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论文写作资料\三种红豆杉内生真菌分析\BMC\"/>
    </mc:Choice>
  </mc:AlternateContent>
  <xr:revisionPtr revIDLastSave="0" documentId="13_ncr:1_{08B733F3-824E-431E-8563-3DC67C1F2C96}" xr6:coauthVersionLast="47" xr6:coauthVersionMax="47" xr10:uidLastSave="{00000000-0000-0000-0000-000000000000}"/>
  <bookViews>
    <workbookView xWindow="-110" yWindow="-110" windowWidth="19420" windowHeight="10300" xr2:uid="{773EAFE4-FE8B-4922-89E6-3FB290845F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031" i="1" l="1"/>
  <c r="G7030" i="1"/>
  <c r="G7029" i="1"/>
  <c r="G7028" i="1"/>
  <c r="G7027" i="1"/>
  <c r="G7026" i="1"/>
  <c r="G7025" i="1"/>
  <c r="G7024" i="1"/>
  <c r="G7023" i="1"/>
  <c r="G7022" i="1"/>
  <c r="G7021" i="1"/>
  <c r="G7020" i="1"/>
  <c r="G7019" i="1"/>
  <c r="G7018" i="1"/>
  <c r="G7017" i="1"/>
  <c r="G7016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2" i="1"/>
  <c r="G7001" i="1"/>
  <c r="G7000" i="1"/>
  <c r="G6999" i="1"/>
  <c r="G6998" i="1"/>
  <c r="G6997" i="1"/>
  <c r="G6996" i="1"/>
  <c r="G6995" i="1"/>
  <c r="G6994" i="1"/>
  <c r="G6993" i="1"/>
  <c r="G6992" i="1"/>
  <c r="G6991" i="1"/>
  <c r="G6990" i="1"/>
  <c r="G6989" i="1"/>
  <c r="G6988" i="1"/>
  <c r="G6987" i="1"/>
  <c r="G6986" i="1"/>
  <c r="G6985" i="1"/>
  <c r="G6984" i="1"/>
  <c r="G6983" i="1"/>
  <c r="G6982" i="1"/>
  <c r="G6981" i="1"/>
  <c r="G6980" i="1"/>
  <c r="G6979" i="1"/>
  <c r="G6978" i="1"/>
  <c r="G6977" i="1"/>
  <c r="G6976" i="1"/>
  <c r="G6975" i="1"/>
  <c r="G6974" i="1"/>
  <c r="G6973" i="1"/>
  <c r="G6972" i="1"/>
  <c r="G6971" i="1"/>
  <c r="G6970" i="1"/>
  <c r="G6969" i="1"/>
  <c r="G6968" i="1"/>
  <c r="G6967" i="1"/>
  <c r="G6966" i="1"/>
  <c r="G6965" i="1"/>
  <c r="G6964" i="1"/>
  <c r="G6963" i="1"/>
  <c r="G6962" i="1"/>
  <c r="G6961" i="1"/>
  <c r="G6960" i="1"/>
  <c r="G6959" i="1"/>
  <c r="G6958" i="1"/>
  <c r="G6957" i="1"/>
  <c r="G6956" i="1"/>
  <c r="G6955" i="1"/>
  <c r="G6954" i="1"/>
  <c r="G6953" i="1"/>
  <c r="G6952" i="1"/>
  <c r="G6951" i="1"/>
  <c r="G6950" i="1"/>
  <c r="G6949" i="1"/>
  <c r="G6948" i="1"/>
  <c r="G6947" i="1"/>
  <c r="G6946" i="1"/>
  <c r="G6945" i="1"/>
  <c r="G6944" i="1"/>
  <c r="G6943" i="1"/>
  <c r="G6942" i="1"/>
  <c r="G6941" i="1"/>
  <c r="G6940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9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4" i="1"/>
  <c r="G6893" i="1"/>
  <c r="G6892" i="1"/>
  <c r="G6891" i="1"/>
  <c r="G6890" i="1"/>
  <c r="G6889" i="1"/>
  <c r="G6888" i="1"/>
  <c r="G6887" i="1"/>
  <c r="G6886" i="1"/>
  <c r="G6885" i="1"/>
  <c r="G6884" i="1"/>
  <c r="G6883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G6849" i="1"/>
  <c r="G6848" i="1"/>
  <c r="G6847" i="1"/>
  <c r="G6846" i="1"/>
  <c r="G6845" i="1"/>
  <c r="G6844" i="1"/>
  <c r="G6843" i="1"/>
  <c r="G6842" i="1"/>
  <c r="G6841" i="1"/>
  <c r="G6840" i="1"/>
  <c r="G6839" i="1"/>
  <c r="G6838" i="1"/>
  <c r="G6837" i="1"/>
  <c r="G6836" i="1"/>
  <c r="G6835" i="1"/>
  <c r="G6834" i="1"/>
  <c r="G6833" i="1"/>
  <c r="G6832" i="1"/>
  <c r="G6831" i="1"/>
  <c r="G6830" i="1"/>
  <c r="G6829" i="1"/>
  <c r="G6828" i="1"/>
  <c r="G6827" i="1"/>
  <c r="G6826" i="1"/>
  <c r="G6825" i="1"/>
  <c r="G6824" i="1"/>
  <c r="G6823" i="1"/>
  <c r="G6822" i="1"/>
  <c r="G6821" i="1"/>
  <c r="G6820" i="1"/>
  <c r="G6819" i="1"/>
  <c r="G6818" i="1"/>
  <c r="G6817" i="1"/>
  <c r="G6816" i="1"/>
  <c r="G6815" i="1"/>
  <c r="G6814" i="1"/>
  <c r="G6813" i="1"/>
  <c r="G6812" i="1"/>
  <c r="G6811" i="1"/>
  <c r="G6810" i="1"/>
  <c r="G6809" i="1"/>
  <c r="G6808" i="1"/>
  <c r="G6807" i="1"/>
  <c r="G6806" i="1"/>
  <c r="G6805" i="1"/>
  <c r="G6804" i="1"/>
  <c r="G6803" i="1"/>
  <c r="G6802" i="1"/>
  <c r="G6801" i="1"/>
  <c r="G6800" i="1"/>
  <c r="G6799" i="1"/>
  <c r="G6798" i="1"/>
  <c r="G6797" i="1"/>
  <c r="G6796" i="1"/>
  <c r="G6795" i="1"/>
  <c r="G6794" i="1"/>
  <c r="G6793" i="1"/>
  <c r="G6792" i="1"/>
  <c r="G6791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5" i="1"/>
  <c r="G6774" i="1"/>
  <c r="G6773" i="1"/>
  <c r="G6772" i="1"/>
  <c r="G6771" i="1"/>
  <c r="G6770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3" i="1"/>
  <c r="G6742" i="1"/>
  <c r="G6741" i="1"/>
  <c r="G6740" i="1"/>
  <c r="G6739" i="1"/>
  <c r="G6738" i="1"/>
  <c r="G6737" i="1"/>
  <c r="G6736" i="1"/>
  <c r="G6735" i="1"/>
  <c r="G6734" i="1"/>
  <c r="G6733" i="1"/>
  <c r="G6732" i="1"/>
  <c r="G6731" i="1"/>
  <c r="G6730" i="1"/>
  <c r="G6729" i="1"/>
  <c r="G6728" i="1"/>
  <c r="G6727" i="1"/>
  <c r="G6726" i="1"/>
  <c r="G6725" i="1"/>
  <c r="G6724" i="1"/>
  <c r="G6723" i="1"/>
  <c r="G6722" i="1"/>
  <c r="G6721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3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3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1" i="1"/>
  <c r="G4280" i="1"/>
  <c r="G4279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<sst xmlns="http://schemas.openxmlformats.org/spreadsheetml/2006/main" count="89793" uniqueCount="46611">
  <si>
    <t>ID</t>
  </si>
  <si>
    <t>m/z</t>
  </si>
  <si>
    <t>Retention time (min)</t>
  </si>
  <si>
    <t>Ion mode</t>
  </si>
  <si>
    <t>Metabolites</t>
  </si>
  <si>
    <t>cid</t>
  </si>
  <si>
    <t>cidlink</t>
  </si>
  <si>
    <t>HMDB</t>
  </si>
  <si>
    <t>METLIN</t>
  </si>
  <si>
    <t>Lipidmaps</t>
  </si>
  <si>
    <t>ChEBI</t>
  </si>
  <si>
    <t>KEGG</t>
  </si>
  <si>
    <t>ID Annotation</t>
  </si>
  <si>
    <t>Annotation</t>
  </si>
  <si>
    <t>PubChem</t>
  </si>
  <si>
    <t>CAS</t>
  </si>
  <si>
    <t>smiles</t>
  </si>
  <si>
    <t>InChIKey</t>
  </si>
  <si>
    <t>Super Class</t>
  </si>
  <si>
    <t>Class</t>
  </si>
  <si>
    <t>Sub Class</t>
  </si>
  <si>
    <t>level</t>
  </si>
  <si>
    <t>Score</t>
  </si>
  <si>
    <t>Fragmentation Score</t>
  </si>
  <si>
    <t>Adducts</t>
  </si>
  <si>
    <t>Formula</t>
  </si>
  <si>
    <t>Mass Error (ppm)</t>
  </si>
  <si>
    <t>VIP</t>
  </si>
  <si>
    <t>L7_2</t>
  </si>
  <si>
    <t>L7_3</t>
  </si>
  <si>
    <t>L7_4</t>
  </si>
  <si>
    <t>L7_5</t>
  </si>
  <si>
    <t>L7_6</t>
  </si>
  <si>
    <t>8.06_812.3840m/z</t>
  </si>
  <si>
    <t>pos</t>
  </si>
  <si>
    <t>Conophylline</t>
  </si>
  <si>
    <t>HMDB0250438</t>
  </si>
  <si>
    <t>CCC12CC(C(=O)OC)=C3NC4=C(C=C5C6C(OC5=C4)C(O)C4(CC)CC(C(=O)OC)=C5NC7=C(OC)C(OC)=C(O)C=C7C55CCN6C45)C33CCN(CC4OC14)C23</t>
  </si>
  <si>
    <t>QZRIMAMDGWAHPQ-UHFFFAOYSA-N</t>
  </si>
  <si>
    <t>Alkaloids and derivatives</t>
  </si>
  <si>
    <t>Aspidospermatan-type alkaloids</t>
  </si>
  <si>
    <t>Unclassified</t>
  </si>
  <si>
    <t>Level 3</t>
  </si>
  <si>
    <t>M+NH4</t>
  </si>
  <si>
    <t>C44H50N4O10</t>
  </si>
  <si>
    <t>7.46_770.3734m/z</t>
  </si>
  <si>
    <t>Okhdia-Pi</t>
  </si>
  <si>
    <t>LMGP20050026</t>
  </si>
  <si>
    <t>[C@]([H])(OC(CCC(=O)/C=C/C(=O)O)=O)(COP(=O)(O)O[C@H]1[C@H](O)[C@@H](O)[C@H](O)[C@@H](O)[C@H]1O)COC(CCCCCCC/C=C\CCCCCCCC)=O</t>
  </si>
  <si>
    <t>IGGUOOAQNZQWHM-LQTMXUJQSA-N</t>
  </si>
  <si>
    <t>Lipids and lipid-like molecules</t>
  </si>
  <si>
    <t>Glycerophospholipids</t>
  </si>
  <si>
    <t>Glycerophosphoinositols</t>
  </si>
  <si>
    <t>C34H57O16P</t>
  </si>
  <si>
    <t>7.21_712.3679m/z</t>
  </si>
  <si>
    <t>Nemifitide</t>
  </si>
  <si>
    <t>HMDB0255508</t>
  </si>
  <si>
    <t>NC(CC1=CC=C(F)C=C1)C(=O)N1CC(O)CC1C(=O)NC(CCCN=C(N)N)C(=O)NCC(=O)NC(CC1=CNC2=CC=CC=C12)C(N)=O</t>
  </si>
  <si>
    <t>SGXPTOACEHQGHL-UHFFFAOYSA-N</t>
  </si>
  <si>
    <t>Level 4</t>
  </si>
  <si>
    <t>C33H43FN10O6</t>
  </si>
  <si>
    <t>6.96_667.3346n</t>
  </si>
  <si>
    <t>Phodia-Ps</t>
  </si>
  <si>
    <t>LMGP20040007</t>
  </si>
  <si>
    <t>C(O)(=O)[C@@]([H])(N)COP(OC[C@]([H])(OC(CCCC(O)/C=C/C(=O)O)=O)COC(CCCCCCCCCCCCCCC)=O)(=O)O</t>
  </si>
  <si>
    <t>PBKDABDYVMIXNI-KIXKYUBSSA-N</t>
  </si>
  <si>
    <t>Glycerophosphoserines</t>
  </si>
  <si>
    <t>M+H, M+Na</t>
  </si>
  <si>
    <t>C30H54NO13P</t>
  </si>
  <si>
    <t>3.02_326.0999n</t>
  </si>
  <si>
    <t>neg</t>
  </si>
  <si>
    <t>Melilotoside</t>
  </si>
  <si>
    <t>HMDB0033581</t>
  </si>
  <si>
    <t>C05158</t>
  </si>
  <si>
    <t>ko00940</t>
  </si>
  <si>
    <t>Phenylpropanoid biosynthesis</t>
  </si>
  <si>
    <t>618-67-7</t>
  </si>
  <si>
    <t>OC[C@H]1O[C@@H](OC2=C(\C=C\C(O)=O)C=CC=C2)[C@H](O)[C@@H](O)[C@@H]1O</t>
  </si>
  <si>
    <t>GVRIYIMNJGULCZ-ZMKUSUEASA-N</t>
  </si>
  <si>
    <t>Organic oxygen compounds</t>
  </si>
  <si>
    <t>Organooxygen compounds</t>
  </si>
  <si>
    <t>Carbohydrates and carbohydrate conjugates</t>
  </si>
  <si>
    <t>M+FA-H, 2M-H, M-H</t>
  </si>
  <si>
    <t>C15H18O8</t>
  </si>
  <si>
    <t>5.69_641.3193n</t>
  </si>
  <si>
    <t>Taxine</t>
  </si>
  <si>
    <t>HMDB0258749</t>
  </si>
  <si>
    <t>CN(C)C(C(O)C(=O)OC1CC(O)C2(C)CC1=CC(OC(C)=O)C1CC(OC(C)=O)C(C)=C(C(O)C2=O)C1(C)C)C1=CC=CC=C1</t>
  </si>
  <si>
    <t>KOTXAHKUCAQPQA-UHFFFAOYSA-N</t>
  </si>
  <si>
    <t>Organic acids and derivatives</t>
  </si>
  <si>
    <t>Carboxylic acids and derivatives</t>
  </si>
  <si>
    <t>Tricarboxylic acids and derivatives</t>
  </si>
  <si>
    <t>M+H, M+K, M+Na</t>
  </si>
  <si>
    <t>C35H47NO10</t>
  </si>
  <si>
    <t>6.80_628.3471m/z</t>
  </si>
  <si>
    <t>Cyclo(D-Trp-D-Asp-Pro-D-Val-Leu)</t>
  </si>
  <si>
    <t>HMDB0249361</t>
  </si>
  <si>
    <t>CC(C)CC1NC(=O)C(NC(=O)C2CCCN2C(=O)C(CC(O)=O)NC(=O)C(CC2=CNC3=CC=CC=C23)NC1=O)C(C)C</t>
  </si>
  <si>
    <t>VYCMAAOURFJIHD-UHFFFAOYSA-N</t>
  </si>
  <si>
    <t>Amino acids, peptides, and analogues</t>
  </si>
  <si>
    <t>C31H42N6O7</t>
  </si>
  <si>
    <t>4.19_340.1154n</t>
  </si>
  <si>
    <t>Chuanxiongoside A</t>
  </si>
  <si>
    <t>LMFA01050586</t>
  </si>
  <si>
    <t>C(CCC#CC#C/C=C\CO[C@H]1[C@H](O)[C@@H](O)[C@H](O)[C@@H](CO)O1)(=O)O</t>
  </si>
  <si>
    <t>OEFUSTCDLNBWLI-XRIQKJLKSA-N</t>
  </si>
  <si>
    <t>Saccharolipids</t>
  </si>
  <si>
    <t>M-H, M+FA-H, 2M-H</t>
  </si>
  <si>
    <t>C16H20O8</t>
  </si>
  <si>
    <t>1.83_325.0926m/z</t>
  </si>
  <si>
    <t>6-O-P-Coumaroyl-D-Glucose</t>
  </si>
  <si>
    <t>HMDB0039169</t>
  </si>
  <si>
    <t>114297-65-3</t>
  </si>
  <si>
    <t>OC1OC(COC(=O)\C=C\C2=CC=C(O)C=C2)C(O)C(O)C1O</t>
  </si>
  <si>
    <t>GKUSDFCBGXFHIL-ZZXKWVIFSA-N</t>
  </si>
  <si>
    <t>Phenylpropanoids and polyketides</t>
  </si>
  <si>
    <t>Cinnamic acids and derivatives</t>
  </si>
  <si>
    <t>Hydroxycinnamic acids and derivatives</t>
  </si>
  <si>
    <t>M-H</t>
  </si>
  <si>
    <t>6.75_748.3675m/z</t>
  </si>
  <si>
    <t>Snag-Delta5-Cg</t>
  </si>
  <si>
    <t>LMST05050052</t>
  </si>
  <si>
    <t>[C@@]12([H])[C@@H](O[C@H]3[C@H](NC(C)=O)[C@@H](O)[C@H](O)[C@@H](CO)O3)C=C3C[C@@H](OS(O)(=O)=O)CC[C@]3(C)[C@@]1([H])CC[C@]1(C)[C@@]([H])([C@]([H])(C)CCC(=O)NCC(=O)O)CC[C@@]21[H]</t>
  </si>
  <si>
    <t>HALUOLCKUPYNDO-HTPXXUAFSA-N</t>
  </si>
  <si>
    <t>Steroids and steroid derivatives</t>
  </si>
  <si>
    <t>Bile acids, alcohols and derivatives</t>
  </si>
  <si>
    <t>C34H54N2O13S</t>
  </si>
  <si>
    <t>8.53_695.3661n</t>
  </si>
  <si>
    <t>Jubanine A</t>
  </si>
  <si>
    <t>HMDB0030205</t>
  </si>
  <si>
    <t>60375-07-7</t>
  </si>
  <si>
    <t>CCC(C)C1\N=C(O)\C2C(CCN2C(=O)C(CC2=CC=CC=C2)\N=C(/O)C(CC2=CC=CC=C2)N(C)C)OC2=CC=C(OC)C(=C2)\C=C\N=C1\O</t>
  </si>
  <si>
    <t>YDFMRHVTUVJMHS-XUTLUUPISA-N</t>
  </si>
  <si>
    <t>C40H49N5O6</t>
  </si>
  <si>
    <t>1.79_675.1887m/z</t>
  </si>
  <si>
    <t>6-Methoxykaempferol 3,7-Bis(3-Acetylrhamnoside)</t>
  </si>
  <si>
    <t>LMPK12112845</t>
  </si>
  <si>
    <t>C1(O[C@H]2[C@H](O)[C@H](OC(C)=O)[C@@H](O)[C@H](C)O2)=CC2OC(C3C=CC(O)=CC=3)=C(O[C@H]3[C@H](O)[C@H](OC(=O)C)[C@@H](O)[C@H](C)O3)C(=O)C=2C(O)=C1OC</t>
  </si>
  <si>
    <t>OLDCKGQTUGLRNW-MHIZJTBXSA-N</t>
  </si>
  <si>
    <t>Flavonoids</t>
  </si>
  <si>
    <t>Flavonoid glycosides</t>
  </si>
  <si>
    <t>M+H-H2O</t>
  </si>
  <si>
    <t>C32H36O17</t>
  </si>
  <si>
    <t>5.90_554.3108m/z</t>
  </si>
  <si>
    <t>Mozenavir</t>
  </si>
  <si>
    <t>HMDB0254911</t>
  </si>
  <si>
    <t>NC1=CC=CC(CN2C(CC3=CC=CC=C3)C(O)C(O)C(CC3=CC=CC=C3)N(CC3=CC(N)=CC=C3)C2=O)=C1</t>
  </si>
  <si>
    <t>KYRSNWPSSXSNEP-UHFFFAOYSA-N</t>
  </si>
  <si>
    <t>Benzenoids</t>
  </si>
  <si>
    <t>Benzene and substituted derivatives</t>
  </si>
  <si>
    <t>Aniline and substituted anilines</t>
  </si>
  <si>
    <t>C33H36N4O3</t>
  </si>
  <si>
    <t>0.72_342.1158n</t>
  </si>
  <si>
    <t>Sucrose</t>
  </si>
  <si>
    <t>HMDB0000258</t>
  </si>
  <si>
    <t>C00089</t>
  </si>
  <si>
    <t>ko00052,ko00500,ko02010,ko02060,ko04742,ko04973</t>
  </si>
  <si>
    <t>Galactose metabolism|Starch and sucrose metabolism|ABC transporters|Phosphotransferase system (PTS)|Taste transduction|Carbohydrate digestion and absorption</t>
  </si>
  <si>
    <t>57-50-1</t>
  </si>
  <si>
    <t>OC[C@H]1O[C@@](CO)(O[C@H]2O[C@H](CO)[C@@H](O)[C@H](O)[C@H]2O)[C@@H](O)[C@@H]1O</t>
  </si>
  <si>
    <t>CZMRCDWAGMRECN-UGDNZRGBSA-N</t>
  </si>
  <si>
    <t>M+H-H2O, M+K, M+Na, M+NH4, M+H</t>
  </si>
  <si>
    <t>C12H22O11</t>
  </si>
  <si>
    <t>12.43_852.5788n</t>
  </si>
  <si>
    <t>Pc(Dime(11,3)/Monome(11,3))</t>
  </si>
  <si>
    <t>HMDB0061395</t>
  </si>
  <si>
    <t>[H]C1=C(CCC)OC(CCCCCCCCCCC(=O)OC(COC(=O)CCCCCCCCCCC2=C(C)C(C)=C(CCC)O2)COP(O)(=O)OCC[N+](C)(C)C)=C1C</t>
  </si>
  <si>
    <t>JTBDDPUGVKBTJB-UHFFFAOYSA-O</t>
  </si>
  <si>
    <t>Glycerophosphocholines</t>
  </si>
  <si>
    <t>M+NH4, M+Na, M+K</t>
  </si>
  <si>
    <t>C47H83NO10P+</t>
  </si>
  <si>
    <t>6.78_588.2562n</t>
  </si>
  <si>
    <t>Cfp-Aaf-Pab</t>
  </si>
  <si>
    <t>HMDB0249846</t>
  </si>
  <si>
    <t>CC(NC(CCC1=CC=CC=C1)C(O)=O)C(=O)NC(C)C(=O)NC(=O)C(CC1=CC=CC=C1)NC1=CC=C(C=C1)C(O)=O</t>
  </si>
  <si>
    <t>UZKWDJFXHHHJFU-UHFFFAOYSA-N</t>
  </si>
  <si>
    <t>M+NH4, M+K, M+Na, M+H-H2O</t>
  </si>
  <si>
    <t>C32H36N4O7</t>
  </si>
  <si>
    <t>10.55_608.3786m/z</t>
  </si>
  <si>
    <t>Austrobuxusin I</t>
  </si>
  <si>
    <t>LMPR0103540011</t>
  </si>
  <si>
    <t>[C@]12(C)[C@@]3(C[C@]([H])([C@H](C)OC(CCCCCCCCCCCCC)=O)C(=O)O3)[C@@H]3O[C@@H]3[C@@]1(O)[C@H]1C(O[C@@H]([C@H]2O)[C@H]1C(=C)C)=O</t>
  </si>
  <si>
    <t>DKZOQKYOEKTNQN-HXEOHGHCSA-N</t>
  </si>
  <si>
    <t>C33H50O9</t>
  </si>
  <si>
    <t>4.79_480.3083n</t>
  </si>
  <si>
    <t>20-Hydroxyecdysone</t>
  </si>
  <si>
    <t>HMDB0030180</t>
  </si>
  <si>
    <t>LMST01010209</t>
  </si>
  <si>
    <t>C02633</t>
  </si>
  <si>
    <t>ko00981</t>
  </si>
  <si>
    <t>Insect hormone biosynthesis</t>
  </si>
  <si>
    <t>5289-74-7</t>
  </si>
  <si>
    <t>C1[C@H](O)[C@H](O)C[C@@]2([H])C(=O)C=C3[C@@](CC[C@]4([C@@]3(O)CC[C@]4([H])[C@](O)(C)[C@H](O)CCC(O)(C)C)C)([H])[C@]21C</t>
  </si>
  <si>
    <t>NKDFYOWSKOHCCO-YPVLXUMRSA-N</t>
  </si>
  <si>
    <t>M+H-H2O, M+H, M+Na</t>
  </si>
  <si>
    <t>C27H44O7</t>
  </si>
  <si>
    <t>4.70_546.3249n</t>
  </si>
  <si>
    <t>Phytyl 2-O-Methyl-Dimethylarsinoylribose</t>
  </si>
  <si>
    <t>LMPR0104010040</t>
  </si>
  <si>
    <t>CC(CCCC(CCCC(CCC/C(/C)=C/CO[C@H]1[C@H](OC)[C@H](O)[C@@H](C[As](=O)(C)C)O1)C)C)C</t>
  </si>
  <si>
    <t>DERBZIOJEXWVSK-HGEPQFIESA-N</t>
  </si>
  <si>
    <t>Prenol lipids</t>
  </si>
  <si>
    <t>Terpene glycosides</t>
  </si>
  <si>
    <t>M+Na, M+K, M+NH4, M+H</t>
  </si>
  <si>
    <t>C28H55AsO5</t>
  </si>
  <si>
    <t>6.61_552.3313m/z</t>
  </si>
  <si>
    <t>Vitixanthin</t>
  </si>
  <si>
    <t>LMPR01070603</t>
  </si>
  <si>
    <t>C1C(C)(C)[C@](O)(/C=C/C(/C)=C/C=C/C(/C)=C/C=C/C=C(\C)/C=C/C/C(/COC(=O)C)=C/C(=O)O)C(C)=CC1=O</t>
  </si>
  <si>
    <t>PXIAYYSYXOBGLA-IYHIIZRQSA-N</t>
  </si>
  <si>
    <t>Triterpenoids</t>
  </si>
  <si>
    <t>C33H42O6</t>
  </si>
  <si>
    <t>5.70_744.3579m/z</t>
  </si>
  <si>
    <t>Pkhdia-Pi</t>
  </si>
  <si>
    <t>LMGP20050012</t>
  </si>
  <si>
    <t>[C@]([H])(OC(CCC(=O)/C=C/C(=O)O)=O)(COP(=O)(O)O[C@H]1[C@H](O)[C@@H](O)[C@H](O)[C@@H](O)[C@H]1O)COC(CCCCCCCCCCCCCCC)=O</t>
  </si>
  <si>
    <t>TTZZKCXTZNSTCZ-BXGDGLCQSA-N</t>
  </si>
  <si>
    <t>C32H55O16P</t>
  </si>
  <si>
    <t>7.77_806.3731m/z</t>
  </si>
  <si>
    <t>Anthroylouabain</t>
  </si>
  <si>
    <t>HMDB0248471</t>
  </si>
  <si>
    <t>CC1OC(OC2CC(O)C3(CO)C4C(O)CC5(C)C(CCC5(O)C4CCC3(O)C2)C2=CC(=O)OC2)C(O)C(OC(=O)C2=C3C=CC=CC3=CC3=CC=CC=C23)C1O</t>
  </si>
  <si>
    <t>CSNRMZGUGASWCS-UHFFFAOYSA-N</t>
  </si>
  <si>
    <t>C44H52O13</t>
  </si>
  <si>
    <t>12.57_588.4234n</t>
  </si>
  <si>
    <t>3-O-Alpha-L-Rhamnopyranosyl-3-Hydroxypalmitoyl-3-Hydroxydecanoic Acid</t>
  </si>
  <si>
    <t>LMFA13030015</t>
  </si>
  <si>
    <t>O([C@H]1[C@H](O)[C@H](O)[C@@H](O)[C@H](C)O1)C(CCCCCCCCCCCCC)CC(=O)OC(CCCCCCC)CC(=O)O</t>
  </si>
  <si>
    <t>IZDHPTNSHYNWRJ-LUFCMLNSSA-N</t>
  </si>
  <si>
    <t>Fatty Acyls</t>
  </si>
  <si>
    <t>Fatty acyl glycosides</t>
  </si>
  <si>
    <t>M+H, M+Na, M+NH4</t>
  </si>
  <si>
    <t>C32H60O9</t>
  </si>
  <si>
    <t>6.10_544.2303n</t>
  </si>
  <si>
    <t>10-Deacetylbaccatin Iii</t>
  </si>
  <si>
    <t>C11700</t>
  </si>
  <si>
    <t>ko00904</t>
  </si>
  <si>
    <t>Diterpenoid biosynthesis</t>
  </si>
  <si>
    <t>32981-86-5</t>
  </si>
  <si>
    <t>CC1=C2C(C(=O)C3(C(CC4C(C3C(C(C2(C)C)(CC1O)O)OC(=O)C5=CC=CC=C5)(CO4)OC(=O)C)O)C)O</t>
  </si>
  <si>
    <t>YWLXLRUDGLRYDR-ZHPRIASZSA-N</t>
  </si>
  <si>
    <t>Diterpenoids</t>
  </si>
  <si>
    <t>M+H, M+Na, M+H-H2O</t>
  </si>
  <si>
    <t>C29H36O10</t>
  </si>
  <si>
    <t>4.29_370.2200n</t>
  </si>
  <si>
    <t>Octaethylene Glycol</t>
  </si>
  <si>
    <t>HMDB0094680</t>
  </si>
  <si>
    <t>OCCOCCOCCOCCOCCOCCOCCOCCO</t>
  </si>
  <si>
    <t>GLZWNFNQMJAZGY-UHFFFAOYSA-N</t>
  </si>
  <si>
    <t>Ethers</t>
  </si>
  <si>
    <t>M+NH4, M+Na, M+H</t>
  </si>
  <si>
    <t>C16H34O9</t>
  </si>
  <si>
    <t>8.97_609.3298n</t>
  </si>
  <si>
    <t>Phhdia-Pe</t>
  </si>
  <si>
    <t>LMGP20020017</t>
  </si>
  <si>
    <t>[C@](COP(=O)(O)OCCN)([H])(OC(CCC(O)/C=C/C(=O)O)=O)COC(CCCCCCCCCCCCCCC)=O</t>
  </si>
  <si>
    <t>WILWBFQMVWPUNV-IQBDFAPESA-N</t>
  </si>
  <si>
    <t>Glycerophosphoethanolamines</t>
  </si>
  <si>
    <t>C28H52NO11P</t>
  </si>
  <si>
    <t>7.07_312.1722n</t>
  </si>
  <si>
    <t>4'-Hydroxy-5,5'-Diisopropyl-2,2'-Dimethyl-3,4-Biphenylquinone</t>
  </si>
  <si>
    <t>HMDB0040761</t>
  </si>
  <si>
    <t>120866-13-9</t>
  </si>
  <si>
    <t>CC(C)C1=CC(=C(C)C(=O)C1=O)C1=CC(C(C)C)=C(O)C=C1C</t>
  </si>
  <si>
    <t>SFQOHOOISXSOPJ-UHFFFAOYSA-N</t>
  </si>
  <si>
    <t>Monoterpenoids</t>
  </si>
  <si>
    <t>M+H-H2O, M+H</t>
  </si>
  <si>
    <t>C20H24O3</t>
  </si>
  <si>
    <t>5.97_568.3265m/z</t>
  </si>
  <si>
    <t>Phoha-Pa</t>
  </si>
  <si>
    <t>LMGP20070009</t>
  </si>
  <si>
    <t>[C@](COP(=O)(O)O)([H])(OC(CCC(O)/C=C/C(=O)[H])=O)COC(CCCCCCCCCCCCCCC)=O</t>
  </si>
  <si>
    <t>TVYCSESYZMYYMY-RRKCGBBISA-N</t>
  </si>
  <si>
    <t>Glycerophosphates</t>
  </si>
  <si>
    <t>C26H47O10P</t>
  </si>
  <si>
    <t>5.15_701.4926m/z</t>
  </si>
  <si>
    <t>Cer(d18:2(4E,14Z)/LTE4)</t>
  </si>
  <si>
    <t>HMDB0290062</t>
  </si>
  <si>
    <t>CCCCC\C=C/C\C=C/C=C/C=C/[C@@H](SC[C@H](N)C(=O)N[C@@H](CO)[C@H](O)\C=C\CCCCCCCC\C=C/CCC)[C@@H](O)CCCC(O)=O</t>
  </si>
  <si>
    <t>TTWYCRUXCGBAFK-SPSSYUNISA-N</t>
  </si>
  <si>
    <t>C41H70N2O6S</t>
  </si>
  <si>
    <t>9.04_811.3197n</t>
  </si>
  <si>
    <t>10-Deacetyltaxol</t>
  </si>
  <si>
    <t>78432-77-6</t>
  </si>
  <si>
    <t>CC1=C2C(C(=O)C3(C(CC4C(C3C(C(C2(C)C)(CC1OC(=O)C(C(C5=CC=CC=C5)NC(=O)C6=CC=CC=C6)O)O)OC(=O)C7=CC=CC=C7)(CO4)OC(=O)C)O)C)O</t>
  </si>
  <si>
    <t>TYLVGQKNNUHXIP-MHHARFCSSA-N</t>
  </si>
  <si>
    <t>M-H, M+FA-H</t>
  </si>
  <si>
    <t>C45H49NO13</t>
  </si>
  <si>
    <t>0.72_377.0850m/z</t>
  </si>
  <si>
    <t>2,2-Dichloro-12-(4-Chlorophenyl)Dodecanoic Acid</t>
  </si>
  <si>
    <t>HMDB0249301</t>
  </si>
  <si>
    <t>OC(=O)C(Cl)(Cl)CCCCCCCCCCC1=CC=C(Cl)C=C1</t>
  </si>
  <si>
    <t>GPCJDSXBRMKASP-UHFFFAOYSA-N</t>
  </si>
  <si>
    <t>C18H25Cl3O2</t>
  </si>
  <si>
    <t>6.04_626.3317m/z</t>
  </si>
  <si>
    <t>Dapholosericin A</t>
  </si>
  <si>
    <t>LMPR0104330008</t>
  </si>
  <si>
    <t>C1(=O)C(CO)=C[C@]2(O)C(C(C)=C[C@@]2([H])[C@@]2(O)[C@@H]([C@@H](OC(=O)C3=CC=CC=C3)[C@@]3(OC(CCCCCCC)=O)C(C)(C)[C@@]3([H])[C@@]21[H])C)=O</t>
  </si>
  <si>
    <t>FJJHBJZIWNYYTJ-KEZDBXLXSA-N</t>
  </si>
  <si>
    <t>C35H44O9</t>
  </si>
  <si>
    <t>4.79_444.2872n</t>
  </si>
  <si>
    <t>Asparacosin A</t>
  </si>
  <si>
    <t>LMST01080098</t>
  </si>
  <si>
    <t>C1[C@]2(C)[C@@]3([H])C[C@@H](O)[C@]4(C)[C@@]5(O)[C@@H]([C@]6(O[C@H]5C[C@@]4([H])[C@]3([H])CCC2=CC(=O)C1)CC[C@@]([H])(C)CO6)C</t>
  </si>
  <si>
    <t>YWWQQPDLTAKFSH-ANLDUCOMSA-N</t>
  </si>
  <si>
    <t>C27H40O5</t>
  </si>
  <si>
    <t>6.73_658.3574m/z</t>
  </si>
  <si>
    <t>N1,N5,N10-Tris-Trans-P-Coumaroylspermine</t>
  </si>
  <si>
    <t>HMDB0039962</t>
  </si>
  <si>
    <t>NCCCN(CCCCN(CCCNC(=O)\C=C\C1=CC=C(O)C=C1)C(=O)\C=C\C1=CC=C(O)C=C1)C(=O)\C=C\C1=CC=C(O)C=C1</t>
  </si>
  <si>
    <t>ZCAPOTKWNMCAIB-YUXOBOFSSA-N</t>
  </si>
  <si>
    <t>C37H44N4O6</t>
  </si>
  <si>
    <t>12.02_870.5680m/z</t>
  </si>
  <si>
    <t>PC(22:4(7Z,10Z,13Z,16Z)/PGJ2)</t>
  </si>
  <si>
    <t>HMDB0288210</t>
  </si>
  <si>
    <t>CCCCC\C=C/C\C=C/C\C=C/C\C=C/CCCCCC(=O)OC[C@H](COP([O-])(=O)OCC[N+](C)(C)C)OC(=O)CCC\C=C/C[C@H]1C=CC(=O)[C@@H]1\C=C\[C@@H](O)CCCCC</t>
  </si>
  <si>
    <t>OFMXWJXBDOSSMU-GBANLIQISA-N</t>
  </si>
  <si>
    <t>C50H82NO10P</t>
  </si>
  <si>
    <t>6.92_786.3683m/z</t>
  </si>
  <si>
    <t>N-Succinyl-Leu-Leu-Val-Tyr-7-Amido-4-Methylcoumarin, &gt;=90% (Hplc)</t>
  </si>
  <si>
    <t>HMDB0258535</t>
  </si>
  <si>
    <t>CC(C)CC(NC(=O)CCC(O)=O)C(=O)NC(CC(C)C)C(=O)NC(C(C)C)C(=O)NC(CC1=CC=C(O)C=C1)C(=O)NC1=CC2=C(C=C1)C(C)=CC(=O)O2</t>
  </si>
  <si>
    <t>UVFAEQZFLBGVRM-UHFFFAOYSA-N</t>
  </si>
  <si>
    <t>M+Na</t>
  </si>
  <si>
    <t>C40H53N5O10</t>
  </si>
  <si>
    <t>8.69_686.2564n</t>
  </si>
  <si>
    <t>Epitumomab Cituxetan</t>
  </si>
  <si>
    <t>HMDB0251867</t>
  </si>
  <si>
    <t>NC(CCCCNC(=S)NC1=CC=C(CC(CN(CCN(CC(O)=O)CC(O)=O)CC(O)=O)N(CC(O)=O)CC(O)=O)C=C1)C(O)=O</t>
  </si>
  <si>
    <t>FOIAQXXUVRINCI-UHFFFAOYSA-N</t>
  </si>
  <si>
    <t>M+H-H2O, M+NH4</t>
  </si>
  <si>
    <t>C28H42N6O12S</t>
  </si>
  <si>
    <t>12.38_958.6650m/z</t>
  </si>
  <si>
    <t>PC(22:4(7Z,10Z,13Z,16Z)/24:1(15Z))</t>
  </si>
  <si>
    <t>HMDB0008651</t>
  </si>
  <si>
    <t>C00157</t>
  </si>
  <si>
    <t>ko00564,ko00590,ko00591,ko00592,ko04723,ko05231</t>
  </si>
  <si>
    <t>Glycerophospholipid metabolism|Arachidonic acid metabolism|Linoleic acid metabolism|alpha-Linolenic acid metabolism|Retrograde endocannabinoid signaling|Choline metabolism in cancer</t>
  </si>
  <si>
    <t>CCCCCCCC\C=C/CCCCCCCCCCCCCC(=O)O[C@]([H])(COC(=O)CCCCC\C=C/C\C=C/C\C=C/C\C=C/CCCCC)COP([O-])(=O)OCC[N+](C)(C)C</t>
  </si>
  <si>
    <t>RDVPCWQGFINSTH-DOHKHGPWSA-N</t>
  </si>
  <si>
    <t>M+K</t>
  </si>
  <si>
    <t>C54H98NO8P</t>
  </si>
  <si>
    <t>5.04_480.3084n</t>
  </si>
  <si>
    <t>22-Deoxy-20,21-Dihydroxyecdysone</t>
  </si>
  <si>
    <t>LMST01010186</t>
  </si>
  <si>
    <t>C12=CC([C@]3([H])C[C@@H](O)[C@@H](O)C[C@]3(C)[C@@]1([H])CC[C@@]1(C)[C@@]2(O)CC[C@@]1([C@](O)(CO)CCCC(O)(C)C)[H])=O</t>
  </si>
  <si>
    <t>ICVFXEQYDYKIJU-VOCVGKOUSA-N</t>
  </si>
  <si>
    <t>12.04_764.4830n</t>
  </si>
  <si>
    <t>PI(P-16:0/14:1(9Z))</t>
  </si>
  <si>
    <t>LMGP06030005</t>
  </si>
  <si>
    <t>[C@]([H])(OC(CCCCCCC/C=C\CCCC)=O)(COP(=O)(O)O[C@H]1[C@H](O)[C@@H](O)[C@H](O)[C@@H](O)[C@H]1O)CO/C=C\CCCCCCCCCCCCCC</t>
  </si>
  <si>
    <t>QPWCMVDWELFEFF-LIORSAOVSA-N</t>
  </si>
  <si>
    <t>M+NH4, M+H</t>
  </si>
  <si>
    <t>C39H73O12P</t>
  </si>
  <si>
    <t>0.71_195.0500m/z</t>
  </si>
  <si>
    <t>Gluconic Acid</t>
  </si>
  <si>
    <t>HMDB0000625</t>
  </si>
  <si>
    <t>C00257</t>
  </si>
  <si>
    <t>ko00030</t>
  </si>
  <si>
    <t>Pentose phosphate pathway</t>
  </si>
  <si>
    <t>526-95-4</t>
  </si>
  <si>
    <t>OC[C@@H](O)[C@@H](O)[C@H](O)[C@@H](O)C(O)=O</t>
  </si>
  <si>
    <t>RGHNJXZEOKUKBD-SQOUGZDYSA-N</t>
  </si>
  <si>
    <t>C6H12O7</t>
  </si>
  <si>
    <t>12.34_829.5090m/z</t>
  </si>
  <si>
    <t>6-O-(13-Methyl-Myristoyl)-6'-O-13-Methyl-Myristoyltrehalose</t>
  </si>
  <si>
    <t>LMSL03001300</t>
  </si>
  <si>
    <t>O([C@@H]1[C@H](O)[C@@H](O)[C@H](O)[C@@H](COC(CCCCCCCCCCCC(C)C)=O)O1)[C@@H]1[C@H](O)[C@@H](O)[C@H](O)[C@@H](COC(=O)CCCCCCCCCCCC(C)C)O1</t>
  </si>
  <si>
    <t>UFBDFGCKKZSRRR-NVUILYMWSA-N</t>
  </si>
  <si>
    <t>C42H78O13</t>
  </si>
  <si>
    <t>10.79_504.2722n</t>
  </si>
  <si>
    <t>Taxusin</t>
  </si>
  <si>
    <t>C20152</t>
  </si>
  <si>
    <t>19605-80-2</t>
  </si>
  <si>
    <t>CC1=C2C(C(C3(CCC(C(=C)C3CC(C2(C)C)CC1OC(=O)C)OC(=O)C)C)OC(=O)C)OC(=O)C</t>
  </si>
  <si>
    <t>SKJSIVQEPKBFTJ-HUWILPJBSA-N</t>
  </si>
  <si>
    <t>M+Na, M+K, M+NH4</t>
  </si>
  <si>
    <t>C28H40O8</t>
  </si>
  <si>
    <t>5.15_600.3163m/z</t>
  </si>
  <si>
    <t>Dihydroergocryptine</t>
  </si>
  <si>
    <t>HMDB0251310</t>
  </si>
  <si>
    <t>CC(C)CC1N2C(=O)C(NC(=O)C3CC4C(CC5=CNC6=CC=CC4=C56)N(C)C3)(OC2(O)C2CCCN2C1=O)C(C)C</t>
  </si>
  <si>
    <t>PBUNVLRHZGSROC-UHFFFAOYSA-N</t>
  </si>
  <si>
    <t>Ergoline and derivatives</t>
  </si>
  <si>
    <t>Lysergic acids and derivatives</t>
  </si>
  <si>
    <t>C32H43N5O5</t>
  </si>
  <si>
    <t>4.05_208.1331m/z</t>
  </si>
  <si>
    <t>Synephrine Acetonide</t>
  </si>
  <si>
    <t>HMDB0039939</t>
  </si>
  <si>
    <t>225928-85-8</t>
  </si>
  <si>
    <t>CN1CC(OC1(C)C)C1=CC=C(O)C=C1</t>
  </si>
  <si>
    <t>JJIWDWMLQCSXFB-UHFFFAOYSA-N</t>
  </si>
  <si>
    <t>Phenols</t>
  </si>
  <si>
    <t>1-hydroxy-2-unsubstituted benzenoids</t>
  </si>
  <si>
    <t>M+H</t>
  </si>
  <si>
    <t>C12H17NO2</t>
  </si>
  <si>
    <t>9.67_598.2773n</t>
  </si>
  <si>
    <t>Rupintrivir</t>
  </si>
  <si>
    <t>HMDB0257363</t>
  </si>
  <si>
    <t>CCOC(=O)C=CC(CC1CCNC1=O)NC(=O)C(CC(=O)C(NC(=O)C1=NOC(C)=C1)C(C)C)CC1=CC=C(F)C=C1</t>
  </si>
  <si>
    <t>CAYJBRBGZBCZKO-UHFFFAOYSA-N</t>
  </si>
  <si>
    <t>Carboxylic acid derivatives</t>
  </si>
  <si>
    <t>C31H39FN4O7</t>
  </si>
  <si>
    <t>1.83_651.1926m/z</t>
  </si>
  <si>
    <t>1,5-Bis(4'-Glucopyranosyloxy-3'-Hydroxyphenyl)Pent-4-En-1-Yne</t>
  </si>
  <si>
    <t>HMDB0247507</t>
  </si>
  <si>
    <t>OCC1OC(OC2=CC=C(C=CCC#CC3=CC=C(OC4OC(CO)C(O)C(O)C4O)C(O)=C3)C=C2O)C(O)C(O)C1O</t>
  </si>
  <si>
    <t>NKCXUXCXXINIMN-UHFFFAOYSA-N</t>
  </si>
  <si>
    <t>M+FA-H</t>
  </si>
  <si>
    <t>C29H34O14</t>
  </si>
  <si>
    <t>6.47_465.3206m/z</t>
  </si>
  <si>
    <t>Ponasterone A</t>
  </si>
  <si>
    <t>LMST01010195</t>
  </si>
  <si>
    <t>C08835</t>
  </si>
  <si>
    <t>C1[C@@]2(C)[C@]([H])(C(=O)C=C3[C@]2([H])CC[C@@]2(C)[C@@]3(O)CC[C@]2([H])[C@]([C@H](O)CCC(C)C)(O)C)C[C@@H](O)[C@H]1O</t>
  </si>
  <si>
    <t>PJYYBCXMCWDUAZ-JJJZTNILSA-N</t>
  </si>
  <si>
    <t>C27H44O6</t>
  </si>
  <si>
    <t>13.03_960.6815m/z</t>
  </si>
  <si>
    <t>PC(22:4(7Z,10Z,13Z,16Z)/24:0)</t>
  </si>
  <si>
    <t>HMDB0008650</t>
  </si>
  <si>
    <t>CCCCCCCCCCCCCCCCCCCCCCCC(=O)O[C@]([H])(COC(=O)CCCCC\C=C/C\C=C/C\C=C/C\C=C/CCCCC)COP([O-])(=O)OCC[N+](C)(C)C</t>
  </si>
  <si>
    <t>SSOYIZGLVBAOME-BXUYFRJASA-N</t>
  </si>
  <si>
    <t>C54H100NO8P</t>
  </si>
  <si>
    <t>5.06_444.2873n</t>
  </si>
  <si>
    <t>Asparacemosone B</t>
  </si>
  <si>
    <t>LMST01080096</t>
  </si>
  <si>
    <t>C1[C@]2(C)[C@@]3([H])CC(=O)[C@]4(C)[C@@]5(O)[C@@H]([C@]6(O[C@H]5C[C@@]4([H])[C@]3([H])CC[C@]2([H])CC(=O)C1)CC[C@@]([H])(C)CO6)C</t>
  </si>
  <si>
    <t>WSESDMNXFNZZHP-XXYGYICWSA-N</t>
  </si>
  <si>
    <t>5.30_570.3060m/z</t>
  </si>
  <si>
    <t>Ibha#26</t>
  </si>
  <si>
    <t>LMFA13040109</t>
  </si>
  <si>
    <t>O([C@@H](CCCCCCCCCC[C@H](O)CC(=O)O)C)[C@H]1[C@H](O)C[C@@H](OC(=O)C2=CNC3C=CC=CC=32)[C@H](C)O1</t>
  </si>
  <si>
    <t>UWTXRGDQDGZEBX-KVBMFJTJSA-N</t>
  </si>
  <si>
    <t>Fatty acids and conjugates</t>
  </si>
  <si>
    <t>C30H45NO8</t>
  </si>
  <si>
    <t>8.90_620.3346n</t>
  </si>
  <si>
    <t>Stelleracin A</t>
  </si>
  <si>
    <t>LMPR0104330011</t>
  </si>
  <si>
    <t>C1=C(CO)C[C@]2(O)C(C(C)=C[C@@]2([H])[C@@]2(O)[C@@H]([C@@H](OC(C3=CC=CC=C3)=O)[C@@]3(OC(CC/C=C\CCCCC)=O)C(C)(C)[C@@]3([H])[C@@]21[H])C)=O</t>
  </si>
  <si>
    <t>YCOLTBGTEROMHU-SCVXIUEASA-N</t>
  </si>
  <si>
    <t>M+H, M+NH4</t>
  </si>
  <si>
    <t>C37H48O8</t>
  </si>
  <si>
    <t>9.64_676.3667n</t>
  </si>
  <si>
    <t>Gingerglycolipid A</t>
  </si>
  <si>
    <t>HMDB0041093</t>
  </si>
  <si>
    <t>145937-22-0</t>
  </si>
  <si>
    <t>CC\C=C/C\C=C/C\C=C/CCCCCCCC(=O)OCC(O)COC1OC(COC2OC(CO)C(O)C(O)C2O)C(O)C(O)C1O</t>
  </si>
  <si>
    <t>MPSGDHOYFIUPSO-PDBXOOCHSA-N</t>
  </si>
  <si>
    <t>Glycerolipids</t>
  </si>
  <si>
    <t>Glycosylglycerols</t>
  </si>
  <si>
    <t>C33H56O14</t>
  </si>
  <si>
    <t>12.02_826.5421m/z</t>
  </si>
  <si>
    <t>PI(12:0/20:1(11Z))</t>
  </si>
  <si>
    <t>LMGP06010027</t>
  </si>
  <si>
    <t>[C@]([H])(OC(CCCCCCCCC/C=C\CCCCCCCC)=O)(COP(=O)(O)O[C@H]1[C@H](O)[C@@H](O)[C@H](O)[C@@H](O)[C@H]1O)COC(CCCCCCCCCCC)=O</t>
  </si>
  <si>
    <t>IQWCOIUQPOWEBD-LESFLCMJSA-N</t>
  </si>
  <si>
    <t>C41H77O13P</t>
  </si>
  <si>
    <t>0.74_533.1713m/z</t>
  </si>
  <si>
    <t>3-Fucosyllactose</t>
  </si>
  <si>
    <t>HMDB0002094</t>
  </si>
  <si>
    <t>41312-47-4</t>
  </si>
  <si>
    <t>C[C@@H]1O[C@@H](O[C@H]2[C@@H](O)[C@@H](CO)O[C@@H](O[C@H]3[C@H](O)[C@@H](O)C(O)O[C@@H]3CO)[C@@H]2O)[C@@H](O)[C@H](O)[C@@H]1O</t>
  </si>
  <si>
    <t>AUNPEJDACLEKSC-ZAYDSPBTSA-N</t>
  </si>
  <si>
    <t>C18H32O15</t>
  </si>
  <si>
    <t>12.34_804.5220n</t>
  </si>
  <si>
    <t>Exophilin B2</t>
  </si>
  <si>
    <t>LMFA00000050</t>
  </si>
  <si>
    <t>C(CC(OC(=O)C)CC(OC(CC(O)CC(OC(CC(O)CC(OC(CC(O)CC(O)CCCCC)=O)CCCCC)=O)CCCCC)=O)CCCCC)(=O)O</t>
  </si>
  <si>
    <t>ZVVTTYZUVBRYKZ-UHFFFAOYSA-N</t>
  </si>
  <si>
    <t>Pentacarboxylic acids and derivatives</t>
  </si>
  <si>
    <t>M+NH4, M+Na</t>
  </si>
  <si>
    <t>C42H76O14</t>
  </si>
  <si>
    <t>5.84_613.2498m/z</t>
  </si>
  <si>
    <t>Musabalbisiane C</t>
  </si>
  <si>
    <t>HMDB0038682</t>
  </si>
  <si>
    <t>143183-60-2</t>
  </si>
  <si>
    <t>C\C=C(/C)C(=O)O[C@@H]1CC[C@]2(CO)[C@@]3(C[C@H](O[C@H]3O)C3=COC=C3)[C@H](CO)C[C@@H](O)[C@]2(CO)[C@@]1(CO)CC(O)=O</t>
  </si>
  <si>
    <t>CPJNTZBFGMGXON-DFBMNNFESA-N</t>
  </si>
  <si>
    <t>C28H40O12</t>
  </si>
  <si>
    <t>12.32_866.5789m/z</t>
  </si>
  <si>
    <t>PI(15:0/20:2(11Z,14Z))</t>
  </si>
  <si>
    <t>LMGP06010120</t>
  </si>
  <si>
    <t>[C@]([H])(OC(CCCCCCCCC/C=C\C/C=C\CCCCC)=O)(COP(=O)(O)O[C@H]1[C@H](O)[C@@H](O)[C@H](O)[C@@H](O)[C@H]1O)COC(CCCCCCCCCCCCCC)=O</t>
  </si>
  <si>
    <t>KVIPQZYLYYFLDS-BEHKYQFHSA-N</t>
  </si>
  <si>
    <t>C44H81O13P</t>
  </si>
  <si>
    <t>6.91_630.2666n</t>
  </si>
  <si>
    <t>Brassica Napus Non-Fluorescent Chlorophyll Catabolite 3</t>
  </si>
  <si>
    <t>HMDB0040917</t>
  </si>
  <si>
    <t>173740-48-2</t>
  </si>
  <si>
    <t>CC1=C(C=C)C(=O)NC1CC1=C(C)C(CCC(O)=O)=C(N1)C1C(C(O)=O)C(=O)C2=C1NC(CC1=C(CCO)C(C)=C(N1)C=O)=C2C</t>
  </si>
  <si>
    <t>YPLJVRLRZHFNIJ-UHFFFAOYSA-N</t>
  </si>
  <si>
    <t>Organoheterocyclic compounds</t>
  </si>
  <si>
    <t>Tetrapyrroles and derivatives</t>
  </si>
  <si>
    <t>C34H38N4O8</t>
  </si>
  <si>
    <t>4.79_594.1581n</t>
  </si>
  <si>
    <t>Kaempferol 3-Rungioside</t>
  </si>
  <si>
    <t>CC1C(C(C(C(O1)OC2C(C(OC(C2O)OC3=C(OC4=CC(=CC(=C4C3=O)O)O)C5=CC=C(C=C5)O)CO)O)O)O)O</t>
  </si>
  <si>
    <t>YFPYXTNSQOUHPS-RZIBPHDESA-N</t>
  </si>
  <si>
    <t>M-H, 2M-H</t>
  </si>
  <si>
    <t>C27H30O15</t>
  </si>
  <si>
    <t>4.19_402.1522n</t>
  </si>
  <si>
    <t>Benzyl 6-O-Beta-D-Apiofuranosyl-Beta-D-Glucoside</t>
  </si>
  <si>
    <t>HMDB0303056</t>
  </si>
  <si>
    <t>OC[C@@]1(O)CO[C@@H](OC[C@H]2O[C@@H](OCC3=CC=CC=C3)[C@H](O)[C@@H](O)[C@@H]2O)[C@@H]1O</t>
  </si>
  <si>
    <t>NJMQSVWMCODQIP-FQXXIRCGSA-N</t>
  </si>
  <si>
    <t>M+NH4, M+Na, M+H-H2O</t>
  </si>
  <si>
    <t>C18H26O10</t>
  </si>
  <si>
    <t>6.46_464.3133n</t>
  </si>
  <si>
    <t>Ecdysone</t>
  </si>
  <si>
    <t>HMDB0251684</t>
  </si>
  <si>
    <t>CC(C(O)CCC(C)(C)O)C1CCC2(O)C3=CC(=O)C4CC(O)C(O)CC4(C)C3CCC12C</t>
  </si>
  <si>
    <t>UPEZCKBFRMILAV-UHFFFAOYSA-N</t>
  </si>
  <si>
    <t>3.79_698.2647m/z</t>
  </si>
  <si>
    <t>3-(3-Methylbutyl)Tricetin 5-Neohesperidoside</t>
  </si>
  <si>
    <t>LMPK12110838</t>
  </si>
  <si>
    <t>C1(O)=CC2OC(C3C=C(O)C(O)=C(O)C=3)=C(CCC(C)C)C(=O)C=2C(O[C@H]2[C@H](O[C@H]3[C@H](O)[C@H](O)[C@@H](O)[C@H](C)O3)[C@@H](O)[C@H](O)[C@@H](CO)O2)=C1</t>
  </si>
  <si>
    <t>ZNGICWZSXCCSHV-ZNUYTMHKSA-N</t>
  </si>
  <si>
    <t>C32H40O16</t>
  </si>
  <si>
    <t>11.88_546.3187n</t>
  </si>
  <si>
    <t>Nerizoside</t>
  </si>
  <si>
    <t>LMST01120026</t>
  </si>
  <si>
    <t>O(C)[C@@H]1[C@@H](OC)[C@@H](O)[C@@H](C)O[C@H]1O[C@H]1CC[C@]2(C)[C@@]3([H])CC[C@]4(C)C(C5=CC(=O)OC5)=CC[C@]4(O)[C@]3([H])CC[C@]2([H])C1</t>
  </si>
  <si>
    <t>RICACBKPZFLFFK-VFBKJSQWSA-N</t>
  </si>
  <si>
    <t>Steroidal glycosides</t>
  </si>
  <si>
    <t>C31H46O8</t>
  </si>
  <si>
    <t>4.56_416.1681n</t>
  </si>
  <si>
    <t>Icariside D1</t>
  </si>
  <si>
    <t>HMDB0303758</t>
  </si>
  <si>
    <t>OCC1(O)COC(OCC2OC(OCCC3=CC=CC=C3)C(O)C(O)C2O)C1O</t>
  </si>
  <si>
    <t>GZSQKOFXMZDKPV-UHFFFAOYSA-N</t>
  </si>
  <si>
    <t>C19H28O10</t>
  </si>
  <si>
    <t>4.19_363.1047m/z</t>
  </si>
  <si>
    <t>Linocinnamarin</t>
  </si>
  <si>
    <t>HMDB0030678</t>
  </si>
  <si>
    <t>COC(=O)\C=C\C1=CC=C(OC2OC(CO)C(O)C(O)C2O)C=C1</t>
  </si>
  <si>
    <t>KPYQJVYNSWDFQU-QPJJXVBHSA-N</t>
  </si>
  <si>
    <t>0.73_504.1685n</t>
  </si>
  <si>
    <t>1-Kestose</t>
  </si>
  <si>
    <t>HMDB0011729</t>
  </si>
  <si>
    <t>C03661</t>
  </si>
  <si>
    <t>470-69-9</t>
  </si>
  <si>
    <t>C(C1C(C(C(C(O1)OC2(C(C(C(O2)CO)O)O)COC3(C(C(C(O3)CO)O)O)CO)O)O)O)O</t>
  </si>
  <si>
    <t>VAWYEUIPHLMNNF-CMCDSJAFSA-N</t>
  </si>
  <si>
    <t>C18H32O16</t>
  </si>
  <si>
    <t>9.69_853.3300n</t>
  </si>
  <si>
    <t>Paclitaxel</t>
  </si>
  <si>
    <t>HMDB0015360</t>
  </si>
  <si>
    <t>C07394</t>
  </si>
  <si>
    <t>ko00904,ko04976</t>
  </si>
  <si>
    <t>Diterpenoid biosynthesis|Bile secretion</t>
  </si>
  <si>
    <t>33069-62-4</t>
  </si>
  <si>
    <t>[H][C@]12[C@H](OC(=O)C3=CC=CC=C3)[C@]3(O)C[C@H](OC(=O)[C@H](O)[C@@H](NC(=O)C4=CC=CC=C4)C4=CC=CC=C4)C(C)=C([C@@H](OC(C)=O)C(=O)[C@]1(C)[C@@H](O)C[C@H]1OC[C@@]21OC(C)=O)C3(C)C</t>
  </si>
  <si>
    <t>RCINICONZNJXQF-MZXODVADSA-N</t>
  </si>
  <si>
    <t>C47H51NO14</t>
  </si>
  <si>
    <t>7.16_763.3181m/z</t>
  </si>
  <si>
    <t>Cyclocalopin B</t>
  </si>
  <si>
    <t>HMDB0039811</t>
  </si>
  <si>
    <t>CC1COC(=O)C2OC(C)(O)C3(CC=C(C)C(OC(C)=O)C3OC(C)=O)C12</t>
  </si>
  <si>
    <t>OAMXBKFTDLDKCN-UHFFFAOYSA-N</t>
  </si>
  <si>
    <t>Furopyrans</t>
  </si>
  <si>
    <t>2M-H</t>
  </si>
  <si>
    <t>C19H26O8</t>
  </si>
  <si>
    <t>7.99_594.2668n</t>
  </si>
  <si>
    <t>3-O(Beta-D-Glucopyranosyl)-3beta,5beta,14beta,16beta-Tetrahydroxy-19-Oxo-Bufa-20,22-Dienolide</t>
  </si>
  <si>
    <t>LMST01130043</t>
  </si>
  <si>
    <t>C1[C@]2(C=O)[C@@]3([H])CC[C@]4(C)[C@@]([H])(C5=COC(=O)C=C5)[C@@H](O)C[C@]4(O)[C@]3([H])CC[C@]2(O)C[C@@H](O[C@H]2[C@H](O)[C@@H](O)[C@H](O)[C@@H](CO)O2)C1</t>
  </si>
  <si>
    <t>LJMMDGJVOPWTGH-KYHHGZFYSA-N</t>
  </si>
  <si>
    <t>Steroid lactones</t>
  </si>
  <si>
    <t>M+Na, M+K</t>
  </si>
  <si>
    <t>C30H42O12</t>
  </si>
  <si>
    <t>4.19_406.1640m/z</t>
  </si>
  <si>
    <t>Calomelanol D-1</t>
  </si>
  <si>
    <t>LMPK12120495</t>
  </si>
  <si>
    <t>C1(O)C2C(CC(=O)OC=2C(C(=O)CCC2C=CC=CC=2)=C(O)C=1)C1C=CC=CC=1</t>
  </si>
  <si>
    <t>AFAVBHVAMSRTSZ-UHFFFAOYSA-N</t>
  </si>
  <si>
    <t>Diarylheptanoids</t>
  </si>
  <si>
    <t>Linear diarylheptanoids</t>
  </si>
  <si>
    <t>C24H20O5</t>
  </si>
  <si>
    <t>11.56_715.4697m/z</t>
  </si>
  <si>
    <t>Cer(d16:1/LTE4)</t>
  </si>
  <si>
    <t>HMDB0289854</t>
  </si>
  <si>
    <t>CCCCCCCCCCC\C=C\[C@@H](O)[C@H](CO)NC(=O)[C@@H](N)CS[C@H](\C=C\C=C\C=C/C\C=C/CCCCC)[C@@H](O)CCCC(O)=O</t>
  </si>
  <si>
    <t>JXMBPIDBPZZZTI-ZBMWSVBFSA-N</t>
  </si>
  <si>
    <t>C39H68N2O6S</t>
  </si>
  <si>
    <t>6.91_675.2653m/z</t>
  </si>
  <si>
    <t>Caspase-1 Inhibitor Vi</t>
  </si>
  <si>
    <t>HMDB0259977</t>
  </si>
  <si>
    <t>COC(=O)CC(NC(=O)C(C)NC(=O)C(NC(=O)C(CC1=CC=C(O)C=C1)NC(=O)OCC1=CC=CC=C1)C(C)C)C(=O)CF</t>
  </si>
  <si>
    <t>MVPQJUFFTWWKBT-UHFFFAOYSA-N</t>
  </si>
  <si>
    <t>C31H39FN4O9</t>
  </si>
  <si>
    <t>11.56_784.4868m/z</t>
  </si>
  <si>
    <t>PE(16:1(9Z)/22:6(4Z,7Z,10Z,13Z,16Z,19Z))</t>
  </si>
  <si>
    <t>HMDB0008979</t>
  </si>
  <si>
    <t>LMGP02011216</t>
  </si>
  <si>
    <t>C00350</t>
  </si>
  <si>
    <t>ko00563,ko00564,ko04136,ko04138,ko04140,ko04723,ko05130,ko05167</t>
  </si>
  <si>
    <t>Glycosylphosphatidylinositol (GPI)-anchor biosynthesis|Glycerophospholipid metabolism|Autophagy - other|Autophagy - yeast|Autophagy - animal|Retrograde endocannabinoid signaling|Pathogenic Escherichia coli infection|Kaposi sarcoma-associated herpesvirus infection</t>
  </si>
  <si>
    <t>[C@](COP(=O)(O)OCCN)([H])(OC(CC/C=C\C/C=C\C/C=C\C/C=C\C/C=C\C/C=C\CC)=O)COC(CCCCCCC/C=C\CCCCCC)=O</t>
  </si>
  <si>
    <t>PMUXXFUNXMXIFC-OOPCQFHCSA-N</t>
  </si>
  <si>
    <t>C43H72NO8P</t>
  </si>
  <si>
    <t>6.78_330.1461n</t>
  </si>
  <si>
    <t>Gibberellin A51-Catabolite</t>
  </si>
  <si>
    <t>HMDB0304363</t>
  </si>
  <si>
    <t>CC1(CC(=O)C=C2C3CCC4CC3(CC4=C)C(C12)C(O)=O)C(O)=O</t>
  </si>
  <si>
    <t>JBJGOHHQQSPYTO-UHFFFAOYSA-N</t>
  </si>
  <si>
    <t>C19H22O5</t>
  </si>
  <si>
    <t>11.42_592.4346n</t>
  </si>
  <si>
    <t>DG(12:0/20:4(8Z,11Z,14Z,17Z)-2OH(5S,6R)/0:0)</t>
  </si>
  <si>
    <t>HMDB0294761</t>
  </si>
  <si>
    <t>CCCCCCCCCCCC(=O)OC[C@H](CO)OC(=O)CCC[C@@H](O)[C@H](O)C\C=C/C\C=C/C\C=C/C\C=C/CC</t>
  </si>
  <si>
    <t>MNSMSWXMIAXOKN-AMPPFWMLSA-N</t>
  </si>
  <si>
    <t>C35H60O7</t>
  </si>
  <si>
    <t>12.93_956.6504m/z</t>
  </si>
  <si>
    <t>PC(22:5(4Z,7Z,10Z,13Z,16Z)/24:1(15Z))</t>
  </si>
  <si>
    <t>HMDB0008684</t>
  </si>
  <si>
    <t>CCCCCCCC\C=C/CCCCCCCCCCCCCC(=O)O[C@]([H])(COC(=O)CC\C=C/C\C=C/C\C=C/C\C=C/C\C=C/CCCCC)COP([O-])(=O)OCC[N+](C)(C)C</t>
  </si>
  <si>
    <t>YPSRXBOUINOZKN-BFJWCGADSA-N</t>
  </si>
  <si>
    <t>C54H96NO8P</t>
  </si>
  <si>
    <t>12.19_574.3867m/z</t>
  </si>
  <si>
    <t>PC(18:1(9Z)/4:0)</t>
  </si>
  <si>
    <t>LMGP01010916</t>
  </si>
  <si>
    <t>[C@](COP(=O)([O-])OCC[N+](C)(C)C)([H])(OC(CCC)=O)COC(CCCCCCC/C=C\CCCCCCCC)=O</t>
  </si>
  <si>
    <t>ANQYEWIKXQSASW-KYEYSNFOSA-N</t>
  </si>
  <si>
    <t>C30H58NO8P</t>
  </si>
  <si>
    <t>12.13_632.4043n</t>
  </si>
  <si>
    <t>PA(12:0/18:1(12Z)-O(9S,10R))</t>
  </si>
  <si>
    <t>HMDB0262802</t>
  </si>
  <si>
    <t>[H][C@@](COC(=O)CCCCCCCCCCC)(COP(O)(O)=O)OC(=O)CCCCCCCC1OC1C\C=C/CCCCC</t>
  </si>
  <si>
    <t>BTRMVLFMHSUVJQ-JIDNHGFJSA-N</t>
  </si>
  <si>
    <t>C33H61O9P</t>
  </si>
  <si>
    <t>7.12_466.2197n</t>
  </si>
  <si>
    <t>T2 Toxin</t>
  </si>
  <si>
    <t>HMDB0036600</t>
  </si>
  <si>
    <t>21259-20-1</t>
  </si>
  <si>
    <t>CC(C)CC(=O)OC1CC2(COC(C)=O)C(OC3C(O)C(OC(C)=O)C2(C)C32CO2)C=C1C</t>
  </si>
  <si>
    <t>BXFOFFBJRFZBQZ-UHFFFAOYSA-N</t>
  </si>
  <si>
    <t>Sesquiterpenoids</t>
  </si>
  <si>
    <t>C24H34O9</t>
  </si>
  <si>
    <t>12.13_256.2631m/z</t>
  </si>
  <si>
    <t>Palmitamide</t>
  </si>
  <si>
    <t>HMDB0012273</t>
  </si>
  <si>
    <t>LMFA08010009</t>
  </si>
  <si>
    <t>629-54-9</t>
  </si>
  <si>
    <t>NC(=O)CCCCCCCCCCCCCCC</t>
  </si>
  <si>
    <t>HSEMFIZWXHQJAE-UHFFFAOYSA-N</t>
  </si>
  <si>
    <t>Fatty amides</t>
  </si>
  <si>
    <t>C16H33NO</t>
  </si>
  <si>
    <t>12.00_914.5952m/z</t>
  </si>
  <si>
    <t>PI(18:1(12Z)-2OH(9,10)/18:0)</t>
  </si>
  <si>
    <t>HMDB0276395</t>
  </si>
  <si>
    <t>[H][C@@](COC(=O)CCCCCCC[C@@H](O)[C@H](O)C\C=C/CCCCC)(COP(O)(=O)O[C@H]1[C@H](O)[C@@H](O)[C@H](O)[C@@H](O)[C@H]1O)OC(=O)CCCCCCCCCCCCCCCCC</t>
  </si>
  <si>
    <t>KNUPLPLGBXCNFY-PYIBTSFSSA-N</t>
  </si>
  <si>
    <t>C45H85O15P</t>
  </si>
  <si>
    <t>11.44_740.4598m/z</t>
  </si>
  <si>
    <t>PE(13:0/20:2(11Z,14Z))</t>
  </si>
  <si>
    <t>LMGP02010397</t>
  </si>
  <si>
    <t>[C@](COP(=O)(O)OCCN)([H])(OC(CCCCCCCCC/C=C\C/C=C\CCCCC)=O)COC(CCCCCCCCCCCC)=O</t>
  </si>
  <si>
    <t>IWXDLCLJKFWDAC-VYFWNOCGSA-N</t>
  </si>
  <si>
    <t>C38H72NO8P</t>
  </si>
  <si>
    <t>1.98_209.1051n</t>
  </si>
  <si>
    <t>L-Tyrosine Ethyl Ester</t>
  </si>
  <si>
    <t>HMDB0253924</t>
  </si>
  <si>
    <t>CCOC(=O)C(N)CC1=CC=C(O)C=C1</t>
  </si>
  <si>
    <t>SBBWEQLNKVHYCX-UHFFFAOYSA-N</t>
  </si>
  <si>
    <t>C11H15NO3</t>
  </si>
  <si>
    <t>7.43_652.3473m/z</t>
  </si>
  <si>
    <t>PC(2:0/6 keto-PGF1alpha)</t>
  </si>
  <si>
    <t>HMDB0288830</t>
  </si>
  <si>
    <t>CCCCC[C@H](O)\C=C\[C@H]1[C@H](O)C[C@H](O)[C@@H]1CC(=O)CCCCC(=O)O[C@H](COC(C)=O)COP([O-])(=O)OCC[N+](C)(C)C</t>
  </si>
  <si>
    <t>UGLSCJGHJPJGPZ-ODUHEXQXSA-N</t>
  </si>
  <si>
    <t>C30H54NO12P</t>
  </si>
  <si>
    <t>0.75_217.0681m/z</t>
  </si>
  <si>
    <t>3-O-Methyl-D-Glucopyranose</t>
  </si>
  <si>
    <t>HMDB0245958</t>
  </si>
  <si>
    <t>COC1C(O)C(O)OC(CO)C1O</t>
  </si>
  <si>
    <t>SCBBSJMAPKXHAH-UHFFFAOYSA-N</t>
  </si>
  <si>
    <t>C7H14O6</t>
  </si>
  <si>
    <t>7.13_633.2505m/z</t>
  </si>
  <si>
    <t>Kuwanol E</t>
  </si>
  <si>
    <t>HMDB0035941</t>
  </si>
  <si>
    <t>125850-38-6</t>
  </si>
  <si>
    <t>CC(C)=CCC1=C(O)C=CC(C(=O)C2C(CC(C)=CC2C2=C(O)C=C(\C=C\C3=C(O)C=C(O)C=C3)C=C2O)C2=C(O)C=C(O)C=C2)=C1O</t>
  </si>
  <si>
    <t>HGFWVFTZYRJFRI-AATRIKPKSA-N</t>
  </si>
  <si>
    <t>C39H38O9</t>
  </si>
  <si>
    <t>12.93_846.6135m/z</t>
  </si>
  <si>
    <t>3-O-Sulfogalactosylceramide (D18:1/22:0)</t>
  </si>
  <si>
    <t>HMDB0012316</t>
  </si>
  <si>
    <t>C06125</t>
  </si>
  <si>
    <t>ko00600</t>
  </si>
  <si>
    <t>Sphingolipid metabolism</t>
  </si>
  <si>
    <t>265096-83-1</t>
  </si>
  <si>
    <t>CCCCCCCCCCCCCCCCCCCCCC(=O)N[C@@]([H])(CO[C@@H]1O[C@H](CO)[C@H](O)C(OS(=O)(O)=O)C1O)[C@@](O)([H])\C=C\CCCCCCCCCCCCC</t>
  </si>
  <si>
    <t>UAKYQMHTPLVMJD-GJOJTGTQSA-N</t>
  </si>
  <si>
    <t>Sphingolipids</t>
  </si>
  <si>
    <t>Glycosphingolipids</t>
  </si>
  <si>
    <t>C46H89NO11S</t>
  </si>
  <si>
    <t>4.65_586.3197n</t>
  </si>
  <si>
    <t>Presqualene Diphosphate</t>
  </si>
  <si>
    <t>HMDB0001278</t>
  </si>
  <si>
    <t>C03428</t>
  </si>
  <si>
    <t>ko00100,ko00906,ko00909</t>
  </si>
  <si>
    <t>Steroid biosynthesis|Carotenoid biosynthesis|Sesquiterpenoid and triterpenoid biosynthesis</t>
  </si>
  <si>
    <t>29849-75-0</t>
  </si>
  <si>
    <t>CC(C)=CCC\C(C)=C\CC\C(C)=C\[C@H]1[C@H](COP(O)(=O)OP(O)(O)=O)[C@@]1(C)CC\C=C(/C)CCC=C(C)C</t>
  </si>
  <si>
    <t>ATZKAUGGNMSCCY-VYCBRMPGSA-N</t>
  </si>
  <si>
    <t>C30H52O7P2</t>
  </si>
  <si>
    <t>11.58_671.4446m/z</t>
  </si>
  <si>
    <t>Hydrochloride Salt</t>
  </si>
  <si>
    <t>HMDB0253242</t>
  </si>
  <si>
    <t>CC(C)C1=C2C3CCC4C5(C)CCC(OC(=O)CC(C)(C)C(O)=O)C(C)(C)C5CCC4(C)C3(C)CCC2(CC1=O)NC(=O)C1=CC(C)=CN=C1</t>
  </si>
  <si>
    <t>QCQCHGYLTSGIGX-UHFFFAOYSA-N</t>
  </si>
  <si>
    <t>C42H60N2O6</t>
  </si>
  <si>
    <t>12.08_694.4645m/z</t>
  </si>
  <si>
    <t>PA(14:1(9Z)/18:1(12Z)-2OH(9,10))</t>
  </si>
  <si>
    <t>HMDB0263112</t>
  </si>
  <si>
    <t>[H][C@@](COC(=O)CCCCCCC\C=C/CCCC)(COP(O)(O)=O)OC(=O)CCCCCCC[C@H](O)[C@@H](O)C\C=C/CCCCC</t>
  </si>
  <si>
    <t>VHSVWEGXQJBJNL-RGHKUEHKSA-N</t>
  </si>
  <si>
    <t>C35H65O10P</t>
  </si>
  <si>
    <t>4.57_542.2933n</t>
  </si>
  <si>
    <t>Gracilosulfate E</t>
  </si>
  <si>
    <t>LMST05020056</t>
  </si>
  <si>
    <t>C1C[C@H](OS(O)(=O)=O)[C@H](O)[C@@]23O[C@@H]2C[C@@]2([H])[C@]4([H])[C@H](O)C[C@H]([C@H](C)C[C@@H](O)C(=C)C(C)C)[C@@]4(C)CC[C@]2([H])[C@@]13C</t>
  </si>
  <si>
    <t>QVNUGLCWTMLSGH-ZUHDTBAESA-N</t>
  </si>
  <si>
    <t>Ergostane steroids</t>
  </si>
  <si>
    <t>C28H46O8S</t>
  </si>
  <si>
    <t>4.74_630.3457n</t>
  </si>
  <si>
    <t>Remikiren</t>
  </si>
  <si>
    <t>HMDB0014357</t>
  </si>
  <si>
    <t>C07465</t>
  </si>
  <si>
    <t>126222-34-2</t>
  </si>
  <si>
    <t>CC(C)(C)S(=O)(=O)C[C@H](CC1=CC=CC=C1)C(=O)N[C@@H](CC1=CN=CN1)C(=O)N[C@H](CC1CCCCC1)[C@H](O)[C@H](O)C1CC1</t>
  </si>
  <si>
    <t>UXIGZRQVLGFTOU-PUNKFERVSA-N</t>
  </si>
  <si>
    <t>C33H50N4O6S</t>
  </si>
  <si>
    <t>7.08_654.3632m/z</t>
  </si>
  <si>
    <t>Pkooa-Pg</t>
  </si>
  <si>
    <t>LMGP20060006</t>
  </si>
  <si>
    <t>[H][C@](O)(CO)COP(OC[C@]([H])(OC(CCCC(=O)/C=C/C(=O)[H])=O)COC(CCCCCCCCCCCCCCC)=O)(=O)O</t>
  </si>
  <si>
    <t>HBOKFSNIKIKNHB-WCAXJYTHSA-N</t>
  </si>
  <si>
    <t>Glycerophosphoglycerols</t>
  </si>
  <si>
    <t>C30H53O12P</t>
  </si>
  <si>
    <t>12.04_785.4959m/z</t>
  </si>
  <si>
    <t>PG(16:0/18:1(12Z)-O(9S,10R))</t>
  </si>
  <si>
    <t>HMDB0268611</t>
  </si>
  <si>
    <t>[H][C@](O)(CO)COP(O)(=O)OC[C@@]([H])(COC(=O)CCCCCCCCCCCCCCC)OC(=O)CCCCCCCC1OC1C\C=C/CCCCC</t>
  </si>
  <si>
    <t>PJFVYCCKGOJFGB-XWPZZNQOSA-N</t>
  </si>
  <si>
    <t>C40H75O11P</t>
  </si>
  <si>
    <t>4.84_309.0614m/z</t>
  </si>
  <si>
    <t>6-[3-(Carboxymethyl)Phenoxy]-3,4,5-Trihydroxyoxane-2-Carboxylic Acid</t>
  </si>
  <si>
    <t>HMDB0125161</t>
  </si>
  <si>
    <t>OC1C(O)C(OC2=CC=CC(CC(O)=O)=C2)OC(C1O)C(O)=O</t>
  </si>
  <si>
    <t>UJBQYMIQTYWRFA-UHFFFAOYSA-N</t>
  </si>
  <si>
    <t>M-H2O-H</t>
  </si>
  <si>
    <t>C14H16O9</t>
  </si>
  <si>
    <t>1.92_324.0819n</t>
  </si>
  <si>
    <t>Mahaleboside</t>
  </si>
  <si>
    <t>HMDB0032984</t>
  </si>
  <si>
    <t>OCC1OC(OC2=CC=CC3=C2C=CC(=O)O3)C(O)C(O)C1O</t>
  </si>
  <si>
    <t>UMXDJWMIEHQSHF-UHFFFAOYSA-N</t>
  </si>
  <si>
    <t>Coumarins and derivatives</t>
  </si>
  <si>
    <t>Coumarin glycosides</t>
  </si>
  <si>
    <t>C15H16O8</t>
  </si>
  <si>
    <t>4.49_328.1518n</t>
  </si>
  <si>
    <t>6-[(1r,2r,3s,5s)-2-[(Z)-4-Carboxybut-2-Enyl]-3,5-Dihydroxycyclopentyl]-4-Oxohexanoic Acid</t>
  </si>
  <si>
    <t>HMDB0256370</t>
  </si>
  <si>
    <t>OC1CC(O)C(CC=CCC(O)=O)C1CCC(=O)CCC(O)=O</t>
  </si>
  <si>
    <t>XSGSZQDCVYMZGQ-UHFFFAOYSA-N</t>
  </si>
  <si>
    <t>Eicosanoids</t>
  </si>
  <si>
    <t>C16H24O7</t>
  </si>
  <si>
    <t>12.02_851.5362m/z</t>
  </si>
  <si>
    <t>PS(16:0/PGF2alpha)</t>
  </si>
  <si>
    <t>HMDB0281140</t>
  </si>
  <si>
    <t>CCCCCCCCCCCCCCCC(=O)OC[C@H](COP(O)(=O)OC[C@H](N)C(O)=O)OC(=O)CCC\C=C\C[C@H]1[C@@H](O)C[C@@H](O)[C@@H]1\C=C\[C@@H](O)CCCCC</t>
  </si>
  <si>
    <t>FOMYCKHKQYLCGH-RPNPWYTLSA-N</t>
  </si>
  <si>
    <t>C42H76NO13P</t>
  </si>
  <si>
    <t>6.42_727.3544m/z</t>
  </si>
  <si>
    <t>Corchorusoside B</t>
  </si>
  <si>
    <t>HMDB0032821</t>
  </si>
  <si>
    <t>210637-16-4</t>
  </si>
  <si>
    <t>CC1OC(CC(O)C1OC1OC(CO)C(O)C(O)C1O)OC1CCC2(C)C(CCC3C2C(O)CC2(C)C(CCC32O)C2=CC(=O)OC2)C1</t>
  </si>
  <si>
    <t>HNHIWJNROSKAOI-UHFFFAOYSA-N</t>
  </si>
  <si>
    <t>C35H54O13</t>
  </si>
  <si>
    <t>7.39_631.2393m/z</t>
  </si>
  <si>
    <t>Baccatin Iii</t>
  </si>
  <si>
    <t>HMDB0248838</t>
  </si>
  <si>
    <t>CC(=O)OC1C2=C(C)C(O)CC(O)(C(OC(=O)C3=CC=CC=C3)C3C4(COC4CC(O)C3(C)C1=O)OC(C)=O)C2(C)C</t>
  </si>
  <si>
    <t>OVMSOCFBDVBLFW-UHFFFAOYSA-N</t>
  </si>
  <si>
    <t>C31H38O11</t>
  </si>
  <si>
    <t>6.11_528.2934n</t>
  </si>
  <si>
    <t>O/0:0)</t>
  </si>
  <si>
    <t>LMGL04010016</t>
  </si>
  <si>
    <t>C(O[C@H]1[C@H](O)[C@@H](O)[C@@H](O)[C@@H](CO)O1)[C@]([H])(O)COC(CCCCCCC[C@H]1C=CC(=O)[C@H]1C/C=C\CC)=O</t>
  </si>
  <si>
    <t>AABZWWBXDMYGEW-VHLFVCRRSA-N</t>
  </si>
  <si>
    <t>M-H2O-H, M-H</t>
  </si>
  <si>
    <t>C27H44O10</t>
  </si>
  <si>
    <t>0.74_439.0750m/z</t>
  </si>
  <si>
    <t>4-(7h-Purin-6-Ylsulfanyl)But-3-En-2-One</t>
  </si>
  <si>
    <t>HMDB0246295</t>
  </si>
  <si>
    <t>CC(=O)C=CSC1=NC=NC2=C1NC=N2</t>
  </si>
  <si>
    <t>UTZQOKLQPPYAKV-UHFFFAOYSA-N</t>
  </si>
  <si>
    <t>C9H8N4OS</t>
  </si>
  <si>
    <t>12.88_1026.6690n</t>
  </si>
  <si>
    <t>PC(24:1(15Z)/LTE4)</t>
  </si>
  <si>
    <t>HMDB0288732</t>
  </si>
  <si>
    <t>CCCCCCCC\C=C/CCCCCCCCCCCCCC(=O)OC[C@H](COP([O-])(=O)OCC[N+](C)(C)C)OC(=O)[C@@H](N)CS[C@H](\C=C\C=C\C=C/C\C=C/CCCCC)[C@@H](O)CCCC(O)=O</t>
  </si>
  <si>
    <t>GIEQLZOBPXMSBO-VCGFUXFHSA-N</t>
  </si>
  <si>
    <t>C55H99N2O11PS</t>
  </si>
  <si>
    <t>9.64_699.3554m/z</t>
  </si>
  <si>
    <t>Corchorusoside A</t>
  </si>
  <si>
    <t>HMDB0032823</t>
  </si>
  <si>
    <t>210637-15-3</t>
  </si>
  <si>
    <t>CC1OC(CC(O)C1OC1OC(CO)C(O)C(O)C1O)OC1CCC2(C)C3C(O)CC4(C)C(CCC4(O)C3CCC2(O)C1)C1=CC(=O)OC1</t>
  </si>
  <si>
    <t>AYNLZHBTPQZZSO-UHFFFAOYSA-N</t>
  </si>
  <si>
    <t>C35H54O14</t>
  </si>
  <si>
    <t>8.80_834.3339m/z</t>
  </si>
  <si>
    <t>Milataxel</t>
  </si>
  <si>
    <t>HMDB0254719</t>
  </si>
  <si>
    <t>CCC(=O)OC1CC2OCC2(OC(C)=O)C2C(OC(=O)C3=CC=CC=C3)C3(O)CC(OC(=O)C(O)C(NC(=O)OC(C)(C)C)C4=CC=CO4)C(C)=C(C(O)C(=O)C12C)C3(C)C</t>
  </si>
  <si>
    <t>XIVMHSNIQAICTR-UHFFFAOYSA-N</t>
  </si>
  <si>
    <t>C44H55NO16</t>
  </si>
  <si>
    <t>4.61_609.1459m/z</t>
  </si>
  <si>
    <t>Rutin</t>
  </si>
  <si>
    <t>HMDB0003249</t>
  </si>
  <si>
    <t>LMPK12112098</t>
  </si>
  <si>
    <t>C05625</t>
  </si>
  <si>
    <t>ko00944</t>
  </si>
  <si>
    <t>Flavone and flavonol biosynthesis</t>
    <phoneticPr fontId="5" type="noConversion"/>
  </si>
  <si>
    <t>153-18-4</t>
  </si>
  <si>
    <t>C1(O)=CC2OC(C3C=C(O)C(O)=CC=3)=C(O[C@H]3[C@H](O)[C@@H](O)[C@H](O)[C@@H](CO[C@H]4[C@H](O)[C@H](O)[C@@H](O)[C@H](C)O4)O3)C(=O)C=2C(O)=C1</t>
  </si>
  <si>
    <t>IKGXIBQEEMLURG-NVPNHPEKSA-N</t>
  </si>
  <si>
    <t>C27H30O16</t>
  </si>
  <si>
    <t>6.57_650.3292m/z</t>
  </si>
  <si>
    <t>Bulleyaconitine A</t>
  </si>
  <si>
    <t>HMDB0249438</t>
  </si>
  <si>
    <t>CCN1CC2(COC)CCC(OC)C34C5CC6(O)C(C5C(CC6OC)(OC(C)=O)C(C(OC)C23)C14)C(=O)C1=CC=C(OC)C=C1</t>
  </si>
  <si>
    <t>YRECILNLFWZVRM-UHFFFAOYSA-N</t>
  </si>
  <si>
    <t>C35H49NO9</t>
  </si>
  <si>
    <t>7.81_610.3370m/z</t>
  </si>
  <si>
    <t>Boc-Val-Pro-Arg-Mca</t>
  </si>
  <si>
    <t>HMDB0249335</t>
  </si>
  <si>
    <t>CC(C)C(NC(=O)OC(C)(C)C)C(=O)N1CCCC1C(=O)NC(CCCN=C(N)N)C(=O)NC1=CC2=C(C=C1)C(C)=CC(=O)O2</t>
  </si>
  <si>
    <t>DFOSAUPKTFJBLO-UHFFFAOYSA-N</t>
  </si>
  <si>
    <t>C31H45N7O7</t>
  </si>
  <si>
    <t>12.90_890.6404m/z</t>
  </si>
  <si>
    <t>PC(O-20:0/22:4(7Z,10Z,13Z,16Z))</t>
  </si>
  <si>
    <t>LMGP01020243</t>
  </si>
  <si>
    <t>[C@](COP(=O)([O-])OCC[N+](C)(C)C)([H])(OC(CCCCC/C=C\C/C=C\C/C=C\C/C=C\CCCCC)=O)COCCCCCCCCCCCCCCCCCCCC</t>
  </si>
  <si>
    <t>WSHCLKDGQAEXNQ-MRGADFHSSA-N</t>
  </si>
  <si>
    <t>C50H94NO7P</t>
  </si>
  <si>
    <t>11.50_579.3911n</t>
  </si>
  <si>
    <t>PE(12:0/12:0)</t>
  </si>
  <si>
    <t>LMGP02010098</t>
  </si>
  <si>
    <t>[C@](COP(=O)(O)OCCN)([H])(OC(CCCCCCCCCCC)=O)COC(CCCCCCCCCCC)=O</t>
  </si>
  <si>
    <t>ZLGYVWRJIZPQMM-HHHXNRCGSA-N</t>
  </si>
  <si>
    <t>C29H58NO8P</t>
  </si>
  <si>
    <t>12.63_456.3442n</t>
  </si>
  <si>
    <t>Byrsonic Acid</t>
  </si>
  <si>
    <t>LMFA01050424</t>
  </si>
  <si>
    <t>C(C[C@H](OC(=O)C)CCC[C@H](OC(=O)C)CCCCCCCCCCCCCCC)(=O)O</t>
  </si>
  <si>
    <t>ZHSKWVYVCJTAJW-JWQCQUIFSA-N</t>
  </si>
  <si>
    <t>C26H48O6</t>
  </si>
  <si>
    <t>11.46_623.4176n</t>
  </si>
  <si>
    <t>1-(2-Methoxy-17z-Tetracosenyl)-Sn-Glycero-3-Phosphoserine</t>
  </si>
  <si>
    <t>LMGP03060025</t>
  </si>
  <si>
    <t>C(O)(=O)[C@@]([H])(N)COP(OC[C@]([H])(O)COCC(OC)CCCCCCCCCCCCCC/C=C\CCCCCC)(=O)O</t>
  </si>
  <si>
    <t>VIVNFGLHMPCCQU-SWJYBIKISA-N</t>
  </si>
  <si>
    <t>C31H62NO9P</t>
  </si>
  <si>
    <t>5.66_472.3186n</t>
  </si>
  <si>
    <t>(23s,24s)-17,23-Epoxy-24,29-Dihydroxy-27-Norlanost-8-Ene-3,15-Dione</t>
  </si>
  <si>
    <t>HMDB0035843</t>
  </si>
  <si>
    <t>CCC(O)C1CC(C)C2(CC(=O)C3(C)C4=C(CCC23C)C2(C)CCC(=O)C(C)(CO)C2CC4)O1</t>
  </si>
  <si>
    <t>IPZHIWYVRSTEKX-UHFFFAOYSA-N</t>
  </si>
  <si>
    <t>C29H44O5</t>
  </si>
  <si>
    <t>12.79_782.5468n</t>
  </si>
  <si>
    <t>PA(21:0/20:3(5Z,8Z,11Z)-O(14R,15S))</t>
  </si>
  <si>
    <t>HMDB0265443</t>
  </si>
  <si>
    <t>[H][C@@](COC(=O)CCCCCCCCCCCCCCCCCCCC)(COP(O)(O)=O)OC(=O)CCC\C=C/C\C=C/C\C=C/CC1OC1CCCCC</t>
  </si>
  <si>
    <t>WRTAVBVNWXVODG-DJVQINMKSA-N</t>
  </si>
  <si>
    <t>C44H79O9P</t>
  </si>
  <si>
    <t>0.72_379.0819m/z</t>
  </si>
  <si>
    <t>1-Nitro-3,5-Dinitroso-1,3,5-Triazinane</t>
  </si>
  <si>
    <t>HMDB0253137</t>
  </si>
  <si>
    <t>[O-][N+](=O)N1CN(CN(C1)N=O)N=O</t>
  </si>
  <si>
    <t>HXLUHUHPTTZBCS-UHFFFAOYSA-N</t>
  </si>
  <si>
    <t>Triazinanes</t>
  </si>
  <si>
    <t>1,3,5-triazinanes</t>
  </si>
  <si>
    <t>C3H6N6O4</t>
  </si>
  <si>
    <t>0.71_215.0320m/z</t>
  </si>
  <si>
    <t>2-C-Methyl-D-Erythritol-4-Phosphate</t>
  </si>
  <si>
    <t>HMDB0304061</t>
  </si>
  <si>
    <t>C11434</t>
  </si>
  <si>
    <t>ko00900</t>
  </si>
  <si>
    <t>Terpenoid backbone biosynthesis</t>
  </si>
  <si>
    <t>[H][C@@](O)(COP(O)(O)=O)[C@@](C)(O)CO</t>
  </si>
  <si>
    <t>XMWHRVNVKDKBRG-UHNVWZDZSA-N</t>
  </si>
  <si>
    <t>Organic phosphoric acids and derivatives</t>
  </si>
  <si>
    <t>Phosphate esters</t>
  </si>
  <si>
    <t>C5H13O7P</t>
  </si>
  <si>
    <t>3.03_388.0882m/z</t>
  </si>
  <si>
    <t>Diboa-Glc</t>
  </si>
  <si>
    <t>HMDB0033734</t>
  </si>
  <si>
    <t>155835-54-4</t>
  </si>
  <si>
    <t>OCC1OC(OC2OC3=CC=CC=C3N(O)C2=O)C(O)C(O)C1O</t>
  </si>
  <si>
    <t>OUSLYTBGQGKTME-UHFFFAOYSA-N</t>
  </si>
  <si>
    <t>C14H17NO9</t>
  </si>
  <si>
    <t>1.07_369.0070m/z</t>
  </si>
  <si>
    <t>Phosphoserine</t>
  </si>
  <si>
    <t>HMDB0000272</t>
  </si>
  <si>
    <t>C01005</t>
  </si>
  <si>
    <t>ko00260,ko00270,ko00680,ko00970,ko00997</t>
  </si>
  <si>
    <t>Glycine, serine and threonine metabolism|Cysteine and methionine metabolism|Methane metabolism|Aminoacyl-tRNA biosynthesis|Biosynthesis of various secondary metabolites - part 3</t>
  </si>
  <si>
    <t>407-41-0</t>
  </si>
  <si>
    <t>N[C@@H](COP(O)(O)=O)C(O)=O</t>
  </si>
  <si>
    <t>BZQFBWGGLXLEPQ-REOHCLBHSA-N</t>
  </si>
  <si>
    <t>C3H8NO6P</t>
  </si>
  <si>
    <t>3.84_223.1207n</t>
  </si>
  <si>
    <t>Cerulenin</t>
  </si>
  <si>
    <t>HMDB0015168</t>
  </si>
  <si>
    <t>C12058</t>
  </si>
  <si>
    <t>17397-89-6</t>
  </si>
  <si>
    <t>CC=CCC=CCCC(=O)[C@H]1O[C@H]1C(N)=O</t>
  </si>
  <si>
    <t>GVEZIHKRYBHEFX-GHMZBOCLSA-N</t>
  </si>
  <si>
    <t>Epoxides</t>
  </si>
  <si>
    <t>Oxirane carboxylic acids and derivatives</t>
  </si>
  <si>
    <t>C12H17NO3</t>
  </si>
  <si>
    <t>7.07_474.2248n</t>
  </si>
  <si>
    <t>Methylprednisolone Hemisuccinate</t>
  </si>
  <si>
    <t>HMDB0254662</t>
  </si>
  <si>
    <t>CC1CC2C3CCC(O)(C(=O)COC(=O)CCC(O)=O)C3(C)CC(O)C2C2(C)C=CC(=O)C=C12</t>
  </si>
  <si>
    <t>IMBXEJJVJRTNOW-UHFFFAOYSA-N</t>
  </si>
  <si>
    <t>Pregnane steroids</t>
  </si>
  <si>
    <t>C26H34O8</t>
  </si>
  <si>
    <t>12.32_871.5352m/z</t>
  </si>
  <si>
    <t>PI(17:2(9Z,12Z)/20:3(8Z,11Z,14Z))</t>
  </si>
  <si>
    <t>LMGP06010267</t>
  </si>
  <si>
    <t>[C@]([H])(OC(CCCCCC/C=C\C/C=C\C/C=C\CCCCC)=O)(COP(=O)(O)O[C@H]1[C@H](O)[C@@H](O)[C@H](O)[C@@H](O)[C@H]1O)COC(CCCCCCC/C=C\C/C=C\CCCC)=O</t>
  </si>
  <si>
    <t>DZRCPGNFUDZLDC-WWZFMDKBSA-N</t>
  </si>
  <si>
    <t>C46H79O13P</t>
  </si>
  <si>
    <t>6.18_772.3886m/z</t>
  </si>
  <si>
    <t>Ohhdia-Pi</t>
  </si>
  <si>
    <t>LMGP20050028</t>
  </si>
  <si>
    <t>[C@]([H])(OC(CCC(O)/C=C/C(=O)O)=O)(COP(=O)(O)O[C@H]1[C@H](O)[C@@H](O)[C@H](O)[C@@H](O)[C@H]1O)COC(CCCCCCC/C=C\CCCCCCCC)=O</t>
  </si>
  <si>
    <t>GJKJHBUGZWEOHV-INDXHRAPSA-N</t>
  </si>
  <si>
    <t>C34H59O16P</t>
  </si>
  <si>
    <t>5.56_644.3397m/z</t>
  </si>
  <si>
    <t>Buprenorphine Glucuronide</t>
  </si>
  <si>
    <t>HMDB0060928</t>
  </si>
  <si>
    <t>[H][C@]12CC3=C4C(O[C@@H]5[C@@]4(CCN1CC1CC1)[C@@]21CC[C@@]5(OC)[C@H](C1)[C@@](C)(O)C(C)(C)C)=C(O[C@@H]1O[C@@H]([C@@H](O)[C@H](O)[C@H]1O)C(O)=O)C=C3</t>
  </si>
  <si>
    <t>CZULHKGIAJASAA-RONBUCGTSA-N</t>
  </si>
  <si>
    <t>C35H49NO10</t>
  </si>
  <si>
    <t>3.83_578.1420n</t>
  </si>
  <si>
    <t>Procyanidin B2</t>
  </si>
  <si>
    <t>HMDB0033973</t>
  </si>
  <si>
    <t>LMPK12030002</t>
  </si>
  <si>
    <t>C17639</t>
  </si>
  <si>
    <t>29106-49-8</t>
  </si>
  <si>
    <t>C1(O)=CC2O[C@H](C3C=CC(O)=C(O)C=3)[C@H](O)[C@@H](C3=C(O)C=C(O)C4C[C@@H](O)[C@@H](C5C=CC(O)=C(O)C=5)OC=43)C=2C(O)=C1</t>
  </si>
  <si>
    <t>XFZJEEAOWLFHDH-NFJBMHMQSA-N</t>
  </si>
  <si>
    <t>Biflavonoids and polyflavonoids</t>
  </si>
  <si>
    <t>C30H26O12</t>
  </si>
  <si>
    <t>5.77_722.3515m/z</t>
  </si>
  <si>
    <t>Glabrin D</t>
  </si>
  <si>
    <t>HMDB0033613</t>
  </si>
  <si>
    <t>CC(C)C1NC(=O)C2CCCN2C(=O)C2CCCN2C(=O)C(CCC(O)=O)NC(=O)C2CCCN2C(=O)CNC(=O)C(CC2=CC=C(O)C=C2)NC1=O</t>
  </si>
  <si>
    <t>HUBKEBDFQLHLMX-UHFFFAOYSA-N</t>
  </si>
  <si>
    <t>C36H49N7O10</t>
  </si>
  <si>
    <t>5.30_644.3416m/z</t>
  </si>
  <si>
    <t>Stelleracin E</t>
  </si>
  <si>
    <t>LMPR0104330015</t>
  </si>
  <si>
    <t>[C@H]1(OO)C(CO)=C[C@]2(O)C(C(C)=C[C@@]2([H])[C@@]2(O)[C@@H]([C@@H](OC(C3=CC=CC=C3)=O)[C@@]3(OC(CCCCCCC)=O)C(C)(C)[C@@]3([H])[C@@]21[H])C)=O</t>
  </si>
  <si>
    <t>JEJIRRUCWWRJQY-PUZDGFOXSA-N</t>
  </si>
  <si>
    <t>C35H46O10</t>
  </si>
  <si>
    <t>11.46_852.5042m/z</t>
  </si>
  <si>
    <t>PE(20:5(5Z,8Z,11Z,14Z,17Z)/6 keto-PGF1alpha)</t>
  </si>
  <si>
    <t>HMDB0262574</t>
  </si>
  <si>
    <t>CCCCC[C@H](O)\C=C\[C@H]1[C@H](O)C[C@H](O)[C@@H]1CC(=O)CCCCC(=O)O[C@H](COC(=O)CCC\C=C/C\C=C/C\C=C/C\C=C/C\C=C/CC)COP(O)(=O)OCCN</t>
  </si>
  <si>
    <t>GPZNNTFQAVNWKX-RGXMKNLRSA-N</t>
  </si>
  <si>
    <t>C45H74NO12P</t>
  </si>
  <si>
    <t>11.08_724.4385n</t>
  </si>
  <si>
    <t>1-Hydroxyvitamin D3 Cellobioside</t>
  </si>
  <si>
    <t>LMST03020670</t>
  </si>
  <si>
    <t>C1C[C@]2(C)[C@@]([H])([C@]([H])(C)CCCC(C)C)CC[C@@]2([H])/C(=C/C=C2\C(=C)[C@@H](O)C[C@H](O[C@H]3[C@H](O)[C@@H](O)[C@H](O[C@H]4[C@H](O)[C@@H](O)[C@H](O)[C@@H](CO)O4)[C@@H](CO)O3)C\2)/C1</t>
  </si>
  <si>
    <t>YEPVLSBVPOTXGK-KKUJWFSYSA-N</t>
  </si>
  <si>
    <t>Vitamin D and derivatives</t>
  </si>
  <si>
    <t>C39H64O12</t>
  </si>
  <si>
    <t>8.05_567.3190n</t>
  </si>
  <si>
    <t>PS(10:0/10:0)</t>
  </si>
  <si>
    <t>LMGP03010022</t>
  </si>
  <si>
    <t>C(O)(=O)[C@@]([H])(N)COP(OC[C@]([H])(OC(CCCCCCCCC)=O)COC(CCCCCCCCC)=O)(=O)O</t>
  </si>
  <si>
    <t>LRIPXDCMGANCAE-PKTZIBPZSA-N</t>
  </si>
  <si>
    <t>C26H50NO10P</t>
  </si>
  <si>
    <t>10.29_654.3823n</t>
  </si>
  <si>
    <t>DGMG(16:0/0:0)</t>
  </si>
  <si>
    <t>LMGL04010017</t>
  </si>
  <si>
    <t>C(O[C@H]1[C@H](O)[C@@H](O)[C@@H](O)[C@@H](CO[C@@H]2[C@H](O)[C@@H](O)[C@@H](O)[C@@H](CO)O2)O1)[C@]([H])(O)COC(CCCCCCCCCCCCCCC)=O</t>
  </si>
  <si>
    <t>OQWOKDQAPBSVGH-KFDGTCGFSA-N</t>
  </si>
  <si>
    <t>C31H58O14</t>
  </si>
  <si>
    <t>5.37_698.4005n</t>
  </si>
  <si>
    <t>PI(12:0/12:0)</t>
  </si>
  <si>
    <t>LMGP06010962</t>
  </si>
  <si>
    <t>[C@]([H])(OC(CCCCCCCCCCC)=O)(COP(=O)(O)O[C@H]1[C@H](O)[C@@H](O)[C@H](O)[C@@H](O)[C@H]1O)COC(CCCCCCCCCCC)=O</t>
  </si>
  <si>
    <t>VMJRELYANFFHLC-VXBZPWQVSA-N</t>
  </si>
  <si>
    <t>C33H63O13P</t>
  </si>
  <si>
    <t>12.36_264.2448n</t>
  </si>
  <si>
    <t>2e,13z-Octadecadienal</t>
  </si>
  <si>
    <t>LMFA06000234</t>
  </si>
  <si>
    <t>C(/C=C/CCCCCCCCC/C=C\CCCC)(=O)[H]</t>
  </si>
  <si>
    <t>NCFULMZVHNTQOK-RAPDCGKPSA-N</t>
  </si>
  <si>
    <t>Fatty aldehydes</t>
  </si>
  <si>
    <t>M+H, M+NH4, M+H-H2O</t>
  </si>
  <si>
    <t>C18H32O</t>
  </si>
  <si>
    <t>0.77_191.0189m/z</t>
  </si>
  <si>
    <t>Isocitric Acid</t>
  </si>
  <si>
    <t>HMDB0000193</t>
  </si>
  <si>
    <t>C00311</t>
  </si>
  <si>
    <t>ko00020,ko00630,ko00720,ko04922,ko05230</t>
  </si>
  <si>
    <t>Citrate cycle (TCA cycle)|Glyoxylate and dicarboxylate metabolism|Carbon fixation pathways in prokaryotes|Glucagon signaling pathway|Central carbon metabolism in cancer</t>
  </si>
  <si>
    <t>320-77-4</t>
  </si>
  <si>
    <t>OC(C(CC(O)=O)C(O)=O)C(O)=O</t>
  </si>
  <si>
    <t>ODBLHEXUDAPZAU-UHFFFAOYSA-N</t>
  </si>
  <si>
    <t>C6H8O7</t>
  </si>
  <si>
    <t>4.29_344.1470n</t>
  </si>
  <si>
    <t>(-)-Erythro-Anethole Glycol 2-Glucoside</t>
  </si>
  <si>
    <t>HMDB0033067</t>
  </si>
  <si>
    <t>217973-39-2</t>
  </si>
  <si>
    <t>COC1=CC=C(C=C1)C(O)C(C)OC1OC(CO)C(O)C(O)C1O</t>
  </si>
  <si>
    <t>JYWSARFDLXXOHT-UHFFFAOYSA-N</t>
  </si>
  <si>
    <t>C16H24O8</t>
  </si>
  <si>
    <t>4.19_164.0473n</t>
  </si>
  <si>
    <t>4-Hydroxycinnamic Acid</t>
  </si>
  <si>
    <t>HMDB0002035</t>
  </si>
  <si>
    <t>C00811</t>
  </si>
  <si>
    <t>ko00130,ko00350,ko00940,ko00950,ko00998</t>
  </si>
  <si>
    <t>Ubiquinone and other terpenoid-quinone biosynthesis|Tyrosine metabolism|Phenylpropanoid biosynthesis|Isoquinoline alkaloid biosynthesis|Biosynthesis of various secondary metabolites - part 2</t>
  </si>
  <si>
    <t>501-98-4</t>
  </si>
  <si>
    <t>OC(=O)\C=C\C1=CC=C(O)C=C1</t>
  </si>
  <si>
    <t>NGSWKAQJJWESNS-ZZXKWVIFSA-N</t>
  </si>
  <si>
    <t>C9H8O3</t>
  </si>
  <si>
    <t>4.50_596.1372n</t>
  </si>
  <si>
    <t>Quercetin 3-O-Glucosyl-Xyloside</t>
  </si>
  <si>
    <t>HMDB0301687</t>
  </si>
  <si>
    <t>OC[C@H]1O[C@@H](OC[C@H]2O[C@@H](OC3=C(OC4=CC(O)=CC(O)=C4C3=O)C3=CC(O)=C(O)C=C3)[C@H](O)[C@@H](O)[C@@H]2O)[C@H](O)[C@H]1O</t>
  </si>
  <si>
    <t>ZFGBNYDDAJMWAZ-DGBSRBSYSA-N</t>
  </si>
  <si>
    <t>M+H, M+Na, M+K</t>
  </si>
  <si>
    <t>C26H28O16</t>
  </si>
  <si>
    <t>10.79_550.3372m/z</t>
  </si>
  <si>
    <t>Ganoweberianic Acid C</t>
  </si>
  <si>
    <t>LMST01010415</t>
  </si>
  <si>
    <t>C1C[C@@H](O)C(C)(C)[C@]2([H])CC(=O)C3=C([C@]21C)C(=O)[C@@H](O)[C@]1(C)[C@@]([H])([C@H](C)CC(=O)C[C@@H](C(=O)O)C)C[C@@H](O)[C@]13C</t>
  </si>
  <si>
    <t>NOFBLPDULBXDPC-PHKMHPDZSA-N</t>
  </si>
  <si>
    <t>C30H44O8</t>
  </si>
  <si>
    <t>4.79_924.5951n</t>
  </si>
  <si>
    <t>PI(20:0/18:1(12Z)-2OH(9,10))</t>
  </si>
  <si>
    <t>HMDB0277017</t>
  </si>
  <si>
    <t>[H][C@@](COC(=O)CCCCCCCCCCCCCCCCCCC)(COP(O)(=O)O[C@H]1[C@H](O)[C@@H](O)[C@H](O)[C@@H](O)[C@H]1O)OC(=O)CCCCCCC[C@H](O)[C@@H](O)C\C=C/CCCCC</t>
  </si>
  <si>
    <t>VFUOILJYODFJFA-YSDGIFJGSA-N</t>
  </si>
  <si>
    <t>C47H89O15P</t>
  </si>
  <si>
    <t>6.64_712.3485m/z</t>
  </si>
  <si>
    <t>Jubanine B</t>
  </si>
  <si>
    <t>HMDB0030206</t>
  </si>
  <si>
    <t>60375-08-8</t>
  </si>
  <si>
    <t>COC1=CC=C2OC3CCN(C3\C(O)=N/C(CC3=CC=CC=C3)\C(O)=N/C=C/C1=C2)C(=O)C(CC1=CC=CC=C1)\N=C(/O)C(CC1=CC=CC=C1)N(C)C</t>
  </si>
  <si>
    <t>FJSKSYVNULWVAZ-XTQSDGFTSA-N</t>
  </si>
  <si>
    <t>C43H47N5O6</t>
  </si>
  <si>
    <t>5.23_516.2570n</t>
  </si>
  <si>
    <t>Eriojaposide B</t>
  </si>
  <si>
    <t>HMDB0038029</t>
  </si>
  <si>
    <t>351412-97-0</t>
  </si>
  <si>
    <t>CC(OC1OC(COC2OC(C)C(O)C(O)C2O)C(O)C(O)C1O)\C=C\C1C(C)=CC(=O)CC1(C)C</t>
  </si>
  <si>
    <t>AFWVBXLXFDAISA-VOTSOKGWSA-N</t>
  </si>
  <si>
    <t>C25H40O11</t>
  </si>
  <si>
    <t>9.95_711.3595m/z</t>
  </si>
  <si>
    <t>Coroloside</t>
  </si>
  <si>
    <t>HMDB0033703</t>
  </si>
  <si>
    <t>57361-71-4</t>
  </si>
  <si>
    <t>CC1OC(CC(O)C1OC1OC(CO)C(O)C(O)C1O)OC1CCC2(C)C(CCC3C2CCC2(C)C(CCC32O)C2=CC(=O)OC2)C1</t>
  </si>
  <si>
    <t>BKLVUVLBSZAKIF-UHFFFAOYSA-N</t>
  </si>
  <si>
    <t>C35H54O12</t>
  </si>
  <si>
    <t>1.11_208.0946n</t>
  </si>
  <si>
    <t>Ethyl Beta-D-Glucopyranoside</t>
  </si>
  <si>
    <t>HMDB0029968</t>
  </si>
  <si>
    <t>3198-49-0</t>
  </si>
  <si>
    <t>CCO[C@@H]1O[C@H](CO)[C@@H](O)[C@H](O)[C@H]1O</t>
  </si>
  <si>
    <t>WYUFTYLVLQZQNH-JAJWTYFOSA-N</t>
  </si>
  <si>
    <t>C8H16O6</t>
  </si>
  <si>
    <t>7.59_630.3613m/z</t>
  </si>
  <si>
    <t>PI(19:1(9Z)/0:0)</t>
  </si>
  <si>
    <t>LMGP06050018</t>
  </si>
  <si>
    <t>[C@]([H])(O)(COP(=O)(O)O[C@H]1[C@H](O)[C@@H](O)[C@H](O)[C@@H](O)[C@H]1O)COC(CCCCCCC/C=C\CCCCCCCCC)=O</t>
  </si>
  <si>
    <t>USRBSGCIOAIXMX-PVUGVYIOSA-N</t>
  </si>
  <si>
    <t>C28H53O12P</t>
  </si>
  <si>
    <t>4.92_522.2098n</t>
  </si>
  <si>
    <t>(7'R,8'R)-4,7'-Epoxy-3',5-Dimethoxy-4',9,9'-Lignanetriol 9'-Glucoside</t>
  </si>
  <si>
    <t>HMDB0038711</t>
  </si>
  <si>
    <t>COC1=CC(CCCO)=CC2=C1OC(C2COC1OC(CO)C(O)C(O)C1O)C1=CC(OC)=C(O)C=C1</t>
  </si>
  <si>
    <t>VTKHRLZMWODHJA-UHFFFAOYSA-N</t>
  </si>
  <si>
    <t>2-arylbenzofuran flavonoids</t>
  </si>
  <si>
    <t>C26H34O11</t>
  </si>
  <si>
    <t>7.47_727.3180m/z</t>
  </si>
  <si>
    <t>L-Prolinamide,D-Tyrosyl-L-Arginylglycyl-4-Nitro-L-Phenylalanyl-</t>
  </si>
  <si>
    <t>HMDB0247954</t>
  </si>
  <si>
    <t>NC(CC1=CC=C(O)C=C1)C(=O)NC(CCCN=C(N)N)C(=O)NCC(=O)NC(CC1=CC=C(C=C1)[N+]([O-])=O)C(=O)N1CCCC1C(N)=O</t>
  </si>
  <si>
    <t>KCFHMBXKJQJYFK-UHFFFAOYSA-N</t>
  </si>
  <si>
    <t>C31H42N10O8</t>
  </si>
  <si>
    <t>5.06_983.6059m/z</t>
  </si>
  <si>
    <t>Zotarolimus</t>
  </si>
  <si>
    <t>HMDB0260048</t>
  </si>
  <si>
    <t>COC1CC(CC(C)C2CC(=O)C(C)C=C(C)C(O)C(OC)C(=O)C(C)CC(C)C=CC=CC=C(C)C(CC3CCC(C)C(O)(O3)C(=O)C(=O)N3CCCCC3C(=O)O2)OC)CCC1N1C=NN=N1</t>
  </si>
  <si>
    <t>CGTADGCBEXYWNE-UHFFFAOYSA-N</t>
  </si>
  <si>
    <t>Macrolide lactams</t>
  </si>
  <si>
    <t>C52H79N5O12</t>
  </si>
  <si>
    <t>14.10_671.5178n</t>
  </si>
  <si>
    <t>2,3-Dipalmitoyl-S-Glycerylcysteine</t>
  </si>
  <si>
    <t>HMDB0256098</t>
  </si>
  <si>
    <t>CCCCCCCCCCCCCCCC(=O)OCC(CSCC(N)C(O)=O)OC(=O)CCCCCCCCCCCCCCC</t>
  </si>
  <si>
    <t>UPAQRWMRKQCLSD-UHFFFAOYSA-N</t>
  </si>
  <si>
    <t>M+H-H2O, M+Na</t>
  </si>
  <si>
    <t>C38H73NO6S</t>
  </si>
  <si>
    <t>5.04_766.4551n</t>
  </si>
  <si>
    <t>PA(20:5(5Z,8Z,11Z,14Z,17Z)/22:6(4Z,7Z,10Z,13Z,16Z,19Z))</t>
  </si>
  <si>
    <t>HMDB0115221</t>
  </si>
  <si>
    <t>LMGP10010855</t>
  </si>
  <si>
    <t>[C@](COP(=O)(O)O)([H])(OC(CC/C=C\C/C=C\C/C=C\C/C=C\C/C=C\C/C=C\CC)=O)COC(CCC/C=C\C/C=C\C/C=C\C/C=C\C/C=C\CC)=O</t>
  </si>
  <si>
    <t>QBIOFUQCWQRPBK-VPKAUXFLSA-N</t>
  </si>
  <si>
    <t>C45H67O8P</t>
  </si>
  <si>
    <t>14.09_936.5796n</t>
  </si>
  <si>
    <t>DGDG(18:3(9Z,12Z,15Z)/18:3(6Z,9Z,12Z))</t>
  </si>
  <si>
    <t>LMGL05010063</t>
  </si>
  <si>
    <t>O[C@@H]1[C@@H](O)[C@@H](O)[C@@H](CO[C@@H]2[C@H](O)[C@@H](O)[C@@H](O)[C@@H](CO)O2)O[C@H]1OC[C@]([H])(OC(CCCC/C=C\C/C=C\C/C=C\CCCCC)=O)COC(CCCCCCC/C=C\C/C=C\C/C=C\CC)=O</t>
  </si>
  <si>
    <t>UBCNVHMEEQXGSB-HUDYVLETSA-N</t>
  </si>
  <si>
    <t>M+NH4, M+K</t>
  </si>
  <si>
    <t>C51H84O15</t>
  </si>
  <si>
    <t>6.22_372.1932n</t>
  </si>
  <si>
    <t>Betalone</t>
  </si>
  <si>
    <t>HMDB0249165</t>
  </si>
  <si>
    <t>CC1CC2C3CCC4=CC(=O)C=CC4(C)C3C(=O)CC2(C)C1(O)C(=O)CO</t>
  </si>
  <si>
    <t>PIDANAQULIKBQS-UHFFFAOYSA-N</t>
  </si>
  <si>
    <t>Hydroxysteroids</t>
  </si>
  <si>
    <t>C22H28O5</t>
  </si>
  <si>
    <t>6.22_628.3112m/z</t>
  </si>
  <si>
    <t>Taxine B</t>
  </si>
  <si>
    <t>HMDB0258750</t>
  </si>
  <si>
    <t>C19989</t>
  </si>
  <si>
    <t>1361-51-9</t>
  </si>
  <si>
    <t>CN(C)C(CC(=O)OC1CCC2(C)C(C(O)C3(O)CC(=O)C(C)=C(C(OC(C)=O)C2O)C3(C)C)C1=C)C1=CC=CC=C1</t>
  </si>
  <si>
    <t>XMZFIBDTPOUHMW-UHFFFAOYSA-N</t>
  </si>
  <si>
    <t>C33H45NO8</t>
  </si>
  <si>
    <t>14.01_662.4455n</t>
  </si>
  <si>
    <t>3-Hexanoyl-Nbd Cholesterol</t>
  </si>
  <si>
    <t>CC(C)CCCC(C)C1CCC2C1(CCC3C2CC=C4C3(CCC(C4)OC(=O)CCCCCNC5=CC=C(C6=NON=C56)[N+](=O)[O-])C)C</t>
  </si>
  <si>
    <t>YZAQIPGLFHPDPI-FIWRCADXSA-N</t>
  </si>
  <si>
    <t>C39H58N4O5</t>
  </si>
  <si>
    <t>3.48_355.1032m/z</t>
  </si>
  <si>
    <t>Swertiamarin</t>
  </si>
  <si>
    <t>HMDB0258644</t>
  </si>
  <si>
    <t>OCC1OC(OC2OC=C3C(=O)OCCC3(O)C2C=C)C(O)C(O)C1O</t>
  </si>
  <si>
    <t>HEYZWPRKKUGDCR-UHFFFAOYSA-N</t>
  </si>
  <si>
    <t>C16H22O10</t>
  </si>
  <si>
    <t>4.91_339.2016n</t>
  </si>
  <si>
    <t>Bursin</t>
  </si>
  <si>
    <t>HMDB0249447</t>
  </si>
  <si>
    <t>NCCCCC(N)C(=O)NC(CC1=CNC=N1)C(=O)NCC(N)=O</t>
  </si>
  <si>
    <t>DIBAKBGYJUCGDL-UHFFFAOYSA-N</t>
  </si>
  <si>
    <t>C14H25N7O3</t>
  </si>
  <si>
    <t>4.87_426.1888n</t>
  </si>
  <si>
    <t>(+)-Abscisic Acid Beta-D-Glucopyranosyl Ester</t>
  </si>
  <si>
    <t>LMPR0103050011</t>
  </si>
  <si>
    <t>C15970</t>
  </si>
  <si>
    <t>ko00906</t>
  </si>
  <si>
    <t>Carotenoid biosynthesis</t>
  </si>
  <si>
    <t>C(/[C@]1(O)C(C)(C)CC(=O)C=C1C)=C\C(\C)=C/C(O[C@@H]1O[C@H](CO)[C@@H](O)[C@H](O)[C@H]1O)=O</t>
  </si>
  <si>
    <t>HLVPIMVSSMJFPS-VTEUUMMASA-N</t>
  </si>
  <si>
    <t>C21H30O9</t>
  </si>
  <si>
    <t>3.03_361.0692m/z</t>
  </si>
  <si>
    <t>4-Hydroxy-3-Nitrophenylacetaldehyde</t>
  </si>
  <si>
    <t>HMDB0246445</t>
  </si>
  <si>
    <t>OC1=C(C=C(CC=O)C=C1)[N+]([O-])=O</t>
  </si>
  <si>
    <t>OXYOFULKSNCNRY-UHFFFAOYSA-N</t>
  </si>
  <si>
    <t>Nitrophenols</t>
  </si>
  <si>
    <t>C8H7NO4</t>
  </si>
  <si>
    <t>4.60_536.1894n</t>
  </si>
  <si>
    <t>8-Hydroxypinoresinol 4-Glucoside</t>
  </si>
  <si>
    <t>HMDB0033282</t>
  </si>
  <si>
    <t>COC1=C(O)C=CC(=C1)C1OCC2(O)C1COC2C1=CC(OC)=C(OC2OC(CO)C(O)C(O)C2O)C=C1</t>
  </si>
  <si>
    <t>ORRYWOBRSQRASU-UHFFFAOYSA-N</t>
  </si>
  <si>
    <t>Lignans, neolignans and related compounds</t>
  </si>
  <si>
    <t>Lignan glycosides</t>
  </si>
  <si>
    <t>C26H32O12</t>
  </si>
  <si>
    <t>5.43_525.2340m/z</t>
  </si>
  <si>
    <t>11-Oxo-Androsterone Glucuronide</t>
  </si>
  <si>
    <t>HMDB0010338</t>
  </si>
  <si>
    <t>CC12CC(=O)C3C(CCC4CC(CCC34C)OC3OC(C(O)C(O)C3O)C(O)=O)C1CCC2=O</t>
  </si>
  <si>
    <t>QTXWOOLAHRQMGZ-UHFFFAOYSA-N</t>
  </si>
  <si>
    <t>C25H36O9</t>
  </si>
  <si>
    <t>13.96_874.6448m/z</t>
  </si>
  <si>
    <t>3-O-Sulfogalactosylceramide (D18:1/24:0)</t>
  </si>
  <si>
    <t>HMDB0000024</t>
  </si>
  <si>
    <t>151122-71-3</t>
  </si>
  <si>
    <t>[H][C@@](CO[C@@H]1O[C@H](CO)[C@H](O)C(OS(O)(=O)=O)C1O)(NC(=O)CCCCCCCCCCCCCCCCCCCCCCC)[C@]([H])(O)\C=C\CCCCCCCCCCCCC</t>
  </si>
  <si>
    <t>MEAZTWJVOWHKJM-YQTIZROBSA-N</t>
  </si>
  <si>
    <t>C48H93NO11S</t>
  </si>
  <si>
    <t>11.99_661.4196m/z</t>
  </si>
  <si>
    <t>PA(13:0/22:6(4Z,7Z,10Z,13Z,16Z,19Z))</t>
  </si>
  <si>
    <t>LMGP10010090</t>
  </si>
  <si>
    <t>[C@](COP(=O)(O)O)([H])(OC(CC/C=C\C/C=C\C/C=C\C/C=C\C/C=C\C/C=C\CC)=O)COC(CCCCCCCCCCCC)=O</t>
  </si>
  <si>
    <t>PXAYRWQRVAJZIB-GCTGPZEFSA-N</t>
  </si>
  <si>
    <t>C38H63O8P</t>
  </si>
  <si>
    <t>11.53_654.3861m/z</t>
  </si>
  <si>
    <t>Withanoside Xi</t>
  </si>
  <si>
    <t>LMST01160029</t>
  </si>
  <si>
    <t>O1C(=O)C(CO)=C(C)C[C@]1([H])[C@](O)([C@]1([H])[C@@]2(C)CC[C@@]3([H])[C@@]([H])(CC=C4C[C@@H](O[C@H]5[C@H](O)[C@@H](O)[C@H](O)[C@@H](CO)O5)C[C@H](O)[C@@]43C)[C@]2([H])CC1)C</t>
  </si>
  <si>
    <t>PPVGSQLWWLPFCH-MESVUKEDSA-N</t>
  </si>
  <si>
    <t>C34H52O11</t>
  </si>
  <si>
    <t>5.17_520.1942n</t>
  </si>
  <si>
    <t>(+)-Brusatol</t>
  </si>
  <si>
    <t>HMDB0243532</t>
  </si>
  <si>
    <t>COC(=O)C12OCC34C1C(OC(=O)C=C(C)C)C(=O)OC3CC1C(C)=C(O)C(=O)CC1(C)C4C(O)C2O</t>
  </si>
  <si>
    <t>ZZZYHIMVKOHVIH-UHFFFAOYSA-N</t>
  </si>
  <si>
    <t>Terpene lactones</t>
  </si>
  <si>
    <t>C26H32O11</t>
  </si>
  <si>
    <t>12.87_934.6657m/z</t>
  </si>
  <si>
    <t>PC(20:2(11Z,14Z)/24:1(15Z))</t>
  </si>
  <si>
    <t>HMDB0008356</t>
  </si>
  <si>
    <t>CCCCCCCC\C=C/CCCCCCCCCCCCCC(=O)O[C@]([H])(COC(=O)CCCCCCCCC\C=C/C\C=C/CCCCC)COP([O-])(=O)OCC[N+](C)(C)C</t>
  </si>
  <si>
    <t>NIODVPKQYQPBHO-OSGOGHEWSA-N</t>
  </si>
  <si>
    <t>C52H98NO8P</t>
  </si>
  <si>
    <t>4.03_629.1873m/z</t>
  </si>
  <si>
    <t>Embigenin 2''-(2'''-Acetylrhamnoside)</t>
  </si>
  <si>
    <t>LMPK12111025</t>
  </si>
  <si>
    <t>C1(OC)=CC2OC(C3C=CC(OC)=CC=3)=CC(=O)C=2C(O)=C1[C@H]1[C@H](O[C@H]2[C@H](OC(=O)C)[C@H](O)[C@@H](O)[C@@H](C)O2)[C@@H](O)[C@H](O)[C@@H](CO)O1</t>
  </si>
  <si>
    <t>ZSQIFROPCHIGKD-NGCQGUMXSA-N</t>
  </si>
  <si>
    <t>C31H36O15</t>
  </si>
  <si>
    <t>4.36_454.2413n</t>
  </si>
  <si>
    <t>Ethyl Cellulose</t>
  </si>
  <si>
    <t>HMDB0033370</t>
  </si>
  <si>
    <t>9004-57-3</t>
  </si>
  <si>
    <t>CCOCC1OC(OC)C(OCC)C(OCC)C1OC1OC(CO)C(OC)C(O)C1O</t>
  </si>
  <si>
    <t>ZZSNKZQZMQGXPY-UHFFFAOYSA-N</t>
  </si>
  <si>
    <t>C20H38O11</t>
  </si>
  <si>
    <t>7.15_568.3262m/z</t>
  </si>
  <si>
    <t>Pg-Pe</t>
  </si>
  <si>
    <t>LMGP20020031</t>
  </si>
  <si>
    <t>[C@](COP(=O)(O)OCCN)([H])(OC(CCCC(=O)O)=O)COC(CCCCCCCCCCCCCCC)=O</t>
  </si>
  <si>
    <t>FKRARUNJJAIMOK-HSZRJFAPSA-N</t>
  </si>
  <si>
    <t>9.56_831.3462n</t>
  </si>
  <si>
    <t>Larotaxel</t>
  </si>
  <si>
    <t>HMDB0253984</t>
  </si>
  <si>
    <t>CC(=O)OC1C2=C(C)C(CC(O)(C(OC(=O)C3=CC=CC=C3)C3C4(CC4CC4OCC34OC(C)=O)C1=O)C2(C)C)OC(=O)C(O)C(NC(=O)OC(C)(C)C)C1=CC=CC=C1</t>
  </si>
  <si>
    <t>DXOJIXGRFSHVKA-UHFFFAOYSA-N</t>
  </si>
  <si>
    <t>Tetracarboxylic acids and derivatives</t>
  </si>
  <si>
    <t>M+H, M+K</t>
  </si>
  <si>
    <t>C45H53NO14</t>
  </si>
  <si>
    <t>13.49_446.3392n</t>
  </si>
  <si>
    <t>(22e,24r)-3beta,5alpha,6beta-Trihydroxy-9,11-Seco-Ergosta-7,22-Dien-9-One</t>
  </si>
  <si>
    <t>LMST01031186</t>
  </si>
  <si>
    <t>C1C[C@H](O)C[C@]2(O)[C@H](O)C=C([C@]3([H])CC[C@]([H])([C@]([H])(C)/C=C/[C@H](C)C(C)C)[C@@]3(C)CC)C(=O)[C@@]12C</t>
  </si>
  <si>
    <t>FKUSCLDRWMFGIB-XVYNIBNWSA-N</t>
  </si>
  <si>
    <t>C28H46O4</t>
  </si>
  <si>
    <t>4.08_793.2168m/z</t>
  </si>
  <si>
    <t>Rhamnetin 3-Rhamnosyl-(1-&gt;3)(4'''-Acetylrhamnosyl)(1-&gt;6)-Galactoside</t>
  </si>
  <si>
    <t>LMPK12112605</t>
  </si>
  <si>
    <t>C1(OC)=CC2OC(C3C=C(O)C(O)=CC=3)=C(O[C@H]3[C@H](O)[C@@H](O)[C@@H](O)[C@@H](CO[C@H]4[C@H](O)[C@H](O[C@H]5[C@H](O)[C@H](O)[C@@H](O)[C@H](C)O5)[C@@H](OC(C)=O)[C@H](C)O4)O3)C(=O)C=2C(O)=C1</t>
  </si>
  <si>
    <t>SNWSDJIWOIJZFI-OGPXJKINSA-N</t>
  </si>
  <si>
    <t>C36H44O21</t>
  </si>
  <si>
    <t>4.43_388.2094n</t>
  </si>
  <si>
    <t>Icariside B8</t>
  </si>
  <si>
    <t>HMDB0036846</t>
  </si>
  <si>
    <t>126176-78-1</t>
  </si>
  <si>
    <t>CC(=O)CCC1=C(C)C(O)C(CC1(C)C)OC1OC(CO)C(O)C(O)C1O</t>
  </si>
  <si>
    <t>LYZQCLMNFAUXJA-UHFFFAOYSA-N</t>
  </si>
  <si>
    <t>M+Na, M+K, M+NH4, M+H-H2O</t>
  </si>
  <si>
    <t>C19H32O8</t>
  </si>
  <si>
    <t>4.19_402.1036m/z</t>
  </si>
  <si>
    <t>Hmboa-Glc</t>
  </si>
  <si>
    <t>HMDB0037263</t>
  </si>
  <si>
    <t>17622-26-3</t>
  </si>
  <si>
    <t>COC1=CC=C2NC(=O)C(OC3OC(CO)C(O)C(O)C3O)OC2=C1</t>
  </si>
  <si>
    <t>PMBZSEOAOIYRMW-UHFFFAOYSA-N</t>
  </si>
  <si>
    <t>C15H19NO9</t>
  </si>
  <si>
    <t>12.82_502.3431n</t>
  </si>
  <si>
    <t>Triangulyne F</t>
  </si>
  <si>
    <t>LMFA05000736</t>
  </si>
  <si>
    <t>C(C#CC#CC#C[C@@H](O)CCCCCCCCC#C/C=C\CCCCCCCCC/C=C/[C@@H](O)C#C)O</t>
  </si>
  <si>
    <t>JCNUILFNAPAXSL-LWJQYYSHSA-N</t>
  </si>
  <si>
    <t>Fatty alcohols</t>
  </si>
  <si>
    <t>C34H46O3</t>
  </si>
  <si>
    <t>5.47_448.2303n</t>
  </si>
  <si>
    <t>Acuminoside</t>
  </si>
  <si>
    <t>HMDB0029347</t>
  </si>
  <si>
    <t>120163-17-9</t>
  </si>
  <si>
    <t>CC(C)=CCC\C(C)=C/COC1OC(COC2OCC(O)(CO)C2O)C(O)C(O)C1O</t>
  </si>
  <si>
    <t>RFFYIBOJHUSIGD-QPEQYQDCSA-N</t>
  </si>
  <si>
    <t>C21H36O10</t>
  </si>
  <si>
    <t>13.30_520.4211m/z</t>
  </si>
  <si>
    <t>Bhas#40</t>
  </si>
  <si>
    <t>LMFA13040041</t>
  </si>
  <si>
    <t>O([C@@H](CCCCCCCCCCCCCCCCC[C@@H](O)CC(=O)O)C)[C@H]1[C@H](O)C[C@@H](O)[C@H](C)O1</t>
  </si>
  <si>
    <t>KNOOLMWLZZIQFQ-CWEZWLNASA-N</t>
  </si>
  <si>
    <t>C28H54O7</t>
  </si>
  <si>
    <t>6.43_623.3416m/z</t>
  </si>
  <si>
    <t>Brainesteroside C</t>
  </si>
  <si>
    <t>LMST01010434</t>
  </si>
  <si>
    <t>C1[C@H](O)[C@H](O[C@H]2[C@H](O)[C@@H](O)[C@H](O)[C@@H](CO)O2)CC2=C(O)C(=O)C3=C(CC[C@]4(C3=CC[C@]4([H])[C@](O)(C)[C@H](O)CCC(C)C)C)[C@]21C</t>
  </si>
  <si>
    <t>UVTRNQDEASOAEI-CRTQUAMDSA-N</t>
  </si>
  <si>
    <t>C33H50O11</t>
  </si>
  <si>
    <t>7.43_345.1705m/z</t>
  </si>
  <si>
    <t>4alpha-Phorbol</t>
  </si>
  <si>
    <t>HMDB0246701</t>
  </si>
  <si>
    <t>CC1C(O)C2(O)C(C3C=C(CO)CC4(O)C(C=C(C)C4=O)C13O)C2(C)C</t>
  </si>
  <si>
    <t>QGVLYPPODPLXMB-UHFFFAOYSA-N</t>
  </si>
  <si>
    <t>C20H28O6</t>
  </si>
  <si>
    <t>6.11_553.3035n</t>
  </si>
  <si>
    <t>Ps-Pe</t>
  </si>
  <si>
    <t>LMGP20020033</t>
  </si>
  <si>
    <t>[C@](COP(=O)(O)OCCN)([H])(OC(CCC(=O)O)=O)COC(CCCCCCCCCCCCCCC)=O</t>
  </si>
  <si>
    <t>HXZAJHUMFYFUBO-JOCHJYFZSA-N</t>
  </si>
  <si>
    <t>C25H48NO10P</t>
  </si>
  <si>
    <t>4.14_578.1421n</t>
  </si>
  <si>
    <t>Procyanidin B1</t>
  </si>
  <si>
    <t>HMDB0029754</t>
  </si>
  <si>
    <t>LMPK12030001</t>
  </si>
  <si>
    <t>C10221</t>
  </si>
  <si>
    <t>20315-25-7</t>
  </si>
  <si>
    <t>C1(O)=CC2O[C@H](C3C=CC(O)=C(O)C=3)[C@H](O)[C@@H](C3=C(O)C=C(O)C4C[C@H](O)[C@@H](C5C=CC(O)=C(O)C=5)OC=43)C=2C(O)=C1</t>
  </si>
  <si>
    <t>XFZJEEAOWLFHDH-UKWJTHFESA-N</t>
  </si>
  <si>
    <t>14.13_610.4877m/z</t>
  </si>
  <si>
    <t>Iso-A2e(11-Cis)</t>
  </si>
  <si>
    <t>HMDB0060192</t>
  </si>
  <si>
    <t>C\C(\C=C\C1=C(C)CCCC1(C)C)=C/C=C/C(/C)=C/C1=[N+](CCO)C=CC(\C=C/C=C(\C)/C=C/C2=C(C)CCCC2(C)C)=C1</t>
  </si>
  <si>
    <t>WPWFMRDPTDEJJA-CAODKSCQSA-N</t>
  </si>
  <si>
    <t>C42H58NO+</t>
  </si>
  <si>
    <t>13.07_630.4286n</t>
  </si>
  <si>
    <t>Dexamethasone Palmitate</t>
  </si>
  <si>
    <t>HMDB0251082</t>
  </si>
  <si>
    <t>CCCCCCCCCCCCCCCC(=O)OCC(=O)C1(O)C(C)CC2C3CCC4=CC(=O)C=CC4(C)C3(F)C(O)CC12C</t>
  </si>
  <si>
    <t>WDPYZTKOEFDTCU-UHFFFAOYSA-N</t>
  </si>
  <si>
    <t>C38H59FO6</t>
  </si>
  <si>
    <t>5.17_519.1868m/z</t>
  </si>
  <si>
    <t>Borapetoside</t>
  </si>
  <si>
    <t>HMDB0249346</t>
  </si>
  <si>
    <t>CC12C3CC4C(=O)OC(CC4(C)C1CCC(OC1OC(CO)C(O)C(O)C1O)C2(O)C(=O)O3)C1=COC=C1</t>
  </si>
  <si>
    <t>GCXIISSOWSXMCD-UHFFFAOYSA-N</t>
  </si>
  <si>
    <t>Naphthopyrans</t>
  </si>
  <si>
    <t>C26H34O12</t>
  </si>
  <si>
    <t>4.65_332.1833n</t>
  </si>
  <si>
    <t>(1s,2s,4s,5s)-2,4-Thujanediol 4-O-Beta-D-Glucopyranoside</t>
  </si>
  <si>
    <t>HMDB0033644</t>
  </si>
  <si>
    <t>240495-81-2</t>
  </si>
  <si>
    <t>CC(C)C12CC1C(C)(CC2O)OC1OC(CO)C(O)C(O)C1O</t>
  </si>
  <si>
    <t>HVTLBEUPVKSBIB-UHFFFAOYSA-N</t>
  </si>
  <si>
    <t>C16H28O7</t>
  </si>
  <si>
    <t>10.23_296.2350n</t>
  </si>
  <si>
    <t>9r-Hode</t>
  </si>
  <si>
    <t>HMDB04670</t>
  </si>
  <si>
    <t>LMFA02000036</t>
  </si>
  <si>
    <t>C14767</t>
  </si>
  <si>
    <t>ko00591,ko03320</t>
  </si>
  <si>
    <t>Linoleic acid metabolism|PPAR signaling pathway</t>
  </si>
  <si>
    <t>10075-11-3</t>
  </si>
  <si>
    <t>C(CCCCCCC[C@@H](O)/C=C/C=C\CCCCC)(=O)O</t>
  </si>
  <si>
    <t>NPDSHTNEKLQQIJ-WXUVIADPSA-N</t>
  </si>
  <si>
    <t>Lineolic acids and derivatives</t>
  </si>
  <si>
    <t>C18H32O3</t>
  </si>
  <si>
    <t>5.01_433.1127m/z</t>
  </si>
  <si>
    <t>Genistein 7-O-Glucoside</t>
  </si>
  <si>
    <t>LMPK12050166</t>
  </si>
  <si>
    <t>C09126</t>
  </si>
  <si>
    <t>ko00943</t>
  </si>
  <si>
    <t>Isoflavonoid biosynthesis</t>
  </si>
  <si>
    <t>529-59-9</t>
  </si>
  <si>
    <t>C1(O[C@H]2[C@H](O)[C@@H](O)[C@H](O)[C@@H](CO)O2)=CC2OC=C(C3=CC=C(O)C=C3)C(=O)C=2C(O)=C1</t>
  </si>
  <si>
    <t>ZCOLJUOHXJRHDI-CMWLGVBASA-N</t>
  </si>
  <si>
    <t>Isoflavonoids</t>
  </si>
  <si>
    <t>Isoflavonoid O-glycosides</t>
  </si>
  <si>
    <t>C21H20O10</t>
  </si>
  <si>
    <t>11.67_262.2293n</t>
  </si>
  <si>
    <t>Farnesyl Acetone</t>
  </si>
  <si>
    <t>CC(=CCC/C(=C/CC/C(=C/CCC(=O)C)/C)/C)C</t>
  </si>
  <si>
    <t>LTUMRKDLVGQMJU-IUBLYSDUSA-N</t>
  </si>
  <si>
    <t>C18H30O</t>
  </si>
  <si>
    <t>11.58_605.4047m/z</t>
  </si>
  <si>
    <t>Bafilomycin A1(Baf-A1)</t>
  </si>
  <si>
    <t>HMDB0247559</t>
  </si>
  <si>
    <t>COC1C=CC=C(C)CC(C)C(O)C(C)C=C(C)C=C(OC)C(=O)OC1C(C)C(O)C(C)C1(O)CC(O)C(C)C(O1)C(C)C</t>
  </si>
  <si>
    <t>XDHNQDDQEHDUTM-UHFFFAOYSA-N</t>
  </si>
  <si>
    <t>Macrolides and analogues</t>
  </si>
  <si>
    <t>C35H58O9</t>
  </si>
  <si>
    <t>5.54_641.3196n</t>
  </si>
  <si>
    <t>Proansamycin X</t>
  </si>
  <si>
    <t>LMPK05000006</t>
  </si>
  <si>
    <t>C12176</t>
  </si>
  <si>
    <t>ko01051</t>
  </si>
  <si>
    <t>Biosynthesis of ansamycins</t>
  </si>
  <si>
    <t>C12C(=O)C=C3NC(=O)C(C)=CC=C[C@H](C)[C@@H]([C@@H](C)[C@@H](O)[C@@H](C)[C@H](O)[C@H](C)[C@@H](O)C(C)C=C(C(=O)C1=C(O)C(C(O)C=2C3=O)C)C)O</t>
  </si>
  <si>
    <t>MHOUUNHTVCQAIF-UWYJGORHSA-N</t>
  </si>
  <si>
    <t>Vinylogous acids</t>
  </si>
  <si>
    <t>M-H2O-H, M+FA-H</t>
  </si>
  <si>
    <t>6.65_837.3178m/z</t>
  </si>
  <si>
    <t>Bn-Ncc-2</t>
  </si>
  <si>
    <t>HMDB0038230</t>
  </si>
  <si>
    <t>173740-47-1</t>
  </si>
  <si>
    <t>CC1=C(C=C)C(=O)NC1CC1=C(C)C(CCC(O)=O)=C(N1)C1C(C(O)=O)C(=O)C2=C1NC(CC1=C(CCOC3OC(CO)C(O)C(O)C3O)C(C)=C(N1)C=O)=C2C</t>
  </si>
  <si>
    <t>KHUYAPOQDBVQNV-UHFFFAOYSA-N</t>
  </si>
  <si>
    <t>C40H48N4O13</t>
  </si>
  <si>
    <t>6.47_446.3026n</t>
  </si>
  <si>
    <t>12-Ketoporrigenin</t>
  </si>
  <si>
    <t>HMDB0031079</t>
  </si>
  <si>
    <t>189014-45-7</t>
  </si>
  <si>
    <t>CC1C2C(CC3C4CC(O)C5CC(O)CCC5(C)C4CC(=O)C23C)OC11CCC(C)CO1</t>
  </si>
  <si>
    <t>AEDBOXCTQDATMF-UHFFFAOYSA-N</t>
  </si>
  <si>
    <t>C27H42O5</t>
  </si>
  <si>
    <t>5.15_678.5039n</t>
  </si>
  <si>
    <t>DG(17:0/PGE2/0:0)</t>
  </si>
  <si>
    <t>HMDB0295655</t>
  </si>
  <si>
    <t>CCCCCCCCCCCCCCCCC(=O)OC[C@H](CO)OC(=O)CCC\C=C/C[C@@H]1[C@@H](\C=C\[C@@H](O)CCCCC)[C@H](O)CC1=O</t>
  </si>
  <si>
    <t>RQQZNUILKPLEDG-KJIYMNJQSA-N</t>
  </si>
  <si>
    <t>C40H70O8</t>
  </si>
  <si>
    <t>8.64_651.3378n</t>
  </si>
  <si>
    <t>Phooa-Ps</t>
  </si>
  <si>
    <t>LMGP20040005</t>
  </si>
  <si>
    <t>C(O)(=O)[C@@]([H])(N)COP(OC[C@]([H])(OC(CCCC(O)/C=C/C(=O)[H])=O)COC(CCCCCCCCCCCCCCC)=O)(=O)O</t>
  </si>
  <si>
    <t>YGJICKUNAISIDS-SBPHMWCGSA-N</t>
  </si>
  <si>
    <t>12.70_893.5918m/z</t>
  </si>
  <si>
    <t>PG(i-22:0/22:6(5Z,8E,10Z,13Z,15E,19Z)-2OH(7S, 17S))</t>
  </si>
  <si>
    <t>HMDB0272155</t>
  </si>
  <si>
    <t>[H][C@](O)(CO)COP(O)(=O)OC[C@@]([H])(COC(=O)CCCCCCCCCCCCCCCCCCC(C)C)OC(=O)CCC\C=C/[C@@H](O)\C=C\C=C/C\C=C/C=C/[C@@H](O)C\C=C/CC</t>
  </si>
  <si>
    <t>NANREGDJIGZMDO-XFGVBFRPSA-N</t>
  </si>
  <si>
    <t>C50H87O12P</t>
  </si>
  <si>
    <t>5.34_287.0559m/z</t>
  </si>
  <si>
    <t>Dihydrokaempferol</t>
  </si>
  <si>
    <t>HMDB0030847</t>
  </si>
  <si>
    <t>LMPK12140720</t>
  </si>
  <si>
    <t>C00974</t>
  </si>
  <si>
    <t>ko00941</t>
  </si>
  <si>
    <t>Flavonoid biosynthesis</t>
  </si>
  <si>
    <t>480-20-6</t>
  </si>
  <si>
    <t>C1(O)C=C(O)C2C(=O)[C@@H]([C@@H](C3=CC=C(O)C=C3)OC=2C=1)O</t>
  </si>
  <si>
    <t>PADQINQHPQKXNL-LSDHHAIUSA-N</t>
  </si>
  <si>
    <t>Flavans</t>
  </si>
  <si>
    <t>C15H12O6</t>
  </si>
  <si>
    <t>3.73_261.1307m/z</t>
  </si>
  <si>
    <t>Taribavirin</t>
  </si>
  <si>
    <t>HMDB0258728</t>
  </si>
  <si>
    <t>NC(=N)C1=NN(C=N1)C1OC(CO)C(O)C1O</t>
  </si>
  <si>
    <t>NHKZSTHOYNWEEZ-UHFFFAOYSA-N</t>
  </si>
  <si>
    <t>Nucleosides, nucleotides, and analogues</t>
  </si>
  <si>
    <t>Triazole ribonucleosides and ribonucleotides</t>
  </si>
  <si>
    <t>C8H13N5O4</t>
  </si>
  <si>
    <t>13.86_534.3919m/z</t>
  </si>
  <si>
    <t>PC(20:0/0:0)</t>
  </si>
  <si>
    <t>HMDB0010390</t>
  </si>
  <si>
    <t>LMGP01050045</t>
  </si>
  <si>
    <t>C04230</t>
  </si>
  <si>
    <t>ko00564,ko05231</t>
  </si>
  <si>
    <t>Glycerophospholipid metabolism|Choline metabolism in cancer</t>
  </si>
  <si>
    <t>108341-80-6</t>
  </si>
  <si>
    <t>[C@](COP(=O)([O-])OCC[N+](C)(C)C)([H])(O)COC(CCCCCCCCCCCCCCCCCCC)=O</t>
  </si>
  <si>
    <t>UATOAILWGVYRQS-HHHXNRCGSA-N</t>
  </si>
  <si>
    <t>C28H58NO7P</t>
  </si>
  <si>
    <t>4.33_559.2757m/z</t>
  </si>
  <si>
    <t>Cinncassiol D4 2-Glucoside</t>
  </si>
  <si>
    <t>HMDB0035065</t>
  </si>
  <si>
    <t>CC(C)C1CC2C3(O)C4OC(O)(CC2(C)C2(O)CC(OC5OC(CO)C(O)C(O)C5O)C(C)C42)C13C</t>
  </si>
  <si>
    <t>ISSKLTGTEWBALZ-UHFFFAOYSA-N</t>
  </si>
  <si>
    <t>C26H42O10</t>
  </si>
  <si>
    <t>4.85_290.0899n</t>
  </si>
  <si>
    <t>N-Malonyltryptophan</t>
  </si>
  <si>
    <t>HMDB0039500</t>
  </si>
  <si>
    <t>29399-11-9</t>
  </si>
  <si>
    <t>OC(=O)CC(=O)NC(CC1=CNC2=C1C=CC=C2)C(O)=O</t>
  </si>
  <si>
    <t>OVEAWSPZRGBTSS-UHFFFAOYSA-N</t>
  </si>
  <si>
    <t>M+H, M+Na, M+K, M+H-H2O</t>
  </si>
  <si>
    <t>C14H14N2O5</t>
  </si>
  <si>
    <t>4.02_630.1942n</t>
  </si>
  <si>
    <t>(R)-Rutaretin 1'-(6''-Sinapoylglucoside)</t>
  </si>
  <si>
    <t>HMDB0039041</t>
  </si>
  <si>
    <t>COC1=CC(\C=C\C(=O)OCC2OC(OC(C)(C)C3CC4=C(O3)C(O)=C3OC(=O)C=CC3=C4)C(O)C(O)C2O)=CC(OC)=C1O</t>
  </si>
  <si>
    <t>IVHSSCUMYDHEGB-FNORWQNLSA-N</t>
  </si>
  <si>
    <t>Furanocoumarins</t>
  </si>
  <si>
    <t>M+H, M+Na, M+NH4, M+H-H2O</t>
  </si>
  <si>
    <t>C31H34O14</t>
  </si>
  <si>
    <t>11.77_879.5751m/z</t>
  </si>
  <si>
    <t>PG(a-21:0/22:6(5Z,8E,10Z,13Z,15E,19Z)-2OH(7S, 17S))</t>
  </si>
  <si>
    <t>HMDB0270909</t>
  </si>
  <si>
    <t>[H][C@](O)(CO)COP(O)(=O)OC[C@@]([H])(COC(=O)CCCCCCCCCCCCCCCCC(C)CC)OC(=O)CCC\C=C/[C@@H](O)\C=C\C=C/C\C=C/C=C/[C@@H](O)C\C=C/CC</t>
  </si>
  <si>
    <t>QHWFDUGBDKQNIC-PDODHNNKSA-N</t>
  </si>
  <si>
    <t>C49H85O12P</t>
  </si>
  <si>
    <t>4.57_472.2516n</t>
  </si>
  <si>
    <t>3-Ketopetromyzonol Sulfate</t>
  </si>
  <si>
    <t>HMDB0259539</t>
  </si>
  <si>
    <t>CC(CCCOS(O)(=O)=O)C1CCC2C3C(O)CC4CC(=O)CCC4(C)C3CC(O)C12C</t>
  </si>
  <si>
    <t>OAKDBNNISQJEJA-UHFFFAOYSA-N</t>
  </si>
  <si>
    <t>C24H40O7S</t>
  </si>
  <si>
    <t>5.17_634.2627n</t>
  </si>
  <si>
    <t>Obacunone 17-O-Beta-D-Glucoside</t>
  </si>
  <si>
    <t>HMDB0302542</t>
  </si>
  <si>
    <t>CC1(CCC2C3(C)C=CC(=O)OC(C)(C)C3CC(=O)C2(C)C11OC1C(O)=O)C(OC1OC(CO)C(O)C(O)C1O)C1=COC=C1</t>
  </si>
  <si>
    <t>MXZVBPOYCKIXHN-UHFFFAOYSA-N</t>
  </si>
  <si>
    <t>C32H42O13</t>
  </si>
  <si>
    <t>3.02_741.1617m/z</t>
  </si>
  <si>
    <t>Salicyluric Beta-D-Glucuronide</t>
  </si>
  <si>
    <t>HMDB0240252</t>
  </si>
  <si>
    <t>O[C@@H]1[C@@H](O)[C@H](OC(=O)CNC(=O)C2=C(O)C=CC=C2)O[C@@H]([C@H]1O)C(O)=O</t>
  </si>
  <si>
    <t>OEPADIDIUZTYOX-QKZHPOIUSA-N</t>
  </si>
  <si>
    <t>C15H17NO10</t>
  </si>
  <si>
    <t>3.79_666.2155n</t>
  </si>
  <si>
    <t>Quercetin 5,7,3',4'-Tetramethyl Ether 3-Rutinoside</t>
  </si>
  <si>
    <t>LMPK12112764</t>
  </si>
  <si>
    <t>C1(OC)=CC2OC(C3C=C(OC)C(OC)=CC=3)=C(O[C@H]3[C@H](O)[C@@H](O)[C@H](O)[C@@H](CO[C@H]4[C@H](O)[C@H](O)[C@@H](O)[C@H](C)O4)O3)C(=O)C=2C(OC)=C1</t>
  </si>
  <si>
    <t>MEJNXDYVXPUWEN-MVXJRKCZSA-N</t>
  </si>
  <si>
    <t>M+NH4, M+Na, M+H, M+H-H2O</t>
  </si>
  <si>
    <t>C31H38O16</t>
  </si>
  <si>
    <t>4.99_403.2252n</t>
  </si>
  <si>
    <t>Metergoline</t>
  </si>
  <si>
    <t>HMDB0254511</t>
  </si>
  <si>
    <t>CN1C=C2CC3C(CC(CNC(=O)OCC4=CC=CC=C4)CN3C)C3=C2C1=CC=C3</t>
  </si>
  <si>
    <t>WZHJKEUHNJHDLS-UHFFFAOYSA-N</t>
  </si>
  <si>
    <t>Quinolines and derivatives</t>
  </si>
  <si>
    <t>Indoloquinolines</t>
  </si>
  <si>
    <t>C25H29N3O2</t>
  </si>
  <si>
    <t>4.04_969.3024m/z</t>
  </si>
  <si>
    <t>Disialyllactose</t>
  </si>
  <si>
    <t>HMDB0006692</t>
  </si>
  <si>
    <t>18409-15-9</t>
  </si>
  <si>
    <t>[H][C@]1(O[C@@H]2O[C@H](CO)[C@H](O)[C@H](O[C@@]3(C[C@H](O)[C@@H](NC(C)=O)[C@@]([H])(O3)[C@H](O)[C@@H](CO)O[C@@]3(C[C@H](O)[C@@H](NC(C)=O)[C@@]([H])(O3)[C@H](O)[C@H](O)CO)C(O)=O)C(O)=O)[C@H]2O)[C@H](O)[C@@H](O)C(O)O[C@@H]1CO</t>
  </si>
  <si>
    <t>IESOVNOGVZBLMG-MTEFBGAJSA-N</t>
  </si>
  <si>
    <t>C34H56N2O27</t>
  </si>
  <si>
    <t>8.97_434.2307n</t>
  </si>
  <si>
    <t>3beta,5beta,14beta,16beta-19-Pentahydroxy-Bufa-20,22-Dienolide</t>
  </si>
  <si>
    <t>LMST01130039</t>
  </si>
  <si>
    <t>C1[C@]2(CO)[C@@]3([H])CC[C@]4(C)[C@@]([H])(C5=COC(=O)C=C5)[C@@H](O)C[C@]4(O)[C@]3([H])CC[C@]2(O)C[C@@H](O)C1</t>
  </si>
  <si>
    <t>SMHLSHPXWJWHPM-GHFDIACOSA-N</t>
  </si>
  <si>
    <t>M+H, M+Na, M+NH4, M+K</t>
  </si>
  <si>
    <t>C24H34O7</t>
  </si>
  <si>
    <t>6.09_579.2001m/z</t>
  </si>
  <si>
    <t>12s-Acetoxy-Punaglandin 1</t>
  </si>
  <si>
    <t>LMFA03120028</t>
  </si>
  <si>
    <t>[C@@]1(OC(=O)C)(C/C=C\C/C=C\CC)C=C(Cl)C(=O)[C@@H]1[C@@H](OC(=O)C)[C@H](OC(=O)C)[C@@H](OC(C)=O)CCCC(=O)OC</t>
  </si>
  <si>
    <t>WSNKKWSUXVPBMX-QIOHZNKMSA-N</t>
  </si>
  <si>
    <t>C29H39ClO11</t>
  </si>
  <si>
    <t>4.36_772.3871n</t>
  </si>
  <si>
    <t>Aspacoside D</t>
  </si>
  <si>
    <t>LMST02030247</t>
  </si>
  <si>
    <t>[C@]12(CC[C@]3([H])C[C@@H](O[C@H]4[C@H](O[C@H]5[C@H](O)[C@@H](O)[C@H](O)[C@@H](CO)O5)[C@@H](O)[C@H](O[C@H]5OC[C@@H](O)[C@@H](O)[C@@H]5O)[C@@H](CO)O4)CC[C@]3(C)[C@@]1([H])CC[C@]1(C)C(C(=O)C)=CC[C@@]21[H])[H]</t>
  </si>
  <si>
    <t>ANHNEGQWOWTRJZ-WRXPPOFCSA-N</t>
  </si>
  <si>
    <t>C38H60O16</t>
  </si>
  <si>
    <t>9.71_268.0733n</t>
  </si>
  <si>
    <t>Trigraecum</t>
  </si>
  <si>
    <t>HMDB0030720</t>
  </si>
  <si>
    <t>LMPK12110062</t>
  </si>
  <si>
    <t>38070-97-2</t>
  </si>
  <si>
    <t>C12C(=O)C=C(C3C=CC=CC=3)OC=1C=C(O)C(OC)=C2</t>
  </si>
  <si>
    <t>BJBKXYIIWYIZCX-UHFFFAOYSA-N</t>
  </si>
  <si>
    <t>O-methylated flavonoids</t>
  </si>
  <si>
    <t>C16H12O4</t>
  </si>
  <si>
    <t>5.61_808.4656n</t>
  </si>
  <si>
    <t>PA(22:6(4Z,7Z,10Z,13Z,16Z,19Z)/22:6(4Z,8Z,10Z,13Z,16Z,19Z)-OH(7))</t>
  </si>
  <si>
    <t>HMDB0266251</t>
  </si>
  <si>
    <t>[H][C@@](COC(=O)CC\C=C/C\C=C/C\C=C/C\C=C/C\C=C/C\C=C/CC)(COP(O)(O)=O)OC(=O)CC\C=C/CC(O)\C=C/C=C\C\C=C/C\C=C/C\C=C/CC</t>
  </si>
  <si>
    <t>WHNOKUGYYDQGFP-XKSRVRNBSA-N</t>
  </si>
  <si>
    <t>C47H69O9P</t>
  </si>
  <si>
    <t>4.03_687.2139m/z</t>
  </si>
  <si>
    <t>Phenyl-Agarose</t>
  </si>
  <si>
    <t>HMDB0256427</t>
  </si>
  <si>
    <t>OCC1OC(OC2C3COC2C(O)C(O)O3)C(O)C(OC2OC3COC(C3OC3(OC(CO)C(O)C(O)C3O)C3=CC=CC=C3)C2O)C1O</t>
  </si>
  <si>
    <t>WRFNOUJDZWCQPD-UHFFFAOYSA-N</t>
  </si>
  <si>
    <t>C30H42O19</t>
  </si>
  <si>
    <t>5.27_675.3875m/z</t>
  </si>
  <si>
    <t>Ginsenoside Rh7</t>
  </si>
  <si>
    <t>HMDB0039446</t>
  </si>
  <si>
    <t>343780-68-7</t>
  </si>
  <si>
    <t>CC(C)=CCCC(C)(OC1OC(CO)C(O)C(O)C1O)C1CCC2(C)C1C(O)CC1C3(C)CCC(O)C(C)(C)C3=CC(O)C21C</t>
  </si>
  <si>
    <t>ARPGURKWJGBPTN-UHFFFAOYSA-N</t>
  </si>
  <si>
    <t>C36H60O9</t>
  </si>
  <si>
    <t>0.73_356.1314n</t>
  </si>
  <si>
    <t>Gentiobioside</t>
  </si>
  <si>
    <t>HMDB0252695</t>
  </si>
  <si>
    <t>COC1OC(COC2OC(CO)C(O)C(O)C2O)C(O)C(O)C1O</t>
  </si>
  <si>
    <t>ZQPVHVKWCGZNDW-UHFFFAOYSA-N</t>
  </si>
  <si>
    <t>C13H24O11</t>
  </si>
  <si>
    <t>7.59_690.3618m/z</t>
  </si>
  <si>
    <t>Pa-Ps</t>
  </si>
  <si>
    <t>LMGP20040014</t>
  </si>
  <si>
    <t>C(O)(=O)[C@@]([H])(N)COP(OC[C@]([H])(OC(CCCCCCCC(O)=O)=O)COC(CCCCCCCCCCCCCCC)=O)(=O)O</t>
  </si>
  <si>
    <t>RWDMOHBZJXRXIE-SXOMAYOGSA-N</t>
  </si>
  <si>
    <t>C31H58NO12P</t>
  </si>
  <si>
    <t>5.61_273.1481m/z</t>
  </si>
  <si>
    <t>3-Polyprenyl-4,5-Dihydroxybenzoate</t>
  </si>
  <si>
    <t>HMDB0060380</t>
  </si>
  <si>
    <t>C17554</t>
  </si>
  <si>
    <t>ko00130</t>
  </si>
  <si>
    <t>Ubiquinone and other terpenoid-quinone biosynthesis</t>
  </si>
  <si>
    <t>CC(C)=CCC\C(C)=C\CC1=CC(=CC(O)=C1O)C(O)=O</t>
  </si>
  <si>
    <t>GJZLZMVQYJZMIO-KPKJPENVSA-N</t>
  </si>
  <si>
    <t>Benzoic acids and derivatives</t>
  </si>
  <si>
    <t>C17H22O4</t>
  </si>
  <si>
    <t>11.08_1014.5894n</t>
  </si>
  <si>
    <t>Didemnin C</t>
  </si>
  <si>
    <t>HMDB0251221</t>
  </si>
  <si>
    <t>CCC(C)C1NC(=O)C(NC(=O)C(CC(C)C)N(C)C(=O)C(C)O)C(C)OC(=O)C(CC2=CC=C(OC)C=C2)N(C)C(=O)C2CCCN2C(=O)C(CC(C)C)NC(=O)C(C)C(=O)C(OC(=O)CC1O)C(C)C</t>
  </si>
  <si>
    <t>ZRSXZCRRAOVIJD-UHFFFAOYSA-N</t>
  </si>
  <si>
    <t>Peptidomimetics</t>
  </si>
  <si>
    <t>Depsipeptides</t>
  </si>
  <si>
    <t>C52H82N6O14</t>
  </si>
  <si>
    <t>11.64_504.3081n</t>
  </si>
  <si>
    <t>Desglucocoroloside</t>
  </si>
  <si>
    <t>HMDB0033709</t>
  </si>
  <si>
    <t>57361-72-5</t>
  </si>
  <si>
    <t>CC1OC(CC(O)C1O)OC1CCC2(C)C(CCC3C2CCC2(C)C(CCC32O)C2=CC(=O)OC2)C1</t>
  </si>
  <si>
    <t>NQOMDNMTNVQXRR-UHFFFAOYSA-N</t>
  </si>
  <si>
    <t>C29H44O7</t>
  </si>
  <si>
    <t>5.01_476.3134n</t>
  </si>
  <si>
    <t>Polyporusterone B</t>
  </si>
  <si>
    <t>HMDB0038496</t>
  </si>
  <si>
    <t>141360-89-6</t>
  </si>
  <si>
    <t>CC(C)C(=C)CC(O)C(C)(O)C1CCC2(O)C3=CC(=O)C4CC(O)C(O)CC4(C)C3CCC12C</t>
  </si>
  <si>
    <t>OQDKHYZVFZGSRC-UHFFFAOYSA-N</t>
  </si>
  <si>
    <t>C28H44O6</t>
  </si>
  <si>
    <t>4.99_806.4502n</t>
  </si>
  <si>
    <t>Cellulose Hydroxyethylate</t>
  </si>
  <si>
    <t>HMDB0249797</t>
  </si>
  <si>
    <t>CC(O)COCC1OC(OC2C(COCC(C)O)OC(OCC(C)O)C(OCC(C)O)C2OCC(C)O)C(OCC(C)O)C(OCC(C)O)C1OCC(C)O</t>
  </si>
  <si>
    <t>DFJVHKAPIXJTSC-UHFFFAOYSA-N</t>
  </si>
  <si>
    <t>C36H70O19</t>
  </si>
  <si>
    <t>10.70_1013.5095m/z</t>
  </si>
  <si>
    <t>PS(17:2(9Z,12Z)/0:0)</t>
  </si>
  <si>
    <t>LMGP03050016</t>
  </si>
  <si>
    <t>C(O)(=O)[C@@]([H])(N)COP(OC[C@]([H])(O)COC(CCCCCCC/C=C\C/C=C\CCCC)=O)(=O)O</t>
  </si>
  <si>
    <t>MROAHXOXGSRKRS-KJETWVFCSA-N</t>
  </si>
  <si>
    <t>C23H42NO9P</t>
  </si>
  <si>
    <t>13.75_810.5471n</t>
  </si>
  <si>
    <t>Lepidoxanthin</t>
  </si>
  <si>
    <t>LMPR01070945</t>
  </si>
  <si>
    <t>C1C(C)(C)[C@@]2(O[C@]2(C)C[C@H]1O)/C=C/C(/COC(/C=C/CCCCCCC)=O)=C/C=C/C(/C)=C/C=C/C=C(\C)/C=C/C=C(\COC(=O)C)/C=C/[C@H]1C(C)=C[C@H](O)CC1(C)C</t>
  </si>
  <si>
    <t>LQEAEODLIWWIFW-QGDBLCQUSA-N</t>
  </si>
  <si>
    <t>Tetraterpenoids</t>
  </si>
  <si>
    <t>C52H74O7</t>
  </si>
  <si>
    <t>12.64_435.3075m/z</t>
  </si>
  <si>
    <t>4,4-Difluoro-1alpha,25-Dihydroxyvitamin D3</t>
  </si>
  <si>
    <t>LMST03020142</t>
  </si>
  <si>
    <t>[C@@H]1(O)C(=C)/C(=C\C=C2\[C@]3([H])CC[C@@]([C@@](C)([H])CCCC(O)(C)C)([H])[C@@]3(C)CCC\2)/C(F)(F)[C@@H](O)C1</t>
  </si>
  <si>
    <t>GCODTJZESMVHBK-RHDZNSGOSA-N</t>
  </si>
  <si>
    <t>C27H42F2O3</t>
  </si>
  <si>
    <t>4.22_402.1523n</t>
  </si>
  <si>
    <t>Benzyl Beta-Primeveroside</t>
  </si>
  <si>
    <t>HMDB0041190</t>
  </si>
  <si>
    <t>130622-31-0</t>
  </si>
  <si>
    <t>OC1COC(OCC2OC(OCC3=CC=CC=C3)C(O)C(O)C2O)C(O)C1O</t>
  </si>
  <si>
    <t>WOGBNISMMIOPAZ-UHFFFAOYSA-N</t>
  </si>
  <si>
    <t>M-H2O-H, M+FA-H, M-H</t>
  </si>
  <si>
    <t>4.60_490.1839n</t>
  </si>
  <si>
    <t>5-Hydroxy-7,4'-Dimethoxy-6,8-Di-C-Prenylflavanone 5-O-Galactoside</t>
  </si>
  <si>
    <t>LMPK12140572</t>
  </si>
  <si>
    <t>C1(OC)=C(C)C2OC(C3C=CC(OC)=CC=3)CC(=O)C=2C(OC2OC(CO)C(O)C(O)C2O)=C1C</t>
  </si>
  <si>
    <t>AQXMPPOEJPDCFL-UHFFFAOYSA-N</t>
  </si>
  <si>
    <t>M+FA-H, 2M-H</t>
  </si>
  <si>
    <t>C25H30O10</t>
  </si>
  <si>
    <t>12.88_621.4362m/z</t>
  </si>
  <si>
    <t>Sanchinoside B1</t>
  </si>
  <si>
    <t>HMDB0037129</t>
  </si>
  <si>
    <t>97744-96-2</t>
  </si>
  <si>
    <t>C\C(=C/CCC(C)(C)O)C1CCC2(C)C1C(O)CC1C3(C)CCC(O)C(C)(C)C3C(CC21C)OC1OC(CO)C(O)C(O)C1O</t>
  </si>
  <si>
    <t>SLPPUMWTJMNBCW-VXLYETTFSA-N</t>
  </si>
  <si>
    <t>C36H62O9</t>
  </si>
  <si>
    <t>6.25_760.3522m/z</t>
  </si>
  <si>
    <t>Isofumonisin B1</t>
  </si>
  <si>
    <t>HMDB0032719</t>
  </si>
  <si>
    <t>203259-29-4</t>
  </si>
  <si>
    <t>CCCCC(C)C(OC(=O)CC(CC(O)=O)C(O)=O)C(CC(C)CC(O)CCCCCC(O)C(O)C(C)N)OC(=O)CC(CC(O)=O)C(O)=O</t>
  </si>
  <si>
    <t>IYHQYIAATKLXJR-UHFFFAOYSA-N</t>
  </si>
  <si>
    <t>Fumonisins</t>
  </si>
  <si>
    <t>C34H59NO15</t>
  </si>
  <si>
    <t>8.25_273.2664n</t>
  </si>
  <si>
    <t>C16 Sphinganine</t>
  </si>
  <si>
    <t>LMSP01040001</t>
  </si>
  <si>
    <t>C13915</t>
  </si>
  <si>
    <t>OC[C@]([H])(N)[C@]([H])(O)CCCCCCCCCCCCC</t>
  </si>
  <si>
    <t>ZKLREJQHRKUJHD-JKSUJKDBSA-N</t>
  </si>
  <si>
    <t>Organic nitrogen compounds</t>
  </si>
  <si>
    <t>Organonitrogen compounds</t>
  </si>
  <si>
    <t>Amines</t>
  </si>
  <si>
    <t>C16H35NO2</t>
  </si>
  <si>
    <t>3.02_529.0547m/z</t>
  </si>
  <si>
    <t>Iodiconazole</t>
  </si>
  <si>
    <t>HMDB0253511</t>
  </si>
  <si>
    <t>CN(CC1=CC=C(I)C=C1)CC(O)(CN1C=NC=N1)C1=C(F)C=C(F)C=C1</t>
  </si>
  <si>
    <t>VDBLUAHBFVLQSJ-UHFFFAOYSA-N</t>
  </si>
  <si>
    <t>C19H19F2IN4O</t>
  </si>
  <si>
    <t>2.53_342.1160m/z</t>
  </si>
  <si>
    <t>Arginylglutamic Acid</t>
  </si>
  <si>
    <t>HMDB0028708</t>
  </si>
  <si>
    <t>15706-89-5</t>
  </si>
  <si>
    <t>N[C@@H](CCCNC(N)=N)C(=O)N[C@@H](CCC(O)=O)C(O)=O</t>
  </si>
  <si>
    <t>HFKJBCPRWWGPEY-BQBZGAKWSA-N</t>
  </si>
  <si>
    <t>C11H21N5O5</t>
  </si>
  <si>
    <t>4.42_433.2076m/z</t>
  </si>
  <si>
    <t>5a,6a-Epoxy-7e-Megastigmene-3a,9e-Diol 3-Glucoside</t>
  </si>
  <si>
    <t>HMDB0031676</t>
  </si>
  <si>
    <t>189351-14-2</t>
  </si>
  <si>
    <t>CC(O)\C=C\C12OC1(C)CC(CC2(C)C)OC1OC(CO)C(O)C(O)C1O</t>
  </si>
  <si>
    <t>SMBCGBWABYMHIN-AATRIKPKSA-N</t>
  </si>
  <si>
    <t>11.97_586.4035n</t>
  </si>
  <si>
    <t>5-Hydroxycapsanthin</t>
  </si>
  <si>
    <t>HMDB0302461</t>
  </si>
  <si>
    <t>O[C@H]1CC(C)(C)[C@@](C)(C1)C(=O)\C=C\C(\C)=C\C=C\C(\C)=C\C=C\C=C(/C)\C=C\C=C(/C)\C=C\C1=C(O)C[C@@H](O)CC1(C)C</t>
  </si>
  <si>
    <t>NMPHKTPIRWHDQK-GTYKUPBPSA-N</t>
  </si>
  <si>
    <t>C39H54O4</t>
  </si>
  <si>
    <t>5.47_457.2517n</t>
  </si>
  <si>
    <t>10,11-Dihydro-12r-Hydroxy-Leukotriene E4</t>
  </si>
  <si>
    <t>HMDB0012501</t>
  </si>
  <si>
    <t>LMFA03020042</t>
  </si>
  <si>
    <t>CCCCC/C=C\C[C@@H](C/C=C/C=C/[C@H]([C@H](CCCC(=O)O)O)SC[C@H](C(=O)O)N)O</t>
  </si>
  <si>
    <t>FZJOTYMARNGISF-YXSOTRFDSA-N</t>
  </si>
  <si>
    <t>C23H39NO6S</t>
  </si>
  <si>
    <t>4.79_759.3588m/z</t>
  </si>
  <si>
    <t>LPIM1(18:1(9Z)/0:0)</t>
  </si>
  <si>
    <t>LMGP15040004</t>
  </si>
  <si>
    <t>[C@](COP(O[C@H]1[C@@H](O)[C@@H](O)[C@H](O)[C@@H](O)[C@@H]1O[C@@H]1[C@@H](O)[C@@H](O)[C@H](O)[C@@H](CO)O1)(=O)O)([H])(O)COC(CCCCCCC/C=C\CCCCCCCC)=O</t>
  </si>
  <si>
    <t>DFYCEIOIGPPZRH-MKLNJMDGSA-N</t>
  </si>
  <si>
    <t>C33H61O17P</t>
  </si>
  <si>
    <t>6.55_511.2322m/z</t>
  </si>
  <si>
    <t>Psi-Bufarenogin L-Lactate</t>
  </si>
  <si>
    <t>LMST01130061</t>
  </si>
  <si>
    <t>C1[C@]2(C)[C@@]3([H])C(=O)[C@H](O)[C@]4(C)[C@@]([H])(C5=COC(=O)C=C5)CC[C@]4(O)[C@]3([H])CC[C@]2([H])C[C@@H](OC(=O)[C@@H](O)C)C1</t>
  </si>
  <si>
    <t>WPXOXAAJRRGFQT-WRRWTXOWSA-N</t>
  </si>
  <si>
    <t>C27H36O8</t>
  </si>
  <si>
    <t>0.75_326.1210n</t>
  </si>
  <si>
    <t>2-O-A-L-Fucopyranosyl-Galactose</t>
  </si>
  <si>
    <t>HMDB0006590</t>
  </si>
  <si>
    <t>24656-24-4</t>
  </si>
  <si>
    <t>C[C@@H]1O[C@@H](O[C@@H](C=O)[C@@H](O)[C@@H](O)[C@H](O)CO)[C@@H](O)[C@H](O)[C@@H]1O</t>
  </si>
  <si>
    <t>BQEBASLZIGFWEU-YYXBYDBJSA-N</t>
  </si>
  <si>
    <t>M+H, M+NH4, M+Na, M+K</t>
  </si>
  <si>
    <t>C12H22O10</t>
  </si>
  <si>
    <t>1.32_173.0081m/z</t>
  </si>
  <si>
    <t>Cis-Aconitic Acid</t>
  </si>
  <si>
    <t>HMDB0000072</t>
  </si>
  <si>
    <t>C00417</t>
  </si>
  <si>
    <t>ko00020,ko00630,ko00660,ko00720</t>
  </si>
  <si>
    <t>Citrate cycle (TCA cycle)|Glyoxylate and dicarboxylate metabolism|C5-Branched dibasic acid metabolism|Carbon fixation pathways in prokaryotes</t>
  </si>
  <si>
    <t>585-84-2</t>
  </si>
  <si>
    <t>OC(=O)C\C(=C\C(O)=O)C(O)=O</t>
  </si>
  <si>
    <t>GTZCVFVGUGFEME-IWQZZHSRSA-N</t>
  </si>
  <si>
    <t>C6H6O6</t>
  </si>
  <si>
    <t>9.12_601.2617m/z</t>
  </si>
  <si>
    <t>3-O-(Beta-D-Glucopyranosyl)-3beta,14beta,16beta-Trihydroxy-19-Oxo-5alpha-Bufa-20,22-Dienolide</t>
  </si>
  <si>
    <t>LMST01130036</t>
  </si>
  <si>
    <t>C1[C@]2(C=O)[C@@]3([H])CC[C@]4(C)[C@@]([H])(C5=COC(=O)C=C5)[C@@H](O)C[C@]4(O)[C@]3([H])CC[C@@]2([H])C[C@@H](O[C@H]2[C@H](O)[C@@H](O)[C@H](O)[C@@H](CO)O2)C1</t>
  </si>
  <si>
    <t>VQNGVQSHICLZSC-DGHYXMSISA-N</t>
  </si>
  <si>
    <t>C30H42O11</t>
  </si>
  <si>
    <t>4.43_496.3033n</t>
  </si>
  <si>
    <t>(3b,16b,20r)-Pregn-5-Ene-3,16,20-Triol 3-Glucoside</t>
  </si>
  <si>
    <t>HMDB0041331</t>
  </si>
  <si>
    <t>171828-53-8</t>
  </si>
  <si>
    <t>CC(O)C1C(O)CC2C3CC=C4CC(CCC4(C)C3CCC12C)OC1OC(CO)C(O)C(O)C1O</t>
  </si>
  <si>
    <t>MMAFNNBLJJXUCU-UHFFFAOYSA-N</t>
  </si>
  <si>
    <t>M+H-H2O, M+NH4, M+Na, M+H</t>
  </si>
  <si>
    <t>C27H44O8</t>
  </si>
  <si>
    <t>5.01_432.1054n</t>
  </si>
  <si>
    <t>Galanginin</t>
  </si>
  <si>
    <t>LMPK12111629</t>
  </si>
  <si>
    <t>C1(O)=CC2OC(C3C=CC=CC=3)=C(O[C@H]3[C@H](O)[C@@H](O)[C@H](O)[C@@H](CO)O3)C(=O)C=2C(O)=C1</t>
  </si>
  <si>
    <t>BBPVLQOHFINNBJ-QSOFNFLRSA-N</t>
  </si>
  <si>
    <t>9.01_937.4084n</t>
  </si>
  <si>
    <t>10-Deacetyl-7-Xylosyltaxol C</t>
  </si>
  <si>
    <t>90332-65-3</t>
  </si>
  <si>
    <t>CCCCCC(=O)NC(C1=CC=CC=C1)C(C(=O)OC2CC3(C(C4C(C(CC5C4(CO5)OC(=O)C)OC6C(C(C(CO6)O)O)O)(C(=O)C(C(=C2C)C3(C)C)O)C)OC(=O)C7=CC=CC=C7)O)O</t>
  </si>
  <si>
    <t>XGWGQEYABFGJID-VLHYZFGPSA-N</t>
  </si>
  <si>
    <t>C49H63NO17</t>
  </si>
  <si>
    <t>5.52_609.2539m/z</t>
  </si>
  <si>
    <t>14-Chlorotetracosane-1,15-Disulfate</t>
  </si>
  <si>
    <t>LMFA00000023</t>
  </si>
  <si>
    <t>C(CCC)CCCCCC(OS(O)(=O)=O)C(Cl)CCCCCCCCCCCCCOS(O)(=O)=O</t>
  </si>
  <si>
    <t>XKTFVUFBGYNAMG-UHFFFAOYSA-N</t>
  </si>
  <si>
    <t>Organic sulfuric acids and derivatives</t>
  </si>
  <si>
    <t>Sulfuric acid esters</t>
  </si>
  <si>
    <t>C24H49ClO8S2</t>
  </si>
  <si>
    <t>7.53_514.2564n</t>
  </si>
  <si>
    <t>Glycinoeclepin C</t>
  </si>
  <si>
    <t>HMDB0037036</t>
  </si>
  <si>
    <t>C[C@@H]1C[C@H](OC2C=C3C(C(O)=O)=C(C[C@]45CC[C@H](O4)C(C)(C)C5=O)C[C@@H](O)[C@@]3(C)[C@]12C)\C=C(/C)C(O)=O</t>
  </si>
  <si>
    <t>QEICCHKVLICFMW-ZTXCTZRESA-N</t>
  </si>
  <si>
    <t>M+Na, M+K, M+H-H2O</t>
  </si>
  <si>
    <t>C29H38O8</t>
  </si>
  <si>
    <t>6.87_688.3680m/z</t>
  </si>
  <si>
    <t>Pov-Pi</t>
  </si>
  <si>
    <t>LMGP20050014</t>
  </si>
  <si>
    <t>[C@]([H])(OC(CCCC(=O)[H])=O)(COP(=O)(O)O[C@H]1[C@H](O)[C@@H](O)[C@H](O)[C@@H](O)[C@H]1O)COC(CCCCCCCCCCCCCCC)=O</t>
  </si>
  <si>
    <t>VVEZLCRCCVQUQI-OMQJYZMNSA-N</t>
  </si>
  <si>
    <t>C30H55O14P</t>
  </si>
  <si>
    <t>13.92_962.6969m/z</t>
  </si>
  <si>
    <t>PC(22:2(13Z,16Z)/24:1(15Z))</t>
  </si>
  <si>
    <t>HMDB0008618</t>
  </si>
  <si>
    <t>CCCCCCCC\C=C/CCCCCCCCCCCCCC(=O)O[C@]([H])(COC(=O)CCCCCCCCCCC\C=C/C\C=C/CCCCC)COP([O-])(=O)OCC[N+](C)(C)C</t>
  </si>
  <si>
    <t>SVISKMCNDNFRNK-DWFZIUQNSA-N</t>
  </si>
  <si>
    <t>C54H102NO8P</t>
  </si>
  <si>
    <t>12.80_842.5786m/z</t>
  </si>
  <si>
    <t>Pc(Dime(9,3)/Monome(11,3))</t>
  </si>
  <si>
    <t>HMDB0061422</t>
  </si>
  <si>
    <t>[H]C1=C(CCC)OC(CCCCCCCCCCC(=O)OC(COC(=O)CCCCCCCCC2=C(C)C(C)=C(CCC)O2)COP(O)(=O)OCC[N+](C)(C)C)=C1C</t>
  </si>
  <si>
    <t>YJDIFXDKPBJXIR-UHFFFAOYSA-O</t>
  </si>
  <si>
    <t>C45H79NO10P+</t>
  </si>
  <si>
    <t>5.49_502.2197n</t>
  </si>
  <si>
    <t>Geranioloxyalatum Flavone</t>
  </si>
  <si>
    <t>LMPK12112977</t>
  </si>
  <si>
    <t>C12=C(O)C(OC)=C(OC)C=C1OC(C1=CC=C(OCCC(CCCC(C)(C)O)C)C(O)=C1)=C(O)C2=O</t>
  </si>
  <si>
    <t>XLUWWEZLAOLITG-UHFFFAOYSA-N</t>
  </si>
  <si>
    <t>Flavones</t>
  </si>
  <si>
    <t>C27H34O9</t>
  </si>
  <si>
    <t>10.15_534.2827n</t>
  </si>
  <si>
    <t>Corchoroside A</t>
  </si>
  <si>
    <t>HMDB0033846</t>
  </si>
  <si>
    <t>508-76-9</t>
  </si>
  <si>
    <t>CC1OC(CC(O)C1O)OC1CCC2(C=O)C3CCC4(C)C(CCC4(O)C3CCC2(O)C1)C1=CC(=O)OC1</t>
  </si>
  <si>
    <t>QBILRDAMJUPXCX-UHFFFAOYSA-N</t>
  </si>
  <si>
    <t>C29H42O9</t>
  </si>
  <si>
    <t>6.22_348.1931n</t>
  </si>
  <si>
    <t>12-Oxo-Resolvin E1</t>
  </si>
  <si>
    <t>LMFA03140010</t>
  </si>
  <si>
    <t>C(CCC[C@H](O)/C=C\C=C\C=C\C(=O)C/C=C\C=C\[C@@H](O)CC)(=O)O</t>
  </si>
  <si>
    <t>IEJXJLXCFNXYAY-IFAPNEAUSA-N</t>
  </si>
  <si>
    <t>C20H28O5</t>
  </si>
  <si>
    <t>4.84_193.0498m/z</t>
  </si>
  <si>
    <t>Ferulic Acid</t>
  </si>
  <si>
    <t>HMDB0000954</t>
  </si>
  <si>
    <t>C01494</t>
  </si>
  <si>
    <t>537-98-4</t>
  </si>
  <si>
    <t>COC1=C(O)C=CC(\C=C\C(O)=O)=C1</t>
  </si>
  <si>
    <t>KSEBMYQBYZTDHS-HWKANZROSA-N</t>
  </si>
  <si>
    <t>C10H10O4</t>
  </si>
  <si>
    <t>6.43_902.4293m/z</t>
  </si>
  <si>
    <t>PG(a-13:0/LTE4)</t>
  </si>
  <si>
    <t>HMDB0270564</t>
  </si>
  <si>
    <t>CCCCC\C=C/C\C=C/C=C/C=C/[C@@H](SC[C@H](N)C(=O)O[C@H](COC(=O)CCCCCCCCC(C)CC)COP(O)(=O)OC[C@@H](O)CO)[C@@H](O)CCCC(O)=O</t>
  </si>
  <si>
    <t>XWOULHKKATWHQB-MMEYDDGHSA-N</t>
  </si>
  <si>
    <t>C42H74NO13PS</t>
  </si>
  <si>
    <t>11.56_948.5924m/z</t>
  </si>
  <si>
    <t>PS(24:0/PGJ2)</t>
  </si>
  <si>
    <t>HMDB0283636</t>
  </si>
  <si>
    <t>CCCCCCCCCCCCCCCCCCCCCCCC(=O)OC[C@H](COP(O)(=O)OC[C@H](N)C(O)=O)OC(=O)CCC\C=C/C[C@H]1C=CC(=O)[C@@H]1\C=C\[C@@H](O)CCCCC</t>
  </si>
  <si>
    <t>PPTWUHMTNDFUIR-QNPHJADPSA-N</t>
  </si>
  <si>
    <t>C50H88NO12P</t>
  </si>
  <si>
    <t>7.17_672.3732m/z</t>
  </si>
  <si>
    <t>Stelleracin D</t>
  </si>
  <si>
    <t>LMPR0104330014</t>
  </si>
  <si>
    <t>[C@H]1(OO)C(CO)=C[C@]2(O)C(C(C)=C[C@@]2([H])[C@@]2(O)[C@@H]([C@@H](OC(C3=CC=CC=C3)=O)[C@@]3(OC(CCCCCCCCC)=O)C(C)(C)[C@@]3([H])[C@@]21[H])C)=O</t>
  </si>
  <si>
    <t>LJMGPHPBWGVOEW-YGBGHXOCSA-N</t>
  </si>
  <si>
    <t>C37H50O10</t>
  </si>
  <si>
    <t>11.98_961.5999m/z</t>
  </si>
  <si>
    <t>PI(22:3(10Z,13Z,16Z)/18:1(12Z)-2OH(9,10))</t>
  </si>
  <si>
    <t>HMDB0277849</t>
  </si>
  <si>
    <t>[H][C@@](COC(=O)CCCCCCCC\C=C/C\C=C/C\C=C/CCCCCC)(COP(O)(=O)O[C@H]1[C@H](O)[C@@H](O)[C@H](O)[C@@H](O)[C@H]1O)OC(=O)CCCCCCC[C@H](O)[C@@H](O)C\C=C/CCCCC</t>
  </si>
  <si>
    <t>GBFHSFGRLWVFAQ-CZYDBWROSA-N</t>
  </si>
  <si>
    <t>C50H89O15P</t>
  </si>
  <si>
    <t>12.23_620.4291m/z</t>
  </si>
  <si>
    <t>1-(2-Methoxy-18z-Pentacosenyl)-Sn-Glycero-3-Phosphoserine</t>
  </si>
  <si>
    <t>LMGP03060026</t>
  </si>
  <si>
    <t>C(O)(=O)[C@@]([H])(N)COP(OC[C@]([H])(O)COCC(OC)CCCCCCCCCCCCCCC/C=C\CCCCCC)(=O)O</t>
  </si>
  <si>
    <t>SUBIKHBKIJMXBC-QCVFKNFASA-N</t>
  </si>
  <si>
    <t>C32H64NO9P</t>
  </si>
  <si>
    <t>13.32_437.3232m/z</t>
  </si>
  <si>
    <t>DG(8:0/13:0/0:0)</t>
  </si>
  <si>
    <t>HMDB0092907</t>
  </si>
  <si>
    <t>[H][C@](CO)(COC(=O)CCCCCCC)OC(=O)CCCCCCCCCCCC</t>
  </si>
  <si>
    <t>PPOHFHWYIBFTFK-QFIPXVFZSA-N</t>
  </si>
  <si>
    <t>Diradylglycerols</t>
  </si>
  <si>
    <t>C24H46O5</t>
  </si>
  <si>
    <t>5.04_425.2384n</t>
  </si>
  <si>
    <t>Gly-Pro-Arg-Pro</t>
  </si>
  <si>
    <t>HMDB0252829</t>
  </si>
  <si>
    <t>NCC(=O)N1CCCC1C(=O)NC(CCCN=C(N)N)C(=O)N1CCCC1C(O)=O</t>
  </si>
  <si>
    <t>WXPZDDCNKXMOMC-UHFFFAOYSA-N</t>
  </si>
  <si>
    <t>M+H, M+NH4, M+Na</t>
  </si>
  <si>
    <t>C18H31N7O5</t>
  </si>
  <si>
    <t>6.09_657.2161m/z</t>
  </si>
  <si>
    <t>Acacetin 7-[2'''-(2-Methylbutyryl)Rutinoside]</t>
  </si>
  <si>
    <t>LMPK12110454</t>
  </si>
  <si>
    <t>C1(O[C@H]2[C@H](O)[C@@H](O)[C@H](O)[C@@H](CO[C@H]3[C@H](OC(=O)C(CC)C)[C@H](O)[C@@H](O)[C@H](C)O3)O2)=CC2OC(C3C=CC(OC)=CC=3)=CC(=O)C=2C(O)=C1</t>
  </si>
  <si>
    <t>QPRBEFUOPKPWPH-HRTMHOJESA-N</t>
  </si>
  <si>
    <t>C33H40O15</t>
  </si>
  <si>
    <t>1.65_652.2001n</t>
  </si>
  <si>
    <t>5-Methoxyafrormosin 7-O-Laminaribioside</t>
  </si>
  <si>
    <t>LMPK12050379</t>
  </si>
  <si>
    <t>O([C@H]1[C@H](O)[C@@H](O[C@H]2[C@H](O)[C@@H](O)[C@H](O)[C@@H](CO)O2)[C@H](O)[C@@H](CO)O1)C1C(OC)=C(OC)C2C(=O)C(C3C=CC(OC)=CC=3)=COC=2C=1</t>
  </si>
  <si>
    <t>VNYUFHOFVFSLGN-PGNIFTOHSA-N</t>
  </si>
  <si>
    <t>C30H36O16</t>
  </si>
  <si>
    <t>5.04_551.2133m/z</t>
  </si>
  <si>
    <t>Cichorioside D</t>
  </si>
  <si>
    <t>HMDB0302051</t>
  </si>
  <si>
    <t>C[C@H]1[C@@H]2CCC(C)=C3[C@@H]([C@H]2OC1=O)C(COC1O[C@H](CO[C@@H]2O[C@@H](C)[C@H](O)[C@@H](O)[C@H]2O)[C@@H](O)[C@H](O)[C@H]1O)=CC3=O</t>
  </si>
  <si>
    <t>AIDJHLWRZXMPHP-RSKPTRBOSA-N</t>
  </si>
  <si>
    <t>C27H38O13</t>
  </si>
  <si>
    <t>11.37_690.4317m/z</t>
  </si>
  <si>
    <t>PS(12:0/17:2(9Z,12Z))</t>
  </si>
  <si>
    <t>LMGP03010052</t>
  </si>
  <si>
    <t>C(O)(=O)[C@@]([H])(N)COP(OC[C@]([H])(OC(CCCCCCC/C=C\C/C=C\CCCC)=O)COC(CCCCCCCCCCC)=O)(=O)O</t>
  </si>
  <si>
    <t>XJIDRPZAONMAGD-JKHFDAINSA-N</t>
  </si>
  <si>
    <t>C35H64NO10P</t>
  </si>
  <si>
    <t>3.73_615.1718m/z</t>
  </si>
  <si>
    <t>Acacetin 7-(4'''-Acetylrutinoside)</t>
  </si>
  <si>
    <t>LMPK12110453</t>
  </si>
  <si>
    <t>C1(O[C@H]2[C@H](O)[C@@H](O)[C@H](O)[C@@H](CO[C@H]3[C@H](O)[C@H](O)[C@@H](OC(C)=O)[C@H](C)O3)O2)=CC2OC(C3C=CC(OC)=CC=3)=CC(=O)C=2C(O)=C1</t>
  </si>
  <si>
    <t>QZOBONFUOPKXNI-SPTABNQFSA-N</t>
  </si>
  <si>
    <t>C30H34O15</t>
  </si>
  <si>
    <t>0.72_507.1558m/z</t>
  </si>
  <si>
    <t>2'-Fluoro-2',3'-Dideoxyinosine</t>
  </si>
  <si>
    <t>HMDB0245537</t>
  </si>
  <si>
    <t>OCC1CC(F)C(O1)N1C=NC2=C1N=CNC2=O</t>
  </si>
  <si>
    <t>SLWSQPYUSBXANQ-UHFFFAOYSA-N</t>
  </si>
  <si>
    <t>C10H11FN4O3</t>
  </si>
  <si>
    <t>7.22_348.1935n</t>
  </si>
  <si>
    <t>Eunicea Sesquiterpenoid 7</t>
  </si>
  <si>
    <t>LMFA07010888</t>
  </si>
  <si>
    <t>CC(O)(/C=C/C(=O)O[C@@H]1[C@@H](CCC(=C)C(CCC(C)=C1)=O)C(C)=O)C</t>
  </si>
  <si>
    <t>WNLDPFSWPBREOU-SURQFZOFSA-N</t>
  </si>
  <si>
    <t>Fatty acid esters</t>
  </si>
  <si>
    <t>4.01_341.0874m/z</t>
  </si>
  <si>
    <t>Rhamnetin 3-Rhamninoside</t>
  </si>
  <si>
    <t>HMDB0304579</t>
  </si>
  <si>
    <t>OC[C@H](O)[C@H](O)[C@@H](O)C(=O)C(=O)\C=C\C1=CC=C(O)C=C1</t>
  </si>
  <si>
    <t>MWIKBJCXYZPTLV-FQPJXEIISA-N</t>
  </si>
  <si>
    <t>C14H16O7</t>
  </si>
  <si>
    <t>6.71_550.2798m/z</t>
  </si>
  <si>
    <t>(5e)-7-{4,6-Dihydroxy-2-[(1e,5e)-3-Hydroxyocta-1,5-Dien-1-Yl]Oxan-3-Yl}Hept-5-Enoylcarnitine</t>
  </si>
  <si>
    <t>HMDB0241887</t>
  </si>
  <si>
    <t>CCC=CCC(O)C=CC1OC(O)CC(O)C1CC=CCCCC(=O)OC(CC([O-])=O)C[N+](C)(C)C</t>
  </si>
  <si>
    <t>QFGOVFMTCUELFP-UHFFFAOYSA-N</t>
  </si>
  <si>
    <t>C27H45NO8</t>
  </si>
  <si>
    <t>6.38_496.3051m/z</t>
  </si>
  <si>
    <t>Iloprost</t>
  </si>
  <si>
    <t>HMDB0015220</t>
  </si>
  <si>
    <t>78919-13-8</t>
  </si>
  <si>
    <t>CC#CCC(C)C(O)\C=C\C1C(O)CC2C\C(CC12)=C\CCCC(=O)OCC(=O)C1=CC=CC=C1</t>
  </si>
  <si>
    <t>CZUMMMDKQYRZDP-JCAXBLPDSA-N</t>
  </si>
  <si>
    <t>C30H38O5</t>
  </si>
  <si>
    <t>13.14_476.3717n</t>
  </si>
  <si>
    <t>1-O-Alpha-D-Glucopyranosyl-1,2-Eicosandiol</t>
  </si>
  <si>
    <t>LMFA13010005</t>
  </si>
  <si>
    <t>OC(CCCCCCCCCCCCCCCCCC)CO[C@@H]1[C@H](O)[C@@H](O)[C@H](O)[C@@H](CO)O1</t>
  </si>
  <si>
    <t>NNSQMUPTXPAGLB-UJAKZALTSA-N</t>
  </si>
  <si>
    <t>C26H52O7</t>
  </si>
  <si>
    <t>0.71_217.0291m/z</t>
  </si>
  <si>
    <t>Aspartyl-Cysteine</t>
  </si>
  <si>
    <t>HMDB0028750</t>
  </si>
  <si>
    <t>NC(CC(O)=O)C(=O)NC(CS)C(O)=O</t>
  </si>
  <si>
    <t>FKBFDTRILNZGAI-UHFFFAOYSA-N</t>
  </si>
  <si>
    <t>C7H12N2O5S</t>
  </si>
  <si>
    <t>4.69_401.1239m/z</t>
  </si>
  <si>
    <t>Laurifolin (Flavonoid)</t>
  </si>
  <si>
    <t>LMPK12110421</t>
  </si>
  <si>
    <t>C12OC(C)(C)C(O)CC=1C1OC(C3C=CC(O)=CC=3)CC(=O)C=1C(O)=C2</t>
  </si>
  <si>
    <t>ASCNCUCRYYUACO-UHFFFAOYSA-N</t>
  </si>
  <si>
    <t>C20H20O6</t>
  </si>
  <si>
    <t>0.72_147.0763m/z</t>
  </si>
  <si>
    <t>L-Glutamine</t>
  </si>
  <si>
    <t>HMDB0000641</t>
  </si>
  <si>
    <t>C00064</t>
  </si>
  <si>
    <t>ko00220,ko00230,ko00240,ko00250,ko00470,ko00630,ko00750,ko00910,ko00970,ko02010,ko02020,ko04724,ko04727,ko04964,ko04974,ko04978,ko05230</t>
  </si>
  <si>
    <t>Arginine biosynthesis|Purine metabolism|Pyrimidine metabolism|Alanine, aspartate and glutamate metabolism|D-Amino acid metabolism|Glyoxylate and dicarboxylate metabolism|Vitamin B6 metabolism|Nitrogen metabolism|Aminoacyl-tRNA biosynthesis|ABC transporters|Two-component system|Glutamatergic synapse|GABAergic synapse|Proximal tubule bicarbonate reclamation|Protein digestion and absorption|Mineral absorption|Central carbon metabolism in cancer</t>
  </si>
  <si>
    <t>56-85-9</t>
  </si>
  <si>
    <t>N[C@@H](CCC(N)=O)C(O)=O</t>
  </si>
  <si>
    <t>ZDXPYRJPNDTMRX-VKHMYHEASA-N</t>
  </si>
  <si>
    <t>C5H10N2O3</t>
  </si>
  <si>
    <t>9.54_1113.5647n</t>
  </si>
  <si>
    <t>CDP-DG(i-20:0/22:6(5Z,8E,10Z,13Z,15E,19Z)-2OH(7S, 17S))</t>
  </si>
  <si>
    <t>HMDB0294157</t>
  </si>
  <si>
    <t>[H][C@@](COC(=O)CCCCCCCCCCCCCCCCC(C)C)(COP(O)(=O)OP(O)(=O)OC[C@H]1O[C@H]([C@H](O)[C@@H]1O)N1C=CC(N)=NC1=O)OC(=O)CCC\C=C/[C@@H](O)\C=C\C=C/C\C=C/C=C/[C@@H](O)C\C=C/CC</t>
  </si>
  <si>
    <t>SPXMFNGAKPMRBK-KYSXPQPBSA-N</t>
  </si>
  <si>
    <t>C54H89N3O17P2</t>
  </si>
  <si>
    <t>4.47_697.2346m/z</t>
  </si>
  <si>
    <t>Martynoside</t>
  </si>
  <si>
    <t>HMDB0254342</t>
  </si>
  <si>
    <t>COC1=CC=C(CCOC2OC(CO)C(OC(=O)C=CC3=CC=C(O)C(OC)=C3)C(OC3OC(C)C(O)C(O)C3O)C2O)C=C1O</t>
  </si>
  <si>
    <t>WLWAYPFRKDSFCL-UHFFFAOYSA-N</t>
  </si>
  <si>
    <t>C31H40O15</t>
  </si>
  <si>
    <t>6.48_555.2446m/z</t>
  </si>
  <si>
    <t>N1-(Alpha-D-Ribosyl)-5,6-Dimethyl-Benzimidazole</t>
  </si>
  <si>
    <t>HMDB0011112</t>
  </si>
  <si>
    <t>C05775</t>
  </si>
  <si>
    <t>ko00860</t>
  </si>
  <si>
    <t>Porphyrin metabolism</t>
  </si>
  <si>
    <t>CC1=CC2=C(C=C1C)N(C=N2)[C@H]1O[C@H](CO)C(O)C1O</t>
  </si>
  <si>
    <t>HLRUKOJSWOKCPP-RYSNWHEDSA-N</t>
  </si>
  <si>
    <t>Benzimidazole ribonucleosides and ribonucleotides</t>
  </si>
  <si>
    <t>C14H18N2O4</t>
  </si>
  <si>
    <t>5.06_850.4761n</t>
  </si>
  <si>
    <t>PGP(16:1(9Z)/20:3(5Z,8Z,11Z))</t>
  </si>
  <si>
    <t>HMDB0013495</t>
  </si>
  <si>
    <t>CCCCCCCC\C=C/C\C=C/C\C=C/CCCC(=O)O[C@]([H])(COC(=O)CCCCCCC\C=C/CCCCCC)COP(=O)(O)OC[C@@]([H])(O)COP(=O)(O)O</t>
  </si>
  <si>
    <t>JZUYPUNJRHZLJE-OILVUHFKSA-N</t>
  </si>
  <si>
    <t>Glycerophosphoglycerophosphates</t>
  </si>
  <si>
    <t>C42H76O13P2</t>
  </si>
  <si>
    <t>6.88_551.3228m/z</t>
  </si>
  <si>
    <t>Lithocholate 3-O-Glucuronide</t>
  </si>
  <si>
    <t>HMDB0002513</t>
  </si>
  <si>
    <t>C03033</t>
  </si>
  <si>
    <t>ko00040,ko00053,ko04976</t>
  </si>
  <si>
    <t>Pentose and glucuronate interconversions|Ascorbate and aldarate metabolism|Bile secretion</t>
  </si>
  <si>
    <t>75239-91-7</t>
  </si>
  <si>
    <t>[H][C@@]12CC[C@H]([C@H](C)CCC(O)=O)[C@@]1(C)CC[C@@]1([H])[C@@]2([H])CC[C@]2([H])C[C@H](CC[C@]12C)O[C@@H]1O[C@@H]([C@@H](O)[C@H](O)[C@H]1O)C(O)=O</t>
  </si>
  <si>
    <t>GIQXKAXWRLHLDD-VOJQCDQYSA-N</t>
  </si>
  <si>
    <t>C30H48O9</t>
  </si>
  <si>
    <t>3.66_311.1003n</t>
  </si>
  <si>
    <t>Dhurrin</t>
  </si>
  <si>
    <t>HMDB0060471</t>
  </si>
  <si>
    <t>C05143</t>
  </si>
  <si>
    <t>ko00460</t>
  </si>
  <si>
    <t>Cyanoamino acid metabolism</t>
  </si>
  <si>
    <t>499-20-7</t>
  </si>
  <si>
    <t>OC[C@H]1O[C@@H](O[C@H](C#N)C2=CC=C(O)C=C2)[C@H](O)[C@@H](O)[C@@H]1O</t>
  </si>
  <si>
    <t>NVLTYOJHPBMILU-YOVYLDAJSA-N</t>
  </si>
  <si>
    <t>C14H17NO7</t>
  </si>
  <si>
    <t>1.83_388.0882m/z</t>
  </si>
  <si>
    <t>Dhboa-Glc</t>
  </si>
  <si>
    <t>HMDB0037261</t>
  </si>
  <si>
    <t>28512-70-1</t>
  </si>
  <si>
    <t>OCC1OC(OC2OC3=CC(O)=CC=C3NC2=O)C(O)C(O)C1O</t>
  </si>
  <si>
    <t>VUFDXOACUHDTLI-UHFFFAOYSA-N</t>
  </si>
  <si>
    <t>11.87_689.1186m/z</t>
  </si>
  <si>
    <t>Plc Thio-Pip2</t>
  </si>
  <si>
    <t>CCCCCC(=O)OCC(CSP(=O)(O)OC1C(C(C(C(C1O)OP(=O)(O)O)OP(=O)(O)O)O)O)OC(=O)CCCCC</t>
  </si>
  <si>
    <t>FZZNMUSLSNXAOR-UHFFFAOYSA-N</t>
  </si>
  <si>
    <t>Alcohols and polyols</t>
  </si>
  <si>
    <t>C21H41O18P3S</t>
  </si>
  <si>
    <t>11.99_619.0454m/z</t>
  </si>
  <si>
    <t>Xct790</t>
  </si>
  <si>
    <t>HMDB0259925</t>
  </si>
  <si>
    <t>COC1=C(OCC2=C(C=C(C=C2)C(F)(F)F)C(F)(F)F)C=CC(C=C(C#N)C(=O)NC2=NN=C(S2)C(F)(F)F)=C1</t>
  </si>
  <si>
    <t>HQFNFOOGGLSBBT-UHFFFAOYSA-N</t>
  </si>
  <si>
    <t>Cinnamic acid amides</t>
  </si>
  <si>
    <t>C23H13F9N4O3S</t>
  </si>
  <si>
    <t>4.36_526.2047n</t>
  </si>
  <si>
    <t>Phaseolus Epsilon</t>
  </si>
  <si>
    <t>HMDB0035039</t>
  </si>
  <si>
    <t>18894-12-7</t>
  </si>
  <si>
    <t>[H][C@@]12CC[C@]3(O)C[C@]1(CC3=C)[C@@H](C(O)=O)[C@]1([H])[C@@]3(C)[C@@H](O)[C@H](C[C@@]21OC3=O)O[C@]1([H])O[C@H](CO)[C@@H](O)[C@H](O)[C@H]1O</t>
  </si>
  <si>
    <t>RWSSUUKUVKNZLZ-AWWNFJCHSA-N</t>
  </si>
  <si>
    <t>C25H34O12</t>
  </si>
  <si>
    <t>8.21_299.1638m/z</t>
  </si>
  <si>
    <t>3,4-Dihydroxy-9,10-Secoandrosta-1,3,5(10)-Triene-9,17-Dione</t>
  </si>
  <si>
    <t>LMST02020062</t>
  </si>
  <si>
    <t>C04793</t>
  </si>
  <si>
    <t>ko00984</t>
  </si>
  <si>
    <t>Steroid degradation</t>
  </si>
  <si>
    <t>[C@@]12([H])CCC(=O)[C@@]1(C)CCC(=O)[C@@]2([H])CCC1=C(C)C=CC(O)=C1O</t>
  </si>
  <si>
    <t>YUHVBHDSVLKFNI-NJSLBKSFSA-N</t>
  </si>
  <si>
    <t>Benzenediols</t>
  </si>
  <si>
    <t>C19H24O4</t>
  </si>
  <si>
    <t>6.29_555.2443m/z</t>
  </si>
  <si>
    <t>Phenylalanylhydroxyproline</t>
  </si>
  <si>
    <t>HMDB0011176</t>
  </si>
  <si>
    <t>90965-82-5</t>
  </si>
  <si>
    <t>N[C@@H](CC1=CC=CC=C1)C(=O)N1C[C@H](O)C[C@H]1C(O)=O</t>
  </si>
  <si>
    <t>WJSNJMXOBDSZDL-WOPDTQHZSA-N</t>
  </si>
  <si>
    <t>7.46_679.3281m/z</t>
  </si>
  <si>
    <t>Olitorin</t>
  </si>
  <si>
    <t>HMDB0034361</t>
  </si>
  <si>
    <t>13289-20-8</t>
  </si>
  <si>
    <t>CC1OC(CC(O)C1OC1OC(CO)C(O)C(O)C1O)OC1CCC2(C=O)C3CCC4(C)C(CCC4(O)C3CCC2(O)C1)C1=CC(=O)OC1</t>
  </si>
  <si>
    <t>KQBVSIZPUWODNU-UHFFFAOYSA-N</t>
  </si>
  <si>
    <t>C35H52O14</t>
  </si>
  <si>
    <t>8.16_593.2585m/z</t>
  </si>
  <si>
    <t>2-O-(Beta-D-Galactopyranosyl-(1-&gt;6)-Beta-D-Galactopyranosyl) 2s-Hydroxytridecanoic Acid</t>
  </si>
  <si>
    <t>LMFA13010048</t>
  </si>
  <si>
    <t>O([C@H]1[C@H](O)[C@@H](O)[C@@H](O)[C@@H](CO[C@H]2[C@H](O)[C@@H](O)[C@@H](O)[C@@H](CO)O2)O1)[C@@H](CCCCCCCCCCC)C(=O)O</t>
  </si>
  <si>
    <t>MBOSFCFYOLTTNJ-DOBKLUGSSA-N</t>
  </si>
  <si>
    <t>C25H46O13</t>
  </si>
  <si>
    <t>2.01_376.1367n</t>
  </si>
  <si>
    <t>(1x,2x)-Guaiacylglycerol 3-Glucoside</t>
  </si>
  <si>
    <t>HMDB0040600</t>
  </si>
  <si>
    <t>7094-73-7</t>
  </si>
  <si>
    <t>COC1=C(O)C=CC(=C1)C(O)C(O)COC1OC(CO)C(O)C(O)C1O</t>
  </si>
  <si>
    <t>JUYHDXTVLYGGTJ-UHFFFAOYSA-N</t>
  </si>
  <si>
    <t>C16H24O10</t>
  </si>
  <si>
    <t>5.27_672.4083m/z</t>
  </si>
  <si>
    <t>PI(22:1(11Z)/0:0)</t>
  </si>
  <si>
    <t>LMGP06050022</t>
  </si>
  <si>
    <t>[C@]([H])(O)(COP(=O)(O)O[C@H]1[C@H](O)[C@@H](O)[C@H](O)[C@@H](O)[C@H]1O)COC(CCCCCCCCC/C=C\CCCCCCCCCC)=O</t>
  </si>
  <si>
    <t>BDIUNBUZQYYDQG-LWVCMULMSA-N</t>
  </si>
  <si>
    <t>C31H59O12P</t>
  </si>
  <si>
    <t>6.39_418.2198n</t>
  </si>
  <si>
    <t>1-Dimethylarsinoyl-(3z,6z,9z,12z,15z,18z)-Docosahexaene</t>
  </si>
  <si>
    <t>LMFA11000717</t>
  </si>
  <si>
    <t>C(C/C=C\C/C=C\C/C=C\C/C=C\C/C=C\C/C=C\CCC)[As](C)(=O)C</t>
  </si>
  <si>
    <t>HMJBSBOBGPIMOY-WSDBEMKQSA-N</t>
  </si>
  <si>
    <t>Organometallic compounds</t>
  </si>
  <si>
    <t>Organometalloid compounds</t>
  </si>
  <si>
    <t>Organoarsenic compounds</t>
  </si>
  <si>
    <t>C24H39AsO</t>
  </si>
  <si>
    <t>7.07_284.1772n</t>
  </si>
  <si>
    <t>Methyltrienolone</t>
  </si>
  <si>
    <t>HMDB0254669</t>
  </si>
  <si>
    <t>CC1(O)CCC2C3CCC4=CC(=O)CCC4=C3C=CC12C</t>
  </si>
  <si>
    <t>CCCIJQPRIXGQOE-UHFFFAOYSA-N</t>
  </si>
  <si>
    <t>Estrane steroids</t>
  </si>
  <si>
    <t>C19H24O2</t>
  </si>
  <si>
    <t>0.78_336.1028n</t>
  </si>
  <si>
    <t>Firocoxib</t>
  </si>
  <si>
    <t>HMDB0252268</t>
  </si>
  <si>
    <t>C18363</t>
  </si>
  <si>
    <t>189954-96-9</t>
  </si>
  <si>
    <t>CC1(C)OC(=O)C(OCC2CC2)=C1C1=CC=C(C=C1)S(C)(=O)=O</t>
  </si>
  <si>
    <t>FULAPETWGIGNMT-UHFFFAOYSA-N</t>
  </si>
  <si>
    <t>Benzenesulfonyl compounds</t>
  </si>
  <si>
    <t>M+H-H2O, M+NH4, M+Na, M+K</t>
  </si>
  <si>
    <t>C17H20O5S</t>
  </si>
  <si>
    <t>7.07_336.1720n</t>
  </si>
  <si>
    <t>Tephrowatsin B</t>
  </si>
  <si>
    <t>LMPK12020283</t>
  </si>
  <si>
    <t>C1(OC)=C(C/C=C(/C)\C)C2O[C@H](C3C=CC=CC=3)C=CC=2C(OC)=C1</t>
  </si>
  <si>
    <t>GTWNOIJIMUFLGQ-IBGZPJMESA-N</t>
  </si>
  <si>
    <t>C22H24O3</t>
  </si>
  <si>
    <t>11.61_669.4152m/z</t>
  </si>
  <si>
    <t>DG(13:0/22:6(5Z,8E,10Z,13Z,15E,19Z)-2OH(7S, 17S)/0:0)</t>
  </si>
  <si>
    <t>HMDB0294957</t>
  </si>
  <si>
    <t>CCCCCCCCCCCCC(=O)OC[C@H](CO)OC(=O)CCC\C=C/[C@@H](O)\C=C\C=C/C\C=C/C=C/[C@@H](O)C\C=C/CC</t>
  </si>
  <si>
    <t>MDBBTXFHCZWXQS-CGTSZTNESA-N</t>
  </si>
  <si>
    <t>C38H62O7</t>
  </si>
  <si>
    <t>1.79_390.1155m/z</t>
  </si>
  <si>
    <t>Sitagliptin</t>
  </si>
  <si>
    <t>HMDB0015390</t>
  </si>
  <si>
    <t>486460-32-6</t>
  </si>
  <si>
    <t>N[C@@H](CC(=O)N1CCN2C(C1)=NN=C2C(F)(F)F)CC1=CC(F)=C(F)C=C1F</t>
  </si>
  <si>
    <t>MFFMDFFZMYYVKS-SECBINFHSA-N</t>
  </si>
  <si>
    <t>C16H15F6N5O</t>
  </si>
  <si>
    <t>4.51_596.1373n</t>
  </si>
  <si>
    <t>Quercetin 3-Xylosyl-(1-&gt;6)-Glucoside</t>
  </si>
  <si>
    <t>HMDB0040488</t>
  </si>
  <si>
    <t>142905-18-8</t>
  </si>
  <si>
    <t>OC1COC(OCC2OC(OC3=C(OC4=CC(O)=CC(O)=C4C3=O)C3=CC(O)=C(O)C=C3)C(O)C(O)C2O)C(O)C1O</t>
  </si>
  <si>
    <t>YNMFDPCLPIMRFD-UHFFFAOYSA-N</t>
  </si>
  <si>
    <t>13.74_918.6709m/z</t>
  </si>
  <si>
    <t>PC(O-22:1(13Z)/22:3(10Z,13Z,16Z))</t>
  </si>
  <si>
    <t>HMDB0013453</t>
  </si>
  <si>
    <t>LMGP01020276</t>
  </si>
  <si>
    <t>[C@](COP(=O)([O-])OCC[N+](C)(C)C)([H])(OC(CCCCCCCC/C=C\C/C=C\C/C=C\CCCCC)=O)COCCCCCCCCCCCC/C=C\CCCCCCCC</t>
  </si>
  <si>
    <t>ADCPDRAGQLKVRI-DFPONBFASA-N</t>
  </si>
  <si>
    <t>C52H98NO7P</t>
  </si>
  <si>
    <t>13.26_636.5032m/z</t>
  </si>
  <si>
    <t>1-(O-Alpha-D-Glucopyranosyl)-3-Keto-(1,25r,27r)-Octacosanetriol</t>
  </si>
  <si>
    <t>LMFA13010023</t>
  </si>
  <si>
    <t>O([C@@H]1[C@H](O)[C@@H](O)[C@H](O)[C@@H](CO)O1)CCC(=O)CCCCCCCCCCCCCCCCCCCCC[C@H](O)C[C@H](O)C</t>
  </si>
  <si>
    <t>RNTKVHFMPKUBEV-LVDOKWIRSA-N</t>
  </si>
  <si>
    <t>C34H66O9</t>
  </si>
  <si>
    <t>9.75_520.2671n</t>
  </si>
  <si>
    <t>Withaperuvin D</t>
  </si>
  <si>
    <t>HMDB0030116</t>
  </si>
  <si>
    <t>87749-17-5</t>
  </si>
  <si>
    <t>CC1=C(C)C(=O)OC(C1)C(C)(O)C1(O)CCC2(O)C3CC4OC5CC(=O)C(C)(C3CCC12C)C4(O)C5O</t>
  </si>
  <si>
    <t>DMAZCUJZFYKTRY-UHFFFAOYSA-N</t>
  </si>
  <si>
    <t>C28H40O9</t>
  </si>
  <si>
    <t>1.06_192.0260n</t>
  </si>
  <si>
    <t>Citric Acid</t>
  </si>
  <si>
    <t>HMDB0000094</t>
  </si>
  <si>
    <t>C00158</t>
  </si>
  <si>
    <t>ko00020,ko00250,ko00630,ko00720,ko00997,ko01053,ko02020,ko04742,ko04922,ko05230</t>
  </si>
  <si>
    <t>Citrate cycle (TCA cycle)|Alanine, aspartate and glutamate metabolism|Glyoxylate and dicarboxylate metabolism|Carbon fixation pathways in prokaryotes|Biosynthesis of various secondary metabolites - part 3|Biosynthesis of siderophore group nonribosomal peptides|Two-component system|Taste transduction|Glucagon signaling pathway|Central carbon metabolism in cancer</t>
  </si>
  <si>
    <t>77-92-9</t>
  </si>
  <si>
    <t>OC(=O)CC(O)(CC(O)=O)C(O)=O</t>
  </si>
  <si>
    <t>KRKNYBCHXYNGOX-UHFFFAOYSA-N</t>
  </si>
  <si>
    <t>4.84_310.0686n</t>
  </si>
  <si>
    <t>Mono-Trans-P-Coumaroylmesotartaric Acid</t>
  </si>
  <si>
    <t>HMDB0029783</t>
  </si>
  <si>
    <t>27174-06-7</t>
  </si>
  <si>
    <t>OC(CC(O)=O)C(OC(=O)\C=C\C1=CC=C(O)C=C1)C(O)=O</t>
  </si>
  <si>
    <t>WZHTXSWUIFRTCQ-ZZXKWVIFSA-N</t>
  </si>
  <si>
    <t>M-H2O-H, 2M-H</t>
  </si>
  <si>
    <t>C14H14O8</t>
  </si>
  <si>
    <t>2.45_697.1984m/z</t>
  </si>
  <si>
    <t>3',4',5'-Trimethoxytricetin 7-[Rhamnosyl-(1-&gt;6)-Glucoside]</t>
  </si>
  <si>
    <t>HMDB0035439</t>
  </si>
  <si>
    <t>289915-88-4</t>
  </si>
  <si>
    <t>COC1=CC(=CC(OC)=C1OC)C1=CC(=O)C2=C(O)C=C(OC3OC(COC4OC(C)C(O)C(O)C4O)C(O)C(O)C3O)C=C2O1</t>
  </si>
  <si>
    <t>QVXXLWMUTXHCGR-UHFFFAOYSA-N</t>
  </si>
  <si>
    <t>5.09_810.4812n</t>
  </si>
  <si>
    <t>PA(22:5(4Z,7Z,10Z,13Z,16Z)/22:6(5Z,7Z,10Z,13Z,16Z,19Z)-OH(4))</t>
  </si>
  <si>
    <t>HMDB0266041</t>
  </si>
  <si>
    <t>[H][C@@](COC(=O)CC\C=C/C\C=C/C\C=C/C\C=C/C\C=C/CCCCC)(COP(O)(O)=O)OC(=O)CCC(O)\C=C/C=C\C\C=C/C\C=C/C\C=C/C\C=C/CC</t>
  </si>
  <si>
    <t>AIVLDUCHWNXUBO-QVKIKJMTSA-N</t>
  </si>
  <si>
    <t>C47H71O9P</t>
  </si>
  <si>
    <t>5.54_703.3091m/z</t>
  </si>
  <si>
    <t>Am2232</t>
  </si>
  <si>
    <t>335161-19-8</t>
  </si>
  <si>
    <t>C1=CC=C2C(=C1)C=CC=C2C(=O)C3=CN(C4=CC=CC=C43)CCCCC#N</t>
  </si>
  <si>
    <t>VWVAIBKHFCUSMD-UHFFFAOYSA-N</t>
  </si>
  <si>
    <t>Indoles and derivatives</t>
  </si>
  <si>
    <t>Naphthoylindoles</t>
  </si>
  <si>
    <t>C24H20N2O</t>
  </si>
  <si>
    <t>10.53_282.1980n</t>
  </si>
  <si>
    <t>All-Trans-Dehydroretinal</t>
  </si>
  <si>
    <t>HMDB0035695</t>
  </si>
  <si>
    <t>LMPR01090006</t>
  </si>
  <si>
    <t>C05918</t>
  </si>
  <si>
    <t>472-87-7</t>
  </si>
  <si>
    <t>C1(/C=C/C(/C)=C/C=C/C(/C)=C/C=O)=C(C)C=CCC1(C)C</t>
  </si>
  <si>
    <t>QHNVWXUULMZJKD-OVSJKPMPSA-N</t>
  </si>
  <si>
    <t>Retinoids</t>
  </si>
  <si>
    <t>C20H26O</t>
  </si>
  <si>
    <t>13.32_476.3956m/z</t>
  </si>
  <si>
    <t>Ascr#36</t>
  </si>
  <si>
    <t>LMFA13040019</t>
  </si>
  <si>
    <t>O([C@@H](CCCCCCCCCCCCCCCCCC(=O)O)C)[C@H]1[C@H](O)C[C@@H](O)[C@H](C)O1</t>
  </si>
  <si>
    <t>HXSYLHMSXGUNTO-DHWOPMESSA-N</t>
  </si>
  <si>
    <t>C26H50O6</t>
  </si>
  <si>
    <t>4.19_375.0848m/z</t>
  </si>
  <si>
    <t>1-Nitrohydroxyphenyl-N-Benzoylalanine</t>
  </si>
  <si>
    <t>HMDB0243965</t>
  </si>
  <si>
    <t>OC(=O)C(CC1=CC(=C(O)C=C1)[N+]([O-])=O)NC(=O)C1=CC=CC=C1</t>
  </si>
  <si>
    <t>CYNAPIVXKRLDER-UHFFFAOYSA-N</t>
  </si>
  <si>
    <t>C16H14N2O6</t>
  </si>
  <si>
    <t>5.45_553.3385m/z</t>
  </si>
  <si>
    <t>Contignasterol</t>
  </si>
  <si>
    <t>HMDB0250439</t>
  </si>
  <si>
    <t>CC(C)C1CC(O)OC(C1)C(C)C1CC(=O)C2C3C(O)C(O)C4C(O)C(O)CCC4(C)C3CCC12C</t>
  </si>
  <si>
    <t>IRHVLQMEQPABHG-UHFFFAOYSA-N</t>
  </si>
  <si>
    <t>C29H48O7</t>
  </si>
  <si>
    <t>3.75_665.2047m/z</t>
  </si>
  <si>
    <t>Pinocembrin 7-Apiosyl-(1-&gt;5)-Apiosyl-(1-&gt;2)-Glucoside</t>
  </si>
  <si>
    <t>LMPK12140145</t>
  </si>
  <si>
    <t>C1(O[C@H]2[C@H](O[C@H]3[C@@H]([C@@](CO[C@H]4[C@@H]([C@@](CO)(CO4)O)O)(CO3)O)O)[C@@H](O)[C@H](O)[C@@H](CO)O2)C=C(O)C2C(=O)CC(C3C=CC=CC=3)OC=2C=1</t>
  </si>
  <si>
    <t>OGHKMYABKJLKTL-XXIVRLONSA-N</t>
  </si>
  <si>
    <t>C31H38O17</t>
  </si>
  <si>
    <t>6.59_802.3607m/z</t>
  </si>
  <si>
    <t>Fumonisin A1</t>
  </si>
  <si>
    <t>HMDB0034713</t>
  </si>
  <si>
    <t>117415-48-2</t>
  </si>
  <si>
    <t>CCCCC(C)C(OC(=O)CC(CC(O)=O)C(O)=O)C(CC(C)CC(O)CCCCC(O)CC(O)C(C)\N=C(\C)O)OC(=O)CC(CC(O)=O)C(O)=O</t>
  </si>
  <si>
    <t>ADACAMXIRQREOB-UHFFFAOYSA-N</t>
  </si>
  <si>
    <t>C36H61NO16</t>
  </si>
  <si>
    <t>4.42_496.3026n</t>
  </si>
  <si>
    <t>20,26-Dihydroxyecdysone</t>
  </si>
  <si>
    <t>HMDB0245570</t>
  </si>
  <si>
    <t>CC(O)(CO)CCC(O)C(C)(O)C1CCC2(O)C3=CC(=O)C4CC(O)C(O)CC4(C)C3CCC12C</t>
  </si>
  <si>
    <t>RRCGNPRHZQPOOT-UHFFFAOYSA-N</t>
  </si>
  <si>
    <t>1.83_327.0978m/z</t>
  </si>
  <si>
    <t>2,6-Dimethyl-4-(2-Nitrophenyl)-3,4-Dihydropyridine-3,5-Dicarboxylic Acid Dimethyl Ester</t>
  </si>
  <si>
    <t>HMDB0255502</t>
  </si>
  <si>
    <t>COC(=O)C1C(C2=CC=CC=C2[N+]([O-])=O)C(C(=O)OC)=C(C)N=C1C</t>
  </si>
  <si>
    <t>OSUCQKNXQBPLDG-UHFFFAOYSA-N</t>
  </si>
  <si>
    <t>Pyridines and derivatives</t>
  </si>
  <si>
    <t>Hydropyridines</t>
  </si>
  <si>
    <t>C17H18N2O6</t>
  </si>
  <si>
    <t>6.12_647.3175m/z</t>
  </si>
  <si>
    <t>PI(22:4(7Z,10Z,13Z,16Z)/0:0)</t>
  </si>
  <si>
    <t>LMGP06050013</t>
  </si>
  <si>
    <t>[C@]([H])(O)(COP(=O)(O)O[C@H]1[C@H](O)[C@@H](O)[C@H](O)[C@@H](O)[C@H]1O)COC(CCCCC/C=C\C/C=C\C/C=C\C/C=C\CCCCC)=O</t>
  </si>
  <si>
    <t>GPSKQWIOURHOEX-SLQRFUTESA-N</t>
  </si>
  <si>
    <t>C31H53O12P</t>
  </si>
  <si>
    <t>7.43_631.3233m/z</t>
  </si>
  <si>
    <t>Tetrahydrogambogic Acid</t>
  </si>
  <si>
    <t>CC(=CCCC1(C=CC2=C(C3=C(C(=C2O1)CC=C(C)C)OC45C(C3=O)CC6CC4C(OC5(C6O)CC=C(C)C(=O)O)(C)C)O)C)C</t>
  </si>
  <si>
    <t>CXFIQFGADOTDPF-XKZIYDEJSA-N</t>
  </si>
  <si>
    <t>Benzopyrans</t>
  </si>
  <si>
    <t>1-benzopyrans</t>
  </si>
  <si>
    <t>C38H48O8</t>
  </si>
  <si>
    <t>4.07_452.1296n</t>
  </si>
  <si>
    <t>Epicatechin 3-Glucoside</t>
  </si>
  <si>
    <t>HMDB0037943</t>
  </si>
  <si>
    <t>103303-00-0</t>
  </si>
  <si>
    <t>OCC1OC(OC2CC3=C(OC2C2=CC(O)=C(O)C=C2)C=C(O)C=C3O)C(O)C(O)C1O</t>
  </si>
  <si>
    <t>YOVYWMDLYSJYPO-UHFFFAOYSA-N</t>
  </si>
  <si>
    <t>C21H24O11</t>
  </si>
  <si>
    <t>11.78_857.5606m/z</t>
  </si>
  <si>
    <t>SM(d20:1/22:6(5Z,7Z,10Z,13Z,16Z,19Z)-OH(4))</t>
  </si>
  <si>
    <t>HMDB0290750</t>
  </si>
  <si>
    <t>[H][C@@](COP([O-])(=O)OCC[N+](C)(C)C)(NC(=O)CCC(O)\C=C/C=C\C\C=C/C\C=C/C\C=C/C\C=C/CC)[C@H](O)\C=C\CCCCCCCCCCCCCCC</t>
  </si>
  <si>
    <t>KJPVZTMEFPUZPC-UYQAEJRRSA-N</t>
  </si>
  <si>
    <t>C47H83N2O7P</t>
  </si>
  <si>
    <t>4.88_648.3566n</t>
  </si>
  <si>
    <t>Proctolin</t>
  </si>
  <si>
    <t>HMDB0256789</t>
  </si>
  <si>
    <t>CC(C)CC(NC(=O)C(CC1=CC=C(O)C=C1)NC(=O)C(N)CCCN=C(N)N)C(=O)N1CCCC1C(=O)NC(C(C)O)C(O)=O</t>
  </si>
  <si>
    <t>KKUPPLMEDQDAJX-UHFFFAOYSA-N</t>
  </si>
  <si>
    <t>M+NH4, M+K, M+Na, M+H</t>
  </si>
  <si>
    <t>C30H48N8O8</t>
  </si>
  <si>
    <t>5.51_611.3085n</t>
  </si>
  <si>
    <t>Pg-Ps</t>
  </si>
  <si>
    <t>LMGP20040016</t>
  </si>
  <si>
    <t>C(O)(=O)[C@@]([H])(N)COP(OC[C@]([H])(OC(CCCC(=O)O)=O)COC(CCCCCCCCCCCCCCC)=O)(=O)O</t>
  </si>
  <si>
    <t>GLCJANLAKISVBJ-PKTZIBPZSA-N</t>
  </si>
  <si>
    <t>C27H50NO12P</t>
  </si>
  <si>
    <t>5.57_544.3222m/z</t>
  </si>
  <si>
    <t>Isodesmosine</t>
  </si>
  <si>
    <t>HMDB0000739</t>
  </si>
  <si>
    <t>991-01-5</t>
  </si>
  <si>
    <t>NC(CCCC[N+]1=CC(CCC(N)C(O)=O)=CC(CCC(N)C(O)=O)=C1CCCC(N)C(O)=O)C(O)=O</t>
  </si>
  <si>
    <t>RGXCTRIQQODGIZ-UHFFFAOYSA-O</t>
  </si>
  <si>
    <t>C24H40N5O8+</t>
  </si>
  <si>
    <t>13.75_532.3757m/z</t>
  </si>
  <si>
    <t>PC(20:1(11Z)/0:0)</t>
  </si>
  <si>
    <t>HMDB0010391</t>
  </si>
  <si>
    <t>LMGP01050131</t>
  </si>
  <si>
    <t>[C@](COP(=O)([O-])OCC[N+](C)(C)C)([H])(O)COC(CCCCCCCCC/C=C\CCCCCCCC)=O</t>
  </si>
  <si>
    <t>YYSFWGQAKJTHRE-MEOKJUQFSA-N</t>
  </si>
  <si>
    <t>C28H56NO7P</t>
  </si>
  <si>
    <t>0.72_324.1053n</t>
  </si>
  <si>
    <t>Difructose Anhydride Iii</t>
  </si>
  <si>
    <t>HMDB0251271</t>
  </si>
  <si>
    <t>OCC1OC2(CO)OCC3(OC(CO)C(O)C3O)OC2C1O</t>
  </si>
  <si>
    <t>KSRQDWNGXKYIDO-UHFFFAOYSA-N</t>
  </si>
  <si>
    <t>M+K, M+NH4, M+Na, M+H-H2O</t>
  </si>
  <si>
    <t>C12H20O10</t>
  </si>
  <si>
    <t>0.62_119.0371n</t>
  </si>
  <si>
    <t>1,2-Benzisoxazole</t>
  </si>
  <si>
    <t>HMDB0244058</t>
  </si>
  <si>
    <t>O1N=CC2=CC=CC=C12</t>
  </si>
  <si>
    <t>KTZQTRPPVKQPFO-UHFFFAOYSA-N</t>
  </si>
  <si>
    <t>Benzisoxazoles</t>
  </si>
  <si>
    <t>C7H5NO</t>
  </si>
  <si>
    <t>0.72_666.2200n</t>
  </si>
  <si>
    <t>Maltotetraose</t>
  </si>
  <si>
    <t>C02052</t>
  </si>
  <si>
    <t>34612-38-9</t>
  </si>
  <si>
    <t>C(C1C(C(C(C(O1)OC2C(OC(C(C2O)O)OC3C(OC(C(C3O)O)OC4C(OC(C(C4O)O)O)CO)CO)CO)O)O)O)O</t>
  </si>
  <si>
    <t>LUEWUZLMQUOBSB-ZLBHSGTGSA-N</t>
  </si>
  <si>
    <t>M+H-H2O, M+Na, M+K, M+NH4</t>
  </si>
  <si>
    <t>C24H42O21</t>
  </si>
  <si>
    <t>1.06_174.0164n</t>
  </si>
  <si>
    <t>Dehydroascorbide(1-)</t>
  </si>
  <si>
    <t>HMDB0062706</t>
  </si>
  <si>
    <t>OCC(O)C1=C(O)C(=O)C(=O)O1</t>
  </si>
  <si>
    <t>JMMUPWYGEQCUML-UHFFFAOYSA-N</t>
  </si>
  <si>
    <t>Dihydrofurans</t>
  </si>
  <si>
    <t>Furanones</t>
  </si>
  <si>
    <t>M+H-H2O, M+K, M+Na</t>
  </si>
  <si>
    <t>6.56_608.2347m/z</t>
  </si>
  <si>
    <t>Qynad</t>
  </si>
  <si>
    <t>HMDB0006730</t>
  </si>
  <si>
    <t>290814-98-1</t>
  </si>
  <si>
    <t>C[C@H](NC(=O)[C@H](CC(N)=O)NC(=O)[C@H](CC1=CC=C(O)C=C1)NC(=O)[C@@H](N)CCC(N)=O)C(=O)N[C@@H](CC(O)=O)C(O)=O</t>
  </si>
  <si>
    <t>WKBAPRRMZYHPNB-BXBUPLCLSA-N</t>
  </si>
  <si>
    <t>C25H35N7O11</t>
  </si>
  <si>
    <t>6.27_532.2303n</t>
  </si>
  <si>
    <t>Dehydroandrographolide Succinate</t>
  </si>
  <si>
    <t>HMDB0250944</t>
  </si>
  <si>
    <t>CC1(COC(=O)CCC(O)=O)C(CCC2(C)C1CCC(=C)C2C=CC1=CCOC1=O)OC(=O)CCC(O)=O</t>
  </si>
  <si>
    <t>YTHKMAIVPFVDNU-UHFFFAOYSA-N</t>
  </si>
  <si>
    <t>C28H36O10</t>
  </si>
  <si>
    <t>0.72_903.7669m/z</t>
  </si>
  <si>
    <t>2-Hydroxy-24-Keto-Octacosanolide</t>
  </si>
  <si>
    <t>LMFA07040063</t>
  </si>
  <si>
    <t>C1(OCCCCC(=O)CCCCCCCCCCCCCCCCCCCCCC1O)=O</t>
  </si>
  <si>
    <t>XHLPRIJMQZUNTK-UHFFFAOYSA-N</t>
  </si>
  <si>
    <t>C28H52O4</t>
  </si>
  <si>
    <t>8.38_594.3418m/z</t>
  </si>
  <si>
    <t>Deoxycholyl-L-Dopa</t>
  </si>
  <si>
    <t>HMDB0242439</t>
  </si>
  <si>
    <t>CC(CCC(=O)NC(CC1=CC=C(O)C(O)=C1)C(O)=O)C1CCC2C3CCC4CC(O)CCC4(C)C3CC(O)C12C</t>
  </si>
  <si>
    <t>JETMSKKNSNPVER-UHFFFAOYSA-N</t>
  </si>
  <si>
    <t>C33H49NO7</t>
  </si>
  <si>
    <t>5.60_667.2816m/z</t>
  </si>
  <si>
    <t>Amifloxacin</t>
  </si>
  <si>
    <t>HMDB0041826</t>
  </si>
  <si>
    <t>86393-37-5</t>
  </si>
  <si>
    <t>CNN1C=C(C(O)=O)C(=O)C2=CC(F)=C(C=C12)N1CCN(C)CC1</t>
  </si>
  <si>
    <t>RUXPNBWPIRDVTH-UHFFFAOYSA-N</t>
  </si>
  <si>
    <t>Quinoline carboxylic acids</t>
  </si>
  <si>
    <t>C16H19FN4O3</t>
  </si>
  <si>
    <t>4.45_487.1817m/z</t>
  </si>
  <si>
    <t>Lusitanicoside</t>
  </si>
  <si>
    <t>HMDB0034120</t>
  </si>
  <si>
    <t>C10474</t>
  </si>
  <si>
    <t>CC1OC(OCC2OC(OC3=CC=C(CC=C)C=C3)C(O)C(O)C2O)C(O)C(O)C1O</t>
  </si>
  <si>
    <t>DAELTTGCCPRYTP-UHFFFAOYSA-N</t>
  </si>
  <si>
    <t>C21H30O10</t>
  </si>
  <si>
    <t>4.23_328.1496n</t>
  </si>
  <si>
    <t>Zataroside B</t>
  </si>
  <si>
    <t>CC1=CC(=C(C=C1OC2C(C(C(C(O2)CO)O)O)O)C(C)C)O</t>
  </si>
  <si>
    <t>XFPSRAYOBUHKRV-IBEHDNSVSA-N</t>
  </si>
  <si>
    <t>10.53_342.2191n</t>
  </si>
  <si>
    <t>17-Hydroxymethylethisterone</t>
  </si>
  <si>
    <t>HMDB0060710</t>
  </si>
  <si>
    <t>C[C@]12CC[C@H]3[C@@H](CCC4=CC(=O)[C@H](CO)C[C@]34C)[C@@H]1CCC2(O)C#C</t>
  </si>
  <si>
    <t>JGJFMZZHCOKXHX-RIONBYPISA-N</t>
  </si>
  <si>
    <t>Androstane steroids</t>
  </si>
  <si>
    <t>C22H30O3</t>
  </si>
  <si>
    <t>10.66_521.3479n</t>
  </si>
  <si>
    <t>PC(18:1(11Z)/0:0)</t>
  </si>
  <si>
    <t>HMDB0010385</t>
  </si>
  <si>
    <t>LMGP01050138</t>
  </si>
  <si>
    <t>C(OP(OCC[N+](C)(C)C)(=O)[O-])[C@@](O)([H])COC(=O)CCCCCCCCC/C=C\CCCCCC</t>
  </si>
  <si>
    <t>PZRFVAHZNWPPAC-VBKSFVIKSA-N</t>
  </si>
  <si>
    <t>C26H52NO7P</t>
  </si>
  <si>
    <t>4.05_416.1680n</t>
  </si>
  <si>
    <t>Phenylethyl Primeveroside</t>
  </si>
  <si>
    <t>HMDB0041274</t>
  </si>
  <si>
    <t>129932-48-5</t>
  </si>
  <si>
    <t>OC1COC(OCC2OC(OCCC3=CC=CC=C3)C(O)C(O)C2O)C(O)C1O</t>
  </si>
  <si>
    <t>ZRGXCWYRIBRSQA-UHFFFAOYSA-N</t>
  </si>
  <si>
    <t>10.91_906.5407m/z</t>
  </si>
  <si>
    <t>SM(d18:2(4E,14Z)/LTE4)</t>
  </si>
  <si>
    <t>HMDB0290573</t>
  </si>
  <si>
    <t>CCCCC\C=C/C\C=C/C=C/C=C/[C@@H](SC[C@H](N)C(=O)N[C@@H](COP([O-])(=O)OCC[N+](C)(C)C)[C@H](O)\C=C\CCCCCCCC\C=C/CCC)[C@@H](O)CCCC(O)=O</t>
  </si>
  <si>
    <t>XBSAKJDPHKQDGA-MWLDXJKNSA-N</t>
  </si>
  <si>
    <t>C46H82N3O9PS</t>
  </si>
  <si>
    <t>10.46_571.2876m/z</t>
  </si>
  <si>
    <t>PI(16:1(9Z)/0:0)</t>
  </si>
  <si>
    <t>LMGP06050009</t>
  </si>
  <si>
    <t>[C@]([H])(O)(COP(=O)(O)O[C@H]1[C@H](O)[C@@H](O)[C@H](O)[C@@H](O)[C@H]1O)COC(CCCCCCC/C=C\CCCCCC)=O</t>
  </si>
  <si>
    <t>VPFGUPHJCAHVJV-YUCDOUPMSA-N</t>
  </si>
  <si>
    <t>C25H47O12P</t>
  </si>
  <si>
    <t>6.27_649.3549m/z</t>
  </si>
  <si>
    <t>Ponasteroside A</t>
  </si>
  <si>
    <t>HMDB0034091</t>
  </si>
  <si>
    <t>20117-33-3</t>
  </si>
  <si>
    <t>[H][C@@]1(CC[C@@]2(O)C3=CC(=O)[C@]4([H])C[C@@H](O[C@]5([H])O[C@H](CO)[C@@H](O)[C@H](O)[C@H]5O)[C@@H](O)C[C@]4(C)[C@@]3([H])CC[C@]12C)[C@@](C)(O)[C@H](O)CCC(C)C</t>
  </si>
  <si>
    <t>CNAKQRUFJWYXIC-PPOCGGKUSA-N</t>
  </si>
  <si>
    <t>C33H54O11</t>
  </si>
  <si>
    <t>6.44_511.3271m/z</t>
  </si>
  <si>
    <t>28-Norbrassinolide</t>
  </si>
  <si>
    <t>HMDB0302397</t>
  </si>
  <si>
    <t>[H][C@@]1(CC[C@@]2([H])[C@]3([H])COC(=O)[C@@]4([H])C[C@H](O)[C@H](O)C[C@]4(C)[C@@]3([H])CC[C@]12C)[C@H](C)[C@@H](O)[C@H](O)CC(C)C</t>
  </si>
  <si>
    <t>CJNLSQRTIXIHGW-BNYRCUELSA-N</t>
  </si>
  <si>
    <t>C27H46O6</t>
  </si>
  <si>
    <t>4.86_490.2048n</t>
  </si>
  <si>
    <t>Cymorcin Diglucoside</t>
  </si>
  <si>
    <t>HMDB0039386</t>
  </si>
  <si>
    <t>CC(C)C1=CC(OC2OC(CO)C(O)C(O)C2O)=C(C)C(OC2OC(CO)C(O)C(O)C2O)=C1</t>
  </si>
  <si>
    <t>STVIMSVCYHRGIY-UHFFFAOYSA-N</t>
  </si>
  <si>
    <t>C22H34O12</t>
  </si>
  <si>
    <t>11.61_625.3900m/z</t>
  </si>
  <si>
    <t>12-Deoxyphorbol 13-Palmitate</t>
  </si>
  <si>
    <t>CCCCCCCCCCCCCCCC(=O)OC12CC(C3(C(C1C2(C)C)C=C(CC4(C3C=C(C4=O)C)O)CO)O)C</t>
  </si>
  <si>
    <t>QUVRUINWOFZNJL-IEIRSVMLSA-N</t>
  </si>
  <si>
    <t>C36H58O6</t>
  </si>
  <si>
    <t>5.52_619.2752m/z</t>
  </si>
  <si>
    <t>Pipercyclobutanamide B</t>
  </si>
  <si>
    <t>HMDB0036361</t>
  </si>
  <si>
    <t>O=C(\C=C/C1C(\C=C\C=C\C2=CC3=C(OCO3)C=C2)C(C1C1=CC2=C(OCO2)C=C1)C(=O)N1CCCCC1)N1CCCCC1</t>
  </si>
  <si>
    <t>QFSZYBIYCZLMMS-XTZMCFBISA-N</t>
  </si>
  <si>
    <t>Benzodioxoles</t>
  </si>
  <si>
    <t>C36H40N2O6</t>
  </si>
  <si>
    <t>6.11_424.2093n</t>
  </si>
  <si>
    <t>8beta-Angeloyloxy-15-Hydroxy-1alpha,10r-Dimethoxy-3-Oxo-11(13)-Germacren-12,6alpha-Olide</t>
  </si>
  <si>
    <t>HMDB0039013</t>
  </si>
  <si>
    <t>COC1CC(=O)C(CO)CC2OC(=O)C(=C)C2C(CC1(C)OC)OC(=O)C(\C)=C\C</t>
  </si>
  <si>
    <t>LOQBOYSPYWSYGO-KPKJPENVSA-N</t>
  </si>
  <si>
    <t>C22H32O8</t>
  </si>
  <si>
    <t>5.52_530.9648m/z</t>
  </si>
  <si>
    <t>2-[(3-Iodophenyl)Methyl]-1-[[N'-[(3-Iodophenyl)Methyl]Carbamimidoyl]Amino]Guanidine</t>
  </si>
  <si>
    <t>HMDB0255366</t>
  </si>
  <si>
    <t>NC(NNC(N)=NCC1=CC(I)=CC=C1)=NCC1=CC(I)=CC=C1</t>
  </si>
  <si>
    <t>INXCCTQPWWSKRH-UHFFFAOYSA-N</t>
  </si>
  <si>
    <t>C16H18I2N6</t>
  </si>
  <si>
    <t>3.41_337.0694m/z</t>
  </si>
  <si>
    <t>1-Galactopyranosyl-5-Fluorouracil</t>
  </si>
  <si>
    <t>HMDB0258079</t>
  </si>
  <si>
    <t>OCC1OC(C(O)C(O)C1O)N1C=C(F)C(=O)NC1=O</t>
  </si>
  <si>
    <t>YHWGRVDTEORPPJ-UHFFFAOYSA-N</t>
  </si>
  <si>
    <t>C10H13FN2O7</t>
  </si>
  <si>
    <t>5.66_346.2141n</t>
  </si>
  <si>
    <t>21-Deoxycortisol</t>
  </si>
  <si>
    <t>HMDB04030</t>
  </si>
  <si>
    <t>LMST02030195</t>
  </si>
  <si>
    <t>C05497</t>
  </si>
  <si>
    <t>ko00140</t>
  </si>
  <si>
    <t>Steroid hormone biosynthesis</t>
  </si>
  <si>
    <t>641-77-0</t>
  </si>
  <si>
    <t>[C@@]12([H])CCC3=CC(=O)CC[C@]3(C)[C@@]1([H])[C@@H](O)C[C@]1(C)[C@@](O)(C(=O)C)CC[C@@]21[H]</t>
  </si>
  <si>
    <t>LCZBQMKVFQNSJR-UJPCIWJBSA-N</t>
  </si>
  <si>
    <t>C21H30O4</t>
  </si>
  <si>
    <t>5.39_540.2960m/z</t>
  </si>
  <si>
    <t>Exiguaflavanone D</t>
  </si>
  <si>
    <t>LMPK12140483</t>
  </si>
  <si>
    <t>C1(C/C=C(\C)/C)C(O)=C(CC(C/C=C(\C)/C)C(C)=C)C2OC(C3C(O)=CC(OC)=CC=3O)CC(=O)C=2C=1O</t>
  </si>
  <si>
    <t>GVIHRMQHJHVHCT-UHFFFAOYSA-N</t>
  </si>
  <si>
    <t>C31H38O7</t>
  </si>
  <si>
    <t>4.60_449.1086m/z</t>
  </si>
  <si>
    <t>Aromadendrin 3-Galactoside</t>
  </si>
  <si>
    <t>HMDB0301924</t>
  </si>
  <si>
    <t>OC[C@H]1O[C@@H](OC2C(OC3=C(C(O)=CC(O)=C3)C2=O)C2=CC=C(O)C=C2)[C@H](O)[C@@H](O)[C@H]1O</t>
  </si>
  <si>
    <t>VWBWQPAZMNABMR-NOVPTQFRSA-N</t>
  </si>
  <si>
    <t>C21H22O11</t>
  </si>
  <si>
    <t>5.67_646.3566m/z</t>
  </si>
  <si>
    <t>Apicidin</t>
  </si>
  <si>
    <t>HMDB0248512</t>
  </si>
  <si>
    <t>CCC(C)C1NC(=O)C(CC2=CN(OC)C3=CC=CC=C23)NC(=O)C(CCCCCC(=O)CC)NC(=O)C2CCCCN2C1=O</t>
  </si>
  <si>
    <t>JWOGUUIOCYMBPV-UHFFFAOYSA-N</t>
  </si>
  <si>
    <t>C34H49N5O6</t>
  </si>
  <si>
    <t>6.01_724.3335m/z</t>
  </si>
  <si>
    <t>Ohhdia-Ps</t>
  </si>
  <si>
    <t>LMGP20040028</t>
  </si>
  <si>
    <t>C(O)(=O)[C@@]([H])(N)COP(OC[C@]([H])(OC(CCC(O)/C=C/C(=O)O)=O)COC(CCCCCCC/C=C\CCCCCCCC)=O)(=O)O</t>
  </si>
  <si>
    <t>QIEJUDQZVLLPBX-FIGFAOPCSA-N</t>
  </si>
  <si>
    <t>C31H54NO13P</t>
  </si>
  <si>
    <t>6.94_479.3362m/z</t>
  </si>
  <si>
    <t>Polyporusterone A</t>
  </si>
  <si>
    <t>HMDB0038495</t>
  </si>
  <si>
    <t>141360-88-5</t>
  </si>
  <si>
    <t>CC(C)C(C)CC(O)C(C)(O)C1CCC2(O)C3=CC(=O)C4CC(O)C(O)CC4(C)C3CCC12C</t>
  </si>
  <si>
    <t>KQBCIGPPRFLKLS-UHFFFAOYSA-N</t>
  </si>
  <si>
    <t>C28H46O6</t>
  </si>
  <si>
    <t>7.74_574.2769n</t>
  </si>
  <si>
    <t>Asclepin</t>
  </si>
  <si>
    <t>LMST01120051</t>
  </si>
  <si>
    <t>C08849</t>
  </si>
  <si>
    <t>36573-63-4</t>
  </si>
  <si>
    <t>C1[C@@]2([H])O[C@@]3(O)[C@@H](OC(C)=O)C[C@@H](C)O[C@@]3([H])O[C@]2([H])C[C@]2([H])CC[C@@]3([H])[C@]4(CC[C@H](C5=CC(=O)OC5)[C@@]4(C)CC[C@]3([H])[C@@]12C=O)O</t>
  </si>
  <si>
    <t>OXKMZIABKYHLAR-SVDYBJNLSA-N</t>
  </si>
  <si>
    <t>M+H-H2O, M+Na, M+NH4</t>
  </si>
  <si>
    <t>C31H42O10</t>
  </si>
  <si>
    <t>3.90_285.0944m/z</t>
  </si>
  <si>
    <t>4'-Azidocytidine</t>
  </si>
  <si>
    <t>HMDB0246625</t>
  </si>
  <si>
    <t>NC1=NC(=O)N(C=C1)C1OC(CO)(N=[N+]=[N-])C(O)C1O</t>
  </si>
  <si>
    <t>ODLGMSQBFONGNG-UHFFFAOYSA-N</t>
  </si>
  <si>
    <t>C9H12N6O5</t>
  </si>
  <si>
    <t>7.12_672.2512m/z</t>
  </si>
  <si>
    <t>Tri-N-Acetylchitotriose</t>
  </si>
  <si>
    <t>HMDB0006698</t>
  </si>
  <si>
    <t>38864-21-0</t>
  </si>
  <si>
    <t>CC(=O)N[C@@H](C=O)[C@@H](O)[C@H](O[C@@H]1O[C@H](CO)[C@@H](O[C@@H]2O[C@H](CO)[C@@H](O)[C@H](O)[C@H]2NC(C)=O)[C@H](O)[C@H]1NC(C)=O)[C@H](O)CO</t>
  </si>
  <si>
    <t>LRDDKCYRFNJZBX-WHFMPQCRSA-N</t>
  </si>
  <si>
    <t>C24H41N3O16</t>
  </si>
  <si>
    <t>4.41_538.2049n</t>
  </si>
  <si>
    <t>Citrusin A</t>
  </si>
  <si>
    <t>HMDB0039230</t>
  </si>
  <si>
    <t>105279-09-2</t>
  </si>
  <si>
    <t>COC1=C(OC(CO)C(O)C2=CC(OC)=C(OC3OC(CO)C(O)C(O)C3O)C=C2)C=CC(\C=C/CO)=C1</t>
  </si>
  <si>
    <t>WHKMPWQXESJAPI-ARJAWSKDSA-N</t>
  </si>
  <si>
    <t>7.96_673.3342m/z</t>
  </si>
  <si>
    <t>N-(N-(N-((Hexahydro-1h-Azepin-1-Yl)Carbonyl)-L-Leucyl)-D-Tryptophyl)-D-Tryptophan</t>
  </si>
  <si>
    <t>HMDB0244603</t>
  </si>
  <si>
    <t>CC(C)CC(NC(=O)N1CCCCCC1)C(=O)NC(CC1=CNC2=CC=CC=C12)C(=O)NC(CC1=CNC2=CC=CC=C12)C(O)=O</t>
  </si>
  <si>
    <t>ZBJNAHVLKNFOPP-UHFFFAOYSA-N</t>
  </si>
  <si>
    <t>C35H44N6O5</t>
  </si>
  <si>
    <t>4.95_653.2791m/z</t>
  </si>
  <si>
    <t>Dicrocin</t>
  </si>
  <si>
    <t>HMDB0002353</t>
  </si>
  <si>
    <t>57710-64-2</t>
  </si>
  <si>
    <t>OC[C@H]1OC(OC(=O)C(\C)=C\C=C\C(\C)=C\C=C\C=C(/C)\C=C\C=C(/C)C(=O)O[C@@H]2O[C@H](CO)[C@@H](O)[C@H](O)[C@H]2O)[C@H](O)[C@@H](O)[C@@H]1O</t>
  </si>
  <si>
    <t>QBZWPZHDUZGTLS-BLVFRQJQSA-N</t>
  </si>
  <si>
    <t>C32H44O14</t>
  </si>
  <si>
    <t>8.71_851.3257m/z</t>
  </si>
  <si>
    <t>Edulisin Ii</t>
  </si>
  <si>
    <t>HMDB0030593</t>
  </si>
  <si>
    <t>96608-83-2</t>
  </si>
  <si>
    <t>CC(C)=CC(=O)OC1C(OC2=C1C1=C(C=C2)C=CC(=O)O1)C(C)(C)OC(=O)C=C(C)C</t>
  </si>
  <si>
    <t>QMDNUCYGVSWWRO-UHFFFAOYSA-N</t>
  </si>
  <si>
    <t>C24H26O7</t>
  </si>
  <si>
    <t>15.16_776.5427n</t>
  </si>
  <si>
    <t>MGDG(18:2(9Z,12Z)/18:3(9Z,12Z,15Z))</t>
  </si>
  <si>
    <t>LMGL05010024</t>
  </si>
  <si>
    <t>C(O[C@H]1[C@H](O)[C@@H](O)[C@@H](O)[C@@H](CO)O1)[C@]([H])(OC(CCCCCCC/C=C\C/C=C\C/C=C\CC)=O)COC(CCCCCCC/C=C\C/C=C\CCCCC)=O</t>
  </si>
  <si>
    <t>DRLQFBRXASRGDP-WWEGJJHISA-N</t>
  </si>
  <si>
    <t>C45H76O10</t>
  </si>
  <si>
    <t>11.76_618.4150n</t>
  </si>
  <si>
    <t>19-Methoxypomolic Acid 3-Arabinoside</t>
  </si>
  <si>
    <t>HMDB0034374</t>
  </si>
  <si>
    <t>243470-00-0</t>
  </si>
  <si>
    <t>COC(=O)C12CCC(C)C(C)(O)C1C1=CCC3C4(C)CCC(OC5OCC(O)C(O)C5O)C(C)(C)C4CCC3(C)C1(C)CC2</t>
  </si>
  <si>
    <t>ZCWVJVNYHGWIEF-UHFFFAOYSA-N</t>
  </si>
  <si>
    <t>C36H58O8</t>
  </si>
  <si>
    <t>4.48_328.1520n</t>
  </si>
  <si>
    <t>3-Hydroxy-4-Isopropylbenzyl Alcohol 3-Glucoside</t>
  </si>
  <si>
    <t>HMDB0039385</t>
  </si>
  <si>
    <t>359875-75-5</t>
  </si>
  <si>
    <t>CC(C)C1=C(OC2OC(CO)C(O)C(O)C2O)C=C(CO)C=C1</t>
  </si>
  <si>
    <t>IILRAPUPZQMHJL-UHFFFAOYSA-N</t>
  </si>
  <si>
    <t>5.06_545.2962m/z</t>
  </si>
  <si>
    <t>Mupirocin</t>
  </si>
  <si>
    <t>HMDB0014554</t>
  </si>
  <si>
    <t>C11758</t>
  </si>
  <si>
    <t>12650-69-0</t>
  </si>
  <si>
    <t>C[C@H](O)[C@H](C)[C@@H]1O[C@H]1C[C@H]1CO[C@@H](C\C(C)=C\C(=O)OCCCCCCCCC(O)=O)[C@H](O)[C@@H]1O</t>
  </si>
  <si>
    <t>MINDHVHHQZYEEK-HBBNESRFSA-N</t>
  </si>
  <si>
    <t>C26H44O9</t>
  </si>
  <si>
    <t>4.85_306.1974n</t>
  </si>
  <si>
    <t>9-Chloro-10-Hydroxy-Hexadecanoic Acid</t>
  </si>
  <si>
    <t>LMFA01090044</t>
  </si>
  <si>
    <t>C13949</t>
  </si>
  <si>
    <t>OC(=O)CCCCCCCC(Cl)C(O)CCCCCC</t>
  </si>
  <si>
    <t>YTOQELMVXKVDDX-UHFFFAOYSA-N</t>
  </si>
  <si>
    <t>C16H31ClO3</t>
  </si>
  <si>
    <t>4.21_373.1832m/z</t>
  </si>
  <si>
    <t>(1r,2r,4s)-P-Menthane-1,2,8-Triol 8-Glucoside</t>
  </si>
  <si>
    <t>HMDB0039894</t>
  </si>
  <si>
    <t>378254-09-2</t>
  </si>
  <si>
    <t>CC(C)(OC1OC(CO)C(O)C(O)C1O)C1CCC(C)(O)C(O)C1</t>
  </si>
  <si>
    <t>RPCUMNYZTIHHPA-UHFFFAOYSA-N</t>
  </si>
  <si>
    <t>C16H30O8</t>
  </si>
  <si>
    <t>0.61_164.0668m/z</t>
  </si>
  <si>
    <t>Ammonia Aspartate</t>
  </si>
  <si>
    <t>HMDB0248341</t>
  </si>
  <si>
    <t>NC1CC(=O)ONOC1=O</t>
  </si>
  <si>
    <t>GOVCRMWFUKQONY-UHFFFAOYSA-N</t>
  </si>
  <si>
    <t>C4H6N2O4</t>
  </si>
  <si>
    <t>13.14_432.3446n</t>
  </si>
  <si>
    <t>Polyglycerol Esters Of Fatty Acids</t>
  </si>
  <si>
    <t>HMDB0303271</t>
  </si>
  <si>
    <t>CCCCCCCCCCCCCCCCCC(=O)OCC(O)COCC(O)CO</t>
  </si>
  <si>
    <t>DUUKZBGYNMHUHO-UHFFFAOYSA-N</t>
  </si>
  <si>
    <t>C24H48O6</t>
  </si>
  <si>
    <t>5.08_659.2920m/z</t>
  </si>
  <si>
    <t>Clomipramine N-Oxide</t>
  </si>
  <si>
    <t>HMDB0060577</t>
  </si>
  <si>
    <t>CN(C)(=O)CCCN1C2=CC=CC=C2CCC2=C1C=C(Cl)C=C2</t>
  </si>
  <si>
    <t>ARNOTLDVJSFYBP-UHFFFAOYSA-N</t>
  </si>
  <si>
    <t>Benzazepines</t>
  </si>
  <si>
    <t>Dibenzazepines</t>
  </si>
  <si>
    <t>C19H23ClN2O</t>
  </si>
  <si>
    <t>14.64_961.5840m/z</t>
  </si>
  <si>
    <t>Megalomicin C1</t>
  </si>
  <si>
    <t>LMPK04000028</t>
  </si>
  <si>
    <t>C11987</t>
  </si>
  <si>
    <t>ko00522</t>
  </si>
  <si>
    <t>Biosynthesis of 12-, 14- and 16-membered macrolides</t>
  </si>
  <si>
    <t>O1[C@@H](O[C@]2(C)C[C@@H](C)C(=O)[C@H](C)[C@H]([C@@](O)(C)[C@@H](CC)OC(=O)[C@H](C)[C@@H](O[C@@H]3O[C@H]([C@H](OC(=O)C)[C@@](OC(=O)C)(C)C3)C)[C@H](C)[C@H]2O[C@@H]2O[C@@H](C[C@H](N(C)C)[C@H]2O)C)O)C[C@@H](N(C)C)[C@@H](O)[C@@H]1C</t>
  </si>
  <si>
    <t>NGOSGEYHKQYUTN-XIBKBKGSSA-N</t>
  </si>
  <si>
    <t>C48H84N2O17</t>
  </si>
  <si>
    <t>6.45_606.3031m/z</t>
  </si>
  <si>
    <t>Os-Ps</t>
  </si>
  <si>
    <t>LMGP20040020</t>
  </si>
  <si>
    <t>C(O)(=O)[C@@]([H])(N)COP(OC[C@]([H])(OC(CCC(=O)O)=O)COC(CCCCCCC/C=C\CCCCCCCC)=O)(=O)O</t>
  </si>
  <si>
    <t>SDZHYWXEWDZPMD-KCVNTPOGSA-N</t>
  </si>
  <si>
    <t>C28H50NO12P</t>
  </si>
  <si>
    <t>0.64_289.9557n</t>
  </si>
  <si>
    <t>Bis(2-Methyl-3-Furanyl)Tetrasulfide</t>
  </si>
  <si>
    <t>HMDB0036168</t>
  </si>
  <si>
    <t>28588-76-3</t>
  </si>
  <si>
    <t>CC1=C(SSSSC2=C(C)OC=C2)C=CO1</t>
  </si>
  <si>
    <t>WCQMHJWTXQMUQE-UHFFFAOYSA-N</t>
  </si>
  <si>
    <t>Heteroaromatic compounds</t>
  </si>
  <si>
    <t>C10H10O2S4</t>
  </si>
  <si>
    <t>6.52_541.3247m/z</t>
  </si>
  <si>
    <t>1-Oleoylglycerophosphoserine</t>
  </si>
  <si>
    <t>HMDB0061694</t>
  </si>
  <si>
    <t>CCCCCCCCC=CCCCCCCCC(=O)OCC(O)COP(O)(=O)OCC(N)C(O)=O</t>
  </si>
  <si>
    <t>JZWNYZVVZXZRRH-UHFFFAOYSA-N</t>
  </si>
  <si>
    <t>C24H46NO9P</t>
  </si>
  <si>
    <t>13.61_556.4042m/z</t>
  </si>
  <si>
    <t>Methylcarbamyl Paf C-16</t>
  </si>
  <si>
    <t>91575-58-5</t>
  </si>
  <si>
    <t>CCCCCCCCCCCCCCCCOCC(COP(=O)([O-])OCC[N+](C)(C)C)OC(=O)NC</t>
  </si>
  <si>
    <t>FNFHZBKBDFRYHS-RUZDIDTESA-N</t>
  </si>
  <si>
    <t>C26H55N2O7P</t>
  </si>
  <si>
    <t>6.56_825.3454m/z</t>
  </si>
  <si>
    <t>Formamide, N-((1-((2-(Diethylamino)Ethyl)Amino)-7-Methoxy-9-Oxo-9h-Thioxanthen-4-Yl)Methyl)-</t>
  </si>
  <si>
    <t>HMDB0259416</t>
  </si>
  <si>
    <t>CCN(CC)CCNC1=C2C(=O)C3=C(SC2=C(CN=CO)C=C1)C=CC(OC)=C3</t>
  </si>
  <si>
    <t>GWLFIMOOGVXSMZ-UHFFFAOYSA-N</t>
  </si>
  <si>
    <t>Thiochromenes</t>
  </si>
  <si>
    <t>C22H27N3O3S</t>
  </si>
  <si>
    <t>6.94_912.4349m/z</t>
  </si>
  <si>
    <t>Crustacean Erythrophore Concentrating Hormone</t>
  </si>
  <si>
    <t>HMDB0257325</t>
  </si>
  <si>
    <t>CC(C)CC(NC(=O)C1CCC(=O)N1)C(=O)NC(CC(N)=O)C(=O)NC(CC1=CC=CC=C1)C(=O)NC(CO)C(=O)N1CCCC1C(=O)NCC(=O)NC(CC1=CNC2=CC=CC=C12)C(N)=O</t>
  </si>
  <si>
    <t>XFGMPZRFMGBTDI-UHFFFAOYSA-N</t>
  </si>
  <si>
    <t>C45H59N11O11</t>
  </si>
  <si>
    <t>1.06_298.1263n</t>
  </si>
  <si>
    <t>4'-N-Desmethylolanzapine</t>
  </si>
  <si>
    <t>HMDB0060959</t>
  </si>
  <si>
    <t>CC1=CC2=C(NC3=CC=CC=C3N=C2N2CCNCC2)S1</t>
  </si>
  <si>
    <t>FHPIXVHJEIZKJW-UHFFFAOYSA-N</t>
  </si>
  <si>
    <t>Benzodiazepines</t>
  </si>
  <si>
    <t>C16H18N4S</t>
  </si>
  <si>
    <t>11.50_639.4046m/z</t>
  </si>
  <si>
    <t>Gyroxanthin</t>
  </si>
  <si>
    <t>LMPR01070747</t>
  </si>
  <si>
    <t>C1C(C)(C)[C@@]2(O[C@]2(C)C[C@H]1O)C#C/C(/CO)=C/C=C/C(/C)=C/C=C/C=C(\C)/C=C/C=C(\C)/C=[C@@]=C1[C@@](O)(C)C[C@@H](OC(=O)C)CC1(C)C</t>
  </si>
  <si>
    <t>UBQYDZUJWOBLJS-SYXZBCTMSA-N</t>
  </si>
  <si>
    <t>C42H56O6</t>
  </si>
  <si>
    <t>4.54_479.2130m/z</t>
  </si>
  <si>
    <t>2-O-(Beta-D-Galactopyranosyl-(1-&gt;6)-Beta-D-Galactopyranosyl) 2s-Hydroxynonanoic Acid</t>
  </si>
  <si>
    <t>LMFA13010046</t>
  </si>
  <si>
    <t>CCCCCCC[C@H](O[C@H]1[C@H](O)[C@@H](O)[C@@H](O)[C@@H](CO[C@H]2[C@H](O)[C@@H](O)[C@@H](O)[C@@H](CO)O2)O1)C(=O)O</t>
  </si>
  <si>
    <t>MMMJHIANFCEHGC-ZNWZNZTISA-N</t>
  </si>
  <si>
    <t>C21H38O13</t>
  </si>
  <si>
    <t>11.35_626.4235m/z</t>
  </si>
  <si>
    <t>Torvoside G</t>
  </si>
  <si>
    <t>HMDB0030337</t>
  </si>
  <si>
    <t>184777-22-8</t>
  </si>
  <si>
    <t>COC1(CCC(C)COC2OC(CO)C(O)C(O)C2O)OC2CC3C4CCC5CC(=O)CCC5(C)C4CCC3(C)C2C1C</t>
  </si>
  <si>
    <t>BDENGJXHUIIQRH-UHFFFAOYSA-N</t>
  </si>
  <si>
    <t>C34H56O9</t>
  </si>
  <si>
    <t>0.73_270.0736n</t>
  </si>
  <si>
    <t>Phenol Glucuronide</t>
  </si>
  <si>
    <t>HMDB0060014</t>
  </si>
  <si>
    <t>17685-05-1</t>
  </si>
  <si>
    <t>O[C@@H]1[C@@H](O)[C@H](OC2=CC=CC=C2)O[C@@H]([C@H]1O)C(O)=O</t>
  </si>
  <si>
    <t>WVHAUDNUGBNUDZ-GOVZDWNOSA-N</t>
  </si>
  <si>
    <t>C12H14O7</t>
  </si>
  <si>
    <t>13.94_918.6709m/z</t>
  </si>
  <si>
    <t>3-O-Sulfogalactosylceramide (D18:1/26:1(17z))</t>
  </si>
  <si>
    <t>HMDB0012319</t>
  </si>
  <si>
    <t>928346-40-1</t>
  </si>
  <si>
    <t>CCCCCCCCCCCCC\C=C\[C@](O)([H])[C@]([H])(CO[C@@H]1O[C@H](CO)[C@H](O)C(OS(=O)(O)=O)C1O)NC(=O)CCCCCCCCCCCCCCC\C=C/CCCCCCCC</t>
  </si>
  <si>
    <t>PUKCSTQGOYUVRY-NJAKTLKSSA-N</t>
  </si>
  <si>
    <t>C50H95NO11S</t>
  </si>
  <si>
    <t>10.26_337.2347m/z</t>
  </si>
  <si>
    <t>10r-Hpome(11z)</t>
  </si>
  <si>
    <t>LMFA02000076</t>
  </si>
  <si>
    <t>C(CCCCCCCC[C@@H](OO)/C=C\CCCCCC)(=O)O</t>
  </si>
  <si>
    <t>LKIRUSOJIKWGGD-IFCKCIONSA-N</t>
  </si>
  <si>
    <t>C18H34O4</t>
  </si>
  <si>
    <t>7.08_677.2810m/z</t>
  </si>
  <si>
    <t>16alpha-Acetoxyasclepin</t>
  </si>
  <si>
    <t>LMST01120052</t>
  </si>
  <si>
    <t>C1[C@@]2([H])O[C@@]3(O)[C@@H](OC(C)=O)C[C@@H](C)O[C@@]3([H])O[C@]2([H])C[C@]2([H])CC[C@@]3([H])[C@]4(C[C@@H](OC(=O)C)[C@H](C5=CC(=O)OC5)[C@@]4(C)CC[C@]3([H])[C@@]12C=O)O</t>
  </si>
  <si>
    <t>WDMVIHZXOHPIHJ-MCQWJBQLSA-N</t>
  </si>
  <si>
    <t>C33H44O12</t>
  </si>
  <si>
    <t>5.01_495.3313m/z</t>
  </si>
  <si>
    <t>Makisterone B</t>
  </si>
  <si>
    <t>LMST01031017</t>
  </si>
  <si>
    <t>C08829</t>
  </si>
  <si>
    <t>C1[C@H](O)[C@H](O)C[C@@]2([H])C(=O)C=C3[C@@]([H])([C@]21C)CC[C@]1(C)[C@@]([H])([C@](O)(C)[C@H](O)C[C@@H](C)C(CO)C)CC[C@]13O</t>
  </si>
  <si>
    <t>ZJISPMMPECVLMY-CSUDGKPCSA-N</t>
  </si>
  <si>
    <t>C28H46O7</t>
  </si>
  <si>
    <t>5.70_852.4906n</t>
  </si>
  <si>
    <t>PGP(16:0/20:3(5Z,8Z,11Z))</t>
  </si>
  <si>
    <t>HMDB0013480</t>
  </si>
  <si>
    <t>CCCCCCCCCCCCCCCC(=O)OC[C@]([H])(COP(=O)(O)OC[C@@]([H])(O)COP(=O)(O)O)OC(=O)CCC\C=C/C\C=C/C\C=C/CCCCCCCC</t>
  </si>
  <si>
    <t>CXWVLACISIBSHX-PSQQFKKASA-N</t>
  </si>
  <si>
    <t>C42H78O13P2</t>
  </si>
  <si>
    <t>9.64_443.2402m/z</t>
  </si>
  <si>
    <t>Dimethyl 3-Methoxy-4-Oxo-5-(8,11,14-Pentadecatrienyl)-2-Hexenedioate</t>
  </si>
  <si>
    <t>HMDB0032099</t>
  </si>
  <si>
    <t>COC(=O)\C=C(\OC)C(=O)C(CCCCCCC\C=C\C\C=C\CC=C)C(=O)OC</t>
  </si>
  <si>
    <t>DSALQCDYXNDYHC-ZMEURTSISA-N</t>
  </si>
  <si>
    <t>Keto acids and derivatives</t>
  </si>
  <si>
    <t>Beta-keto acids and derivatives</t>
  </si>
  <si>
    <t>C24H36O6</t>
  </si>
  <si>
    <t>12.23_535.3159m/z</t>
  </si>
  <si>
    <t>O)</t>
  </si>
  <si>
    <t>LMGP20020054</t>
  </si>
  <si>
    <t>C(OP(OCCN)(O)=O)[C@]([H])(OC(=O)CCC/C=C\C/C=C\C[C@@H](O)/C=C/C=C\CCCCC)CO</t>
  </si>
  <si>
    <t>YYNINOSNLIMLAJ-XQSHPIDZSA-N</t>
  </si>
  <si>
    <t>C25H44NO8P</t>
  </si>
  <si>
    <t>10.05_678.3826n</t>
  </si>
  <si>
    <t>Gingerglycolipid B</t>
  </si>
  <si>
    <t>HMDB0041094</t>
  </si>
  <si>
    <t>88168-90-5</t>
  </si>
  <si>
    <t>CCCCC\C=C/C\C=C/CCCCCCCC(=O)OCC(O)COC1OC(COC2OC(CO)C(O)C(O)C2O)C(O)C(O)C1O</t>
  </si>
  <si>
    <t>UHISGSDYAIIBMO-HZJYTTRNSA-N</t>
  </si>
  <si>
    <t>C33H58O14</t>
  </si>
  <si>
    <t>3.03_363.0662m/z</t>
  </si>
  <si>
    <t>Belinostat</t>
  </si>
  <si>
    <t>HMDB0248932</t>
  </si>
  <si>
    <t>ONC(=O)C=CC1=CC(=CC=C1)S(=O)(=O)NC1=CC=CC=C1</t>
  </si>
  <si>
    <t>NCNRHFGMJRPRSK-UHFFFAOYSA-N</t>
  </si>
  <si>
    <t>C15H14N2O4S</t>
  </si>
  <si>
    <t>3.55_330.1314n</t>
  </si>
  <si>
    <t>(±)-3-(4-Hydroxyphenyl)-1,2-Propanediol 4'-O-Glucoside</t>
  </si>
  <si>
    <t>HMDB0033082</t>
  </si>
  <si>
    <t>OCC(O)CC1=CC=C(OC2OC(CO)C(O)C(O)C2O)C=C1</t>
  </si>
  <si>
    <t>UBOMSXSQLRMBSD-UHFFFAOYSA-N</t>
  </si>
  <si>
    <t>C15H22O8</t>
  </si>
  <si>
    <t>0.72_223.0451m/z</t>
  </si>
  <si>
    <t>3-Keto-B-D-Galactose</t>
  </si>
  <si>
    <t>HMDB0001385</t>
  </si>
  <si>
    <t>C05394</t>
  </si>
  <si>
    <t>OC[C@H]1O[C@@H](O)[C@H](O)C(=O)[C@H]1O</t>
  </si>
  <si>
    <t>APIQNBNBIICCON-FKMSRSAHSA-N</t>
  </si>
  <si>
    <t>C6H10O6</t>
  </si>
  <si>
    <t>0.75_426.1345n</t>
  </si>
  <si>
    <t>Vericiguat</t>
  </si>
  <si>
    <t>HMDB0304849</t>
  </si>
  <si>
    <t>COC(=O)NC1=C(N)N=C(N=C1N)C1=NN(CC2=CC=CC=C2F)C2=C1C=C(F)C=N2</t>
  </si>
  <si>
    <t>QZFHIXARHDBPBY-UHFFFAOYSA-N</t>
  </si>
  <si>
    <t>Pyrazolopyridines</t>
  </si>
  <si>
    <t>C19H16F2N8O2</t>
  </si>
  <si>
    <t>6.46_577.2994m/z</t>
  </si>
  <si>
    <t>Macrolactin P</t>
  </si>
  <si>
    <t>LMFA07040106</t>
  </si>
  <si>
    <t>C1=CC[C@H](O)C[C@@H](O)C=CC=CCCC[C@@H](CC)OC(=O)C=CC=CC[C@H](O[C@H]2[C@H](O)[C@@H](O)[C@H](O)[C@@H](CO)O2)C=C1</t>
  </si>
  <si>
    <t>SVHVXVRYDBFIMU-JHHGODBBSA-N</t>
  </si>
  <si>
    <t>C31H46O10</t>
  </si>
  <si>
    <t>9.56_848.3365n</t>
  </si>
  <si>
    <t>Calix[8]Arene</t>
  </si>
  <si>
    <t>HMDB0249559</t>
  </si>
  <si>
    <t>OC1=C2CC3=CC=CC(CC4=CC=CC(CC5=CC=CC(CC6=C(O)C(CC7=C(O)C(CC8=C(O)C(CC9=C(O)C(CC1=CC=C2)=CC=C9)=CC=C8)=CC=C7)=CC=C6)=C5O)=C4O)=C3O</t>
  </si>
  <si>
    <t>HDPRHRZFFPXZIL-UHFFFAOYSA-N</t>
  </si>
  <si>
    <t>C56H48O8</t>
  </si>
  <si>
    <t>4.84_933.2310m/z</t>
  </si>
  <si>
    <t>Kaempferol 3-Apioside-7-Rhamnosyl-(1-&gt;6)-(2''-(E)-Caffeoylglactoside)</t>
  </si>
  <si>
    <t>LMPK12111968</t>
  </si>
  <si>
    <t>C1C=C(O)C=CC=1C1=C(O[C@@H]2OC[C@@](CO)(O)[C@H]2O)C(=O)C2C(O)=CC(O[C@@H]3O[C@H](CO[C@@H]4O[C@@H](C)[C@H](O)[C@@H](O)[C@H]4O)[C@@H](O)[C@H](O)[C@H]3OC(/C=C/C3C=CC(O)=C(O)C=3)=O)=CC=2O1</t>
  </si>
  <si>
    <t>AUTADROYLXMWLA-JGXLISBOSA-N</t>
  </si>
  <si>
    <t>C41H44O22</t>
  </si>
  <si>
    <t>10.89_951.5851m/z</t>
  </si>
  <si>
    <t>Liamocin B2</t>
  </si>
  <si>
    <t>LMFA00000045</t>
  </si>
  <si>
    <t>C(CC(OC(=O)C)CC(OC(CC(O)CC(OC(CC(O)CC(OC(CC(O)CC(O)CCCCC)=O)CCCCC)=O)CCCCC)=O)CCCCC)(=O)OC[C@@H](O)[C@@H](O)[C@H](O)[C@H](O)CO</t>
  </si>
  <si>
    <t>SOGLLJQMDVDVFY-DABPNMDRSA-N</t>
  </si>
  <si>
    <t>C48H88O19</t>
  </si>
  <si>
    <t>5.72_464.3135n</t>
  </si>
  <si>
    <t>3alpha,7alpha,12alpha,26-Tetrahydroxy-5beta-Cholest-23e-En-27-Oic Acid</t>
  </si>
  <si>
    <t>LMST04030200</t>
  </si>
  <si>
    <t>C1[C@]2(C)[C@@]3([H])C[C@H](O)[C@]4(C)[C@@]([H])([C@]([H])(C)C/C=C/C(C(O)=O)CO)CC[C@@]4([H])[C@]3([H])[C@H](O)C[C@]2([H])C[C@H](O)C1</t>
  </si>
  <si>
    <t>YMJUBWSBLMHBSR-KJNWYSPNSA-N</t>
  </si>
  <si>
    <t>Cholestane steroids</t>
  </si>
  <si>
    <t>12.36_515.3184m/z</t>
  </si>
  <si>
    <t>Ic202b</t>
  </si>
  <si>
    <t>LMFA08020183</t>
  </si>
  <si>
    <t>C(N)CCCCN(O)C(CCC(=O)NCCCCCN(C(=O)CCC(=O)NCCCCC[N+](=O)[O-])O)=O</t>
  </si>
  <si>
    <t>BHNYEXHOBOECJW-UHFFFAOYSA-N</t>
  </si>
  <si>
    <t>C23H44N6O8</t>
  </si>
  <si>
    <t>0.72_147.0530n</t>
  </si>
  <si>
    <t>L-Glutamic Acid</t>
  </si>
  <si>
    <t>HMDB0000148</t>
  </si>
  <si>
    <t>C00025</t>
  </si>
  <si>
    <t>ko00220,ko00250,ko00330,ko00332,ko00340,ko00430,ko00470,ko00480,ko00524,ko00630,ko00650,ko00660,ko00860,ko00910,ko00970,ko00997,ko02010,ko02020,ko04068,ko04072,ko04080,ko04216,ko04540,ko04713,ko04720,ko04721,ko04723,ko04724,ko04727,ko04730,ko04742,ko04964,ko04974,ko05014,ko05016,ko05017,ko05022,ko05030,ko05031,ko05033,ko05034,ko05230</t>
  </si>
  <si>
    <t>Arginine biosynthesis|Alanine, aspartate and glutamate metabolism|Arginine and proline metabolism|Carbapenem biosynthesis|Histidine metabolism|Taurine and hypotaurine metabolism|D-Amino acid metabolism|Glutathione metabolism|Neomycin, kanamycin and gentamicin biosynthesis|Glyoxylate and dicarboxylate metabolism|Butanoate metabolism|C5-Branched dibasic acid metabolism|Porphyrin metabolism|Nitrogen metabolism|Aminoacyl-tRNA biosynthesis|Biosynthesis of various secondary metabolites - part 3|ABC transporters|Two-component system|FoxO signaling pathway|Phospholipase D signaling pathway|Neuroactive ligand-receptor interaction|Ferroptosis|Gap junction|Circadian entrainment|Long-term potentiation|Synaptic vesicle cycle|Retrograde endocannabinoid signaling|Glutamatergic synapse|GABAergic synapse|Long-term depression|Taste transduction|Proximal tubule bicarbonate reclamation|Protein digestion and absorption|Amyotrophic lateral sclerosis|Huntington disease|Spinocerebellar ataxia|Pathways of neurodegeneration - multiple diseases|Cocaine addiction|Amphetamine addiction|Nicotine addiction|Alcoholism|Central carbon metabolism in cancer</t>
  </si>
  <si>
    <t>56-86-0</t>
  </si>
  <si>
    <t>N[C@@H](CCC(O)=O)C(O)=O</t>
  </si>
  <si>
    <t>WHUUTDBJXJRKMK-VKHMYHEASA-N</t>
  </si>
  <si>
    <t>C5H9NO4</t>
  </si>
  <si>
    <t>5.67_574.9908m/z</t>
  </si>
  <si>
    <t>Perfluorooctane Sulfonamidoacetic Acid</t>
  </si>
  <si>
    <t>HMDB0256327</t>
  </si>
  <si>
    <t>OC(=O)CNS(=O)(=O)C(F)(F)C(F)(F)C(F)(F)C(F)(F)C(F)(F)C(F)(F)C(F)(F)C(F)(F)F</t>
  </si>
  <si>
    <t>AYLOUUCBACYHAB-UHFFFAOYSA-N</t>
  </si>
  <si>
    <t>Organohalogen compounds</t>
  </si>
  <si>
    <t>Alkyl halides</t>
  </si>
  <si>
    <t>Alkyl fluorides</t>
  </si>
  <si>
    <t>C10H4F17NO4S</t>
  </si>
  <si>
    <t>2.89_259.0423m/z</t>
  </si>
  <si>
    <t>Suprofen S-Oxide</t>
  </si>
  <si>
    <t>HMDB0060924</t>
  </si>
  <si>
    <t>CC(C(O)=O)C1=CC=C(C=C1)C(=O)C1=CC=CS1=O</t>
  </si>
  <si>
    <t>BBVYLLCHKPXDCK-UHFFFAOYSA-N</t>
  </si>
  <si>
    <t>Carbonyl compounds</t>
  </si>
  <si>
    <t>C14H12O4S</t>
  </si>
  <si>
    <t>12.63_502.4093m/z</t>
  </si>
  <si>
    <t>MGTS(18:0/0:0)</t>
  </si>
  <si>
    <t>LMGL06010004</t>
  </si>
  <si>
    <t>[C@](COCCC(C(=O)[O-])[N+](C)(C)C)([H])(O)COC(CCCCCCCCCCCCCCCCC)=O</t>
  </si>
  <si>
    <t>KXGHEXMEIBRLPG-PMCHYTPCSA-N</t>
  </si>
  <si>
    <t>C28H55NO6</t>
  </si>
  <si>
    <t>9.16_528.2357n</t>
  </si>
  <si>
    <t>Arthonioic Acid</t>
  </si>
  <si>
    <t>25556-24-5</t>
  </si>
  <si>
    <t>CCCCCC(=O)CC1=C(C(=CC(=C1)O)O)C(=O)OC2=CC(=C(C(=C2)OC)C(=O)O)CC(=O)CCCCC</t>
  </si>
  <si>
    <t>DGXLEDCXMIJNPJ-UHFFFAOYSA-N</t>
  </si>
  <si>
    <t>Depsides and depsidones</t>
  </si>
  <si>
    <t>C29H36O9</t>
  </si>
  <si>
    <t>7.59_801.3204n</t>
  </si>
  <si>
    <t>Beta-Isorhodomycinone</t>
  </si>
  <si>
    <t>HMDB0249134</t>
  </si>
  <si>
    <t>CCC1(O)CC(OC2CC(C(OC3CC(O)C(OC4CCC(=O)C(C)O4)C(C)O3)C(C)O2)N(C)C)C2=C(O)C3=C(C(O)=C2C1O)C(=O)C1=C(O)C=CC(O)=C1C3=O</t>
  </si>
  <si>
    <t>CHGJHKQZZYYATJ-UHFFFAOYSA-N</t>
  </si>
  <si>
    <t>Anthracyclines</t>
  </si>
  <si>
    <t>C40H51NO16</t>
  </si>
  <si>
    <t>6.56_581.2157m/z</t>
  </si>
  <si>
    <t>12s-Acetoxy-Punaglandin 2</t>
  </si>
  <si>
    <t>LMFA03120030</t>
  </si>
  <si>
    <t>[C@@]1(OC(=O)C)(C/C=C\CCCCC)C=C(Cl)C(=O)[C@@H]1[C@@H](OC(=O)C)[C@H](OC(=O)C)[C@@H](OC(C)=O)CCCC(=O)OC</t>
  </si>
  <si>
    <t>QCXWMBWSNWERAP-OSOZVZRNSA-N</t>
  </si>
  <si>
    <t>C29H41ClO11</t>
  </si>
  <si>
    <t>6.30_285.2208m/z</t>
  </si>
  <si>
    <t>Oryzalexin A</t>
  </si>
  <si>
    <t>HMDB0301859</t>
  </si>
  <si>
    <t>C09148</t>
  </si>
  <si>
    <t>85394-31-6</t>
  </si>
  <si>
    <t>CC1(C)[C@H](O)CC[C@@]2(C)[C@@H]3CC[C@@](C)(C=C)C=C3C(=O)C[C@H]12</t>
  </si>
  <si>
    <t>QOWLIQGNZBOQNG-JECYIRHJSA-N</t>
  </si>
  <si>
    <t>C20H30O2</t>
  </si>
  <si>
    <t>3.90_341.1134m/z</t>
  </si>
  <si>
    <t>Isodityrosine</t>
  </si>
  <si>
    <t>HMDB0302972</t>
  </si>
  <si>
    <t>N[C@@H](CC1=CC=C(OC2=C(O)C=CC(CC(N)C(O)=O)=C2)C=C1)C(O)=O</t>
  </si>
  <si>
    <t>FWZXNPNHUWFOCM-LSLKUGRBSA-N</t>
  </si>
  <si>
    <t>C18H20N2O6</t>
  </si>
  <si>
    <t>4.33_390.2252n</t>
  </si>
  <si>
    <t>(3s,5r,6s,7e,9x)-7-Megastigmene-3,6,9-Triol 9-Glucoside</t>
  </si>
  <si>
    <t>HMDB0041176</t>
  </si>
  <si>
    <t>LMFA13010057</t>
  </si>
  <si>
    <t>C1C(C(O)(/C=C/C(OC2OC(C(C(O)C2O)O)CO)C)C(C)CC1O)(C)C</t>
  </si>
  <si>
    <t>MRPDHXXPDCVBPQ-AATRIKPKSA-N</t>
  </si>
  <si>
    <t>C19H34O8</t>
  </si>
  <si>
    <t>6.52_478.2946m/z</t>
  </si>
  <si>
    <t>Munchiwarin</t>
  </si>
  <si>
    <t>LMPK12120412</t>
  </si>
  <si>
    <t>C1C=C(/C=C/C(=C2/C(=O)C(C/C=C(/C)\C)(C/C=C(\C)/C)C(=O)C(C/C=C(\C)/C)=C/2)/O)C=CC=1O</t>
  </si>
  <si>
    <t>HBTGYTAWTFVIRO-QKOOUZAASA-N</t>
  </si>
  <si>
    <t>Styrenes</t>
  </si>
  <si>
    <t>C30H36O4</t>
  </si>
  <si>
    <t>7.43_663.2983m/z</t>
  </si>
  <si>
    <t>Prednimustine</t>
  </si>
  <si>
    <t>HMDB0256744</t>
  </si>
  <si>
    <t>CC12CC(O)C3C(CCC4=CC(=O)C=CC34C)C1CCC2(O)C(=O)COC(=O)CCCC1=CC=C(C=C1)N(CCCl)CCCl</t>
  </si>
  <si>
    <t>HFVNWDWLWUCIHC-UHFFFAOYSA-N</t>
  </si>
  <si>
    <t>C35H45Cl2NO6</t>
  </si>
  <si>
    <t>11.83_818.4914m/z</t>
  </si>
  <si>
    <t>PGP(16:0/16:1(9Z))</t>
  </si>
  <si>
    <t>HMDB0013473</t>
  </si>
  <si>
    <t>[H][C@](O)(COP(O)(O)=O)COP(O)(=O)OC[C@@]([H])(COC(=O)CCCCCCCCCCCCCCC)OC(=O)CCCCCCC\C=C/CCCCCC</t>
  </si>
  <si>
    <t>RCAKEXBGCGLMOX-DCQLZOMZSA-N</t>
  </si>
  <si>
    <t>C38H74O13P2</t>
  </si>
  <si>
    <t>3.02_809.1489m/z</t>
  </si>
  <si>
    <t>Glucocleomin</t>
  </si>
  <si>
    <t>HMDB0034045</t>
  </si>
  <si>
    <t>36286-64-3</t>
  </si>
  <si>
    <t>CCC(C)(O)C\C(SC1OC(CO)C(O)C(O)C1O)=N/OS(O)(=O)=O</t>
  </si>
  <si>
    <t>JEOJIKMFKHSAJU-NTUHNPAUSA-N</t>
  </si>
  <si>
    <t>C12H23NO10S2</t>
  </si>
  <si>
    <t>12.42_247.1663m/z</t>
  </si>
  <si>
    <t>S-Cucujolide Iii</t>
  </si>
  <si>
    <t>LMFA07040046</t>
  </si>
  <si>
    <t>C1(O[C@@H](C)CCCCCCC=CCCC1)=O</t>
  </si>
  <si>
    <t>UNYFVMZKRMXDRF-AGLBCWCQSA-N</t>
  </si>
  <si>
    <t>C14H24O2</t>
  </si>
  <si>
    <t>6.76_494.2515n</t>
  </si>
  <si>
    <t>7,11-Bisdeacetylvaltrate 7-(3-Methylpentanoate) 11-(3-Hydroxy-3-Methylbutanoate)</t>
  </si>
  <si>
    <t>HMDB0033655</t>
  </si>
  <si>
    <t>137088-15-4</t>
  </si>
  <si>
    <t>CCC(C)CC(=O)OC1C=C2C(C(OC(=O)CC(C)C)OC=C2COC(=O)CC(C)(C)O)C11CO1</t>
  </si>
  <si>
    <t>OOOMMEPVIHNIQK-UHFFFAOYSA-N</t>
  </si>
  <si>
    <t>C26H38O9</t>
  </si>
  <si>
    <t>1.79_276.0163m/z</t>
  </si>
  <si>
    <t>Caffeic Acid Sulfate</t>
  </si>
  <si>
    <t>HMDB0304903</t>
  </si>
  <si>
    <t>OC(=O)\C=C\C1=CC(OS([O-])(=O)=O)=C([O-])C=C1</t>
  </si>
  <si>
    <t>VWQNTRNACRFUCQ-DUXPYHPUSA-L</t>
  </si>
  <si>
    <t>C9H6O7S-2</t>
  </si>
  <si>
    <t>1.11_398.0744n</t>
  </si>
  <si>
    <t>Estra-1,3,5(10)-Triene-3,17-Diol, 16-Iodo-, (16alpha,17beta)-</t>
  </si>
  <si>
    <t>HMDB0259459</t>
  </si>
  <si>
    <t>CC12CCC3C(CCC4=C3C=CC(O)=C4)C1CC(I)C2O</t>
  </si>
  <si>
    <t>SSYGGPAGDDGXAF-UHFFFAOYSA-N</t>
  </si>
  <si>
    <t>C18H23IO2</t>
  </si>
  <si>
    <t>4.51_617.2809m/z</t>
  </si>
  <si>
    <t>H-Arg(No2)-Obzl</t>
  </si>
  <si>
    <t>HMDB0247381</t>
  </si>
  <si>
    <t>NC(CCCN=C(N)N[N+]([O-])=O)C(=O)OCC1=CC=CC=C1</t>
  </si>
  <si>
    <t>FAJFGLZHUIUNSS-UHFFFAOYSA-N</t>
  </si>
  <si>
    <t>C13H19N5O4</t>
  </si>
  <si>
    <t>0.75_249.0368m/z</t>
  </si>
  <si>
    <t>Triflusal</t>
  </si>
  <si>
    <t>HMDB0259212</t>
  </si>
  <si>
    <t>CC(=O)OC1=C(C=CC(=C1)C(F)(F)F)C(O)=O</t>
  </si>
  <si>
    <t>RMWVZGDJPAKBDE-UHFFFAOYSA-N</t>
  </si>
  <si>
    <t>C10H7F3O4</t>
  </si>
  <si>
    <t>12.95_944.5708n</t>
  </si>
  <si>
    <t>Antibiotic A 204a</t>
  </si>
  <si>
    <t>HMDB0248475</t>
  </si>
  <si>
    <t>COC1C(C)C2(OC1(C)C1CCC(O1)C1CCC(O1)C1OC(C)(O)C(C)C(OC)C1C)OC(CC1OC(O)(C(C)C(O)=O)C(C)C(OC3CCC(OC)C(C)O3)C1(C)OC)CC(OC)C2C</t>
  </si>
  <si>
    <t>RHDSQRNKIIRGBB-UHFFFAOYSA-N</t>
  </si>
  <si>
    <t>C49H84O17</t>
  </si>
  <si>
    <t>5.06_506.2152n</t>
  </si>
  <si>
    <t>Isolimonic Acid</t>
  </si>
  <si>
    <t>HMDB0038170</t>
  </si>
  <si>
    <t>CC1(C)OC[C@]2(C(O)CC(O)=O)C1CC(=O)[C@]1(C)C2CC[C@@](C)([C@@H](O)C2=COC=C2)[C@@]11O[C@@H]1C(O)=O</t>
  </si>
  <si>
    <t>JSDNZHXBKWCZDG-RWQHKGFASA-N</t>
  </si>
  <si>
    <t>Naphthofurans</t>
  </si>
  <si>
    <t>C26H34O10</t>
  </si>
  <si>
    <t>7.46_676.3453m/z</t>
  </si>
  <si>
    <t>Ohodia-Ps</t>
  </si>
  <si>
    <t>LMGP20040032</t>
  </si>
  <si>
    <t>C(O)(=O)[C@@]([H])(N)COP(OC[C@]([H])(OC(CCCC(O)/C=C/C(=O)O)=O)COC(CCCCCCC/C=C\CCCCCCCC)=O)(=O)O</t>
  </si>
  <si>
    <t>JGZJCSRMYKNZFS-XRWGASBYSA-N</t>
  </si>
  <si>
    <t>C32H56NO13P</t>
  </si>
  <si>
    <t>12.71_1000.6525n</t>
  </si>
  <si>
    <t>PC(22:0/LTE4)</t>
  </si>
  <si>
    <t>HMDB0287797</t>
  </si>
  <si>
    <t>CCCCCCCCCCCCCCCCCCCCCC(=O)OC[C@H](COP([O-])(=O)OCC[N+](C)(C)C)OC(=O)[C@@H](N)CS[C@H](\C=C\C=C\C=C/C\C=C/CCCCC)[C@@H](O)CCCC(O)=O</t>
  </si>
  <si>
    <t>JJIPIYFFUROVDC-FXKJKKOYSA-N</t>
  </si>
  <si>
    <t>C53H97N2O11PS</t>
  </si>
  <si>
    <t>11.66_831.4705m/z</t>
  </si>
  <si>
    <t>(3b,16a,20r)-3,16,20,22,25-Pentahydroxy-5-Cucurbiten-11-One 3-[Glucosyl-(1-&gt;6)-Glucoside]</t>
  </si>
  <si>
    <t>HMDB0035345</t>
  </si>
  <si>
    <t>178062-94-7</t>
  </si>
  <si>
    <t>CC(C)(O)CCC(O)C(C)(O)C1C(O)CC2(C)C3CC=C4C(CCC(OC5OC(COC6OC(CO)C(O)C(O)C6O)C(O)C(O)C5O)C4(C)C)C3(C)C(=O)CC12C</t>
  </si>
  <si>
    <t>RLSXWJUYUFUJLU-UHFFFAOYSA-N</t>
  </si>
  <si>
    <t>C42H70O16</t>
  </si>
  <si>
    <t>7.32_800.3813m/z</t>
  </si>
  <si>
    <t>1-Oleoyl-2-{6-[(7-Nitro-2-1,3-Benzoxadiazol-4-Yl)Amino]Hexanoyl}-Sn-Glycero-3-Phospho-L-Serine</t>
  </si>
  <si>
    <t>HMDB0255478</t>
  </si>
  <si>
    <t>CCCCCCCCC=CCCCCCCCC(=O)OCC(COP(O)(=O)OCC(N)C(O)=O)OC(=O)CCCCCNC1=CC=C(C2=NON=C12)[N+]([O-])=O</t>
  </si>
  <si>
    <t>KSMXNLSOKSIAMR-UHFFFAOYSA-N</t>
  </si>
  <si>
    <t>C36H58N5O13P</t>
  </si>
  <si>
    <t>1.06_229.1546m/z</t>
  </si>
  <si>
    <t>Pro-Leu</t>
  </si>
  <si>
    <t>HMDB0253028</t>
  </si>
  <si>
    <t>CC(C)CC(N=C(O)C1CCCN1)C(O)=O</t>
  </si>
  <si>
    <t>ZKQOUHVVXABNDG-UHFFFAOYSA-N</t>
  </si>
  <si>
    <t>C11H20N2O3</t>
  </si>
  <si>
    <t>8.92_313.2383m/z</t>
  </si>
  <si>
    <t>16-Heptadecenoic Acid</t>
  </si>
  <si>
    <t>LMFA01030284</t>
  </si>
  <si>
    <t>C(CCCCCCCCCCCCCCC=C)(=O)O</t>
  </si>
  <si>
    <t>KMWWFKLFHOTNEH-UHFFFAOYSA-N</t>
  </si>
  <si>
    <t>C17H32O2</t>
  </si>
  <si>
    <t>4.03_931.2865m/z</t>
  </si>
  <si>
    <t>Catechin-4-Ol 3'-Methyl Ether 3-O-Alpha-L-Rhamnopyranoside</t>
  </si>
  <si>
    <t>LMPK12020204</t>
  </si>
  <si>
    <t>C1(O)=CC2O[C@H](C3C=C(OC)C(O)=CC=3)[C@@H](O[C@H]3[C@H](O)[C@H](O)[C@@H](O)[C@H](C)O3)C(O)C=2C(O)=C1</t>
  </si>
  <si>
    <t>ZFWAXVCCSNTZKA-YERQWELYSA-N</t>
  </si>
  <si>
    <t>C22H26O11</t>
  </si>
  <si>
    <t>4.26_461.1298m/z</t>
  </si>
  <si>
    <t>2-Hydroxybenzaldehyde O-[Xylosyl-(1-&gt;6)-Glucoside]</t>
  </si>
  <si>
    <t>HMDB0034157</t>
  </si>
  <si>
    <t>14907-56-3</t>
  </si>
  <si>
    <t>OC1COC(OCC2OC(OC3=CC=CC=C3C=O)C(O)C(O)C2O)C(O)C1O</t>
  </si>
  <si>
    <t>DSDFXGQRZAFFQA-UHFFFAOYSA-N</t>
  </si>
  <si>
    <t>C18H24O11</t>
  </si>
  <si>
    <t>4.79_661.1382m/z</t>
  </si>
  <si>
    <t>Kaempferol 3-(6g-Malonylneohesperidoside)</t>
  </si>
  <si>
    <t>LMPK12111948</t>
  </si>
  <si>
    <t>O(C[C@@H]1[C@@H](O)[C@H](O)[C@@H](O[C@H]2[C@H](O)[C@H](O)[C@@H](O)[C@H](C)O2)[C@H](OC2=C(C3C=CC(O)=CC=3)OC3C=C(O)C=C(O)C=3C2=O)O1)C(CC(O)=O)=O</t>
  </si>
  <si>
    <t>JTOOPMHFLOLUPJ-BAIKRSKJSA-N</t>
  </si>
  <si>
    <t>C30H32O18</t>
  </si>
  <si>
    <t>4.95_574.2411n</t>
  </si>
  <si>
    <t>Toosendanin</t>
  </si>
  <si>
    <t>HMDB0259107</t>
  </si>
  <si>
    <t>CC(=O)OC1CC(O)C23COC(O)C1(C)C2CC(O)C1(C)C3C(=O)C(OC(C)=O)C2(C)C(CC3OC123)C1=COC=C1</t>
  </si>
  <si>
    <t>NAHTXVIXCMUDLF-UHFFFAOYSA-N</t>
  </si>
  <si>
    <t>C30H38O11</t>
  </si>
  <si>
    <t>3.73_202.0442m/z</t>
  </si>
  <si>
    <t>L-Oxalylalbizziine</t>
  </si>
  <si>
    <t>HMDB0039164</t>
  </si>
  <si>
    <t>99694-81-2</t>
  </si>
  <si>
    <t>NC(CNC(=O)NC(=O)C(O)=O)C(O)=O</t>
  </si>
  <si>
    <t>WLHZKQYVDKRZKW-UHFFFAOYSA-N</t>
  </si>
  <si>
    <t>C6H9N3O6</t>
  </si>
  <si>
    <t>4.19_342.1208n</t>
  </si>
  <si>
    <t>Dictyoquinazol C</t>
  </si>
  <si>
    <t>HMDB0040442</t>
  </si>
  <si>
    <t>COC1=CC2=C(C=C1)N(CN(C2=O)C1=CC=C(OC)C=C1CO)C=O</t>
  </si>
  <si>
    <t>RFAIUXGESYTSKG-UHFFFAOYSA-N</t>
  </si>
  <si>
    <t>Diazanaphthalenes</t>
  </si>
  <si>
    <t>Benzodiazines</t>
  </si>
  <si>
    <t>C18H18N2O5</t>
  </si>
  <si>
    <t>4.83_446.3029n</t>
  </si>
  <si>
    <t>7a,12a,25-Trihydroxycholest-4-En-3,24-Dione</t>
  </si>
  <si>
    <t>LMST04030249</t>
  </si>
  <si>
    <t>[C@]12([C@H](O)CC3=CC(=O)CC[C@]3(C)[C@@]1([H])C[C@H](O)[C@]1(C)[C@@]([H])([C@@](C)([H])CCC(=O)C(C)(O)C)CC[C@@]21[H])[H]</t>
  </si>
  <si>
    <t>RJOIOUAJASFEIW-UOQBUNJGSA-N</t>
  </si>
  <si>
    <t>11.49_555.2839m/z</t>
  </si>
  <si>
    <t>SQMG(16:0/0:0)</t>
  </si>
  <si>
    <t>LMGL04010021</t>
  </si>
  <si>
    <t>[C@](CO[C@@H]1[C@H](O)[C@@H](O)[C@H](O)[C@@H](CS(O)(=O)=O)O1)([H])(O)COC(=O)CCCCCCCCCCCCCCC</t>
  </si>
  <si>
    <t>PVPLOFLVMFDWJG-BIKTWNJESA-N</t>
  </si>
  <si>
    <t>C25H48O11S</t>
  </si>
  <si>
    <t>5.65_621.3256m/z</t>
  </si>
  <si>
    <t>Foliandrin</t>
  </si>
  <si>
    <t>HMDB0252427</t>
  </si>
  <si>
    <t>COC1CC(OC2CCC3(C)C(CCC4C3CCC3(C)C(C(CC43O)OC(C)=O)C3=CC(=O)OC3)C2)OC(C)C1O</t>
  </si>
  <si>
    <t>JLPDBLFIVFSOCC-UHFFFAOYSA-N</t>
  </si>
  <si>
    <t>C32H48O9</t>
  </si>
  <si>
    <t>6.64_589.2621m/z</t>
  </si>
  <si>
    <t>Canescein</t>
  </si>
  <si>
    <t>HMDB0029313</t>
  </si>
  <si>
    <t>22333-73-9</t>
  </si>
  <si>
    <t>CC1OC(OC2CCC3(C=O)C4C(O)CC5(C)C(CCC5(O)C4CCC3(O)C2)C2=CC(=O)OC2)C(O)C(O)C1O</t>
  </si>
  <si>
    <t>AZOXLPPOBHVORY-UHFFFAOYSA-N</t>
  </si>
  <si>
    <t>C29H42O11</t>
  </si>
  <si>
    <t>0.77_441.1212m/z</t>
  </si>
  <si>
    <t>Isolariciresinol Sulfate</t>
  </si>
  <si>
    <t>HMDB0240703</t>
  </si>
  <si>
    <t>COC1=CC(=CC=C1O)C1C(COS(O)(=O)=O)C(CO)CC2=C1C=C(O)C(OC)=C2</t>
  </si>
  <si>
    <t>IHFCQBGVSIXPDS-UHFFFAOYSA-N</t>
  </si>
  <si>
    <t>Aryltetralin lignans</t>
  </si>
  <si>
    <t>C20H24O9S</t>
  </si>
  <si>
    <t>5.02_433.1136m/z</t>
  </si>
  <si>
    <t>Naringenin 4'-O-Glucoside</t>
  </si>
  <si>
    <t>LMPK12140242</t>
  </si>
  <si>
    <t>C1(O)=CC2OC(C3C=CC(O[C@@H]4O[C@H](CO)[C@@H](O)[C@H](O)[C@H]4O)=CC=3)CC(=O)C=2C(O)=C1</t>
  </si>
  <si>
    <t>KSDSYIXRWHRPMN-RGHIGTIISA-N</t>
  </si>
  <si>
    <t>C21H22O10</t>
  </si>
  <si>
    <t>4.06_715.2013m/z</t>
  </si>
  <si>
    <t>Glucosylxanthone</t>
  </si>
  <si>
    <t>HMDB0252794</t>
  </si>
  <si>
    <t>OCC1OC(C(O)C(O)C1O)C1=C2C(=O)C3=CC=CC=C3OC2=CC=C1</t>
  </si>
  <si>
    <t>SWEJRXVESDZGAK-UHFFFAOYSA-N</t>
  </si>
  <si>
    <t>C19H18O7</t>
  </si>
  <si>
    <t>4.19_742.2675n</t>
  </si>
  <si>
    <t>Liriodendrin</t>
  </si>
  <si>
    <t>HMDB0036410</t>
  </si>
  <si>
    <t>573-44-4</t>
  </si>
  <si>
    <t>COC1=CC(=CC(OC)=C1OC1OC(CO)C(O)C(O)C1O)C1OCC2C1COC2C1=CC(OC)=C(OC2OC(CO)C(O)C(O)C2O)C(OC)=C1</t>
  </si>
  <si>
    <t>FFDULTAFAQRACT-UHFFFAOYSA-N</t>
  </si>
  <si>
    <t>C34H46O18</t>
  </si>
  <si>
    <t>5.47_795.3074m/z</t>
  </si>
  <si>
    <t>Tricrocin</t>
  </si>
  <si>
    <t>HMDB0002376</t>
  </si>
  <si>
    <t>55750-84-0</t>
  </si>
  <si>
    <t>C\C(\C=C\C=C(/C)C(=O)OC1OC(CO)C(O)C(O)C1O)=C/C=C/C=C(\C)/C=C/C=C(\C)C(=O)OC1O[C@@H](COC2OC(CO)C(O)C(O)C2O)C(O)C(O)C1O</t>
  </si>
  <si>
    <t>CZSBHMFVVLYIQQ-AUXQCMSZSA-N</t>
  </si>
  <si>
    <t>C38H54O19</t>
  </si>
  <si>
    <t>10.46_898.4554n</t>
  </si>
  <si>
    <t>Parisvanioside B</t>
  </si>
  <si>
    <t>LMST01080103</t>
  </si>
  <si>
    <t>C1[C@H](O[C@H]2[C@H](O[C@H]3[C@H](O)[C@H](O)[C@@H](O)[C@H](C)O3)[C@@H](O)[C@H](O[C@H]3[C@H](O)[C@H](O)[C@@H](O)[C@H](C)O3)[C@@H](CO)O2)C[C@@]23OO[C@]4([C@]5([H])C[C@@H]6O[C@@]7([C@@H](C)[C@@H]6[C@@]5(C)CC[C@]4([H])[C@@]2(C)C1)CC[C@@H](C)CO7)C=C3</t>
  </si>
  <si>
    <t>SNESFABQMIVEGH-MSOQCQJDSA-N</t>
  </si>
  <si>
    <t>C45H70O18</t>
  </si>
  <si>
    <t>8.78_520.3036n</t>
  </si>
  <si>
    <t>Digoxigenin Monodigitoxoside</t>
  </si>
  <si>
    <t>HMDB0060819</t>
  </si>
  <si>
    <t>C[C@H]1O[C@H](C[C@H](O)[C@@H]1O)O[C@H]1CC[C@@]2(C)[C@H](CCC3C2C[C@@H](O)[C@]2(C)[C@H](CC[C@]32O)C2=CC(=O)OC2)C1</t>
  </si>
  <si>
    <t>JFSXBMIFXZFKHD-MXSQURSSSA-N</t>
  </si>
  <si>
    <t>C29H44O8</t>
  </si>
  <si>
    <t>4.84_245.0927m/z</t>
  </si>
  <si>
    <t>N-Acetyltryptophan</t>
  </si>
  <si>
    <t>HMDB0013713</t>
  </si>
  <si>
    <t>1218-34-4</t>
  </si>
  <si>
    <t>CC(=O)N[C@@H](CC1=CNC2=C1C=CC=C2)C(O)=O</t>
  </si>
  <si>
    <t>DZTHIGRZJZPRDV-LBPRGKRZSA-N</t>
  </si>
  <si>
    <t>C13H14N2O3</t>
  </si>
  <si>
    <t>7.30_626.3682m/z</t>
  </si>
  <si>
    <t>Oov-Pg</t>
  </si>
  <si>
    <t>LMGP20060022</t>
  </si>
  <si>
    <t>[H][C@](O)(CO)COP(OC[C@]([H])(OC(CCCC=O)=O)COC(CCCCCCC/C=C\CCCCCCCC)=O)(=O)O</t>
  </si>
  <si>
    <t>FEMJGSQKGSXJBD-GCTAQDMASA-N</t>
  </si>
  <si>
    <t>C29H53O11P</t>
  </si>
  <si>
    <t>4.19_408.1028n</t>
  </si>
  <si>
    <t>Khellol Glucoside</t>
  </si>
  <si>
    <t>C09011</t>
  </si>
  <si>
    <t>17226-75-4</t>
  </si>
  <si>
    <t>COC1=C2C=COC2=CC3=C1C(=O)C=C(O3)COC4C(C(C(C(O4)CO)O)O)O</t>
  </si>
  <si>
    <t>SJRACCTZSAUMGO-WIMVFMHDSA-N</t>
  </si>
  <si>
    <t>C19H20O10</t>
  </si>
  <si>
    <t>1.11_285.0710n</t>
  </si>
  <si>
    <t>2-Amino-9-(6-Oxo-1h-Purin-9-Yl)-1h-Purin-6-One</t>
  </si>
  <si>
    <t>HMDB0257944</t>
  </si>
  <si>
    <t>NC1=NC2=C(N=CN2N2C=NC3=C2N=CNC3=O)C(=O)N1</t>
  </si>
  <si>
    <t>LQEIKDMSSQKWBE-UHFFFAOYSA-N</t>
  </si>
  <si>
    <t>C10H7N9O2</t>
  </si>
  <si>
    <t>4.76_492.1995n</t>
  </si>
  <si>
    <t>Isolariciresinol 9'-O-Alpha-L-Arabinofuranoside</t>
  </si>
  <si>
    <t>HMDB0032906</t>
  </si>
  <si>
    <t>63358-10-1</t>
  </si>
  <si>
    <t>COC1=C(O)C=C2C(C(COC3OC(CO)C(O)C3O)C(CO)CC2=C1)C1=CC(OC)=C(O)C=C1</t>
  </si>
  <si>
    <t>HLTAJPBMZNNKMA-UHFFFAOYSA-N</t>
  </si>
  <si>
    <t>C25H32O10</t>
  </si>
  <si>
    <t>0.77_338.0844n</t>
  </si>
  <si>
    <t>L-Ascorbic Acid 2-Glucoside</t>
  </si>
  <si>
    <t>HMDB0253873</t>
  </si>
  <si>
    <t>OCC(O)C1OC(=O)C(OC2OC(CO)C(O)C(O)C2O)=C1O</t>
  </si>
  <si>
    <t>MLSJBGYKDYSOAE-UHFFFAOYSA-N</t>
  </si>
  <si>
    <t>C12H18O11</t>
  </si>
  <si>
    <t>11.53_532.3034n</t>
  </si>
  <si>
    <t>Cucurbitacin J</t>
  </si>
  <si>
    <t>LMST01010111</t>
  </si>
  <si>
    <t>C08801</t>
  </si>
  <si>
    <t>[C@@]12(C)C[C@H]([C@]([H])([C@](O)(C)C(=O)CC(O)C(O)(C)C)[C@@]1(C)CC([C@@]1(C)[C@]3([H])C=C(C(=O)C(C)(C)C3=CC[C@@]21[H])O)=O)O</t>
  </si>
  <si>
    <t>FBGLZDYMEULGSX-IDZQOQCMSA-N</t>
  </si>
  <si>
    <t>Cucurbitacins</t>
  </si>
  <si>
    <t>14.26_746.4956n</t>
  </si>
  <si>
    <t>MGDG(18:3(9Z,12Z,15Z)/16:3(7Z,10Z,13Z))</t>
  </si>
  <si>
    <t>LMGL05010019</t>
  </si>
  <si>
    <t>C(O[C@H]1[C@H](O)[C@@H](O)[C@@H](O)[C@@H](CO)O1)[C@]([H])(OC(CCCCC/C=C\C/C=C\C/C=C\CC)=O)COC(CCCCCCC/C=C\C/C=C\C/C=C\CC)=O</t>
  </si>
  <si>
    <t>ZRLAOEYZSKXGSL-RZRNQMRLSA-N</t>
  </si>
  <si>
    <t>C43H70O10</t>
  </si>
  <si>
    <t>4.95_443.1558m/z</t>
  </si>
  <si>
    <t>Diffusoside C</t>
  </si>
  <si>
    <t>LMPR0102070051</t>
  </si>
  <si>
    <t>C1(C(=O)OC)[C@]2([H])[C@H](OC[C@@H](O)C)C=C(CO)[C@]2([H])[C@H](O[C@H]2[C@H](O)[C@@H](O)[C@H](O)[C@@H](CO)O2)OC=1</t>
  </si>
  <si>
    <t>GJMJRPLSZYINRT-LIMUJUAMSA-N</t>
  </si>
  <si>
    <t>C20H30O12</t>
  </si>
  <si>
    <t>1.79_315.1036n</t>
  </si>
  <si>
    <t>(1r*,3r*,3'S*)-1,2,3,4-Tetrahydro-1-(2-Thio-3-Pyrrolidinyl)-Beta-Carboline-3-Carboxylic Acid</t>
  </si>
  <si>
    <t>HMDB0034767</t>
  </si>
  <si>
    <t>OC(=O)C1CC2=C(NC3=C2C=CC=C3)C(N1)C1CCNC1=S</t>
  </si>
  <si>
    <t>YHAYSIGUKKXZJH-UHFFFAOYSA-N</t>
  </si>
  <si>
    <t>Harmala alkaloids</t>
  </si>
  <si>
    <t>C16H17N3O2S</t>
  </si>
  <si>
    <t>14.28_370.3078n</t>
  </si>
  <si>
    <t>3-Acetoxy-Eicosanoic Acid</t>
  </si>
  <si>
    <t>LMFA01050546</t>
  </si>
  <si>
    <t>C(CC(OC(=O)C)CCCCCCCCCCCCCCCCC)(=O)O</t>
  </si>
  <si>
    <t>SELBZODRWLCDNA-UHFFFAOYSA-N</t>
  </si>
  <si>
    <t>C22H42O4</t>
  </si>
  <si>
    <t>7.15_586.3379m/z</t>
  </si>
  <si>
    <t>Ceanothine E</t>
  </si>
  <si>
    <t>HMDB0029342</t>
  </si>
  <si>
    <t>23926-98-9</t>
  </si>
  <si>
    <t>CC(C)CC1\N=C(O)/C(\N=C(/O)C(CC2=CC=CC=C2)N(C)C)C(OC2=CC=C(C=C2)\C=C/N=C1/O)C1=CC=CC=C1</t>
  </si>
  <si>
    <t>KCFAADIKGBVBFW-VXPUYCOJSA-N</t>
  </si>
  <si>
    <t>C34H40N4O4</t>
  </si>
  <si>
    <t>7.97_703.2607m/z</t>
  </si>
  <si>
    <t>Gluten Exorphin B5</t>
  </si>
  <si>
    <t>HMDB0059795</t>
  </si>
  <si>
    <t>[H][C@](N)(CC1=CC=C(O)C=C1)C(=O)ONCC(=O)ONCC(=O)ON[C@@]([H])(CC1=CNC2=CC=CC=C12)C(=O)ONC([H])(CC(C)C)C(O)=O</t>
  </si>
  <si>
    <t>LMGQSWZKLPSOLV-HSPGVUBUSA-N</t>
  </si>
  <si>
    <t>C30H38N6O11</t>
  </si>
  <si>
    <t>7.90_594.3419m/z</t>
  </si>
  <si>
    <t>Ohoha-Pa</t>
  </si>
  <si>
    <t>LMGP20070027</t>
  </si>
  <si>
    <t>[C@](COP(=O)(O)O)([H])(OC(CCC(O)/C=C/C=O)=O)COC(CCCCCCC/C=C\CCCCCCCC)=O</t>
  </si>
  <si>
    <t>YPUMXOJPZSOXNO-OFUPOGHISA-N</t>
  </si>
  <si>
    <t>C28H49O10P</t>
  </si>
  <si>
    <t>0.78_211.1207n</t>
  </si>
  <si>
    <t>Orciprenaline</t>
  </si>
  <si>
    <t>HMDB0014954</t>
  </si>
  <si>
    <t>C07144</t>
  </si>
  <si>
    <t>586-06-1</t>
  </si>
  <si>
    <t>CC(C)NCC(O)C1=CC(O)=CC(O)=C1</t>
  </si>
  <si>
    <t>LMOINURANNBYCM-UHFFFAOYSA-N</t>
  </si>
  <si>
    <t>C11H17NO3</t>
  </si>
  <si>
    <t>12.11_522.5969m/z</t>
  </si>
  <si>
    <t>(21-Methyl-8z-Pentatriacontene</t>
  </si>
  <si>
    <t>LMFA11000079</t>
  </si>
  <si>
    <t>CCCCCCC/C=C\CCCCCCCCCCCC(C)CCCCCCCCCCCCCC</t>
  </si>
  <si>
    <t>PXCAACLCRICOBP-VLGSPTGOSA-N</t>
  </si>
  <si>
    <t>Hydrocarbons</t>
  </si>
  <si>
    <t>Unsaturated hydrocarbons</t>
  </si>
  <si>
    <t>Unsaturated aliphatic hydrocarbons</t>
  </si>
  <si>
    <t>C36H72</t>
  </si>
  <si>
    <t>6.85_480.2718n</t>
  </si>
  <si>
    <t>Neoandrographolide</t>
  </si>
  <si>
    <t>HMDB0255516</t>
  </si>
  <si>
    <t>CC1(COC2OC(CO)C(O)C(O)C2O)CCCC2(C)C(CCC3=CCOC3=O)C(=C)CCC12</t>
  </si>
  <si>
    <t>YGCYRQKJYWQXHG-UHFFFAOYSA-N</t>
  </si>
  <si>
    <t>C26H40O8</t>
  </si>
  <si>
    <t>5.80_603.2221m/z</t>
  </si>
  <si>
    <t>Punaglandin 2</t>
  </si>
  <si>
    <t>LMFA03120029</t>
  </si>
  <si>
    <t>[C@@]1(O)(C/C=C\CCCCC)C=C(Cl)C(=O)[C@@H]1[C@@H](OC(=O)C)[C@H](OC(=O)C)[C@@H](OC(C)=O)CCCC(=O)OC</t>
  </si>
  <si>
    <t>JJPYFSVYYQRFTK-BWCUSQEASA-N</t>
  </si>
  <si>
    <t>C27H39ClO10</t>
  </si>
  <si>
    <t>6.85_488.3135n</t>
  </si>
  <si>
    <t>Antcin K</t>
  </si>
  <si>
    <t>HMDB0249891</t>
  </si>
  <si>
    <t>CC(CCC(=C)C(C)C(O)=O)C1CCC2C3=C(C(=O)CC12C)C1(C)CCC(O)C(C)(O)C1CC3O</t>
  </si>
  <si>
    <t>RWTLLOHEXIZDCG-UHFFFAOYSA-N</t>
  </si>
  <si>
    <t>C29H44O6</t>
  </si>
  <si>
    <t>5.04_548.2969n</t>
  </si>
  <si>
    <t>Cymarin</t>
  </si>
  <si>
    <t>C08859</t>
  </si>
  <si>
    <t>508-77-0</t>
  </si>
  <si>
    <t>CC1C(C(CC(O1)OC2CCC3(C4CCC5(C(CCC5(C4CCC3(C2)O)O)C6=CC(=O)OC6)C)C=O)OC)O</t>
  </si>
  <si>
    <t>XQCGNURMLWFQJR-ZNDDOCHDSA-N</t>
  </si>
  <si>
    <t>C30H44O9</t>
  </si>
  <si>
    <t>4.70_548.2909m/z</t>
  </si>
  <si>
    <t>N-Formyl-Met-Leu-Phe-Lys</t>
  </si>
  <si>
    <t>HMDB0252432</t>
  </si>
  <si>
    <t>CSCCC(NC=O)C(=O)NC(CC(C)C)C(=O)NC(CC1=CC=CC=C1)C(=O)NC(CCCCN)C(O)=O</t>
  </si>
  <si>
    <t>OERILMBTPCSYNG-UHFFFAOYSA-N</t>
  </si>
  <si>
    <t>C27H43N5O6S</t>
  </si>
  <si>
    <t>5.06_371.2211m/z</t>
  </si>
  <si>
    <t>Cannogenin</t>
  </si>
  <si>
    <t>LMST01120004</t>
  </si>
  <si>
    <t>C1[C@@]2(C=O)[C@]([H])(CC[C@]3([H])[C@]2([H])CC[C@]2(C)[C@@]([H])(C4COC(=O)C=4)CC[C@]32O)C[C@@H](O)C1</t>
  </si>
  <si>
    <t>JNTNUSUPTSNMNJ-NNNAONFXSA-N</t>
  </si>
  <si>
    <t>C23H32O5</t>
  </si>
  <si>
    <t>5.60_835.3147m/z</t>
  </si>
  <si>
    <t>(R)-Byakangelicinn 2'-(3-Methylbutanoate)</t>
  </si>
  <si>
    <t>HMDB0039068</t>
  </si>
  <si>
    <t>COC1=C2C=CC(=O)OC2=C(OCC(OC(=O)CC(C)C)C(C)(C)O)C2=C1C=CO2</t>
  </si>
  <si>
    <t>BMKRDVAEOSDNPJ-UHFFFAOYSA-N</t>
  </si>
  <si>
    <t>C22H26O8</t>
  </si>
  <si>
    <t>3.77_306.1314n</t>
  </si>
  <si>
    <t>(+/-)-(E)-4-Ethyl-2-[(Z)-Hydroxyimino]-5-Nitro-3-Hexen-1-Yl-Nicotinamide</t>
  </si>
  <si>
    <t>HMDB0242266</t>
  </si>
  <si>
    <t>CCON=C(CNC(=O)C1=CN=CC=C1)C=CC(C)[N+]([O-])=O</t>
  </si>
  <si>
    <t>BSMGQVOYPQZEOC-UHFFFAOYSA-N</t>
  </si>
  <si>
    <t>C14H18N4O4</t>
  </si>
  <si>
    <t>7.75_582.3421m/z</t>
  </si>
  <si>
    <t>Phooa-Pa</t>
  </si>
  <si>
    <t>LMGP20070005</t>
  </si>
  <si>
    <t>[C@](COP(=O)(O)O)([H])(OC(CCCC(O)/C=C/C(=O)[H])=O)COC(CCCCCCCCCCCCCCC)=O</t>
  </si>
  <si>
    <t>CBAXRHWCQNAQGB-IQBDFAPESA-N</t>
  </si>
  <si>
    <t>C27H49O10P</t>
  </si>
  <si>
    <t>3.75_421.1679m/z</t>
  </si>
  <si>
    <t>Pomiferin</t>
  </si>
  <si>
    <t>HMDB0256696</t>
  </si>
  <si>
    <t>LMPK12050244</t>
  </si>
  <si>
    <t>C10519</t>
  </si>
  <si>
    <t>572-03-2</t>
  </si>
  <si>
    <t>C12OC(C)(C)C=CC=1C1OC=C(C3=CC=C(O)C(O)=C3)C(=O)C=1C(O)=C2C/C=C(/C)\C</t>
  </si>
  <si>
    <t>GHCZYXUOYFOXIP-UHFFFAOYSA-N</t>
  </si>
  <si>
    <t>Isoflavans</t>
  </si>
  <si>
    <t>C25H24O6</t>
  </si>
  <si>
    <t>0.81_261.0579m/z</t>
  </si>
  <si>
    <t>2-Keto-3-Deoxy-D-Mannooctanoic Acid</t>
  </si>
  <si>
    <t>HMDB0250768</t>
  </si>
  <si>
    <t>OCC(O)C1OC(O)(CC(O)C1O)C(O)=O</t>
  </si>
  <si>
    <t>NNLZBVFSCVTSLA-UHFFFAOYSA-N</t>
  </si>
  <si>
    <t>C8H14O8</t>
  </si>
  <si>
    <t>9.68_313.2383m/z</t>
  </si>
  <si>
    <t>18-Hydroxy-9r,10s-Epoxy-Stearic Acid</t>
  </si>
  <si>
    <t>HMDB0061650</t>
  </si>
  <si>
    <t>LMFA02000003</t>
  </si>
  <si>
    <t>C19620</t>
  </si>
  <si>
    <t>ko00073</t>
  </si>
  <si>
    <t>Cutin, suberine and wax biosynthesis</t>
  </si>
  <si>
    <t>154966-80-0</t>
  </si>
  <si>
    <t>C(CCCCCCC[C@H]1O[C@H]1CCCCCCCCO)(=O)O</t>
  </si>
  <si>
    <t>ITTPZDMHCNGAGQ-DLBZAZTESA-N</t>
  </si>
  <si>
    <t>1.79_753.1314m/z</t>
  </si>
  <si>
    <t>Loropetalin D</t>
  </si>
  <si>
    <t>LMPK12111936</t>
  </si>
  <si>
    <t>C1C=C(O)C=CC=1C1=C(O[C@H]2[C@H](OC(=O)C3C=C(O)C(O)=C(O)C=3)[C@@H](O)[C@H](O)[C@@H](COC(=O)C3C=C(O)C(O)=C(O)C=3)O2)C(=O)C2C(O)=CC(O)=CC=2O1</t>
  </si>
  <si>
    <t>GAWOMYRLBFCSGL-LYCJLDPISA-N</t>
  </si>
  <si>
    <t>C35H28O19</t>
  </si>
  <si>
    <t>6.08_510.3211m/z</t>
  </si>
  <si>
    <t>(4z,7z,10z,13z,16e,18e)-20-Hydroxydocosa-4,7,10,13,16,18-Hexaenoylcarnitine</t>
  </si>
  <si>
    <t>HMDB0241621</t>
  </si>
  <si>
    <t>CCC(O)C=CC=CCC=CCC=CCC=CCC=CCCC(=O)OC(CC([O-])=O)C[N+](C)(C)C</t>
  </si>
  <si>
    <t>IZXKZZYXSOMOLI-UHFFFAOYSA-N</t>
  </si>
  <si>
    <t>C29H45NO5</t>
  </si>
  <si>
    <t>5.92_450.2251n</t>
  </si>
  <si>
    <t>Cortisol Lactate</t>
  </si>
  <si>
    <t>HMDB0250468</t>
  </si>
  <si>
    <t>CC(O)C(=O)OC1CC(=O)C=C2CCC3C4CCC(O)(C(=O)CO)C4(C)CC(O)C3C12C</t>
  </si>
  <si>
    <t>NFYZAKGWXWXXME-UHFFFAOYSA-N</t>
  </si>
  <si>
    <t>C24H34O8</t>
  </si>
  <si>
    <t>4.24_315.1084m/z</t>
  </si>
  <si>
    <t>(2s,3r,4r,5s,6s)-2-(Hydroxymethyl)-6-Phenylmethoxyoxane-3,4,5-Triol</t>
  </si>
  <si>
    <t>HMDB0243491</t>
  </si>
  <si>
    <t>OCC1OC(OCC2=CC=CC=C2)C(O)C(O)C1O</t>
  </si>
  <si>
    <t>GKHCBYYBLTXYEV-UHFFFAOYSA-N</t>
  </si>
  <si>
    <t>C13H18O6</t>
  </si>
  <si>
    <t>6.95_523.3272m/z</t>
  </si>
  <si>
    <t>Dolicholide</t>
  </si>
  <si>
    <t>HMDB0034086</t>
  </si>
  <si>
    <t>85228-11-1</t>
  </si>
  <si>
    <t>CC(C)C(=C)C(O)C(O)C(C)C1CCC2C3COC(=O)C4CC(O)C(O)CC4(C)C3CCC12C</t>
  </si>
  <si>
    <t>PPFRJNLKWADOTL-UHFFFAOYSA-N</t>
  </si>
  <si>
    <t>3.90_402.1035m/z</t>
  </si>
  <si>
    <t>2,4-Dihydroxy-7,8-Dimethoxy-2h-1,4-Benzoxazin-3(4h)-One 2-Glucoside</t>
  </si>
  <si>
    <t>HMDB0037550</t>
  </si>
  <si>
    <t>40246-08-0</t>
  </si>
  <si>
    <t>COC1=C(OC)C2=C(C=C1)N(O)C(=O)C(OC1OC(CO)C(O)C(O)C1O)O2</t>
  </si>
  <si>
    <t>CFUFRWCJGZYVHK-UHFFFAOYSA-N</t>
  </si>
  <si>
    <t>C16H21NO11</t>
  </si>
  <si>
    <t>6.80_626.3670m/z</t>
  </si>
  <si>
    <t>Am-LPE(18:0/0:0)</t>
  </si>
  <si>
    <t>LMGP21050001</t>
  </si>
  <si>
    <t>[C@](COP(=O)(O)OCCNC[C@@]1(O)OC[C@@H](O)[C@@H](O)[C@@H]1O)([H])(O)COC(CCCCCCCCCCCCCCCCC)=O</t>
  </si>
  <si>
    <t>CSDPYUQTNPMMNY-PMCIJNRMSA-N</t>
  </si>
  <si>
    <t>C29H58NO12P</t>
  </si>
  <si>
    <t>5.14_366.0949n</t>
  </si>
  <si>
    <t>Psoralenoside</t>
  </si>
  <si>
    <t>HMDB0256901</t>
  </si>
  <si>
    <t>OCC1OC(OC2=C(C=CC(O)=O)C=C3C=COC3=C2)C(O)C(O)C1O</t>
  </si>
  <si>
    <t>XRLPSAYLYDMYGX-UHFFFAOYSA-N</t>
  </si>
  <si>
    <t>C17H18O9</t>
  </si>
  <si>
    <t>4.79_344.1622n</t>
  </si>
  <si>
    <t>4,4'-Dihydroxy-3,3'-Dimethoxy-9,9'-Epoxylignan</t>
  </si>
  <si>
    <t>HMDB0303508</t>
  </si>
  <si>
    <t>COC1=CC(CC2COCC2CC2=CC(OC)=C(O)C=C2)=CC=C1O</t>
  </si>
  <si>
    <t>ROGUIJKVZZROIQ-UHFFFAOYSA-N</t>
  </si>
  <si>
    <t>Furanoid lignans</t>
  </si>
  <si>
    <t>Tetrahydrofuran lignans</t>
  </si>
  <si>
    <t>C20H24O5</t>
  </si>
  <si>
    <t>0.72_371.1189m/z</t>
  </si>
  <si>
    <t>6-O-B-D-Fructofuranosyl-2-Deoxy-D-Glucose</t>
  </si>
  <si>
    <t>HMDB0040154</t>
  </si>
  <si>
    <t>57440-92-3</t>
  </si>
  <si>
    <t>OCC1OC(CO)(OCC2OC(O)CC(O)C2O)C(O)C1O</t>
  </si>
  <si>
    <t>SMVQCONTAPZYQB-UHFFFAOYSA-N</t>
  </si>
  <si>
    <t>5.58_138.0184m/z</t>
  </si>
  <si>
    <t>4-Nitrophenol</t>
  </si>
  <si>
    <t>HMDB0001232</t>
  </si>
  <si>
    <t>C00870</t>
  </si>
  <si>
    <t>ko00627</t>
  </si>
  <si>
    <t>Aminobenzoate degradation</t>
  </si>
  <si>
    <t>100-02-7</t>
  </si>
  <si>
    <t>OC1=CC=C(C=C1)[N+]([O-])=O</t>
  </si>
  <si>
    <t>BTJIUGUIPKRLHP-UHFFFAOYSA-N</t>
  </si>
  <si>
    <t>C6H5NO3</t>
  </si>
  <si>
    <t>6.20_666.2496n</t>
  </si>
  <si>
    <t>3,4,7-Trihydroxy-5-Methoxy-8-Prenylflavan 4-O-(Beta-D-Xylopyranosyl-(1-&gt;6)-Beta-D-Glucopyranoside)</t>
  </si>
  <si>
    <t>LMPK12020211</t>
  </si>
  <si>
    <t>C1(O)=C(C/C=C(\C)/C)C2O[C@H](C3C=CC(O)=CC=3)[C@@H](O)[C@@H](O[C@H]3[C@H](O)[C@@H](O)[C@H](O)[C@@H](CO[C@H]4[C@H](O)[C@@H](O)[C@H](O)CO4)O3)C=2C(OC)=C1</t>
  </si>
  <si>
    <t>SGQQCSHVXAXBTJ-ZVQKGNERSA-N</t>
  </si>
  <si>
    <t>C32H42O15</t>
  </si>
  <si>
    <t>9.10_578.2727n</t>
  </si>
  <si>
    <t>Drimianin E</t>
  </si>
  <si>
    <t>LMST01130057</t>
  </si>
  <si>
    <t>C1[C@@]2(CO)C(CC[C@]3([H])[C@]2([H])[C@@H](O)C[C@@]2(C)[C@]3(O)CC[C@]2([H])C2C=CC(=O)OC=2)=C[C@@H](O[C@H]2[C@H](O)[C@@H](O)[C@H](O)[C@@H](CO)O2)C1</t>
  </si>
  <si>
    <t>XOMLCGRQUAAWNH-AZBKCQEPSA-N</t>
  </si>
  <si>
    <t>4.58_842.4706n</t>
  </si>
  <si>
    <t>PGP(16:0/18:1(12Z)-O(9S,10R))</t>
  </si>
  <si>
    <t>HMDB0272348</t>
  </si>
  <si>
    <t>[H][C@](O)(COP(O)(O)=O)COP(O)(=O)OC[C@@]([H])(COC(=O)CCCCCCCCCCCCCCC)OC(=O)CCCCCCCC1OC1C\C=C/CCCCC</t>
  </si>
  <si>
    <t>NECAUGGHBPLWKB-XWPZZNQOSA-N</t>
  </si>
  <si>
    <t>C40H76O14P2</t>
  </si>
  <si>
    <t>6.20_587.2264m/z</t>
  </si>
  <si>
    <t>Cochinchinenin B</t>
  </si>
  <si>
    <t>HMDB0250394</t>
  </si>
  <si>
    <t>COC1=CC(O)=CC=C1CCC(C1=CC=C(O)C=C1)C1=CC(CCC(=O)C2=CC=C(O)C=C2)=C(OC)C=C1OC</t>
  </si>
  <si>
    <t>QFWXEYRQNKRQDH-UHFFFAOYSA-N</t>
  </si>
  <si>
    <t>C33H34O7</t>
  </si>
  <si>
    <t>11.73_749.4435m/z</t>
  </si>
  <si>
    <t>Soyasaponin Iv</t>
  </si>
  <si>
    <t>HMDB0039518</t>
  </si>
  <si>
    <t>108906-97-4</t>
  </si>
  <si>
    <t>[H][C@@]1(O[C@@H]2[C@@H](O)[C@H](O)[C@H](O[C@@]2([H])O[C@H]2CC[C@@]3(C)[C@@]([H])(CC[C@]4(C)[C@]3([H])CC=C3[C@]5([H])CC(C)(C)C[C@@H](O)[C@]5(C)CC[C@@]43C)[C@@]2(C)CO)C(O)=O)OC[C@H](O)[C@H](O)[C@H]1O</t>
  </si>
  <si>
    <t>LASVNNIDKPXXMG-AOTOZEHFSA-N</t>
  </si>
  <si>
    <t>C41H66O13</t>
  </si>
  <si>
    <t>4.19_695.2193m/z</t>
  </si>
  <si>
    <t>Egonol Gentiobioside</t>
  </si>
  <si>
    <t>HMDB0034281</t>
  </si>
  <si>
    <t>COC1=CC(CCCOC2OC(COC3OC(CO)C(O)C(O)C3O)C(O)C(O)C2O)=CC2=C1OC(=C2)C1=CC2=C(OCO2)C=C1</t>
  </si>
  <si>
    <t>NBGJGWFIDMDCAW-UHFFFAOYSA-N</t>
  </si>
  <si>
    <t>C31H38O15</t>
  </si>
  <si>
    <t>5.51_627.2287m/z</t>
  </si>
  <si>
    <t>(7'R)-(+)-Lyoniresinol 9'-Glucoside</t>
  </si>
  <si>
    <t>HMDB0038922</t>
  </si>
  <si>
    <t>87585-32-8</t>
  </si>
  <si>
    <t>COC1=CC2=C(C(C(COC3OC(CO)C(O)C(O)C3O)C(CO)C2)C2=CC(OC)=C(O)C(OC)=C2)C(OC)=C1O</t>
  </si>
  <si>
    <t>PQQRNPDHSJDAGV-UHFFFAOYSA-N</t>
  </si>
  <si>
    <t>C28H38O13</t>
  </si>
  <si>
    <t>11.73_744.4871m/z</t>
  </si>
  <si>
    <t>Idremcinal</t>
  </si>
  <si>
    <t>HMDB0253381</t>
  </si>
  <si>
    <t>CCC1OC(=O)C(C)C(OC2CC(C)(OC)C(O)C(C)O2)C(C)C(OC2OC(C)CC(C2O)N(C)C(C)C)C2(C)CC(C)=C(O2)C(C)C(O)C1(C)O</t>
  </si>
  <si>
    <t>FPBKIOZMKHHNLL-UHFFFAOYSA-N</t>
  </si>
  <si>
    <t>C39H69NO12</t>
  </si>
  <si>
    <t>11.10_922.5925m/z</t>
  </si>
  <si>
    <t>PE(24:0/20:4(6Z,8E,10E,14Z)-2OH(5S,12R))</t>
  </si>
  <si>
    <t>HMDB0284478</t>
  </si>
  <si>
    <t>[H][C@@](COC(=O)CCCCCCCCCCCCCCCCCCCCCCC)(COP(O)(=O)OCCN)OC(=O)CCC[C@@H](O)\C=C/C=C/C=C/[C@@H](O)C\C=C/CCCCC</t>
  </si>
  <si>
    <t>UKEOQUJVRJSWNB-KDHRKQDZSA-N</t>
  </si>
  <si>
    <t>C49H90NO10P</t>
  </si>
  <si>
    <t>4.53_798.4450n</t>
  </si>
  <si>
    <t>PGP(16:1(9Z)/16:1(9Z))</t>
  </si>
  <si>
    <t>HMDB0013488</t>
  </si>
  <si>
    <t>[H][C@](O)(COP(O)(O)=O)COP(O)(=O)OC[C@@]([H])(COC(=O)CCCCCCC\C=C/CCCCCC)OC(=O)CCCCCCC\C=C/CCCCCC</t>
  </si>
  <si>
    <t>PTJJTQQVMKSSOK-NWHZUZAFSA-N</t>
  </si>
  <si>
    <t>C38H72O13P2</t>
  </si>
  <si>
    <t>0.75_312.1052n</t>
  </si>
  <si>
    <t>Galactose-Beta-1,4-Xylose</t>
  </si>
  <si>
    <t>HMDB0011677</t>
  </si>
  <si>
    <t>OC[C@H]1O[C@@H](O[C@@H]2CO[C@@H](O)[C@H](O)[C@H]2O)[C@H](O)[C@@H](O)[C@H]1O</t>
  </si>
  <si>
    <t>VCTBNHVCBSUQPG-YOUNRWHRSA-N</t>
  </si>
  <si>
    <t>C11H20O10</t>
  </si>
  <si>
    <t>3.35_301.1258m/z</t>
  </si>
  <si>
    <t>1-[(2r,5r)-4-Azidooxy-5-(Hydroxymethyl)Oxolan-2-Yl]-5-Methylpyrimidine-2,4-Dione</t>
  </si>
  <si>
    <t>HMDB0257735</t>
  </si>
  <si>
    <t>CC1=CN(C2CC(ON=[N+]=[N-])C(CO)O2)C(=O)NC1=O</t>
  </si>
  <si>
    <t>WSYJDFJOPVQYLZ-UHFFFAOYSA-N</t>
  </si>
  <si>
    <t>C10H13N5O5</t>
  </si>
  <si>
    <t>11.71_897.5659m/z</t>
  </si>
  <si>
    <t>PI(18:0/18:1(12Z)-2OH(9,10))</t>
  </si>
  <si>
    <t>HMDB0276394</t>
  </si>
  <si>
    <t>[H][C@@](COC(=O)CCCCCCCCCCCCCCCCC)(COP(O)(=O)O[C@H]1[C@H](O)[C@@H](O)[C@H](O)[C@@H](O)[C@H]1O)OC(=O)CCCCCCC[C@H](O)[C@@H](O)C\C=C/CCCCC</t>
  </si>
  <si>
    <t>IHYYYIBKHXYRFB-TZIDMFNXSA-N</t>
  </si>
  <si>
    <t>1.60_309.1190m/z</t>
  </si>
  <si>
    <t>Ilicifolinoside A</t>
  </si>
  <si>
    <t>HMDB0041186</t>
  </si>
  <si>
    <t>C\C(COC1OC(CO)C(O)C(O)C1O)=C\CO</t>
  </si>
  <si>
    <t>CCMAOVDWTXGECN-KXFIGUGUSA-N</t>
  </si>
  <si>
    <t>C11H20O7</t>
  </si>
  <si>
    <t>9.48_566.1209n</t>
  </si>
  <si>
    <t>Isoginkgetin</t>
  </si>
  <si>
    <t>HMDB0033937</t>
  </si>
  <si>
    <t>LMPK12040012</t>
  </si>
  <si>
    <t>548-19-6</t>
  </si>
  <si>
    <t>C1(O)=CC2OC(C3C=CC(OC)=C(C4=C(O)C=C(O)C5C(=O)C=C(C6=CC=C(OC)C=C6)OC4=5)C=3)=CC(=O)C=2C(O)=C1</t>
  </si>
  <si>
    <t>HUOOMAOYXQFIDQ-UHFFFAOYSA-N</t>
  </si>
  <si>
    <t>C32H22O10</t>
  </si>
  <si>
    <t>3.41_139.0388m/z</t>
  </si>
  <si>
    <t>2-Methoxy-1,3-Benzenediol</t>
  </si>
  <si>
    <t>HMDB0133970</t>
  </si>
  <si>
    <t>29267-67-2</t>
  </si>
  <si>
    <t>COC1=C(O)C=CC=C1O</t>
  </si>
  <si>
    <t>QFYYAIBEHOEZKC-UHFFFAOYSA-N</t>
  </si>
  <si>
    <t>Methoxyphenols</t>
  </si>
  <si>
    <t>C7H8O3</t>
  </si>
  <si>
    <t>4.36_503.1889m/z</t>
  </si>
  <si>
    <t>O2',O3',O5'-Tri-Acetyl-N6-(3-Hydroxyphenyl)Adenosine</t>
  </si>
  <si>
    <t>HMDB0258102</t>
  </si>
  <si>
    <t>CC(=O)OCC1OC(C(OC(C)=O)C1OC(C)=O)N1C=NC2=C1N=CN=C2NC1=CC(O)=CC=C1</t>
  </si>
  <si>
    <t>IUDLPZTURGVXEA-UHFFFAOYSA-N</t>
  </si>
  <si>
    <t>C22H23N5O8</t>
  </si>
  <si>
    <t>4.90_401.1570m/z</t>
  </si>
  <si>
    <t>Niveusin C</t>
  </si>
  <si>
    <t>HMDB0034474</t>
  </si>
  <si>
    <t>C09517</t>
  </si>
  <si>
    <t>75680-27-2</t>
  </si>
  <si>
    <t>C\C=C(\C)C(=O)O[C@@H]1C[C@@]2(C)O[C@](O)(C[C@@H]2O)\C(C)=C/[C@@H]2OC(=O)C(=C)[C@H]12</t>
  </si>
  <si>
    <t>WGVJNQGTZSPMCY-GEYOPIBESA-N</t>
  </si>
  <si>
    <t>C20H26O7</t>
  </si>
  <si>
    <t>5.38_512.2409n</t>
  </si>
  <si>
    <t>Silux</t>
  </si>
  <si>
    <t>HMDB0249239</t>
  </si>
  <si>
    <t>C14511</t>
  </si>
  <si>
    <t>1565-94-2</t>
  </si>
  <si>
    <t>CC(=C)C(=O)OCC(O)COC1=CC=C(C=C1)C(C)(C)C1=CC=C(OCC(O)COC(=O)C(C)=C)C=C1</t>
  </si>
  <si>
    <t>AMFGWXWBFGVCKG-UHFFFAOYSA-N</t>
  </si>
  <si>
    <t>Diphenylmethanes</t>
  </si>
  <si>
    <t>C29H36O8</t>
  </si>
  <si>
    <t>6.22_371.2091n</t>
  </si>
  <si>
    <t>S-4-Benzyl-3-((S)-3-Hydroxy-2,2-Dimethyloct-7-Ynoyl)-5,5-Dimethyloxazolidin-2-One</t>
  </si>
  <si>
    <t>CC1(C(N(C(=O)O1)C(=O)C(C)(C)C(CCCC#C)O)CC2=CC=CC=C2)C</t>
  </si>
  <si>
    <t>ZVXLOXYROPHNQQ-ROUUACIJSA-N</t>
  </si>
  <si>
    <t>Azolidines</t>
  </si>
  <si>
    <t>Oxazolidines</t>
  </si>
  <si>
    <t>C22H29NO4</t>
  </si>
  <si>
    <t>6.71_719.3447m/z</t>
  </si>
  <si>
    <t>Ohoha-Pi</t>
  </si>
  <si>
    <t>LMGP20050027</t>
  </si>
  <si>
    <t>[C@]([H])(OC(CCC(O)/C=C/C=O)=O)(COP(=O)(O)O[C@H]1[C@H](O)[C@@H](O)[C@H](O)[C@@H](O)[C@H]1O)COC(CCCCCCC/C=C\CCCCCCCC)=O</t>
  </si>
  <si>
    <t>CGAIQONKZABOKA-YUHSSVNQSA-N</t>
  </si>
  <si>
    <t>C34H59O15P</t>
  </si>
  <si>
    <t>9.30_873.4122m/z</t>
  </si>
  <si>
    <t>Digitoxigenin 3-[Glucosyl-(1-&gt;6)-Glucosyl-(1-&gt;4)-2,6-Dideoxyribohexoside]</t>
  </si>
  <si>
    <t>HMDB0034321</t>
  </si>
  <si>
    <t>220710-06-5</t>
  </si>
  <si>
    <t>CC1OC(CC(O)C1OC1OC(COC2OC(CO)C(O)C(O)C2O)C(O)C(O)C1O)OC1CCC2(C)C(CCC3C2CCC2(C)C(CCC32O)C2=CC(=O)OC2)C1</t>
  </si>
  <si>
    <t>NQKAYUABNWNCPK-UHFFFAOYSA-N</t>
  </si>
  <si>
    <t>C41H64O17</t>
  </si>
  <si>
    <t>5.52_527.2257m/z</t>
  </si>
  <si>
    <t>Alpha-Ionol O-[Arabinosyl-(1-&gt;6)-Glucoside]</t>
  </si>
  <si>
    <t>HMDB0038732</t>
  </si>
  <si>
    <t>CC(OC1OC(COC2OC(CO)C(O)C2O)C(O)C(O)C1O)\C=C\C1C(C)=CCCC1(C)C</t>
  </si>
  <si>
    <t>MITNBWXSDQNKSU-BQYQJAHWSA-N</t>
  </si>
  <si>
    <t>C24H40O10</t>
  </si>
  <si>
    <t>10.53_460.2819n</t>
  </si>
  <si>
    <t>Hydrocortisone Caproate</t>
  </si>
  <si>
    <t>LMST02030129</t>
  </si>
  <si>
    <t>C13422</t>
  </si>
  <si>
    <t>[C@]12(C)C[C@@H]([C@]3([H])[C@@]4(C)CCC(=O)C=C4CC[C@@]3([H])[C@]1([H])CC[C@]2(O)C(=O)COC(=O)CCCCC)O</t>
  </si>
  <si>
    <t>XZSVYVIYKBHVMV-FOMYWIRZSA-N</t>
  </si>
  <si>
    <t>C27H40O6</t>
  </si>
  <si>
    <t>10.61_1037.5144m/z</t>
  </si>
  <si>
    <t>PS(22:5(4Z,7Z,10Z,13Z,16Z)/LTE4)</t>
  </si>
  <si>
    <t>HMDB0283326</t>
  </si>
  <si>
    <t>CCCCC\C=C/C\C=C/C\C=C/C\C=C/C\C=C/CCC(=O)OC[C@H](COP(O)(=O)OC[C@H](N)C(O)=O)OC(=O)[C@@H](N)CS[C@H](\C=C\C=C\C=C/C\C=C/CCCCC)[C@@H](O)CCCC(O)=O</t>
  </si>
  <si>
    <t>VBKSAVHUWKEIRC-HNWRETAWSA-N</t>
  </si>
  <si>
    <t>C51H81N2O13PS</t>
  </si>
  <si>
    <t>1.44_461.1267m/z</t>
  </si>
  <si>
    <t>Selinexor</t>
  </si>
  <si>
    <t>HMDB0258217</t>
  </si>
  <si>
    <t>FC(F)(F)C1=CC(=CC(=C1)C1=NN(C=CC(=O)NNC2=NC=CN=C2)C=N1)C(F)(F)F</t>
  </si>
  <si>
    <t>DEVSOMFAQLZNKR-UHFFFAOYSA-N</t>
  </si>
  <si>
    <t>Azoles</t>
  </si>
  <si>
    <t>Triazoles</t>
  </si>
  <si>
    <t>C17H11F6N7O</t>
  </si>
  <si>
    <t>4.36_421.1633m/z</t>
  </si>
  <si>
    <t>3-Methoxytyrosine</t>
  </si>
  <si>
    <t>HMDB0001434</t>
  </si>
  <si>
    <t>7636-26-2</t>
  </si>
  <si>
    <t>COC1=C(O)C=CC(CC(N)C(O)=O)=C1</t>
  </si>
  <si>
    <t>PFDUUKDQEHURQC-UHFFFAOYSA-N</t>
  </si>
  <si>
    <t>C10H13NO4</t>
  </si>
  <si>
    <t>12.33_905.5107m/z</t>
  </si>
  <si>
    <t>PE(20:3(5Z,8Z,11Z)/LTE4)</t>
  </si>
  <si>
    <t>HMDB0262164</t>
  </si>
  <si>
    <t>CCCCCCCC\C=C/C\C=C/C\C=C/CCCC(=O)OC[C@H](COP(O)(=O)OCCN)OC(=O)[C@@H](N)CS[C@H](\C=C\C=C\C=C/C\C=C/CCCCC)[C@@H](O)CCCC(O)=O</t>
  </si>
  <si>
    <t>DTTLXOIYRDUPQS-DJAWBILISA-N</t>
  </si>
  <si>
    <t>C48H81N2O11PS</t>
  </si>
  <si>
    <t>4.09_366.1888n</t>
  </si>
  <si>
    <t>(1r*,2r*,4r*,8s*)-P-Menthane-1,2,8,9-Tetrol 9-Glucoside</t>
  </si>
  <si>
    <t>HMDB0039976</t>
  </si>
  <si>
    <t>402593-84-4</t>
  </si>
  <si>
    <t>CC(O)(COC1OC(CO)C(O)C(O)C1O)C1CCC(C)(O)C(O)C1</t>
  </si>
  <si>
    <t>OUUOFMUQJUUKQQ-UHFFFAOYSA-N</t>
  </si>
  <si>
    <t>C16H30O9</t>
  </si>
  <si>
    <t>1.83_471.0226m/z</t>
  </si>
  <si>
    <t>Axillarin 7-Sulfate</t>
  </si>
  <si>
    <t>LMPK12112974</t>
  </si>
  <si>
    <t>C1C=C(O)C(O)=CC=1C1=C(OC)C(=O)C2C(O)=C(OC)C(OS(=O)(=O)O)=CC=2O1</t>
  </si>
  <si>
    <t>AYBWPCJLKMIOED-UHFFFAOYSA-N</t>
  </si>
  <si>
    <t>C17H14O11S</t>
  </si>
  <si>
    <t>4.56_478.1562m/z</t>
  </si>
  <si>
    <t>Ly-411575</t>
  </si>
  <si>
    <t>209984-57-6</t>
  </si>
  <si>
    <t>CC(C(=O)NC1C2=CC=CC=C2C3=CC=CC=C3N(C1=O)C)NC(=O)C(C4=CC(=CC(=C4)F)F)O</t>
  </si>
  <si>
    <t>ULSSJYNJIZWPSB-CVRXJBIPSA-N</t>
  </si>
  <si>
    <t>C26H23F2N3O4</t>
  </si>
  <si>
    <t>8.78_246.0889n</t>
  </si>
  <si>
    <t>Benzyl-6-Hydroxy-2-Cyclohexene-On-Oyl</t>
  </si>
  <si>
    <t>HMDB0304271</t>
  </si>
  <si>
    <t>OC1(C=CCCC1=O)C(=O)OCC1=CC=CC=C1</t>
  </si>
  <si>
    <t>ILTCAPLRBIEGDX-UHFFFAOYSA-N</t>
  </si>
  <si>
    <t>Benzyloxycarbonyls</t>
  </si>
  <si>
    <t>C14H14O4</t>
  </si>
  <si>
    <t>5.83_658.3217m/z</t>
  </si>
  <si>
    <t>Catechin(3',4',5,7-Tetraacetate)-3-Dodecanoate</t>
  </si>
  <si>
    <t>LMPK12020292</t>
  </si>
  <si>
    <t>C1(C=CC(OC(=O)C)=C(OC(=O)C)C=1)[C@@H]1[C@@H](OC(=O)CCCCCCCCCCC)CC2C(OC(=O)C)=CC(OC(=O)C)=CC=2O1</t>
  </si>
  <si>
    <t>SFKWOJKATULLSM-QWOOXDRHSA-N</t>
  </si>
  <si>
    <t>C35H44O11</t>
  </si>
  <si>
    <t>11.09_769.4372m/z</t>
  </si>
  <si>
    <t>Smilanippin A</t>
  </si>
  <si>
    <t>HMDB0041354</t>
  </si>
  <si>
    <t>166736-13-6</t>
  </si>
  <si>
    <t>CC1C2C(CC3C4CCC5CC(CCC5(C)C4CCC23C)OC2OC(COC3OC(C)C(O)C(O)C3O)C(O)C(O)C2O)OC11CCC(C)CO1</t>
  </si>
  <si>
    <t>HXATWZQZOVMWCQ-UHFFFAOYSA-N</t>
  </si>
  <si>
    <t>5.52_531.2991m/z</t>
  </si>
  <si>
    <t>Microdiscusol G</t>
  </si>
  <si>
    <t>LMST05020059</t>
  </si>
  <si>
    <t>C1C[C@H](O)C[C@]2(O)[C@H](O)C[C@]3([H])[C@@]([H])([C@]21C)CC[C@]1(C)[C@@]([H])([C@@H](CC[C@H](OS(O)(=O)=O)C(C)C)C)[C@@H](O)[C@H](O)[C@]13[H]</t>
  </si>
  <si>
    <t>XGCDWALUXRJYCP-JJFZKVPHSA-N</t>
  </si>
  <si>
    <t>C27H48O9S</t>
  </si>
  <si>
    <t>11.37_927.4953m/z</t>
  </si>
  <si>
    <t>Pitheduloside B</t>
  </si>
  <si>
    <t>HMDB0034865</t>
  </si>
  <si>
    <t>189161-61-3</t>
  </si>
  <si>
    <t>CC1(C)CCC2(CCC3(C)C(=CCC4C5(C)CCC(OC6OC(COC7OCC(O)C(O)C7OC7OCC(O)C(O)C7O)C(O)C(O)C6O)C(C)(C)C5CCC34C)C2C1)C(O)=O</t>
  </si>
  <si>
    <t>WBBKABSSSHJZGN-UHFFFAOYSA-N</t>
  </si>
  <si>
    <t>C46H74O16</t>
  </si>
  <si>
    <t>1.27_268.1039m/z</t>
  </si>
  <si>
    <t>Adenosine</t>
  </si>
  <si>
    <t>HMDB0000050</t>
  </si>
  <si>
    <t>C00212</t>
  </si>
  <si>
    <t>ko00230,ko02010,ko04022,ko04024,ko04071,ko04080,ko04270,ko04923,ko04924,ko05012,ko05032,ko05034</t>
  </si>
  <si>
    <t>Purine metabolism|ABC transporters|cGMP-PKG signaling pathway|cAMP signaling pathway|Sphingolipid signaling pathway|Neuroactive ligand-receptor interaction|Vascular smooth muscle contraction|Regulation of lipolysis in adipocytes|Renin secretion|Parkinson disease|Morphine addiction|Alcoholism</t>
  </si>
  <si>
    <t>58-61-7</t>
  </si>
  <si>
    <t>NC1=C2N=CN([C@@H]3O[C@H](CO)[C@@H](O)[C@H]3O)C2=NC=N1</t>
  </si>
  <si>
    <t>OIRDTQYFTABQOQ-KQYNXXCUSA-N</t>
  </si>
  <si>
    <t>Purine nucleosides</t>
  </si>
  <si>
    <t>C10H13N5O4</t>
  </si>
  <si>
    <t>9.67_476.2409n</t>
  </si>
  <si>
    <t>1-O-All-Trans-Retinoyl-Beta-Glucuronic Acid</t>
  </si>
  <si>
    <t>HMDB0003141</t>
  </si>
  <si>
    <t>LMPR01090051</t>
  </si>
  <si>
    <t>C11061</t>
  </si>
  <si>
    <t>ko00830</t>
  </si>
  <si>
    <t>Retinol metabolism</t>
  </si>
  <si>
    <t>401-10-5</t>
  </si>
  <si>
    <t>C1CCC(C)=C(/C=C/C(=C/C=C/C(=C/C(=O)O[C@H]2[C@H](O)[C@@H](O)[C@H](O)[C@@H](C(=O)O)O2)/C)/C)C1(C)C</t>
  </si>
  <si>
    <t>MTGFYEHKPMOVNE-NEFMKCFNSA-N</t>
  </si>
  <si>
    <t>C26H36O8</t>
  </si>
  <si>
    <t>4.98_373.2127m/z</t>
  </si>
  <si>
    <t>2-((5-(Diethylamino)-[1,2,4]Triazolo[1,5-A]Pyrimidin-7-Yl)(Hexyl)Amino)Ethanol</t>
  </si>
  <si>
    <t>HMDB0244283</t>
  </si>
  <si>
    <t>CCCCCCN(CCO)C1=CC(=NC2=NC=NN12)N(CC)CC</t>
  </si>
  <si>
    <t>NWCVGIMEZSWINX-UHFFFAOYSA-N</t>
  </si>
  <si>
    <t>Triazolopyrimidines</t>
  </si>
  <si>
    <t>C17H30N6O</t>
  </si>
  <si>
    <t>5.65_617.2612m/z</t>
  </si>
  <si>
    <t>Apc</t>
  </si>
  <si>
    <t>HMDB0060661</t>
  </si>
  <si>
    <t>C00546</t>
  </si>
  <si>
    <t>ko00260,ko00620,ko00640,ko05415</t>
  </si>
  <si>
    <t>Glycine, serine and threonine metabolism|Pyruvate metabolism|Propanoate metabolism|Diabetic cardiomyopathy</t>
  </si>
  <si>
    <t>181467-56-1</t>
  </si>
  <si>
    <t>CCC1=C2CN3C(=CC4=C(COC(=O)[C@]4(O)CC)C3=O)C2=NC2=CC=C(OC(=O)N3CCC(CC3)NCCCCC(O)=O)C=C12</t>
  </si>
  <si>
    <t>BSVVZICJFYZDJJ-XIFFEERXSA-N</t>
  </si>
  <si>
    <t>Camptothecins</t>
  </si>
  <si>
    <t>C33H38N4O8</t>
  </si>
  <si>
    <t>5.28_366.0950n</t>
  </si>
  <si>
    <t>Furocoumarinic Acid Glucoside</t>
  </si>
  <si>
    <t>HMDB0029601</t>
  </si>
  <si>
    <t>OCC1OC(OC2=C(\C=C\C(O)=O)C=C3C=COC3=C2)C(O)C(O)C1O</t>
  </si>
  <si>
    <t>XRLPSAYLYDMYGX-OWOJBTEDSA-N</t>
  </si>
  <si>
    <t>10.46_332.3307m/z</t>
  </si>
  <si>
    <t>3z,6z,9z,12z,15z-Tricosapentaene</t>
  </si>
  <si>
    <t>LMFA11000180</t>
  </si>
  <si>
    <t>CC/C=C\C/C=C\C/C=C\C/C=C\C/C=C\CCCCCCC</t>
  </si>
  <si>
    <t>WZOLXZVFYDHGLR-CUUFJFTBSA-N</t>
  </si>
  <si>
    <t>C23H38</t>
  </si>
  <si>
    <t>3.81_903.2349m/z</t>
  </si>
  <si>
    <t>Betanidin 5-[E-Feruloyl-(-&gt;5)-Apiosyl-(1-&gt;2)-Glucoside]</t>
  </si>
  <si>
    <t>HMDB0037052</t>
  </si>
  <si>
    <t>290313-64-3</t>
  </si>
  <si>
    <t>COC1=C([O-])C=CC(\C=C\C(=O)OCC2(O)COC(OC3C(O)C(O)C(CO)OC3OC3=C(O)C=C4C(CC(C(O)=O)\[N+]4=C\C=C4/CC(NC(=C4)C(O)=O)C(O)=O)=C3)C2O)=C1</t>
  </si>
  <si>
    <t>KNQKLMDWXLOVGM-UHFFFAOYSA-N</t>
  </si>
  <si>
    <t>Betalains</t>
  </si>
  <si>
    <t>Betacyanins and derivatives</t>
  </si>
  <si>
    <t>C39H42N2O20</t>
  </si>
  <si>
    <t>6.59_314.1512n</t>
  </si>
  <si>
    <t>7-[(6-Hydroxy-3,7-Dimethyl-2,7-Octadienyl)Oxy]-2h-1-Benzopyran-2-One</t>
  </si>
  <si>
    <t>HMDB0039063</t>
  </si>
  <si>
    <t>118584-19-3</t>
  </si>
  <si>
    <t>C\C(CCC(O)C(C)=C)=C/COC1=CC2=C(C=CC(=O)O2)C=C1</t>
  </si>
  <si>
    <t>OWAQHJLCKMIPKB-GXDHUFHOSA-N</t>
  </si>
  <si>
    <t>C19H22O4</t>
  </si>
  <si>
    <t>4.75_411.1988m/z</t>
  </si>
  <si>
    <t>9,13-Dihydroxy-4-Megastigmen-3-One 9-Glucoside</t>
  </si>
  <si>
    <t>HMDB0036318</t>
  </si>
  <si>
    <t>188305-07-9</t>
  </si>
  <si>
    <t>CC(CCC1C(CO)=CC(=O)CC1(C)C)OC1OC(CO)C(O)C(O)C1O</t>
  </si>
  <si>
    <t>ZZFQYZCZBBRLTI-UHFFFAOYSA-N</t>
  </si>
  <si>
    <t>9.73_338.2432n</t>
  </si>
  <si>
    <t>Ltb3</t>
  </si>
  <si>
    <t>88099-35-8</t>
  </si>
  <si>
    <t>CCCCCCCCC(C=CC=CC=CC(CCCC(=O)O)O)O</t>
  </si>
  <si>
    <t>NGTXCORNXNELNU-BOIFFFMUSA-N</t>
  </si>
  <si>
    <t>C20H34O4</t>
  </si>
  <si>
    <t>11.69_667.4225m/z</t>
  </si>
  <si>
    <t>PE-Cer(d14:2(4E,6E)/18:1(9Z))</t>
  </si>
  <si>
    <t>LMSP03020031</t>
  </si>
  <si>
    <t>[C@](COP(=O)(O)OCCN)([H])(NC(CCCCCCC/C=C\CCCCCCCC)=O)[C@]([H])(O)/C=C/C=C/CCCCCCC</t>
  </si>
  <si>
    <t>VICUBTSXCZEEGK-CEOQHQHYSA-N</t>
  </si>
  <si>
    <t>Phosphosphingolipids</t>
  </si>
  <si>
    <t>C34H65N2O6P</t>
  </si>
  <si>
    <t>10.79_836.4910n</t>
  </si>
  <si>
    <t>Hebevinoside Vii</t>
  </si>
  <si>
    <t>HMDB0034597</t>
  </si>
  <si>
    <t>101770-14-3</t>
  </si>
  <si>
    <t>CC(CCC=C(C)C)C1C(CC2(C)C3C(O)C=C4C(CCC(OC5OCC(O)C(O)C5O)C4(C)C)C3(C)CCC12C)OC1OC(COC(C)=O)C(OC(C)=O)C(O)C1O</t>
  </si>
  <si>
    <t>HXQKCVLHJXCOGN-UHFFFAOYSA-N</t>
  </si>
  <si>
    <t>C45H72O14</t>
  </si>
  <si>
    <t>5.84_655.2611m/z</t>
  </si>
  <si>
    <t>Pzxdyqvsafztbi-Uhfffaoysa-N</t>
  </si>
  <si>
    <t>HMDB0257012</t>
  </si>
  <si>
    <t>ClC1=CC=C(C=C1)N(C1CCNCC1)C(=O)CC1=CC=CC=C1</t>
  </si>
  <si>
    <t>PZXDYQVSAFZTBI-UHFFFAOYSA-N</t>
  </si>
  <si>
    <t>Phenylacetamides</t>
  </si>
  <si>
    <t>C19H21ClN2O</t>
  </si>
  <si>
    <t>4.79_1027.5224m/z</t>
  </si>
  <si>
    <t>Quinquenoside Iii</t>
  </si>
  <si>
    <t>HMDB0032816</t>
  </si>
  <si>
    <t>208764-53-8</t>
  </si>
  <si>
    <t>CC(C)=CCCC(C)(OC1OC(CO)C(O)C(O)C1O)C1CCC2(C)C1C(O)CC1C3(C)CCC(OC4OC(COC(C)=O)C(O)C(O)C4OC4OC(CO)C(O)C(O)C4O)C(C)(C)C3CCC21C</t>
  </si>
  <si>
    <t>PXHNTRFQGHWVGX-UHFFFAOYSA-N</t>
  </si>
  <si>
    <t>C50H84O19</t>
  </si>
  <si>
    <t>4.61_567.2080m/z</t>
  </si>
  <si>
    <t>Isolariciresinol 9-O-Beta-D-Glucoside</t>
  </si>
  <si>
    <t>HMDB0032907</t>
  </si>
  <si>
    <t>63358-11-2</t>
  </si>
  <si>
    <t>COC1=C(O)C=C2C(C(CO)C(COC3OC(CO)C(O)C(O)C3O)CC2=C1)C1=CC(OC)=C(O)C=C1</t>
  </si>
  <si>
    <t>BUQQDANPHQFSEK-UHFFFAOYSA-N</t>
  </si>
  <si>
    <t>8.36_559.2893m/z</t>
  </si>
  <si>
    <t>Rhodexin A</t>
  </si>
  <si>
    <t>LMST01120010</t>
  </si>
  <si>
    <t>C08877</t>
  </si>
  <si>
    <t>C1C[C@]2([H])[C@]([H])([C@H](O)C[C@@]3(C)[C@]2(O)CC[C@]3([H])C2=CC(=O)OC2)[C@@]2(C)CC[C@H](O[C@@H]3O[C@@H](C)[C@H](O)[C@@H](O)[C@H]3O)C[C@@]12[H]</t>
  </si>
  <si>
    <t>HFMLTKBZNAPPNY-CEKKCSHUSA-N</t>
  </si>
  <si>
    <t>C29H44O9</t>
  </si>
  <si>
    <t>4.93_402.2255m/z</t>
  </si>
  <si>
    <t>Schiff Base</t>
  </si>
  <si>
    <t>HMDB0258164</t>
  </si>
  <si>
    <t>CCC1=C(O)C=C(C=NNC(=O)NN=CC2=CC(O)=C(CC)C=C2N)C(N)=C1</t>
  </si>
  <si>
    <t>MUUKLJYMJUVYPA-UHFFFAOYSA-N</t>
  </si>
  <si>
    <t>C19H24N6O3</t>
  </si>
  <si>
    <t>3.03_425.0173m/z</t>
  </si>
  <si>
    <t>Tectorigenin 7-Sulfate</t>
  </si>
  <si>
    <t>HMDB0041778</t>
  </si>
  <si>
    <t>COC1=C(OS(O)(=O)=O)C=C2OC=C(C(=O)C2=C1O)C1=CC=C(O)C=C1</t>
  </si>
  <si>
    <t>KUJUUJDSDSCNMZ-UHFFFAOYSA-N</t>
  </si>
  <si>
    <t>Isoflav-2-enes</t>
  </si>
  <si>
    <t>C16H12O9S</t>
  </si>
  <si>
    <t>1.33_333.1154m/z</t>
  </si>
  <si>
    <t>Leonuriside A</t>
  </si>
  <si>
    <t>HMDB0031721</t>
  </si>
  <si>
    <t>121748-12-7</t>
  </si>
  <si>
    <t>COC1=CC(O)=CC(OC)=C1OC1OC(CO)C(O)C(O)C1O</t>
  </si>
  <si>
    <t>NOQYJICHFNSIFZ-UHFFFAOYSA-N</t>
  </si>
  <si>
    <t>C14H20O9</t>
  </si>
  <si>
    <t>7.72_573.2703m/z</t>
  </si>
  <si>
    <t>Ganoderenic Acid E</t>
  </si>
  <si>
    <t>HMDB0035797</t>
  </si>
  <si>
    <t>110241-23-1</t>
  </si>
  <si>
    <t>CC(CC(=O)\C=C(/C)C1CC(=O)C2(C)C3=C(C(=O)C(O)C12C)C1(C)CCC(=O)C(C)(C)C1CC3O)C(O)=O</t>
  </si>
  <si>
    <t>UFIFFDILGAASQL-GXDHUFHOSA-N</t>
  </si>
  <si>
    <t>C30H40O8</t>
  </si>
  <si>
    <t>4.95_301.2159m/z</t>
  </si>
  <si>
    <t>Yucalexin P17</t>
  </si>
  <si>
    <t>HMDB0036752</t>
  </si>
  <si>
    <t>119642-82-9</t>
  </si>
  <si>
    <t>CC1(C)C(O)C(=O)CC2(C)C3CC(O)C(C)(C=C)C=C3CCC12</t>
  </si>
  <si>
    <t>OKNGHMJLXXXEEZ-UHFFFAOYSA-N</t>
  </si>
  <si>
    <t>C20H30O3</t>
  </si>
  <si>
    <t>8.32_323.1286m/z</t>
  </si>
  <si>
    <t>Flemistrictin F</t>
  </si>
  <si>
    <t>LMPK12120011</t>
  </si>
  <si>
    <t>C1(O)=CC=C(C(=O)/C=C/C2C=CC=CC=2)C2OC(C)(C)C(O)CC1=2</t>
  </si>
  <si>
    <t>DUJBHGCIWKVNSS-CSKARUKUSA-N</t>
  </si>
  <si>
    <t>C20H20O4</t>
  </si>
  <si>
    <t>3.88_356.1101n</t>
  </si>
  <si>
    <t>Gentiopicroside</t>
  </si>
  <si>
    <t>HMDB0252696</t>
  </si>
  <si>
    <t>OCC1OC(OC2OC=C3C(=O)OCC=C3C2C=C)C(O)C(O)C1O</t>
  </si>
  <si>
    <t>DUAGQYUORDTXOR-UHFFFAOYSA-N</t>
  </si>
  <si>
    <t>M+H, M+K, M+Na, M+NH4</t>
  </si>
  <si>
    <t>C16H20O9</t>
  </si>
  <si>
    <t>4.96_467.1525m/z</t>
  </si>
  <si>
    <t>Symplocoside</t>
  </si>
  <si>
    <t>LMPK12020110</t>
  </si>
  <si>
    <t>C1(O[C@H]2[C@H](O)[C@@H](O)[C@H](O)[C@@H](CO)O2)C=C2O[C@H](C3C=C(OC)C(O)=CC=3)[C@H](O)CC2=C(O)C=1</t>
  </si>
  <si>
    <t>NSWUFLQDWPOETD-UHGNYUERSA-N</t>
  </si>
  <si>
    <t>5.01_523.2184m/z</t>
  </si>
  <si>
    <t>(8r,8'R)-Secoisolariciresinol 9-Glucoside</t>
  </si>
  <si>
    <t>HMDB0037083</t>
  </si>
  <si>
    <t>63320-67-2</t>
  </si>
  <si>
    <t>COC1=C(O)C=CC(CC(CO)C(COC2OC(CO)C(O)C(O)C2O)CC2=CC(OC)=C(O)C=C2)=C1</t>
  </si>
  <si>
    <t>DRLPXFRWJUZTMG-UHFFFAOYSA-N</t>
  </si>
  <si>
    <t>C26H36O11</t>
  </si>
  <si>
    <t>4.77_295.1755n</t>
  </si>
  <si>
    <t>Esmolol</t>
  </si>
  <si>
    <t>HMDB0014333</t>
  </si>
  <si>
    <t>C06980</t>
  </si>
  <si>
    <t>103598-03-4</t>
  </si>
  <si>
    <t>COC(=O)CCC1=CC=C(OCC(O)CNC(C)C)C=C1</t>
  </si>
  <si>
    <t>AQNDDEOPVVGCPG-UHFFFAOYSA-N</t>
  </si>
  <si>
    <t>Phenol ethers</t>
  </si>
  <si>
    <t>C16H25NO4</t>
  </si>
  <si>
    <t>5.25_507.2961m/z</t>
  </si>
  <si>
    <t>Lucidenic Acid M</t>
  </si>
  <si>
    <t>HMDB0035973</t>
  </si>
  <si>
    <t>C10029</t>
  </si>
  <si>
    <t>110241-33-3</t>
  </si>
  <si>
    <t>CC(CCC(O)=O)C1CC(O)C2(C)C3=C(C(=O)CC12C)C1(C)CCC(O)C(C)(C)C1CC3O</t>
  </si>
  <si>
    <t>DPRVTGUHOBXEIW-UHFFFAOYSA-N</t>
  </si>
  <si>
    <t>C27H42O6</t>
  </si>
  <si>
    <t>5.79_428.2924n</t>
  </si>
  <si>
    <t>Schidigeragenin B</t>
  </si>
  <si>
    <t>HMDB0035506</t>
  </si>
  <si>
    <t>267003-21-4</t>
  </si>
  <si>
    <t>CC1C2C(CC3C4CCC5CC(O)CCC5(C)C4CC(=O)C23C)OC11CCC(=C)CO1</t>
  </si>
  <si>
    <t>NTVAFGGHUHTGEK-UHFFFAOYSA-N</t>
  </si>
  <si>
    <t>C27H40O4</t>
  </si>
  <si>
    <t>7.68_493.3516m/z</t>
  </si>
  <si>
    <t>Homodolicholide</t>
  </si>
  <si>
    <t>HMDB0033907</t>
  </si>
  <si>
    <t>86630-40-2</t>
  </si>
  <si>
    <t>C\C=C(/C(C)C)C(O)C(O)C(C)C1CCC2C3COC(=O)C4CC(O)C(O)CC4(C)C3CCC12C</t>
  </si>
  <si>
    <t>LRRBQWHWKJDDAW-REZTVBANSA-N</t>
  </si>
  <si>
    <t>C29H48O6</t>
  </si>
  <si>
    <t>15.45_822.6080m/z</t>
  </si>
  <si>
    <t>SM(d19:1/22:6(5Z,7Z,10Z,13Z,16Z,19Z)-OH(4))</t>
  </si>
  <si>
    <t>HMDB0290698</t>
  </si>
  <si>
    <t>[H][C@@](COP([O-])(=O)OCC[N+](C)(C)C)(NC(=O)CCC(O)\C=C/C=C\C\C=C/C\C=C/C\C=C/C\C=C/CC)[C@H](O)\C=C\CCCCCCCCCCCCCC</t>
  </si>
  <si>
    <t>FMRZTILXWMOZBK-TUCHYCGNSA-N</t>
  </si>
  <si>
    <t>C46H81N2O7P</t>
  </si>
  <si>
    <t>4.57_631.2009m/z</t>
  </si>
  <si>
    <t>Matteucinol 7-O-Beta-D-Apiofuranosyl(1-&gt;6)-Beta-D-Glucopyranoside</t>
  </si>
  <si>
    <t>LMPK12140329</t>
  </si>
  <si>
    <t>C1(O[C@H]2[C@H](O)[C@@H](O)[C@H](O)[C@@H](CO[C@H]3[C@H](O)[C@](CO)(O)CO3)O2)C(C)=C(O)C2C(=O)C[C@@H](C3C=CC(OC)=CC=3)OC=2C=1C</t>
  </si>
  <si>
    <t>SBEVOVWWSQLCJK-JOFSYXLSSA-N</t>
  </si>
  <si>
    <t>C29H36O14</t>
  </si>
  <si>
    <t>5.61_495.2376m/z</t>
  </si>
  <si>
    <t>Methylprednisolone Aceponate</t>
  </si>
  <si>
    <t>HMDB0254660</t>
  </si>
  <si>
    <t>CCC(=O)OC1(CCC2C3CC(C)C4=CC(=O)C=CC4(C)C3C(O)CC12C)C(=O)COC(C)=O</t>
  </si>
  <si>
    <t>DALKLAYLIPSCQL-UHFFFAOYSA-N</t>
  </si>
  <si>
    <t>C27H36O7</t>
  </si>
  <si>
    <t>4.44_508.1942n</t>
  </si>
  <si>
    <t>(7'R,8'R)-4,7'-Epoxy-3'-Methoxy-4',5,9,9'-Lignanetetrol 9'-Glucoside</t>
  </si>
  <si>
    <t>HMDB0038710</t>
  </si>
  <si>
    <t>COC1=C(O)C=CC(=C1)C1OC2=C(C=C(CCCO)C=C2O)C1COC1OC(CO)C(O)C(O)C1O</t>
  </si>
  <si>
    <t>IZPTZYWDXAUURH-UHFFFAOYSA-N</t>
  </si>
  <si>
    <t>C25H32O11</t>
  </si>
  <si>
    <t>4.56_629.1872m/z</t>
  </si>
  <si>
    <t>Sachaliside 2</t>
  </si>
  <si>
    <t>LMPK12020045</t>
  </si>
  <si>
    <t>C1(O[C@H]2[C@H](O)[C@@H](O)[C@H](O)[C@@H](CO)O2)=CC2O[C@H](C3C=C(O)C(O)=CC=3)[C@@H](O)CC=2C(O)=C1C/C=C/C1C=CC(O)=CC=1</t>
  </si>
  <si>
    <t>DUZQFCJYWSXVJS-HNQHAUQVSA-N</t>
  </si>
  <si>
    <t>C30H32O12</t>
  </si>
  <si>
    <t>3.73_238.1415n</t>
  </si>
  <si>
    <t>Pentaethylene Glycol</t>
  </si>
  <si>
    <t>HMDB0256256</t>
  </si>
  <si>
    <t>OCCOCCOCCOCCOCCO</t>
  </si>
  <si>
    <t>JLFNLZLINWHATN-UHFFFAOYSA-N</t>
  </si>
  <si>
    <t>M+H, M+NH4, M+K</t>
  </si>
  <si>
    <t>C10H22O6</t>
  </si>
  <si>
    <t>3.00_417.0765m/z</t>
  </si>
  <si>
    <t>1h-Indole-2-Carbonitrile, 4-(2-Hydroxy-3-((1-Methylethyl)Amino)Propoxy)-3-Iodo-</t>
  </si>
  <si>
    <t>HMDB0253370</t>
  </si>
  <si>
    <t>CC(C)NCC(O)COC1=CC=CC2=C1C(I)=C(N2)C#N</t>
  </si>
  <si>
    <t>WGSPBWSPJOBKNT-UHFFFAOYSA-N</t>
  </si>
  <si>
    <t>Indoles</t>
  </si>
  <si>
    <t>C15H18IN3O2</t>
  </si>
  <si>
    <t>6.23_570.2903m/z</t>
  </si>
  <si>
    <t>Leuphasyl</t>
  </si>
  <si>
    <t>HMDB0247171</t>
  </si>
  <si>
    <t>CC(C)CC(NC(=O)C(CC1=CC=CC=C1)NC(=O)CNC(=O)C(C)NC(=O)C(N)CC1=CC=C(O)C=C1)C(O)=O</t>
  </si>
  <si>
    <t>ZHUJMSMQIPIPTF-UHFFFAOYSA-N</t>
  </si>
  <si>
    <t>C29H39N5O7</t>
  </si>
  <si>
    <t>5.51_644.3054m/z</t>
  </si>
  <si>
    <t>Aconitinum</t>
  </si>
  <si>
    <t>HMDB0247962</t>
  </si>
  <si>
    <t>CCN1CC2(COC)C3C(OC)C4C1C3(C1CC3(O)C(OC(=O)C5=CC=CC=C5)C1C4(OC(C)=O)C(O)C3OC)C(CC2O)OC</t>
  </si>
  <si>
    <t>XFSBVAOIAHNAPC-UHFFFAOYSA-N</t>
  </si>
  <si>
    <t>C34H47NO11</t>
  </si>
  <si>
    <t>6.42_795.3415m/z</t>
  </si>
  <si>
    <t>3-[1-(3-Aminopropyl)-1h-Indol-3-Yl]-4-(1-Methyl-1h-Indol-3-Yl)-1h-Pyrrole-2,5-Dione</t>
  </si>
  <si>
    <t>HMDB0257261</t>
  </si>
  <si>
    <t>138516-31-1</t>
  </si>
  <si>
    <t>CN1C=C(C2=CC=CC=C12)C1=C(C(=O)NC1=O)C1=CN(CCCN)C2=C1C=CC=C2</t>
  </si>
  <si>
    <t>UQHKJRCFSLMWIA-UHFFFAOYSA-N</t>
  </si>
  <si>
    <t>N-alkylindoles</t>
  </si>
  <si>
    <t>C24H22N4O2</t>
  </si>
  <si>
    <t>13.32_460.3991m/z</t>
  </si>
  <si>
    <t>DG(8:0/15:0/0:0)</t>
  </si>
  <si>
    <t>HMDB0092917</t>
  </si>
  <si>
    <t>[H][C@](CO)(COC(=O)CCCCCCC)OC(=O)CCCCCCCCCCCCCC</t>
  </si>
  <si>
    <t>PHERGCZDWYMUOF-DEOSSOPVSA-N</t>
  </si>
  <si>
    <t>C26H50O5</t>
  </si>
  <si>
    <t>4.41_510.2107n</t>
  </si>
  <si>
    <t>Gibberellin A1 Glucosyl Ester</t>
  </si>
  <si>
    <t>HMDB0038609</t>
  </si>
  <si>
    <t>54788-51-1</t>
  </si>
  <si>
    <t>[H][C@@]12CC[C@]3(O)C[C@]1(CC3=C)[C@@H](C(=O)O[C@@H]1O[C@H](CO)[C@@H](O)[C@H](O)[C@H]1O)[C@]1([H])[C@@]3(C)[C@@H](O)CC[C@@]21OC3=O</t>
  </si>
  <si>
    <t>YNUHPGJFLBSPMR-HRHVLVCKSA-N</t>
  </si>
  <si>
    <t>C25H34O11</t>
  </si>
  <si>
    <t>7.99_330.1826n</t>
  </si>
  <si>
    <t>Yucalexin P15</t>
  </si>
  <si>
    <t>HMDB0036753</t>
  </si>
  <si>
    <t>119626-52-7</t>
  </si>
  <si>
    <t>CC1(C)[C@H](O)C(=O)C[C@]2(C)[C@@H]1CC=C1[C@H](O)[C@@](C)(C=C)C(=O)C=C21</t>
  </si>
  <si>
    <t>WNHOOXVMGONUHL-XUMBOQAASA-N</t>
  </si>
  <si>
    <t>C20H26O4</t>
  </si>
  <si>
    <t>4.22_373.1500m/z</t>
  </si>
  <si>
    <t>Perilloside B</t>
  </si>
  <si>
    <t>HMDB0040465</t>
  </si>
  <si>
    <t>CC(=C)C1CCC(=CC1)C(=O)OC1OC(CO)C(O)C(O)C1O</t>
  </si>
  <si>
    <t>CDSQRAACZGXZNE-UHFFFAOYSA-N</t>
  </si>
  <si>
    <t>3.00_422.0530m/z</t>
  </si>
  <si>
    <t>R-4'-Phosphopantothenoyl-L-Cysteine</t>
  </si>
  <si>
    <t>HMDB0304473</t>
  </si>
  <si>
    <t>CC(C)(COP([O-])([O-])=O)C(O)C(=O)NCCC(=O)NC(CS)C([O-])=O</t>
  </si>
  <si>
    <t>XQYALQVLCNHCFT-UHFFFAOYSA-K</t>
  </si>
  <si>
    <t>Hybrid peptides</t>
  </si>
  <si>
    <t>C12H20N2O9PS-3</t>
  </si>
  <si>
    <t>5.88_744.3225m/z</t>
  </si>
  <si>
    <t>Zankiren</t>
  </si>
  <si>
    <t>HMDB0259985</t>
  </si>
  <si>
    <t>CC(C)CC(O)C(O)C(CC1CCCCC1)NC(=O)C(CC1=CSC=N1)NC(=O)C(CC1=CC=CC=C1)CS(=O)(=O)N1CCN(C)CC1</t>
  </si>
  <si>
    <t>YFDSDRDMDDGDFC-UHFFFAOYSA-N</t>
  </si>
  <si>
    <t>C35H55N5O6S2</t>
  </si>
  <si>
    <t>1.69_765.1856m/z</t>
  </si>
  <si>
    <t>Kaempferol 3-O-(2''-Rhamnosyl-6''-Acetyl-Galactoside) 7-O-Rhamnoside</t>
  </si>
  <si>
    <t>HMDB0301699</t>
  </si>
  <si>
    <t>C[C@@H]1O[C@@H](O[C@@H]2[C@@H](O)[C@@H](O)[C@@H](COC(O)=O)O[C@H]2OC2=C(OC3=CC(O[C@@H]4O[C@@H](C)[C@H](O)[C@@H](O)[C@H]4O)=CC(O)=C3C2=O)C2=CC=C(O)C=C2)[C@H](O)[C@H](O)[C@H]1O</t>
  </si>
  <si>
    <t>UNWFAGYVJIJZNQ-KINVIYQBSA-N</t>
  </si>
  <si>
    <t>C34H40O21</t>
  </si>
  <si>
    <t>8.80_730.3576m/z</t>
  </si>
  <si>
    <t>N,N-Diallyl-Tyrosyl-Aminoisobutyryl-Aminoisobutyryl-Phenylalanyl-Leucine</t>
  </si>
  <si>
    <t>HMDB0253352</t>
  </si>
  <si>
    <t>CC(C)CC(NC(=O)C(CC1=CC=CC=C1)NC(=O)C(C)(C)NC(=O)C(C)(C)NC(=O)C(CC1=CC=C(O)C=C1)N(CC=C)CC=C)C(O)=O</t>
  </si>
  <si>
    <t>XUWLAGNFLUARAN-UHFFFAOYSA-N</t>
  </si>
  <si>
    <t>C38H53N5O7</t>
  </si>
  <si>
    <t>7.83_570.2462n</t>
  </si>
  <si>
    <t>Naldemedine</t>
  </si>
  <si>
    <t>HMDB0255430</t>
  </si>
  <si>
    <t>CC(C)(NC(=O)C1=C(O)C2OC3=C(O)C=CC4=C3C22CCN(CC3CC3)C(C4)C2(O)C1)C1=NC(=NO1)C1=CC=CC=C1</t>
  </si>
  <si>
    <t>AXQACEQYCPKDMV-UHFFFAOYSA-N</t>
  </si>
  <si>
    <t>Morphinans</t>
  </si>
  <si>
    <t>C32H34N4O6</t>
  </si>
  <si>
    <t>4.93_1000.5655n</t>
  </si>
  <si>
    <t>PGP(i-22:0/6 keto-PGF1alpha)</t>
  </si>
  <si>
    <t>HMDB0275850</t>
  </si>
  <si>
    <t>CCCCC[C@H](O)\C=C\[C@H]1[C@H](O)C[C@H](O)[C@@H]1CC(=O)CCCCC(=O)O[C@H](COC(=O)CCCCCCCCCCCCCCCCCCC(C)C)COP(O)(=O)OC[C@@H](O)COP(O)(O)=O</t>
  </si>
  <si>
    <t>HODTXXGVIYATTC-VKKSRSOFSA-N</t>
  </si>
  <si>
    <t>C48H90O17P2</t>
  </si>
  <si>
    <t>4.58_553.1846m/z</t>
  </si>
  <si>
    <t>Nomilin</t>
  </si>
  <si>
    <t>HMDB0035772</t>
  </si>
  <si>
    <t>C08773</t>
  </si>
  <si>
    <t>1063-77-0</t>
  </si>
  <si>
    <t>CC(=O)OC1CC(=O)OC(C)(C)C2CC(=O)C3(C)C(CCC4(C)C(OC(=O)C5OC345)C3=COC=C3)C12C</t>
  </si>
  <si>
    <t>KPDOJFFZKAUIOE-UHFFFAOYSA-N</t>
  </si>
  <si>
    <t>C28H34O9</t>
  </si>
  <si>
    <t>4.45_540.2204n</t>
  </si>
  <si>
    <t>Sambacin</t>
  </si>
  <si>
    <t>HMDB0038883</t>
  </si>
  <si>
    <t>85562-86-3</t>
  </si>
  <si>
    <t>[H][C@]1(C[C@H]2OC(=O)C3=COC(O[C@@H]4O[C@H](CO)[C@@H](O)[C@H](O)[C@H]4O)\C(=C\C)\C\3=C\C(=O)OC[C@@H]1[C@H]2C)[C@@H](C)CO</t>
  </si>
  <si>
    <t>SIVWXOPASOMQQC-PANBKRDHSA-N</t>
  </si>
  <si>
    <t>C26H36O12</t>
  </si>
  <si>
    <t>8.96_541.2807m/z</t>
  </si>
  <si>
    <t>3-N-Pentadecyl-4'-Methoxyluteolin</t>
  </si>
  <si>
    <t>LMPK12113406</t>
  </si>
  <si>
    <t>C1(O)C=C2OC(C3=CC(O)=C(O)C=C3)=C(CCCCCCCCCCCCCCC)C(=O)C2=C(O)C=1</t>
  </si>
  <si>
    <t>RQEWYYLVBUSNBH-UHFFFAOYSA-N</t>
  </si>
  <si>
    <t>C30H40O6</t>
  </si>
  <si>
    <t>12.05_509.2879m/z</t>
  </si>
  <si>
    <t>PA(20:1(11Z)/0:0)</t>
  </si>
  <si>
    <t>HMDB0062305</t>
  </si>
  <si>
    <t>LMGP10050026</t>
  </si>
  <si>
    <t>[C@](COP(=O)(O)O)([H])(O)COC(CCCCCCCCC/C=C\CCCCCCCC)=O</t>
  </si>
  <si>
    <t>OAYFHKCHTMNTLM-MZMPXXGTSA-N</t>
  </si>
  <si>
    <t>C23H45O7P</t>
  </si>
  <si>
    <t>10.66_566.3460m/z</t>
  </si>
  <si>
    <t>PC(18:1(9Z)/0:0)</t>
  </si>
  <si>
    <t>HMDB0002815</t>
  </si>
  <si>
    <t>LMGP01050032</t>
  </si>
  <si>
    <t>19420-56-5</t>
  </si>
  <si>
    <t>[C@](COP(=O)([O-])OCC[N+](C)(C)C)([H])(O)COC(CCCCCCC/C=C\CCCCCCCC)=O</t>
  </si>
  <si>
    <t>YAMUFBLWGFFICM-PTGWMXDISA-N</t>
  </si>
  <si>
    <t>4.91_360.2145m/z</t>
  </si>
  <si>
    <t>Dodeca-3,6,9-Trienoylcarnitine</t>
  </si>
  <si>
    <t>HMDB0241271</t>
  </si>
  <si>
    <t>CCC=CCC=CCC=CCC(=O)OC(CC([O-])=O)C[N+](C)(C)C</t>
  </si>
  <si>
    <t>XACPFWUODFDQBJ-UHFFFAOYSA-N</t>
  </si>
  <si>
    <t>C19H31NO4</t>
  </si>
  <si>
    <t>4.13_589.1562m/z</t>
  </si>
  <si>
    <t>Kaempferol 3-O-Rhamnoside</t>
  </si>
  <si>
    <t>HMDB0304566</t>
  </si>
  <si>
    <t>COC1=CC=C(C=C1)C1=C(O[C@@H]2OC(CO)C(O)C(O)C2O)C(=O)C2=C(O)C=C(OC3OC(C)[C@H](O)[C@H](O)C3O)C=C2O1</t>
  </si>
  <si>
    <t>OFKKUHQXUNAUKP-UASODQQVSA-N</t>
  </si>
  <si>
    <t>C28H32O15</t>
  </si>
  <si>
    <t>5.03_751.4328n</t>
  </si>
  <si>
    <t>Selanc</t>
  </si>
  <si>
    <t>HMDB0258212</t>
  </si>
  <si>
    <t>CC(O)C(N)C(=O)NC(CCCCN)C(=O)N1CCCC1C(=O)NC(CCCN=C(N)N)C(=O)N1CCCC1C(=O)NCC(=O)N1CCCC1C(O)=O</t>
  </si>
  <si>
    <t>JTDTXGMXNXBGBZ-UHFFFAOYSA-N</t>
  </si>
  <si>
    <t>C33H57N11O9</t>
  </si>
  <si>
    <t>6.45_448.3188n</t>
  </si>
  <si>
    <t>2-Deoxyecdysone</t>
  </si>
  <si>
    <t>LMST01010182</t>
  </si>
  <si>
    <t>C16495</t>
  </si>
  <si>
    <t>C12=CC([C@]3([H])C[C@@H](O)CC[C@]3(C)[C@@]1([H])CC[C@@]1(C)[C@@]2(O)CC[C@@]1([C@H](C)[C@H](O)CCC(O)(C)C)[H])=O</t>
  </si>
  <si>
    <t>CRAPXAGGASWTPU-VQOIUDCISA-N</t>
  </si>
  <si>
    <t>C27H44O5</t>
  </si>
  <si>
    <t>5.76_480.3084n</t>
  </si>
  <si>
    <t>Zoanthusterone</t>
  </si>
  <si>
    <t>LMST01010429</t>
  </si>
  <si>
    <t>C12=CC([C@]3([H])C[C@@H](O)[C@@H](O)[C@@H](O)[C@]3(C)[C@@]1([H])CC[C@@]1(C)[C@@]2(O)CC[C@@]1([C@](O)(C)[C@H](O)CCC(C)C)[H])=O</t>
  </si>
  <si>
    <t>IWDRHBXSOJSTLO-QEKQCLLNSA-N</t>
  </si>
  <si>
    <t>0.73_351.0684m/z</t>
  </si>
  <si>
    <t>4-O-Beta-D-Galactopyranosyl-D-Xylose</t>
  </si>
  <si>
    <t>HMDB0038864</t>
  </si>
  <si>
    <t>14087-31-1</t>
  </si>
  <si>
    <t>OC[C@H]1O[C@@H](O[C@@H]2CO[C@H](O)[C@H](O)[C@H]2O)[C@H](O)[C@@H](O)[C@H]1O</t>
  </si>
  <si>
    <t>VCTBNHVCBSUQPG-MRRNQDDQSA-N</t>
  </si>
  <si>
    <t>11.67_991.5576m/z</t>
  </si>
  <si>
    <t>PI(22:4(10Z,13Z,16Z,19Z)/22:6(5Z,8E,10Z,13Z,15E,19Z)-2OH(7S, 17S))</t>
  </si>
  <si>
    <t>HMDB0277966</t>
  </si>
  <si>
    <t>[H][C@@](COC(=O)CCCCCCCC\C=C/C\C=C/C\C=C/C\C=C/CC)(COP(O)(=O)O[C@H]1[C@H](O)[C@@H](O)[C@H](O)[C@@H](O)[C@H]1O)OC(=O)CCC\C=C/[C@@H](O)\C=C\C=C/C\C=C/C=C/[C@@H](O)C\C=C/CC</t>
  </si>
  <si>
    <t>DDKKRJZQBNXKKB-DTNYKZHLSA-N</t>
  </si>
  <si>
    <t>C53H83O15P</t>
  </si>
  <si>
    <t>11.81_686.4149m/z</t>
  </si>
  <si>
    <t>PE(14:1(9Z)/15:0)</t>
  </si>
  <si>
    <t>HMDB0008856</t>
  </si>
  <si>
    <t>LMGP02010425</t>
  </si>
  <si>
    <t>[C@](COP(=O)(O)OCCN)([H])(OC(CCCCCCCCCCCCCC)=O)COC(CCCCCCC/C=C\CCCC)=O</t>
  </si>
  <si>
    <t>SUOCBQJZTPKWHX-PGKKXZESSA-N</t>
  </si>
  <si>
    <t>C34H66NO8P</t>
  </si>
  <si>
    <t>7.77_740.3639m/z</t>
  </si>
  <si>
    <t>Leucomycin</t>
  </si>
  <si>
    <t>HMDB0254035</t>
  </si>
  <si>
    <t>COC1C(O)CC(=O)OC(C)CC=CC=CC(O)C(C)CC(CC=O)C1OC1OC(C)C(OC2CC(C)(O)C(O)C(C)O2)C(C1O)N(C)C</t>
  </si>
  <si>
    <t>XYJOGTQLTFNMQG-UHFFFAOYSA-N</t>
  </si>
  <si>
    <t>C35H59NO13</t>
  </si>
  <si>
    <t>3.00_585.1422m/z</t>
  </si>
  <si>
    <t>Neomangiferin</t>
  </si>
  <si>
    <t>HMDB0255526</t>
  </si>
  <si>
    <t>OCC1OC(OC2=CC3=C(OC4=CC(O)=C(C5OC(CO)C(O)C(O)C5O)C(O)=C4C3=O)C=C2O)C(O)C(O)C1O</t>
  </si>
  <si>
    <t>VUWOVGXVRYBSGI-UHFFFAOYSA-N</t>
  </si>
  <si>
    <t>C25H28O16</t>
  </si>
  <si>
    <t>5.52_503.2286m/z</t>
  </si>
  <si>
    <t>Fumagillin</t>
  </si>
  <si>
    <t>HMDB0242599</t>
  </si>
  <si>
    <t>COC1C(CCC2(CO2)C1C1(C)OC1CC=C(C)C)OC(=O)C=CC=CC=CC=CC(O)=O</t>
  </si>
  <si>
    <t>NGGMYCMLYOUNGM-UHFFFAOYSA-N</t>
  </si>
  <si>
    <t>C26H34O7</t>
  </si>
  <si>
    <t>2.96_379.1572m/z</t>
  </si>
  <si>
    <t>Tiaprost</t>
  </si>
  <si>
    <t>HMDB0259070</t>
  </si>
  <si>
    <t>OC(COC1=CSC=C1)C=CC1C(O)CC(O)C1CC=CCCCC(O)=O</t>
  </si>
  <si>
    <t>FYBFDIIAPRHIQS-UHFFFAOYSA-N</t>
  </si>
  <si>
    <t>C20H28O6S</t>
  </si>
  <si>
    <t>5.76_603.0236m/z</t>
  </si>
  <si>
    <t>Uridine Diphosphate Glucuronic Acid</t>
  </si>
  <si>
    <t>HMDB0000935</t>
  </si>
  <si>
    <t>C00167</t>
  </si>
  <si>
    <t>ko00040,ko00053,ko00520,ko00541</t>
  </si>
  <si>
    <t>Pentose and glucuronate interconversions|Ascorbate and aldarate metabolism|Amino sugar and nucleotide sugar metabolism|O-Antigen nucleotide sugar biosynthesis</t>
  </si>
  <si>
    <t>2616-64-0</t>
  </si>
  <si>
    <t>O[C@@H]1[C@@H](COP(O)(=O)OP(O)(=O)O[C@H]2O[C@@H]([C@@H](O)[C@H](O)[C@H]2O)C(O)=O)O[C@H]([C@@H]1O)N1C=CC(=O)NC1=O</t>
  </si>
  <si>
    <t>HDYANYHVCAPMJV-LXQIFKJMSA-N</t>
  </si>
  <si>
    <t>Pyrimidine nucleotides</t>
  </si>
  <si>
    <t>Pyrimidine nucleotide sugars</t>
  </si>
  <si>
    <t>C15H22N2O18P2</t>
  </si>
  <si>
    <t>0.72_549.1663m/z</t>
  </si>
  <si>
    <t>Levan</t>
  </si>
  <si>
    <t>HMDB0003539</t>
  </si>
  <si>
    <t>C01355</t>
  </si>
  <si>
    <t>ko00051,ko04973</t>
  </si>
  <si>
    <t>Fructose and mannose metabolism|Carbohydrate digestion and absorption</t>
  </si>
  <si>
    <t>9013-95-0</t>
  </si>
  <si>
    <t>OC[C@H]1O[C@@](CO)(OC[C@H]2O[C@@](CO)(CO[C@H]3O[C@](O)(CO)[C@@H](O)[C@@H]3O)[C@@H](O)[C@@H]2O)[C@@H](O)[C@@H]1O</t>
  </si>
  <si>
    <t>AIHDCSAXVMAMJH-GFBKWZILSA-N</t>
  </si>
  <si>
    <t>5.69_497.2393m/z</t>
  </si>
  <si>
    <t>Sarcoehrendin H</t>
  </si>
  <si>
    <t>LMFA03010228</t>
  </si>
  <si>
    <t>[C@H]1(/C=C/[C@@H](OC(C)=O)CCC(=O)CC)[C@H](OC(=O)C)C[C@H](O)[C@@H]1C/C=C\CCCC(=O)O</t>
  </si>
  <si>
    <t>CPIJHEBONZDQHV-YPHBWWPFSA-N</t>
  </si>
  <si>
    <t>C24H36O8</t>
  </si>
  <si>
    <t>5.10_480.1629n</t>
  </si>
  <si>
    <t>Albiflorin</t>
  </si>
  <si>
    <t>HMDB0248116</t>
  </si>
  <si>
    <t>CC12CC(O)C3CC1(OC1OC(CO)C(O)C(O)C1O)C3(COC(=O)C1=CC=CC=C1)C(=O)O2</t>
  </si>
  <si>
    <t>QQUHMASGPODSIW-UHFFFAOYSA-N</t>
  </si>
  <si>
    <t>C23H28O11</t>
  </si>
  <si>
    <t>4.04_557.2771m/z</t>
  </si>
  <si>
    <t>Ganoweberianic Acid E</t>
  </si>
  <si>
    <t>LMST01010417</t>
  </si>
  <si>
    <t>C1CC(=O)C(C)(C)[C@]2([H])CC(=O)C3=C([C@]21C)C(=O)[C@@H](OC(=O)O)[C@]1(C)[C@@]([H])([C@H](C)CC(=O)C[C@@H](C(=O)O)C)C[C@@H](O)[C@]13C</t>
  </si>
  <si>
    <t>UQKDZXAUFJTFHM-JCYGNPIYSA-N</t>
  </si>
  <si>
    <t>5.17_587.1744m/z</t>
  </si>
  <si>
    <t>Ikarisoside D</t>
  </si>
  <si>
    <t>LMPK12111724</t>
  </si>
  <si>
    <t>C1(O)=C(C/C=C(/C)\C)C2OC(C3C=CC(O)=CC=3)=C(O[C@H]3[C@H](O)[C@H](O)[C@@H](OC(C)=O)[C@H](C)O3)C(=O)C=2C(O)=C1</t>
  </si>
  <si>
    <t>ZVEFBUCBFFPLIG-MJTLGMIWSA-N</t>
  </si>
  <si>
    <t>C28H30O11</t>
  </si>
  <si>
    <t>5.10_894.5022n</t>
  </si>
  <si>
    <t>PGP(18:0/20:3(5Z,8Z,11Z)-O(14R,15S))</t>
  </si>
  <si>
    <t>HMDB0272496</t>
  </si>
  <si>
    <t>[H][C@](O)(COP(O)(O)=O)COP(O)(=O)OC[C@@]([H])(COC(=O)CCCCCCCCCCCCCCCCC)OC(=O)CCC\C=C/C\C=C/C\C=C/CC1OC1CCCCC</t>
  </si>
  <si>
    <t>RTBXWSXLMMVEOL-BNSLKYTPSA-N</t>
  </si>
  <si>
    <t>C44H80O14P2</t>
  </si>
  <si>
    <t>10.68_516.3295n</t>
  </si>
  <si>
    <t>MGMG(18:2(9Z,12)/0:0)</t>
  </si>
  <si>
    <t>LMGL04010010</t>
  </si>
  <si>
    <t>O([C@H]1[C@H](O)[C@@H](O)[C@@H](O)[C@@H](CO)O1)C[C@@](O)([H])COC(CCCCCCC/C=C\C/C=C\CCCCC)=O</t>
  </si>
  <si>
    <t>LBHUIJRTHBBWHP-GRVKTFRUSA-N</t>
  </si>
  <si>
    <t>C27H48O9</t>
  </si>
  <si>
    <t>12.11_665.4182m/z</t>
  </si>
  <si>
    <t>PA(14:1(9Z)/20:5(5Z,8Z,11Z,14Z,17Z))</t>
  </si>
  <si>
    <t>HMDB0114803</t>
  </si>
  <si>
    <t>LMGP10010130</t>
  </si>
  <si>
    <t>[C@](COP(=O)(O)O)([H])(OC(CCC/C=C\C/C=C\C/C=C\C/C=C\C/C=C\CC)=O)COC(CCCCCCC/C=C\CCCC)=O</t>
  </si>
  <si>
    <t>AYORAHOXSINTAG-WNPHKXSUSA-N</t>
  </si>
  <si>
    <t>C37H61O8P</t>
  </si>
  <si>
    <t>4.69_580.1428n</t>
  </si>
  <si>
    <t>Kaempferol 3-Xylosylglucoside</t>
  </si>
  <si>
    <t>HMDB0039507</t>
  </si>
  <si>
    <t>29322-07-4</t>
  </si>
  <si>
    <t>OC[C@H]1O[C@@H](OC[C@H]2O[C@@H](OC3=C(OC4=CC(O)=CC(O)=C4C3=O)C3=CC=C(O)C=C3)[C@H](O)[C@@H](O)[C@@H]2O)[C@H](O)[C@H]1O</t>
  </si>
  <si>
    <t>XZTRGHMNLXAJPZ-DGBSRBSYSA-N</t>
  </si>
  <si>
    <t>C26H28O15</t>
  </si>
  <si>
    <t>12.93_508.4360m/z</t>
  </si>
  <si>
    <t>Aragusteroketal</t>
  </si>
  <si>
    <t>LMST01110016</t>
  </si>
  <si>
    <t>C1[C@]2(C)[C@@]3([H])C[C@@H](O)[C@]4(C)[C@@]([H])([C@](O)(C)CC[C@@H](C)[C@@H]5C[C@H]5C)CC[C@@]4([H])[C@]3([H])CC[C@@]2([H])C[C@@](OC)(OC)C1</t>
  </si>
  <si>
    <t>YQWZCFGLCMVGHU-ZGYGCRBVSA-N</t>
  </si>
  <si>
    <t>C31H54O4</t>
  </si>
  <si>
    <t>7.01_533.2377m/z</t>
  </si>
  <si>
    <t>Glas#18</t>
  </si>
  <si>
    <t>LMFA13040103</t>
  </si>
  <si>
    <t>O([C@@H](CCCCCCCCC(=O)O[C@H]1[C@H](O)[C@@H](O)[C@H](O)[C@@H](CO)O1)C)[C@H]1[C@H](O)C[C@@H](O)[C@H](C)O1</t>
  </si>
  <si>
    <t>QBDRWZBYGHVNSP-BZNPLBMASA-N</t>
  </si>
  <si>
    <t>C23H42O11</t>
  </si>
  <si>
    <t>5.04_404.2412m/z</t>
  </si>
  <si>
    <t>17-Phenyl-18,19,20-Trinor-Prostaglandin D2</t>
  </si>
  <si>
    <t>HMDB0062679</t>
  </si>
  <si>
    <t>85280-91-7</t>
  </si>
  <si>
    <t>[H]\C(CCCC(O)=O)=C(/[H])C[C@@]1([H])[C@@]([H])(O)CC(=O)[C@]1([H])C(\[H])=C(/[H])[C@@]([H])(O)CCC1=CC=CC=C1</t>
  </si>
  <si>
    <t>OAQGPAZDRCBBLD-YTCWWFNZSA-N</t>
  </si>
  <si>
    <t>C23H30O5</t>
  </si>
  <si>
    <t>3.33_319.1363m/z</t>
  </si>
  <si>
    <t>Flutriafol</t>
  </si>
  <si>
    <t>HMDB0252419</t>
  </si>
  <si>
    <t>C18734</t>
  </si>
  <si>
    <t>76674-21-0</t>
  </si>
  <si>
    <t>OC(CN1C=NC=N1)(C1=CC=C(F)C=C1)C1=C(F)C=CC=C1</t>
  </si>
  <si>
    <t>JWUCHKBSVLQQCO-UHFFFAOYSA-N</t>
  </si>
  <si>
    <t>C16H13F2N3O</t>
  </si>
  <si>
    <t>12.63_458.3832m/z</t>
  </si>
  <si>
    <t>Momordol</t>
  </si>
  <si>
    <t>HMDB0029804</t>
  </si>
  <si>
    <t>189156-42-1</t>
  </si>
  <si>
    <t>CCC(CO)C(O)CC(O)C(C)CCC(C)CCCC1(C)C(CC)C(=O)C=CC1(C)O</t>
  </si>
  <si>
    <t>HDAGCVMZABLHLE-UHFFFAOYSA-N</t>
  </si>
  <si>
    <t>C26H48O5</t>
  </si>
  <si>
    <t>5.84_436.2305n</t>
  </si>
  <si>
    <t>Hc Toxin</t>
  </si>
  <si>
    <t>C15676</t>
  </si>
  <si>
    <t>83209-65-8</t>
  </si>
  <si>
    <t>CC1C(=O)NC(C(=O)N2CCCC2C(=O)NC(C(=O)N1)C)CCCCCC(=O)C3CO3</t>
  </si>
  <si>
    <t>GNYCTMYOHGBSBI-SVZOTFJBSA-N</t>
  </si>
  <si>
    <t>C21H32N4O6</t>
  </si>
  <si>
    <t>0.96_369.0798m/z</t>
  </si>
  <si>
    <t>2-Methyl-5-Nitroimidazol-1-Ylacetic Acid</t>
  </si>
  <si>
    <t>HMDB0244289</t>
  </si>
  <si>
    <t>CC1=NC=C(N1CC(O)=O)[N+]([O-])=O</t>
  </si>
  <si>
    <t>RVEGZXNRNWUYKI-UHFFFAOYSA-N</t>
  </si>
  <si>
    <t>C6H7N3O4</t>
  </si>
  <si>
    <t>3.65_293.1241m/z</t>
  </si>
  <si>
    <t>Ethyl (S)-3-Hydroxybutyrate Glucoside</t>
  </si>
  <si>
    <t>HMDB0031693</t>
  </si>
  <si>
    <t>CCOC(=O)CC(C)OC1OC(CO)C(O)C(O)C1O</t>
  </si>
  <si>
    <t>HEBPYQNXDMDRKR-UHFFFAOYSA-N</t>
  </si>
  <si>
    <t>C12H22O8</t>
  </si>
  <si>
    <t>10.21_566.3684m/z</t>
  </si>
  <si>
    <t>24beta-Methoxydihydrocucurbitacin D</t>
  </si>
  <si>
    <t>LMST01010453</t>
  </si>
  <si>
    <t>[C@@]12(C)C(=O)C[C@]3(C)[C@]([H])([C@H](O)C[C@@]3(C)[C@]1([H])CC=C1C(C)(C)C(=O)[C@@H](O)C[C@@]21[H])[C@](O)(C)C(=O)C[C@@H](OC)C(O)(C)C</t>
  </si>
  <si>
    <t>NRPGDWNQCNAPIH-OZSBEUEDSA-N</t>
  </si>
  <si>
    <t>C31H48O8</t>
  </si>
  <si>
    <t>3.15_330.0948n</t>
  </si>
  <si>
    <t>3'-Glucosyl-2',4',6'-Trihydroxyacetophenone</t>
  </si>
  <si>
    <t>HMDB0040621</t>
  </si>
  <si>
    <t>88885-07-8</t>
  </si>
  <si>
    <t>CC(=O)C1=C(O)C(C2OC(CO)C(O)C(O)C2O)=C(O)C=C1O</t>
  </si>
  <si>
    <t>IWMUXTZLTOTAQO-UHFFFAOYSA-N</t>
  </si>
  <si>
    <t>C14H18O9</t>
  </si>
  <si>
    <t>1.11_390.9891m/z</t>
  </si>
  <si>
    <t>5-Iodotubercidin</t>
  </si>
  <si>
    <t>HMDB0246817</t>
  </si>
  <si>
    <t>NC1=NC=NC2=C1C(I)=CN2C1OC(CO)C(O)C1O</t>
  </si>
  <si>
    <t>WHSIXKUPQCKWBY-UHFFFAOYSA-N</t>
  </si>
  <si>
    <t>Pyrrolopyrimidine nucleosides and nucleotides</t>
  </si>
  <si>
    <t>C11H13IN4O4</t>
  </si>
  <si>
    <t>8.42_681.3506n</t>
  </si>
  <si>
    <t>Aypgkf</t>
  </si>
  <si>
    <t>HMDB0248753</t>
  </si>
  <si>
    <t>CC(N)C(=O)NC(CC1=CC=C(O)C=C1)C(=O)N1CCCC1C(=O)NCC(=O)NC(CCCCN)C(=O)NC(CC1=CC=CC=C1)C(O)=O</t>
  </si>
  <si>
    <t>VULJVZXXUQIUEM-UHFFFAOYSA-N</t>
  </si>
  <si>
    <t>C34H47N7O8</t>
  </si>
  <si>
    <t>5.25_583.2759m/z</t>
  </si>
  <si>
    <t>Ouabain</t>
  </si>
  <si>
    <t>HMDB0015224</t>
  </si>
  <si>
    <t>LMST01120022</t>
  </si>
  <si>
    <t>C01443</t>
  </si>
  <si>
    <t>ko04976</t>
  </si>
  <si>
    <t>Bile secretion</t>
  </si>
  <si>
    <t>630-60-4</t>
  </si>
  <si>
    <t>O([C@H]1[C@H](O)[C@H](O)[C@@H](O)[C@H](C)O1)[C@@H]1C[C@@]2(O)CC[C@]3([H])[C@]([H])([C@H](O)C[C@]4(C)[C@@H](C5=CC(=O)OC5)CC[C@]34O)[C@@]2(CO)[C@H](O)C1</t>
  </si>
  <si>
    <t>LPMXVESGRSUGHW-HBYQJFLCSA-N</t>
  </si>
  <si>
    <t>C29H44O12</t>
  </si>
  <si>
    <t>5.67_575.3250m/z</t>
  </si>
  <si>
    <t>Z-Lly-Fmk</t>
  </si>
  <si>
    <t>HMDB0259971</t>
  </si>
  <si>
    <t>CC(C)CC(NC(=O)OCC1=CC=CC=C1)C(=O)NC(CC(C)C)C(=O)NC(CC1=CC=C(O)C=C1)C(=O)CF</t>
  </si>
  <si>
    <t>JCRSHQCFRMCMOC-UHFFFAOYSA-N</t>
  </si>
  <si>
    <t>C30H40FN3O6</t>
  </si>
  <si>
    <t>6.28_482.2876n</t>
  </si>
  <si>
    <t>Vd 2716</t>
  </si>
  <si>
    <t>LMST03020640</t>
  </si>
  <si>
    <t>C1C[C@]2(C)C([C@]([H])(C)CSC3C=CC=C(C(O)(C)C)C=3)=CC[C@@]2([H])/C(=C/C=C2\C[C@@H](O)C[C@H](O)C\2)/C1</t>
  </si>
  <si>
    <t>GLUHCPQTSGFVHZ-PQALSDTISA-N</t>
  </si>
  <si>
    <t>C30H42O3S</t>
  </si>
  <si>
    <t>4.03_683.1585m/z</t>
  </si>
  <si>
    <t>Hexaacetylpyracanthoside</t>
  </si>
  <si>
    <t>LMPK12140369</t>
  </si>
  <si>
    <t>C1C(O[C@H]2[C@H](OC(=O)C)[C@@H](OC(=O)C)[C@H](OC(C)=O)[C@@H](COC(=O)C)O2)=CC2OC(C3C=C(OC(=O)C)C(OC(C)=O)=CC=3)CC(=O)C=2C=1O</t>
  </si>
  <si>
    <t>NJOSVEIEKGHQHF-ANQOAZQMSA-N</t>
  </si>
  <si>
    <t>C33H34O17</t>
  </si>
  <si>
    <t>0.77_134.0202n</t>
  </si>
  <si>
    <t>Malic Acid</t>
  </si>
  <si>
    <t>HMDB0000744</t>
  </si>
  <si>
    <t>C00149</t>
  </si>
  <si>
    <t>ko00020,ko00620,ko00630,ko00680,ko00710,ko00720,ko02020,ko04742,ko04922,ko04964,ko05200,ko05211,ko05230</t>
  </si>
  <si>
    <t>Citrate cycle (TCA cycle)|Pyruvate metabolism|Glyoxylate and dicarboxylate metabolism|Methane metabolism|Carbon fixation in photosynthetic organisms|Carbon fixation pathways in prokaryotes|Two-component system|Taste transduction|Glucagon signaling pathway|Proximal tubule bicarbonate reclamation|Pathways in cancer|Renal cell carcinoma|Central carbon metabolism in cancer</t>
  </si>
  <si>
    <t>6915-15-7</t>
  </si>
  <si>
    <t>C(C(C(=O)O)O)C(=O)O</t>
  </si>
  <si>
    <t>BJEPYKJPYRNKOW-UHFFFAOYSA-N</t>
  </si>
  <si>
    <t>Hydroxy acids and derivatives</t>
  </si>
  <si>
    <t>Beta hydroxy acids and derivatives</t>
  </si>
  <si>
    <t>C4H6O5</t>
  </si>
  <si>
    <t>6.27_569.2603m/z</t>
  </si>
  <si>
    <t>L-Proline, 1-(N2-(1-Carboxy-3-Phenylpropyl)-N6-((4-Hydroxyphenyl)Iminomethyl)-L-Lysyl)-, (S)-</t>
  </si>
  <si>
    <t>HMDB0250421</t>
  </si>
  <si>
    <t>OC(=O)C(CCC1=CC=CC=C1)NC(CCCCN=CNC1=CC=C(O)C=C1)C(=O)N1CCCC1C(O)=O</t>
  </si>
  <si>
    <t>IQNWLCXGCZTZFI-UHFFFAOYSA-N</t>
  </si>
  <si>
    <t>C28H36N4O6</t>
  </si>
  <si>
    <t>4.67_713.2674m/z</t>
  </si>
  <si>
    <t>Myricanol 5-[Arabinosyl-(1-&gt;6)-Glucoside]</t>
  </si>
  <si>
    <t>HMDB0036527</t>
  </si>
  <si>
    <t>COC1=C(OC2OC(COC3OC(O)(CO)C(O)C3O)C(O)C(O)C2O)C2=CC(=C1OC)C1=C(O)C=CC(CCC(O)CCCC2)=C1</t>
  </si>
  <si>
    <t>XNUIYJUJZLMXMW-UHFFFAOYSA-N</t>
  </si>
  <si>
    <t>Cyclic diarylheptanoids</t>
  </si>
  <si>
    <t>C32H44O15</t>
  </si>
  <si>
    <t>6.08_545.2993n</t>
  </si>
  <si>
    <t>Americine</t>
  </si>
  <si>
    <t>HMDB0034441</t>
  </si>
  <si>
    <t>C09996</t>
  </si>
  <si>
    <t>18867-84-0</t>
  </si>
  <si>
    <t>CNC(C(C)C)C(=O)NC1C(OC2=CC=C(C=C2)\C=C/NC(=O)C(CC2=CNC3=CC=CC=C23)NC1=O)C(C)C</t>
  </si>
  <si>
    <t>SBDJWBSJRCPRDV-PFONDFGASA-N</t>
  </si>
  <si>
    <t>C31H39N5O4</t>
  </si>
  <si>
    <t>8.23_734.3508m/z</t>
  </si>
  <si>
    <t>Manassantin B</t>
  </si>
  <si>
    <t>HMDB0254322</t>
  </si>
  <si>
    <t>COC1=CC=C(C=C1OC)C(O)C(C)OC1=CC=C(C=C1OC)C1OC(C(C)C1C)C1=CC=C(OC(C)C(O)C2=CC=C3OCOC3=C2)C(OC)=C1</t>
  </si>
  <si>
    <t>GSWZMFDCPMPHDL-UHFFFAOYSA-N</t>
  </si>
  <si>
    <t>C41H48O11</t>
  </si>
  <si>
    <t>4.72_175.0238m/z</t>
  </si>
  <si>
    <t>L-Ascorbic Acid</t>
  </si>
  <si>
    <t>HMDB0000044</t>
  </si>
  <si>
    <t>C00072</t>
  </si>
  <si>
    <t>ko00053,ko00480,ko02060,ko04066,ko04977</t>
  </si>
  <si>
    <t>Ascorbate and aldarate metabolism|Glutathione metabolism|Phosphotransferase system (PTS)|HIF-1 signaling pathway|Vitamin digestion and absorption</t>
  </si>
  <si>
    <t>50-81-7</t>
  </si>
  <si>
    <t>C(C(C1C(=O)C(=C(O1)O)O)O)O</t>
  </si>
  <si>
    <t>TYQCGQRIZGCHNB-JLAZNSOCSA-N</t>
  </si>
  <si>
    <t>C6H8O6</t>
  </si>
  <si>
    <t>7.12_345.1692m/z</t>
  </si>
  <si>
    <t>Gibberellin A36</t>
  </si>
  <si>
    <t>HMDB0304362</t>
  </si>
  <si>
    <t>CC1(C2C(C(O)=O)C34CC(CCC3C2(CCC1O)C=O)C(=C)C4)C(O)=O</t>
  </si>
  <si>
    <t>JZBLVVPDEDCVQA-UHFFFAOYSA-N</t>
  </si>
  <si>
    <t>C20H26O6</t>
  </si>
  <si>
    <t>6.55_389.1951m/z</t>
  </si>
  <si>
    <t>Methyl Prednisolonate</t>
  </si>
  <si>
    <t>HMDB0254608</t>
  </si>
  <si>
    <t>COC(=O)C(=O)C1(O)CCC2C3CCC4=CC(=O)C=CC4(C)C3C(O)CC12C</t>
  </si>
  <si>
    <t>BYJMCPXILLQHFX-UHFFFAOYSA-N</t>
  </si>
  <si>
    <t>C22H28O6</t>
  </si>
  <si>
    <t>4.76_379.1969m/z</t>
  </si>
  <si>
    <t>2,6-Dimethyl-7-Octene-1,6-Diol 8-O-Glucoside</t>
  </si>
  <si>
    <t>HMDB0033218</t>
  </si>
  <si>
    <t>219814-33-2</t>
  </si>
  <si>
    <t>CC(CCCC(C)(O)C=C)COC1OC(CO)C(O)C(O)C1O</t>
  </si>
  <si>
    <t>BTUZVFURXAOVBC-UHFFFAOYSA-N</t>
  </si>
  <si>
    <t>C16H30O7</t>
  </si>
  <si>
    <t>6.65_905.3053m/z</t>
  </si>
  <si>
    <t>3-Amino-6-{4-[(4-Methylpiperazin-1-Yl)Sulfonyl]Phenyl}-N-Pyridin-3-Ylpyrazine-2-Carboxamide</t>
  </si>
  <si>
    <t>HMDB0248784</t>
  </si>
  <si>
    <t>CN1CCN(CC1)S(=O)(=O)C1=CC=C(C=C1)C1=CN=C(N)C(=N1)C(=O)NC1=CN=CC=C1</t>
  </si>
  <si>
    <t>FHCSBLWRGCOVPT-UHFFFAOYSA-N</t>
  </si>
  <si>
    <t>Benzenesulfonamides</t>
  </si>
  <si>
    <t>C21H23N7O3S</t>
  </si>
  <si>
    <t>10.44_725.2919m/z</t>
  </si>
  <si>
    <t>Dslet</t>
  </si>
  <si>
    <t>HMDB0251628</t>
  </si>
  <si>
    <t>CC(C)CC(NC(=O)C(CC1=CC=CC=C1)NC(=O)CNC(=O)C(CO)NC(=O)C(N)CC1=CC=C(O)C=C1)C(=O)NC(C(C)O)C(O)=O</t>
  </si>
  <si>
    <t>PKSODCLCMBUCPW-UHFFFAOYSA-N</t>
  </si>
  <si>
    <t>C33H46N6O10</t>
  </si>
  <si>
    <t>4.04_194.1175m/z</t>
  </si>
  <si>
    <t>Methoxamine</t>
  </si>
  <si>
    <t>HMDB0014861</t>
  </si>
  <si>
    <t>C07513</t>
  </si>
  <si>
    <t>390-28-3</t>
  </si>
  <si>
    <t>COC1=CC(C(O)C(C)N)=C(OC)C=C1</t>
  </si>
  <si>
    <t>WJAJPNHVVFWKKL-UHFFFAOYSA-N</t>
  </si>
  <si>
    <t>Methoxybenzenes</t>
  </si>
  <si>
    <t>12.93_427.3569m/z</t>
  </si>
  <si>
    <t>4alpha-Formyl-4beta-Methyl-5alpha-Cholesta-8,24-Dien-3beta-Ol</t>
  </si>
  <si>
    <t>HMDB0012167</t>
  </si>
  <si>
    <t>CC(CCC=C(C)C)C1CCC2C3=C(CC[C@]12C)[C@@]1(C)CC[C@H](O)[C@@](C)(C=O)C1CC3</t>
  </si>
  <si>
    <t>GFGANDKVOKQAGH-AEWFMJFUSA-N</t>
  </si>
  <si>
    <t>C29H46O2</t>
  </si>
  <si>
    <t>6.78_769.2293m/z</t>
  </si>
  <si>
    <t>Niazicin A</t>
  </si>
  <si>
    <t>HMDB0303690</t>
  </si>
  <si>
    <t>COC(=S)NCC1=CC=C(OC2OC(C)C(OC(C)=O)C(O)C2O)C=C1.CO\C(S)=N/CC1=CC=C(OC2OC(C)C(OC(C)=O)C(O)C2O)C=C1</t>
  </si>
  <si>
    <t>IQMSLIJFKLWXRI-UHFFFAOYSA-N</t>
  </si>
  <si>
    <t>C34H46N2O14S2</t>
  </si>
  <si>
    <t>4.88_956.5392n</t>
  </si>
  <si>
    <t>PGP(20:1(11Z)/PGF1alpha)</t>
  </si>
  <si>
    <t>HMDB0273323</t>
  </si>
  <si>
    <t>CCCCCCCC\C=C/CCCCCCCCCC(=O)OC[C@H](COP(O)(=O)OC[C@@H](O)COP(O)(O)=O)OC(=O)CCCCCC[C@H]1[C@@H](O)C[C@@H](O)[C@@H]1\C=C\[C@@H](O)CCCCC</t>
  </si>
  <si>
    <t>DZHDBDKGYZPVLJ-AJTQHCMDSA-N</t>
  </si>
  <si>
    <t>C46H86O16P2</t>
  </si>
  <si>
    <t>10.57_495.3321n</t>
  </si>
  <si>
    <t>PC(0:0/16:0)</t>
  </si>
  <si>
    <t>HMDB0240262</t>
  </si>
  <si>
    <t>LMGP01050074</t>
  </si>
  <si>
    <t>66757-27-5</t>
  </si>
  <si>
    <t>[C@](COP(=O)([O-])OCC[N+](C)(C)C)([H])(OC(CCCCCCCCCCCCCCC)=O)CO</t>
  </si>
  <si>
    <t>NEGQHKSYEYVFTD-HSZRJFAPSA-N</t>
  </si>
  <si>
    <t>C24H50NO7P</t>
  </si>
  <si>
    <t>6.05_625.3246n</t>
  </si>
  <si>
    <t>Rhizoxin</t>
  </si>
  <si>
    <t>HMDB0257197</t>
  </si>
  <si>
    <t>COC(C(C)C1CC(O)C2(C)OC2C=CC(C)C2CC(CC(=O)O2)CC2OC2C(=O)O1)C(C)=CC=CC(C)=CC1=COC(C)=N1</t>
  </si>
  <si>
    <t>OWPCHSCAPHNHAV-UHFFFAOYSA-N</t>
  </si>
  <si>
    <t>C35H47NO9</t>
  </si>
  <si>
    <t>11.92_575.3546m/z</t>
  </si>
  <si>
    <t>Cyclopassifloic Acid E</t>
  </si>
  <si>
    <t>HMDB0036298</t>
  </si>
  <si>
    <t>301540-74-9</t>
  </si>
  <si>
    <t>CC(C)C(O)(CO)CCC(C)(O)C1C(O)CC2(C)C3CCC4C5(CC35CCC12C)C(O)CC(O)C4(C)C(O)=O</t>
  </si>
  <si>
    <t>DXAVXXNAJINCIJ-UHFFFAOYSA-N</t>
  </si>
  <si>
    <t>Cycloartanols and derivatives</t>
  </si>
  <si>
    <t>C31H52O8</t>
  </si>
  <si>
    <t>9.71_754.4128n</t>
  </si>
  <si>
    <t>Alliospiroside D</t>
  </si>
  <si>
    <t>HMDB0030915</t>
  </si>
  <si>
    <t>114317-58-7</t>
  </si>
  <si>
    <t>CC1C2C(CC3C4CC=C5CC(O)CC(OC6OC(CO)C(O)C(O)C6OC6OC(C)C(O)C(O)C6O)C5(C)C4CCC23C)OC11CC(O)C(C)CO1</t>
  </si>
  <si>
    <t>WPICZBAEKPIRLJ-UHFFFAOYSA-N</t>
  </si>
  <si>
    <t>C39H62O14</t>
  </si>
  <si>
    <t>4.12_590.1629n</t>
  </si>
  <si>
    <t>Maysin 3'-Methyl Ether</t>
  </si>
  <si>
    <t>HMDB0037420</t>
  </si>
  <si>
    <t>74158-05-7</t>
  </si>
  <si>
    <t>COC1=C(O)C=CC(=C1)C1=CC(=O)C2=C(O)C(C3OC(C)C(=O)C(O)C3OC3OC(C)C(O)C(O)C3O)=C(O)C=C2O1</t>
  </si>
  <si>
    <t>OKTXLUXOQRQVRH-UHFFFAOYSA-N</t>
  </si>
  <si>
    <t>C28H30O14</t>
  </si>
  <si>
    <t>5.10_480.1628n</t>
  </si>
  <si>
    <t>Paeoniflorin</t>
  </si>
  <si>
    <t>HMDB0256075</t>
  </si>
  <si>
    <t>CC12CC3(O)OC(O1)C1(COC(=O)C4=CC=CC=C4)C3CC21OC1OC(CO)C(O)C(O)C1O</t>
  </si>
  <si>
    <t>YKRGDOXKVOZESV-UHFFFAOYSA-N</t>
  </si>
  <si>
    <t>5.37_710.3987m/z</t>
  </si>
  <si>
    <t>Okoda-Pe</t>
  </si>
  <si>
    <t>LMGP20020048</t>
  </si>
  <si>
    <t>[C@](COP(=O)(O)OCCN)([H])(OC(CCCCCCCC(=O)/C=C/C=O)=O)COC(CCCCCCC/C=C\CCCCCCCC)=O</t>
  </si>
  <si>
    <t>RLZMWCOCIJCFAA-VSHKKHLWSA-N</t>
  </si>
  <si>
    <t>C35H62NO10P</t>
  </si>
  <si>
    <t>6.52_741.2978m/z</t>
  </si>
  <si>
    <t>N-(9h-Fluoren-9-Ylacetyl)-L-Phenylalanine</t>
  </si>
  <si>
    <t>HMDB0255020</t>
  </si>
  <si>
    <t>OC(=O)C(CC1=CC=CC=C1)NC(=O)CC1C2=CC=CC=C2C2=CC=CC=C12</t>
  </si>
  <si>
    <t>FSHHRPYYOVIVLW-UHFFFAOYSA-N</t>
  </si>
  <si>
    <t>C24H21NO3</t>
  </si>
  <si>
    <t>0.70_205.0681m/z</t>
  </si>
  <si>
    <t>Mannitol</t>
  </si>
  <si>
    <t>HMDB0000765</t>
  </si>
  <si>
    <t>C00392</t>
  </si>
  <si>
    <t>ko00051,ko02010,ko02060</t>
  </si>
  <si>
    <t>Fructose and mannose metabolism|ABC transporters|Phosphotransferase system (PTS)</t>
  </si>
  <si>
    <t>69-65-8</t>
  </si>
  <si>
    <t>OC[C@@H](O)[C@@H](O)[C@H](O)[C@H](O)CO</t>
  </si>
  <si>
    <t>FBPFZTCFMRRESA-KVTDHHQDSA-N</t>
  </si>
  <si>
    <t>C6H14O6</t>
  </si>
  <si>
    <t>5.06_476.2044n</t>
  </si>
  <si>
    <t>2-Methoxyestrone 3-Glucuronide</t>
  </si>
  <si>
    <t>HMDB0004482</t>
  </si>
  <si>
    <t>LMST05010010</t>
  </si>
  <si>
    <t>C11132</t>
  </si>
  <si>
    <t>25577-70-2</t>
  </si>
  <si>
    <t>[C@H]1(O[C@H](C(=O)O)[C@@H](O)[C@H](O)[C@H]1O)OC1C(OC)=CC2=C(CC[C@@]3([H])[C@]4([H])CCC(=O)[C@]4(CC[C@@]32[H])C)C=1</t>
  </si>
  <si>
    <t>NZTHZDNDYACBSX-FJNWEKAQSA-N</t>
  </si>
  <si>
    <t>C25H32O9</t>
  </si>
  <si>
    <t>4.93_680.3695m/z</t>
  </si>
  <si>
    <t>Thymopentin</t>
  </si>
  <si>
    <t>HMDB0259057</t>
  </si>
  <si>
    <t>CC(C)C(NC(=O)C(CC(O)=O)NC(=O)C(CCCCN)NC(=O)C(N)CCCN=C(N)N)C(=O)NC(CC1=CC=C(O)C=C1)C(O)=O</t>
  </si>
  <si>
    <t>PSWFFKRAVBDQEG-UHFFFAOYSA-N</t>
  </si>
  <si>
    <t>C30H49N9O9</t>
  </si>
  <si>
    <t>4.83_578.1631n</t>
  </si>
  <si>
    <t>Rhoifolin</t>
  </si>
  <si>
    <t>HMDB0038848</t>
  </si>
  <si>
    <t>C12627</t>
  </si>
  <si>
    <t>Flavone and flavonol biosynthesis</t>
  </si>
  <si>
    <t>17306-46-6</t>
  </si>
  <si>
    <t>CC1OC(OC2C(O)C(O)C(CO)OC2OC2=CC(O)=C3C(=O)C=C(OC3=C2)C2=CC=C(O)C=C2)C(O)C(O)C1O</t>
  </si>
  <si>
    <t>RPMNUQRUHXIGHK-UHFFFAOYSA-N</t>
  </si>
  <si>
    <t>C27H30O14</t>
  </si>
  <si>
    <t>8.05_559.2510m/z</t>
  </si>
  <si>
    <t>Nicansteroidin D</t>
  </si>
  <si>
    <t>LMST01160039</t>
  </si>
  <si>
    <t>[C@]12(C[C@@H](O)[C@@]34OO[C@@H](C=C3)C(=O)[C@]4(C)[C@@]1([H])CC[C@]1(C)[C@]3(O[C@H]3[C@H](OC(=O)C)[C@]21O)[C@@](C)([H])[C@H]1CC(C)=C(C)C(=O)O1)[H]</t>
  </si>
  <si>
    <t>UMKFPSOCMNHMRG-JLMBNDLYSA-N</t>
  </si>
  <si>
    <t>C30H38O10</t>
  </si>
  <si>
    <t>5.15_854.5071n</t>
  </si>
  <si>
    <t>PGP(18:0/18:2(9Z,12Z))</t>
  </si>
  <si>
    <t>HMDB0013507</t>
  </si>
  <si>
    <t>CCCCCCCCCCCCCCCCCC(=O)OC[C@]([H])(COP(=O)(O)OC[C@@]([H])(O)COP(=O)(O)O)OC(=O)CCCCCCC\C=C/C\C=C/CCCCC</t>
  </si>
  <si>
    <t>BEGQHSCGKQAIAS-KKUBIFFLSA-N</t>
  </si>
  <si>
    <t>C42H80O13P2</t>
  </si>
  <si>
    <t>11.60_563.8565m/z</t>
  </si>
  <si>
    <t>3,5-Diiodothyronine</t>
  </si>
  <si>
    <t>HMDB0000582</t>
  </si>
  <si>
    <t>534-51-0</t>
  </si>
  <si>
    <t>NC(CC1=CC(I)=C(OC2=CC=C(O)C=C2)C(I)=C1)C(O)=O</t>
  </si>
  <si>
    <t>ZHSOTLOTTDYIIK-UHFFFAOYSA-N</t>
  </si>
  <si>
    <t>C15H13I2NO4</t>
  </si>
  <si>
    <t>8.05_630.2667n</t>
  </si>
  <si>
    <t>13-Acetyl-9-Dihydrobaccatin Iii</t>
  </si>
  <si>
    <t>142203-65-4</t>
  </si>
  <si>
    <t>CC1=C2C(C(C3(C(CC4C(C3C(C(C2(C)C)(CC1OC(=O)C)O)OC(=O)C5=CC=CC=C5)(CO4)OC(=O)C)O)C)O)OC(=O)C</t>
  </si>
  <si>
    <t>WPPPFZJNKLMYBW-FAEUQDRCSA-N</t>
  </si>
  <si>
    <t>C33H42O12</t>
  </si>
  <si>
    <t>5.47_874.4237n</t>
  </si>
  <si>
    <t>PGP(a-13:0/6 keto-PGF1alpha)</t>
  </si>
  <si>
    <t>HMDB0274294</t>
  </si>
  <si>
    <t>CCCCC[C@H](O)\C=C\[C@H]1[C@H](O)C[C@H](O)[C@@H]1CC(=O)CCCCC(=O)O[C@H](COC(=O)CCCCCCCCC(C)CC)COP(O)(=O)OC[C@@H](O)COP(O)(O)=O</t>
  </si>
  <si>
    <t>DYIOJNBLOWUAEL-BXEUPKSRSA-N</t>
  </si>
  <si>
    <t>C39H72O17P2</t>
  </si>
  <si>
    <t>11.17_1015.5260m/z</t>
  </si>
  <si>
    <t>Bombesin Analogue</t>
  </si>
  <si>
    <t>HMDB0249958</t>
  </si>
  <si>
    <t>CC(C)CC(NC(=O)C(CC1=CN=CN1)NC(=O)C(CC1=CC=CC=C1)NC(=O)C1CCCN1C(C)=O)C(=O)NC(CC(C)C)C(=O)NC(C(C)C)C(=O)NC(CC1=CC=C(O)C=C1)C(=O)NC(CO)C(O)=O</t>
  </si>
  <si>
    <t>CDIMJEGYWSSELL-UHFFFAOYSA-N</t>
  </si>
  <si>
    <t>C51H72N10O12</t>
  </si>
  <si>
    <t>4.50_123.0439m/z</t>
  </si>
  <si>
    <t>4-Hydroxybenzaldehyde</t>
  </si>
  <si>
    <t>HMDB0011718</t>
  </si>
  <si>
    <t>C00633</t>
  </si>
  <si>
    <t>ko00363,ko00623,ko00627</t>
  </si>
  <si>
    <t>Bisphenol degradation|Toluene degradation|Aminobenzoate degradation</t>
  </si>
  <si>
    <t>123-08-0</t>
  </si>
  <si>
    <t>OC1=CC=C(C=O)C=C1</t>
  </si>
  <si>
    <t>RGHHSNMVTDWUBI-UHFFFAOYSA-N</t>
  </si>
  <si>
    <t>C7H6O2</t>
  </si>
  <si>
    <t>7.99_390.2038n</t>
  </si>
  <si>
    <t>Arthriniumsteroid A</t>
  </si>
  <si>
    <t>LMST02030235</t>
  </si>
  <si>
    <t>C1[C@H](O)C2[C@@](C)([C@]34O[C@H]3C[C@@]3([C@](O)([C@H](C)C[C@@]3([H])[C@]14[H])C(=O)CO)C)CCC(=O)C=2</t>
  </si>
  <si>
    <t>PGYFXSDKVXFFAN-LWQOSQCCSA-N</t>
  </si>
  <si>
    <t>C22H30O6</t>
  </si>
  <si>
    <t>2.96_451.1785m/z</t>
  </si>
  <si>
    <t>Pyridinoline</t>
  </si>
  <si>
    <t>HMDB0000851</t>
  </si>
  <si>
    <t>63800-01-1</t>
  </si>
  <si>
    <t>N[C@@H](CCC1=C[N+](C[C@H](O)CC[C@H](N)C([O-])=O)=CC(O)=C1C[C@H](N)C(O)=O)C(O)=O</t>
  </si>
  <si>
    <t>LCYXYLLJXMAEMT-SAXRGWBVSA-N</t>
  </si>
  <si>
    <t>C18H28N4O8</t>
  </si>
  <si>
    <t>4.09_448.1818m/z</t>
  </si>
  <si>
    <t>3-N-Methylspiperone</t>
  </si>
  <si>
    <t>HMDB0245942</t>
  </si>
  <si>
    <t>CN1CN(C2=CC=CC=C2)C2(CCN(CCCC(=O)C3=CC=C(F)C=C3)CC2)C1=O</t>
  </si>
  <si>
    <t>QHJLPOSPWKZACG-UHFFFAOYSA-N</t>
  </si>
  <si>
    <t>C24H28FN3O2</t>
  </si>
  <si>
    <t>3.99_697.1744m/z</t>
  </si>
  <si>
    <t>Ulifloxacin</t>
  </si>
  <si>
    <t>HMDB0259395</t>
  </si>
  <si>
    <t>C14492</t>
  </si>
  <si>
    <t>112984-60-8</t>
  </si>
  <si>
    <t>CC1SC2=C(C(O)=O)C(=O)C3=CC(F)=C(C=C3N12)N1CCNCC1</t>
  </si>
  <si>
    <t>SUXQDLLXIBLQHW-UHFFFAOYSA-N</t>
  </si>
  <si>
    <t>C16H16FN3O3S</t>
  </si>
  <si>
    <t>5.69_608.3192m/z</t>
  </si>
  <si>
    <t>PC(2:0/5-iso PGF2VI)</t>
  </si>
  <si>
    <t>HMDB0288846</t>
  </si>
  <si>
    <t>CCCCC[C@@H](O)\C=C\[C@H]1[C@H](O)C[C@H](O)[C@H]1C\C=C/CC(=O)O[C@H](COC(C)=O)COP([O-])(=O)OCC[N+](C)(C)C</t>
  </si>
  <si>
    <t>ITQQPOGXVGYIGN-SWXBXXFYSA-N</t>
  </si>
  <si>
    <t>C28H50NO11P</t>
  </si>
  <si>
    <t>13.81_578.4186m/z</t>
  </si>
  <si>
    <t>PC(22:1(13Z)/0:0)</t>
  </si>
  <si>
    <t>HMDB0010399</t>
  </si>
  <si>
    <t>LMGP01050141</t>
  </si>
  <si>
    <t>C(OP(OCC[N+](C)(C)C)(=O)[O-])[C@@](O)([H])COC(=O)CCCCCCCCCCC/C=C\CCCCCCCC</t>
  </si>
  <si>
    <t>PAFOXYLFALKPOE-BKAVPCLVSA-N</t>
  </si>
  <si>
    <t>C30H60NO7P</t>
  </si>
  <si>
    <t>12.72_767.4578m/z</t>
  </si>
  <si>
    <t>Majonoside R2</t>
  </si>
  <si>
    <t>HMDB0040418</t>
  </si>
  <si>
    <t>81534-63-6</t>
  </si>
  <si>
    <t>CC(C)(O)C1CCC(C)(O1)C1CCC2(C)C1C(O)CC1C3(C)CCC(O)C(C)(C)C3C(CC21C)OC1OC(CO)C(O)C(O)C1OC1OCC(O)C(O)C1O</t>
  </si>
  <si>
    <t>UGMDQWNVJMIQKD-UHFFFAOYSA-N</t>
  </si>
  <si>
    <t>C41H70O14</t>
  </si>
  <si>
    <t>10.49_738.4177n</t>
  </si>
  <si>
    <t>Isonuatigenin 3-[Rhamnosyl-(1-&gt;2)-Glucoside]</t>
  </si>
  <si>
    <t>HMDB0030132</t>
  </si>
  <si>
    <t>CC1C2C(CC3C4CC=C5CC(CCC5(C)C4CCC23C)OC2OC(CO)C(O)C(O)C2OC2OC(C)C(O)C(O)C2O)OC11CCC(C)(O)CO1</t>
  </si>
  <si>
    <t>PLYWNQLDOZOLOC-UHFFFAOYSA-N</t>
  </si>
  <si>
    <t>C39H62O13</t>
  </si>
  <si>
    <t>10.57_540.3304m/z</t>
  </si>
  <si>
    <t>PC(16:0/0:0)</t>
  </si>
  <si>
    <t>HMDB0010382</t>
  </si>
  <si>
    <t>LMGP01050018</t>
  </si>
  <si>
    <t>17364-16-8</t>
  </si>
  <si>
    <t>[C@](COP(=O)([O-])OCC[N+](C)(C)C)([H])(O)COC(CCCCCCCCCCCCCCC)=O</t>
  </si>
  <si>
    <t>ASWBNKHCZGQVJV-HSZRJFAPSA-N</t>
  </si>
  <si>
    <t>4.53_297.0947m/z</t>
  </si>
  <si>
    <t>Cidofovir</t>
  </si>
  <si>
    <t>HMDB0014513</t>
  </si>
  <si>
    <t>C06909</t>
  </si>
  <si>
    <t>113852-37-2</t>
  </si>
  <si>
    <t>NC1=NC(=O)N(C[C@@H](CO)OCP(O)(O)=O)C=C1</t>
  </si>
  <si>
    <t>VWFCHDSQECPREK-LURJTMIESA-N</t>
  </si>
  <si>
    <t>Diazines</t>
  </si>
  <si>
    <t>Pyrimidines and pyrimidine derivatives</t>
  </si>
  <si>
    <t>C8H14N3O6P</t>
  </si>
  <si>
    <t>5.22_449.2672n</t>
  </si>
  <si>
    <t>6-(3-(Pyrrolidin-1-Yl)Propoxy)-2-(4-(3-(Pyrrolidin-1-Yl)Propoxy)Phenyl)Benzo[D]Oxazole</t>
  </si>
  <si>
    <t>HMDB0251669</t>
  </si>
  <si>
    <t>C(COC1=CC=C(C=C1)C1=NC2=C(O1)C=C(OCCCN1CCCC1)C=C2)CN1CCCC1</t>
  </si>
  <si>
    <t>YMYJXFUPMPMETB-UHFFFAOYSA-N</t>
  </si>
  <si>
    <t>C27H35N3O3</t>
  </si>
  <si>
    <t>1.09_288.0840n</t>
  </si>
  <si>
    <t>Glucosylisomaltol</t>
  </si>
  <si>
    <t>HMDB0038341</t>
  </si>
  <si>
    <t>85559-61-1</t>
  </si>
  <si>
    <t>CC(=O)C1=C(OC2OC(CO)C(O)C(O)C2O)C=CO1</t>
  </si>
  <si>
    <t>RRYYNIJTMYUJDC-UHFFFAOYSA-N</t>
  </si>
  <si>
    <t>C12H16O8</t>
  </si>
  <si>
    <t>6.64_164.1071m/z</t>
  </si>
  <si>
    <t>5-[(2r)-2-Aminopropyl]Cyclohexa-1,5-Diene-1-Carboxylic Acid</t>
  </si>
  <si>
    <t>HMDB0257834</t>
  </si>
  <si>
    <t>CC(N)CC1=CC(=CCC1)C(O)=O</t>
  </si>
  <si>
    <t>CKFQPDDCWQIPRY-UHFFFAOYSA-N</t>
  </si>
  <si>
    <t>C10H15NO2</t>
  </si>
  <si>
    <t>4.13_355.1033m/z</t>
  </si>
  <si>
    <t>(E)-2-O-Cinnamoyl-Beta-D-Glucopyranose</t>
  </si>
  <si>
    <t>HMDB0035880</t>
  </si>
  <si>
    <t>94356-16-8</t>
  </si>
  <si>
    <t>OCC1OC(O)C(OC(=O)\C=C\C2=CC=CC=C2)C(O)C1O</t>
  </si>
  <si>
    <t>POOVYWIYTSHEES-VOTSOKGWSA-N</t>
  </si>
  <si>
    <t>C15H18O7</t>
  </si>
  <si>
    <t>5.73_603.2439m/z</t>
  </si>
  <si>
    <t>Secoisolariciresinol-Sesquilignan</t>
  </si>
  <si>
    <t>HMDB0301738</t>
  </si>
  <si>
    <t>COC1=CC(CC(CO)C(CO)CC2=CC=C(OC(CO)C(O)C3=CC=C(O)C(OC)=C3)C(OC)=C2)=CC=C1O</t>
  </si>
  <si>
    <t>XPALWKWOFOYYIV-UHFFFAOYSA-N</t>
  </si>
  <si>
    <t>Dibenzylbutane lignans</t>
  </si>
  <si>
    <t>Dibenzylbutanediol lignans</t>
  </si>
  <si>
    <t>5.12_365.0875m/z</t>
  </si>
  <si>
    <t>Eleutheroside B1</t>
  </si>
  <si>
    <t>HMDB0029549</t>
  </si>
  <si>
    <t>16845-16-2</t>
  </si>
  <si>
    <t>COC1=CC2=C(OC(=O)C=C2)C(OC)=C1OC1OC(CO)C(O)C(O)C1O</t>
  </si>
  <si>
    <t>IKUQEFGEUOOPGY-UHFFFAOYSA-N</t>
  </si>
  <si>
    <t>C17H20O10</t>
  </si>
  <si>
    <t>6.43_698.3156m/z</t>
  </si>
  <si>
    <t>Taurodeoxycholic Acid 3-Glucuronide</t>
  </si>
  <si>
    <t>HMDB0240734</t>
  </si>
  <si>
    <t>C[C@H](CCC(=O)NCCS(O)(=O)=O)[C@H]1CC[C@H]2[C@@H]3CC[C@@H]4C[C@@H](CC[C@]4(C)[C@H]3C[C@H](O)[C@]12C)OC1OC(C(O)C(O)C1O)C(O)=O</t>
  </si>
  <si>
    <t>AELQGKOLJLCUOY-AFPGWOAKSA-N</t>
  </si>
  <si>
    <t>C32H53NO12S</t>
  </si>
  <si>
    <t>5.23_1064.5391n</t>
  </si>
  <si>
    <t>Tuberoside C (Allium Tuberosum)</t>
  </si>
  <si>
    <t>HMDB0035483</t>
  </si>
  <si>
    <t>259810-68-9</t>
  </si>
  <si>
    <t>CC(CCC1=C(C)C2C(CC3C4CCC5CC(OC6OC(CO)C(O)C(OC7OC(CO)C(O)C(O)C7O)C6OC6OC(C)C(O)C(O)C6O)C(O)CC5(C)C4CCC23C)O1)COC1OC(CO)C(O)C(O)C1O</t>
  </si>
  <si>
    <t>IACOUOXSBMSIBH-UHFFFAOYSA-N</t>
  </si>
  <si>
    <t>M+H-H2O, M+K</t>
  </si>
  <si>
    <t>C51H84O23</t>
  </si>
  <si>
    <t>9.64_312.2299n</t>
  </si>
  <si>
    <t>9s-Hpode</t>
  </si>
  <si>
    <t>HMDB0062434</t>
  </si>
  <si>
    <t>LMFA02000012</t>
  </si>
  <si>
    <t>C14827</t>
  </si>
  <si>
    <t>ko00591</t>
  </si>
  <si>
    <t>Linoleic acid metabolism</t>
  </si>
  <si>
    <t>29774-12-7</t>
  </si>
  <si>
    <t>C(CCCCCCC[C@H](OO)/C=C/C=C\CCCCC)(=O)O</t>
  </si>
  <si>
    <t>JGUNZIWGNMQSBM-UINYOVNOSA-N</t>
  </si>
  <si>
    <t>C18H32O4</t>
  </si>
  <si>
    <t>4.33_537.2670m/z</t>
  </si>
  <si>
    <t>Cofaryloside</t>
  </si>
  <si>
    <t>HMDB0035096</t>
  </si>
  <si>
    <t>63558-43-0</t>
  </si>
  <si>
    <t>CC1(CCCC2(C)C1CCC13CC(CCC21O)C(O)(CO)C3)C(=O)OC1OC(CO)C(O)C(O)C1O</t>
  </si>
  <si>
    <t>VEZJUFUSLIUNOY-UHFFFAOYSA-N</t>
  </si>
  <si>
    <t>10.95_819.5026m/z</t>
  </si>
  <si>
    <t>PG(16:0/PGE2)</t>
  </si>
  <si>
    <t>HMDB0268579</t>
  </si>
  <si>
    <t>CCCCCCCCCCCCCCCC(=O)OC[C@H](COP(O)(=O)OC[C@@H](O)CO)OC(=O)CCC\C=C/C[C@@H]1[C@@H](\C=C\[C@@H](O)CCCCC)[C@H](O)CC1=O</t>
  </si>
  <si>
    <t>ZGGSYMNIKQZVKG-RWEKKSDNSA-N</t>
  </si>
  <si>
    <t>C42H75O13P</t>
  </si>
  <si>
    <t>2.11_311.1346m/z</t>
  </si>
  <si>
    <t>Olanzapine</t>
  </si>
  <si>
    <t>HMDB0005012</t>
  </si>
  <si>
    <t>C07322</t>
  </si>
  <si>
    <t>132539-06-1</t>
  </si>
  <si>
    <t>CN1CCN(CC1)C1=NC2=CC=CC=C2NC2=C1C=C(C)S2</t>
  </si>
  <si>
    <t>KVWDHTXUZHCGIO-UHFFFAOYSA-N</t>
  </si>
  <si>
    <t>C17H20N4S</t>
  </si>
  <si>
    <t>4.35_317.2109m/z</t>
  </si>
  <si>
    <t>12s-Hpepe</t>
  </si>
  <si>
    <t>LMFA03070012</t>
  </si>
  <si>
    <t>103239-14-1</t>
  </si>
  <si>
    <t>C(/C/C=C\CCCC(=O)O)=C/C=C/[C@@H](OO)C/C=C\C/C=C\CC</t>
  </si>
  <si>
    <t>HDMYXONNVAOHFR-UOLHMMFFSA-N</t>
  </si>
  <si>
    <t>C20H30O4</t>
  </si>
  <si>
    <t>7.86_524.3370m/z</t>
  </si>
  <si>
    <t>PE(10:0/10:0)</t>
  </si>
  <si>
    <t>LMGP02010101</t>
  </si>
  <si>
    <t>[C@](COP(=O)(O)OCCN)([H])(OC(CCCCCCCCC)=O)COC(CCCCCCCCC)=O</t>
  </si>
  <si>
    <t>KKOSJVWUOHEQKA-HSZRJFAPSA-N</t>
  </si>
  <si>
    <t>C25H50NO8P</t>
  </si>
  <si>
    <t>5.06_385.1291m/z</t>
  </si>
  <si>
    <t>Brosimacutin D</t>
  </si>
  <si>
    <t>LMPK12140055</t>
  </si>
  <si>
    <t>C1C=C2OC(C)(C)C(O)CC2=C2O[C@H](C3C=CC(O)=CC=3)CC(=O)C=12</t>
  </si>
  <si>
    <t>AZGSCHIQUAKTNP-ZENAZSQFSA-N</t>
  </si>
  <si>
    <t>C20H20O5</t>
  </si>
  <si>
    <t>9.50_576.2567n</t>
  </si>
  <si>
    <t>Bafetinib</t>
  </si>
  <si>
    <t>HMDB0240206</t>
  </si>
  <si>
    <t>859212-16-1</t>
  </si>
  <si>
    <t>CN(C)[C@H]1CCN(CC2=C(C=C(C=C2)C(=O)NC2=CC(NC3=NC=CC(=N3)C3=CN=CN=C3)=C(C)C=C2)C(F)(F)F)C1</t>
  </si>
  <si>
    <t>ZGBAJMQHJDFTQJ-DEOSSOPVSA-N</t>
  </si>
  <si>
    <t>Anilides</t>
  </si>
  <si>
    <t>C30H31F3N8O</t>
  </si>
  <si>
    <t>6.01_449.2758m/z</t>
  </si>
  <si>
    <t>Bhas#26</t>
  </si>
  <si>
    <t>LMFA13040048</t>
  </si>
  <si>
    <t>O([C@@H](CCCCCCCCCC[C@@H](O)CC(=O)O)C)[C@H]1[C@H](O)C[C@@H](O)[C@H](C)O1</t>
  </si>
  <si>
    <t>WDFCEBWMCPQIFZ-XBIRKDKFSA-N</t>
  </si>
  <si>
    <t>C21H40O7</t>
  </si>
  <si>
    <t>0.73_116.0705m/z</t>
  </si>
  <si>
    <t>L-Proline</t>
  </si>
  <si>
    <t>HMDB0000162</t>
  </si>
  <si>
    <t>C00148</t>
  </si>
  <si>
    <t>ko00330,ko00332,ko00333,ko00401,ko00404,ko00470,ko00970,ko02010,ko04974,ko04978,ko05230</t>
  </si>
  <si>
    <t>Arginine and proline metabolism|Carbapenem biosynthesis|Prodigiosin biosynthesis|Novobiocin biosynthesis|Staurosporine biosynthesis|D-Amino acid metabolism|Aminoacyl-tRNA biosynthesis|ABC transporters|Protein digestion and absorption|Mineral absorption|Central carbon metabolism in cancer</t>
  </si>
  <si>
    <t>147-85-3</t>
  </si>
  <si>
    <t>OC(=O)[C@@H]1CCCN1</t>
  </si>
  <si>
    <t>ONIBWKKTOPOVIA-BYPYZUCNSA-N</t>
  </si>
  <si>
    <t>C5H9NO2</t>
  </si>
  <si>
    <t>4.22_308.0773m/z</t>
  </si>
  <si>
    <t>N-Feruloylaspartic Acid</t>
  </si>
  <si>
    <t>HMDB0040830</t>
  </si>
  <si>
    <t>135068-96-1</t>
  </si>
  <si>
    <t>COC1=CC(\C=C\C(=O)NC(CC(O)=O)C(O)=O)=CC=C1O</t>
  </si>
  <si>
    <t>SLAOOTKASUKZIE-HWKANZROSA-N</t>
  </si>
  <si>
    <t>C14H15NO7</t>
  </si>
  <si>
    <t>0.75_179.0550m/z</t>
  </si>
  <si>
    <t>Myo-Inositol</t>
  </si>
  <si>
    <t>C00137</t>
  </si>
  <si>
    <t>ko00052,ko00053,ko00521,ko00562,ko02010,ko04070</t>
  </si>
  <si>
    <t>Galactose metabolism|Ascorbate and aldarate metabolism|Streptomycin biosynthesis|Inositol phosphate metabolism|ABC transporters|Phosphatidylinositol signaling system</t>
  </si>
  <si>
    <t>87-9-8</t>
  </si>
  <si>
    <t>C1(C(C(C(C(C1O)O)O)O)O)O</t>
  </si>
  <si>
    <t>CDAISMWEOUEBRE-UHFFFAOYSA-N</t>
  </si>
  <si>
    <t>C6H12O6</t>
  </si>
  <si>
    <t>4.80_348.1770n</t>
  </si>
  <si>
    <t>(1s,2s,4r)-P-Menth-8-Ene-1,2,10-Triol 2-Glucoside</t>
  </si>
  <si>
    <t>HMDB0039469</t>
  </si>
  <si>
    <t>378254-11-6</t>
  </si>
  <si>
    <t>CC1(O)CCC(CC1OC1OC(CO)C(O)C(O)C1O)C(=C)CO</t>
  </si>
  <si>
    <t>DDQFHDNWZKJNLC-UHFFFAOYSA-N</t>
  </si>
  <si>
    <t>C16H28O8</t>
  </si>
  <si>
    <t>11.66_682.4347m/z</t>
  </si>
  <si>
    <t>3-Methoxy-4-Hydroxy-5-All-Trans-Heptaprenylbenzoate</t>
  </si>
  <si>
    <t>HMDB0304135</t>
  </si>
  <si>
    <t>[H]\C(CC\C(C)=C(/[H])CC\C(C)=C(/[H])CC\C(C)=C(/[H])CC\C(C)=C(/[H])CC\C(C)=C(/[H])CC1=CC(=CC(OC)=C1[O-])C(O)=O)=C(\C)CCC=C(C)C</t>
  </si>
  <si>
    <t>KYBJQEICWVEWIL-TUUMQRACSA-M</t>
  </si>
  <si>
    <t>Sesquaterpenoids</t>
  </si>
  <si>
    <t>C43H63O4-</t>
  </si>
  <si>
    <t>9.12_519.2588m/z</t>
  </si>
  <si>
    <t>Austalide G</t>
  </si>
  <si>
    <t>HMDB0030154</t>
  </si>
  <si>
    <t>96817-09-3</t>
  </si>
  <si>
    <t>COC(=O)CCC1(C)C2CC3=C(OC2(C)CC(OC(C)=O)C1C(C)(C)O)C(C)=C1COC(=O)C1=C3OC</t>
  </si>
  <si>
    <t>ZOYRWINBLNBGCP-UHFFFAOYSA-N</t>
  </si>
  <si>
    <t>C28H38O9</t>
  </si>
  <si>
    <t>7.07_342.1826n</t>
  </si>
  <si>
    <t>7-(4-Hydroxy-3-Methoxyphenyl)-5-Methoxy-1-Phenyl-3-Heptanone</t>
  </si>
  <si>
    <t>HMDB0029525</t>
  </si>
  <si>
    <t>83161-95-9</t>
  </si>
  <si>
    <t>COC(CCC1=CC(OC)=C(O)C=C1)CC(=O)CCC1=CC=CC=C1</t>
  </si>
  <si>
    <t>XYIISUAVSYEQLI-UHFFFAOYSA-N</t>
  </si>
  <si>
    <t>C21H26O4</t>
  </si>
  <si>
    <t>3.40_518.0715m/z</t>
  </si>
  <si>
    <t>Dhghab</t>
  </si>
  <si>
    <t>HMDB0243628</t>
  </si>
  <si>
    <t>COC1=C2C3=C(C(=O)CC3)C(=O)OC2=C2C3C(O)C(OC3OC2=C1)N1C=NC2=C1C(=O)NC(N)=N2</t>
  </si>
  <si>
    <t>XIOUDSNTNJNQQG-UHFFFAOYSA-N</t>
  </si>
  <si>
    <t>C22H17N5O8</t>
  </si>
  <si>
    <t>7.53_514.2565n</t>
  </si>
  <si>
    <t>Lucidenic Acid D2</t>
  </si>
  <si>
    <t>HMDB0036435</t>
  </si>
  <si>
    <t>98665-16-8</t>
  </si>
  <si>
    <t>CC(CCC(O)=O)C1CC(=O)C2(C)C3=C(C(=O)C(OC(C)=O)C12C)C1(C)CCC(=O)C(C)(C)C1CC3=O</t>
  </si>
  <si>
    <t>LTJSBYAKDOGXLX-UHFFFAOYSA-N</t>
  </si>
  <si>
    <t>11.08_545.3835m/z</t>
  </si>
  <si>
    <t>DG(20:3(6,8,11)-OH(5)/8:0/0:0)</t>
  </si>
  <si>
    <t>HMDB0297260</t>
  </si>
  <si>
    <t>CCCCCCCC\C=C\C\C=C\C=C\C(O)CCCC(=O)OC[C@H](CO)OC(=O)CCCCCCC</t>
  </si>
  <si>
    <t>WVALHIPEZZNFKT-VYPHAONASA-N</t>
  </si>
  <si>
    <t>C31H54O6</t>
  </si>
  <si>
    <t>5.04_683.2532m/z</t>
  </si>
  <si>
    <t>Veranisatin A</t>
  </si>
  <si>
    <t>HMDB0040663</t>
  </si>
  <si>
    <t>153445-92-2</t>
  </si>
  <si>
    <t>COCC1(O)C2CC3(C(C)CCC3(O)C11COC1=O)C(O)C(=O)O2</t>
  </si>
  <si>
    <t>LXPKORXZVZPYLY-UHFFFAOYSA-N</t>
  </si>
  <si>
    <t>C16H22O8</t>
  </si>
  <si>
    <t>4.52_441.1765m/z</t>
  </si>
  <si>
    <t>Pteroside P</t>
  </si>
  <si>
    <t>HMDB0036608</t>
  </si>
  <si>
    <t>54854-88-5</t>
  </si>
  <si>
    <t>CC1CC2=C(C1=O)C(C)=C(CCOC1OC(CO)C(O)C(O)C1O)C(CO)=C2</t>
  </si>
  <si>
    <t>MTMPFCKKJBWSKK-UHFFFAOYSA-N</t>
  </si>
  <si>
    <t>C20H28O8</t>
  </si>
  <si>
    <t>4.88_390.1313n</t>
  </si>
  <si>
    <t>(Z)-Resveratrol 4'-Glucoside</t>
  </si>
  <si>
    <t>HMDB0030565</t>
  </si>
  <si>
    <t>38963-95-0</t>
  </si>
  <si>
    <t>OCC1OC(OC2=CC=C(\C=C/C3=CC(O)=CC(O)=C3)C=C2)C(O)C(O)C1O</t>
  </si>
  <si>
    <t>RUOKEYJFAJITAG-UPHRSURJSA-N</t>
  </si>
  <si>
    <t>Stilbenes</t>
  </si>
  <si>
    <t>Stilbene glycosides</t>
  </si>
  <si>
    <t>M-H, M+FA-H, M-H2O-H</t>
  </si>
  <si>
    <t>C20H22O8</t>
  </si>
  <si>
    <t>7.77_808.3182m/z</t>
  </si>
  <si>
    <t>Aclacinomycin B</t>
  </si>
  <si>
    <t>HMDB0247945</t>
  </si>
  <si>
    <t>CCC1(O)CC(OC2CC(C(OC3CC4OC5CC(=O)C(C)OC5OC4C(C)O3)C(C)O2)N(C)C)C2=C(C=C3C(=O)C4=C(C(O)=CC=C4)C(=O)C3=C2O)C1C(=O)OC</t>
  </si>
  <si>
    <t>RQHZAASWYUEYCJ-UHFFFAOYSA-N</t>
  </si>
  <si>
    <t>C42H51NO15</t>
  </si>
  <si>
    <t>10.53_758.4435n</t>
  </si>
  <si>
    <t>Anemarrhenasaponin I</t>
  </si>
  <si>
    <t>HMDB0248417</t>
  </si>
  <si>
    <t>CC(C)CCC1(O)OC2C(O)C3C4CCC5CC(CCC5(C)C4CCC3(C)C2C1C)OC1OC(CO)C(O)C(O)C1OC1OC(CO)C(O)C(O)C1O</t>
  </si>
  <si>
    <t>ZNTKLBZCLHHWHW-UHFFFAOYSA-N</t>
  </si>
  <si>
    <t>C39H66O14</t>
  </si>
  <si>
    <t>6.82_581.2221m/z</t>
  </si>
  <si>
    <t>Tinocrisposide</t>
  </si>
  <si>
    <t>HMDB0249347</t>
  </si>
  <si>
    <t>COC(=O)C1=CCCC2C3(C)CC(OC(=O)C3CC(OC3OC(CO)C(O)C(O)C3O)C12C)C1=COC=C1</t>
  </si>
  <si>
    <t>RBPCODNTTHTSFN-UHFFFAOYSA-N</t>
  </si>
  <si>
    <t>C27H36O11</t>
  </si>
  <si>
    <t>0.85_289.0174m/z</t>
  </si>
  <si>
    <t>Cis-Resveratrol 3-Sulfate</t>
  </si>
  <si>
    <t>HMDB0041712</t>
  </si>
  <si>
    <t>OC1=CC=C(\C=C/C2=CC(OS(O)(=O)=O)=CC(O)=C2)C=C1</t>
  </si>
  <si>
    <t>DULQFFCIVGYOFH-UPHRSURJSA-N</t>
  </si>
  <si>
    <t>C14H12O6S</t>
  </si>
  <si>
    <t>9.73_393.2058m/z</t>
  </si>
  <si>
    <t>3',4',6'-Trihydroxy-2'-Oxo-3',5'-Diprenyldihydrochalcone</t>
  </si>
  <si>
    <t>LMPK12120591</t>
  </si>
  <si>
    <t>C1(O)C(C/C=C(\C)/C)(O)C(=O)C(C(=O)CCC2C=CC=CC=2)=C(O)C=1C/C=C(\C)/C</t>
  </si>
  <si>
    <t>MEQYBBPXPMXGBJ-UHFFFAOYSA-N</t>
  </si>
  <si>
    <t>C25H30O5</t>
  </si>
  <si>
    <t>4.43_461.2895m/z</t>
  </si>
  <si>
    <t>2,3-Secoporrigenin</t>
  </si>
  <si>
    <t>HMDB0030909</t>
  </si>
  <si>
    <t>189014-46-8</t>
  </si>
  <si>
    <t>CC1C2C(CC3C4CC5OC(=O)CC5C(C)(CC(O)=O)C4CCC23C)OC11CCC(C)CO1</t>
  </si>
  <si>
    <t>OTCSBULKTTUVHL-UHFFFAOYSA-N</t>
  </si>
  <si>
    <t>5.47_416.2411n</t>
  </si>
  <si>
    <t>Elarofiban</t>
  </si>
  <si>
    <t>HMDB0251734</t>
  </si>
  <si>
    <t>OC(=O)CC(NC(=O)C1CCCN(C1)C(=O)CCC1CCNCC1)C1=CN=CC=C1</t>
  </si>
  <si>
    <t>ABNXKGFLZFSILK-UHFFFAOYSA-N</t>
  </si>
  <si>
    <t>C22H32N4O4</t>
  </si>
  <si>
    <t>3.40_783.2163m/z</t>
  </si>
  <si>
    <t>Isoscoparin 2''-(6-(E)-Ferulylglucoside)</t>
  </si>
  <si>
    <t>HMDB0038454</t>
  </si>
  <si>
    <t>97605-26-0</t>
  </si>
  <si>
    <t>COC1=C(O)C=CC(\C=C\C(=O)OCC2OC(OC3C(O)C(O)C(CO)OC3C3=C(O)C4=C(OC(=CC4=O)C4=CC(OC)=C(O)C=C4)C=C3O)C(O)C(O)C2O)=C1</t>
  </si>
  <si>
    <t>DJZOTDSGEBENPL-XBXARRHUSA-N</t>
  </si>
  <si>
    <t>C38H40O19</t>
  </si>
  <si>
    <t>7.12_907.3604m/z</t>
  </si>
  <si>
    <t>Alpha-Cehc Glucuronide</t>
  </si>
  <si>
    <t>HMDB0062445</t>
  </si>
  <si>
    <t>477200-36-5</t>
  </si>
  <si>
    <t>CC1=C(O[C@@H]2O[C@@H]([C@@H](O)[C@H](O)[C@H]2O)C(O)=O)C(C)=C2CC[C@@](C)(CCC(O)=O)OC2=C1C</t>
  </si>
  <si>
    <t>MWDYOFPRWKTECC-XOIOWARXSA-N</t>
  </si>
  <si>
    <t>C22H30O10</t>
  </si>
  <si>
    <t>6.13_451.2109m/z</t>
  </si>
  <si>
    <t>Exiguaflavanone E</t>
  </si>
  <si>
    <t>LMPK12140484</t>
  </si>
  <si>
    <t>C1C(OC)=C(CC(C/C=C(\C)/C)C(C)=C)C2OC(C3C(O)=CC(O)=C(OC)C=3)CC(=O)C=2C=1O</t>
  </si>
  <si>
    <t>BDVHKISNFFHJEW-UHFFFAOYSA-N</t>
  </si>
  <si>
    <t>C27H32O7</t>
  </si>
  <si>
    <t>4.51_263.1276m/z</t>
  </si>
  <si>
    <t>8-Deoxy-11,13-Dihydroxygrosheimin</t>
  </si>
  <si>
    <t>HMDB0041144</t>
  </si>
  <si>
    <t>83551-03-5</t>
  </si>
  <si>
    <t>CC1C2C(CC1=O)C(=C)CCC1C2OC(=O)C1(O)CO</t>
  </si>
  <si>
    <t>XJUFXNXZZRHROZ-UHFFFAOYSA-N</t>
  </si>
  <si>
    <t>C15H20O5</t>
  </si>
  <si>
    <t>3.95_420.1039n</t>
  </si>
  <si>
    <t>5,3',5'-Trihydroxy-3,6,7,8,4'-Pentamethoxyflavone</t>
  </si>
  <si>
    <t>LMPK12113361</t>
  </si>
  <si>
    <t>C1(OC)=C(OC)C2OC(C3C=C(O)C(OC)=C(O)C=3)=C(OC)C(=O)C=2C(O)=C1OC</t>
  </si>
  <si>
    <t>LNCBEMLMMVNPOD-UHFFFAOYSA-N</t>
  </si>
  <si>
    <t>C20H20O10</t>
  </si>
  <si>
    <t>4.93_448.1004n</t>
  </si>
  <si>
    <t>Astragalin</t>
  </si>
  <si>
    <t>HMDB0037429</t>
  </si>
  <si>
    <t>LMPK12111725</t>
  </si>
  <si>
    <t>C12249</t>
  </si>
  <si>
    <t>480-10-4</t>
  </si>
  <si>
    <t>C1(O)=CC2OC(C3C=CC(O)=CC=3)=C(O[C@H]3[C@H](O)[C@@H](O)[C@H](O)[C@@H](CO)O3)C(=O)C=2C(O)=C1</t>
  </si>
  <si>
    <t>JPUKWEQWGBDDQB-QSOFNFLRSA-N</t>
  </si>
  <si>
    <t>C21H20O11</t>
  </si>
  <si>
    <t>10.26_627.2997m/z</t>
  </si>
  <si>
    <t>Gambogic Acid</t>
  </si>
  <si>
    <t>C10062</t>
  </si>
  <si>
    <t>2752-65-0</t>
  </si>
  <si>
    <t>CC(=CCCC1(C=CC2=C(C3=C(C(=C2O1)CC=C(C)C)OC45C6CC(C=C4C3=O)C(=O)C5(OC6(C)C)CC=C(C)C(=O)O)O)C)C</t>
  </si>
  <si>
    <t>GEZHEQNLKAOMCA-PLUQQRNKSA-N</t>
  </si>
  <si>
    <t>C38H44O8</t>
  </si>
  <si>
    <t>5.85_531.2200m/z</t>
  </si>
  <si>
    <t>Ptdins-(1,2-Dihexanoyl)</t>
  </si>
  <si>
    <t>CCCCCC(=O)OCC(COP(=O)(O)OC1C(C(C(C(C1O)O)O)O)O)OC(=O)CCCCC</t>
  </si>
  <si>
    <t>BYCNULBOTLVAKR-SBNMDPEDSA-N</t>
  </si>
  <si>
    <t>C21H39O13P</t>
  </si>
  <si>
    <t>5.71_278.1515n</t>
  </si>
  <si>
    <t>Dibutyl Phthalate</t>
  </si>
  <si>
    <t>HMDB0033244</t>
  </si>
  <si>
    <t>C14214</t>
  </si>
  <si>
    <t>84-74-2</t>
  </si>
  <si>
    <t>CCCCOC(=O)C1=CC=CC=C1C(=O)OCCCC</t>
  </si>
  <si>
    <t>DOIRQSBPFJWKBE-UHFFFAOYSA-N</t>
  </si>
  <si>
    <t>C16H22O4</t>
  </si>
  <si>
    <t>4.21_392.1313m/z</t>
  </si>
  <si>
    <t>Niazicinin</t>
  </si>
  <si>
    <t>HMDB0031947</t>
  </si>
  <si>
    <t>163812-19-9</t>
  </si>
  <si>
    <t>COC(=O)NCC1=CC=C(O[C@@H]2O[C@@H](C)[C@H](OC(C)=O)[C@@H](O)[C@H]2O)C=C1</t>
  </si>
  <si>
    <t>RHLFBIFJRZNCRZ-QOYUQHOESA-N</t>
  </si>
  <si>
    <t>C17H23NO8</t>
  </si>
  <si>
    <t>5.77_488.2401n</t>
  </si>
  <si>
    <t>Prednicarbate</t>
  </si>
  <si>
    <t>HMDB0015262</t>
  </si>
  <si>
    <t>73771-04-7</t>
  </si>
  <si>
    <t>CCOC(=O)OC1(CCC2C3CCC4=CC(=O)C=CC4(C)C3C(O)CC12C)C(=O)COC(=O)CC</t>
  </si>
  <si>
    <t>FNPXMHRZILFCKX-UHFFFAOYSA-N</t>
  </si>
  <si>
    <t>4.62_473.1787m/z</t>
  </si>
  <si>
    <t>Neoglabrescin A</t>
  </si>
  <si>
    <t>LMPR0104320002</t>
  </si>
  <si>
    <t>[C@@]123O[C@H]([C@@]4([H])CC(=O)C[C@@H](C)[C@]4(O)C1C=C(C)[C@@H]2OC(=O)C)[C@@](C)(OC(=O)C)[C@H]3OC(=O)C</t>
  </si>
  <si>
    <t>RWOHROIADKDRDD-XESBKENASA-N</t>
  </si>
  <si>
    <t>C23H30O9</t>
  </si>
  <si>
    <t>4.87_348.2080n</t>
  </si>
  <si>
    <t>6,9,12,15,18-Tetracosapentaynoic Acid</t>
  </si>
  <si>
    <t>LMFA01030747</t>
  </si>
  <si>
    <t>C(CCCCC#CCC#CCC#CCC#CCC#CCCCCC)(=O)O</t>
  </si>
  <si>
    <t>HNYHXNBZIXQWBA-UHFFFAOYSA-N</t>
  </si>
  <si>
    <t>C24H28O2</t>
  </si>
  <si>
    <t>3.68_187.0633n</t>
  </si>
  <si>
    <t>Indoleacrylic Acid</t>
  </si>
  <si>
    <t>HMDB0000734</t>
  </si>
  <si>
    <t>29953-71-7</t>
  </si>
  <si>
    <t>OC(=O)\C=C\C1=CNC2=C1C=CC=C2</t>
  </si>
  <si>
    <t>PLVPPLCLBIEYEA-AATRIKPKSA-N</t>
  </si>
  <si>
    <t>C11H9NO2</t>
  </si>
  <si>
    <t>4.10_450.2103n</t>
  </si>
  <si>
    <t>Rivenprost</t>
  </si>
  <si>
    <t>256382-08-8</t>
  </si>
  <si>
    <t>COCC1=CC=CC(=C1)CC(C=CC2C(CC(=O)C2CCSCCCC(=O)OC)O)O</t>
  </si>
  <si>
    <t>FBQUXLIJKPWCAO-AZIFJQEOSA-N</t>
  </si>
  <si>
    <t>Benzylethers</t>
  </si>
  <si>
    <t>C24H34O6S</t>
  </si>
  <si>
    <t>4.99_415.2233m/z</t>
  </si>
  <si>
    <t>PA(18:3(9Z,12Z,15Z)/0:0)</t>
  </si>
  <si>
    <t>HMDB0062320</t>
  </si>
  <si>
    <t>LMGP10050035</t>
  </si>
  <si>
    <t>[C@](COP(=O)(O)O)([H])(O)COC(CCCCCCC/C=C\C/C=C\C/C=C\CC)=O</t>
  </si>
  <si>
    <t>DVNZKWQUAXJYGB-LVTNFWOSSA-N</t>
  </si>
  <si>
    <t>C21H37O7P</t>
  </si>
  <si>
    <t>12.95_546.8839m/z</t>
  </si>
  <si>
    <t>Perfluorooctyl Iodide</t>
  </si>
  <si>
    <t>HMDB0256330</t>
  </si>
  <si>
    <t>FC(F)(F)C(F)(F)C(F)(F)C(F)(F)C(F)(F)C(F)(F)C(F)(F)C(F)(F)I</t>
  </si>
  <si>
    <t>KWXGJTSJUKTDQU-UHFFFAOYSA-N</t>
  </si>
  <si>
    <t>Organoiodides</t>
  </si>
  <si>
    <t>C8F17I</t>
  </si>
  <si>
    <t>8.90_610.3729m/z</t>
  </si>
  <si>
    <t>2-O-Glutaroyl-1-O-Palmitoyl-Sn-Glycero-3-Phosphocholine</t>
  </si>
  <si>
    <t>HMDB0256378</t>
  </si>
  <si>
    <t>CCCCCCCCCCCCCCCC(=O)OCC(COP([O-])(=O)OCC[N+](C)(C)C)OC(=O)CCCC(O)=O</t>
  </si>
  <si>
    <t>CDZVJFRXJAUXPP-UHFFFAOYSA-N</t>
  </si>
  <si>
    <t>C29H56NO10P</t>
  </si>
  <si>
    <t>9.40_858.3557m/z</t>
  </si>
  <si>
    <t>Aclacinomycin N</t>
  </si>
  <si>
    <t>HMDB0247946</t>
  </si>
  <si>
    <t>CCC1(O)CC(OC2CC(C(OC3CC(O)C(OC4CCC(O)C(C)O4)C(C)O3)C(C)O2)N(C)C)C2=C(O)C3=C(C=C2C1C(=O)OC)C(=O)C1=CC=CC(O)=C1C3=O</t>
  </si>
  <si>
    <t>CPUWOKRFRYWIHK-UHFFFAOYSA-N</t>
  </si>
  <si>
    <t>C42H55NO15</t>
  </si>
  <si>
    <t>4.03_755.2014m/z</t>
  </si>
  <si>
    <t>Sagittatin A</t>
  </si>
  <si>
    <t>LMPK12111876</t>
  </si>
  <si>
    <t>C1(O[C@H]2[C@H](O)[C@H](O)[C@@H](O)[C@H](C)O2)=CC2OC(C3C=CC(O)=CC=3)=C(O[C@H]3[C@H](O[C@H]4[C@H](O)[C@@H](O)[C@H](O)CO4)[C@H](O)[C@@H](O)[C@H](C)O3)C(=O)C=2C(O)=C1</t>
  </si>
  <si>
    <t>MRMCTOUWTYMNOX-DETDWBCYSA-N</t>
  </si>
  <si>
    <t>C32H38O18</t>
  </si>
  <si>
    <t>0.77_499.1454m/z</t>
  </si>
  <si>
    <t>(6r)-5,10-Methenyltetrahydrofolate</t>
  </si>
  <si>
    <t>HMDB0062623</t>
  </si>
  <si>
    <t>[H][C@@]12CN(C=[N+]1C1=C(NC2)N=C(N)NC1=O)C1=CC=C(C=C1)C(=O)N[C@@H](CCC([O-])=O)C([O-])=O</t>
  </si>
  <si>
    <t>MEANFMOQMXYMCT-OLZOCXBDSA-M</t>
  </si>
  <si>
    <t>Pteridines and derivatives</t>
  </si>
  <si>
    <t>Pterins and derivatives</t>
  </si>
  <si>
    <t>C20H20N7O6-</t>
  </si>
  <si>
    <t>10.91_910.4890n</t>
  </si>
  <si>
    <t>Periandradulcin B</t>
  </si>
  <si>
    <t>CC1C(C(C(C(O1)OC2C(C(COC2OC3C(C(C(OC3OC4CCC5(C(C4(C)C)CCC6(C5CC=C7C6(CCC8(C7CC(CC8O)(C)C)C)C)C)C=O)C(=O)O)O)O)O)O)O)O)O</t>
  </si>
  <si>
    <t>GGYFTLUVQMVCMN-UHFFFAOYSA-N</t>
  </si>
  <si>
    <t>C47H74O17</t>
  </si>
  <si>
    <t>3.75_443.1768m/z</t>
  </si>
  <si>
    <t>Cilligen</t>
  </si>
  <si>
    <t>HMDB0256235</t>
  </si>
  <si>
    <t>CC1(C)SC2C(NC(=O)CC3=CC=CC=C3)C(=O)N2C1C(=O)NC(CCCCN)C(O)=O</t>
  </si>
  <si>
    <t>INLLJVOEAABJFM-UHFFFAOYSA-N</t>
  </si>
  <si>
    <t>C22H30N4O5S</t>
  </si>
  <si>
    <t>4.84_332.0505n</t>
  </si>
  <si>
    <t>Dimp</t>
  </si>
  <si>
    <t>HMDB0006555</t>
  </si>
  <si>
    <t>C06196</t>
  </si>
  <si>
    <t>ko00230</t>
  </si>
  <si>
    <t>Purine metabolism</t>
  </si>
  <si>
    <t>3393-18-8</t>
  </si>
  <si>
    <t>O[C@H]1C[C@@H](O[C@@H]1COP(O)(O)=O)N1C=NC2=C1NC=NC2=O</t>
  </si>
  <si>
    <t>PHNGFPPXDJJADG-RRKCRQDMSA-N</t>
  </si>
  <si>
    <t>Purine nucleotides</t>
  </si>
  <si>
    <t>Purine deoxyribonucleotides</t>
  </si>
  <si>
    <t>C10H13N4O7P</t>
  </si>
  <si>
    <t>2.09_453.1249m/z</t>
  </si>
  <si>
    <t>4-O-Methyl-A-D-Glucosyl-(1-&gt;2)-B-D-Xylosyl-(1-&gt;4)-D-Xylose</t>
  </si>
  <si>
    <t>HMDB0039742</t>
  </si>
  <si>
    <t>10365-86-3</t>
  </si>
  <si>
    <t>COC1C(O)C(O)C(OC2C(O)C(O)COC2OC2COC(O)C(O)C2O)OC1C(O)=O</t>
  </si>
  <si>
    <t>XZGRJCXNJVJWKJ-UHFFFAOYSA-N</t>
  </si>
  <si>
    <t>C17H28O15</t>
  </si>
  <si>
    <t>5.17_938.5283n</t>
  </si>
  <si>
    <t>PGP(20:1(11Z)/20:3(8Z,11Z,14Z)-2OH(5,6))</t>
  </si>
  <si>
    <t>HMDB0273269</t>
  </si>
  <si>
    <t>[H][C@](O)(COP(O)(O)=O)COP(O)(=O)OC[C@@]([H])(COC(=O)CCCCCCCCC\C=C/CCCCCCCC)OC(=O)CCCC(O)C(O)C\C=C/C\C=C/C\C=C/CCCCC</t>
  </si>
  <si>
    <t>HEUBWQYSLSLEKQ-WFXWFDTQSA-N</t>
  </si>
  <si>
    <t>C46H84O15P2</t>
  </si>
  <si>
    <t>6.69_152.0341m/z</t>
  </si>
  <si>
    <t>Salicylhydroxamic Acid</t>
  </si>
  <si>
    <t>HMDB0257460</t>
  </si>
  <si>
    <t>C11343</t>
  </si>
  <si>
    <t>89-73-6</t>
  </si>
  <si>
    <t>ONC(=O)C1=CC=CC=C1O</t>
  </si>
  <si>
    <t>HBROZNQEVUILML-UHFFFAOYSA-N</t>
  </si>
  <si>
    <t>C7H7NO3</t>
  </si>
  <si>
    <t>1.99_444.1240n</t>
  </si>
  <si>
    <t>Seladelpar</t>
  </si>
  <si>
    <t>HMDB0258211</t>
  </si>
  <si>
    <t>CCOC(COC1=CC=C(C=C1)C(F)(F)F)CSC1=CC(C)=C(OCC(O)=O)C=C1</t>
  </si>
  <si>
    <t>JWHYSEDOYMYMNM-UHFFFAOYSA-N</t>
  </si>
  <si>
    <t>Phenoxyacetic acid derivatives</t>
  </si>
  <si>
    <t>C21H23F3O5S</t>
  </si>
  <si>
    <t>4.79_675.2865m/z</t>
  </si>
  <si>
    <t>Nicotine Glucuronide</t>
  </si>
  <si>
    <t>HMDB0001272</t>
  </si>
  <si>
    <t>152306-59-7</t>
  </si>
  <si>
    <t>CN1CCC[C@H]1C1=C[N+](=CC=C1)[C@H]1O[C@@H]([C@@H](O)[C@H](O)[C@H]1O)C([O-])=O</t>
  </si>
  <si>
    <t>SAWAIULJDYFLPD-SOAFEQHCSA-N</t>
  </si>
  <si>
    <t>C16H22N2O6</t>
  </si>
  <si>
    <t>10.05_313.1809m/z</t>
  </si>
  <si>
    <t>14-Deoxy-11,12-Didehydroandrographolide</t>
  </si>
  <si>
    <t>HMDB0244578</t>
  </si>
  <si>
    <t>CC1(CO)C(O)CCC2(C)C1CCC(=C)C2C=CC1=CCOC1=O</t>
  </si>
  <si>
    <t>XMJAJFVLHDIEHF-UHFFFAOYSA-N</t>
  </si>
  <si>
    <t>C20H28O4</t>
  </si>
  <si>
    <t>3.91_463.1783m/z</t>
  </si>
  <si>
    <t>Difenoxin</t>
  </si>
  <si>
    <t>HMDB0251256</t>
  </si>
  <si>
    <t>C07871</t>
  </si>
  <si>
    <t>OC(=O)C1(CCN(CCC(C#N)(C2=CC=CC=C2)C2=CC=CC=C2)CC1)C1=CC=CC=C1</t>
  </si>
  <si>
    <t>UFIVBRCCIRTJTN-UHFFFAOYSA-N</t>
  </si>
  <si>
    <t>Diphenylacetonitriles</t>
  </si>
  <si>
    <t>C28H28N2O2</t>
  </si>
  <si>
    <t>6.78_511.2179m/z</t>
  </si>
  <si>
    <t>Gibberellin A2 O-Beta-D-Glucoside</t>
  </si>
  <si>
    <t>LMPR0104170037</t>
  </si>
  <si>
    <t>WTKQZMGIUAMURO-VKFLIQGRSA-N</t>
  </si>
  <si>
    <t>C25H36O11</t>
  </si>
  <si>
    <t>9.57_393.2281m/z</t>
  </si>
  <si>
    <t>Topsentolide C1</t>
  </si>
  <si>
    <t>LMFA07040135</t>
  </si>
  <si>
    <t>C(/[C@@H]1OC(=O)CCCC=CC1)=C\[C@H](OC)[C@H](C/C=C\C/C=C\CC)O</t>
  </si>
  <si>
    <t>QXHLHGKKWDCOOY-ARTHJQAWSA-N</t>
  </si>
  <si>
    <t>C21H32O4</t>
  </si>
  <si>
    <t>4.67_690.2491n</t>
  </si>
  <si>
    <t>8-Prenylquercetin 7,4'-Dimethyl Ether 3-Rhamnosyl-(1-&gt;4)-Rhamnoside</t>
  </si>
  <si>
    <t>LMPK12112644</t>
  </si>
  <si>
    <t>C1C=C(OC)C(O)=CC=1C1=C(O[C@H]2[C@H](O)[C@H](O)[C@@H](O[C@H]3[C@H](O)[C@H](O)[C@@H](O)[C@H](C)O3)[C@H](C)O2)C(=O)C2C(O)=CC(OC)=C(C/C=C(/C)\C)C=2O1</t>
  </si>
  <si>
    <t>NSBMHMYRKNRGCQ-LZWAGGJNSA-N</t>
  </si>
  <si>
    <t>C34H42O15</t>
  </si>
  <si>
    <t>3.79_458.1807n</t>
  </si>
  <si>
    <t>3-Hydroxychavicol 1-[Rhamnosyl-(1-&gt;6)-Glucoside]</t>
  </si>
  <si>
    <t>HMDB0037108</t>
  </si>
  <si>
    <t>267668-14-4</t>
  </si>
  <si>
    <t>C\C=C\C1=CC(O)=C(OC2OC(COC3OC(C)C(O)C(O)C3O)C(O)C(O)C2O)C=C1</t>
  </si>
  <si>
    <t>ORYDHHXIZWIIQT-ONEGZZNKSA-N</t>
  </si>
  <si>
    <t>C21H30O11</t>
  </si>
  <si>
    <t>4.60_397.2227m/z</t>
  </si>
  <si>
    <t>Sterebin B</t>
  </si>
  <si>
    <t>HMDB0035338</t>
  </si>
  <si>
    <t>CC(=O)OC1C(O)C(C)(O)C(\C=C\C(C)=O)C2(C)CCCC(C)(C)C12</t>
  </si>
  <si>
    <t>BNOWPELKBYSHKU-CMDGGOBGSA-N</t>
  </si>
  <si>
    <t>C20H32O5</t>
  </si>
  <si>
    <t>12.70_645.7646m/z</t>
  </si>
  <si>
    <t>3,3',5-Triiodothyronamine</t>
  </si>
  <si>
    <t>HMDB0246014</t>
  </si>
  <si>
    <t>NCCC1=CC(I)=C(OC2=CC(I)=C(O)C=C2)C(I)=C1</t>
  </si>
  <si>
    <t>KIXGKGGCXPSNDX-UHFFFAOYSA-N</t>
  </si>
  <si>
    <t>Diphenylethers</t>
  </si>
  <si>
    <t>C14H12I3NO2</t>
  </si>
  <si>
    <t>10.91_933.5065m/z</t>
  </si>
  <si>
    <t>(3b,5b,22a,25r)-Furostane-22-Methoxy-3,26-Diol 3-[Glucosyl-(1-&gt;2)-Glucoside] 26-Glucoside</t>
  </si>
  <si>
    <t>HMDB0034375</t>
  </si>
  <si>
    <t>244779-38-2</t>
  </si>
  <si>
    <t>COC1(CCC(C)COC2OC(CO)C(O)C(O)C2O)OC2CC3C4CCC5CC(CCC5(C)C4CCC3(C)C2C1C)OC1OC(CO)C(O)C(O)C1OC1OC(CO)C(O)C(O)C1O</t>
  </si>
  <si>
    <t>FDASUPFDHLZNSK-UHFFFAOYSA-N</t>
  </si>
  <si>
    <t>C46H78O19</t>
  </si>
  <si>
    <t>4.03_352.0671m/z</t>
  </si>
  <si>
    <t>Narciclasine</t>
  </si>
  <si>
    <t>HMDB0255458</t>
  </si>
  <si>
    <t>OC1C=C2C(NC(=O)C3=C(O)C4=C(OCO4)C=C23)C(O)C1O</t>
  </si>
  <si>
    <t>LZAZURSABQIKGB-UHFFFAOYSA-N</t>
  </si>
  <si>
    <t>Amaryllidaceae alkaloids</t>
  </si>
  <si>
    <t>Phenanthridine- and phenanthridone-type amaryllidaceae alkaloids</t>
  </si>
  <si>
    <t>C14H13NO7</t>
  </si>
  <si>
    <t>8.14_642.3623m/z</t>
  </si>
  <si>
    <t>Cyclo(D-Trp-D-Asp-Pro-D-Ile-Leu)</t>
  </si>
  <si>
    <t>HMDB0250629</t>
  </si>
  <si>
    <t>CCC(C)C1NC(=O)C2CCCN2C(=O)C(CC(O)=O)NC(=O)C(CC2=CNC3=CC=CC=C23)NC(=O)C(CC(C)C)NC1=O</t>
  </si>
  <si>
    <t>KHRTUHCOJNQEQG-UHFFFAOYSA-N</t>
  </si>
  <si>
    <t>C32H44N6O7</t>
  </si>
  <si>
    <t>4.87_380.2123m/z</t>
  </si>
  <si>
    <t>15-Dimethylarsinoyl Pentadecanoic Acid</t>
  </si>
  <si>
    <t>LMFA00000027</t>
  </si>
  <si>
    <t>C([As](C)(=O)C)CCCCCCCCCCCCCC(=O)O</t>
  </si>
  <si>
    <t>RJOXDLOOIZACDO-UHFFFAOYSA-N</t>
  </si>
  <si>
    <t>C17H35AsO3</t>
  </si>
  <si>
    <t>3.73_683.1593m/z</t>
  </si>
  <si>
    <t>Secalonic Acid A</t>
  </si>
  <si>
    <t>HMDB0258200</t>
  </si>
  <si>
    <t>COC(=O)C12OC3=C(C(O)=C(C=C3)C3=C(O)C4=C(OC5(C(O)C(C)CC(=O)C5=C4O)C(=O)OC)C=C3)C(O)=C1C(=O)CC(C)C2O</t>
  </si>
  <si>
    <t>NFZJAYYORNVZNI-UHFFFAOYSA-N</t>
  </si>
  <si>
    <t>C32H30O14</t>
  </si>
  <si>
    <t>5.03_390.2256n</t>
  </si>
  <si>
    <t>7,8-Dihydro-3b,6a-Dihydroxy-Alpha-Ionol 9-Glucoside</t>
  </si>
  <si>
    <t>HMDB0041578</t>
  </si>
  <si>
    <t>177261-75-5</t>
  </si>
  <si>
    <t>CC(CCC1(O)C(C)=CC(O)CC1(C)C)OC1OC(CO)C(O)C(O)C1O</t>
  </si>
  <si>
    <t>PKDTXFWHZWYNAH-UHFFFAOYSA-N</t>
  </si>
  <si>
    <t>6.12_553.2281m/z</t>
  </si>
  <si>
    <t>Gibberellin A37 Glucosyl Ester</t>
  </si>
  <si>
    <t>HMDB0038611</t>
  </si>
  <si>
    <t>36702-72-4</t>
  </si>
  <si>
    <t>[H][C@@]12CC[C@@H]3C[C@]1(CC3=C)[C@@H](C(=O)O[C@@H]1O[C@H](CO)[C@@H](O)[C@H](O)[C@H]1O)[C@@]1([H])[C@@]22CC[C@H](O)[C@@]1(C)C(=O)OC2</t>
  </si>
  <si>
    <t>BQKJRWQLMRWZET-FMKDHIMUSA-N</t>
  </si>
  <si>
    <t>C26H36O10</t>
  </si>
  <si>
    <t>4.36_479.1922m/z</t>
  </si>
  <si>
    <t>Melledonol</t>
  </si>
  <si>
    <t>HMDB0035884</t>
  </si>
  <si>
    <t>103847-14-9</t>
  </si>
  <si>
    <t>CC1=CC(O)=CC(O)=C1C(=O)OC1CC2(C)C3C(O)C(C)(C)CC3(O)C=C(CO)C12O</t>
  </si>
  <si>
    <t>VWIPRLLXWTUBOM-UHFFFAOYSA-N</t>
  </si>
  <si>
    <t>C23H30O8</t>
  </si>
  <si>
    <t>7.10_539.2497m/z</t>
  </si>
  <si>
    <t>Tetrahydroaldosterone-3-Glucuronide</t>
  </si>
  <si>
    <t>HMDB0010357</t>
  </si>
  <si>
    <t>20605-81-6</t>
  </si>
  <si>
    <t>[H][C@@]12CC3(C(O)O1)C(CC[C@@H]3C(=O)CO)C1CCC3CC(CC[C@]3(C)C21)O[C@@H]1O[C@@H]([C@@H](O)[C@@H](O)[C@H]1O)C(O)=O</t>
  </si>
  <si>
    <t>CGIURIOFMWUPSV-RUQPETGGSA-N</t>
  </si>
  <si>
    <t>C27H40O11</t>
  </si>
  <si>
    <t>3.64_449.2028m/z</t>
  </si>
  <si>
    <t>Pisumionoside</t>
  </si>
  <si>
    <t>HMDB0039947</t>
  </si>
  <si>
    <t>371113-06-3</t>
  </si>
  <si>
    <t>CC(=O)\C=C\C1(O)C(C)(C)CC(CC1(C)O)OC1OC(CO)C(O)C(O)C1O</t>
  </si>
  <si>
    <t>PASRVRCWYGWSDQ-AATRIKPKSA-N</t>
  </si>
  <si>
    <t>C19H32O9</t>
  </si>
  <si>
    <t>7.06_707.2530m/z</t>
  </si>
  <si>
    <t>Kuwanon Q</t>
  </si>
  <si>
    <t>HMDB0030113</t>
  </si>
  <si>
    <t>89803-86-1</t>
  </si>
  <si>
    <t>CC(C)=CCC1=C(O)C=CC(C(=O)C2C(CC(C)=CC2C2=C(O)C=CC(C(=O)\C=C\C3=C(O)C=C(O)C=C3)=C2O)C2=CC=C(O)C=C2)=C1O</t>
  </si>
  <si>
    <t>WDCSNUYKXLXPBM-OVCLIPMQSA-N</t>
  </si>
  <si>
    <t>C40H38O9</t>
  </si>
  <si>
    <t>0.74_346.1041n</t>
  </si>
  <si>
    <t>Amorphaquinone</t>
  </si>
  <si>
    <t>LMPK12080054</t>
  </si>
  <si>
    <t>C1(O)C=CC2CC(C3=CC(=O)C(OC)=C(OC)C3=O)COC=2C=1OC</t>
  </si>
  <si>
    <t>PMGNYGMMSWPZPE-UHFFFAOYSA-N</t>
  </si>
  <si>
    <t>Isoflavanquinones</t>
  </si>
  <si>
    <t>C18H18O7</t>
  </si>
  <si>
    <t>6.32_552.2947m/z</t>
  </si>
  <si>
    <t>PA(2:0/20:3(8Z,11Z,14Z)-2OH(5,6))</t>
  </si>
  <si>
    <t>HMDB0266527</t>
  </si>
  <si>
    <t>[H][C@@](COC(C)=O)(COP(O)(O)=O)OC(=O)CCCC(O)C(O)C\C=C/C\C=C/C\C=C/CCCCC</t>
  </si>
  <si>
    <t>UPUHBSLAPGSKEE-KHXOOKQCSA-N</t>
  </si>
  <si>
    <t>C25H43O10P</t>
  </si>
  <si>
    <t>10.26_243.1962m/z</t>
  </si>
  <si>
    <t>2-Hydroxymyristic Acid</t>
  </si>
  <si>
    <t>HMDB0002261</t>
  </si>
  <si>
    <t>LMFA01050484</t>
  </si>
  <si>
    <t>2507-55-3</t>
  </si>
  <si>
    <t>C(C(O)CCCCCCCCCCCC)(O)=O</t>
  </si>
  <si>
    <t>JYZJYKOZGGEXSX-UHFFFAOYSA-N</t>
  </si>
  <si>
    <t>C14H28O3</t>
  </si>
  <si>
    <t>12.93_492.2980m/z</t>
  </si>
  <si>
    <t>Petromyzonol Sulfate</t>
  </si>
  <si>
    <t>HMDB0256356</t>
  </si>
  <si>
    <t>CC(CCCOS(O)(=O)=O)C1CCC2C3C(O)CC4CC(O)CCC4(C)C3CC(O)C12C</t>
  </si>
  <si>
    <t>BKZKSSHAWFCVDU-UHFFFAOYSA-N</t>
  </si>
  <si>
    <t>C24H42O7S</t>
  </si>
  <si>
    <t>4.23_451.1222m/z</t>
  </si>
  <si>
    <t>Cyanidin-3-O-Beta-Glucopyranoside</t>
  </si>
  <si>
    <t>HMDB0250605</t>
  </si>
  <si>
    <t>OCC1OC(OC2=CC3=C(O)C=C(O)C=C3OC2C2=CC(O)=C(O)C=C2)C(O)C(O)C1O</t>
  </si>
  <si>
    <t>VUUHCPBKEAYFDZ-UHFFFAOYSA-N</t>
  </si>
  <si>
    <t>5.04_543.1834m/z</t>
  </si>
  <si>
    <t>(7'S,8'S)-4,7'-Epoxy-3,8'-Bilign-7-Ene-3',5-Dimethoxy-4',9,9'-Triol 4'-Glucoside</t>
  </si>
  <si>
    <t>HMDB0040636</t>
  </si>
  <si>
    <t>107870-87-1</t>
  </si>
  <si>
    <t>COC1=CC(\C=C/CO)=CC2=C1OC(C2CO)C1=CC=C(OC2OC(CO)C(O)C(O)C2O)C(OC)=C1</t>
  </si>
  <si>
    <t>SPWHQAUMLDQOFU-ARJAWSKDSA-N</t>
  </si>
  <si>
    <t>4.04_641.2085m/z</t>
  </si>
  <si>
    <t>Triphyllin B</t>
  </si>
  <si>
    <t>LMPK12020165</t>
  </si>
  <si>
    <t>C1(O[C@H]2[C@H](O)[C@@H](O)[C@H](O)[C@@H](CO)O2)=C(C)C2O[C@@H](C3C=CC(O)=CC=3)C[C@H](O)C=2C(O[C@H]2[C@H](O)[C@@H](O)[C@H](O)[C@@H](CO)O2)=C1CO</t>
  </si>
  <si>
    <t>WZGAICRUQPMGRL-UVFNWLARSA-N</t>
  </si>
  <si>
    <t>C29H38O16</t>
  </si>
  <si>
    <t>6.32_524.3002m/z</t>
  </si>
  <si>
    <t>Isoamoritin</t>
  </si>
  <si>
    <t>LMPK12140384</t>
  </si>
  <si>
    <t>C1(O)C(C/C=C(\C)/C)=C2O[C@H](C3C=C(O)C(OC)=C(C/C=C(/C)\C)C=3)CC(=O)C2=C(O)C=1C/C=C(/C)\C</t>
  </si>
  <si>
    <t>YSSBXXIEFDCVDX-SANMLTNESA-N</t>
  </si>
  <si>
    <t>C31H38O6</t>
  </si>
  <si>
    <t>7.87_611.3071m/z</t>
  </si>
  <si>
    <t>2-O-(6-O-Isocaleryl-Beta-D-Glucopyranosyl) Atractyligenin</t>
  </si>
  <si>
    <t>LMPR0104130007</t>
  </si>
  <si>
    <t>[C@@]123[C@@H](O)C([C@@H](CC[C@@]1([H])[C@]1(C)C[C@H](O[C@H]4[C@H](O)[C@@H](O)[C@H](O)[C@@H](COC(=O)CC(C)C)O4)C[C@@H](C(=O)O)[C@@]1([H])CC2)C3)=C</t>
  </si>
  <si>
    <t>OXDRSZXSSZKWID-JQHIDBDQSA-N</t>
  </si>
  <si>
    <t>C30H46O10</t>
  </si>
  <si>
    <t>3.24_301.1409m/z</t>
  </si>
  <si>
    <t>Monoethylhexyl Phthalic Acid</t>
  </si>
  <si>
    <t>HMDB0013248</t>
  </si>
  <si>
    <t>C03343</t>
  </si>
  <si>
    <t>4376-20-9</t>
  </si>
  <si>
    <t>CCCCC(CC)COC(=O)C1=CC=CC=C1C(O)=O</t>
  </si>
  <si>
    <t>DJDSLBVSSOQSLW-UHFFFAOYSA-N</t>
  </si>
  <si>
    <t>4.80_287.0546m/z</t>
  </si>
  <si>
    <t>Kaempferol</t>
  </si>
  <si>
    <t>HMDB0005801</t>
  </si>
  <si>
    <t>LMPK12110003</t>
  </si>
  <si>
    <t>C05903</t>
  </si>
  <si>
    <t>ko00941,ko00944</t>
  </si>
  <si>
    <t>Flavonoid biosynthesis|Flavone and flavonol biosynthesis</t>
  </si>
  <si>
    <t>520-18-3</t>
  </si>
  <si>
    <t>C1(O)C=C2OC(C3=CC=C(O)C=C3)=C(O)C(=O)C2=C(O)C=1</t>
  </si>
  <si>
    <t>IYRMWMYZSQPJKC-UHFFFAOYSA-N</t>
  </si>
  <si>
    <t>C15H10O6</t>
  </si>
  <si>
    <t>5.33_303.2315m/z</t>
  </si>
  <si>
    <t>20-Hete</t>
  </si>
  <si>
    <t>HMDB0005998</t>
  </si>
  <si>
    <t>LMFA03060009</t>
  </si>
  <si>
    <t>C14748</t>
  </si>
  <si>
    <t>ko00590,ko04270</t>
  </si>
  <si>
    <t>Arachidonic acid metabolism|Vascular smooth muscle contraction</t>
  </si>
  <si>
    <t>79551-86-3</t>
  </si>
  <si>
    <t>C(O)(=O)CCC/C=C\C/C=C\C/C=C\C/C=C\CCCCCO</t>
  </si>
  <si>
    <t>NNDIXBJHNLFJJP-DTLRTWKJSA-N</t>
  </si>
  <si>
    <t>C20H32O3</t>
  </si>
  <si>
    <t>4.14_348.1758n</t>
  </si>
  <si>
    <t>Alpha-(4-Fluorophenyl)-4-(5-Fluoro-2-Pyrimidinyl)-1-Piperazine Butanol</t>
  </si>
  <si>
    <t>HMDB0249324</t>
  </si>
  <si>
    <t>OC(CCCN1CCN(CC1)C1=NC=C(F)C=N1)C1=CC=C(F)C=C1</t>
  </si>
  <si>
    <t>ZXUYYZPJUGQHLQ-UHFFFAOYSA-N</t>
  </si>
  <si>
    <t>Diazinanes</t>
  </si>
  <si>
    <t>Piperazines</t>
  </si>
  <si>
    <t>M+Na, M+NH4</t>
  </si>
  <si>
    <t>C18H22F2N4O</t>
  </si>
  <si>
    <t>6.55_270.1251n</t>
  </si>
  <si>
    <t>4-Hydrocinnamoyl-2,2,5-Trimethyl-4-Cyclopentene-1,3-Dione</t>
  </si>
  <si>
    <t>LMPK12120611</t>
  </si>
  <si>
    <t>C1(C(=O)C(C)(C)C(=O)C=1C)C(=O)CCC1C=CC=CC=1</t>
  </si>
  <si>
    <t>JLCDLBNIBBAWCH-UHFFFAOYSA-N</t>
  </si>
  <si>
    <t>C17H18O3</t>
  </si>
  <si>
    <t>0.72_488.1613m/z</t>
  </si>
  <si>
    <t>Pevonedistat</t>
  </si>
  <si>
    <t>HMDB0256358</t>
  </si>
  <si>
    <t>NS(=O)(=O)OCC1CC(CC1O)N1C=CC2=C1N=CN=C2NC1CCC2=CC=CC=C12</t>
  </si>
  <si>
    <t>MPUQHZXIXSTTDU-UHFFFAOYSA-N</t>
  </si>
  <si>
    <t>Indanes</t>
  </si>
  <si>
    <t>C21H25N5O4S</t>
  </si>
  <si>
    <t>5.80_539.2495m/z</t>
  </si>
  <si>
    <t>Lisinopril-Tryptophan</t>
  </si>
  <si>
    <t>HMDB0243710</t>
  </si>
  <si>
    <t>NCCCCC(NC(CCC1=CC=CC=C1)C(O)=O)C(=O)NC(CC1=CNC2=CC=CC=C12)C(O)=O</t>
  </si>
  <si>
    <t>JXNGDSIPMBNTNL-UHFFFAOYSA-N</t>
  </si>
  <si>
    <t>C27H34N4O5</t>
  </si>
  <si>
    <t>0.74_239.0766m/z</t>
  </si>
  <si>
    <t>D-Glycero-L-Galacto-Octulose</t>
  </si>
  <si>
    <t>HMDB0029954</t>
  </si>
  <si>
    <t>OCC(O)C1OC(O)(CO)C(O)C(O)C1O</t>
  </si>
  <si>
    <t>HYWDXGGHANXDIV-UHFFFAOYSA-N</t>
  </si>
  <si>
    <t>C8H16O8</t>
  </si>
  <si>
    <t>12.06_466.3652n</t>
  </si>
  <si>
    <t>6alpha-Hydroxy-Castasterone</t>
  </si>
  <si>
    <t>HMDB0304235</t>
  </si>
  <si>
    <t>CC(C)C(C)C(O)C(O)C(C)C1CCC2C3CC(O)C4CC(O)C(O)CC4(C)C3CCC12C</t>
  </si>
  <si>
    <t>CVXIEYXJQSRIAC-UHFFFAOYSA-N</t>
  </si>
  <si>
    <t>C28H50O5</t>
  </si>
  <si>
    <t>7.12_346.1774n</t>
  </si>
  <si>
    <t>Gibberellin A37</t>
  </si>
  <si>
    <t>HMDB0035047</t>
  </si>
  <si>
    <t>C14161</t>
  </si>
  <si>
    <t>38231-54-8</t>
  </si>
  <si>
    <t>[H][C@@]12CC[C@@H]3C[C@]1(CC3=C)[C@@H](C(O)=O)[C@@]1([H])[C@@]22CC[C@H](O)[C@@]1(C)C(=O)OC2</t>
  </si>
  <si>
    <t>QYXZQZMPZUEEML-SQLMURCQSA-N</t>
  </si>
  <si>
    <t>C20H26O5</t>
  </si>
  <si>
    <t>4.60_473.1048m/z</t>
  </si>
  <si>
    <t>Astilbin</t>
  </si>
  <si>
    <t>HMDB0033850</t>
  </si>
  <si>
    <t>C17449</t>
  </si>
  <si>
    <t>29838-67-3</t>
  </si>
  <si>
    <t>C[C@@H]1O[C@@H](O[C@@H]2[C@H](OC3=CC(O)=CC(O)=C3C2=O)C2=CC(O)=C(O)C=C2)[C@H](O)[C@H](O)[C@H]1O</t>
  </si>
  <si>
    <t>ZROGCCBNZBKLEL-MPRHSVQHSA-N</t>
  </si>
  <si>
    <t>10.79_402.2403n</t>
  </si>
  <si>
    <t>Hexanorisocucurbitacin D</t>
  </si>
  <si>
    <t>LMST01010456</t>
  </si>
  <si>
    <t>[C@@]12(C)C(=O)C[C@]3(C)[C@]([H])([C@H](O)C[C@@]3(C)[C@]1([H])CC=C1C(C)(C)[C@H](O)C(=O)C[C@@]21[H])C(=O)C</t>
  </si>
  <si>
    <t>RKYRHTLYIGVTOJ-NITOUSFVSA-N</t>
  </si>
  <si>
    <t>Oxosteroids</t>
  </si>
  <si>
    <t>C24H34O5</t>
  </si>
  <si>
    <t>11.46_386.3624m/z</t>
  </si>
  <si>
    <t>22-Oxo-Tricosanoic Acid</t>
  </si>
  <si>
    <t>LMFA01060145</t>
  </si>
  <si>
    <t>C(CCCCCCCCCCCCCCCCCCCCC(=O)C)(=O)O</t>
  </si>
  <si>
    <t>DWIGCHXTZQHDFF-UHFFFAOYSA-N</t>
  </si>
  <si>
    <t>C23H44O3</t>
  </si>
  <si>
    <t>10.47_886.4907n</t>
  </si>
  <si>
    <t>Tigogenin 3-O-Alpha-L-Rhamnopyranosyl(1-&gt;3)-Beta-D -Glalactopyranosyll(1-&gt;2)-Beta-D-Glucopyranoside</t>
  </si>
  <si>
    <t>LMST01080111</t>
  </si>
  <si>
    <t>C1[C@]2(C)[C@@]3([H])CC[C@]4(C)[C@H]5[C@@H]([C@]6(O[C@H]5C[C@@]4([H])[C@]3([H])CC[C@@]2([H])C[C@@H](O[C@H]2[C@H](O[C@H]3[C@H](O)[C@@H](O)[C@@H](O)[C@@H](CO)O3)[C@@H](O[C@H]3[C@H](O)[C@H](O)[C@@H](O)[C@H](C)O3)[C@H](O)[C@@H](CO)O2)C1)CC[C@@H](C)CO6)C</t>
  </si>
  <si>
    <t>GVSGITAPQDRRJB-QOAJGUSZSA-N</t>
  </si>
  <si>
    <t>C45H74O17</t>
  </si>
  <si>
    <t>5.10_417.2388m/z</t>
  </si>
  <si>
    <t>21-Desacetyl Deflazacort</t>
  </si>
  <si>
    <t>HMDB0245604</t>
  </si>
  <si>
    <t>CC1=NC2(C(CC3C4CCC5=CC(=O)C=CC5(C)C4C(O)CC23C)O1)C(=O)CO</t>
  </si>
  <si>
    <t>KENSGCYKTRNIST-UHFFFAOYSA-N</t>
  </si>
  <si>
    <t>C23H29NO5</t>
  </si>
  <si>
    <t>4.78_1049.5317m/z</t>
  </si>
  <si>
    <t>Soyasaponin Bg</t>
  </si>
  <si>
    <t>HMDB0038721</t>
  </si>
  <si>
    <t>143519-54-4</t>
  </si>
  <si>
    <t>CC1OC(OC2C(O)C(O)C(CO)OC2OC2C(O)C(O)C(OC2OC2CCC3(C)C(CCC4(C)C3CC=C3C5CC(C)(C)CC(OC6CC(=O)C(O)=C(C)O6)C5(C)CCC43C)C2(C)CO)C(O)=O)C(O)C(O)C1O</t>
  </si>
  <si>
    <t>ONAAMCDHQSWPDU-UHFFFAOYSA-N</t>
  </si>
  <si>
    <t>C54H84O21</t>
  </si>
  <si>
    <t>0.77_174.0872m/z</t>
  </si>
  <si>
    <t>4-Hydroxycitrulline</t>
  </si>
  <si>
    <t>HMDB0029384</t>
  </si>
  <si>
    <t>3618-90-4</t>
  </si>
  <si>
    <t>NC(CC(O)CNC(O)=N)C(O)=O</t>
  </si>
  <si>
    <t>WSFLFFUIEVIDJY-UHFFFAOYSA-N</t>
  </si>
  <si>
    <t>C6H13N3O4</t>
  </si>
  <si>
    <t>4.19_377.0817m/z</t>
  </si>
  <si>
    <t>Carbenicillin</t>
  </si>
  <si>
    <t>HMDB0014717</t>
  </si>
  <si>
    <t>C06869</t>
  </si>
  <si>
    <t>4697-36-3</t>
  </si>
  <si>
    <t>[H][C@]12SC(C)(C)[C@@H](N1C(=O)[C@H]2NC(=O)C(C(O)=O)C1=CC=CC=C1)C(O)=O</t>
  </si>
  <si>
    <t>FPPNZSSZRUTDAP-UWFZAAFLSA-N</t>
  </si>
  <si>
    <t>C17H18N2O6S</t>
  </si>
  <si>
    <t>1.79_743.1030m/z</t>
  </si>
  <si>
    <t>Vital New Red</t>
  </si>
  <si>
    <t>HMDB0259844</t>
  </si>
  <si>
    <t>CC1=C(C=CC(=C1)C1=CC(C)=C(C=C1)N=NC1=C2C=CC(=CC2=CC(=C1N)S(O)(=O)=O)S(O)(=O)=O)N=NC1=C(N)C=CC2=C1C=CC(=C2)S(O)(=O)=O</t>
  </si>
  <si>
    <t>OFGVQLJUXSRVEG-UHFFFAOYSA-N</t>
  </si>
  <si>
    <t>Biphenyls and derivatives</t>
  </si>
  <si>
    <t>C34H28N6O9S3</t>
  </si>
  <si>
    <t>7.83_612.2496m/z</t>
  </si>
  <si>
    <t>Zizybeoside Ii</t>
  </si>
  <si>
    <t>HMDB0034955</t>
  </si>
  <si>
    <t>C17565</t>
  </si>
  <si>
    <t>81417-79-0</t>
  </si>
  <si>
    <t>OCC1OC(OC2C(O)C(CO)OC(OCC3=CC=CC=C3)C2OC2OC(CO)C(O)C(O)C2O)C(O)C(O)C1O</t>
  </si>
  <si>
    <t>BEDWWZCYHCGAKV-UHFFFAOYSA-N</t>
  </si>
  <si>
    <t>C25H38O16</t>
  </si>
  <si>
    <t>4.44_471.2230m/z</t>
  </si>
  <si>
    <t>Cichorioside N</t>
  </si>
  <si>
    <t>HMDB0302058</t>
  </si>
  <si>
    <t>[H][C@]12CC(=O)[C@@H](C)[C@]1([H])[C@@H](O)C[C@@](C)(C=C)[C@@H]2\C(C)=C\O[C@@H]1O[C@H](CO)[C@@H](O)[C@H](O)[C@H]1O</t>
  </si>
  <si>
    <t>PBKSUDBCJRZUBN-SNLBVQBNSA-N</t>
  </si>
  <si>
    <t>C22H34O8</t>
  </si>
  <si>
    <t>4.79_592.2128n</t>
  </si>
  <si>
    <t>Osmanthuside B</t>
  </si>
  <si>
    <t>HMDB0038749</t>
  </si>
  <si>
    <t>94492-23-6</t>
  </si>
  <si>
    <t>CC1OC(OC2C(O)C(OCCC3=CC=C(O)C=C3)OC(CO)C2OC(=O)\C=C\C2=CC=C(O)C=C2)C(O)C(O)C1O</t>
  </si>
  <si>
    <t>PRTREKIVGSNQRM-IZZDOVSWSA-N</t>
  </si>
  <si>
    <t>C29H36O13</t>
  </si>
  <si>
    <t>4.74_315.1728n</t>
  </si>
  <si>
    <t>Dihydroethidium</t>
  </si>
  <si>
    <t>HMDB0251312</t>
  </si>
  <si>
    <t>CCN1C(C2=CC=CC=C2)C2=C(C=CC(N)=C2)C2=C1C=C(N)C=C2</t>
  </si>
  <si>
    <t>XYJODUBPWNZLML-UHFFFAOYSA-N</t>
  </si>
  <si>
    <t>Phenylquinolines</t>
  </si>
  <si>
    <t>C21H21N3</t>
  </si>
  <si>
    <t>4.12_370.1260n</t>
  </si>
  <si>
    <t>4-Hydroxy-5-(Phenyl)-Valeric Acid-O-Glucuronide</t>
  </si>
  <si>
    <t>HMDB0059980</t>
  </si>
  <si>
    <t>OC(CCC(=O)OC1O[C@H]([C@H](O)[C@@H](O)[C@@H]1O)C(O)=O)CC1=CC=CC=C1</t>
  </si>
  <si>
    <t>IMTGYVWDOAJQQP-UFZVYEDBSA-N</t>
  </si>
  <si>
    <t>C17H22O9</t>
  </si>
  <si>
    <t>3.91_309.0965m/z</t>
  </si>
  <si>
    <t>4r,5r,6s-Trihydroxy-2-Hydroxymethyl-2-Cyclohexen-1-One 6-(2-Hydroxy-6-Methylbenzoate)</t>
  </si>
  <si>
    <t>HMDB0040692</t>
  </si>
  <si>
    <t>146475-71-0</t>
  </si>
  <si>
    <t>CC1=C(C(=O)OC2C(O)C(O)C=C(CO)C2=O)C(O)=CC=C1</t>
  </si>
  <si>
    <t>ZJIDZZXKQOJXMR-UHFFFAOYSA-N</t>
  </si>
  <si>
    <t>C15H16O7</t>
  </si>
  <si>
    <t>3.71_741.1862m/z</t>
  </si>
  <si>
    <t>Isomollupentin 7-O-Glucoside-2''-O-Xyloside</t>
  </si>
  <si>
    <t>LMPK12110294</t>
  </si>
  <si>
    <t>C1(O[C@H]2[C@H](O)[C@@H](O)[C@H](O)[C@@H](CO)O2)=CC2OC(C3C=CC(O)=CC=3)=CC(=O)C=2C(O)=C1[C@H]1[C@@H]([C@@H](O)[C@@H](O)CO1)O[C@H]1[C@H](O)[C@@H](O)[C@H](O)CO1</t>
  </si>
  <si>
    <t>KRNULZZOBAWHRO-ASRMMKQASA-N</t>
  </si>
  <si>
    <t>C31H36O18</t>
  </si>
  <si>
    <t>1.09_400.9445m/z</t>
  </si>
  <si>
    <t>Inositol 1,3,4-Trisphosphate</t>
  </si>
  <si>
    <t>HMDB0001143</t>
  </si>
  <si>
    <t>C01243</t>
  </si>
  <si>
    <t>ko00562,ko04070</t>
  </si>
  <si>
    <t>Inositol phosphate metabolism|Phosphatidylinositol signaling system</t>
  </si>
  <si>
    <t>93133-76-7</t>
  </si>
  <si>
    <t>O[C@@H]1[C@@H](O)[C@H](OP(O)(O)=O)[C@@H](OP(O)(O)=O)[C@@H](O)[C@H]1OP(O)(O)=O</t>
  </si>
  <si>
    <t>MMWCIQZXVOZEGG-MLQGYMEPSA-N</t>
  </si>
  <si>
    <t>C6H15O15P3</t>
  </si>
  <si>
    <t>5.79_761.3214m/z</t>
  </si>
  <si>
    <t>(R)-Pantothenic Acid 4'-O-B-D-Glucoside</t>
  </si>
  <si>
    <t>HMDB0033965</t>
  </si>
  <si>
    <t>29493-59-2</t>
  </si>
  <si>
    <t>CC(C)(COC1OC(CO)C(O)C(O)C1O)C(O)C(=O)NCCC(O)=O</t>
  </si>
  <si>
    <t>GMURXYJSTRMISD-UHFFFAOYSA-N</t>
  </si>
  <si>
    <t>C15H27NO10</t>
  </si>
  <si>
    <t>4.47_691.2815m/z</t>
  </si>
  <si>
    <t>Lepidine B</t>
  </si>
  <si>
    <t>HMDB0032715</t>
  </si>
  <si>
    <t>OC1=CC=CC(CC2=NC=CN2)=C1OC1=CC=CC(CC2=NC=CN2)=C1</t>
  </si>
  <si>
    <t>RQNSAUQJLRAUMV-UHFFFAOYSA-N</t>
  </si>
  <si>
    <t>C20H18N4O2</t>
  </si>
  <si>
    <t>9.62_879.3625m/z</t>
  </si>
  <si>
    <t>1,6-Dihydroxy-3,7-Dimethoxy-2-(3-Methyl-2-Butenyl)-8-(3-Hydroxy-3-Methyl-1e-Butenyl)-Xanthone</t>
  </si>
  <si>
    <t>HMDB0039914</t>
  </si>
  <si>
    <t>COC1=CC2=C(C(O)=C1CC=C(C)C)C(=O)C1=C(\C=C\C(C)(C)O)C(OC)=C(O)C=C1O2</t>
  </si>
  <si>
    <t>QXRLQTRFEMAPRP-MDZDMXLPSA-N</t>
  </si>
  <si>
    <t>C25H28O7</t>
  </si>
  <si>
    <t>13.46_589.4822m/z</t>
  </si>
  <si>
    <t>Rollidecin D</t>
  </si>
  <si>
    <t>HMDB0031886</t>
  </si>
  <si>
    <t>200703-17-9</t>
  </si>
  <si>
    <t>CCCCCCCCCCCCC(O)C1CCC(O1)C1CCC(CCCCCCCCCC(O)CC2=CC(C)OC2=O)O1</t>
  </si>
  <si>
    <t>KEMYLKFITCBCHA-UHFFFAOYSA-N</t>
  </si>
  <si>
    <t>C37H66O6</t>
  </si>
  <si>
    <t>5.15_448.2671m/z</t>
  </si>
  <si>
    <t>(4e,6z)-Hexadeca-4,6-Dienedioylcarnitine</t>
  </si>
  <si>
    <t>HMDB0241488</t>
  </si>
  <si>
    <t>C[N+](C)(C)CC(CC([O-])=O)OC(=O)CCC=CC=CCCCCCCCCC(O)=O</t>
  </si>
  <si>
    <t>CADSMMGHUHQCLA-UHFFFAOYSA-N</t>
  </si>
  <si>
    <t>C23H39NO6</t>
  </si>
  <si>
    <t>10.51_680.3979n</t>
  </si>
  <si>
    <t>Gingerglycolipid C</t>
  </si>
  <si>
    <t>HMDB0041095</t>
  </si>
  <si>
    <t>35949-86-1</t>
  </si>
  <si>
    <t>CCCCCCCC\C=C/CCCCCCCC(=O)OCC(O)COC1OC(COC2OC(CO)C(O)C(O)C2O)C(O)C(O)C1O</t>
  </si>
  <si>
    <t>VROZOADUAPWACT-KTKRTIGZSA-N</t>
  </si>
  <si>
    <t>C33H60O14</t>
  </si>
  <si>
    <t>7.44_347.1847m/z</t>
  </si>
  <si>
    <t>Novaxenicin D</t>
  </si>
  <si>
    <t>LMPR01040143</t>
  </si>
  <si>
    <t>[C@@]1([H])(C2=C/C(=C\C(C)(O)C)/OC2=O)CC[C@@](O)(C)[C@@H]2O[C@@H]2CC(=C)[C@]1([H])CO</t>
  </si>
  <si>
    <t>QYSAEOBDCOBHDU-GVMFGWQHSA-N</t>
  </si>
  <si>
    <t>6.98_598.3372m/z</t>
  </si>
  <si>
    <t>Am-LPE(16:0/0:0)</t>
  </si>
  <si>
    <t>LMGP21050002</t>
  </si>
  <si>
    <t>[C@](COP(=O)(O)OCCNC[C@@]1(O)OC[C@@H](O)[C@@H](O)[C@@H]1O)([H])(O)COC(CCCCCCCCCCCCCCC)=O</t>
  </si>
  <si>
    <t>ICZRLYKHIUBMNK-ZNZBEBECSA-N</t>
  </si>
  <si>
    <t>C27H54NO12P</t>
  </si>
  <si>
    <t>5.01_801.2797m/z</t>
  </si>
  <si>
    <t>Sialyl-Lewisx</t>
  </si>
  <si>
    <t>HMDB0258283</t>
  </si>
  <si>
    <t>98603-84-0</t>
  </si>
  <si>
    <t>CC1OC(OC(C(NC(C)=O)C=O)C(OC2OC(CO)C(O)C(OC3(CC(O)C(NC(C)=O)C(O3)C(O)C(O)CO)C(O)=O)C2O)C(O)CO)C(O)C(O)C1O</t>
  </si>
  <si>
    <t>LAQPKDLYOBZWBT-UHFFFAOYSA-N</t>
  </si>
  <si>
    <t>C31H52N2O23</t>
  </si>
  <si>
    <t>5.85_573.2309m/z</t>
  </si>
  <si>
    <t>7,8-Dihydrovomifoliol 9-[Rhamnosyl-(1-&gt;6)-Glucoside]</t>
  </si>
  <si>
    <t>HMDB0029770</t>
  </si>
  <si>
    <t>177261-69-7</t>
  </si>
  <si>
    <t>CC(CCC1(O)C(C)=CC(=O)CC1(C)C)OC1OC(COC2OC(C)C(O)C(O)C2O)C(O)C(O)C1O</t>
  </si>
  <si>
    <t>JDTFCGGOAXAFRS-UHFFFAOYSA-N</t>
  </si>
  <si>
    <t>C25H42O12</t>
  </si>
  <si>
    <t>5.45_759.3078m/z</t>
  </si>
  <si>
    <t>N-(1-Deoxy-1-Fructosyl)Tryptophan</t>
  </si>
  <si>
    <t>HMDB0037847</t>
  </si>
  <si>
    <t>25020-15-9</t>
  </si>
  <si>
    <t>OC[C@H]1OC(O)(CN[C@@H](CCC2=CNC3=C2C=CC=C3)C(O)=O)[C@@H](O)[C@@H]1O</t>
  </si>
  <si>
    <t>WACCHYXNEMWDFW-AXJGUVMDSA-N</t>
  </si>
  <si>
    <t>Tryptamines and derivatives</t>
  </si>
  <si>
    <t>C18H24N2O7</t>
  </si>
  <si>
    <t>10.79_445.2582m/z</t>
  </si>
  <si>
    <t>Retinyl Beta-Glucuronide</t>
  </si>
  <si>
    <t>HMDB0010340</t>
  </si>
  <si>
    <t>O[C@@H]1[C@@H](O)[C@H](OC\C=C(\C)/C=C/C=C(/C)\C=C\C2=C(C)CCCC2(C)C)O[C@H](C(O)=O)[C@H]1O</t>
  </si>
  <si>
    <t>IYHVRAMISWFIRU-GMBUFXMQSA-N</t>
  </si>
  <si>
    <t>C26H38O7</t>
  </si>
  <si>
    <t>6.63_655.3694m/z</t>
  </si>
  <si>
    <t>Linkckoside H</t>
  </si>
  <si>
    <t>LMST05050041</t>
  </si>
  <si>
    <t>C1[C@]2(C)[C@@]3([H])CC[C@]4(C)[C@@]([H])([C@]([H])(C)CCC(=C)[C@@H](CO)C)[C@@H](O)[C@H](O)[C@@]4([H])[C@]3(O)C[C@@H](O)C2=C[C@@H](O[C@@H]2OC[C@@H](O)[C@H](O)[C@H]2O)C1</t>
  </si>
  <si>
    <t>LZVGJJXRXSGPRB-XHVWNEPDSA-N</t>
  </si>
  <si>
    <t>C33H54O10</t>
  </si>
  <si>
    <t>5.84_671.3639m/z</t>
  </si>
  <si>
    <t>Ecdysone 25-O-D-Glucopyranoside</t>
  </si>
  <si>
    <t>LMST01010192</t>
  </si>
  <si>
    <t>C12=CC([C@]3([H])C[C@@H](O)[C@@H](O)C[C@]3(C)[C@@]1([H])CC[C@@]1(C)[C@@]2(O)CC[C@@]1([C@H](C)[C@H](O)CCC(O[C@H]1[C@H](O)[C@@H](O)[C@H](O)[C@@H](CO)O1)(C)C)[H])=O</t>
  </si>
  <si>
    <t>YJBCWBWOULRKGL-XOOKYYMJSA-N</t>
  </si>
  <si>
    <t>3.54_376.1367n</t>
  </si>
  <si>
    <t>8-Epiloganic Acid</t>
  </si>
  <si>
    <t>HMDB0247433</t>
  </si>
  <si>
    <t>CC1C(O)CC2C1C(OC1OC(CO)C(O)C(O)C1O)OC=C2C(O)=O</t>
  </si>
  <si>
    <t>JNNGEAWILNVFFD-UHFFFAOYSA-N</t>
  </si>
  <si>
    <t>6.71_246.2423m/z</t>
  </si>
  <si>
    <t>Myristic Acid</t>
  </si>
  <si>
    <t>HMDB0000806</t>
  </si>
  <si>
    <t>LMFA01010014</t>
  </si>
  <si>
    <t>C06424</t>
  </si>
  <si>
    <t>ko00061</t>
  </si>
  <si>
    <t>Fatty acid biosynthesis</t>
  </si>
  <si>
    <t>544-63-8</t>
  </si>
  <si>
    <t>C(CCCC)CCCCCCCCC(=O)O</t>
  </si>
  <si>
    <t>TUNFSRHWOTWDNC-UHFFFAOYSA-N</t>
  </si>
  <si>
    <t>C14H28O2</t>
  </si>
  <si>
    <t>13.30_309.2780m/z</t>
  </si>
  <si>
    <t>19-Oxo-Eicosanoic Acid</t>
  </si>
  <si>
    <t>LMFA01060132</t>
  </si>
  <si>
    <t>C(CCCCCCCCCCCCCCCCCC(=O)C)(=O)O</t>
  </si>
  <si>
    <t>HFBZWKDJHBQKOO-UHFFFAOYSA-N</t>
  </si>
  <si>
    <t>C20H38O3</t>
  </si>
  <si>
    <t>11.10_617.2562m/z</t>
  </si>
  <si>
    <t>Aceroside Viii</t>
  </si>
  <si>
    <t>C1C(C(C(O1)OCC2C(C(C(C(O2)OC(CCCCC3=CC=C(C=C3)O)CCC4=CC=C(C=C4)O)O)O)O)O)(CO)O</t>
  </si>
  <si>
    <t>JLMGCBFIPZDHLZ-GYOMMSMMSA-N</t>
  </si>
  <si>
    <t>5.47_754.4251m/z</t>
  </si>
  <si>
    <t>PE(14:1(9Z)/5-iso PGF2VI)</t>
  </si>
  <si>
    <t>HMDB0260718</t>
  </si>
  <si>
    <t>CCCCC[C@@H](O)\C=C\[C@H]1[C@H](O)C[C@H](O)[C@H]1C\C=C/CC(=O)O[C@H](COC(=O)CCCCCCC\C=C/CCCC)COP(O)(=O)OCCN</t>
  </si>
  <si>
    <t>DQLZTWAJXBSEQC-OEYFKFIKSA-N</t>
  </si>
  <si>
    <t>C37H66NO11P</t>
  </si>
  <si>
    <t>5.39_455.2283m/z</t>
  </si>
  <si>
    <t>Sarcoehrendin G</t>
  </si>
  <si>
    <t>LMFA03010229</t>
  </si>
  <si>
    <t>[C@H]1(/C=C/[C@@H](O)CCC(=O)CC)[C@H](OC(=O)C)C[C@H](O)[C@@H]1C/C=C\CCCC(=O)O</t>
  </si>
  <si>
    <t>MBXXYWAZPLLEGI-UCMMBFTCSA-N</t>
  </si>
  <si>
    <t>C22H34O7</t>
  </si>
  <si>
    <t>7.57_634.3343m/z</t>
  </si>
  <si>
    <t>PC(2:0/TXB2)</t>
  </si>
  <si>
    <t>HMDB0288840</t>
  </si>
  <si>
    <t>CCCCC[C@H](O)\C=C\[C@H]1OC(O)C[C@H](O)[C@@H]1C\C=C/CCCC(=O)O[C@H](COC(C)=O)COP([O-])(=O)OCC[N+](C)(C)C</t>
  </si>
  <si>
    <t>JQICXWXVMVNIAL-KGICPDGMSA-N</t>
  </si>
  <si>
    <t>4.62_346.1627n</t>
  </si>
  <si>
    <t>Nepetaside</t>
  </si>
  <si>
    <t>HMDB0038149</t>
  </si>
  <si>
    <t>114076-56-1</t>
  </si>
  <si>
    <t>CC1C(CC2C1C(=O)OCC2C)OC1OC(CO)C(O)C(O)C1O</t>
  </si>
  <si>
    <t>CUIDBUWFCFYEPL-UHFFFAOYSA-N</t>
  </si>
  <si>
    <t>C16H26O8</t>
  </si>
  <si>
    <t>2.64_356.1107n</t>
  </si>
  <si>
    <t>1-O-Feruloylglucose</t>
  </si>
  <si>
    <t>HMDB0036938</t>
  </si>
  <si>
    <t>7196-71-6</t>
  </si>
  <si>
    <t>COC1=C(O)C=CC(\C=C\C(=O)OC2OC(CO)C(O)C(O)C2O)=C1</t>
  </si>
  <si>
    <t>JWRQVQWBNRGGPK-HWKANZROSA-N</t>
  </si>
  <si>
    <t>5.97_673.2123m/z</t>
  </si>
  <si>
    <t>Anhydroicaritin 3,7-Diglucoside</t>
  </si>
  <si>
    <t>LMPK12112008</t>
  </si>
  <si>
    <t>C1(O[C@H]2[C@H](O)[C@@H](O)[C@H](O)[C@@H](CO)O2)=C(C/C=C(/C)\C)C2OC(C3C=CC(OC)=CC=3)=C(O[C@H]3[C@H](O)[C@@H](O)[C@H](O)[C@@H](CO)O3)C(=O)C=2C(O)=C1</t>
  </si>
  <si>
    <t>OKSDRSVOPASNHO-KSEOACTISA-N</t>
  </si>
  <si>
    <t>C33H40O16</t>
  </si>
  <si>
    <t>9.18_768.3735m/z</t>
  </si>
  <si>
    <t>Eribulin</t>
  </si>
  <si>
    <t>HMDB0251920</t>
  </si>
  <si>
    <t>COC1C(CC(O)CN)OC2CC3OC(CC(C)C3=C)CCC3OC(CC3=C)CCC34CC5OC6C(OC7CCC(CC(=O)CC12)OC7C6O3)C5O4</t>
  </si>
  <si>
    <t>UFNVPOGXISZXJD-UHFFFAOYSA-N</t>
  </si>
  <si>
    <t>C40H59NO11</t>
  </si>
  <si>
    <t>5.52_776.4375m/z</t>
  </si>
  <si>
    <t>PS(14:1(9Z)/5-iso PGF2VI)</t>
  </si>
  <si>
    <t>HMDB0280946</t>
  </si>
  <si>
    <t>CCCCC[C@@H](O)\C=C\[C@H]1[C@H](O)C[C@H](O)[C@H]1C\C=C/CC(=O)O[C@H](COC(=O)CCCCCCC\C=C/CCCC)COP(O)(=O)OC[C@H](N)C(O)=O</t>
  </si>
  <si>
    <t>FNUBXCMSORFPJD-NXVDVCDYSA-N</t>
  </si>
  <si>
    <t>C38H66NO13P</t>
  </si>
  <si>
    <t>4.51_603.1701m/z</t>
  </si>
  <si>
    <t>7,5',4'-Trimethoxyflavone 7-Xylosyl-(1-&gt;6)-Glucoside</t>
  </si>
  <si>
    <t>LMPK12110969</t>
  </si>
  <si>
    <t>C1C(OC)=C(OC)C=CC=1C1=CC(=O)C2C(OC)=CC(O[C@H]3[C@H](O)[C@@H](O)[C@H](O)[C@@H](CO[C@H]4[C@H](O)[C@@H](O)[C@H](O)CO4)O3)=CC=2O1</t>
  </si>
  <si>
    <t>SIWCLUVDCVTJDC-YUYUGGDUSA-N</t>
  </si>
  <si>
    <t>C29H34O15</t>
  </si>
  <si>
    <t>5.73_431.1920m/z</t>
  </si>
  <si>
    <t>Corchoionol C 9-Glucoside</t>
  </si>
  <si>
    <t>HMDB0029772</t>
  </si>
  <si>
    <t>CC(OC1OC(CO)C(O)C(O)C1O)\C=C\C1(O)C(C)=CC(=O)CC1(C)C</t>
  </si>
  <si>
    <t>SWYRVCGNMNAFEK-AATRIKPKSA-N</t>
  </si>
  <si>
    <t>C19H30O8</t>
  </si>
  <si>
    <t>14.77_766.5453m/z</t>
  </si>
  <si>
    <t>20-Deoxynarasin</t>
  </si>
  <si>
    <t>HMDB0030449</t>
  </si>
  <si>
    <t>70022-35-4</t>
  </si>
  <si>
    <t>CCC(C1OC(C(C)C(O)C(C)C(=O)C(CC)C2OC3(OC4(CCC(C)(O4)C4CCC(O)(CC)C(C)O4)CC=C3)C(C)CC2C)C(C)CC1C)C(O)=O</t>
  </si>
  <si>
    <t>DIUFDFNALWNSNW-UHFFFAOYSA-N</t>
  </si>
  <si>
    <t>C43H72O10</t>
  </si>
  <si>
    <t>15.42_615.4981m/z</t>
  </si>
  <si>
    <t>DG(14:0/22:5(4Z,7Z,10Z,13Z,16Z)/0:0)</t>
  </si>
  <si>
    <t>HMDB0007032</t>
  </si>
  <si>
    <t>[H][C@](CO)(COC(=O)CCCCCCCCCCCCC)OC(=O)CC\C=C/C\C=C/C\C=C/C\C=C/C\C=C/CCCCC</t>
  </si>
  <si>
    <t>ILUYFTWKNLJHOS-BJTCJBOMSA-N</t>
  </si>
  <si>
    <t>C39H66O5</t>
  </si>
  <si>
    <t>5.23_771.3083m/z</t>
  </si>
  <si>
    <t>Methyl Nomilinate 17-Glucoside</t>
  </si>
  <si>
    <t>HMDB0039887</t>
  </si>
  <si>
    <t>COC(=O)CC(OC(C)=O)C1(C)C(CC(=O)C2(C)C1CCC(C)(C(OC1OC(CO)C(O)C(O)C1O)C1=COC=C1)C21OC1C(O)=O)C(C)(C)O</t>
  </si>
  <si>
    <t>UWQVYSUHQUNHFN-UHFFFAOYSA-N</t>
  </si>
  <si>
    <t>C35H50O16</t>
  </si>
  <si>
    <t>3.54_476.1527n</t>
  </si>
  <si>
    <t>Primeverin</t>
  </si>
  <si>
    <t>COC1=CC(=C(C=C1)C(=O)OC)OC2C(C(C(C(O2)COC3C(C(C(CO3)O)O)O)O)O)O</t>
  </si>
  <si>
    <t>DZRVGBRAMLSZDQ-HSMQXHTESA-N</t>
  </si>
  <si>
    <t>C20H28O13</t>
  </si>
  <si>
    <t>10.68_539.3189m/z</t>
  </si>
  <si>
    <t>27-Nor-Campestan-3beta,4beta,5alpha,6alpha,7beta,8beta,14alpha,15alpha,24-Nonol</t>
  </si>
  <si>
    <t>LMST01031078</t>
  </si>
  <si>
    <t>C1[C@]2(C)[C@@]3([H])CC[C@]4(C)[C@@]([H])([C@]([H])(C)CC[C@@](O)(C)CC)C[C@H](O)[C@@]4(O)[C@]3(O)[C@@H](O)[C@H](O)[C@@]2(O)[C@@H](O)[C@@H](O)C1</t>
  </si>
  <si>
    <t>GWRUYSBVTMSIKL-OIOANXOXSA-N</t>
  </si>
  <si>
    <t>11.23_1041.6528m/z</t>
  </si>
  <si>
    <t>PIM1(19:0/18:1(9Z))</t>
  </si>
  <si>
    <t>LMGP15010037</t>
  </si>
  <si>
    <t>[C@](COP(O[C@H]1[C@@H](O)[C@@H](O)[C@H](O)[C@@H](O)[C@@H]1O[C@@H]1[C@@H](O)[C@@H](O)[C@H](O)[C@@H](CO)O1)(=O)O)([H])(OC(CCCCCCC/C=C\CCCCCCCC)=O)COC(CCCCCCCCCCCCCCCCCC)=O</t>
  </si>
  <si>
    <t>WQQYVLNYMRVISY-STGTUBPHSA-N</t>
  </si>
  <si>
    <t>C52H97O18P</t>
  </si>
  <si>
    <t>4.15_346.0775m/z</t>
  </si>
  <si>
    <t>2-Nitrophenyl A-D-Galactopyranoside</t>
  </si>
  <si>
    <t>HMDB0244855</t>
  </si>
  <si>
    <t>OCC1OC(OC2=CC=CC=C2[N+]([O-])=O)C(O)C(O)C1O</t>
  </si>
  <si>
    <t>KUWPCJHYPSUOFW-UHFFFAOYSA-N</t>
  </si>
  <si>
    <t>C12H15NO8</t>
  </si>
  <si>
    <t>6.39_483.2192m/z</t>
  </si>
  <si>
    <t>Sulprostone</t>
  </si>
  <si>
    <t>60325-46-4</t>
  </si>
  <si>
    <t>CS(=O)(=O)NC(=O)CCCC=CCC1C(C(CC1=O)O)C=CC(COC2=CC=CC=C2)O</t>
  </si>
  <si>
    <t>UQZVCDCIMBLVNR-TWYODKAFSA-N</t>
  </si>
  <si>
    <t>C23H31NO7S</t>
  </si>
  <si>
    <t>9.64_437.2797n</t>
  </si>
  <si>
    <t>Neoline</t>
  </si>
  <si>
    <t>HMDB0242684</t>
  </si>
  <si>
    <t>CCN1CC2(COC)CCC(O)C34C5CC6C(O)C5C(O)(CC6OC)C(C(OC)C23)C14</t>
  </si>
  <si>
    <t>XRARAKHBJHWUHW-UHFFFAOYSA-N</t>
  </si>
  <si>
    <t>C24H39NO6</t>
  </si>
  <si>
    <t>5.37_593.1991m/z</t>
  </si>
  <si>
    <t>Ssioriside</t>
  </si>
  <si>
    <t>HMDB0038934</t>
  </si>
  <si>
    <t>126882-53-9</t>
  </si>
  <si>
    <t>COC1=CC(CC(CO)C(COC2OCC(O)C(O)C2O)CC2=CC(OC)=C(O)C(OC)=C2)=CC(OC)=C1O</t>
  </si>
  <si>
    <t>UTPBCUCEDIRSFI-UHFFFAOYSA-N</t>
  </si>
  <si>
    <t>C27H38O12</t>
  </si>
  <si>
    <t>1.74_195.0896n</t>
  </si>
  <si>
    <t>O-Benzyl-L-Serine</t>
  </si>
  <si>
    <t>4726-96-9</t>
  </si>
  <si>
    <t>C1=CC=C(C=C1)COCC(C(=O)O)N</t>
  </si>
  <si>
    <t>IDGQXGPQOGUGIX-VIFPVBQESA-N</t>
  </si>
  <si>
    <t>C10H13NO3</t>
  </si>
  <si>
    <t>11.46_767.4216m/z</t>
  </si>
  <si>
    <t>Parisvanioside D</t>
  </si>
  <si>
    <t>LMST01080105</t>
  </si>
  <si>
    <t>C1[C@H](O[C@H]2[C@H](O[C@H]3[C@H](O)[C@H](O)[C@@H](O)[C@H](C)O3)[C@@H](O)[C@H](O)[C@@H](CO)O2)C[C@@]2(O)[C@@](C)([C@@]3([H])CC[C@]4(C)[C@H]5[C@@H]([C@]6(O[C@H]5C[C@@]4([H])C3=C[C@H]2OC)CC[C@@H](C)CO6)C)C1</t>
  </si>
  <si>
    <t>XBOYTQOODRPCJC-LKNFVYQKSA-N</t>
  </si>
  <si>
    <t>C40H64O14</t>
  </si>
  <si>
    <t>5.81_896.5167n</t>
  </si>
  <si>
    <t>PGP(18:0/20:3(6,8,11)-OH(5))</t>
  </si>
  <si>
    <t>HMDB0272598</t>
  </si>
  <si>
    <t>[H][C@](O)(COP(O)(O)=O)COP(O)(=O)OC[C@@]([H])(COC(=O)CCCCCCCCCCCCCCCCC)OC(=O)CCCC(O)\C=C\C=C\C\C=C\CCCCCCCC</t>
  </si>
  <si>
    <t>OZAGYUUUOQCWFD-MKRSAKQPSA-N</t>
  </si>
  <si>
    <t>C44H82O14P2</t>
  </si>
  <si>
    <t>9.08_1072.5612m/z</t>
  </si>
  <si>
    <t>CDP-DG(i-20:0/18:1(12Z)-O(9S,10R))</t>
  </si>
  <si>
    <t>HMDB0294146</t>
  </si>
  <si>
    <t>[H][C@@](COC(=O)CCCCCCCCCCCCCCCCC(C)C)(COP(O)(=O)OP(O)(=O)OC[C@H]1O[C@H]([C@H](O)[C@@H]1O)N1C=CC(N)=NC1=O)OC(=O)CCCCCCCC1OC1C\C=C/CCCCC</t>
  </si>
  <si>
    <t>GQIPLXNBUIZMFJ-NPSHHUCISA-N</t>
  </si>
  <si>
    <t>C50H89N3O16P2</t>
  </si>
  <si>
    <t>11.44_655.0712m/z</t>
  </si>
  <si>
    <t>6''-O-Galloylquercimeritrin</t>
  </si>
  <si>
    <t>HMDB0033593</t>
  </si>
  <si>
    <t>OC1C(O)C(COC(=O)C2=CC(O)=C(O)C(O)=C2)OC(OC2=CC(O)=C3C(OC(=C(O)C3=O)C3=CC(O)=C(O)C=C3)=C2)C1O</t>
  </si>
  <si>
    <t>USBMLXYFQKQZDJ-UHFFFAOYSA-N</t>
  </si>
  <si>
    <t>C28H24O16</t>
  </si>
  <si>
    <t>5.85_328.1671n</t>
  </si>
  <si>
    <t>4,4'-Dihydroxy-5,5'-Diisopropyl-2,2'-Dimethyl-3,6-Biphenyldione</t>
  </si>
  <si>
    <t>HMDB0040760</t>
  </si>
  <si>
    <t>120866-14-0</t>
  </si>
  <si>
    <t>CC(C)C1=C(O)C=C(C)C(=C1)C1=C(C)C(=O)C(O)=C(C(C)C)C1=O</t>
  </si>
  <si>
    <t>LCYBFRVRIDYNSS-UHFFFAOYSA-N</t>
  </si>
  <si>
    <t>Quinone and hydroquinone lipids</t>
  </si>
  <si>
    <t>C20H24O4</t>
  </si>
  <si>
    <t>9.15_327.1600m/z</t>
  </si>
  <si>
    <t>3-Oxo-6b-Angeloyloxy-7(11)-Eremophilen-12,8a-Olide</t>
  </si>
  <si>
    <t>HMDB0032896</t>
  </si>
  <si>
    <t>199675-14-4</t>
  </si>
  <si>
    <t>C\C=C(/C)C(=O)OC1C2=C(C)C(=O)OC2CC2CCC(=O)C(C)C12C</t>
  </si>
  <si>
    <t>XAFKFWYINJYQAJ-UXBLZVDNSA-N</t>
  </si>
  <si>
    <t>5.42_732.4116m/z</t>
  </si>
  <si>
    <t>Okoda-Ps</t>
  </si>
  <si>
    <t>LMGP20040033</t>
  </si>
  <si>
    <t>C(O)(=O)[C@@]([H])(N)COP(OC[C@]([H])(OC(CCCCCCCC(=O)/C=C/C=O)=O)COC(CCCCCCC/C=C\CCCCCCCC)=O)(=O)O</t>
  </si>
  <si>
    <t>GAHCNNRURRLORZ-FIXOGRQRSA-N</t>
  </si>
  <si>
    <t>C36H62NO12P</t>
  </si>
  <si>
    <t>14.55_766.5453m/z</t>
  </si>
  <si>
    <t>Termitomycesphin C</t>
  </si>
  <si>
    <t>LMSP05010099</t>
  </si>
  <si>
    <t>C([C@H](NC([C@H](O)CCCCCCCCCCCCCC)=O)[C@H](O)/C=C/C/C=C/C(O)(C)CCCCCCCCC)O[C@H]1[C@H](O)[C@@H](O)[C@H](O)[C@@H](CO)O1</t>
  </si>
  <si>
    <t>HHXPTAVGZWZRFI-PEZKSORNSA-N</t>
  </si>
  <si>
    <t>C41H77NO10</t>
  </si>
  <si>
    <t>9.77_229.1804m/z</t>
  </si>
  <si>
    <t>(+/-)-2,4,8-Trimethyl-7-Nonen-2-Ol</t>
  </si>
  <si>
    <t>HMDB0032543</t>
  </si>
  <si>
    <t>437770-28-0</t>
  </si>
  <si>
    <t>CC(CCC=C(C)C)CC(C)(C)O</t>
  </si>
  <si>
    <t>QRDZETOZNQTTCN-UHFFFAOYSA-N</t>
  </si>
  <si>
    <t>C12H24O</t>
  </si>
  <si>
    <t>10.24_293.2121m/z</t>
  </si>
  <si>
    <t>9s-Hotre</t>
  </si>
  <si>
    <t>LMFA02000024</t>
  </si>
  <si>
    <t>C16326</t>
  </si>
  <si>
    <t>ko00592</t>
  </si>
  <si>
    <t>alpha-Linolenic acid metabolism</t>
  </si>
  <si>
    <t>89886-42-0</t>
  </si>
  <si>
    <t>C(CCCCCCC[C@H](O)/C=C/C=C\C/C=C\CC)(=O)O</t>
  </si>
  <si>
    <t>RIGGEAZDTKMXSI-MEBVTJQTSA-N</t>
  </si>
  <si>
    <t>C18H30O3</t>
  </si>
  <si>
    <t>4.92_557.1799m/z</t>
  </si>
  <si>
    <t>10s,11r-Epoxy-Punaglandin 3</t>
  </si>
  <si>
    <t>LMFA03120039</t>
  </si>
  <si>
    <t>[C@@]1(O)(C/C=C\C/C=C\CC)[C@H]2O[C@@]2(Cl)C(=O)/C/1=C/[C@H](OC(=O)C)[C@@H](OC(C)=O)CCCC(=O)OC</t>
  </si>
  <si>
    <t>ZXSDFJZDMJBPKR-OHUDOUDKSA-N</t>
  </si>
  <si>
    <t>C25H33ClO9</t>
  </si>
  <si>
    <t>5.08_167.0339m/z</t>
  </si>
  <si>
    <t>2',4',6'-Trihydroxyacetophenone</t>
  </si>
  <si>
    <t>HMDB0029644</t>
  </si>
  <si>
    <t>480-66-0</t>
  </si>
  <si>
    <t>CC(=O)C1=C(O)C=C(O)C=C1O</t>
  </si>
  <si>
    <t>XLEYFDVVXLMULC-UHFFFAOYSA-N</t>
  </si>
  <si>
    <t>C8H8O4</t>
  </si>
  <si>
    <t>3.41_339.0662m/z</t>
  </si>
  <si>
    <t>5,7-Dihydroxyflavone 7-Benzoate</t>
  </si>
  <si>
    <t>LMPK12110191</t>
  </si>
  <si>
    <t>C1(OC(=O)C2C=CC=CC=2)=CC2OC(C3C=CC=CC=3)=CC(=O)C=2C(O)=C1</t>
  </si>
  <si>
    <t>JVKHRSMNVBDUPH-UHFFFAOYSA-N</t>
  </si>
  <si>
    <t>C22H14O5</t>
  </si>
  <si>
    <t>5.15_739.2560m/z</t>
  </si>
  <si>
    <t>Bn-Ncc-1</t>
  </si>
  <si>
    <t>HMDB0038229</t>
  </si>
  <si>
    <t>152571-56-7</t>
  </si>
  <si>
    <t>CC1=C(C=C)C(=O)NC1CC1=C(C)C(CCC(O)=O)=C(N1)C1C(C(O)=O)C(=O)C2=C1NC(CC1=C(CCOC(=O)CC(O)=O)C(C)=C(N1)C=O)=C2C</t>
  </si>
  <si>
    <t>GVQYIMKPSDOTAH-UHFFFAOYSA-N</t>
  </si>
  <si>
    <t>C37H40N4O11</t>
  </si>
  <si>
    <t>4.99_585.3118m/z</t>
  </si>
  <si>
    <t>Petromylidene A</t>
  </si>
  <si>
    <t>LMST04010450</t>
  </si>
  <si>
    <t>C1/C(=C\CC(C)C)/C(=O)C[C@]2([H])C[C@@H](O)[C@@]3([H])[C@]4([H])CC[C@H]([C@H](C)CCCOS(O)(=O)=O)[C@@]4(C)[C@@H](O)C[C@]3([H])[C@@]12C</t>
  </si>
  <si>
    <t>BBYALPAQYMTBOW-YWOLIFCLSA-N</t>
  </si>
  <si>
    <t>C29H48O7S</t>
  </si>
  <si>
    <t>0.80_348.0301n</t>
  </si>
  <si>
    <t>Dehydro-L-(+)-Ascorbic Acid Dimer</t>
  </si>
  <si>
    <t>72691-25-9</t>
  </si>
  <si>
    <t>C1C(C2C3(O1)C(C(=O)O2)(OC4(C(=O)OC5C4(O3)OCC5O)O)O)O</t>
  </si>
  <si>
    <t>MUYNUOXIHSNESP-UHFFFAOYSA-N</t>
  </si>
  <si>
    <t>Furofurans</t>
  </si>
  <si>
    <t>Isosorbides</t>
  </si>
  <si>
    <t>C12H12O12</t>
  </si>
  <si>
    <t>4.93_448.1003n</t>
  </si>
  <si>
    <t>Luteolin 4'-Glucoside</t>
  </si>
  <si>
    <t>HMDB0038468</t>
  </si>
  <si>
    <t>6920-38-3</t>
  </si>
  <si>
    <t>OCC1OC(OC2=C(O)C=C(C=C2)C2=CC(=O)C3=C(O)C=C(O)C=C3O2)C(O)C(O)C1O</t>
  </si>
  <si>
    <t>UHNXUSWGOJMEFO-UHFFFAOYSA-N</t>
  </si>
  <si>
    <t>10.53_653.2900m/z</t>
  </si>
  <si>
    <t>1,2-(8r,9r-Epoxy-Octadec-13z,15z-Dien-4,6-Diynoyl)-Sn-Glycerol</t>
  </si>
  <si>
    <t>LMGL03016886</t>
  </si>
  <si>
    <t>C(O)[C@](OC(=O)CCC#CC#C[C@@H]1[C@H](O1)CCC/C=C\C=C/CC)([H])OC(CCC#CC#C[C@@H]1[C@@H](CCC/C=C\C=C/CC)O1)=O</t>
  </si>
  <si>
    <t>RPASRKKBGSSVMK-SUERBGQKSA-N</t>
  </si>
  <si>
    <t>C38H46O7</t>
  </si>
  <si>
    <t>4.65_909.4857m/z</t>
  </si>
  <si>
    <t>PGP(18:1(11Z)/18:1(12Z)-2OH(9,10))</t>
  </si>
  <si>
    <t>HMDB0272658</t>
  </si>
  <si>
    <t>[H][C@](O)(COP(O)(O)=O)COP(O)(=O)OC[C@@]([H])(COC(=O)CCCCCCCCC\C=C/CCCCCC)OC(=O)CCCCCCC[C@H](O)[C@@H](O)C\C=C/CCCCC</t>
  </si>
  <si>
    <t>LEKKVGFOGZWYCI-ITOGZDHKSA-N</t>
  </si>
  <si>
    <t>C42H80O15P2</t>
  </si>
  <si>
    <t>5.08_431.1213n</t>
  </si>
  <si>
    <t>Ribosylzeatin Phosphate</t>
  </si>
  <si>
    <t>HMDB0034811</t>
  </si>
  <si>
    <t>25615-16-1</t>
  </si>
  <si>
    <t>C\C(CO)=C/CNC1=C2N=CN(C3OC(COP(O)(O)=O)C(O)C3O)C2=NC=N1</t>
  </si>
  <si>
    <t>IRILMCCKFANGJQ-KRXBUXKQSA-N</t>
  </si>
  <si>
    <t>Purine ribonucleotides</t>
  </si>
  <si>
    <t>C15H22N5O8P</t>
  </si>
  <si>
    <t>6.10_344.1620n</t>
  </si>
  <si>
    <t>Isoachifolidiene</t>
  </si>
  <si>
    <t>HMDB0038690</t>
  </si>
  <si>
    <t>C\C=C(/C)C(=O)OC1CC2C(OC(=O)C2=C)C2C(C)=CC=C2C1(C)O</t>
  </si>
  <si>
    <t>ITEVGBFEXWVGSM-UXBLZVDNSA-N</t>
  </si>
  <si>
    <t>5.52_522.3195m/z</t>
  </si>
  <si>
    <t>1-Nonadecanoyl-Glycero-3-Phosphoserine</t>
  </si>
  <si>
    <t>HMDB0243972</t>
  </si>
  <si>
    <t>CCCCCCCCCCCCCCCCCCC(=O)OCC(O)COP(O)(=O)OCC(N)C(O)=O</t>
  </si>
  <si>
    <t>QZTQWDNDCFZUCX-UHFFFAOYSA-N</t>
  </si>
  <si>
    <t>C25H50NO9P</t>
  </si>
  <si>
    <t>6.54_749.2654m/z</t>
  </si>
  <si>
    <t>Aldoxorubicin</t>
  </si>
  <si>
    <t>HMDB0248126</t>
  </si>
  <si>
    <t>COC1=CC=CC2=C1C(=O)C1=C(C(O)=C3CC(O)(CC(OC4CC(N)C(O)C(C)O4)C3=C1O)C(CO)=NNC(=O)CCCCCN1C(=O)C=CC1=O)C2=O</t>
  </si>
  <si>
    <t>OBMJQRLIQQTJLR-UHFFFAOYSA-N</t>
  </si>
  <si>
    <t>C37H42N4O13</t>
  </si>
  <si>
    <t>7.53_1162.5694m/z</t>
  </si>
  <si>
    <t>CDP-DG(a-21:0/PGF1alpha)</t>
  </si>
  <si>
    <t>HMDB0293147</t>
  </si>
  <si>
    <t>CCCCC[C@H](O)\C=C/[C@H]1[C@H](O)C[C@H](O)[C@@H]2CCCCCCC(=O)O[C@H](COC(=O)CCCCCCCCCCCCCCCCC(C)CC)COP(O)(=O)OP(O)(=O)OC[C@@H](O[C@H]2N2C=CC(N)=NC2=O)[C@@H](O)[C@H]1O</t>
  </si>
  <si>
    <t>SDZNJNPCLJPJQG-LCDKTUFBSA-N</t>
  </si>
  <si>
    <t>C53H95N3O18P2</t>
  </si>
  <si>
    <t>5.47_1167.4372m/z</t>
  </si>
  <si>
    <t>PIP3(18:2(9Z,12Z)/20:1(11Z))</t>
  </si>
  <si>
    <t>HMDB0010162</t>
  </si>
  <si>
    <t>C00626</t>
  </si>
  <si>
    <t>CCCCCCCC\C=C/CCCCCCCCCC(=O)O[C@]([H])(COC(=O)CCCCCCC\C=C/C\C=C/CCCCC)COP(O)(=O)O[C@H]1C(O)C(OP(=O)(O)O)C(OP(=O)(O)O)[C@@H](OP(=O)(O)O)C1O</t>
  </si>
  <si>
    <t>QEEUXPHLRVCBQV-IVRQCHDLSA-N</t>
  </si>
  <si>
    <t>Glycerophosphoinositol phosphates</t>
  </si>
  <si>
    <t>C47H88O22P4</t>
  </si>
  <si>
    <t>12.11_753.4423m/z</t>
  </si>
  <si>
    <t>Linckoside A</t>
  </si>
  <si>
    <t>LMST05050047</t>
  </si>
  <si>
    <t>C1[C@]2(C)[C@@]3([H])CC[C@]4(C)[C@@]([H])([C@]([H])(C)CC[C@H](CCO[C@H]5[C@H](O)[C@@H](O)[C@H](CO)O5)C(C)C)[C@@H](O)[C@H](O)[C@@]4([H])[C@]3(O)C[C@@H](O)C2=C[C@@H](O[C@@H]2OC[C@@H](O)[C@H](O)[C@H]2OC)C1</t>
  </si>
  <si>
    <t>PELCRPYRGYHBOK-VNVJSXGOSA-N</t>
  </si>
  <si>
    <t>Stigmastanes and derivatives</t>
  </si>
  <si>
    <t>C40H68O14</t>
  </si>
  <si>
    <t>5.64_825.3181m/z</t>
  </si>
  <si>
    <t>Snag-Delta5-Ct</t>
  </si>
  <si>
    <t>LMST05050053</t>
  </si>
  <si>
    <t>[C@@]12([H])[C@@H](O[C@H]3[C@H](NC(C)=O)[C@@H](O)[C@H](O)[C@@H](CO)O3)C=C3C[C@@H](OS(O)(=O)=O)CC[C@]3(C)[C@@]1([H])CC[C@]1(C)[C@@]([H])([C@]([H])(C)CCC(=O)NCCS(=O)(=O)O)CC[C@@]21[H]</t>
  </si>
  <si>
    <t>KLRIUOUKRCSWSF-WRUOKHQASA-N</t>
  </si>
  <si>
    <t>C34H56N2O14S2</t>
  </si>
  <si>
    <t>10.72_929.4750m/z</t>
  </si>
  <si>
    <t>Deltonin</t>
  </si>
  <si>
    <t>HMDB0029311</t>
  </si>
  <si>
    <t>C08894</t>
  </si>
  <si>
    <t>55659-75-1</t>
  </si>
  <si>
    <t>CC1C2C(CC3C4CC=C5CC(CCC5(C)C4CCC23C)OC2OC(CO)C(OC3OC(CO)C(O)C(O)C3O)C(O)C2OC2OC(C)C(O)C(O)C2O)OC11CCC(C)CO1</t>
  </si>
  <si>
    <t>OLAMGHNQGZIWHZ-UHFFFAOYSA-N</t>
  </si>
  <si>
    <t>C45H72O17</t>
  </si>
  <si>
    <t>3.65_370.1141m/z</t>
  </si>
  <si>
    <t>4-(2-Amino-3-Hydroxyphenyl)-4-Oxobutanoic Acid O-Glucoside</t>
  </si>
  <si>
    <t>HMDB0062374</t>
  </si>
  <si>
    <t>[H][C@]1(CO)O[C@@]([H])(OC2=CC=CC(C(=O)CCC(O)=O)=C2N)[C@]([H])(O)[C@@]([H])(O)[C@]1([H])O</t>
  </si>
  <si>
    <t>XEXCWFKGYJFAQK-LMXXTMHSSA-N</t>
  </si>
  <si>
    <t>C16H21NO9</t>
  </si>
  <si>
    <t>6.27_591.2784m/z</t>
  </si>
  <si>
    <t>Canesceol</t>
  </si>
  <si>
    <t>HMDB0034084</t>
  </si>
  <si>
    <t>82228-15-7</t>
  </si>
  <si>
    <t>CC1OC(OC2CCC3(CO)C4C(O)CC5(C)C(CCC5(O)C4CCC3(O)C2)C2=CC(=O)OC2)C(O)C(O)C1O</t>
  </si>
  <si>
    <t>BUGNRCRUPAIYMD-UHFFFAOYSA-N</t>
  </si>
  <si>
    <t>C29H44O11</t>
  </si>
  <si>
    <t>11.23_667.4413m/z</t>
  </si>
  <si>
    <t>Notoginsenoside T2</t>
  </si>
  <si>
    <t>HMDB0039050</t>
  </si>
  <si>
    <t>343962-54-9</t>
  </si>
  <si>
    <t>COC(\C=C(/C)C1CCC2(C)C1C(O)CC1C3(C)CCC(O)C(C)(C)C3C(CC21C)OC1OC(CO)C(O)C(O)C1O)C1OC1(C)C</t>
  </si>
  <si>
    <t>UWWGFPDRXDYTKI-NBVRZTHBSA-N</t>
  </si>
  <si>
    <t>C37H62O10</t>
  </si>
  <si>
    <t>3.90_573.2552m/z</t>
  </si>
  <si>
    <t>Ent-6r,16boh,17-Trihydroxy-7-Oxo-6,7-Seco-19,6-Kauranolide 6-O-Glucoside</t>
  </si>
  <si>
    <t>HMDB0038546</t>
  </si>
  <si>
    <t>132242-50-3</t>
  </si>
  <si>
    <t>CC12CCCC(C)(C1C(OC1OC(CO)C(O)C(O)C1O)OC2=O)C1CCC2CC1(CC2(O)CO)C=O</t>
  </si>
  <si>
    <t>RNCYPVVUMUQCQI-UHFFFAOYSA-N</t>
  </si>
  <si>
    <t>C26H40O11</t>
  </si>
  <si>
    <t>4.78_438.1522n</t>
  </si>
  <si>
    <t>7-Hydroxy-5-(4-Hydroxy-2-Oxopentyl)-2-Methylchromone 7-Glucoside</t>
  </si>
  <si>
    <t>HMDB0034698</t>
  </si>
  <si>
    <t>128701-05-3</t>
  </si>
  <si>
    <t>CC(O)CC(=O)CC1=CC(OC2OC(CO)C(O)C(O)C2O)=CC2=C1C(=O)C=C(C)O2</t>
  </si>
  <si>
    <t>UCHJBTMJIHWPDI-UHFFFAOYSA-N</t>
  </si>
  <si>
    <t>C21H26O10</t>
  </si>
  <si>
    <t>10.47_502.2538n</t>
  </si>
  <si>
    <t>Ixocarpalactone B</t>
  </si>
  <si>
    <t>HMDB0034339</t>
  </si>
  <si>
    <t>71801-44-0</t>
  </si>
  <si>
    <t>CC1C(C)C2(OC1=O)OC1CC3C4CC5OC55C(O)C=CC(=O)C5(C)C4CCC3(C)C1C(C)(O)C2O</t>
  </si>
  <si>
    <t>RJARWAVNDSGUGC-UHFFFAOYSA-N</t>
  </si>
  <si>
    <t>C28H38O8</t>
  </si>
  <si>
    <t>5.64_404.1469n</t>
  </si>
  <si>
    <t>Kaempferol 7-O-Neohesperidoside</t>
  </si>
  <si>
    <t>HMDB0304572</t>
  </si>
  <si>
    <t>COC1=CC(=CC(OC)=C1O)[C@H]1OC[C@@H]2[C@H](OC(O)C12)C1=CC(OC)=C(O)C=C1</t>
  </si>
  <si>
    <t>DQFGZXKOVWIUGY-KGZMPSPVSA-N</t>
  </si>
  <si>
    <t>C21H24O8</t>
  </si>
  <si>
    <t>0.75_236.1489m/z</t>
  </si>
  <si>
    <t>3-Hydroxysebacic Acid</t>
  </si>
  <si>
    <t>HMDB0000350</t>
  </si>
  <si>
    <t>446881-43-2</t>
  </si>
  <si>
    <t>O[C@H](CCCCCCC(O)=O)CC(O)=O</t>
  </si>
  <si>
    <t>OQYZCCKCJQWHIE-MRVPVSSYSA-N</t>
  </si>
  <si>
    <t>Medium-chain hydroxy acids and derivatives</t>
  </si>
  <si>
    <t>C10H18O5</t>
  </si>
  <si>
    <t>1.06_139.0025m/z</t>
  </si>
  <si>
    <t>3-Hydroxy-4-Oxo-4h-Pyran-2-Carboxylic Acid</t>
  </si>
  <si>
    <t>HMDB0245887</t>
  </si>
  <si>
    <t>OC(=O)C1=C(O)C(=O)C=CO1</t>
  </si>
  <si>
    <t>XZUDOWCTKOXYCZ-UHFFFAOYSA-N</t>
  </si>
  <si>
    <t>C6H4O5</t>
  </si>
  <si>
    <t>10.40_317.2120m/z</t>
  </si>
  <si>
    <t>Galanal A</t>
  </si>
  <si>
    <t>HMDB0035311</t>
  </si>
  <si>
    <t>104086-74-0</t>
  </si>
  <si>
    <t>CC1(C)CCCC2(C)C1CCC1(C=O)C2CC=C(CC1O)C=O</t>
  </si>
  <si>
    <t>UDKRLAJJSYRYRU-UHFFFAOYSA-N</t>
  </si>
  <si>
    <t>4.03_646.2614n</t>
  </si>
  <si>
    <t>Kuwanon V</t>
  </si>
  <si>
    <t>HMDB0030115</t>
  </si>
  <si>
    <t>89803-84-9</t>
  </si>
  <si>
    <t>CC(C)=CCC1=C(O)C=CC(C(=O)C2C(CC(C)=CC2C2=C(O)C=CC(C(=O)\C=C\C3=CC=C(O)C=C3)=C2O)C2=CC=C(O)C=C2)=C1O</t>
  </si>
  <si>
    <t>SUQUIVSLHDOSQP-REZTVBANSA-N</t>
  </si>
  <si>
    <t>C40H38O8</t>
  </si>
  <si>
    <t>9.17_215.1646m/z</t>
  </si>
  <si>
    <t>Sabinic Acid</t>
  </si>
  <si>
    <t>HMDB0002059</t>
  </si>
  <si>
    <t>LMFA01050039</t>
  </si>
  <si>
    <t>C08317</t>
  </si>
  <si>
    <t>505-95-3</t>
  </si>
  <si>
    <t>C(CCCCCCCCCO)CC(=O)O</t>
  </si>
  <si>
    <t>ZDHCZVWCTKTBRY-UHFFFAOYSA-N</t>
  </si>
  <si>
    <t>C12H24O3</t>
  </si>
  <si>
    <t>13.91_490.3661m/z</t>
  </si>
  <si>
    <t>PC(P-18:0/0:0)</t>
  </si>
  <si>
    <t>HMDB0013122</t>
  </si>
  <si>
    <t>LMGP01070009</t>
  </si>
  <si>
    <t>[C@](COP(=O)([O-])OCC[N+](C)(C)C)([H])(O)CO/C=C\CCCCCCCCCCCCCCCC</t>
  </si>
  <si>
    <t>WBOMIOWRFSPZMC-AYICAFKVSA-N</t>
  </si>
  <si>
    <t>C26H54NO6P</t>
  </si>
  <si>
    <t>4.56_451.1372m/z</t>
  </si>
  <si>
    <t>L-Arogenate</t>
  </si>
  <si>
    <t>HMDB0304400</t>
  </si>
  <si>
    <t>[NH3+]C(CC1(C=CC(O)C=C1)C([O-])=O)C([O-])=O</t>
  </si>
  <si>
    <t>MIEILDYWGANZNH-UHFFFAOYSA-M</t>
  </si>
  <si>
    <t>C10H12NO5-</t>
  </si>
  <si>
    <t>3.88_222.0765m/z</t>
  </si>
  <si>
    <t>5-[2h-Pyrrol-4-(3h)-Ylidenemethyl]-2-Furanmethanol</t>
  </si>
  <si>
    <t>HMDB0040045</t>
  </si>
  <si>
    <t>OCC1=CC=C(O1)\C=C1\CCN=C1</t>
  </si>
  <si>
    <t>JOWOWIZUAITHGQ-YVMONPNESA-N</t>
  </si>
  <si>
    <t>C10H11NO2</t>
  </si>
  <si>
    <t>9.49_486.2827n</t>
  </si>
  <si>
    <t>MGMG(16:3(7Z,10Z,13Z)/0:0)</t>
  </si>
  <si>
    <t>LMGL04010009</t>
  </si>
  <si>
    <t>O([C@H]1[C@H](O)[C@@H](O)[C@@H](O)[C@@H](CO)O1)C[C@@](O)([H])COC(CCCCC/C=C\C/C=C\C/C=C\CC)=O</t>
  </si>
  <si>
    <t>PSRSTOVXIJTKGG-DKFDWSOISA-N</t>
  </si>
  <si>
    <t>C25H42O9</t>
  </si>
  <si>
    <t>10.49_943.6247m/z</t>
  </si>
  <si>
    <t>PI(18:0/22:1(11Z))</t>
  </si>
  <si>
    <t>LMGP06010288</t>
  </si>
  <si>
    <t>[C@]([H])(OC(CCCCCCCCC/C=C\CCCCCCCCCC)=O)(COP(=O)(O)O[C@H]1[C@H](O)[C@@H](O)[C@H](O)[C@@H](O)[C@H]1O)COC(CCCCCCCCCCCCCCCCC)=O</t>
  </si>
  <si>
    <t>PUAXLUSFGJQSPI-MPNNTZBSSA-N</t>
  </si>
  <si>
    <t>C49H93O13P</t>
  </si>
  <si>
    <t>5.39_429.1764m/z</t>
  </si>
  <si>
    <t>Artesunate</t>
  </si>
  <si>
    <t>HMDB0240267</t>
  </si>
  <si>
    <t>88495-63-0</t>
  </si>
  <si>
    <t>[H][C@@]12CC[C@@H](C)[C@]3([H])CC[C@@]4(C)OO[C@@]13[C@]([H])(O[C@@H](OC(=O)CCC(O)=O)[C@@H]2C)O4</t>
  </si>
  <si>
    <t>FIHJKUPKCHIPAT-AHIGJZGOSA-N</t>
  </si>
  <si>
    <t>C19H28O8</t>
  </si>
  <si>
    <t>6.14_698.3155m/z</t>
  </si>
  <si>
    <t>Phhdia-Ps</t>
  </si>
  <si>
    <t>LMGP20040011</t>
  </si>
  <si>
    <t>C(O)(=O)[C@@]([H])(N)COP(OC[C@]([H])(OC(CCC(O)/C=C/C(=O)O)=O)COC(CCCCCCCCCCCCCCC)=O)(=O)O</t>
  </si>
  <si>
    <t>FUOPZHJLSXQXNO-PSVGVCRCSA-N</t>
  </si>
  <si>
    <t>C29H52NO13P</t>
  </si>
  <si>
    <t>4.88_589.2498m/z</t>
  </si>
  <si>
    <t>Cinncassiol A 19-Glucoside</t>
  </si>
  <si>
    <t>HMDB0035165</t>
  </si>
  <si>
    <t>73599-12-9</t>
  </si>
  <si>
    <t>CC(COC1OC(CO)C(O)C(O)C1O)C1=C(C)C2(O)C(O)(C1)C1(C)CC(=O)OC22C(O)C(C)CCC12O</t>
  </si>
  <si>
    <t>CFJQVFNNHAUXCF-UHFFFAOYSA-N</t>
  </si>
  <si>
    <t>C26H40O12</t>
  </si>
  <si>
    <t>1.83_361.0694m/z</t>
  </si>
  <si>
    <t>U-0126</t>
  </si>
  <si>
    <t>109511-58-2</t>
  </si>
  <si>
    <t>C1=CC=C(C(=C1)N)SC(=C(C#N)C(=C(N)SC2=CC=CC=C2N)C#N)N</t>
  </si>
  <si>
    <t>DVEXZJFMOKTQEZ-JYFOCSDGSA-N</t>
  </si>
  <si>
    <t>Organosulfur compounds</t>
  </si>
  <si>
    <t>Thioethers</t>
  </si>
  <si>
    <t>Aryl thioethers</t>
  </si>
  <si>
    <t>C18H16N6S2</t>
  </si>
  <si>
    <t>4.92_590.1977n</t>
  </si>
  <si>
    <t>Matteuorienate B</t>
  </si>
  <si>
    <t>LMPK12140135</t>
  </si>
  <si>
    <t>C1(O[C@H]2[C@H](O)[C@@H](O)[C@H](O)[C@@H](COC(CC(CC(O)=O)(O)C)=O)O2)C(C)=C(O)C2C(=O)C[C@@H](C3C=CC=CC=3)OC=2C=1C</t>
  </si>
  <si>
    <t>GFQPYMAACFELLT-IZPXHLOXSA-N</t>
  </si>
  <si>
    <t>C29H34O13</t>
  </si>
  <si>
    <t>5.17_655.2386m/z</t>
  </si>
  <si>
    <t>Rhodin G7</t>
  </si>
  <si>
    <t>HMDB0059949</t>
  </si>
  <si>
    <t>CCC1=C(C=O)C2=N\C\1=C/C1=C(C)C(C(O)=O)=C(N1)\C(CC(O)=O)=C1/N=C(/C=C3\N/C(=C\2)C(C=C)=C3C)C(C)C1CCC(O)=O</t>
  </si>
  <si>
    <t>VMMFVPSMUQFRIC-PURUGASFSA-N</t>
  </si>
  <si>
    <t>Chlorins</t>
  </si>
  <si>
    <t>C34H34N4O7</t>
  </si>
  <si>
    <t>10.26_941.6084m/z</t>
  </si>
  <si>
    <t>Fucoxanthinol 3-Arachidonate</t>
  </si>
  <si>
    <t>LMPR01070318</t>
  </si>
  <si>
    <t>[C@@]12(CC(=O)/C(/C)=C/C=C/C(/C)=C/C=C/C=C(\C)/C=C/C=C(\C)/C=[C@@]=C3[C@@](O)(C)C[C@@H](O)CC3(C)C)O[C@]1(C)C[C@@H](OC(CCC/C=C\C/C=C\C/C=C\C/C=C\CCCCC)=O)CC2(C)C</t>
  </si>
  <si>
    <t>LIWLLHXGARABQN-AHULJLBSSA-N</t>
  </si>
  <si>
    <t>C60H86O6</t>
  </si>
  <si>
    <t>5.79_765.3566n</t>
  </si>
  <si>
    <t>Actinospene</t>
  </si>
  <si>
    <t>LMPK04000047</t>
  </si>
  <si>
    <t>C1([C@H]2O[C@@H]2[C@H]2O[C@@H]2C[C@H](O)CC2(O)O[C@@H](C[C@H](O[C@H]3[C@H](O)[C@H](O)[C@@H](N)[C@H](C)O3)C=CC=CC(C)=CC=C[C@@H]([C@@H](/C(=C/C)/C)O1)C)[C@H](C(=O)O)[C@@H](O)[C@@H]2O)=O</t>
  </si>
  <si>
    <t>SDFYGRPVFFYRKF-UAGQYMCFSA-N</t>
  </si>
  <si>
    <t>C38H55NO15</t>
  </si>
  <si>
    <t>4.38_295.0457m/z</t>
  </si>
  <si>
    <t>1-Salicylate Glucuronide</t>
  </si>
  <si>
    <t>HMDB0010313</t>
  </si>
  <si>
    <t>7695-70-7</t>
  </si>
  <si>
    <t>O[C@@H]1[C@@H](O)[C@H](OC2=CC=CC=C2C(O)=O)O[C@@H]([C@H]1O)C(O)=O</t>
  </si>
  <si>
    <t>JSCWDKKMLIQCMR-CDHFTJPESA-N</t>
  </si>
  <si>
    <t>C13H14O9</t>
  </si>
  <si>
    <t>4.88_446.1454m/z</t>
  </si>
  <si>
    <t>Margrapine A</t>
  </si>
  <si>
    <t>HMDB0031254</t>
  </si>
  <si>
    <t>185417-68-9</t>
  </si>
  <si>
    <t>COC1=C(C(O)C2OC2(C)C)C2=C(C(O)=C1)C(=O)C1=C(N2C)C(OC)=C(O)C=C1</t>
  </si>
  <si>
    <t>LROWEGBUANNUOY-UHFFFAOYSA-N</t>
  </si>
  <si>
    <t>Benzoquinolines</t>
  </si>
  <si>
    <t>C21H23NO7</t>
  </si>
  <si>
    <t>6.93_542.2148n</t>
  </si>
  <si>
    <t>Italidipyrone</t>
  </si>
  <si>
    <t>HMDB0041308</t>
  </si>
  <si>
    <t>75680-22-7</t>
  </si>
  <si>
    <t>CCC(C)C(=O)C1=C(O)C(CC2=C(O)C(C)=C(CC)OC2=O)=C(O)C(CC2=C(O)C(C)=C(CC)OC2=O)=C1O</t>
  </si>
  <si>
    <t>NAKDDLYFPVLAAL-UHFFFAOYSA-N</t>
  </si>
  <si>
    <t>C29H34O10</t>
  </si>
  <si>
    <t>9.01_280.1543m/z</t>
  </si>
  <si>
    <t>(+)-Marmasmic Acid</t>
  </si>
  <si>
    <t>LMPR0103620002</t>
  </si>
  <si>
    <t>C09701</t>
  </si>
  <si>
    <t>C1(C=O)=C[C@]2([H])CC(C)(C)C[C@]2([H])[C@@]23C[C@@]12C(O)OC3=O</t>
  </si>
  <si>
    <t>BIUVCPLWWOLECJ-LIHVSQBMSA-N</t>
  </si>
  <si>
    <t>Lactones</t>
  </si>
  <si>
    <t>Delta valerolactones</t>
  </si>
  <si>
    <t>C15H18O4</t>
  </si>
  <si>
    <t>5.44_411.2891m/z</t>
  </si>
  <si>
    <t>25-Hydroxyvitamin D3-26,23-Lactone</t>
  </si>
  <si>
    <t>HMDB0060126</t>
  </si>
  <si>
    <t>C[C@H](C[C@@H]1C[C@@](C)(O)C(=O)O1)[C@H]1CC[C@H]2\C(CCC[C@]12C)=C\C=C1/C[C@H](O)CCC1=C</t>
  </si>
  <si>
    <t>IJNDMZIDDKVXHR-MYEQSZOMSA-N</t>
  </si>
  <si>
    <t>5.04_393.2500m/z</t>
  </si>
  <si>
    <t>Phe-Pro-Ile</t>
  </si>
  <si>
    <t>HMDB0304808</t>
  </si>
  <si>
    <t>CCC(C)C(N=C(O)C1CCCN1C(=O)C(N)CC1=CC=CC=C1)C(O)=O</t>
  </si>
  <si>
    <t>FZBGMXYQPACKNC-UHFFFAOYSA-N</t>
  </si>
  <si>
    <t>C20H29N3O4</t>
  </si>
  <si>
    <t>5.15_791.4896m/z</t>
  </si>
  <si>
    <t>PA(18:1(11Z)/22:6(4Z,7Z,10Z,13Z,16Z,19Z))</t>
  </si>
  <si>
    <t>HMDB0114918</t>
  </si>
  <si>
    <t>[H][C@@](COC(=O)CCCCCCCCC\C=C/CCCCCC)(COP(O)(O)=O)OC(=O)CC\C=C/C\C=C/C\C=C/C\C=C/C\C=C/C\C=C/CC</t>
  </si>
  <si>
    <t>QSRBIMRYCOYCQI-VYXKUJIYSA-N</t>
  </si>
  <si>
    <t>C43H71O8P</t>
  </si>
  <si>
    <t>5.56_556.2913m/z</t>
  </si>
  <si>
    <t>Cytochalasin Ppho</t>
  </si>
  <si>
    <t>HMDB0035368</t>
  </si>
  <si>
    <t>108050-27-7</t>
  </si>
  <si>
    <t>CC1C2C(CC3=CC=CC=C3)NC(=O)C22C(\C=C\CC(C)CC(C)(O)\C=C/C2OC(C)=O)C(O)C1(C)O</t>
  </si>
  <si>
    <t>AVASIWUXPVFFGK-WISUYLHISA-N</t>
  </si>
  <si>
    <t>Cytochalasans</t>
  </si>
  <si>
    <t>C30H41NO6</t>
  </si>
  <si>
    <t>6.16_347.1861m/z</t>
  </si>
  <si>
    <t>Ingol</t>
  </si>
  <si>
    <t>LMPR0104310002</t>
  </si>
  <si>
    <t>CC1CC23C(=O)C(C(C4C(C4(C)C)C(C(C(=CC2(C1O)O3)C)O)O)O)C</t>
  </si>
  <si>
    <t>MXSMLDVUIRKKID-NZODWMOFSA-N</t>
  </si>
  <si>
    <t>C20H30O6</t>
  </si>
  <si>
    <t>5.41_717.2976m/z</t>
  </si>
  <si>
    <t>Officinoterpenoside A1</t>
  </si>
  <si>
    <t>LMPR0104050019</t>
  </si>
  <si>
    <t>C1C[C@H](O)[C@@](C)(C)[C@]2([H])CC(=O)C3=CC(CC(C)O)=C(O[C@H]4[C@H](O[C@H]5[C@H](O)[C@@H](O)[C@H](O)[C@@H](CO)O5)[C@@H](O)[C@H](O)[C@@H](CO)O4)C(O)=C3[C@@]12C</t>
  </si>
  <si>
    <t>NCVFPCPIHCRRII-VFTRKHKPSA-N</t>
  </si>
  <si>
    <t>C32H48O15</t>
  </si>
  <si>
    <t>4.99_793.3037m/z</t>
  </si>
  <si>
    <t>Isoorientin 6-O-Hexoside</t>
  </si>
  <si>
    <t>HMDB0304577</t>
  </si>
  <si>
    <t>COC1=CC(=CC(OC)=C1O[C@@H](CO)[C@@H](O)C1=CC(OC)=C(O)C=C1)[C@@H]1OC[C@@H]2[C@H]1CO[C@H]2C1=CC(OC)=C(O[C@@H](CO)[C@@H](O)C2=CC(OC)=C(O)C=C2)C(OC)=C1</t>
  </si>
  <si>
    <t>LSWNERGQFCAXLI-RJFHMDDPSA-N</t>
  </si>
  <si>
    <t>C42H50O16</t>
  </si>
  <si>
    <t>5.49_478.2929n</t>
  </si>
  <si>
    <t>14beta-14,15-Dihydrocalonysterone</t>
  </si>
  <si>
    <t>LMST01010470</t>
  </si>
  <si>
    <t>C1[C@H](O)[C@H](O)CC2=C(O)C(=O)C3=C(CC[C@]4([C@]3([H])CC[C@]4([H])[C@](O)(C)[C@H](O)CCC(O)(C)C)C)[C@]21C</t>
  </si>
  <si>
    <t>BGWQNGDNVIJHPA-QCUJNDDWSA-N</t>
  </si>
  <si>
    <t>C27H42O7</t>
  </si>
  <si>
    <t>9.56_263.1156n</t>
  </si>
  <si>
    <t>Boc-D-Fmk</t>
  </si>
  <si>
    <t>HMDB0249331</t>
  </si>
  <si>
    <t>COC(=O)CC(NC(=O)OC(C)(C)C)C(=O)CF</t>
  </si>
  <si>
    <t>MXOOUCRHWJYCAL-UHFFFAOYSA-N</t>
  </si>
  <si>
    <t>Gamma-keto acids and derivatives</t>
  </si>
  <si>
    <t>C11H18FNO5</t>
  </si>
  <si>
    <t>9.50_486.2828n</t>
  </si>
  <si>
    <t>DG(2:0/6 keto-PGF1alpha/0:0)</t>
  </si>
  <si>
    <t>HMDB0296911</t>
  </si>
  <si>
    <t>CCCCC[C@H](O)\C=C\[C@H]1[C@H](O)C[C@H](O)[C@@H]1CC(=O)CCCCC(=O)O[C@@H](CO)COC(C)=O</t>
  </si>
  <si>
    <t>ZPZLXMJAPQBPME-SEMOGSIYSA-N</t>
  </si>
  <si>
    <t>7.57_454.2791m/z</t>
  </si>
  <si>
    <t>Sphingofungin C</t>
  </si>
  <si>
    <t>LMSP01080063</t>
  </si>
  <si>
    <t>C([C@@H](N)[C@@H](O)[C@H](O)[C@@H](OC(=O)C)/C=C/CCCCCC[C@H](O)CCCCCC)(=O)O</t>
  </si>
  <si>
    <t>PBKBHDLANIOIKK-RXCFHPIVSA-N</t>
  </si>
  <si>
    <t>C22H41NO7</t>
  </si>
  <si>
    <t>12.08_587.0598m/z</t>
  </si>
  <si>
    <t>Dotmp</t>
  </si>
  <si>
    <t>HMDB0247657</t>
  </si>
  <si>
    <t>OP(O)(=O)CN1CCN(CP(O)(O)=O)CCN(CP(O)(O)=O)CCN(CP(O)(O)=O)CC1</t>
  </si>
  <si>
    <t>RCXMQNIDOFXYDO-UHFFFAOYSA-N</t>
  </si>
  <si>
    <t>Organic phosphonic acids and derivatives</t>
  </si>
  <si>
    <t>Organic phosphonic acids</t>
  </si>
  <si>
    <t>C12H32N4O12P4</t>
  </si>
  <si>
    <t>4.33_326.1366n</t>
  </si>
  <si>
    <t>(2s,3s,4s,5r)-3,4,5-Trihydroxy-6-(5-Methyl-2-Propan-2-Ylphenoxy)Oxane-2-Carboxylic Acid</t>
  </si>
  <si>
    <t>HMDB0255323</t>
  </si>
  <si>
    <t>CC(C)C1=C(OC2OC(C(O)C(O)C2O)C(O)=O)C=C(C)C=C1</t>
  </si>
  <si>
    <t>ADQJSAVCKZSGMK-UHFFFAOYSA-N</t>
  </si>
  <si>
    <t>C16H22O7</t>
  </si>
  <si>
    <t>12.93_445.3674m/z</t>
  </si>
  <si>
    <t>1alpha,25-Dihydroxy-26,27-Dimethylvitamin D3 / 1alpha,25-Dihydroxy-26,27-Dimethylcholecalciferol</t>
  </si>
  <si>
    <t>LMST03020420</t>
  </si>
  <si>
    <t>[C@@H]1(O)C(=C)/C(=C\C=C2\[C@]3([H])CC[C@@]([C@@](C)([H])CCCC(O)(CC)CC)([H])[C@@]3(C)CCC\2)/C[C@@H](O)C1</t>
  </si>
  <si>
    <t>SVILWCIGEZESEP-KBNXZVMKSA-N</t>
  </si>
  <si>
    <t>C29H48O3</t>
  </si>
  <si>
    <t>9.13_549.1037m/z</t>
  </si>
  <si>
    <t>Chrysophanol 8-(6-Galloylglucoside)</t>
  </si>
  <si>
    <t>HMDB0037087</t>
  </si>
  <si>
    <t>CC1=CC2=C(C(O)=C1)C(=O)C1=C(C=CC=C1OC1OC(COC(=O)C3=CC(O)=C(O)C(O)=C3)C(O)C(O)C1O)C2=O</t>
  </si>
  <si>
    <t>KBGOIDOUXFNKHS-UHFFFAOYSA-N</t>
  </si>
  <si>
    <t>Anthracenes</t>
  </si>
  <si>
    <t>Anthraquinones</t>
  </si>
  <si>
    <t>C28H24O13</t>
  </si>
  <si>
    <t>4.80_347.1234m/z</t>
  </si>
  <si>
    <t>(Z)-N-Feruloyl-5-Hydroxyanthranilic Acid</t>
  </si>
  <si>
    <t>HMDB0038575</t>
  </si>
  <si>
    <t>108605-69-2</t>
  </si>
  <si>
    <t>COC1=C(O)C=CC(\C=C\C(=O)NC2=CC=C(O)C=C2C(O)=O)=C1</t>
  </si>
  <si>
    <t>JXFZHMCSCYADIX-XVNBXDOJSA-N</t>
  </si>
  <si>
    <t>C17H15NO6</t>
  </si>
  <si>
    <t>0.75_258.0946m/z</t>
  </si>
  <si>
    <t>(2r,3r,4r,5r)-2-Amino-4,5,6-Trihydroxy-3-[(2r)-1-Oxopropan-2-Yl]Oxyhexanal</t>
  </si>
  <si>
    <t>HMDB0255309</t>
  </si>
  <si>
    <t>CC(OC(C(N)C=O)C(O)C(O)CO)C=O</t>
  </si>
  <si>
    <t>VSZXMDFPWITUQY-UHFFFAOYSA-N</t>
  </si>
  <si>
    <t>C9H17NO6</t>
  </si>
  <si>
    <t>1.69_331.1033m/z</t>
  </si>
  <si>
    <t>3-Hydroxy-4,6-Heptadiyne-1-Yl 1-Glucoside</t>
  </si>
  <si>
    <t>HMDB0038964</t>
  </si>
  <si>
    <t>OCC1OC(OCCC(O)C#CC#C)C(O)C(O)C1O</t>
  </si>
  <si>
    <t>JCEVIZQLLKDJRQ-UHFFFAOYSA-N</t>
  </si>
  <si>
    <t>C13H18O7</t>
  </si>
  <si>
    <t>6.01_614.3335m/z</t>
  </si>
  <si>
    <t>Salannin</t>
  </si>
  <si>
    <t>C08780</t>
  </si>
  <si>
    <t>992-20-1</t>
  </si>
  <si>
    <t>CC=C(C)C(=O)OC1CC(C2(COC3C2C1(C(C4(C3OC5C4=C(C(C5)C6=COC=C6)C)C)CC(=O)OC)C)C)OC(=O)C</t>
  </si>
  <si>
    <t>CJHBVBNPNXOWBA-REXVOHEDSA-N</t>
  </si>
  <si>
    <t>C34H44O9</t>
  </si>
  <si>
    <t>5.01_440.2924n</t>
  </si>
  <si>
    <t>Suillin</t>
  </si>
  <si>
    <t>HMDB0034349</t>
  </si>
  <si>
    <t>103538-03-0</t>
  </si>
  <si>
    <t>CC(C)=CCC\C(C)=C\CC\C(C)=C\CC\C(C)=C/CC1=C(OC(C)=O)C=CC(O)=C1O</t>
  </si>
  <si>
    <t>TVYGOMSIBBSIKO-DCVNSYBLSA-N</t>
  </si>
  <si>
    <t>C28H40O4</t>
  </si>
  <si>
    <t>4.78_561.2918m/z</t>
  </si>
  <si>
    <t>L-Olivosyl-Oleandolide</t>
  </si>
  <si>
    <t>LMPK04000032</t>
  </si>
  <si>
    <t>C11991</t>
  </si>
  <si>
    <t>[C@@]12(C(=O)[C@H](C)[C@@H](O)[C@@H](C)[C@@H](C)OC(=O)[C@H](C)[C@@H](O[C@@H]3O[C@H]([C@H](O)[C@@H](O)C3)C)[C@H](C)[C@@H](O)[C@@H](C)C1)OC2</t>
  </si>
  <si>
    <t>SBBLTTCUMKGRJI-GYHYDPCPSA-N</t>
  </si>
  <si>
    <t>C26H44O10</t>
  </si>
  <si>
    <t>9.55_311.2226m/z</t>
  </si>
  <si>
    <t>13s-Hpode</t>
  </si>
  <si>
    <t>HMDB0003871</t>
  </si>
  <si>
    <t>LMFA02000034</t>
  </si>
  <si>
    <t>C04717</t>
  </si>
  <si>
    <t>33964-75-9</t>
  </si>
  <si>
    <t>C(CCCCCCC/C=C\C=C\[C@@H](OO)CCCCC)(=O)O</t>
  </si>
  <si>
    <t>JDSRHVWSAMTSSN-IRQZEAMPSA-N</t>
  </si>
  <si>
    <t>11.58_772.4560m/z</t>
  </si>
  <si>
    <t>PE(18:3(6Z,9Z,12Z)/PGJ2)</t>
  </si>
  <si>
    <t>HMDB0261538</t>
  </si>
  <si>
    <t>CCCCC\C=C/C\C=C/C\C=C/CCCCC(=O)OC[C@H](COP(O)(=O)OCCN)OC(=O)CCC\C=C/C[C@H]1C=CC(=O)[C@@H]1\C=C\[C@@H](O)CCCCC</t>
  </si>
  <si>
    <t>RGVOUOFPIGDMPX-KWTKHZSRSA-N</t>
  </si>
  <si>
    <t>C43H70NO10P</t>
  </si>
  <si>
    <t>5.45_770.3018m/z</t>
  </si>
  <si>
    <t>3-Formyl Rifamycin</t>
  </si>
  <si>
    <t>HMDB0245874</t>
  </si>
  <si>
    <t>COC1C=COC2(C)OC3=C(C2=O)C2=C(C(O)=C3C)C(O)=C(NC(=O)C(C)=CC=CC(C)C(O)C(C)C(O)C(C)C(OC(C)=O)C1C)C(C=O)=C2O</t>
  </si>
  <si>
    <t>BBNQHOMJRFAQBN-UHFFFAOYSA-N</t>
  </si>
  <si>
    <t>Macrolactams</t>
  </si>
  <si>
    <t>C38H47NO13</t>
  </si>
  <si>
    <t>5.10_460.1575m/z</t>
  </si>
  <si>
    <t>Fipi</t>
  </si>
  <si>
    <t>939055-18-2</t>
  </si>
  <si>
    <t>C1CN(CCC1N2C3=CC=CC=C3NC2=O)CCNC(=O)C4=CC5=C(N4)C=CC(=C5)F</t>
  </si>
  <si>
    <t>LHABRXRGDLASIH-UHFFFAOYSA-N</t>
  </si>
  <si>
    <t>Indolecarboxylic acids and derivatives</t>
  </si>
  <si>
    <t>C23H24FN5O2</t>
  </si>
  <si>
    <t>5.60_735.2687m/z</t>
  </si>
  <si>
    <t>1,3-Dimethoxymethyl-5,5-Diphenylbarbituric Acid</t>
  </si>
  <si>
    <t>HMDB0258661</t>
  </si>
  <si>
    <t>COCN1C(=O)N(COC)C(=O)C(C1=O)(C1=CC=CC=C1)C1=CC=CC=C1</t>
  </si>
  <si>
    <t>RRFBTKHQZRCRSS-UHFFFAOYSA-N</t>
  </si>
  <si>
    <t>C20H20N2O5</t>
  </si>
  <si>
    <t>9.71_281.2474m/z</t>
  </si>
  <si>
    <t>Linoleic Acid</t>
  </si>
  <si>
    <t>HMDB0000673</t>
  </si>
  <si>
    <t>LMFA01030120</t>
  </si>
  <si>
    <t>C01595</t>
  </si>
  <si>
    <t>ko00591,ko01040</t>
  </si>
  <si>
    <t>Linoleic acid metabolism|Biosynthesis of unsaturated fatty acids</t>
  </si>
  <si>
    <t>60-33-3</t>
  </si>
  <si>
    <t>C(CCCCCCC(=O)O)/C=C\C/C=C\CCCCC</t>
  </si>
  <si>
    <t>OYHQOLUKZRVURQ-HZJYTTRNSA-N</t>
  </si>
  <si>
    <t>C18H32O2</t>
  </si>
  <si>
    <t>6.25_682.3219m/z</t>
  </si>
  <si>
    <t>(3a,5b)-24-Oxo-24-[(2-Sulfoethyl)Amino]Cholan-3-Yl-B-D-Glucopyranosiduronic Acid</t>
  </si>
  <si>
    <t>HMDB0002429</t>
  </si>
  <si>
    <t>99794-82-8</t>
  </si>
  <si>
    <t>[H][C@@]1(CC[C@@]2([H])[C@]3([H])CC[C@]4([H])CC(CC[C@]4(C)[C@@]3([H])CC[C@]12C)O[C@@H]1O[C@@H]([C@@H](O)[C@H](O)[C@H]1O)C(O)=O)[C@H](C)CCC(=O)NCCS(O)(=O)=O</t>
  </si>
  <si>
    <t>YRKZDONPVFEWNN-CNEWWJQRSA-N</t>
  </si>
  <si>
    <t>C32H53NO11S</t>
  </si>
  <si>
    <t>5.39_486.9385m/z</t>
  </si>
  <si>
    <t>Calcium Citrate</t>
  </si>
  <si>
    <t>HMDB0303432</t>
  </si>
  <si>
    <t>[Ca++].[Ca++].[Ca++].OC(=O)CC(O)(CC(O)=O)C(O)=O.OC(=O)CC(O)(CC(O)=O)C(O)=O</t>
  </si>
  <si>
    <t>FNAQSUUGMSOBHW-UHFFFAOYSA-N</t>
  </si>
  <si>
    <t>C12H16Ca3O14+6</t>
  </si>
  <si>
    <t>3.65_340.1036m/z</t>
  </si>
  <si>
    <t>L-Dopa 3'-Glucoside</t>
  </si>
  <si>
    <t>HMDB0029452</t>
  </si>
  <si>
    <t>2275-95-8</t>
  </si>
  <si>
    <t>NC(CC1=CC(OC2OC(CO)C(O)C(O)C2O)=C(O)C=C1)C(O)=O</t>
  </si>
  <si>
    <t>NIMVDZOWEYJNTR-UHFFFAOYSA-N</t>
  </si>
  <si>
    <t>C15H21NO9</t>
  </si>
  <si>
    <t>3.91_513.2520m/z</t>
  </si>
  <si>
    <t>Ethyl 3-Hydroxyoctanoate O-[Glucosyl-(1-&gt;6)-Glucoside]</t>
  </si>
  <si>
    <t>HMDB0038738</t>
  </si>
  <si>
    <t>CCCCCC(CC(=O)OCC)OC1OC(COC2OC(CO)C(O)C(O)C2O)C(O)C(O)C1O</t>
  </si>
  <si>
    <t>QAIPLYVRKVVKMO-UHFFFAOYSA-N</t>
  </si>
  <si>
    <t>C22H40O13</t>
  </si>
  <si>
    <t>8.35_346.1778n</t>
  </si>
  <si>
    <t>3-Epinobilin</t>
  </si>
  <si>
    <t>HMDB0036690</t>
  </si>
  <si>
    <t>C\C=C(\C)C(=O)OC1C\C(C)=C\CC(O)\C(C)=C\C2OC(=O)C(=C)C12</t>
  </si>
  <si>
    <t>QFINJHBXXJQKPB-QLDBJWRKSA-N</t>
  </si>
  <si>
    <t>7.99_355.1898m/z</t>
  </si>
  <si>
    <t>Penicildione C</t>
  </si>
  <si>
    <t>LMST02030240</t>
  </si>
  <si>
    <t>C1=CC2[C@@](C)([C@]34O[C@H]3C[C@@]3([C@](O)([C@H](C)C[C@@]3([H])[C@]14[H])C(=O)CO)C)CCC(=O)C=2</t>
  </si>
  <si>
    <t>JRPKEULLJJEKSA-QDBZYVRYSA-N</t>
  </si>
  <si>
    <t>5.49_481.2286m/z</t>
  </si>
  <si>
    <t>Tetrahydrobiopterin</t>
  </si>
  <si>
    <t>HMDB0000027</t>
  </si>
  <si>
    <t>C00272</t>
  </si>
  <si>
    <t>ko00790,ko05418</t>
  </si>
  <si>
    <t>Folate biosynthesis|Fluid shear stress and atherosclerosis</t>
  </si>
  <si>
    <t>62989-33-7</t>
  </si>
  <si>
    <t>[H][C@@]1(CNC2=C(N1)C(=O)N=C(N)N2)[C@@H](O)[C@H](C)O</t>
  </si>
  <si>
    <t>FNKQXYHWGSIFBK-RPDRRWSUSA-N</t>
  </si>
  <si>
    <t>C9H15N5O3</t>
  </si>
  <si>
    <t>4.43_226.1568n</t>
  </si>
  <si>
    <t>Riesling Acetal</t>
  </si>
  <si>
    <t>HMDB0037562</t>
  </si>
  <si>
    <t>CC1=CC(O)CC(C)(C)C11CCC(C)(O)O1</t>
  </si>
  <si>
    <t>SJZGKFZUNCXEEW-UHFFFAOYSA-N</t>
  </si>
  <si>
    <t>Tetrahydrofurans</t>
  </si>
  <si>
    <t>C13H22O3</t>
  </si>
  <si>
    <t>9.41_772.5423m/z</t>
  </si>
  <si>
    <t>Bacteriohopane-,32,33,34-Triol-35-Cyclitolguanine</t>
  </si>
  <si>
    <t>LMPR04000019</t>
  </si>
  <si>
    <t>C1C[C@]2(C)C3CCC4[C@]5(C)C(C([C@@H](C)CCC(O)C(O)C(O)COC6C(NC(N)=N)C(O)C(O)C6(O)CO)CC5)CC[C@@]4(C)[C@]3(C)CCC2C(C)(C)C1</t>
  </si>
  <si>
    <t>HBYLSHNUNMUXCU-VCJINUIQSA-N</t>
  </si>
  <si>
    <t>Hopanoids</t>
  </si>
  <si>
    <t>C42H75N3O8</t>
  </si>
  <si>
    <t>5.04_911.4065m/z</t>
  </si>
  <si>
    <t>Sudan Black B</t>
  </si>
  <si>
    <t>HMDB0258556</t>
  </si>
  <si>
    <t>CC1(C)NC2=CC=CC3=C(C=CC(N1)=C23)N=NC1=CC=C(N=NC2=CC=CC=C2)C2=CC=CC=C12</t>
  </si>
  <si>
    <t>YCUVUDODLRLVIC-UHFFFAOYSA-N</t>
  </si>
  <si>
    <t>Naphthalenes</t>
  </si>
  <si>
    <t>1,1'-azonaphthalenes</t>
  </si>
  <si>
    <t>C29H24N6</t>
  </si>
  <si>
    <t>4.79_303.1952m/z</t>
  </si>
  <si>
    <t>Formestane</t>
  </si>
  <si>
    <t>566-48-3</t>
  </si>
  <si>
    <t>CC12CCC(=O)C(=C1CCC3C2CCC4(C3CCC4=O)C)O</t>
  </si>
  <si>
    <t>OSVMTWJCGUFAOD-KZQROQTASA-N</t>
  </si>
  <si>
    <t>C19H26O3</t>
  </si>
  <si>
    <t>6.54_271.0609m/z</t>
  </si>
  <si>
    <t>(2r)-5,7-Dihydroxy-2-(4-Hydroxyphenyl)-2,3-Dihydro-4h-Chromen-4-One</t>
  </si>
  <si>
    <t>HMDB0242579</t>
  </si>
  <si>
    <t>C00509</t>
  </si>
  <si>
    <t>ko00941,ko00943</t>
  </si>
  <si>
    <t>Flavonoid biosynthesis|Isoflavonoid biosynthesis</t>
  </si>
  <si>
    <t>480-41-1</t>
  </si>
  <si>
    <t>OC1=CC=C(C=C1)C1CC(=O)C2=C(O)C=C(O)C=C2O1</t>
  </si>
  <si>
    <t>FTVWIRXFELQLPI-UHFFFAOYSA-N</t>
  </si>
  <si>
    <t>C15H12O5</t>
  </si>
  <si>
    <t>4.40_551.1768m/z</t>
  </si>
  <si>
    <t>4,6,2',4'-Tetramethoxychalcone 2'-Beta-Glucoside</t>
  </si>
  <si>
    <t>LMPK12120280</t>
  </si>
  <si>
    <t>C1(OC)C=C(OC)C(C(=O)/C=C/C2C(OC)=CC(OC)=CC=2)=C(O[C@H]2[C@H](O)[C@@H](O)[C@H](O)[C@@H](CO)O2)C=1</t>
  </si>
  <si>
    <t>HVISDQXFNJPZDE-NYPBKLTOSA-N</t>
  </si>
  <si>
    <t>C25H30O11</t>
  </si>
  <si>
    <t>6.10_466.1986n</t>
  </si>
  <si>
    <t>Nimbolide</t>
  </si>
  <si>
    <t>HMDB0255610</t>
  </si>
  <si>
    <t>COC(=O)CC1C2(C)C(OC3CC(C(C)=C23)C2=COC=C2)C2OC(=O)C3(C)C=CC(=O)C1(C)C23</t>
  </si>
  <si>
    <t>JZIQWNPPBKFOPT-UHFFFAOYSA-N</t>
  </si>
  <si>
    <t>C27H30O7</t>
  </si>
  <si>
    <t>4.72_555.2088m/z</t>
  </si>
  <si>
    <t>Aeglin</t>
  </si>
  <si>
    <t>HMDB0041415</t>
  </si>
  <si>
    <t>169626-23-7</t>
  </si>
  <si>
    <t>C\C(=C/COC1=CC=C2C=CC(=O)OC2=C1)C(O)CC(OC1OC(CO)C(O)C(O)C1O)C(C)(C)O</t>
  </si>
  <si>
    <t>HLXHWKRKFDBAEQ-MDWZMJQESA-N</t>
  </si>
  <si>
    <t>4.93_533.2525m/z</t>
  </si>
  <si>
    <t>PA(2:0/PGF1alpha)</t>
  </si>
  <si>
    <t>HMDB0266579</t>
  </si>
  <si>
    <t>CCCCC[C@H](O)\C=C\[C@H]1[C@H](O)C[C@H](O)[C@@H]1CCCCCCC(=O)O[C@H](COC(C)=O)COP(O)(O)=O</t>
  </si>
  <si>
    <t>SNGGYHULLPVUPU-VCHFTVDVSA-N</t>
  </si>
  <si>
    <t>C25H45O11P</t>
  </si>
  <si>
    <t>5.80_595.2739m/z</t>
  </si>
  <si>
    <t>Desglucocheirotoxin</t>
  </si>
  <si>
    <t>HMDB0034362</t>
  </si>
  <si>
    <t>5822-57-1</t>
  </si>
  <si>
    <t>CC1OC(OC2CCC3(C=O)C4CCC5(C)C(CCC5(O)C4CCC3(O)C2)C2=CC(=O)OC2)C(O)C(O)C1O</t>
  </si>
  <si>
    <t>HULMNSIAKWANQO-UHFFFAOYSA-N</t>
  </si>
  <si>
    <t>C29H42O10</t>
  </si>
  <si>
    <t>5.01_499.0859m/z</t>
  </si>
  <si>
    <t>5,6,7-Trihydroxyflavone 7-(6''-Malonylglucoside)</t>
  </si>
  <si>
    <t>LMPK12111089</t>
  </si>
  <si>
    <t>C1(O[C@H]2[C@H](O)[C@@H](O)[C@H](O)[C@@H](COC(=O)CC(O)=O)O2)=CC2OC(C3C=CC=CC=3)=CC(=O)C=2C(O)=C1O</t>
  </si>
  <si>
    <t>NLRUTPIOMCJQKC-ZRKQWZGSSA-N</t>
  </si>
  <si>
    <t>C24H22O13</t>
  </si>
  <si>
    <t>1.79_743.1760m/z</t>
  </si>
  <si>
    <t>7-O-(2,6-Dideoxy-2-Fluoro-Alpha-L-Talopyranosyl)Adriamycinone-14-O-Hemipimelate</t>
  </si>
  <si>
    <t>HMDB0254387</t>
  </si>
  <si>
    <t>COC1=CC=CC2=C1C(=O)C1=C(C(O)=C3CC(O)(CC(OC4OC(C)C(O)C(O)C4F)C3=C1O)C(=O)COC(=O)CCCCCC(O)=O)C2=O</t>
  </si>
  <si>
    <t>PQMIPLRIRFVQJZ-UHFFFAOYSA-N</t>
  </si>
  <si>
    <t>C34H37FO15</t>
  </si>
  <si>
    <t>10.68_1009.5696m/z</t>
  </si>
  <si>
    <t>PC(20:1(11Z)/LTE4)</t>
  </si>
  <si>
    <t>HMDB0287072</t>
  </si>
  <si>
    <t>CCCCCCCC\C=C/CCCCCCCCCC(=O)OC[C@H](COP([O-])(=O)OCC[N+](C)(C)C)OC(=O)[C@@H](N)CS[C@H](\C=C\C=C\C=C/C\C=C/CCCCC)[C@@H](O)CCCC(O)=O</t>
  </si>
  <si>
    <t>SIRLZQZUVOKKAY-AZSWYDHOSA-N</t>
  </si>
  <si>
    <t>C51H91N2O11PS</t>
  </si>
  <si>
    <t>5.61_289.1432m/z</t>
  </si>
  <si>
    <t>Matricin</t>
  </si>
  <si>
    <t>HMDB0036643</t>
  </si>
  <si>
    <t>C09499</t>
  </si>
  <si>
    <t>29041-35-8</t>
  </si>
  <si>
    <t>CC1C2C(OC1=O)C1C(C=CC1(C)O)=C(C)CC2OC(C)=O</t>
  </si>
  <si>
    <t>SYTRJRUSWMMZLV-UHFFFAOYSA-N</t>
  </si>
  <si>
    <t>Gamma butyrolactones</t>
  </si>
  <si>
    <t>C17H22O5</t>
  </si>
  <si>
    <t>3.99_589.1559m/z</t>
  </si>
  <si>
    <t>Rhamnetin 3-(4-Rhamnosylrhamnoside)</t>
  </si>
  <si>
    <t>HMDB0038810</t>
  </si>
  <si>
    <t>105755-71-3</t>
  </si>
  <si>
    <t>COC1=CC(O)=C2C(=O)C(OC3OC(C)C(OC4OC(C)C(O)C(O)C4O)C(O)C3O)=C(OC2=C1)C1=CC(O)=C(O)C=C1</t>
  </si>
  <si>
    <t>DGFGSUOQDJHNFL-UHFFFAOYSA-N</t>
  </si>
  <si>
    <t>4.81_361.1503m/z</t>
  </si>
  <si>
    <t>Glucosyl (E)-2,6-Dimethyl-2,5-Heptadienoate</t>
  </si>
  <si>
    <t>HMDB0035136</t>
  </si>
  <si>
    <t>261949-43-3</t>
  </si>
  <si>
    <t>CC(C)=CC\C=C(/C)C(=O)OC1OC(CO)C(O)C(O)C1O</t>
  </si>
  <si>
    <t>BHPXBBXWEPCSOK-RMKNXTFCSA-N</t>
  </si>
  <si>
    <t>C15H24O7</t>
  </si>
  <si>
    <t>0.73_183.0564n</t>
  </si>
  <si>
    <t>Choline Sulfate</t>
  </si>
  <si>
    <t>HMDB0250194</t>
  </si>
  <si>
    <t>C00919</t>
  </si>
  <si>
    <t>ko02010</t>
  </si>
  <si>
    <t>ABC transporters</t>
  </si>
  <si>
    <t>4858-96-2</t>
  </si>
  <si>
    <t>C[N+](C)(C)CCOS([O-])(=O)=O</t>
  </si>
  <si>
    <t>WXCQAWGXWVRCGP-UHFFFAOYSA-N</t>
  </si>
  <si>
    <t>C5H13NO4S</t>
  </si>
  <si>
    <t>4.85_624.1685n</t>
  </si>
  <si>
    <t>Keioside</t>
  </si>
  <si>
    <t>HMDB0037746</t>
  </si>
  <si>
    <t>107740-46-5</t>
  </si>
  <si>
    <t>COC1=CC(=CC=C1O)C1=C(OC2OC(COC3OC(C)C(O)C(O)C3O)C(O)C(O)C2O)C(=O)C2=C(O)C=C(O)C=C2O1</t>
  </si>
  <si>
    <t>UIDGLYUNOUKLBM-UHFFFAOYSA-N</t>
  </si>
  <si>
    <t>C28H32O16</t>
  </si>
  <si>
    <t>6.47_346.2139n</t>
  </si>
  <si>
    <t>13,14-Dehydro-15-Cyclohexyl Carbaprostacyclin</t>
  </si>
  <si>
    <t>145375-81-1</t>
  </si>
  <si>
    <t>C1CCC(CC1)(C#CC2C(CC3C2CC(=CCCCC(=O)O)C3)O)O</t>
  </si>
  <si>
    <t>LGIPMFCHTFFLFR-PRYZLTTQSA-N</t>
  </si>
  <si>
    <t>0.72_133.0374n</t>
  </si>
  <si>
    <t>L-Aspartic Acid</t>
  </si>
  <si>
    <t>HMDB0000191</t>
  </si>
  <si>
    <t>C00049</t>
  </si>
  <si>
    <t>ko00220,ko00250,ko00260,ko00261,ko00270,ko00300,ko00340,ko00410,ko00460,ko00470,ko00710,ko00760,ko00770,ko00970,ko00997,ko02010,ko02020,ko02030,ko04080,ko04974,ko05230</t>
  </si>
  <si>
    <t>Arginine biosynthesis|Alanine, aspartate and glutamate metabolism|Glycine, serine and threonine metabolism|Monobactam biosynthesis|Cysteine and methionine metabolism|Lysine biosynthesis|Histidine metabolism|beta-Alanine metabolism|Cyanoamino acid metabolism|D-Amino acid metabolism|Carbon fixation in photosynthetic organisms|Nicotinate and nicotinamide metabolism|Pantothenate and CoA biosynthesis|Aminoacyl-tRNA biosynthesis|Biosynthesis of various secondary metabolites - part 3|ABC transporters|Two-component system|Bacterial chemotaxis|Neuroactive ligand-receptor interaction|Protein digestion and absorption|Central carbon metabolism in cancer</t>
  </si>
  <si>
    <t>56-84-8</t>
  </si>
  <si>
    <t>N[C@@H](CC(O)=O)C(O)=O</t>
  </si>
  <si>
    <t>CKLJMWTZIZZHCS-REOHCLBHSA-N</t>
  </si>
  <si>
    <t>C4H7NO4</t>
  </si>
  <si>
    <t>3.01_381.0266m/z</t>
  </si>
  <si>
    <t>6-Thioxanthylic Acid</t>
  </si>
  <si>
    <t>HMDB0060792</t>
  </si>
  <si>
    <t>OC([C@H]1O[C@H](C(O)C1O)N1C=NC2=C1N=C(O)N=C2S)P(O)(O)=O</t>
  </si>
  <si>
    <t>GRTRLPZIJODDLV-BQGLTYQTSA-N</t>
  </si>
  <si>
    <t>C10H13N4O8PS</t>
  </si>
  <si>
    <t>1.29_241.1545m/z</t>
  </si>
  <si>
    <t>Rimiterol</t>
  </si>
  <si>
    <t>HMDB0257235</t>
  </si>
  <si>
    <t>OC(C1CCCCN1)C1=CC(O)=C(O)C=C1</t>
  </si>
  <si>
    <t>IYMMESGOJVNCKV-UHFFFAOYSA-N</t>
  </si>
  <si>
    <t>8.31_678.2886n</t>
  </si>
  <si>
    <t>Hv-Ncc-1</t>
  </si>
  <si>
    <t>HMDB0039005</t>
  </si>
  <si>
    <t>135972-64-4</t>
  </si>
  <si>
    <t>COC(=O)C1C(C2=C(CCC(O)=O)C(C)=C(CC3NC(=O)C(C(O)CO)=C3C)N2)C2=C(C(C)=C(CC3=C(CCO)C(C)=C(N3)C=O)N2)C1=O</t>
  </si>
  <si>
    <t>INOJDBSSBUQCKE-UHFFFAOYSA-N</t>
  </si>
  <si>
    <t>C35H42N4O10</t>
  </si>
  <si>
    <t>9.50_400.2249n</t>
  </si>
  <si>
    <t>Bufohydrolide A</t>
  </si>
  <si>
    <t>LMST01130010</t>
  </si>
  <si>
    <t>C1[C@]2(CO)[C@@]3([H])CC[C@]4(C)[C@@]([H])(C5=COC(=O)C=C5)CC=C4[C@]3([H])CC[C@]2(O)C[C@@H](O)C1</t>
  </si>
  <si>
    <t>TYWDBJAVSCRBQI-FTXNGJEASA-N</t>
  </si>
  <si>
    <t>C24H32O5</t>
  </si>
  <si>
    <t>4.22_517.0960m/z</t>
  </si>
  <si>
    <t>Bofumustine</t>
  </si>
  <si>
    <t>HMDB0249337</t>
  </si>
  <si>
    <t>CC1(C)OC2C(COC(=O)C3=CC=C(C=C3)[N+]([O-])=O)OC(NC(=O)N(CCCl)N=O)C2O1</t>
  </si>
  <si>
    <t>YASNUXZKZNVXIS-UHFFFAOYSA-N</t>
  </si>
  <si>
    <t>C18H21ClN4O9</t>
  </si>
  <si>
    <t>10.38_562.2782n</t>
  </si>
  <si>
    <t>Macrolactin O</t>
  </si>
  <si>
    <t>LMFA07040104</t>
  </si>
  <si>
    <t>C1=CC[C@H](O)CC(=O)C=CC=CCCC[C@@H](C)OC(=O)C=CC=CC[C@H](O[C@H]2[C@H](O)[C@@H](O)[C@H](O)[C@@H](CO)O2)C=C1</t>
  </si>
  <si>
    <t>DNHDESCWXZDXMN-GXNIMRGBSA-N</t>
  </si>
  <si>
    <t>C30H42O10</t>
  </si>
  <si>
    <t>5.61_254.1303n</t>
  </si>
  <si>
    <t>8,9,10,11-Tetrafluoro-8e,10e-Dodecadien-1-Ol</t>
  </si>
  <si>
    <t>LMFA05000168</t>
  </si>
  <si>
    <t>OCCCCCCC/C(/F)=C(\F)/C(/F)=C(\F)/C</t>
  </si>
  <si>
    <t>QECZLRUNAWQRHS-WGDLNXRISA-N</t>
  </si>
  <si>
    <t>Vinyl halides</t>
  </si>
  <si>
    <t>Vinyl fluorides</t>
  </si>
  <si>
    <t>C12H18F4O</t>
  </si>
  <si>
    <t>12.87_715.4590m/z</t>
  </si>
  <si>
    <t>Progesterone 3-Biotin</t>
  </si>
  <si>
    <t>CC(=O)C1CCC2C1(CCC3C2CCC4=CC(=NOCC(=O)NCCCCCNC(=O)CCCCC5C6C(CS5)NC(=O)N6)CCC34C)C</t>
  </si>
  <si>
    <t>YDTYUCKIDRPFKB-BCBUBDITSA-N</t>
  </si>
  <si>
    <t>C38H59N5O5S</t>
  </si>
  <si>
    <t>9.50_675.2410m/z</t>
  </si>
  <si>
    <t>Dehydroisocoproporphyrinogen</t>
  </si>
  <si>
    <t>HMDB0002242</t>
  </si>
  <si>
    <t>86154-18-9</t>
  </si>
  <si>
    <t>CC1=C(CCC(O)=O)/C2=C/C3=N/C(=C\C4=C(CCC(O)=O)C(C)=C(N4)/C=C4\N=C(\C=C\1/N\2)C(C)=C4C=C)/C(CC(O)=O)=C3CCC(O)=O</t>
  </si>
  <si>
    <t>JDRJCEDEXKHHDY-TXUIXYGZSA-N</t>
  </si>
  <si>
    <t>Porphyrins</t>
  </si>
  <si>
    <t>C36H36N4O8</t>
  </si>
  <si>
    <t>5.62_552.9879m/z</t>
  </si>
  <si>
    <t>8-Oxo-Gtp</t>
  </si>
  <si>
    <t>HMDB0304250</t>
  </si>
  <si>
    <t>NC1=NC2=C(NC(=O)N2C2OC(COP([O-])(=O)OP([O-])(=O)OP([O-])([O-])=O)C(O)C2O)C(=O)N1</t>
  </si>
  <si>
    <t>JCHLKIQZUXYLPW-UHFFFAOYSA-J</t>
  </si>
  <si>
    <t>C10H12N5O15P3-4</t>
  </si>
  <si>
    <t>6.50_596.3209m/z</t>
  </si>
  <si>
    <t>Pkodia-Pa</t>
  </si>
  <si>
    <t>LMGP20070008</t>
  </si>
  <si>
    <t>[C@](COP(=O)(O)O)([H])(OC(CCCC(=O)/C=C/C(=O)O)=O)COC(CCCCCCCCCCCCCCC)=O</t>
  </si>
  <si>
    <t>FRSACBBYZYDGRH-UPCAWOEVSA-N</t>
  </si>
  <si>
    <t>C27H47O11P</t>
  </si>
  <si>
    <t>9.64_738.3551m/z</t>
  </si>
  <si>
    <t>Annomuricatin B</t>
  </si>
  <si>
    <t>HMDB0303182</t>
  </si>
  <si>
    <t>CC(C)CC1NC(=O)C(CC2=CNC3=CC=CC=C23)NC(=O)C(C)NC(=O)C(CC(N)=O)NC(=O)C2CCCN2C(=O)C(NC(=O)CNC1=O)C(C)O</t>
  </si>
  <si>
    <t>DHPZPVONGOOZPQ-UHFFFAOYSA-N</t>
  </si>
  <si>
    <t>C35H49N9O9</t>
  </si>
  <si>
    <t>8.99_645.3398m/z</t>
  </si>
  <si>
    <t>Okooa-Pg</t>
  </si>
  <si>
    <t>LMGP20060029</t>
  </si>
  <si>
    <t>[H][C@](O)(CO)COP(OC[C@]([H])(OC(CCCC(=O)/C=C/C=O)=O)COC(CCCCCCC/C=C\CCCCCCCC)=O)(=O)O</t>
  </si>
  <si>
    <t>YCEAAUANOREYMN-FHFRGTEHSA-N</t>
  </si>
  <si>
    <t>C32H55O12P</t>
  </si>
  <si>
    <t>1.32_558.9883m/z</t>
  </si>
  <si>
    <t>Photinus Luciferin</t>
  </si>
  <si>
    <t>C02740</t>
  </si>
  <si>
    <t>2591-17-5</t>
  </si>
  <si>
    <t>C1C(N=C(S1)C2=NC3=C(S2)C=C(C=C3)O)C(=O)O</t>
  </si>
  <si>
    <t>BJGNCJDXODQBOB-SSDOTTSWSA-N</t>
  </si>
  <si>
    <t>C11H8N2O3S2</t>
  </si>
  <si>
    <t>3.79_755.2021m/z</t>
  </si>
  <si>
    <t>Isovitexin 7-O-Xyloside-2''-O-Rhamnoside</t>
  </si>
  <si>
    <t>LMPK12110297</t>
  </si>
  <si>
    <t>C1(C2C=CC(O)=CC=2)=CC(=O)C2C(O)=C([C@H]3[C@H](O[C@H]4[C@H](O)[C@H](O)[C@@H](O)[C@H](C)O4)[C@@H](O)[C@H](O)[C@@H](CO)O3)C(O[C@H]3[C@H](O)[C@@H](O)[C@H](O)CO3)=CC=2O1</t>
  </si>
  <si>
    <t>HUOGAKLQMJJITJ-LJTJUHOOSA-N</t>
  </si>
  <si>
    <t>9.39_309.2070m/z</t>
  </si>
  <si>
    <t>15,16-Dihydrosacrolide A</t>
  </si>
  <si>
    <t>LMFA07040156</t>
  </si>
  <si>
    <t>C1CCCCCC(=O)O[C@H](CCCCC)C(=O)C=C[C@H](O)C1</t>
  </si>
  <si>
    <t>JJQOCZNUTZIGAX-RCKIBTJTSA-N</t>
  </si>
  <si>
    <t>C18H30O4</t>
  </si>
  <si>
    <t>7.43_331.1913m/z</t>
  </si>
  <si>
    <t>6-Angeloylfuranofukinol</t>
  </si>
  <si>
    <t>HMDB0036146</t>
  </si>
  <si>
    <t>C\C=C(/C)C(=O)OC1C2=C(CC3CCC(O)C(C)C13C)OC=C2C</t>
  </si>
  <si>
    <t>QSXNOUPYXMWUKT-IZZDOVSWSA-N</t>
  </si>
  <si>
    <t>10.38_562.2561n</t>
  </si>
  <si>
    <t>Protoporphyrin</t>
  </si>
  <si>
    <t>HMDB0000241</t>
  </si>
  <si>
    <t>C02191</t>
  </si>
  <si>
    <t>553-12-8</t>
  </si>
  <si>
    <t>CC1C(C2=NC1=CC3=NC(=CC4=C(C(C(=N4)C=C5C(=C(C(=C2)N5)C)C=C)C)CCC(=O)O)C(=C3C)CCC(=O)O)C=C</t>
  </si>
  <si>
    <t>KREANUBPTYTXIE-UHFFFAOYSA-N</t>
  </si>
  <si>
    <t>C34H34N4O4</t>
  </si>
  <si>
    <t>9.80_570.2829n</t>
  </si>
  <si>
    <t>Ganoderic Acid F</t>
  </si>
  <si>
    <t>HMDB0035988</t>
  </si>
  <si>
    <t>98665-15-7</t>
  </si>
  <si>
    <t>CC(CC(=O)CC(C)C(O)=O)C1CC(=O)C2(C)C3=C(C(=O)C(OC(C)=O)C12C)C1(C)CCC(=O)C(C)(C)C1CC3=O</t>
  </si>
  <si>
    <t>BWCNWXLKMWWVBT-UHFFFAOYSA-N</t>
  </si>
  <si>
    <t>C32H42O9</t>
  </si>
  <si>
    <t>4.68_580.1427n</t>
  </si>
  <si>
    <t>Kaempferol 3-Apiosyl-(1-&gt;2)-Galactoside</t>
  </si>
  <si>
    <t>HMDB0037430</t>
  </si>
  <si>
    <t>LMPK12111664</t>
  </si>
  <si>
    <t>99816-59-8</t>
  </si>
  <si>
    <t>C1(O)=CC2OC(C3C=CC(O)=CC=3)=C(OC3OC(CO)C(O)C(O)C3OC3OCC(CO)(O)C3O)C(=O)C=2C(O)=C1</t>
  </si>
  <si>
    <t>MNBRHJWOHPGQIW-UHFFFAOYSA-N</t>
  </si>
  <si>
    <t>1.92_341.0873m/z</t>
  </si>
  <si>
    <t>1-O-Caffeoylglucose</t>
  </si>
  <si>
    <t>HMDB0036937</t>
  </si>
  <si>
    <t>C10433</t>
  </si>
  <si>
    <t>14364-08-0</t>
  </si>
  <si>
    <t>OCC1OC(OC(=O)\C=C\C2=CC(O)=C(O)C=C2)C(O)C(O)C1O</t>
  </si>
  <si>
    <t>WQSDYZZEIBAPIN-DUXPYHPUSA-N</t>
  </si>
  <si>
    <t>C15H18O9</t>
  </si>
  <si>
    <t>0.75_349.1713m/z</t>
  </si>
  <si>
    <t>Sarizotan</t>
  </si>
  <si>
    <t>HMDB0257498</t>
  </si>
  <si>
    <t>FC1=CC=C(C=C1)C1=CC(CNCC2CCC3=CC=CC=C3O2)=CN=C1</t>
  </si>
  <si>
    <t>HKFMQJUJWSFOLY-UHFFFAOYSA-N</t>
  </si>
  <si>
    <t>Phenylpyridines</t>
  </si>
  <si>
    <t>C22H21FN2O</t>
  </si>
  <si>
    <t>11.12_874.5358m/z</t>
  </si>
  <si>
    <t>PE(20:0/22:6(5Z,7Z,10Z,13Z,16Z,19Z)-OH(4))</t>
  </si>
  <si>
    <t>HMDB0261894</t>
  </si>
  <si>
    <t>[H][C@@](COC(=O)CCCCCCCCCCCCCCCCCCC)(COP(O)(=O)OCCN)OC(=O)CCC(O)\C=C/C=C\C\C=C/C\C=C/C\C=C/C\C=C/CC</t>
  </si>
  <si>
    <t>RMIYQXBEQHMQGK-ZMEZPTJQSA-N</t>
  </si>
  <si>
    <t>C47H82NO9P</t>
  </si>
  <si>
    <t>6.08_448.3186n</t>
  </si>
  <si>
    <t>Bombycosterol</t>
  </si>
  <si>
    <t>LMST01010437</t>
  </si>
  <si>
    <t>C1C[C@H](O)C[C@]2(O)[C@@H](O)C=C3[C@@](CC[C@]4(C3=CC[C@]4([H])[C@](O)(C)CCCC(O)(C)C)C)([H])[C@]21C</t>
  </si>
  <si>
    <t>SPQADBMKWOFZEK-XWTZGSRKSA-N</t>
  </si>
  <si>
    <t>12.77_506.3971n</t>
  </si>
  <si>
    <t>(20r)-24-Hydroxy-19-Norgeminivitamin D3</t>
  </si>
  <si>
    <t>LMST03020630</t>
  </si>
  <si>
    <t>C1/C(=C/C=C2\CCC[C@]3(C)[C@@]([H])([C@]([H])(CCCC(O)(C)C)CC[C@@H](O)C(O)(C)C)CC[C@@]\23[H])/C[C@@H](O)C[C@@H]1O</t>
  </si>
  <si>
    <t>DPFVGAAKUUYVQT-CNYUWUMVSA-N</t>
  </si>
  <si>
    <t>C31H54O5</t>
  </si>
  <si>
    <t>4.83_441.1765m/z</t>
  </si>
  <si>
    <t>Lobetyolin</t>
  </si>
  <si>
    <t>HMDB0254141</t>
  </si>
  <si>
    <t>CC=CC#CC#CC(O)C(OC1OC(CO)C(O)C(O)C1O)C=CCCCO</t>
  </si>
  <si>
    <t>MMMUDYVKKPDZHS-UHFFFAOYSA-N</t>
  </si>
  <si>
    <t>3.46_491.1731m/z</t>
  </si>
  <si>
    <t>Enasidenib</t>
  </si>
  <si>
    <t>HMDB0251786</t>
  </si>
  <si>
    <t>CC(C)(O)CNC1=NC(=NC(NC2=CC(=NC=C2)C(F)(F)F)=N1)C1=NC(=CC=C1)C(F)(F)F</t>
  </si>
  <si>
    <t>DYLUUSLLRIQKOE-UHFFFAOYSA-N</t>
  </si>
  <si>
    <t>Triazines</t>
  </si>
  <si>
    <t>Aminotriazines</t>
  </si>
  <si>
    <t>C19H17F6N7O</t>
  </si>
  <si>
    <t>5.10_459.2500m/z</t>
  </si>
  <si>
    <t>Homodeoxycholic Acid</t>
  </si>
  <si>
    <t>LMST04070031</t>
  </si>
  <si>
    <t>C1[C@]2(C)[C@@]3([H])C[C@H](O)[C@]4(C)[C@@]([H])([C@]([H])(C)C(=O)CCC(O)=O)CC[C@@]4([H])[C@]3([H])CC[C@]2([H])C[C@H](O)C1</t>
  </si>
  <si>
    <t>NTGHGWPWDFOUIA-SVBWUSGOSA-N</t>
  </si>
  <si>
    <t>C25H40O5</t>
  </si>
  <si>
    <t>4.58_724.1772n</t>
  </si>
  <si>
    <t>Kaempferol 3-(2'',4''-Di-(Z)-P-Coumaroylrhamnoside)</t>
  </si>
  <si>
    <t>HMDB0032778</t>
  </si>
  <si>
    <t>205534-17-4</t>
  </si>
  <si>
    <t>CC1OC(OC2=C(OC3=CC(O)=CC(O)=C3C2=O)C2=CC=C(O)C=C2)C(OC(=O)\C=C\C2=CC=C(O)C=C2)C(O)C1OC(=O)\C=C\C1=CC=C(O)C=C1</t>
  </si>
  <si>
    <t>KMOHJUXDKSMQOG-KGMKFKQSSA-N</t>
  </si>
  <si>
    <t>C39H32O14</t>
  </si>
  <si>
    <t>4.50_484.2305n</t>
  </si>
  <si>
    <t>Plantaricin Bn</t>
  </si>
  <si>
    <t>HMDB0038238</t>
  </si>
  <si>
    <t>144377-77-5</t>
  </si>
  <si>
    <t>OC(=O)CCC1(CCC(O)=O)CCCCCCCCC(CCC(O)=O)(CCC(O)=O)C(=O)C1=O</t>
  </si>
  <si>
    <t>ZPAOCLAKRURAOZ-UHFFFAOYSA-N</t>
  </si>
  <si>
    <t>C24H36O10</t>
  </si>
  <si>
    <t>5.49_753.3480m/z</t>
  </si>
  <si>
    <t>LPIM1(19:2(9Z,12Z)/0:0)</t>
  </si>
  <si>
    <t>LMGP15040008</t>
  </si>
  <si>
    <t>[C@](COP(O[C@H]1[C@@H](O)[C@@H](O)[C@H](O)[C@@H](O)[C@@H]1O[C@@H]1[C@@H](O)[C@@H](O)[C@H](O)[C@@H](CO)O1)(=O)O)([H])(O)COC(CCCCCCC/C=C\C/C=C\CCCCCC)=O</t>
  </si>
  <si>
    <t>HXGCSGLMNYMQSA-HZHQGSAPSA-N</t>
  </si>
  <si>
    <t>C34H61O17P</t>
  </si>
  <si>
    <t>8.32_230.2476m/z</t>
  </si>
  <si>
    <t>3e-Tetradecen-1-Ol</t>
  </si>
  <si>
    <t>LMFA05000174</t>
  </si>
  <si>
    <t>OCC/C=C/CCCCCCCCCC</t>
  </si>
  <si>
    <t>DQELOVNSWGCVQZ-VAWYXSNFSA-N</t>
  </si>
  <si>
    <t>C14H28O</t>
  </si>
  <si>
    <t>1.06_317.0842m/z</t>
  </si>
  <si>
    <t>6-O-(3r,4-Dihydroxy-2-Methylene-Butanoyl)-Beta-D-Glucopyranose</t>
  </si>
  <si>
    <t>LMSL05000003</t>
  </si>
  <si>
    <t>C(OC[C@@H]1[C@@H](O)[C@H](O)[C@@H](O)[C@H](O)O1)(C([C@@H](O)CO)=C)=O</t>
  </si>
  <si>
    <t>FMHJNIRDGYFPEC-MOQKELMUSA-N</t>
  </si>
  <si>
    <t>C11H18O9</t>
  </si>
  <si>
    <t>4.26_413.2179m/z</t>
  </si>
  <si>
    <t>Thromboxane B3</t>
  </si>
  <si>
    <t>HMDB0005099</t>
  </si>
  <si>
    <t>LMFA03030016</t>
  </si>
  <si>
    <t>71953-80-5</t>
  </si>
  <si>
    <t>O1C(CC(C(C/C=C/CCCC(=O)O)C1/C=C/C(C/C=C/CC)O)O)O</t>
  </si>
  <si>
    <t>OYPPJMLKAYYWHH-OHVJZDGFSA-N</t>
  </si>
  <si>
    <t>C20H32O6</t>
  </si>
  <si>
    <t>12.33_977.4407m/z</t>
  </si>
  <si>
    <t>Bacopaside I</t>
  </si>
  <si>
    <t>HMDB0248841</t>
  </si>
  <si>
    <t>CC(C)=CC1COC23CC4(CO2)C(CCC2C5(C)CCC(OC6OCC(O)C(OC7OC(COS(O)(=O)=O)C(O)C(O)C7O)C6OC6OC(CO)C(O)C6O)C(C)(C)C5CCC42C)C3C1(C)O</t>
  </si>
  <si>
    <t>SKFWOYHZBNAJGA-UHFFFAOYSA-N</t>
  </si>
  <si>
    <t>C46H74O20S</t>
  </si>
  <si>
    <t>4.41_343.0998m/z</t>
  </si>
  <si>
    <t>Gsk232420a</t>
  </si>
  <si>
    <t>C1=CC(=C(C=C1N(CC(=O)N)CC(F)(F)F)C(F)(F)F)C#N</t>
  </si>
  <si>
    <t>ZDYGKWOTFUOWOA-UHFFFAOYSA-N</t>
  </si>
  <si>
    <t>C12H9F6N3O</t>
  </si>
  <si>
    <t>4.02_479.1549m/z</t>
  </si>
  <si>
    <t>Persicogenin 3'-Glucoside</t>
  </si>
  <si>
    <t>HMDB0041398</t>
  </si>
  <si>
    <t>COC1=CC(O)=C2C(=O)CC(OC2=C1)C1=CC(OC2OC(CO)C(O)C(O)C2O)=C(OC)C=C1</t>
  </si>
  <si>
    <t>VHGJMSVFUPCQGC-UHFFFAOYSA-N</t>
  </si>
  <si>
    <t>C23H26O11</t>
  </si>
  <si>
    <t>4.49_597.1624m/z</t>
  </si>
  <si>
    <t>Cucumerin B</t>
  </si>
  <si>
    <t>HMDB0301966</t>
  </si>
  <si>
    <t>CC(C1=CC=C(O)C=C1)C1=C(O)C(C2O[C@H](CO)[C@@H](O)[C@H](O)[C@H]2O)=C(O)C2=C1OC(=CC2=O)C1=CC=C(O)C=C1</t>
  </si>
  <si>
    <t>AEQPLRPDNSGKQU-GCOOXHSISA-N</t>
  </si>
  <si>
    <t>C29H28O11</t>
  </si>
  <si>
    <t>4.47_765.2214m/z</t>
  </si>
  <si>
    <t>Rhamnazin 3-Rhamninoside</t>
  </si>
  <si>
    <t>LMPK12112631</t>
  </si>
  <si>
    <t>C1(OC)=CC2OC(C3C=C(OC)C(O)=CC=3)=C(O[C@H]3[C@H](O)[C@@H](O)[C@@H](O)[C@@H](CO[C@H]4[C@H](O)[C@H](O[C@H]5[C@H](O)[C@H](O)[C@@H](O)[C@H](C)O5)[C@@H](O)[C@H](C)O4)O3)C(=O)C=2C(O)=C1</t>
  </si>
  <si>
    <t>BVQPBPDDNCHOSN-WDNGRKCRSA-N</t>
  </si>
  <si>
    <t>C35H44O20</t>
  </si>
  <si>
    <t>4.88_286.1073m/z</t>
  </si>
  <si>
    <t>Isoformononetin</t>
  </si>
  <si>
    <t>HMDB0033994</t>
  </si>
  <si>
    <t>LMPK12050039</t>
  </si>
  <si>
    <t>C12125</t>
  </si>
  <si>
    <t>486-63-5</t>
  </si>
  <si>
    <t>C1(OC)=CC2OC=C(C3C=CC(O)=CC=3)C(=O)C=2C=C1</t>
  </si>
  <si>
    <t>LNIQZRIHAMVRJA-UHFFFAOYSA-N</t>
  </si>
  <si>
    <t>O-methylated isoflavonoids</t>
  </si>
  <si>
    <t>9.27_345.1706m/z</t>
  </si>
  <si>
    <t>2-Methoxyestrone</t>
  </si>
  <si>
    <t>HMDB0000010</t>
  </si>
  <si>
    <t>LMST02010033</t>
  </si>
  <si>
    <t>C05299</t>
  </si>
  <si>
    <t>362-08-3</t>
  </si>
  <si>
    <t>[C@]12([H])CC[C@]3(C)C(CC[C@@]3([H])[C@]1([H])CCC1C=C(C(OC)=CC2=1)O)=O</t>
  </si>
  <si>
    <t>WHEUWNKSCXYKBU-QPWUGHHJSA-N</t>
  </si>
  <si>
    <t>C19H24O3</t>
  </si>
  <si>
    <t>14.11_1053.5085m/z</t>
  </si>
  <si>
    <t>PIP(22:4(10Z,13Z,16Z,19Z)/22:6(5Z,7Z,10Z,13Z,16Z,19Z)-OH(4))</t>
  </si>
  <si>
    <t>HMDB0280463</t>
  </si>
  <si>
    <t>[H][C@@](COC(=O)CCCCCCCC\C=C/C\C=C/C\C=C/C\C=C/CC)(COP(O)(=O)O[C@H]1C(O)C(O)C(O)[C@@H](OP(O)(O)=O)C1O)OC(=O)CCC(O)\C=C/C=C\C\C=C/C\C=C/C\C=C/C\C=C/CC</t>
  </si>
  <si>
    <t>BEZASKHGVAKPMC-CSRXNGKVSA-N</t>
  </si>
  <si>
    <t>C53H84O17P2</t>
  </si>
  <si>
    <t>7.90_198.1254n</t>
  </si>
  <si>
    <t>7-Hydroxy-2,4,7-Trimethyl-2e,4e-Octadienoic Acid</t>
  </si>
  <si>
    <t>LMFA01031268</t>
  </si>
  <si>
    <t>C(/C(/C)=C/C(/C)=C/CC(O)(C)C)(=O)O</t>
  </si>
  <si>
    <t>AHNOKIIXVYRKGQ-OCIXRKKMSA-N</t>
  </si>
  <si>
    <t>C11H18O3</t>
  </si>
  <si>
    <t>5.61_281.1744m/z</t>
  </si>
  <si>
    <t>3,4-Dihydroxy-2-Methoxy-4-Methyl-3-[2-Methyl-3-(3-Methyl-But-2-Enyl)-Oxiranyl]-Cyclohexanone</t>
  </si>
  <si>
    <t>HMDB0246031</t>
  </si>
  <si>
    <t>COC1C(=O)CCC(C)(O)C1(O)C1(C)OC1CC=C(C)C</t>
  </si>
  <si>
    <t>UOXVFQCRPDLSFN-UHFFFAOYSA-N</t>
  </si>
  <si>
    <t>C16H26O5</t>
  </si>
  <si>
    <t>5.08_449.1089m/z</t>
  </si>
  <si>
    <t>Eriodictyol 3'-O-Glucoside</t>
  </si>
  <si>
    <t>LMPK12140364</t>
  </si>
  <si>
    <t>C1(O)=CC2OC(C3C=C(O[C@H]4[C@H](O)[C@H](O)[C@H](O)[C@@H](CO)O4)C(O)=CC=3)CC(=O)C=2C(O)=C1</t>
  </si>
  <si>
    <t>KTDWFYOXQQWERW-SLOQVBGBSA-N</t>
  </si>
  <si>
    <t>12.40_448.2587n</t>
  </si>
  <si>
    <t>Umbelliferyl Arachidonate</t>
  </si>
  <si>
    <t>161180-11-6</t>
  </si>
  <si>
    <t>CCCCCC=CCC=CCC=CCC=CCCCC(=O)OC1=CC2=C(C=C1)C=CC(=O)O2</t>
  </si>
  <si>
    <t>SFTGFGOBCQCZDY-DOFZRALJSA-N</t>
  </si>
  <si>
    <t>C29H36O4</t>
  </si>
  <si>
    <t>6.34_544.3270m/z</t>
  </si>
  <si>
    <t>Ibha#28</t>
  </si>
  <si>
    <t>LMFA13040108</t>
  </si>
  <si>
    <t>O([C@@H](CCCCCCCCCCC[C@H](O)CC(=O)O)C)[C@H]1[C@H](O)C[C@@H](OC(=O)C2=CNC3C=CC=CC=32)[C@H](C)O1</t>
  </si>
  <si>
    <t>DVKTXYSVNVCEOI-AQTHURGKSA-N</t>
  </si>
  <si>
    <t>C31H47NO8</t>
  </si>
  <si>
    <t>1.58_358.1261n</t>
  </si>
  <si>
    <t>Tarrenoside</t>
  </si>
  <si>
    <t>LMPR0102070042</t>
  </si>
  <si>
    <t>C11654</t>
  </si>
  <si>
    <t>61081-59-2</t>
  </si>
  <si>
    <t>[C@@]12([H])C(=CC[C@]1([H])C(C(=O)[H])=CO[C@H]2O[C@H]1[C@H](O)[C@H]([C@H](O)[C@@H](CO)O1)O)CO</t>
  </si>
  <si>
    <t>CSSBAEZXGJABKW-SWZHBTMOSA-N</t>
  </si>
  <si>
    <t>C16H22O9</t>
  </si>
  <si>
    <t>6.78_370.1774n</t>
  </si>
  <si>
    <t>Calanolide A</t>
  </si>
  <si>
    <t>HMDB0249535</t>
  </si>
  <si>
    <t>CCCC1=CC(=O)OC2=C3C(O)C(C)C(C)OC3=C3C=CC(C)(C)OC3=C12</t>
  </si>
  <si>
    <t>NIDRYBLTWYFCFV-UHFFFAOYSA-N</t>
  </si>
  <si>
    <t>Pyranocoumarins</t>
  </si>
  <si>
    <t>C22H26O5</t>
  </si>
  <si>
    <t>13.51_473.2636m/z</t>
  </si>
  <si>
    <t>PA(19:1(9Z)/0:0)</t>
  </si>
  <si>
    <t>LMGP10050025</t>
  </si>
  <si>
    <t>[C@](COP(=O)(O)O)([H])(O)COC(CCCCCCC/C=C\CCCCCCCCC)=O</t>
  </si>
  <si>
    <t>PBTCGPITOGPANY-KUFMOJEASA-N</t>
  </si>
  <si>
    <t>C22H43O7P</t>
  </si>
  <si>
    <t>6.18_643.2967m/z</t>
  </si>
  <si>
    <t>Benzoyl-Fvr-Pna</t>
  </si>
  <si>
    <t>HMDB0249042</t>
  </si>
  <si>
    <t>CC(C)C(NC(=O)C(CC1=CC=CC=C1)NC(=O)C1=CC=CC=C1)C(=O)NC(CCCN=C(N)N)C(=O)NC1=CC=C(C=C1)[N+]([O-])=O</t>
  </si>
  <si>
    <t>QQVNCBCBFNWLJX-UHFFFAOYSA-N</t>
  </si>
  <si>
    <t>C33H40N8O6</t>
  </si>
  <si>
    <t>5.03_576.1266n</t>
  </si>
  <si>
    <t>Proanthocyanidin A2</t>
  </si>
  <si>
    <t>HMDB0037655</t>
  </si>
  <si>
    <t>C10237</t>
  </si>
  <si>
    <t>41743-41-3</t>
  </si>
  <si>
    <t>O[C@@H]1CC2=C(O[C@@H]1C1=CC=C(O)C(O)=C1)C1=C(O[C@@]3(OC4=C([C@H]1[C@H]3O)C(O)=CC(O)=C4)C1=CC(O)=C(O)C=C1)C=C2O</t>
  </si>
  <si>
    <t>NSEWTSAADLNHNH-LSBOWGMISA-N</t>
  </si>
  <si>
    <t>C30H24O12</t>
  </si>
  <si>
    <t>11.31_322.2142n</t>
  </si>
  <si>
    <t>17-Hydroxy-1-Oxo-2,3-Seco-Androstan-3-Oic Acid</t>
  </si>
  <si>
    <t>LMST02020113</t>
  </si>
  <si>
    <t>CC(=O)[C@@]1(C)[C@@]([H])(CC[C@@]2([H])[C@]3([H])CC[C@H](O)[C@@]3(C)CC[C@]12[H])CC(O)=O</t>
  </si>
  <si>
    <t>UVMGMKYQPLCEGR-LUJOEAJASA-N</t>
  </si>
  <si>
    <t>C19H30O4</t>
  </si>
  <si>
    <t>4.60_389.1236m/z</t>
  </si>
  <si>
    <t>Marmesin Galactoside</t>
  </si>
  <si>
    <t>HMDB0041508</t>
  </si>
  <si>
    <t>156363-69-8</t>
  </si>
  <si>
    <t>CC(C)(OC1OC(CO)C(O)C(O)C1O)C1CC2=C(O1)C=C1OC(=O)C=CC1=C2</t>
  </si>
  <si>
    <t>HXCGUCZXPFBNRD-UHFFFAOYSA-N</t>
  </si>
  <si>
    <t>C20H24O9</t>
  </si>
  <si>
    <t>9.45_300.1230m/z</t>
  </si>
  <si>
    <t>Saltillin</t>
  </si>
  <si>
    <t>LMPK12110106</t>
  </si>
  <si>
    <t>C1(C)=CC2OC(C3C=CC(OC)=CC=3)=CC(=O)C=2C(O)=C1</t>
  </si>
  <si>
    <t>BSEYWXDBSOCPQP-UHFFFAOYSA-N</t>
  </si>
  <si>
    <t>C17H14O4</t>
  </si>
  <si>
    <t>5.20_531.2201m/z</t>
  </si>
  <si>
    <t>Cafamarine</t>
  </si>
  <si>
    <t>HMDB0037003</t>
  </si>
  <si>
    <t>42612-19-1</t>
  </si>
  <si>
    <t>OCC1OC(OCC2(O)CC34CC2CCC3C2(CO)CC(=O)C3=C(C=CO3)C2CC4)C(O)C(O)C1O</t>
  </si>
  <si>
    <t>TXMUQQBIIGAMBQ-UHFFFAOYSA-N</t>
  </si>
  <si>
    <t>9.05_624.3882m/z</t>
  </si>
  <si>
    <t>Pa-Pe</t>
  </si>
  <si>
    <t>LMGP20020029</t>
  </si>
  <si>
    <t>[C@](COP(=O)(O)OCCN)([H])(OC(CCCCCCCC(O)=O)=O)COC(CCCCCCCCCCCCCCC)=O</t>
  </si>
  <si>
    <t>QDOXOJQNTFOXPO-HHHXNRCGSA-N</t>
  </si>
  <si>
    <t>C30H58NO10P</t>
  </si>
  <si>
    <t>4.45_508.1946n</t>
  </si>
  <si>
    <t>Gibberellin A3 O-Beta-D-Glucoside</t>
  </si>
  <si>
    <t>LMPR0104170033</t>
  </si>
  <si>
    <t>C04070</t>
  </si>
  <si>
    <t>WUTOEZVIPGBMEA-HRHVLVCKSA-N</t>
  </si>
  <si>
    <t>0.72_219.0472m/z</t>
  </si>
  <si>
    <t>Sodium Gluconate</t>
  </si>
  <si>
    <t>HMDB0303730</t>
  </si>
  <si>
    <t>[Na+].OCC(O)C(O)C(O)C(O)C([O-])=O</t>
  </si>
  <si>
    <t>UPMFZISCCZSDND-UHFFFAOYSA-M</t>
  </si>
  <si>
    <t>C6H11NaO7</t>
  </si>
  <si>
    <t>4.79_345.1088m/z</t>
  </si>
  <si>
    <t>Phenmedipham</t>
  </si>
  <si>
    <t>HMDB0256405</t>
  </si>
  <si>
    <t>C18420</t>
  </si>
  <si>
    <t>13684-63-4</t>
  </si>
  <si>
    <t>COC(O)=NC1=CC(OC(O)=NC2=CC=CC(C)=C2)=CC=C1</t>
  </si>
  <si>
    <t>IDOWTHOLJBTAFI-UHFFFAOYSA-N</t>
  </si>
  <si>
    <t>Phenylcarbamic acid esters</t>
  </si>
  <si>
    <t>C16H16N2O4</t>
  </si>
  <si>
    <t>4.44_329.0876m/z</t>
  </si>
  <si>
    <t>2-O-Benzoyl-D-Glucose</t>
  </si>
  <si>
    <t>HMDB0034618</t>
  </si>
  <si>
    <t>63029-01-6</t>
  </si>
  <si>
    <t>OCC1OC(O)C(OC(=O)C2=CC=CC=C2)C(O)C1O</t>
  </si>
  <si>
    <t>RIDPBVGJGNVNFX-UHFFFAOYSA-N</t>
  </si>
  <si>
    <t>C13H16O7</t>
  </si>
  <si>
    <t>5.17_359.1485m/z</t>
  </si>
  <si>
    <t>Matairesinol</t>
  </si>
  <si>
    <t>HMDB0035698</t>
  </si>
  <si>
    <t>C10682</t>
  </si>
  <si>
    <t>ko00998</t>
  </si>
  <si>
    <t>Biosynthesis of various secondary metabolites - part 2</t>
  </si>
  <si>
    <t>580-72-3</t>
  </si>
  <si>
    <t>COC1=C(O)C=CC(C[C@H]2COC(=O)[C@@H]2CC2=CC(OC)=C(O)C=C2)=C1</t>
  </si>
  <si>
    <t>MATGKVZWFZHCLI-LSDHHAIUSA-N</t>
  </si>
  <si>
    <t>C20H22O6</t>
  </si>
  <si>
    <t>4.79_219.1014m/z</t>
  </si>
  <si>
    <t>(S,E)-2-(5-Hydroxy-8,9-Dihydro-5h-Benzo[7]Annulen-6(7h)-Ylidene)Acetic Acid</t>
  </si>
  <si>
    <t>HMDB0250015</t>
  </si>
  <si>
    <t>OC1C2=CC=CC=C2CCCC1=CC(O)=O</t>
  </si>
  <si>
    <t>UADPGHINQMWEAG-UHFFFAOYSA-N</t>
  </si>
  <si>
    <t>C13H14O3</t>
  </si>
  <si>
    <t>10.38_502.2356n</t>
  </si>
  <si>
    <t>Amcinonide</t>
  </si>
  <si>
    <t>HMDB0014433</t>
  </si>
  <si>
    <t>51022-69-6</t>
  </si>
  <si>
    <t>[H][C@@]12C[C@@]3([H])[C@]4([H])CCC5=CC(=O)C=C[C@]5(C)[C@@]4(F)[C@@H](O)C[C@]3(C)[C@@]1(OC1(CCCC1)O2)C(=O)COC(C)=O</t>
  </si>
  <si>
    <t>ILKJAFIWWBXGDU-MOGDOJJUSA-N</t>
  </si>
  <si>
    <t>C28H35FO7</t>
  </si>
  <si>
    <t>5.52_349.1643m/z</t>
  </si>
  <si>
    <t>Gibberellin A77</t>
  </si>
  <si>
    <t>HMDB0037004</t>
  </si>
  <si>
    <t>128230-24-0</t>
  </si>
  <si>
    <t>[H][C@@]12C[C@H](O)[C@]3(O)C[C@]1(CC3=C)[C@@H](C(O)=O)[C@]1([H])[C@@]3(C)CCC[C@@]21OC3=O</t>
  </si>
  <si>
    <t>BQOOPWCLYXZXSL-OBDJNFEBSA-N</t>
  </si>
  <si>
    <t>C19H24O6</t>
  </si>
  <si>
    <t>1.11_645.1316m/z</t>
  </si>
  <si>
    <t>Bisorganyltrisulfane</t>
  </si>
  <si>
    <t>HMDB0304276</t>
  </si>
  <si>
    <t>[N+]C(CCC(=O)NC(CSSSCC(NC(=O)CCC([N+])C([O-])=O)C(=O)NCC([O-])=O)C(O)NCC([O-])=O)C([O-])=O</t>
  </si>
  <si>
    <t>DPTNZNQYVIPGGG-UHFFFAOYSA-J</t>
  </si>
  <si>
    <t>C20H32N6O12S3-2</t>
  </si>
  <si>
    <t>11.44_987.5898m/z</t>
  </si>
  <si>
    <t>PI(22:1(11Z)/22:6(4Z,7Z,10Z,13Z,16Z,19Z))</t>
  </si>
  <si>
    <t>LMGP06010724</t>
  </si>
  <si>
    <t>[C@]([H])(OC(CC/C=C\C/C=C\C/C=C\C/C=C\C/C=C\C/C=C\CC)=O)(COP(=O)(O)O[C@H]1[C@H](O)[C@@H](O)[C@H](O)[C@@H](O)[C@H]1O)COC(CCCCCCCCC/C=C\CCCCCCCCCC)=O</t>
  </si>
  <si>
    <t>IFCXODPCRNYZJX-BRLWQEKYSA-N</t>
  </si>
  <si>
    <t>C53H89O13P</t>
  </si>
  <si>
    <t>3.86_489.1976m/z</t>
  </si>
  <si>
    <t>Dihydrophaseic Acid 4-O-Beta-D-Glucoside</t>
  </si>
  <si>
    <t>LMPR0103050006</t>
  </si>
  <si>
    <t>C1[C@]2(C)CO[C@@](C)([C@]2(O)/C=C/C(/C)=C\C(O)=O)C[C@H]1O[C@H]1[C@H](O)[C@@H](O)[C@H](O)[C@@H](CO)O1</t>
  </si>
  <si>
    <t>UHHVHDDICOEBTQ-WTZDRGJSSA-N</t>
  </si>
  <si>
    <t>C21H32O10</t>
  </si>
  <si>
    <t>11.93_325.1840m/z</t>
  </si>
  <si>
    <t>4-Dodecylbenzenesulfonic Acid</t>
  </si>
  <si>
    <t>HMDB0059915</t>
  </si>
  <si>
    <t>CCCCCCCCCCCCC1=CC=C(C=C1)S(O)(=O)=O</t>
  </si>
  <si>
    <t>KWXICGTUELOLSQ-UHFFFAOYSA-N</t>
  </si>
  <si>
    <t>Benzenesulfonic acids and derivatives</t>
  </si>
  <si>
    <t>C18H30O3S</t>
  </si>
  <si>
    <t>4.26_349.1428m/z</t>
  </si>
  <si>
    <t>Curcumin Ii</t>
  </si>
  <si>
    <t>HMDB0039610</t>
  </si>
  <si>
    <t>91884-87-6</t>
  </si>
  <si>
    <t>COC1=C(O)C=CC(C\C=C\C(=O)CC(=O)\C=C/CC2=CC=C(O)C=C2)=C1</t>
  </si>
  <si>
    <t>RGMADVSAJHLTDE-MFDSWNTHSA-N</t>
  </si>
  <si>
    <t>C22H22O5</t>
  </si>
  <si>
    <t>6.07_595.2739m/z</t>
  </si>
  <si>
    <t>Adonitoxin</t>
  </si>
  <si>
    <t>LMST01120020</t>
  </si>
  <si>
    <t>C08843</t>
  </si>
  <si>
    <t>C1[C@@]2(C=O)[C@]([H])(CC[C@]3([H])[C@]2([H])CC[C@]2(C)[C@@]([H])(C4COC(=O)C=4)[C@@H](O)C[C@]32O)C[C@@H](O[C@@H]2O[C@@H](C)[C@H](O)[C@@H](O)[C@H]2O)C1</t>
  </si>
  <si>
    <t>ARANEVHRNOGYRH-BBNLJEPRSA-N</t>
  </si>
  <si>
    <t>9.65_328.2249n</t>
  </si>
  <si>
    <t>(9r,10s,12z)-9,10-Dihydroxy-8-Oxo-12-Octadecenoic Acid</t>
  </si>
  <si>
    <t>HMDB0040611</t>
  </si>
  <si>
    <t>142036-13-3</t>
  </si>
  <si>
    <t>CCCCC\C=C\CC(O)C(O)C(=O)CCCCCCC(O)=O</t>
  </si>
  <si>
    <t>NIOKCFABUMZUDL-RMKNXTFCSA-N</t>
  </si>
  <si>
    <t>C18H32O5</t>
  </si>
  <si>
    <t>0.78_305.1204m/z</t>
  </si>
  <si>
    <t>Clitocine</t>
  </si>
  <si>
    <t>HMDB0033718</t>
  </si>
  <si>
    <t>105798-74-1</t>
  </si>
  <si>
    <t>NC1=C(C(NC2OC(CO)C(O)C2O)=NC=N1)N(=O)=O</t>
  </si>
  <si>
    <t>OHEMBWZZEKCBAS-UHFFFAOYSA-N</t>
  </si>
  <si>
    <t>C9H13N5O6</t>
  </si>
  <si>
    <t>5.35_602.3328m/z</t>
  </si>
  <si>
    <t>Euphornin</t>
  </si>
  <si>
    <t>C19991</t>
  </si>
  <si>
    <t>80454-47-3</t>
  </si>
  <si>
    <t>CC1CC2(C(C1OC(=O)C3=CC=CC=C3)C=C(C(CC(C(C=CC(C2OC(=O)C)C)(C)C)OC(=O)C)OC(=O)C)C)O</t>
  </si>
  <si>
    <t>BRVXVMOWTHQKHC-NHTJSLHDSA-N</t>
  </si>
  <si>
    <t>C33H44O9</t>
  </si>
  <si>
    <t>1.68_286.1054n</t>
  </si>
  <si>
    <t>Salicin</t>
  </si>
  <si>
    <t>HMDB0003546</t>
  </si>
  <si>
    <t>C01451</t>
  </si>
  <si>
    <t>ko00010,ko02060,ko04742</t>
  </si>
  <si>
    <t>Glycolysis / Gluconeogenesis|Phosphotransferase system (PTS)|Taste transduction</t>
  </si>
  <si>
    <t>138-52-3</t>
  </si>
  <si>
    <t>OC[C@H]1O[C@@H](OC2=C(CO)C=CC=C2)[C@H](O)[C@@H](O)[C@@H]1O</t>
  </si>
  <si>
    <t>NGFMICBWJRZIBI-UJPOAAIJSA-N</t>
  </si>
  <si>
    <t>4.79_409.2734m/z</t>
  </si>
  <si>
    <t>Apo-10'-Violaxanthal</t>
  </si>
  <si>
    <t>HMDB0039018</t>
  </si>
  <si>
    <t>17237-68-2</t>
  </si>
  <si>
    <t>C\C(\C=C/C=O)=C\C=C\C=C(/C)\C=C\C=C(\C)/C=C/C12OC1(C)CC(O)CC2(C)C</t>
  </si>
  <si>
    <t>QZOYIQGWDBXSHB-AFMCRXATSA-N</t>
  </si>
  <si>
    <t>Sesterterpenoids</t>
  </si>
  <si>
    <t>C27H36O3</t>
  </si>
  <si>
    <t>12.47_628.4380m/z</t>
  </si>
  <si>
    <t>Sulfobacin B</t>
  </si>
  <si>
    <t>LMSP00000020</t>
  </si>
  <si>
    <t>C([C@]([H])(NC(=O)CCCCCCCCCCCC(C)C)[C@]([H])(O)CCCCCCCCCCCCC(C)C)S(=O)(=O)O</t>
  </si>
  <si>
    <t>XNCYPWLNVMCDKU-AJQTZOPKSA-N</t>
  </si>
  <si>
    <t>C33H67NO5S</t>
  </si>
  <si>
    <t>11.46_340.2972n</t>
  </si>
  <si>
    <t>3-Oxo-Heneicosanoic Acid</t>
  </si>
  <si>
    <t>LMFA01060137</t>
  </si>
  <si>
    <t>C(CC(=O)CCCCCCCCCCCCCCCCCC)(=O)O</t>
  </si>
  <si>
    <t>HIOTZLCGSPKFPF-UHFFFAOYSA-N</t>
  </si>
  <si>
    <t>C21H40O3</t>
  </si>
  <si>
    <t>10.46_874.4674n</t>
  </si>
  <si>
    <t>Pectenotoxin 1</t>
  </si>
  <si>
    <t>HMDB0033490</t>
  </si>
  <si>
    <t>97564-90-4</t>
  </si>
  <si>
    <t>CC1CCOC(O)(C2CC3OC(=O)C(C)C4CCCC5(CCC(O5)C(O)C5(C)CC(=O)C(O5)C5CC6(CO)CCC(O6)(O5)C5CCC(C)(CC(C)\C=C(/C)\C=C\C3O2)O5)O4)C1O</t>
  </si>
  <si>
    <t>KJWMGLBVDNMNQW-GVLZMTCSSA-N</t>
  </si>
  <si>
    <t>Pectenotoxins and derivatives</t>
  </si>
  <si>
    <t>C47H70O15</t>
  </si>
  <si>
    <t>4.40_582.1578n</t>
  </si>
  <si>
    <t>Norrubrofusarin 6-Beta-Gentiobioside</t>
  </si>
  <si>
    <t>HMDB0034570</t>
  </si>
  <si>
    <t>CC1=CC(=O)C2=C(O)C3=C(OC4OC(COC5OC(CO)C(O)C(O)C5O)C(O)C(O)C4O)C=C(O)C=C3C=C2O1</t>
  </si>
  <si>
    <t>CUEQARUDPRWNCW-UHFFFAOYSA-N</t>
  </si>
  <si>
    <t>Naphthopyranones</t>
  </si>
  <si>
    <t>C26H30O15</t>
  </si>
  <si>
    <t>4.33_429.1722m/z</t>
  </si>
  <si>
    <t>Rosavin</t>
  </si>
  <si>
    <t>84954-92-7</t>
  </si>
  <si>
    <t>C1C(C(C(C(O1)OCC2C(C(C(C(O2)OCC=CC3=CC=CC=C3)O)O)O)O)O)O</t>
  </si>
  <si>
    <t>RINHYCZCUGCZAJ-UHAHJPEESA-N</t>
  </si>
  <si>
    <t>C20H28O10</t>
  </si>
  <si>
    <t>4.58_181.0860m/z</t>
  </si>
  <si>
    <t>Dacarbazine</t>
  </si>
  <si>
    <t>C06936</t>
  </si>
  <si>
    <t>4342-03-4</t>
  </si>
  <si>
    <t>CN(C)N=NC1=C(NC=N1)C(=O)N</t>
  </si>
  <si>
    <t>FDKXTQMXEQVLRF-ZHACJKMWSA-N</t>
  </si>
  <si>
    <t>C6H10N6O</t>
  </si>
  <si>
    <t>4.79_661.2805m/z</t>
  </si>
  <si>
    <t>Ambelline</t>
  </si>
  <si>
    <t>C08517</t>
  </si>
  <si>
    <t>3660-62-6</t>
  </si>
  <si>
    <t>COC1CC2C3(C=C1)C(CN2CC4=C(C5=C(C=C34)OCO5)OC)O</t>
  </si>
  <si>
    <t>QAHZAHIPKNLGAS-KZRPXEQKSA-N</t>
  </si>
  <si>
    <t>Crinine- and Haemanthamine-type amaryllidaceae alkaloids</t>
  </si>
  <si>
    <t>C18H21NO5</t>
  </si>
  <si>
    <t>4.45_555.1695m/z</t>
  </si>
  <si>
    <t>Plumerubroside</t>
  </si>
  <si>
    <t>LMPK12020144</t>
  </si>
  <si>
    <t>C1(OC)C=C2O[C@H](C3C=C(OC)C(O)=C(OC)C=3)[C@@H](O)CC2=C(O[C@H]2[C@H](O)[C@@H](O)[C@H](O)[C@@H](CO)O2)C=1</t>
  </si>
  <si>
    <t>IBKHAIJVZGYPDV-MTGIANMYSA-N</t>
  </si>
  <si>
    <t>C24H30O12</t>
  </si>
  <si>
    <t>5.60_701.3024m/z</t>
  </si>
  <si>
    <t>9-(Beta-D-Ribofuranosyl)Zeatin</t>
  </si>
  <si>
    <t>HMDB0030388</t>
  </si>
  <si>
    <t>6025-53-2</t>
  </si>
  <si>
    <t>C\C(CO)=C/CNC1=NC=NC2=C1N=CN2C1OC(CO)C(O)C1O</t>
  </si>
  <si>
    <t>GOSWTRUMMSCNCW-KRXBUXKQSA-N</t>
  </si>
  <si>
    <t>C15H21N5O5</t>
  </si>
  <si>
    <t>6.13_410.1723n</t>
  </si>
  <si>
    <t>1-Isomangostin</t>
  </si>
  <si>
    <t>HMDB0029981</t>
  </si>
  <si>
    <t>C10071</t>
  </si>
  <si>
    <t>19275-44-6</t>
  </si>
  <si>
    <t>COC1=C(CC=C(C)C)C2=C(OC3=C(C2=O)C2=C(CCC(C)(C)O2)C(O)=C3)C=C1O</t>
  </si>
  <si>
    <t>JUHXHWKPHWGZKL-UHFFFAOYSA-N</t>
  </si>
  <si>
    <t>C24H26O6</t>
  </si>
  <si>
    <t>1.06_215.0524m/z</t>
  </si>
  <si>
    <t>Isopropyl Tartaric Acid</t>
  </si>
  <si>
    <t>HMDB0302348</t>
  </si>
  <si>
    <t>[H][C@](O)(C(O)=O)[C@@]([H])(O)C(=O)OC(C)C</t>
  </si>
  <si>
    <t>SSZYZSRPAKZEIB-RFZPGFLSSA-N</t>
  </si>
  <si>
    <t>C7H12O6</t>
  </si>
  <si>
    <t>0.81_333.1154m/z</t>
  </si>
  <si>
    <t>Prodiamine</t>
  </si>
  <si>
    <t>HMDB0256792</t>
  </si>
  <si>
    <t>C18884</t>
  </si>
  <si>
    <t>29091-21-2</t>
  </si>
  <si>
    <t>CCCN(CCC)C1=C(C(N)=C(C=C1[N+]([O-])=O)C(F)(F)F)[N+]([O-])=O</t>
  </si>
  <si>
    <t>RSVPPPHXAASNOL-UHFFFAOYSA-N</t>
  </si>
  <si>
    <t>C13H17F3N4O4</t>
  </si>
  <si>
    <t>9.36_683.3283m/z</t>
  </si>
  <si>
    <t>Jasmolone Glucoside</t>
  </si>
  <si>
    <t>HMDB0032870</t>
  </si>
  <si>
    <t>CC\C=C\CC1=C(C)C(CC1=O)OC1OC(CO)C(O)C(O)C1O</t>
  </si>
  <si>
    <t>NGPYRFLYLKLRDH-SNAWJCMRSA-N</t>
  </si>
  <si>
    <t>C17H26O7</t>
  </si>
  <si>
    <t>5.84_387.2022m/z</t>
  </si>
  <si>
    <t>Litchioside C</t>
  </si>
  <si>
    <t>LMFA13010152</t>
  </si>
  <si>
    <t>C(C[C@@]1(O[C@H]2[C@H](O)[C@@H](O)[C@H](O)[C@@H](CO)O2)C[C@@H]1CCCCCCCCO)(=O)O</t>
  </si>
  <si>
    <t>KZBDSSNNSZQJRW-VLWVFBAFSA-N</t>
  </si>
  <si>
    <t>C19H34O9</t>
  </si>
  <si>
    <t>4.95_440.2044n</t>
  </si>
  <si>
    <t>3'-Hydroxy-Ht2 Toxin</t>
  </si>
  <si>
    <t>HMDB0036162</t>
  </si>
  <si>
    <t>78368-54-4</t>
  </si>
  <si>
    <t>CC(=O)OCC12CC(OC(=O)CC(C)(C)O)C(C)=CC1OC1C(O)C(O)C2(C)C11CO1</t>
  </si>
  <si>
    <t>OJBCMLLFVXXDGS-UHFFFAOYSA-N</t>
  </si>
  <si>
    <t>C22H32O9</t>
  </si>
  <si>
    <t>1.69_687.1694m/z</t>
  </si>
  <si>
    <t>Epicatechin-(2alpha-&gt;7,4alpha-&gt;8)-Epicatechin 3-Galactoside</t>
  </si>
  <si>
    <t>HMDB0301676</t>
  </si>
  <si>
    <t>490-46-0</t>
  </si>
  <si>
    <t>OC[C@H]1O[C@H](O[C@@H]2[C@@H]3C4=C(O[C@]2(OC2=C3C3=C(CC[C@H](O3)C3=CC(O)=C(O)C=C3)C=C2)C2=CC(O)=C(O)C=C2)C=C(O)C=C4O)[C@H](O)[C@@H](O)[C@H]1O</t>
  </si>
  <si>
    <t>MVLCXMXCRQYNIC-TWULTLMFSA-N</t>
  </si>
  <si>
    <t>C36H34O15</t>
  </si>
  <si>
    <t>5.01_607.3105m/z</t>
  </si>
  <si>
    <t>Austrobuxusin F</t>
  </si>
  <si>
    <t>LMPR0103540006</t>
  </si>
  <si>
    <t>[C@]12(C)[C@@]3(C[C@@]([H])([C@H](C)O)C(=O)O3)[C@@H]3O[C@@H]3[C@@]1(O)[C@H]1C(O[C@@H]([C@H]2OC(CCCCCCCCCCC)=O)[C@H]1C(=C)C)=O</t>
  </si>
  <si>
    <t>DQJKVVGTJNBSOS-FNWZZRCQSA-N</t>
  </si>
  <si>
    <t>C31H46O9</t>
  </si>
  <si>
    <t>6.03_529.3001m/z</t>
  </si>
  <si>
    <t>Goshonoside F1</t>
  </si>
  <si>
    <t>HMDB0038539</t>
  </si>
  <si>
    <t>90851-24-4</t>
  </si>
  <si>
    <t>C\C(CCC1C(=C)CCC2C(C)(CO)C(O)CCC12C)=C/COC1OC(CO)C(O)C(O)C1O</t>
  </si>
  <si>
    <t>JAFZKPLEKRHFFD-XNTDXEJSSA-N</t>
  </si>
  <si>
    <t>C26H44O8</t>
  </si>
  <si>
    <t>11.53_578.3684m/z</t>
  </si>
  <si>
    <t>Cucurbitacin C</t>
  </si>
  <si>
    <t>HMDB0034706</t>
  </si>
  <si>
    <t>C08795</t>
  </si>
  <si>
    <t>5988-76-1</t>
  </si>
  <si>
    <t>CC(=O)OC(C)(C)\C=C\C(=O)C(C)(O)C1C(O)CC2(C)C3CC=C4C(CCC(O)C4(C)C)C3(CO)C(=O)CC12C</t>
  </si>
  <si>
    <t>DGIGXLXLGBAJJN-BUHFOSPRSA-N</t>
  </si>
  <si>
    <t>C32H48O8</t>
  </si>
  <si>
    <t>5.37_281.1898m/z</t>
  </si>
  <si>
    <t>4-Oxoretinal</t>
  </si>
  <si>
    <t>HMDB0012794</t>
  </si>
  <si>
    <t>33532-44-4</t>
  </si>
  <si>
    <t>C\C(\C=C\C=C(/C)\C=C\C1=C(C)CCC(=O)C1(C)C)=C/C=O</t>
  </si>
  <si>
    <t>ZORDCCAUKPDLPN-ZBSJWCJSSA-N</t>
  </si>
  <si>
    <t>C20H26O2</t>
  </si>
  <si>
    <t>6.32_387.1433m/z</t>
  </si>
  <si>
    <t>Kenusanone D</t>
  </si>
  <si>
    <t>LMPK12140477</t>
  </si>
  <si>
    <t>C1C(O)=C(C/C=C(\C)/C)C2OC(C3C(O)=CC(OC)=CC=3O)CC(=O)C=2C=1O</t>
  </si>
  <si>
    <t>JMKNGQKSSXRWDQ-UHFFFAOYSA-N</t>
  </si>
  <si>
    <t>C21H22O7</t>
  </si>
  <si>
    <t>4.99_448.1368n</t>
  </si>
  <si>
    <t>Puddumin A</t>
  </si>
  <si>
    <t>HMDB0033741</t>
  </si>
  <si>
    <t>110187-26-3</t>
  </si>
  <si>
    <t>COC1=C2C(=O)CC(OC2=CC(OC2OC(CO)C(O)C(O)C2O)=C1)C1=CC=C(O)C=C1</t>
  </si>
  <si>
    <t>YKLXLXHFKNDXOH-UHFFFAOYSA-N</t>
  </si>
  <si>
    <t>C22H24O10</t>
  </si>
  <si>
    <t>5.08_420.1994n</t>
  </si>
  <si>
    <t>Sibrafiban</t>
  </si>
  <si>
    <t>HMDB0258287</t>
  </si>
  <si>
    <t>CCOC(=O)COC1CCN(CC1)C(=O)C(C)NC(=O)C1=CC=C(C=C1)C(N)=NO</t>
  </si>
  <si>
    <t>WBNUCLPUOSXSNJ-UHFFFAOYSA-N</t>
  </si>
  <si>
    <t>C20H28N4O6</t>
  </si>
  <si>
    <t>9.67_359.1849m/z</t>
  </si>
  <si>
    <t>16&amp;Alpha</t>
  </si>
  <si>
    <t>HMDB0061016</t>
  </si>
  <si>
    <t>C[C@@]12C[C@@H](O)C3C(CCC4=CC(=O)C=C[C@@]34C)C1C[C@H](O)[C@@]2(O)C(=O)CO</t>
  </si>
  <si>
    <t>SEKYBDYVXDAYPY-ASPHUSNLSA-N</t>
  </si>
  <si>
    <t>C21H28O6</t>
  </si>
  <si>
    <t>15.09_768.5614m/z</t>
  </si>
  <si>
    <t>Termitomycesphin E</t>
  </si>
  <si>
    <t>LMSP05010100</t>
  </si>
  <si>
    <t>C([C@H](NC([C@H](O)CCCCCCCCCCCCCC)=O)[C@H](O)/C=C/CCC(O)C(C)CCCCCCCCC)O[C@H]1[C@H](O)[C@@H](O)[C@H](O)[C@@H](CO)O1</t>
  </si>
  <si>
    <t>XDZZMBPLVSZPPN-KQYYMOEVSA-N</t>
  </si>
  <si>
    <t>C41H79NO10</t>
  </si>
  <si>
    <t>0.77_597.1117m/z</t>
  </si>
  <si>
    <t>8-Anilino-1-Naphthalene Sulfonate</t>
  </si>
  <si>
    <t>HMDB0061854</t>
  </si>
  <si>
    <t>C11326</t>
  </si>
  <si>
    <t>82-76-8</t>
  </si>
  <si>
    <t>OS(=O)(=O)C1=C2C(NC3=CC=CC=C3)=CC=CC2=CC=C1</t>
  </si>
  <si>
    <t>FWEOQOXTVHGIFQ-UHFFFAOYSA-N</t>
  </si>
  <si>
    <t>Naphthalene sulfonic acids and derivatives</t>
  </si>
  <si>
    <t>C16H13NO3S</t>
  </si>
  <si>
    <t>10.97_818.7842m/z</t>
  </si>
  <si>
    <t>Bisdiphosphoinositol Tetrakisphosphate</t>
  </si>
  <si>
    <t>HMDB0006230</t>
  </si>
  <si>
    <t>208107-61-3</t>
  </si>
  <si>
    <t>OP(O)(=O)O[C@H]1[C@@H](OP(O)(O)=O)[C@@H](OP(O)(O)=O)[C@H](OP(O)(=O)OP(O)(O)=O)[C@@H](OP(O)(=O)OP(O)(O)=O)[C@@H]1OP(O)(O)=O</t>
  </si>
  <si>
    <t>GXPFHIDIIMSLOF-YORTWTKJSA-N</t>
  </si>
  <si>
    <t>C6H20O30P8</t>
  </si>
  <si>
    <t>0.71_219.0448m/z</t>
  </si>
  <si>
    <t>S-Nitroso-N-Acetyl-D-Penicillamine</t>
  </si>
  <si>
    <t>HMDB0250051</t>
  </si>
  <si>
    <t>67776-06-1</t>
  </si>
  <si>
    <t>CC(=O)NC(C(O)=O)C(C)(C)SN=O</t>
  </si>
  <si>
    <t>ZIIQCSMRQKCOCT-UHFFFAOYSA-N</t>
  </si>
  <si>
    <t>C7H12N2O4S</t>
  </si>
  <si>
    <t>8.72_867.3192m/z</t>
  </si>
  <si>
    <t>Cis-(Z)-Flupenthixol</t>
  </si>
  <si>
    <t>C11191</t>
  </si>
  <si>
    <t>53772-82-0</t>
  </si>
  <si>
    <t>C1CN(CCN1CCC=C2C3=CC=CC=C3SC4=C2C=C(C=C4)C(F)(F)F)CCO</t>
  </si>
  <si>
    <t>NJMYODHXAKYRHW-DVZOWYKESA-N</t>
  </si>
  <si>
    <t>Benzothiopyrans</t>
  </si>
  <si>
    <t>1-benzothiopyrans</t>
  </si>
  <si>
    <t>C23H25F3N2OS</t>
  </si>
  <si>
    <t>3.03_666.2156n</t>
  </si>
  <si>
    <t>2-Acetylacteoside</t>
  </si>
  <si>
    <t>HMDB0245529</t>
  </si>
  <si>
    <t>CC1OC(OC2C(OC(=O)C=CC3=CC=C(O)C(O)=C3)C(CO)OC(OCCC3=CC=C(O)C(O)=C3)C2OC(C)=O)C(O)C(O)C1O</t>
  </si>
  <si>
    <t>ALERZNQPBWWLMW-UHFFFAOYSA-N</t>
  </si>
  <si>
    <t>5.51_430.3080n</t>
  </si>
  <si>
    <t>MG(24:6(6Z,9Z,12Z,15Z,18Z,21Z)/0:0/0:0)</t>
  </si>
  <si>
    <t>HMDB0011590</t>
  </si>
  <si>
    <t>[H][C@](O)(CO)COC(=O)CCCC\C=C/C\C=C/C\C=C/C\C=C/C\C=C/C\C=C/CC</t>
  </si>
  <si>
    <t>SPDDTJMNQZVMGO-FJXNLOIUSA-N</t>
  </si>
  <si>
    <t>Monoradylglycerols</t>
  </si>
  <si>
    <t>C27H42O4</t>
  </si>
  <si>
    <t>0.78_344.0907m/z</t>
  </si>
  <si>
    <t>Zaleplon</t>
  </si>
  <si>
    <t>HMDB0015097</t>
  </si>
  <si>
    <t>C07484</t>
  </si>
  <si>
    <t>151319-34-5</t>
  </si>
  <si>
    <t>CCN(C(C)=O)C1=CC=CC(=C1)C1=CC=NC2=C(C=NN12)C#N</t>
  </si>
  <si>
    <t>HUNXMJYCHXQEGX-UHFFFAOYSA-N</t>
  </si>
  <si>
    <t>C17H15N5O</t>
  </si>
  <si>
    <t>4.20_815.2976m/z</t>
  </si>
  <si>
    <t>Sabiporide</t>
  </si>
  <si>
    <t>HMDB0257436</t>
  </si>
  <si>
    <t>NC(N)=NC(=O)C1=CC(=C(C=C1)N1CCN(CC1)C(=O)C1=CC=CN1)C(F)(F)F</t>
  </si>
  <si>
    <t>SRRHGTUDJFMQIV-UHFFFAOYSA-N</t>
  </si>
  <si>
    <t>C18H19F3N6O2</t>
  </si>
  <si>
    <t>9.43_343.1913m/z</t>
  </si>
  <si>
    <t>Clathroid B</t>
  </si>
  <si>
    <t>LMST02030243</t>
  </si>
  <si>
    <t>[C@@]12([H])[C@H](O)C[C@]([H])(C(=O)C)[C@@]1(C)[C@H](O)C[C@]1([H])[C@@]3(C)CCC(=O)C=C3C=C[C@@]21[H]</t>
  </si>
  <si>
    <t>YKHUQPRVWWUXTL-FKGJNOFZSA-N</t>
  </si>
  <si>
    <t>C21H28O4</t>
  </si>
  <si>
    <t>5.25_358.2140n</t>
  </si>
  <si>
    <t>Canrenoic Acid</t>
  </si>
  <si>
    <t>HMDB0249591</t>
  </si>
  <si>
    <t>CC12CCC3C(C=CC4=CC(=O)CCC34C)C1CCC2(O)CCC(O)=O</t>
  </si>
  <si>
    <t>PBKZPPIHUVSDNM-UHFFFAOYSA-N</t>
  </si>
  <si>
    <t>C22H30O4</t>
  </si>
  <si>
    <t>12.88_671.4336m/z</t>
  </si>
  <si>
    <t>Monensin</t>
  </si>
  <si>
    <t>C06693</t>
  </si>
  <si>
    <t>22373-78-0</t>
  </si>
  <si>
    <t>CCC1(CCC(O1)C2(CCC3(O2)CC(C(C(O3)C(C)C(C(C)C(=O)O)OC)C)O)C)C4C(CC(O4)C5C(CC(C(O5)(CO)O)C)C)C</t>
  </si>
  <si>
    <t>GAOZTHIDHYLHMS-KEOBGNEYSA-N</t>
  </si>
  <si>
    <t>C36H62O11</t>
  </si>
  <si>
    <t>6.56_1117.4995m/z</t>
  </si>
  <si>
    <t>CDP-DG(16:0/LTE4)</t>
  </si>
  <si>
    <t>HMDB0290798</t>
  </si>
  <si>
    <t>CCCCCCCCCCCCCCCC(=O)OC[C@H](COP(O)(=O)OP(O)(=O)OC[C@H]1O[C@H]([C@H](O)[C@@H]1O)N1C=CC(N)=NC1=O)OC(=O)[C@@H](N)CS[C@H](\C=C\C=C\C=C/C\C=C/CCCCC)[C@@H](O)CCCC(O)=O</t>
  </si>
  <si>
    <t>PTBZOJGXDIOEJX-ZKFQIUSPSA-N</t>
  </si>
  <si>
    <t>C51H86N4O18P2S</t>
  </si>
  <si>
    <t>8.95_506.2514n</t>
  </si>
  <si>
    <t>11-Hydroxyprogesterone 11-Glucuronide</t>
  </si>
  <si>
    <t>HMDB0010364</t>
  </si>
  <si>
    <t>LMST05010031</t>
  </si>
  <si>
    <t>77710-64-6</t>
  </si>
  <si>
    <t>C12CCC3=CC(=O)CC[C@]3(C)C1C(O[C@H]1[C@H](O)[C@@H](O)[C@H](O)[C@@H](C(=O)O)O1)C[C@]1(C)[C@@H](C(=O)C)CCC21</t>
  </si>
  <si>
    <t>WVTMNZAPPOMZST-UCMXSJKRSA-N</t>
  </si>
  <si>
    <t>C27H38O9</t>
  </si>
  <si>
    <t>0.98_369.0428m/z</t>
  </si>
  <si>
    <t>(2r)-2-Acetamido-3-[[(2r)-2-Acetamido-2-Carboxyethyl]Disulfanyl]Propanoic Acid</t>
  </si>
  <si>
    <t>HMDB0242531</t>
  </si>
  <si>
    <t>CC(=O)NC(CSSCC(NC(C)=O)C(O)=O)C(O)=O</t>
  </si>
  <si>
    <t>YTPQSLLEROSACP-UHFFFAOYSA-N</t>
  </si>
  <si>
    <t>C10H16N2O6S2</t>
  </si>
  <si>
    <t>7.13_374.2086n</t>
  </si>
  <si>
    <t>Bendigole D</t>
  </si>
  <si>
    <t>LMST04050017</t>
  </si>
  <si>
    <t>C1=CC(=O)C=C2C[C@@H](O)[C@@]3([H])[C@]4([H])CC[C@]([H])([C@H](C)C(=O)O)[C@@]4(C)[C@@H](O)C[C@]3([H])[C@@]12C</t>
  </si>
  <si>
    <t>RIPUUOOMDLZCBV-QYVBNZPWSA-N</t>
  </si>
  <si>
    <t>C22H30O5</t>
  </si>
  <si>
    <t>5.15_439.2522m/z</t>
  </si>
  <si>
    <t>7-O-Methyllicoricidin</t>
  </si>
  <si>
    <t>HMDB0034184</t>
  </si>
  <si>
    <t>LMPK12080046</t>
  </si>
  <si>
    <t>129314-37-0</t>
  </si>
  <si>
    <t>C1(OC)=CC2OCC(C3C(O)=C(C/C=C(\C)/C)C(O)=CC=3)CC=2C(OC)=C1C/C=C(\C)/C</t>
  </si>
  <si>
    <t>GDAAEAXMNLVRCZ-UHFFFAOYSA-N</t>
  </si>
  <si>
    <t>C27H34O5</t>
  </si>
  <si>
    <t>4.76_723.1717m/z</t>
  </si>
  <si>
    <t>2'',3''-Di-O-P-Coumaroylafzelin</t>
  </si>
  <si>
    <t>HMDB0039928</t>
  </si>
  <si>
    <t>CC1OC(OC2=C(OC3=CC(O)=CC(O)=C3C2=O)C2=CC=C(O)C=C2)C(OC(=O)\C=C\C2=CC=C(O)C=C2)C(OC(=O)\C=C\C2=CC=C(O)C=C2)C1O</t>
  </si>
  <si>
    <t>HKZIBACORRUGAC-KGMKFKQSSA-N</t>
  </si>
  <si>
    <t>7.59_622.3733m/z</t>
  </si>
  <si>
    <t>Moxidectin</t>
  </si>
  <si>
    <t>HMDB0242623</t>
  </si>
  <si>
    <t>CON=C1CC2(CC3CC(CC=C(C)CC(C)C=CC=C4COC5C(O)C(C)=CC(C(=O)O3)C45O)O2)OC(C1C)C(C)=CC(C)C</t>
  </si>
  <si>
    <t>YZBLFMPOMVTDJY-UHFFFAOYSA-N</t>
  </si>
  <si>
    <t>Milbemycins</t>
  </si>
  <si>
    <t>C37H53NO8</t>
  </si>
  <si>
    <t>0.70_189.1345m/z</t>
  </si>
  <si>
    <t>Delta-N-Methylarginine</t>
  </si>
  <si>
    <t>HMDB0250980</t>
  </si>
  <si>
    <t>CN(CCCC(N)C(O)=O)C(N)=N</t>
  </si>
  <si>
    <t>XKCWNEVAXQCMGP-UHFFFAOYSA-N</t>
  </si>
  <si>
    <t>C7H16N4O2</t>
  </si>
  <si>
    <t>10.00_738.3467m/z</t>
  </si>
  <si>
    <t>Ritonavir</t>
  </si>
  <si>
    <t>HMDB0014646</t>
  </si>
  <si>
    <t>C07240</t>
  </si>
  <si>
    <t>155213-67-5</t>
  </si>
  <si>
    <t>CC(C)[C@H](NC(=O)N(C)CC1=CSC(=N1)C(C)C)C(=O)N[C@H](C[C@H](O)[C@H](CC1=CC=CC=C1)NC(=O)OCC1=CN=CS1)CC1=CC=CC=C1</t>
  </si>
  <si>
    <t>NCDNCNXCDXHOMX-XGKFQTDJSA-N</t>
  </si>
  <si>
    <t>C37H48N6O5S2</t>
  </si>
  <si>
    <t>0.78_425.1261m/z</t>
  </si>
  <si>
    <t>Propyl Pyrazole Triol</t>
  </si>
  <si>
    <t>HMDB0256720</t>
  </si>
  <si>
    <t>263717-53-9</t>
  </si>
  <si>
    <t>CCCC1=C(N(N=C1C1=CC=C(O)C=C1)C1=CC=C(O)C=C1)C1=CC=C(O)C=C1</t>
  </si>
  <si>
    <t>IOTXSIGGFRQYKW-UHFFFAOYSA-N</t>
  </si>
  <si>
    <t>Pyrazoles</t>
  </si>
  <si>
    <t>C24H22N2O3</t>
  </si>
  <si>
    <t>9.75_538.3010m/z</t>
  </si>
  <si>
    <t>Rac-4-Hydroxy-4-O-(Beta-D-Glucuronide)-All-Trans-Retinyl Acetate</t>
  </si>
  <si>
    <t>HMDB0060141</t>
  </si>
  <si>
    <t>CC(=O)OC\C=C(/C)\C=C\C=C(/C)\C=C\C1=C(C)[C@@H](CCC1(C)C)O[C@@H]1O[C@H]([C@@H](O)[C@@H](O)[C@H]1O)C(O)=O</t>
  </si>
  <si>
    <t>LFXATGINAILLFU-BSJULFBXSA-N</t>
  </si>
  <si>
    <t>5.37_414.1678n</t>
  </si>
  <si>
    <t>Laxiflorin</t>
  </si>
  <si>
    <t>LMPK12140443</t>
  </si>
  <si>
    <t>C1(O)C(C/C=C(/C)\C)=C2O[C@H](C3C=CC(O)=C(OC)C=3)CC(=O)C2=C(O)C=1CCO</t>
  </si>
  <si>
    <t>WSOXDOHWHXWKEQ-SFHVURJKSA-N</t>
  </si>
  <si>
    <t>C23H26O7</t>
  </si>
  <si>
    <t>4.29_406.1351m/z</t>
  </si>
  <si>
    <t>De-O-Methylsimmondsin</t>
  </si>
  <si>
    <t>HMDB0041208</t>
  </si>
  <si>
    <t>135105-75-8</t>
  </si>
  <si>
    <t>COC1C(O)CC(OC2OC(CO)C(O)C(O)C2O)\C(=C\C#N)C1O</t>
  </si>
  <si>
    <t>SDYUFOBSNZFKRM-KXFIGUGUSA-N</t>
  </si>
  <si>
    <t>C15H23NO9</t>
  </si>
  <si>
    <t>3.73_465.1395m/z</t>
  </si>
  <si>
    <t>1-O-E-Cinnamoyl-(6-Arabinosylglucose)</t>
  </si>
  <si>
    <t>HMDB0030294</t>
  </si>
  <si>
    <t>181373-66-0</t>
  </si>
  <si>
    <t>OCC1OC(OCC2OC(OC(=O)\C=C\C3=CC=CC=C3)C(O)C(O)C2O)C(O)C1O</t>
  </si>
  <si>
    <t>XEEBIXBFIAEQFZ-VOTSOKGWSA-N</t>
  </si>
  <si>
    <t>Cinnamic acid esters</t>
  </si>
  <si>
    <t>C20H26O11</t>
  </si>
  <si>
    <t>12.38_409.3307m/z</t>
  </si>
  <si>
    <t>1-O-(2r-Methoxy-4z-Nonadecenyl)-Sn-Glycerol</t>
  </si>
  <si>
    <t>LMGL01020049</t>
  </si>
  <si>
    <t>[C@](CO)([H])(O)COC[C@H](OC)C/C=C\CCCCCCCCCCCCCC</t>
  </si>
  <si>
    <t>WJGWLUYBZYOUTA-BQUJUOOLSA-N</t>
  </si>
  <si>
    <t>C23H46O4</t>
  </si>
  <si>
    <t>8.37_703.3541m/z</t>
  </si>
  <si>
    <t>Egregiachloride C</t>
  </si>
  <si>
    <t>LMFA03120054</t>
  </si>
  <si>
    <t>C(CCC/C=C\C/C=C\C/C=C\[C@@H]1[C@H]2O[C@H]2C[C@@]1([H])[C@@]([H])(Cl)CC)(=O)O</t>
  </si>
  <si>
    <t>ZPCHFWGBCMRNFG-LUZGOERCSA-N</t>
  </si>
  <si>
    <t>C20H29ClO3</t>
  </si>
  <si>
    <t>5.60_573.2717m/z</t>
  </si>
  <si>
    <t>Withaminimin</t>
  </si>
  <si>
    <t>LMST01160043</t>
  </si>
  <si>
    <t>[C@]12(C[C@@H](O)[C@@]3(O)CC=CC(=O)[C@]3(C)[C@@]1([H])CC[C@]1(C)C([C@@](C)([H])[C@H]3CC(C)=C(C)C(=O)O3)=C[C@H](OC(=O)C)[C@@]21O)[H]</t>
  </si>
  <si>
    <t>REOWXEUUAXLCRM-DTRRUJLXSA-N</t>
  </si>
  <si>
    <t>4.36_383.0981m/z</t>
  </si>
  <si>
    <t>3-O-P-Coumaroylquinic Acid</t>
  </si>
  <si>
    <t>HMDB0029681</t>
  </si>
  <si>
    <t>O[C@@H]1C[C@@](O)(C[C@@H](OC(=O)\C=C\C2=CC=C(O)C=C2)[C@H]1O)C(O)=O</t>
  </si>
  <si>
    <t>BMRSEYFENKXDIS-QHAYPTCMSA-N</t>
  </si>
  <si>
    <t>C16H18O8</t>
  </si>
  <si>
    <t>0.73_204.1108n</t>
  </si>
  <si>
    <t>3,4-Dihydroxy-2-Hydroxymethyl-1-Pyrrolidinepropanamide</t>
  </si>
  <si>
    <t>HMDB0039948</t>
  </si>
  <si>
    <t>NC(=O)CCN1CC(O)C(O)C1CO</t>
  </si>
  <si>
    <t>ARJIGPTXXUGWDZ-UHFFFAOYSA-N</t>
  </si>
  <si>
    <t>Pyrrolidines</t>
  </si>
  <si>
    <t>N-alkylpyrrolidines</t>
  </si>
  <si>
    <t>C8H16N2O4</t>
  </si>
  <si>
    <t>3.46_467.1544m/z</t>
  </si>
  <si>
    <t>Agnuside</t>
  </si>
  <si>
    <t>HMDB0036561</t>
  </si>
  <si>
    <t>11027-63-7</t>
  </si>
  <si>
    <t>OCC1OC(OC2OC=CC3C(O)C=C(COC(=O)C4=CC=C(O)C=C4)C23)C(O)C(O)C1O</t>
  </si>
  <si>
    <t>GLACGTLACKLUJX-UHFFFAOYSA-N</t>
  </si>
  <si>
    <t>8.88_700.3477m/z</t>
  </si>
  <si>
    <t>Mucronine D</t>
  </si>
  <si>
    <t>HMDB0029335</t>
  </si>
  <si>
    <t>C10009</t>
  </si>
  <si>
    <t>38496-00-3</t>
  </si>
  <si>
    <t>CCC(C)C1\N=C(O)\C2C(CCN2C(=O)C(CC(C)C)\N=C(/O)C(CC2=CC=CC=C2)N(C)C)OC2=CC=C(OC)C(=C2)\C=C\N=C1\O</t>
  </si>
  <si>
    <t>YTPWZBXRZAQHQB-FBMGVBCBSA-N</t>
  </si>
  <si>
    <t>C37H51N5O6</t>
  </si>
  <si>
    <t>4.04_295.0818m/z</t>
  </si>
  <si>
    <t>2-O-Acetylarbutin</t>
  </si>
  <si>
    <t>HMDB0040720</t>
  </si>
  <si>
    <t>15794-91-9</t>
  </si>
  <si>
    <t>CC(=O)OC1C(O)C(O)C(CO)OC1OC1=CC=C(O)C=C1</t>
  </si>
  <si>
    <t>QLDACILJKOVPDG-UHFFFAOYSA-N</t>
  </si>
  <si>
    <t>C14H18O8</t>
  </si>
  <si>
    <t>6.11_463.2182m/z</t>
  </si>
  <si>
    <t>Glas#3</t>
  </si>
  <si>
    <t>LMFA13040105</t>
  </si>
  <si>
    <t>O([C@@H](CCCC/C=C/C(=O)O[C@H]1[C@H](O)[C@@H](O)[C@H](O)[C@@H](CO)O1)C)[C@H]1[C@H](O)C[C@@H](O)[C@H](C)O1</t>
  </si>
  <si>
    <t>USHOVWZTBFBUPQ-AHQKKNCYSA-N</t>
  </si>
  <si>
    <t>C21H36O11</t>
  </si>
  <si>
    <t>5.17_481.2637m/z</t>
  </si>
  <si>
    <t>Glas#16</t>
  </si>
  <si>
    <t>LMFA13040102</t>
  </si>
  <si>
    <t>O[C@@H]1C[C@@H](O)[C@H](C)O[C@H]1O[C@@H](CCCCCCCC(=O)O[C@H]1[C@H](O)[C@@H](O)[C@H](O)[C@@H](CO)O1)C</t>
  </si>
  <si>
    <t>YGECYZAESCGRDN-XXPWOUKKSA-N</t>
  </si>
  <si>
    <t>C22H40O11</t>
  </si>
  <si>
    <t>1.89_691.1840m/z</t>
  </si>
  <si>
    <t>Patuletin 3,7-Bis(3-Acetylrhamnoside)</t>
  </si>
  <si>
    <t>LMPK12112949</t>
  </si>
  <si>
    <t>C1(O[C@H]2[C@H](O)[C@H](OC(=O)C)[C@@H](O)[C@H](C)O2)=CC2OC(C3C=C(O)C(O)=CC=3)=C(O[C@H]3[C@H](O)[C@H](OC(C)=O)[C@@H](O)[C@H](C)O3)C(=O)C=2C(O)=C1OC</t>
  </si>
  <si>
    <t>SASUJDCJYTVPMQ-ZRKLRDIASA-N</t>
  </si>
  <si>
    <t>C32H36O18</t>
  </si>
  <si>
    <t>10.26_342.3001m/z</t>
  </si>
  <si>
    <t>(13r,14r)-8-Labdene-13,14,15-Triol</t>
  </si>
  <si>
    <t>HMDB0034957</t>
  </si>
  <si>
    <t>CC1=C(CCC(C)(O)C(O)CO)C2(C)CCCC(C)(C)C2CC1</t>
  </si>
  <si>
    <t>TWZQRBKMQYAKGQ-UHFFFAOYSA-N</t>
  </si>
  <si>
    <t>C20H36O3</t>
  </si>
  <si>
    <t>4.35_609.2529m/z</t>
  </si>
  <si>
    <t>L-Prolinamide, N-Methyl-L-Alanyl-(2s)-2-Cyclohexylglycyl-N-(2-(2-Oxazolyl)-4-Phenyl-5-Thiazolyl)-</t>
  </si>
  <si>
    <t>HMDB0250586</t>
  </si>
  <si>
    <t>CNC(C)C(=O)NC(C1CCCCC1)C(=O)N1CCCC1C(=O)NC1=C(N=C(S1)C1=NC=CO1)C1=CC=CC=C1</t>
  </si>
  <si>
    <t>HSHPBORBOJIXSQ-UHFFFAOYSA-N</t>
  </si>
  <si>
    <t>C29H36N6O4S</t>
  </si>
  <si>
    <t>3.01_343.1005m/z</t>
  </si>
  <si>
    <t>4-(4-Fluorophenyl)-2-(4-Nitrophenyl)-5-(4-Pyridyl)-1h-Imidazole</t>
  </si>
  <si>
    <t>HMDB0244687</t>
  </si>
  <si>
    <t>152121-53-4</t>
  </si>
  <si>
    <t>[O-][N+](=O)C1=CC=C(C=C1)C1=NC(=C(N1)C1=CC=NC=C1)C1=CC=C(F)C=C1</t>
  </si>
  <si>
    <t>BGIYKDUASORTBB-UHFFFAOYSA-N</t>
  </si>
  <si>
    <t>Imidazoles</t>
  </si>
  <si>
    <t>C20H13FN4O2</t>
  </si>
  <si>
    <t>10.29_797.4319m/z</t>
  </si>
  <si>
    <t>Cimimanol D</t>
  </si>
  <si>
    <t>LMST01100023</t>
  </si>
  <si>
    <t>C1C[C@]2([H])[C@@]3(C[C@]43CC[C@H](O[C@@H]3OC[C@@H](O)[C@H](O[C@@H]5OC[C@@H](O)[C@H](O)[C@H]5O)[C@H]3O)C(C)(C)[C@]14[H])[C@@H](O)C[C@@]1(C)[C@@]2(C)C[C@]23O[C@H](C(C)(C)O)[C@]([H])(O2)C[C@@H](C)[C@]13[H]</t>
  </si>
  <si>
    <t>YJHCWVSFXNOWOT-SLMLVCSASA-N</t>
  </si>
  <si>
    <t>C40H64O13</t>
  </si>
  <si>
    <t>6.54_639.2651m/z</t>
  </si>
  <si>
    <t>Formylfusarochromanone</t>
  </si>
  <si>
    <t>HMDB0038970</t>
  </si>
  <si>
    <t>136685-28-4</t>
  </si>
  <si>
    <t>CC1(C)CC(=O)C2=C(N)C(=CC=C2O1)C(=O)CC(CO)NC=O</t>
  </si>
  <si>
    <t>ZSARLQOBZZVZSB-UHFFFAOYSA-N</t>
  </si>
  <si>
    <t>C16H20N2O5</t>
  </si>
  <si>
    <t>0.75_162.1123m/z</t>
  </si>
  <si>
    <t>L-Carnitine</t>
  </si>
  <si>
    <t>C15025</t>
  </si>
  <si>
    <t>6645-46-1</t>
  </si>
  <si>
    <t>C[N+](C)(C)CC(CC(=O)[O-])O</t>
  </si>
  <si>
    <t>PHIQHXFUZVPYII-ZCFIWIBFSA-N</t>
  </si>
  <si>
    <t>Quaternary ammonium salts</t>
  </si>
  <si>
    <t>C7H15NO3</t>
  </si>
  <si>
    <t>9.22_593.1300m/z</t>
  </si>
  <si>
    <t>3''-O-Caffeoylcosmosiin</t>
  </si>
  <si>
    <t>HMDB0037345</t>
  </si>
  <si>
    <t>79366-62-4</t>
  </si>
  <si>
    <t>OCC1OC(OC2=CC(O)=C3C(=O)C=C(OC3=C2)C2=CC=C(O)C=C2)C(O)C(OC(=O)\C=C\C2=CC(O)=C(O)C=C2)C1O</t>
  </si>
  <si>
    <t>GKSHQQDCYIESFY-KRXBUXKQSA-N</t>
  </si>
  <si>
    <t>C30H26O13</t>
  </si>
  <si>
    <t>11.25_349.2734m/z</t>
  </si>
  <si>
    <t>11(E)-(3,4-Dimethyl-5-(Pent-1-En-1-Yl)Furan-2-Yl)-Undecanoic Acid</t>
  </si>
  <si>
    <t>HMDB0112073</t>
  </si>
  <si>
    <t>LMFA01150033</t>
  </si>
  <si>
    <t>C(CC)/C=C/C1=C(C)C(C)=C(CCCCCCCCCCC(=O)O)O1</t>
  </si>
  <si>
    <t>JDPJNLGDCVKZFL-NTCAYCPXSA-N</t>
  </si>
  <si>
    <t>C22H36O3</t>
  </si>
  <si>
    <t>5.74_386.1937n</t>
  </si>
  <si>
    <t>Sonchuionoside C</t>
  </si>
  <si>
    <t>HMDB0035212</t>
  </si>
  <si>
    <t>126585-76-0</t>
  </si>
  <si>
    <t>CC(=O)\C=C\C1=C(C)C(O)C(CC1(C)C)OC1OC(CO)C(O)C(O)C1O</t>
  </si>
  <si>
    <t>BLQCWBCWZFDGBW-AATRIKPKSA-N</t>
  </si>
  <si>
    <t>12.65_391.2814m/z</t>
  </si>
  <si>
    <t>8h-Purin-8-One, 6-Amino-7,9-Dihydro-2-((1s)-1-Methylbutoxy)-9-(5-(1-Piperidinyl)Pentyl)-</t>
  </si>
  <si>
    <t>HMDB0259474</t>
  </si>
  <si>
    <t>CCCC(C)OC1=NC2=C(NC(=O)N2CCCCCN2CCCCC2)C(N)=N1</t>
  </si>
  <si>
    <t>LFMPVTVPXHNXOT-UHFFFAOYSA-N</t>
  </si>
  <si>
    <t>C20H34N6O2</t>
  </si>
  <si>
    <t>4.41_626.1476n</t>
  </si>
  <si>
    <t>Myricetin 3-Neohesperidoside</t>
  </si>
  <si>
    <t>HMDB0038287</t>
  </si>
  <si>
    <t>CC1OC(OC2C(O)C(O)C(CO)OC2OC2=C(OC3=CC(O)=CC(O)=C3C2=O)C2=CC(O)=C(O)C(O)=C2)C(O)C(O)C1O</t>
  </si>
  <si>
    <t>LUITYVJNCILVDI-UHFFFAOYSA-N</t>
  </si>
  <si>
    <t>C27H30O17</t>
  </si>
  <si>
    <t>4.20_689.1875m/z</t>
  </si>
  <si>
    <t>Hirsutidin</t>
  </si>
  <si>
    <t>LMPK12010421</t>
  </si>
  <si>
    <t>C08643</t>
  </si>
  <si>
    <t>C1(OC)=CC2[O+]=C(C3C=C(OC)C(O)=C(OC)C=3)C(O)=CC=2C(O)=C1</t>
  </si>
  <si>
    <t>JGPCLGHKWGCWNO-UHFFFAOYSA-O</t>
  </si>
  <si>
    <t>C18H17O7+</t>
  </si>
  <si>
    <t>0.54_123.0802m/z</t>
  </si>
  <si>
    <t>Alepramic Acid</t>
  </si>
  <si>
    <t>LMFA01140031</t>
  </si>
  <si>
    <t>C(O)(=O)CCC1CCC=C1</t>
  </si>
  <si>
    <t>ZKEQEKIUJNGBRM-UHFFFAOYSA-N</t>
  </si>
  <si>
    <t>Carboxylic acids</t>
  </si>
  <si>
    <t>C8H12O2</t>
  </si>
  <si>
    <t>3.92_462.1734n</t>
  </si>
  <si>
    <t>Verbasoside</t>
  </si>
  <si>
    <t>HMDB0039233</t>
  </si>
  <si>
    <t>61548-34-3</t>
  </si>
  <si>
    <t>CC1OC(OC2C(O)C(CO)OC(OCCC3=CC(O)=C(O)C=C3)C2O)C(O)C(O)C1O</t>
  </si>
  <si>
    <t>DORPKYRPJIIARM-UHFFFAOYSA-N</t>
  </si>
  <si>
    <t>13.38_310.3101m/z</t>
  </si>
  <si>
    <t>3-Amino-2-Methoxynonadec-5-En-4-Ol</t>
  </si>
  <si>
    <t>HMDB0257752</t>
  </si>
  <si>
    <t>CCCCCCCCCCCCCC=CC(O)C(N)C(C)OC</t>
  </si>
  <si>
    <t>PALMKPQNNCMQME-UHFFFAOYSA-N</t>
  </si>
  <si>
    <t>C20H41NO2</t>
  </si>
  <si>
    <t>5.54_444.1416n</t>
  </si>
  <si>
    <t>Isovolubilin</t>
  </si>
  <si>
    <t>LMPK12050354</t>
  </si>
  <si>
    <t>C1(OC)=CC2OC=C(C3C=CC(OC)=CC=3)C(=O)C=2C(O)=C1[C@H]1[C@H](O)[C@H](O)[C@@H](O)[C@H](C)O1</t>
  </si>
  <si>
    <t>MUVXOBQROCNFJU-UGTZYOLZSA-N</t>
  </si>
  <si>
    <t>Isoflavonoid C-glycosides</t>
  </si>
  <si>
    <t>C23H24O9</t>
  </si>
  <si>
    <t>5.17_622.3465m/z</t>
  </si>
  <si>
    <t>1-(2-Methoxy-Heneicosanyl)-Sn-Glycero-3-Phosphoserine</t>
  </si>
  <si>
    <t>LMGP03060020</t>
  </si>
  <si>
    <t>C(O)(=O)[C@@]([H])(N)COP(OC[C@]([H])(O)COCC(OC)CCCCCCCCCCCCCCCCCCC)(=O)O</t>
  </si>
  <si>
    <t>PREPKQNGWBKKSI-HXMJJLHYSA-N</t>
  </si>
  <si>
    <t>C28H58NO9P</t>
  </si>
  <si>
    <t>11.00_647.2826m/z</t>
  </si>
  <si>
    <t>Pirarubicinol</t>
  </si>
  <si>
    <t>HMDB0256589</t>
  </si>
  <si>
    <t>COC1=CC=CC2=C1C(=O)C1=C(C(O)=C3CC(O)(CC(OC4CC(N)C(OC5CCCCO5)C(C)O4)C3=C1O)C(O)CO)C2=O</t>
  </si>
  <si>
    <t>WINDUCQUJLAQES-UHFFFAOYSA-N</t>
  </si>
  <si>
    <t>C32H39NO12</t>
  </si>
  <si>
    <t>4.61_693.2966m/z</t>
  </si>
  <si>
    <t>3-(4-((3-Phenoxybenzyl)Amino)Phenyl)Propanoic Acid</t>
  </si>
  <si>
    <t>HMDB0252994</t>
  </si>
  <si>
    <t>885101-89-3</t>
  </si>
  <si>
    <t>OC(=O)CCC1=CC=C(NCC2=CC(OC3=CC=CC=C3)=CC=C2)C=C1</t>
  </si>
  <si>
    <t>DGENZVKCTGIDRZ-UHFFFAOYSA-N</t>
  </si>
  <si>
    <t>Phenylmethylamines</t>
  </si>
  <si>
    <t>C22H21NO3</t>
  </si>
  <si>
    <t>8.27_557.2758m/z</t>
  </si>
  <si>
    <t>Ganosporelactone A</t>
  </si>
  <si>
    <t>HMDB0036406</t>
  </si>
  <si>
    <t>138008-04-5</t>
  </si>
  <si>
    <t>CC1CC2(CC(C)C(=O)O2)C2C1C1(C)C(O)C(=O)C3=C(C(O)CC4C(C)(C)C(=O)CCC34C)C1(C)C2=O</t>
  </si>
  <si>
    <t>BINIQAMAYCKIRZ-UHFFFAOYSA-N</t>
  </si>
  <si>
    <t>C30H40O7</t>
  </si>
  <si>
    <t>9.92_304.2997m/z</t>
  </si>
  <si>
    <t>Pregnene</t>
  </si>
  <si>
    <t>HMDB0256758</t>
  </si>
  <si>
    <t>CC12CCC3C(CCC4CCCCC34C)C1CCC2C=C</t>
  </si>
  <si>
    <t>VZRAKVPDZIQRGT-UHFFFAOYSA-N</t>
  </si>
  <si>
    <t>C21H34</t>
  </si>
  <si>
    <t>6.32_655.3570m/z</t>
  </si>
  <si>
    <t>Og-Ps</t>
  </si>
  <si>
    <t>LMGP20040021</t>
  </si>
  <si>
    <t>C(O)(=O)[C@@]([H])(N)COP(OC[C@]([H])(OC(CCCC(=O)O)=O)COC(CCCCCCC/C=C\CCCCCCCC)=O)(=O)O</t>
  </si>
  <si>
    <t>IZVJSAQUVWOMJB-MVKCUJKCSA-N</t>
  </si>
  <si>
    <t>C29H52NO12P</t>
  </si>
  <si>
    <t>5.95_507.2961m/z</t>
  </si>
  <si>
    <t>14-Deoxy-25-Hydroxydacryhainansterone</t>
  </si>
  <si>
    <t>LMST01010474</t>
  </si>
  <si>
    <t>C1[C@H](O)[C@H](O)C[C@@]2([H])C(=O)C=C3C(=CC[C@]4([C@@]3([H])CC[C@]4([H])[C@](O)(C)[C@H](O)CCC(O)(C)C)C)[C@]21C</t>
  </si>
  <si>
    <t>YUPSEIZCDCTBSM-UMJPLXRBSA-N</t>
  </si>
  <si>
    <t>8.92_381.2259m/z</t>
  </si>
  <si>
    <t>N-(2,3-Dihydroxypropyl)Valine</t>
  </si>
  <si>
    <t>HMDB0254994</t>
  </si>
  <si>
    <t>CC(C)C(NCC(O)CO)C(O)=O</t>
  </si>
  <si>
    <t>XSRKHYQASYXTMX-UHFFFAOYSA-N</t>
  </si>
  <si>
    <t>C8H17NO4</t>
  </si>
  <si>
    <t>3.65_361.1119m/z</t>
  </si>
  <si>
    <t>4-[[2-(2-Acetylsulfanylethyl)-4,6,7-Trimethyl-2,3-Dihydro-1-Benzofuran-5-Yl]Oxy]-4-Oxobutanoic Acid</t>
  </si>
  <si>
    <t>HMDB0253580</t>
  </si>
  <si>
    <t>CC(=O)SCCC1CC2=C(C)C(OC(=O)CCC(O)=O)=C(C)C(C)=C2O1</t>
  </si>
  <si>
    <t>PWUJEBPWCPKPRQ-UHFFFAOYSA-N</t>
  </si>
  <si>
    <t>C19H24O6S</t>
  </si>
  <si>
    <t>8.69_565.2275m/z</t>
  </si>
  <si>
    <t>2-O-(Beta-D-Galactopyranosyl-(1-&gt;6)-Beta-D-Galactopyranosyl) 2s-Hydroxyundecanoic Acid</t>
  </si>
  <si>
    <t>LMFA13010047</t>
  </si>
  <si>
    <t>CCCCCCCCC[C@H](O[C@H]1[C@H](O)[C@@H](O)[C@@H](O)[C@@H](CO[C@H]2[C@H](O)[C@@H](O)[C@@H](O)[C@@H](CO)O2)O1)C(=O)O</t>
  </si>
  <si>
    <t>LMSCLROPNINDDT-NBEBUOOJSA-N</t>
  </si>
  <si>
    <t>C23H42O13</t>
  </si>
  <si>
    <t>9.91_307.1914m/z</t>
  </si>
  <si>
    <t>Sacrolide A</t>
  </si>
  <si>
    <t>LMFA07040154</t>
  </si>
  <si>
    <t>C1CCCCCC(=O)O[C@H](C/C=C\CC)C(=O)C=C[C@H](O)C1</t>
  </si>
  <si>
    <t>UYLKXNMQPMQPNW-USYDTVFMSA-N</t>
  </si>
  <si>
    <t>C18H28O4</t>
  </si>
  <si>
    <t>6.39_505.2286m/z</t>
  </si>
  <si>
    <t>Penciclovir</t>
  </si>
  <si>
    <t>HMDB0014444</t>
  </si>
  <si>
    <t>C07417</t>
  </si>
  <si>
    <t>39809-25-1</t>
  </si>
  <si>
    <t>NC1=NC(=O)C2=C(N1)N(CCC(CO)CO)C=N2</t>
  </si>
  <si>
    <t>JNTOCHDNEULJHD-UHFFFAOYSA-N</t>
  </si>
  <si>
    <t>Imidazopyrimidines</t>
  </si>
  <si>
    <t>Purines and purine derivatives</t>
  </si>
  <si>
    <t>C10H15N5O3</t>
  </si>
  <si>
    <t>5.84_458.2131n</t>
  </si>
  <si>
    <t>2-Hydroxy-3-[(2-Carboxyethyl)Thio]-3-[2-(8-Phenyloctyl)Phenyl]Propanoic Acid</t>
  </si>
  <si>
    <t>HMDB0245143</t>
  </si>
  <si>
    <t>OC(C(SCCC(O)=O)C1=CC=CC=C1CCCCCCCCC1=CC=CC=C1)C(O)=O</t>
  </si>
  <si>
    <t>PZIFPMYXXCAOCC-UHFFFAOYSA-N</t>
  </si>
  <si>
    <t>Phenylpropanoic acids</t>
  </si>
  <si>
    <t>C26H34O5S</t>
  </si>
  <si>
    <t>3.86_452.1318n</t>
  </si>
  <si>
    <t>Catechin 3'-Glucoside</t>
  </si>
  <si>
    <t>HMDB0037946</t>
  </si>
  <si>
    <t>105330-51-6</t>
  </si>
  <si>
    <t>OCC1OC(OC2=C(O)C=CC(=C2)C2OC3=CC(O)=CC(O)=C3CC2O)C(O)C(O)C1O</t>
  </si>
  <si>
    <t>ZZTOVZGFHZQEAT-UHFFFAOYSA-N</t>
  </si>
  <si>
    <t>4.97_310.1051n</t>
  </si>
  <si>
    <t>(E)-1-O-Cinnamoyl-Beta-D-Glucose</t>
  </si>
  <si>
    <t>HMDB0030293</t>
  </si>
  <si>
    <t>40004-96-4</t>
  </si>
  <si>
    <t>OCC1OC(OC(=O)\C=C\C2=CC=CC=C2)C(O)C(O)C1O</t>
  </si>
  <si>
    <t>CJGRGYBLAHPYOM-VOTSOKGWSA-N</t>
  </si>
  <si>
    <t>5.10_595.2028m/z</t>
  </si>
  <si>
    <t>Tracheloside</t>
  </si>
  <si>
    <t>HMDB0030557</t>
  </si>
  <si>
    <t>33464-71-0</t>
  </si>
  <si>
    <t>COC1=C(OC)C=C(CC2COC(=O)C2(O)CC2=CC(OC)=C(OC3OC(CO)C(O)C(O)C3O)C=C2)C=C1</t>
  </si>
  <si>
    <t>LWYAMIUSVGPFKS-UHFFFAOYSA-N</t>
  </si>
  <si>
    <t>C27H34O12</t>
  </si>
  <si>
    <t>3.63_511.1425m/z</t>
  </si>
  <si>
    <t>Alpha-L-Rhamnopyranosyl-(1-&gt;3)-Alpha-D-Galactopyranosyl-(1-&gt;3)-L-Fucose</t>
  </si>
  <si>
    <t>HMDB0039741</t>
  </si>
  <si>
    <t>71144-75-7</t>
  </si>
  <si>
    <t>[H][C@@]1(O[C@H]2O[C@H](CO)[C@H](O)[C@]([H])(O[C@@H]3O[C@@H](C)[C@H](O)[C@@H](O)[C@H]3O)[C@H]2O)[C@H](O)[C@H](C)OC(O)[C@H]1O</t>
  </si>
  <si>
    <t>JUZCTRWLASLKLG-PTIVJGTMSA-N</t>
  </si>
  <si>
    <t>C18H32O14</t>
  </si>
  <si>
    <t>1.08_331.1247m/z</t>
  </si>
  <si>
    <t>N2-(2-Carboxymethyl-2-Hydroxysuccinoyl)Arginine</t>
  </si>
  <si>
    <t>HMDB0032766</t>
  </si>
  <si>
    <t>87605-91-2</t>
  </si>
  <si>
    <t>COC(=O)C(O)(CC(O)=O)C(=O)NC(CCCNC(N)=N)C(O)=O</t>
  </si>
  <si>
    <t>VFYGIOOMURRJLU-UHFFFAOYSA-N</t>
  </si>
  <si>
    <t>C12H20N4O8</t>
  </si>
  <si>
    <t>5.37_765.2571m/z</t>
  </si>
  <si>
    <t>Acanthoside D</t>
  </si>
  <si>
    <t>C10543</t>
  </si>
  <si>
    <t>66791-77-3</t>
  </si>
  <si>
    <t>COC1=CC(=CC(=C1OC2C(C(C(C(O2)CO)O)O)O)OC)C3C4COC(C4CO3)C5=CC(=C(C(=C5)OC)OC6C(C(C(C(O6)CO)O)O)O)OC</t>
  </si>
  <si>
    <t>FFDULTAFAQRACT-NYYYOYJKSA-N</t>
  </si>
  <si>
    <t>0.70_234.0140n</t>
  </si>
  <si>
    <t>Potassium Gluconate</t>
  </si>
  <si>
    <t>HMDB0303731</t>
  </si>
  <si>
    <t>[K+].OCC(O)C(O)C(O)C(O)C([O-])=O</t>
  </si>
  <si>
    <t>HLCFGWHYROZGBI-UHFFFAOYSA-M</t>
  </si>
  <si>
    <t>C6H11KO7</t>
  </si>
  <si>
    <t>14.15_744.5129m/z</t>
  </si>
  <si>
    <t>PS(O-18:0/14:0)</t>
  </si>
  <si>
    <t>LMGP03020020</t>
  </si>
  <si>
    <t>C(O)(=O)[C@@]([H])(N)COP(OC[C@]([H])(OC(CCCCCCCCCCCCC)=O)COCCCCCCCCCCCCCCCCCC)(=O)O</t>
  </si>
  <si>
    <t>VOCXCSIAZYJCOV-XDSPJLLDSA-N</t>
  </si>
  <si>
    <t>C38H76NO9P</t>
  </si>
  <si>
    <t>8.99_693.3448m/z</t>
  </si>
  <si>
    <t>Strophanthin</t>
  </si>
  <si>
    <t>HMDB0242744</t>
  </si>
  <si>
    <t>COC1CC(OC2CCC3(C=O)C4CCC5(C)C(CCC5(O)C4CCC3(O)C2)C2=CC(=O)OC2)OC(C)C1OC1OC(CO)C(O)C(O)C1O</t>
  </si>
  <si>
    <t>FHIREUBIEIPPMC-UHFFFAOYSA-N</t>
  </si>
  <si>
    <t>C36H54O14</t>
  </si>
  <si>
    <t>4.72_273.0978m/z</t>
  </si>
  <si>
    <t>Depdecin</t>
  </si>
  <si>
    <t>LMFA05000013</t>
  </si>
  <si>
    <t>C(=C)[C@@H](O)[C@@H]1O[C@H]1/C=C/[C@@H]1O[C@H]1[C@H](O)CO</t>
  </si>
  <si>
    <t>WWAQOPQUSWZTHG-SHEFQFEDSA-N</t>
  </si>
  <si>
    <t>C11H16O5</t>
  </si>
  <si>
    <t>13.53_622.4428m/z</t>
  </si>
  <si>
    <t>PA(15:0/14:1(9Z))</t>
  </si>
  <si>
    <t>HMDB0114813</t>
  </si>
  <si>
    <t>LMGP10010139</t>
  </si>
  <si>
    <t>[C@](COP(=O)(O)O)([H])(OC(CCCCCCC/C=C\CCCC)=O)COC(CCCCCCCCCCCCCC)=O</t>
  </si>
  <si>
    <t>GNNABYLYJOBOID-SPMUYJKHSA-N</t>
  </si>
  <si>
    <t>C32H61O8P</t>
  </si>
  <si>
    <t>5.59_182.0706n</t>
  </si>
  <si>
    <t>Triethyl Phosphate</t>
  </si>
  <si>
    <t>HMDB0259191</t>
  </si>
  <si>
    <t>78-40-0</t>
  </si>
  <si>
    <t>CCOP(=O)(OCC)OCC</t>
  </si>
  <si>
    <t>DQWPFSLDHJDLRL-UHFFFAOYSA-N</t>
  </si>
  <si>
    <t>C6H15O4P</t>
  </si>
  <si>
    <t>5.34_374.1364n</t>
  </si>
  <si>
    <t>Elephantopinolide B</t>
  </si>
  <si>
    <t>LMPR0103090019</t>
  </si>
  <si>
    <t>[C@H]12OC(=O)C(C[C@H](OC(=O)/C(=C\C)/C)[C@H]3C(=C)C(=O)O[C@@H]3[C@H](O)C(=C)C1)=C2</t>
  </si>
  <si>
    <t>ASEQKKRQQIRJEC-ITGJHDPNSA-N</t>
  </si>
  <si>
    <t>C20H22O7</t>
  </si>
  <si>
    <t>8.91_214.2528m/z</t>
  </si>
  <si>
    <t>Tetradecylamine</t>
  </si>
  <si>
    <t>HMDB0258887</t>
  </si>
  <si>
    <t>2016-42-4</t>
  </si>
  <si>
    <t>CCCCCCCCCCCCCCN</t>
  </si>
  <si>
    <t>PLZVEHJLHYMBBY-UHFFFAOYSA-N</t>
  </si>
  <si>
    <t>C14H31N</t>
  </si>
  <si>
    <t>8.16_490.2199n</t>
  </si>
  <si>
    <t>4-Oxo-9-Cis-Retinoyl-Beta-Glucuronide</t>
  </si>
  <si>
    <t>HMDB0060122</t>
  </si>
  <si>
    <t>C\C(\C=C\C1=C(C)CCC(=O)C1(C)C)=C\C=C\C(\C)=C\C(=O)O[C@@H]1O[C@H]([C@@H](O)[C@@H](O)[C@H]1O)C(O)=O</t>
  </si>
  <si>
    <t>XEIKLAKHCVSUMR-CAHRZYSUSA-N</t>
  </si>
  <si>
    <t>C26H34O9</t>
  </si>
  <si>
    <t>5.80_406.1264n</t>
  </si>
  <si>
    <t>Arthromerin A</t>
  </si>
  <si>
    <t>LMPK12020025</t>
  </si>
  <si>
    <t>C1O[C@H]([C@@H]([C@H]([C@@H]1O)O)O)O[C@@H]1CC2=C(C=C(C=C2O[C@H]1C1=CC=C(C=C1)O)O)O</t>
  </si>
  <si>
    <t>PNKDYHXWXNUKQK-AZQPHWPRSA-N</t>
  </si>
  <si>
    <t>C20H22O9</t>
  </si>
  <si>
    <t>4.81_497.3343m/z</t>
  </si>
  <si>
    <t>Alprenolol</t>
  </si>
  <si>
    <t>HMDB0015004</t>
  </si>
  <si>
    <t>13655-52-2</t>
  </si>
  <si>
    <t>CC(C)NCC(O)COC1=CC=CC=C1CC=C</t>
  </si>
  <si>
    <t>PAZJSJFMUHDSTF-UHFFFAOYSA-N</t>
  </si>
  <si>
    <t>C15H23NO2</t>
  </si>
  <si>
    <t>4.26_543.1692m/z</t>
  </si>
  <si>
    <t>Prednisolone Metasulfobenzoate</t>
  </si>
  <si>
    <t>HMDB0256747</t>
  </si>
  <si>
    <t>CC12CC(O)C3C(CCC4=CC(=O)C=CC34C)C1CCC2(O)C(=O)COC(=O)C1=CC(=CC=C1)S(O)(=O)=O</t>
  </si>
  <si>
    <t>WVKSUFYQOHQCMM-UHFFFAOYSA-N</t>
  </si>
  <si>
    <t>C28H32O9S</t>
  </si>
  <si>
    <t>5.49_523.2907m/z</t>
  </si>
  <si>
    <t>Valyl-Leucyl-Lysine 4-Nitroanilide</t>
  </si>
  <si>
    <t>HMDB0250805</t>
  </si>
  <si>
    <t>CC(C)CC(NC(=O)C(N)C(C)C)C(=O)NC(CCCCN)C(=O)NC1=CC=C(C=C1)[N+]([O-])=O</t>
  </si>
  <si>
    <t>CAJXYXPLLJDEOB-UHFFFAOYSA-N</t>
  </si>
  <si>
    <t>C23H38N6O5</t>
  </si>
  <si>
    <t>4.51_504.3377m/z</t>
  </si>
  <si>
    <t>1-O-Hexadecyl-Sn-Glycero-3-Phosphocholine</t>
  </si>
  <si>
    <t>HMDB0243890</t>
  </si>
  <si>
    <t>C13903</t>
  </si>
  <si>
    <t>52691-62-0</t>
  </si>
  <si>
    <t>CCCCCCCCCCCCCCCCOCC(O)COP([O-])(=O)OCC[N+](C)(C)C</t>
  </si>
  <si>
    <t>VLBPIWYTPAXCFJ-UHFFFAOYSA-N</t>
  </si>
  <si>
    <t>C24H52NO6P</t>
  </si>
  <si>
    <t>5.28_685.2271m/z</t>
  </si>
  <si>
    <t>Phenyl [1-(N-Succinylamino)Pentyl]Phosphonate</t>
  </si>
  <si>
    <t>LMFA08020199</t>
  </si>
  <si>
    <t>CCCC[C@@H]([P@@](OC1=CC=CC=C1)(=O)O)NC(CCC(=O)O)=O</t>
  </si>
  <si>
    <t>FJQWWGCHPFSERW-CQSZACIVSA-N</t>
  </si>
  <si>
    <t>Phenoxy compounds</t>
  </si>
  <si>
    <t>C15H22NO6P</t>
  </si>
  <si>
    <t>5.21_657.2756m/z</t>
  </si>
  <si>
    <t>Paroxetine</t>
  </si>
  <si>
    <t>HMDB0014853</t>
  </si>
  <si>
    <t>C07415</t>
  </si>
  <si>
    <t>61869-08-7</t>
  </si>
  <si>
    <t>FC1=CC=C(C=C1)[C@@H]1CCNC[C@H]1COC1=CC2=C(OCO2)C=C1</t>
  </si>
  <si>
    <t>AHOUBRCZNHFOSL-YOEHRIQHSA-N</t>
  </si>
  <si>
    <t>Piperidines</t>
  </si>
  <si>
    <t>Phenylpiperidines</t>
  </si>
  <si>
    <t>C19H20FNO3</t>
  </si>
  <si>
    <t>4.43_617.1859m/z</t>
  </si>
  <si>
    <t>4,2'-Dihydroxy-4',6'-Dimethoxychalcone 4-Apiosyl-(1-&gt;2)-Glucoside</t>
  </si>
  <si>
    <t>LMPK12120316</t>
  </si>
  <si>
    <t>C1(OC)C=C(OC)C(C(=O)/C=C/C2C=CC(OC3C(OC4OCC(CO)(O)C4O)C(O)C(O)C(CO)O3)=CC=2)=C(O)C=1</t>
  </si>
  <si>
    <t>OPOKVNGZZHTLNA-VMPITWQZSA-N</t>
  </si>
  <si>
    <t>C28H34O14</t>
  </si>
  <si>
    <t>4.38_318.0351n</t>
  </si>
  <si>
    <t>3-Deoxy-D-Manno-Octulosonate 8-Phosphate</t>
  </si>
  <si>
    <t>HMDB0304126</t>
  </si>
  <si>
    <t>C04478</t>
  </si>
  <si>
    <t>ko00540</t>
  </si>
  <si>
    <t>Lipopolysaccharide biosynthesis</t>
  </si>
  <si>
    <t>O[C@H](COP(O)(O)=O)[C@@H](O)[C@H](O)[C@H](O)CC(=O)C(O)=O</t>
  </si>
  <si>
    <t>RTNBXJBOAIDPME-SHUUEZRQSA-N</t>
  </si>
  <si>
    <t>C8H15O11P</t>
  </si>
  <si>
    <t>3.93_693.2360m/z</t>
  </si>
  <si>
    <t>Curcumin Diglucoside</t>
  </si>
  <si>
    <t>HMDB0304302</t>
  </si>
  <si>
    <t>COC1=CC(C=CC(O)=CC(=O)C=CC2=CC(OC)=C(OC3OC(CO)C(O)C(O)C3O)C=C2)=CC=C1OC1OC(CO)C(O)C(O)C1O</t>
  </si>
  <si>
    <t>HQRWPYNQQYEQRQ-UHFFFAOYSA-N</t>
  </si>
  <si>
    <t>5.01_575.1192m/z</t>
  </si>
  <si>
    <t>Luteolin 7-(6''-P-Coumarylglucoside)</t>
  </si>
  <si>
    <t>LMPK12110697</t>
  </si>
  <si>
    <t>C1(O[C@H]2[C@H](O)[C@@H](O)[C@H](O)[C@@H](COC(/C=C/C3C=CC(O)=CC=3)=O)O2)=CC2OC(C3C=C(O)C(O)=CC=3)=CC(=O)C=2C(O)=C1</t>
  </si>
  <si>
    <t>WSBRSNYQSKBARE-FKGBAZHISA-N</t>
  </si>
  <si>
    <t>4.77_284.1844n</t>
  </si>
  <si>
    <t>Melanostatin</t>
  </si>
  <si>
    <t>HMDB0005764</t>
  </si>
  <si>
    <t>9083-38-9</t>
  </si>
  <si>
    <t>CC(C)C[C@H](NC(=O)[C@@H]1CCCN1)C(=O)NCC(N)=O</t>
  </si>
  <si>
    <t>NOOJLZTTWSNHOX-UWVGGRQHSA-N</t>
  </si>
  <si>
    <t>C13H24N4O3</t>
  </si>
  <si>
    <t>11.87_929.5107m/z</t>
  </si>
  <si>
    <t>Notoginsenoside H</t>
  </si>
  <si>
    <t>HMDB0032068</t>
  </si>
  <si>
    <t>193976-69-1</t>
  </si>
  <si>
    <t>CC(C)(O)\C=C\CC(C)(OC1OC(CO)C(O)C(O)C1O)C1CCC2(C)C1C(O)CC1C3(C)CCC(O)C(C)(C)C3C(CC21C)OC1OC(CO)C(O)C(O)C1OC1OCC(O)C(O)C1O</t>
  </si>
  <si>
    <t>BIRZHRCAUBJIEK-FMIVXFBMSA-N</t>
  </si>
  <si>
    <t>C47H80O19</t>
  </si>
  <si>
    <t>2.48_364.1248m/z</t>
  </si>
  <si>
    <t>2-(Acetylamino)-1,5-Anhydro-2-Deoxy-4-O-B-D-Galactopyranosyl-D-Arabino-Hex-1-Enitol</t>
  </si>
  <si>
    <t>HMDB0002282</t>
  </si>
  <si>
    <t>868264-13-5</t>
  </si>
  <si>
    <t>[H][C@@]1(O[C@@H]2O[C@H](CO)[C@H](O)[C@H](O)[C@H]2O)[C@@H](CO)OC=C(NC(C)=O)[C@H]1O</t>
  </si>
  <si>
    <t>MIDRXTGJGROJRO-JFXDCXPESA-N</t>
  </si>
  <si>
    <t>C14H23NO10</t>
  </si>
  <si>
    <t>10.95_505.3505m/z</t>
  </si>
  <si>
    <t>Certonardosterol M</t>
  </si>
  <si>
    <t>LMST01031209</t>
  </si>
  <si>
    <t>C1[C@]2(C)[C@@]3([H])CC[C@]4(C)[C@@]([H])([C@]([H])(C)CC[C@@H](C)[C@H](C)CO)C[C@@H](O)[C@@]4([H])[C@]3(O)C[C@H](O)[C@@]2([H])[C@@H](O)[C@@H](O)C1</t>
  </si>
  <si>
    <t>QLEHTNPUVWZOQF-ZNCSQDSCSA-N</t>
  </si>
  <si>
    <t>C28H50O6</t>
  </si>
  <si>
    <t>4.46_251.0788n</t>
  </si>
  <si>
    <t>4-Hydroxy-3-Methoxy-Cinnamoylglycine</t>
  </si>
  <si>
    <t>HMDB0059747</t>
  </si>
  <si>
    <t>C02564</t>
  </si>
  <si>
    <t>COC1=CC(\C=C\C(=O)NCC(O)=O)=CC=C1O</t>
  </si>
  <si>
    <t>CLGNQAIRBLDHIN-HWKANZROSA-N</t>
  </si>
  <si>
    <t>C12H13NO5</t>
  </si>
  <si>
    <t>3.82_312.0844n</t>
  </si>
  <si>
    <t>Isorhamnetin 3-Rutinoside-7-Glucoside</t>
  </si>
  <si>
    <t>HMDB0304580</t>
  </si>
  <si>
    <t>O[C@@H]1CO[C@@H](OC(=O)\C=C\C2=CC(O)=C(O)C=C2)[C@H](O)[C@H]1O</t>
  </si>
  <si>
    <t>PSYRONNZYLYIOG-RBBVTJSLSA-N</t>
  </si>
  <si>
    <t>C14H16O8</t>
  </si>
  <si>
    <t>4.79_889.5808m/z</t>
  </si>
  <si>
    <t>Pc(Dime(11,3)/Dime(11,3))</t>
  </si>
  <si>
    <t>HMDB0061390</t>
  </si>
  <si>
    <t>CCCC1=C(C)C(C)=C(CCCCCCCCCCC(=O)OCC(COP(O)(=O)OCC[N+](C)(C)C)OC(=O)CCCCCCCCCCC2=C(C)C(C)=C(CCC)O2)O1</t>
  </si>
  <si>
    <t>DQXMMQRBHZWYPT-UHFFFAOYSA-O</t>
  </si>
  <si>
    <t>C48H85NO10P+</t>
  </si>
  <si>
    <t>4.78_644.3071m/z</t>
  </si>
  <si>
    <t>Aconitine</t>
  </si>
  <si>
    <t>HMDB0004315</t>
  </si>
  <si>
    <t>C06091</t>
  </si>
  <si>
    <t>302-27-2</t>
  </si>
  <si>
    <t>CCN1CC2(C(CC(C34C2C(C(C31)C5(C6C4CC(C6OC(=O)C7=CC=CC=C7)(C(C5O)OC)O)OC(=O)C)OC)OC)O)COC</t>
  </si>
  <si>
    <t>XFSBVAOIAHNAPC-XTHSEXKGSA-N</t>
  </si>
  <si>
    <t>9.52_318.3001m/z</t>
  </si>
  <si>
    <t>Phytosphingosine</t>
  </si>
  <si>
    <t>HMDB0004610</t>
  </si>
  <si>
    <t>LMSP01030001</t>
  </si>
  <si>
    <t>C12144</t>
  </si>
  <si>
    <t>554-62-1</t>
  </si>
  <si>
    <t>OC[C@]([H])(N)[C@]([H])(O)[C@@](O)([H])CCCCCCCCCCCCCC</t>
  </si>
  <si>
    <t>AERBNCYCJBRYDG-KSZLIROESA-N</t>
  </si>
  <si>
    <t>C18H39NO3</t>
  </si>
  <si>
    <t>3.31_315.1047m/z</t>
  </si>
  <si>
    <t>Pantoyllactone Glucoside</t>
  </si>
  <si>
    <t>HMDB0041269</t>
  </si>
  <si>
    <t>CC1(C)COC(=O)C1OC1OC(CO)C(O)C(O)C1O</t>
  </si>
  <si>
    <t>BFCZPWYLRHFBNO-UHFFFAOYSA-N</t>
  </si>
  <si>
    <t>C12H20O8</t>
  </si>
  <si>
    <t>6.86_619.3099m/z</t>
  </si>
  <si>
    <t>Cucurbitacin A</t>
  </si>
  <si>
    <t>HMDB0302593</t>
  </si>
  <si>
    <t>CC(=O)OC(C)(C)\C=C\C(=O)C(C)(O)C1C(O)CC2(C)C3CC=C4C(CC(O)C(=O)C4(C)C)C3(CO)C(=O)CC12C</t>
  </si>
  <si>
    <t>IHTCCHVMPGDDSL-VAWYXSNFSA-N</t>
  </si>
  <si>
    <t>C32H46O9</t>
  </si>
  <si>
    <t>11.34_685.4163m/z</t>
  </si>
  <si>
    <t>Cp-642931</t>
  </si>
  <si>
    <t>CC1CN(CC(N1C2=NC(=NC=C2)C(C)O)C)C3=NC(=NC(=N3)C)C</t>
  </si>
  <si>
    <t>FTEQMUXMWCGJAF-GRYCIOLGSA-N</t>
  </si>
  <si>
    <t>C17H25N7O</t>
  </si>
  <si>
    <t>13.03_107.9667m/z</t>
  </si>
  <si>
    <t>Sodium Nitrate (Nano3)</t>
  </si>
  <si>
    <t>HMDB0303521</t>
  </si>
  <si>
    <t>[Na+].[O-][N+]([O-])=O</t>
  </si>
  <si>
    <t>VWDWKYIASSYTQR-UHFFFAOYSA-N</t>
  </si>
  <si>
    <t>Mixed metal/non-metal compounds</t>
  </si>
  <si>
    <t>Alkali metal oxoanionic compounds</t>
  </si>
  <si>
    <t>Alkali metal nitrates</t>
  </si>
  <si>
    <t>NNaO3</t>
  </si>
  <si>
    <t>6.01_517.2590m/z</t>
  </si>
  <si>
    <t>Os-Pa</t>
  </si>
  <si>
    <t>LMGP20070020</t>
  </si>
  <si>
    <t>[C@](COP(=O)(O)O)([H])(OC(CCC(=O)O)=O)COC(CCCCCCC/C=C\CCCCCCCC)=O</t>
  </si>
  <si>
    <t>YXLMBHUIKSDLSM-MZMPXXGTSA-N</t>
  </si>
  <si>
    <t>C25H45O10P</t>
  </si>
  <si>
    <t>8.51_810.4039m/z</t>
  </si>
  <si>
    <t>Leucomycin A5</t>
  </si>
  <si>
    <t>HMDB0254036</t>
  </si>
  <si>
    <t>CCCC(=O)OC1C(C)OC(CC1(C)O)OC1C(C)OC(OC2C(CC=O)CC(C)C(O)C=CC=CCC(C)OC(=O)CC(O)C2OC)C(O)C1N(C)C</t>
  </si>
  <si>
    <t>JZVYPSLDMXOITF-UHFFFAOYSA-N</t>
  </si>
  <si>
    <t>C39H65NO14</t>
  </si>
  <si>
    <t>4.29_376.1374n</t>
  </si>
  <si>
    <t>Riboflavin</t>
  </si>
  <si>
    <t>HMDB0000244</t>
  </si>
  <si>
    <t>C00255</t>
  </si>
  <si>
    <t>ko00740,ko02010,ko04977</t>
  </si>
  <si>
    <t>Riboflavin metabolism|ABC transporters|Vitamin digestion and absorption</t>
  </si>
  <si>
    <t>83-88-5</t>
  </si>
  <si>
    <t>CC1=C(C)C=C2N(C[C@H](O)[C@H](O)[C@H](O)CO)C3=NC(=O)NC(=O)C3=NC2=C1</t>
  </si>
  <si>
    <t>AUNGANRZJHBGPY-SCRDCRAPSA-N</t>
  </si>
  <si>
    <t>Alloxazines and isoalloxazines</t>
  </si>
  <si>
    <t>C17H20N4O6</t>
  </si>
  <si>
    <t>9.30_941.3994m/z</t>
  </si>
  <si>
    <t>LPIM2(16:0/0:0)</t>
  </si>
  <si>
    <t>LMGP15040009</t>
  </si>
  <si>
    <t>[C@](COP(O[C@H]1[C@@H](O[C@@H]2[C@@H](O)[C@@H](O)[C@H](O)[C@@H](CO)O2)[C@@H](O)[C@H](O)[C@@H](O)[C@@H]1O[C@@H]1[C@@H](O)[C@@H](O)[C@H](O)[C@@H](CO)O1)(=O)O)([H])(O)COC(CCCCCCCCCCCCCCC)=O</t>
  </si>
  <si>
    <t>MOEKLGVOVLDLKN-ODWBJJNISA-N</t>
  </si>
  <si>
    <t>C37H69O22P</t>
  </si>
  <si>
    <t>6.47_532.3011n</t>
  </si>
  <si>
    <t>Ganoderic Acid I</t>
  </si>
  <si>
    <t>HMDB0035310</t>
  </si>
  <si>
    <t>98665-20-4</t>
  </si>
  <si>
    <t>CC(CC(=O)CC(C)(O)C1CC(=O)C2(C)C3=C(C(=O)CC12C)C1(C)CCC(O)C(C)(C)C1CC3O)C(O)=O</t>
  </si>
  <si>
    <t>ZWMMEKXOLCCKLA-UHFFFAOYSA-N</t>
  </si>
  <si>
    <t>10.77_922.6521n</t>
  </si>
  <si>
    <t>Pc(Dime(11,3)/Dime(13,5))</t>
  </si>
  <si>
    <t>HMDB0061392</t>
  </si>
  <si>
    <t>CCCCCC1=C(C)C(C)=C(CCCCCCCCCCCCC(=O)OC(COC(=O)CCCCCCCCCCC2=C(C)C(C)=C(CCC)O2)COP(O)(=O)OCC[N+](C)(C)C)O1</t>
  </si>
  <si>
    <t>RQWGDOMZLJGMQH-UHFFFAOYSA-O</t>
  </si>
  <si>
    <t>C52H93NO10P+</t>
  </si>
  <si>
    <t>4.56_524.2258n</t>
  </si>
  <si>
    <t>Mascaroside</t>
  </si>
  <si>
    <t>HMDB0035603</t>
  </si>
  <si>
    <t>C09132</t>
  </si>
  <si>
    <t>55465-97-9</t>
  </si>
  <si>
    <t>CC12CC(=O)C3=C(C=CO3)C1CCC13CC(CC(O)C21)C(O)(COC1OC(CO)C(O)C(O)C1O)C3O</t>
  </si>
  <si>
    <t>SJBDVPKAXKLGPV-UHFFFAOYSA-N</t>
  </si>
  <si>
    <t>4.65_152.1200n</t>
  </si>
  <si>
    <t>(-)-Perillyl Alcohol</t>
  </si>
  <si>
    <t>HMDB03634</t>
  </si>
  <si>
    <t>LMPR0102090008</t>
  </si>
  <si>
    <t>C02452</t>
  </si>
  <si>
    <t>ko00902,ko00903</t>
  </si>
  <si>
    <t>Monoterpenoid biosynthesis|Limonene and pinene degradation</t>
  </si>
  <si>
    <t>18457-55-1</t>
  </si>
  <si>
    <t>C1C[C@H](C(=C)C)CC=C1CO</t>
  </si>
  <si>
    <t>NDTYTMIUWGWIMO-SNVBAGLBSA-N</t>
  </si>
  <si>
    <t>C10H16O</t>
  </si>
  <si>
    <t>4.06_395.1923m/z</t>
  </si>
  <si>
    <t>Trans-P-Menthane-1,7,8-Triol 8-Glucoside</t>
  </si>
  <si>
    <t>HMDB0034784</t>
  </si>
  <si>
    <t>217962-29-3</t>
  </si>
  <si>
    <t>CC(C)(OC1OC(CO)C(O)C(O)C1O)C1CCC(O)(CO)CC1</t>
  </si>
  <si>
    <t>PHDIOUHOXBJRFB-UHFFFAOYSA-N</t>
  </si>
  <si>
    <t>7.97_661.3341m/z</t>
  </si>
  <si>
    <t>Phooa-Pg</t>
  </si>
  <si>
    <t>LMGP20060005</t>
  </si>
  <si>
    <t>[H][C@](O)(CO)COP(OC[C@]([H])(OC(CCCC(O)/C=C/C(=O)[H])=O)COC(CCCCCCCCCCCCCCC)=O)(=O)O</t>
  </si>
  <si>
    <t>WTQFXOBYEPMAGR-TUSCFLICSA-N</t>
  </si>
  <si>
    <t>C30H55O12P</t>
  </si>
  <si>
    <t>5.52_539.2057m/z</t>
  </si>
  <si>
    <t>12r-Acetoxy-Punaglandin 4</t>
  </si>
  <si>
    <t>LMFA03120034</t>
  </si>
  <si>
    <t>[C@@]1(OC(C)=O)(C/C=C\CCCCC)C=C(Cl)C(=O)/C/1=C/[C@H](OC(=O)C)[C@@H](OC(C)=O)CCCC(=O)OC</t>
  </si>
  <si>
    <t>ANXQDHSEXVYWJM-KUSXHKPHSA-N</t>
  </si>
  <si>
    <t>C27H37ClO9</t>
  </si>
  <si>
    <t>10.49_763.4220m/z</t>
  </si>
  <si>
    <t>Torvoside C</t>
  </si>
  <si>
    <t>HMDB0029623</t>
  </si>
  <si>
    <t>185012-38-8</t>
  </si>
  <si>
    <t>CC1C2C(CC3C4CC(OC5OC(C)C(O)C(OC6OC(C)C(O)C(O)C6O)C5O)C5CC(O)CCC5(C)C4CCC23C)OC11OCC(C)CC1O</t>
  </si>
  <si>
    <t>DRLHUZGVDNWMNU-UHFFFAOYSA-N</t>
  </si>
  <si>
    <t>C39H64O13</t>
  </si>
  <si>
    <t>6.09_502.2195n</t>
  </si>
  <si>
    <t>Cyclocalamin</t>
  </si>
  <si>
    <t>HMDB0035863</t>
  </si>
  <si>
    <t>74751-39-6</t>
  </si>
  <si>
    <t>COC(=O)CC1OC(C)(C)C2C(=O)C(O)C3(C)C(CCC4(C)C(OC(=O)C5OC345)C3=COC=C3)C12C</t>
  </si>
  <si>
    <t>QZEZEIDFGQZYKE-UHFFFAOYSA-N</t>
  </si>
  <si>
    <t>9.64_597.1386m/z</t>
  </si>
  <si>
    <t>Physalin K</t>
  </si>
  <si>
    <t>HMDB0034347</t>
  </si>
  <si>
    <t>76045-35-7</t>
  </si>
  <si>
    <t>CC12OC(=O)C3(O)CCC4C(CC(O)C56OOC(C=C5)C(=O)C46C)C45OC13C(C4=O)C1(C)CC2OC(=O)C1CO5</t>
  </si>
  <si>
    <t>IRYOOASWRCIZCK-UHFFFAOYSA-N</t>
  </si>
  <si>
    <t>Physalins and derivatives</t>
  </si>
  <si>
    <t>C28H30O12</t>
  </si>
  <si>
    <t>8.43_575.3343m/z</t>
  </si>
  <si>
    <t>DG(8:0/20:4(8Z,11Z,14Z,17Z)-2OH(5S,6R)/0:0)</t>
  </si>
  <si>
    <t>HMDB0297211</t>
  </si>
  <si>
    <t>CCCCCCCC(=O)OC[C@H](CO)OC(=O)CCC[C@@H](O)[C@H](O)C\C=C/C\C=C/C\C=C/C\C=C/CC</t>
  </si>
  <si>
    <t>YBODDZSLYSTFGN-JVJDYBLFSA-N</t>
  </si>
  <si>
    <t>C31H52O7</t>
  </si>
  <si>
    <t>9.04_941.2953m/z</t>
  </si>
  <si>
    <t>Norfluoxetine Glucuronide</t>
  </si>
  <si>
    <t>HMDB0061170</t>
  </si>
  <si>
    <t>96735-72-7</t>
  </si>
  <si>
    <t>O[C@@H]1[C@@H](O)[C@H](NCCC(OC2=CC=C(C=C2)C(F)(F)F)C2=CC=CC=C2)O[C@@H]([C@H]1O)C(O)=O</t>
  </si>
  <si>
    <t>GXZQMXPRYAFVRG-OJRVOLPLSA-N</t>
  </si>
  <si>
    <t>C22H24F3NO7</t>
  </si>
  <si>
    <t>11.27_750.4471m/z</t>
  </si>
  <si>
    <t>PE(14:0/20:4(5Z,8Z,11Z,14Z))</t>
  </si>
  <si>
    <t>HMDB0008838</t>
  </si>
  <si>
    <t>LMGP02011242</t>
  </si>
  <si>
    <t>[C@](COP(=O)(O)OCCN)([H])(OC(CCC/C=C\C/C=C\C/C=C\C/C=C\CCCCC)=O)COC(CCCCCCCCCCCCC)=O</t>
  </si>
  <si>
    <t>PCNMLNCECLPPIO-CIAQOEIVSA-N</t>
  </si>
  <si>
    <t>C39H70NO8P</t>
  </si>
  <si>
    <t>0.54_181.0143m/z</t>
  </si>
  <si>
    <t>3-(But-3-En-1-Yn-1-Yl)-6-Methyl-1,2-Dithiine</t>
  </si>
  <si>
    <t>LMFA12000365</t>
  </si>
  <si>
    <t>C1C=C(C#CC=C)SSC=1C</t>
  </si>
  <si>
    <t>SEXDKVHSFVCQMZ-UHFFFAOYSA-N</t>
  </si>
  <si>
    <t>Dithiins</t>
  </si>
  <si>
    <t>C9H8S2</t>
  </si>
  <si>
    <t>3.99_575.2708m/z</t>
  </si>
  <si>
    <t>Cinncassiol D2 Glucoside</t>
  </si>
  <si>
    <t>HMDB0034679</t>
  </si>
  <si>
    <t>CC(COC1OC(CO)C(O)C(O)C1O)C1CC2C3(O)C4OC(O)(CC2(C)C2(O)CCC(C)(O)C42)C13C</t>
  </si>
  <si>
    <t>UPEGWQJBOXUCSZ-UHFFFAOYSA-N</t>
  </si>
  <si>
    <t>C26H42O11</t>
  </si>
  <si>
    <t>11.19_250.1444m/z</t>
  </si>
  <si>
    <t>Diethylpropion</t>
  </si>
  <si>
    <t>HMDB0015072</t>
  </si>
  <si>
    <t>C06954</t>
  </si>
  <si>
    <t>134-80-5</t>
  </si>
  <si>
    <t>CCN(CC)C(C)C(=O)C1=CC=CC=C1</t>
  </si>
  <si>
    <t>XXEPPPIWZFICOJ-UHFFFAOYSA-N</t>
  </si>
  <si>
    <t>C13H19NO</t>
  </si>
  <si>
    <t>5.90_940.5432n</t>
  </si>
  <si>
    <t>PGP(i-20:0/20:3(8Z,11Z,14Z)-2OH(5,6))</t>
  </si>
  <si>
    <t>HMDB0275656</t>
  </si>
  <si>
    <t>[H][C@](O)(COP(O)(O)=O)COP(O)(=O)OC[C@@]([H])(COC(=O)CCCCCCCCCCCCCCCCC(C)C)OC(=O)CCCC(O)C(O)C\C=C/C\C=C/C\C=C/CCCCC</t>
  </si>
  <si>
    <t>PGOLLGWEUCOXBO-URJZHDLFSA-N</t>
  </si>
  <si>
    <t>C46H86O15P2</t>
  </si>
  <si>
    <t>3.35_206.0447m/z</t>
  </si>
  <si>
    <t>Zeanic Acid</t>
  </si>
  <si>
    <t>HMDB0032963</t>
  </si>
  <si>
    <t>30536-55-1</t>
  </si>
  <si>
    <t>OC(=O)C1=CC(=O)NC2=C1C=CC=C2O</t>
  </si>
  <si>
    <t>DVEVPRIOUKVFAM-UHFFFAOYSA-N</t>
  </si>
  <si>
    <t>C10H7NO4</t>
  </si>
  <si>
    <t>4.98_315.1953m/z</t>
  </si>
  <si>
    <t>Pgb3</t>
  </si>
  <si>
    <t>LMFA03010141</t>
  </si>
  <si>
    <t>36614-32-1</t>
  </si>
  <si>
    <t>C1(/C=C/[C@@H](O)C/C=C\CC)CCC(=O)C=1C/C=C\CCCC(=O)O</t>
  </si>
  <si>
    <t>DQRGQQAJYRBDRP-UNBCGXALSA-N</t>
  </si>
  <si>
    <t>13.25_421.3672m/z</t>
  </si>
  <si>
    <t>5alpha,6beta-Dihydroxycholestanol</t>
  </si>
  <si>
    <t>HMDB0003990</t>
  </si>
  <si>
    <t>LMST01010052</t>
  </si>
  <si>
    <t>C05425</t>
  </si>
  <si>
    <t>1253-84-5</t>
  </si>
  <si>
    <t>C1[C@]2(C)[C@@]3([H])CC[C@]4(C)[C@@]([H])([C@]([H])(C)CCCC(C)C)CC[C@@]4([H])[C@]3([H])C[C@@H](O)[C@@]2(O)C[C@@H](O)C1</t>
  </si>
  <si>
    <t>YMMFNKXZULYSOQ-RUXQDQFYSA-N</t>
  </si>
  <si>
    <t>C27H48O3</t>
  </si>
  <si>
    <t>9.85_625.2653m/z</t>
  </si>
  <si>
    <t>15-Lipoxygenase Inhibitor 1</t>
  </si>
  <si>
    <t>928853-86-5</t>
  </si>
  <si>
    <t>CC1=C2C(=NC(=N1)N3CCN(CC3)C)SC4=CC=CC=C4N2</t>
  </si>
  <si>
    <t>HYPHGMNLWIKEMB-UHFFFAOYSA-N</t>
  </si>
  <si>
    <t>C16H19N5S</t>
  </si>
  <si>
    <t>8.42_290.2685m/z</t>
  </si>
  <si>
    <t>Juniperic Acid</t>
  </si>
  <si>
    <t>HMDB0006294</t>
  </si>
  <si>
    <t>LMFA01050051</t>
  </si>
  <si>
    <t>C18218</t>
  </si>
  <si>
    <t>506-13-8</t>
  </si>
  <si>
    <t>C(CCCCCCCCCCCCCO)CC(=O)O</t>
  </si>
  <si>
    <t>UGAGPNKCDRTDHP-UHFFFAOYSA-N</t>
  </si>
  <si>
    <t>C16H32O3</t>
  </si>
  <si>
    <t>3.79_487.1593m/z</t>
  </si>
  <si>
    <t>Diffutin</t>
  </si>
  <si>
    <t>LMPK12020267</t>
  </si>
  <si>
    <t>C09636</t>
  </si>
  <si>
    <t>C1(O)C=C2O[C@H](C3C=C(OC)C(OC)=CC=3)CCC2=C(O[C@H]2[C@H](O)[C@@H](O)[C@H](O)[C@@H](CO)O2)C=1</t>
  </si>
  <si>
    <t>ZNWIOJJMPZWSQO-YRDUZITASA-N</t>
  </si>
  <si>
    <t>C23H28O10</t>
  </si>
  <si>
    <t>14.36_449.3620m/z</t>
  </si>
  <si>
    <t>Typhasterol</t>
  </si>
  <si>
    <t>HMDB0034423</t>
  </si>
  <si>
    <t>LMST01030130</t>
  </si>
  <si>
    <t>C15793</t>
  </si>
  <si>
    <t>ko00905</t>
  </si>
  <si>
    <t>Brassinosteroid biosynthesis</t>
  </si>
  <si>
    <t>87734-68-7</t>
  </si>
  <si>
    <t>[C@]12(CC(=O)[C@@]3([H])C[C@H](O)CC[C@]3(C)[C@@]1([H])CC[C@]1(C)[C@@]([H])([C@@](C)([H])[C@@H](O)[C@H](O)[C@@H](C)C(C)C)CC[C@@]21[H])[H]</t>
  </si>
  <si>
    <t>SBSXXCCMIWEPEE-SELDZKRUSA-N</t>
  </si>
  <si>
    <t>C28H48O4</t>
  </si>
  <si>
    <t>4.63_478.1838n</t>
  </si>
  <si>
    <t>Dichotosinin</t>
  </si>
  <si>
    <t>LMPK12020273</t>
  </si>
  <si>
    <t>C1(OC)C=C2OC(C3C=C(OC)C(OC)=CC=3)CCC2=C(O[C@H]2[C@H](O)[C@@H](O)[C@H](O)[C@@H](CO)O2)C=1</t>
  </si>
  <si>
    <t>UQVHQQQKJXHPAP-JYYYJSNHSA-N</t>
  </si>
  <si>
    <t>C24H30O10</t>
  </si>
  <si>
    <t>10.98_489.2634m/z</t>
  </si>
  <si>
    <t>Minabeolide-2</t>
  </si>
  <si>
    <t>LMST01160003</t>
  </si>
  <si>
    <t>[C@]12(CCC3=CC(=O)C=C[C@]3(C)[C@@]1([H])CC[C@]1(OC(=O)C)[C@@]([H])([C@@](C)([H])C3CC(C)=C(C)C(=O)O3)CC[C@@]21[H])[H]</t>
  </si>
  <si>
    <t>BBBNKLKUMVVLJN-XREBIDTMSA-N</t>
  </si>
  <si>
    <t>C29H38O5</t>
  </si>
  <si>
    <t>5.23_985.4754m/z</t>
  </si>
  <si>
    <t>PE(22:6(4Z,7Z,10Z,13Z,16Z,19Z)/LTE4)</t>
  </si>
  <si>
    <t>HMDB0284372</t>
  </si>
  <si>
    <t>CCCCC\C=C/C\C=C/C=C/C=C/[C@@H](SC[C@H](N)C(=O)O[C@H](COC(=O)CC\C=C/C\C=C/C\C=C/C\C=C/C\C=C/C\C=C/CC)COP(O)(=O)OCCN)[C@@H](O)CCCC(O)=O</t>
  </si>
  <si>
    <t>KKLUPHVLTDFYDV-SXZSUSHSSA-N</t>
  </si>
  <si>
    <t>C50H79N2O11PS</t>
  </si>
  <si>
    <t>5.04_769.3437m/z</t>
  </si>
  <si>
    <t>Pkooa-Pi</t>
  </si>
  <si>
    <t>LMGP20050006</t>
  </si>
  <si>
    <t>[C@]([H])(OC(CCCC(=O)/C=C/C(=O)[H])=O)(COP(=O)(O)O[C@H]1[C@H](O)[C@@H](O)[C@H](O)[C@@H](O)[C@H]1O)COC(CCCCCCCCCCCCCCC)=O</t>
  </si>
  <si>
    <t>OOEQJODIXKTVGJ-YUAOBNCYSA-N</t>
  </si>
  <si>
    <t>C33H57O15P</t>
  </si>
  <si>
    <t>5.38_600.2675m/z</t>
  </si>
  <si>
    <t>Enkephalin L</t>
  </si>
  <si>
    <t>HMDB0001045</t>
  </si>
  <si>
    <t>14-18-6</t>
  </si>
  <si>
    <t>CC(C)C[C@H](NC(=O)[C@H](CC1=CC=CC=C1)NC(=O)CNC(=O)CNC(=O)[C@@H](N)CC1=CC=C(O)C=C1)C(O)=O</t>
  </si>
  <si>
    <t>URLZCHNOLZSCCA-VABKMULXSA-N</t>
  </si>
  <si>
    <t>C28H37N5O7</t>
  </si>
  <si>
    <t>4.96_333.0943m/z</t>
  </si>
  <si>
    <t>Elephantopinolide K</t>
  </si>
  <si>
    <t>LMPR0103090028</t>
  </si>
  <si>
    <t>[C@@H]12OC(=O)C(C[C@H](O)[C@H]3[C@H](OC)C(=O)O[C@@H]3[C@@H]3O[C@]3(C)C1)=C2</t>
  </si>
  <si>
    <t>FIUKLWDETUQLTL-WQPNVZCNSA-N</t>
  </si>
  <si>
    <t>8.60_573.2303m/z</t>
  </si>
  <si>
    <t>3-Hydroxy-Beta-Ionol 3-[Glucosyl-(1-&gt;6)-Glucoside]</t>
  </si>
  <si>
    <t>HMDB0037527</t>
  </si>
  <si>
    <t>137606-56-5</t>
  </si>
  <si>
    <t>CC(O)\C=C\C1=C(C)CC(CC1(C)C)OC1OC(COC2OC(CO)C(O)C(O)C2O)C(O)C(O)C1O</t>
  </si>
  <si>
    <t>JZJSTNWTRLNQSL-AATRIKPKSA-N</t>
  </si>
  <si>
    <t>4.88_494.1764n</t>
  </si>
  <si>
    <t>Harpagoside</t>
  </si>
  <si>
    <t>HMDB0253053</t>
  </si>
  <si>
    <t>CC1(CC(O)C2(O)C=COC(OC3OC(CO)C(O)C(O)C3O)C12)OC(=O)C=CC1=CC=CC=C1</t>
  </si>
  <si>
    <t>KVRQGMOSZKPBNS-UHFFFAOYSA-N</t>
  </si>
  <si>
    <t>C24H30O11</t>
  </si>
  <si>
    <t>15.16_602.4775m/z</t>
  </si>
  <si>
    <t>Cer(d17:1/PGJ2)</t>
  </si>
  <si>
    <t>HMDB0289905</t>
  </si>
  <si>
    <t>CCCCCCCCCCCC\C=C\[C@@H](O)[C@H](CO)NC(=O)CCC\C=C/C[C@H]1C=CC(=O)[C@@H]1\C=C\[C@@H](O)CCCCC</t>
  </si>
  <si>
    <t>RGKCAAWXSRHRSS-YANXUTSGSA-N</t>
  </si>
  <si>
    <t>C37H63NO5</t>
  </si>
  <si>
    <t>3.98_350.1551n</t>
  </si>
  <si>
    <t>Eremopetasin Sulfoxide</t>
  </si>
  <si>
    <t>HMDB0032003</t>
  </si>
  <si>
    <t>CC1C(CCC2=CC(=O)C(CC12C)C(C)=C)OC(=O)\C=C\S(C)=O</t>
  </si>
  <si>
    <t>PUIKQNUXMJPABH-CMDGGOBGSA-N</t>
  </si>
  <si>
    <t>C19H26O4S</t>
  </si>
  <si>
    <t>4.43_190.1356n</t>
  </si>
  <si>
    <t>2,2,6,7-Tetramethylbicyclo[4.3.0]Nona-1(9),4-Dien-8-One</t>
  </si>
  <si>
    <t>HMDB0036685</t>
  </si>
  <si>
    <t>99901-22-1</t>
  </si>
  <si>
    <t>CC1C(=O)C=C2C1(C)C=CCC2(C)C</t>
  </si>
  <si>
    <t>KTDAEZJBJUWAPC-UHFFFAOYSA-N</t>
  </si>
  <si>
    <t>C13H18O</t>
  </si>
  <si>
    <t>3.79_372.1417n</t>
  </si>
  <si>
    <t>Syringin</t>
  </si>
  <si>
    <t>C01533</t>
  </si>
  <si>
    <t>118-34-3</t>
  </si>
  <si>
    <t>COC1=CC(=CC(=C1OC2C(C(C(C(O2)CO)O)O)O)OC)C=CCO</t>
  </si>
  <si>
    <t>QJVXKWHHAMZTBY-GCPOEHJPSA-N</t>
  </si>
  <si>
    <t>C17H24O9</t>
  </si>
  <si>
    <t>0.82_311.0052m/z</t>
  </si>
  <si>
    <t>Cis-Aconitic Anhydride</t>
  </si>
  <si>
    <t>HMDB0250284</t>
  </si>
  <si>
    <t>OC(=O)CC1=CC(=O)OC1=O</t>
  </si>
  <si>
    <t>GVJRTUUUJYMTNQ-UHFFFAOYSA-N</t>
  </si>
  <si>
    <t>5.39_523.2178m/z</t>
  </si>
  <si>
    <t>Cinncassiol C1 19-Glucoside</t>
  </si>
  <si>
    <t>HMDB0035167</t>
  </si>
  <si>
    <t>CC(COC1OC(CO)C(O)C(O)C1O)C1=CC(=O)C2(C)CC3(O)OC4(C(O)C(C)CCC24O)C(=O)C13C</t>
  </si>
  <si>
    <t>UUAKLIKPAJSLHI-UHFFFAOYSA-N</t>
  </si>
  <si>
    <t>C26H38O12</t>
  </si>
  <si>
    <t>4.40_519.1476m/z</t>
  </si>
  <si>
    <t>(R)-Isobyakangelicin 3'-Glucoside</t>
  </si>
  <si>
    <t>HMDB0039026</t>
  </si>
  <si>
    <t>COC1=C2OC(=O)C=CC2=C(OCC(O)C(C)(C)OC2OC(CO)C(O)C(O)C2O)C2=C1OC=C2</t>
  </si>
  <si>
    <t>IDHOCZIKYQXYFE-UHFFFAOYSA-N</t>
  </si>
  <si>
    <t>C23H28O12</t>
  </si>
  <si>
    <t>6.16_651.2654m/z</t>
  </si>
  <si>
    <t>Crocin 3</t>
  </si>
  <si>
    <t>HMDB0039121</t>
  </si>
  <si>
    <t>55750-85-1</t>
  </si>
  <si>
    <t>C\C(\C=C\C=C(\C)C(O)=O)=C/C=C/C=C(/C)\C=C\C=C(/C)C(=O)OC1OC(COC2OC(CO)C(O)C(O)C2O)C(O)C(O)C1O</t>
  </si>
  <si>
    <t>VULLCGFNYWDRHL-BCMXLCDNSA-N</t>
  </si>
  <si>
    <t>3.86_307.1034m/z</t>
  </si>
  <si>
    <t>6-O-(6-Deoxy-Alpha-L-Mannopyranosyl)-Beta-D-Glucopyranose</t>
  </si>
  <si>
    <t>HMDB0247100</t>
  </si>
  <si>
    <t>CC1OC(OCC2OC(O)C(O)C(O)C2O)C(O)C(O)C1O</t>
  </si>
  <si>
    <t>OVVGHDNPYGTYIT-UHFFFAOYSA-N</t>
  </si>
  <si>
    <t>7.07_204.1148n</t>
  </si>
  <si>
    <t>Plastoquinone</t>
  </si>
  <si>
    <t>HMDB0303698</t>
  </si>
  <si>
    <t>C16694</t>
  </si>
  <si>
    <t>CC(C)=CCC1=CC(=O)C(C)=C(C)C1=O</t>
  </si>
  <si>
    <t>VBFJJMPOYIKNHB-UHFFFAOYSA-N</t>
  </si>
  <si>
    <t>C13H16O2</t>
  </si>
  <si>
    <t>2.01_276.0850m/z</t>
  </si>
  <si>
    <t>Asparagine Glutamate</t>
  </si>
  <si>
    <t>HMDB0248666</t>
  </si>
  <si>
    <t>NC(CCC(O)=O)C(=O)OOC(=O)C(N)CC(N)=O</t>
  </si>
  <si>
    <t>XGPQZYNDGSOWLW-UHFFFAOYSA-N</t>
  </si>
  <si>
    <t>C9H15N3O7</t>
  </si>
  <si>
    <t>9.41_310.2528m/z</t>
  </si>
  <si>
    <t>N-Ethylretinamide</t>
  </si>
  <si>
    <t>HMDB0252059</t>
  </si>
  <si>
    <t>CCNC(=O)C=C(C)C=CC=C(C)C=CC1=C(C)CCCC1(C)C</t>
  </si>
  <si>
    <t>WKYDOCGICAMTKE-UHFFFAOYSA-N</t>
  </si>
  <si>
    <t>C22H33NO</t>
  </si>
  <si>
    <t>4.13_667.1044m/z</t>
  </si>
  <si>
    <t>Nmnh</t>
  </si>
  <si>
    <t>HMDB0304437</t>
  </si>
  <si>
    <t>NC(=O)C1=CN(C=CC1)C1OC(COP([O-])([O-])=O)C(O)C1O</t>
  </si>
  <si>
    <t>XQHMUSRSLNRVGA-UHFFFAOYSA-L</t>
  </si>
  <si>
    <t>Pyridine nucleotides</t>
  </si>
  <si>
    <t>Nicotinamide nucleotides</t>
  </si>
  <si>
    <t>C11H15N2O8P-2</t>
  </si>
  <si>
    <t>11.21_523.3992m/z</t>
  </si>
  <si>
    <t>DG(10:0/18:3(10,12,15)-OH(9)/0:0)</t>
  </si>
  <si>
    <t>HMDB0294581</t>
  </si>
  <si>
    <t>CCCCCCCCCC(=O)OC[C@H](CO)OC(=O)CCCCCCCC(O)\C=C\C=C\C\C=C\CC</t>
  </si>
  <si>
    <t>KCMIWZRADGTHAJ-KKGYBAOSSA-N</t>
  </si>
  <si>
    <t>7.80_689.3383m/z</t>
  </si>
  <si>
    <t>Capsianoside Iv</t>
  </si>
  <si>
    <t>HMDB0030736</t>
  </si>
  <si>
    <t>121924-05-8</t>
  </si>
  <si>
    <t>C\C(CC\C=C(/C)C(O)=O)=C/CC\C(C)=C\CCC(C)(OC1OC(CO)C(O)C(O)C1OC1OC(CO)C(O)C(O)C1O)C=C</t>
  </si>
  <si>
    <t>JZULENLOKOXFRW-MZKRGWHTSA-N</t>
  </si>
  <si>
    <t>C32H52O13</t>
  </si>
  <si>
    <t>4.90_509.2023m/z</t>
  </si>
  <si>
    <t>16alpha,17beta-Estriol 16-(Beta-D-Glucuronide)</t>
  </si>
  <si>
    <t>HMDB0006766</t>
  </si>
  <si>
    <t>LMST05010008</t>
  </si>
  <si>
    <t>C05504</t>
  </si>
  <si>
    <t>1852-50-2</t>
  </si>
  <si>
    <t>[C@@]12([H])C[C@H]([C@H](O)[C@@]1(C)CC[C@]1([H])C3C=CC(O)=CC=3CC[C@@]21[H])O[C@H]1[C@H](O)[C@H]([C@H](O)[C@@H](C(=O)O)O1)O</t>
  </si>
  <si>
    <t>FQYGGFDZJFIDPU-JRSYHJKYSA-N</t>
  </si>
  <si>
    <t>C24H32O9</t>
  </si>
  <si>
    <t>7.48_240.1511n</t>
  </si>
  <si>
    <t>(7e,9e,15e)-Heptadeca-7,9,15-Trien-11,13-Diyn-4-One</t>
  </si>
  <si>
    <t>LMFA01060215</t>
  </si>
  <si>
    <t>C(#CC#C/C=C/C=C/CCC(=O)CCC)/C=C/C</t>
  </si>
  <si>
    <t>JRTSGUNUURZHCS-LEKYDIDXSA-N</t>
  </si>
  <si>
    <t>C17H20O</t>
  </si>
  <si>
    <t>3.86_470.1414n</t>
  </si>
  <si>
    <t>Plumieride</t>
  </si>
  <si>
    <t>HMDB0256647</t>
  </si>
  <si>
    <t>COC(=O)C1=COC(OC2OC(CO)C(O)C(O)C2O)C2C1C=CC21OC(=O)C(=C1)C(C)O</t>
  </si>
  <si>
    <t>AOPMSFXOYJXDNJ-UHFFFAOYSA-N</t>
  </si>
  <si>
    <t>C21H26O12</t>
  </si>
  <si>
    <t>5.95_612.3533m/z</t>
  </si>
  <si>
    <t>12-O-Benzoylphorbol 13-Octanoate</t>
  </si>
  <si>
    <t>LMPR0104330010</t>
  </si>
  <si>
    <t>C1=C(CO)C[C@]2(O)C(C(C)=C[C@@]2([H])[C@@]2(O)[C@@H]([C@@H](OC(C3=CC=CC=C3)=O)[C@@]3(OC(CCCCCCC)=O)C(C)(C)[C@@]3([H])[C@@]21[H])C)=O</t>
  </si>
  <si>
    <t>ZSODFQPJTVVVJG-IYRWHXEHSA-N</t>
  </si>
  <si>
    <t>C35H46O8</t>
  </si>
  <si>
    <t>8.93_344.2581m/z</t>
  </si>
  <si>
    <t>4z,7z,9e,11e,13z,16z,19z-Docosaheptaenoic Acid</t>
  </si>
  <si>
    <t>LMFA01031158</t>
  </si>
  <si>
    <t>C(=C/C/C=C\C=C\C=C\C=C/C/C=C\C/C=C\CC)/CCC(O)=O</t>
  </si>
  <si>
    <t>ONCVIMINFCGUNI-SXKGLJMYSA-N</t>
  </si>
  <si>
    <t>C22H30O2</t>
  </si>
  <si>
    <t>8.17_316.2036n</t>
  </si>
  <si>
    <t>Lagaspholone A</t>
  </si>
  <si>
    <t>LMPR0104340001</t>
  </si>
  <si>
    <t>C12[C@@]([H])(O)[C@](C)(O)[C@@]3([H])[C@@]4([H])C(C)(C)[C@@]4([H])CCC(=C)[C@]3([H])C=1C(=O)[C@@]([H])(C)C2</t>
  </si>
  <si>
    <t>DUFLULHNEVXHJR-MTCSHUKASA-N</t>
  </si>
  <si>
    <t>C20H28O3</t>
  </si>
  <si>
    <t>9.23_315.2772n</t>
  </si>
  <si>
    <t>Dehydrophytosphingosine</t>
  </si>
  <si>
    <t>HMDB0038057</t>
  </si>
  <si>
    <t>3687-54-5</t>
  </si>
  <si>
    <t>CCCCCCCCC\C=C\CCCC(O)C(O)C(N)CO</t>
  </si>
  <si>
    <t>CQKNELOTFUSOTP-ZHACJKMWSA-N</t>
  </si>
  <si>
    <t>C18H37NO3</t>
  </si>
  <si>
    <t>3.95_534.0973n</t>
  </si>
  <si>
    <t>6''-Malonylastragalin</t>
  </si>
  <si>
    <t>HMDB0037434</t>
  </si>
  <si>
    <t>81149-02-2</t>
  </si>
  <si>
    <t>OC1C(O)C(COC(=O)CC(O)=O)OC(OC2=C(OC3=CC(O)=CC(O)=C3C2=O)C2=CC=C(O)C=C2)C1O</t>
  </si>
  <si>
    <t>XEXCLTHHXIWUHO-UHFFFAOYSA-N</t>
  </si>
  <si>
    <t>C24H22O14</t>
  </si>
  <si>
    <t>4.99_470.1214n</t>
  </si>
  <si>
    <t>Pongamoside C</t>
  </si>
  <si>
    <t>LMPK12111584</t>
  </si>
  <si>
    <t>C1C(O[C@H]2[C@H](O)[C@@H](O)[C@H](O)[C@@H](CO)O2)=C2OC=CC2=C2OC(C3C=CC=CC=3)=C(OC)C(=O)C=12</t>
  </si>
  <si>
    <t>ADILGNQVWRXLRO-COYHTZKBSA-N</t>
  </si>
  <si>
    <t>C24H22O10</t>
  </si>
  <si>
    <t>14.80_713.5430n</t>
  </si>
  <si>
    <t>Glucocerebrosides</t>
  </si>
  <si>
    <t>CCCCCCCCCCCCCCC(C(=O)NC(COC1C(C(C(C(O1)CO)O)O)O)C(C=CCCC=CCCCCCCCCC)O)O</t>
  </si>
  <si>
    <t>HOMYIYLRRDTKAA-BEYQCJBTSA-N</t>
  </si>
  <si>
    <t>C40H75NO9</t>
  </si>
  <si>
    <t>7.68_474.3340n</t>
  </si>
  <si>
    <t>18-Acetoxy-1alpha,25-Dihydroxyvitamin D3 / 18-Acetoxy-1alpha,25-Dihydroxycholecalciferol</t>
  </si>
  <si>
    <t>LMST03020414</t>
  </si>
  <si>
    <t>[C@@H]1(O)C(=C)/C(=C\C=C2\[C@]3([H])CC[C@@]([C@@](C)([H])CCCC(O)(C)C)([H])[C@@]3(COC(=O)C)CCC\2)/C[C@@H](O)C1</t>
  </si>
  <si>
    <t>WWUMIPQKNPFIAD-AMXJZHMKSA-N</t>
  </si>
  <si>
    <t>C29H46O5</t>
  </si>
  <si>
    <t>8.24_201.1489m/z</t>
  </si>
  <si>
    <t>Omega-Hydroxy Hendecanoic Acid</t>
  </si>
  <si>
    <t>LMFA01050035</t>
  </si>
  <si>
    <t>C(CCCCCCCCO)CC(=O)O</t>
  </si>
  <si>
    <t>KNRCBASNXNXUQQ-UHFFFAOYSA-N</t>
  </si>
  <si>
    <t>C11H22O3</t>
  </si>
  <si>
    <t>12.16_1023.4182m/z</t>
  </si>
  <si>
    <t>Licoricesaponin A3</t>
  </si>
  <si>
    <t>HMDB0038451</t>
  </si>
  <si>
    <t>118325-22-7</t>
  </si>
  <si>
    <t>CC1(C)C(CCC2(C)C1CCC1(C)C2C(=O)C=C2C3CC(C)(CCC3(C)CCC12C)C(=O)OC1OC(CO)C(O)C(O)C1O)OC1OC(C(O)C(O)C1OC1OC(C(O)C(O)C1O)C(O)=O)C(O)=O</t>
  </si>
  <si>
    <t>HJFOOTRGDAPZMV-UHFFFAOYSA-N</t>
  </si>
  <si>
    <t>C48H72O21</t>
  </si>
  <si>
    <t>3.43_615.1924m/z</t>
  </si>
  <si>
    <t>2''-Methoxy-(R)-Oleuropein</t>
  </si>
  <si>
    <t>HMDB0303474</t>
  </si>
  <si>
    <t>COC(COC(=O)CC1\C(=C/C)C(OC2OC(CO)C(O)C(O)C2O)OC=C1C(=O)OC)C1=CC(O)=C(O)C=C1</t>
  </si>
  <si>
    <t>YZPLQRBBARLPFK-YIXHJXPBSA-N</t>
  </si>
  <si>
    <t>C26H34O14</t>
  </si>
  <si>
    <t>5.86_335.1710m/z</t>
  </si>
  <si>
    <t>1-Octen-3-Yl Glucoside</t>
  </si>
  <si>
    <t>HMDB0032959</t>
  </si>
  <si>
    <t>209863-00-3</t>
  </si>
  <si>
    <t>CCCCCC(OC1OC(CO)C(O)C(O)C1O)C=C</t>
  </si>
  <si>
    <t>MPSRBJBPHXIOFN-UHFFFAOYSA-N</t>
  </si>
  <si>
    <t>C14H26O6</t>
  </si>
  <si>
    <t>1.79_729.1063m/z</t>
  </si>
  <si>
    <t>Ptdins-(3,4)-P2 (1,2-Dihexanoyl)</t>
  </si>
  <si>
    <t>CCCCCC(=O)OCC(COP(=O)(O)OC1C(C(C(C(C1O)OP(=O)(O)O)OP(=O)(O)O)O)O)OC(=O)CCCCC</t>
  </si>
  <si>
    <t>MNUCXVUFZGQDNY-RKAOYFAOSA-N</t>
  </si>
  <si>
    <t>C21H41O19P3</t>
  </si>
  <si>
    <t>6.59_611.2252m/z</t>
  </si>
  <si>
    <t>Chlorophyll C</t>
  </si>
  <si>
    <t>HMDB0031147</t>
  </si>
  <si>
    <t>CCC1=C(C)/C2=C/C3=C(C=C)C(C)=C(N3)\C=C3/N=C(C(\C=C\C(O)=O)=C3C)C3=C(C(=O)OC)C(O)=C4C(C)=C(\C=C\1/N\2)N=C34</t>
  </si>
  <si>
    <t>UYSUNDXMKIQRCS-NDTADBPLSA-N</t>
  </si>
  <si>
    <t>C35H32N4O5</t>
  </si>
  <si>
    <t>6.33_647.3132m/z</t>
  </si>
  <si>
    <t>Evasterioside C</t>
  </si>
  <si>
    <t>LMST05050008</t>
  </si>
  <si>
    <t>C1[C@]2(C)[C@@]3([H])CC[C@]4(C)[C@@]([H])([C@]([H])(C)/C=C/C(C)COS(O)(=O)=O)C[C@H](O)[C@@]4([H])[C@]3(O)C[C@@H](O)[C@@]2([H])C[C@@H](O[C@@H]2OC[C@@H](O)[C@H](O)[C@H]2O)C1</t>
  </si>
  <si>
    <t>XTZUZEHRZOFJOF-HDDSMCDFSA-N</t>
  </si>
  <si>
    <t>C31H52O12S</t>
  </si>
  <si>
    <t>4.44_631.2601m/z</t>
  </si>
  <si>
    <t>Disperse Yellow 7</t>
  </si>
  <si>
    <t>HMDB0251482</t>
  </si>
  <si>
    <t>CC1=C(O)C=CC(=C1)N=NC1=CC=C(C=C1)N=NC1=CC=CC=C1</t>
  </si>
  <si>
    <t>VGKYEIFFSOPYEW-UHFFFAOYSA-N</t>
  </si>
  <si>
    <t>C19H16N4O</t>
  </si>
  <si>
    <t>11.37_1018.4430n</t>
  </si>
  <si>
    <t>Octreotide</t>
  </si>
  <si>
    <t>HMDB0014262</t>
  </si>
  <si>
    <t>C07306</t>
  </si>
  <si>
    <t>83150-76-9</t>
  </si>
  <si>
    <t>C[C@@H](O)[C@@H](CO)NC(=O)[C@@H]1CSSC[C@H](NC(=O)[C@H](N)CC2=CC=CC=C2)C(=O)N[C@@H](CC2=CC=CC=C2)C(=O)N[C@H](CC2=CNC3=C2C=CC=C3)C(=O)N[C@@H](CCCCN)C(=O)N[C@@H](C(C)O)C(=O)N1</t>
  </si>
  <si>
    <t>DEQANNDTNATYII-RRCPSWKPSA-N</t>
  </si>
  <si>
    <t>C49H66N10O10S2</t>
  </si>
  <si>
    <t>3.66_376.0770n</t>
  </si>
  <si>
    <t>Lysophosphatidylinositol</t>
  </si>
  <si>
    <t>HMDB0254272</t>
  </si>
  <si>
    <t>CC(=O)OCC(O)COP(O)(=O)OC1C(O)C(O)C(O)C(O)C1O</t>
  </si>
  <si>
    <t>FBDBXJJQMHPGMP-UHFFFAOYSA-N</t>
  </si>
  <si>
    <t>C11H21O12P</t>
  </si>
  <si>
    <t>9.20_727.2965m/z</t>
  </si>
  <si>
    <t>Z-Ala-Arg-Arg-Afc</t>
  </si>
  <si>
    <t>HMDB0259960</t>
  </si>
  <si>
    <t>CC(NC(=O)OCC1=CC=CC=C1)C(=O)NC(CCCN=C(N)N)C(=O)NC(CCCN=C(N)N)C(=O)NC1=CC2=C(C=C1)C(=CC(=O)O2)C(F)(F)F</t>
  </si>
  <si>
    <t>PWPGGFDNLWOQAK-UHFFFAOYSA-N</t>
  </si>
  <si>
    <t>C33H41F3N10O7</t>
  </si>
  <si>
    <t>5.30_316.1467n</t>
  </si>
  <si>
    <t>4,7,10,13,16,19-Docosahexaynoic Acid</t>
  </si>
  <si>
    <t>LMFA01030677</t>
  </si>
  <si>
    <t>C(CCC#CCC#CCC#CCC#CCC#CCC#CCC)(=O)O</t>
  </si>
  <si>
    <t>OYADDSIRDBGZMY-UHFFFAOYSA-N</t>
  </si>
  <si>
    <t>C22H20O2</t>
  </si>
  <si>
    <t>11.87_308.2349n</t>
  </si>
  <si>
    <t>5alpha-Androstane-3beta,7alpha,17beta-Triol</t>
  </si>
  <si>
    <t>HMDB0247012</t>
  </si>
  <si>
    <t>CC12CCC3C(C1CCC2O)C(O)CC1CC(O)CCC31C</t>
  </si>
  <si>
    <t>UFGLFVVFQFFPSV-UHFFFAOYSA-N</t>
  </si>
  <si>
    <t>C19H32O3</t>
  </si>
  <si>
    <t>5.17_430.1260n</t>
  </si>
  <si>
    <t>Alternanthin</t>
  </si>
  <si>
    <t>LMPK12110740</t>
  </si>
  <si>
    <t>C1(O)=CC2OC(C3C=CC(O)=C(OC)C=3)=CC(=O)C=2C(O)=C1[C@@H]1CC(O)[C@H](O)[C@@H](C)O1</t>
  </si>
  <si>
    <t>ZRNTZPKUNIPEAL-YHAWUTMOSA-N</t>
  </si>
  <si>
    <t>C22H22O9</t>
  </si>
  <si>
    <t>4.17_669.2037m/z</t>
  </si>
  <si>
    <t>Hesperidin Methylchalcone</t>
  </si>
  <si>
    <t>HMDB0253112</t>
  </si>
  <si>
    <t>COC1=CC(OC2OC(COC3OC(C)C(O)C(O)C3O)C(O)C(O)C2O)=CC(O)=C1C(=O)C=CC1=CC(O)=C(OC)C=C1</t>
  </si>
  <si>
    <t>FDHNLHLOJLLXDH-UHFFFAOYSA-N</t>
  </si>
  <si>
    <t>C29H36O15</t>
  </si>
  <si>
    <t>3.42_251.1156n</t>
  </si>
  <si>
    <t>Ac-Tyr-Oet</t>
  </si>
  <si>
    <t>C01657</t>
  </si>
  <si>
    <t>840-97-1</t>
  </si>
  <si>
    <t>CCOC(=O)C(CC1=CC=C(C=C1)O)NC(=O)C</t>
  </si>
  <si>
    <t>SKAWDTAMLOJQNK-LBPRGKRZSA-N</t>
  </si>
  <si>
    <t>C13H17NO4</t>
  </si>
  <si>
    <t>4.26_387.1293m/z</t>
  </si>
  <si>
    <t>Morroniside</t>
  </si>
  <si>
    <t>HMDB0254897</t>
  </si>
  <si>
    <t>COC(=O)C1=COC(OC2OC(CO)C(O)C(O)C2O)C2C(C)OC(O)CC12</t>
  </si>
  <si>
    <t>YTZSBJLNMIQROD-UHFFFAOYSA-N</t>
  </si>
  <si>
    <t>C17H26O11</t>
  </si>
  <si>
    <t>1.79_509.1307m/z</t>
  </si>
  <si>
    <t>Tarenninoside B</t>
  </si>
  <si>
    <t>LMPR0102070045</t>
  </si>
  <si>
    <t>C1(C(=O)O)[C@@]2([H])CC=C(C(O)=O)[C@@]2(O)[C@H](O[C@H]2[C@H](O)[C@@H](O)[C@@H](O)[C@@H](COC(C3=CC=CC=C3)=O)O2)OC=1</t>
  </si>
  <si>
    <t>GLPWBGVLVVDDNC-LXADZVSHSA-N</t>
  </si>
  <si>
    <t>C23H24O13</t>
  </si>
  <si>
    <t>10.67_257.2119m/z</t>
  </si>
  <si>
    <t>11e-Tetradecen-1-Ol</t>
  </si>
  <si>
    <t>LMFA05000173</t>
  </si>
  <si>
    <t>OCCCCCCCCCC/C=C/CC</t>
  </si>
  <si>
    <t>YGHAIPJLMYTNAI-ONEGZZNKSA-N</t>
  </si>
  <si>
    <t>5.28_394.1771m/z</t>
  </si>
  <si>
    <t>Dihydroxyfumitremorgin C</t>
  </si>
  <si>
    <t>HMDB0038581</t>
  </si>
  <si>
    <t>111427-99-7</t>
  </si>
  <si>
    <t>COC1=CC2=C(C=C1)C1=C(N2)C(C=C(C)C)N2C(=O)C3CCCN3C(=O)C2(O)C1O</t>
  </si>
  <si>
    <t>CPHRCQUGNAGVIB-UHFFFAOYSA-N</t>
  </si>
  <si>
    <t>Pyridoindoles</t>
  </si>
  <si>
    <t>C22H25N3O5</t>
  </si>
  <si>
    <t>5.47_262.2374m/z</t>
  </si>
  <si>
    <t>Omega-Hydroxy Myristic Acid</t>
  </si>
  <si>
    <t>LMFA01050044</t>
  </si>
  <si>
    <t>C(CCCCCCCCCCCO)CC(=O)O</t>
  </si>
  <si>
    <t>JOSXCARTDOQGLV-UHFFFAOYSA-N</t>
  </si>
  <si>
    <t>7.13_494.3257m/z</t>
  </si>
  <si>
    <t>PS(O-18:0/0:0)</t>
  </si>
  <si>
    <t>LMGP03060002</t>
  </si>
  <si>
    <t>C(O)(=O)[C@@]([H])(N)COP(OC[C@]([H])(O)COCCCCCCCCCCCCCCCCCC)(=O)O</t>
  </si>
  <si>
    <t>LLZPQHOZAQNDCM-PKTZIBPZSA-N</t>
  </si>
  <si>
    <t>C24H50NO8P</t>
  </si>
  <si>
    <t>7.22_531.3176m/z</t>
  </si>
  <si>
    <t>Glas#26</t>
  </si>
  <si>
    <t>LMFA13040098</t>
  </si>
  <si>
    <t>O([C@@H](CCCCCCCCCCCCC(=O)O[C@H]1[C@H](O)[C@@H](O)[C@H](O)[C@@H](CO)O1)C)[C@H]1[C@H](O)C[C@@H](O)[C@H](C)O1</t>
  </si>
  <si>
    <t>GSRDQXYUFNVAAO-SEYCSDJLSA-N</t>
  </si>
  <si>
    <t>C27H50O11</t>
  </si>
  <si>
    <t>4.19_119.0491m/z</t>
  </si>
  <si>
    <t>Oxonol</t>
  </si>
  <si>
    <t>HMDB0256000</t>
  </si>
  <si>
    <t>O\C1=C\C=C/C=C\C=C/O1</t>
  </si>
  <si>
    <t>FPJNARSNQQWPEX-KZPCVFJPSA-N</t>
  </si>
  <si>
    <t>C8H8O2</t>
  </si>
  <si>
    <t>10.89_1070.5492n</t>
  </si>
  <si>
    <t>PIP(22:3(10Z,13Z,16Z)/22:6(5Z,7Z,10Z,13Z,16Z,19Z)-OH(4))</t>
  </si>
  <si>
    <t>HMDB0280359</t>
  </si>
  <si>
    <t>[H][C@@](COC(=O)CCCCCCCC\C=C/C\C=C/C\C=C/CCCCCC)(COP(O)(=O)O[C@H]1C(O)C(O)C(O)[C@@H](OP(O)(O)=O)C1O)OC(=O)CCC(O)\C=C/C=C\C\C=C/C\C=C/C\C=C/C\C=C/CC</t>
  </si>
  <si>
    <t>NHQPTPRVYNJZSA-LCOSPPHESA-N</t>
  </si>
  <si>
    <t>C54H88O17P2</t>
  </si>
  <si>
    <t>9.10_795.3589m/z</t>
  </si>
  <si>
    <t>Okooa-Pi</t>
  </si>
  <si>
    <t>LMGP20050029</t>
  </si>
  <si>
    <t>[C@]([H])(OC(CCCC(=O)/C=C/C=O)=O)(COP(=O)(O)O[C@H]1[C@H](O)[C@@H](O)[C@H](O)[C@@H](O)[C@H]1O)COC(CCCCCCC/C=C\CCCCCCCC)=O</t>
  </si>
  <si>
    <t>XZXMEOQHWDLJPU-HTHREFKGSA-N</t>
  </si>
  <si>
    <t>C35H59O15P</t>
  </si>
  <si>
    <t>1.29_132.1019m/z</t>
  </si>
  <si>
    <t>2s-Amino-3s-Methylpentanoic Acid</t>
  </si>
  <si>
    <t>HMDB0000172</t>
  </si>
  <si>
    <t>LMFA01100047</t>
  </si>
  <si>
    <t>C00407</t>
  </si>
  <si>
    <t>ko00280,ko00290,ko00460,ko00960,ko00966,ko00970,ko02010,ko04974,ko04978,ko05131,ko05230</t>
  </si>
  <si>
    <t>Valine, leucine and isoleucine degradation|Valine, leucine and isoleucine biosynthesis|Cyanoamino acid metabolism|Tropane, piperidine and pyridine alkaloid biosynthesis|Glucosinolate biosynthesis|Aminoacyl-tRNA biosynthesis|ABC transporters|Protein digestion and absorption|Mineral absorption|Shigellosis|Central carbon metabolism in cancer</t>
  </si>
  <si>
    <t>73-32-5</t>
  </si>
  <si>
    <t>C([C@@H](N)[C@@H](C)CC)(=O)O</t>
  </si>
  <si>
    <t>AGPKZVBTJJNPAG-WHFBIAKZSA-N</t>
  </si>
  <si>
    <t>C6H13NO2</t>
  </si>
  <si>
    <t>8.64_754.4126m/z</t>
  </si>
  <si>
    <t>Erythromycin A Enol Ether</t>
  </si>
  <si>
    <t>HMDB0251934</t>
  </si>
  <si>
    <t>CCC1OC(=O)C(C)C(OC2CC(C)(OC)C(O)C(C)O2)C(C)C(OC2OC(C)CC(C2O)N(C)C)C2(C)CC(C)=C(O2)C(C)C(O)C1(C)O</t>
  </si>
  <si>
    <t>JFVYXJKGJMUGRG-UHFFFAOYSA-N</t>
  </si>
  <si>
    <t>C37H65NO12</t>
  </si>
  <si>
    <t>11.10_819.4696m/z</t>
  </si>
  <si>
    <t>SQDG(16:0/14:0)</t>
  </si>
  <si>
    <t>LMGL05010005</t>
  </si>
  <si>
    <t>[C@](CO[C@@H]1[C@H](O)[C@@H](O)[C@H](O)[C@@H](CS(O)(=O)=O)O1)([H])(OC(CCCCCCCCCCCCCC)=O)COC(=O)CCCCCCCCCCCCCCC</t>
  </si>
  <si>
    <t>DFOPQRXSRGHTRC-KSOREYAYSA-N</t>
  </si>
  <si>
    <t>C40H76O12S</t>
  </si>
  <si>
    <t>4.76_653.1511m/z</t>
  </si>
  <si>
    <t>Vitexin 2''-O-(E)-Ferulate</t>
  </si>
  <si>
    <t>LMPK12110228</t>
  </si>
  <si>
    <t>C1(O)=CC2OC(C3C=CC(O)=CC=3)=CC(=O)C=2C(O)=C1[C@H]1[C@H](OC(/C=C/C2C=CC(O)=C(OC)C=2)=O)[C@@H](O)[C@H](O)[C@@H](CO)O1</t>
  </si>
  <si>
    <t>BWMUGBQOGNGHRB-IOUSBIGLSA-N</t>
  </si>
  <si>
    <t>C31H28O13</t>
  </si>
  <si>
    <t>8.05_549.2721n</t>
  </si>
  <si>
    <t>PE(0:0/PGE2)</t>
  </si>
  <si>
    <t>LMGP20020053</t>
  </si>
  <si>
    <t>C(OP(OCCN)(O)=O)[C@]([H])(OC(=O)CCC/C=C\C[C@H]1C(=O)C[C@@H](O)[C@@H]1/C=C/[C@@H](O)CCCCC)CO</t>
  </si>
  <si>
    <t>MDIBHDWHCLLWJU-FLOWIMSISA-N</t>
  </si>
  <si>
    <t>C25H44NO10P</t>
  </si>
  <si>
    <t>10.94_683.4009m/z</t>
  </si>
  <si>
    <t>Filipin Ii</t>
  </si>
  <si>
    <t>HMDB0252258</t>
  </si>
  <si>
    <t>CCCCCCC1C(O)CC(O)CC(O)CC(O)CC(O)CC(O)CC(O)C(C)=CC=CC=CC=CC=CC(O)C(C)OC1=O</t>
  </si>
  <si>
    <t>YMIXNQVKVPYZHL-UHFFFAOYSA-N</t>
  </si>
  <si>
    <t>C35H58O10</t>
  </si>
  <si>
    <t>5.17_485.2389m/z</t>
  </si>
  <si>
    <t>Blumenol C O-[Apiosyl-(1-&gt;6)-Glucoside]</t>
  </si>
  <si>
    <t>HMDB0031936</t>
  </si>
  <si>
    <t>177261-68-6</t>
  </si>
  <si>
    <t>CC(CCC1C(C)=CC(=O)CC1(C)C)OC1OC(COC2OCC(O)(CO)C2O)C(O)C(O)C1O</t>
  </si>
  <si>
    <t>TUDVISHNHBQYQJ-UHFFFAOYSA-N</t>
  </si>
  <si>
    <t>C24H40O11</t>
  </si>
  <si>
    <t>3.91_365.1196m/z</t>
  </si>
  <si>
    <t>(7e,13e)-9,15-Dihydroxy-4,10,16-Trimethyl-1,5,11-Trioxacyclohexadeca-7,13-Diene-2,6,12-Trione</t>
  </si>
  <si>
    <t>CC1CC(=O)OC(C(C=CC(=O)OC(C(C=CC(=O)O1)O)C)O)C</t>
  </si>
  <si>
    <t>MJMMUATWVTYSFD-PEPZGXQESA-N</t>
  </si>
  <si>
    <t>8.23_570.3429m/z</t>
  </si>
  <si>
    <t>Cholyl-L-Dopa</t>
  </si>
  <si>
    <t>HMDB0242386</t>
  </si>
  <si>
    <t>CC(CCC(=O)NC(CC1=CC=C(O)C(O)=C1)C(O)=O)C1CCC2C3C(O)CC4CC(O)CCC4(C)C3CC(O)C12C</t>
  </si>
  <si>
    <t>BKUPZHCMTLXWET-UHFFFAOYSA-N</t>
  </si>
  <si>
    <t>C33H49NO8</t>
  </si>
  <si>
    <t>4.92_396.1995n</t>
  </si>
  <si>
    <t>1-Hexanol Arabinosylglucoside</t>
  </si>
  <si>
    <t>HMDB0031689</t>
  </si>
  <si>
    <t>124044-06-0</t>
  </si>
  <si>
    <t>CCCCCCOC1OC(COC2OC(CO)C(O)C2O)C(O)C(O)C1O</t>
  </si>
  <si>
    <t>LOVPBJMHVBJKQS-UHFFFAOYSA-N</t>
  </si>
  <si>
    <t>C17H32O10</t>
  </si>
  <si>
    <t>7.06_1119.4646m/z</t>
  </si>
  <si>
    <t>Sotorasib</t>
  </si>
  <si>
    <t>HMDB0304845</t>
  </si>
  <si>
    <t>CC(C)C1=NC=CC(C)=C1N1C(=O)N=C(N2CCN(C[C@@H]2C)C(=O)C=C)C2=CC(F)=C(N=C12)C1=C(O)C=CC=C1F</t>
  </si>
  <si>
    <t>NXQKSXLFSAEQCZ-SFHVURJKSA-N</t>
  </si>
  <si>
    <t>C30H30F2N6O3</t>
  </si>
  <si>
    <t>10.21_461.2895m/z</t>
  </si>
  <si>
    <t>DG(2:0/22:6(4Z,7Z,10Z,13E,15E,19Z)-OH(17)/0:0)</t>
  </si>
  <si>
    <t>HMDB0297019</t>
  </si>
  <si>
    <t>CC\C=C/CC(O)\C=C\C=C\C\C=C/C\C=C/C\C=C/CCC(=O)O[C@@H](CO)COC(C)=O</t>
  </si>
  <si>
    <t>GGXQUBDQZUIRFV-BPDMDSAASA-N</t>
  </si>
  <si>
    <t>7.75_501.2475m/z</t>
  </si>
  <si>
    <t>Withaperuvin E</t>
  </si>
  <si>
    <t>HMDB0030127</t>
  </si>
  <si>
    <t>CC1=C(C)C(=O)OC(C1)C(C)(O)C1(O)CCC2(O)C3CC4OC44C(=O)C=CC(=O)C4(C)C3CCC12C</t>
  </si>
  <si>
    <t>DHNMHYCYRGRLRY-UHFFFAOYSA-N</t>
  </si>
  <si>
    <t>C28H36O8</t>
  </si>
  <si>
    <t>4.79_629.1277m/z</t>
  </si>
  <si>
    <t>Pelargonidin-3,5-Diglucoside</t>
  </si>
  <si>
    <t>HMDB0304452</t>
  </si>
  <si>
    <t>[Cl-].OC[C@H]1O[C@@H](OC2=CC(O)=CC3=[O+]C(=C(O[C@@H]4O[C@H](CO)[C@@H](O)[C@H](O)[C@H]4O)C=C23)C2=CC=C(O)C=C2)[C@H](O)[C@@H](O)[C@@H]1O</t>
  </si>
  <si>
    <t>DIRROHKULXIUCB-DHJOXOLYSA-N</t>
  </si>
  <si>
    <t>C27H31ClO15</t>
  </si>
  <si>
    <t>5.70_590.3351m/z</t>
  </si>
  <si>
    <t>Ganoderic Acid H</t>
  </si>
  <si>
    <t>HMDB0035987</t>
  </si>
  <si>
    <t>98665-19-1</t>
  </si>
  <si>
    <t>CC(CC(=O)CC(C)C(O)=O)C1CC(=O)C2(C)C3=C(C(=O)C(OC(C)=O)C12C)C1(C)CCC(O)C(C)(C)C1CC3=O</t>
  </si>
  <si>
    <t>YCXUCEXEMJPDRZ-UHFFFAOYSA-N</t>
  </si>
  <si>
    <t>C32H44O9</t>
  </si>
  <si>
    <t>4.19_365.1102m/z</t>
  </si>
  <si>
    <t>Nipradilol</t>
  </si>
  <si>
    <t>HMDB0255620</t>
  </si>
  <si>
    <t>CC(C)NCC(O)COC1=CC=CC2=C1OCC(C2)O[N+]([O-])=O</t>
  </si>
  <si>
    <t>OMCPLEZZPVJJIS-UHFFFAOYSA-N</t>
  </si>
  <si>
    <t>C15H22N2O6</t>
  </si>
  <si>
    <t>5.22_898.5334n</t>
  </si>
  <si>
    <t>PGP(i-20:0/18:1(12Z)-O(9S,10R))</t>
  </si>
  <si>
    <t>HMDB0275670</t>
  </si>
  <si>
    <t>[H][C@](O)(COP(O)(O)=O)COP(O)(=O)OC[C@@]([H])(COC(=O)CCCCCCCCCCCCCCCCC(C)C)OC(=O)CCCCCCCC1OC1C\C=C/CCCCC</t>
  </si>
  <si>
    <t>NXKSYFFDOARJCT-UTQGGDPKSA-N</t>
  </si>
  <si>
    <t>C44H84O14P2</t>
  </si>
  <si>
    <t>0.69_226.0681n</t>
  </si>
  <si>
    <t>2,3,4,5,6,7-Hexahydroxyheptanoic Acid</t>
  </si>
  <si>
    <t>HMDB0240292</t>
  </si>
  <si>
    <t>OC[C@@H](O)[C@@H](O)[C@H](O)[C@@H](O)C(O)C(O)=O</t>
  </si>
  <si>
    <t>KWMLJOLKUYYJFJ-GASJEMHNSA-N</t>
  </si>
  <si>
    <t>C7H14O8</t>
  </si>
  <si>
    <t>4.19_359.1116n</t>
  </si>
  <si>
    <t>(2s)-2-Amino-4-[2-Amino-3-(2-Amino-3-Hydroxybenzoyl)Oxyphenyl]-4-Oxobutanoic Acid</t>
  </si>
  <si>
    <t>HMDB0260146</t>
  </si>
  <si>
    <t>NC(CC(=O)C1=C(N)C(OC(=O)C2=C(N)C(O)=CC=C2)=CC=C1)C(O)=O</t>
  </si>
  <si>
    <t>QGVRYNWEFHUDKD-UHFFFAOYSA-N</t>
  </si>
  <si>
    <t>C17H17N3O6</t>
  </si>
  <si>
    <t>6.89_319.2262m/z</t>
  </si>
  <si>
    <t>Cay10410</t>
  </si>
  <si>
    <t>CCCCCC=CC=C1C(CCC1=O)CC=CCCCC(=O)O</t>
  </si>
  <si>
    <t>AFBJLDUEEOOVHL-WKELIDJCSA-N</t>
  </si>
  <si>
    <t>5.38_655.2817m/z</t>
  </si>
  <si>
    <t>Tiapride</t>
  </si>
  <si>
    <t>HMDB0042039</t>
  </si>
  <si>
    <t>51012-32-9</t>
  </si>
  <si>
    <t>CCN(CC)CCN=C(O)C1=C(OC)C=CC(=C1)S(C)(=O)=O</t>
  </si>
  <si>
    <t>JTVPZMFULRWINT-UHFFFAOYSA-N</t>
  </si>
  <si>
    <t>C15H24N2O4S</t>
  </si>
  <si>
    <t>5.47_367.1301m/z</t>
  </si>
  <si>
    <t>3''-Chloro-3''-Deoxytriphasiol</t>
  </si>
  <si>
    <t>HMDB0041136</t>
  </si>
  <si>
    <t>157230-20-1</t>
  </si>
  <si>
    <t>CC(C)C(=O)CC1=C(OCC(O)C(C)(C)Cl)C=CC2=C1OC(=O)C=C2</t>
  </si>
  <si>
    <t>ABSHGVKRCLSRQK-UHFFFAOYSA-N</t>
  </si>
  <si>
    <t>C19H23ClO5</t>
  </si>
  <si>
    <t>1.17_513.1609m/z</t>
  </si>
  <si>
    <t>Prim-O-Glucosylcimifugin</t>
  </si>
  <si>
    <t>HMDB0256772</t>
  </si>
  <si>
    <t>COC1=C2CC(OC2=CC2=C1C(=O)C=C(COC1OC(CO)C(O)C(O)C1O)O2)C(C)(C)O</t>
  </si>
  <si>
    <t>XIUVHOSBSDYXRG-UHFFFAOYSA-N</t>
  </si>
  <si>
    <t>C22H28O11</t>
  </si>
  <si>
    <t>1.06_499.1454m/z</t>
  </si>
  <si>
    <t>Nocardicin A</t>
  </si>
  <si>
    <t>HMDB0255683</t>
  </si>
  <si>
    <t>NC(CCOC1=CC=C(C=C1)C(=NO)C(=O)NC1CN(C(C(O)=O)C2=CC=C(O)C=C2)C1=O)C(O)=O</t>
  </si>
  <si>
    <t>CTNZOGJNVIFEBA-UHFFFAOYSA-N</t>
  </si>
  <si>
    <t>Lactams</t>
  </si>
  <si>
    <t>Beta lactams</t>
  </si>
  <si>
    <t>C23H24N4O9</t>
  </si>
  <si>
    <t>0.77_485.1503m/z</t>
  </si>
  <si>
    <t>Azobilirubin</t>
  </si>
  <si>
    <t>HMDB0248814</t>
  </si>
  <si>
    <t>CCCC1=C(NC(C=C2NC(=O)C(C)=C2C=C)=C1C)N=NC1=CC=C(C=C1)S(O)(=O)=O</t>
  </si>
  <si>
    <t>KWUVBOWGSGQACE-UHFFFAOYSA-N</t>
  </si>
  <si>
    <t>C22H24N4O4S</t>
  </si>
  <si>
    <t>5.54_387.1448m/z</t>
  </si>
  <si>
    <t>Hydroxygaleon</t>
  </si>
  <si>
    <t>HMDB0031535</t>
  </si>
  <si>
    <t>61576-09-8</t>
  </si>
  <si>
    <t>COC1=CC2=CC=C1OC1=CC(=CC=C1O)C(O)CC(=O)CCCC2</t>
  </si>
  <si>
    <t>LSAKHXDZRQBYTG-UHFFFAOYSA-N</t>
  </si>
  <si>
    <t>C20H22O5</t>
  </si>
  <si>
    <t>4.24_487.2181m/z</t>
  </si>
  <si>
    <t>3-(2-Carboxyethylthio)-3-(2-(8-Phenyloctyl)Phenyl)Propanoic Acid</t>
  </si>
  <si>
    <t>HMDB0258325</t>
  </si>
  <si>
    <t>OC(=O)CCSC(CC(O)=O)C1=CC=CC(CCCCCCCCC2=CC=CC=C2)=C1</t>
  </si>
  <si>
    <t>IEOUXQMKLRALNJ-UHFFFAOYSA-N</t>
  </si>
  <si>
    <t>C26H34O4S</t>
  </si>
  <si>
    <t>3.93_315.1412m/z</t>
  </si>
  <si>
    <t>2-Methylguanosine</t>
  </si>
  <si>
    <t>HMDB0005862</t>
  </si>
  <si>
    <t>2140-77-4</t>
  </si>
  <si>
    <t>CNC1=NC(=O)C2=C(N1)N(C=N2)[C@@H]1O[C@H](CO)[C@@H](O)[C@H]1O</t>
  </si>
  <si>
    <t>SLEHROROQDYRAW-KQYNXXCUSA-N</t>
  </si>
  <si>
    <t>C11H15N5O5</t>
  </si>
  <si>
    <t>6.13_194.1173m/z</t>
  </si>
  <si>
    <t>2,3,5-Trimethacarb</t>
  </si>
  <si>
    <t>C18957</t>
  </si>
  <si>
    <t>2655-15-4</t>
  </si>
  <si>
    <t>CC1=CC(=C(C(=C1)OC(=O)NC)C)C</t>
  </si>
  <si>
    <t>NYOKZHDTNBDPOB-UHFFFAOYSA-N</t>
  </si>
  <si>
    <t>Phenyl methylcarbamates</t>
  </si>
  <si>
    <t>C11H15NO2</t>
  </si>
  <si>
    <t>5.97_609.2885m/z</t>
  </si>
  <si>
    <t>Mycobactins</t>
  </si>
  <si>
    <t>HMDB0254968</t>
  </si>
  <si>
    <t>ON(CCCCCC(NC(=O)C1COC(=N1)C1=CC=CC=C1O)C(=O)OCCC(=O)NC1CCCCN(O)C1=O)C=O</t>
  </si>
  <si>
    <t>HQYXQBFMMYIDEA-UHFFFAOYSA-N</t>
  </si>
  <si>
    <t>C27H37N5O10</t>
  </si>
  <si>
    <t>11.01_562.3140n</t>
  </si>
  <si>
    <t>Austrobuxusin G</t>
  </si>
  <si>
    <t>LMPR0103540007</t>
  </si>
  <si>
    <t>[C@]12(C)[C@@]3(C[C@@]([H])([C@H](C)OC(CCCCCCCCCCC)=O)C(=O)O3)[C@@H]3O[C@@H]3[C@@]1(O)[C@H]1C(O[C@@H]([C@H]2O)[C@H]1C(=C)C)=O</t>
  </si>
  <si>
    <t>FMFRGVZQZUZQFN-FNWZZRCQSA-N</t>
  </si>
  <si>
    <t>6.78_271.1323m/z</t>
  </si>
  <si>
    <t>2-Fluoro-2',3'-Dideoxyadenosine</t>
  </si>
  <si>
    <t>HMDB0245126</t>
  </si>
  <si>
    <t>NC1=NC(F)=NC2=C1N=CN2C1CCC(CO)O1</t>
  </si>
  <si>
    <t>OGSWGOOQBBYAIG-UHFFFAOYSA-N</t>
  </si>
  <si>
    <t>C10H12FN5O2</t>
  </si>
  <si>
    <t>5.65_543.3094m/z</t>
  </si>
  <si>
    <t>Tandutinib</t>
  </si>
  <si>
    <t>HMDB0258709</t>
  </si>
  <si>
    <t>COC1=C(OCCCN2CCCCC2)C=C2N=CN=C(N3CCN(CC3)C(=O)NC3=CC=C(OC(C)C)C=C3)C2=C1</t>
  </si>
  <si>
    <t>UXXQOJXBIDBUAC-UHFFFAOYSA-N</t>
  </si>
  <si>
    <t>C31H42N6O4</t>
  </si>
  <si>
    <t>6.28_343.2263m/z</t>
  </si>
  <si>
    <t>6-Beta-Hydroxymedroxyprogesterone</t>
  </si>
  <si>
    <t>HMDB0061063</t>
  </si>
  <si>
    <t>CC(=O)[C@@]1(O)CCC2C3C[C@@](C)(O)C4=CC(=O)CC[C@]4(C)C3CC[C@]12C</t>
  </si>
  <si>
    <t>KQYLOJBPZSTTRA-DLUZLJMTSA-N</t>
  </si>
  <si>
    <t>C22H32O4</t>
  </si>
  <si>
    <t>5.60_643.2378m/z</t>
  </si>
  <si>
    <t>Kaempferide 3-Glucoside-7-Rhamnoside</t>
  </si>
  <si>
    <t>HMDB0304576</t>
  </si>
  <si>
    <t>COC1=CC(=CC(OC)=C1O)C(O)C(CO)OC1=C(OC)C=C(C=C1OC)C1OCC2C1COC2C1=CC(OC)=C(O)C(OC)=C1</t>
  </si>
  <si>
    <t>CQPUHIMEOUJAQQ-UHFFFAOYSA-N</t>
  </si>
  <si>
    <t>C33H40O13</t>
  </si>
  <si>
    <t>8.91_600.3526m/z</t>
  </si>
  <si>
    <t>Pov-Pg</t>
  </si>
  <si>
    <t>LMGP20060015</t>
  </si>
  <si>
    <t>[H][C@](O)(CO)COP(OC[C@]([H])(OC(CCCC(=O)[H])=O)COC(CCCCCCCCCCCCCCC)=O)(=O)O</t>
  </si>
  <si>
    <t>QLZLSMOBIJWBNU-LOSJGSFVSA-N</t>
  </si>
  <si>
    <t>C27H51O11P</t>
  </si>
  <si>
    <t>4.21_283.2055m/z</t>
  </si>
  <si>
    <t>4-Oh-Retinal</t>
  </si>
  <si>
    <t>HMDB0012788</t>
  </si>
  <si>
    <t>C\C(\C=C\C=C(/C)\C=C\C1=C(C)CCC(O)C1(C)C)=C/C=O</t>
  </si>
  <si>
    <t>NCIHLRCJOBKKAL-ZBSJWCJSSA-N</t>
  </si>
  <si>
    <t>C20H28O2</t>
  </si>
  <si>
    <t>12.18_765.4423m/z</t>
  </si>
  <si>
    <t>Dihydrodigitoxin</t>
  </si>
  <si>
    <t>HMDB0251305</t>
  </si>
  <si>
    <t>CC1OC(CC(O)C1O)OC1C(O)CC(OC2C(O)CC(OC3CCC4(C)C(CCC5C4CCC4(C)C(CCC54O)C4COC(=O)C4)C3)OC2C)OC1C</t>
  </si>
  <si>
    <t>WWCGMGNIMDOEGK-UHFFFAOYSA-N</t>
  </si>
  <si>
    <t>3.88_719.2158m/z</t>
  </si>
  <si>
    <t>Sesamolinol 4'-O-B-D-Glucosyl (1-&gt;6)-O-B-D-Glucoside</t>
  </si>
  <si>
    <t>HMDB0029299</t>
  </si>
  <si>
    <t>[H][C@]12CO[C@H](C3=CC=C4OCOC4=C3)[C@@]1([H])CO[C@@H]2OC1=CC=C(O[C@@H]2O[C@H](CO[C@@H]3O[C@H](CO)[C@@H](O)[C@H](O)[C@H]3O)[C@@H](O)[C@H](O)[C@H]2O)C(OC)=C1</t>
  </si>
  <si>
    <t>XTMLHNGHWHHERJ-FUPWJLLWSA-N</t>
  </si>
  <si>
    <t>C32H40O17</t>
  </si>
  <si>
    <t>9.16_432.2144n</t>
  </si>
  <si>
    <t>Arthriniumsteroid B</t>
  </si>
  <si>
    <t>LMST02030236</t>
  </si>
  <si>
    <t>C1[C@H](O)C2[C@@](C)([C@]34O[C@H]3C[C@@]3([C@](O)([C@H](C)C[C@@]3([H])[C@]14[H])C(=O)COC(=O)C)C)CCC(=O)C=2</t>
  </si>
  <si>
    <t>YVYJVBAUVGMWLF-JRNNXUHZSA-N</t>
  </si>
  <si>
    <t>C24H32O7</t>
  </si>
  <si>
    <t>5.06_566.3225n</t>
  </si>
  <si>
    <t>25-Cinnamoyl-Vulgaroside</t>
  </si>
  <si>
    <t>HMDB0041367</t>
  </si>
  <si>
    <t>172616-90-9</t>
  </si>
  <si>
    <t>CC1(C)CCCC2(C)C1CCC1(C)C(CC(O)C3=CC(=O)OC3OC(=O)\C=C\C3=CC=CC=C3)C(O)(CO)CCC21</t>
  </si>
  <si>
    <t>SXPHINZZVYORPV-VAWYXSNFSA-N</t>
  </si>
  <si>
    <t>C34H46O7</t>
  </si>
  <si>
    <t>6.96_134.0960m/z</t>
  </si>
  <si>
    <t>Tranylcypromine</t>
  </si>
  <si>
    <t>C07155</t>
  </si>
  <si>
    <t>C1C(C1N)C2=CC=CC=C2</t>
  </si>
  <si>
    <t>AELCINSCMGFISI-DTWKUNHWSA-N</t>
  </si>
  <si>
    <t>C9H11N</t>
  </si>
  <si>
    <t>4.42_382.1842n</t>
  </si>
  <si>
    <t>1,2,10-Trihydroxydihydro-Trans-Linalyl Oxide 7-O-Beta-D-Glucopyranoside</t>
  </si>
  <si>
    <t>HMDB0033237</t>
  </si>
  <si>
    <t>219814-37-6</t>
  </si>
  <si>
    <t>CC(C)(OC1OC(CO)C(O)C(O)C1O)C1CCC(CO)(O1)C(O)CO</t>
  </si>
  <si>
    <t>RYNMENUEBZLOQZ-UHFFFAOYSA-N</t>
  </si>
  <si>
    <t>C16H30O10</t>
  </si>
  <si>
    <t>5.54_689.3354m/z</t>
  </si>
  <si>
    <t>Murrayacinine</t>
  </si>
  <si>
    <t>HMDB0030224</t>
  </si>
  <si>
    <t>53508-00-2</t>
  </si>
  <si>
    <t>CC(C)=CCCC1(C)OC2=C(C=O)C=C3C(NC4=CC=CC=C34)=C2C=C1</t>
  </si>
  <si>
    <t>VEZSSHVWEILOAM-UHFFFAOYSA-N</t>
  </si>
  <si>
    <t>Carbazoles</t>
  </si>
  <si>
    <t>C23H23NO2</t>
  </si>
  <si>
    <t>13.49_454.3403m/z</t>
  </si>
  <si>
    <t>Termitomycamide B</t>
  </si>
  <si>
    <t>1254277-89-8</t>
  </si>
  <si>
    <t>CCCCCC=CCC=CCCCCCCCC(=O)NCC(=O)C1=CC2=CC=CC=C2N1</t>
  </si>
  <si>
    <t>KDZGHQVBEWMXHZ-HZJYTTRNSA-N</t>
  </si>
  <si>
    <t>C28H40N2O2</t>
  </si>
  <si>
    <t>9.59_417.2281m/z</t>
  </si>
  <si>
    <t>Neriantogenin</t>
  </si>
  <si>
    <t>HMDB0030044</t>
  </si>
  <si>
    <t>CC12CCC3C(CCC4CC(O)CCC34C)C1C(O)C=C2C1=CC(=O)OC1</t>
  </si>
  <si>
    <t>LOUCJBIZSPLEFL-UHFFFAOYSA-N</t>
  </si>
  <si>
    <t>C23H32O4</t>
  </si>
  <si>
    <t>14.01_427.3568m/z</t>
  </si>
  <si>
    <t>4alpha-Carboxy-4beta-Methyl-5alpha-Cholesta-8-En-3beta-Ol</t>
  </si>
  <si>
    <t>HMDB0062384</t>
  </si>
  <si>
    <t>LMST01010227</t>
  </si>
  <si>
    <t>C12CC[C@@]3([H])[C@](C)(C(=O)O)[C@@H](O)CC[C@]3(C)C=1CC[C@]1(C)[C@@]([H])([C@@](C)([H])CCCC(C)C)CC[C@@]21[H]</t>
  </si>
  <si>
    <t>GLCDBDRQLZKKOJ-LJAIZBFVSA-N</t>
  </si>
  <si>
    <t>4.84_963.2399m/z</t>
  </si>
  <si>
    <t>Quercetin 3-(6-[4-Glucosyl-P-Coumaryl]Glucosyl)(1-&gt;2)-Rhamnoside</t>
  </si>
  <si>
    <t>HMDB0040484</t>
  </si>
  <si>
    <t>142997-33-9</t>
  </si>
  <si>
    <t>CC1OC(OC2=C(OC3=CC(O)=CC(O)=C3C2=O)C2=CC(O)=C(O)C=C2)C(OC2OC(COC(=O)\C=C\C3=CC=C(OC4OC(CO)C(O)C(O)C4O)C=C3)C(O)C(O)C2O)C(O)C1O</t>
  </si>
  <si>
    <t>SENXSEXWQKRDKG-RUDMXATFSA-N</t>
  </si>
  <si>
    <t>C42H46O23</t>
  </si>
  <si>
    <t>11.31_368.2793m/z</t>
  </si>
  <si>
    <t>Pregnanetriolone</t>
  </si>
  <si>
    <t>HMDB0041997</t>
  </si>
  <si>
    <t>C15368</t>
  </si>
  <si>
    <t>603-99-6</t>
  </si>
  <si>
    <t>[H][C@@](C)(O)[C@@]1(O)CC[C@@]2([H])[C@]3([H])CC[C@]4([H])C[C@]([H])(O)CC[C@]4(C)[C@@]3([H])C(=O)C[C@]12C</t>
  </si>
  <si>
    <t>WKFXHNDWEHDGQD-ZQRGSSBZSA-N</t>
  </si>
  <si>
    <t>C21H34O4</t>
  </si>
  <si>
    <t>7.59_863.3086m/z</t>
  </si>
  <si>
    <t>Artocommunol Ca</t>
  </si>
  <si>
    <t>LMPK12111534</t>
  </si>
  <si>
    <t>C12=C(O)C=C3OC(C)(C)C=CC3=C1OC1C3=CC=C(OC)C=C3OC(/C=C(\C)/C)C=1C2=O</t>
  </si>
  <si>
    <t>MWXGNEFXTSBFQH-UHFFFAOYSA-N</t>
  </si>
  <si>
    <t>Pyranoflavonoids</t>
  </si>
  <si>
    <t>C26H24O6</t>
  </si>
  <si>
    <t>11.56_689.2713m/z</t>
  </si>
  <si>
    <t>Encequidar</t>
  </si>
  <si>
    <t>HMDB0247521</t>
  </si>
  <si>
    <t>COC1=C(OC)C=C2CN(CCC3=CC=C(C=C3)N3N=NC(=N3)C3=CC(OC)=C(OC)C=C3NC(=O)C3=CC(=O)C4=CC=CC=C4O3)CCC2=C1</t>
  </si>
  <si>
    <t>AHJUHHDDCJQACA-UHFFFAOYSA-N</t>
  </si>
  <si>
    <t>C38H36N6O7</t>
  </si>
  <si>
    <t>10.46_599.4093m/z</t>
  </si>
  <si>
    <t>(3s,3'S,5r,5'R,6r)-3,6-Epoxy-5,6-Dihydro-3',5,8'-Trihydroxy-Beta,Kappa-Caroten-6'-One</t>
  </si>
  <si>
    <t>HMDB0037795</t>
  </si>
  <si>
    <t>256505-53-0</t>
  </si>
  <si>
    <t>C\C(\C=C\C=C(/C)\C=C\C12OC(CC1(C)C)CC2(C)O)=C/C=C/C=C(\C)/C=C/C=C(\C)/C(/O)=C/C(=O)C1(C)CCC(O)C1(C)C</t>
  </si>
  <si>
    <t>JBFAUTAUPAPLMY-UQDXBYLISA-N</t>
  </si>
  <si>
    <t>C40H56O5</t>
  </si>
  <si>
    <t>4.92_326.0400n</t>
  </si>
  <si>
    <t>Gliotoxin</t>
  </si>
  <si>
    <t>HMDB0252746</t>
  </si>
  <si>
    <t>CN1C(=O)C23CC4=CC=CC(O)C4N2C(=O)C1(CO)SS3</t>
  </si>
  <si>
    <t>FIVPIPIDMRVLAY-UHFFFAOYSA-N</t>
  </si>
  <si>
    <t>C13H14N2O4S2</t>
  </si>
  <si>
    <t>5.20_870.0101n</t>
  </si>
  <si>
    <t>P1,P4-Bis(5'-Xanthosyl) Tetraphosphate</t>
  </si>
  <si>
    <t>HMDB0003834</t>
  </si>
  <si>
    <t>C04392</t>
  </si>
  <si>
    <t>O[C@@H]1[C@@H](COP(O)(=O)OP(O)(=O)OP(O)(=O)OP(O)(=O)OC[C@H]2O[C@H]([C@H](O)[C@@H]2O)N2C=NC3=C2NC(=O)NC3=O)O[C@H]([C@@H]1O)N1C=NC2=C1NC(=O)NC2=O</t>
  </si>
  <si>
    <t>PNTZPNDMKHCLNV-MHARETSRSA-N</t>
  </si>
  <si>
    <t>(5'-&gt;5')-dinucleotides</t>
  </si>
  <si>
    <t>C20H26N8O23P4</t>
  </si>
  <si>
    <t>5.67_555.2442m/z</t>
  </si>
  <si>
    <t>Prolyl-Tyrosine</t>
  </si>
  <si>
    <t>HMDB0029029</t>
  </si>
  <si>
    <t>OC(=O)C(CC1=CC=C(O)C=C1)NC(=O)C1CCCN1</t>
  </si>
  <si>
    <t>OIDKVWTWGDWMHY-UHFFFAOYSA-N</t>
  </si>
  <si>
    <t>5.36_635.2720m/z</t>
  </si>
  <si>
    <t>16alpha-Acetoxycalotropin</t>
  </si>
  <si>
    <t>LMST01120047</t>
  </si>
  <si>
    <t>C1[C@@]2([H])O[C@@]3(O)[C@@H](O)C[C@@H](C)O[C@@]3([H])O[C@]2([H])C[C@]2([H])CC[C@@]3([H])[C@]4(C[C@@H](OC(=O)C)[C@H](C5=CC(=O)OC5)[C@@]4(C)CC[C@]3([H])[C@@]12C=O)O</t>
  </si>
  <si>
    <t>BMPDNBQADRWROC-MVELXVHSSA-N</t>
  </si>
  <si>
    <t>C31H42O11</t>
  </si>
  <si>
    <t>0.71_184.0495n</t>
  </si>
  <si>
    <t>Trimidox</t>
  </si>
  <si>
    <t>HMDB0259245</t>
  </si>
  <si>
    <t>95933-74-7</t>
  </si>
  <si>
    <t>NC(=NO)C1=CC(O)=C(O)C(O)=C1</t>
  </si>
  <si>
    <t>MSLJYSGFUMYUDX-UHFFFAOYSA-N</t>
  </si>
  <si>
    <t>Benzenetriols and derivatives</t>
  </si>
  <si>
    <t>C7H8N2O4</t>
  </si>
  <si>
    <t>10.04_476.2770n</t>
  </si>
  <si>
    <t>Lucidenic Acid C</t>
  </si>
  <si>
    <t>HMDB0037609</t>
  </si>
  <si>
    <t>95311-96-9</t>
  </si>
  <si>
    <t>CC(CCC(O)=O)C1CC(=O)C2(C)C3=C(C(=O)C(O)C12C)C1(C)CCC(O)C(C)(C)C1CC3O</t>
  </si>
  <si>
    <t>XIMQDJNNBMWDIH-UHFFFAOYSA-N</t>
  </si>
  <si>
    <t>C27H40O7</t>
  </si>
  <si>
    <t>4.35_683.2203m/z</t>
  </si>
  <si>
    <t>4'-Hydroxy-5,7,2'-Trimethoxyflavanone 4'-Rhamnosyl-(1-&gt;6)-Glucoside</t>
  </si>
  <si>
    <t>LMPK12140461</t>
  </si>
  <si>
    <t>C1(OC)C=C(OC)C2C(=O)CC(C3C(OC)=CC(O[C@H]4[C@H](O)[C@@H](O)[C@H](O)[C@@H](CO[C@H]5[C@H](O)[C@H](O)[C@@H](O)[C@H](C)O5)O4)=CC=3)OC=2C=1</t>
  </si>
  <si>
    <t>CPNDUJFPOGZJOE-PYSLUGSRSA-N</t>
  </si>
  <si>
    <t>C30H38O15</t>
  </si>
  <si>
    <t>4.03_719.2190m/z</t>
  </si>
  <si>
    <t>Acacetin 7-(2g-Rhamnosyl)-Rutinoside</t>
  </si>
  <si>
    <t>LMPK12110463</t>
  </si>
  <si>
    <t>C1(O[C@H]2[C@H](O[C@H]3[C@H](O)[C@H](O)[C@@H](O)[C@H](C)O3)[C@@H](O)[C@H](O)[C@@H](CO[C@H]3[C@H](O)[C@H](O)[C@@H](O)[C@H](C)O3)O2)=CC2OC(C3C=CC(OC)=CC=3)=CC(=O)C=2C(O)=C1</t>
  </si>
  <si>
    <t>XQQFUXJSLVWQSS-ZVXXMESVSA-N</t>
  </si>
  <si>
    <t>C34H42O18</t>
  </si>
  <si>
    <t>0.81_277.0319m/z</t>
  </si>
  <si>
    <t>6-Phosphogluconic Acid</t>
  </si>
  <si>
    <t>HMDB0001316</t>
  </si>
  <si>
    <t>C00345</t>
  </si>
  <si>
    <t>921-62-0</t>
  </si>
  <si>
    <t>O[C@H](COP(O)(O)=O)[C@@H](O)[C@H](O)[C@@H](O)C(O)=O</t>
  </si>
  <si>
    <t>BIRSGZKFKXLSJQ-SQOUGZDYSA-N</t>
  </si>
  <si>
    <t>C6H13O10P</t>
  </si>
  <si>
    <t>1.15_164.0474n</t>
  </si>
  <si>
    <t>2-Hydroxycinnamic Acid</t>
  </si>
  <si>
    <t>HMDB0002641</t>
  </si>
  <si>
    <t>C01772</t>
  </si>
  <si>
    <t>ko00360,ko00940</t>
  </si>
  <si>
    <t>Phenylalanine metabolism|Phenylpropanoid biosynthesis</t>
  </si>
  <si>
    <t>614-60-8</t>
  </si>
  <si>
    <t>OC(=O)\C=C\C1=C(O)C=CC=C1</t>
  </si>
  <si>
    <t>PMOWTIHVNWZYFI-AATRIKPKSA-N</t>
  </si>
  <si>
    <t>7.63_481.2442m/z</t>
  </si>
  <si>
    <t>11-Beta-Hydroxyandrosterone-3-Glucuronide</t>
  </si>
  <si>
    <t>HMDB0010351</t>
  </si>
  <si>
    <t>LMST05010055</t>
  </si>
  <si>
    <t>O[C@H]1C[C@]2(C)C(CC[C@@]2([H])[C@]2([H])CC[C@@]3([H])C[C@@H](CC[C@]3(C)[C@]21[H])O[C@H]1[C@@H]([C@H]([C@@H]([C@@H](C(=O)O)O1)O)O)O)=O</t>
  </si>
  <si>
    <t>BRPLOVMHAFXVOQ-HUMIJZDLSA-N</t>
  </si>
  <si>
    <t>C25H38O9</t>
  </si>
  <si>
    <t>4.45_379.2111m/z</t>
  </si>
  <si>
    <t>Isopetasoside</t>
  </si>
  <si>
    <t>HMDB0029622</t>
  </si>
  <si>
    <t>69809-29-6</t>
  </si>
  <si>
    <t>CC1C(CCC2=CC(=O)C(CC12C)=C(C)C)OC1OC(CO)C(O)C(O)C1O</t>
  </si>
  <si>
    <t>AVZCSGMWWXMJEA-UHFFFAOYSA-N</t>
  </si>
  <si>
    <t>C21H32O7</t>
  </si>
  <si>
    <t>5.21_535.1824m/z</t>
  </si>
  <si>
    <t>Marmesin Rutinoside</t>
  </si>
  <si>
    <t>HMDB0041413</t>
  </si>
  <si>
    <t>159650-11-0</t>
  </si>
  <si>
    <t>CC1OC(OCC2OC(OC(C)(C)C3CC4=C(O3)C=C3OC(=O)C=CC3=C4)C(O)C(O)C2O)C(O)C(O)C1O</t>
  </si>
  <si>
    <t>YRSYZKMFCFPXRA-UHFFFAOYSA-N</t>
  </si>
  <si>
    <t>C26H34O13</t>
  </si>
  <si>
    <t>9.31_592.2678n</t>
  </si>
  <si>
    <t>Pheophorbide A</t>
  </si>
  <si>
    <t>HMDB0256449</t>
  </si>
  <si>
    <t>CCC1=C(C)C2=NC1=CC1=C(C)C3=C(O)C(C(=O)OC)\C(=C4\NC(=CC5=NC(=C2)C(C=C)=C5C)C(C)C4CCC(O)=O)C3=N1</t>
  </si>
  <si>
    <t>RKEBXTALJSALNU-BHQAOJCSSA-N</t>
  </si>
  <si>
    <t>C35H36N4O5</t>
  </si>
  <si>
    <t>1.56_355.1245m/z</t>
  </si>
  <si>
    <t>4-O-Methylgalactinol</t>
  </si>
  <si>
    <t>HMDB0033558</t>
  </si>
  <si>
    <t>75589-40-1</t>
  </si>
  <si>
    <t>CO[C@H]1[C@H](O)[C@@H](O)[C@H](O)[C@H](O)[C@@H]1O[C@H]1O[C@H](CO)[C@H](O)[C@H](O)[C@H]1O</t>
  </si>
  <si>
    <t>RSYNCMYDVZFZBP-KEUHYNFLSA-N</t>
  </si>
  <si>
    <t>8.47_579.2563m/z</t>
  </si>
  <si>
    <t>Netupitant</t>
  </si>
  <si>
    <t>HMDB0255552</t>
  </si>
  <si>
    <t>CN(C(=O)C(C)(C)C1=CC(=CC(=C1)C(F)(F)F)C(F)(F)F)C1=CN=C(C=C1C1=CC=CC=C1C)N1CCN(C)CC1</t>
  </si>
  <si>
    <t>WAXQNWCZJDTGBU-UHFFFAOYSA-N</t>
  </si>
  <si>
    <t>C30H32F6N4O</t>
  </si>
  <si>
    <t>6.44_672.3028m/z</t>
  </si>
  <si>
    <t>Snag-Delta5-Ca</t>
  </si>
  <si>
    <t>LMST05050051</t>
  </si>
  <si>
    <t>[C@@]12([H])[C@@H](O[C@H]3[C@H](NC(C)=O)[C@@H](O)[C@H](O)[C@@H](CO)O3)C=C3C[C@@H](OS(O)(=O)=O)CC[C@]3(C)[C@@]1([H])CC[C@]1(C)[C@@]([H])([C@]([H])(C)CCC(=O)O)CC[C@@]21[H]</t>
  </si>
  <si>
    <t>YXAGJPCGPKMTNG-LGBRWLQSSA-N</t>
  </si>
  <si>
    <t>C32H51NO12S</t>
  </si>
  <si>
    <t>3.46_314.0999n</t>
  </si>
  <si>
    <t>2-Hydroxyphenylacetic Acid O-B-D-Glucoside</t>
  </si>
  <si>
    <t>HMDB0038333</t>
  </si>
  <si>
    <t>OCC1OC(OC2=CC=CC=C2CC(O)=O)C(O)C(O)C1O</t>
  </si>
  <si>
    <t>XEYDWXMYBFXGFT-UHFFFAOYSA-N</t>
  </si>
  <si>
    <t>4.56_433.1136m/z</t>
  </si>
  <si>
    <t>Hemiphloin</t>
  </si>
  <si>
    <t>LMPK12140223</t>
  </si>
  <si>
    <t>C1(O)=CC2O[C@H](C3C=CC(O)=CC=3)CC(=O)C=2C(O)=C1[C@H]1[C@H](O)[C@@H](O)[C@H](O)[C@@H](CO)O1</t>
  </si>
  <si>
    <t>QKPKGDDHOGIEOO-JVVVWQBKSA-N</t>
  </si>
  <si>
    <t>5.32_563.2337m/z</t>
  </si>
  <si>
    <t>6s,9r-Dihydroxy-4,7e-Megastigmadien-3-One 9-[Apiosyl-(1-&gt;6)-Glucoside]</t>
  </si>
  <si>
    <t>HMDB0029773</t>
  </si>
  <si>
    <t>CC(OC1OC(COC2OCC(O)(CO)C2O)C(O)C(O)C1O)\C=C\C1(O)C(C)=CC(=O)CC1(C)C</t>
  </si>
  <si>
    <t>WGPMCTNBJPAHNW-AATRIKPKSA-N</t>
  </si>
  <si>
    <t>C24H38O12</t>
  </si>
  <si>
    <t>0.84_583.1484m/z</t>
  </si>
  <si>
    <t>4-((4-Isopropoxyphenyl)Sulfonyl)Phenol</t>
  </si>
  <si>
    <t>CC(C)OC1=CC=C(C=C1)S(=O)(=O)C2=CC=C(C=C2)O</t>
  </si>
  <si>
    <t>ZTILAOCGFRDHBH-UHFFFAOYSA-N</t>
  </si>
  <si>
    <t>C15H16O4S</t>
  </si>
  <si>
    <t>4.26_439.1822m/z</t>
  </si>
  <si>
    <t>Ascaroside C3</t>
  </si>
  <si>
    <t>LMFA13040005</t>
  </si>
  <si>
    <t>O(CCC(=O)O)[C@H]1[C@H](O)C[C@@H](O)[C@H](C)O1</t>
  </si>
  <si>
    <t>RYYMJVGKZLQYPG-YYWONIAYSA-N</t>
  </si>
  <si>
    <t>C9H16O6</t>
  </si>
  <si>
    <t>11.35_723.4305m/z</t>
  </si>
  <si>
    <t>Calpeptin</t>
  </si>
  <si>
    <t>HMDB0249563</t>
  </si>
  <si>
    <t>CCCCC(NC(=O)C(CC(C)C)NC(=O)OCC1=CC=CC=C1)C=O</t>
  </si>
  <si>
    <t>PGGUOGKHUUUWAF-UHFFFAOYSA-N</t>
  </si>
  <si>
    <t>C20H30N2O4</t>
  </si>
  <si>
    <t>0.77_275.0214m/z</t>
  </si>
  <si>
    <t>5-(But-3-En-1-Yn-1-Yl)-5'-Methyl-2,2'-Bithiophene</t>
  </si>
  <si>
    <t>LMFA12000352</t>
  </si>
  <si>
    <t>C1(C)=CC=C(C2=CC=C(C#CC=C)S2)S1</t>
  </si>
  <si>
    <t>OZUJLEZCMIGWSN-UHFFFAOYSA-N</t>
  </si>
  <si>
    <t>Bi- and oligothiophenes</t>
  </si>
  <si>
    <t>C13H10S2</t>
  </si>
  <si>
    <t>1.16_278.1001n</t>
  </si>
  <si>
    <t>Isovalerylglucuronide</t>
  </si>
  <si>
    <t>HMDB0002091</t>
  </si>
  <si>
    <t>88070-93-3</t>
  </si>
  <si>
    <t>CC(C)CC(=O)O[C@@H]1O[C@@H]([C@@H](O)[C@H](O)[C@H]1O)C(O)=O</t>
  </si>
  <si>
    <t>VOJAALAAOYUSCT-ZCLKDUABSA-N</t>
  </si>
  <si>
    <t>C11H18O8</t>
  </si>
  <si>
    <t>5.54_388.1518n</t>
  </si>
  <si>
    <t>(R)-Heraclenol 2'-(3-Methylbutanoate)</t>
  </si>
  <si>
    <t>HMDB0039059</t>
  </si>
  <si>
    <t>CC(C)CC(=O)OC(COC1=C2OC(=O)C=CC2=CC2=C1OC=C2)C(C)(C)O</t>
  </si>
  <si>
    <t>AEXJMQYVIPHZDJ-UHFFFAOYSA-N</t>
  </si>
  <si>
    <t>C21H24O7</t>
  </si>
  <si>
    <t>4.79_447.3008m/z</t>
  </si>
  <si>
    <t>Mifepristone</t>
  </si>
  <si>
    <t>HMDB0014972</t>
  </si>
  <si>
    <t>C07652</t>
  </si>
  <si>
    <t>84371-65-3</t>
  </si>
  <si>
    <t>[H][C@@]12CC[C@@](O)(C#CC)[C@@]1(C)C[C@H](C1=CC=C(C=C1)N(C)C)C1=C3CCC(=O)C=C3CC[C@@]21[H]</t>
  </si>
  <si>
    <t>VKHAHZOOUSRJNA-GCNJZUOMSA-N</t>
  </si>
  <si>
    <t>C29H35NO2</t>
  </si>
  <si>
    <t>0.96_292.9948m/z</t>
  </si>
  <si>
    <t>Arctic Acid</t>
  </si>
  <si>
    <t>HMDB0302294</t>
  </si>
  <si>
    <t>CC#CC1=CC=C(S1)C1=CC=C(S1)C(O)=O</t>
  </si>
  <si>
    <t>SJVJMFXCINSXFF-UHFFFAOYSA-N</t>
  </si>
  <si>
    <t>C12H8O2S2</t>
  </si>
  <si>
    <t>10.58_568.3035n</t>
  </si>
  <si>
    <t>Helvolic Acid</t>
  </si>
  <si>
    <t>LMPR0106080005</t>
  </si>
  <si>
    <t>C1=CC(=O)[C@@H](C)[C@]2([H])[C@H](OC(C)=O)C(=O)[C@@]3(C)[C@]([H])([C@]21C)CC[C@@]1([H])/C(=C(/C(O)=O)\CC/C=C(\C)/C)/[C@@H](OC(C)=O)C[C@@]13C</t>
  </si>
  <si>
    <t>MDFZYGLOIJNNRM-OAJDADRGSA-N</t>
  </si>
  <si>
    <t>Steroid esters</t>
  </si>
  <si>
    <t>C33H44O8</t>
  </si>
  <si>
    <t>6.69_357.2053m/z</t>
  </si>
  <si>
    <t>Macrophorin B</t>
  </si>
  <si>
    <t>HMDB0030456</t>
  </si>
  <si>
    <t>85764-12-1</t>
  </si>
  <si>
    <t>CC1(C)C2CCC(=C)C(CC34OC3C(O)C(CO)=CC4=O)C2(C)CCC1=O</t>
  </si>
  <si>
    <t>ZJZYSAJQOPJREK-UHFFFAOYSA-N</t>
  </si>
  <si>
    <t>4.65_284.1259n</t>
  </si>
  <si>
    <t>3-Carboxy-4-Methyl-5-(4-Hydroxypentyl)-2-Furanpropanoic Acid</t>
  </si>
  <si>
    <t>LMFA01150068</t>
  </si>
  <si>
    <t>O=C(O)CCC1=C(C(O)=O)C(C)=C(O1)CCCC(O)C</t>
  </si>
  <si>
    <t>AVEHUFGEHJWCFG-UHFFFAOYSA-N</t>
  </si>
  <si>
    <t>C14H20O6</t>
  </si>
  <si>
    <t>5.76_595.3622m/z</t>
  </si>
  <si>
    <t>PI(P-20:0/0:0)</t>
  </si>
  <si>
    <t>LMGP06070001</t>
  </si>
  <si>
    <t>[C@]([H])(O)(COP(=O)(O)O[C@H]1[C@H](O)[C@@H](O)[C@H](O)[C@@H](O)[C@H]1O)CO/C=C\CCCCCCCCCCCCCCCCCC</t>
  </si>
  <si>
    <t>DVLZZDBTEFOZNX-XPYTYRRJSA-N</t>
  </si>
  <si>
    <t>C29H57O11P</t>
  </si>
  <si>
    <t>4.88_490.2684m/z</t>
  </si>
  <si>
    <t>Linagliptin</t>
  </si>
  <si>
    <t>HMDB0254095</t>
  </si>
  <si>
    <t>CC#CCN1C(=NC2=C1C(=O)N(CC1=NC3=CC=CC=C3C(C)=N1)C(=O)N2C)N1CCCC(N)C1</t>
  </si>
  <si>
    <t>LTXREWYXXSTFRX-UHFFFAOYSA-N</t>
  </si>
  <si>
    <t>C25H28N8O2</t>
  </si>
  <si>
    <t>6.32_482.3260m/z</t>
  </si>
  <si>
    <t>Pristimerin</t>
  </si>
  <si>
    <t>C08633</t>
  </si>
  <si>
    <t>1258-84-0</t>
  </si>
  <si>
    <t>CC1=C(C(=O)C=C2C1=CC=C3C2(CCC4(C3(CCC5(C4CC(CC5)(C)C(=O)OC)C)C)C)C)O</t>
  </si>
  <si>
    <t>JFACETXYABVHFD-WXPPGMDDSA-N</t>
  </si>
  <si>
    <t>C30H40O4</t>
  </si>
  <si>
    <t>8.91_279.2317m/z</t>
  </si>
  <si>
    <t>Alpha-Linolenic Acid</t>
  </si>
  <si>
    <t>HMDB0001388</t>
  </si>
  <si>
    <t>LMFA01030152</t>
  </si>
  <si>
    <t>C06427</t>
  </si>
  <si>
    <t>ko00592,ko01040</t>
  </si>
  <si>
    <t>alpha-Linolenic acid metabolism|Biosynthesis of unsaturated fatty acids</t>
  </si>
  <si>
    <t>463-40-1</t>
  </si>
  <si>
    <t>C(CCCCCCC(=O)O)/C=C\C/C=C\C/C=C\CC</t>
  </si>
  <si>
    <t>DTOSIQBPPRVQHS-PDBXOOCHSA-N</t>
  </si>
  <si>
    <t>C18H30O2</t>
  </si>
  <si>
    <t>5.02_495.1504m/z</t>
  </si>
  <si>
    <t>Auriculoside</t>
  </si>
  <si>
    <t>LMPK12020249</t>
  </si>
  <si>
    <t>C1(O)C=C2OC(C3C=C(O)C(OC)=C(O[C@H]4[C@H](O)[C@@H](O)[C@H](O)[C@@H](CO)O4)C=3)CCC2=CC=1</t>
  </si>
  <si>
    <t>IJMWYFHXJWRHQH-NMXOTBGBSA-N</t>
  </si>
  <si>
    <t>C22H26O10</t>
  </si>
  <si>
    <t>6.35_152.0342m/z</t>
  </si>
  <si>
    <t>3-Hydroxyanthranilic Acid</t>
  </si>
  <si>
    <t>HMDB0001476</t>
  </si>
  <si>
    <t>C00632</t>
  </si>
  <si>
    <t>ko00380,ko00627</t>
  </si>
  <si>
    <t>Tryptophan metabolism|Aminobenzoate degradation</t>
  </si>
  <si>
    <t>548-93-6</t>
  </si>
  <si>
    <t>NC1=C(O)C=CC=C1C(O)=O</t>
  </si>
  <si>
    <t>WJXSWCUQABXPFS-UHFFFAOYSA-N</t>
  </si>
  <si>
    <t>5.56_557.2395m/z</t>
  </si>
  <si>
    <t>8'-Hydroxyabscisate</t>
  </si>
  <si>
    <t>HMDB0304246</t>
  </si>
  <si>
    <t>CC(C=CC1(O)C(C)=CC(=O)CC1(C)CO)=CC([O-])=O</t>
  </si>
  <si>
    <t>AVFORCKFTWHFAR-UHFFFAOYSA-M</t>
  </si>
  <si>
    <t>C15H19O5-</t>
  </si>
  <si>
    <t>0.73_255.0972m/z</t>
  </si>
  <si>
    <t>Methyl 2,3-Dihydro-3,5-Dihydroxy-2-Oxo-3-Indoleacetic Acid</t>
  </si>
  <si>
    <t>HMDB0038942</t>
  </si>
  <si>
    <t>57061-18-4</t>
  </si>
  <si>
    <t>COC(=O)CC1(O)C(=O)NC2=C1C=C(O)C=C2</t>
  </si>
  <si>
    <t>YPPHXVJCTQPTBV-UHFFFAOYSA-N</t>
  </si>
  <si>
    <t>Indolyl carboxylic acids and derivatives</t>
  </si>
  <si>
    <t>C11H11NO5</t>
  </si>
  <si>
    <t>6.46_383.1497m/z</t>
  </si>
  <si>
    <t>Archangelin</t>
  </si>
  <si>
    <t>HMDB0030846</t>
  </si>
  <si>
    <t>21174-75-4</t>
  </si>
  <si>
    <t>CC1=C(COC2=C3C=COC3=CC3=C2C=CC(=O)O3)CCC(C)(C)C1</t>
  </si>
  <si>
    <t>NETRCGJRLNZPCW-UHFFFAOYSA-N</t>
  </si>
  <si>
    <t>C21H22O4</t>
  </si>
  <si>
    <t>5.23_254.1305n</t>
  </si>
  <si>
    <t>3,5-Dihydroxy-4-Isopropylstilbene</t>
  </si>
  <si>
    <t>HMDB0258721</t>
  </si>
  <si>
    <t>CC(C)C1=C(O)C=C(C=CC2=CC=CC=C2)C=C1O</t>
  </si>
  <si>
    <t>ZISJNXNHJRQYJO-UHFFFAOYSA-N</t>
  </si>
  <si>
    <t>C17H18O2</t>
  </si>
  <si>
    <t>5.52_711.4199m/z</t>
  </si>
  <si>
    <t>Oa-Ps</t>
  </si>
  <si>
    <t>LMGP20040024</t>
  </si>
  <si>
    <t>C(O)(=O)[C@@]([H])(N)COP(OC[C@]([H])(OC(CCCCCCCC(=O)O)=O)COC(CCCCCCC/C=C\CCCCCCCC)=O)(=O)O</t>
  </si>
  <si>
    <t>JSPIZDHQQLEUMP-BDZCPYMJSA-N</t>
  </si>
  <si>
    <t>C33H60NO12P</t>
  </si>
  <si>
    <t>9.07_395.2436m/z</t>
  </si>
  <si>
    <t>Topsentolide C2</t>
  </si>
  <si>
    <t>LMFA07040134</t>
  </si>
  <si>
    <t>C(/[C@@H]1OC(=O)CCCC=CC1)=C\[C@H](OC)[C@H](C/C=C\CCCCC)O</t>
  </si>
  <si>
    <t>NGVOPKDYDKTASH-KMRPYSECSA-N</t>
  </si>
  <si>
    <t>11.48_306.2193n</t>
  </si>
  <si>
    <t>5-Androstene-3b,16b,17a-Triol</t>
  </si>
  <si>
    <t>HMDB0000523</t>
  </si>
  <si>
    <t>LMST02020098</t>
  </si>
  <si>
    <t>25126-70-9</t>
  </si>
  <si>
    <t>[C@@]12([H])CC=C3C[C@@H](O)CC[C@]3(C)[C@@]1([H])CC[C@]1(C)[C@H](O)[C@@H](O)C[C@@]21[H]</t>
  </si>
  <si>
    <t>GUGSXATYPSGVAY-CUZKMJQKSA-N</t>
  </si>
  <si>
    <t>C19H30O3</t>
  </si>
  <si>
    <t>5.99_624.3166m/z</t>
  </si>
  <si>
    <t>Cyclosquamosin A</t>
  </si>
  <si>
    <t>HMDB0303367</t>
  </si>
  <si>
    <t>CC(C)C1NC(=O)C2CCCN2C(=O)CNC(=O)C(CC2=CC=CC=C2)NC(=O)C(CO)NC(=O)CNC(=O)C2CCCN2C1=O</t>
  </si>
  <si>
    <t>MRKIEHJOWYDIFL-UHFFFAOYSA-N</t>
  </si>
  <si>
    <t>C31H43N7O8</t>
  </si>
  <si>
    <t>4.67_206.0816m/z</t>
  </si>
  <si>
    <t>N-Acetyl-D-Phenylalanine</t>
  </si>
  <si>
    <t>HMDB0000512</t>
  </si>
  <si>
    <t>C05620</t>
  </si>
  <si>
    <t>ko00470</t>
  </si>
  <si>
    <t>D-Amino acid metabolism</t>
  </si>
  <si>
    <t>10172-89-1</t>
  </si>
  <si>
    <t>CC(=O)NC(CC1=CC=CC=C1)C(=O)O</t>
  </si>
  <si>
    <t>CBQJSKKFNMDLON-SNVBAGLBSA-N</t>
  </si>
  <si>
    <t>C11H13NO3</t>
  </si>
  <si>
    <t>0.78_539.1126m/z</t>
  </si>
  <si>
    <t>4-(Cytidine 5'-Diphospho)-2-C-Methyl-D-Erythritol</t>
  </si>
  <si>
    <t>HMDB0304166</t>
  </si>
  <si>
    <t>C11435</t>
  </si>
  <si>
    <t>[H][C@@](O)(COP(O)(=O)OP(O)(=O)OC[C@@]1([H])O[C@@]([H])(N2C=CC(=N)N=C2O)[C@]([H])(O)[C@]1([H])O)[C@@](C)(O)CO</t>
  </si>
  <si>
    <t>YFAUKWZNPVBCFF-XHIBXCGHSA-N</t>
  </si>
  <si>
    <t>Pyrimidine ribonucleotides</t>
  </si>
  <si>
    <t>C14H25N3O14P2</t>
  </si>
  <si>
    <t>3.79_389.0971m/z</t>
  </si>
  <si>
    <t>Dopaxanthin Quinone</t>
  </si>
  <si>
    <t>HMDB0012220</t>
  </si>
  <si>
    <t>OC(=O)C(CC1=CC(=O)C(=O)C=C1)\N=C\C=C1/CC(NC(=C1)C(O)=O)C(O)=O</t>
  </si>
  <si>
    <t>DVOFEZJSDVPRON-QKSINNACSA-N</t>
  </si>
  <si>
    <t>C18H16N2O8</t>
  </si>
  <si>
    <t>9.44_418.2356n</t>
  </si>
  <si>
    <t>Heterofibrin A3</t>
  </si>
  <si>
    <t>LMFA07090166</t>
  </si>
  <si>
    <t>C(CCCC#CC#C/C=C/CCCCCCCC)(=O)O[C@@H](C(O[C@@H](C(=O)O)C)=O)C</t>
  </si>
  <si>
    <t>GHIXQBCGXRQMDR-LKWCPCFXSA-N</t>
  </si>
  <si>
    <t>C24H34O6</t>
  </si>
  <si>
    <t>10.40_916.4657n</t>
  </si>
  <si>
    <t>Chinenoside V</t>
  </si>
  <si>
    <t>HMDB0031139</t>
  </si>
  <si>
    <t>170739-22-7</t>
  </si>
  <si>
    <t>CC(COC1OC(CO)C(O)C(O)C1O)CC(CO)C1=C(C)C2C(CC3C4CC(=O)C5CC(CCC5(C)C4CCC23C)OC2OC(COC3OCC(O)C(O)C3O)C(O)C(O)C2O)O1</t>
  </si>
  <si>
    <t>WDTQKOJLOMDSGJ-UHFFFAOYSA-N</t>
  </si>
  <si>
    <t>C45H72O19</t>
  </si>
  <si>
    <t>6.41_473.3523n</t>
  </si>
  <si>
    <t>Docosa-4,7,10,13,16-Pentaenoyl Carnitine</t>
  </si>
  <si>
    <t>HMDB0006321</t>
  </si>
  <si>
    <t>LMFA07070061</t>
  </si>
  <si>
    <t>O(C(=O)CC/C=C/C/C=C/C/C=C/C/C=C/C/C=C/CCCCC)C(C[N+](C)(C)C)CC(=O)[O-]</t>
  </si>
  <si>
    <t>KRXOUZZWQXTUIB-IDERWEGCSA-N</t>
  </si>
  <si>
    <t>C29H47NO4</t>
  </si>
  <si>
    <t>11.94_857.4851m/z</t>
  </si>
  <si>
    <t>Notoginsenoside J</t>
  </si>
  <si>
    <t>HMDB0031757</t>
  </si>
  <si>
    <t>CC(C)(O)C(O)CCC(C)(OC1OC(CO)C(O)C(O)C1O)C1CCC2(C)C1C(O)CC1C3(C)CCC(O)C(C)(C)C3C(CC21C)OC1OC(CO)C(O)C(O)C1O</t>
  </si>
  <si>
    <t>YFXPRCDUBFSHJY-UHFFFAOYSA-N</t>
  </si>
  <si>
    <t>C42H74O16</t>
  </si>
  <si>
    <t>6.10_415.1261n</t>
  </si>
  <si>
    <t>N6-(Delta2-Isopentenyl)-Adenosine 5'-Monophosphate</t>
  </si>
  <si>
    <t>HMDB0304433</t>
  </si>
  <si>
    <t>C04713</t>
  </si>
  <si>
    <t>ko00908</t>
  </si>
  <si>
    <t>Zeatin biosynthesis</t>
  </si>
  <si>
    <t>CC(C)=CCNC1=NC=NC2=C1N=CN2[C@@H]1O[C@H](COP(O)(O)=O)[C@@H](O)[C@H]1O</t>
  </si>
  <si>
    <t>DUISZFLWBAPRBR-SDBHATRESA-N</t>
  </si>
  <si>
    <t>C15H22N5O7P</t>
  </si>
  <si>
    <t>4.74_417.1289m/z</t>
  </si>
  <si>
    <t>Iophendylate</t>
  </si>
  <si>
    <t>HMDB0015318</t>
  </si>
  <si>
    <t>99-79-6</t>
  </si>
  <si>
    <t>CCOC(=O)CCCCCCCCC(C)C1=CC=CC=C1I</t>
  </si>
  <si>
    <t>IWRUDYQZPTVTPA-UHFFFAOYSA-N</t>
  </si>
  <si>
    <t>Halobenzenes</t>
  </si>
  <si>
    <t>C19H29IO2</t>
  </si>
  <si>
    <t>8.54_325.1442m/z</t>
  </si>
  <si>
    <t>3-Dehydronobilin</t>
  </si>
  <si>
    <t>HMDB0036691</t>
  </si>
  <si>
    <t>63529-14-6</t>
  </si>
  <si>
    <t>C\C=C(\C)C(=O)OC1C\C(C)=C\CC(=O)\C(C)=C\C2OC(=O)C(=C)C12</t>
  </si>
  <si>
    <t>FKDIIXZIKCNXAT-QLDBJWRKSA-N</t>
  </si>
  <si>
    <t>5.20_536.1880n</t>
  </si>
  <si>
    <t>8-Hydroxypinoresinol 8-Glucoside</t>
  </si>
  <si>
    <t>HMDB0033281</t>
  </si>
  <si>
    <t>COC1=C(O)C=CC(=C1)C1OCC2(OC3OC(CO)C(O)C(O)C3O)C1COC2C1=CC(OC)=C(O)C=C1</t>
  </si>
  <si>
    <t>DRAPQDCEBKBPQE-UHFFFAOYSA-N</t>
  </si>
  <si>
    <t>1.11_393.1364m/z</t>
  </si>
  <si>
    <t>Telenzepine</t>
  </si>
  <si>
    <t>HMDB0258786</t>
  </si>
  <si>
    <t>CN1CCN(CC(=O)N2C3=C(C)SC=C3C(=O)NC3=CC=CC=C23)CC1</t>
  </si>
  <si>
    <t>VSWPGAIWKHPTKX-UHFFFAOYSA-N</t>
  </si>
  <si>
    <t>C19H22N4O2S</t>
  </si>
  <si>
    <t>4.36_423.1606m/z</t>
  </si>
  <si>
    <t>Pinosylvin</t>
  </si>
  <si>
    <t>LMPK13090001</t>
  </si>
  <si>
    <t>C01745</t>
  </si>
  <si>
    <t>ko00945</t>
  </si>
  <si>
    <t>Stilbenoid, diarylheptanoid and gingerol biosynthesis</t>
  </si>
  <si>
    <t>22139-77-1</t>
  </si>
  <si>
    <t>C1=CC=C(/C=C/C2=CC(O)=CC(O)=C2)C=C1</t>
  </si>
  <si>
    <t>YCVPRTHEGLPYPB-VOTSOKGWSA-N</t>
  </si>
  <si>
    <t>C14H12O2</t>
  </si>
  <si>
    <t>9.64_779.3219m/z</t>
  </si>
  <si>
    <t>2-Hydroxypropyl Starch</t>
  </si>
  <si>
    <t>HMDB0303342</t>
  </si>
  <si>
    <t>COC1C(O)C(O)C(OCC2OC(OC3C(O)C(O)C(C)OC3CO)C(O)C(O)C2OC2OC(CO)C(OC)C(O)C2OCC(C)(O)CO)OC1CO</t>
  </si>
  <si>
    <t>VYIPQJQYDCRXMM-UHFFFAOYSA-N</t>
  </si>
  <si>
    <t>C31H56O22</t>
  </si>
  <si>
    <t>4.23_428.1461m/z</t>
  </si>
  <si>
    <t>Icas#2</t>
  </si>
  <si>
    <t>LMFA13040129</t>
  </si>
  <si>
    <t>O([C@H](C)CCC(=O)C)[C@H]1[C@H](O)C[C@@H](OC(=O)C2=CNC3C=CC=CC=32)[C@H](C)O1</t>
  </si>
  <si>
    <t>VNOOSCCMEMBAAB-BEMBYLKPSA-N</t>
  </si>
  <si>
    <t>C21H27NO6</t>
  </si>
  <si>
    <t>4.24_375.2140m/z</t>
  </si>
  <si>
    <t>Lipoxin B4</t>
  </si>
  <si>
    <t>HMDB0005082</t>
  </si>
  <si>
    <t>LMFA03040002</t>
  </si>
  <si>
    <t>C06315</t>
  </si>
  <si>
    <t>ko00590</t>
  </si>
  <si>
    <t>Arachidonic acid metabolism</t>
  </si>
  <si>
    <t>98049-69-5</t>
  </si>
  <si>
    <t>C(/C=C/[C@@H](O)CCCC(O)=O)=C/C=C/C=C/[C@@H](O)[C@@H](O)CCCCC</t>
  </si>
  <si>
    <t>UXVRTOKOJOMENI-WLPVFMORSA-N</t>
  </si>
  <si>
    <t>4.70_302.0401n</t>
  </si>
  <si>
    <t>Morin</t>
  </si>
  <si>
    <t>HMDB0030796</t>
  </si>
  <si>
    <t>LMPK12112517</t>
  </si>
  <si>
    <t>C10105</t>
  </si>
  <si>
    <t>480-16-0</t>
  </si>
  <si>
    <t>C1(O)=CC2OC(C3C(O)=CC(O)=CC=3)=C(O)C(=O)C=2C(O)=C1</t>
  </si>
  <si>
    <t>YXOLAZRVSSWPPT-UHFFFAOYSA-N</t>
  </si>
  <si>
    <t>C15H10O7</t>
  </si>
  <si>
    <t>4.26_455.1883m/z</t>
  </si>
  <si>
    <t>Dipfluzine</t>
  </si>
  <si>
    <t>HMDB0251442</t>
  </si>
  <si>
    <t>FC1=CC=C(C=C1)C(=O)CCCN1CCN(CC1)C(C1=CC=CC=C1)C1=CC=CC=C1</t>
  </si>
  <si>
    <t>BNUWAVBVXCLUJD-UHFFFAOYSA-N</t>
  </si>
  <si>
    <t>C27H29FN2O</t>
  </si>
  <si>
    <t>6.74_795.3073m/z</t>
  </si>
  <si>
    <t>Methyl (3x,10r)-Dihydroxy-11-Dodecene-6,8-Diynoate 10-Glucoside</t>
  </si>
  <si>
    <t>HMDB0040896</t>
  </si>
  <si>
    <t>152141-43-0</t>
  </si>
  <si>
    <t>COC(=O)CC(O)CCC#CC#CC(OC1OC(CO)C(O)C(O)C1O)C=C</t>
  </si>
  <si>
    <t>UOPMCWHYLKOBAX-UHFFFAOYSA-N</t>
  </si>
  <si>
    <t>C19H26O9</t>
  </si>
  <si>
    <t>4.51_685.2690m/z</t>
  </si>
  <si>
    <t>Seco-Isolariciresinol Diglucoside</t>
  </si>
  <si>
    <t>158932-33-3</t>
  </si>
  <si>
    <t>COC1=C(C=CC(=C1)CC(COC2C(C(C(C(O2)CO)O)O)O)C(CC3=CC(=C(C=C3)O)OC)COC4C(C(C(C(O4)CO)O)O)O)O</t>
  </si>
  <si>
    <t>SBVBJPHMDABKJV-PGCJWIIOSA-N</t>
  </si>
  <si>
    <t>C32H46O16</t>
  </si>
  <si>
    <t>2.01_208.0972m/z</t>
  </si>
  <si>
    <t>N-Propylbenzamide</t>
  </si>
  <si>
    <t>HMDB0061786</t>
  </si>
  <si>
    <t>CCCN=C(O)C1=CC=CC=C1</t>
  </si>
  <si>
    <t>DYZWXBMTHNHXML-UHFFFAOYSA-N</t>
  </si>
  <si>
    <t>C10H13NO</t>
  </si>
  <si>
    <t>4.79_737.3025m/z</t>
  </si>
  <si>
    <t>PC(3:0/3:0)</t>
  </si>
  <si>
    <t>LMGP01011215</t>
  </si>
  <si>
    <t>[C@](COP(=O)([O-])OCC[N+](C)(C)C)([H])(OC(CC)=O)COC(CC)=O</t>
  </si>
  <si>
    <t>LMBVWVMURYPSQM-GFCCVEGCSA-N</t>
  </si>
  <si>
    <t>C14H28NO8P</t>
  </si>
  <si>
    <t>4.83_903.2196m/z</t>
  </si>
  <si>
    <t>Quercetin 3-(2'''-P-Coumarylsambubioside)-7-Glucoside</t>
  </si>
  <si>
    <t>LMPK12112155</t>
  </si>
  <si>
    <t>C1(O[C@H]2[C@H](O)[C@@H](O)[C@H](O)[C@@H](CO)O2)=CC2OC(C3C=C(O)C(O)=CC=3)=C(O[C@H]3[C@H](O[C@H]4[C@H](OC(/C=C/C5C=CC(O)=CC=5)=O)[C@@H](O)[C@H](O)CO4)[C@@H](O)[C@H](O)[C@@H](CO)O3)C(=O)C=2C(O)=C1</t>
  </si>
  <si>
    <t>VZEXGWGJXZJLPY-SMKOYQSRSA-N</t>
  </si>
  <si>
    <t>C41H44O23</t>
  </si>
  <si>
    <t>9.64_360.2296n</t>
  </si>
  <si>
    <t>Resolvin D6</t>
  </si>
  <si>
    <t>LMFA04030004</t>
  </si>
  <si>
    <t>C(/[C@@H](O)CCC(=O)O)=C\C=C/C/C=C\C/C=C\C=C\[C@@H](O)C/C=C\CC</t>
  </si>
  <si>
    <t>JKPUWSZSJINVLB-OSKNXYPTSA-N</t>
  </si>
  <si>
    <t>8.80_386.1725n</t>
  </si>
  <si>
    <t>Porson</t>
  </si>
  <si>
    <t>HMDB0030810</t>
  </si>
  <si>
    <t>56222-03-8</t>
  </si>
  <si>
    <t>COC1=C2C=C(CC(O)C(=O)CCCCC3=CC2=C(OC)C(OC)=C3O)C=C1</t>
  </si>
  <si>
    <t>VHBRVHUPCPJJMZ-UHFFFAOYSA-N</t>
  </si>
  <si>
    <t>M+H, M+NH4, M+K, M+H-H2O</t>
  </si>
  <si>
    <t>C22H26O6</t>
  </si>
  <si>
    <t>0.77_149.0443m/z</t>
  </si>
  <si>
    <t>D-(-)-Arabinose</t>
  </si>
  <si>
    <t>C00216</t>
  </si>
  <si>
    <t>ko00040,ko00053,ko00520</t>
  </si>
  <si>
    <t>Pentose and glucuronate interconversions|Ascorbate and aldarate metabolism|Amino sugar and nucleotide sugar metabolism</t>
  </si>
  <si>
    <t>10323-20-3</t>
  </si>
  <si>
    <t>C1C(C(C(C(O1)O)O)O)O</t>
  </si>
  <si>
    <t>SRBFZHDQGSBBOR-ZRMNMSDTSA-N</t>
  </si>
  <si>
    <t>C5H10O5</t>
  </si>
  <si>
    <t>0.70_104.1069m/z</t>
  </si>
  <si>
    <t>2z-Penten-1-Ol</t>
  </si>
  <si>
    <t>HMDB0031604</t>
  </si>
  <si>
    <t>LMFA05000110</t>
  </si>
  <si>
    <t>1576-96-1</t>
  </si>
  <si>
    <t>OC/C=C\CC</t>
  </si>
  <si>
    <t>BTSIZIIPFNVMHF-ARJAWSKDSA-N</t>
  </si>
  <si>
    <t>C5H10O</t>
  </si>
  <si>
    <t>4.20_503.1560m/z</t>
  </si>
  <si>
    <t>S-Methyl-Ke-298</t>
  </si>
  <si>
    <t>HMDB0257403</t>
  </si>
  <si>
    <t>CSCC(CC(=O)C1=CC=C(C)C=C1)C(O)=O</t>
  </si>
  <si>
    <t>WRIZBWMOURRWRW-UHFFFAOYSA-N</t>
  </si>
  <si>
    <t>C13H16O3S</t>
  </si>
  <si>
    <t>0.78_350.1893m/z</t>
  </si>
  <si>
    <t>Dansylamidohexamethylamine</t>
  </si>
  <si>
    <t>HMDB0254853</t>
  </si>
  <si>
    <t>CN(C)C1=CC=CC2=C1C=CC=C2S(=O)(=O)NCCCCCCN</t>
  </si>
  <si>
    <t>MDDJCYLRROTRCO-UHFFFAOYSA-N</t>
  </si>
  <si>
    <t>C18H27N3O2S</t>
  </si>
  <si>
    <t>7.83_392.1620n</t>
  </si>
  <si>
    <t>Anguvetin</t>
  </si>
  <si>
    <t>LMPK12120470</t>
  </si>
  <si>
    <t>C1(O)C(C)=C(OC)C(C(=O)CCC2C=CC=CC=2)=C(O)C=1CC1C(O)=CC=CC=1</t>
  </si>
  <si>
    <t>AJLNIEILVUYJPG-UHFFFAOYSA-N</t>
  </si>
  <si>
    <t>C24H24O5</t>
  </si>
  <si>
    <t>4.31_325.0482m/z</t>
  </si>
  <si>
    <t>3-Amino-4-Hydroxyphenyl Sulfone</t>
  </si>
  <si>
    <t>7545-50-8</t>
  </si>
  <si>
    <t>C1=CC(=C(C=C1S(=O)(=O)C2=CC(=C(C=C2)O)N)N)O</t>
  </si>
  <si>
    <t>KECOIASOKMSRFT-UHFFFAOYSA-N</t>
  </si>
  <si>
    <t>C12H12N2O4S</t>
  </si>
  <si>
    <t>4.01_665.1646m/z</t>
  </si>
  <si>
    <t>Ceftolozane</t>
  </si>
  <si>
    <t>HMDB0249785</t>
  </si>
  <si>
    <t>CN1C(N)=C(NC(=O)NCCN)C=[N+]1CC1=C(N2C(SC1)C(NC(=O)C(=NOC(C)(C)C([O-])=O)C1=NSC(N)=N1)C2=O)C(O)=O</t>
  </si>
  <si>
    <t>JHFNIHVVXRKLEF-UHFFFAOYSA-N</t>
  </si>
  <si>
    <t>C23H30N12O8S2</t>
  </si>
  <si>
    <t>5.14_479.2639m/z</t>
  </si>
  <si>
    <t>Pimozide</t>
  </si>
  <si>
    <t>HMDB0015232</t>
  </si>
  <si>
    <t>C07566</t>
  </si>
  <si>
    <t>2062-78-4</t>
  </si>
  <si>
    <t>FC1=CC=C(C=C1)C(CCCN1CCC(CC1)N1C(=O)NC2=CC=CC=C12)C1=CC=C(F)C=C1</t>
  </si>
  <si>
    <t>YVUQSNJEYSNKRX-UHFFFAOYSA-N</t>
  </si>
  <si>
    <t>C28H29F2N3O</t>
  </si>
  <si>
    <t>8.88_852.3187m/z</t>
  </si>
  <si>
    <t>3'-P-Hydroxy Paclitaxel</t>
  </si>
  <si>
    <t>HMDB0246106</t>
  </si>
  <si>
    <t>CC(=O)OC1C2=C(C)C(CC(O)(C(OC(=O)C3=CC=CC=C3)C3C4(COC4CC(O)C3(C)C1=O)OC(C)=O)C2(C)C)OC(=O)C(O)C(NC(=O)C1=CC=CC=C1)C1=CC=C(O)C=C1</t>
  </si>
  <si>
    <t>XKSMHFPSILYEIA-UHFFFAOYSA-N</t>
  </si>
  <si>
    <t>C47H51NO15</t>
  </si>
  <si>
    <t>4.70_575.2280m/z</t>
  </si>
  <si>
    <t>Chromozym Pl</t>
  </si>
  <si>
    <t>HMDB0250215</t>
  </si>
  <si>
    <t>CC1=CC=C(C=C1)S(=O)(=O)NCC(=O)N1CCCC1C(=O)NC(CCCCN)C(=O)NC1=CC=C(C=C1)[N+]([O-])=O</t>
  </si>
  <si>
    <t>PEHDMKYTTRTXSH-UHFFFAOYSA-N</t>
  </si>
  <si>
    <t>C26H34N6O7S</t>
  </si>
  <si>
    <t>11.71_888.5522m/z</t>
  </si>
  <si>
    <t>PC(P-18:0/22:6(5Z,8E,10Z,13Z,15E,19Z)-2OH(7S, 17S))</t>
  </si>
  <si>
    <t>HMDB0289597</t>
  </si>
  <si>
    <t>[H][C@@](CO\C=C\CCCCCCCCCCCCCCCC)(COP([O-])(=O)OCC[N+](C)(C)C)OC(=O)CCC\C=C/[C@@H](O)\C=C\C=C/C\C=C/C=C/[C@@H](O)C\C=C/CC</t>
  </si>
  <si>
    <t>OQGVLWOAZSCPDZ-WSNXPUTHSA-N</t>
  </si>
  <si>
    <t>C48H84NO9P</t>
  </si>
  <si>
    <t>6.47_492.2585m/z</t>
  </si>
  <si>
    <t>Austalide B</t>
  </si>
  <si>
    <t>HMDB0030004</t>
  </si>
  <si>
    <t>81543-02-4</t>
  </si>
  <si>
    <t>CC1=C2COC(=O)C2=C(C3=C1OC4(CC(C56C(OC(O5)(CCC6(C4C3)C)OC)(C)C)O)C)OC</t>
  </si>
  <si>
    <t>ZVFMDVFPBVFGPG-BLQNBILZSA-N</t>
  </si>
  <si>
    <t>10.65_233.1542m/z</t>
  </si>
  <si>
    <t>Valerenic Acid</t>
  </si>
  <si>
    <t>HMDB0030016</t>
  </si>
  <si>
    <t>C09743</t>
  </si>
  <si>
    <t>3569-10-6</t>
  </si>
  <si>
    <t>CC1CCC(\C=C(/C)C(O)=O)C2=C(C)CCC12</t>
  </si>
  <si>
    <t>FEBNTWHYQKGEIQ-DHZHZOJOSA-N</t>
  </si>
  <si>
    <t>C15H22O2</t>
  </si>
  <si>
    <t>3.68_322.1628n</t>
  </si>
  <si>
    <t>Butyl (S)-3-Hydroxybutyrate Glucoside</t>
  </si>
  <si>
    <t>HMDB0031694</t>
  </si>
  <si>
    <t>CCCCOC(=O)CC(C)OC1OC(CO)C(O)C(O)C1O</t>
  </si>
  <si>
    <t>YUPCLHHTUNDMAN-UHFFFAOYSA-N</t>
  </si>
  <si>
    <t>C14H26O8</t>
  </si>
  <si>
    <t>9.08_634.3014m/z</t>
  </si>
  <si>
    <t>Pkhdia-Ps</t>
  </si>
  <si>
    <t>LMGP20040012</t>
  </si>
  <si>
    <t>C(O)(=O)[C@@]([H])(N)COP(OC[C@]([H])(OC(CCC(=O)/C=C/C(=O)O)=O)COC(CCCCCCCCCCCCCCC)=O)(=O)O</t>
  </si>
  <si>
    <t>JLIOQNFUGAUGHJ-ZIHYZGTESA-N</t>
  </si>
  <si>
    <t>C29H50NO13P</t>
  </si>
  <si>
    <t>5.85_464.2230n</t>
  </si>
  <si>
    <t>Hydroxyfluoroprednisolone Butyrate</t>
  </si>
  <si>
    <t>HMDB0061149</t>
  </si>
  <si>
    <t>1296177-38-2</t>
  </si>
  <si>
    <t>[H][C@@]12CC[C@](OC(=O)CCC)(C(=O)CO)[C@@]1(C)C[C@H](O)[C@@]1(F)[C@@]2([H])C[C@H](O)C2=CC(=O)C=C[C@]12C</t>
  </si>
  <si>
    <t>KODYJDILUXBYNG-MXHGPKCJSA-N</t>
  </si>
  <si>
    <t>C25H33FO7</t>
  </si>
  <si>
    <t>4.45_507.1868m/z</t>
  </si>
  <si>
    <t>16,17-Dihydro-16alpha,17-Dihydroxygibberellin A7 17-Glucoside</t>
  </si>
  <si>
    <t>HMDB0040649</t>
  </si>
  <si>
    <t>159858-84-1</t>
  </si>
  <si>
    <t>[H][C@@]12CC[C@@H]3C[C@]1(C[C@]3(O)CO[C@@H]1O[C@H](CO)[C@@H](O)[C@H](O)[C@H]1O)[C@@H](C(O)=O)[C@]1([H])[C@@]3(C)[C@@H](O)C=C[C@@]21OC3=O</t>
  </si>
  <si>
    <t>MYDOPTAGDBJRRW-MHDFSROXSA-N</t>
  </si>
  <si>
    <t>10.06_778.5091m/z</t>
  </si>
  <si>
    <t>MGDG (16:3(7Z,10Z,13Z/12-oxo-PDA)</t>
  </si>
  <si>
    <t>LMGL05010027</t>
  </si>
  <si>
    <t>C(O[C@]([H])(COC(CCCCCCC[C@@H]1[C@H](C/C=C\CC)C(=O)C=C1)=O)CO[C@H]1[C@H](O)[C@H](O)[C@@H](O)[C@@H](CO)O1)(CCCCC/C=C\C/C=C\C/C=C\CC)=O</t>
  </si>
  <si>
    <t>CWRWJDAEKWYUJT-ZXZOLKJDSA-N</t>
  </si>
  <si>
    <t>C43H68O11</t>
  </si>
  <si>
    <t>9.67_416.2193n</t>
  </si>
  <si>
    <t>Methylprednisolone Acetate</t>
  </si>
  <si>
    <t>HMDB0254661</t>
  </si>
  <si>
    <t>CC1CC2C3CCC(O)(C(=O)COC(C)=O)C3(C)CC(O)C2C2(C)C=CC(=O)C=C12</t>
  </si>
  <si>
    <t>PLBHSZGDDKCEHR-UHFFFAOYSA-N</t>
  </si>
  <si>
    <t>C24H32O6</t>
  </si>
  <si>
    <t>4.33_228.1725n</t>
  </si>
  <si>
    <t>11-Hydroxy-9-Tridecenoic Acid</t>
  </si>
  <si>
    <t>HMDB0035881</t>
  </si>
  <si>
    <t>LMFA01050437</t>
  </si>
  <si>
    <t>105798-56-9</t>
  </si>
  <si>
    <t>CCC(O)/C=C/CCCCCCCC(O)=O</t>
  </si>
  <si>
    <t>NSVPCFNUUARRKL-CSKARUKUSA-N</t>
  </si>
  <si>
    <t>C13H24O3</t>
  </si>
  <si>
    <t>4.40_558.3061m/z</t>
  </si>
  <si>
    <t>Ergokryptine</t>
  </si>
  <si>
    <t>HMDB0248211</t>
  </si>
  <si>
    <t>CC(C)CC1N2C(=O)C(NC(=O)C3CN(C)C4CC5=CNC6=CC=CC(=C56)C4=C3)(OC2(O)C2CCCN2C1=O)C(C)C</t>
  </si>
  <si>
    <t>YDOTUXAWKBPQJW-UHFFFAOYSA-N</t>
  </si>
  <si>
    <t>C32H41N5O5</t>
  </si>
  <si>
    <t>8.42_713.2585m/z</t>
  </si>
  <si>
    <t>Lappaol F</t>
  </si>
  <si>
    <t>HMDB0302071</t>
  </si>
  <si>
    <t>COC1=C2O[C@@H]([C@@H](CO)C2=CC(C[C@H]2COC(=O)[C@@H]2CC2=CC(OC)=C3O[C@@H]([C@@H](CO)C3=C2)C2=CC=C(O)C(OC)=C2)=C1)C1=CC(OC)=C(O)C=C1</t>
  </si>
  <si>
    <t>YXNKOCZXAVTXTG-NYGVLQSXSA-N</t>
  </si>
  <si>
    <t>C40H42O12</t>
  </si>
  <si>
    <t>5.02_501.1020m/z</t>
  </si>
  <si>
    <t>Flavin Mononucleotide</t>
  </si>
  <si>
    <t>HMDB0001520</t>
  </si>
  <si>
    <t>C00061</t>
  </si>
  <si>
    <t>ko00190,ko00740,ko00997,ko01057,ko04977</t>
  </si>
  <si>
    <t>Oxidative phosphorylation|Riboflavin metabolism|Biosynthesis of various secondary metabolites - part 3|Biosynthesis of type II polyketide products|Vitamin digestion and absorption</t>
  </si>
  <si>
    <t>146-17-8</t>
  </si>
  <si>
    <t>CC1=CC2=C(C=C1C)N(C[C@H](O)[C@H](O)[C@H](O)COP(O)(O)=O)C1=NC(=O)NC(=O)C1=N2</t>
  </si>
  <si>
    <t>FVTCRASFADXXNN-SCRDCRAPSA-N</t>
  </si>
  <si>
    <t>Flavin nucleotides</t>
  </si>
  <si>
    <t>C17H21N4O9P</t>
  </si>
  <si>
    <t>1.27_423.0217m/z</t>
  </si>
  <si>
    <t>Betanidin Quinone</t>
  </si>
  <si>
    <t>HMDB0304274</t>
  </si>
  <si>
    <t>[O-]C(=O)C1CC2=CC(=O)C(=O)C=C2[N+]1=CC=C1CC(NC(=C1)C([O-])=O)C([O-])=O</t>
  </si>
  <si>
    <t>MCTHLMSFLMEBEK-UHFFFAOYSA-L</t>
  </si>
  <si>
    <t>C18H12N2O8-2</t>
  </si>
  <si>
    <t>7.79_669.2293m/z</t>
  </si>
  <si>
    <t>Cyclo(-D-Tyr-Arg-Gly-Asp-Cys(Carboxymethyl)-Oh) Sulfoxide</t>
  </si>
  <si>
    <t>HMDB0244621</t>
  </si>
  <si>
    <t>NC(N)=NCCCC1NC(=O)C(CC2=CC=C(O)C=C2)NC(=O)CS(=O)CC(NC(=O)C(CC(O)=O)NC(=O)CNC1=O)C(O)=O</t>
  </si>
  <si>
    <t>DMXRDQJVBMEHPP-UHFFFAOYSA-N</t>
  </si>
  <si>
    <t>C26H36N8O11S</t>
  </si>
  <si>
    <t>7.16_511.3271m/z</t>
  </si>
  <si>
    <t>1beta,3alpha,7alpha,12alpha-Tetrahydroxy-5beta-Cholestan-26-Oic Acid</t>
  </si>
  <si>
    <t>LMST04030047</t>
  </si>
  <si>
    <t>[C@H]1(O)[C@]2(C)[C@@]3([H])C[C@H](O)[C@]4(C)[C@@]([H])([C@]([H])(C)CCCC(C)C(O)=O)CC[C@@]4([H])[C@]3([H])[C@H](O)C[C@]2([H])C[C@H](O)C1</t>
  </si>
  <si>
    <t>HQMODQLSLMTEGC-ZCPDKQAQSA-N</t>
  </si>
  <si>
    <t>6.59_459.2234m/z</t>
  </si>
  <si>
    <t>(4r,5s,7r,11x)-11,12-Dihydroxy-1(10)-Spirovetiven-2-One 12-Glucoside</t>
  </si>
  <si>
    <t>HMDB0030895</t>
  </si>
  <si>
    <t>62574-29-2</t>
  </si>
  <si>
    <t>CC1CC(=O)C=C(C)C11CCC(C1)C(C)(O)COC1OC(CO)C(O)C(O)C1O</t>
  </si>
  <si>
    <t>FSQYQQPZIHCQMQ-UHFFFAOYSA-N</t>
  </si>
  <si>
    <t>C21H34O8</t>
  </si>
  <si>
    <t>9.11_547.0222m/z</t>
  </si>
  <si>
    <t>Ferulic Acid 4-O-Sulfate</t>
  </si>
  <si>
    <t>HMDB0029200</t>
  </si>
  <si>
    <t>151481-53-7</t>
  </si>
  <si>
    <t>COC1=C(OS(O)(=O)=O)C=CC(\C=C\C(O)=O)=C1</t>
  </si>
  <si>
    <t>PZPATWACAAOHTJ-HWKANZROSA-N</t>
  </si>
  <si>
    <t>C10H10O7S</t>
  </si>
  <si>
    <t>3.65_346.0698m/z</t>
  </si>
  <si>
    <t>2,5,7-Trihydroxy-4'-Methoxyisoflavanone</t>
  </si>
  <si>
    <t>HMDB0304042</t>
  </si>
  <si>
    <t>COC1=CC=C(C=C1)C1C(O)OC2=CC([O-])=CC(O)=C2C1=O</t>
  </si>
  <si>
    <t>IIQJLBKXWGKSKE-UHFFFAOYSA-M</t>
  </si>
  <si>
    <t>C16H13O6-</t>
  </si>
  <si>
    <t>4.83_262.1203n</t>
  </si>
  <si>
    <t>Parthenin</t>
  </si>
  <si>
    <t>LMPR0103420001</t>
  </si>
  <si>
    <t>C09523</t>
  </si>
  <si>
    <t>508-59-8</t>
  </si>
  <si>
    <t>[C@@]12(C)C(=O)C=C[C@@]1(O)[C@@H](C)CC[C@@]1([H])C(C(=O)O[C@@]21[H])=C</t>
  </si>
  <si>
    <t>LLQCRTZROWMVOL-JISBIHODSA-N</t>
  </si>
  <si>
    <t>5.81_571.3502n</t>
  </si>
  <si>
    <t>Cholyltyrosine</t>
  </si>
  <si>
    <t>HMDB0242377</t>
  </si>
  <si>
    <t>CC(CCC(=O)NC(CC1=CC=C(O)C=C1)C(O)=O)C1CCC2C3C(O)CC4CC(O)CCC4(C)C3CC(O)C12C</t>
  </si>
  <si>
    <t>UTTBUMIEHWNKLK-UHFFFAOYSA-N</t>
  </si>
  <si>
    <t>4.49_479.0826m/z</t>
  </si>
  <si>
    <t>Myricetin 3-Galactoside</t>
  </si>
  <si>
    <t>HMDB0034358</t>
  </si>
  <si>
    <t>LMPK12112412</t>
  </si>
  <si>
    <t>15648-86-9</t>
  </si>
  <si>
    <t>C1(O)=CC2OC(C3C=C(O)C(O)=C(O)C=3)=C(O[C@H]3[C@H](O)[C@@H](O)[C@@H](O)[C@@H](CO)O3)C(=O)C=2C(O)=C1</t>
  </si>
  <si>
    <t>FOHXFLPXBUAOJM-MGMURXEASA-N</t>
  </si>
  <si>
    <t>C21H20O13</t>
  </si>
  <si>
    <t>3.69_575.1194m/z</t>
  </si>
  <si>
    <t>2-Hydroxyisoflavanone Naringenin</t>
  </si>
  <si>
    <t>HMDB0304071</t>
  </si>
  <si>
    <t>C12631</t>
  </si>
  <si>
    <t>OC1OC2=CC(O)=CC(O)=C2C(=O)C1C1=CC=C(O)C=C1</t>
  </si>
  <si>
    <t>UQOJAGBSKPHQOG-UHFFFAOYSA-N</t>
  </si>
  <si>
    <t>6.48_565.2033m/z</t>
  </si>
  <si>
    <t>Sa-Beta-Gal</t>
  </si>
  <si>
    <t>HMDB0257432</t>
  </si>
  <si>
    <t>OCC1OC(OC2=CC=CC=C2C=NN=CC2=CC=CC=C2OC2OC(CO)C(O)C(O)C2O)C(O)C(O)C1O</t>
  </si>
  <si>
    <t>ZGTFPSNGHZSMHL-UHFFFAOYSA-N</t>
  </si>
  <si>
    <t>C26H32N2O12</t>
  </si>
  <si>
    <t>5.22_460.2820n</t>
  </si>
  <si>
    <t>Lucidenic Acid N</t>
  </si>
  <si>
    <t>HMDB0038352</t>
  </si>
  <si>
    <t>364622-33-3</t>
  </si>
  <si>
    <t>CC(CCC(O)=O)C1CC(=O)C2(C)C3=C(C(=O)CC12C)C1(C)CCC(O)C(C)(C)C1CC3O</t>
  </si>
  <si>
    <t>YBGBNHHXOJXFNM-UHFFFAOYSA-N</t>
  </si>
  <si>
    <t>1.11_335.1310m/z</t>
  </si>
  <si>
    <t>Estradiol-17beta 3-Sulfate</t>
  </si>
  <si>
    <t>HMDB0004448</t>
  </si>
  <si>
    <t>LMST05020005</t>
  </si>
  <si>
    <t>C08357</t>
  </si>
  <si>
    <t>ko00140,ko04976</t>
  </si>
  <si>
    <t>Steroid hormone biosynthesis|Bile secretion</t>
  </si>
  <si>
    <t>481-96-9</t>
  </si>
  <si>
    <t>[C@@]12([H])CCC3C=C(C=CC=3[C@@]1([H])CC[C@]1(C)[C@H](CC[C@@]21[H])O)OS(=O)(=O)O</t>
  </si>
  <si>
    <t>QZIGLSSUDXBTLJ-ZBRFXRBCSA-N</t>
  </si>
  <si>
    <t>Sulfated steroids</t>
  </si>
  <si>
    <t>C18H24O5S</t>
  </si>
  <si>
    <t>5.47_745.2706m/z</t>
  </si>
  <si>
    <t>Pentacarboxyl Porphyrinogen Iii</t>
  </si>
  <si>
    <t>HMDB0001957</t>
  </si>
  <si>
    <t>CC1=C(CCC(O)=O)C2=NC1CC1=C(C)C(CCC(O)=O)=C(N1)\C=C1/N=C(/C=C3\N\C(=C/2)C(CCC(O)=O)=C3CC(O)=O)C(CCC(O)=O)=C1C</t>
  </si>
  <si>
    <t>QDDLLFZOMVJQEQ-XJTMSCLRSA-N</t>
  </si>
  <si>
    <t>C37H40N4O10</t>
  </si>
  <si>
    <t>5.34_410.1575n</t>
  </si>
  <si>
    <t>Butyl 3-O-Caffeoylquinate</t>
  </si>
  <si>
    <t>HMDB0034588</t>
  </si>
  <si>
    <t>132741-56-1</t>
  </si>
  <si>
    <t>CCCCOC(=O)C1(O)CC(O)C(O)C(C1)OC(=O)\C=C/C1=CC(O)=C(O)C=C1</t>
  </si>
  <si>
    <t>VNLREARKISTOAD-ALCCZGGFSA-N</t>
  </si>
  <si>
    <t>C20H26O9</t>
  </si>
  <si>
    <t>6.20_961.4064m/z</t>
  </si>
  <si>
    <t>Gamma-Glutamyl-N'-(2-Hydroxyphenyl)Hydrazide</t>
  </si>
  <si>
    <t>HMDB0252617</t>
  </si>
  <si>
    <t>NC(CCC(=O)NNC1=CC=CC=C1O)C(=O)C1=CC(NNNNC2=CC=CC=C2O)=C(O)C=C1</t>
  </si>
  <si>
    <t>SPFKEURJRSGDTA-UHFFFAOYSA-N</t>
  </si>
  <si>
    <t>C23H27N7O5</t>
  </si>
  <si>
    <t>10.23_368.2560n</t>
  </si>
  <si>
    <t>Prostaglandin F2alpha Methyl Ester</t>
  </si>
  <si>
    <t>HMDB0256372</t>
  </si>
  <si>
    <t>CCCCCC(O)C=CC1C(O)CC(O)C1CC=CCCCC(=O)OC</t>
  </si>
  <si>
    <t>PJDMFGSFLLCCAO-UHFFFAOYSA-N</t>
  </si>
  <si>
    <t>C21H36O5</t>
  </si>
  <si>
    <t>11.25_832.3891m/z</t>
  </si>
  <si>
    <t>Protoveratrine A</t>
  </si>
  <si>
    <t>C10815</t>
  </si>
  <si>
    <t>143-57-7</t>
  </si>
  <si>
    <t>CCC(C)C(=O)OC1C(C2C(CN3CC(CCC3C2(C)O)C)C4C1(C5C(C(C6C7(C5(C4)OC6(C(CC7)OC(=O)C(C)(CC)O)O)C)OC(=O)C)OC(=O)C)O)O</t>
  </si>
  <si>
    <t>HYTGGNIMZXFORS-MGYKWWNKSA-N</t>
  </si>
  <si>
    <t>Steroidal alkaloids</t>
  </si>
  <si>
    <t>C41H63NO14</t>
  </si>
  <si>
    <t>9.71_527.2273m/z</t>
  </si>
  <si>
    <t>Satratoxin G</t>
  </si>
  <si>
    <t>HMDB0257507</t>
  </si>
  <si>
    <t>CC(O)C12OCCC3(OC3C(=O)OCC34CCC(C)=CC3OC3CC(OC(=O)C=CC=C1)C4(C)C31CO1)C2O</t>
  </si>
  <si>
    <t>GTONGKBINDTWOM-UHFFFAOYSA-N</t>
  </si>
  <si>
    <t>4.51_495.1508m/z</t>
  </si>
  <si>
    <t>Asebotin</t>
  </si>
  <si>
    <t>LMPK12120542</t>
  </si>
  <si>
    <t>C1(OC)C=C(O)C(C(=O)CCC2C=CC(O)=CC=2)=C(OC2OC(CO)C(O)C(O)C2O)C=1</t>
  </si>
  <si>
    <t>PQCIBORQLVRFMR-UHFFFAOYSA-N</t>
  </si>
  <si>
    <t>7.84_703.2965m/z</t>
  </si>
  <si>
    <t>Physagulin G</t>
  </si>
  <si>
    <t>HMDB0039694</t>
  </si>
  <si>
    <t>148076-22-6</t>
  </si>
  <si>
    <t>CC(C1CC(COC2OC(CO)C(O)C(O)C2O)=C(C)C(=O)O1)C12OC1C(OC(C)=O)C1(O)C3CC(O)C4(O)CC=CC(=O)C4(C)C3CCC21C</t>
  </si>
  <si>
    <t>LBNOIKRBLYMNFW-UHFFFAOYSA-N</t>
  </si>
  <si>
    <t>C36H50O15</t>
  </si>
  <si>
    <t>11.94_371.1624m/z</t>
  </si>
  <si>
    <t>Carnosic Acid</t>
  </si>
  <si>
    <t>HMDB0002358</t>
  </si>
  <si>
    <t>3650-09-7</t>
  </si>
  <si>
    <t>CC(C)C1=CC2=C(C(O)=C1O)[C@]1(CCCC(C)(C)C1CC2)C(O)=O</t>
  </si>
  <si>
    <t>QRYRORQUOLYVBU-YBMSBYLISA-N</t>
  </si>
  <si>
    <t>4.02_185.1415n</t>
  </si>
  <si>
    <t>1-Methylpiperidin-4-Yl Butanoate</t>
  </si>
  <si>
    <t>HMDB0243943</t>
  </si>
  <si>
    <t>CCCC(=O)OC1CCN(C)CC1</t>
  </si>
  <si>
    <t>ZDIPDZCEYMNVHW-UHFFFAOYSA-N</t>
  </si>
  <si>
    <t>C10H19NO2</t>
  </si>
  <si>
    <t>4.85_244.0847n</t>
  </si>
  <si>
    <t>Indolylacryloylglycine</t>
  </si>
  <si>
    <t>HMDB0006005</t>
  </si>
  <si>
    <t>3475-68-1</t>
  </si>
  <si>
    <t>[H]\C(=C(\[H])C1=CNC2=CC=CC=C12)C(O)=NCC(O)=O</t>
  </si>
  <si>
    <t>DUIFVCFSAWHIOD-AATRIKPKSA-N</t>
  </si>
  <si>
    <t>C13H12N2O3</t>
  </si>
  <si>
    <t>5.13_633.1989m/z</t>
  </si>
  <si>
    <t>5,4'-Dimethyl-6-Hydroxyluteolinidin</t>
  </si>
  <si>
    <t>LMPK12010444</t>
  </si>
  <si>
    <t>C1(O)C=C2[O+]=C(C3C=CC(OC)=C(O)C=3)C=CC2C(OC)=C1O</t>
  </si>
  <si>
    <t>PAGRNMMUPDJJNK-UHFFFAOYSA-O</t>
  </si>
  <si>
    <t>C17H17O6+</t>
  </si>
  <si>
    <t>1.41_153.0311m/z</t>
  </si>
  <si>
    <t>Acipimox</t>
  </si>
  <si>
    <t>HMDB0247941</t>
  </si>
  <si>
    <t>51037-30-0</t>
  </si>
  <si>
    <t>CC1=[N+]([O-])C=C(N=C1)C(O)=O</t>
  </si>
  <si>
    <t>DJQOOSBJCLSSEY-UHFFFAOYSA-N</t>
  </si>
  <si>
    <t>Pyrazines</t>
  </si>
  <si>
    <t>C6H6N2O3</t>
  </si>
  <si>
    <t>4.51_155.0702m/z</t>
  </si>
  <si>
    <t>2,6-Dihydroxy-4-Methoxytoluene</t>
  </si>
  <si>
    <t>CC1=C(C=C(C=C1O)OC)O</t>
  </si>
  <si>
    <t>YPIDZFLQKNEKRA-UHFFFAOYSA-N</t>
  </si>
  <si>
    <t>C8H10O3</t>
  </si>
  <si>
    <t>3.46_681.1995m/z</t>
  </si>
  <si>
    <t>Isocaviunin 7-O-Gentiobioside</t>
  </si>
  <si>
    <t>LMPK12050438</t>
  </si>
  <si>
    <t>O([C@H]1[C@H](O)[C@@H](O)[C@H](O)[C@@H](CO[C@H]2[C@H](O)[C@@H](O)[C@H](O)[C@@H](CO)O2)O1)C1C=C(O)C2C(=O)C(C3C(OC)=CC(OC)=C(OC)C=3)=COC=2C=1OC</t>
  </si>
  <si>
    <t>GDKJKYQGMIFYJT-FGJBEURYSA-N</t>
  </si>
  <si>
    <t>C31H38O18</t>
  </si>
  <si>
    <t>4.67_705.3333m/z</t>
  </si>
  <si>
    <t>Capsianoside I</t>
  </si>
  <si>
    <t>HMDB0002318</t>
  </si>
  <si>
    <t>121924-04-7</t>
  </si>
  <si>
    <t>C\C(CC\C=C(/C)CC(O)\C=C(/C)C(O)=O)=C/CCC(C)(OC1OC(CO)C(O)C(O)C1OC1OC(CO)C(O)C(O)C1O)C=C</t>
  </si>
  <si>
    <t>ISQUNAAALVXWGI-DFTZOVBQSA-N</t>
  </si>
  <si>
    <t>C32H52O14</t>
  </si>
  <si>
    <t>5.17_280.1308n</t>
  </si>
  <si>
    <t>Nigellic Acid</t>
  </si>
  <si>
    <t>HMDB0036094</t>
  </si>
  <si>
    <t>91897-25-5</t>
  </si>
  <si>
    <t>C\C(\C=C\C1(O)C(CO)=CC(=O)CC1(C)C)=C/C(O)=O</t>
  </si>
  <si>
    <t>ZGHRCSAIMSBFLK-UMCKCUICSA-N</t>
  </si>
  <si>
    <t>3.86_475.1210m/z</t>
  </si>
  <si>
    <t>(-)-Epicatechin-3'-O-Glucuronide</t>
  </si>
  <si>
    <t>HMDB0029164</t>
  </si>
  <si>
    <t>603133-91-1</t>
  </si>
  <si>
    <t>OCC1OC(OC2=CC(=CC=C2O)C2OC3=CC(O)=CC(O)=C3C[C@@H]2O)[C@@H](O)[C@@H](O)[C@@H]1O</t>
  </si>
  <si>
    <t>ZZTOVZGFHZQEAT-JUZNXHDUSA-N</t>
  </si>
  <si>
    <t>11.52_713.4114m/z</t>
  </si>
  <si>
    <t>Kurilensoside J</t>
  </si>
  <si>
    <t>LMST05050020</t>
  </si>
  <si>
    <t>C1[C@]2(C)[C@@]3([H])CC[C@]4(C)[C@@]([H])([C@]([H])(C)CC[C@H](O[C@H]5[C@H](O)[C@@H](O)[C@H](O)O5)C(C)C)C[C@H](O)[C@@]4([H])[C@]3(O)C[C@@H](O)[C@@]2([H])[C@@H](O)[C@@H](O[C@@H]2OC[C@@H](O)[C@H](O)[C@H]2OC)C1</t>
  </si>
  <si>
    <t>KHUZIKFEVDFTLS-HCBRJGQTSA-N</t>
  </si>
  <si>
    <t>C37H64O14</t>
  </si>
  <si>
    <t>5.82_561.2313m/z</t>
  </si>
  <si>
    <t>Perindoprilat Glucuronide</t>
  </si>
  <si>
    <t>HMDB0060863</t>
  </si>
  <si>
    <t>120381-56-8</t>
  </si>
  <si>
    <t>CCC(NC(C)C(=O)N1[C@H]2CCCC[C@H]2C[C@H]1C(=O)O[C@@]1(O[C@H](C)[C@@H](O)[C@H](O)[C@H]1O)C(O)=O)C(O)=O</t>
  </si>
  <si>
    <t>DCYRDAKXQLERQS-FQCHSDBKSA-N</t>
  </si>
  <si>
    <t>C23H36N2O11</t>
  </si>
  <si>
    <t>6.30_613.2611m/z</t>
  </si>
  <si>
    <t>Meosuc-Ala-Ala-Pro-Val-Pna</t>
  </si>
  <si>
    <t>HMDB0247307</t>
  </si>
  <si>
    <t>COC(=O)CCC(=O)NC(C)C(=O)NC(C)C(=O)N1CCCC1C(=O)NC(C(C)C)C(=O)NC1=CC=C(C=C1)[N+]([O-])=O</t>
  </si>
  <si>
    <t>VLVGCNNWNUERRZ-UHFFFAOYSA-N</t>
  </si>
  <si>
    <t>C27H38N6O9</t>
  </si>
  <si>
    <t>0.77_137.0231m/z</t>
  </si>
  <si>
    <t>4-Hydroxybenzoic Acid</t>
  </si>
  <si>
    <t>HMDB0000500</t>
  </si>
  <si>
    <t>C00156</t>
  </si>
  <si>
    <t>ko00130,ko00362,ko00363,ko00623,ko00627,ko00790</t>
  </si>
  <si>
    <t>Ubiquinone and other terpenoid-quinone biosynthesis|Benzoate degradation|Bisphenol degradation|Toluene degradation|Aminobenzoate degradation|Folate biosynthesis</t>
  </si>
  <si>
    <t>99-96-7</t>
  </si>
  <si>
    <t>OC(=O)C1=CC=C(O)C=C1</t>
  </si>
  <si>
    <t>FJKROLUGYXJWQN-UHFFFAOYSA-N</t>
  </si>
  <si>
    <t>C7H6O3</t>
  </si>
  <si>
    <t>14.86_640.5138m/z</t>
  </si>
  <si>
    <t>Glabranin</t>
  </si>
  <si>
    <t>HMDB0032104</t>
  </si>
  <si>
    <t>C09752</t>
  </si>
  <si>
    <t>CCCCCCCCCC\C=C\CCC(O)C(O)CCC(O)C1CCC(CCCCCCCC(O)CC2=CC(C)OC2=O)O1</t>
  </si>
  <si>
    <t>OOKJEMBYFZCLNC-FOWTUZBSSA-N</t>
  </si>
  <si>
    <t>C37H66O7</t>
  </si>
  <si>
    <t>5.66_370.2138n</t>
  </si>
  <si>
    <t>Nestorone</t>
  </si>
  <si>
    <t>HMDB0255548</t>
  </si>
  <si>
    <t>CC(=O)OC1(C(C)=O)C(=C)CC2C3CCC4=CC(=O)CCC4C3CCC12C</t>
  </si>
  <si>
    <t>CKFBRGLGTWAVLG-UHFFFAOYSA-N</t>
  </si>
  <si>
    <t>C23H30O4</t>
  </si>
  <si>
    <t>5.57_798.4512m/z</t>
  </si>
  <si>
    <t>PE(14:1(9Z)/6 keto-PGF1alpha)</t>
  </si>
  <si>
    <t>HMDB0260702</t>
  </si>
  <si>
    <t>CCCCC[C@H](O)\C=C\[C@H]1[C@H](O)C[C@H](O)[C@@H]1CC(=O)CCCCC(=O)O[C@H](COC(=O)CCCCCCC\C=C/CCCC)COP(O)(=O)OCCN</t>
  </si>
  <si>
    <t>SJXUUQXTDFKPMN-OMYZGUHVSA-N</t>
  </si>
  <si>
    <t>C39H70NO12P</t>
  </si>
  <si>
    <t>3.79_380.1215n</t>
  </si>
  <si>
    <t>Bmn-673 8r,9s</t>
  </si>
  <si>
    <t>HMDB0244463</t>
  </si>
  <si>
    <t>CN1N=CN=C1C1C(NC2=C3C1=NNC(=O)C3=CC(F)=C2)C1=CC=C(F)C=C1</t>
  </si>
  <si>
    <t>HWGQMRYQVZSGDQ-UHFFFAOYSA-N</t>
  </si>
  <si>
    <t>C19H14F2N6O</t>
  </si>
  <si>
    <t>4.18_677.2413m/z</t>
  </si>
  <si>
    <t>Eruberin C</t>
  </si>
  <si>
    <t>LMPK12020172</t>
  </si>
  <si>
    <t>C1(O[C@H]2[C@H](O)[C@@H](O)[C@H](O)[C@@H](CO)O2)=C(C)C2O[C@@H](C3C=CC(OC)=CC=3)C[C@H](OC)C=2C(O[C@H]2[C@H](O)[C@@H](O)[C@H](O)[C@@H](CO)O2)=C1C</t>
  </si>
  <si>
    <t>MQPDBDMSPVPGHL-PURGIIITSA-N</t>
  </si>
  <si>
    <t>C31H42O15</t>
  </si>
  <si>
    <t>11.69_1013.5678m/z</t>
  </si>
  <si>
    <t>As-PL(20:0/16:0)</t>
  </si>
  <si>
    <t>LMGP14010011</t>
  </si>
  <si>
    <t>[C@](COP(=O)(O)OCC(O)CO[C@H]1[C@H](O)[C@H](O)[C@@H](C[As](C)(=O)C)O1)([H])(OC(CCCCCCCCCCCCCCC)=O)COC(CCCCCCCCCCCCCCCCCCC)=O</t>
  </si>
  <si>
    <t>NKTCESCCQGOPCQ-LCPNTMEESA-N</t>
  </si>
  <si>
    <t>C49H96AsO14P</t>
  </si>
  <si>
    <t>4.08_929.1922m/z</t>
  </si>
  <si>
    <t>Myrtillin</t>
  </si>
  <si>
    <t>HMDB0037997</t>
  </si>
  <si>
    <t>LMPK12010278</t>
  </si>
  <si>
    <t>C12138</t>
  </si>
  <si>
    <t>ko00942</t>
  </si>
  <si>
    <t>Anthocyanin biosynthesis</t>
  </si>
  <si>
    <t>6906-38-3</t>
  </si>
  <si>
    <t>C1(O)=CC2[O+]=C(C3C=C(O)C(O)=C(O)C=3)C(O[C@H]3[C@H](O)[C@@H](O)[C@H](O)[C@@H](CO)O3)=CC=2C(O)=C1</t>
  </si>
  <si>
    <t>XENHPQQLDPAYIJ-PEVLUNPASA-O</t>
  </si>
  <si>
    <t>C21H21O12+</t>
  </si>
  <si>
    <t>10.78_781.4374m/z</t>
  </si>
  <si>
    <t>Madlongiside D</t>
  </si>
  <si>
    <t>HMDB0037905</t>
  </si>
  <si>
    <t>58019-21-9</t>
  </si>
  <si>
    <t>CC1OC(OC2C(O)C(O)COC2OC(=O)C23CCC(C)(C)CC2C2=CCC4C5(C)CC(O)C(O)C(C)(CO)C5C(O)CC4(C)C2(C)CC3)C(O)C(O)C1O</t>
  </si>
  <si>
    <t>XOBTZVANUMVPCS-UHFFFAOYSA-N</t>
  </si>
  <si>
    <t>C41H66O14</t>
  </si>
  <si>
    <t>4.74_327.1707m/z</t>
  </si>
  <si>
    <t>Koenigine</t>
  </si>
  <si>
    <t>HMDB0030207</t>
  </si>
  <si>
    <t>28513-33-9</t>
  </si>
  <si>
    <t>COC1=C(O)C=C2NC3=C4C=CC(C)(C)OC4=C(C)C=C3C2=C1</t>
  </si>
  <si>
    <t>CZZZOTXCAIDYOZ-UHFFFAOYSA-N</t>
  </si>
  <si>
    <t>C19H19NO3</t>
  </si>
  <si>
    <t>1.60_275.0771m/z</t>
  </si>
  <si>
    <t>Tuliposide B</t>
  </si>
  <si>
    <t>HMDB0303141</t>
  </si>
  <si>
    <t>C08570</t>
  </si>
  <si>
    <t>19870-33-8</t>
  </si>
  <si>
    <t>[H]C(O)(CO)C(=C)C(=O)O[C@]1([H])O[C@]([H])(CO)[C@@]([H])(O)[C@]([H])(O)[C@@]1([H])O</t>
  </si>
  <si>
    <t>KVRQQFBSAHPTAB-FUYPYFFWSA-N</t>
  </si>
  <si>
    <t>8.30_795.2866m/z</t>
  </si>
  <si>
    <t>Lappaol H</t>
  </si>
  <si>
    <t>HMDB0302317</t>
  </si>
  <si>
    <t>COC1=CC(=CC=C1O)C(O)C(CO)C1=CC(CC2COC(=O)C2CC2=CC(C(CO)C(O)C3=CC=C(O)C(OC)=C3)=C(O)C(OC)=C2)=CC(OC)=C1O</t>
  </si>
  <si>
    <t>ZBAWFXNLUOUBMU-UHFFFAOYSA-N</t>
  </si>
  <si>
    <t>C40H46O14</t>
  </si>
  <si>
    <t>7.99_640.3311m/z</t>
  </si>
  <si>
    <t>Leukotriene C4 Methyl Ester</t>
  </si>
  <si>
    <t>73958-10-8</t>
  </si>
  <si>
    <t>CCCCCC=CCC=CC=CC=CC(C(CCCC(=O)OC)O)SCC(C(=O)NCC(=O)O)NC(=O)CCC(C(=O)O)N</t>
  </si>
  <si>
    <t>NEICPYXCIYSWOH-UYCXAPQFSA-N</t>
  </si>
  <si>
    <t>C31H49N3O9S</t>
  </si>
  <si>
    <t>6.39_531.2054m/z</t>
  </si>
  <si>
    <t>Glucosylgalactosyl Hydroxylysine</t>
  </si>
  <si>
    <t>HMDB0000585</t>
  </si>
  <si>
    <t>32448-35-4</t>
  </si>
  <si>
    <t>NCC(CC[C@H](N)C(O)=O)O[C@@H]1O[C@H](CO)[C@H](O)[C@H](O)[C@H]1O[C@H]1O[C@H](CO)[C@@H](O)C(O)[C@H]1O</t>
  </si>
  <si>
    <t>UTIRJVJBKWSIOX-SRMFCGEKSA-N</t>
  </si>
  <si>
    <t>C18H34N2O13</t>
  </si>
  <si>
    <t>5.08_523.2907m/z</t>
  </si>
  <si>
    <t>Erinacine D</t>
  </si>
  <si>
    <t>HMDB0031896</t>
  </si>
  <si>
    <t>157397-40-5</t>
  </si>
  <si>
    <t>CCOC1CC2C3=C(CCC3(C)CCC2(C)C(OC2OCC(O)C(O)C2O)C=C1C=O)C(C)C</t>
  </si>
  <si>
    <t>ZQHNREXELVXBCG-UHFFFAOYSA-N</t>
  </si>
  <si>
    <t>6.39_508.2674m/z</t>
  </si>
  <si>
    <t>PA(2:0/18:2(10E,12Z)+=O(9))</t>
  </si>
  <si>
    <t>HMDB0266535</t>
  </si>
  <si>
    <t>[H][C@@](COC(C)=O)(COP(O)(O)=O)OC(=O)CCCCCCCC(=O)\C=C\C=C/CCCCC</t>
  </si>
  <si>
    <t>QALNBRDVEIWEKC-FNRIVACMSA-N</t>
  </si>
  <si>
    <t>C23H39O9P</t>
  </si>
  <si>
    <t>6.01_417.2128m/z</t>
  </si>
  <si>
    <t>Blumenol C Glucoside</t>
  </si>
  <si>
    <t>HMDB0040668</t>
  </si>
  <si>
    <t>62512-23-6</t>
  </si>
  <si>
    <t>CC(CCC1C(C)=CC(=O)CC1(C)C)OC1OC(CO)C(O)C(O)C1O</t>
  </si>
  <si>
    <t>NYLNHNDMNOPWAZ-UHFFFAOYSA-N</t>
  </si>
  <si>
    <t>C19H32O7</t>
  </si>
  <si>
    <t>4.08_239.0557m/z</t>
  </si>
  <si>
    <t>(-)-Trans-3,4-Dihydro-4,8-Dihydroxy-3-Methyl-1h-2-Benzopyran-1-One</t>
  </si>
  <si>
    <t>HMDB0030765</t>
  </si>
  <si>
    <t>70287-70-6</t>
  </si>
  <si>
    <t>CC1OC(=O)C2=C(C=CC=C2O)C1O</t>
  </si>
  <si>
    <t>STSOHAOGZMLWFR-UHFFFAOYSA-N</t>
  </si>
  <si>
    <t>2-benzopyrans</t>
  </si>
  <si>
    <t>4.31_139.0389m/z</t>
  </si>
  <si>
    <t>3,4-Dihydroxybenzaldehyde</t>
  </si>
  <si>
    <t>HMDB0059965</t>
  </si>
  <si>
    <t>C16700</t>
  </si>
  <si>
    <t>ko00950</t>
  </si>
  <si>
    <t>Isoquinoline alkaloid biosynthesis</t>
  </si>
  <si>
    <t>139-85-5</t>
  </si>
  <si>
    <t>OC1=CC=C(C=O)C=C1O</t>
  </si>
  <si>
    <t>IBGBGRVKPALMCQ-UHFFFAOYSA-N</t>
  </si>
  <si>
    <t>1.29_300.1057m/z</t>
  </si>
  <si>
    <t>N-(1-Deoxy-1-Fructosyl)Proline</t>
  </si>
  <si>
    <t>HMDB0038493</t>
  </si>
  <si>
    <t>29118-61-4</t>
  </si>
  <si>
    <t>OC[C@H]1OC(O)(CN2CCCC2C(O)=O)[C@@H](O)[C@@H]1O</t>
  </si>
  <si>
    <t>GSFRYAKUDPPHHG-MKSMHYHASA-N</t>
  </si>
  <si>
    <t>C11H19NO7</t>
  </si>
  <si>
    <t>5.17_555.1641m/z</t>
  </si>
  <si>
    <t>(2-Chlorophenyl)Diphenylmethane</t>
  </si>
  <si>
    <t>HMDB0243567</t>
  </si>
  <si>
    <t>56153-60-7</t>
  </si>
  <si>
    <t>ClC1=CC=CC=C1C(C1=CC=CC=C1)C1=CC=CC=C1</t>
  </si>
  <si>
    <t>IWUWHGXBCVDMST-UHFFFAOYSA-N</t>
  </si>
  <si>
    <t>C19H15Cl</t>
  </si>
  <si>
    <t>0.71_120.0411n</t>
  </si>
  <si>
    <t>Erythrose</t>
  </si>
  <si>
    <t>HMDB0002649</t>
  </si>
  <si>
    <t>C01796</t>
  </si>
  <si>
    <t>1758-51-6</t>
  </si>
  <si>
    <t>C(C(C(C=O)O)O)O</t>
  </si>
  <si>
    <t>YTBSYETUWUMLBZ-IUYQGCFVSA-N</t>
  </si>
  <si>
    <t>M-H2O-H, M-H, M+FA-H</t>
  </si>
  <si>
    <t>C4H8O4</t>
  </si>
  <si>
    <t>12.33_973.4978m/z</t>
  </si>
  <si>
    <t>Araliasaponin I</t>
  </si>
  <si>
    <t>HMDB0036476</t>
  </si>
  <si>
    <t>289649-54-3</t>
  </si>
  <si>
    <t>CC1(C)CCC2(C(O)CC3(C)C(=CCC4C5(C)CCC(OC6OCC(O)C(OC7OC(CO)C(O)C(O)C7O)C6O)C(C)(C)C5CCC34C)C2C1)C(=O)OC1OC(CO)C(O)C(O)C1O</t>
  </si>
  <si>
    <t>DYJBTUINEBYYQT-UHFFFAOYSA-N</t>
  </si>
  <si>
    <t>C47H76O18</t>
  </si>
  <si>
    <t>12.32_519.4038m/z</t>
  </si>
  <si>
    <t>(20r)-24-Hydroxygeminivitamin D3</t>
  </si>
  <si>
    <t>LMST03020631</t>
  </si>
  <si>
    <t>C1/C(=C/C=C2\CCC[C@]3(C)[C@@]([H])([C@]([H])(CCCC(O)(C)C)CC[C@@H](O)C(O)(C)C)CC[C@@]\23[H])/C(=C)[C@@H](O)C[C@@H]1O</t>
  </si>
  <si>
    <t>UAKRHUPVCAWPPT-DBQRCUIGSA-N</t>
  </si>
  <si>
    <t>C32H54O5</t>
  </si>
  <si>
    <t>11.29_406.3080n</t>
  </si>
  <si>
    <t>MG(0:0/22:4(7Z,10Z,13Z,16Z)/0:0)</t>
  </si>
  <si>
    <t>HMDB0011554</t>
  </si>
  <si>
    <t>[H]C(CO)(CO)OC(=O)CCCCC\C=C/C\C=C/C\C=C/C\C=C/CCCCC</t>
  </si>
  <si>
    <t>DVYDCUGIJCYIQN-DOFZRALJSA-N</t>
  </si>
  <si>
    <t>C25H42O4</t>
  </si>
  <si>
    <t>5.47_317.1960m/z</t>
  </si>
  <si>
    <t>Neryl Glucoside</t>
  </si>
  <si>
    <t>HMDB0029346</t>
  </si>
  <si>
    <t>22850-13-1</t>
  </si>
  <si>
    <t>CC(C)=CCC\C(C)=C/COC1OC(CO)C(O)C(O)C1O</t>
  </si>
  <si>
    <t>RMMXLHZEVYNSJO-XFFZJAGNSA-N</t>
  </si>
  <si>
    <t>C16H28O6</t>
  </si>
  <si>
    <t>12.62_363.2889m/z</t>
  </si>
  <si>
    <t>24-Nor-5beta-Cholane-3alpha,7alpha,12alpha,23-Tetrol</t>
  </si>
  <si>
    <t>LMST04060003</t>
  </si>
  <si>
    <t>C1[C@]2(C)[C@@]3([H])C[C@H](O)[C@]4(C)[C@@]([H])([C@]([H])(C)CCO)CC[C@@]4([H])[C@]3([H])[C@H](O)C[C@]2([H])C[C@H](O)C1</t>
  </si>
  <si>
    <t>SLNNQUHVOGVMBG-ZTSBSJDLSA-N</t>
  </si>
  <si>
    <t>C23H40O4</t>
  </si>
  <si>
    <t>8.52_1043.4841m/z</t>
  </si>
  <si>
    <t>PIP2(16:0/18:0)</t>
  </si>
  <si>
    <t>HMDB0010035</t>
  </si>
  <si>
    <t>[H][C@@](COC(=O)CCCCCCCCCCCCCCC)(COP(O)(=O)O[C@H]1C(O)C(O)C(OP(O)(O)=O)[C@@H](OP(O)(O)=O)C1O)OC(=O)CCCCCCCCCCCCCCCCC</t>
  </si>
  <si>
    <t>YWQDMMFQDDLESQ-NXVRDOABSA-N</t>
  </si>
  <si>
    <t>C43H85O19P3</t>
  </si>
  <si>
    <t>3.45_493.1353m/z</t>
  </si>
  <si>
    <t>Sakuranin</t>
  </si>
  <si>
    <t>HMDB0302696</t>
  </si>
  <si>
    <t>LMPK12140564</t>
  </si>
  <si>
    <t>C1(OC)=CC2OC(C3C=CC(O)=CC=3)CC(=O)C=2C(OC2OC(CO)C(O)C(O)C2O)=C1</t>
  </si>
  <si>
    <t>NEPMMBQHELYZIW-UHFFFAOYSA-N</t>
  </si>
  <si>
    <t>0.78_139.0025m/z</t>
  </si>
  <si>
    <t>2,5-Furandicarboxylic Acid</t>
  </si>
  <si>
    <t>HMDB0004812</t>
  </si>
  <si>
    <t>C20450</t>
  </si>
  <si>
    <t>ko00365</t>
  </si>
  <si>
    <t>Furfural degradation</t>
  </si>
  <si>
    <t>3238-40-2</t>
  </si>
  <si>
    <t>OC(=O)C1=CC=C(O1)C(O)=O</t>
  </si>
  <si>
    <t>CHTHALBTIRVDBM-UHFFFAOYSA-N</t>
  </si>
  <si>
    <t>Furans</t>
  </si>
  <si>
    <t>Furoic acid and derivatives</t>
  </si>
  <si>
    <t>7.67_623.2268m/z</t>
  </si>
  <si>
    <t>Norclozapine</t>
  </si>
  <si>
    <t>HMDB0060536</t>
  </si>
  <si>
    <t>6104-71-8</t>
  </si>
  <si>
    <t>ClC1=CC=C2NC3=CC=CC=C3C(=NC2=C1)N1CCNCC1</t>
  </si>
  <si>
    <t>JNNOSTQEZICQQP-UHFFFAOYSA-N</t>
  </si>
  <si>
    <t>Dibenzodiazepines</t>
  </si>
  <si>
    <t>C17H17ClN4</t>
  </si>
  <si>
    <t>11.83_510.4150m/z</t>
  </si>
  <si>
    <t>Xeniasterol-A</t>
  </si>
  <si>
    <t>LMST01031064</t>
  </si>
  <si>
    <t>C1[C@]2(C)[C@@]3([H])CC[C@]4(C)[C@@]([H])([C@]([H])(C)CC[C@H](C)C(C)C)CC[C@@]4([H])[C@]3([H])[C@@H](OC(C)=O)[C@@H](O)[C@@]2(O)C[C@@H](O)C1</t>
  </si>
  <si>
    <t>YNXOJQVJQLDURD-FCAZEUEMSA-N</t>
  </si>
  <si>
    <t>C30H52O5</t>
  </si>
  <si>
    <t>5.59_722.4282m/z</t>
  </si>
  <si>
    <t>Voacamine</t>
  </si>
  <si>
    <t>HMDB0015597</t>
  </si>
  <si>
    <t>C09252</t>
  </si>
  <si>
    <t>3371-85-5</t>
  </si>
  <si>
    <t>[H][C@@]12C[C@H](CC)[C@]3([H])N(C1)CCC1=C(NC4=CC(=C(OC)C=C14)[C@@]1([H])C[C@]4([H])C(C(=O)OC)[C@@]([H])(CC5=C1NC1=CC=CC=C51)N(C)C\C4=C\C)[C@@]3(C2)C(=O)OC</t>
  </si>
  <si>
    <t>VCMIRXRRQJNZJT-XRMSBCOFSA-N</t>
  </si>
  <si>
    <t>Ibogan-type alkaloids</t>
  </si>
  <si>
    <t>C43H52N4O5</t>
  </si>
  <si>
    <t>6.69_375.2160m/z</t>
  </si>
  <si>
    <t>Penicildione D</t>
  </si>
  <si>
    <t>LMST02030241</t>
  </si>
  <si>
    <t>C1CC2[C@@](C)([C@@]3(O)[C@@H](O)C[C@@]4([C@](O)([C@H](C)C[C@@]4([H])[C@]13[H])C(=O)CO)C)CCC(=O)C=2</t>
  </si>
  <si>
    <t>KPHGRQINQWTBGR-CXSFZGCWSA-N</t>
  </si>
  <si>
    <t>C22H32O6</t>
  </si>
  <si>
    <t>10.91_838.2961n</t>
  </si>
  <si>
    <t>Glecaprevir</t>
  </si>
  <si>
    <t>HMDB0252742</t>
  </si>
  <si>
    <t>CC(C)(C)C1NC(=O)OC2CCCC2OCC=CC(F)(F)C2=NC3=CC=CC=C3N=C2OC2CC(N(C2)C1=O)C(=O)NC1(CC1C(F)F)C(=O)NS(=O)(=O)C1(C)CC1</t>
  </si>
  <si>
    <t>MLSQGNCUYAMAHD-UHFFFAOYSA-N</t>
  </si>
  <si>
    <t>C38H46F4N6O9S</t>
  </si>
  <si>
    <t>11.25_353.2684m/z</t>
  </si>
  <si>
    <t>MG(0:0/18:3(9Z,12Z,15Z)/0:0)</t>
  </si>
  <si>
    <t>HMDB0011540</t>
  </si>
  <si>
    <t>[H]C(CO)(CO)OC(=O)CCCCCCC\C=C/C\C=C/C\C=C/CC</t>
  </si>
  <si>
    <t>ZCCLDKGWJIREQF-PDBXOOCHSA-N</t>
  </si>
  <si>
    <t>C21H36O4</t>
  </si>
  <si>
    <t>4.33_332.1473n</t>
  </si>
  <si>
    <t>1-P-Menthen-3-One</t>
  </si>
  <si>
    <t>HMDB0302750</t>
  </si>
  <si>
    <t>CC(C)C1CCC(C)=C\C1=N/NC1=C(C=C(C=C1)[N+]([O-])=O)[N+]([O-])=O</t>
  </si>
  <si>
    <t>DIJWSVXPJDGEIA-OBGWFSINSA-N</t>
  </si>
  <si>
    <t>C16H20N4O4</t>
  </si>
  <si>
    <t>3.97_467.1184m/z</t>
  </si>
  <si>
    <t>Glucodistylin</t>
  </si>
  <si>
    <t>HMDB0041597</t>
  </si>
  <si>
    <t>27297-45-6</t>
  </si>
  <si>
    <t>OCC1OC(OC2C(OC3=CC(O)=CC(O)=C3C2=O)C2=CC(O)=C(O)C=C2)C(O)C(O)C1O</t>
  </si>
  <si>
    <t>FVQOMEDMFUMIMO-UHFFFAOYSA-N</t>
  </si>
  <si>
    <t>C21H22O12</t>
  </si>
  <si>
    <t>5.86_374.1363n</t>
  </si>
  <si>
    <t>(-)-Wikstromol</t>
  </si>
  <si>
    <t>HMDB0030598</t>
  </si>
  <si>
    <t>C10725</t>
  </si>
  <si>
    <t>34444-37-6</t>
  </si>
  <si>
    <t>COC1=C(O)C=CC(CC2COC(=O)C2(O)CC2=CC(OC)=C(O)C=C2)=C1</t>
  </si>
  <si>
    <t>ZITBJWXLODLDRH-UHFFFAOYSA-N</t>
  </si>
  <si>
    <t>0.72_254.0997n</t>
  </si>
  <si>
    <t>Galactosylglycerol</t>
  </si>
  <si>
    <t>HMDB0006790</t>
  </si>
  <si>
    <t>C05401</t>
  </si>
  <si>
    <t>ko00052,ko00561</t>
  </si>
  <si>
    <t>Galactose metabolism|Glycerolipid metabolism</t>
  </si>
  <si>
    <t>OCC(O)CO[C@@H]1O[C@H](CO)[C@H](O)[C@H](O)[C@H]1O</t>
  </si>
  <si>
    <t>NHJUPBDCSOGIKX-VGPGGAHRSA-N</t>
  </si>
  <si>
    <t>C9H18O8</t>
  </si>
  <si>
    <t>4.33_371.1344m/z</t>
  </si>
  <si>
    <t>Loganoside</t>
  </si>
  <si>
    <t>HMDB0247827</t>
  </si>
  <si>
    <t>COC(=O)C1=COC(OC2OC(CO)C(O)C(O)C2O)C2C(C)C(O)CC12</t>
  </si>
  <si>
    <t>AMBQHHVBBHTQBF-UHFFFAOYSA-N</t>
  </si>
  <si>
    <t>C17H26O10</t>
  </si>
  <si>
    <t>7.14_834.3702m/z</t>
  </si>
  <si>
    <t>Cabazitaxel</t>
  </si>
  <si>
    <t>HMDB0015672</t>
  </si>
  <si>
    <t>183133-96-2</t>
  </si>
  <si>
    <t>[H][C@@](O)([C@@H](NC(=O)OC(C)(C)C)C1=CC=CC=C1)C(=O)O[C@@]1([H])C[C@@]2(O)[C@@]([H])(OC(=O)C3=CC=CC=C3)[C@]3([H])[C@@]4(CO[C@]4([H])C[C@]([H])(OC)[C@@]3(C)C(=O)[C@]([H])(OC)C(=C1C)C2(C)C)OC(C)=O</t>
  </si>
  <si>
    <t>BMQGVNUXMIRLCK-OAGWZNDDSA-N</t>
  </si>
  <si>
    <t>C45H57NO14</t>
  </si>
  <si>
    <t>9.49_269.2110m/z</t>
  </si>
  <si>
    <t>Berkeleylactone L</t>
  </si>
  <si>
    <t>LMFA07040172</t>
  </si>
  <si>
    <t>[C@@H]1(CCCCCCCCCC[C@@H](C)OC(=O)C=C1)O</t>
  </si>
  <si>
    <t>JVNFUDLQCWWEEB-WCVFXIOZSA-N</t>
  </si>
  <si>
    <t>C16H28O3</t>
  </si>
  <si>
    <t>1.31_254.1497m/z</t>
  </si>
  <si>
    <t>Alanylphenylalanine</t>
  </si>
  <si>
    <t>HMDB0028694</t>
  </si>
  <si>
    <t>3061-90-3</t>
  </si>
  <si>
    <t>C[C@H](N)C(=O)N[C@@H](CC1=CC=CC=C1)C(O)=O</t>
  </si>
  <si>
    <t>OMNVYXHOSHNURL-WPRPVWTQSA-N</t>
  </si>
  <si>
    <t>C12H16N2O3</t>
  </si>
  <si>
    <t>8.25_541.2792m/z</t>
  </si>
  <si>
    <t>Corchoroside B</t>
  </si>
  <si>
    <t>HMDB0030343</t>
  </si>
  <si>
    <t>35536-76-6</t>
  </si>
  <si>
    <t>CC1OC(OC2CCC3(C)C4CCC5(C)C(CCC5(O)C4CCC3=C2)C2=CC(=O)OC2)C(O)C(O)C1O</t>
  </si>
  <si>
    <t>QREPIJRHFLRVPB-UHFFFAOYSA-N</t>
  </si>
  <si>
    <t>C29H42O8</t>
  </si>
  <si>
    <t>0.72_257.1020n</t>
  </si>
  <si>
    <t>Glycerophosphocholine</t>
  </si>
  <si>
    <t>HMDB0000086</t>
  </si>
  <si>
    <t>C00670</t>
  </si>
  <si>
    <t>ko00564,ko00565,ko05231</t>
  </si>
  <si>
    <t>Glycerophospholipid metabolism|Ether lipid metabolism|Choline metabolism in cancer</t>
  </si>
  <si>
    <t>28319-77-9</t>
  </si>
  <si>
    <t>C[N+](C)(C)CCOP([O-])(=O)OC[C@H](O)CO</t>
  </si>
  <si>
    <t>SUHOQUVVVLNYQR-MRVPVSSYSA-N</t>
  </si>
  <si>
    <t>C8H20NO6P</t>
  </si>
  <si>
    <t>4.08_783.1874m/z</t>
  </si>
  <si>
    <t>Tiotropium</t>
  </si>
  <si>
    <t>HMDB0015479</t>
  </si>
  <si>
    <t>186691-13-4</t>
  </si>
  <si>
    <t>C[N+]1(C)[C@H]2CC(C[C@@H]1[C@@H]1O[C@H]21)OC(=O)C(O)(C1=CC=CS1)C1=CC=CS1</t>
  </si>
  <si>
    <t>LERNTVKEWCAPOY-KYQOMENCSA-N</t>
  </si>
  <si>
    <t>Oxazinanes</t>
  </si>
  <si>
    <t>Morpholines</t>
  </si>
  <si>
    <t>C19H22NO4S2+</t>
  </si>
  <si>
    <t>0.75_291.1296m/z</t>
  </si>
  <si>
    <t>Argininosuccinic Acid</t>
  </si>
  <si>
    <t>HMDB0000052</t>
  </si>
  <si>
    <t>C03406</t>
  </si>
  <si>
    <t>ko00220,ko00250</t>
  </si>
  <si>
    <t>Arginine biosynthesis|Alanine, aspartate and glutamate metabolism</t>
  </si>
  <si>
    <t>2387-71-5</t>
  </si>
  <si>
    <t>N[C@@H](CCCNC(=N)N[C@@H](CC(O)=O)C(O)=O)C(O)=O</t>
  </si>
  <si>
    <t>KDZOASGQNOPSCU-WDSKDSINSA-N</t>
  </si>
  <si>
    <t>C10H18N4O6</t>
  </si>
  <si>
    <t>6.42_696.3019m/z</t>
  </si>
  <si>
    <t>Rifamycin</t>
  </si>
  <si>
    <t>LMPK05000005</t>
  </si>
  <si>
    <t>C12044</t>
  </si>
  <si>
    <t>6998-60-3</t>
  </si>
  <si>
    <t>C1(=CC2NC(=O)C(=CC=C[C@H](C)[C@H](O)[C@@H](C)[C@@H](O)[C@@H](C)[C@H](OC(=O)C)[C@@H]([C@@H](OC)C=CO[C@]3(C)C(C4=C(C(C)=C(O)C(=C41)C=2O)O3)=O)C)C)O</t>
  </si>
  <si>
    <t>HJYYPODYNSCCOU-ODRIEIDWSA-N</t>
  </si>
  <si>
    <t>C37H47NO12</t>
  </si>
  <si>
    <t>4.85_654.1791n</t>
  </si>
  <si>
    <t>Spinacetin 3-Rutinoside</t>
  </si>
  <si>
    <t>HMDB0037470</t>
  </si>
  <si>
    <t>COC1=CC(=CC=C1O)C1=C(OC2OC(COC3OC(C)C(O)C(O)C3O)C(O)C(O)C2O)C(=O)C2=C(O1)C=C(O)C(OC)=C2O</t>
  </si>
  <si>
    <t>GYMVARJSAYZGSZ-UHFFFAOYSA-N</t>
  </si>
  <si>
    <t>C29H34O17</t>
  </si>
  <si>
    <t>5.79_685.3434m/z</t>
  </si>
  <si>
    <t>Butyl 3'-O-Acetyl-2'-O-Butanoyl-4,6,4'-Tri-O-(2-Methylpropanoyl)-Neohesperidoside</t>
  </si>
  <si>
    <t>LMSL05000007</t>
  </si>
  <si>
    <t>O(CCCC)[C@H]1[C@H](O[C@H]2[C@H](OC(CCC)=O)[C@H](OC(C)=O)[C@@H](OC(C(C)C)=O)[C@H](C)O2)[C@@H](O)[C@H](OC(C(C)C)=O)[C@@H](COC(C(C)C)=O)O1</t>
  </si>
  <si>
    <t>WXMKBABSBCDFIM-RIVFBRQSSA-N</t>
  </si>
  <si>
    <t>C34H56O15</t>
  </si>
  <si>
    <t>11.44_1009.5935m/z</t>
  </si>
  <si>
    <t>Pc(Dime(11,5)/Lte4)</t>
  </si>
  <si>
    <t>HMDB0289044</t>
  </si>
  <si>
    <t>CCCCC\C=C/C\C=C/C=C/C=C/[C@@H](SC[C@H](N)C(=O)O[C@H](COC(=O)CCCCCCCCCCC1=C(C)C(C)=C(CCCCC)O1)COP([O-])(=O)OCC[N+](C)(C)C)[C@@H](O)CCCC(O)=O</t>
  </si>
  <si>
    <t>SPDRPHSRVFUFMB-HTDQSCGBSA-N</t>
  </si>
  <si>
    <t>C53H91N2O12PS</t>
  </si>
  <si>
    <t>3.72_259.1152m/z</t>
  </si>
  <si>
    <t>8-Hydroxyacyclovir</t>
  </si>
  <si>
    <t>HMDB0247439</t>
  </si>
  <si>
    <t>NC1=NC2=C(NC(=O)N2COCCO)C(=O)N1</t>
  </si>
  <si>
    <t>PTSDSAPWOJZBNX-UHFFFAOYSA-N</t>
  </si>
  <si>
    <t>C8H11N5O4</t>
  </si>
  <si>
    <t>8.58_777.2324m/z</t>
  </si>
  <si>
    <t>Delphinidin 3-Lathyroside 5-Glucoside</t>
  </si>
  <si>
    <t>HMDB0037090</t>
  </si>
  <si>
    <t>OCC1OC(OC2=C3C=C(OC4OC(CO)C(O)C(O)C4OC4OCC(O)C(O)C4O)C(=[O+]C3=CC(O)=C2)C2=CC(O)=C(O)C(O)=C2)C(O)C(O)C1O</t>
  </si>
  <si>
    <t>SVKUZBZQDMYGEP-UHFFFAOYSA-O</t>
  </si>
  <si>
    <t>C32H39O21+</t>
  </si>
  <si>
    <t>4.52_279.1235m/z</t>
  </si>
  <si>
    <t>Dehydrooreadone</t>
  </si>
  <si>
    <t>HMDB0036046</t>
  </si>
  <si>
    <t>124869-07-4</t>
  </si>
  <si>
    <t>CC1(C)C=CC(=O)C2C3C(O)OCC3=CCC12</t>
  </si>
  <si>
    <t>RBUVATMDYDGAJH-UHFFFAOYSA-N</t>
  </si>
  <si>
    <t>C14H18O3</t>
  </si>
  <si>
    <t>5.27_371.1676m/z</t>
  </si>
  <si>
    <t>Foeniculoside Viii</t>
  </si>
  <si>
    <t>HMDB0033009</t>
  </si>
  <si>
    <t>219583-13-8</t>
  </si>
  <si>
    <t>CC1(C)OC2(C)C(O)CC1CC2OC1OC(CO)C(O)C(O)C1O</t>
  </si>
  <si>
    <t>YOOVLDBPAMVHGW-UHFFFAOYSA-N</t>
  </si>
  <si>
    <t>4.56_601.3062m/z</t>
  </si>
  <si>
    <t>4-[(4-Aminophenyl)(4-Iminocyclohexa-2,5-Dien-1-Ylidene)Methyl]-2-Methylaniline</t>
  </si>
  <si>
    <t>HMDB0252507</t>
  </si>
  <si>
    <t>CC1=CC(C=CC1=N)=C(C1=CC=C(N)C=C1)C1=CC=C(N)C=C1</t>
  </si>
  <si>
    <t>YDCMWLQSPFTWCS-UHFFFAOYSA-N</t>
  </si>
  <si>
    <t>C20H19N3</t>
  </si>
  <si>
    <t>5.26_393.1767m/z</t>
  </si>
  <si>
    <t>Nepetariaside</t>
  </si>
  <si>
    <t>HMDB0039014</t>
  </si>
  <si>
    <t>110344-61-1</t>
  </si>
  <si>
    <t>CC(COC1OC(CO)C(O)C(O)C1O)C1CCC(C)C1C(O)=O</t>
  </si>
  <si>
    <t>NCBSGBLITRBNGW-UHFFFAOYSA-N</t>
  </si>
  <si>
    <t>7.86_673.4165m/z</t>
  </si>
  <si>
    <t>Lysocellin</t>
  </si>
  <si>
    <t>HMDB0254269</t>
  </si>
  <si>
    <t>CCC(O)C1(CC)CC(C)C(O)(O1)C1(C)CC(C)C(O1)C(CC)C(=O)C(C)C(O)C(C)C1OC(CC(=O)OO)C(C)CC1C</t>
  </si>
  <si>
    <t>QYWGMFHIXAJJEG-UHFFFAOYSA-N</t>
  </si>
  <si>
    <t>C34H60O10</t>
  </si>
  <si>
    <t>5.15_1001.4557m/z</t>
  </si>
  <si>
    <t>PIP2(16:0/20:4(5Z,8Z,11Z,14Z))</t>
  </si>
  <si>
    <t>HMDB0010043</t>
  </si>
  <si>
    <t>CCCCCCCCCCCCCCCC(=O)OC[C@]([H])(COP(O)(=O)O[C@H]1C(O)C(O)C(OP(=O)(O)O)[C@@H](OP(=O)(O)O)C1O)OC(=O)CCC\C=C/C\C=C/C\C=C/C\C=C/CCCCC</t>
  </si>
  <si>
    <t>XEFOVXQFKRPNOF-LIMBFJNFSA-N</t>
  </si>
  <si>
    <t>C45H81O19P3</t>
  </si>
  <si>
    <t>7.61_493.2823n</t>
  </si>
  <si>
    <t>Cytochalasin H</t>
  </si>
  <si>
    <t>CC1CC=CC2C(C(=C)C(C3C2(C(C=CC(C1)(C)O)OC(=O)C)C(=O)NC3CC4=CC=CC=C4)C)O</t>
  </si>
  <si>
    <t>NAEWXXDGBKTIMN-LWYXIPTFSA-N</t>
  </si>
  <si>
    <t>C30H39NO5</t>
  </si>
  <si>
    <t>6.59_541.3377m/z</t>
  </si>
  <si>
    <t>Deferoxamine</t>
  </si>
  <si>
    <t>HMDB0014884</t>
  </si>
  <si>
    <t>LMFA08020169</t>
  </si>
  <si>
    <t>C06940</t>
  </si>
  <si>
    <t>70-51-9</t>
  </si>
  <si>
    <t>C(C(=O)N(O)CCCCCNC(CCC(=O)N(O)CCCCCN)=O)CC(=O)NCCCCCN(C(C)=O)O</t>
  </si>
  <si>
    <t>UBQYURCVBFRUQT-UHFFFAOYSA-N</t>
  </si>
  <si>
    <t>C25H48N6O8</t>
  </si>
  <si>
    <t>13.41_339.2890m/z</t>
  </si>
  <si>
    <t>Japanic Acid</t>
  </si>
  <si>
    <t>LMFA01170036</t>
  </si>
  <si>
    <t>C(CCCCCCCCCCCCCCCCCCCC(=O)O)(=O)O</t>
  </si>
  <si>
    <t>PWLXTFFHCFWCGG-UHFFFAOYSA-N</t>
  </si>
  <si>
    <t>C21H40O4</t>
  </si>
  <si>
    <t>12.38_379.1579m/z</t>
  </si>
  <si>
    <t>Ecabet</t>
  </si>
  <si>
    <t>HMDB0015613</t>
  </si>
  <si>
    <t>86408-72-2</t>
  </si>
  <si>
    <t>[H][C@@]12CCC3=CC(C(C)C)=C(C=C3[C@@]1(C)CCC[C@@]2(C)C(O)=O)S(O)(=O)=O</t>
  </si>
  <si>
    <t>IWCWQNVIUXZOMJ-MISYRCLQSA-N</t>
  </si>
  <si>
    <t>C20H28O5S</t>
  </si>
  <si>
    <t>14.11_981.5782m/z</t>
  </si>
  <si>
    <t>1,2-Di-(9z,12z,15z-Octadecatrienoyl)-3-(Galactosyl-Alpha-1-6-Galactosyl-Beta-1)-Glycerol</t>
  </si>
  <si>
    <t>HMDB0011127</t>
  </si>
  <si>
    <t>[H][C@](CO[C@@H]1O[C@H](CO[C@@H]2O[C@H](CO)[C@H](O)C(O)C2O)[C@H](O)C(O)C1O)(COC(=O)CCCCCCC\C=C/C\C=C/C\C=C/CC)OC(=O)CCCCCCC\C=C/C\C=C/C\C=C/CC</t>
  </si>
  <si>
    <t>KDYAPQVYJXUQNY-JTADZIJASA-N</t>
  </si>
  <si>
    <t>0.77_328.1365n</t>
  </si>
  <si>
    <t>7-Hydroxyolanzapine</t>
  </si>
  <si>
    <t>HMDB0060958</t>
  </si>
  <si>
    <t>CN1CCN(CC1)C1=NC2=C(NC3=C1C=C(C)S3)C=CC(O)=C2</t>
  </si>
  <si>
    <t>SMNUCABXNXAPBY-UHFFFAOYSA-N</t>
  </si>
  <si>
    <t>C17H20N4OS</t>
  </si>
  <si>
    <t>6.63_559.2180m/z</t>
  </si>
  <si>
    <t>Schisantherin B</t>
  </si>
  <si>
    <t>HMDB0258172</t>
  </si>
  <si>
    <t>COC1=CC2=C(C(OC)=C1OC)C1=C(OC)C3=C(OCO3)C=C1CC(C)C(C)(O)C2OC(=O)C(C)=CC</t>
  </si>
  <si>
    <t>BKGUPIVDQHHVMV-UHFFFAOYSA-N</t>
  </si>
  <si>
    <t>Tannins</t>
  </si>
  <si>
    <t>Hydrolyzable tannins</t>
  </si>
  <si>
    <t>4.04_637.1537m/z</t>
  </si>
  <si>
    <t>Okanin 4'-(4''-Acetyl-6''-P-Coumarylglucoside)</t>
  </si>
  <si>
    <t>LMPK12120159</t>
  </si>
  <si>
    <t>C1(O[C@H]2[C@H](O)[C@@H](O)[C@H](OC(C)=O)[C@@H](COC(/C=C/C3C=CC(O)=CC=3)=O)O2)C=CC(C(=O)/C=C/C2C=CC(O)=C(O)C=2)=C(O)C=1O</t>
  </si>
  <si>
    <t>WKVRKYAYLUKIBW-KNSAYTCFSA-N</t>
  </si>
  <si>
    <t>5.90_264.1359n</t>
  </si>
  <si>
    <t>(±)Abscisic Acid</t>
  </si>
  <si>
    <t>14375-45-2</t>
  </si>
  <si>
    <t>CC1=CC(=O)CC(C1(C=CC(=CC(=O)O)C)O)(C)C</t>
  </si>
  <si>
    <t>JLIDBLDQVAYHNE-LXGGSRJLSA-N</t>
  </si>
  <si>
    <t>C15H20O4</t>
  </si>
  <si>
    <t>3.41_315.1083m/z</t>
  </si>
  <si>
    <t>Hydroxytyrosol 1-O-Glucoside</t>
  </si>
  <si>
    <t>HMDB0041024</t>
  </si>
  <si>
    <t>76873-99-9</t>
  </si>
  <si>
    <t>OCC1OC(OCCC2=CC(O)=C(O)C=C2)C(O)C(O)C1O</t>
  </si>
  <si>
    <t>PQQITYGQJLPDFC-UHFFFAOYSA-N</t>
  </si>
  <si>
    <t>C14H20O8</t>
  </si>
  <si>
    <t>5.76_597.0139m/z</t>
  </si>
  <si>
    <t>Gossypetin 8-Glucuronide 3-Sulfate</t>
  </si>
  <si>
    <t>HMDB0037752</t>
  </si>
  <si>
    <t>81074-98-8</t>
  </si>
  <si>
    <t>OC1C(O)C(OC2=C(O)C=C(O)C3=C2OC(C2=CC(O)=C(O)C=C2)=C(OS(O)(=O)=O)C3=O)OC(C1O)C(O)=O</t>
  </si>
  <si>
    <t>HUZYIABAGFALTN-UHFFFAOYSA-N</t>
  </si>
  <si>
    <t>C21H18O17S</t>
  </si>
  <si>
    <t>0.78_412.0850n</t>
  </si>
  <si>
    <t>4-Amino-5-Methylamino-2',7'-Difluorescein</t>
  </si>
  <si>
    <t>HMDB0250828</t>
  </si>
  <si>
    <t>CNC1=C(N)C2=C(C=C1)C1(OC2=O)C2=CC(F)=C(O)C=C2OC2=CC(O)=C(F)C=C12</t>
  </si>
  <si>
    <t>DIJCILWNOLHJCG-UHFFFAOYSA-N</t>
  </si>
  <si>
    <t>C21H14F2N2O5</t>
  </si>
  <si>
    <t>6.78_252.1146n</t>
  </si>
  <si>
    <t>Hepps</t>
  </si>
  <si>
    <t>HMDB0253090</t>
  </si>
  <si>
    <t>OCCN1CCN(CCCS(O)(=O)=O)CC1</t>
  </si>
  <si>
    <t>OWXMKDGYPWMGEB-UHFFFAOYSA-N</t>
  </si>
  <si>
    <t>C9H20N2O4S</t>
  </si>
  <si>
    <t>11.25_365.2693m/z</t>
  </si>
  <si>
    <t>3a,20b-Pregnanediol</t>
  </si>
  <si>
    <t>HMDB0002156</t>
  </si>
  <si>
    <t>883879-68-3</t>
  </si>
  <si>
    <t>[H][C@@]12CC[C@H]([C@H](C)O)[C@@]1(C)CC[C@@]1([H])[C@@]2([H])CCC2C[C@H](O)CC[C@]12C</t>
  </si>
  <si>
    <t>YWYQTGBBEZQBGO-TUSLFBNQSA-N</t>
  </si>
  <si>
    <t>C21H36O2</t>
  </si>
  <si>
    <t>5.54_754.3060m/z</t>
  </si>
  <si>
    <t>Rifamycin B</t>
  </si>
  <si>
    <t>LMPK05000003</t>
  </si>
  <si>
    <t>C01848</t>
  </si>
  <si>
    <t>C12=C3C(=CC(=C1O)NC(=O)C(=CC=C[C@H](C)[C@H](O)[C@@H](C)[C@@H](O)[C@H]([C@H](OC(=O)C)[C@H](C)[C@@H](OC)C=CO[C@]1(C)C(C3=C(C(C)=C2O)O1)=O)C)C)OCC(=O)O</t>
  </si>
  <si>
    <t>SQTCRTQCPJICLD-KTQDUKAHSA-N</t>
  </si>
  <si>
    <t>C39H49NO14</t>
  </si>
  <si>
    <t>11.83_487.3392m/z</t>
  </si>
  <si>
    <t>Neomethymycin</t>
  </si>
  <si>
    <t>LMPK04000036</t>
  </si>
  <si>
    <t>C11995</t>
  </si>
  <si>
    <t>[C@@H]1([C@H](O)[C@H](C[C@@H](C)O1)N(C)C)O[C@@H]1[C@@H](C)C(=O)O[C@H]([C@H](O)C)[C@H](C)C=CC(=O)[C@H](C)C[C@@H]1C</t>
  </si>
  <si>
    <t>UEIVQYHYALXCBD-OTUJEKPESA-N</t>
  </si>
  <si>
    <t>C25H43NO7</t>
  </si>
  <si>
    <t>4.21_861.3863m/z</t>
  </si>
  <si>
    <t>Loquatifolin A</t>
  </si>
  <si>
    <t>HMDB0030434</t>
  </si>
  <si>
    <t>116174-69-7</t>
  </si>
  <si>
    <t>CC1OC(OCC2OC(OC(C)(CC\C=C(/C)CCC=C(C)C)C=C)C(O)C(O)C2OC2OC(C)C(OC3OC(C)C(O)C(O)C3O)C(O)C2O)C(O)C(O)C1O</t>
  </si>
  <si>
    <t>OJGRBKZBRBHZGE-NBVRZTHBSA-N</t>
  </si>
  <si>
    <t>C39H66O18</t>
  </si>
  <si>
    <t>10.01_892.3753m/z</t>
  </si>
  <si>
    <t>Neuromedin B (4-10)</t>
  </si>
  <si>
    <t>HMDB0013017</t>
  </si>
  <si>
    <t>CSCC[C@@H](NC(=O)[C@H](CC1=CC=CC=C1)NC(=O)[C@@H](CC1=CNC=N1)NC(=O)CNC(=O)[C@H](NC(=O)[C@@H](C)NC(=O)[C@H](N)CC1=CNC2=CC=CC=C12)[C@@H](C)O)C(O)=N</t>
  </si>
  <si>
    <t>MVOFLIKDVHKCBK-FVNKCRITSA-N</t>
  </si>
  <si>
    <t>C40H53N11O8S</t>
  </si>
  <si>
    <t>3.90_305.1238m/z</t>
  </si>
  <si>
    <t>Glycerol Tripropanoate</t>
  </si>
  <si>
    <t>HMDB0032857</t>
  </si>
  <si>
    <t>139-45-7</t>
  </si>
  <si>
    <t>CCC(=O)OCC(COC(=O)CC)OC(=O)CC</t>
  </si>
  <si>
    <t>YZWRNSARCRTXDS-UHFFFAOYSA-N</t>
  </si>
  <si>
    <t>Triradylcglycerols</t>
  </si>
  <si>
    <t>C12H20O6</t>
  </si>
  <si>
    <t>10.98_954.6293m/z</t>
  </si>
  <si>
    <t>MIPC(d18:0/18:0)</t>
  </si>
  <si>
    <t>LMSP03030061</t>
  </si>
  <si>
    <t>[C@](COP(=O)(O)O[C@H]1[C@H](O)[C@@H](O)[C@H](O)[C@@H](O)[C@H]1O[C@@H]1[C@@H](O)[C@@H](O)[C@H](O)[C@@H](CO)O1)([H])(NC(=O)CCCCCCCCCCCCCCCCC)[C@]([H])(O)CCCCCCCCCCCCCCC</t>
  </si>
  <si>
    <t>AOUZHUXBVMYZCY-FAHPNZRFSA-N</t>
  </si>
  <si>
    <t>C48H94NO16P</t>
  </si>
  <si>
    <t>4.23_177.0545m/z</t>
  </si>
  <si>
    <t>7-Hydroxy-6-Methyl-2h-1-Benzopyran-2-One</t>
  </si>
  <si>
    <t>HMDB0032990</t>
  </si>
  <si>
    <t>53811-56-6</t>
  </si>
  <si>
    <t>CC1=CC2=C(OC(=O)C=C2)C=C1O</t>
  </si>
  <si>
    <t>QWQWBHZHRMHXOC-UHFFFAOYSA-N</t>
  </si>
  <si>
    <t>Hydroxycoumarins</t>
  </si>
  <si>
    <t>C10H8O3</t>
  </si>
  <si>
    <t>5.28_755.3625m/z</t>
  </si>
  <si>
    <t>9-Fluorocortisone</t>
  </si>
  <si>
    <t>HMDB0247594</t>
  </si>
  <si>
    <t>CC12CC(=O)C3(F)C(CCC4=CC(=O)CCC34C)C1CCC2(O)C(=O)CO</t>
  </si>
  <si>
    <t>BHDHELFREODRJK-UHFFFAOYSA-N</t>
  </si>
  <si>
    <t>C21H27FO5</t>
  </si>
  <si>
    <t>5.25_494.2153n</t>
  </si>
  <si>
    <t>(8s,8'S)-Secoisolariciresinol 9-Xyloside</t>
  </si>
  <si>
    <t>HMDB0037084</t>
  </si>
  <si>
    <t>145213-58-7</t>
  </si>
  <si>
    <t>COC1=C(O)C=CC(CC(CO)C(COC2OCC(O)C(O)C2O)CC2=CC(OC)=C(O)C=C2)=C1</t>
  </si>
  <si>
    <t>KAXGCKCCFQIHTO-UHFFFAOYSA-N</t>
  </si>
  <si>
    <t>C25H34O10</t>
  </si>
  <si>
    <t>4.15_587.2707m/z</t>
  </si>
  <si>
    <t>Cortolone-3-Glucuronide</t>
  </si>
  <si>
    <t>HMDB0010320</t>
  </si>
  <si>
    <t>56162-46-0</t>
  </si>
  <si>
    <t>CC12CC(=O)C3C(CCC4CCC(CC34C)O[C@@H]3O[C@@H]([C@@H](O)[C@H](O)[C@H]3O)C(O)=O)C1CCC2(O)C(O)CO</t>
  </si>
  <si>
    <t>OKNSFVSKHQJVRN-XAYCFROHSA-N</t>
  </si>
  <si>
    <t>C27H42O11</t>
  </si>
  <si>
    <t>3.63_419.1524m/z</t>
  </si>
  <si>
    <t>1-(3-Methylbutanoyl)-6-Apiosylglucose</t>
  </si>
  <si>
    <t>HMDB0039953</t>
  </si>
  <si>
    <t>467242-31-5</t>
  </si>
  <si>
    <t>CC(C)CC(=O)OC1OC(COC2OCC(O)(CO)C2O)C(O)C(O)C1O</t>
  </si>
  <si>
    <t>ZIEQNJFDWXPCBV-UHFFFAOYSA-N</t>
  </si>
  <si>
    <t>C16H28O11</t>
  </si>
  <si>
    <t>0.54_164.1313n</t>
  </si>
  <si>
    <t>N,N,N',N'-Tetramethyl-P-Phenylenediamine</t>
  </si>
  <si>
    <t>HMDB0244279</t>
  </si>
  <si>
    <t>CN(C)C1=CC=C(C=C1)N(C)C</t>
  </si>
  <si>
    <t>CJAOGUFAAWZWNI-UHFFFAOYSA-N</t>
  </si>
  <si>
    <t>C10H16N2</t>
  </si>
  <si>
    <t>4.19_145.0276m/z</t>
  </si>
  <si>
    <t>Benzotrifluoride</t>
  </si>
  <si>
    <t>HMDB0249032</t>
  </si>
  <si>
    <t>FC(F)(F)C1=CC=CC=C1</t>
  </si>
  <si>
    <t>GETTZEONDQJALK-UHFFFAOYSA-N</t>
  </si>
  <si>
    <t>Trifluoromethylbenzenes</t>
  </si>
  <si>
    <t>C7H5F3</t>
  </si>
  <si>
    <t>1.06_204.1231m/z</t>
  </si>
  <si>
    <t>L-Acetylcarnitine</t>
  </si>
  <si>
    <t>HMDB0000201</t>
  </si>
  <si>
    <t>3040-38-8</t>
  </si>
  <si>
    <t>CC(=O)O[C@H](CC(O)=O)C[N+](C)(C)C</t>
  </si>
  <si>
    <t>RDHQFKQIGNGIED-MRVPVSSYSA-O</t>
  </si>
  <si>
    <t>C9H17NO4</t>
  </si>
  <si>
    <t>6.18_612.3532m/z</t>
  </si>
  <si>
    <t>Oob-Pg</t>
  </si>
  <si>
    <t>LMGP20060019</t>
  </si>
  <si>
    <t>[H][C@](O)(CO)COP(OC[C@]([H])(OC(CCC=O)=O)COC(CCCCCCC/C=C\CCCCCCCC)=O)(=O)O</t>
  </si>
  <si>
    <t>IKVMRKHEECFSMS-SYCADYHESA-N</t>
  </si>
  <si>
    <t>C28H51O11P</t>
  </si>
  <si>
    <t>9.85_753.4059m/z</t>
  </si>
  <si>
    <t>3-O-(Glcb)-6-O-(Glcb)-(25r)-5alpha-Spirostan-3beta,6alpha,23s-Triol</t>
  </si>
  <si>
    <t>LMST01080071</t>
  </si>
  <si>
    <t>O([C@H]1[C@H](O)[C@@H](O)[C@H](O)[C@@H](CO)O1)[C@@H]1C[C@]2([H])[C@@H](O[C@H]3[C@H](O)[C@@H](O)[C@H](O)[C@@H](CO)O3)C[C@@]3([H])[C@]4([H])C[C@@H]5O[C@]6([C@@H](C)[C@@H]5[C@@]4(C)CC[C@]3([H])[C@@]2(C)CC1)OC[C@H](C)C[C@@H]6O</t>
  </si>
  <si>
    <t>JLLFUINRPWOBGS-HDVFPQLBSA-N</t>
  </si>
  <si>
    <t>C39H64O15</t>
  </si>
  <si>
    <t>0.67_173.8793n</t>
  </si>
  <si>
    <t>Potassium Sulfate (K2so4)</t>
  </si>
  <si>
    <t>HMDB0303528</t>
  </si>
  <si>
    <t>C13192</t>
  </si>
  <si>
    <t>[K+].[K+].[O-]S([O-])(=O)=O</t>
  </si>
  <si>
    <t>OTYBMLCTZGSZBG-UHFFFAOYSA-L</t>
  </si>
  <si>
    <t>Alkali metal sulfates</t>
  </si>
  <si>
    <t>K2O4S</t>
  </si>
  <si>
    <t>4.26_511.1587m/z</t>
  </si>
  <si>
    <t>8-Prenylquercetin 4'-Methyl Ether 3-Rhamnoside</t>
  </si>
  <si>
    <t>LMPK12112404</t>
  </si>
  <si>
    <t>C1(O)=C(C/C=C(\C)/C)C2OC(C3C=C(O)C(OC)=CC=3)=C(O[C@H]3[C@H](O)[C@H](O)[C@@H](O)[C@H](C)O3)C(=O)C=2C(O)=C1</t>
  </si>
  <si>
    <t>MJCAZJRHCYZNAX-ABEYBZLDSA-N</t>
  </si>
  <si>
    <t>C27H30O11</t>
  </si>
  <si>
    <t>7.45_513.1763m/z</t>
  </si>
  <si>
    <t>Jangomolide</t>
  </si>
  <si>
    <t>HMDB0038158</t>
  </si>
  <si>
    <t>93767-25-0</t>
  </si>
  <si>
    <t>[H][C@]12OC(C)(C)C3CC(=O)[C@]4(C)C(CC[C@@]5(C)[C@@H](OC(=O)[C@H]6O[C@@]456)C4=COC=C4)[C@]13C=CC(=O)O2</t>
  </si>
  <si>
    <t>ZYPFSBYGJYBBBK-GLEICTKYSA-N</t>
  </si>
  <si>
    <t>C26H28O8</t>
  </si>
  <si>
    <t>5.49_379.1762m/z</t>
  </si>
  <si>
    <t>Ptaquiloside</t>
  </si>
  <si>
    <t>HMDB0242690</t>
  </si>
  <si>
    <t>CC1CC2(OC3OC(CO)C(O)C(O)C3O)C=C(C)C3(CC3)C(C)(O)C2C1=O</t>
  </si>
  <si>
    <t>GPHSJPVUEZFIDE-UHFFFAOYSA-N</t>
  </si>
  <si>
    <t>C20H30O8</t>
  </si>
  <si>
    <t>8.60_642.3623m/z</t>
  </si>
  <si>
    <t>PI(20:2(11Z,14Z)/0:0)</t>
  </si>
  <si>
    <t>LMGP06050020</t>
  </si>
  <si>
    <t>[C@]([H])(O)(COP(=O)(O)O[C@H]1[C@H](O)[C@@H](O)[C@H](O)[C@@H](O)[C@H]1O)COC(CCCCCCCCC/C=C\C/C=C\CCCCC)=O</t>
  </si>
  <si>
    <t>YXHJYKSYLCWEIZ-UCMCFWIYSA-N</t>
  </si>
  <si>
    <t>C29H53O12P</t>
  </si>
  <si>
    <t>4.83_691.1487m/z</t>
  </si>
  <si>
    <t>Apigenin 6-C-Glucosyl-7-O-(6-Malyl-Glucoside)</t>
  </si>
  <si>
    <t>LMPK12110316</t>
  </si>
  <si>
    <t>C1C(C2=CC(=O)C3C(O)=C([C@H]4[C@H](O)[C@@H](O)[C@H](O)[C@@H](CO)O4)C(O[C@H]4[C@H](O)[C@@H](O)[C@H](O)[C@@H](COC(CC(C(O)=O)O)=O)O4)=CC=3O2)=CC=C(O)C=1</t>
  </si>
  <si>
    <t>DQHONSTZNOARKJ-QNGLSYSOSA-N</t>
  </si>
  <si>
    <t>C31H34O19</t>
  </si>
  <si>
    <t>5.40_695.2883m/z</t>
  </si>
  <si>
    <t>Officinoterpenoside A2</t>
  </si>
  <si>
    <t>LMPR0104050020</t>
  </si>
  <si>
    <t>C1C[C@H](O[C@H]2[C@H](O)[C@@H](O)[C@H](O)[C@@H](CO)O2)[C@@](C)(C)[C@]2([H])CC(=O)C3=CC(CC(C)O)=C(O[C@H]4[C@H](O)[C@@H](O)[C@H](O)[C@@H](CO)O4)C(O)=C3[C@@]12C</t>
  </si>
  <si>
    <t>SDFTUBMKOBALJG-HUGGKZTASA-N</t>
  </si>
  <si>
    <t>3.68_409.1104m/z</t>
  </si>
  <si>
    <t>1-O-Sinapoylglucose</t>
  </si>
  <si>
    <t>HMDB0041175</t>
  </si>
  <si>
    <t>COC1=CC(\C=C\C(=O)OC2OC(CO)C(O)C(O)C2O)=CC(OC)=C1O</t>
  </si>
  <si>
    <t>XRKBRPFTFKKHEF-ONEGZZNKSA-N</t>
  </si>
  <si>
    <t>C17H22O10</t>
  </si>
  <si>
    <t>5.02_479.1194m/z</t>
  </si>
  <si>
    <t>Isosalipurposide</t>
  </si>
  <si>
    <t>LMPK12120250</t>
  </si>
  <si>
    <t>C1(O)C=C(O)C(C(=O)/C=C/C2C=CC(O)=CC=2)=C(OC2OC(CO)C(O)C(O)C2O)C=1</t>
  </si>
  <si>
    <t>WQCWELFQKXIPCN-ZZXKWVIFSA-N</t>
  </si>
  <si>
    <t>3.44_238.1073m/z</t>
  </si>
  <si>
    <t>Isoeugenitin</t>
  </si>
  <si>
    <t>HMDB0029473</t>
  </si>
  <si>
    <t>519-18-6</t>
  </si>
  <si>
    <t>COC1=C(C)C2=C(C(O)=C1)C(=O)C=C(C)O2</t>
  </si>
  <si>
    <t>DFAAYQHTFVTATL-UHFFFAOYSA-N</t>
  </si>
  <si>
    <t>C12H12O4</t>
  </si>
  <si>
    <t>11.19_563.3433m/z</t>
  </si>
  <si>
    <t>3-O-Alpha-L-Rhamnopyranosyl-3-Hydroxyundecanoyl-3-Hydroxydecanoic Acid</t>
  </si>
  <si>
    <t>LMFA13030012</t>
  </si>
  <si>
    <t>O([C@H]1[C@H](O)[C@H](O)[C@@H](O)[C@H](C)O1)C(CCCCCCCC)CC(=O)OC(CCCCCCC)CC(=O)O</t>
  </si>
  <si>
    <t>NGNCBDCGTXYZBV-ALOCDAIASA-N</t>
  </si>
  <si>
    <t>C27H50O9</t>
  </si>
  <si>
    <t>3.02_423.0587m/z</t>
  </si>
  <si>
    <t>3,4,5-Trihydroxy-6-({7-Oxo-7h-Furo[3,2-G]Chromen-4-Yl}Oxy)Oxane-2-Carboxylic Acid</t>
  </si>
  <si>
    <t>HMDB0129424</t>
  </si>
  <si>
    <t>OC1C(OC2=C3C=COC3=CC3=C2C=CC(=O)O3)OC(C(O)C1O)C(O)=O</t>
  </si>
  <si>
    <t>VLWJVRACXDFSKC-UHFFFAOYSA-N</t>
  </si>
  <si>
    <t>C17H14O10</t>
  </si>
  <si>
    <t>2.05_367.0643m/z</t>
  </si>
  <si>
    <t>L-Gamma-Glutamyl-S-Allylthio-L-Cysteine</t>
  </si>
  <si>
    <t>HMDB0038515</t>
  </si>
  <si>
    <t>NC(CCC(=O)NC(CSSCC=C)C(O)=O)C(O)=O</t>
  </si>
  <si>
    <t>VTEHWEWRSAXLHY-UHFFFAOYSA-N</t>
  </si>
  <si>
    <t>C11H18N2O5S2</t>
  </si>
  <si>
    <t>4.83_330.2193n</t>
  </si>
  <si>
    <t>2-[2-(4-Hydroxy-3-Methoxyphenyl)Ethyl]-5-Octylfuran</t>
  </si>
  <si>
    <t>HMDB0040928</t>
  </si>
  <si>
    <t>143114-92-5</t>
  </si>
  <si>
    <t>CCCCCCCCC1=CC=C(CCC2=CC(OC)=C(O)C=C2)O1</t>
  </si>
  <si>
    <t>LUISKKSBOJYGAL-UHFFFAOYSA-N</t>
  </si>
  <si>
    <t>C21H30O3</t>
  </si>
  <si>
    <t>3.73_465.1942m/z</t>
  </si>
  <si>
    <t>Darifenacin</t>
  </si>
  <si>
    <t>HMDB0014639</t>
  </si>
  <si>
    <t>133099-04-4</t>
  </si>
  <si>
    <t>NC(=O)C([C@@H]1CCN(CCC2=CC3=C(OCC3)C=C2)C1)(C1=CC=CC=C1)C1=CC=CC=C1</t>
  </si>
  <si>
    <t>HXGBXQDTNZMWGS-RUZDIDTESA-N</t>
  </si>
  <si>
    <t>C28H30N2O2</t>
  </si>
  <si>
    <t>0.78_326.0999n</t>
  </si>
  <si>
    <t>Bilobalide</t>
  </si>
  <si>
    <t>C07605</t>
  </si>
  <si>
    <t>33570-04-6</t>
  </si>
  <si>
    <t>CC(C)(C)C1(CC2C3(C14C(C(=O)OC4OC3=O)O)CC(=O)O2)O</t>
  </si>
  <si>
    <t>MOLPUWBMSBJXER-VXRVHOTLSA-N</t>
  </si>
  <si>
    <t>9.45_593.0426m/z</t>
  </si>
  <si>
    <t>Udp-4-Dehydro-6-Deoxy-D-Glucose</t>
  </si>
  <si>
    <t>HMDB0012300</t>
  </si>
  <si>
    <t>C04089</t>
  </si>
  <si>
    <t>ko00520</t>
  </si>
  <si>
    <t>Amino sugar and nucleotide sugar metabolism</t>
  </si>
  <si>
    <t>13094-28-5</t>
  </si>
  <si>
    <t>C[C@H]1O[C@H](OP(O)(=O)OP(O)(=O)OC[C@H]2O[C@H]([C@H](O)[C@@H]2O)N2C=CC(=O)NC2=O)[C@H](O)[C@@H](O)C1=O</t>
  </si>
  <si>
    <t>DDWGQQADOIMFOI-JPHISPRKSA-N</t>
  </si>
  <si>
    <t>C15H22N2O16P2</t>
  </si>
  <si>
    <t>9.50_358.2143n</t>
  </si>
  <si>
    <t>20-Epi-20-A4-Neurop</t>
  </si>
  <si>
    <t>LMFA04010451</t>
  </si>
  <si>
    <t>C(CC/C=C\C/C=C\C/C=C\C[C@H]1C(=O)C=C[C@H]1/C=C/[C@H](O)CC)(=O)O</t>
  </si>
  <si>
    <t>DLGHMOIPLKOVLU-TVCKGYJTSA-N</t>
  </si>
  <si>
    <t>7.43_682.3206m/z</t>
  </si>
  <si>
    <t>Phoha-Ps</t>
  </si>
  <si>
    <t>LMGP20040009</t>
  </si>
  <si>
    <t>C(O)(=O)[C@@]([H])(N)COP(OC[C@]([H])(OC(CCC(O)/C=C/C(=O)[H])=O)COC(CCCCCCCCCCCCCCC)=O)(=O)O</t>
  </si>
  <si>
    <t>VIJFPBAJWYVKSQ-WQVBGXLGSA-N</t>
  </si>
  <si>
    <t>1.42_509.1841m/z</t>
  </si>
  <si>
    <t>Stachyoside A</t>
  </si>
  <si>
    <t>HMDB0039092</t>
  </si>
  <si>
    <t>131862-10-7</t>
  </si>
  <si>
    <t>CC1(O)CC(O)C2(O)C=COC(OC3OC(COC4OC(CO)C(O)C(O)C4O)C(O)C(O)C3O)C12</t>
  </si>
  <si>
    <t>FQUORBSJLORVQE-UHFFFAOYSA-N</t>
  </si>
  <si>
    <t>C21H34O15</t>
  </si>
  <si>
    <t>5.32_543.2456m/z</t>
  </si>
  <si>
    <t>19-Hydroxycinnzeylanol 19-Glucoside</t>
  </si>
  <si>
    <t>HMDB0036856</t>
  </si>
  <si>
    <t>CC(COC1OC(CO)C(O)C(O)C1O)C1(O)CC2(O)C3(C)CC4(O)OC5(C(O)C(C)CCC35O)C2(O)C14C</t>
  </si>
  <si>
    <t>JDXUGCGESVBRHW-UHFFFAOYSA-N</t>
  </si>
  <si>
    <t>C26H42O13</t>
  </si>
  <si>
    <t>9.45_504.2536n</t>
  </si>
  <si>
    <t>Betamethasone 17,21-Dipropionate</t>
  </si>
  <si>
    <t>HMDB0249160</t>
  </si>
  <si>
    <t>CCC(=O)OCC(=O)C1(OC(=O)CC)C(C)CC2C3CCC4=CC(=O)C=CC4(C)C3(F)C(O)CC12C</t>
  </si>
  <si>
    <t>CIWBQSYVNNPZIQ-UHFFFAOYSA-N</t>
  </si>
  <si>
    <t>C28H37FO7</t>
  </si>
  <si>
    <t>1.33_359.0948m/z</t>
  </si>
  <si>
    <t>Enoxacin</t>
  </si>
  <si>
    <t>HMDB0014610</t>
  </si>
  <si>
    <t>C06979</t>
  </si>
  <si>
    <t>74011-58-8</t>
  </si>
  <si>
    <t>CCN1C=C(C(O)=O)C(=O)C2=CC(F)=C(N=C12)N1CCNCC1</t>
  </si>
  <si>
    <t>IDYZIJYBMGIQMJ-UHFFFAOYSA-N</t>
  </si>
  <si>
    <t>Naphthyridines</t>
  </si>
  <si>
    <t>C15H17FN4O3</t>
  </si>
  <si>
    <t>7.21_674.3292m/z</t>
  </si>
  <si>
    <t>Okodia-Ps</t>
  </si>
  <si>
    <t>LMGP20040030</t>
  </si>
  <si>
    <t>C(O)(=O)[C@@]([H])(N)COP(OC[C@]([H])(OC(CCCC(=O)/C=C/C(=O)O)=O)COC(CCCCCCC/C=C\CCCCCCCC)=O)(=O)O</t>
  </si>
  <si>
    <t>ZDJCOBZGDSYWKZ-DUGOBJRESA-N</t>
  </si>
  <si>
    <t>C32H54NO13P</t>
  </si>
  <si>
    <t>4.06_538.2046n</t>
  </si>
  <si>
    <t>Diosbulbinoside F</t>
  </si>
  <si>
    <t>HMDB0036783</t>
  </si>
  <si>
    <t>66756-58-9</t>
  </si>
  <si>
    <t>COC(=O)C1CC(O)CC2C1=C(CC1C(=O)OC(CC21C)C1=COC=C1)OC1OC(CO)C(O)C(O)C1O</t>
  </si>
  <si>
    <t>SVXOFPLAAYAGIG-UHFFFAOYSA-N</t>
  </si>
  <si>
    <t>3.50_609.1250m/z</t>
  </si>
  <si>
    <t>Kaempferol 3-(2''-(E)-P-Coumaroyl-Alpha-L-Arabinofuranoside)</t>
  </si>
  <si>
    <t>LMPK12111937</t>
  </si>
  <si>
    <t>C1C=C(O)C=CC=1C1=C(O[C@@H]2O[C@@H](CO)C(O)[C@@H]2OC(/C=C/C2C=CC(O)=CC=2)=O)C(=O)C2C(O)=CC(O)=CC=2O1</t>
  </si>
  <si>
    <t>FMIKFIFUIPULCE-VIFAQCBUSA-N</t>
  </si>
  <si>
    <t>C29H24O12</t>
  </si>
  <si>
    <t>10.47_508.3268m/z</t>
  </si>
  <si>
    <t>Macrocarpal I</t>
  </si>
  <si>
    <t>HMDB0041587</t>
  </si>
  <si>
    <t>179388-54-6</t>
  </si>
  <si>
    <t>CC(C)CC(C1CCC(C)(O)C2CC(CCC12C)C(C)(C)O)C1=C(O)C(C=O)=C(O)C(C=O)=C1O</t>
  </si>
  <si>
    <t>PXQFFMATXFLUPK-UHFFFAOYSA-N</t>
  </si>
  <si>
    <t>C28H42O7</t>
  </si>
  <si>
    <t>3.68_403.1364m/z</t>
  </si>
  <si>
    <t>Nobiletin</t>
  </si>
  <si>
    <t>HMDB0029540</t>
  </si>
  <si>
    <t>LMPK12111468</t>
  </si>
  <si>
    <t>C10112</t>
  </si>
  <si>
    <t>478-01-3</t>
  </si>
  <si>
    <t>C1(OC)=C(OC)C2OC(C3C=CC(OC)=C(OC)C=3)=CC(=O)C=2C(OC)=C1OC</t>
  </si>
  <si>
    <t>MRIAQLRQZPPODS-UHFFFAOYSA-N</t>
  </si>
  <si>
    <t>C21H22O8</t>
  </si>
  <si>
    <t>5.07_251.0547m/z</t>
  </si>
  <si>
    <t>Glycyl-Histidine</t>
  </si>
  <si>
    <t>HMDB0028843</t>
  </si>
  <si>
    <t>NCC(=O)NC(CC1=CN=CN1)C(O)=O</t>
  </si>
  <si>
    <t>YIWFXZNIBQBFHR-UHFFFAOYSA-N</t>
  </si>
  <si>
    <t>C8H12N4O3</t>
  </si>
  <si>
    <t>3.73_371.0982m/z</t>
  </si>
  <si>
    <t>1-O-P-Coumaroyl-Beta-D-Glucose</t>
  </si>
  <si>
    <t>HMDB0036936</t>
  </si>
  <si>
    <t>7139-64-2</t>
  </si>
  <si>
    <t>OCC1OC(OC(=O)\C=C\C2=CC=C(O)C=C2)C(O)C(O)C1O</t>
  </si>
  <si>
    <t>DSNCQKUYZOSARM-ZZXKWVIFSA-N</t>
  </si>
  <si>
    <t>11.04_563.3944m/z</t>
  </si>
  <si>
    <t>DG(10:0/PGE2/0:0)</t>
  </si>
  <si>
    <t>HMDB0294453</t>
  </si>
  <si>
    <t>CCCCCCCCCC(=O)OC[C@H](CO)OC(=O)CCC\C=C/C[C@@H]1[C@@H](\C=C\[C@@H](O)CCCCC)[C@H](O)CC1=O</t>
  </si>
  <si>
    <t>LGFOPWUOZJXFBH-XLNBGRAHSA-N</t>
  </si>
  <si>
    <t>C33H56O8</t>
  </si>
  <si>
    <t>9.69_587.2823m/z</t>
  </si>
  <si>
    <t>Macrolactin B</t>
  </si>
  <si>
    <t>LMFA07040105</t>
  </si>
  <si>
    <t>C1=CC[C@H](O)C[C@@H](O)C=CC=CCCC[C@@H](C)OC(=O)C=CC=CC[C@H](O[C@H]2[C@H](O)[C@@H](O)[C@H](O)[C@@H](CO)O2)C=C1</t>
  </si>
  <si>
    <t>NDMBRILKNZCXKI-CYTLDYNZSA-N</t>
  </si>
  <si>
    <t>C30H44O10</t>
  </si>
  <si>
    <t>3.60_467.2130m/z</t>
  </si>
  <si>
    <t>1-Octen-3-Yl Primeveroside</t>
  </si>
  <si>
    <t>HMDB0032960</t>
  </si>
  <si>
    <t>LMFA13010064</t>
  </si>
  <si>
    <t>209863-01-4</t>
  </si>
  <si>
    <t>C=CC(OC1C(O)C(O)C(O)C(COC2C(O)C(O)C(O)CO2)O1)CCCCC</t>
  </si>
  <si>
    <t>VXNMHZVTDWLWRX-UHFFFAOYSA-N</t>
  </si>
  <si>
    <t>C19H34O10</t>
  </si>
  <si>
    <t>3.68_353.0841m/z</t>
  </si>
  <si>
    <t>Vanilloyl Glucose</t>
  </si>
  <si>
    <t>HMDB0302470</t>
  </si>
  <si>
    <t>C20470</t>
  </si>
  <si>
    <t>[H][C@]1(CO)O[C@@]([H])(OC(=O)C2=CC(OC)=C(O)C=C2)[C@]([H])(O)[C@@]([H])(O)[C@]1([H])O</t>
  </si>
  <si>
    <t>YROOZUQRTLHXIO-DIACKHNESA-N</t>
  </si>
  <si>
    <t>4.21_496.1581n</t>
  </si>
  <si>
    <t>Oxypaeoniflorin</t>
  </si>
  <si>
    <t>HMDB0256018</t>
  </si>
  <si>
    <t>CC12CC3(O)OC(O1)C1(COC(=O)C4=CC=C(O)C=C4)C3CC21OC1OC(CO)C(O)C(O)C1O</t>
  </si>
  <si>
    <t>FCHVXNVDFYXLIL-UHFFFAOYSA-N</t>
  </si>
  <si>
    <t>5.74_793.4547n</t>
  </si>
  <si>
    <t>PS(14:1(9Z)/22:6(5Z,7Z,10Z,13Z,16Z,19Z)-OH(4))</t>
  </si>
  <si>
    <t>HMDB0280978</t>
  </si>
  <si>
    <t>[H][C@@](COC(=O)CCCCCCC\C=C/CCCC)(COP(O)(=O)OC[C@H](N)C(O)=O)OC(=O)CCC(O)\C=C/C=C\C\C=C/C\C=C/C\C=C/C\C=C/CC</t>
  </si>
  <si>
    <t>ROUBBSJHSJYANS-JUWGCSJYSA-N</t>
  </si>
  <si>
    <t>C42H68NO11P</t>
  </si>
  <si>
    <t>6.52_719.2532m/z</t>
  </si>
  <si>
    <t>Azadirachtin</t>
  </si>
  <si>
    <t>HMDB0248760</t>
  </si>
  <si>
    <t>COC(=O)C1(O)OCC23C4C(OCC4(C(CC2OC(=O)C(C)=CC)OC(C)=O)C(=O)OC)C(O)C(C)(C13)C12OC1(C)C1CC2OC2OC=CC12O</t>
  </si>
  <si>
    <t>FTNJWQUOZFUQQJ-UHFFFAOYSA-N</t>
  </si>
  <si>
    <t>C35H44O16</t>
  </si>
  <si>
    <t>11.02_360.2146n</t>
  </si>
  <si>
    <t>Tributyl Citrate</t>
  </si>
  <si>
    <t>CCCCOC(=O)CC(CC(=O)OCCCC)(C(=O)OCCCC)O</t>
  </si>
  <si>
    <t>ZFOZVQLOBQUTQQ-UHFFFAOYSA-N</t>
  </si>
  <si>
    <t>C18H32O7</t>
  </si>
  <si>
    <t>1.15_136.0757m/z</t>
  </si>
  <si>
    <t>2-Phenylacetamide</t>
  </si>
  <si>
    <t>HMDB0010715</t>
  </si>
  <si>
    <t>C02505</t>
  </si>
  <si>
    <t>ko00360,ko00643</t>
  </si>
  <si>
    <t>Phenylalanine metabolism|Styrene degradation</t>
  </si>
  <si>
    <t>103-81-1</t>
  </si>
  <si>
    <t>NC(=O)CC1=CC=CC=C1</t>
  </si>
  <si>
    <t>LSBDFXRDZJMBSC-UHFFFAOYSA-N</t>
  </si>
  <si>
    <t>C8H9NO</t>
  </si>
  <si>
    <t>5.87_650.3306m/z</t>
  </si>
  <si>
    <t>Casokefamide</t>
  </si>
  <si>
    <t>HMDB0249695</t>
  </si>
  <si>
    <t>CC(NC(=O)C(N)CC1=CC=C(O)C=C1)C(=O)NC(CC1=CC=CC=C1)C(=O)NC(C)C(=O)NC(CC1=CC=C(O)C=C1)C(N)=O</t>
  </si>
  <si>
    <t>XDRHVZLDLNGKLM-UHFFFAOYSA-N</t>
  </si>
  <si>
    <t>C33H40N6O7</t>
  </si>
  <si>
    <t>0.74_289.0321m/z</t>
  </si>
  <si>
    <t>D-Sedoheptulose 7-Phosphate</t>
  </si>
  <si>
    <t>HMDB0001068</t>
  </si>
  <si>
    <t>C05382</t>
  </si>
  <si>
    <t>ko00030,ko00540,ko00710</t>
  </si>
  <si>
    <t>Pentose phosphate pathway|Lipopolysaccharide biosynthesis|Carbon fixation in photosynthetic organisms</t>
  </si>
  <si>
    <t>89927-08-2</t>
  </si>
  <si>
    <t>OC[C@]1(O)O[C@H](COP(O)(O)=O)[C@@H](O)[C@@H](O)[C@@H]1O</t>
  </si>
  <si>
    <t>CBIDVWSRUUODHL-OVHBTUCOSA-N</t>
  </si>
  <si>
    <t>C7H15O10P</t>
  </si>
  <si>
    <t>1.32_400.9444m/z</t>
  </si>
  <si>
    <t>Cysteine-S-Sulfate</t>
  </si>
  <si>
    <t>HMDB0000731</t>
  </si>
  <si>
    <t>C05824</t>
  </si>
  <si>
    <t>ko00270</t>
  </si>
  <si>
    <t>Cysteine and methionine metabolism</t>
  </si>
  <si>
    <t>1637-71-4</t>
  </si>
  <si>
    <t>N[C@@H](CSS(O)(=O)=O)C(O)=O</t>
  </si>
  <si>
    <t>NOKPBJYHPHHWAN-REOHCLBHSA-N</t>
  </si>
  <si>
    <t>C3H7NO5S2</t>
  </si>
  <si>
    <t>10.95_507.2724m/z</t>
  </si>
  <si>
    <t>PG(18:2(9Z,12Z)/0:0)</t>
  </si>
  <si>
    <t>HMDB0240600</t>
  </si>
  <si>
    <t>LMGP04050014</t>
  </si>
  <si>
    <t>2093174-30-0</t>
  </si>
  <si>
    <t>[H][C@](O)(CO)COP(OC[C@]([H])(O)COC(CCCCCCC/C=C\C/C=C\CCCCC)=O)(=O)O</t>
  </si>
  <si>
    <t>VEEHTGYBVMTAAF-RFFZIGDUSA-N</t>
  </si>
  <si>
    <t>C24H45O9P</t>
  </si>
  <si>
    <t>14.58_736.5327m/z</t>
  </si>
  <si>
    <t>Cerebroside E</t>
  </si>
  <si>
    <t>LMSP05010102</t>
  </si>
  <si>
    <t>C([C@H](NC([C@H](O)CCCCCCCCCCCCCCCC)=O)[C@H](O)/C=C/CC/C=C(\C)/CCCCCC)O[C@H]1[C@H](O)[C@@H](O)[C@H](O)[C@@H](CO)O1</t>
  </si>
  <si>
    <t>DNLCQLXPBPKXTD-UGYAIEHASA-N</t>
  </si>
  <si>
    <t>6.31_677.3288m/z</t>
  </si>
  <si>
    <t>PA(8:0/PGE2)</t>
  </si>
  <si>
    <t>HMDB0266611</t>
  </si>
  <si>
    <t>CCCCCCCC(=O)OC[C@H](COP(O)(O)=O)OC(=O)CCC\C=C/C[C@@H]1[C@@H](\C=C\[C@@H](O)CCCCC)[C@H](O)CC1=O</t>
  </si>
  <si>
    <t>ATMVJZDMAZGNGP-KOOIKMNESA-N</t>
  </si>
  <si>
    <t>C31H53O11P</t>
  </si>
  <si>
    <t>4.65_314.1732n</t>
  </si>
  <si>
    <t>(-)-Trans-Carveol Glucoside</t>
  </si>
  <si>
    <t>HMDB0029848</t>
  </si>
  <si>
    <t>113349-30-7</t>
  </si>
  <si>
    <t>CC(=C)[C@@H]1CC=C(C)[C@H](C1)O[C@@H]1O[C@H](CO)[C@@H](O)[C@H](O)[C@H]1O</t>
  </si>
  <si>
    <t>IPOIBBMZOXJYFV-RMPHEQRESA-N</t>
  </si>
  <si>
    <t>C16H26O6</t>
  </si>
  <si>
    <t>3.86_361.1139m/z</t>
  </si>
  <si>
    <t>Hydroxytyrosol 4'-O-Glucoside</t>
  </si>
  <si>
    <t>HMDB0303789</t>
  </si>
  <si>
    <t>OCCC1=CC(O)=C(OC2OC(CO)C(O)C(O)C2O)C=C1</t>
  </si>
  <si>
    <t>JVOQYXVFJHETKK-UHFFFAOYSA-N</t>
  </si>
  <si>
    <t>9.39_310.2142n</t>
  </si>
  <si>
    <t>13s-Hpotre</t>
  </si>
  <si>
    <t>HMDB0301803</t>
  </si>
  <si>
    <t>LMFA02000052</t>
  </si>
  <si>
    <t>C04785</t>
  </si>
  <si>
    <t>67597-26-6</t>
  </si>
  <si>
    <t>C(CCCCCCC/C=C\C=C\[C@@H](OO)C/C=C\CC)(=O)O</t>
  </si>
  <si>
    <t>UYQGVDXDXBAABN-FQSPHKRJSA-N</t>
  </si>
  <si>
    <t>3.53_498.1350n</t>
  </si>
  <si>
    <t>Verproside</t>
  </si>
  <si>
    <t>HMDB0259794</t>
  </si>
  <si>
    <t>OCC1OC(OC2OC=CC3C(OC(=O)C4=CC=C(O)C(O)=C4)C4OC4(CO)C23)C(O)C(O)C1O</t>
  </si>
  <si>
    <t>DBUOUVZMYWYRRI-UHFFFAOYSA-N</t>
  </si>
  <si>
    <t>C22H26O13</t>
  </si>
  <si>
    <t>4.67_597.1621m/z</t>
  </si>
  <si>
    <t>8-Hydroxyguanosine</t>
  </si>
  <si>
    <t>HMDB0002044</t>
  </si>
  <si>
    <t>3868-31-3</t>
  </si>
  <si>
    <t>NC1=NC2=C(NC(=O)N2[C@@H]2O[C@H](CO)[C@@H](O)[C@H]2O)C(=O)N1</t>
  </si>
  <si>
    <t>FPGSEBKFEJEOSA-UMMCILCDSA-N</t>
  </si>
  <si>
    <t>C10H13N5O6</t>
  </si>
  <si>
    <t>11.78_1001.5619m/z</t>
  </si>
  <si>
    <t>PI(22:4(10Z,13Z,16Z,19Z)/6 keto-PGF1alpha)</t>
  </si>
  <si>
    <t>HMDB0277926</t>
  </si>
  <si>
    <t>CCCCC[C@H](O)\C=C\[C@H]1[C@H](O)C[C@H](O)[C@@H]2CC(=O)CCCCC(=O)O[C@H](COC(=O)CCCCCCCC\C=C/C\C=C/C\C=C/C\C=C/CC)COP(O)(=O)O[C@@H]([C@H](O)[C@@H](O)[C@@H]2O)[C@H](O)[C@@H]1O</t>
  </si>
  <si>
    <t>SZOHGVZWYSBNJM-BKZFKKFMSA-N</t>
  </si>
  <si>
    <t>C51H85O17P</t>
  </si>
  <si>
    <t>8.50_601.2652m/z</t>
  </si>
  <si>
    <t>17-F2t-Dihomo-Isop</t>
  </si>
  <si>
    <t>LMFA03110347</t>
  </si>
  <si>
    <t>C(CCCCC/C=C\C[C@@H]1[C@@H](O)C[C@@H](O)[C@@H]1/C=C/[C@@H](O)CCCCC)(=O)O</t>
  </si>
  <si>
    <t>ZCTAOAWRUXSOQF-HZVKQALWSA-N</t>
  </si>
  <si>
    <t>C32H42O11</t>
  </si>
  <si>
    <t>4.35_707.2162m/z</t>
  </si>
  <si>
    <t>Arillanin A</t>
  </si>
  <si>
    <t>COC1=CC(=CC(=C1O)OC)C=CC(=O)OCC2C(C(C(C(O2)OC3(C(C(C(O3)CO)O)OC(=O)C=CC4=CC(=C(C=C4)O)OC)CO)O)O)O</t>
  </si>
  <si>
    <t>JCMNMSBSJUUDKQ-CHQRVIDVSA-N</t>
  </si>
  <si>
    <t>C33H40O18</t>
  </si>
  <si>
    <t>5.12_479.2129m/z</t>
  </si>
  <si>
    <t>4,5-Dihydro-Drospirenone-3-Sulfate</t>
  </si>
  <si>
    <t>HMDB0061126</t>
  </si>
  <si>
    <t>C[C@]12CCC3C([C@H]4C[C@H]4C4CC(CC[C@]34C)S(O)(=O)=O)C1[C@@H]1C[C@@H]1C21CCC(=O)O1</t>
  </si>
  <si>
    <t>ZHIWICDXDMTIEM-AAQOLUSRSA-N</t>
  </si>
  <si>
    <t>C24H34O5S</t>
  </si>
  <si>
    <t>0.78_173.0688n</t>
  </si>
  <si>
    <t>(1r,3r)-1-Aminocyclopentane-1,3-Dicarboxylic Acid</t>
  </si>
  <si>
    <t>HMDB0242328</t>
  </si>
  <si>
    <t>NC1(CCC(C1)C(O)=O)C(O)=O</t>
  </si>
  <si>
    <t>YFYNOWXBIBKGHB-UHFFFAOYSA-N</t>
  </si>
  <si>
    <t>C7H11NO4</t>
  </si>
  <si>
    <t>4.58_511.2396m/z</t>
  </si>
  <si>
    <t>Glas#10</t>
  </si>
  <si>
    <t>LMFA13040104</t>
  </si>
  <si>
    <t>O([C@@H](CCCCCCC(=O)O[C@H]1[C@H](O)[C@@H](O)[C@H](O)[C@@H](CO)O1)C)[C@H]1[C@H](O)C[C@@H](O)[C@H](C)O1</t>
  </si>
  <si>
    <t>FIYJWCMYTJADRF-WCKPANRMSA-N</t>
  </si>
  <si>
    <t>C21H38O11</t>
  </si>
  <si>
    <t>9.69_956.2849m/z</t>
  </si>
  <si>
    <t>Cis-Tetradec-5-Enoyl-Coa</t>
  </si>
  <si>
    <t>HMDB0062426</t>
  </si>
  <si>
    <t>LMFA07050305</t>
  </si>
  <si>
    <t>[C@@H]1([C@H](O)[C@H](OP(=O)(O)O)[C@@H](COP(O)(=O)OP(O)(=O)OCC(C)([C@@H](O)C(=O)NCCC(=O)NCCSC(=O)CCC/C=C\CCCCCCCC)C)O1)N1C=NC2C(N)=NC=NC1=2</t>
  </si>
  <si>
    <t>MRVDZOHJMLTLHJ-STFCKWFXSA-N</t>
  </si>
  <si>
    <t>Fatty acyl thioesters</t>
  </si>
  <si>
    <t>C35H60N7O17P3S</t>
  </si>
  <si>
    <t>5.17_582.1827m/z</t>
  </si>
  <si>
    <t>4-Demethylsimmondsin 2'-(E)-Ferulate</t>
  </si>
  <si>
    <t>HMDB0034773</t>
  </si>
  <si>
    <t>162290-38-2</t>
  </si>
  <si>
    <t>COC1C(O)CC(OC2OC(CO)C(O)C(O)C2OC(=O)\C=C\C2=CC(OC)=C(O)C=C2)\C(=C\C#N)C1O</t>
  </si>
  <si>
    <t>KZBHGKPXLHDZDW-VKIZFATHSA-N</t>
  </si>
  <si>
    <t>C25H31NO12</t>
  </si>
  <si>
    <t>9.31_768.4306m/z</t>
  </si>
  <si>
    <t>Butyloxycarbonyl-Phenylalanyl-Leucyl-Phenylalanyl-Leucyl-Phenylalanine</t>
  </si>
  <si>
    <t>HMDB0247179</t>
  </si>
  <si>
    <t>CC(C)CC(NC(=O)C(CC1=CC=CC=C1)NC(=O)C(CC(C)C)NC(=O)C(CC1=CC=CC=C1)NC(=O)OC(C)(C)C)C(=O)NC(CC1=CC=CC=C1)C(O)=O</t>
  </si>
  <si>
    <t>NGNZQSPFQJCBJQ-UHFFFAOYSA-N</t>
  </si>
  <si>
    <t>C44H59N5O8</t>
  </si>
  <si>
    <t>4.63_481.2649m/z</t>
  </si>
  <si>
    <t>(R)-1-O-[B-D-Apiofuranosyl-(1-&gt;2)-B-D-Glucopyranoside]-1,3-Octanediol</t>
  </si>
  <si>
    <t>HMDB0032798</t>
  </si>
  <si>
    <t>CCCCCC(O)CCOC1OC(CO)C(C)C(O)C1OC1OCC(C)(CO)C1O</t>
  </si>
  <si>
    <t>WKMBZTIVAJAWBA-UHFFFAOYSA-N</t>
  </si>
  <si>
    <t>C21H40O9</t>
  </si>
  <si>
    <t>1.09_288.0842n</t>
  </si>
  <si>
    <t>Phlorin</t>
  </si>
  <si>
    <t>HMDB0035589</t>
  </si>
  <si>
    <t>28217-60-9</t>
  </si>
  <si>
    <t>OCC1OC(OC2=CC(O)=CC(O)=C2)C(O)C(O)C1O</t>
  </si>
  <si>
    <t>WXTPOHDTGNYFSB-UHFFFAOYSA-N</t>
  </si>
  <si>
    <t>10.26_875.4750m/z</t>
  </si>
  <si>
    <t>Soyasaponin Gamma-A</t>
  </si>
  <si>
    <t>HMDB0302656</t>
  </si>
  <si>
    <t>CC1=C(O)C(=O)CC(OC2CC(C)(C)CC3C4=CCC5C6(C)CCC(OC7OC(C(O)C(O)C7OC7OCC(O)C(O)C7O)C(O)=O)C(C)(CO)C6CCC5(C)C4(C)CCC23C)O1</t>
  </si>
  <si>
    <t>BJSYIEDSMIGNCZ-UHFFFAOYSA-N</t>
  </si>
  <si>
    <t>C47H72O16</t>
  </si>
  <si>
    <t>5.41_572.2859m/z</t>
  </si>
  <si>
    <t>Benzoylhypaconine</t>
  </si>
  <si>
    <t>HMDB0249052</t>
  </si>
  <si>
    <t>COCC12CCC(OC)C34C5CC6(O)C(OC(=O)C7=CC=CC=C7)C5C(O)(C(C(OC)C13)C4N(C)C2)C(O)C6OC</t>
  </si>
  <si>
    <t>MDFCJNFOINXVSU-UHFFFAOYSA-N</t>
  </si>
  <si>
    <t>C31H43NO9</t>
  </si>
  <si>
    <t>7.90_583.2550m/z</t>
  </si>
  <si>
    <t>Lumirubin</t>
  </si>
  <si>
    <t>HMDB0254205</t>
  </si>
  <si>
    <t>CC1C(=O)NC2=CC3=NC(CC4=C(CCC(O)=O)C(C)=C(N4)C=C4NC(=O)C(C=C)=C4C)=C(CCC(O)=O)C3(C)CC=C12</t>
  </si>
  <si>
    <t>BYVDUQYJIIPFIB-UHFFFAOYSA-N</t>
  </si>
  <si>
    <t>C33H36N4O6</t>
  </si>
  <si>
    <t>9.92_649.2762m/z</t>
  </si>
  <si>
    <t>1-(4-Aminophenyl)-7,8-Dimethoxy-3-Methyl-5h-2,3-Benzodiazepin-4-One</t>
  </si>
  <si>
    <t>HMDB0249843</t>
  </si>
  <si>
    <t>COC1=C(OC)C=C2C(CC(=O)N(C)N=C2C2=CC=C(N)C=C2)=C1</t>
  </si>
  <si>
    <t>GDTSALVRCCQVSC-UHFFFAOYSA-N</t>
  </si>
  <si>
    <t>C18H19N3O3</t>
  </si>
  <si>
    <t>4.09_271.1157m/z</t>
  </si>
  <si>
    <t>Prenyl Glucoside</t>
  </si>
  <si>
    <t>HMDB0031876</t>
  </si>
  <si>
    <t>C09808</t>
  </si>
  <si>
    <t>117861-55-9</t>
  </si>
  <si>
    <t>CC(C)=CCOC1OC(CO)C(O)C(O)C1O</t>
  </si>
  <si>
    <t>GQJQCKUJCHMTNF-UHFFFAOYSA-N</t>
  </si>
  <si>
    <t>C11H20O6</t>
  </si>
  <si>
    <t>14.86_668.5448m/z</t>
  </si>
  <si>
    <t>DG(16:0/20:3(8Z,11Z,14Z)-2OH(5,6)/0:0)</t>
  </si>
  <si>
    <t>HMDB0295483</t>
  </si>
  <si>
    <t>CCCCCCCCCCCCCCCC(=O)OC[C@H](CO)OC(=O)CCCC(O)C(O)C\C=C/C\C=C/C\C=C/CCCCC</t>
  </si>
  <si>
    <t>NHXQLISOBNUSAD-RDDWJWQISA-N</t>
  </si>
  <si>
    <t>C39H70O7</t>
  </si>
  <si>
    <t>10.00_466.3163m/z</t>
  </si>
  <si>
    <t>Glycocholic Acid</t>
  </si>
  <si>
    <t>HMDB0000138</t>
  </si>
  <si>
    <t>LMST05030001</t>
  </si>
  <si>
    <t>C01921</t>
  </si>
  <si>
    <t>ko00120,ko00121,ko04976,ko04979</t>
  </si>
  <si>
    <t>Primary bile acid biosynthesis|Secondary bile acid biosynthesis|Bile secretion|Cholesterol metabolism</t>
  </si>
  <si>
    <t>475-31-0</t>
  </si>
  <si>
    <t>[C@]12([C@H](O)C[C@]3([H])C[C@H](O)CC[C@]3(C)[C@@]1([H])C[C@H](O)[C@]1(C)[C@@]([H])([C@@](C)([H])CCC(NCC(O)=O)=O)CC[C@@]21[H])[H]</t>
  </si>
  <si>
    <t>RFDAIACWWDREDC-FRVQLJSFSA-N</t>
  </si>
  <si>
    <t>C26H43NO6</t>
  </si>
  <si>
    <t>0.80_252.0841n</t>
  </si>
  <si>
    <t>Glucose Propionate</t>
  </si>
  <si>
    <t>HMDB0252785</t>
  </si>
  <si>
    <t>CCC(=O)OC1(O)OC(CO)C(O)C(O)C1O</t>
  </si>
  <si>
    <t>PCFIAZZAJNYGGV-UHFFFAOYSA-N</t>
  </si>
  <si>
    <t>C9H16O8</t>
  </si>
  <si>
    <t>10.28_308.1987n</t>
  </si>
  <si>
    <t>Methylgingerol</t>
  </si>
  <si>
    <t>HMDB0029852</t>
  </si>
  <si>
    <t>CCCCCC(O)CC(=O)CCC1=CC=C(OC)C(OC)=C1</t>
  </si>
  <si>
    <t>CTGAPJBPSCUFRO-UHFFFAOYSA-N</t>
  </si>
  <si>
    <t>4.04_866.2047n</t>
  </si>
  <si>
    <t>Procyanidin C1</t>
  </si>
  <si>
    <t>HMDB0038370</t>
  </si>
  <si>
    <t>C17624</t>
  </si>
  <si>
    <t>37064-30-5</t>
  </si>
  <si>
    <t>[H][C@]1([C@@H](O)[C@H](OC2=CC(O)=CC(O)=C12)C1=CC(O)=C(O)C=C1)C1=C2O[C@@H]([C@H](O)[C@@]([H])(C3=C(O)C=C(O)C4=C3O[C@@H]([C@H](O)C4)C3=CC(O)=C(O)C=C3)C2=C(O)C=C1O)C1=CC(O)=C(O)C=C1</t>
  </si>
  <si>
    <t>MOJZMWJRUKIQGL-XILRTYJMSA-N</t>
  </si>
  <si>
    <t>C45H38O18</t>
  </si>
  <si>
    <t>5.03_273.0754m/z</t>
  </si>
  <si>
    <t>Cyclo(His-Pro)</t>
  </si>
  <si>
    <t>HMDB0250630</t>
  </si>
  <si>
    <t>O=C1NC(CC2=CNC=N2)C(=O)N2CCCC12</t>
  </si>
  <si>
    <t>NAKUGCPAQTUSBE-UHFFFAOYSA-N</t>
  </si>
  <si>
    <t>C11H14N4O2</t>
  </si>
  <si>
    <t>4.62_283.2054m/z</t>
  </si>
  <si>
    <t>4-Oxoretinol</t>
  </si>
  <si>
    <t>HMDB0012329</t>
  </si>
  <si>
    <t>C16683</t>
  </si>
  <si>
    <t>62702-55-0</t>
  </si>
  <si>
    <t>C\C(=C/CO)\C=C\C=C(/C)\C=C\C1=C(C)C(=O)CCC1(C)C</t>
  </si>
  <si>
    <t>PLIUCYCUYQIBDZ-RMWYGNQTSA-N</t>
  </si>
  <si>
    <t>11.16_587.2613m/z</t>
  </si>
  <si>
    <t>Aklavin</t>
  </si>
  <si>
    <t>HMDB0248084</t>
  </si>
  <si>
    <t>CCC1(O)CC(OC2CC(C(O)C(C)O2)N(C)C)C2=C(O)C3=C(C=C2C1C(=O)OC)C(=O)C1=CC=CC(O)=C1C3=O</t>
  </si>
  <si>
    <t>LJZPVWKMAYDYAS-UHFFFAOYSA-N</t>
  </si>
  <si>
    <t>C30H35NO10</t>
  </si>
  <si>
    <t>4.04_705.2393m/z</t>
  </si>
  <si>
    <t>Anhydroicaritin 3-Rhamnosyl-(1-&gt;2)-Rhamnoside</t>
  </si>
  <si>
    <t>LMPK12112007</t>
  </si>
  <si>
    <t>C1(O)=C(C/C=C(/C)\C)C2OC(C3C=CC(OC)=CC=3)=C(O[C@H]3[C@H](O[C@H]4[C@H](O)[C@H](O)[C@@H](O)[C@H](C)O4)[C@H](O)[C@@H](O)[C@H](C)O3)C(=O)C=2C(O)=C1</t>
  </si>
  <si>
    <t>TVBJKPLTBPGHDJ-ZJTKNEERSA-N</t>
  </si>
  <si>
    <t>C33H40O14</t>
  </si>
  <si>
    <t>4.43_341.1379m/z</t>
  </si>
  <si>
    <t>Dl-Valine-4-Antipyrineamide</t>
  </si>
  <si>
    <t>HMDB0251532</t>
  </si>
  <si>
    <t>CC(C)C(N)C(=O)NC1=C(C)N(C)N(C1=O)C1=CC=CC=C1</t>
  </si>
  <si>
    <t>LTCDIBPDVWRKOA-UHFFFAOYSA-N</t>
  </si>
  <si>
    <t>C16H22N4O2</t>
  </si>
  <si>
    <t>9.60_593.2731m/z</t>
  </si>
  <si>
    <t>PI(18:3(6Z,9Z,12Z)/0:0)</t>
  </si>
  <si>
    <t>LMGP06050016</t>
  </si>
  <si>
    <t>[C@]([H])(O)(COP(=O)(O)O[C@H]1[C@H](O)[C@@H](O)[C@H](O)[C@@H](O)[C@H]1O)COC(CCCC/C=C\C/C=C\C/C=C\CCCCC)=O</t>
  </si>
  <si>
    <t>LLHYFNVRZDNGJG-NXVSORQWSA-N</t>
  </si>
  <si>
    <t>C27H47O12P</t>
  </si>
  <si>
    <t>4.31_437.1413m/z</t>
  </si>
  <si>
    <t>Ptelatoside A</t>
  </si>
  <si>
    <t>HMDB0032600</t>
  </si>
  <si>
    <t>90899-20-0</t>
  </si>
  <si>
    <t>OC1COC(OCC2OC(OC3=CC=C(C=C)C=C3)C(O)C(O)C2O)C(O)C1O</t>
  </si>
  <si>
    <t>DZMYOBBWRZTUTA-UHFFFAOYSA-N</t>
  </si>
  <si>
    <t>C19H26O10</t>
  </si>
  <si>
    <t>4.22_697.2353m/z</t>
  </si>
  <si>
    <t>Perampanel</t>
  </si>
  <si>
    <t>HMDB0256305</t>
  </si>
  <si>
    <t>O=C1N(C=C(C=C1C1=CC=CC=C1C#N)C1=NC=CC=C1)C1=CC=CC=C1</t>
  </si>
  <si>
    <t>PRMWGUBFXWROHD-UHFFFAOYSA-N</t>
  </si>
  <si>
    <t>Bipyridines and oligopyridines</t>
  </si>
  <si>
    <t>C23H15N3O</t>
  </si>
  <si>
    <t>7.69_298.1566n</t>
  </si>
  <si>
    <t>Gravelliferone</t>
  </si>
  <si>
    <t>HMDB0030729</t>
  </si>
  <si>
    <t>21316-80-3</t>
  </si>
  <si>
    <t>CC(C)=CCC1=CC2=C(OC(=O)C(=C2)C(C)(C)C=C)C=C1O</t>
  </si>
  <si>
    <t>HEPYYVMIJBDNIM-UHFFFAOYSA-N</t>
  </si>
  <si>
    <t>C19H22O3</t>
  </si>
  <si>
    <t>6.22_277.1583m/z</t>
  </si>
  <si>
    <t>Ogyline</t>
  </si>
  <si>
    <t>HMDB0254813</t>
  </si>
  <si>
    <t>CC12C=CC3=C4CCC(=O)C=C4CCC3C1CCC2(O)C#C</t>
  </si>
  <si>
    <t>GVDMJXQHPUYPHP-UHFFFAOYSA-N</t>
  </si>
  <si>
    <t>C20H22O2</t>
  </si>
  <si>
    <t>7.15_239.1427m/z</t>
  </si>
  <si>
    <t>3-Cyclohexyl-1-Propylsulfonic Acid</t>
  </si>
  <si>
    <t>HMDB0244400</t>
  </si>
  <si>
    <t>OS(=O)(=O)CCCNC1CCCCC1</t>
  </si>
  <si>
    <t>PJWWRFATQTVXHA-UHFFFAOYSA-N</t>
  </si>
  <si>
    <t>Cyclohexylamines</t>
  </si>
  <si>
    <t>C9H19NO3S</t>
  </si>
  <si>
    <t>6.44_579.3143m/z</t>
  </si>
  <si>
    <t>Neriifolin</t>
  </si>
  <si>
    <t>LMST01120021</t>
  </si>
  <si>
    <t>C08876</t>
  </si>
  <si>
    <t>466-07-9</t>
  </si>
  <si>
    <t>C1[C@@]2(C)[C@]([H])(CC[C@]3([H])[C@]2([H])CC[C@]2(C)[C@@]([H])(C4COC(=O)C=4)CC[C@]32O)C[C@@H](O[C@@H]2O[C@@H](C)[C@H](O)[C@@H](OC)[C@@H]2O)C1</t>
  </si>
  <si>
    <t>VPUNMTHWNSJUOG-BAOINKAISA-N</t>
  </si>
  <si>
    <t>C30H46O8</t>
  </si>
  <si>
    <t>9.54_565.3033n</t>
  </si>
  <si>
    <t>Phe-Phe-Pro-Arg</t>
  </si>
  <si>
    <t>HMDB0304807</t>
  </si>
  <si>
    <t>NC(CC1=CC=CC=C1)C(O)=NC(CC1=CC=CC=C1)C(=O)N1CCCC1C(O)=NC(CCCNC(N)=N)C(O)=O</t>
  </si>
  <si>
    <t>ANAFHSULEWIOPZ-UHFFFAOYSA-N</t>
  </si>
  <si>
    <t>C29H39N7O5</t>
  </si>
  <si>
    <t>9.60_1128.5875m/z</t>
  </si>
  <si>
    <t>CDP-DG(a-21:0/20:3(8Z,11Z,14Z)-2OH(5,6))</t>
  </si>
  <si>
    <t>HMDB0293093</t>
  </si>
  <si>
    <t>[H][C@@](COC(=O)CCCCCCCCCCCCCCCCC(C)CC)(COP(O)(=O)OP(O)(=O)OC[C@H]1O[C@H]([C@H](O)[C@@H]1O)N1C=CC(N)=NC1=O)OC(=O)CCCC(O)C(O)C\C=C/C\C=C/C\C=C/CCCCC</t>
  </si>
  <si>
    <t>CBTYBCKYQPBXRH-IFVGDETPSA-N</t>
  </si>
  <si>
    <t>C53H93N3O17P2</t>
  </si>
  <si>
    <t>3.92_511.1796m/z</t>
  </si>
  <si>
    <t>Sialosyl-Tn Saccharide</t>
  </si>
  <si>
    <t>HMDB0258278</t>
  </si>
  <si>
    <t>CC(=O)NC1C(O)OC(COC2(CC(O)C(NC(C)=O)C(O2)C(O)C(O)CO)C(O)=O)C(O)C1O</t>
  </si>
  <si>
    <t>CZOGCRVBCLRHQJ-UHFFFAOYSA-N</t>
  </si>
  <si>
    <t>C19H32N2O14</t>
  </si>
  <si>
    <t>10.29_716.3709m/z</t>
  </si>
  <si>
    <t>Palmyramide A</t>
  </si>
  <si>
    <t>CCCC1C(C(=O)OC(C(=O)OC(C(=O)N2CCCC2C(=O)N(C(C(=O)NC(C(=O)O1)C(C)C)C(C)C)C)CC3=CC=CC=C3)C)(C)C</t>
  </si>
  <si>
    <t>QXWOTWUQMDHDCF-UEPNLWJJSA-N</t>
  </si>
  <si>
    <t>C36H53N3O9</t>
  </si>
  <si>
    <t>3.86_329.0875m/z</t>
  </si>
  <si>
    <t>P-Tolyl-Ss-D-Glucuronide</t>
  </si>
  <si>
    <t>HMDB0256060</t>
  </si>
  <si>
    <t>CC1=CC=C(OC2OC(C(O)C(O)C2O)C(O)=O)C=C1</t>
  </si>
  <si>
    <t>JPAUCQAJHLSMQW-UHFFFAOYSA-N</t>
  </si>
  <si>
    <t>10.58_324.2298n</t>
  </si>
  <si>
    <t>1-Acetoxy-2-Hydroxy-16-Heptadecyn-4-One</t>
  </si>
  <si>
    <t>HMDB0031007</t>
  </si>
  <si>
    <t>LMFA05000595</t>
  </si>
  <si>
    <t>24607-10-1</t>
  </si>
  <si>
    <t>C#CCCCCCCCCCCCC(=O)CC(O)COC(C)=O</t>
  </si>
  <si>
    <t>HZHSVQVECJXVRP-UHFFFAOYSA-N</t>
  </si>
  <si>
    <t>C19H32O4</t>
  </si>
  <si>
    <t>10.26_605.2908m/z</t>
  </si>
  <si>
    <t>Uscharin</t>
  </si>
  <si>
    <t>LMST01120055</t>
  </si>
  <si>
    <t>C1[C@@]2([H])O[C@@]3(O)[C@@]4(SCC=N4)C[C@@H](C)O[C@@]3([H])O[C@]2([H])C[C@]2([H])CC[C@@]3([H])[C@]4(CC[C@H](C5=CC(=O)OC5)[C@@]4(C)CC[C@]3([H])[C@@]12C=O)O</t>
  </si>
  <si>
    <t>DONIPVCAKBPJLH-IGACXKNBSA-N</t>
  </si>
  <si>
    <t>C31H41NO8S</t>
  </si>
  <si>
    <t>3.32_515.0096m/z</t>
  </si>
  <si>
    <t>Sanguisorbic Acid Dilactone</t>
  </si>
  <si>
    <t>HMDB0029274</t>
  </si>
  <si>
    <t>OC(=O)C1=CC(OC2=C3C(=O)OC4=C(O)C(O)=CC5=C4C3=C(OC5=O)C(O)=C2O)=C(O)C(O)=C1</t>
  </si>
  <si>
    <t>DBLLWHYTKRSJEV-UHFFFAOYSA-N</t>
  </si>
  <si>
    <t>C21H10O13</t>
  </si>
  <si>
    <t>10.37_915.4574m/z</t>
  </si>
  <si>
    <t>(E)-8-(2-(4-(Diphenylamino)Benzylidene)Hydrazinyl)-N-Hydroxy-8-Oxooctanamide</t>
  </si>
  <si>
    <t>HMDB0259910</t>
  </si>
  <si>
    <t>ONC(=O)CCCCCCC(=O)NN=CC1=CC=C(C=C1)N(C1=CC=CC=C1)C1=CC=CC=C1</t>
  </si>
  <si>
    <t>KXWWYFKVBFUVIZ-UHFFFAOYSA-N</t>
  </si>
  <si>
    <t>C27H30N4O3</t>
  </si>
  <si>
    <t>5.77_486.2265m/z</t>
  </si>
  <si>
    <t>Pctr3</t>
  </si>
  <si>
    <t>LMFA04040006</t>
  </si>
  <si>
    <t>C(CC/C=C\C/C=C\C/C=C\C=C\C=C\[C@@H](SC[C@@H](C(=O)O)N)[C@@H](O)C/C=C\CC)(=O)O</t>
  </si>
  <si>
    <t>GFHRZNBJDWPKHL-FIIKIIMFSA-N</t>
  </si>
  <si>
    <t>C25H37NO5S</t>
  </si>
  <si>
    <t>14.09_613.4822m/z</t>
  </si>
  <si>
    <t>DG(18:2(9Z,12Z)/18:4(6Z,9Z,12Z,15Z)/0:0)</t>
  </si>
  <si>
    <t>HMDB0007251</t>
  </si>
  <si>
    <t>[H][C@](CO)(COC(=O)CCCCCCC\C=C/C\C=C/CCCCC)OC(=O)CCCC\C=C/C\C=C/C\C=C/C\C=C/CC</t>
  </si>
  <si>
    <t>BYLXXZYUDXCZFN-YQRUEVQWSA-N</t>
  </si>
  <si>
    <t>C39H64O5</t>
  </si>
  <si>
    <t>11.00_689.3285m/z</t>
  </si>
  <si>
    <t>Digoxigenin Bisdigitoxoside</t>
  </si>
  <si>
    <t>HMDB0060818</t>
  </si>
  <si>
    <t>CC1OC(CC(O)C1O)OC1C(O)CC(OC2CCC3(C)C(CCC4C3CC(O)C3(C)C(CCC43O)C3=CC(=O)OC3)C2)OC1C</t>
  </si>
  <si>
    <t>NTSBMKIZRSBFTA-UHFFFAOYSA-N</t>
  </si>
  <si>
    <t>C35H54O11</t>
  </si>
  <si>
    <t>4.79_301.1797m/z</t>
  </si>
  <si>
    <t>Maracin A</t>
  </si>
  <si>
    <t>LMFA10000011</t>
  </si>
  <si>
    <t>C(CC/C=C/OC#CCC/C=C/C/C=C/C/C=C\C=C)(=O)O</t>
  </si>
  <si>
    <t>HNCZZAFOQUEHGF-APDSTEBESA-N</t>
  </si>
  <si>
    <t>5.69_417.2146m/z</t>
  </si>
  <si>
    <t>Mericitabine</t>
  </si>
  <si>
    <t>HMDB0254469</t>
  </si>
  <si>
    <t>CC(C)C(=O)OCC1OC(N2C=CC(N)=NC2=O)C(C)(F)C1OC(=O)C(C)C</t>
  </si>
  <si>
    <t>MLESJYFEMSJZLZ-UHFFFAOYSA-N</t>
  </si>
  <si>
    <t>Pyrimidine nucleosides</t>
  </si>
  <si>
    <t>Pyrimidine 2'-deoxyribonucleosides</t>
  </si>
  <si>
    <t>C18H26FN3O6</t>
  </si>
  <si>
    <t>5.64_492.2194n</t>
  </si>
  <si>
    <t>Loperamide Oxide</t>
  </si>
  <si>
    <t>HMDB0254159</t>
  </si>
  <si>
    <t>CN(C)C(=O)C(CC[N+]1([O-])CCC(O)(CC1)C1=CC=C(Cl)C=C1)(C1=CC=CC=C1)C1=CC=CC=C1</t>
  </si>
  <si>
    <t>KXVSBTJVTUVNPM-UHFFFAOYSA-N</t>
  </si>
  <si>
    <t>C29H33ClN2O3</t>
  </si>
  <si>
    <t>4.60_233.0807m/z</t>
  </si>
  <si>
    <t>Salfredin B11</t>
  </si>
  <si>
    <t>HMDB0041325</t>
  </si>
  <si>
    <t>165467-63-0</t>
  </si>
  <si>
    <t>CC1(C)OC2=C(C=C1)C(O)=C1C(=O)OCC1=C2</t>
  </si>
  <si>
    <t>ZYOUEEMPKPNVQW-UHFFFAOYSA-N</t>
  </si>
  <si>
    <t>C13H12O4</t>
  </si>
  <si>
    <t>10.57_186.1044n</t>
  </si>
  <si>
    <t>(E)-2-Tridecene-4,6,8-Triyn-1-Ol</t>
  </si>
  <si>
    <t>HMDB0030931</t>
  </si>
  <si>
    <t>CCCCC#CC#CC#C\C=C\CO</t>
  </si>
  <si>
    <t>FMSLWOPQZBZTPK-VAWYXSNFSA-N</t>
  </si>
  <si>
    <t>C13H14O</t>
  </si>
  <si>
    <t>6.33_553.2082m/z</t>
  </si>
  <si>
    <t>Isolappaol C</t>
  </si>
  <si>
    <t>HMDB0302069</t>
  </si>
  <si>
    <t>COC1=C(O)C=CC(CC2OCC(=O)[C@@H]2CC2=CC(OC)=C(O)C(=C2)C(CO)C(O)C2=CC(OC)=C(O)C=C2)=C1</t>
  </si>
  <si>
    <t>VATSUWAZXUGJHK-ZVNSVDPLSA-N</t>
  </si>
  <si>
    <t>C30H34O10</t>
  </si>
  <si>
    <t>6.78_663.2650m/z</t>
  </si>
  <si>
    <t>2',7-Dihydroxy-4'-Methoxy-8-Prenylflavan 2',7-Diglucoside</t>
  </si>
  <si>
    <t>HMDB0036400</t>
  </si>
  <si>
    <t>COC1=CC(OC2OC(CO)C(O)C(O)C2O)=C(C=C1)C1CCC2=C(O1)C(CC=C(C)C)=C(OC1OC(CO)C(O)C(O)C1O)C=C2</t>
  </si>
  <si>
    <t>OZZNZDSQQZCOEV-UHFFFAOYSA-N</t>
  </si>
  <si>
    <t>C33H44O14</t>
  </si>
  <si>
    <t>4.29_611.1244m/z</t>
  </si>
  <si>
    <t>Myricetin 3-Sambubioside</t>
  </si>
  <si>
    <t>LMPK12112421</t>
  </si>
  <si>
    <t>C1(O)=CC2OC(C3C=C(O)C(O)=C(O)C=3)=C(O[C@H]3[C@H](O[C@H]4[C@H](O)[C@@H](O)[C@H](O)CO4)[C@@H](O)[C@H](O)[C@@H](CO)O3)C(=O)C=2C(O)=C1</t>
  </si>
  <si>
    <t>MMKMIFKDPPAMLJ-JWYZLBFDSA-N</t>
  </si>
  <si>
    <t>C26H28O17</t>
  </si>
  <si>
    <t>12.16_861.5191m/z</t>
  </si>
  <si>
    <t>PE-GlcNAc-DG(14:0/14:0)</t>
  </si>
  <si>
    <t>LMGL05010030</t>
  </si>
  <si>
    <t>C(O[C@H]1[C@H](NC(=O)C)[C@@H](O)[C@H](O)[C@@H](COP(=O)(O)OCCN)O1)[C@]([H])(OC(CCCCCCCCCCCCC)=O)COC(CCCCCCCCCCCCC)=O</t>
  </si>
  <si>
    <t>KJYXBSCLCBYNCA-LPWLOGJNSA-N</t>
  </si>
  <si>
    <t>C41H79N2O13P</t>
  </si>
  <si>
    <t>3.75_416.1943n</t>
  </si>
  <si>
    <t>Mmp Inhibitor V</t>
  </si>
  <si>
    <t>HMDB0254818</t>
  </si>
  <si>
    <t>CCOCOCC(CC(C)C(=O)NO)NC(=O)C1=CC=C(OC2=CC=CC=C2)C=C1</t>
  </si>
  <si>
    <t>HDWWQELUBWGQGA-UHFFFAOYSA-N</t>
  </si>
  <si>
    <t>C22H28N2O6</t>
  </si>
  <si>
    <t>5.86_770.2875m/z</t>
  </si>
  <si>
    <t>Phyllanthusol B</t>
  </si>
  <si>
    <t>HMDB0035904</t>
  </si>
  <si>
    <t>294864-89-4</t>
  </si>
  <si>
    <t>CC1COC2(CC1OC(=O)C1=CC=CC=C1)OC1CC(CC(O)C1(O)C2O)C(=O)OC1CC(O)C(O)C(O)C1OC1OC(CO)C(O)C(O)C1NC(C)=O</t>
  </si>
  <si>
    <t>OFMUQXHBRUAVAD-UHFFFAOYSA-N</t>
  </si>
  <si>
    <t>C35H49NO18</t>
  </si>
  <si>
    <t>6.20_316.2035n</t>
  </si>
  <si>
    <t>Phytocassane D</t>
  </si>
  <si>
    <t>HMDB0041057</t>
  </si>
  <si>
    <t>166547-24-6</t>
  </si>
  <si>
    <t>CC1C2CCC3C(C)(C)C(O)C(=O)CC3(C)C2C(=O)C=C1C=C</t>
  </si>
  <si>
    <t>DGUIKAVSMBLZCL-UHFFFAOYSA-N</t>
  </si>
  <si>
    <t>3.79_740.2750m/z</t>
  </si>
  <si>
    <t>Amorphigenol O-Vicianoside</t>
  </si>
  <si>
    <t>LMPK12060006</t>
  </si>
  <si>
    <t>O([C@H]1[C@H](O)[C@@H](O)[C@H](O)[C@@H](CO[C@H]2[C@H](O)[C@@H](O)[C@@H](O)CO2)O1)C([C@@H]1OC2C=CC3C(=O)[C@@]4([H])C5C(OC[C@@]4([H])OC=3C=2C1)=CC(OC)=C(OC)C=5)(CO)C</t>
  </si>
  <si>
    <t>KGNQFVOROXFGAU-NMRFADIGSA-N</t>
  </si>
  <si>
    <t>Rotenoids</t>
  </si>
  <si>
    <t>C34H42O17</t>
  </si>
  <si>
    <t>10.11_719.3102m/z</t>
  </si>
  <si>
    <t>4-Acetylzearalenone</t>
  </si>
  <si>
    <t>HMDB0039100</t>
  </si>
  <si>
    <t>119950-10-6</t>
  </si>
  <si>
    <t>CC1CCCC(=O)CCC\C=C\C2=CC(OC(C)=O)=CC(O)=C2C(=O)O1</t>
  </si>
  <si>
    <t>CTKJAUGEWDLMLQ-XBXARRHUSA-N</t>
  </si>
  <si>
    <t>Zearalenones</t>
  </si>
  <si>
    <t>C20H24O6</t>
  </si>
  <si>
    <t>3.41_649.1979m/z</t>
  </si>
  <si>
    <t>Cis-Ferulic Acid [Arabinosyl-(1-&gt;3)-[Glucosyl-(1-&gt;6)]-Glucosyl] Ester</t>
  </si>
  <si>
    <t>HMDB0034682</t>
  </si>
  <si>
    <t>COC1=C(O)C=CC(\C=C/C(=O)OC2OC(COC3OC(CO)C(O)C(O)C3O)C(O)C(OC3OC(CO)C(O)C3O)C2O)=C1</t>
  </si>
  <si>
    <t>LUBIAXCXQXWFFZ-HYXAFXHYSA-N</t>
  </si>
  <si>
    <t>C27H38O18</t>
  </si>
  <si>
    <t>3.75_1003.3658m/z</t>
  </si>
  <si>
    <t>Asp F I</t>
  </si>
  <si>
    <t>HMDB0260310</t>
  </si>
  <si>
    <t>CC(C)C(=O)C1=NC2=CC=CC=C2C(=O)N1C1CC2(OC1=O)C1N(O)C(C)(C)C(=O)N1C1=CC=CC=C21</t>
  </si>
  <si>
    <t>YLDPIHLIWYLZID-UHFFFAOYSA-N</t>
  </si>
  <si>
    <t>C27H26N4O6</t>
  </si>
  <si>
    <t>10.00_639.3749m/z</t>
  </si>
  <si>
    <t>Capsicoside A1</t>
  </si>
  <si>
    <t>HMDB0303762</t>
  </si>
  <si>
    <t>CC1C2C(CC3C4CCC5CC(OC6OC(CO)C(O)C(O)C6O)C(O)CC5(C)C4CCC23C)OC11CCC(C)CO1</t>
  </si>
  <si>
    <t>YTZASGUOZDZYSL-UHFFFAOYSA-N</t>
  </si>
  <si>
    <t>C33H54O9</t>
  </si>
  <si>
    <t>1.57_319.0476m/z</t>
  </si>
  <si>
    <t>4-Hydroxy-5-(Dihydroxyphenyl)-Valeric Acid-O-Methyl-O-Sulphate</t>
  </si>
  <si>
    <t>HMDB0059977</t>
  </si>
  <si>
    <t>OC(CCC(=O)OCOS(O)(=O)=O)CC1=CC(O)=C(O)C=C1</t>
  </si>
  <si>
    <t>YDBDCESYCNBVOY-UHFFFAOYSA-N</t>
  </si>
  <si>
    <t>C12H16O9S</t>
  </si>
  <si>
    <t>5.56_536.2224n</t>
  </si>
  <si>
    <t>13-Chloro-Docosane-1,14-Disulfate</t>
  </si>
  <si>
    <t>LMFA00000017</t>
  </si>
  <si>
    <t>C(C)CCCCCCC(OS(O)(=O)=O)C(Cl)CCCCCCCCCCCCOS(O)(=O)=O</t>
  </si>
  <si>
    <t>IENDHJUGFNARNE-UHFFFAOYSA-N</t>
  </si>
  <si>
    <t>C22H45ClO8S2</t>
  </si>
  <si>
    <t>4.72_743.1465m/z</t>
  </si>
  <si>
    <t>Quercetin 3-(2''-Galoylrutinoside)</t>
  </si>
  <si>
    <t>LMPK12110569</t>
  </si>
  <si>
    <t>C1C=C(O)C(O)=CC=1C1=C(O[C@H]2[C@H](OC(=O)C3C=C(O)C(O)=C(O)C=3)[C@@H](O)[C@H](O)[C@@H](CO[C@H]3[C@H](O)[C@H](O)[C@@H](O)[C@H](C)O3)O2)C(=O)C2C(O)=CC(O)=CC=2O1</t>
  </si>
  <si>
    <t>WNNLVRNEJVFNSP-IXHINKMSSA-N</t>
  </si>
  <si>
    <t>C34H34O20</t>
  </si>
  <si>
    <t>3.05_777.1387m/z</t>
  </si>
  <si>
    <t>Acetyl Adenylate</t>
  </si>
  <si>
    <t>HMDB0006880</t>
  </si>
  <si>
    <t>C05993</t>
  </si>
  <si>
    <t>ko00230,ko00620</t>
  </si>
  <si>
    <t>Purine metabolism|Pyruvate metabolism</t>
  </si>
  <si>
    <t>13015-87-7</t>
  </si>
  <si>
    <t>CC(=O)OP(O)(=O)OC[C@H]1O[C@H]([C@H](O)[C@@H]1O)N1C=NC2=C1N=CN=C2N</t>
  </si>
  <si>
    <t>UBPVOHPZRZIJHM-WOUKDFQISA-N</t>
  </si>
  <si>
    <t>C12H16N5O8P</t>
  </si>
  <si>
    <t>4.26_342.1313n</t>
  </si>
  <si>
    <t>Citrusin D</t>
  </si>
  <si>
    <t>HMDB0039334</t>
  </si>
  <si>
    <t>65995-51-9</t>
  </si>
  <si>
    <t>COC1=C(O)C=CC(\C=C/COC2OC(CO)C(O)C(O)C2O)=C1</t>
  </si>
  <si>
    <t>JOIDTHZGWZZGMU-IHWYPQMZSA-N</t>
  </si>
  <si>
    <t>11.09_723.4315m/z</t>
  </si>
  <si>
    <t>Descladinose Roxithromycin</t>
  </si>
  <si>
    <t>HMDB0060814</t>
  </si>
  <si>
    <t>CC[C@H]1OC(=O)[C@H](C)[C@@H](O)[C@H](C)[C@@H](O[C@@H]2O[C@H](C)CC(C2O)N(C)C)[C@](C)(O)C[C@@H](C)\C(=N/OCOCCOC)[C@H](C)[C@@H](O)[C@]1(C)O</t>
  </si>
  <si>
    <t>BNZRPTCUAOMSSH-LKPWEDHSSA-N</t>
  </si>
  <si>
    <t>C33H62N2O12</t>
  </si>
  <si>
    <t>7.85_681.2875m/z</t>
  </si>
  <si>
    <t>Steviolbioside</t>
  </si>
  <si>
    <t>HMDB0036707</t>
  </si>
  <si>
    <t>LMPR01040122</t>
  </si>
  <si>
    <t>41093-60-1</t>
  </si>
  <si>
    <t>[C@@]123CC([C@](O[C@H]4[C@H](O[C@H]5[C@H](O)[C@@H](O)[C@H](O)[C@@H](CO)O5)[C@@H](O)[C@H](O)[C@@H](CO)O4)(CC[C@@]1([H])[C@]1(C)CCC[C@@](C)(C(O)=O)[C@@]1([H])CC2)C3)=C</t>
  </si>
  <si>
    <t>OMHUCGDTACNQEX-OSHKXICASA-N</t>
  </si>
  <si>
    <t>C32H50O13</t>
  </si>
  <si>
    <t>5.08_480.1996n</t>
  </si>
  <si>
    <t>1-Alpha-Acevaltrate</t>
  </si>
  <si>
    <t>HMDB0033653</t>
  </si>
  <si>
    <t>78700-02-4</t>
  </si>
  <si>
    <t>CC(C)CC(=O)OC1C=C2C(C(OC(=O)C(OC(C)=O)C(C)C)OC=C2COC(C)=O)C11CO1</t>
  </si>
  <si>
    <t>VSUJAXGURPSNJL-UHFFFAOYSA-N</t>
  </si>
  <si>
    <t>C24H32O10</t>
  </si>
  <si>
    <t>6.65_327.2174m/z</t>
  </si>
  <si>
    <t>(11e,15z)-9,10,13-Trihydroxy-11,15-Octadecadienoic Acid</t>
  </si>
  <si>
    <t>CCC=CCC(C=CC(C(CCCCCCCC(=O)O)O)O)O</t>
  </si>
  <si>
    <t>ADHVWICOFLYDST-MKZMYESJSA-N</t>
  </si>
  <si>
    <t>5.36_593.2179m/z</t>
  </si>
  <si>
    <t>Novobiocin</t>
  </si>
  <si>
    <t>HMDB0015185</t>
  </si>
  <si>
    <t>C05080</t>
  </si>
  <si>
    <t>ko00401</t>
  </si>
  <si>
    <t>Novobiocin biosynthesis</t>
  </si>
  <si>
    <t>303-81-1</t>
  </si>
  <si>
    <t>CO[C@@H]1[C@@H](OC(N)=O)[C@@H](O)[C@H](OC2=C(C)C3=C(C=C2)C(O)=C(NC(=O)C2=CC=C(O)C(CC=C(C)C)=C2)C(=O)O3)OC1(C)C</t>
  </si>
  <si>
    <t>YJQPYGGHQPGBLI-KGSXXDOSSA-N</t>
  </si>
  <si>
    <t>C31H36N2O11</t>
  </si>
  <si>
    <t>3.00_665.0298m/z</t>
  </si>
  <si>
    <t>Methyl Glucosinolate</t>
  </si>
  <si>
    <t>HMDB0038429</t>
  </si>
  <si>
    <t>C08404</t>
  </si>
  <si>
    <t>497-77-8</t>
  </si>
  <si>
    <t>C\C(SC1OC(CO)C(O)C(O)C1O)=N/OS(O)(=O)=O</t>
  </si>
  <si>
    <t>UBTOEGCOMHAXGV-YCRREMRBSA-N</t>
  </si>
  <si>
    <t>C8H15NO9S2</t>
  </si>
  <si>
    <t>13.81_427.3568m/z</t>
  </si>
  <si>
    <t>3beta-Hydroxy-4beta-Methyl-5alpha-Cholest-7-Ene-4alpha-Carboxylic Acid</t>
  </si>
  <si>
    <t>LMST01010175</t>
  </si>
  <si>
    <t>C04840</t>
  </si>
  <si>
    <t>[C@@]12([H])CC=C3[C@]4([H])CC[C@]([H])([C@H](C)CCCC(C)C)[C@@]4(C)CC[C@]3([H])[C@@]1(C)CC[C@H](O)[C@@]2(C)C(O)=O</t>
  </si>
  <si>
    <t>UQFZKTIHSICSPG-DSHYQQBWSA-N</t>
  </si>
  <si>
    <t>11.10_597.3043m/z</t>
  </si>
  <si>
    <t>PI(18:1(9Z)/0:0)</t>
  </si>
  <si>
    <t>HMDB0061693</t>
  </si>
  <si>
    <t>LMGP06050005</t>
  </si>
  <si>
    <t>1114770-15-8</t>
  </si>
  <si>
    <t>[C@]([H])(O)(COP(=O)(O)O[C@H]1[C@H](O)[C@@H](O)[C@H](O)[C@@H](O)[C@H]1O)COC(CCCCCCC/C=C\CCCCCCCC)=O</t>
  </si>
  <si>
    <t>UGDOFRYHDCDVHD-FRWBGTIISA-N</t>
  </si>
  <si>
    <t>C27H51O12P</t>
  </si>
  <si>
    <t>8.60_568.2756m/z</t>
  </si>
  <si>
    <t>Tigecycline</t>
  </si>
  <si>
    <t>HMDB0014700</t>
  </si>
  <si>
    <t>C12012</t>
  </si>
  <si>
    <t>220620-09-7</t>
  </si>
  <si>
    <t>[H][C@@]12CC3=C(C=C(NC(=O)CNC(C)(C)C)C(O)=C3C(=O)C1=C(O)[C@]1(O)C(=O)C(C(N)=O)=C(O)[C@@H](N(C)C)[C@]1([H])C2)N(C)C</t>
  </si>
  <si>
    <t>FPZLLRFZJZRHSY-HJYUBDRYSA-N</t>
  </si>
  <si>
    <t>Tetracyclines</t>
  </si>
  <si>
    <t>C29H39N5O8</t>
  </si>
  <si>
    <t>1.11_534.0305n</t>
  </si>
  <si>
    <t>Udp-Alpha-D-Xylose</t>
  </si>
  <si>
    <t>HMDB0304529</t>
  </si>
  <si>
    <t>OC1C(O)C(OC1COP([O-])(=O)OP([O-])(=O)OC1OCC(O)C(O)C1O)N1C=CC(=O)NC1=O</t>
  </si>
  <si>
    <t>DQQDLYVHOTZLOR-UHFFFAOYSA-L</t>
  </si>
  <si>
    <t>C14H20N2O16P2-2</t>
  </si>
  <si>
    <t>10.13_508.2097n</t>
  </si>
  <si>
    <t>Belnacasan</t>
  </si>
  <si>
    <t>HMDB0259884</t>
  </si>
  <si>
    <t>CCOC1OC(=O)CC1NC(=O)C1CCCN1C(=O)C(NC(=O)C1=CC(Cl)=C(N)C=C1)C(C)(C)C</t>
  </si>
  <si>
    <t>SJDDOCKBXFJEJB-UHFFFAOYSA-N</t>
  </si>
  <si>
    <t>C24H33ClN4O6</t>
  </si>
  <si>
    <t>1.09_272.1603m/z</t>
  </si>
  <si>
    <t>Midodrine</t>
  </si>
  <si>
    <t>HMDB0014356</t>
  </si>
  <si>
    <t>C07890</t>
  </si>
  <si>
    <t>133163-28-7</t>
  </si>
  <si>
    <t>COC1=CC(C(O)CNC(=O)CN)=C(OC)C=C1</t>
  </si>
  <si>
    <t>PTKSEFOSCHHMPD-UHFFFAOYSA-N</t>
  </si>
  <si>
    <t>C12H18N2O4</t>
  </si>
  <si>
    <t>7.99_414.2269m/z</t>
  </si>
  <si>
    <t>(3'X,5'A,9'X,10'B)-O-(3-Hydroxy-6-Oxo-7-Drimen-11-Yl)Umbelliferone</t>
  </si>
  <si>
    <t>HMDB0039042</t>
  </si>
  <si>
    <t>CC1=CC(=O)C2C(C)(C)C(O)CCC2(C)C1COC1=CC2=C(C=CC(=O)O2)C=C1</t>
  </si>
  <si>
    <t>HIQLOIOGTRDMIW-UHFFFAOYSA-N</t>
  </si>
  <si>
    <t>C24H28O5</t>
  </si>
  <si>
    <t>4.57_547.2153m/z</t>
  </si>
  <si>
    <t>Gluten Exorphin B4</t>
  </si>
  <si>
    <t>HMDB0059794</t>
  </si>
  <si>
    <t>[H][C@](N)(CC1=CC=C(O)C=C1)C(=O)ONCC(=O)ONCC(=O)ON[C@@]([H])(CC1=CNC2=CC=CC=C12)C(O)=O</t>
  </si>
  <si>
    <t>WHGKXKRERBUEES-ICSRJNTNSA-N</t>
  </si>
  <si>
    <t>C24H27N5O9</t>
  </si>
  <si>
    <t>5.41_577.2813m/z</t>
  </si>
  <si>
    <t>Aristospan</t>
  </si>
  <si>
    <t>HMDB0248600</t>
  </si>
  <si>
    <t>CC(C)(C)CC(=O)OCC(=O)C12OC(C)(C)OC1CC1C3CCC4=CC(=O)C=CC4(C)C3(F)C(O)CC21C</t>
  </si>
  <si>
    <t>TZIZWYVVGLXXFV-UHFFFAOYSA-N</t>
  </si>
  <si>
    <t>C30H41FO7</t>
  </si>
  <si>
    <t>10.64_503.2427m/z</t>
  </si>
  <si>
    <t>(-)-Jolkinol A</t>
  </si>
  <si>
    <t>LMPR0104310003</t>
  </si>
  <si>
    <t>ZLHWPIKKGZWBKR-WRBFAYPNSA-N</t>
  </si>
  <si>
    <t>C29H36O6</t>
  </si>
  <si>
    <t>9.69_961.2960m/z</t>
  </si>
  <si>
    <t>1,2,2'-Trisinapoylgentiobioside</t>
  </si>
  <si>
    <t>HMDB0041127</t>
  </si>
  <si>
    <t>155380-01-1</t>
  </si>
  <si>
    <t>COC1=CC(\C=C\C(=O)OC2OC(COC3OC(CO)C(O)C(O)C3OC(=O)\C=C\C3=CC(OC)=C(O)C(OC)=C3)C(O)C(O)C2OC(=O)\C=C\C2=CC(OC)=C(O)C(OC)=C2)=CC(OC)=C1O</t>
  </si>
  <si>
    <t>HVHNDGOZMSAQDC-SRDSWEMOSA-N</t>
  </si>
  <si>
    <t>C45H52O23</t>
  </si>
  <si>
    <t>11.78_356.2686n</t>
  </si>
  <si>
    <t>N-Myristoyl Glutamine</t>
  </si>
  <si>
    <t>HMDB0242050</t>
  </si>
  <si>
    <t>CCCCCCCCCCCCCC(=O)NC(CCC(N)=O)C(O)=O</t>
  </si>
  <si>
    <t>GQCSFCKGCIEEJN-UHFFFAOYSA-N</t>
  </si>
  <si>
    <t>C19H36N2O4</t>
  </si>
  <si>
    <t>4.46_303.1412m/z</t>
  </si>
  <si>
    <t>Arabinofuranosylguanine</t>
  </si>
  <si>
    <t>HMDB0061067</t>
  </si>
  <si>
    <t>OC[C@H]1O[C@H]([C@@H](O)[C@@H]1O)N1[CH]NC2=C1NC(=N)N=C2O</t>
  </si>
  <si>
    <t>JEPAHPFDUXQBAO-FJFJXFQQSA-N</t>
  </si>
  <si>
    <t>C10H15N5O5</t>
  </si>
  <si>
    <t>1.79_629.2054m/z</t>
  </si>
  <si>
    <t>Galactosylpyridinoline</t>
  </si>
  <si>
    <t>HMDB0252583</t>
  </si>
  <si>
    <t>NC(CCC(C[N+]1=CC(O)=C(CC(N)C(O)=O)C(CCC(N)C([O-])=O)=C1)OC1OC(CO)C(O)C(O)C1O)C(O)=O</t>
  </si>
  <si>
    <t>JSIZNMXPORTGJM-UHFFFAOYSA-N</t>
  </si>
  <si>
    <t>C24H38N4O13</t>
  </si>
  <si>
    <t>7.26_611.3070m/z</t>
  </si>
  <si>
    <t>Austrobuxusin L</t>
  </si>
  <si>
    <t>LMPR0103540015</t>
  </si>
  <si>
    <t>[C@]12(C)[C@@]3(C[C@](O)([C@H](C)OC)C(=O)O3)[C@@H]3O[C@@H]3[C@@]1(O)[C@H]1C(O[C@@H]([C@H]2OC(CCCCCCCCC)=O)[C@H]1C(C)C)=O</t>
  </si>
  <si>
    <t>JATXQDKTIIOOJF-LGLGYDADSA-N</t>
  </si>
  <si>
    <t>5.32_504.2359n</t>
  </si>
  <si>
    <t>Crocin 4</t>
  </si>
  <si>
    <t>HMDB0039122</t>
  </si>
  <si>
    <t>C00744</t>
  </si>
  <si>
    <t>55750-86-2</t>
  </si>
  <si>
    <t>COC(=O)C(\C)=C/C=C/C(/C)=C/C=C/C=C(/C)\C=C\C=C(/C)C(=O)OC1OC(CO)C(O)C(O)C1O</t>
  </si>
  <si>
    <t>ATQIQIBBBWQWOT-QNFREAFUSA-N</t>
  </si>
  <si>
    <t>C27H36O9</t>
  </si>
  <si>
    <t>6.46_645.2874m/z</t>
  </si>
  <si>
    <t>Chembl4211493</t>
  </si>
  <si>
    <t>HMDB0257612</t>
  </si>
  <si>
    <t>COC1=C(C)C=C(C=C1)C1=CC2=C(CCC(C2)N2CCN(C)CC2)N1C1=CC=C(C=C1)S(=O)(=O)NC1=NC(C)=CC(C)=N1</t>
  </si>
  <si>
    <t>MGOJZSOBJZSKPZ-UHFFFAOYSA-N</t>
  </si>
  <si>
    <t>C33H40N6O3S</t>
  </si>
  <si>
    <t>7.43_359.2211m/z</t>
  </si>
  <si>
    <t>Macrophorin C</t>
  </si>
  <si>
    <t>HMDB0030455</t>
  </si>
  <si>
    <t>85764-11-0</t>
  </si>
  <si>
    <t>CC1(C)C(O)CCC2(C)C(CC34OC3C(O)C(CO)=CC4=O)C(=C)CCC12</t>
  </si>
  <si>
    <t>ZJIGIRXWBMNWPJ-UHFFFAOYSA-N</t>
  </si>
  <si>
    <t>C22H32O5</t>
  </si>
  <si>
    <t>9.90_508.3036n</t>
  </si>
  <si>
    <t>Solacetal D</t>
  </si>
  <si>
    <t>LMFA02000384</t>
  </si>
  <si>
    <t>C(CCCCCCC[C@@H]1O[C@H](C2=CC(OC)=C(O)C(OC)=C2)O[C@H](/C=C\CCCCC)[C@H]1O)(=O)OC</t>
  </si>
  <si>
    <t>WCGSGSGEWBWAQG-ZWALSSILSA-N</t>
  </si>
  <si>
    <t>C28H44O8</t>
  </si>
  <si>
    <t>4.42_577.1347m/z</t>
  </si>
  <si>
    <t>Procyanidin B6</t>
  </si>
  <si>
    <t>HMDB0038367</t>
  </si>
  <si>
    <t>12798-58-2</t>
  </si>
  <si>
    <t>O[C@@H]1[C@H](OC2=CC(O)=CC(O)=C2[C@@H]1C1=C(O)C2=C(C=C1O)[C@H](O)[C@H](OC2)C1=CC=C(O)C(O)=C1)C1=CC(O)=C(O)C=C1</t>
  </si>
  <si>
    <t>OHIUVDQGXUITJQ-AARHSHDHSA-N</t>
  </si>
  <si>
    <t>10.26_737.3757m/z</t>
  </si>
  <si>
    <t>Arg-Pro-Pro-Gly-Phe-Ser-Pro</t>
  </si>
  <si>
    <t>HMDB0248578</t>
  </si>
  <si>
    <t>NC(CCCN=C(N)N)C(=O)N1CCCC1C(=O)N1CCCC1C(=O)NCC(=O)NC(CC1=CC=CC=C1)C(=O)NC(CO)C(=O)N1CCCC1C(O)=O</t>
  </si>
  <si>
    <t>CRROPKNGCGVIOG-UHFFFAOYSA-N</t>
  </si>
  <si>
    <t>C35H52N10O9</t>
  </si>
  <si>
    <t>9.64_367.1504m/z</t>
  </si>
  <si>
    <t>Dracocephalumoid A</t>
  </si>
  <si>
    <t>LMPR0104050021</t>
  </si>
  <si>
    <t>C1[C@@]2(C)[C@@]([H])(CC(=O)C3=C2C(O)=C2O[C@@H](C)CC2=C3O)C(=C)[C@](C)(O)C1</t>
  </si>
  <si>
    <t>LHBNSQXRORKARD-AZSZCMADSA-N</t>
  </si>
  <si>
    <t>Phenanthrenes and derivatives</t>
  </si>
  <si>
    <t>10.60_585.3277m/z</t>
  </si>
  <si>
    <t>[(S)-1-Carboxy-2-Phenyl-Ethyl]-Carbamoyl-Arg-Val-Arg-Aldehyde</t>
  </si>
  <si>
    <t>HMDB0246226</t>
  </si>
  <si>
    <t>CC(C)C(NC(=O)C(CCCN=C(N)N)NC(=O)NC(CC1=CC=CC=C1)C(O)=O)C(=O)NC(CCCN=C(N)N)C=O</t>
  </si>
  <si>
    <t>SDNYTAYICBFYFH-UHFFFAOYSA-N</t>
  </si>
  <si>
    <t>C27H44N10O6</t>
  </si>
  <si>
    <t>0.97_311.0324m/z</t>
  </si>
  <si>
    <t>O-Ethyl S,S-Diphenyl Phosphorodithioate</t>
  </si>
  <si>
    <t>HMDB0031781</t>
  </si>
  <si>
    <t>C14436</t>
  </si>
  <si>
    <t>17109-49-8</t>
  </si>
  <si>
    <t>CCOP(=O)(SC1=CC=CC=C1)SC1=CC=CC=C1</t>
  </si>
  <si>
    <t>AWZOLILCOUMRDG-UHFFFAOYSA-N</t>
  </si>
  <si>
    <t>C14H15O2PS2</t>
  </si>
  <si>
    <t>4.08_529.1602m/z</t>
  </si>
  <si>
    <t>7-Methyl-1,4,5-Naphthalenetriol 4-[Xylosyl-(1-&gt;6)-Glucoside]</t>
  </si>
  <si>
    <t>HMDB0034909</t>
  </si>
  <si>
    <t>CC1=CC2=C(O)C=CC(OC3OC(COC4OCC(O)C(O)C4O)C(O)C(O)C3O)=C2C(O)=C1</t>
  </si>
  <si>
    <t>HONDCAIBTDBEKM-UHFFFAOYSA-N</t>
  </si>
  <si>
    <t>C22H28O12</t>
  </si>
  <si>
    <t>4.68_251.0792n</t>
  </si>
  <si>
    <t>N-Carboxyacetyl-D-Phenylalanine</t>
  </si>
  <si>
    <t>HMDB0039102</t>
  </si>
  <si>
    <t>OC(=O)CC(=O)NC(CC1=CC=CC=C1)C(O)=O</t>
  </si>
  <si>
    <t>IHAMOIOWKITHQZ-UHFFFAOYSA-N</t>
  </si>
  <si>
    <t>10.83_547.3992m/z</t>
  </si>
  <si>
    <t>1-O,4-O-Bis[(2s)-2-Ethylhexyl] 2-O-[(2r)-2-Ethylhexyl] Benzene-1,2,4-Tricarboxylate</t>
  </si>
  <si>
    <t>HMDB0246163</t>
  </si>
  <si>
    <t>CCCCC(CC)COC(=O)C1=CC(C(=O)OCC(CC)CCCC)=C(C=C1)C(=O)OCC(CC)CCCC</t>
  </si>
  <si>
    <t>KRADHMIOFJQKEZ-UHFFFAOYSA-N</t>
  </si>
  <si>
    <t>C33H54O6</t>
  </si>
  <si>
    <t>4.13_393.1764m/z</t>
  </si>
  <si>
    <t>(1s,2s,4s,5s)-2,4,7-Thujanetriol 4-Glucoside</t>
  </si>
  <si>
    <t>HMDB0033645</t>
  </si>
  <si>
    <t>240495-80-1</t>
  </si>
  <si>
    <t>CC(C)(O)C12CC1C(C)(CC2O)OC1OC(CO)C(O)C(O)C1O</t>
  </si>
  <si>
    <t>XCEFCWBOZHJCAP-UHFFFAOYSA-N</t>
  </si>
  <si>
    <t>8.31_536.2422n</t>
  </si>
  <si>
    <t>Pemptoporphyrin</t>
  </si>
  <si>
    <t>HMDB0256216</t>
  </si>
  <si>
    <t>CC1=C/C2=C/C3=C(C)C(C=C)=C(N3)\C=C3/N=C(/C=C4\N=C(\C=C\1/N\2)C(C)=C4CCC(O)=O)C(CCC(O)=O)=C3C</t>
  </si>
  <si>
    <t>DKAGEROMGGJASM-SUSDVETHSA-N</t>
  </si>
  <si>
    <t>C32H32N4O4</t>
  </si>
  <si>
    <t>8.01_341.2331m/z</t>
  </si>
  <si>
    <t>15-Hydroxy-9z,15z-Octadecadienoic Acid</t>
  </si>
  <si>
    <t>LMFA02000315</t>
  </si>
  <si>
    <t>C(CCCCCCC/C=C\CCCC/C(/O)=C\CC)(=O)O</t>
  </si>
  <si>
    <t>MYPYRFSQQKRVDW-DXDNVFLHSA-N</t>
  </si>
  <si>
    <t>7.85_697.2713m/z</t>
  </si>
  <si>
    <t>Beta-D-Gentiobiosyl Crocetin</t>
  </si>
  <si>
    <t>C19869</t>
  </si>
  <si>
    <t>ko00999</t>
  </si>
  <si>
    <t>Biosynthesis of various secondary metabolites - part 1</t>
  </si>
  <si>
    <t>CC(=CC=CC=C(C)C=CC=C(C)C(=O)OC1C(C(C(C(O1)COC2C(C(C(C(O2)CO)O)O)O)O)O)O)C=CC=C(C)C(=O)O</t>
  </si>
  <si>
    <t>VULLCGFNYWDRHL-YJOFKXFJSA-N</t>
  </si>
  <si>
    <t>12.79_305.2483m/z</t>
  </si>
  <si>
    <t>5alpha-Androstane</t>
  </si>
  <si>
    <t>HMDB0247011</t>
  </si>
  <si>
    <t>CC12CCCC1C1CCC3CCCCC3(C)C1CC2</t>
  </si>
  <si>
    <t>QZLYKIGBANMMBK-UHFFFAOYSA-N</t>
  </si>
  <si>
    <t>C19H32</t>
  </si>
  <si>
    <t>4.29_451.2185m/z</t>
  </si>
  <si>
    <t>(R)-1-O-[B-D-Glucopyranosyl-(1-&gt;6)-B-D-Glucopyranoside]-1,3-Octanediol</t>
  </si>
  <si>
    <t>HMDB0032799</t>
  </si>
  <si>
    <t>CCCCCC(O)CCOC1OC(COC2OC(CO)C(O)C(O)C2O)C(O)C(O)C1O</t>
  </si>
  <si>
    <t>ODOJEOFQPWTDSS-UHFFFAOYSA-N</t>
  </si>
  <si>
    <t>C20H38O12</t>
  </si>
  <si>
    <t>10.17_184.9855m/z</t>
  </si>
  <si>
    <t>Phosphohydroxypyruvic Acid</t>
  </si>
  <si>
    <t>HMDB0001024</t>
  </si>
  <si>
    <t>C03232</t>
  </si>
  <si>
    <t>ko00260,ko00270,ko00680</t>
  </si>
  <si>
    <t>Glycine, serine and threonine metabolism|Cysteine and methionine metabolism|Methane metabolism</t>
  </si>
  <si>
    <t>3913-50-6</t>
  </si>
  <si>
    <t>OC(=O)C(=O)COP(O)(O)=O</t>
  </si>
  <si>
    <t>LFLUCDOSQPJJBE-UHFFFAOYSA-N</t>
  </si>
  <si>
    <t>C3H5O7P</t>
  </si>
  <si>
    <t>5.39_472.2833m/z</t>
  </si>
  <si>
    <t>Glycolithocholic Acid</t>
  </si>
  <si>
    <t>HMDB0000698</t>
  </si>
  <si>
    <t>LMST05030009</t>
  </si>
  <si>
    <t>C15557</t>
  </si>
  <si>
    <t>474-74-8</t>
  </si>
  <si>
    <t>O[C@H]1C[C@@]2([H])CC[C@@]3([H])[C@]4([H])CC[C@]([H])([C@@](C)([H])CCC(=O)NCC(=O)O)[C@@]4(C)CC[C@]3([H])[C@@]2(C)CC1</t>
  </si>
  <si>
    <t>XBSQTYHEGZTYJE-OETIFKLTSA-N</t>
  </si>
  <si>
    <t>C26H43NO4</t>
  </si>
  <si>
    <t>10.36_745.2829m/z</t>
  </si>
  <si>
    <t>Physagulin E</t>
  </si>
  <si>
    <t>HMDB0039693</t>
  </si>
  <si>
    <t>148054-13-1</t>
  </si>
  <si>
    <t>CC(C1CC(COC2OC(CO)C(O)C(O)C2O)=C(C)C(=O)O1)C1=CC(OC(C)=O)C2(O)C3CC(O)C4(O)CC=CC(=O)C4(C)C3CCC12C</t>
  </si>
  <si>
    <t>FOBLFFYOXRPILL-UHFFFAOYSA-N</t>
  </si>
  <si>
    <t>C36H50O14</t>
  </si>
  <si>
    <t>4.47_453.1185m/z</t>
  </si>
  <si>
    <t>Thonningine B</t>
  </si>
  <si>
    <t>LMPK12160033</t>
  </si>
  <si>
    <t>C12OC(C(=C)C)=CC1=C(OC)C1C(O)=C(C3C=CC(OC)=CC=3)C(=O)OC=1C=2OC</t>
  </si>
  <si>
    <t>JFOIHGHOZIMXTP-UHFFFAOYSA-N</t>
  </si>
  <si>
    <t>C23H20O7</t>
  </si>
  <si>
    <t>10.58_394.2716n</t>
  </si>
  <si>
    <t>2-(14,15-Epoxyeicosatrienoyl) Glycerol</t>
  </si>
  <si>
    <t>HMDB0013651</t>
  </si>
  <si>
    <t>848667-56-1</t>
  </si>
  <si>
    <t>CCCCCC1OC1C\C=C/C\C=C/C\C=C/CCCC(=O)OC(CO)CO</t>
  </si>
  <si>
    <t>LPMVKZXODWQHGJ-ILYOTBPNSA-N</t>
  </si>
  <si>
    <t>C23H38O5</t>
  </si>
  <si>
    <t>10.72_297.2432m/z</t>
  </si>
  <si>
    <t>9,10-Epoxystearic Acid</t>
  </si>
  <si>
    <t>HMDB0247617</t>
  </si>
  <si>
    <t>LMFA02000326</t>
  </si>
  <si>
    <t>C19418</t>
  </si>
  <si>
    <t>2443-39-2</t>
  </si>
  <si>
    <t>C(CCCCCCCC1OC1CCCCCCCC)(=O)O</t>
  </si>
  <si>
    <t>IMYZYCNQZDBZBQ-UHFFFAOYSA-N</t>
  </si>
  <si>
    <t>C18H34O3</t>
  </si>
  <si>
    <t>8.05_794.3344m/z</t>
  </si>
  <si>
    <t>Aclacinomycin A Zwitterion</t>
  </si>
  <si>
    <t>HMDB0247943</t>
  </si>
  <si>
    <t>CCC1(O)CC(OC2CC(C(OC3CC(O)C(OC4CCC(=O)C(C)O4)C(C)O3)C(C)O2)N(C)C)C2=C(O)C3=C(C=C2C1C(=O)OC)C(=O)C1=CC=CC(O)=C1C3=O</t>
  </si>
  <si>
    <t>USZYSDMBJDPRIF-UHFFFAOYSA-N</t>
  </si>
  <si>
    <t>C42H53NO15</t>
  </si>
  <si>
    <t>5.66_510.2847m/z</t>
  </si>
  <si>
    <t>Sophoraisoflavanone D</t>
  </si>
  <si>
    <t>LMPK12050489</t>
  </si>
  <si>
    <t>C1(O)C(C/C=C(\C)/C)=C(O)C2C(=O)C(C3=CC(C/C=C(/CC/C=C(/C)\C)\C)=C(O)C=C3O)COC=2C=1</t>
  </si>
  <si>
    <t>GQCCUSBZODHQHO-VXLYETTFSA-N</t>
  </si>
  <si>
    <t>C30H36O6</t>
  </si>
  <si>
    <t>4.23_393.2244m/z</t>
  </si>
  <si>
    <t>20-Hydroxy-Pgf2a</t>
  </si>
  <si>
    <t>HMDB0004049</t>
  </si>
  <si>
    <t>OCCCCC[C@H](O)\C=C\C1[C@H](O)C[C@H](O)C1C\C=C/CCCC(O)=O</t>
  </si>
  <si>
    <t>XQXUYZDBZCLAQO-BFDMEJFDSA-N</t>
  </si>
  <si>
    <t>C20H34O6</t>
  </si>
  <si>
    <t>9.56_651.2772m/z</t>
  </si>
  <si>
    <t>Capsicum Annuum Fluorescent Chlorophyll Catabolite</t>
  </si>
  <si>
    <t>HMDB0035528</t>
  </si>
  <si>
    <t>CCC1=C(CC2=C(C)C3=C(N2)\C(C(C(=O)OC)C3=O)=C2/N=C(CC3NC(=O)C(C=C)=C3C)C(C)C2CCC(O)=O)NC(C=O)=C1C</t>
  </si>
  <si>
    <t>ULSSSZOYSMVFIJ-YCNYHXFESA-N</t>
  </si>
  <si>
    <t>C35H40N4O7</t>
  </si>
  <si>
    <t>12.95_355.1579m/z</t>
  </si>
  <si>
    <t>6-Amino-4-(4-Phenoxyphenylethylamino)Quinazoline</t>
  </si>
  <si>
    <t>HMDB0246942</t>
  </si>
  <si>
    <t>NC1=CC2=C(C=C1)N=CN=C2NCCC1=CC=C(OC2=CC=CC=C2)C=C1</t>
  </si>
  <si>
    <t>IBAKVEUZKHOWNG-UHFFFAOYSA-N</t>
  </si>
  <si>
    <t>C22H20N4O</t>
  </si>
  <si>
    <t>9.20_574.3263m/z</t>
  </si>
  <si>
    <t>PE(0:0/22:1(13Z))</t>
  </si>
  <si>
    <t>HMDB0011491</t>
  </si>
  <si>
    <t>LMGP02050055</t>
  </si>
  <si>
    <t>C(OP(OCCN)(O)=O)[C@]([H])(OC(=O)CCCCCCCCCCC/C=C\CCCCCCCC)CO</t>
  </si>
  <si>
    <t>LKQYAECRDPDYTP-RASRKNKNSA-N</t>
  </si>
  <si>
    <t>C27H54NO7P</t>
  </si>
  <si>
    <t>6.45_474.3341n</t>
  </si>
  <si>
    <t>(3beta,17alpha,23s,24s)-17,23-Epoxy-3,24,29-Trihydroxy-27-Norlanost-8-En-15-One</t>
  </si>
  <si>
    <t>HMDB0035144</t>
  </si>
  <si>
    <t>CCC(O)C1CC(C)C2(CC(=O)C3(C)C4=C(CCC23C)C2(C)CCC(O)C(C)(CO)C2CC4)O1</t>
  </si>
  <si>
    <t>FGFZDTLKZFGANR-UHFFFAOYSA-N</t>
  </si>
  <si>
    <t>5.04_649.2530m/z</t>
  </si>
  <si>
    <t>Z-Devd-Fmk</t>
  </si>
  <si>
    <t>HMDB0259963</t>
  </si>
  <si>
    <t>COC(=O)CCC(NC(=O)C(CC(=O)OC)NC(=O)OCC1=CC=CC=C1)C(=O)NC(C(C)C)C(=O)NC(CC(=O)OC)C(=O)CF</t>
  </si>
  <si>
    <t>GBJVAVGBSGRRKN-UHFFFAOYSA-N</t>
  </si>
  <si>
    <t>C30H41FN4O12</t>
  </si>
  <si>
    <t>0.77_193.0707m/z</t>
  </si>
  <si>
    <t>Quebrachitol</t>
  </si>
  <si>
    <t>642-38-6</t>
  </si>
  <si>
    <t>COC1C(C(C(C(C1O)O)O)O)O</t>
  </si>
  <si>
    <t>DSCFFEYYQKSRSV-MBXCVVGISA-N</t>
  </si>
  <si>
    <t>5.04_374.1363n</t>
  </si>
  <si>
    <t>7'-Hydroxymatairesinol</t>
  </si>
  <si>
    <t>HMDB0247299</t>
  </si>
  <si>
    <t>COC1=CC(CC2COC(=O)C2C(O)C2=CC=C(O)C(OC)=C2)=CC=C1O</t>
  </si>
  <si>
    <t>ZZSOKNNVDKKSDE-UHFFFAOYSA-N</t>
  </si>
  <si>
    <t>5.64_228.1356n</t>
  </si>
  <si>
    <t>9-Hydroxy-Traumatin</t>
  </si>
  <si>
    <t>LMFA01050566</t>
  </si>
  <si>
    <t>C(CCCCCCCC(O)/C=C/C([H])=O)(=O)O</t>
  </si>
  <si>
    <t>ADPDWAFVBDMZSV-SOFGYWHQSA-N</t>
  </si>
  <si>
    <t>C12H20O4</t>
  </si>
  <si>
    <t>4.72_449.1094m/z</t>
  </si>
  <si>
    <t>Miscanthoside</t>
  </si>
  <si>
    <t>HMDB0029544</t>
  </si>
  <si>
    <t>38965-51-4</t>
  </si>
  <si>
    <t>OCC1OC(OC2=CC3=C(C(=O)CC(O3)C3=CC=C(O)C(O)=C3)C(O)=C2)C(O)C(O)C1O</t>
  </si>
  <si>
    <t>RAFHNDRXYHOLSH-UHFFFAOYSA-N</t>
  </si>
  <si>
    <t>4.45_575.1859m/z</t>
  </si>
  <si>
    <t>N-Acetyl-Asp-Glu-Val-Asp-Cho</t>
  </si>
  <si>
    <t>HMDB0247925</t>
  </si>
  <si>
    <t>CC(C)C(NC(=O)C(CCC(O)=O)NC(=O)C(CC(O)=O)NC(C)=O)C(=O)NC(CC(O)=O)C(=O)C=O</t>
  </si>
  <si>
    <t>LUOWSNAZOQEWCS-UHFFFAOYSA-N</t>
  </si>
  <si>
    <t>C21H30N4O12</t>
  </si>
  <si>
    <t>6.06_666.3240m/z</t>
  </si>
  <si>
    <t>Pkodia-Ps</t>
  </si>
  <si>
    <t>LMGP20040008</t>
  </si>
  <si>
    <t>C(O)(=O)[C@@]([H])(N)COP(OC[C@]([H])(OC(CCCC(=O)/C=C/C(=O)O)=O)COC(CCCCCCCCCCCCCCC)=O)(=O)O</t>
  </si>
  <si>
    <t>YTQPDFIMQDVQDS-BBFGVQDMSA-N</t>
  </si>
  <si>
    <t>C30H52NO13P</t>
  </si>
  <si>
    <t>3.65_429.0991m/z</t>
  </si>
  <si>
    <t>Artonin P</t>
  </si>
  <si>
    <t>LMPK12111511</t>
  </si>
  <si>
    <t>C12=C(O)C=C3OC(C)(C)C=CC3=C1OC1C34OC3(C(=O)C(O)=CC4=O)C(C(C)=C)CC=1C2=O</t>
  </si>
  <si>
    <t>OKKNFQLWCBMTDX-UHFFFAOYSA-N</t>
  </si>
  <si>
    <t>C25H20O8</t>
  </si>
  <si>
    <t>10.21_595.2888m/z</t>
  </si>
  <si>
    <t>PI(18:2(9Z,12Z)/0:0)</t>
  </si>
  <si>
    <t>HMDB0240597</t>
  </si>
  <si>
    <t>LMGP06050010</t>
  </si>
  <si>
    <t>1425501-10-5</t>
  </si>
  <si>
    <t>[C@]([H])(O)(COP(=O)(O)O[C@H]1[C@H](O)[C@@H](O)[C@H](O)[C@@H](O)[C@H]1O)COC(CCCCCCC/C=C\C/C=C\CCCCC)=O</t>
  </si>
  <si>
    <t>SAHCQBPGXQFTRA-MUTGBQBKSA-N</t>
  </si>
  <si>
    <t>C27H49O12P</t>
  </si>
  <si>
    <t>8.99_920.4766m/z</t>
  </si>
  <si>
    <t>Chinenoside Vi</t>
  </si>
  <si>
    <t>HMDB0032692</t>
  </si>
  <si>
    <t>200483-13-2</t>
  </si>
  <si>
    <t>CC1C2C(CC3C4CC(=O)C5CC(CCC5(C)C4CCC23C)OC2OC(COC3OCC(O)C(O)C3O)C(O)C(O)C2O)OC11CC(OC2OC(CO)C(O)C(O)C2O)C(C)CO1</t>
  </si>
  <si>
    <t>IYLGRZBRMFMEOH-UHFFFAOYSA-N</t>
  </si>
  <si>
    <t>C44H70O19</t>
  </si>
  <si>
    <t>5.09_545.2362m/z</t>
  </si>
  <si>
    <t>(3b,9r)-5-Megastigmene-3,9-Diol 9-[Apiosyl-(1-&gt;6)-Glucoside]</t>
  </si>
  <si>
    <t>HMDB0038327</t>
  </si>
  <si>
    <t>LMFA13010056</t>
  </si>
  <si>
    <t>347852-04-4</t>
  </si>
  <si>
    <t>C1C(C)(C)C(CCC(OC2OC(COC3OCC(CO)(O)C3O)C(O)C(O)C2O)C)=C(C)CC1O</t>
  </si>
  <si>
    <t>KXAHRTBPIZOXEC-UHFFFAOYSA-N</t>
  </si>
  <si>
    <t>C24H42O11</t>
  </si>
  <si>
    <t>6.22_266.1666n</t>
  </si>
  <si>
    <t>(3xi,6e)-1,7-Diphenyl-6-Hepten-3-Ol</t>
  </si>
  <si>
    <t>HMDB0030146</t>
  </si>
  <si>
    <t>87095-76-9</t>
  </si>
  <si>
    <t>OC(CC\C=C/C1=CC=CC=C1)CCC1=CC=CC=C1</t>
  </si>
  <si>
    <t>DPRCKWANIKZGTF-QPEQYQDCSA-N</t>
  </si>
  <si>
    <t>C19H22O</t>
  </si>
  <si>
    <t>4.88_536.2049n</t>
  </si>
  <si>
    <t>Schisantherin</t>
  </si>
  <si>
    <t>HMDB0258170</t>
  </si>
  <si>
    <t>COC1=CC2=C(C(OC)=C1OC)C1=C(OC)C3=C(OCO3)C=C1CC(C)C(C)(O)C2OC(=O)C1=CC=CC=C1</t>
  </si>
  <si>
    <t>UFCGDBKFOKKVAC-UHFFFAOYSA-N</t>
  </si>
  <si>
    <t>C30H32O9</t>
  </si>
  <si>
    <t>4.36_911.3909m/z</t>
  </si>
  <si>
    <t>25-Acetyl-6,7-Didehydrofevicordin F 3-[Glucosyl-(1-&gt;6)-Glucoside]</t>
  </si>
  <si>
    <t>HMDB0036339</t>
  </si>
  <si>
    <t>178062-91-4</t>
  </si>
  <si>
    <t>CC(=O)OC(C)(C)\C=C\C(O)C(C)(O)C1C(O)CC2(C)C3C=CC4=C(C)C(OC5OC(COC6OC(CO)C(O)C(O)C6O)C(O)C(O)C5O)=C(O)C=C4C3(C)C(=O)CC12C</t>
  </si>
  <si>
    <t>SQETUVZNOCBWJQ-VAWYXSNFSA-N</t>
  </si>
  <si>
    <t>C43H62O18</t>
  </si>
  <si>
    <t>4.56_713.3016m/z</t>
  </si>
  <si>
    <t>Desacetylcolchicine</t>
  </si>
  <si>
    <t>C16712</t>
  </si>
  <si>
    <t>3476-50-4</t>
  </si>
  <si>
    <t>COC1=CC=C2C(=CC1=O)C(CCC3=CC(=C(C(=C32)OC)OC)OC)N</t>
  </si>
  <si>
    <t>HFPMXDMZJUJZBX-AWEZNQCLSA-N</t>
  </si>
  <si>
    <t>Hydrocarbon derivatives</t>
  </si>
  <si>
    <t>Tropones</t>
  </si>
  <si>
    <t>C20H23NO5</t>
  </si>
  <si>
    <t>1.06_187.0845n</t>
  </si>
  <si>
    <t>2-Keto-6-Acetamidocaproate</t>
  </si>
  <si>
    <t>HMDB0012150</t>
  </si>
  <si>
    <t>C05548</t>
  </si>
  <si>
    <t>ko00310</t>
  </si>
  <si>
    <t>Lysine degradation</t>
  </si>
  <si>
    <t>CC(=O)NCCCCC(=O)C(O)=O</t>
  </si>
  <si>
    <t>NGCXIFFZXAZRAF-UHFFFAOYSA-N</t>
  </si>
  <si>
    <t>Medium-chain keto acids and derivatives</t>
  </si>
  <si>
    <t>C8H13NO4</t>
  </si>
  <si>
    <t>1.09_254.1497m/z</t>
  </si>
  <si>
    <t>Phenylalanyl-Alanine</t>
  </si>
  <si>
    <t>HMDB0304787</t>
  </si>
  <si>
    <t>CC(N=C(O)C(N)CC1=CC=CC=C1)C(O)=O</t>
  </si>
  <si>
    <t>MIDZLCFIAINOQN-UHFFFAOYSA-N</t>
  </si>
  <si>
    <t>5.02_563.2882m/z</t>
  </si>
  <si>
    <t>Carthamosterone</t>
  </si>
  <si>
    <t>LMST01010478</t>
  </si>
  <si>
    <t>C1[C@H](O)[C@H](O)C[C@@]2([H])C(=O)C=C3[C@]([H])(CC[C@]4([C@@]3(O)CC[C@]4([H])[C@](O)(C)[C@H](O)CC3C(C)(C)OC(=O)C=3)C)[C@]21C</t>
  </si>
  <si>
    <t>CCCCNNJVLKLLKV-UYQGPDJCSA-N</t>
  </si>
  <si>
    <t>8.31_639.3748m/z</t>
  </si>
  <si>
    <t>6-O-(Glcb)-(25r)-5alpha-Spirostan-3beta,6alpha-Diol</t>
  </si>
  <si>
    <t>LMST01080087</t>
  </si>
  <si>
    <t>O[C@@H]1C[C@]2([H])[C@@H](O[C@H]3[C@H](O)[C@@H](O)[C@H](O)[C@@H](CO)O3)C[C@@]3([H])[C@]4([H])C[C@@H]5O[C@]6([C@@H](C)[C@@H]5[C@@]4(C)CC[C@]3([H])[C@@]2(C)CC1)OC[C@H](C)CC6</t>
  </si>
  <si>
    <t>DQGDIBFTBNPWKO-YPOSEEEYSA-N</t>
  </si>
  <si>
    <t>3.63_507.1827m/z</t>
  </si>
  <si>
    <t>Henatinib</t>
  </si>
  <si>
    <t>HMDB0253087</t>
  </si>
  <si>
    <t>CC1=C(NC2=C1C(=O)N(CC(O)CN1CCOCC1)CCC2)C=C1C(=O)NC2=C1C=C(F)C=C2</t>
  </si>
  <si>
    <t>MCTXSDCWFQAGFS-UHFFFAOYSA-N</t>
  </si>
  <si>
    <t>Pyrroloazepines</t>
  </si>
  <si>
    <t>C25H29FN4O4</t>
  </si>
  <si>
    <t>3.53_468.1247n</t>
  </si>
  <si>
    <t>Catechin-4-Ol 3-O-Beta-D-Galactopyranoside</t>
  </si>
  <si>
    <t>LMPK12020199</t>
  </si>
  <si>
    <t>C1(O)=CC2O[C@H](C3C=C(O)C(O)=CC=3)[C@@H](O[C@H]3[C@H](O)[C@@H](O)[C@@H](O)[C@@H](CO)O3)C(O)C=2C(O)=C1</t>
  </si>
  <si>
    <t>XVCDTACMJMYHGB-TWQXNTKDSA-N</t>
  </si>
  <si>
    <t>C21H24O12</t>
  </si>
  <si>
    <t>4.43_161.1324m/z</t>
  </si>
  <si>
    <t>2-Cyclohexylidenecyclohexanone</t>
  </si>
  <si>
    <t>HMDB0245090</t>
  </si>
  <si>
    <t>O=C1CCCCC1=C1CCCCC1</t>
  </si>
  <si>
    <t>TYDSIOSLHQWFOU-UHFFFAOYSA-N</t>
  </si>
  <si>
    <t>C12H18O</t>
  </si>
  <si>
    <t>3.38_659.1259m/z</t>
  </si>
  <si>
    <t>6-Sinapoylglucoraphenin</t>
  </si>
  <si>
    <t>HMDB0038405</t>
  </si>
  <si>
    <t>76653-80-0</t>
  </si>
  <si>
    <t>COC1=CC(\C=C\C(=O)OCC2OC(S\C(CC\C=C\S(C)=O)=N\OS(O)(=O)=O)C(O)C(O)C2O)=CC(OC)=C1O</t>
  </si>
  <si>
    <t>ZXXHJOWBIQIEDP-FKHFMQJFSA-N</t>
  </si>
  <si>
    <t>C23H31NO14S3</t>
  </si>
  <si>
    <t>9.54_459.2142m/z</t>
  </si>
  <si>
    <t>Flurandrenolide</t>
  </si>
  <si>
    <t>HMDB0014984</t>
  </si>
  <si>
    <t>1524-88-5</t>
  </si>
  <si>
    <t>[H][C@@]12C[C@@]3([H])[C@]4([H])C[C@]([H])(F)C5=CC(=O)CC[C@]5(C)[C@@]4([H])[C@@H](O)C[C@]3(C)[C@@]1(OC(C)(C)O2)C(=O)CO</t>
  </si>
  <si>
    <t>POPFMWWJOGLOIF-XWCQMRHXSA-N</t>
  </si>
  <si>
    <t>C24H33FO6</t>
  </si>
  <si>
    <t>7.83_632.3191m/z</t>
  </si>
  <si>
    <t>PC(2:0/20:5(7Z,9Z,11E,13E,17Z)-3OH(5,6,15))</t>
  </si>
  <si>
    <t>HMDB0288872</t>
  </si>
  <si>
    <t>[H][C@@](COC(C)=O)(COP([O-])(=O)OCC[N+](C)(C)C)OC(=O)CCC[C@@H](O)[C@H](O)\C=C/C=C\C=C\C=C\[C@@H](O)C\C=C/CC</t>
  </si>
  <si>
    <t>JEVKBGCAIMLFMA-KZXHGTAESA-N</t>
  </si>
  <si>
    <t>C30H50NO11P</t>
  </si>
  <si>
    <t>10.56_295.2276m/z</t>
  </si>
  <si>
    <t>8-Hydroxy-11z,14z-Octadecadienoic Acid</t>
  </si>
  <si>
    <t>LMFA02000308</t>
  </si>
  <si>
    <t>C(CCCCCCC(O)CC/C=C\C/C=C\CCC)(=O)O</t>
  </si>
  <si>
    <t>JZGOJMVGPJEQST-UTOQUPLUSA-N</t>
  </si>
  <si>
    <t>11.31_925.4844m/z</t>
  </si>
  <si>
    <t>PGP(18:0/20:5(7Z,9Z,11E,13E,17Z)-3OH(5,6,15))</t>
  </si>
  <si>
    <t>HMDB0272570</t>
  </si>
  <si>
    <t>[H][C@](O)(COP(O)(O)=O)COP(O)(=O)OC[C@@]([H])(COC(=O)CCCCCCCCCCCCCCCCC)OC(=O)CCC[C@@H](O)[C@H](O)\C=C/C=C\C=C\C=C\[C@@H](O)C\C=C/CC</t>
  </si>
  <si>
    <t>INRHQCQCOUBUIN-QXEQECHKSA-N</t>
  </si>
  <si>
    <t>C44H78O16P2</t>
  </si>
  <si>
    <t>11.04_955.4942m/z</t>
  </si>
  <si>
    <t>PIP(16:0/20:3(5Z,8Z,11Z)-O(14R,15S))</t>
  </si>
  <si>
    <t>HMDB0260457</t>
  </si>
  <si>
    <t>[H][C@@](COC(=O)CCCCCCCCCCCCCCC)(COP(O)(=O)O[C@H]1C(O)C(O)C(O)[C@@H](OP(O)(O)=O)C1O)OC(=O)CCC\C=C/C\C=C/C\C=C/CC1OC1CCCCC</t>
  </si>
  <si>
    <t>PDDNXGQAIVSFLL-MAYQWUJDSA-N</t>
  </si>
  <si>
    <t>C45H80O17P2</t>
  </si>
  <si>
    <t>10.06_354.2769n</t>
  </si>
  <si>
    <t>2-Linoleoyl Glycerol</t>
  </si>
  <si>
    <t>HMDB0245187</t>
  </si>
  <si>
    <t>3443-82-1</t>
  </si>
  <si>
    <t>CCCCCC=CCC=CCCCCCCCC(=O)OC(CO)CO</t>
  </si>
  <si>
    <t>IEPGNWMPIFDNSD-UHFFFAOYSA-N</t>
  </si>
  <si>
    <t>C21H38O4</t>
  </si>
  <si>
    <t>4.13_599.1167m/z</t>
  </si>
  <si>
    <t>6-Methylluteolin</t>
  </si>
  <si>
    <t>LMPK12110728</t>
  </si>
  <si>
    <t>C12C(=O)C=C(C3C=CC(O)=C(O)C=3)OC=1C=C(O)C(C)=C2O</t>
  </si>
  <si>
    <t>VSHICDFQSGJNPK-UHFFFAOYSA-N</t>
  </si>
  <si>
    <t>C16H12O6</t>
  </si>
  <si>
    <t>4.65_696.5141n</t>
  </si>
  <si>
    <t>Petroformynic Acid B</t>
  </si>
  <si>
    <t>LMFA01031200</t>
  </si>
  <si>
    <t>C(C#C/C=C\CCCCCCCCCCCCCC/C=C\CCCC/C=C\CC/C=C/C#C[C@@H](O)C#CCCCCCC/C=C/[C@H](O)C#C)(=O)O</t>
  </si>
  <si>
    <t>BZLCFINUEDERAD-JCPHLTBWSA-N</t>
  </si>
  <si>
    <t>C47H68O4</t>
  </si>
  <si>
    <t>1.79_543.1681m/z</t>
  </si>
  <si>
    <t>Citrusin F</t>
  </si>
  <si>
    <t>HMDB0039235</t>
  </si>
  <si>
    <t>134860-04-1</t>
  </si>
  <si>
    <t>COC(=O)CCC1=CC(O)=C(OC2OC(COC3OC(CO)C(O)C(O)C3O)C(O)C(O)C2O)C=C1</t>
  </si>
  <si>
    <t>YLQXQJFWCRRNGA-UHFFFAOYSA-N</t>
  </si>
  <si>
    <t>C22H32O14</t>
  </si>
  <si>
    <t>5.37_500.3215m/z</t>
  </si>
  <si>
    <t>Hexosylsphingosine</t>
  </si>
  <si>
    <t>HMDB0253164</t>
  </si>
  <si>
    <t>CCCCCCCCCCCCCC=CC(O)C(N)C(O)C1(O)OC(CO)C(O)C(O)C1O</t>
  </si>
  <si>
    <t>DHFHTNWDXYUZBB-UHFFFAOYSA-N</t>
  </si>
  <si>
    <t>C24H47NO8</t>
  </si>
  <si>
    <t>12.88_339.1996m/z</t>
  </si>
  <si>
    <t>Norethindrone Acetate</t>
  </si>
  <si>
    <t>C08152</t>
  </si>
  <si>
    <t>51-98-9</t>
  </si>
  <si>
    <t>CC(=O)OC1(CCC2C1(CCC3C2CCC4=CC(=O)CCC34)C)C#C</t>
  </si>
  <si>
    <t>IMONTRJLAWHYGT-ZCPXKWAGSA-N</t>
  </si>
  <si>
    <t>C22H28O3</t>
  </si>
  <si>
    <t>9.62_357.1693m/z</t>
  </si>
  <si>
    <t>Sonchifolin</t>
  </si>
  <si>
    <t>HMDB0041139</t>
  </si>
  <si>
    <t>COC(=O)C1=C/CC\C(C)=C\C2OC(=O)C(=C)C2C(C\1)OC(=O)C(\C)=C/C</t>
  </si>
  <si>
    <t>DBSZDVZLFLCIOQ-VPXSVSNXSA-N</t>
  </si>
  <si>
    <t>C21H26O6</t>
  </si>
  <si>
    <t>6.11_564.2597m/z</t>
  </si>
  <si>
    <t>7-O-Acetyl-6-Epi-19,20-Epoxycytochalasin P</t>
  </si>
  <si>
    <t>LMPK11000018</t>
  </si>
  <si>
    <t>[C@@H]1(C)[C@@](O)(C)[C@@H](OC(=O)C)[C@]2([H])C=CC[C@H](C)C(=O)[C@@](O)(C)[C@H]3O[C@@H]3[C@@H](OC(=O)C)[C@@]32C(=O)N[C@@H](CC2C=CC=CC=2)[C@]13[H]</t>
  </si>
  <si>
    <t>GNJAKHROYCBGQY-BLOALNRTSA-N</t>
  </si>
  <si>
    <t>Isoindoles and derivatives</t>
  </si>
  <si>
    <t>C32H41NO9</t>
  </si>
  <si>
    <t>4.51_571.1587m/z</t>
  </si>
  <si>
    <t>Grape Seed Extract</t>
  </si>
  <si>
    <t>HMDB0252936</t>
  </si>
  <si>
    <t>CC1=CC(O)=C(C2C(O)C(OC3=CC(O)=CC(O)=C23)C2=CC(O)=C(O)C=C2)C2=C1CC(C)(O)C(O2)C1=CC(O)=C(O)C=C1</t>
  </si>
  <si>
    <t>VWKAFYWVDIOMSL-UHFFFAOYSA-N</t>
  </si>
  <si>
    <t>C32H30O11</t>
  </si>
  <si>
    <t>3.48_418.0990m/z</t>
  </si>
  <si>
    <t>Dimboa-Glc</t>
  </si>
  <si>
    <t>HMDB0029710</t>
  </si>
  <si>
    <t>113565-32-5</t>
  </si>
  <si>
    <t>COC1=CC2=C(C=C1)N(O)C(=O)C(OC1OC(CO)C(O)C(O)C1O)O2</t>
  </si>
  <si>
    <t>WTGXAWKVZMQEDA-UHFFFAOYSA-N</t>
  </si>
  <si>
    <t>C15H19NO10</t>
  </si>
  <si>
    <t>1.60_278.0999n</t>
  </si>
  <si>
    <t>6-Tuliposide A</t>
  </si>
  <si>
    <t>LMSL05000002</t>
  </si>
  <si>
    <t>O[C@H]1[C@H](O)[C@@H](O)[C@H](O)[C@@H](COC(C(=C)CCO)=O)O1</t>
  </si>
  <si>
    <t>NABVFHUVYXEKSQ-ZBGLXGBJSA-N</t>
  </si>
  <si>
    <t>6.75_232.2056m/z</t>
  </si>
  <si>
    <t>N-Isobutyl-2e,4e,8z-Dodecatrienamide</t>
  </si>
  <si>
    <t>LMFA08020381</t>
  </si>
  <si>
    <t>C(/C=C/C=C/CC/C=C\CCC)(=O)NCC(C)C</t>
  </si>
  <si>
    <t>BIALAUUMSWBKIU-AYDIKMHNSA-N</t>
  </si>
  <si>
    <t>C16H27NO</t>
  </si>
  <si>
    <t>7.18_575.2861m/z</t>
  </si>
  <si>
    <t>Proscillaridin</t>
  </si>
  <si>
    <t>HMDB0256851</t>
  </si>
  <si>
    <t>CC1OC(OC2CCC3(C)C4CCC5(C)C(CCC5(O)C4CCC3=C2)C2=COC(=O)C=C2)C(O)C(O)C1O</t>
  </si>
  <si>
    <t>MYEJFUXQJGHEQK-UHFFFAOYSA-N</t>
  </si>
  <si>
    <t>C30H42O8</t>
  </si>
  <si>
    <t>8.73_464.3156m/z</t>
  </si>
  <si>
    <t>Oleoylcarnitine</t>
  </si>
  <si>
    <t>HMDB0005065</t>
  </si>
  <si>
    <t>38677-66-6</t>
  </si>
  <si>
    <t>CCCCCCCC\C=C/CCCCCCCC(=O)O[C@H](CC(O)=O)C[N+](C)(C)C</t>
  </si>
  <si>
    <t>IPOLTUVFXFHAHI-WHIOSMTNSA-O</t>
  </si>
  <si>
    <t>C25H47NO4</t>
  </si>
  <si>
    <t>5.79_431.3155m/z</t>
  </si>
  <si>
    <t>Hecogenin</t>
  </si>
  <si>
    <t>LMST01080014</t>
  </si>
  <si>
    <t>C08902</t>
  </si>
  <si>
    <t>467-55-0</t>
  </si>
  <si>
    <t>C1[C@]2(C)[C@@]3([H])CC(=O)[C@]4(C)[C@H]5[C@@H]([C@]6(O[C@H]5C[C@@]4([H])[C@]3([H])CC[C@@]2([H])C[C@@H](O)C1)CC[C@@H](C)CO6)C</t>
  </si>
  <si>
    <t>QOLRLLFJMZLYQJ-LOBDNJQFSA-N</t>
  </si>
  <si>
    <t>5.73_303.2175m/z</t>
  </si>
  <si>
    <t>Convolvulinolic Acid</t>
  </si>
  <si>
    <t>LMFA01050046</t>
  </si>
  <si>
    <t>C(CCCCCCCC(O)CCCC)CC(=O)O</t>
  </si>
  <si>
    <t>UMFHUOABFXSVIU-UHFFFAOYSA-N</t>
  </si>
  <si>
    <t>C15H30O3</t>
  </si>
  <si>
    <t>0.70_270.0949n</t>
  </si>
  <si>
    <t>D-Erythro-L-Galacto-Nonulose</t>
  </si>
  <si>
    <t>HMDB0029955</t>
  </si>
  <si>
    <t>OCC(O)C(O)C1OC(O)(CO)C(O)C(O)C1O</t>
  </si>
  <si>
    <t>USEZWDIVUDJKCA-UHFFFAOYSA-N</t>
  </si>
  <si>
    <t>C9H18O9</t>
  </si>
  <si>
    <t>6.50_539.3592m/z</t>
  </si>
  <si>
    <t>28-Homobrassinolide</t>
  </si>
  <si>
    <t>HMDB0030423</t>
  </si>
  <si>
    <t>80483-89-2</t>
  </si>
  <si>
    <t>CCC(C(C)C)C(O)C(O)C(C)C1CCC2C3COC(=O)C4CC(O)C(O)CC4(C)C3CCC12C</t>
  </si>
  <si>
    <t>HJIKODJJEORHMZ-UHFFFAOYSA-N</t>
  </si>
  <si>
    <t>C29H50O6</t>
  </si>
  <si>
    <t>9.88_562.3149m/z</t>
  </si>
  <si>
    <t>PC(18:3(9Z,12Z,15Z)/0:0)</t>
  </si>
  <si>
    <t>HMDB0010388</t>
  </si>
  <si>
    <t>LMGP01050038</t>
  </si>
  <si>
    <t>[C@](COP(=O)([O-])OCC[N+](C)(C)C)([H])(O)COC(CCCCCCC/C=C\C/C=C\C/C=C\CC)=O</t>
  </si>
  <si>
    <t>WKQNRCYKYCKESD-YVHLTTHBSA-N</t>
  </si>
  <si>
    <t>C26H48NO7P</t>
  </si>
  <si>
    <t>8.95_300.1229m/z</t>
  </si>
  <si>
    <t>N-Cis-Caffeoyltyramine</t>
  </si>
  <si>
    <t>HMDB0033026</t>
  </si>
  <si>
    <t>219773-48-5</t>
  </si>
  <si>
    <t>OC1=CC=C(CCNC(=O)\C=C\C2=CC=C(O)C(O)=C2)C=C1</t>
  </si>
  <si>
    <t>VSHUQLRHTJOKTA-XBXARRHUSA-N</t>
  </si>
  <si>
    <t>C17H17NO4</t>
  </si>
  <si>
    <t>10.19_1009.4744m/z</t>
  </si>
  <si>
    <t>Calenduloside H Methyl Ester</t>
  </si>
  <si>
    <t>HMDB0041021</t>
  </si>
  <si>
    <t>155740-14-0</t>
  </si>
  <si>
    <t>COC(=O)C1OC(OC2CCC3(C)C(CCC4(C)C3CC=C3C5CC(C)(C)CCC5(CCC43C)C(=O)OC3OC(CO)C(O)C(O)C3O)C2(C)C)C(O)C(OC2OC(CO)C(O)C(O)C2O)C1O</t>
  </si>
  <si>
    <t>FBNHNCMZFHURCE-UHFFFAOYSA-N</t>
  </si>
  <si>
    <t>C49H78O19</t>
  </si>
  <si>
    <t>1.40_154.0395n</t>
  </si>
  <si>
    <t>Diethylphosphate</t>
  </si>
  <si>
    <t>HMDB0012209</t>
  </si>
  <si>
    <t>C06608</t>
  </si>
  <si>
    <t>598-02-7</t>
  </si>
  <si>
    <t>CCOP(O)(=O)OCC</t>
  </si>
  <si>
    <t>UCQFCFPECQILOL-UHFFFAOYSA-N</t>
  </si>
  <si>
    <t>C4H11O4P</t>
  </si>
  <si>
    <t>3.88_114.0913m/z</t>
  </si>
  <si>
    <t>Epsilon-Caprolactam</t>
  </si>
  <si>
    <t>HMDB0062769</t>
  </si>
  <si>
    <t>C06593</t>
  </si>
  <si>
    <t>ko00930</t>
  </si>
  <si>
    <t>Caprolactam degradation</t>
  </si>
  <si>
    <t>105-60-2</t>
  </si>
  <si>
    <t>O=C1CCCCCN1</t>
  </si>
  <si>
    <t>JBKVHLHDHHXQEQ-UHFFFAOYSA-N</t>
  </si>
  <si>
    <t>Caprolactams</t>
  </si>
  <si>
    <t>C6H11NO</t>
  </si>
  <si>
    <t>4.93_332.1616n</t>
  </si>
  <si>
    <t>Gibberellin A4</t>
  </si>
  <si>
    <t>LMPR0104170021</t>
  </si>
  <si>
    <t>C11864</t>
  </si>
  <si>
    <t>ko00904,ko04075</t>
  </si>
  <si>
    <t>Diterpenoid biosynthesis|Plant hormone signal transduction</t>
  </si>
  <si>
    <t>468-44-0</t>
  </si>
  <si>
    <t>CC12C(CCC3(C1C(C45C3CCC(C4)C(=C)C5)C(=O)O)OC2=O)O</t>
  </si>
  <si>
    <t>RSQSQJNRHICNNH-NFMPGMCNSA-N</t>
  </si>
  <si>
    <t>C19H24O5</t>
  </si>
  <si>
    <t>12.36_323.3057m/z</t>
  </si>
  <si>
    <t>Clavepictine B</t>
  </si>
  <si>
    <t>LMSP01080053</t>
  </si>
  <si>
    <t>C1C[C@@]2([H])CC[C@@H](O)[C@H](C)N2[C@H](/C=C/C=C/CCCCCC)C1</t>
  </si>
  <si>
    <t>BWYKUGCLFVUKMC-PFAWIIGSSA-N</t>
  </si>
  <si>
    <t>Quinolizines</t>
  </si>
  <si>
    <t>C20H35NO</t>
  </si>
  <si>
    <t>8.29_558.2824n</t>
  </si>
  <si>
    <t>Glycinoeclepin B</t>
  </si>
  <si>
    <t>HMDB0037035</t>
  </si>
  <si>
    <t>103847-17-2</t>
  </si>
  <si>
    <t>O[C@@H](C[C@@H](C)[C@]1(C)CC=C2C(C(=O)O)=C(C[C@@H](OC(=O)C)[C@@]12C)C[C@]12CC[C@H](O1)C(C)(C)C2=O)\C=C(/C)C(O)=O</t>
  </si>
  <si>
    <t>RMMQUGYNWLQNHP-YELRAYEVSA-N</t>
  </si>
  <si>
    <t>C31H42O9</t>
  </si>
  <si>
    <t>0.77_643.1718m/z</t>
  </si>
  <si>
    <t>Lepidimoic Acid</t>
  </si>
  <si>
    <t>HMDB0041096</t>
  </si>
  <si>
    <t>157676-09-0</t>
  </si>
  <si>
    <t>CC1OC(O)C(OC2OC(=CC(O)C2O)C(O)=O)C(O)C1O</t>
  </si>
  <si>
    <t>PBUKNNGDHZLXKG-UHFFFAOYSA-N</t>
  </si>
  <si>
    <t>C12H18O10</t>
  </si>
  <si>
    <t>6.95_591.3162m/z</t>
  </si>
  <si>
    <t>Neocucurbitacin E</t>
  </si>
  <si>
    <t>LMST01010451</t>
  </si>
  <si>
    <t>[C@@]12(C)C(=O)C[C@]3(C)[C@]([H])([C@H](O)C[C@@]3(C)[C@]1([H])CC=C1C(C)(C)OC(=O)C[C@@]21[H])[C@](O)(C)C(=O)CCC(OC(C)=O)(C)C</t>
  </si>
  <si>
    <t>HEOGQIJKUVAZLD-SKCDPEBHSA-N</t>
  </si>
  <si>
    <t>7.80_598.3385m/z</t>
  </si>
  <si>
    <t>PS(20:0/0:0)</t>
  </si>
  <si>
    <t>LMGP03050012</t>
  </si>
  <si>
    <t>C(O)(=O)[C@@]([H])(N)COP(OC[C@]([H])(O)COC(CCCCCCCCCCCCCCCCCCC)=O)(=O)O</t>
  </si>
  <si>
    <t>JRLGKCGUDLONSO-RPWUZVMVSA-N</t>
  </si>
  <si>
    <t>C26H52NO9P</t>
  </si>
  <si>
    <t>11.33_282.2556n</t>
  </si>
  <si>
    <t>Oleic Acid</t>
  </si>
  <si>
    <t>HMDB0000207</t>
  </si>
  <si>
    <t>LMFA01030002</t>
  </si>
  <si>
    <t>C00712</t>
  </si>
  <si>
    <t>ko00061,ko00073,ko01040,ko04212</t>
  </si>
  <si>
    <t>Fatty acid biosynthesis|Cutin, suberine and wax biosynthesis|Biosynthesis of unsaturated fatty acids|Longevity regulating pathway - worm</t>
  </si>
  <si>
    <t>112-80-1</t>
  </si>
  <si>
    <t>OC(=O)CCCCCCC/C=C\CCCCCCCC</t>
  </si>
  <si>
    <t>ZQPPMHVWECSIRJ-KTKRTIGZSA-N</t>
  </si>
  <si>
    <t>C18H34O2</t>
  </si>
  <si>
    <t>11.37_328.3208m/z</t>
  </si>
  <si>
    <t>14z-Eicosenoic Acid</t>
  </si>
  <si>
    <t>LMFA01030087</t>
  </si>
  <si>
    <t>C(CCCCCCC(=O)O)CCCCC/C=C\CCCCC</t>
  </si>
  <si>
    <t>RMUJWENALAQPCS-SREVYHEPSA-N</t>
  </si>
  <si>
    <t>C20H38O2</t>
  </si>
  <si>
    <t>5.60_803.2561m/z</t>
  </si>
  <si>
    <t>Irigenin Trimethyl Ether</t>
  </si>
  <si>
    <t>COC1=CC(=CC(=C1OC)OC)C2=COC3=CC(=C(C(=C3C2=O)OC)OC)OC</t>
  </si>
  <si>
    <t>NCEXCGUAXVAJMI-UHFFFAOYSA-N</t>
  </si>
  <si>
    <t>9.96_757.3369m/z</t>
  </si>
  <si>
    <t>Ciluprevir</t>
  </si>
  <si>
    <t>HMDB0250248</t>
  </si>
  <si>
    <t>COC1=CC2=C(C=C1)C(OC1CC3N(C1)C(=O)C(CCCCCC=CC1CC1(NC3=O)C(O)=O)NC(=O)OC1CCCC1)=CC(=N2)C1=CSC(NC(C)C)=N1</t>
  </si>
  <si>
    <t>PJZPDFUUXKKDNB-UHFFFAOYSA-N</t>
  </si>
  <si>
    <t>C40H50N6O8S</t>
  </si>
  <si>
    <t>5.30_507.2232m/z</t>
  </si>
  <si>
    <t>Hydrocortisone Succinate</t>
  </si>
  <si>
    <t>LMST02030126</t>
  </si>
  <si>
    <t>C12888</t>
  </si>
  <si>
    <t>2203-97-6</t>
  </si>
  <si>
    <t>[C@]12(CC[C@]([C@@]1(C)C[C@H](O)[C@]1([C@]2(CCC2=CC(CC[C@]12C)=O)[H])[H])(O)C(=O)COC(=O)CCC(O)=O)[H]</t>
  </si>
  <si>
    <t>VWQWXZAWFPZJDA-CGVGKPPMSA-N</t>
  </si>
  <si>
    <t>C25H34O8</t>
  </si>
  <si>
    <t>11.10_383.2578m/z</t>
  </si>
  <si>
    <t>Apo-12'-Violaxanthal</t>
  </si>
  <si>
    <t>HMDB0034953</t>
  </si>
  <si>
    <t>C\C(C=O)=C\C=C\C=C(/C)\C=C\C=C(\C)/C=C/C12OC1(C)CC(O)CC2(C)C</t>
  </si>
  <si>
    <t>CAXVJDRXJFKYQP-RXCALXPUSA-N</t>
  </si>
  <si>
    <t>C25H34O3</t>
  </si>
  <si>
    <t>6.02_656.3055m/z</t>
  </si>
  <si>
    <t>Rifamycin W</t>
  </si>
  <si>
    <t>LMPK05000008</t>
  </si>
  <si>
    <t>C12247</t>
  </si>
  <si>
    <t>C12C(=O)C=C3NC(=O)C(C)=CC=C[C@H](C)[C@@H]([C@@H](C)[C@@H](O)[C@@H](C)[C@H](O)[C@H](C)[C@@H](O)C(CO)C=C(C(=O)C1=C(O)C(=C(O)C=2C3=O)C)C)O</t>
  </si>
  <si>
    <t>PHKOJKSYBBXXED-QZNTXWAZSA-N</t>
  </si>
  <si>
    <t>C35H45NO11</t>
  </si>
  <si>
    <t>5.60_565.2210m/z</t>
  </si>
  <si>
    <t>Physalolactone C</t>
  </si>
  <si>
    <t>HMDB0030142</t>
  </si>
  <si>
    <t>92594-02-0</t>
  </si>
  <si>
    <t>CC1=C(C)C(=O)OC(C1)C(C)(O)C1(O)CC=C2C3CC(Cl)C4(O)C(O)C=CC(=O)C4(C)C3CCC12C</t>
  </si>
  <si>
    <t>BSLUVQZIEQFEOT-UHFFFAOYSA-N</t>
  </si>
  <si>
    <t>C28H37ClO7</t>
  </si>
  <si>
    <t>8.38_676.3882m/z</t>
  </si>
  <si>
    <t>Fumonisin C4</t>
  </si>
  <si>
    <t>LMSP01080030</t>
  </si>
  <si>
    <t>C(N)[C@@H](O)CCCCCCCC[C@H](C)C[C@H](OC(=O)C[C@H](C(O)=O)CC(=O)O)[C@H](OC(=O)C[C@H](C(O)=O)CC(=O)O)[C@H](C)CCCC</t>
  </si>
  <si>
    <t>XRBVYXJCGATDLV-RVOPWPSLSA-N</t>
  </si>
  <si>
    <t>Hexacarboxylic acids and derivatives</t>
  </si>
  <si>
    <t>C33H57NO13</t>
  </si>
  <si>
    <t>9.17_283.1525m/z</t>
  </si>
  <si>
    <t>Arginylglutamine</t>
  </si>
  <si>
    <t>HMDB0028707</t>
  </si>
  <si>
    <t>2483-17-2</t>
  </si>
  <si>
    <t>N[C@@H](CCCNC(N)=N)C(=O)N[C@@H](CCC(N)=O)C(O)=O</t>
  </si>
  <si>
    <t>PMGDADKJMCOXHX-BQBZGAKWSA-N</t>
  </si>
  <si>
    <t>C11H22N6O4</t>
  </si>
  <si>
    <t>6.66_241.1582m/z</t>
  </si>
  <si>
    <t>Cicutoxin</t>
  </si>
  <si>
    <t>LMFA05000647</t>
  </si>
  <si>
    <t>C08402</t>
  </si>
  <si>
    <t>505-75-9</t>
  </si>
  <si>
    <t>O[C@@H](/C=C/C=C/C=C/C#CC#CCCCO)CCC</t>
  </si>
  <si>
    <t>FQVNSJQTSOVRKZ-JNRDBWBESA-N</t>
  </si>
  <si>
    <t>C17H22O2</t>
  </si>
  <si>
    <t>3.86_547.1664m/z</t>
  </si>
  <si>
    <t>Inolitazone</t>
  </si>
  <si>
    <t>HMDB0253489</t>
  </si>
  <si>
    <t>CN1C(COC2=CC=C(CC3SC(=O)NC3=O)C=C2)=NC2=CC=C(OC3=CC(C)=C(N)C(C)=C3)C=C12</t>
  </si>
  <si>
    <t>JCYNMRJCUYVDBC-UHFFFAOYSA-N</t>
  </si>
  <si>
    <t>C27H26N4O4S</t>
  </si>
  <si>
    <t>11.21_631.2874m/z</t>
  </si>
  <si>
    <t>Aplysiatoxin, 17-Debromo-</t>
  </si>
  <si>
    <t>HMDB0248517</t>
  </si>
  <si>
    <t>COC(CCC(C)C1OC23CC(OC(=O)CC(OC(=O)CC(O)(O2)C(C)CC3(C)C)C(C)O)C1C)C1=CC=CC(O)=C1</t>
  </si>
  <si>
    <t>REAZZDPREXHWNV-UHFFFAOYSA-N</t>
  </si>
  <si>
    <t>C32H48O10</t>
  </si>
  <si>
    <t>10.28_745.3570m/z</t>
  </si>
  <si>
    <t>Hovenidulcioside A2</t>
  </si>
  <si>
    <t>HMDB0041029</t>
  </si>
  <si>
    <t>171499-80-2</t>
  </si>
  <si>
    <t>CC(C(CC1OC(=O)C(C)=C1)OC(C)=O)C1CCC2C3(C)CCC(OC4OC(CO)C(O)C(O)C4O)C(C)(C)C3CCC2(C)C11COC(=O)C1</t>
  </si>
  <si>
    <t>QYJNHCJKVKCJTN-UHFFFAOYSA-N</t>
  </si>
  <si>
    <t>C38H58O12</t>
  </si>
  <si>
    <t>11.84_377.1422m/z</t>
  </si>
  <si>
    <t>Pradofloxacin</t>
  </si>
  <si>
    <t>HMDB0256725</t>
  </si>
  <si>
    <t>OC(=O)C1=CN(C2CC2)C2=C(C#N)C(N3CC4CCCNC4C3)=C(F)C=C2C1=O</t>
  </si>
  <si>
    <t>LZLXHGFNOWILIY-UHFFFAOYSA-N</t>
  </si>
  <si>
    <t>C21H21FN4O3</t>
  </si>
  <si>
    <t>1.22_259.0424m/z</t>
  </si>
  <si>
    <t>Thiophene-4,5-Epoxide</t>
  </si>
  <si>
    <t>HMDB0060925</t>
  </si>
  <si>
    <t>CC(C(O)=O)C1=CC=C(C=C1)C(=O)C1=CC2OC2S1</t>
  </si>
  <si>
    <t>SDGBIPHZPNRUFG-UHFFFAOYSA-N</t>
  </si>
  <si>
    <t>9.75_461.2533m/z</t>
  </si>
  <si>
    <t>5beta-Hydroxybufotalin</t>
  </si>
  <si>
    <t>LMST01130022</t>
  </si>
  <si>
    <t>C1[C@]2(C)[C@@]3([H])CC[C@]4(C)[C@@]([H])(C5=COC(=O)C=C5)[C@@H](OC(=O)C)C[C@]4(O)[C@]3([H])CC[C@]2(O)C[C@@H](O)C1</t>
  </si>
  <si>
    <t>XXFFZCKSFHQEMN-JPDWBOAPSA-N</t>
  </si>
  <si>
    <t>C26H36O7</t>
  </si>
  <si>
    <t>10.77_556.3765n</t>
  </si>
  <si>
    <t>3beta,15alpha-Diacetoxylanosta-8,24-Dien-26-Oic Acid</t>
  </si>
  <si>
    <t>HMDB0036442</t>
  </si>
  <si>
    <t>117842-20-3</t>
  </si>
  <si>
    <t>CC(CC\C=C(\C)C(O)=O)C1CC(OC(C)=O)C2(C)C3=C(CCC12C)C1(C)CCC(OC(C)=O)C(C)(C)C1CC3</t>
  </si>
  <si>
    <t>FFHZCNIREJAVOS-MTJSOVHGSA-N</t>
  </si>
  <si>
    <t>C34H52O6</t>
  </si>
  <si>
    <t>5.54_582.3057m/z</t>
  </si>
  <si>
    <t>3,8-Divinyl-2,7,12,18-Tetramethyl-21h,22h,23h,24h-Porphyrin-13,17-Dipropanoic Acid</t>
  </si>
  <si>
    <t>HMDB0260018</t>
  </si>
  <si>
    <t>CC1=C(CCC(O)=O)/C2=C/C3=C(CCC(O)=O)C(C)=C(N3)\C=C3/N\C(=C/C4=C(C)C(C=C)=C(N4)\C=C\1/N\2)C(C=C)=C3C</t>
  </si>
  <si>
    <t>YLWVQFBYKLFJMB-UJJXFSCMSA-N</t>
  </si>
  <si>
    <t>C34H36N4O4</t>
  </si>
  <si>
    <t>5.06_891.5062m/z</t>
  </si>
  <si>
    <t>Koryoginsenoside R1</t>
  </si>
  <si>
    <t>HMDB0041351</t>
  </si>
  <si>
    <t>171674-97-8</t>
  </si>
  <si>
    <t>C\C=C\C(=O)OCC1OC(OC2CC3(C)C(CC(O)C4C(CCC34C)C(C)(CCC=C(C)C)OC3OC(CO)C(O)C(O)C3O)C3(C)CCC(O)C(C)(C)C23)C(O)C(O)C1O</t>
  </si>
  <si>
    <t>HMPXCABYJUUDEV-ZRDIBKRKSA-N</t>
  </si>
  <si>
    <t>C46H76O15</t>
  </si>
  <si>
    <t>2.37_168.1383m/z</t>
  </si>
  <si>
    <t>(S)-Carvone</t>
  </si>
  <si>
    <t>HMDB0004487</t>
  </si>
  <si>
    <t>C11383</t>
  </si>
  <si>
    <t>2244-16-8</t>
  </si>
  <si>
    <t>CC(=C)[C@H]1CC=C(C)C(=O)C1</t>
  </si>
  <si>
    <t>ULDHMXUKGWMISQ-VIFPVBQESA-N</t>
  </si>
  <si>
    <t>C10H14O</t>
  </si>
  <si>
    <t>9.82_878.4648m/z</t>
  </si>
  <si>
    <t>PA(20:5(5Z,8Z,11Z,14Z,17Z)/LTE4)</t>
  </si>
  <si>
    <t>HMDB0265377</t>
  </si>
  <si>
    <t>CCCCC\C=C/C\C=C/C=C/C=C/[C@@H](SC[C@H](N)C(=O)O[C@H](COC(=O)CCC\C=C/C\C=C/C\C=C/C\C=C/C\C=C/CC)COP(O)(O)=O)[C@@H](O)CCCC(O)=O</t>
  </si>
  <si>
    <t>WMHKRTQZOROSKI-YVIGKPKNSA-N</t>
  </si>
  <si>
    <t>C46H72NO11PS</t>
  </si>
  <si>
    <t>4.79_581.2392m/z</t>
  </si>
  <si>
    <t>Biliverdin-Ix-Alpha</t>
  </si>
  <si>
    <t>HMDB0304275</t>
  </si>
  <si>
    <t>CC1=C(C=C)C(NC1=O)=CC1=C(C)C(CCC([O-])=O)=C(N1)C=C1N=C(C=C2NC(=O)C(C=C)=C2C)C(C)=C1CCC([O-])=O</t>
  </si>
  <si>
    <t>QBUVFDKTZJNUPP-UHFFFAOYSA-L</t>
  </si>
  <si>
    <t>Bilirubins</t>
  </si>
  <si>
    <t>C33H32N4O6-2</t>
  </si>
  <si>
    <t>3.75_313.0661n</t>
  </si>
  <si>
    <t>Phosphoribosylformylglycinamidine</t>
  </si>
  <si>
    <t>HMDB0000999</t>
  </si>
  <si>
    <t>37721-04-3</t>
  </si>
  <si>
    <t>NC(=N)CN(C=O)[C@@H]1O[C@H](COP(O)(O)=O)[C@@H](O)[C@H]1O</t>
  </si>
  <si>
    <t>WQXXBAWHDQWCKL-XVFCMESISA-N</t>
  </si>
  <si>
    <t>C8H16N3O8P</t>
  </si>
  <si>
    <t>11.18_590.3822n</t>
  </si>
  <si>
    <t>Lasalocid</t>
  </si>
  <si>
    <t>HMDB0253985</t>
  </si>
  <si>
    <t>CCC(C1OC(CC)(CC1C)C1CCC(O)(CC)C(C)O1)C(=O)C(C)C(O)C(C)CCC1=CC=C(C)C(O)=C1C(O)=O</t>
  </si>
  <si>
    <t>BBMULGJBVDDDNI-UHFFFAOYSA-N</t>
  </si>
  <si>
    <t>C34H54O8</t>
  </si>
  <si>
    <t>1.27_286.9721m/z</t>
  </si>
  <si>
    <t>Perfluorovaleric Acid</t>
  </si>
  <si>
    <t>HMDB0256331</t>
  </si>
  <si>
    <t>OC(=O)C(F)(F)C(F)(F)C(F)(F)C(F)(F)F</t>
  </si>
  <si>
    <t>CXZGQIAOTKWCDB-UHFFFAOYSA-N</t>
  </si>
  <si>
    <t>C5HF9O2</t>
  </si>
  <si>
    <t>6.47_411.2888m/z</t>
  </si>
  <si>
    <t>MG(19:0/0:0/0:0)</t>
  </si>
  <si>
    <t>HMDB0072839</t>
  </si>
  <si>
    <t>[H][C@@](O)(CO)COC(=O)CCCCCCCCCCCCCCCCCC</t>
  </si>
  <si>
    <t>WWTTXMMZHOBTAM-OAQYLSRUSA-N</t>
  </si>
  <si>
    <t>C22H44O4</t>
  </si>
  <si>
    <t>3.86_232.0580m/z</t>
  </si>
  <si>
    <t>3-Carbamoyl-2-Phenylpropionic Acid</t>
  </si>
  <si>
    <t>HMDB0060367</t>
  </si>
  <si>
    <t>C16591</t>
  </si>
  <si>
    <t>ko00982</t>
  </si>
  <si>
    <t>Drug metabolism - cytochrome P450</t>
  </si>
  <si>
    <t>OC(=N)OCC(C(O)=O)C1=CC=CC=C1</t>
  </si>
  <si>
    <t>AYRIVCKWIAUVOO-UHFFFAOYSA-N</t>
  </si>
  <si>
    <t>C10H11NO4</t>
  </si>
  <si>
    <t>3.29_320.1398m/z</t>
  </si>
  <si>
    <t>Tetraethyl Ethylenebisphosphonate</t>
  </si>
  <si>
    <t>CCOP(=O)(CCP(=O)(OCC)OCC)OCC</t>
  </si>
  <si>
    <t>RSQYXXACEZCDFS-UHFFFAOYSA-N</t>
  </si>
  <si>
    <t>Phosphonic acid diesters</t>
  </si>
  <si>
    <t>C10H24O6P2</t>
  </si>
  <si>
    <t>11.89_267.2679m/z</t>
  </si>
  <si>
    <t>3z,13z-Octadecadien-1-Ol</t>
  </si>
  <si>
    <t>LMFA05000047</t>
  </si>
  <si>
    <t>C(=C/CCCCCCCC/C=C\CCCC)/CCO</t>
  </si>
  <si>
    <t>QBNCGBJHGBGHLS-NCCHCWSYSA-N</t>
  </si>
  <si>
    <t>C18H34O</t>
  </si>
  <si>
    <t>9.27_754.3770m/z</t>
  </si>
  <si>
    <t>Okoha-Pi</t>
  </si>
  <si>
    <t>LMGP20050025</t>
  </si>
  <si>
    <t>[C@]([H])(OC(CCC(=O)/C=C/C=O)=O)(COP(=O)(O)O[C@H]1[C@H](O)[C@@H](O)[C@H](O)[C@@H](O)[C@H]1O)COC(CCCCCCC/C=C\CCCCCCCC)=O</t>
  </si>
  <si>
    <t>VKIRESWKTTXAND-QBWBRGFYSA-N</t>
  </si>
  <si>
    <t>C34H57O15P</t>
  </si>
  <si>
    <t>7.69_549.3279m/z</t>
  </si>
  <si>
    <t>Rphdhd</t>
  </si>
  <si>
    <t>HMDB0257327</t>
  </si>
  <si>
    <t>CCCCCCCC(CC(=O)OC(CCCCCCC)CC(O)=O)OC1OC(C)C(O)C(O)C1O</t>
  </si>
  <si>
    <t>PPMPLIBYTIWXPG-UHFFFAOYSA-N</t>
  </si>
  <si>
    <t>C26H48O9</t>
  </si>
  <si>
    <t>8.49_574.3008m/z</t>
  </si>
  <si>
    <t>Nummularine B</t>
  </si>
  <si>
    <t>HMDB0029334</t>
  </si>
  <si>
    <t>53947-96-9</t>
  </si>
  <si>
    <t>[H][C@]12CCN(C(=O)[C@@H](NC(=O)[C@H](C)NC)C(C)C)[C@]1([H])C(=O)N[C@H](CC1=CC=CC=C1)C(=O)N\C=C/C1=C(OC)C=CC(O2)=C1</t>
  </si>
  <si>
    <t>ZAVCUVYFGQXSRX-LKYPGTOMSA-N</t>
  </si>
  <si>
    <t>C32H41N5O6</t>
  </si>
  <si>
    <t>15.02_642.5298m/z</t>
  </si>
  <si>
    <t>Rollinecin A</t>
  </si>
  <si>
    <t>HMDB0030438</t>
  </si>
  <si>
    <t>177861-02-8</t>
  </si>
  <si>
    <t>CCCCCCCCCCCCC(O)C1CCC(O1)C(O)CCC(O)CCCCCCCCCC(O)CC1=CC(C)OC1=O</t>
  </si>
  <si>
    <t>XNZJLZFJXAKNCP-UHFFFAOYSA-N</t>
  </si>
  <si>
    <t>C37H68O7</t>
  </si>
  <si>
    <t>8.71_718.3073m/z</t>
  </si>
  <si>
    <t>Z-Vdvad-Fmk</t>
  </si>
  <si>
    <t>HMDB0259976</t>
  </si>
  <si>
    <t>COC(=O)CC(NC(=O)C(C)NC(=O)C(NC(=O)C(CC(=O)OC)NC(=O)C(NC(=O)OCC1=CC=CC=C1)C(C)C)C(C)C)C(=O)CF</t>
  </si>
  <si>
    <t>ANTIWMNLIROOQF-UHFFFAOYSA-N</t>
  </si>
  <si>
    <t>C32H46FN5O11</t>
  </si>
  <si>
    <t>9.71_435.2718m/z</t>
  </si>
  <si>
    <t>MG(20:3(8Z,11Z,14Z)-2OH(5,6)/0:0/0:0)</t>
  </si>
  <si>
    <t>HMDB0260484</t>
  </si>
  <si>
    <t>CCCCC\C=C/C\C=C/C\C=C/CC(O)C(O)CCCC(=O)OC[C@@H](O)CO</t>
  </si>
  <si>
    <t>YCLXOOLVRWWHCL-YHSFAXLYSA-N</t>
  </si>
  <si>
    <t>C23H40O6</t>
  </si>
  <si>
    <t>10.15_343.2266m/z</t>
  </si>
  <si>
    <t>14s,21s-Dihdha</t>
  </si>
  <si>
    <t>LMFA04000054</t>
  </si>
  <si>
    <t>C(CC/C=C\C/C=C\C/C=C\C=C\[C@@H](O)C/C=C\C/C=C\[C@@H](O)C)(=O)O</t>
  </si>
  <si>
    <t>FRJZMMUVPROLHN-PPFGPZQYSA-N</t>
  </si>
  <si>
    <t>5.69_551.1767m/z</t>
  </si>
  <si>
    <t>Diosbulbinoside D</t>
  </si>
  <si>
    <t>HMDB0030084</t>
  </si>
  <si>
    <t>66756-59-0</t>
  </si>
  <si>
    <t>[H][C@@]12C[C@@H]3C[C@@H](C(=O)O3)C1=C(C[C@]1([H])C(=O)O[C@@H](C[C@@]21C)C1=COC=C1)O[C@@H]1O[C@H](CO)[C@@H](O)[C@H](O)[C@H]1O</t>
  </si>
  <si>
    <t>KXNADXBKEHOTDP-DRXALLTBSA-N</t>
  </si>
  <si>
    <t>1.84_503.1403m/z</t>
  </si>
  <si>
    <t>12-Hydroxynevirapine Glucuronide</t>
  </si>
  <si>
    <t>HMDB0060705</t>
  </si>
  <si>
    <t>CC1=C2N=C(OC3O[C@@H]([C@@H](O)[C@H](O)[C@H]3O)C(O)=O)C3=C(N=CC=C3)N(C3CC3O)C2=NC=C1</t>
  </si>
  <si>
    <t>UVZMQJUCOZEMQZ-RDPCRGLVSA-N</t>
  </si>
  <si>
    <t>C21H22N4O8</t>
  </si>
  <si>
    <t>3.60_516.1249n</t>
  </si>
  <si>
    <t>2'',3''-Diacetylcosmosiin</t>
  </si>
  <si>
    <t>HMDB0037343</t>
  </si>
  <si>
    <t>84323-20-6</t>
  </si>
  <si>
    <t>CC(=O)OC1C(O)C(CO)OC(OC2=CC(O)=C3C(=O)C=C(OC3=C2)C2=CC=C(O)C=C2)C1OC(C)=O</t>
  </si>
  <si>
    <t>RLRNEHZJFFGOEN-UHFFFAOYSA-N</t>
  </si>
  <si>
    <t>C25H24O12</t>
  </si>
  <si>
    <t>7.45_527.1919m/z</t>
  </si>
  <si>
    <t>Physalin L</t>
  </si>
  <si>
    <t>HMDB0034341</t>
  </si>
  <si>
    <t>C01692</t>
  </si>
  <si>
    <t>113146-74-0</t>
  </si>
  <si>
    <t>CC1C(=O)OC2CC1(C)C1C(=O)C3(O)OC11C2(C)OC(=O)C1(O)CCC1C3C(O)C=C2C=CCC(=O)C12C</t>
  </si>
  <si>
    <t>CUSXWWXXAPEFHY-UHFFFAOYSA-N</t>
  </si>
  <si>
    <t>C28H32O10</t>
  </si>
  <si>
    <t>11.44_611.3559m/z</t>
  </si>
  <si>
    <t>Dmap-Ethyl-Paf</t>
  </si>
  <si>
    <t>HMDB0251534</t>
  </si>
  <si>
    <t>CCCCCCCCCCCCCCCCOCC(COP([O-])OCC[N+]1=CC(=O)C(C=C1)N(C)C)OCC</t>
  </si>
  <si>
    <t>FTTDBZNMICPROO-UHFFFAOYSA-N</t>
  </si>
  <si>
    <t>C30H57N2O6P</t>
  </si>
  <si>
    <t>9.89_731.3106m/z</t>
  </si>
  <si>
    <t>Rilpivirine</t>
  </si>
  <si>
    <t>HMDB0061725</t>
  </si>
  <si>
    <t>CC1=CC(\C=C\C#N)=CC(C)=C1NC1=NC(NC2=CC=C(C=C2)C#N)=NC=C1</t>
  </si>
  <si>
    <t>YIBOMRUWOWDFLG-ONEGZZNKSA-N</t>
  </si>
  <si>
    <t>Benzonitriles</t>
  </si>
  <si>
    <t>C22H18N6</t>
  </si>
  <si>
    <t>11.28_935.5216m/z</t>
  </si>
  <si>
    <t>Hydroxyrepaglinide</t>
  </si>
  <si>
    <t>HMDB0060979</t>
  </si>
  <si>
    <t>CCOC1=C(C=CC(CC(O)=NC(CC(C)C)C2=CC=CC=C2N2CCCC(O)C2)=C1)C(O)=O</t>
  </si>
  <si>
    <t>OBMAZJVHPAVADF-UHFFFAOYSA-N</t>
  </si>
  <si>
    <t>C27H36N2O5</t>
  </si>
  <si>
    <t>5.13_514.2146m/z</t>
  </si>
  <si>
    <t>Alpha-Trisaccharide</t>
  </si>
  <si>
    <t>HMDB0006595</t>
  </si>
  <si>
    <t>49777-13-1</t>
  </si>
  <si>
    <t>C[C@@H]1O[C@@H](OC[C@@](C)(O[C@H]2O[C@H](CO)[C@H](O)[C@H](O)[C@H]2NC(C)=O)[C@@H](O)[C@H](O)CO)[C@@H](O)[C@H](O)[C@@H]1O</t>
  </si>
  <si>
    <t>PWFTYELYTFERRB-VPTTUCOCSA-N</t>
  </si>
  <si>
    <t>C20H37NO14</t>
  </si>
  <si>
    <t>10.66_634.3336m/z</t>
  </si>
  <si>
    <t>Ohhdia-Pe</t>
  </si>
  <si>
    <t>LMGP20020043</t>
  </si>
  <si>
    <t>[C@](COP(=O)(O)OCCN)([H])(OC(CCC(O)/C=C/C(=O)O)=O)COC(CCCCCCC/C=C\CCCCCCCC)=O</t>
  </si>
  <si>
    <t>HBDOLRKWTNOIOD-HPNFKZMPSA-N</t>
  </si>
  <si>
    <t>C30H54NO11P</t>
  </si>
  <si>
    <t>8.80_788.3280m/z</t>
  </si>
  <si>
    <t>Docetaxel</t>
  </si>
  <si>
    <t>HMDB0015378</t>
  </si>
  <si>
    <t>C11231</t>
  </si>
  <si>
    <t>114977-28-5</t>
  </si>
  <si>
    <t>[H][C@@]12C[C@H](O)[C@@]3(C)C(=O)[C@H](O)C4=C(C)[C@H](C[C@@](O)([C@@H](OC(=O)C5=CC=CC=C5)[C@]3([H])[C@@]1(CO2)OC(C)=O)C4(C)C)OC(=O)[C@H](O)[C@@H](NC(=O)OC(C)(C)C)C1=CC=CC=C1</t>
  </si>
  <si>
    <t>ZDZOTLJHXYCWBA-VCVYQWHSSA-N</t>
  </si>
  <si>
    <t>C43H53NO14</t>
  </si>
  <si>
    <t>4.02_207.1855m/z</t>
  </si>
  <si>
    <t>Cuscohygrine</t>
  </si>
  <si>
    <t>HMDB0030290</t>
  </si>
  <si>
    <t>C06521</t>
  </si>
  <si>
    <t>ko00960</t>
  </si>
  <si>
    <t>Tropane, piperidine and pyridine alkaloid biosynthesis</t>
  </si>
  <si>
    <t>454-14-8</t>
  </si>
  <si>
    <t>CN1CCCC1CC(=O)CC1CCCN1C</t>
  </si>
  <si>
    <t>ZEBIACKKLGVLFZ-UHFFFAOYSA-N</t>
  </si>
  <si>
    <t>C13H24N2O</t>
  </si>
  <si>
    <t>4.03_803.3485m/z</t>
  </si>
  <si>
    <t>LPIM1(18:2(9Z,12Z)/0:0)</t>
  </si>
  <si>
    <t>LMGP15040005</t>
  </si>
  <si>
    <t>[C@](COP(O[C@H]1[C@@H](O)[C@@H](O)[C@H](O)[C@@H](O)[C@@H]1O[C@@H]1[C@@H](O)[C@@H](O)[C@H](O)[C@@H](CO)O1)(=O)O)([H])(O)COC(CCCCCCC/C=C\C/C=C\CCCCC)=O</t>
  </si>
  <si>
    <t>PIBNAUWISYGQJI-LOKITQQCSA-N</t>
  </si>
  <si>
    <t>C33H59O17P</t>
  </si>
  <si>
    <t>14.66_615.4951m/z</t>
  </si>
  <si>
    <t>Dg(14:0/20:2(11z,14z)/0:0)[Iso2]</t>
  </si>
  <si>
    <t>HMDB0007022</t>
  </si>
  <si>
    <t>LMGL02010390</t>
  </si>
  <si>
    <t>OC[C@]([H])(OC(CCCCCCCCC/C=C\C/C=C\CCCCC)=O)COC(CCCCCCCCCCCCC)=O</t>
  </si>
  <si>
    <t>YGOMWJXISJKIPY-CJZWHCSYSA-N</t>
  </si>
  <si>
    <t>C37H68O5</t>
  </si>
  <si>
    <t>9.77_405.2246m/z</t>
  </si>
  <si>
    <t>Cortisol 21-Acetate</t>
  </si>
  <si>
    <t>LMST02030093</t>
  </si>
  <si>
    <t>C02821</t>
  </si>
  <si>
    <t>[C@]12(C)C[C@@H]([C@]3([H])[C@@]4(C)CCC(=O)C=C4CC[C@@]3([H])[C@]1([H])CC[C@]2(O)C(=O)COC(=O)C)O</t>
  </si>
  <si>
    <t>ALEXXDVDDISNDU-JZYPGELDSA-N</t>
  </si>
  <si>
    <t>C23H32O6</t>
  </si>
  <si>
    <t>7.18_794.3027m/z</t>
  </si>
  <si>
    <t>Dpp-Ii</t>
  </si>
  <si>
    <t>HMDB0251612</t>
  </si>
  <si>
    <t>CCCCN1C(=O)C2=C(N(CCCC)C(=O)C2=C1C1=CC=C(C=C1)C1=CC=C(S1)C=O)C1=CC=C(C=C1)C1=CC=C(C=C1)N(C1=CC=C(OC)C=C1)C1=CC=C(OC)C=C1</t>
  </si>
  <si>
    <t>JGPBSLJDFKGWQK-UHFFFAOYSA-N</t>
  </si>
  <si>
    <t>C51H47N3O5S</t>
  </si>
  <si>
    <t>4.41_389.2166m/z</t>
  </si>
  <si>
    <t>Kiwiionoside</t>
  </si>
  <si>
    <t>HMDB0038691</t>
  </si>
  <si>
    <t>141897-12-3</t>
  </si>
  <si>
    <t>CC(O)\C=C\C1(O)C(C)(C)CC(CC1(C)O)OC1OC(CO)C(O)C(O)C1O</t>
  </si>
  <si>
    <t>SGUOENJPMRQEMJ-AATRIKPKSA-N</t>
  </si>
  <si>
    <t>1.09_127.0389m/z</t>
  </si>
  <si>
    <t>1,2,3-Trihydroxybenzene</t>
  </si>
  <si>
    <t>HMDB0013674</t>
  </si>
  <si>
    <t>C01108</t>
  </si>
  <si>
    <t>87-66-1</t>
  </si>
  <si>
    <t>[H]OC1=CC=CC(O[H])=C1O[H]</t>
  </si>
  <si>
    <t>WQGWDDDVZFFDIG-UHFFFAOYSA-N</t>
  </si>
  <si>
    <t>C6H6O3</t>
  </si>
  <si>
    <t>4.22_395.1921m/z</t>
  </si>
  <si>
    <t>Metharbital</t>
  </si>
  <si>
    <t>HMDB0014606</t>
  </si>
  <si>
    <t>50-11-3</t>
  </si>
  <si>
    <t>CCC1(CC)C(=O)NC(=O)N(C)C1=O</t>
  </si>
  <si>
    <t>FWJKNZONDWOGMI-UHFFFAOYSA-N</t>
  </si>
  <si>
    <t>C9H14N2O3</t>
  </si>
  <si>
    <t>6.07_447.1655m/z</t>
  </si>
  <si>
    <t>Clusin</t>
  </si>
  <si>
    <t>HMDB0029542</t>
  </si>
  <si>
    <t>86992-94-1</t>
  </si>
  <si>
    <t>COC1=CC(CC2C(CC3=CC4=C(OCO4)C=C3)COC2O)=CC(OC)=C1OC</t>
  </si>
  <si>
    <t>SOCNBZCAGNYAED-UHFFFAOYSA-N</t>
  </si>
  <si>
    <t>C22H26O7</t>
  </si>
  <si>
    <t>9.71_807.4475m/z</t>
  </si>
  <si>
    <t>MGDG(18:5(3Z,6Z,9Z,12Z,15Z)/18:4(6Z,9Z,12Z,15Z))</t>
  </si>
  <si>
    <t>LMGL05010011</t>
  </si>
  <si>
    <t>C(O[C@H]1[C@H](O)[C@@H](O)[C@@H](O)[C@@H](CO)O1)[C@]([H])(OC(CCCC/C=C\C/C=C\C/C=C\C/C=C\CC)=O)COC(C/C=C\C/C=C\C/C=C\C/C=C\C/C=C\CC)=O</t>
  </si>
  <si>
    <t>UORRAKMCELTARB-SQKRHONHSA-N</t>
  </si>
  <si>
    <t>C45H68O10</t>
  </si>
  <si>
    <t>5.34_515.1924m/z</t>
  </si>
  <si>
    <t>8-Hydroxycarapinic Acid</t>
  </si>
  <si>
    <t>CC1(C(C2(C3CCC4(C(OC(=O)C=C4C3(CC(C1=O)C2=O)O)C5=COC=C5)C)C)CC(=O)O)C</t>
  </si>
  <si>
    <t>UKTUQKGXNWDYAI-JBRIXVCHSA-N</t>
  </si>
  <si>
    <t>C26H30O8</t>
  </si>
  <si>
    <t>12.06_281.2473m/z</t>
  </si>
  <si>
    <t>17-Home(9z)</t>
  </si>
  <si>
    <t>LMFA02000180</t>
  </si>
  <si>
    <t>C(CCCCCCC/C=C\CCCCCCC(O)C)(=O)O</t>
  </si>
  <si>
    <t>UMIZOHMCQYCZRX-IHWYPQMZSA-N</t>
  </si>
  <si>
    <t>3.40_322.0807m/z</t>
  </si>
  <si>
    <t>Thymidine 3',5'-Cyclic Monophosphate</t>
  </si>
  <si>
    <t>HMDB0001570</t>
  </si>
  <si>
    <t>C00364</t>
  </si>
  <si>
    <t>ko00240,ko01523</t>
  </si>
  <si>
    <t>Pyrimidine metabolism|Antifolate resistance</t>
  </si>
  <si>
    <t>6453-60-7</t>
  </si>
  <si>
    <t>CC1=CN([C@H]2CC3OP(O)(=O)OCC3O2)C(=O)NC1=O</t>
  </si>
  <si>
    <t>QSJFDOVQWZVUQG-KAVNDROISA-N</t>
  </si>
  <si>
    <t>C10H13N2O7P</t>
  </si>
  <si>
    <t>0.74_503.1608m/z</t>
  </si>
  <si>
    <t>Melezitose</t>
  </si>
  <si>
    <t>HMDB0011730</t>
  </si>
  <si>
    <t>C08243</t>
  </si>
  <si>
    <t>597-12-6</t>
  </si>
  <si>
    <t>OC[C@H]1O[C@@](CO)(O[C@H]2O[C@H](CO)[C@@H](O)[C@H](O)[C@H]2O)[C@@H](O[C@H]2O[C@H](CO)[C@@H](O)[C@H](O)[C@H]2O)[C@@H]1O</t>
  </si>
  <si>
    <t>QWIZNVHXZXRPDR-WSCXOGSTSA-N</t>
  </si>
  <si>
    <t>4.67_565.1921m/z</t>
  </si>
  <si>
    <t>(-)-Pinoresinol</t>
  </si>
  <si>
    <t>HMDB0301807</t>
  </si>
  <si>
    <t>C17529</t>
  </si>
  <si>
    <t>81446-29-9</t>
  </si>
  <si>
    <t>[H][C@@]12CO[C@@H](C3=CC=C(O)C(OC)=C3)[C@]1([H])CO[C@H]2C1=CC(OC)=C(O[C@@H]2O[C@H](CO)[C@@H](O)[C@H](O)[C@H]2O)C=C1</t>
  </si>
  <si>
    <t>QLJNETOQFQXTLI-JKUDBEEXSA-N</t>
  </si>
  <si>
    <t>9.39_695.2672m/z</t>
  </si>
  <si>
    <t>Riboflavine 2',3',4',5'-Tetrabutanoate</t>
  </si>
  <si>
    <t>HMDB0034433</t>
  </si>
  <si>
    <t>752-56-7</t>
  </si>
  <si>
    <t>CCCC(=O)OCC(OC(=O)CCC)C(OC(=O)CCC)C(CN1C2=C(C=C(C)C(C)=C2)N=C2C(=O)NC(=O)N=C12)OC(=O)CCC</t>
  </si>
  <si>
    <t>MJNIWUJSIGSWKK-UHFFFAOYSA-N</t>
  </si>
  <si>
    <t>C33H44N4O10</t>
  </si>
  <si>
    <t>4.29_795.3651m/z</t>
  </si>
  <si>
    <t>6-[3-(1-Adamantyl)-4-Hydroxyphenyl]-2-Naphthalenecarboxylic Acid</t>
  </si>
  <si>
    <t>HMDB0244485</t>
  </si>
  <si>
    <t>OC(=O)C1=CC2=C(C=C1)C=C(C=C2)C1=CC(=C(O)C=C1)C12CC3CC(CC(C3)C1)C2</t>
  </si>
  <si>
    <t>LDGIHZJOIQSHPB-UHFFFAOYSA-N</t>
  </si>
  <si>
    <t>Phenylnaphthalenes</t>
  </si>
  <si>
    <t>C27H26O3</t>
  </si>
  <si>
    <t>7.20_667.2602m/z</t>
  </si>
  <si>
    <t>Secoisolariciresinol 9,9'-Diglucoside</t>
  </si>
  <si>
    <t>HMDB0036323</t>
  </si>
  <si>
    <t>COC1=CC(CC(COC2OC(CO)C(O)C(O)C2O)C(COC2OC(CO)C(O)C(O)C2O)CC2=CC(OC)=C(O)C=C2)=CC=C1O</t>
  </si>
  <si>
    <t>SBVBJPHMDABKJV-UHFFFAOYSA-N</t>
  </si>
  <si>
    <t>12.52_270.2789m/z</t>
  </si>
  <si>
    <t>2,6,8,12-Tetramethyl-2,4-Tridecadien-1-Ol</t>
  </si>
  <si>
    <t>LMFA05000170</t>
  </si>
  <si>
    <t>OC/C(/C)=C/C=C/C(C)CC(C)CCCC(C)C</t>
  </si>
  <si>
    <t>LLOCFLMXYHTSSX-NRHDHWSESA-N</t>
  </si>
  <si>
    <t>C17H32O</t>
  </si>
  <si>
    <t>5.28_534.3043m/z</t>
  </si>
  <si>
    <t>Lucidenic Acid E2</t>
  </si>
  <si>
    <t>HMDB0036434</t>
  </si>
  <si>
    <t>98665-17-9</t>
  </si>
  <si>
    <t>CC(CCC(O)=O)C1CC(=O)C2(C)C3=C(C(=O)C(OC(C)=O)C12C)C1(C)CCC(O)C(C)(C)C1CC3=O</t>
  </si>
  <si>
    <t>ASPCIAWQVXVATP-UHFFFAOYSA-N</t>
  </si>
  <si>
    <t>C29H40O8</t>
  </si>
  <si>
    <t>3.99_368.1681n</t>
  </si>
  <si>
    <t>(2s)-2-Butanol O-[B-D-Apiofuranosyl-(1-&gt;6)-B-D-Glucopyranoside]</t>
  </si>
  <si>
    <t>HMDB0041255</t>
  </si>
  <si>
    <t>CCC(C)OC1OC(COC2OCC(O)(CO)C2O)C(O)C(O)C1O</t>
  </si>
  <si>
    <t>DANFNCOJRRFMIO-UHFFFAOYSA-N</t>
  </si>
  <si>
    <t>C15H28O10</t>
  </si>
  <si>
    <t>4.52_382.1262n</t>
  </si>
  <si>
    <t>4(Rs)-4-F4t-Neurop</t>
  </si>
  <si>
    <t>CCC=CCC=CCC=CCC1C(CC(C1C=CC(CCC(=O)O)O)O)O</t>
  </si>
  <si>
    <t>XAFFULPVQSAGOV-VRKIJNPBSA-N</t>
  </si>
  <si>
    <t>C21H20NO6+</t>
  </si>
  <si>
    <t>12.36_741.4423m/z</t>
  </si>
  <si>
    <t>Tamoxifen</t>
  </si>
  <si>
    <t>HMDB0014813</t>
  </si>
  <si>
    <t>C07108</t>
  </si>
  <si>
    <t>10540-29-1</t>
  </si>
  <si>
    <t>CC\C(=C(/C1=CC=CC=C1)C1=CC=C(OCCN(C)C)C=C1)C1=CC=CC=C1</t>
  </si>
  <si>
    <t>NKANXQFJJICGDU-QPLCGJKRSA-N</t>
  </si>
  <si>
    <t>C26H29NO</t>
  </si>
  <si>
    <t>4.56_322.0686n</t>
  </si>
  <si>
    <t>Dulcisflavan</t>
  </si>
  <si>
    <t>HMDB0304616</t>
  </si>
  <si>
    <t>O[C@@H]1CC2=C(O)C(O)=C(O)C(O)=C2O[C@@H]1C1=CC(O)=C(O)C=C1</t>
  </si>
  <si>
    <t>PONGJRZSHJPTOF-YMTOWFKASA-N</t>
  </si>
  <si>
    <t>C15H14O8</t>
  </si>
  <si>
    <t>9.56_815.2766m/z</t>
  </si>
  <si>
    <t>Ginkgolide A</t>
  </si>
  <si>
    <t>LMPR0104540001</t>
  </si>
  <si>
    <t>C07601</t>
  </si>
  <si>
    <t>FPUXKXIZEIDQKW-TVPHMGRTSA-N</t>
  </si>
  <si>
    <t>1.11_247.1664m/z</t>
  </si>
  <si>
    <t>(E)-2-Hexenyl (E)-2-Octenoate</t>
  </si>
  <si>
    <t>LMFA07010590</t>
  </si>
  <si>
    <t>O=C(/C=C/CCCCC)OC/C=C/CCC</t>
  </si>
  <si>
    <t>UKRCZEFGDLZNQH-TXSAMIJNSA-N</t>
  </si>
  <si>
    <t>8.11_875.3914m/z</t>
  </si>
  <si>
    <t>Glucoconvallatoxoloside</t>
  </si>
  <si>
    <t>HMDB0030010</t>
  </si>
  <si>
    <t>CC1OC(OC2CCC3(CO)C4CCC5(C)C(CCC5(O)C4CCC3(O)C2)C2=CC(=O)OC2)C(O)C(O)C1OC1OC(CO)C(OC2OC(CO)C(O)C(O)C2O)C(O)C1O</t>
  </si>
  <si>
    <t>MJMGVGSJSVKKJC-UHFFFAOYSA-N</t>
  </si>
  <si>
    <t>C41H64O20</t>
  </si>
  <si>
    <t>6.39_575.2843m/z</t>
  </si>
  <si>
    <t>Desglucocheirotoxol</t>
  </si>
  <si>
    <t>HMDB0033828</t>
  </si>
  <si>
    <t>29336-13-8</t>
  </si>
  <si>
    <t>CC1OC(OC2CCC3(CO)C4CCC5(C)C(CCC5(O)C4CCC3(O)C2)C2=CC(=O)OC2)C(O)C(O)C1O</t>
  </si>
  <si>
    <t>UQEKVLJMBGSQGS-UHFFFAOYSA-N</t>
  </si>
  <si>
    <t>C29H44O10</t>
  </si>
  <si>
    <t>6.50_747.3329m/z</t>
  </si>
  <si>
    <t>Okodia-Pi</t>
  </si>
  <si>
    <t>LMGP20050030</t>
  </si>
  <si>
    <t>[C@]([H])(OC(CCCC(=O)/C=C/C(=O)O)=O)(COP(=O)(O)O[C@H]1[C@H](O)[C@@H](O)[C@H](O)[C@@H](O)[C@H]1O)COC(CCCCCCC/C=C\CCCCCCCC)=O</t>
  </si>
  <si>
    <t>MSJPYBMUCWDKHV-BKOFICRDSA-N</t>
  </si>
  <si>
    <t>C35H59O16P</t>
  </si>
  <si>
    <t>10.34_986.6188m/z</t>
  </si>
  <si>
    <t>MIPC(t18:0/18:0(2OH))</t>
  </si>
  <si>
    <t>LMSP03030073</t>
  </si>
  <si>
    <t>[C@](COP(=O)(O)O[C@H]1[C@H](O)[C@@H](O)[C@H](O)[C@@H](O)[C@H]1O[C@@H]1[C@@H](O)[C@@H](O)[C@H](O)[C@@H](CO)O1)([H])(NC(=O)C(O)CCCCCCCCCCCCCCCC)[C@]([H])(O)[C@H](O)CCCCCCCCCCCCCC</t>
  </si>
  <si>
    <t>PFQMCDBSNNEVRV-DJJVFJBZSA-N</t>
  </si>
  <si>
    <t>C48H94NO18P</t>
  </si>
  <si>
    <t>8.58_359.1863m/z</t>
  </si>
  <si>
    <t>Phyllane C</t>
  </si>
  <si>
    <t>LMPR0104100005</t>
  </si>
  <si>
    <t>C1C[C@@H](O)C(C)(C)C2CC[C@]3(O)C(C#C)=C(C)C(=O)C=C3[C@]12C</t>
  </si>
  <si>
    <t>BVMUWDQYNICOIK-FPNZGKMQSA-N</t>
  </si>
  <si>
    <t>C20H26O3</t>
  </si>
  <si>
    <t>0.72_432.1708m/z</t>
  </si>
  <si>
    <t>Beta-D-Xylopyranosyl-(1-&gt;5)-Alpha-L-Arabinofuranosyl-(1-&gt;3)-L-Arabinose</t>
  </si>
  <si>
    <t>HMDB0038859</t>
  </si>
  <si>
    <t>7268-42-0</t>
  </si>
  <si>
    <t>OC1C(O)C(OC2C(O)COC(O)C2O)OC1COC1OCC(O)C(O)C1O</t>
  </si>
  <si>
    <t>RBNRMSRJWILJMU-UHFFFAOYSA-N</t>
  </si>
  <si>
    <t>C15H26O13</t>
  </si>
  <si>
    <t>3.86_469.2302m/z</t>
  </si>
  <si>
    <t>Lomerizine</t>
  </si>
  <si>
    <t>HMDB0254154</t>
  </si>
  <si>
    <t>COC1=C(OC)C(OC)=C(CN2CCN(CC2)C(C2=CC=C(F)C=C2)C2=CC=C(F)C=C2)C=C1</t>
  </si>
  <si>
    <t>JQSAYKKFZOSZGJ-UHFFFAOYSA-N</t>
  </si>
  <si>
    <t>C27H30F2N2O3</t>
  </si>
  <si>
    <t>5.28_523.1822m/z</t>
  </si>
  <si>
    <t>Ligustroside</t>
  </si>
  <si>
    <t>HMDB0034751</t>
  </si>
  <si>
    <t>35897-92-8</t>
  </si>
  <si>
    <t>[H][C@]1(CC(=O)OCCC2=CC=C(O)C=C2)\C(=C\C)[C@H](O[C@@H]2O[C@H](CO)[C@@H](O)[C@H](O)[C@H]2O)OC=C1C(=O)OC</t>
  </si>
  <si>
    <t>GMQXOLRKJQWPNB-FAWHCFPASA-N</t>
  </si>
  <si>
    <t>C25H32O12</t>
  </si>
  <si>
    <t>9.80_930.4816n</t>
  </si>
  <si>
    <t>As-PL(14:0/16:0)</t>
  </si>
  <si>
    <t>LMGP14010006</t>
  </si>
  <si>
    <t>[C@](COP(=O)(O)OCC(O)CO[C@H]1[C@H](O)[C@H](O)[C@@H](C[As](C)(=O)C)O1)([H])(OC(CCCCCCCCCCCCCCC)=O)COC(CCCCCCCCCCCCC)=O</t>
  </si>
  <si>
    <t>DXMXXIAQOFZINC-UCVOOVABSA-N</t>
  </si>
  <si>
    <t>C43H84AsO14P</t>
  </si>
  <si>
    <t>9.64_786.3691m/z</t>
  </si>
  <si>
    <t>Fumonisin A2</t>
  </si>
  <si>
    <t>HMDB0034699</t>
  </si>
  <si>
    <t>117415-47-1</t>
  </si>
  <si>
    <t>CCCCC(C)C(OC(=O)CC(CC(O)=O)C(O)=O)C(CC(C)CCCCCCC(O)CC(O)C(C)NC(C)=O)OC(=O)CC(CC(O)=O)C(O)=O</t>
  </si>
  <si>
    <t>GQCJWFPDXATUKS-UHFFFAOYSA-N</t>
  </si>
  <si>
    <t>C36H61NO15</t>
  </si>
  <si>
    <t>0.61_208.0393m/z</t>
  </si>
  <si>
    <t>S-Nitroso-L-Cysteinylglycine</t>
  </si>
  <si>
    <t>HMDB0257413</t>
  </si>
  <si>
    <t>NC(CSN=O)C(=O)NCC(O)=O</t>
  </si>
  <si>
    <t>UOHAKHBEJRPHQZ-UHFFFAOYSA-N</t>
  </si>
  <si>
    <t>C5H9N3O4S</t>
  </si>
  <si>
    <t>4.67_711.2660m/z</t>
  </si>
  <si>
    <t>Darapladib</t>
  </si>
  <si>
    <t>HMDB0250867</t>
  </si>
  <si>
    <t>CCN(CC)CCN(CC1=CC=C(C=C1)C1=CC=C(C=C1)C(F)(F)F)C(=O)CN1C2=C(CCC2)C(=O)N=C1SCC1=CC=C(F)C=C1</t>
  </si>
  <si>
    <t>WDPFJWLDPVQCAJ-UHFFFAOYSA-N</t>
  </si>
  <si>
    <t>C36H38F4N4O2S</t>
  </si>
  <si>
    <t>5.84_611.3274m/z</t>
  </si>
  <si>
    <t>1-(Beta-D-Glucopyranosyloxy)-3-Octanone</t>
  </si>
  <si>
    <t>HMDB0031315</t>
  </si>
  <si>
    <t>194919-40-9</t>
  </si>
  <si>
    <t>CCCCCC(=O)CCOC1OC(CO)C(O)C(O)C1O</t>
  </si>
  <si>
    <t>LXYZKMJJLXYZTE-UHFFFAOYSA-N</t>
  </si>
  <si>
    <t>C14H26O7</t>
  </si>
  <si>
    <t>3.75_351.1295m/z</t>
  </si>
  <si>
    <t>2,3-Dimethyl-3-Hydroxy-Glutaric Acid</t>
  </si>
  <si>
    <t>HMDB0002025</t>
  </si>
  <si>
    <t>LMFA01170081</t>
  </si>
  <si>
    <t>87764-48-5</t>
  </si>
  <si>
    <t>C(=O)(O)C(C)C(C)(O)CC(=O)O</t>
  </si>
  <si>
    <t>CCFYMOIEFAALDH-UHFFFAOYSA-N</t>
  </si>
  <si>
    <t>C7H12O5</t>
  </si>
  <si>
    <t>4.78_647.2131m/z</t>
  </si>
  <si>
    <t>3-((4-(5-(Hydroxymethyl)-2-Oxo-3-Oxazolidinyl)Phenoxy)Methyl)Benzonitrile</t>
  </si>
  <si>
    <t>HMDB0249397</t>
  </si>
  <si>
    <t>OCC1CN(C(=O)O1)C1=CC=C(OCC2=CC=CC(=C2)C#N)C=C1</t>
  </si>
  <si>
    <t>PICCEPOEDPVTBS-UHFFFAOYSA-N</t>
  </si>
  <si>
    <t>C18H16N2O4</t>
  </si>
  <si>
    <t>5.49_431.1857m/z</t>
  </si>
  <si>
    <t>13e-Tetranor-16-Carboxy-Lte4</t>
  </si>
  <si>
    <t>HMDB0012575</t>
  </si>
  <si>
    <t>N[C@H](CS[C@H](\C=C\C=C\C=C/C=C/CC(O)=O)[C@@H](O)CCCC(O)=O)C(O)=O</t>
  </si>
  <si>
    <t>MAFGRSDWXFSHMK-SRKAIYCDSA-N</t>
  </si>
  <si>
    <t>C19H27NO7S</t>
  </si>
  <si>
    <t>10.64_645.2664m/z</t>
  </si>
  <si>
    <t>3'-Deamino-3'-(2-Methoxy-4-Morpholinyl)Doxorubicin</t>
  </si>
  <si>
    <t>HMDB0246091</t>
  </si>
  <si>
    <t>COC1CN(CCO1)C1CC(OC2CC(O)(CC3=C2C=C2C(=O)C4=C(C=CC=C4OC)C(=O)C2=C3O)C(=O)CO)OC(C)C1O</t>
  </si>
  <si>
    <t>WLOOKPSVFQAPPY-UHFFFAOYSA-N</t>
  </si>
  <si>
    <t>C32H37NO12</t>
  </si>
  <si>
    <t>5.30_263.1286m/z</t>
  </si>
  <si>
    <t>Bisbynin</t>
  </si>
  <si>
    <t>HMDB0041324</t>
  </si>
  <si>
    <t>163365-14-8</t>
  </si>
  <si>
    <t>CC1OCC2=C(C(O)C3OC3(CC=C(C)C)C2O)C1O</t>
  </si>
  <si>
    <t>ICHJNTDKHBXTFN-UHFFFAOYSA-N</t>
  </si>
  <si>
    <t>Pyrans</t>
  </si>
  <si>
    <t>C15H22O5</t>
  </si>
  <si>
    <t>9.64_767.3415m/z</t>
  </si>
  <si>
    <t>Grazoprevir</t>
  </si>
  <si>
    <t>HMDB0252939</t>
  </si>
  <si>
    <t>COC1=CC2=C(C=C1)N=C1CCCCCC3CC3OC(=O)NC(C(=O)N3CC(CC3C(=O)NC3(CC3C=C)C(=O)NS(=O)(=O)C3CC3)OC1=N2)C(C)(C)C</t>
  </si>
  <si>
    <t>OBMNJSNZOWALQB-UHFFFAOYSA-N</t>
  </si>
  <si>
    <t>C38H50N6O9S</t>
  </si>
  <si>
    <t>4.69_469.1113m/z</t>
  </si>
  <si>
    <t>Sotagliflozin</t>
  </si>
  <si>
    <t>HMDB0258396</t>
  </si>
  <si>
    <t>CCOC1=CC=C(CC2=C(Cl)C=CC(=C2)C2OC(SC)C(O)C(O)C2O)C=C1</t>
  </si>
  <si>
    <t>QKDRXGFQVGOQKS-UHFFFAOYSA-N</t>
  </si>
  <si>
    <t>C21H25ClO5S</t>
  </si>
  <si>
    <t>10.72_545.2530m/z</t>
  </si>
  <si>
    <t>Bemcentinib</t>
  </si>
  <si>
    <t>HMDB0244307</t>
  </si>
  <si>
    <t>NC1=NC(NC2=CC3=C(CCC(CC3)N3CCCC3)C=C2)=NN1C1=NN=C2C(CCCC3=CC=CC=C23)=C1</t>
  </si>
  <si>
    <t>KXMZDGSRSGHMMK-UHFFFAOYSA-N</t>
  </si>
  <si>
    <t>C30H34N8</t>
  </si>
  <si>
    <t>9.16_390.2039n</t>
  </si>
  <si>
    <t>Prostratin</t>
  </si>
  <si>
    <t>60857-08-1</t>
  </si>
  <si>
    <t>CC1CC2(C(C2(C)C)C3C1(C4C=C(C(=O)C4(CC(=C3)CO)O)C)O)OC(=O)C</t>
  </si>
  <si>
    <t>BOJKFRKNLSCGHY-HXGSDTCMSA-N</t>
  </si>
  <si>
    <t>10.21_943.4900m/z</t>
  </si>
  <si>
    <t>Pitheduloside D</t>
  </si>
  <si>
    <t>HMDB0031358</t>
  </si>
  <si>
    <t>189161-64-6</t>
  </si>
  <si>
    <t>CC1(C)CCC2(C(O)CC3(C)C(=CCC4C5(C)CCC(OC6OC(COC7OCC(O)C(O)C7OC7OCC(O)C(O)C7O)C(O)C(O)C6O)C(C)(C)C5CCC34C)C2C1)C(O)=O</t>
  </si>
  <si>
    <t>WGFGSGMOAHUFDZ-UHFFFAOYSA-N</t>
  </si>
  <si>
    <t>C46H74O17</t>
  </si>
  <si>
    <t>3.90_441.0473m/z</t>
  </si>
  <si>
    <t>Jaceidin 4'-O-Sulfate</t>
  </si>
  <si>
    <t>LMPK12113033</t>
  </si>
  <si>
    <t>C1(O)=CC2OC(C3C=C(OC)C(OS(O)(=O)=O)=CC=3)=C(OC)C(=O)C=2C(O)=C1OC</t>
  </si>
  <si>
    <t>YFEOXGUEAFLJJM-UHFFFAOYSA-N</t>
  </si>
  <si>
    <t>C18H16O11S</t>
  </si>
  <si>
    <t>4.90_645.3113m/z</t>
  </si>
  <si>
    <t>Garcinolic Acid</t>
  </si>
  <si>
    <t>CC(=CCCC1(C=CC2=C(C3=C(C(=C2O1)CC=C(C)C)OC45C(CCC=C4C3=O)C(OC5(CC=C(C)C(=O)O)C(=O)O)(C)C)O)C)C</t>
  </si>
  <si>
    <t>VDSCKSOYNLTQSY-VGJPRPLGSA-N</t>
  </si>
  <si>
    <t>C38H46O9</t>
  </si>
  <si>
    <t>6.34_481.2792m/z</t>
  </si>
  <si>
    <t>Steviol-19-O-Beta-D-Glucoside</t>
  </si>
  <si>
    <t>LMPR01040121</t>
  </si>
  <si>
    <t>[C@@]123CC([C@](O)(CC[C@@]1([H])[C@]1(C)CCC[C@@](C)(C(O[C@H]4[C@H](O)[C@@H](O)[C@H](O)[C@@H](CO)O4)=O)[C@@]1([H])CC2)C3)=C</t>
  </si>
  <si>
    <t>OQPOFZJZPYRNFF-CULFPKEHSA-N</t>
  </si>
  <si>
    <t>9.41_918.4813n</t>
  </si>
  <si>
    <t>Melongoside O</t>
  </si>
  <si>
    <t>HMDB0030040</t>
  </si>
  <si>
    <t>98464-54-1</t>
  </si>
  <si>
    <t>CC(CCC1(O)OC2CC3C4CC=C5CC(CCC5(C)C4CCC3(C)C2C1C)OC1OC(CO)C(O)C(OC2OC(CO)C(O)C(O)C2O)C1O)COC1OC(CO)C(O)C(O)C1O</t>
  </si>
  <si>
    <t>BEYZWBAAOITTJU-UHFFFAOYSA-N</t>
  </si>
  <si>
    <t>C45H74O19</t>
  </si>
  <si>
    <t>12.46_973.5476m/z</t>
  </si>
  <si>
    <t>Linolipin C</t>
  </si>
  <si>
    <t>LMGL05010042</t>
  </si>
  <si>
    <t>O([C@H]1[C@H](O)[C@@H](O)[C@@H](O)[C@@H](CO[C@@H]2[C@H](O)[C@@H](O)[C@@H](O)[C@@H](CO)O2)O1)C[C@]([H])(OC(=O)CCCCCCC/C=C\C/C=C\C/C=C\CC)COC(CCCCCCC/C=C\C=C\O/C=C\C=C/CC)=O</t>
  </si>
  <si>
    <t>SSSOQCOUWWCQSF-AHDWEONGSA-N</t>
  </si>
  <si>
    <t>C51H82O16</t>
  </si>
  <si>
    <t>10.53_161.0958m/z</t>
  </si>
  <si>
    <t>5-Phenylvaleric Acid</t>
  </si>
  <si>
    <t>HMDB0002043</t>
  </si>
  <si>
    <t>2270-20-4</t>
  </si>
  <si>
    <t>OC(=O)CCCCC1=CC=CC=C1</t>
  </si>
  <si>
    <t>BYHDDXPKOZIZRV-UHFFFAOYSA-N</t>
  </si>
  <si>
    <t>C11H14O2</t>
  </si>
  <si>
    <t>5.65_639.2441m/z</t>
  </si>
  <si>
    <t>Mycophenolic Acid</t>
  </si>
  <si>
    <t>HMDB0015159</t>
  </si>
  <si>
    <t>C20380</t>
  </si>
  <si>
    <t>24280-93-1</t>
  </si>
  <si>
    <t>COC1=C(C\C=C(/C)CCC(O)=O)C(O)=C2C(=O)OCC2=C1C</t>
  </si>
  <si>
    <t>HPNSFSBZBAHARI-RUDMXATFSA-N</t>
  </si>
  <si>
    <t>Isocoumarans</t>
  </si>
  <si>
    <t>Isobenzofuranones</t>
  </si>
  <si>
    <t>C17H20O6</t>
  </si>
  <si>
    <t>4.21_404.1308m/z</t>
  </si>
  <si>
    <t>Timegadine</t>
  </si>
  <si>
    <t>HMDB0259098</t>
  </si>
  <si>
    <t>CC1=NC2=CC=CC=C2C(NC(NC2=NC=CS2)=NC2CCCCC2)=C1</t>
  </si>
  <si>
    <t>SQVNITZYWXMWOG-UHFFFAOYSA-N</t>
  </si>
  <si>
    <t>C20H23N5S</t>
  </si>
  <si>
    <t>5.87_615.2430m/z</t>
  </si>
  <si>
    <t>Chrysoeriol 7-O-Neohesperidoside</t>
  </si>
  <si>
    <t>HMDB0304575</t>
  </si>
  <si>
    <t>COC1=CC(=CC(OC)=C1O)C1OCC2C1COC2C1=CC(OC)=C(OC(CO)C(O)C2=CC(OC)=C(O)C=C2)C(OC)=C1</t>
  </si>
  <si>
    <t>FITCDKVKQIBVRK-UHFFFAOYSA-N</t>
  </si>
  <si>
    <t>C32H38O12</t>
  </si>
  <si>
    <t>13.23_970.5756m/z</t>
  </si>
  <si>
    <t>Am-PE(18:0/20:3(8Z,11Z,14Z))</t>
  </si>
  <si>
    <t>LMGP21010016</t>
  </si>
  <si>
    <t>[C@](COP(=O)(O)OCCNC[C@@]1(O)OC[C@@H](O)[C@@H](O)[C@@H]1O)([H])(OC(CCCCCC/C=C\C/C=C\C/C=C\CCCCC)=O)COC(CCCCCCCCCCCCCCCCC)=O</t>
  </si>
  <si>
    <t>NKEHCYWFNJEWDJ-YUYJJVKRSA-N</t>
  </si>
  <si>
    <t>C49H90NO13P</t>
  </si>
  <si>
    <t>6.94_317.2583m/z</t>
  </si>
  <si>
    <t>3,7-Dimethyl-9-(2,6,6-Trimethylcyclohexen-1-Yl)Nona-2,4,6,8-Tetraenamide</t>
  </si>
  <si>
    <t>HMDB0250571</t>
  </si>
  <si>
    <t>CC(C=CC1=C(C)CCCC1(C)C)=CC=CC(C)=CC(N)=O</t>
  </si>
  <si>
    <t>NUXWXMZVAHSICO-UHFFFAOYSA-N</t>
  </si>
  <si>
    <t>C20H29NO</t>
  </si>
  <si>
    <t>0.78_163.0480n</t>
  </si>
  <si>
    <t>4-Hydroxy-L-Glutamic Acid</t>
  </si>
  <si>
    <t>HMDB0002273</t>
  </si>
  <si>
    <t>C05947</t>
  </si>
  <si>
    <t>ko00330</t>
  </si>
  <si>
    <t>Arginine and proline metabolism</t>
  </si>
  <si>
    <t>2485-33-8</t>
  </si>
  <si>
    <t>N[C@@H](C[C@@H](O)C(O)=O)C(O)=O</t>
  </si>
  <si>
    <t>HBDWQSHEVMSFGY-STHAYSLISA-N</t>
  </si>
  <si>
    <t>C5H9NO5</t>
  </si>
  <si>
    <t>2.37_335.1347m/z</t>
  </si>
  <si>
    <t>Isopropyl Apiosylglucoside</t>
  </si>
  <si>
    <t>HMDB0041513</t>
  </si>
  <si>
    <t>147742-24-3</t>
  </si>
  <si>
    <t>CC(C)OC1OC(COC2OCC(O)(CO)C2O)C(O)C(O)C1O</t>
  </si>
  <si>
    <t>ADFAUEYXQCOXBX-UHFFFAOYSA-N</t>
  </si>
  <si>
    <t>C14H26O10</t>
  </si>
  <si>
    <t>8.05_580.3263m/z</t>
  </si>
  <si>
    <t>Os-Pe</t>
  </si>
  <si>
    <t>LMGP20020035</t>
  </si>
  <si>
    <t>[C@](COP(=O)(O)OCCN)([H])(OC(CCC(=O)O)=O)COC(CCCCCCC/C=C\CCCCCCCC)=O</t>
  </si>
  <si>
    <t>HYIYHUUPCKOGSP-OPSAWKISSA-N</t>
  </si>
  <si>
    <t>C27H50NO10P</t>
  </si>
  <si>
    <t>3.41_124.0152m/z</t>
  </si>
  <si>
    <t>Isouramil</t>
  </si>
  <si>
    <t>HMDB0253702</t>
  </si>
  <si>
    <t>NC1=C(O)C(=O)NC(=O)N1</t>
  </si>
  <si>
    <t>SPOYOCCBDWULRZ-UHFFFAOYSA-N</t>
  </si>
  <si>
    <t>C4H5N3O3</t>
  </si>
  <si>
    <t>3.95_772.2061n</t>
  </si>
  <si>
    <t>Kaempferol 3-Sophorotrioside</t>
  </si>
  <si>
    <t>HMDB0032008</t>
  </si>
  <si>
    <t>LMPK12111744</t>
  </si>
  <si>
    <t>C12635</t>
  </si>
  <si>
    <t>80714-53-0</t>
  </si>
  <si>
    <t>C1(O)=CC2OC(C3C=CC(O)=CC=3)=C(O[C@H]3[C@H](O[C@H]4[C@H](O[C@H]5[C@H](O)[C@@H](O)[C@H](O)[C@@H](CO)O5)[C@@H](O)[C@H](O)[C@@H](CO)O4)[C@@H](O)[C@H](O)[C@@H](CO)O3)C(=O)C=2C(O)=C1</t>
  </si>
  <si>
    <t>MGAFCXOXRHSKIA-MEBVLIOMSA-N</t>
  </si>
  <si>
    <t>C33H40O21</t>
  </si>
  <si>
    <t>0.77_249.1210n</t>
  </si>
  <si>
    <t>1-Deoxy-1-Morpholino-D-Fructose</t>
  </si>
  <si>
    <t>HMDB0243858</t>
  </si>
  <si>
    <t>OCC(O)C(O)C(O)C(=O)CN1CCOCC1</t>
  </si>
  <si>
    <t>JPANQHVKLYKLEB-UHFFFAOYSA-N</t>
  </si>
  <si>
    <t>C10H19NO6</t>
  </si>
  <si>
    <t>7.30_864.3799m/z</t>
  </si>
  <si>
    <t>CDP-DG(i-12:0/i-12:0)</t>
  </si>
  <si>
    <t>HMDB0116157</t>
  </si>
  <si>
    <t>[H][C@@](COC(=O)CCCCCCCCC(C)C)(COP(O)(=O)OP(O)(=O)OC[C@H]1O[C@H](C(O)[C@H]1O)N1C=CC(N)=NC1=O)OC(=O)CCCCCCCCC(C)C</t>
  </si>
  <si>
    <t>DOQQEGQFSBFVGD-MYNNLVAUSA-N</t>
  </si>
  <si>
    <t>CDP-glycerols</t>
  </si>
  <si>
    <t>C36H65N3O15P2</t>
  </si>
  <si>
    <t>4.36_843.2319m/z</t>
  </si>
  <si>
    <t>Catechin 7-Arabinofuranoside</t>
  </si>
  <si>
    <t>C1C(C(OC2=CC(=CC(=C21)O)OC3C(C(C(O3)CO)O)O)C4=CC(=C(C=C4)O)O)O</t>
  </si>
  <si>
    <t>JRAAEKBJXQXXBZ-DAJYORATSA-N</t>
  </si>
  <si>
    <t>C20H22O10</t>
  </si>
  <si>
    <t>4.12_497.2376m/z</t>
  </si>
  <si>
    <t>Glaucarubin</t>
  </si>
  <si>
    <t>C08760</t>
  </si>
  <si>
    <t>1448-23-3</t>
  </si>
  <si>
    <t>CCC(C)(C(=O)OC1C2C(C(C3(C4C2(CO3)C(CC5C4(C(C(C=C5C)O)O)C)OC1=O)O)O)C)O</t>
  </si>
  <si>
    <t>LZKVXMYVBSNXER-YZPKDWIXSA-N</t>
  </si>
  <si>
    <t>C25H36O10</t>
  </si>
  <si>
    <t>9.04_982.2657m/z</t>
  </si>
  <si>
    <t>Secaloside A</t>
  </si>
  <si>
    <t>HMDB0034565</t>
  </si>
  <si>
    <t>188834-49-3</t>
  </si>
  <si>
    <t>COC1=CC(=CC=C1O)C1C2C(C3=CC(O)=C(OC4OC(COC(=O)CC5C(=O)NC6=C5C=CC=C6)C(O)C(O)C4O)C=C13)C(=O)OC1C(O)C(COC2=O)OC1(CO)OC1OC(CO)C(O)C(O)C1O</t>
  </si>
  <si>
    <t>YKJNAQAMDVTTGV-UHFFFAOYSA-N</t>
  </si>
  <si>
    <t>C46H51NO24</t>
  </si>
  <si>
    <t>4.21_413.1079m/z</t>
  </si>
  <si>
    <t>Bispyribac</t>
  </si>
  <si>
    <t>C10915</t>
  </si>
  <si>
    <t>125401-75-4</t>
  </si>
  <si>
    <t>COC1=CC(=NC(=N1)OC2=C(C(=CC=C2)OC3=NC(=CC(=N3)OC)OC)C(=O)O)OC</t>
  </si>
  <si>
    <t>RYVIXQCRCQLFCM-UHFFFAOYSA-N</t>
  </si>
  <si>
    <t>C19H18N4O8</t>
  </si>
  <si>
    <t>3.73_695.1803m/z</t>
  </si>
  <si>
    <t>Verinurad</t>
  </si>
  <si>
    <t>HMDB0259790</t>
  </si>
  <si>
    <t>CC(C)(SC1=CC=NC=C1C1=C2C=CC=CC2=C(C=C1)C#N)C(O)=O</t>
  </si>
  <si>
    <t>YYBOLPLTQDKXPM-UHFFFAOYSA-N</t>
  </si>
  <si>
    <t>C20H16N2O2S</t>
  </si>
  <si>
    <t>9.97_741.1460m/z</t>
  </si>
  <si>
    <t>Pyr-41</t>
  </si>
  <si>
    <t>HMDB0256938</t>
  </si>
  <si>
    <t>CCOC(=O)C1=CC=C(C=C1)N1NC(=O)C(=CC2=CC=C(O2)[N+]([O-])=O)C1=O</t>
  </si>
  <si>
    <t>ARGIPZKQJGFSGQ-UHFFFAOYSA-N</t>
  </si>
  <si>
    <t>C17H13N3O7</t>
  </si>
  <si>
    <t>4.51_244.1098n</t>
  </si>
  <si>
    <t>Osthol</t>
  </si>
  <si>
    <t>HMDB0302150</t>
  </si>
  <si>
    <t>C09280</t>
  </si>
  <si>
    <t>484-12-8</t>
  </si>
  <si>
    <t>COC1=CC=C2C=CC(=O)OC2=C1CC=C(C)C</t>
  </si>
  <si>
    <t>MBRLOUHOWLUMFF-UHFFFAOYSA-N</t>
  </si>
  <si>
    <t>C15H16O3</t>
  </si>
  <si>
    <t>9.41_920.3460m/z</t>
  </si>
  <si>
    <t>Beta-Amanitin</t>
  </si>
  <si>
    <t>HMDB0249096</t>
  </si>
  <si>
    <t>CCC(C)C1NC(=O)CNC(=O)C2CC3=C(NC4=CC(O)=CC=C34)S(=O)CC(NC(=O)CNC1=O)C(=O)NC(CC(O)=O)C(=O)N1CC(O)CC1C(=O)NC(C(C)C(O)CO)C(=O)N2</t>
  </si>
  <si>
    <t>IEQCUEXVAPAFMQ-UHFFFAOYSA-N</t>
  </si>
  <si>
    <t>C39H53N9O15S</t>
  </si>
  <si>
    <t>3.73_198.0320m/z</t>
  </si>
  <si>
    <t>4-Chloro-L-Phenylalanine</t>
  </si>
  <si>
    <t>HMDB0244605</t>
  </si>
  <si>
    <t>7424-00-2</t>
  </si>
  <si>
    <t>NC(CC1=CC=C(Cl)C=C1)C(O)=O</t>
  </si>
  <si>
    <t>NIGWMJHCCYYCSF-UHFFFAOYSA-N</t>
  </si>
  <si>
    <t>C9H10ClNO2</t>
  </si>
  <si>
    <t>10.29_771.3112m/z</t>
  </si>
  <si>
    <t>Cellulose Propionate</t>
  </si>
  <si>
    <t>HMDB0240287</t>
  </si>
  <si>
    <t>CCC(=O)OCC1OC(OC(=O)CC)C(OC(=O)CC)C(OC(=O)CC)C1OC1OC(COC(=O)CC)C(OC(=O)CC)C(OC(=O)CC)C1OC(=O)CC</t>
  </si>
  <si>
    <t>DQEFEBPAPFSJLV-UHFFFAOYSA-N</t>
  </si>
  <si>
    <t>C36H54O19</t>
  </si>
  <si>
    <t>10.04_785.1721m/z</t>
  </si>
  <si>
    <t>Kandelin A-1</t>
  </si>
  <si>
    <t>LMPK12030013</t>
  </si>
  <si>
    <t>C10233</t>
  </si>
  <si>
    <t>C12OC(=O)C[C@H](C3C=C(O)C(O)=CC=3)C=1C1O[C@H](C3C=CC(O)=C(O)C=3)[C@H](O)[C@@H](C3=C(O)C=C(O)C4C[C@H](O)[C@@H](C5C=CC(O)=C(O)C=5)OC=43)C=1C(O)=C2</t>
  </si>
  <si>
    <t>NWZBNZUABGSPSN-ZBBQFUFDSA-N</t>
  </si>
  <si>
    <t>C39H32O15</t>
  </si>
  <si>
    <t>4.87_265.1431m/z</t>
  </si>
  <si>
    <t>(S)-(+)-Abscisic Acid</t>
  </si>
  <si>
    <t>HMDB0035140</t>
  </si>
  <si>
    <t>LMPR0103050001</t>
  </si>
  <si>
    <t>C06082</t>
  </si>
  <si>
    <t>ko00906,ko04075</t>
  </si>
  <si>
    <t>Carotenoid biosynthesis|Plant hormone signal transduction</t>
  </si>
  <si>
    <t>21293-29-8</t>
  </si>
  <si>
    <t>C1(=O)C=C(C)[C@](O)(/C=C/C(/C)=C/C(=O)O)C(C)(C)C1</t>
  </si>
  <si>
    <t>JLIDBLDQVAYHNE-IBPUIESWSA-N</t>
  </si>
  <si>
    <t>8.50_643.2773m/z</t>
  </si>
  <si>
    <t>Mesocarb</t>
  </si>
  <si>
    <t>HMDB0254478</t>
  </si>
  <si>
    <t>CC(CC1=CC=CC=C1)[N+]1=NOC(=C1)N=C([O-])NC1=CC=CC=C1</t>
  </si>
  <si>
    <t>OWFUPROYPKGHMH-UHFFFAOYSA-N</t>
  </si>
  <si>
    <t>C18H18N4O2</t>
  </si>
  <si>
    <t>5.41_763.3280m/z</t>
  </si>
  <si>
    <t>2-Cyclopentyl-4-(5-Phenyl-1h-Pyrrolo[2,3-B]Pyridin-3-Yl)Benzoic Acid</t>
  </si>
  <si>
    <t>HMDB0252947</t>
  </si>
  <si>
    <t>OC(=O)C1=C(C=C(C=C1)C1=CNC2=NC=C(C=C12)C1=CC=CC=C1)C1CCCC1</t>
  </si>
  <si>
    <t>WVSBGSNVCDAMCF-UHFFFAOYSA-N</t>
  </si>
  <si>
    <t>C25H22N2O2</t>
  </si>
  <si>
    <t>10.64_235.1691m/z</t>
  </si>
  <si>
    <t>Petasalbin</t>
  </si>
  <si>
    <t>HMDB0035639</t>
  </si>
  <si>
    <t>4176-11-8</t>
  </si>
  <si>
    <t>CC1CCCC2CC3=C(C(O)C12C)C(C)=CO3</t>
  </si>
  <si>
    <t>ANKFPIBCTISOBX-UHFFFAOYSA-N</t>
  </si>
  <si>
    <t>11.04_301.1409m/z</t>
  </si>
  <si>
    <t>Mono(1-Ethylhexyl) Phthalate</t>
  </si>
  <si>
    <t>HMDB0245642</t>
  </si>
  <si>
    <t>CCCCCC(CC)OC(=O)C1=CC=CC=C1C(O)=O</t>
  </si>
  <si>
    <t>SVRGUNPFMROZBU-UHFFFAOYSA-N</t>
  </si>
  <si>
    <t>4.36_459.1870m/z</t>
  </si>
  <si>
    <t>Suspensolide F</t>
  </si>
  <si>
    <t>HMDB0031918</t>
  </si>
  <si>
    <t>64703-86-2</t>
  </si>
  <si>
    <t>CC(C)CC(=O)OC1OC=C(COC2OC(CO)C(O)C(O)C2O)C2CC(O)C(O)(CO)C12</t>
  </si>
  <si>
    <t>HOCKGUMMVOPFFC-UHFFFAOYSA-N</t>
  </si>
  <si>
    <t>C21H34O12</t>
  </si>
  <si>
    <t>8.58_715.3544m/z</t>
  </si>
  <si>
    <t>Lyciumoside Ix</t>
  </si>
  <si>
    <t>HMDB0033502</t>
  </si>
  <si>
    <t>212773-48-3</t>
  </si>
  <si>
    <t>C\C(CC\C=C(/C)COC1OC(CO)C(O)C(O)C1O)=C\CC\C(C)=C\CCC(C)(OC1OC(COC(=O)CC(O)=O)C(O)C(O)C1O)C=C</t>
  </si>
  <si>
    <t>YBNJPPHBFMDKTB-AFAFYZGOSA-N</t>
  </si>
  <si>
    <t>C35H56O15</t>
  </si>
  <si>
    <t>11.21_344.2562n</t>
  </si>
  <si>
    <t>1-O-Myristoyl-2-Acetyl-Glycerol</t>
  </si>
  <si>
    <t>HMDB0249917</t>
  </si>
  <si>
    <t>CCCCCCCCCCCCCC(=O)OCC(CO)OC(C)=O</t>
  </si>
  <si>
    <t>DUCVQOXJVCRDDH-UHFFFAOYSA-N</t>
  </si>
  <si>
    <t>M+Na, M+K, M+H-H2O, M+H</t>
  </si>
  <si>
    <t>C19H36O5</t>
  </si>
  <si>
    <t>1.31_283.0916n</t>
  </si>
  <si>
    <t>Guanosine</t>
  </si>
  <si>
    <t>HMDB0000133</t>
  </si>
  <si>
    <t>C00387</t>
  </si>
  <si>
    <t>ko00230,ko02010</t>
  </si>
  <si>
    <t>Purine metabolism|ABC transporters</t>
  </si>
  <si>
    <t>118-00-3</t>
  </si>
  <si>
    <t>NC1=NC2=C(N=CN2[C@@H]2O[C@H](CO)[C@@H](O)[C@H]2O)C(=O)N1</t>
  </si>
  <si>
    <t>NYHBQMYGNKIUIF-UUOKFMHZSA-N</t>
  </si>
  <si>
    <t>6.48_432.1830m/z</t>
  </si>
  <si>
    <t>Dihydrogeranylgeranyl-Pp</t>
  </si>
  <si>
    <t>HMDB0304335</t>
  </si>
  <si>
    <t>CC(CCCC(C)=CCOP([O-])(=O)OP([O-])([O-])=O)CCC=C(C)CCC=C(C)C</t>
  </si>
  <si>
    <t>YJGANOFPASCZBK-UHFFFAOYSA-K</t>
  </si>
  <si>
    <t>C20H35O7P2-3</t>
  </si>
  <si>
    <t>3.00_517.1559m/z</t>
  </si>
  <si>
    <t>1-(6-Aminopurin-9-Yl)-5-Methylpyrimidine-2,4-Dione</t>
  </si>
  <si>
    <t>HMDB0257910</t>
  </si>
  <si>
    <t>CC1=CN(N2C=NC3=C2N=CN=C3N)C(=O)NC1=O</t>
  </si>
  <si>
    <t>XNKUEYOALKMIRE-UHFFFAOYSA-N</t>
  </si>
  <si>
    <t>C10H9N7O2</t>
  </si>
  <si>
    <t>10.11_544.3396m/z</t>
  </si>
  <si>
    <t>PC(20:4(8Z,11Z,14Z,17Z)/0:0)</t>
  </si>
  <si>
    <t>HMDB0010396</t>
  </si>
  <si>
    <t>LMGP01050140</t>
  </si>
  <si>
    <t>C(OP(OCC[N+](C)(C)C)(=O)[O-])[C@]([H])(O)COC(=O)CCCCCC/C=C\C/C=C\C/C=C\C/C=C\CC</t>
  </si>
  <si>
    <t>GOMVPVRDBLLHQC-VEJNOCSESA-N</t>
  </si>
  <si>
    <t>C28H50NO7P</t>
  </si>
  <si>
    <t>10.74_293.2121m/z</t>
  </si>
  <si>
    <t>9-Hydroxy-13-Oxo-10-Octadecenoic Acid</t>
  </si>
  <si>
    <t>LMFA02000172</t>
  </si>
  <si>
    <t>C(=C/CC(=O)CCCCC)\C(O)CCCCCCCC(=O)O</t>
  </si>
  <si>
    <t>HOWCTVFHRUJMDQ-GXDHUFHOSA-N</t>
  </si>
  <si>
    <t>6.39_573.2714m/z</t>
  </si>
  <si>
    <t>Artenolide</t>
  </si>
  <si>
    <t>HMDB0037565</t>
  </si>
  <si>
    <t>113807-34-4</t>
  </si>
  <si>
    <t>C[C@H]1[C@@H]2CC[C@](C)(O)C3=C([C@H]2OC1=O)C1(C)CC3C2(C1)[C@@H]1CCC(C)(O)C3=CC(O)C(C)(O)C3[C@H]1OC2=O</t>
  </si>
  <si>
    <t>INWDFSUZZFAFBJ-HXCFRXSLSA-N</t>
  </si>
  <si>
    <t>9.43_423.2179m/z</t>
  </si>
  <si>
    <t>Methyl (9z)-6'-Oxo-6,6'-Diapo-6-Carotenoate</t>
  </si>
  <si>
    <t>HMDB0031978</t>
  </si>
  <si>
    <t>201996-46-5</t>
  </si>
  <si>
    <t>COC(=O)\C=C\C(\C)=C/C=C/C(/C)=C/C=C/C=C(\C)/C=C/C=C(\C)/C=C/C=O</t>
  </si>
  <si>
    <t>AXJDLEYLECTZDP-PASTWLGUSA-N</t>
  </si>
  <si>
    <t>C25H30O3</t>
  </si>
  <si>
    <t>12.57_463.3781m/z</t>
  </si>
  <si>
    <t>Janohigenin 21-0</t>
  </si>
  <si>
    <t>LMPK15040015</t>
  </si>
  <si>
    <t>C1(O)C=C(CCCCCCCCCCCCCCCCCCCCC)C(C(O)=O)=C(O)C=1C</t>
  </si>
  <si>
    <t>XJQQQDSNMFURSG-UHFFFAOYSA-N</t>
  </si>
  <si>
    <t>C29H50O4</t>
  </si>
  <si>
    <t>6.45_489.3451n</t>
  </si>
  <si>
    <t>Chenodeoxycholylproline</t>
  </si>
  <si>
    <t>HMDB0242406</t>
  </si>
  <si>
    <t>CC(CCC(=O)N1CCCC1C(O)=O)C1CCC2C3C(O)CC4CC(O)CCC4(C)C3CCC12C</t>
  </si>
  <si>
    <t>TVNLAWCTCXPKQY-UHFFFAOYSA-N</t>
  </si>
  <si>
    <t>C29H47NO5</t>
  </si>
  <si>
    <t>11.37_398.3263m/z</t>
  </si>
  <si>
    <t>2-Hydroxy-4-Oxo-5,12-Heneicosadien-1-Yl Acetate</t>
  </si>
  <si>
    <t>HMDB0039403</t>
  </si>
  <si>
    <t>CCCCCCCC\C=C/CCCCC\C=C\C(=O)CC(O)COC(C)=O</t>
  </si>
  <si>
    <t>RCVPNKIEBGIOFR-APUJEFNWSA-N</t>
  </si>
  <si>
    <t>4.72_391.1034m/z</t>
  </si>
  <si>
    <t>Garcimangosone D</t>
  </si>
  <si>
    <t>HMDB0038066</t>
  </si>
  <si>
    <t>OCC1OC(OC2=CC(O)=CC(O)=C2C(=O)C2=CC=CC=C2)C(O)C(O)C1O</t>
  </si>
  <si>
    <t>CCXXIROIENJKKR-UHFFFAOYSA-N</t>
  </si>
  <si>
    <t>C19H20O9</t>
  </si>
  <si>
    <t>8.32_252.1226m/z</t>
  </si>
  <si>
    <t>Aloesol</t>
  </si>
  <si>
    <t>HMDB0035712</t>
  </si>
  <si>
    <t>94356-35-1</t>
  </si>
  <si>
    <t>CC(O)CC1=CC(=O)C2=C(O1)C=C(O)C=C2C</t>
  </si>
  <si>
    <t>ZYCNQWOKCMJKEZ-UHFFFAOYSA-N</t>
  </si>
  <si>
    <t>C13H14O4</t>
  </si>
  <si>
    <t>13.34_497.2636m/z</t>
  </si>
  <si>
    <t>Ltd4</t>
  </si>
  <si>
    <t>HMDB0003080</t>
  </si>
  <si>
    <t>LMFA03020006</t>
  </si>
  <si>
    <t>C05951</t>
  </si>
  <si>
    <t>ko00590,ko04080,ko04664,ko05310</t>
  </si>
  <si>
    <t>Arachidonic acid metabolism|Neuroactive ligand-receptor interaction|Fc epsilon RI signaling pathway|Asthma</t>
  </si>
  <si>
    <t>73836-78-9</t>
  </si>
  <si>
    <t>C(/C/C=C\CCCCC)=C/C=C/C=C/[C@@H](SC[C@H](N)C(=O)NCC(O)=O)[C@@H](O)CCCC(O)=O</t>
  </si>
  <si>
    <t>YEESKJGWJFYOOK-IJHYULJSSA-N</t>
  </si>
  <si>
    <t>C25H40N2O6S</t>
  </si>
  <si>
    <t>4.31_300.0843n</t>
  </si>
  <si>
    <t>4-Methylcatechol 1-Glucuronide</t>
  </si>
  <si>
    <t>HMDB0240458</t>
  </si>
  <si>
    <t>[H][C@]1(OC2=C(O)C=C(C)C=C2)O[C@@]([H])(C(O)=O)C([H])(O)[C@@]([H])(O)C1([H])O</t>
  </si>
  <si>
    <t>PLHZIQGSGAGOQO-PXSDQIBWSA-N</t>
  </si>
  <si>
    <t>C13H16O8</t>
  </si>
  <si>
    <t>4.84_134.0361m/z</t>
  </si>
  <si>
    <t>6h,8h-3,4-Dihydropyrimido(4,5-C)(1,2)Oxazin-7-One</t>
  </si>
  <si>
    <t>HMDB0244492</t>
  </si>
  <si>
    <t>O=C1NC2=C(CCON2)C=N1</t>
  </si>
  <si>
    <t>OQCFWECOQNPQCG-UHFFFAOYSA-N</t>
  </si>
  <si>
    <t>C6H7N3O2</t>
  </si>
  <si>
    <t>10.42_656.2612n</t>
  </si>
  <si>
    <t>Leurubicin</t>
  </si>
  <si>
    <t>HMDB0254043</t>
  </si>
  <si>
    <t>COC1=CC=CC2=C1C(=O)C1=C(C(O)=C3CC(O)(CC(OC4CC(NC(=O)C(N)CC(C)C)C(O)C(C)O4)C3=C1O)C(=O)CO)C2=O</t>
  </si>
  <si>
    <t>HROXIDVVXKDCBD-UHFFFAOYSA-N</t>
  </si>
  <si>
    <t>C33H40N2O12</t>
  </si>
  <si>
    <t>4.58_562.3186n</t>
  </si>
  <si>
    <t>Apomine</t>
  </si>
  <si>
    <t>HMDB0248525</t>
  </si>
  <si>
    <t>CC(C)OP(=O)(OC(C)C)C(CC1=CC(=C(O)C(=C1)C(C)(C)C)C(C)(C)C)P(=O)(OC(C)C)OC(C)C</t>
  </si>
  <si>
    <t>YLJOVCWVJCDPLN-UHFFFAOYSA-N</t>
  </si>
  <si>
    <t>Bisphosphonates</t>
  </si>
  <si>
    <t>C28H52O7P2</t>
  </si>
  <si>
    <t>10.00_599.4094m/z</t>
  </si>
  <si>
    <t>3-Hexaprenyl-4-Hydroxy-5-Methoxybenzoic Acid</t>
  </si>
  <si>
    <t>HMDB0000977</t>
  </si>
  <si>
    <t>LMPR02010044</t>
  </si>
  <si>
    <t>C05313</t>
  </si>
  <si>
    <t>66551-60-8</t>
  </si>
  <si>
    <t>OC(=O)C1C=C(C/C=C(/CC/C=C(/CC/C=C(/CC/C=C(/CC/C=C(/CC/C=C(/C)\C)\C)\C)\C)\C)\C)C(O)=C(OC)C=1</t>
  </si>
  <si>
    <t>YSZSVGFMAJXGMQ-FRICUITQSA-N</t>
  </si>
  <si>
    <t>Polyprenylphenols</t>
  </si>
  <si>
    <t>C38H56O4</t>
  </si>
  <si>
    <t>6.69_315.1950m/z</t>
  </si>
  <si>
    <t>Lophachinin C</t>
  </si>
  <si>
    <t>LMPR0104050014</t>
  </si>
  <si>
    <t>[C@@]12([H])C[C@@H](O)C3C=C(C=CC=3[C@@]1(C)[C@@H](O)CC[C@@]2(C)C(=O)O)C(C)C</t>
  </si>
  <si>
    <t>VBGYFFVTLRYZMI-HDHSKVTNSA-N</t>
  </si>
  <si>
    <t>9.82_868.3558m/z</t>
  </si>
  <si>
    <t>Virginiamycin</t>
  </si>
  <si>
    <t>HMDB0030520</t>
  </si>
  <si>
    <t>C11269</t>
  </si>
  <si>
    <t>11006-76-1</t>
  </si>
  <si>
    <t>CCC1NC(=O)C(NC(=O)C2=NC=CC=C2O)C(C)OC(=O)C(NC(=O)C2CC(=O)CCN2C(=O)C(CC2=CC=CC=C2)N(C)C(=O)C2CCCN2C1=O)C1=CC=CC=C1</t>
  </si>
  <si>
    <t>FEPMHVLSLDOMQC-UHFFFAOYSA-N</t>
  </si>
  <si>
    <t>C43H49N7O10</t>
  </si>
  <si>
    <t>3.73_394.0834m/z</t>
  </si>
  <si>
    <t>2,5-Dimethylcelecoxib</t>
  </si>
  <si>
    <t>HMDB0245502</t>
  </si>
  <si>
    <t>CC1=CC(C2=CC(=NN2C2=CC=C(C=C2)S(N)(=O)=O)C(F)(F)F)=C(C)C=C1</t>
  </si>
  <si>
    <t>NTFOSUUWGCDXEF-UHFFFAOYSA-N</t>
  </si>
  <si>
    <t>C18H16F3N3O2S</t>
  </si>
  <si>
    <t>9.31_220.0968m/z</t>
  </si>
  <si>
    <t>8,9-Dihydroxy-1,5,6,10b-Tetrahydropyrrolo[2,1-A]Isoquinolin-3(2h)-One</t>
  </si>
  <si>
    <t>HMDB0247472</t>
  </si>
  <si>
    <t>OC1=CC2=C(C=C1O)C1CCC(=O)N1CC2</t>
  </si>
  <si>
    <t>LJIDRFNRDLYHNC-UHFFFAOYSA-N</t>
  </si>
  <si>
    <t>Tetrahydroisoquinolines</t>
  </si>
  <si>
    <t>C12H13NO3</t>
  </si>
  <si>
    <t>5.67_842.4764m/z</t>
  </si>
  <si>
    <t>Nodularin</t>
  </si>
  <si>
    <t>C15713</t>
  </si>
  <si>
    <t>118399-22-7</t>
  </si>
  <si>
    <t>CC=C1C(=O)NC(C(C(=O)NC(C(=O)NC(C(C(=O)NC(CCC(=O)N1C)C(=O)O)C)C=CC(=CC(C)C(CC2=CC=CC=C2)OC)C)CCCN=C(N)N)C)C(=O)O</t>
  </si>
  <si>
    <t>IXBQSRWSVIBXNC-HSKGSTCASA-N</t>
  </si>
  <si>
    <t>C41H60N8O10</t>
  </si>
  <si>
    <t>4.24_293.1107n</t>
  </si>
  <si>
    <t>Galactosyl 4-Hydroxyproline</t>
  </si>
  <si>
    <t>HMDB0029353</t>
  </si>
  <si>
    <t>79284-73-4</t>
  </si>
  <si>
    <t>OC[C@H]1O[C@@H](OC(=O)[C@@H]2C[C@@H](O)CN2)[C@H](O)[C@@H](O)[C@H]1O</t>
  </si>
  <si>
    <t>GUEWQMQDXXTGGY-JMDQJPJYSA-N</t>
  </si>
  <si>
    <t>C11H19NO8</t>
  </si>
  <si>
    <t>6.61_507.2231m/z</t>
  </si>
  <si>
    <t>Mozambioside</t>
  </si>
  <si>
    <t>HMDB0037002</t>
  </si>
  <si>
    <t>70717-95-2</t>
  </si>
  <si>
    <t>CC12CC(=O)C3=C(C=CO3)C1CCC13CC(CC(OC4OC(CO)C(O)C(O)C4O)C21)C(O)(CO)C3</t>
  </si>
  <si>
    <t>FNIBRRHOZLASGI-UHFFFAOYSA-N</t>
  </si>
  <si>
    <t>3.79_677.1859m/z</t>
  </si>
  <si>
    <t>Licorice Glycoside B</t>
  </si>
  <si>
    <t>HMDB0031988</t>
  </si>
  <si>
    <t>OCC1OC(OC2=CC=C(\C=C\C(=O)C3=C(O)C=C(O)C=C3)C=C2)C(OC2OCC(O)(COC(=O)\C=C\C3=CC=C(O)C=C3)C2O)C(O)C1O</t>
  </si>
  <si>
    <t>DBMYJNREMDOYPY-ACFHMISVSA-N</t>
  </si>
  <si>
    <t>C35H36O15</t>
  </si>
  <si>
    <t>4.62_497.1625m/z</t>
  </si>
  <si>
    <t>6-Feruloylglucose 2,3,4-Trihydroxy-3-Methylbutylglycoside</t>
  </si>
  <si>
    <t>HMDB0036214</t>
  </si>
  <si>
    <t>257939-69-8</t>
  </si>
  <si>
    <t>COC1=C(O)C=CC(\C=C\C(=O)OCC2OC(OCC(O)C(C)(O)CO)C(O)C(O)C2O)=C1</t>
  </si>
  <si>
    <t>BZWPYDSZGOMZNC-GQCTYLIASA-N</t>
  </si>
  <si>
    <t>C21H30O12</t>
  </si>
  <si>
    <t>7.01_383.1497m/z</t>
  </si>
  <si>
    <t>Licochalcone A</t>
  </si>
  <si>
    <t>LMPK12120424</t>
  </si>
  <si>
    <t>58749-22-7</t>
  </si>
  <si>
    <t>C1(OC)=CC(O)=C(C(C)(C)C=C)C=C1/C=C/C(=O)C1C=CC(O)=CC=1</t>
  </si>
  <si>
    <t>KAZSKMJFUPEHHW-DHZHZOJOSA-N</t>
  </si>
  <si>
    <t>Linear 1,3-diarylpropanoids</t>
  </si>
  <si>
    <t>Chalcones and dihydrochalcones</t>
  </si>
  <si>
    <t>5.22_1031.5163m/z</t>
  </si>
  <si>
    <t>CDP-DG(16:1(9Z)/20:4(6E,8Z,11Z,14Z)+=O(5))</t>
  </si>
  <si>
    <t>HMDB0290913</t>
  </si>
  <si>
    <t>[H][C@@](COC(=O)CCCCCCC\C=C/CCCCCC)(COP(O)(=O)OP(O)(=O)OC[C@H]1O[C@H]([C@H](O)[C@@H]1O)N1C=CC(N)=NC1=O)OC(=O)CCCC(=O)\C=C\C=C/C\C=C/C\C=C/CCCCC</t>
  </si>
  <si>
    <t>BLONIIUXSASKCF-CBEZSKOTSA-N</t>
  </si>
  <si>
    <t>C48H77N3O16P2</t>
  </si>
  <si>
    <t>10.25_277.2160m/z</t>
  </si>
  <si>
    <t>17-Hydroxy-Linolenic Acid</t>
  </si>
  <si>
    <t>HMDB11108</t>
  </si>
  <si>
    <t>LMFA02000239</t>
  </si>
  <si>
    <t>C(=C/C/C=C\C/C=C\CCCC(O)C)/CCCCC(=O)O</t>
  </si>
  <si>
    <t>NUDXOGPEQRPSKT-MVOZTAHOSA-N</t>
  </si>
  <si>
    <t>5.64_311.1494m/z</t>
  </si>
  <si>
    <t>7-Acetamidonitrazepam</t>
  </si>
  <si>
    <t>HMDB0247229</t>
  </si>
  <si>
    <t>4928-03-4</t>
  </si>
  <si>
    <t>CC(=O)NC1=CC2=C(NC(=O)CN=C2C2=CC=CC=C2)C=C1</t>
  </si>
  <si>
    <t>JHTJXLGLYZQIGI-UHFFFAOYSA-N</t>
  </si>
  <si>
    <t>1,4-benzodiazepines</t>
  </si>
  <si>
    <t>C17H15N3O2</t>
  </si>
  <si>
    <t>2.05_148.0524n</t>
  </si>
  <si>
    <t>3,4-Dihydro-2h-1-Benzopyran-2-One</t>
  </si>
  <si>
    <t>HMDB0036626</t>
  </si>
  <si>
    <t>C02274</t>
  </si>
  <si>
    <t>ko00624</t>
  </si>
  <si>
    <t>Polycyclic aromatic hydrocarbon degradation</t>
  </si>
  <si>
    <t>119-84-6</t>
  </si>
  <si>
    <t>O=C1CCC2=CC=CC=C2O1</t>
  </si>
  <si>
    <t>VMUXSMXIQBNMGZ-UHFFFAOYSA-N</t>
  </si>
  <si>
    <t>3,4-dihydrocoumarins</t>
  </si>
  <si>
    <t>C9H8O2</t>
  </si>
  <si>
    <t>6.04_571.2523m/z</t>
  </si>
  <si>
    <t>15beta-Hydroxycalotropin</t>
  </si>
  <si>
    <t>LMST01120048</t>
  </si>
  <si>
    <t>C1[C@@]2([H])O[C@@]3(O)[C@@H](O)C[C@@H](C)O[C@@]3([H])O[C@]2([H])C[C@]2([H])CC[C@@]3([H])[C@]4([C@H](O)C[C@H](C5=CC(=O)OC5)[C@@]4(C)CC[C@]3([H])[C@@]12C=O)O</t>
  </si>
  <si>
    <t>ZABRUXSLNOYHLJ-QQIHNUQVSA-N</t>
  </si>
  <si>
    <t>C29H40O10</t>
  </si>
  <si>
    <t>4.10_517.1906m/z</t>
  </si>
  <si>
    <t>Gossypol</t>
  </si>
  <si>
    <t>HMDB0040723</t>
  </si>
  <si>
    <t>LMPR0103330002</t>
  </si>
  <si>
    <t>C07667</t>
  </si>
  <si>
    <t>ko00909</t>
  </si>
  <si>
    <t>Sesquiterpenoid and triterpenoid biosynthesis</t>
  </si>
  <si>
    <t>90141-22-3</t>
  </si>
  <si>
    <t>C12C=C(C(C3C(C)=CC4C(C(C)C)=C(C(O)=C(C=O)C=4C=3O)O)=C(O)C=1C(C=O)=C(C(O)=C2C(C)C)O)C</t>
  </si>
  <si>
    <t>QBKSWRVVCFFDOT-UHFFFAOYSA-N</t>
  </si>
  <si>
    <t>C30H30O8</t>
  </si>
  <si>
    <t>1.31_312.9962m/z</t>
  </si>
  <si>
    <t>5-(4-Acetoxy-3-Oxo-1-Butynyl)-2,2'-Bithiophene</t>
  </si>
  <si>
    <t>HMDB0038459</t>
  </si>
  <si>
    <t>1222-83-9</t>
  </si>
  <si>
    <t>CC(=O)OCC(=O)C#CC1=CC=C(S1)C1=CC=CS1</t>
  </si>
  <si>
    <t>DTTMMEKKOHDZHY-UHFFFAOYSA-N</t>
  </si>
  <si>
    <t>C14H10O3S2</t>
  </si>
  <si>
    <t>5.75_485.1946m/z</t>
  </si>
  <si>
    <t>Artocommunol Cc</t>
  </si>
  <si>
    <t>LMPK12111527</t>
  </si>
  <si>
    <t>C12C(=O)C3C[C@@H](C(C)(C)O)OC4C=C(O)C=CC=4C=3OC=1C1C=CC(C)(CC/C=C(\C)/C)OC=1C=C2O</t>
  </si>
  <si>
    <t>DNQGMSASTSNOOR-YJJLJQPASA-N</t>
  </si>
  <si>
    <t>C30H32O7</t>
  </si>
  <si>
    <t>2.61_255.0119m/z</t>
  </si>
  <si>
    <t>Disulfoton</t>
  </si>
  <si>
    <t>HMDB0251486</t>
  </si>
  <si>
    <t>C18400</t>
  </si>
  <si>
    <t>298-04-4</t>
  </si>
  <si>
    <t>CCOP(=S)(OCC)SCCSCC</t>
  </si>
  <si>
    <t>DOFZAZXDOSGAJZ-UHFFFAOYSA-N</t>
  </si>
  <si>
    <t>Organic dithiophosphoric acids and derivatives</t>
  </si>
  <si>
    <t>Dithiophosphate O-esters</t>
  </si>
  <si>
    <t>C8H19O2PS3</t>
  </si>
  <si>
    <t>6.12_735.2888m/z</t>
  </si>
  <si>
    <t>Hbas#9</t>
  </si>
  <si>
    <t>LMFA13040149</t>
  </si>
  <si>
    <t>O([C@@H](CCC(=O)O)C)[C@H]1[C@H](O)C[C@@H](OC(=O)C2=CC=C(O)C=C2)[C@H](C)O1</t>
  </si>
  <si>
    <t>GOULJBFAJHFZIY-WJOFSXDMSA-N</t>
  </si>
  <si>
    <t>C18H24O8</t>
  </si>
  <si>
    <t>6.29_775.3301m/z</t>
  </si>
  <si>
    <t>Kanzonol E</t>
  </si>
  <si>
    <t>LMPK12110034</t>
  </si>
  <si>
    <t>C1(O)=CC2OC(C3C=CC4OC(C)(C)C=CC=4C=3)=CC(=O)C=2C=C1C/C=C(\C)/C</t>
  </si>
  <si>
    <t>YQCBVKUBTQVHOT-UHFFFAOYSA-N</t>
  </si>
  <si>
    <t>C25H24O4</t>
  </si>
  <si>
    <t>10.44_499.2661m/z</t>
  </si>
  <si>
    <t>Lucidenic Acid H</t>
  </si>
  <si>
    <t>HMDB0035908</t>
  </si>
  <si>
    <t>110241-25-3</t>
  </si>
  <si>
    <t>CC(CCC(O)=O)C1CC(=O)C2(C)C3=C(C(=O)CC12C)C1(C)CCC(O)C(C)(CO)C1CC3O</t>
  </si>
  <si>
    <t>FWZRMYARQHUFQY-UHFFFAOYSA-N</t>
  </si>
  <si>
    <t>12.31_447.2514m/z</t>
  </si>
  <si>
    <t>Acetildenafil</t>
  </si>
  <si>
    <t>HMDB0247908</t>
  </si>
  <si>
    <t>CCCC1=NN(C)C2=C1N=C(NC2=O)C1=C(OCC)C=CC(=C1)C(=O)CN1CCN(CC)CC1</t>
  </si>
  <si>
    <t>RRBRQNALHKQCAI-UHFFFAOYSA-N</t>
  </si>
  <si>
    <t>C25H34N6O3</t>
  </si>
  <si>
    <t>0.72_462.1811m/z</t>
  </si>
  <si>
    <t>3-Cis-Hydroxyglipizide</t>
  </si>
  <si>
    <t>HMDB0060934</t>
  </si>
  <si>
    <t>38207-37-3</t>
  </si>
  <si>
    <t>CC1=CN=C(C=N1)C(O)=NCCC1=CC=C(C=C1)S(=O)(=O)NC(O)=N[C@H]1CCC[C@@H](O)C1</t>
  </si>
  <si>
    <t>GZLIUWBDTXQVBY-DLBZAZTESA-N</t>
  </si>
  <si>
    <t>C21H27N5O5S</t>
  </si>
  <si>
    <t>5.01_271.0594m/z</t>
  </si>
  <si>
    <t>Todralazine</t>
  </si>
  <si>
    <t>14679-73-3</t>
  </si>
  <si>
    <t>CCOC(=O)NNC1=NN=CC2=CC=CC=C21</t>
  </si>
  <si>
    <t>WGZDBVOTUVNQFP-UHFFFAOYSA-N</t>
  </si>
  <si>
    <t>C11H12N4O2</t>
  </si>
  <si>
    <t>6.39_238.1565n</t>
  </si>
  <si>
    <t>(9r,13r)-1a,1b-Dihomo-Jasmonic Acid</t>
  </si>
  <si>
    <t>LMFA02010010</t>
  </si>
  <si>
    <t>C(CCC[C@H]1[C@@H](C/C=C\CC)C(=O)CC1)(=O)O</t>
  </si>
  <si>
    <t>LVQJNKFFJNUFNY-OPVGQWETSA-N</t>
  </si>
  <si>
    <t>C14H22O3</t>
  </si>
  <si>
    <t>7.97_557.2349m/z</t>
  </si>
  <si>
    <t>Blumenol C O-[Rhamnosyl-(1-&gt;6)-Glucoside]</t>
  </si>
  <si>
    <t>HMDB0031935</t>
  </si>
  <si>
    <t>177261-67-5</t>
  </si>
  <si>
    <t>CC(CCC1C(C)=CC(=O)CC1(C)C)OC1OC(COC2OC(C)C(O)C(O)C2O)C(O)C(O)C1O</t>
  </si>
  <si>
    <t>XTPQCRPHXZBRMP-UHFFFAOYSA-N</t>
  </si>
  <si>
    <t>C25H42O11</t>
  </si>
  <si>
    <t>9.16_492.2356n</t>
  </si>
  <si>
    <t>4-Hydroxyretinoic Acid Glucuronide</t>
  </si>
  <si>
    <t>HMDB0061688</t>
  </si>
  <si>
    <t>C\C(\C=C\C1=C(C)C(CCC1(C)C)OC1OC(C(O)C(O)C1O)C(O)=O)=C/C=C/C(/C)=C/C(O)=O</t>
  </si>
  <si>
    <t>LVCMXFSJTNPFHH-FRCNGJHJSA-N</t>
  </si>
  <si>
    <t>C26H36O9</t>
  </si>
  <si>
    <t>7.97_839.2352m/z</t>
  </si>
  <si>
    <t>Artonol B</t>
  </si>
  <si>
    <t>HMDB0030488</t>
  </si>
  <si>
    <t>186824-58-8</t>
  </si>
  <si>
    <t>CC(=O)C1=C2OC3=C(C(O)=CC4=C3C=CC(C)(C)O4)C(=O)C2=CC2=C1C(=O)OC2(C)C</t>
  </si>
  <si>
    <t>LWJBUOOKYYTUDX-UHFFFAOYSA-N</t>
  </si>
  <si>
    <t>C24H20O7</t>
  </si>
  <si>
    <t>8.75_707.2554m/z</t>
  </si>
  <si>
    <t>Fusarenon X</t>
  </si>
  <si>
    <t>HMDB0252553</t>
  </si>
  <si>
    <t>CC(=O)OC1C(O)C2OC3C=C(C)C(=O)C(O)C3(CO)C1(C)C21CO1</t>
  </si>
  <si>
    <t>XGCUCFKWVIWWNW-UHFFFAOYSA-N</t>
  </si>
  <si>
    <t>C17H22O8</t>
  </si>
  <si>
    <t>5.45_479.1556m/z</t>
  </si>
  <si>
    <t>Musabalbisiane B</t>
  </si>
  <si>
    <t>HMDB0038681</t>
  </si>
  <si>
    <t>143199-58-0</t>
  </si>
  <si>
    <t>OC[C@@H]1C[C@@H](O)[C@@]2(C(O)=O)[C@](CO)(CC[C@@H](O)[C@@]2(CC(O)=O)C=O)[C@@]11C[C@H](O[C@H]1O)C1=COC=C1</t>
  </si>
  <si>
    <t>DGMXGJQMPUKDQN-VLGBJMDQSA-N</t>
  </si>
  <si>
    <t>C23H30O12</t>
  </si>
  <si>
    <t>12.16_951.4882m/z</t>
  </si>
  <si>
    <t>PI(18:2(9Z,12Z)/20:5(7Z,9Z,11E,13E,17Z)-3OH(5,6,15))</t>
  </si>
  <si>
    <t>HMDB0276721</t>
  </si>
  <si>
    <t>[H][C@@](COC(=O)CCCCCCC\C=C/C\C=C/CCCCC)(COP(O)(=O)O[C@H]1[C@H](O)[C@@H](O)[C@H](O)[C@@H](O)[C@H]1O)OC(=O)CCC[C@@H](O)[C@H](O)\C=C/C=C\C=C\C=C\[C@@H](O)C\C=C/CC</t>
  </si>
  <si>
    <t>VSOLKBGEMNQCRV-PYUFKQKISA-N</t>
  </si>
  <si>
    <t>C47H77O16P</t>
  </si>
  <si>
    <t>7.92_682.3566m/z</t>
  </si>
  <si>
    <t>Okhdia-Pg</t>
  </si>
  <si>
    <t>LMGP20060026</t>
  </si>
  <si>
    <t>[H][C@](O)(CO)COP(OC[C@]([H])(OC(CCC(=O)/C=C/C(=O)O)=O)COC(CCCCCCC/C=C\CCCCCCCC)=O)(=O)O</t>
  </si>
  <si>
    <t>HPNVNBKGCLPHHJ-OWOATLMESA-N</t>
  </si>
  <si>
    <t>C31H53O13P</t>
  </si>
  <si>
    <t>3.35_437.1274m/z</t>
  </si>
  <si>
    <t>Oxamyl</t>
  </si>
  <si>
    <t>HMDB0259885</t>
  </si>
  <si>
    <t>CNC(=O)ON=C(SC)C(=O)N(C)C</t>
  </si>
  <si>
    <t>KZAUOCCYDRDERY-UHFFFAOYSA-N</t>
  </si>
  <si>
    <t>C7H13N3O3S</t>
  </si>
  <si>
    <t>6.58_669.3126m/z</t>
  </si>
  <si>
    <t>Hippuryl-L-Arginine</t>
  </si>
  <si>
    <t>HMDB0253174</t>
  </si>
  <si>
    <t>NC(N)=NCCCC(NC(=O)CNC(=O)C1=CC=CC=C1)C(O)=O</t>
  </si>
  <si>
    <t>GFLCPYUSPYXNBV-UHFFFAOYSA-N</t>
  </si>
  <si>
    <t>C15H21N5O4</t>
  </si>
  <si>
    <t>1.11_463.1583m/z</t>
  </si>
  <si>
    <t>Dibutyryl Cyclic 3',5'-Cytidine Monophosphate</t>
  </si>
  <si>
    <t>HMDB0249394</t>
  </si>
  <si>
    <t>CCCC(=O)NC1=NC(=O)N(C=C1)C1OC2COP(O)(=O)OC2C1OC(=O)CCC</t>
  </si>
  <si>
    <t>IPICHPMWYGQEKH-UHFFFAOYSA-N</t>
  </si>
  <si>
    <t>C17H24N3O9P</t>
  </si>
  <si>
    <t>10.52_590.3460m/z</t>
  </si>
  <si>
    <t>PC(20:3(5Z,8Z,11Z)/0:0)</t>
  </si>
  <si>
    <t>HMDB0010393</t>
  </si>
  <si>
    <t>LMGP01050139</t>
  </si>
  <si>
    <t>1199257-41-4</t>
  </si>
  <si>
    <t>C(OP(OCC[N+](C)(C)C)(=O)[O-])[C@@](O)([H])COC(=O)CCC/C=C\C/C=C\C/C=C\CCCCCCCC</t>
  </si>
  <si>
    <t>YHGXYYIGHBPDMX-BUTFDPNWSA-N</t>
  </si>
  <si>
    <t>C28H52NO7P</t>
  </si>
  <si>
    <t>4.99_769.3087m/z</t>
  </si>
  <si>
    <t>Correolide</t>
  </si>
  <si>
    <t>HMDB0250455</t>
  </si>
  <si>
    <t>COC(=O)C12OC1C(=C)CC1(O)C3CCC4(C)C5C=CC(=O)OCC5(C(C)OC(C)=O)C(OC(C)=O)C(OC(C)=O)C4C3(C)C(OC(C)=O)C(OC(C)=O)C21C</t>
  </si>
  <si>
    <t>VKDXHXWBOARFPD-UHFFFAOYSA-N</t>
  </si>
  <si>
    <t>C40H52O16</t>
  </si>
  <si>
    <t>5.23_434.1574n</t>
  </si>
  <si>
    <t>Neoraufuracin</t>
  </si>
  <si>
    <t>LMPK12130057</t>
  </si>
  <si>
    <t>C12[C@H](O[C@@H]3[C@@H](O)[C@H](O)[C@@H](CO)O[C@H]3OC)[C@@H](CC3C=CC(O)=CC=3)OC=1C=C(O)C=C2</t>
  </si>
  <si>
    <t>NYWDXRKGBVXINM-OWLUANBVSA-N</t>
  </si>
  <si>
    <t>C22H26O9</t>
  </si>
  <si>
    <t>0.78_189.0393m/z</t>
  </si>
  <si>
    <t>Glucose Ketone</t>
  </si>
  <si>
    <t>HMDB0252777</t>
  </si>
  <si>
    <t>OCC1OC2(O)C(=O)C2(O)C(O)C1O</t>
  </si>
  <si>
    <t>KVPIGVPHHSOZLC-UHFFFAOYSA-N</t>
  </si>
  <si>
    <t>C7H10O7</t>
  </si>
  <si>
    <t>3.42_266.0788n</t>
  </si>
  <si>
    <t>Dihydrocitrinone</t>
  </si>
  <si>
    <t>HMDB0251297</t>
  </si>
  <si>
    <t>CC1OC(=O)C2=C(O)C(C(O)=O)=C(O)C(C)=C2C1C</t>
  </si>
  <si>
    <t>VVVMDYGNIVXIIG-UHFFFAOYSA-N</t>
  </si>
  <si>
    <t>C13H14O6</t>
  </si>
  <si>
    <t>15.36_617.5133m/z</t>
  </si>
  <si>
    <t>Dg(14:0/22:4(7z,10z,13z,16z)/0:0)[Iso2]</t>
  </si>
  <si>
    <t>HMDB0007031</t>
  </si>
  <si>
    <t>LMGL02010399</t>
  </si>
  <si>
    <t>OC[C@]([H])(OC(CCCCC/C=C\C/C=C\C/C=C\C/C=C\CCCCC)=O)COC(CCCCCCCCCCCCC)=O</t>
  </si>
  <si>
    <t>RJWUOCNQTGXKIH-QILILDRISA-N</t>
  </si>
  <si>
    <t>C39H68O5</t>
  </si>
  <si>
    <t>4.36_516.1420n</t>
  </si>
  <si>
    <t>Gericudranins A</t>
  </si>
  <si>
    <t>LMPK12150001</t>
  </si>
  <si>
    <t>C1(O)=C(CC2C=CC(O)=CC=2)C2OC(C3C=CC(O)=C(O)C=3)C(O)C(=O)C=2C(O)=C1CC1C=CC(O)=CC=1</t>
  </si>
  <si>
    <t>NSDIRDXLZWLHAL-UHFFFAOYSA-N</t>
  </si>
  <si>
    <t>C29H24O9</t>
  </si>
  <si>
    <t>6.37_542.3085n</t>
  </si>
  <si>
    <t>Pl</t>
  </si>
  <si>
    <t>HMDB0302594</t>
  </si>
  <si>
    <t>CCC1CC(C)C(O)\C=C\C=C\CC(C)OC(=O)CC(O)C(OC)C1OC1OC(C)CC(O)(C1O)C(C)=O</t>
  </si>
  <si>
    <t>IZFPDEQYDFAJRK-CDKJVOIVSA-N</t>
  </si>
  <si>
    <t>C28H46O10</t>
  </si>
  <si>
    <t>10.40_385.1995m/z</t>
  </si>
  <si>
    <t>Pexacerfont</t>
  </si>
  <si>
    <t>HMDB0256359</t>
  </si>
  <si>
    <t>CCC(C)NC1=NC(C)=NC2=C(C(C)=NN12)C1=C(C)N=C(OC)C=C1</t>
  </si>
  <si>
    <t>LBWQSAZEYIZZCE-UHFFFAOYSA-N</t>
  </si>
  <si>
    <t>Pyrazolylpyridines</t>
  </si>
  <si>
    <t>C18H24N6O</t>
  </si>
  <si>
    <t>5.97_337.1793m/z</t>
  </si>
  <si>
    <t>4-Hydroxy Nonenal Mercapturic Acid</t>
  </si>
  <si>
    <t>146764-24-1</t>
  </si>
  <si>
    <t>CCCCCC1C(CC(O1)O)SCC(C(=O)O)NC(=O)C</t>
  </si>
  <si>
    <t>DEWNQQSQBYUUAE-DCNVRKPOSA-N</t>
  </si>
  <si>
    <t>C14H25NO5S</t>
  </si>
  <si>
    <t>3.64_276.0165m/z</t>
  </si>
  <si>
    <t>3-Hydroxyhippuric Acid Sulfate</t>
  </si>
  <si>
    <t>HMDB0304909</t>
  </si>
  <si>
    <t>ON(CC(=O)OS(O)(=O)=O)C(=O)C1=CC=CC=C1</t>
  </si>
  <si>
    <t>ZYEMKIHYSVDTSN-UHFFFAOYSA-N</t>
  </si>
  <si>
    <t>C9H9NO7S</t>
  </si>
  <si>
    <t>3.93_515.1452m/z</t>
  </si>
  <si>
    <t>Ag-370</t>
  </si>
  <si>
    <t>134036-53-6</t>
  </si>
  <si>
    <t>C1=CC2=C(C=CN2)C=C1C=C(C#N)C(=C(C#N)C#N)N</t>
  </si>
  <si>
    <t>CMMDWEJTQUTCKG-WUXMJOGZSA-N</t>
  </si>
  <si>
    <t>C15H8N5</t>
  </si>
  <si>
    <t>0.73_167.0582n</t>
  </si>
  <si>
    <t>3alpha,4,5,7alpha-Tetrahydro-5-Hydroxy-1h-Isoindole-1,3(2h)-Dione</t>
  </si>
  <si>
    <t>HMDB0034887</t>
  </si>
  <si>
    <t>OC1CC2C(C=C1)C(=O)NC2=O</t>
  </si>
  <si>
    <t>GNUDNAYOODXBQP-UHFFFAOYSA-N</t>
  </si>
  <si>
    <t>Isoindolines</t>
  </si>
  <si>
    <t>C8H9NO3</t>
  </si>
  <si>
    <t>4.81_429.1378m/z</t>
  </si>
  <si>
    <t>Elafibranor</t>
  </si>
  <si>
    <t>HMDB0251730</t>
  </si>
  <si>
    <t>CSC1=CC=C(C=C1)C(=O)C=CC1=CC(C)=C(OC(C)(C)C(O)=O)C(C)=C1</t>
  </si>
  <si>
    <t>AFLFKFHDSCQHOL-UHFFFAOYSA-N</t>
  </si>
  <si>
    <t>C22H24O4S</t>
  </si>
  <si>
    <t>13.07_365.2684m/z</t>
  </si>
  <si>
    <t>1a,1b-Dihomo-Pge1</t>
  </si>
  <si>
    <t>LMFA03010108</t>
  </si>
  <si>
    <t>[C@H]1(/C=C/[C@@H](O)CCCCC)[C@H](O)CC(=O)[C@@H]1CCCCCCCCC(=O)O</t>
  </si>
  <si>
    <t>YMDDELUTDBQEMT-QZCLESEGSA-N</t>
  </si>
  <si>
    <t>C22H38O5</t>
  </si>
  <si>
    <t>0.66_260.0294n</t>
  </si>
  <si>
    <t>D-Myoinositol 4-Phosphate</t>
  </si>
  <si>
    <t>HMDB0001313</t>
  </si>
  <si>
    <t>C03546</t>
  </si>
  <si>
    <t>142760-33-6</t>
  </si>
  <si>
    <t>C1(C(C(C(C(C1O)O)OP(=O)(O)O)O)O)O</t>
  </si>
  <si>
    <t>INAPMGSXUVUWAF-GFWFORPUSA-N</t>
  </si>
  <si>
    <t>C6H13O9P</t>
  </si>
  <si>
    <t>11.30_423.3114m/z</t>
  </si>
  <si>
    <t>Pantheric Acid B</t>
  </si>
  <si>
    <t>LMFA01031178</t>
  </si>
  <si>
    <t>C(/C=C/C=C\[C@@H](O)CCCCCCCCCCCC/C=C\CCCC)(=O)O</t>
  </si>
  <si>
    <t>FVNQDZDHNYESSE-CASDLTSKSA-N</t>
  </si>
  <si>
    <t>C24H42O3</t>
  </si>
  <si>
    <t>5.58_761.2629m/z</t>
  </si>
  <si>
    <t>Fendosal</t>
  </si>
  <si>
    <t>HMDB0252197</t>
  </si>
  <si>
    <t>OC(=O)C1=C(O)C=CC(=C1)N1C2=C(C=C1C1=CC=CC=C1)C1=CC=CC=C1CC2</t>
  </si>
  <si>
    <t>HAWWPSYXSLJRBO-UHFFFAOYSA-N</t>
  </si>
  <si>
    <t>Pyrroles</t>
  </si>
  <si>
    <t>Substituted pyrroles</t>
  </si>
  <si>
    <t>C25H19NO3</t>
  </si>
  <si>
    <t>10.64_607.2890m/z</t>
  </si>
  <si>
    <t>(3a,5b,7a)-23-Carboxy-7-Hydroxy-24-Norcholan-3-Yl-B-D-Glucopyranosiduronic Acid</t>
  </si>
  <si>
    <t>HMDB0002430</t>
  </si>
  <si>
    <t>58814-71-4</t>
  </si>
  <si>
    <t>[H][C@@]1(CC[C@@]2([H])[C@]3([H])[C@H](O)C[C@]4([H])C[C@@H](CC[C@]4(C)[C@@]3([H])CC[C@]12C)OC1O[C@@H]([C@@H](O)[C@H](O)[C@H]1O)C(O)=O)[C@H](C)CCC(O)=O</t>
  </si>
  <si>
    <t>GDNGOAUIUTXUES-RWDHRDFGSA-N</t>
  </si>
  <si>
    <t>C30H48O10</t>
  </si>
  <si>
    <t>5.06_453.1169m/z</t>
  </si>
  <si>
    <t>Formononetin 7-O-(6''-Acetylglucoside)</t>
  </si>
  <si>
    <t>LMPK12050023</t>
  </si>
  <si>
    <t>O([C@H]1[C@H](O)[C@@H](O)[C@H](O)[C@@H](COC(C)=O)O1)C1C=CC2C(=O)C(C3C=CC(OC)=CC=3)=COC=2C=1</t>
  </si>
  <si>
    <t>HZJBDSMAAFNHHL-PFKOEMKTSA-N</t>
  </si>
  <si>
    <t>C24H24O10</t>
  </si>
  <si>
    <t>3.88_477.1939m/z</t>
  </si>
  <si>
    <t>3-O-(Alpha-L-Arabinopyranosyl-(1-&gt;6)-Beta-D-Glucopyranosyl) Butyl 3s-Hydroxybutanoate</t>
  </si>
  <si>
    <t>LMFA03120060</t>
  </si>
  <si>
    <t>O([C@H]1[C@H](O)[C@@H](O)[C@H](O)[C@@H](CO[C@@H]2OC[C@H](O)[C@H](O)[C@H]2O)O1)[C@H](CC(=O)OCCCC)C</t>
  </si>
  <si>
    <t>MLIAQAVEASULJH-CIRMENPFSA-N</t>
  </si>
  <si>
    <t>C19H34O12</t>
  </si>
  <si>
    <t>2.94_407.0479m/z</t>
  </si>
  <si>
    <t>Pyrithioxin</t>
  </si>
  <si>
    <t>HMDB0256987</t>
  </si>
  <si>
    <t>CC1=C(O)C(CO)=C(CSSCC2=C(CO)C(O)=C(C)N=C2)C=N1</t>
  </si>
  <si>
    <t>SIXLXDIJGIWWFU-UHFFFAOYSA-N</t>
  </si>
  <si>
    <t>Methylpyridines</t>
  </si>
  <si>
    <t>C16H20N2O4S2</t>
  </si>
  <si>
    <t>0.72_305.1341m/z</t>
  </si>
  <si>
    <t>2'-Deoxymugineic Acid</t>
  </si>
  <si>
    <t>HMDB0033909</t>
  </si>
  <si>
    <t>OC(CCNC(CCN1CCC1C(O)=O)C(O)=O)C(O)=O</t>
  </si>
  <si>
    <t>CUZKLRTTYZOCSD-UHFFFAOYSA-N</t>
  </si>
  <si>
    <t>C12H20N2O7</t>
  </si>
  <si>
    <t>8.93_660.3466m/z</t>
  </si>
  <si>
    <t>Septacidin</t>
  </si>
  <si>
    <t>HMDB0258241</t>
  </si>
  <si>
    <t>C15751</t>
  </si>
  <si>
    <t>87099-85-2</t>
  </si>
  <si>
    <t>CC(C)CCCCCCCCCCCCC(=O)NCC(=O)NC1C(O)C(O)C(NC2=C3N=CNC3=NC=N2)OC1C(O)CO</t>
  </si>
  <si>
    <t>YBZRLMLGUBIIDN-UHFFFAOYSA-N</t>
  </si>
  <si>
    <t>C30H51N7O7</t>
  </si>
  <si>
    <t>6.11_477.2129m/z</t>
  </si>
  <si>
    <t>Atractyligenin 2-Glucuronide</t>
  </si>
  <si>
    <t>HMDB0240481</t>
  </si>
  <si>
    <t>[H][C@]12C[C@@]3(CC[C@]4([H])[C@@]([H])(C[C@]([H])(C[C@@]4(C)[C@]3([H])CC1)O[C@]1([H])O[C@]([H])(C(O)=O)[C@@]([H])(O)[C@]([H])(O)[C@@]1([H])O)C(O)=O)[C@@]([H])(O)C2=C</t>
  </si>
  <si>
    <t>OYOQJMWAEWJXTA-WNFLXSAPSA-N</t>
  </si>
  <si>
    <t>4.28_929.2712m/z</t>
  </si>
  <si>
    <t>2-Feruloyl-1,2'-Disinapoylgentiobiose</t>
  </si>
  <si>
    <t>HMDB0030336</t>
  </si>
  <si>
    <t>COC1=CC(\C=C\C(=O)OC2OC(COC3OC(CO)C(O)C(O)C3OC(=O)\C=C\C3=CC(OC)=C(O)C(OC)=C3)C(O)C(O)C2OC(=O)\C=C\C2=CC(OC)=C(O)C=C2)=CC(OC)=C1O</t>
  </si>
  <si>
    <t>AZUSMVXIHUPOCX-UQYOVKQCSA-N</t>
  </si>
  <si>
    <t>C44H50O22</t>
  </si>
  <si>
    <t>14.58_530.4411m/z</t>
  </si>
  <si>
    <t>Tripelargonin</t>
  </si>
  <si>
    <t>HMDB0259260</t>
  </si>
  <si>
    <t>CCCCCCCCC(=O)OCC(COC(=O)CCCCCCCC)OC(=O)CCCCCCCC</t>
  </si>
  <si>
    <t>YRIMSXJXBHUHJT-UHFFFAOYSA-N</t>
  </si>
  <si>
    <t>C30H56O6</t>
  </si>
  <si>
    <t>3.50_503.1403m/z</t>
  </si>
  <si>
    <t>Cis-P-Coumaric Acid 4-[Apiosyl-(1-&gt;2)-Glucoside]</t>
  </si>
  <si>
    <t>HMDB0037088</t>
  </si>
  <si>
    <t>OCC1OC(OC2=CC=C(\C=C\C(O)=O)C=C2)C(OC2OCC(O)(CO)C2O)C(O)C1O</t>
  </si>
  <si>
    <t>DAVWDWCHQLSZAZ-ZZXKWVIFSA-N</t>
  </si>
  <si>
    <t>C20H26O12</t>
  </si>
  <si>
    <t>1.90_725.2256m/z</t>
  </si>
  <si>
    <t>Naringin 4'-Glucoside</t>
  </si>
  <si>
    <t>HMDB0033738</t>
  </si>
  <si>
    <t>LMPK12140254</t>
  </si>
  <si>
    <t>17257-21-5</t>
  </si>
  <si>
    <t>C1(OC2OC(CO)C(O)C(O)C2OC2OC(C)C(O)C(O)C2O)=CC2OC(C3C=CC(OC4OC(CO)C(O)C(O)C4O)=CC=3)CC(=O)C=2C(O)=C1</t>
  </si>
  <si>
    <t>FHXACOPOJBXRQQ-UHFFFAOYSA-N</t>
  </si>
  <si>
    <t>C33H42O19</t>
  </si>
  <si>
    <t>11.00_670.3581m/z</t>
  </si>
  <si>
    <t>Pkodia-Pg</t>
  </si>
  <si>
    <t>LMGP20060008</t>
  </si>
  <si>
    <t>[H][C@](O)(CO)COP(OC[C@]([H])(OC(CCCC(=O)/C=C/C(=O)O)=O)COC(CCCCCCCCCCCCCCC)=O)(=O)O</t>
  </si>
  <si>
    <t>JSEGYAMKCPURPF-LPTRFYTHSA-N</t>
  </si>
  <si>
    <t>C30H53O13P</t>
  </si>
  <si>
    <t>13.15_281.2483m/z</t>
  </si>
  <si>
    <t>4z,8z-Heptadecadiene</t>
  </si>
  <si>
    <t>LMFA11000132</t>
  </si>
  <si>
    <t>CCC/C=C\CC/C=C\CCCCCCCC</t>
  </si>
  <si>
    <t>ZNBAMGIZBRFPPA-UNNWTIKVSA-N</t>
  </si>
  <si>
    <t>Olefins</t>
  </si>
  <si>
    <t>C17H32</t>
  </si>
  <si>
    <t>1.06_452.0776n</t>
  </si>
  <si>
    <t>Torvanol A</t>
  </si>
  <si>
    <t>HMDB0038789</t>
  </si>
  <si>
    <t>COC1=CC2=C(OCC(C2OS(O)(=O)=O)C2=C(O)C(OC)=CC(\C=C\C(O)=O)=C2)C=C1</t>
  </si>
  <si>
    <t>XKGLTSPFQHSIDD-ZZXKWVIFSA-N</t>
  </si>
  <si>
    <t>C20H20O10S</t>
  </si>
  <si>
    <t>4.36_393.1909m/z</t>
  </si>
  <si>
    <t>4r,12s-Dihydroxy-9-Oxo-5e,7z,10z,14z-Prostatetraenoic Acid-Cyclo[8,12]</t>
  </si>
  <si>
    <t>LMFA03120020</t>
  </si>
  <si>
    <t>[C@]1(O)(C/C=C\CCCCC)C=CC(=O)/C/1=C\C=C\[C@H](O)CCC(O)=O</t>
  </si>
  <si>
    <t>MEOINZQEJRNAIG-PBMUXNFTSA-N</t>
  </si>
  <si>
    <t>6.48_495.2596m/z</t>
  </si>
  <si>
    <t>DG(2:0/PGJ2/0:0)</t>
  </si>
  <si>
    <t>HMDB0296919</t>
  </si>
  <si>
    <t>CCCCC[C@H](O)\C=C\[C@@H]1[C@@H](C\C=C/CCCC(=O)O[C@@H](CO)COC(C)=O)C=CC1=O</t>
  </si>
  <si>
    <t>NLYKMYRPUVPUNN-ONWUZIRBSA-N</t>
  </si>
  <si>
    <t>C25H38O7</t>
  </si>
  <si>
    <t>3.48_357.1084m/z</t>
  </si>
  <si>
    <t>Nitrendipine M (Dehydro)</t>
  </si>
  <si>
    <t>HMDB0255634</t>
  </si>
  <si>
    <t>CCOC(=O)C1=C(C)N=C(C)C(C(=O)OC)=C1C1=CC(=CC=C1)[N+]([O-])=O</t>
  </si>
  <si>
    <t>YEHVABIPGJLMET-UHFFFAOYSA-N</t>
  </si>
  <si>
    <t>C18H18N2O6</t>
  </si>
  <si>
    <t>4.70_329.1572m/z</t>
  </si>
  <si>
    <t>N2,N2-Dimethylguanosine</t>
  </si>
  <si>
    <t>HMDB0004824</t>
  </si>
  <si>
    <t>2140-67-2</t>
  </si>
  <si>
    <t>CN(C)C1=NC(=O)C2=C(N1)N(C=N2)[C@@H]1O[C@H](CO)[C@@H](O)[C@H]1O</t>
  </si>
  <si>
    <t>RSPURTUNRHNVGF-IOSLPCCCSA-N</t>
  </si>
  <si>
    <t>C12H17N5O5</t>
  </si>
  <si>
    <t>11.80_611.3555m/z</t>
  </si>
  <si>
    <t>25-Hydroxyvitamin D2-25-Glucuronide</t>
  </si>
  <si>
    <t>HMDB0010342</t>
  </si>
  <si>
    <t>C[C@H](\C=C\[C@H](C)C(C)(C)O[C@@H]1O[C@H](C(O)=O)[C@@H](O)[C@H](O)[C@H]1O)[C@@]1([H])CCC2\C(CCC[C@]12C)=C\C=C1\CC(O)CCC1=C</t>
  </si>
  <si>
    <t>MWEHQOJAQKGFMP-JJVXHKTJSA-N</t>
  </si>
  <si>
    <t>C34H52O8</t>
  </si>
  <si>
    <t>6.48_509.2166m/z</t>
  </si>
  <si>
    <t>Austalide I</t>
  </si>
  <si>
    <t>HMDB0030155</t>
  </si>
  <si>
    <t>96817-08-2</t>
  </si>
  <si>
    <t>COC1=C2C(=O)OCC2=C(C)C2=C1CC1C(C)(CC(OC(C)=O)C3C1(C)CCC(=O)OC3(C)C)O2</t>
  </si>
  <si>
    <t>XBPVWACQUMEORV-UHFFFAOYSA-N</t>
  </si>
  <si>
    <t>C27H34O8</t>
  </si>
  <si>
    <t>9.41_313.2616n</t>
  </si>
  <si>
    <t>N-Palmitoyl Glycine</t>
  </si>
  <si>
    <t>HMDB0013034</t>
  </si>
  <si>
    <t>LMFA08020079</t>
  </si>
  <si>
    <t>158305-64-7</t>
  </si>
  <si>
    <t>C(CNC(CCCCCCCCCCCCCCC)=O)(=O)O</t>
  </si>
  <si>
    <t>KVTFEOAKFFQCCX-UHFFFAOYSA-N</t>
  </si>
  <si>
    <t>C18H35NO3</t>
  </si>
  <si>
    <t>9.43_673.3438m/z</t>
  </si>
  <si>
    <t>DGMG(18:4(6Z,9Z,12Z,15Z)/0:0)</t>
  </si>
  <si>
    <t>LMGL04010013</t>
  </si>
  <si>
    <t>O[C@@H]1[C@@H](O)[C@@H](O)[C@@H](CO[C@@H]2[C@H](O)[C@@H](O)[C@@H](O)[C@@H](CO)O2)O[C@H]1OC[C@]([H])(O)COC(CCCC/C=C\C/C=C\C/C=C\C/C=C\CC)=O</t>
  </si>
  <si>
    <t>AXPZWZNFVKVRRH-WNLYTLCASA-N</t>
  </si>
  <si>
    <t>C33H54O14</t>
  </si>
  <si>
    <t>8.50_803.3126m/z</t>
  </si>
  <si>
    <t>Phylanthoside</t>
  </si>
  <si>
    <t>HMDB0256512</t>
  </si>
  <si>
    <t>CC1COC2(CC1OC(=O)C=CC1=CC=CC=C1)OC1CC(CCC1C21CO1)C(=O)OC1OC(C)C(O)C(OC(C)=O)C1OC1OC(C)C(O)C(OC(C)=O)C1O</t>
  </si>
  <si>
    <t>VOTNXJVGRXZYOA-UHFFFAOYSA-N</t>
  </si>
  <si>
    <t>C40H52O17</t>
  </si>
  <si>
    <t>4.09_321.0963m/z</t>
  </si>
  <si>
    <t>Ourateacatechin</t>
  </si>
  <si>
    <t>HMDB0303923</t>
  </si>
  <si>
    <t>LMPK12020134</t>
  </si>
  <si>
    <t>C1(O)C=C2O[C@H](C3C=C(O)C(OC)=C(O)C=3)[C@H](O)CC2=C(O)C=1</t>
  </si>
  <si>
    <t>ITDYPNOEEHONAH-UKRRQHHQSA-N</t>
  </si>
  <si>
    <t>C16H16O7</t>
  </si>
  <si>
    <t>4.65_400.1368n</t>
  </si>
  <si>
    <t>Zuclopenthixol</t>
  </si>
  <si>
    <t>HMDB0015561</t>
  </si>
  <si>
    <t>53772-83-1</t>
  </si>
  <si>
    <t>OCCN1CCN(CC\C=C2\C3=CC=CC=C3SC3=C2C=C(Cl)C=C3)CC1</t>
  </si>
  <si>
    <t>WFPIAZLQTJBIFN-DVZOWYKESA-N</t>
  </si>
  <si>
    <t>C22H25ClN2OS</t>
  </si>
  <si>
    <t>4.93_807.4226m/z</t>
  </si>
  <si>
    <t>PGP(a-13:0/20:3(6,8,11)-OH(5))</t>
  </si>
  <si>
    <t>HMDB0274364</t>
  </si>
  <si>
    <t>[H][C@](O)(COP(O)(O)=O)COP(O)(=O)OC[C@@]([H])(COC(=O)CCCCCCCCC(C)CC)OC(=O)CCCC(O)\C=C\C=C\C\C=C\CCCCCCCC</t>
  </si>
  <si>
    <t>VVYJDKHSYPDNMG-FRBHSZJFSA-N</t>
  </si>
  <si>
    <t>C39H72O14P2</t>
  </si>
  <si>
    <t>1.35_571.0381m/z</t>
  </si>
  <si>
    <t>Cefsulodin</t>
  </si>
  <si>
    <t>HMDB0249776</t>
  </si>
  <si>
    <t>NC(=O)C1=CC=[N+](CC2=C(N3C(SC2)C(NC(=O)C(C2=CC=CC=C2)S(O)(=O)=O)C3=O)C([O-])=O)C=C1</t>
  </si>
  <si>
    <t>SYLKGLMBLAAGSC-UHFFFAOYSA-N</t>
  </si>
  <si>
    <t>C22H20N4O8S2</t>
  </si>
  <si>
    <t>3.37_386.1297m/z</t>
  </si>
  <si>
    <t>Lactosamine</t>
  </si>
  <si>
    <t>HMDB0006591</t>
  </si>
  <si>
    <t>C00203</t>
  </si>
  <si>
    <t>ko00520,ko00541</t>
  </si>
  <si>
    <t>Amino sugar and nucleotide sugar metabolism|O-Antigen nucleotide sugar biosynthesis</t>
  </si>
  <si>
    <t>13000-25-4</t>
  </si>
  <si>
    <t>N[C@@H](C=O)[C@@H](O)[C@H](O[C@@H]1O[C@H](CO)[C@H](O)[C@H](O)[C@H]1O)[C@H](O)CO</t>
  </si>
  <si>
    <t>LAVNEPYDFKGEOD-JVCRWLNRSA-N</t>
  </si>
  <si>
    <t>C12H23NO10</t>
  </si>
  <si>
    <t>4.76_479.1190m/z</t>
  </si>
  <si>
    <t>(1r,6r)-6-Hydroxy-2-Succinylcyclohexa-2,4-Diene-1-Carboxylate</t>
  </si>
  <si>
    <t>HMDB0303951</t>
  </si>
  <si>
    <t>C05817</t>
  </si>
  <si>
    <t>[H][C@@]1(O)C=CC=C(C(=O)CCC(O)=O)[C@@]1([H])C(O)=O</t>
  </si>
  <si>
    <t>QJYRAJSESKVEAE-PSASIEDQSA-N</t>
  </si>
  <si>
    <t>C11H12O6</t>
  </si>
  <si>
    <t>10.97_391.2520m/z</t>
  </si>
  <si>
    <t>6-((Z)-Pentadec-8-En-1-Yl)Salicylic Acid</t>
  </si>
  <si>
    <t>LMPK15040003</t>
  </si>
  <si>
    <t>C10794</t>
  </si>
  <si>
    <t>22910-60-7</t>
  </si>
  <si>
    <t>C1C=C(CCCCCCC/C=C\CCCCCC)C(C(O)=O)=C(O)C=1</t>
  </si>
  <si>
    <t>YXHVCZZLWZYHSA-FPLPWBNLSA-N</t>
  </si>
  <si>
    <t>C22H34O3</t>
  </si>
  <si>
    <t>7.46_510.3211m/z</t>
  </si>
  <si>
    <t>1,2-Dioctanoyl Pc</t>
  </si>
  <si>
    <t>19191-91-4</t>
  </si>
  <si>
    <t>CCCCCCCC(=O)OCC(COP(=O)([O-])OCC[N+](C)(C)C)OC(=O)CCCCCCC</t>
  </si>
  <si>
    <t>YHIXRNNWDBPKPW-UHFFFAOYSA-N</t>
  </si>
  <si>
    <t>C24H48NO8P</t>
  </si>
  <si>
    <t>4.90_541.2089m/z</t>
  </si>
  <si>
    <t>Trichotetronine</t>
  </si>
  <si>
    <t>CC=CC=CC(=O)C1C(C2C(=C(C=CC=CC)O)C(=O)C1(C(=O)C2(C)O)C)C3(C(=C(C(=O)O3)C)O)C</t>
  </si>
  <si>
    <t>POOKHYNGUAZJAE-XJZPPUTOSA-N</t>
  </si>
  <si>
    <t>C28H32O8</t>
  </si>
  <si>
    <t>3.31_383.0479m/z</t>
  </si>
  <si>
    <t>1-Benzenesulfonyl-5-Ethyl-5-Phenylhydantoin</t>
  </si>
  <si>
    <t>HMDB0245613</t>
  </si>
  <si>
    <t>CCC1(N(C(=O)NC1=O)S(=O)(=O)C1=CC=CC=C1)C1=CC=CC=C1</t>
  </si>
  <si>
    <t>HWWVPVUGOLNSEB-UHFFFAOYSA-N</t>
  </si>
  <si>
    <t>C17H16N2O4S</t>
  </si>
  <si>
    <t>4.72_461.2391m/z</t>
  </si>
  <si>
    <t>Dexfenfluramine</t>
  </si>
  <si>
    <t>HMDB0015322</t>
  </si>
  <si>
    <t>3239-44-9</t>
  </si>
  <si>
    <t>CCN[C@@H](C)CC1=CC=CC(=C1)C(F)(F)F</t>
  </si>
  <si>
    <t>DBGIVFWFUFKIQN-VIFPVBQESA-N</t>
  </si>
  <si>
    <t>Phenethylamines</t>
  </si>
  <si>
    <t>C12H16F3N</t>
  </si>
  <si>
    <t>1.13_346.1262n</t>
  </si>
  <si>
    <t>Di-O-Methylcrenatin</t>
  </si>
  <si>
    <t>HMDB0032742</t>
  </si>
  <si>
    <t>64121-98-8</t>
  </si>
  <si>
    <t>COC1=CC(CO)=CC(OC)=C1OC1OC(CO)C(O)C(O)C1O</t>
  </si>
  <si>
    <t>RWIINOLFQCPJMH-UHFFFAOYSA-N</t>
  </si>
  <si>
    <t>C15H22O9</t>
  </si>
  <si>
    <t>5.36_436.1156n</t>
  </si>
  <si>
    <t>9,10-Dihydro-10-(4-Hydroxyphenyl)-Pyrano[2,3-H]Epicatechin-8-One</t>
  </si>
  <si>
    <t>LMPK12020082</t>
  </si>
  <si>
    <t>C12OC(=O)C[C@@H](C3C=CC(O)=CC=3)C=1C1O[C@H](C3C=CC(O)=C(O)C=3)[C@H](O)CC=1C(O)=C2</t>
  </si>
  <si>
    <t>NHAIWTJLRMSZKP-LEDSTXDGSA-N</t>
  </si>
  <si>
    <t>C24H20O8</t>
  </si>
  <si>
    <t>7.79_508.3057m/z</t>
  </si>
  <si>
    <t>Scyphostatin</t>
  </si>
  <si>
    <t>HMDB0258187</t>
  </si>
  <si>
    <t>CCC(C)C=C(C)CC(C)CC(C)C=CC=CC=CC(=O)NC(CO)CC1(O)C2OC2C=CC1=O</t>
  </si>
  <si>
    <t>KSIWZCYBCSQXTA-UHFFFAOYSA-N</t>
  </si>
  <si>
    <t>C29H43NO5</t>
  </si>
  <si>
    <t>3.79_405.1399m/z</t>
  </si>
  <si>
    <t>1-(3,4-Dimethoxyphenyl)-1,2-Ethanediol 1-O-B-D-Glucoside</t>
  </si>
  <si>
    <t>HMDB0034626</t>
  </si>
  <si>
    <t>251905-98-3</t>
  </si>
  <si>
    <t>COC1=C(OC)C=C(C=C1)C(CO)OC1OC(CO)C(O)C(O)C1O</t>
  </si>
  <si>
    <t>SXOCFAICCRYBCD-UHFFFAOYSA-N</t>
  </si>
  <si>
    <t>C16H24O9</t>
  </si>
  <si>
    <t>5.45_827.2948m/z</t>
  </si>
  <si>
    <t>Etamucine</t>
  </si>
  <si>
    <t>HMDB0251987</t>
  </si>
  <si>
    <t>CC(=O)NC1C(O)OC(CO)C(O)C1COC1OC(C(COCC2OC(CO)C(O)C(COC3OC(C(O)C(O)C3O)C(O)=O)C2NC(C)=O)C(O)C1(C)O)C(O)=O</t>
  </si>
  <si>
    <t>BVOZFCOTOYGLGD-UHFFFAOYSA-N</t>
  </si>
  <si>
    <t>C33H54N2O23</t>
  </si>
  <si>
    <t>10.24_650.2838m/z</t>
  </si>
  <si>
    <t>17alpha-(N-Acetyl-D-Glucosaminyl)Estradiol 3-Glucosiduronic Acid</t>
  </si>
  <si>
    <t>LMST05010027</t>
  </si>
  <si>
    <t>C04806</t>
  </si>
  <si>
    <t>[C@]12([H])[C@]3([C@@](C)([C@H](O[C@@H]4O[C@H](CO)[C@@H](O)[C@H](O)[C@H]4NC(C)=O)CC3)CC[C@]1([H])C1=C(C=C(C=C1)O[C@@H]1O[C@H](C(O)=O)[C@@H](O)[C@H](O)[C@H]1O)CC2)[H]</t>
  </si>
  <si>
    <t>BHYDXVJSMVVTCR-YWXAGLIRSA-N</t>
  </si>
  <si>
    <t>C32H45NO13</t>
  </si>
  <si>
    <t>4.38_311.1275m/z</t>
  </si>
  <si>
    <t>Islatravir</t>
  </si>
  <si>
    <t>HMDB0253596</t>
  </si>
  <si>
    <t>NC1=NC(F)=NC2=C1N=CN2C1CC(O)C(CO)(O1)C#C</t>
  </si>
  <si>
    <t>IKKXOSBHLYMWAE-UHFFFAOYSA-N</t>
  </si>
  <si>
    <t>C12H12FN5O3</t>
  </si>
  <si>
    <t>7.43_413.1580m/z</t>
  </si>
  <si>
    <t>PA(6:0/6:0)</t>
  </si>
  <si>
    <t>LMGP10010020</t>
  </si>
  <si>
    <t>[C@](COP(=O)(O)O)([H])(OC(CCCCC)=O)COC(CCCCC)=O</t>
  </si>
  <si>
    <t>SFZZRGHNPILUOD-CYBMUJFWSA-N</t>
  </si>
  <si>
    <t>C15H29O8P</t>
  </si>
  <si>
    <t>0.52_158.1175m/z</t>
  </si>
  <si>
    <t>(E,E)-2-Methyl-6-Oxohepta-2,4-Dienol</t>
  </si>
  <si>
    <t>LMFA05000562</t>
  </si>
  <si>
    <t>CC(=O)/C=C/C=C(\C)/CO</t>
  </si>
  <si>
    <t>CZHVRQOHHDVSOA-HJIKTHEYSA-N</t>
  </si>
  <si>
    <t>5.82_455.1902m/z</t>
  </si>
  <si>
    <t>Tafluprost Free Acid</t>
  </si>
  <si>
    <t>HMDB0014256</t>
  </si>
  <si>
    <t>OC1CC(O)C(\C=C\C(F)(F)COC2=CC=CC=C2)C1C\C=C/CCCC(O)=O</t>
  </si>
  <si>
    <t>KIQXRQVVYTYYAZ-MTNCBHNASA-N</t>
  </si>
  <si>
    <t>C22H28F2O5</t>
  </si>
  <si>
    <t>12.31_611.4661m/z</t>
  </si>
  <si>
    <t>Dg(16:1(9z)/18:3(9z,12z,15z)/0:0)[Iso2]</t>
  </si>
  <si>
    <t>HMDB0007134</t>
  </si>
  <si>
    <t>LMGL02010035</t>
  </si>
  <si>
    <t>OC[C@]([H])(OC(CCCCCCC/C=C\C/C=C\C/C=C\CC)=O)COC(CCCCCCC/C=C\CCCCCC)=O</t>
  </si>
  <si>
    <t>UUPFPLJLQPYEKS-BTMLKTQRSA-N</t>
  </si>
  <si>
    <t>C37H64O5</t>
  </si>
  <si>
    <t>6.59_414.2035n</t>
  </si>
  <si>
    <t>Armillarin</t>
  </si>
  <si>
    <t>HMDB0039380</t>
  </si>
  <si>
    <t>83329-14-0</t>
  </si>
  <si>
    <t>COC1=CC(O)=C(C(=O)OC2CC3(C)C4CC(C)(C)CC4C=C(C=O)C23O)C(C)=C1</t>
  </si>
  <si>
    <t>ISKWRTCZWOXOOF-UHFFFAOYSA-N</t>
  </si>
  <si>
    <t>C24H30O6</t>
  </si>
  <si>
    <t>1.83_425.0174m/z</t>
  </si>
  <si>
    <t>Luteolin 3'-Methyl Ether 7-Sulfate</t>
  </si>
  <si>
    <t>LMPK12110800</t>
  </si>
  <si>
    <t>C1(OS(=O)(O)=O)=CC2OC(C3C=C(OC)C(O)=CC=3)=CC(=O)C=2C(O)=C1</t>
  </si>
  <si>
    <t>YIYDRDIIVCKVSU-UHFFFAOYSA-N</t>
  </si>
  <si>
    <t>10.71_847.4688m/z</t>
  </si>
  <si>
    <t>Tpen</t>
  </si>
  <si>
    <t>16858-02-9</t>
  </si>
  <si>
    <t>C1=CC=NC(=C1)CN(CCN(CC2=CC=CC=N2)CC3=CC=CC=N3)CC4=CC=CC=N4</t>
  </si>
  <si>
    <t>CVRXLMUYFMERMJ-UHFFFAOYSA-N</t>
  </si>
  <si>
    <t>2-pyridylmethylamines</t>
  </si>
  <si>
    <t>C26H28N6</t>
  </si>
  <si>
    <t>4.81_603.3225m/z</t>
  </si>
  <si>
    <t>Trichostatin</t>
  </si>
  <si>
    <t>LMPK01000055</t>
  </si>
  <si>
    <t>58880-19-6</t>
  </si>
  <si>
    <t>C1=CC(C(=O)[C@H](C)/C=C(\C)/C=C/C(=O)NO)=CC=C1N(C)C</t>
  </si>
  <si>
    <t>RTKIYFITIVXBLE-QEQCGCAPSA-N</t>
  </si>
  <si>
    <t>C17H22N2O3</t>
  </si>
  <si>
    <t>1.79_347.0974m/z</t>
  </si>
  <si>
    <t>Shikimic Acid</t>
  </si>
  <si>
    <t>HMDB0003070</t>
  </si>
  <si>
    <t>C00493</t>
  </si>
  <si>
    <t>ko00400</t>
  </si>
  <si>
    <t>Phenylalanine, tyrosine and tryptophan biosynthesis</t>
  </si>
  <si>
    <t>138-59-0</t>
  </si>
  <si>
    <t>O[C@@H]1CC(=C[C@@H](O)[C@H]1O)C(O)=O</t>
  </si>
  <si>
    <t>JXOHGGNKMLTUBP-HSUXUTPPSA-N</t>
  </si>
  <si>
    <t>C7H10O5</t>
  </si>
  <si>
    <t>5.88_777.3488m/z</t>
  </si>
  <si>
    <t>Daclatasvir</t>
  </si>
  <si>
    <t>HMDB0250822</t>
  </si>
  <si>
    <t>COC(=O)NC(C(C)C)C(=O)N1CCCC1C1=NC=C(N1)C1=CC=C(C=C1)C1=CC=C(C=C1)C1=CN=C(N1)C1CCCN1C(=O)C(NC(=O)OC)C(C)C</t>
  </si>
  <si>
    <t>FKRSSPOQAMALKA-UHFFFAOYSA-N</t>
  </si>
  <si>
    <t>C40H50N8O6</t>
  </si>
  <si>
    <t>5.23_273.1482m/z</t>
  </si>
  <si>
    <t>9-(4-Fluoro-3-(Hydroxymethyl)Butyl)Guanine</t>
  </si>
  <si>
    <t>HMDB0245591</t>
  </si>
  <si>
    <t>NC1=NC2=C(N=CN2CCC(CO)CF)C(=O)N1</t>
  </si>
  <si>
    <t>CEIVUGLBKBWVAE-UHFFFAOYSA-N</t>
  </si>
  <si>
    <t>C10H14FN5O2</t>
  </si>
  <si>
    <t>7.32_187.1331m/z</t>
  </si>
  <si>
    <t>9-Hydroxy-Decanoic Acid</t>
  </si>
  <si>
    <t>HMDB0033201</t>
  </si>
  <si>
    <t>LMFA01050156</t>
  </si>
  <si>
    <t>1422-27-1</t>
  </si>
  <si>
    <t>C(CCCCCCCC(O)C)(=O)O</t>
  </si>
  <si>
    <t>UOQXHXSPGSKEGI-UHFFFAOYSA-N</t>
  </si>
  <si>
    <t>C10H20O3</t>
  </si>
  <si>
    <t>4.29_399.0735m/z</t>
  </si>
  <si>
    <t>Sulfasalazine</t>
  </si>
  <si>
    <t>C07316</t>
  </si>
  <si>
    <t>599-79-1</t>
  </si>
  <si>
    <t>C1=CC=NC(=C1)NS(=O)(=O)C2=CC=C(C=C2)N=NC3=CC(=C(C=C3)O)C(=O)O</t>
  </si>
  <si>
    <t>NCEXYHBECQHGNR-UHFFFAOYSA-N</t>
  </si>
  <si>
    <t>Azobenzenes</t>
  </si>
  <si>
    <t>C18H14N4O5S</t>
  </si>
  <si>
    <t>4.42_481.2652m/z</t>
  </si>
  <si>
    <t>Prometryn</t>
  </si>
  <si>
    <t>HMDB0256805</t>
  </si>
  <si>
    <t>C18542</t>
  </si>
  <si>
    <t>7287-19-6</t>
  </si>
  <si>
    <t>CSC1=NC(NC(N1)=NC(C)C)=NC(C)C</t>
  </si>
  <si>
    <t>AAEVYOVXGOFMJO-UHFFFAOYSA-N</t>
  </si>
  <si>
    <t>1,3,5-triazines</t>
  </si>
  <si>
    <t>C10H19N5S</t>
  </si>
  <si>
    <t>6.64_134.0963m/z</t>
  </si>
  <si>
    <t>2-Methylindoline</t>
  </si>
  <si>
    <t>6872-06-6</t>
  </si>
  <si>
    <t>CC1CC2=CC=CC=C2N1</t>
  </si>
  <si>
    <t>QRWRJDVVXAXGBT-UHFFFAOYSA-N</t>
  </si>
  <si>
    <t>Indolines</t>
  </si>
  <si>
    <t>0.75_256.0812m/z</t>
  </si>
  <si>
    <t>Dipyrocetyl</t>
  </si>
  <si>
    <t>486-79-3</t>
  </si>
  <si>
    <t>CC(=O)OC1=CC=CC(=C1OC(=O)C)C(=O)O</t>
  </si>
  <si>
    <t>NYIZXMGNIUSNKL-UHFFFAOYSA-N</t>
  </si>
  <si>
    <t>C11H10O6</t>
  </si>
  <si>
    <t>4.55_375.2143m/z</t>
  </si>
  <si>
    <t>13,14-Dihydro-15-Keto-Pge2</t>
  </si>
  <si>
    <t>HMDB0002776</t>
  </si>
  <si>
    <t>LMFA03010031</t>
  </si>
  <si>
    <t>C04671</t>
  </si>
  <si>
    <t>363-23-5</t>
  </si>
  <si>
    <t>[C@H]1(CCC(=O)CCCCC)[C@H](O)CC(=O)[C@@H]1C/C=C\CCCC(=O)O</t>
  </si>
  <si>
    <t>CUJMXIQZWPZMNQ-XYYGWQPLSA-N</t>
  </si>
  <si>
    <t>5.84_571.1991m/z</t>
  </si>
  <si>
    <t>Letermovir</t>
  </si>
  <si>
    <t>HMDB0254025</t>
  </si>
  <si>
    <t>COC1=CC=CC(=C1)N1CCN(CC1)C1=NC2=C(C=CC=C2F)C(CC(O)=O)N1C1=C(OC)C=CC(=C1)C(F)(F)F</t>
  </si>
  <si>
    <t>FWYSMLBETOMXAG-UHFFFAOYSA-N</t>
  </si>
  <si>
    <t>C29H28F4N4O4</t>
  </si>
  <si>
    <t>5.32_640.0301m/z</t>
  </si>
  <si>
    <t>Gdp-Guluronate</t>
  </si>
  <si>
    <t>HMDB0304365</t>
  </si>
  <si>
    <t>NC1=NC2=C(N=CN2C2OC(COP([O-])(=O)OP([O-])(=O)OC(=O)C(O)C(O)C(O)C(O)C=O)C(O)C2O)C(=O)N1</t>
  </si>
  <si>
    <t>JMGRTSWUCIVEIG-UHFFFAOYSA-L</t>
  </si>
  <si>
    <t>C16H21N5O17P2-2</t>
  </si>
  <si>
    <t>6.66_289.1430m/z</t>
  </si>
  <si>
    <t>Achillicin</t>
  </si>
  <si>
    <t>HMDB0036487</t>
  </si>
  <si>
    <t>71616-00-7</t>
  </si>
  <si>
    <t>CC1C2C(OC1=O)C1=C(C)CC=C1C(C)(O)CC2OC(C)=O</t>
  </si>
  <si>
    <t>ZPTLTKQKVWFFNY-UHFFFAOYSA-N</t>
  </si>
  <si>
    <t>3.41_639.1695m/z</t>
  </si>
  <si>
    <t>3-P-Coumaroyl-1,5-Quinolactone</t>
  </si>
  <si>
    <t>HMDB0029292</t>
  </si>
  <si>
    <t>O[C@H]1[C@H]2C[C@@](O)(C[C@H]1OC(=O)\C=C\C1=CC=C(O)C=C1)C(=O)O2</t>
  </si>
  <si>
    <t>UDRNBJSMWYQCNZ-OTCYKTEZSA-N</t>
  </si>
  <si>
    <t>8.29_347.1828m/z</t>
  </si>
  <si>
    <t>1,2,3-Tris(1-Ethoxyethoxy)Propane</t>
  </si>
  <si>
    <t>HMDB0037162</t>
  </si>
  <si>
    <t>67715-82-6</t>
  </si>
  <si>
    <t>CCOC(C)OCC(COC(C)OCC)OC(C)OCC</t>
  </si>
  <si>
    <t>NSVOKCWMHBVBIU-UHFFFAOYSA-N</t>
  </si>
  <si>
    <t>C15H32O6</t>
  </si>
  <si>
    <t>9.84_407.2407m/z</t>
  </si>
  <si>
    <t>Adenosine, 8-(Butylamino)-N-Cyclopentyl-</t>
  </si>
  <si>
    <t>HMDB0258096</t>
  </si>
  <si>
    <t>CCCCNC1=NC2=C(N=CN=C2NC2CCCC2)N1C1OC(CO)C(O)C1O</t>
  </si>
  <si>
    <t>FZFITDOIQWMJEQ-UHFFFAOYSA-N</t>
  </si>
  <si>
    <t>C19H30N6O4</t>
  </si>
  <si>
    <t>4.35_539.1766m/z</t>
  </si>
  <si>
    <t>Oleuropein</t>
  </si>
  <si>
    <t>HMDB0035872</t>
  </si>
  <si>
    <t>C09794</t>
  </si>
  <si>
    <t>32619-42-4</t>
  </si>
  <si>
    <t>[H][C@]1(CC(=O)OCCC2=CC(O)=C(O)C=C2)\C(=C/C)[C@H](O[C@@H]2O[C@H](CO)[C@@H](O)[C@H](O)[C@H]2O)OC=C1C(=O)OC</t>
  </si>
  <si>
    <t>RFWGABANNQMHMZ-ZCHJGGQASA-N</t>
  </si>
  <si>
    <t>C25H32O13</t>
  </si>
  <si>
    <t>10.46_734.2923n</t>
  </si>
  <si>
    <t>5,10,15,20-Tetrakis(4-Methoxyphenyl)-21h,23h-Porphine</t>
  </si>
  <si>
    <t>HMDB0245631</t>
  </si>
  <si>
    <t>COC1=CC=C(C=C1)C1=C2\C=CC(=N2)\C(=C2/N\C(\C=C2)=C(/C2=N/C(/C=C2)=C(\C2=CC=C\1N2)C1=CC=C(OC)C=C1)C1=CC=C(OC)C=C1)\C1=CC=C(OC)C=C1</t>
  </si>
  <si>
    <t>PJOJZHHAECOAFH-PJEPRTEXSA-N</t>
  </si>
  <si>
    <t>C48H38N4O4</t>
  </si>
  <si>
    <t>7.53_626.7738m/z</t>
  </si>
  <si>
    <t>Ioxitalamic Acid</t>
  </si>
  <si>
    <t>HMDB0253556</t>
  </si>
  <si>
    <t>CC(O)=NC1=C(I)C(C(O)=NCCO)=C(I)C(C(O)=O)=C1I</t>
  </si>
  <si>
    <t>OLAOYPRJVHUHCF-UHFFFAOYSA-N</t>
  </si>
  <si>
    <t>C12H11I3N2O5</t>
  </si>
  <si>
    <t>10.16_564.3305m/z</t>
  </si>
  <si>
    <t>PC(18:2(9Z,12Z)/0:0)</t>
  </si>
  <si>
    <t>HMDB0010386</t>
  </si>
  <si>
    <t>LMGP01050035</t>
  </si>
  <si>
    <t>22252-07-9</t>
  </si>
  <si>
    <t>[C@](COP(=O)([O-])OCC[N+](C)(C)C)([H])(O)COC(CCCCCCC/C=C\C/C=C\CCCCC)=O</t>
  </si>
  <si>
    <t>SPJFYYJXNPEZDW-FTJOPAKQSA-N</t>
  </si>
  <si>
    <t>C26H50NO7P</t>
  </si>
  <si>
    <t>4.09_451.1473n</t>
  </si>
  <si>
    <t>5-O-Feruloylnigrumin</t>
  </si>
  <si>
    <t>HMDB0038735</t>
  </si>
  <si>
    <t>COC1=C(O)C=CC(\C=C\C(=O)OC\C(=C/COC2OC(CO)C(O)C(O)C2O)C#N)=C1</t>
  </si>
  <si>
    <t>ZZGPJESHTGYKSG-WIMOKQHYSA-N</t>
  </si>
  <si>
    <t>C21H25NO10</t>
  </si>
  <si>
    <t>2.70_577.1341m/z</t>
  </si>
  <si>
    <t>Epicatechin-(2beta-&gt;7,4beta-&gt;6)-Catechin</t>
  </si>
  <si>
    <t>HMDB0034707</t>
  </si>
  <si>
    <t>OC1CC2=C(O)C3=C(OC4(OC5=C(C3C4O)C(O)=CC(O)=C5)C3=CC=C(O)C(O)=C3)C=C2OC1C1=CC(O)=C(O)C=C1</t>
  </si>
  <si>
    <t>BEPYKTSNKZMROV-UHFFFAOYSA-N</t>
  </si>
  <si>
    <t>6.09_410.1937n</t>
  </si>
  <si>
    <t>19-Monoacetyl Cincassiol A</t>
  </si>
  <si>
    <t>HMDB0302510</t>
  </si>
  <si>
    <t>CC(COC(C)=O)C1=C[C@@]2(O)[C@@](O)(C1)[C@@]1(C)CC(=O)OC22[C@H](O)[C@@H](C)CCC12O</t>
  </si>
  <si>
    <t>ZXLMNZQAJGKQBN-HGNCCJQZSA-N</t>
  </si>
  <si>
    <t>C21H30O8</t>
  </si>
  <si>
    <t>4.84_653.1718m/z</t>
  </si>
  <si>
    <t>Monoxerutin</t>
  </si>
  <si>
    <t>HMDB0254873</t>
  </si>
  <si>
    <t>CC1OC(OCC2OC(OC3=C(OC4=CC(OCCO)=CC(O)=C4C3=O)C3=CC=C(O)C(O)=C3)C(O)C(O)C2O)C(O)C(O)C1O</t>
  </si>
  <si>
    <t>MBHXKZDTQCSVPM-UHFFFAOYSA-N</t>
  </si>
  <si>
    <t>4.36_443.1495m/z</t>
  </si>
  <si>
    <t>Berkeleylactone A</t>
  </si>
  <si>
    <t>LMFA07040161</t>
  </si>
  <si>
    <t>C1(O[C@H](C)CCCCCCCCC[C@H](O)C(=O)C[C@H]1SC[C@@H](O)C(O)=O)=O</t>
  </si>
  <si>
    <t>KQOUUXPIBXWEMV-YALNPMBYSA-N</t>
  </si>
  <si>
    <t>C19H32O7S</t>
  </si>
  <si>
    <t>9.21_615.2407m/z</t>
  </si>
  <si>
    <t>Foretinib</t>
  </si>
  <si>
    <t>HMDB0252437</t>
  </si>
  <si>
    <t>COC1=C(OCCCN2CCOCC2)C=C2N=CC=C(OC3=C(F)C=C(C=C3)N=C(O)C3(CC3)C(=O)NC3=CC=C(F)C=C3)C2=C1</t>
  </si>
  <si>
    <t>CXQHYVUVSFXTMY-UHFFFAOYSA-N</t>
  </si>
  <si>
    <t>C34H34F2N4O6</t>
  </si>
  <si>
    <t>6.01_454.2566n</t>
  </si>
  <si>
    <t>18-Acetoxy-Pgf2alpha-11-Acetate</t>
  </si>
  <si>
    <t>LMFA03010098</t>
  </si>
  <si>
    <t>[C@H]1(/C=C/[C@@H](O)CCC(OC(=O)C)CC)[C@H](OC(=O)C)C[C@H](O)[C@@H]1C/C=C\CCCC(=O)O</t>
  </si>
  <si>
    <t>RPLPBOQMXRLFMI-WWHNEAPVSA-N</t>
  </si>
  <si>
    <t>C24H38O8</t>
  </si>
  <si>
    <t>4.79_939.2664m/z</t>
  </si>
  <si>
    <t>[2-Oxo-3-(3-Oxo-1-Phenylbutyl)Chromen-4-Yl] 2-Acetyloxybenzoate</t>
  </si>
  <si>
    <t>HMDB0258112</t>
  </si>
  <si>
    <t>CC(=O)CC(C1=CC=CC=C1)C1=C(OC(=O)C2=CC=CC=C2OC(C)=O)C2=CC=CC=C2OC1=O</t>
  </si>
  <si>
    <t>HOXVLYDCRDAPNI-UHFFFAOYSA-N</t>
  </si>
  <si>
    <t>C28H22O7</t>
  </si>
  <si>
    <t>4.78_363.1449m/z</t>
  </si>
  <si>
    <t>7alpha,8alpha-Dihydroxycalonectrin</t>
  </si>
  <si>
    <t>HMDB0038916</t>
  </si>
  <si>
    <t>95673-99-7</t>
  </si>
  <si>
    <t>CC(=O)OCC12C(O)C(O)C(C)=CC1OC1C(CC2(C)C11CO1)OC(C)=O</t>
  </si>
  <si>
    <t>JSKXQQKSUOVSKS-UHFFFAOYSA-N</t>
  </si>
  <si>
    <t>11.71_899.5403m/z</t>
  </si>
  <si>
    <t>Maduramicin</t>
  </si>
  <si>
    <t>HMDB0029453</t>
  </si>
  <si>
    <t>79356-08-4</t>
  </si>
  <si>
    <t>COC1CC(C)OC(OC2CC(OC2C2(C)CCC(O2)C2(C)CCC3(CC(O)C(C)C(O3)C(C)C3OC(O)(CC(O)=O)C(C)C(OC)C3OC)O2)C2OC(C)(O)C(C)CC2C)C1OC</t>
  </si>
  <si>
    <t>VVYPHUVLJAPZHM-UHFFFAOYSA-N</t>
  </si>
  <si>
    <t>C47H80O17</t>
  </si>
  <si>
    <t>5.47_166.0862m/z</t>
  </si>
  <si>
    <t>2-Amino-3-(4-Hydroxyphenyl)Propanal</t>
  </si>
  <si>
    <t>HMDB0244978</t>
  </si>
  <si>
    <t>NC(CC1=CC=C(O)C=C1)C=O</t>
  </si>
  <si>
    <t>DXGAIOIQACHYRK-UHFFFAOYSA-N</t>
  </si>
  <si>
    <t>C9H11NO2</t>
  </si>
  <si>
    <t>4.93_512.2818m/z</t>
  </si>
  <si>
    <t>Flumethasone Pivalate</t>
  </si>
  <si>
    <t>HMDB0014801</t>
  </si>
  <si>
    <t>2002-29-1</t>
  </si>
  <si>
    <t>[H][C@@]12C[C@@H](C)[C@](O)(C(=O)COC(=O)C(C)(C)C)[C@@]1(C)C[C@H](O)[C@@]1(F)[C@@]2([H])C[C@H](F)C2=CC(=O)C=C[C@]12C</t>
  </si>
  <si>
    <t>JWRMHDSINXPDHB-OJAGFMMFSA-N</t>
  </si>
  <si>
    <t>C27H36F2O6</t>
  </si>
  <si>
    <t>0.72_448.1658m/z</t>
  </si>
  <si>
    <t>2-Ethyl-5,7-Dimethyl-3-((4-(2-(2h-Tetrazol-5-Yl)Phenyl)Phenyl)Methyl)Imidazo(4,5-B)Pyridine</t>
  </si>
  <si>
    <t>HMDB0253846</t>
  </si>
  <si>
    <t>CCC1=NC2=C(N=C(C)C=C2C)N1CC1=CC=C(C=C1)C1=CC=CC=C1C1=NNN=N1</t>
  </si>
  <si>
    <t>YFWXFHNZGKNDBC-UHFFFAOYSA-N</t>
  </si>
  <si>
    <t>C24H23N7</t>
  </si>
  <si>
    <t>0.72_304.1501m/z</t>
  </si>
  <si>
    <t>N5-Acetyl-N2-Gamma-L-Glutamyl-L-Ornithine</t>
  </si>
  <si>
    <t>HMDB0039423</t>
  </si>
  <si>
    <t>102148-92-5</t>
  </si>
  <si>
    <t>CC(=O)NCCCC(NC(=O)CCC(N)C(O)=O)C(O)=O</t>
  </si>
  <si>
    <t>JAAJGIIASALJIT-UHFFFAOYSA-N</t>
  </si>
  <si>
    <t>C12H21N3O6</t>
  </si>
  <si>
    <t>12.66_690.4790m/z</t>
  </si>
  <si>
    <t>Vinaginsenoside R12</t>
  </si>
  <si>
    <t>HMDB0040782</t>
  </si>
  <si>
    <t>156398-71-9</t>
  </si>
  <si>
    <t>CC(C)(O)C(O)CCC(C)(O)C1CCC2(C)C1C(O)CC1C3(C)CCC(O)C(C)(C)C3C(CC21C)OC1OC(CO)C(O)C(O)C1O</t>
  </si>
  <si>
    <t>NUGXFAXZOUMRFJ-UHFFFAOYSA-N</t>
  </si>
  <si>
    <t>C36H64O11</t>
  </si>
  <si>
    <t>9.52_258.2791m/z</t>
  </si>
  <si>
    <t>9-Hexadecen-1-Ol</t>
  </si>
  <si>
    <t>LMFA05000030</t>
  </si>
  <si>
    <t>C(/CCCCCC)=C\CCCCCCCCO</t>
  </si>
  <si>
    <t>LBIYNOAMNIKVKF-BQYQJAHWSA-N</t>
  </si>
  <si>
    <t>C16H32O</t>
  </si>
  <si>
    <t>9.86_385.2595m/z</t>
  </si>
  <si>
    <t>Alvameline</t>
  </si>
  <si>
    <t>HMDB0248263</t>
  </si>
  <si>
    <t>CCN1N=NC(=N1)C1=CCCN(C)C1</t>
  </si>
  <si>
    <t>RNMOMKCRCIRYCZ-UHFFFAOYSA-N</t>
  </si>
  <si>
    <t>C9H15N5</t>
  </si>
  <si>
    <t>4.29_388.1366n</t>
  </si>
  <si>
    <t>Geniposide</t>
  </si>
  <si>
    <t>HMDB0252679</t>
  </si>
  <si>
    <t>COC(=O)C1=COC(OC2OC(CO)C(O)C(O)C2O)C2C1CC=C2CO</t>
  </si>
  <si>
    <t>IBFYXTRXDNAPMM-UHFFFAOYSA-N</t>
  </si>
  <si>
    <t>C17H24O10</t>
  </si>
  <si>
    <t>5.97_575.2847m/z</t>
  </si>
  <si>
    <t>Bipindogulomethyloside</t>
  </si>
  <si>
    <t>HMDB0030623</t>
  </si>
  <si>
    <t>53152-43-5</t>
  </si>
  <si>
    <t>CC1OC(OC2CCC3(C)C4C(O)CC5(C)C(CCC5(O)C4CCC3(O)C2)C2=CC(=O)OC2)C(O)C(O)C1O</t>
  </si>
  <si>
    <t>WRORFDCUNLGVJF-UHFFFAOYSA-N</t>
  </si>
  <si>
    <t>10.24_361.1995m/z</t>
  </si>
  <si>
    <t>Triptolide Analog</t>
  </si>
  <si>
    <t>CC(C)C12C(O1)C3(CCC4C(C3=CC2=O)(CCCC4(C)C(=O)OC)C)O</t>
  </si>
  <si>
    <t>ABKTWBMMVOBXFC-USNCVGSQSA-N</t>
  </si>
  <si>
    <t>C21H30O5</t>
  </si>
  <si>
    <t>1.31_286.1759m/z</t>
  </si>
  <si>
    <t>4-Bis(2-Hydroxyethyl)Amino-L-Phenylalanine</t>
  </si>
  <si>
    <t>HMDB0247322</t>
  </si>
  <si>
    <t>NC(CC1=CC=C(C=C1)N(CCO)CCO)C(O)=O</t>
  </si>
  <si>
    <t>WHGUXSYETMNGJA-UHFFFAOYSA-N</t>
  </si>
  <si>
    <t>C13H20N2O4</t>
  </si>
  <si>
    <t>9.95_433.2593m/z</t>
  </si>
  <si>
    <t>Cavipetin C</t>
  </si>
  <si>
    <t>HMDB0030366</t>
  </si>
  <si>
    <t>128552-90-9</t>
  </si>
  <si>
    <t>C\C(CC\C=C(/C)CC\C=C(/C)C=O)=C/CC\C(C)=C\COC(=O)C(\C)=C\O</t>
  </si>
  <si>
    <t>JYQVRBSGMTVCKG-JIDRUIINSA-N</t>
  </si>
  <si>
    <t>C24H36O4</t>
  </si>
  <si>
    <t>2.03_447.0892m/z</t>
  </si>
  <si>
    <t>3-Glucosyl-2,3',4,4',6-Pentahydroxybenzophenone</t>
  </si>
  <si>
    <t>HMDB0032645</t>
  </si>
  <si>
    <t>92631-83-9</t>
  </si>
  <si>
    <t>OCC1OC(C(O)C(O)C1O)C1=C(O)C=C(O)C(C(=O)C2=CC(O)=C(O)C=C2)=C1O</t>
  </si>
  <si>
    <t>VYGJDASIWDWDAM-UHFFFAOYSA-N</t>
  </si>
  <si>
    <t>C19H20O11</t>
  </si>
  <si>
    <t>7.55_945.4113m/z</t>
  </si>
  <si>
    <t>Psma-Hbed-Cc</t>
  </si>
  <si>
    <t>HMDB0259528</t>
  </si>
  <si>
    <t>OC(=O)CCC(NC(=O)NC(CCCCNC(=O)CCCCCNC(=O)CCC1=CC(CN(CCN(CC(O)=O)CC2=C(O)C=CC(CCC(O)=O)=C2)CC(O)=O)=C(O)C=C1)C(O)=O)C(O)=O</t>
  </si>
  <si>
    <t>QJUIUFGOTBRHKP-UHFFFAOYSA-N</t>
  </si>
  <si>
    <t>C44H62N6O17</t>
  </si>
  <si>
    <t>12.50_545.3447m/z</t>
  </si>
  <si>
    <t>Penicisteroid F</t>
  </si>
  <si>
    <t>LMST01031167</t>
  </si>
  <si>
    <t>C1[C@]2(C)[C@@]3([H])[C@@H](O)C[C@]4(C)[C@@]([H])([C@]([H])(C)/C=C/[C@H](C)C(C)C)[C@@H](OC(C)=O)C[C@@]4([H])[C@]3([H])[C@@H](O)[C@@H](O)[C@@]2(O)C[C@@H](O)C1</t>
  </si>
  <si>
    <t>HFUCIIVEICGGNB-SUDBBCPOSA-N</t>
  </si>
  <si>
    <t>C30H50O7</t>
  </si>
  <si>
    <t>3.56_747.2112m/z</t>
  </si>
  <si>
    <t>Ramontoside</t>
  </si>
  <si>
    <t>HMDB0038929</t>
  </si>
  <si>
    <t>133882-75-4</t>
  </si>
  <si>
    <t>COC1C(COC(OC2=C3COC(=O)C3=C(C3=CC4=C(OCO4)C=C3)C3=CC(OC)=C(OC)C=C23)C1OC)OC1OC(CO)C(O)C(O)C1O</t>
  </si>
  <si>
    <t>DDUSFSKGAHCYFG-UHFFFAOYSA-N</t>
  </si>
  <si>
    <t>C34H38O16</t>
  </si>
  <si>
    <t>2.18_120.0808m/z</t>
  </si>
  <si>
    <t>Indoline</t>
  </si>
  <si>
    <t>HMDB0253472</t>
  </si>
  <si>
    <t>C1CC2=CC=CC=C2N1</t>
  </si>
  <si>
    <t>LPAGFVYQRIESJQ-UHFFFAOYSA-N</t>
  </si>
  <si>
    <t>C8H9N</t>
  </si>
  <si>
    <t>0.69_173.8886n</t>
  </si>
  <si>
    <t>Dipotassium Phosphate</t>
  </si>
  <si>
    <t>HMDB0303424</t>
  </si>
  <si>
    <t>C13197</t>
  </si>
  <si>
    <t>[K+].[K+].OP([O-])([O-])=O</t>
  </si>
  <si>
    <t>ZPWVASYFFYYZEW-UHFFFAOYSA-L</t>
  </si>
  <si>
    <t>Alkali metal phosphates</t>
  </si>
  <si>
    <t>M+Na, M+K, M+H</t>
  </si>
  <si>
    <t>HK2O4P</t>
  </si>
  <si>
    <t>2.52_315.0721m/z</t>
  </si>
  <si>
    <t>Ginnalin B</t>
  </si>
  <si>
    <t>HMDB0252723</t>
  </si>
  <si>
    <t>OC1COC(COC(=O)C2=CC(O)=C(O)C(O)=C2)C(O)C1O</t>
  </si>
  <si>
    <t>NUVIRDWXIBOJTE-UHFFFAOYSA-N</t>
  </si>
  <si>
    <t>C13H16O9</t>
  </si>
  <si>
    <t>6.76_681.2318m/z</t>
  </si>
  <si>
    <t>3-Amino-N-[(4-Methoxyphenyl)Methyl]-4,6-Dimethylthieno[2,3-B]Pyridine-2-Carboxamide</t>
  </si>
  <si>
    <t>HMDB0259878</t>
  </si>
  <si>
    <t>COC1=CC=C(CNC(=O)C2=C(N)C3=C(S2)N=C(C)C=C3C)C=C1</t>
  </si>
  <si>
    <t>MDNWGCQSCGNTKH-UHFFFAOYSA-N</t>
  </si>
  <si>
    <t>C18H19N3O2S</t>
  </si>
  <si>
    <t>6.09_1071.5149m/z</t>
  </si>
  <si>
    <t>Tragopogonsaponin G</t>
  </si>
  <si>
    <t>HMDB0037923</t>
  </si>
  <si>
    <t>134361-69-6</t>
  </si>
  <si>
    <t>CC1(C)CCC2(C(O)CC3(C)C(=CCC4C5(C)CCC(OC6OC(C(O)C(O)C6O)C(O)=O)C(C)(C)C5CCC34C)C2C1)C(=O)OC1OCC(O)C(OC2OC(CO)C(O)C(O)C2O)C1OC(=O)CCC1=CC=C(O)C=C1</t>
  </si>
  <si>
    <t>GDOFBGFEZUPKAG-UHFFFAOYSA-N</t>
  </si>
  <si>
    <t>C56H82O21</t>
  </si>
  <si>
    <t>1.43_366.0829m/z</t>
  </si>
  <si>
    <t>Zeanoside B</t>
  </si>
  <si>
    <t>HMDB0038844</t>
  </si>
  <si>
    <t>113202-67-8</t>
  </si>
  <si>
    <t>OCC1OC(OC2=CC=CC3=C2NC(=O)C=C3C(O)=O)C(O)C(O)C1O</t>
  </si>
  <si>
    <t>GRKTWUMXBYWXNZ-UHFFFAOYSA-N</t>
  </si>
  <si>
    <t>C16H17NO9</t>
  </si>
  <si>
    <t>5.60_741.3311m/z</t>
  </si>
  <si>
    <t>Lenperone</t>
  </si>
  <si>
    <t>HMDB0254009</t>
  </si>
  <si>
    <t>FC1=CC=C(C=C1)C(=O)CCCN1CCC(CC1)C(=O)C1=CC=C(F)C=C1</t>
  </si>
  <si>
    <t>WCIBOXFOUGQLFC-UHFFFAOYSA-N</t>
  </si>
  <si>
    <t>C22H23F2NO2</t>
  </si>
  <si>
    <t>3.82_662.1148m/z</t>
  </si>
  <si>
    <t>2-S-Glutathionyl Caftaric Acid</t>
  </si>
  <si>
    <t>HMDB0301713</t>
  </si>
  <si>
    <t>NC(CCC(=O)NC(CSC1=C(\C=C\C(=O)OC(C(O)C(O)=O)C(O)=O)C=CC(O)=C1O)C(=O)NCC(O)=O)C(O)=O</t>
  </si>
  <si>
    <t>FRUUTAANUZUTPG-QHHAFSJGSA-N</t>
  </si>
  <si>
    <t>C23H27N3O15S</t>
  </si>
  <si>
    <t>5.10_461.1089m/z</t>
  </si>
  <si>
    <t>Hispidulin 4'-Glucoside</t>
  </si>
  <si>
    <t>LMPK12111152</t>
  </si>
  <si>
    <t>C1(O)C=C2OC(C3C=CC(O[C@H]4[C@H](O)[C@@H](O)[C@H](O)[C@@H](CO)O4)=CC=3)=CC(=O)C2=C(O)C=1OC</t>
  </si>
  <si>
    <t>MORLNMAFXVHNAI-IWLDQSELSA-N</t>
  </si>
  <si>
    <t>C22H22O11</t>
  </si>
  <si>
    <t>7.30_326.1516n</t>
  </si>
  <si>
    <t>(+)-Galeon</t>
  </si>
  <si>
    <t>HMDB0031534</t>
  </si>
  <si>
    <t>191999-64-1</t>
  </si>
  <si>
    <t>COC1=CC2=CC=C1OC1=CC(CCC(=O)CCCC2)=CC=C1O</t>
  </si>
  <si>
    <t>QUSSPXNPULRXKG-UHFFFAOYSA-N</t>
  </si>
  <si>
    <t>C20H22O4</t>
  </si>
  <si>
    <t>1.63_635.1962m/z</t>
  </si>
  <si>
    <t>Neohesperidin Dihydrochalcone</t>
  </si>
  <si>
    <t>20702-77-6</t>
  </si>
  <si>
    <t>CC1C(C(C(C(O1)OC2C(C(C(OC2OC3=CC(=C(C(=C3)O)C(=O)CCC4=CC(=C(C=C4)OC)O)O)CO)O)O)O)O)O</t>
  </si>
  <si>
    <t>ITVGXXMINPYUHD-CUVHLRMHSA-N</t>
  </si>
  <si>
    <t>C28H36O15</t>
  </si>
  <si>
    <t>8.92_449.2136m/z</t>
  </si>
  <si>
    <t>Nnal-N-Oxide</t>
  </si>
  <si>
    <t>HMDB0041953</t>
  </si>
  <si>
    <t>C19603</t>
  </si>
  <si>
    <t>ko00980,ko05204</t>
  </si>
  <si>
    <t>Metabolism of xenobiotics by cytochrome P450|Chemical carcinogenesis - DNA adducts</t>
  </si>
  <si>
    <t>85352-99-4</t>
  </si>
  <si>
    <t>CN(CCCC(O)C1=CN(=O)=CC=C1)N=O</t>
  </si>
  <si>
    <t>DKBKTKUNVONEGX-UHFFFAOYSA-N</t>
  </si>
  <si>
    <t>Pyridinium derivatives</t>
  </si>
  <si>
    <t>C10H15N3O3</t>
  </si>
  <si>
    <t>4.49_849.2029m/z</t>
  </si>
  <si>
    <t>Ent-Fisetinidol-(4beta-&gt;8)-Catechin-(6-&gt;4beta)-Ent-Fisetinidol</t>
  </si>
  <si>
    <t>LMPK12030009</t>
  </si>
  <si>
    <t>C10225</t>
  </si>
  <si>
    <t>NXSVKTOYEPMJFS-NRGVUCKPSA-N</t>
  </si>
  <si>
    <t>C45H38O17</t>
  </si>
  <si>
    <t>8.80_1102.5349m/z</t>
  </si>
  <si>
    <t>CDP-DG(18:0/PGF2alpha)</t>
  </si>
  <si>
    <t>HMDB0291001</t>
  </si>
  <si>
    <t>CCCCCCCCCCCCCCCCCC(=O)OC[C@@H]1COP(O)(=O)OP(O)(=O)OC[C@H]2O[C@H]([C@@H](CC=CCCCC(=O)O1)[C@@H](O)C[C@@H](O)[C@H](\C=C/[C@@H](O)CCCCC)[C@H](O)[C@@H]2O)N1C=CC(N)=NC1=O</t>
  </si>
  <si>
    <t>ARPVCAVGHKPBQT-UODKUFDVSA-N</t>
  </si>
  <si>
    <t>C50H87N3O18P2</t>
  </si>
  <si>
    <t>7.46_536.2994m/z</t>
  </si>
  <si>
    <t>PA(2:0/20:3(6,8,11)-OH(5))</t>
  </si>
  <si>
    <t>HMDB0266581</t>
  </si>
  <si>
    <t>[H][C@@](COC(C)=O)(COP(O)(O)=O)OC(=O)CCCC(O)\C=C\C=C\C\C=C\CCCCCCCC</t>
  </si>
  <si>
    <t>KCUNJPDXXKLUEE-ZCJXSWSXSA-N</t>
  </si>
  <si>
    <t>C25H43O9P</t>
  </si>
  <si>
    <t>7.94_595.3502n</t>
  </si>
  <si>
    <t>PC(2:0/18:1(12Z)-2OH(9,10))</t>
  </si>
  <si>
    <t>HMDB0288856</t>
  </si>
  <si>
    <t>[H][C@@](COC(C)=O)(COP([O-])(=O)OCC[N+](C)(C)C)OC(=O)CCCCCCC[C@H](O)[C@@H](O)C\C=C/CCCCC</t>
  </si>
  <si>
    <t>VFFBDCNZSUIWDB-XYMYQSMDSA-N</t>
  </si>
  <si>
    <t>C28H54NO10P</t>
  </si>
  <si>
    <t>4.83_367.1175m/z</t>
  </si>
  <si>
    <t>Litcubine</t>
  </si>
  <si>
    <t>HMDB0032110</t>
  </si>
  <si>
    <t>172924-22-0</t>
  </si>
  <si>
    <t>COC1=C(O)C=C2C(CC3C4=CC(O)=C(OC)C=C4CC[N+]23C)=C1</t>
  </si>
  <si>
    <t>CWKRVCVOEADAEH-UHFFFAOYSA-O</t>
  </si>
  <si>
    <t>C19H22NO4+</t>
  </si>
  <si>
    <t>4.24_492.1355m/z</t>
  </si>
  <si>
    <t>Amuvatinib</t>
  </si>
  <si>
    <t>HMDB0248369</t>
  </si>
  <si>
    <t>S=C(NCC1=CC=C2OCOC2=C1)N1CCN(CC1)C1=NC=NC2=C1OC1=C2C=CC=C1</t>
  </si>
  <si>
    <t>FOFDIMHVKGYHRU-UHFFFAOYSA-N</t>
  </si>
  <si>
    <t>C23H21N5O3S</t>
  </si>
  <si>
    <t>10.29_865.4196m/z</t>
  </si>
  <si>
    <t>1-Tauro-Dinor-Pge1</t>
  </si>
  <si>
    <t>LMFA08020298</t>
  </si>
  <si>
    <t>C(CCCC[C@@H]1[C@@H](/C=C/[C@@H](O)CCCCC)[C@H](O)CC1=O)(=O)NCCS(O)(=O)=O</t>
  </si>
  <si>
    <t>SPRDGEGWYYYJQP-CMMYYJDPSA-N</t>
  </si>
  <si>
    <t>C20H35NO7S</t>
  </si>
  <si>
    <t>4.78_353.1815m/z</t>
  </si>
  <si>
    <t>(R)-1-O-B-D-Glucopyranosyl-1,3-Octanediol</t>
  </si>
  <si>
    <t>HMDB0029362</t>
  </si>
  <si>
    <t>120727-21-1</t>
  </si>
  <si>
    <t>CCCCCC(O)CCOC1OC(CO)C(O)C(O)C1O</t>
  </si>
  <si>
    <t>PDTNYXYWXDHHEM-UHFFFAOYSA-N</t>
  </si>
  <si>
    <t>C14H28O7</t>
  </si>
  <si>
    <t>3.75_524.1896m/z</t>
  </si>
  <si>
    <t>3-Benzo[1,3]Dioxol-5-Yl-5-Hydroxy-5-(4-Methoxy-Phenyl)-4-(3,4,5-Trimethoxy-Benzyl)-5h-Furan-2-One</t>
  </si>
  <si>
    <t>HMDB0250220</t>
  </si>
  <si>
    <t>COC1=CC=C(C=C1)C1(O)OC(=O)C(=C1CC1=CC(OC)=C(OC)C(OC)=C1)C1=CC2=C(OCO2)C=C1</t>
  </si>
  <si>
    <t>PWIPORDFWDZCJG-UHFFFAOYSA-N</t>
  </si>
  <si>
    <t>C28H26O9</t>
  </si>
  <si>
    <t>1.70_148.9770m/z</t>
  </si>
  <si>
    <t>Glycerol Alpha-Monochlorohydrin</t>
  </si>
  <si>
    <t>HMDB0031334</t>
  </si>
  <si>
    <t>C18676</t>
  </si>
  <si>
    <t>96-24-2</t>
  </si>
  <si>
    <t>OCC(O)CCl</t>
  </si>
  <si>
    <t>SSZWWUDQMAHNAQ-UHFFFAOYSA-N</t>
  </si>
  <si>
    <t>Halohydrins</t>
  </si>
  <si>
    <t>Chlorohydrins</t>
  </si>
  <si>
    <t>C3H7ClO2</t>
  </si>
  <si>
    <t>4.88_514.1841n</t>
  </si>
  <si>
    <t>Baohuoside I</t>
  </si>
  <si>
    <t>HMDB0248860</t>
  </si>
  <si>
    <t>COC1=CC=C(C=C1)C1=C(OC2OC(C)C(O)C(O)C2O)C(=O)C2=C(O)C=C(O)C(CC=C(C)C)=C2O1</t>
  </si>
  <si>
    <t>NGMYNFJANBHLKA-UHFFFAOYSA-N</t>
  </si>
  <si>
    <t>C27H30O10</t>
  </si>
  <si>
    <t>1.32_325.0173m/z</t>
  </si>
  <si>
    <t>3-Methylsulfinylpropyl Isothiocyanate</t>
  </si>
  <si>
    <t>HMDB0006095</t>
  </si>
  <si>
    <t>505-44-2</t>
  </si>
  <si>
    <t>CS(=O)CCCN=C=S</t>
  </si>
  <si>
    <t>LELAOEBVZLPXAZ-UHFFFAOYSA-N</t>
  </si>
  <si>
    <t>Sulfoxides</t>
  </si>
  <si>
    <t>C5H9NOS2</t>
  </si>
  <si>
    <t>5.17_383.2054m/z</t>
  </si>
  <si>
    <t>Ly255283</t>
  </si>
  <si>
    <t>117690-79-6</t>
  </si>
  <si>
    <t>CCC1=CC(=C(C=C1OCCCCCC(C)(C)C2=NNN=N2)O)C(=O)C</t>
  </si>
  <si>
    <t>WCGXJPFHTHQNJL-UHFFFAOYSA-N</t>
  </si>
  <si>
    <t>C19H28N4O3</t>
  </si>
  <si>
    <t>5.39_431.2284m/z</t>
  </si>
  <si>
    <t>Oleandolide</t>
  </si>
  <si>
    <t>LMPK04000031</t>
  </si>
  <si>
    <t>C11990</t>
  </si>
  <si>
    <t>[C@@]12(CO1)C[C@H](C)[C@H](O)[C@@H](C)[C@@H]([C@@H](C)C(O[C@H](C)[C@H](C)[C@H](O)[C@@H](C)C2=O)=O)O</t>
  </si>
  <si>
    <t>PFDLUBNRHMFBGI-HRVFELILSA-N</t>
  </si>
  <si>
    <t>C20H34O7</t>
  </si>
  <si>
    <t>7.28_700.3682m/z</t>
  </si>
  <si>
    <t>Oob-Pi</t>
  </si>
  <si>
    <t>LMGP20050019</t>
  </si>
  <si>
    <t>[C@]([H])(OC(CCC=O)=O)(COP(=O)(O)O[C@H]1[C@H](O)[C@@H](O)[C@H](O)[C@@H](O)[C@H]1O)COC(CCCCCCC/C=C\CCCCCCCC)=O</t>
  </si>
  <si>
    <t>MZTISQIAJVSDIJ-PRJGLTBLSA-N</t>
  </si>
  <si>
    <t>C31H55O14P</t>
  </si>
  <si>
    <t>11.04_989.5105m/z</t>
  </si>
  <si>
    <t>Tragopogonsaponin M</t>
  </si>
  <si>
    <t>HMDB0037929</t>
  </si>
  <si>
    <t>COC1=CC(CCC(=O)OC2C(OC(=O)C34CCC(C)(C)CC3C3=CCC5C6(C)CCC(O)C(C)(C)C6CCC5(C)C3(C)CC4O)OCC(O)C2OC2OC(CO)C(O)C(O)C2O)=CC=C1O</t>
  </si>
  <si>
    <t>ZIEJINKTIDWSTF-UHFFFAOYSA-N</t>
  </si>
  <si>
    <t>C51H76O16</t>
  </si>
  <si>
    <t>7.22_397.1629m/z</t>
  </si>
  <si>
    <t>Benzoylarginine Nitroanilide</t>
  </si>
  <si>
    <t>HMDB0249046</t>
  </si>
  <si>
    <t>NC(N)=NCCCC(NC(=O)C1=CC=CC=C1)C(=O)NC1=CC=C(C=C1)[N+]([O-])=O</t>
  </si>
  <si>
    <t>RKDYKIHMFYAPMZ-UHFFFAOYSA-N</t>
  </si>
  <si>
    <t>C19H22N6O4</t>
  </si>
  <si>
    <t>10.49_755.4213m/z</t>
  </si>
  <si>
    <t>Neotame</t>
  </si>
  <si>
    <t>HMDB0034566</t>
  </si>
  <si>
    <t>165450-17-9</t>
  </si>
  <si>
    <t>COC(=O)C(CC1=CC=CC=C1)NC(=O)C(CC(O)=O)NCCC(C)(C)C</t>
  </si>
  <si>
    <t>HLIAVLHNDJUHFG-UHFFFAOYSA-N</t>
  </si>
  <si>
    <t>C20H30N2O5</t>
  </si>
  <si>
    <t>1.56_471.1117m/z</t>
  </si>
  <si>
    <t>Sorbinil</t>
  </si>
  <si>
    <t>HMDB0258388</t>
  </si>
  <si>
    <t>FC1=CC2=C(OCCC22NC(=O)NC2=O)C=C1</t>
  </si>
  <si>
    <t>LXANPKRCLVQAOG-UHFFFAOYSA-N</t>
  </si>
  <si>
    <t>Imidazolidines</t>
  </si>
  <si>
    <t>C11H9FN2O3</t>
  </si>
  <si>
    <t>12.78_465.3941m/z</t>
  </si>
  <si>
    <t>N-Arachidonoyl-Dopamine-D8</t>
  </si>
  <si>
    <t>LMFA08020139</t>
  </si>
  <si>
    <t>C(/[2H])(=C(/[2H])\C/C(/[2H])=C(/[2H])\CCCC(=O)NCCC1=CC(O)=C(O)C=C1)\C/C(/[2H])=C(/[2H])\C/C(/[2H])=C(/[2H])\CCCCC</t>
  </si>
  <si>
    <t>MVVPIAAVGAWJNQ-FBFLGLDDSA-N</t>
  </si>
  <si>
    <t>C28H33D8NO3</t>
  </si>
  <si>
    <t>10.81_270.3153m/z</t>
  </si>
  <si>
    <t>1-Octadecene</t>
  </si>
  <si>
    <t>LMFA11000325</t>
  </si>
  <si>
    <t>C=CCCCCCCCCCCCCCCCC</t>
  </si>
  <si>
    <t>CCCMONHAUSKTEQ-UHFFFAOYSA-N</t>
  </si>
  <si>
    <t>C18H36</t>
  </si>
  <si>
    <t>5.40_176.1200n</t>
  </si>
  <si>
    <t>Rhubafuran</t>
  </si>
  <si>
    <t>HMDB0036021</t>
  </si>
  <si>
    <t>82461-14-1</t>
  </si>
  <si>
    <t>CC1CC(C)(CO1)C1=CC=CC=C1</t>
  </si>
  <si>
    <t>GPMLJOOQCIHFET-UHFFFAOYSA-N</t>
  </si>
  <si>
    <t>C12H16O</t>
  </si>
  <si>
    <t>7.24_634.3347m/z</t>
  </si>
  <si>
    <t>PC(2:0/PGE2)</t>
  </si>
  <si>
    <t>HMDB0288826</t>
  </si>
  <si>
    <t>CCCCC[C@H](O)\C=C\[C@H]1[C@H](O)CC(=O)[C@@H]1C\C=C/CCCC(=O)O[C@H](COC(C)=O)COP([O-])(=O)OCC[N+](C)(C)C</t>
  </si>
  <si>
    <t>CAGDPWFOXPNETG-MVZMDOCWSA-N</t>
  </si>
  <si>
    <t>C30H52NO11P</t>
  </si>
  <si>
    <t>9.31_789.4021m/z</t>
  </si>
  <si>
    <t>(3b,5a,25r)-3-Hydroxyspirostan-6-One 3-[2-Acetylarabinosyl-(1-&gt;6)-Glucoside]</t>
  </si>
  <si>
    <t>HMDB0041185</t>
  </si>
  <si>
    <t>CC1C2C(CC3C4CC(=O)C5CC(CCC5(C)C4CCC23C)OC2OC(COC3OCC(O)C(O)C3OC(C)=O)C(O)C(O)C2O)OC11CCC(C)CO1</t>
  </si>
  <si>
    <t>LYOWCAVVHJOCKI-UHFFFAOYSA-N</t>
  </si>
  <si>
    <t>C40H62O14</t>
  </si>
  <si>
    <t>9.50_324.2297n</t>
  </si>
  <si>
    <t>Avocadenyne Acetate</t>
  </si>
  <si>
    <t>LMFA05000714</t>
  </si>
  <si>
    <t>C(#C)CC/C=C/CCCCCCCC(O)CC(O)COC(=O)C</t>
  </si>
  <si>
    <t>HTJYIZVFYOMKBE-VOTSOKGWSA-N</t>
  </si>
  <si>
    <t>5.46_455.3154m/z</t>
  </si>
  <si>
    <t>Coenzyme Q4</t>
  </si>
  <si>
    <t>HMDB0006710</t>
  </si>
  <si>
    <t>LMPR02010003</t>
  </si>
  <si>
    <t>4370-62-1</t>
  </si>
  <si>
    <t>C1(OC)C(=O)C(C)=C(C/C=C(\C)/CC/C=C(\C)/CC/C=C(\C)/CC/C=C(\C)/C)C(=O)C=1OC</t>
  </si>
  <si>
    <t>XGCJRRDNIMSYNC-INVBOZNNSA-N</t>
  </si>
  <si>
    <t>C29H42O4</t>
  </si>
  <si>
    <t>7.20_655.3695m/z</t>
  </si>
  <si>
    <t>6-O-(Glcb)-(25r)-5alpha-Spirostan-3beta,6alpha,23s-Triol</t>
  </si>
  <si>
    <t>LMST01080070</t>
  </si>
  <si>
    <t>O[C@@H]1C[C@]2([H])[C@@H](O[C@H]3[C@H](O)[C@@H](O)[C@H](O)[C@@H](CO)O3)C[C@@]3([H])[C@]4([H])C[C@@H]5O[C@]6([C@@H](C)[C@@H]5[C@@]4(C)CC[C@]3([H])[C@@]2(C)CC1)OC[C@H](C)C[C@H]6O</t>
  </si>
  <si>
    <t>UWLLQQJHSYZGDW-IQINWFGNSA-N</t>
  </si>
  <si>
    <t>8.49_477.2841m/z</t>
  </si>
  <si>
    <t>Lucidenic Acid G</t>
  </si>
  <si>
    <t>HMDB0035599</t>
  </si>
  <si>
    <t>CC(CCC(O)=O)C1CC(O)C2(C)C3=C(C(=O)CC12C)C1(C)CCC(=O)C(C)(CO)C1CC3O</t>
  </si>
  <si>
    <t>PWSMDKBWXADYJS-UHFFFAOYSA-N</t>
  </si>
  <si>
    <t>0.75_240.1439m/z</t>
  </si>
  <si>
    <t>Isopropyl Beta-D-Glucoside</t>
  </si>
  <si>
    <t>HMDB0032705</t>
  </si>
  <si>
    <t>5391-17-3</t>
  </si>
  <si>
    <t>CC(C)OC1OC(CO)C(O)C(O)C1O</t>
  </si>
  <si>
    <t>UOEFDXYUEPHESS-UHFFFAOYSA-N</t>
  </si>
  <si>
    <t>C9H18O6</t>
  </si>
  <si>
    <t>5.06_249.0401m/z</t>
  </si>
  <si>
    <t>Angelical</t>
  </si>
  <si>
    <t>HMDB0302137</t>
  </si>
  <si>
    <t>COC1=CC2=C(C=CC(=O)O2)C=C1C=O</t>
  </si>
  <si>
    <t>JZYCZVLVWUCHTP-UHFFFAOYSA-N</t>
  </si>
  <si>
    <t>C11H8O4</t>
  </si>
  <si>
    <t>3.68_463.1786m/z</t>
  </si>
  <si>
    <t>Trans-2-(3-Methoxy-5-Methylsulfonyl-4-Propoxyphenyl)-5-(3,4,5-Trimethoxyphenyl)Tetrahydrofuran</t>
  </si>
  <si>
    <t>HMDB0253843</t>
  </si>
  <si>
    <t>CCCOC1=C(OC)C=C(C=C1S(C)(=O)=O)C1CCC(O1)C1=CC(OC)=C(OC)C(OC)=C1</t>
  </si>
  <si>
    <t>NZWPFJNQOZFEDT-UHFFFAOYSA-N</t>
  </si>
  <si>
    <t>C24H32O8S</t>
  </si>
  <si>
    <t>4.60_1031.3751m/z</t>
  </si>
  <si>
    <t>Muraglitazar</t>
  </si>
  <si>
    <t>HMDB0254949</t>
  </si>
  <si>
    <t>COC1=CC=C(OC(=O)N(CC(O)=O)CC2=CC=C(OCCC3=C(C)OC(=N3)C3=CC=CC=C3)C=C2)C=C1</t>
  </si>
  <si>
    <t>IRLWJILLXJGJTD-UHFFFAOYSA-N</t>
  </si>
  <si>
    <t>C29H28N2O7</t>
  </si>
  <si>
    <t>5.22_156.0209m/z</t>
  </si>
  <si>
    <t>(4-Aminophenyl)Phosphonic Acid</t>
  </si>
  <si>
    <t>HMDB0243614</t>
  </si>
  <si>
    <t>NC1=CC=C(C=C1)P(O)(O)=O</t>
  </si>
  <si>
    <t>OAOBMEMWHJWPNA-UHFFFAOYSA-N</t>
  </si>
  <si>
    <t>C6H8NO3P</t>
  </si>
  <si>
    <t>9.96_631.3468m/z</t>
  </si>
  <si>
    <t>Brainesteroside B</t>
  </si>
  <si>
    <t>LMST01010433</t>
  </si>
  <si>
    <t>C1[C@H](O)[C@H](O[C@H]2[C@H](O)[C@@H](O)[C@H](O)[C@@H](CO)O2)C[C@@]2([H])C(=O)C=C3[C@@](CC[C@]4(C3=CC[C@]4([H])[C@](O)(C)[C@H](O)CCC(C)C)C)([H])[C@]21C</t>
  </si>
  <si>
    <t>VGJBFMQFJIFARZ-POJUCENFSA-N</t>
  </si>
  <si>
    <t>C33H52O10</t>
  </si>
  <si>
    <t>5.07_338.2453n</t>
  </si>
  <si>
    <t>12-Epi Leukotriene B3</t>
  </si>
  <si>
    <t>NGTXCORNXNELNU-RTBURBONSA-N</t>
  </si>
  <si>
    <t>5.46_434.1576n</t>
  </si>
  <si>
    <t>Vestitone 7-Glucoside</t>
  </si>
  <si>
    <t>HMDB0033012</t>
  </si>
  <si>
    <t>COC1=CC(O)=C(C=C1)C1COC2=C(C1)C=CC(OC1OC(CO)C(O)C(O)C1O)=C2</t>
  </si>
  <si>
    <t>NJODPRHPJQYTHX-UHFFFAOYSA-N</t>
  </si>
  <si>
    <t>4.83_305.1858m/z</t>
  </si>
  <si>
    <t>Tilisolol</t>
  </si>
  <si>
    <t>HMDB0259093</t>
  </si>
  <si>
    <t>CN1C=C(OCC(O)CNC(C)(C)C)C2=CC=CC=C2C1=O</t>
  </si>
  <si>
    <t>TWVUMMQUXMYOOH-UHFFFAOYSA-N</t>
  </si>
  <si>
    <t>Isoquinolines and derivatives</t>
  </si>
  <si>
    <t>Isoquinolones and derivatives</t>
  </si>
  <si>
    <t>C17H24N2O3</t>
  </si>
  <si>
    <t>12.57_991.5832m/z</t>
  </si>
  <si>
    <t>PC(22:4(7Z,10Z,13Z,16Z)/LTE4)</t>
  </si>
  <si>
    <t>HMDB0288212</t>
  </si>
  <si>
    <t>CCCCC\C=C/C\C=C/C\C=C/C\C=C/CCCCCC(=O)OC[C@H](COP([O-])(=O)OCC[N+](C)(C)C)OC(=O)[C@@H](N)CS[C@H](\C=C\C=C\C=C/C\C=C/CCCCC)[C@@H](O)CCCC(O)=O</t>
  </si>
  <si>
    <t>IFFYLEFADKKCCK-IOHNKVABSA-N</t>
  </si>
  <si>
    <t>C53H89N2O11PS</t>
  </si>
  <si>
    <t>12.89_479.3745m/z</t>
  </si>
  <si>
    <t>Homocastasterone</t>
  </si>
  <si>
    <t>HMDB0253202</t>
  </si>
  <si>
    <t>CCC(C(C)C)C(O)C(O)C(C)C1CCC2C3CC(=O)C4CC(O)C(O)CC4(C)C3CCC12C</t>
  </si>
  <si>
    <t>WADMTJKRYLAHQV-UHFFFAOYSA-N</t>
  </si>
  <si>
    <t>C29H50O5</t>
  </si>
  <si>
    <t>9.58_394.2355n</t>
  </si>
  <si>
    <t>Delta5-7-Neurof</t>
  </si>
  <si>
    <t>LMFA04020009</t>
  </si>
  <si>
    <t>C(CCC(O)/C=C/C1OC(C(O)C/C=C\C/C=C\C/C=C\CC)CC1O)(=O)O</t>
  </si>
  <si>
    <t>INVDDKDDMZUTJO-GSPMAKDWSA-N</t>
  </si>
  <si>
    <t>C22H34O6</t>
  </si>
  <si>
    <t>0.78_159.0894n</t>
  </si>
  <si>
    <t>Medicanine</t>
  </si>
  <si>
    <t>HMDB0038625</t>
  </si>
  <si>
    <t>91106-30-8</t>
  </si>
  <si>
    <t>OCCCN1CCC1C(O)=O</t>
  </si>
  <si>
    <t>ROVDTLLPFWAZJC-UHFFFAOYSA-N</t>
  </si>
  <si>
    <t>C7H13NO3</t>
  </si>
  <si>
    <t>5.44_403.1021m/z</t>
  </si>
  <si>
    <t>Diaziquone</t>
  </si>
  <si>
    <t>HMDB0251150</t>
  </si>
  <si>
    <t>CCOC(=O)NC1=C(N2CC2)C(=O)C(NC(=O)OCC)=C(N2CC2)C1=O</t>
  </si>
  <si>
    <t>WVYXNIXAMZOZFK-UHFFFAOYSA-N</t>
  </si>
  <si>
    <t>C16H20N4O6</t>
  </si>
  <si>
    <t>4.20_306.0760m/z</t>
  </si>
  <si>
    <t>Glutathione</t>
  </si>
  <si>
    <t>HMDB0000125</t>
  </si>
  <si>
    <t>C00051</t>
  </si>
  <si>
    <t>ko00270,ko00480,ko02010,ko04216,ko04918,ko04976,ko05208,ko05415</t>
  </si>
  <si>
    <t>Cysteine and methionine metabolism|Glutathione metabolism|ABC transporters|Ferroptosis|Thyroid hormone synthesis|Bile secretion|Chemical carcinogenesis - reactive oxygen species|Diabetic cardiomyopathy</t>
  </si>
  <si>
    <t>70-18-8</t>
  </si>
  <si>
    <t>N[C@@H](CCC(=O)N[C@@H](CS)C(=O)NCC(O)=O)C(O)=O</t>
  </si>
  <si>
    <t>RWSXRVCMGQZWBV-WDSKDSINSA-N</t>
  </si>
  <si>
    <t>C10H17N3O6S</t>
  </si>
  <si>
    <t>5.30_501.1729m/z</t>
  </si>
  <si>
    <t>Calcium Pantothenate</t>
  </si>
  <si>
    <t>HMDB0303373</t>
  </si>
  <si>
    <t>[Ca++].CC(C)(CO)C(O)C(=O)NCCC(O)=O.CC(C)(CO)C(O)C(=O)NCCC(O)=O</t>
  </si>
  <si>
    <t>FAPWYRCQGJNNSJ-UHFFFAOYSA-N</t>
  </si>
  <si>
    <t>C18H34CaN2O10+2</t>
  </si>
  <si>
    <t>6.43_267.2103m/z</t>
  </si>
  <si>
    <t>All-Trans-3,4-Didehydro Retinol</t>
  </si>
  <si>
    <t>HMDB0013117</t>
  </si>
  <si>
    <t>LMPR01090008</t>
  </si>
  <si>
    <t>79-80-1</t>
  </si>
  <si>
    <t>C1C(C)(C)C(/C=C/C(=C/C=C/C(=C/CO)/C)/C)=C(C)C=C1</t>
  </si>
  <si>
    <t>XWCYDHJOKKGVHC-OVSJKPMPSA-N</t>
  </si>
  <si>
    <t>C20H28O</t>
  </si>
  <si>
    <t>11.06_311.1685m/z</t>
  </si>
  <si>
    <t>N-Undecylbenzenesulfonic Acid</t>
  </si>
  <si>
    <t>HMDB0032549</t>
  </si>
  <si>
    <t>50854-94-9</t>
  </si>
  <si>
    <t>CCCCCCCCCCCC1=CC=C(C=C1)S(O)(=O)=O</t>
  </si>
  <si>
    <t>UCDCOJNNUVYFKJ-UHFFFAOYSA-N</t>
  </si>
  <si>
    <t>C17H28O3S</t>
  </si>
  <si>
    <t>1.29_287.9800m/z</t>
  </si>
  <si>
    <t>Alendronic Acid</t>
  </si>
  <si>
    <t>HMDB0001915</t>
  </si>
  <si>
    <t>C07752</t>
  </si>
  <si>
    <t>66376-36-1</t>
  </si>
  <si>
    <t>NCCCC(O)(P(O)(O)=O)P(O)(O)=O</t>
  </si>
  <si>
    <t>OGSPWJRAVKPPFI-UHFFFAOYSA-N</t>
  </si>
  <si>
    <t>C4H13NO7P2</t>
  </si>
  <si>
    <t>8.44_575.3071m/z</t>
  </si>
  <si>
    <t>(S)-Nerolidol 3-O-[A-L-Rhamnopyranosyl-(1-&gt;2)-B-D-Glucopyranoside]</t>
  </si>
  <si>
    <t>HMDB0040844</t>
  </si>
  <si>
    <t>130466-30-7</t>
  </si>
  <si>
    <t>CC1OC(OC2C(O)C(O)C(CO)OC2OC(C)(CC\C=C(/C)CCC=C(C)C)C=C)C(O)C(O)C1O</t>
  </si>
  <si>
    <t>ATWXTQLIHDYQCP-FOWTUZBSSA-N</t>
  </si>
  <si>
    <t>C27H46O10</t>
  </si>
  <si>
    <t>9.55_334.2118n</t>
  </si>
  <si>
    <t>Ent-15-Epi-15-A2-Isop</t>
  </si>
  <si>
    <t>LMFA03110140</t>
  </si>
  <si>
    <t>C(CCC/C=C\C[C@@H]1C(=O)C=C[C@@H]1/C=C/[C@@H](O)CCCCC)(=O)O</t>
  </si>
  <si>
    <t>MYHXHCUNDDAEOZ-UKUWKSPLSA-N</t>
  </si>
  <si>
    <t>6.29_657.3846m/z</t>
  </si>
  <si>
    <t>Echinasteroside C</t>
  </si>
  <si>
    <t>LMST05050044</t>
  </si>
  <si>
    <t>C1[C@]2(C)[C@@]3([H])CC[C@]4(C)[C@@]([H])([C@]([H])(C)CCC[C@@H](CO)C)[C@@H](O)[C@H](O)[C@@]4([H])[C@]3(O)C[C@@H](O)C2=C[C@@H](O[C@@H]2OC[C@@H](O)[C@H](O)[C@H]2OC)C1</t>
  </si>
  <si>
    <t>NHMQTYHFQPGJFK-KGFVJONFSA-N</t>
  </si>
  <si>
    <t>C33H56O10</t>
  </si>
  <si>
    <t>5.17_805.3647m/z</t>
  </si>
  <si>
    <t>(2b,3b)-Dihydroxy-30-Nor-12,20(29)-Oleanadiene-28-Glucopyranosyloxy-23-Oic Acid 3-Glucuronide</t>
  </si>
  <si>
    <t>HMDB0034875</t>
  </si>
  <si>
    <t>214840-34-3</t>
  </si>
  <si>
    <t>CC12CC(O)C(OC3OC(C(O)C(O)C3O)C(O)=O)C(C)(C1CCC1(C)C2CC=C2C3CC(=C)CCC3(CCC12C)C(=O)OC1OC(CO)C(O)C(O)C1O)C(O)=O</t>
  </si>
  <si>
    <t>UDJQXYVUQBGNDM-UHFFFAOYSA-N</t>
  </si>
  <si>
    <t>C41H60O17</t>
  </si>
  <si>
    <t>4.13_635.1610m/z</t>
  </si>
  <si>
    <t>Rhamnazin 3-[6''-(3-Hydroxy-3-Methylglutaryl)Glucoside]</t>
  </si>
  <si>
    <t>LMPK12112636</t>
  </si>
  <si>
    <t>C1(OC)=CC2OC(C3C=C(OC)C(O)=CC=3)=C(OC3OC(COC(CC(C)(O)CC(=O)O)=O)C(O)C(O)C3O)C(=O)C=2C(O)=C1</t>
  </si>
  <si>
    <t>ZPMHWGODKDJELN-UHFFFAOYSA-N</t>
  </si>
  <si>
    <t>C29H32O16</t>
  </si>
  <si>
    <t>10.98_298.1931n</t>
  </si>
  <si>
    <t>Norethindrone</t>
  </si>
  <si>
    <t>HMDB0014855</t>
  </si>
  <si>
    <t>LMST02030097</t>
  </si>
  <si>
    <t>C05028</t>
  </si>
  <si>
    <t>68-22-4</t>
  </si>
  <si>
    <t>[C@@]12([H])CC[C@@](O)(C#C)[C@@]1(C)CC[C@]1([H])[C@@]3([H])CCC(=O)C=C3CC[C@@]21[H]</t>
  </si>
  <si>
    <t>VIKNJXKGJWUCNN-XGXHKTLJSA-N</t>
  </si>
  <si>
    <t>4.24_515.1378m/z</t>
  </si>
  <si>
    <t>Benzyl Styryl Sulfone</t>
  </si>
  <si>
    <t>HMDB0249076</t>
  </si>
  <si>
    <t>O=S(=O)(CC1=CC=CC=C1)C=CC1=CC=CC=C1</t>
  </si>
  <si>
    <t>MRTIWTGAGMZREP-UHFFFAOYSA-N</t>
  </si>
  <si>
    <t>C15H14O2S</t>
  </si>
  <si>
    <t>5.51_477.2339m/z</t>
  </si>
  <si>
    <t>Glucosyl (2e,6e,10x)-10,11-Dihydroxy-2,6-Farnesadienoate</t>
  </si>
  <si>
    <t>HMDB0037823</t>
  </si>
  <si>
    <t>204927-92-4</t>
  </si>
  <si>
    <t>C\C(CCC(O)C(C)(C)O)=C/CC\C(C)=C\C(=O)OC1OC(CO)C(O)C(O)C1O</t>
  </si>
  <si>
    <t>MSRVZJWXQUEINS-WAAHFECUSA-N</t>
  </si>
  <si>
    <t>C21H36O9</t>
  </si>
  <si>
    <t>6.59_1159.5102m/z</t>
  </si>
  <si>
    <t>CDP-DG(18:2(9Z,11Z)/LTE4)</t>
  </si>
  <si>
    <t>HMDB0291317</t>
  </si>
  <si>
    <t>CCCCCC\C=C/C=C\CCCCCCCC(=O)OC[C@H](COP(O)(=O)OP(O)(=O)OC[C@H]1O[C@H]([C@H](O)[C@@H]1O)N1C=CC(N)=NC1=O)OC(=O)[C@@H](N)CS[C@H](\C=C\C=C\C=C/C\C=C/CCCCC)[C@@H](O)CCCC(O)=O</t>
  </si>
  <si>
    <t>ARPVKBHLDFQJGV-BTVLZHQKSA-N</t>
  </si>
  <si>
    <t>C53H86N4O18P2S</t>
  </si>
  <si>
    <t>5.01_366.2274n</t>
  </si>
  <si>
    <t>Jwh 018 2-Hydroxyindole Metabolite-D9</t>
  </si>
  <si>
    <t>CCCCCN1C2=CC=CC=C2C(=C1O)C(=O)C3=CC=CC4=CC=CC=C43</t>
  </si>
  <si>
    <t>LSYJCVSGIQLLKF-WRMMWXQOSA-N</t>
  </si>
  <si>
    <t>C24H14D9NO2</t>
  </si>
  <si>
    <t>3.77_635.1400n</t>
  </si>
  <si>
    <t>Aflatoxin B1exo-8,9-Epoxide-Gsh</t>
  </si>
  <si>
    <t>HMDB0060431</t>
  </si>
  <si>
    <t>LMPK10000005</t>
  </si>
  <si>
    <t>C11278</t>
  </si>
  <si>
    <t>ko00980</t>
  </si>
  <si>
    <t>Metabolism of xenobiotics by cytochrome P450</t>
  </si>
  <si>
    <t>C(NCC(O)=O)(C(CS[C@@H]1OC2OC3C=C(OC)C4C5CCC(=O)C=5C(=O)OC=4C=3C2[C@H]1O)NC(CCC(N)C(O)=O)=O)=O</t>
  </si>
  <si>
    <t>LYDBAPNRLUDIAS-NCQSKUNESA-N</t>
  </si>
  <si>
    <t>C27H29N3O13S</t>
  </si>
  <si>
    <t>4.65_727.2783m/z</t>
  </si>
  <si>
    <t>N-[(Furan-2-Yl)Methyl]-2-(N-Methyl-2-Phenoxyacetamido)Benzamide</t>
  </si>
  <si>
    <t>HMDB0257962</t>
  </si>
  <si>
    <t>CN(C(=O)COC1=CC=CC=C1)C1=CC=CC=C1C(=O)NCC1=CC=CO1</t>
  </si>
  <si>
    <t>SGSZAVKEVSVBPS-UHFFFAOYSA-N</t>
  </si>
  <si>
    <t>C21H20N2O4</t>
  </si>
  <si>
    <t>5.17_567.3187m/z</t>
  </si>
  <si>
    <t>Metabolite M6</t>
  </si>
  <si>
    <t>HMDB0061034</t>
  </si>
  <si>
    <t>CC(C)(C)N=C(O)[C@H]1CNCCN1C[C@@H](O)C[C@@H](CC1=CC=CC=C1)C(O)=N[C@H]1[C@@H](O)CC2=CC=CC=C12</t>
  </si>
  <si>
    <t>MKMGKCALCCOODL-GVPWJHIJSA-N</t>
  </si>
  <si>
    <t>C30H42N4O4</t>
  </si>
  <si>
    <t>3.72_284.2066m/z</t>
  </si>
  <si>
    <t>Pentadecylic Acid(D3)</t>
  </si>
  <si>
    <t>LMFA01010045</t>
  </si>
  <si>
    <t>C(CCCCCCCCCCCCC([2H])([2H])[2H])C(=O)O</t>
  </si>
  <si>
    <t>WQEPLUUGTLDZJY-FIBGUPNXSA-N</t>
  </si>
  <si>
    <t>C15H27D3O2</t>
  </si>
  <si>
    <t>7.59_786.2973m/z</t>
  </si>
  <si>
    <t>Antibiotic 205t3</t>
  </si>
  <si>
    <t>HMDB0255695</t>
  </si>
  <si>
    <t>COC1C(C)OC(OC2CC(C)(O)C(C(=O)OC)C3=CC4=C(C(O)=C23)C(=O)C2=C(O)C=C3C(OC5OC3(C)C(O)C(C5O)N(C)C)=C2C4=O)C(OC)C1(C)OC</t>
  </si>
  <si>
    <t>KGTDRFCXGRULNK-UHFFFAOYSA-N</t>
  </si>
  <si>
    <t>C39H49NO16</t>
  </si>
  <si>
    <t>6.95_669.3846m/z</t>
  </si>
  <si>
    <t>Linkckoside F</t>
  </si>
  <si>
    <t>LMST05050040</t>
  </si>
  <si>
    <t>C1[C@]2(C)[C@@]3([H])CC[C@]4(C)[C@@]([H])([C@]([H])(C)CCC(=C)[C@@H](CO)C)[C@@H](O)[C@H](O)[C@@]4([H])[C@]3(O)C[C@@H](O)C2=C[C@@H](O[C@@H]2OC[C@@H](O)[C@H](O)[C@H]2OC)C1</t>
  </si>
  <si>
    <t>HIIKKCBWJRFJBP-HYMVMEEQSA-N</t>
  </si>
  <si>
    <t>C34H56O10</t>
  </si>
  <si>
    <t>2.03_366.1000m/z</t>
  </si>
  <si>
    <t>4beta-(2-Aminoethylthio)Catechin</t>
  </si>
  <si>
    <t>HMDB0037475</t>
  </si>
  <si>
    <t>NCCSC1C(O)C(OC2=CC(O)=CC(O)=C12)C1=CC(O)=C(O)C=C1</t>
  </si>
  <si>
    <t>RTWGDOBXVVOEQF-UHFFFAOYSA-N</t>
  </si>
  <si>
    <t>C17H19NO6S</t>
  </si>
  <si>
    <t>0.78_143.0339m/z</t>
  </si>
  <si>
    <t>Cis,Cis-Muconic Acid</t>
  </si>
  <si>
    <t>HMDB0006331</t>
  </si>
  <si>
    <t>LMFA01170077</t>
  </si>
  <si>
    <t>C02480</t>
  </si>
  <si>
    <t>ko00362</t>
  </si>
  <si>
    <t>Benzoate degradation</t>
  </si>
  <si>
    <t>1119-72-8</t>
  </si>
  <si>
    <t>C(=O)(O)/C=C\C=C/C(=O)O</t>
  </si>
  <si>
    <t>TXXHDPDFNKHHGW-CCAGOZQPSA-N</t>
  </si>
  <si>
    <t>C6H6O4</t>
  </si>
  <si>
    <t>11.04_879.4700m/z</t>
  </si>
  <si>
    <t>Tigogenin 3-O-Beta-D-Xylopyranosyl(1-&gt;2)-Alpha-L-Rhamnopyranosyl(1-&gt;3)-Beta-D-Glucopyranoside</t>
  </si>
  <si>
    <t>LMST01080110</t>
  </si>
  <si>
    <t>C1[C@]2(C)[C@@]3([H])CC[C@]4(C)[C@H]5[C@@H]([C@]6(O[C@H]5C[C@@]4([H])[C@]3([H])CC[C@@]2([H])C[C@@H](O[C@H]2[C@H](O[C@H]3[C@H](O)[C@@H](O)[C@H](O)CO3)[C@@H](O[C@H]3[C@H](O)[C@H](O)[C@@H](O)[C@H](C)O3)[C@H](O)[C@@H](CO)O2)C1)CC[C@@H](C)CO6)C</t>
  </si>
  <si>
    <t>MMNAXWFCLOOMPP-WXWZIBIBSA-N</t>
  </si>
  <si>
    <t>C44H72O16</t>
  </si>
  <si>
    <t>4.42_423.1789m/z</t>
  </si>
  <si>
    <t>PG(6:0/6:0)</t>
  </si>
  <si>
    <t>LMGP04010030</t>
  </si>
  <si>
    <t>[H][C@](O)(CO)COP(OC[C@]([H])(OC(CCCCC)=O)COC(CCCCC)=O)(=O)O</t>
  </si>
  <si>
    <t>CNAHGDCINXNHER-JKSUJKDBSA-N</t>
  </si>
  <si>
    <t>C18H35O10P</t>
  </si>
  <si>
    <t>7.12_438.2250n</t>
  </si>
  <si>
    <t>Ouabagenin</t>
  </si>
  <si>
    <t>508-52-1</t>
  </si>
  <si>
    <t>CC12CC(C3C(C1(CCC2C4=CC(=O)OC4)O)CCC5(C3(C(CC(C5)O)O)CO)O)O</t>
  </si>
  <si>
    <t>BXSABLKMKAINIU-QOHCMMFCSA-N</t>
  </si>
  <si>
    <t>C23H34O8</t>
  </si>
  <si>
    <t>11.92_456.8383m/z</t>
  </si>
  <si>
    <t>3-(3,5-Diiodo-4-Hydroxyphenyl)Lactate</t>
  </si>
  <si>
    <t>HMDB0059636</t>
  </si>
  <si>
    <t>C04367</t>
  </si>
  <si>
    <t>OC(CC1=CC(I)=C(O)C(I)=C1)C(O)=O</t>
  </si>
  <si>
    <t>ZPJHINFPRQWKIH-UHFFFAOYSA-N</t>
  </si>
  <si>
    <t>C9H8I2O4</t>
  </si>
  <si>
    <t>11.75_399.2748m/z</t>
  </si>
  <si>
    <t>Mg(18:2(9z,12z)/0:0/0:0)[Rac]</t>
  </si>
  <si>
    <t>HMDB0242115</t>
  </si>
  <si>
    <t>LMGL01010006</t>
  </si>
  <si>
    <t>26545-74-4</t>
  </si>
  <si>
    <t>OCC([H])(O)COC(CCCCCCC/C=C\C/C=C\CCCCC)=O</t>
  </si>
  <si>
    <t>WECGLUPZRHILCT-HZJYTTRNSA-N</t>
  </si>
  <si>
    <t>4.33_331.1390m/z</t>
  </si>
  <si>
    <t>Tensyuic Acid E</t>
  </si>
  <si>
    <t>LMFA01170154</t>
  </si>
  <si>
    <t>C(C(=C)C(C(O)=O)CCCCCCCC(=O)OC)(=O)O</t>
  </si>
  <si>
    <t>IOUNJEVHPQCKKE-UHFFFAOYSA-N</t>
  </si>
  <si>
    <t>C14H22O6</t>
  </si>
  <si>
    <t>10.57_629.3659m/z</t>
  </si>
  <si>
    <t>Fomentarol D</t>
  </si>
  <si>
    <t>LMST01031229</t>
  </si>
  <si>
    <t>C1[C@]2(C)[C@@]3([H])CC[C@]4(C)[C@@]([H])([C@]([H])(C)/C=C/[C@H](C)C(O)(C)C)C[C@H](O[C@H]5[C@H](O)[C@@H](O)[C@H](O)[C@@H](CO)O5)[C@@]4([H])C3=CC(=O)[C@@]2([H])C[C@@H](O)C1</t>
  </si>
  <si>
    <t>MMWWBXILAPWVEK-SDCDWHJDSA-N</t>
  </si>
  <si>
    <t>C34H54O9</t>
  </si>
  <si>
    <t>8.27_611.3070m/z</t>
  </si>
  <si>
    <t>Inproquone</t>
  </si>
  <si>
    <t>HMDB0253499</t>
  </si>
  <si>
    <t>CCCOC1=C(N2CC2)C(=O)C(OCCC)=C(N2CC2)C1=O</t>
  </si>
  <si>
    <t>NOVZFMNCTCKLPF-UHFFFAOYSA-N</t>
  </si>
  <si>
    <t>C16H22N2O4</t>
  </si>
  <si>
    <t>7.81_662.3742m/z</t>
  </si>
  <si>
    <t>Elamipretide</t>
  </si>
  <si>
    <t>HMDB0251733</t>
  </si>
  <si>
    <t>CC1=CC(O)=CC(C)=C1CC(NC(=O)C(N)CCCN=C(N)N)C(=O)NC(CCCCN)C(=O)NC(CC1=CC=CC=C1)C(N)=O</t>
  </si>
  <si>
    <t>SFVLTCAESLKEHH-UHFFFAOYSA-N</t>
  </si>
  <si>
    <t>C32H49N9O5</t>
  </si>
  <si>
    <t>11.04_190.0498m/z</t>
  </si>
  <si>
    <t>6-Hydroxy-5-Methoxy-1h-Indole-2-Carboxylic Acid</t>
  </si>
  <si>
    <t>HMDB0245714</t>
  </si>
  <si>
    <t>COC1=C(O)C=C2NC(=CC2=C1)C(O)=O</t>
  </si>
  <si>
    <t>OOOLUJRYYOCWMC-UHFFFAOYSA-N</t>
  </si>
  <si>
    <t>C10H9NO4</t>
  </si>
  <si>
    <t>3.29_461.0636m/z</t>
  </si>
  <si>
    <t>Villosone</t>
  </si>
  <si>
    <t>LMPK12060029</t>
  </si>
  <si>
    <t>C12OC(C(C)=C)CC=1C1OC3C(=O)OC4=C(C=C(OC)C(OC)=C4)C=3C(=O)C=1C(O)=C2</t>
  </si>
  <si>
    <t>NNRGXPSSXAAPIW-UHFFFAOYSA-N</t>
  </si>
  <si>
    <t>C23H18O8</t>
  </si>
  <si>
    <t>2.01_412.0599m/z</t>
  </si>
  <si>
    <t>2-Fluorobutyl 2-(8-Azabicyclo[3.2.1]Octan-1-Yl)-5-Iodobenzoate</t>
  </si>
  <si>
    <t>HMDB0252390</t>
  </si>
  <si>
    <t>CCC(F)COC(=O)C1=C(C=CC(I)=C1)C12CCC(CCC1)N2</t>
  </si>
  <si>
    <t>CLNODLMQQZPGSX-UHFFFAOYSA-N</t>
  </si>
  <si>
    <t>C18H23FINO2</t>
  </si>
  <si>
    <t>6.14_770.3510n</t>
  </si>
  <si>
    <t>Ttatpn</t>
  </si>
  <si>
    <t>HMDB0259311</t>
  </si>
  <si>
    <t>CC(NC(=O)C(CC1=CNC2=CC=CC=C12)NC(=O)C(N)CC1=CC=C(O)C=C1)C(=O)NC(CC1=CNC2=CC=CC=C12)C(=O)NC(CC1=CC=CC=C1)C(N)=O</t>
  </si>
  <si>
    <t>JFMKMZZAVDKJAH-UHFFFAOYSA-N</t>
  </si>
  <si>
    <t>C43H46N8O6</t>
  </si>
  <si>
    <t>10.64_313.1795m/z</t>
  </si>
  <si>
    <t>Lophachinin D</t>
  </si>
  <si>
    <t>LMPR0104050015</t>
  </si>
  <si>
    <t>[C@@]12([H])CC(=O)C3C=C(C=CC=3[C@@]1(C)[C@@H](O)CC[C@@]2(C)C(=O)O)C(C)C</t>
  </si>
  <si>
    <t>QMDOGLPMINAFHW-RAUXBKROSA-N</t>
  </si>
  <si>
    <t>7.77_724.3314m/z</t>
  </si>
  <si>
    <t>N-Desmethylritonavir</t>
  </si>
  <si>
    <t>HMDB0060896</t>
  </si>
  <si>
    <t>CC(C)[C@H](NC(O)=NCC1=CSC(=N1)C(C)C)C(O)=N[C@H](C[C@H](O)[C@H](CC1=CC=CC=C1)N=C(O)OCC1=CN=CS1)CC1=CC=CC=C1</t>
  </si>
  <si>
    <t>SQANVQYLDPEULW-QJANCWQKSA-N</t>
  </si>
  <si>
    <t>C36H46N6O5S2</t>
  </si>
  <si>
    <t>0.65_155.0695n</t>
  </si>
  <si>
    <t>L-Histidine</t>
  </si>
  <si>
    <t>HMDB0000177</t>
  </si>
  <si>
    <t>C00135</t>
  </si>
  <si>
    <t>ko00340,ko00404,ko00410,ko00470,ko00970,ko02010,ko04974,ko05230</t>
  </si>
  <si>
    <t>Histidine metabolism|Staurosporine biosynthesis|beta-Alanine metabolism|D-Amino acid metabolism|Aminoacyl-tRNA biosynthesis|ABC transporters|Protein digestion and absorption|Central carbon metabolism in cancer</t>
  </si>
  <si>
    <t>71-00-1</t>
  </si>
  <si>
    <t>N[C@@H](CC1=CN=CN1)C(O)=O</t>
  </si>
  <si>
    <t>HNDVDQJCIGZPNO-YFKPBYRVSA-N</t>
  </si>
  <si>
    <t>C6H9N3O2</t>
  </si>
  <si>
    <t>10.75_728.3623m/z</t>
  </si>
  <si>
    <t>Pkoha-Pi</t>
  </si>
  <si>
    <t>LMGP20050010</t>
  </si>
  <si>
    <t>[C@]([H])(OC(CCC(=O)/C=C/C(=O)[H])=O)(COP(=O)(O)O[C@H]1[C@H](O)[C@@H](O)[C@H](O)[C@@H](O)[C@H]1O)COC(CCCCCCCCCCCCCCC)=O</t>
  </si>
  <si>
    <t>FZKZEOQHTJPIQC-KUZCNHHUSA-N</t>
  </si>
  <si>
    <t>C32H55O15P</t>
  </si>
  <si>
    <t>4.05_918.2568n</t>
  </si>
  <si>
    <t>Hyperin 2''-[Glucosyl-(1-&gt;3)-Rhamnoside] 6''-Rhamnoside</t>
  </si>
  <si>
    <t>HMDB0039911</t>
  </si>
  <si>
    <t>CC1OC(OCC2OC(OC3=C(OC4=CC(O)=CC(O)=C4C3=O)C3=CC(O)=C(O)C=C3)C(OC3OC(C)C(O)C(OC4OC(CO)C(O)C(O)C4O)C3O)C(O)C2O)C(O)C(O)C1O</t>
  </si>
  <si>
    <t>CBSLALAKOKYDBZ-UHFFFAOYSA-N</t>
  </si>
  <si>
    <t>C39H50O25</t>
  </si>
  <si>
    <t>6.35_682.3226m/z</t>
  </si>
  <si>
    <t>Milbemycin Alpha9</t>
  </si>
  <si>
    <t>HMDB0254726</t>
  </si>
  <si>
    <t>CC1CCC2(CC3CC(CC=C(C)CC(C)C=CC=C4COC5C(O)C(COC(=O)C6=CC=CN6)=CC(C(=O)O3)C45O)O2)OC1C</t>
  </si>
  <si>
    <t>CKRJPYYQWZCUGP-UHFFFAOYSA-N</t>
  </si>
  <si>
    <t>C36H47NO9</t>
  </si>
  <si>
    <t>7.01_326.1749n</t>
  </si>
  <si>
    <t>Chembl4238926</t>
  </si>
  <si>
    <t>HMDB0256196</t>
  </si>
  <si>
    <t>NC(=O)C1=CN=C2NC=CC2=C1NC1C2CC3CC1CC(O)(C3)C2</t>
  </si>
  <si>
    <t>DREIJXJRTLTGJC-UHFFFAOYSA-N</t>
  </si>
  <si>
    <t>Pyrrolopyridines</t>
  </si>
  <si>
    <t>C18H22N4O2</t>
  </si>
  <si>
    <t>7.22_392.1713m/z</t>
  </si>
  <si>
    <t>Ascr#8</t>
  </si>
  <si>
    <t>LMFA13040154</t>
  </si>
  <si>
    <t>O([C@@H](CC/C=C/C(=O)NC1=CC=C(C(=O)O)C=C1)C)[C@H]1[C@H](O)C[C@@H](O)[C@H](C)O1</t>
  </si>
  <si>
    <t>WMKIQPAVTRWYKZ-XPUFHXNMSA-N</t>
  </si>
  <si>
    <t>C20H27NO7</t>
  </si>
  <si>
    <t>5.90_282.1464n</t>
  </si>
  <si>
    <t>3,4-Dimethyl-5-Carboxyethyl-2-Furanhexanoic Acid</t>
  </si>
  <si>
    <t>LMFA01150061</t>
  </si>
  <si>
    <t>C(CCCC(=O)O)CC1=C(C)C(C)=C(CCC(=O)O)O1</t>
  </si>
  <si>
    <t>ISVSHKJFDAGMDH-UHFFFAOYSA-N</t>
  </si>
  <si>
    <t>1.08_273.1919m/z</t>
  </si>
  <si>
    <t>5-((6-((Aminomethyl)Amino)-1-Oxohexyl)Amino)Pentanoic Acid</t>
  </si>
  <si>
    <t>HMDB0258266</t>
  </si>
  <si>
    <t>NC(N)=NCCCCCC(=O)NCCCCC(O)=O</t>
  </si>
  <si>
    <t>BULXDAAOZVOYBI-UHFFFAOYSA-N</t>
  </si>
  <si>
    <t>C12H24N4O3</t>
  </si>
  <si>
    <t>5.01_469.1113m/z</t>
  </si>
  <si>
    <t>2,4,6-Trimethyl-3,5-Dinitrobenzonitrile</t>
  </si>
  <si>
    <t>CC1=C(C(=C(C(=C1[N+](=O)[O-])C)[N+](=O)[O-])C)C#N</t>
  </si>
  <si>
    <t>VLNRFZGYQHEUNP-UHFFFAOYSA-N</t>
  </si>
  <si>
    <t>Nitrobenzenes</t>
  </si>
  <si>
    <t>C10H9N3O4</t>
  </si>
  <si>
    <t>0.75_519.1920m/z</t>
  </si>
  <si>
    <t>Glutamylhydroxyproline</t>
  </si>
  <si>
    <t>HMDB0011161</t>
  </si>
  <si>
    <t>33740-96-4</t>
  </si>
  <si>
    <t>N[C@@H](CCC(O)=O)C(=O)N1C[C@H](O)C[C@H]1C(O)=O</t>
  </si>
  <si>
    <t>NRSOKLBABRGMGJ-VQVTYTSYSA-N</t>
  </si>
  <si>
    <t>C10H16N2O6</t>
  </si>
  <si>
    <t>1.55_374.1211n</t>
  </si>
  <si>
    <t>Secologanate</t>
  </si>
  <si>
    <t>HMDB0304481</t>
  </si>
  <si>
    <t>OCC1OC(OC2OC=C(C(CC=O)C2C=C)C(O)=O)C(O)C(O)C1O</t>
  </si>
  <si>
    <t>PUEUIRDVQIKCCG-UHFFFAOYSA-N</t>
  </si>
  <si>
    <t>4.51_671.1563m/z</t>
  </si>
  <si>
    <t>Captopril-Cysteine Disulfide</t>
  </si>
  <si>
    <t>HMDB0060562</t>
  </si>
  <si>
    <t>C[C@H](CSSC[C@H](N)C(O)=O)C(=O)N1CCC[C@H]1C(O)=O</t>
  </si>
  <si>
    <t>NEEBNBLVYKFVTK-VGMNWLOBSA-N</t>
  </si>
  <si>
    <t>C12H20N2O5S2</t>
  </si>
  <si>
    <t>3.93_359.1314m/z</t>
  </si>
  <si>
    <t>Ethinyl Estradiol Sulfate</t>
  </si>
  <si>
    <t>HMDB0252017</t>
  </si>
  <si>
    <t>CC12CCC3C(CCC4=C3C=CC(OS(O)(=O)=O)=C4)C1CCC2(O)C#C</t>
  </si>
  <si>
    <t>WLGIWVFFGMPRLM-UHFFFAOYSA-N</t>
  </si>
  <si>
    <t>C20H24O5S</t>
  </si>
  <si>
    <t>6.11_550.2805m/z</t>
  </si>
  <si>
    <t>Hmb-Val-Ser-Leu-Ve</t>
  </si>
  <si>
    <t>862891-04-1</t>
  </si>
  <si>
    <t>CCOC(=O)C=CC(CC(C)C)NC(=O)C(CO)NC(=O)C(C(C)C)NC(=O)C1=C(C(=CC=C1)O)C</t>
  </si>
  <si>
    <t>YQKMRGLFGXKLJC-VOSPOJDESA-N</t>
  </si>
  <si>
    <t>C26H39N3O7</t>
  </si>
  <si>
    <t>7.39_166.0499m/z</t>
  </si>
  <si>
    <t>4-Hydroxy-L-Phenylglycine</t>
  </si>
  <si>
    <t>C12323</t>
  </si>
  <si>
    <t>ko00261,ko01055</t>
  </si>
  <si>
    <t>Monobactam biosynthesis|Biosynthesis of vancomycin group antibiotics</t>
  </si>
  <si>
    <t>32462-30-9</t>
  </si>
  <si>
    <t>C1=CC(=CC=C1C(C(=O)O)N)O</t>
  </si>
  <si>
    <t>LJCWONGJFPCTTL-ZETCQYMHSA-N</t>
  </si>
  <si>
    <t>4.88_514.1329m/z</t>
  </si>
  <si>
    <t>Bucladesine</t>
  </si>
  <si>
    <t>HMDB0249421</t>
  </si>
  <si>
    <t>CCCC(=O)NC1=C2N=CN(C3OC4COP(O)(=O)OC4C3OC(=O)CCC)C2=NC=N1</t>
  </si>
  <si>
    <t>CJGYSWNGNKCJSB-UHFFFAOYSA-N</t>
  </si>
  <si>
    <t>Cyclic purine nucleotides</t>
  </si>
  <si>
    <t>C18H24N5O8P</t>
  </si>
  <si>
    <t>4.52_623.2182m/z</t>
  </si>
  <si>
    <t>2,4,6-Tris(2-Pyridyl)-S-Triazine</t>
  </si>
  <si>
    <t>HMDB0246207</t>
  </si>
  <si>
    <t>C1=CC=C(N=C1)C1=NC(=NC(=N1)C1=CC=CC=N1)C1=CC=CC=N1</t>
  </si>
  <si>
    <t>KMVWNDHKTPHDMT-UHFFFAOYSA-N</t>
  </si>
  <si>
    <t>C18H12N6</t>
  </si>
  <si>
    <t>3.93_916.2627n</t>
  </si>
  <si>
    <t>Kaempferol 3-Ferulylrobinobioside-7-Rhamnoside</t>
  </si>
  <si>
    <t>LMPK12111708</t>
  </si>
  <si>
    <t>C1(O[C@H]2[C@H](O)[C@H](O)[C@@H](O)[C@H](C)O2)=CC2OC(C3C=CC(O)=CC=3)=C(O[C@H]3[C@H](O)[C@@H](O)[C@@H](OC(/C=C/C4C=CC(O)=C(OC)C=4)=O)[C@@H](CO[C@H]4[C@H](O)[C@H](O)[C@@H](O)[C@H](C)O4)O3)C(=O)C=2C(O)=C1</t>
  </si>
  <si>
    <t>PQVHQKUGFZSZMZ-PSSBUZKRSA-N</t>
  </si>
  <si>
    <t>C43H48O22</t>
  </si>
  <si>
    <t>4.90_493.2082m/z</t>
  </si>
  <si>
    <t>Phorbol 12,13-Diacetate</t>
  </si>
  <si>
    <t>HMDB0256453</t>
  </si>
  <si>
    <t>CC1C(OC(C)=O)C2(OC(C)=O)C(C3C=C(CO)CC4(O)C(C=C(C)C4=O)C13O)C2(C)C</t>
  </si>
  <si>
    <t>OMHXSAMFEJVCPT-UHFFFAOYSA-N</t>
  </si>
  <si>
    <t>C24H32O8</t>
  </si>
  <si>
    <t>2.33_359.1312m/z</t>
  </si>
  <si>
    <t>Agar</t>
  </si>
  <si>
    <t>HMDB0248056</t>
  </si>
  <si>
    <t>COC1C(O)C(CO)OC(OC2C3COC2C(O)C(C)O3)C1O</t>
  </si>
  <si>
    <t>GYYDPBCUIJTIBM-UHFFFAOYSA-N</t>
  </si>
  <si>
    <t>C14H24O9</t>
  </si>
  <si>
    <t>3.82_759.1149m/z</t>
  </si>
  <si>
    <t>Theacitrin A</t>
  </si>
  <si>
    <t>HMDB0031888</t>
  </si>
  <si>
    <t>201998-49-4</t>
  </si>
  <si>
    <t>OC1CC2=C(O)C=C(O)C=C2OC1C1=CC(=O)C2(O)C1C1(C=C(O)C(=O)C(O)=C1C2=O)C1OC2=CC(O)=CC(O)=C2CC1OC(=O)C1=CC(O)=C(O)C(O)=C1</t>
  </si>
  <si>
    <t>WCQMIZTZMRUYPY-UHFFFAOYSA-N</t>
  </si>
  <si>
    <t>C37H28O18</t>
  </si>
  <si>
    <t>11.88_429.2610m/z</t>
  </si>
  <si>
    <t>3alpha,12alpha-Dihydroxy-7-Oxo-5beta-Cholan-24-Oic Acid</t>
  </si>
  <si>
    <t>HMDB0000391</t>
  </si>
  <si>
    <t>LMST04010184</t>
  </si>
  <si>
    <t>911-40-0</t>
  </si>
  <si>
    <t>C1[C@]2(C)[C@@]3([H])C[C@H](O)[C@]4(C)[C@@]([H])([C@]([H])(C)CCC(O)=O)CC[C@@]4([H])[C@]3([H])C(=O)C[C@]2([H])C[C@H](O)C1</t>
  </si>
  <si>
    <t>RHCPKKNRWFXMAT-RRWYKFPJSA-N</t>
  </si>
  <si>
    <t>C24H38O5</t>
  </si>
  <si>
    <t>7.85_491.3013m/z</t>
  </si>
  <si>
    <t>7alpha,12alpha-Dihydroxy-3-Oxocholest-4-En-27-Oic Acid</t>
  </si>
  <si>
    <t>LMST04030150</t>
  </si>
  <si>
    <t>C1[C@]2(C)C3C[C@H](O)[C@]4(C)[C@@]([H])([C@]([H])(C)CCCC(C)C(O)=O)CCC4C3[C@H](O)CC2=CC(=O)C1</t>
  </si>
  <si>
    <t>PEIQVFBLXUEBGA-HMRLIYTKSA-N</t>
  </si>
  <si>
    <t>9.35_658.3012m/z</t>
  </si>
  <si>
    <t>N-((Hexahydro-1-Azepinyl)Carbonyl)-Leucyl(1-Methyl)-Tryptophyl-Tryptophan</t>
  </si>
  <si>
    <t>HMDB0256177</t>
  </si>
  <si>
    <t>CC(C)CC(NC(=O)N1CCCCCC1)C(=O)NC(CC1=CN(C)C2=CC=CC=C12)C(=O)NC(CC1=CC=C(O)C=C1)C(O)=O</t>
  </si>
  <si>
    <t>JVILFANCFWZBFU-UHFFFAOYSA-N</t>
  </si>
  <si>
    <t>C34H45N5O6</t>
  </si>
  <si>
    <t>4.60_305.0648m/z</t>
  </si>
  <si>
    <t>1-(3-Carboxypropyl)-3,7-Dimethylxanthine</t>
  </si>
  <si>
    <t>HMDB0243498</t>
  </si>
  <si>
    <t>6493-07-8</t>
  </si>
  <si>
    <t>CN1C=NC2=C1C(=O)N(CCCC(O)=O)C(=O)N2C</t>
  </si>
  <si>
    <t>WKASGTGXOGALBG-UHFFFAOYSA-N</t>
  </si>
  <si>
    <t>C11H14N4O4</t>
  </si>
  <si>
    <t>9.77_671.2226m/z</t>
  </si>
  <si>
    <t>Fosnetupitant</t>
  </si>
  <si>
    <t>HMDB0304886</t>
  </si>
  <si>
    <t>CN(C(=O)C(C)(C)C1=CC(=CC(=C1)C(F)(F)F)C(F)(F)F)C1=CN=C(C=C1C1=CC=CC=C1C)N1CC[N+](C)(COP(O)([O-])=O)CC1</t>
  </si>
  <si>
    <t>HZIYEEMJNBKMJH-UHFFFAOYSA-N</t>
  </si>
  <si>
    <t>C31H35F6N4O5P</t>
  </si>
  <si>
    <t>7.28_522.2857m/z</t>
  </si>
  <si>
    <t>Batrachotoxinin A 20-Alpha-Benzoate</t>
  </si>
  <si>
    <t>HMDB0248883</t>
  </si>
  <si>
    <t>CC(OC(=O)C1=CC=CC=C1)C1=CCC23OCCN(C)CC12CC(O)C12OC4(O)CCC1(C)C(CC=C32)C4</t>
  </si>
  <si>
    <t>BQDUFJGPBNLKPK-UHFFFAOYSA-N</t>
  </si>
  <si>
    <t>C31H39NO6</t>
  </si>
  <si>
    <t>4.36_188.1200n</t>
  </si>
  <si>
    <t>5-Methyl-2-Phenyl-2-Hexenal</t>
  </si>
  <si>
    <t>HMDB0031855</t>
  </si>
  <si>
    <t>21834-92-4</t>
  </si>
  <si>
    <t>CC(C)C\C=C(\C=O)C1=CC=CC=C1</t>
  </si>
  <si>
    <t>YURDCJXYOLERLO-LCYFTJDESA-N</t>
  </si>
  <si>
    <t>Phenylacetaldehydes</t>
  </si>
  <si>
    <t>C13H16O</t>
  </si>
  <si>
    <t>9.90_213.1485m/z</t>
  </si>
  <si>
    <t>12-Hydroxy-3z,6z-Dodecadienoic Acid</t>
  </si>
  <si>
    <t>LMFA01050171</t>
  </si>
  <si>
    <t>C(C/C=C\C/C=C\CCCCCO)(=O)O</t>
  </si>
  <si>
    <t>BSWDOBLGMLCOJP-NGNAIVRQSA-N</t>
  </si>
  <si>
    <t>C12H20O3</t>
  </si>
  <si>
    <t>14.95_621.4373m/z</t>
  </si>
  <si>
    <t>Beta-Sitosterol 3-O-Beta-D-Galactopyranoside</t>
  </si>
  <si>
    <t>HMDB0033949</t>
  </si>
  <si>
    <t>55057-29-9</t>
  </si>
  <si>
    <t>CCC(CCC(C)C1CCC2C3CC=C4CC(CCC4(C)C3CCC12C)OC1OC(CO)C(O)C(O)C1O)C(C)C</t>
  </si>
  <si>
    <t>NPJICTMALKLTFW-UHFFFAOYSA-N</t>
  </si>
  <si>
    <t>C35H60O6</t>
  </si>
  <si>
    <t>14.20_682.5232m/z</t>
  </si>
  <si>
    <t>Lucyobroside</t>
  </si>
  <si>
    <t>HMDB0031983</t>
  </si>
  <si>
    <t>189272-90-0</t>
  </si>
  <si>
    <t>CCCCCCCCCCCCC(O)C(\O)=N\C(COC1OC(CO)C(O)C(O)C1O)C(O)\C=C\CC\C=C\CCCCCCCCCC</t>
  </si>
  <si>
    <t>ILIBLZKROFPFRG-OQHYMBEVSA-N</t>
  </si>
  <si>
    <t>C39H73NO9</t>
  </si>
  <si>
    <t>2.83_137.1325m/z</t>
  </si>
  <si>
    <t>Gamma-Terpinene</t>
  </si>
  <si>
    <t>HMDB0005806</t>
  </si>
  <si>
    <t>LMPR0102090027</t>
  </si>
  <si>
    <t>C09900</t>
  </si>
  <si>
    <t>99-85-4</t>
  </si>
  <si>
    <t>C1(=CCC(C)=CC1)C(C)C</t>
  </si>
  <si>
    <t>YKFLAYDHMOASIY-UHFFFAOYSA-N</t>
  </si>
  <si>
    <t>Branched unsaturated hydrocarbons</t>
  </si>
  <si>
    <t>C10H16</t>
  </si>
  <si>
    <t>6.39_480.2084m/z</t>
  </si>
  <si>
    <t>Trimazosin</t>
  </si>
  <si>
    <t>HMDB0259229</t>
  </si>
  <si>
    <t>COC1=CC2=C(N=C(N=C2N)N2CCN(CC2)C(=O)OCC(C)(C)O)C(OC)=C1OC</t>
  </si>
  <si>
    <t>YNZXWQJZEDLQEG-UHFFFAOYSA-N</t>
  </si>
  <si>
    <t>C20H29N5O6</t>
  </si>
  <si>
    <t>4.95_691.3727m/z</t>
  </si>
  <si>
    <t>Gypsogenin 3-O-B-D-Glucuronide</t>
  </si>
  <si>
    <t>HMDB0034520</t>
  </si>
  <si>
    <t>CC1(C)CCC2(CCC3(C)C(=CCC4C5(C)CCC(OC6OC(C(O)C(O)C6O)C(O)=O)C(C)(C=O)C5CCC34C)C2C1)C(O)=O</t>
  </si>
  <si>
    <t>NUSHOJSYOLRGAX-UHFFFAOYSA-N</t>
  </si>
  <si>
    <t>C36H54O10</t>
  </si>
  <si>
    <t>4.90_451.1608m/z</t>
  </si>
  <si>
    <t>Cichorioside J</t>
  </si>
  <si>
    <t>HMDB0302056</t>
  </si>
  <si>
    <t>[H][C@]12CCC(=C)[C@@]1([H])[C@@]13OC(=O)C(CCO[C@@H]4O[C@H](CO)[C@@H](O)[C@H](O)[C@H]4O)=C1C=C[C@]2(O)CO3</t>
  </si>
  <si>
    <t>PIBJAPSKIWUIOI-ZBVAOOHKSA-N</t>
  </si>
  <si>
    <t>C22H28O10</t>
  </si>
  <si>
    <t>4.13_409.1715m/z</t>
  </si>
  <si>
    <t>S-Methylthiocitrulline</t>
  </si>
  <si>
    <t>HMDB0257405</t>
  </si>
  <si>
    <t>CSC(N)=NCCCC(N)C(O)=O</t>
  </si>
  <si>
    <t>NGVMVBQRKZPFLB-UHFFFAOYSA-N</t>
  </si>
  <si>
    <t>C7H15N3O2S</t>
  </si>
  <si>
    <t>5.54_243.1233m/z</t>
  </si>
  <si>
    <t>4-Oxododecanedioic Acid</t>
  </si>
  <si>
    <t>C(CCCC(=O)CCC(=O)O)CCCC(=O)O</t>
  </si>
  <si>
    <t>HHXMOTDTSDYYEI-UHFFFAOYSA-N</t>
  </si>
  <si>
    <t>C12H20O5</t>
  </si>
  <si>
    <t>4.45_991.4378m/z</t>
  </si>
  <si>
    <t>Ei-1625-2</t>
  </si>
  <si>
    <t>LMFA08020174</t>
  </si>
  <si>
    <t>[C@@]1(O)(/C=C/C=C/C=C/C(=O)NC2C(=O)CCC=2O)C=C(NC(=O)/C=C/C(C)CCCC)C([C@@]2([H])O[C@@]12[H])=O</t>
  </si>
  <si>
    <t>LEERCZRUWSNMMK-GIWWSJOHSA-N</t>
  </si>
  <si>
    <t>C27H32N2O7</t>
  </si>
  <si>
    <t>3.95_441.1033m/z</t>
  </si>
  <si>
    <t>Ponesimod</t>
  </si>
  <si>
    <t>HMDB0256699</t>
  </si>
  <si>
    <t>CCCN=C1SC(=CC2=CC(Cl)=C(OCC(O)CO)C=C2)C(=O)N1C1=CC=CC=C1C</t>
  </si>
  <si>
    <t>LPAUOXUZGSBGDU-UHFFFAOYSA-N</t>
  </si>
  <si>
    <t>C23H25ClN2O4S</t>
  </si>
  <si>
    <t>6.20_566.3110m/z</t>
  </si>
  <si>
    <t>Pkoha-Pa</t>
  </si>
  <si>
    <t>LMGP20070010</t>
  </si>
  <si>
    <t>[C@](COP(=O)(O)O)([H])(OC(CCC(=O)/C=C/C(=O)[H])=O)COC(CCCCCCCCCCCCCCC)=O</t>
  </si>
  <si>
    <t>UQYMHPQBZYKYNN-RFAWQRTRSA-N</t>
  </si>
  <si>
    <t>C26H45O10P</t>
  </si>
  <si>
    <t>3.95_356.1445n</t>
  </si>
  <si>
    <t>N-(6,8-Difluoro-2-Methyl-4-Quinolinyl)-N'-[4-(Dimethylamino)Phenyl]Urea</t>
  </si>
  <si>
    <t>HMDB0245742</t>
  </si>
  <si>
    <t>CN(C)C1=CC=C(NC(=O)NC2=CC(C)=NC3=C(F)C=C(F)C=C23)C=C1</t>
  </si>
  <si>
    <t>JTARFZSNUAGHRB-UHFFFAOYSA-N</t>
  </si>
  <si>
    <t>Haloquinolines</t>
  </si>
  <si>
    <t>C19H18F2N4O</t>
  </si>
  <si>
    <t>6.66_192.1014m/z</t>
  </si>
  <si>
    <t>2e,8z-Undecadiene-4,6-Diynoic Acid</t>
  </si>
  <si>
    <t>LMFA01030752</t>
  </si>
  <si>
    <t>C(/C=C/C#CC#C/C=C\CC)(=O)O</t>
  </si>
  <si>
    <t>SESVVWQTIKATCE-PWGWRZEZSA-N</t>
  </si>
  <si>
    <t>C11H10O2</t>
  </si>
  <si>
    <t>11.99_522.4149m/z</t>
  </si>
  <si>
    <t>Ganoderiol G</t>
  </si>
  <si>
    <t>HMDB0037780</t>
  </si>
  <si>
    <t>114567-48-5</t>
  </si>
  <si>
    <t>COC1CC2C(C)(C)C(=O)CCC2(C)C2=C1C1(C)CCC(C(C)CCC(O)C(C)(O)CO)C1(C)CC2</t>
  </si>
  <si>
    <t>YOMOWVJLKFVSNZ-UHFFFAOYSA-N</t>
  </si>
  <si>
    <t>C31H52O5</t>
  </si>
  <si>
    <t>12.06_965.5425m/z</t>
  </si>
  <si>
    <t>Liamocin B1</t>
  </si>
  <si>
    <t>LMFA00000044</t>
  </si>
  <si>
    <t>C(CC(O)CC(OC(CC(O)CC(OC(CC(O)CC(OC(CC(O)CC(O)CCCCC)=O)CCCCC)=O)CCCCC)=O)CCCCC)(=O)OC[C@@H](O)[C@@H](O)[C@H](O)[C@H](O)CO</t>
  </si>
  <si>
    <t>AEJBPEGONUZZFK-KXXWGKSRSA-N</t>
  </si>
  <si>
    <t>C46H86O18</t>
  </si>
  <si>
    <t>4.40_450.1981m/z</t>
  </si>
  <si>
    <t>Nifekalant</t>
  </si>
  <si>
    <t>HMDB0255595</t>
  </si>
  <si>
    <t>CN1C([O-])=CC(=NCCN(CCO)CCCC2=CC=C(C=C2)[N+]([O-])=O)[NH+](C)C1=O</t>
  </si>
  <si>
    <t>XECRMKUDCPXAHD-UHFFFAOYSA-N</t>
  </si>
  <si>
    <t>C19H27N5O5</t>
  </si>
  <si>
    <t>11.39_396.2872n</t>
  </si>
  <si>
    <t>MG(20:3(6,8,11)-OH(5)/0:0/0:0)</t>
  </si>
  <si>
    <t>HMDB0260512</t>
  </si>
  <si>
    <t>CCCCCCCC\C=C\C\C=C\C=C\C(O)CCCC(=O)OC[C@@H](O)CO</t>
  </si>
  <si>
    <t>KHYYDOVNIFQNTL-DXKRBAIRSA-N</t>
  </si>
  <si>
    <t>C23H40O5</t>
  </si>
  <si>
    <t>4.91_724.4680m/z</t>
  </si>
  <si>
    <t>PE(P-16:0/17:2(9Z,12Z))</t>
  </si>
  <si>
    <t>LMGP02030017</t>
  </si>
  <si>
    <t>[C@](COP(=O)(O)OCCN)([H])(OC(CCCCCCC/C=C\C/C=C\CCCC)=O)CO/C=C\CCCCCCCCCCCCCC</t>
  </si>
  <si>
    <t>AYUJKXIJCWGKJO-IDPOGNRSSA-N</t>
  </si>
  <si>
    <t>C38H72NO7P</t>
  </si>
  <si>
    <t>15.29_914.5964n</t>
  </si>
  <si>
    <t>DGDG(16:0/18:3(9Z,12Z,15Z))</t>
  </si>
  <si>
    <t>LMGL05010064</t>
  </si>
  <si>
    <t>O[C@@H]1[C@@H](O)[C@@H](O)[C@@H](CO[C@@H]2[C@H](O)[C@@H](O)[C@@H](O)[C@@H](CO)O2)O[C@H]1OC[C@]([H])(OC(CCCCCCC/C=C\C/C=C\C/C=C\CC)=O)COC(=O)CCCCCCCCCCCCCCC</t>
  </si>
  <si>
    <t>WVWINZZVFAFVMJ-GDVDIDQFSA-N</t>
  </si>
  <si>
    <t>C49H86O15</t>
  </si>
  <si>
    <t>0.81_455.1369m/z</t>
  </si>
  <si>
    <t>N-[2-[(R)-[3-Methyl-4-(2,2,2-Trifluoroethoxy)Pyridin-2-Yl]Methylsulfinyl]-1h-Pyrrol-3-Yl]Benzamide</t>
  </si>
  <si>
    <t>HMDB0260408</t>
  </si>
  <si>
    <t>CC1=C(OCC(F)(F)F)C=CN=C1CS(=O)C1=C(NC(=O)C2=CC=CC=C2)C=CN1</t>
  </si>
  <si>
    <t>JCDDXQPKWDYONW-UHFFFAOYSA-N</t>
  </si>
  <si>
    <t>C20H18F3N3O3S</t>
  </si>
  <si>
    <t>9.67_296.1776n</t>
  </si>
  <si>
    <t>5,8,11,14-Eicosatetraynoic Acid</t>
  </si>
  <si>
    <t>HMDB0252124</t>
  </si>
  <si>
    <t>LMFA01030691</t>
  </si>
  <si>
    <t>C(CCCC#CCC#CCC#CCC#CCCCCC)(=O)O</t>
  </si>
  <si>
    <t>MGLDCXPLYOWQRP-UHFFFAOYSA-N</t>
  </si>
  <si>
    <t>C20H24O2</t>
  </si>
  <si>
    <t>6.01_601.2864m/z</t>
  </si>
  <si>
    <t>Omadacycline</t>
  </si>
  <si>
    <t>HMDB0255962</t>
  </si>
  <si>
    <t>CN(C)C1C2CC3CC4=C(C=C(CNCC(C)(C)C)C(O)=C4C(O)=C3C(=O)C2(O)C(O)=C(C(N)=O)C1=O)N(C)C</t>
  </si>
  <si>
    <t>VJYKVCURWJGLPG-UHFFFAOYSA-N</t>
  </si>
  <si>
    <t>C29H40N4O7</t>
  </si>
  <si>
    <t>4.10_578.2834m/z</t>
  </si>
  <si>
    <t>1-Oleoyl-Sn-Glycero-3-Phospho-D-Myo-Inositol(1-)</t>
  </si>
  <si>
    <t>HMDB0242160</t>
  </si>
  <si>
    <t>[H]\C(CCCCCCCC)=C(/[H])CCCCCCCC(=O)OC[C@@]([H])(O)COP([O-])(=O)OC1([H])[C@]([H])(O)[C@@]([H])(O)C([H])(O)[C@@]([H])(O)[C@@]1([H])O</t>
  </si>
  <si>
    <t>UGDOFRYHDCDVHD-GFMLYYSJSA-M</t>
  </si>
  <si>
    <t>C27H50O12P-</t>
  </si>
  <si>
    <t>4.12_380.1683n</t>
  </si>
  <si>
    <t>3-Methyl-3-Butenyl Apiosyl-(1-&gt;6)-Glucoside</t>
  </si>
  <si>
    <t>HMDB0031954</t>
  </si>
  <si>
    <t>198832-72-3</t>
  </si>
  <si>
    <t>CC(=C)CCOC1OC(COC2OCC(O)(CO)C2O)C(O)C(O)C1O</t>
  </si>
  <si>
    <t>DZEALCQVCAOHSL-UHFFFAOYSA-N</t>
  </si>
  <si>
    <t>C16H28O10</t>
  </si>
  <si>
    <t>9.86_498.2484m/z</t>
  </si>
  <si>
    <t>Anthothecol</t>
  </si>
  <si>
    <t>10410-83-0</t>
  </si>
  <si>
    <t>CC(=O)OC1CC2(C(CC3C2(O3)C4(C1C5(C=CC(=O)C(C5=C(C4=O)O)(C)C)C)C)C6=COC=C6)C</t>
  </si>
  <si>
    <t>AJTULIWKBMDPCJ-UHFFFAOYSA-N</t>
  </si>
  <si>
    <t>C28H32O7</t>
  </si>
  <si>
    <t>6.29_602.2816m/z</t>
  </si>
  <si>
    <t>Neocasomorphin (1-5)</t>
  </si>
  <si>
    <t>HMDB0060144</t>
  </si>
  <si>
    <t>CC(C)[C@H](N=C(O)[C@H]1CCCN1C(=O)[C@H](N)CC1=CC=C(O)C=C1)C(O)=N[C@H](CCC(O)=O)C(=O)N1CCC[C@@H]1C(O)=O</t>
  </si>
  <si>
    <t>WRNQQFNBEUKAAX-MOGNJTFLSA-N</t>
  </si>
  <si>
    <t>C29H41N5O9</t>
  </si>
  <si>
    <t>10.34_464.3001m/z</t>
  </si>
  <si>
    <t>Solacetal B</t>
  </si>
  <si>
    <t>LMFA02000382</t>
  </si>
  <si>
    <t>C(CCCCCCC[C@@H]1O[C@H](C2=CC=C(O)C=C2)O[C@H](/C=C\C/C=C/CC)[C@H]1O)(=O)OC</t>
  </si>
  <si>
    <t>DNRPVMBGWBVXOO-QFDBAHOHSA-N</t>
  </si>
  <si>
    <t>C26H38O6</t>
  </si>
  <si>
    <t>4.99_465.3212m/z</t>
  </si>
  <si>
    <t>N-Stearoyl Arginine</t>
  </si>
  <si>
    <t>LMFA08020136</t>
  </si>
  <si>
    <t>C(NC(=N)N)C[C@]([H])(NC(CCCCCCCCCCCCCCCCC)=O)C(=O)O</t>
  </si>
  <si>
    <t>JEISZCQAXYJJOO-FQEVSTJZSA-N</t>
  </si>
  <si>
    <t>C23H46N4O3</t>
  </si>
  <si>
    <t>3.73_155.0451m/z</t>
  </si>
  <si>
    <t>2-Amino-5-Nitrophenol</t>
  </si>
  <si>
    <t>C19322</t>
  </si>
  <si>
    <t>121-88-0</t>
  </si>
  <si>
    <t>C1=CC(=C(C=C1[N+](=O)[O-])O)N</t>
  </si>
  <si>
    <t>DOPJTDJKZNWLRB-UHFFFAOYSA-N</t>
  </si>
  <si>
    <t>6.43_635.2669m/z</t>
  </si>
  <si>
    <t>Myricanene B 5-[Arabinosyl-(1-&gt;6)-Glucoside]</t>
  </si>
  <si>
    <t>HMDB0039348</t>
  </si>
  <si>
    <t>COC1=C(OC2OC(COC3OC(CO)C(O)C3O)C(O)C(O)C2O)C2=CC(=C1OC)C1=C(O)C=CC(C\C=C\CCCC2)=C1</t>
  </si>
  <si>
    <t>CKGPMQKYPJTHRX-GQCTYLIASA-N</t>
  </si>
  <si>
    <t>4.62_558.3058m/z</t>
  </si>
  <si>
    <t>Boceprevir</t>
  </si>
  <si>
    <t>HMDB0249336</t>
  </si>
  <si>
    <t>CC(C)(C)NC(=O)NC(C(=O)N1CC2C(C1C(=O)NC(CC1CCC1)C(=O)C(N)=O)C2(C)C)C(C)(C)C</t>
  </si>
  <si>
    <t>LHHCSNFAOIFYRV-UHFFFAOYSA-N</t>
  </si>
  <si>
    <t>C27H45N5O5</t>
  </si>
  <si>
    <t>9.18_347.1838m/z</t>
  </si>
  <si>
    <t>(2r,5r)-2-[6-(Cyclopentylamino)-8-(Methylamino)Purin-9-Yl]-5-(Hydroxymethyl)Oxolane-3,4-Diol</t>
  </si>
  <si>
    <t>HMDB0255318</t>
  </si>
  <si>
    <t>CNC1=NC2=C(N=CN=C2NC2CCCC2)N1C1OC(CO)C(O)C1O</t>
  </si>
  <si>
    <t>ARVGZMRDUMAGBG-UHFFFAOYSA-N</t>
  </si>
  <si>
    <t>C16H24N6O4</t>
  </si>
  <si>
    <t>0.77_295.0666m/z</t>
  </si>
  <si>
    <t>D-Xylono-1,5-Lactone</t>
  </si>
  <si>
    <t>HMDB0011676</t>
  </si>
  <si>
    <t>C02266</t>
  </si>
  <si>
    <t>ko00040</t>
  </si>
  <si>
    <t>Pentose and glucuronate interconversions</t>
  </si>
  <si>
    <t>O[C@@H]1COC(=O)[C@H](O)[C@H]1O</t>
  </si>
  <si>
    <t>XXBSUZSONOQQGK-FLRLBIABSA-N</t>
  </si>
  <si>
    <t>C5H8O5</t>
  </si>
  <si>
    <t>4.40_647.2305m/z</t>
  </si>
  <si>
    <t>3'-Prenylapigenin 7-[Rhamnosyl-(1-&gt;6)-Glucoside]</t>
  </si>
  <si>
    <t>HMDB0034634</t>
  </si>
  <si>
    <t>245054-57-3</t>
  </si>
  <si>
    <t>CC1OC(OCC2OC(OC3=CC(O)=C4C(=O)C=C(OC4=C3)C3=CC=C(O)C(CC=C(C)C)=C3)C(O)C(O)C2O)C(O)C(O)C1O</t>
  </si>
  <si>
    <t>UJHRVKJFXAWWKH-UHFFFAOYSA-N</t>
  </si>
  <si>
    <t>C32H38O14</t>
  </si>
  <si>
    <t>0.71_521.1715m/z</t>
  </si>
  <si>
    <t>2-Phenylpyrazolo(4,3-C)Quinolin-3(5h)-One</t>
  </si>
  <si>
    <t>HMDB0249869</t>
  </si>
  <si>
    <t>O=C1N(NC2=C1C=NC1=CC=CC=C21)C1=CC=CC=C1</t>
  </si>
  <si>
    <t>XTYGFVVANLMBHE-UHFFFAOYSA-N</t>
  </si>
  <si>
    <t>C16H11N3O</t>
  </si>
  <si>
    <t>4.24_316.0672m/z</t>
  </si>
  <si>
    <t>4-Nitrophenyl Beta-D-Xyloside</t>
  </si>
  <si>
    <t>HMDB0245573</t>
  </si>
  <si>
    <t>OC1COC(OC2=CC=C(C=C2)[N+]([O-])=O)C(O)C1O</t>
  </si>
  <si>
    <t>MLJYKRYCCUGBBV-UHFFFAOYSA-N</t>
  </si>
  <si>
    <t>C11H13NO7</t>
  </si>
  <si>
    <t>1.06_238.1051n</t>
  </si>
  <si>
    <t>(X)-1,2-Propanediol 1-O-B-D-Glucopyranoside</t>
  </si>
  <si>
    <t>HMDB0033065</t>
  </si>
  <si>
    <t>CC(O)COC1OC(CO)C(O)C(O)C1O</t>
  </si>
  <si>
    <t>AJLVEHFNMNRXNI-UHFFFAOYSA-N</t>
  </si>
  <si>
    <t>C9H18O7</t>
  </si>
  <si>
    <t>4.56_297.1340m/z</t>
  </si>
  <si>
    <t>3alpha-Hydroxyoreadone</t>
  </si>
  <si>
    <t>HMDB0036047</t>
  </si>
  <si>
    <t>124869-06-3</t>
  </si>
  <si>
    <t>CC1(C)C(O)CC(=O)C2C3C(O)OCC3=CCC12</t>
  </si>
  <si>
    <t>QWJVXAZUVABFEO-UHFFFAOYSA-N</t>
  </si>
  <si>
    <t>C14H20O4</t>
  </si>
  <si>
    <t>10.26_360.3105m/z</t>
  </si>
  <si>
    <t>Medica 16</t>
  </si>
  <si>
    <t>HMDB0254402</t>
  </si>
  <si>
    <t>87272-20-6</t>
  </si>
  <si>
    <t>CC(C)(CCCCCCCCCCC(C)(C)CC(O)=O)CC(O)=O</t>
  </si>
  <si>
    <t>HYSMCRNFENOHJH-UHFFFAOYSA-N</t>
  </si>
  <si>
    <t>C20H38O4</t>
  </si>
  <si>
    <t>12.82_330.2034m/z</t>
  </si>
  <si>
    <t>Betaxolol</t>
  </si>
  <si>
    <t>HMDB0014341</t>
  </si>
  <si>
    <t>C06849</t>
  </si>
  <si>
    <t>63659-18-7</t>
  </si>
  <si>
    <t>CC(C)NCC(O)COC1=CC=C(CCOCC2CC2)C=C1</t>
  </si>
  <si>
    <t>NWIUTZDMDHAVTP-UHFFFAOYSA-N</t>
  </si>
  <si>
    <t>Tyrosols and derivatives</t>
  </si>
  <si>
    <t>C18H29NO3</t>
  </si>
  <si>
    <t>5.77_550.2292m/z</t>
  </si>
  <si>
    <t>Triletide</t>
  </si>
  <si>
    <t>HMDB0259226</t>
  </si>
  <si>
    <t>COC(=O)C(CC1=CN=CN1)NC(=O)C(CC1=CC=CC=C1)NC(=O)C(CC1=CC=CC=C1)NC(C)=O</t>
  </si>
  <si>
    <t>ZHAGGRWTJXROKV-UHFFFAOYSA-N</t>
  </si>
  <si>
    <t>C27H31N5O5</t>
  </si>
  <si>
    <t>9.20_1092.5668m/z</t>
  </si>
  <si>
    <t>CDP-DG(22:3(10Z,13Z,16Z)/20:3(5Z,8Z,11Z)-O(14R,15S))</t>
  </si>
  <si>
    <t>HMDB0292319</t>
  </si>
  <si>
    <t>[H][C@@](COC(=O)CCCCCCCC\C=C/C\C=C/C\C=C/CCCCCC)(COP(O)(=O)OP(O)(=O)OC[C@H]1O[C@H]([C@H](O)[C@@H]1O)N1C=CC(N)=NC1=O)OC(=O)CCC\C=C/C\C=C/C\C=C/CC1OC1CCCCC</t>
  </si>
  <si>
    <t>ZRWLVQSMLZABIV-PVTMHWGDSA-N</t>
  </si>
  <si>
    <t>C55H89N3O16P2</t>
  </si>
  <si>
    <t>7.39_404.1830n</t>
  </si>
  <si>
    <t>Prednisolone-16alpha-Carboxylic Acid</t>
  </si>
  <si>
    <t>LMST02030226</t>
  </si>
  <si>
    <t>[C@]12([C@]3([H])[C@]([H])([C@@]4([H])[C@](C)(C[C@@H]3O)[C@](C(=O)CO)(O)[C@H](C(O)=O)C4)CCC1=CC(=O)C=C2)C</t>
  </si>
  <si>
    <t>KDXQRWCHLWOYTA-YENSXTRCSA-N</t>
  </si>
  <si>
    <t>C22H28O7</t>
  </si>
  <si>
    <t>13.19_443.3494m/z</t>
  </si>
  <si>
    <t>5beta-Cholestane-3alpha,7alpha,12alpha-Triol</t>
  </si>
  <si>
    <t>HMDB0001457</t>
  </si>
  <si>
    <t>LMST04030035</t>
  </si>
  <si>
    <t>C05454</t>
  </si>
  <si>
    <t>ko00120</t>
  </si>
  <si>
    <t>Primary bile acid biosynthesis</t>
  </si>
  <si>
    <t>547-96-6</t>
  </si>
  <si>
    <t>C1[C@]2(C)[C@@]3([H])C[C@H](O)[C@]4(C)[C@@]([H])([C@]([H])(C)CCCC(C)C)CC[C@@]4([H])[C@]3([H])[C@H](O)C[C@]2([H])C[C@H](O)C1</t>
  </si>
  <si>
    <t>RIVQQZVHIVNQFH-XJZYBRFWSA-N</t>
  </si>
  <si>
    <t>9.07_815.4426m/z</t>
  </si>
  <si>
    <t>Torvoside E</t>
  </si>
  <si>
    <t>HMDB0041530</t>
  </si>
  <si>
    <t>COC1(CCC(C)COC2OC(CO)C(O)C(O)C2O)OC2CC3C4CC(OC5OC(C)C(O)C(O)C5O)C5CC(=O)CCC5(C)C4CCC3(C)C2C1C</t>
  </si>
  <si>
    <t>SPXXSSPWDGTYTM-UHFFFAOYSA-N</t>
  </si>
  <si>
    <t>C40H66O14</t>
  </si>
  <si>
    <t>4.88_154.0134m/z</t>
  </si>
  <si>
    <t>4-Nitrocatechol</t>
  </si>
  <si>
    <t>HMDB0002916</t>
  </si>
  <si>
    <t>C02235</t>
  </si>
  <si>
    <t>3316-09-4</t>
  </si>
  <si>
    <t>OC1=C(O)C=C(C=C1)[N+]([O-])=O</t>
  </si>
  <si>
    <t>XJNPNXSISMKQEX-UHFFFAOYSA-N</t>
  </si>
  <si>
    <t>C6H5NO4</t>
  </si>
  <si>
    <t>2.01_344.0724m/z</t>
  </si>
  <si>
    <t>Cefadroxil</t>
  </si>
  <si>
    <t>HMDB0015271</t>
  </si>
  <si>
    <t>C06878</t>
  </si>
  <si>
    <t>66592-87-8</t>
  </si>
  <si>
    <t>[H][C@]12SCC(C)=C(N1C(=O)[C@H]2NC(=O)[C@H](N)C1=CC=C(O)C=C1)C(O)=O</t>
  </si>
  <si>
    <t>BOEGTKLJZSQCCD-UEKVPHQBSA-N</t>
  </si>
  <si>
    <t>C16H17N3O5S</t>
  </si>
  <si>
    <t>4.67_332.1986n</t>
  </si>
  <si>
    <t>Pga3</t>
  </si>
  <si>
    <t>LMFA03010140</t>
  </si>
  <si>
    <t>36614-31-0</t>
  </si>
  <si>
    <t>[C@H]1(/C=C/[C@@H](O)C/C=C\CC)C=CC(=O)[C@@H]1C/C=C\CCCC(=O)O</t>
  </si>
  <si>
    <t>KSIRMUMXJFWKAC-FHJHOUOTSA-N</t>
  </si>
  <si>
    <t>7.39_332.1618n</t>
  </si>
  <si>
    <t>Gibberellin A45</t>
  </si>
  <si>
    <t>HMDB0035042</t>
  </si>
  <si>
    <t>55812-47-0</t>
  </si>
  <si>
    <t>[H][C@@]12CC[C@@H]3C[C@]1([C@H](O)C3=C)[C@@H](C(O)=O)[C@]1([H])[C@@]3(C)CCC[C@@]21OC3=O</t>
  </si>
  <si>
    <t>MBNDVMTZEKAWKP-CFHXUCNZSA-N</t>
  </si>
  <si>
    <t>4.05_453.2221m/z</t>
  </si>
  <si>
    <t>Propranolol Glucuronide</t>
  </si>
  <si>
    <t>HMDB0256834</t>
  </si>
  <si>
    <t>CC(C)NCC(COC1=CC=CC2=CC=CC=C12)OC1OC(C(O)C(O)C1O)C(O)=O</t>
  </si>
  <si>
    <t>PCALHJGQCKATMK-UHFFFAOYSA-N</t>
  </si>
  <si>
    <t>C22H29NO8</t>
  </si>
  <si>
    <t>6.27_353.1736m/z</t>
  </si>
  <si>
    <t>2s-Hydroxy-3-(10z-Tetradecenoyloxy)-Propanoic Acid</t>
  </si>
  <si>
    <t>LMFA07010692</t>
  </si>
  <si>
    <t>C(CCCCCCCC/C=C\CCC)(=O)OC[C@H](O)C(O)=O</t>
  </si>
  <si>
    <t>LIMKXIDXBKHPRU-XVWMLYKFSA-N</t>
  </si>
  <si>
    <t>C17H30O5</t>
  </si>
  <si>
    <t>9.48_792.3234m/z</t>
  </si>
  <si>
    <t>Aclarubicin</t>
  </si>
  <si>
    <t>C18638</t>
  </si>
  <si>
    <t>ko01057</t>
  </si>
  <si>
    <t>Biosynthesis of type II polyketide products</t>
  </si>
  <si>
    <t>57576-44-0</t>
  </si>
  <si>
    <t>CCC1(CC(C2=C(C3=C(C=C2C1C(=O)OC)C(=O)C4=C(C3=O)C(=CC=C4)O)O)OC5CC(C(C(O5)C)OC6CC(C(C(O6)C)OC7CCC(=O)C(O7)C)O)N(C)C)O</t>
  </si>
  <si>
    <t>USZYSDMBJDPRIF-SVEJIMAYSA-N</t>
  </si>
  <si>
    <t>8.99_613.1339m/z</t>
  </si>
  <si>
    <t>3'-Demethyletoposide</t>
  </si>
  <si>
    <t>HMDB0061028</t>
  </si>
  <si>
    <t>COC1=CC(=CC(O)=C1O)[C@@H]1C2C(COC2=O)[C@@H](OC2OC3CO[C@@H](C)OC3[C@H](O)[C@H]2O)C2=CC3=C(OCO3)C=C12</t>
  </si>
  <si>
    <t>CYOJPLOJEPTJMM-RCQFJHMNSA-N</t>
  </si>
  <si>
    <t>Lignan lactones</t>
  </si>
  <si>
    <t>Podophyllotoxins</t>
  </si>
  <si>
    <t>C28H30O13</t>
  </si>
  <si>
    <t>6.39_281.1743m/z</t>
  </si>
  <si>
    <t>Brefeldin A</t>
  </si>
  <si>
    <t>60132-23-2</t>
  </si>
  <si>
    <t>CC1CCCC=CC2CC(CC2C(C=CC(=O)O1)O)O</t>
  </si>
  <si>
    <t>KQNZDYYTLMIZCT-KQPMLPITSA-N</t>
  </si>
  <si>
    <t>C16H24O4</t>
  </si>
  <si>
    <t>5.95_741.2529m/z</t>
  </si>
  <si>
    <t>Su 6656</t>
  </si>
  <si>
    <t>330161-87-0</t>
  </si>
  <si>
    <t>CN(C)S(=O)(=O)C1=CC2=C(C=C1)NC(=O)C2=CC3=CC4=C(N3)CCCC4</t>
  </si>
  <si>
    <t>LOGJQOUIVKBFGH-YBEGLDIGSA-N</t>
  </si>
  <si>
    <t>C19H21N3O3S</t>
  </si>
  <si>
    <t>5.56_535.3273m/z</t>
  </si>
  <si>
    <t>Turkesterone 22-Acetonide</t>
  </si>
  <si>
    <t>LMST01010425</t>
  </si>
  <si>
    <t>C1[C@H](O)[C@H](O)C[C@@]2([H])C(=O)C=C3[C@@]([C@H](O)C[C@]4([C@@]3(O)CC[C@]4([H])[C@]3(OC(C)(C)O[C@@H]3CCC(O)(C)C)C)C)([H])[C@]21C</t>
  </si>
  <si>
    <t>QGINLTGTQDHLBO-TVDJDKAKSA-N</t>
  </si>
  <si>
    <t>C30H48O8</t>
  </si>
  <si>
    <t>7.43_347.1766m/z</t>
  </si>
  <si>
    <t>Acrivastine</t>
  </si>
  <si>
    <t>HMDB0240231</t>
  </si>
  <si>
    <t>87848-99-5</t>
  </si>
  <si>
    <t>[H]\C(CN1CCCC1)=C(\C1=CC=C(C)C=C1)C1=CC=CC(=N1)C(\[H])=C(/[H])C(O)=O</t>
  </si>
  <si>
    <t>PWACSDKDOHSSQD-IUTFFREVSA-N</t>
  </si>
  <si>
    <t>C22H24N2O2</t>
  </si>
  <si>
    <t>13.46_1047.5182m/z</t>
  </si>
  <si>
    <t>Avenacin B2</t>
  </si>
  <si>
    <t>HMDB0303400</t>
  </si>
  <si>
    <t>CC1(C)C(CCC2(C)C1CCC1(C)C2CC2OC22C1(C)CCC1(C)CC(OC(=O)C3=CC=CC=C3)C(C)(CC21O)C=O)OC1OCC(OC2OC(CO)C(O)C(O)C2O)C(O)C1OC1OC(CO)C(O)C(O)C1O</t>
  </si>
  <si>
    <t>QITTXHVWIJZEEV-UHFFFAOYSA-N</t>
  </si>
  <si>
    <t>C54H80O20</t>
  </si>
  <si>
    <t>9.35_715.2723m/z</t>
  </si>
  <si>
    <t>Arctignan D</t>
  </si>
  <si>
    <t>HMDB0302300</t>
  </si>
  <si>
    <t>COC1=CC(CC2C(CC3=CC(C(CO)C(O)C4=CC=C(O)C(OC)=C4)=C(O)C(OC)=C3)COC2=O)=CC2=C1OC(C2CO)C1=CC=C(O)C(OC)=C1</t>
  </si>
  <si>
    <t>YUHXLTKARLJXBV-UHFFFAOYSA-N</t>
  </si>
  <si>
    <t>C40H44O13</t>
  </si>
  <si>
    <t>12.16_281.1745m/z</t>
  </si>
  <si>
    <t>Tetranor-Pgd1</t>
  </si>
  <si>
    <t>LMFA03010215</t>
  </si>
  <si>
    <t>[C@H]1(/C=C/[C@@H](O)CCCCC)C(=O)C[C@H](O)[C@@H]1CCC(=O)O</t>
  </si>
  <si>
    <t>WWXNENYSZDYEHL-GLANRUKVSA-N</t>
  </si>
  <si>
    <t>5.23_487.2100m/z</t>
  </si>
  <si>
    <t>1alpha,25-Dihydroxy-26,26,26,27,27,27-Hexafluoro-16,17,23,23,24,24-Hexadehydro-19-Norvitamin D3</t>
  </si>
  <si>
    <t>LMST03020545</t>
  </si>
  <si>
    <t>[C@@H]1(O)C/C(=C\C=C2\[C@]3([H])CC=C([C@@](C)([H])CC#CC(O)(C(F)(F)F)C(F)(F)F)[C@@]3(C)CCC\2)/C[C@@H](O)C1</t>
  </si>
  <si>
    <t>NMTKDFODVOFVPG-WGNVYDHVSA-N</t>
  </si>
  <si>
    <t>C26H32F6O3</t>
  </si>
  <si>
    <t>6.29_572.2346m/z</t>
  </si>
  <si>
    <t>Hygromycin B</t>
  </si>
  <si>
    <t>C01925</t>
  </si>
  <si>
    <t>31282-04-9</t>
  </si>
  <si>
    <t>CNC1CC(C(C(C1O)OC2C3C(C(C(O2)CO)O)OC4(O3)C(C(C(C(O4)C(CO)N)O)O)O)O)N</t>
  </si>
  <si>
    <t>GRRNUXAQVGOGFE-HUCHGKBZSA-N</t>
  </si>
  <si>
    <t>C20H37N3O13</t>
  </si>
  <si>
    <t>4.06_458.1420n</t>
  </si>
  <si>
    <t>7-Hydroxy-4-Methylphthalide O-[Arabinosyl-(1-&gt;6)-Glucoside]</t>
  </si>
  <si>
    <t>HMDB0041336</t>
  </si>
  <si>
    <t>170473-74-2</t>
  </si>
  <si>
    <t>CC1=C2COC(=O)C2=C(OC2OC(COC3OCC(O)C(O)C3O)C(O)C(O)C2O)C=C1</t>
  </si>
  <si>
    <t>QSTWATBAAMDBSL-UHFFFAOYSA-N</t>
  </si>
  <si>
    <t>8.77_308.1986n</t>
  </si>
  <si>
    <t>Corchorifatty Acid A</t>
  </si>
  <si>
    <t>HMDB0032664</t>
  </si>
  <si>
    <t>CCC(=O)\C=C\C=C\C=C\C(O)CCCCCCCC(O)=O</t>
  </si>
  <si>
    <t>FCCFXOHVERVHQR-KDXRDGMUSA-N</t>
  </si>
  <si>
    <t>5.23_427.1972m/z</t>
  </si>
  <si>
    <t>Tetramethylchromanol Glucoside</t>
  </si>
  <si>
    <t>HMDB0258916</t>
  </si>
  <si>
    <t>CC1=C(O)C(C)=C2CCC(C)(CC3OC(CO)C(O)C(O)C3O)OC2=C1C</t>
  </si>
  <si>
    <t>GFTUVGXUYWIPMI-UHFFFAOYSA-N</t>
  </si>
  <si>
    <t>C20H30O7</t>
  </si>
  <si>
    <t>5.46_676.3702m/z</t>
  </si>
  <si>
    <t>24s-Hydroxycholesterol 3-Sulfate, 24-D-Glucuronide</t>
  </si>
  <si>
    <t>LMST05010068</t>
  </si>
  <si>
    <t>[C@]12([C@]([H])(CC[C@]3(C)[C@@]([H])([C@@H](CC[C@H](O[C@H]4[C@H](O)[C@@H](O)[C@H](O)[C@@H](C(=O)O)O4)C(C)C)C)CC[C@@]13[H])[C@@]1(C)CC[C@@H](CC1=CC2)OS(O)(=O)=O)[H]</t>
  </si>
  <si>
    <t>RMEKFAACNREZBO-VECYOLTKSA-N</t>
  </si>
  <si>
    <t>C33H54O11S</t>
  </si>
  <si>
    <t>5.77_649.3340m/z</t>
  </si>
  <si>
    <t>PA(8:0/6 keto-PGF1alpha)</t>
  </si>
  <si>
    <t>HMDB0266615</t>
  </si>
  <si>
    <t>CCCCCCCC(=O)OC[C@H](COP(O)(O)=O)OC(=O)CCCCC(=O)C[C@H]1[C@@H](O)C[C@@H](O)[C@@H]1\C=C\[C@@H](O)CCCCC</t>
  </si>
  <si>
    <t>DQHNVQUBFOEWDS-SYEOAWHHSA-N</t>
  </si>
  <si>
    <t>C31H55O12P</t>
  </si>
  <si>
    <t>12.18_837.3726m/z</t>
  </si>
  <si>
    <t>Dapta</t>
  </si>
  <si>
    <t>HMDB0250865</t>
  </si>
  <si>
    <t>CC(O)C(NC(=O)C(CC1=CC=C(O)C=C1)NC(=O)C(CC(N)=O)NC(=O)C(NC(=O)C(NC(=O)C(NC(=O)C(CO)NC(=O)C(C)N)C(C)O)C(C)O)C(C)O)C(N)=O</t>
  </si>
  <si>
    <t>AKWRNBWMGFUAMF-UHFFFAOYSA-N</t>
  </si>
  <si>
    <t>C35H56N10O15</t>
  </si>
  <si>
    <t>9.75_1006.5724m/z</t>
  </si>
  <si>
    <t>Trihexosylceramide (d18:1/12:0)</t>
  </si>
  <si>
    <t>HMDB0004877</t>
  </si>
  <si>
    <t>C04737</t>
  </si>
  <si>
    <t>ko05131</t>
  </si>
  <si>
    <t>Shigellosis</t>
  </si>
  <si>
    <t>CCCCCCCCCCCCC\C=C\[C@@H](O)[C@H](CO[C@@H]1O[C@H](CO)[C@@H](O[C@@H]2O[C@H](CO)[C@H](O[C@H]3O[C@H](CO)[C@H](O)[C@H](O)[C@H]3O)[C@H](O)[C@H]2O)[C@H](O)[C@H]1O)NC(=O)CCCCCCCCCCC</t>
  </si>
  <si>
    <t>HJVQASFQICDJJP-GJXDXCKOSA-N</t>
  </si>
  <si>
    <t>C48H89NO18</t>
  </si>
  <si>
    <t>6.66_373.1636m/z</t>
  </si>
  <si>
    <t>3,17-Dihydroxy-5,9-Dioxo-4,5-9,10-Diseco-Androsta-1(10),2-Dien-4-Oic Acid</t>
  </si>
  <si>
    <t>LMST02020117</t>
  </si>
  <si>
    <t>C(=C(/C)\C(=O)CC[C@@]1([H])[C@]2([H])CC[C@H](O)[C@@]2(C)CCC1=O)\C=C(/C(O)=O)\O</t>
  </si>
  <si>
    <t>VFZJOUAHKAQPBP-VQFZKUMASA-N</t>
  </si>
  <si>
    <t>C19H26O6</t>
  </si>
  <si>
    <t>9.86_1139.5418m/z</t>
  </si>
  <si>
    <t>Ethyl4-Ethoxy-6-Methylnicotinate</t>
  </si>
  <si>
    <t>HMDB0258441</t>
  </si>
  <si>
    <t>CCC(C)C(NC(=O)C(CCC(N)=O)NC(=O)C1CCCN1C(=O)C(CCCN=C(N)N)NC(=O)C1CCCN1C(=O)C(CC1=CNC2=CC=CC=C12)NC(=O)C1CCC(=O)N1)C(=O)N1CCCC1C(=O)N1CCCC1C(O)=O</t>
  </si>
  <si>
    <t>UUUHXMGGBIUAPW-UHFFFAOYSA-N</t>
  </si>
  <si>
    <t>C53H76N14O12</t>
  </si>
  <si>
    <t>8.80_432.2378m/z</t>
  </si>
  <si>
    <t>Clausarinol</t>
  </si>
  <si>
    <t>HMDB0041407</t>
  </si>
  <si>
    <t>CC(C)(C=C)C1=CC2=C(O)C3=C(OC(C)(C)C(O)C3O)C(=C2OC1=O)C(C)(C)C=C</t>
  </si>
  <si>
    <t>AMSRLBLJHNYGNW-UHFFFAOYSA-N</t>
  </si>
  <si>
    <t>4.63_449.1823m/z</t>
  </si>
  <si>
    <t>Furomammea D</t>
  </si>
  <si>
    <t>HMDB0033708</t>
  </si>
  <si>
    <t>CCCC1=CC(=O)OC2=C(C(=O)CC(C)C)C(O)=C3CC(OC3=C12)C(C)(C)OO</t>
  </si>
  <si>
    <t>KTMGXZPJSXTUNM-UHFFFAOYSA-N</t>
  </si>
  <si>
    <t>9.31_1108.5627m/z</t>
  </si>
  <si>
    <t>CDP-DG(22:3(10Z,13Z,16Z)/20:4(6Z,8E,10E,14Z)-2OH(5S,12R))</t>
  </si>
  <si>
    <t>HMDB0292359</t>
  </si>
  <si>
    <t>[H][C@@](COC(=O)CCCCCCCC\C=C/C\C=C/C\C=C/CCCCCC)(COP(O)(=O)OP(O)(=O)OC[C@H]1O[C@H]([C@H](O)[C@@H]1O)N1C=CC(N)=NC1=O)OC(=O)CCC[C@@H](O)\C=C/C=C/C=C/[C@@H](O)C\C=C/CCCCC</t>
  </si>
  <si>
    <t>PILJJAJHUAZPOR-KSPHSHTRSA-N</t>
  </si>
  <si>
    <t>C55H89N3O17P2</t>
  </si>
  <si>
    <t>0.96_209.0215m/z</t>
  </si>
  <si>
    <t>Mevalonate-P</t>
  </si>
  <si>
    <t>HMDB0001343</t>
  </si>
  <si>
    <t>LMFA01050415</t>
  </si>
  <si>
    <t>C01107</t>
  </si>
  <si>
    <t>73566-35-5</t>
  </si>
  <si>
    <t>C(C[C@](C)(O)CCOP(O)(=O)O)(=O)O</t>
  </si>
  <si>
    <t>OKZYCXHTTZZYSK-ZCFIWIBFSA-N</t>
  </si>
  <si>
    <t>C6H13O7P</t>
  </si>
  <si>
    <t>8.93_609.2681m/z</t>
  </si>
  <si>
    <t>Pkhdia-Pa</t>
  </si>
  <si>
    <t>LMGP20070012</t>
  </si>
  <si>
    <t>[C@](COP(=O)(O)O)([H])(OC(CCC(=O)/C=C/C(=O)O)=O)COC(CCCCCCCCCCCCCCC)=O</t>
  </si>
  <si>
    <t>UPUOTNABCHAZDY-YJCCFKNTSA-N</t>
  </si>
  <si>
    <t>C26H45O11P</t>
  </si>
  <si>
    <t>4.65_619.2391m/z</t>
  </si>
  <si>
    <t>Pentaporphyrin I</t>
  </si>
  <si>
    <t>HMDB0000839</t>
  </si>
  <si>
    <t>3019-51-0</t>
  </si>
  <si>
    <t>N1C2=CC=C1\C=C1\C=CC(\C=C3\C=CC(\C=C4/N\C(\C=C4)=C/2)=N3)=N1</t>
  </si>
  <si>
    <t>JZRYQZJSTWVBBD-CEVVSZFKSA-N</t>
  </si>
  <si>
    <t>C20H14N4</t>
  </si>
  <si>
    <t>7.49_651.2468m/z</t>
  </si>
  <si>
    <t>Scriptaid</t>
  </si>
  <si>
    <t>287383-59-9</t>
  </si>
  <si>
    <t>C1=CC2=C3C(=C1)C(=O)N(C(=O)C3=CC=C2)CCCCCC(=O)NO</t>
  </si>
  <si>
    <t>JTDYUFSDZATMKU-UHFFFAOYSA-N</t>
  </si>
  <si>
    <t>C18H18N2O4</t>
  </si>
  <si>
    <t>6.46_410.1729n</t>
  </si>
  <si>
    <t>Cowaxanthone</t>
  </si>
  <si>
    <t>HMDB0304610</t>
  </si>
  <si>
    <t>COC1=C(O)C=C2OC3=C(C(O)=C(C\C=C(/C)CCC=C(C)C)C(O)=C3)C(=O)C2=C1</t>
  </si>
  <si>
    <t>VEGUCVDYIMCIAZ-RIYZIHGNSA-N</t>
  </si>
  <si>
    <t>10.38_198.0171m/z</t>
  </si>
  <si>
    <t>Potassium Salts Of Fatty Acids</t>
  </si>
  <si>
    <t>HMDB0303283</t>
  </si>
  <si>
    <t>FC1=C(F)C(=O)C(F)=C(F)C1=O</t>
  </si>
  <si>
    <t>JKLYZOGJWVAIQS-UHFFFAOYSA-N</t>
  </si>
  <si>
    <t>C6F4O2</t>
  </si>
  <si>
    <t>0.80_416.1095n</t>
  </si>
  <si>
    <t>Trovafloxacin</t>
  </si>
  <si>
    <t>HMDB0014823</t>
  </si>
  <si>
    <t>C07664</t>
  </si>
  <si>
    <t>147059-72-1</t>
  </si>
  <si>
    <t>[H][C@@]12CN(C[C@]1([H])C2N)C1=C(F)C=C2C(=O)C(=CN(C3=C(F)C=C(F)C=C3)C2=N1)C(O)=O</t>
  </si>
  <si>
    <t>WVPSKSLAZQPAKQ-SOSAQKQKSA-N</t>
  </si>
  <si>
    <t>C20H15F3N4O3</t>
  </si>
  <si>
    <t>3.64_481.1714m/z</t>
  </si>
  <si>
    <t>Rolapitant</t>
  </si>
  <si>
    <t>HMDB0257293</t>
  </si>
  <si>
    <t>CC(OCC1(CCC2(CCC(=O)N2)CN1)C1=CC=CC=C1)C1=CC(=CC(=C1)C(F)(F)F)C(F)(F)F</t>
  </si>
  <si>
    <t>FIVSJYGQAIEMOC-UHFFFAOYSA-N</t>
  </si>
  <si>
    <t>C25H26F6N2O2</t>
  </si>
  <si>
    <t>10.20_505.2571m/z</t>
  </si>
  <si>
    <t>PA(20:3(8Z,11Z,14Z)/0:0)</t>
  </si>
  <si>
    <t>HMDB0062313</t>
  </si>
  <si>
    <t>LMGP10050028</t>
  </si>
  <si>
    <t>[C@](COP(=O)(O)O)([H])(O)COC(CCCCCC/C=C\C/C=C\C/C=C\CCCCC)=O</t>
  </si>
  <si>
    <t>LZSKMXWVALYCLG-CSLWLMPESA-N</t>
  </si>
  <si>
    <t>C23H41O7P</t>
  </si>
  <si>
    <t>2.20_198.0529n</t>
  </si>
  <si>
    <t>Syringic Acid</t>
  </si>
  <si>
    <t>HMDB0002085</t>
  </si>
  <si>
    <t>C10833</t>
  </si>
  <si>
    <t>530-57-4</t>
  </si>
  <si>
    <t>COC1=CC(=CC(OC)=C1O)C(O)=O</t>
  </si>
  <si>
    <t>JMSVCTWVEWCHDZ-UHFFFAOYSA-N</t>
  </si>
  <si>
    <t>C9H10O5</t>
  </si>
  <si>
    <t>11.75_337.2733m/z</t>
  </si>
  <si>
    <t>MG(18:2(9Z,12Z)/0:0/0:0)</t>
  </si>
  <si>
    <t>HMDB0011568</t>
  </si>
  <si>
    <t>67968-46-1</t>
  </si>
  <si>
    <t>[H][C@](O)(CO)COC(=O)CCCCCCC\C=C/C\C=C/CCCCC</t>
  </si>
  <si>
    <t>WECGLUPZRHILCT-GSNKCQISSA-N</t>
  </si>
  <si>
    <t>4.40_403.1606m/z</t>
  </si>
  <si>
    <t>Xemilofiban</t>
  </si>
  <si>
    <t>HMDB0259927</t>
  </si>
  <si>
    <t>CCOC(=O)CC(NC(=O)CCC(=O)NC1=CC=C(C=C1)C(N)=N)C#C</t>
  </si>
  <si>
    <t>ZHCINJQZDFCSEL-UHFFFAOYSA-N</t>
  </si>
  <si>
    <t>C18H22N4O4</t>
  </si>
  <si>
    <t>5.23_277.0716m/z</t>
  </si>
  <si>
    <t>Cassiachromone</t>
  </si>
  <si>
    <t>HMDB0030813</t>
  </si>
  <si>
    <t>28955-30-8</t>
  </si>
  <si>
    <t>CC(=O)CC1=CC(O)=CC2=C1C(=O)C=C(C)O2</t>
  </si>
  <si>
    <t>YMCXDPKFRCHLPK-UHFFFAOYSA-N</t>
  </si>
  <si>
    <t>5.59_180.1020m/z</t>
  </si>
  <si>
    <t>Safrole</t>
  </si>
  <si>
    <t>HMDB0033591</t>
  </si>
  <si>
    <t>C10490</t>
  </si>
  <si>
    <t>94-59-7</t>
  </si>
  <si>
    <t>C=CCC1=CC2=C(OCO2)C=C1</t>
  </si>
  <si>
    <t>ZMQAAUBTXCXRIC-UHFFFAOYSA-N</t>
  </si>
  <si>
    <t>C10H10O2</t>
  </si>
  <si>
    <t>0.75_194.1386m/z</t>
  </si>
  <si>
    <t>Cladinose</t>
  </si>
  <si>
    <t>HMDB0250311</t>
  </si>
  <si>
    <t>COC(C)(CC=O)C(O)C(C)O</t>
  </si>
  <si>
    <t>AJSDVNKVGFVAQU-UHFFFAOYSA-N</t>
  </si>
  <si>
    <t>C8H16O4</t>
  </si>
  <si>
    <t>11.14_228.2321m/z</t>
  </si>
  <si>
    <t>Myristamide</t>
  </si>
  <si>
    <t>LMFA01100064</t>
  </si>
  <si>
    <t>O=C(CCCCCCCCCCCCC)N</t>
  </si>
  <si>
    <t>QEALYLRSRQDCRA-UHFFFAOYSA-N</t>
  </si>
  <si>
    <t>C14H29NO</t>
  </si>
  <si>
    <t>9.62_1061.3008m/z</t>
  </si>
  <si>
    <t>Neoacrimarine F</t>
  </si>
  <si>
    <t>HMDB0031112</t>
  </si>
  <si>
    <t>195057-36-4</t>
  </si>
  <si>
    <t>COC1=CC2=C(C(O)=C1)C(=O)C1=C(N2C)C(OC2C(O)C(C)(C)OC3=C2C2=C(C=CC(=O)O2)C=C3)=C(O)C=C1</t>
  </si>
  <si>
    <t>VMABFFUJXPHEJX-UHFFFAOYSA-N</t>
  </si>
  <si>
    <t>C29H25NO9</t>
  </si>
  <si>
    <t>4.44_431.1569m/z</t>
  </si>
  <si>
    <t>Diffusoside B</t>
  </si>
  <si>
    <t>LMPR0102070053</t>
  </si>
  <si>
    <t>C1(C(=O)OC)[C@@]2([H])[C@H](OCC)C=C(CO)[C@@]2([H])[C@H](O[C@H]2[C@H](O)[C@@H](O)[C@H](O)[C@@H](CO)O2)OC=1</t>
  </si>
  <si>
    <t>WGNXATPUZSSFNF-XYRJWDFLSA-N</t>
  </si>
  <si>
    <t>C19H28O11</t>
  </si>
  <si>
    <t>9.97_533.2965m/z</t>
  </si>
  <si>
    <t>MGMG(16:2(7Z,10Z)/0:0)</t>
  </si>
  <si>
    <t>LMGL04010008</t>
  </si>
  <si>
    <t>O([C@H]1[C@H](O)[C@@H](O)[C@@H](O)[C@@H](CO)O1)C[C@@](O)([H])COC(CCCCC/C=C\C/C=C\CCCCC)=O</t>
  </si>
  <si>
    <t>JKTGDOGAVPBQDI-NQNUALNFSA-N</t>
  </si>
  <si>
    <t>C25H44O9</t>
  </si>
  <si>
    <t>4.13_735.0917m/z</t>
  </si>
  <si>
    <t>Bis(3',5')-Cyclic Diguanylic Acid</t>
  </si>
  <si>
    <t>HMDB0249251</t>
  </si>
  <si>
    <t>NC1=NC2=C(N=CN2C2OC3COP(O)(=O)OC4C(COP(O)(=O)OC3C2O)OC(C4O)N2C=NC3=C2N=C(N)NC3=O)C(=O)N1</t>
  </si>
  <si>
    <t>PKFDLKSEZWEFGL-UHFFFAOYSA-N</t>
  </si>
  <si>
    <t>(3'-&gt;5')-dinucleotides and analogues</t>
  </si>
  <si>
    <t>(3'-&gt;5')-cyclic dinucleotides and analogues</t>
  </si>
  <si>
    <t>C20H24N10O14P2</t>
  </si>
  <si>
    <t>1.06_291.0953n</t>
  </si>
  <si>
    <t>2-Deoxy-2,3-Dehydro-N-Acetyl-Neuraminic Acid</t>
  </si>
  <si>
    <t>HMDB0245680</t>
  </si>
  <si>
    <t>CC(=O)NC1C(O)C=C(OC1C(O)C(O)CO)C(O)=O</t>
  </si>
  <si>
    <t>JINJZWSZQKHCIP-UHFFFAOYSA-N</t>
  </si>
  <si>
    <t>C11H17NO8</t>
  </si>
  <si>
    <t>6.25_605.2593m/z</t>
  </si>
  <si>
    <t>Drimianin D</t>
  </si>
  <si>
    <t>LMST01130059</t>
  </si>
  <si>
    <t>C1[C@@]2(C)C(CC[C@]3([H])[C@]2([H])C(=O)C[C@@]2(C)[C@]3(O)CC[C@]2([H])C2C=CC(=O)OC=2)=C[C@@H](O[C@H]2[C@H](O)[C@@H](O)[C@H](O)[C@@H](CO)O2)C1</t>
  </si>
  <si>
    <t>BJYSJPFYGKJQKG-UMUKGESXSA-N</t>
  </si>
  <si>
    <t>C30H40O10</t>
  </si>
  <si>
    <t>9.96_362.1477m/z</t>
  </si>
  <si>
    <t>2,5-Dimethyl-1,5-Hexadiene-3,4-Diol</t>
  </si>
  <si>
    <t>1031361</t>
  </si>
  <si>
    <t>CC(=C)C(C(C(=C)C)O)O</t>
  </si>
  <si>
    <t>DXPGGBHPAUGULX-UHFFFAOYSA-N</t>
  </si>
  <si>
    <t>C19H21N3O3</t>
  </si>
  <si>
    <t>2.60_143.0338m/z</t>
  </si>
  <si>
    <t>5-Hydroxy-4-Methoxy-5,6-Dihydro-2h-Pyran-2-One</t>
  </si>
  <si>
    <t>COC1=CC(=O)OCC1O</t>
  </si>
  <si>
    <t>PBEXSRJMCVDBFK-UHFFFAOYSA-N</t>
  </si>
  <si>
    <t>Pyranones and derivatives</t>
  </si>
  <si>
    <t>C6H8O4</t>
  </si>
  <si>
    <t>11.31_941.5315m/z</t>
  </si>
  <si>
    <t>PGP(a-21:0/22:6(5Z,7Z,10Z,13Z,16Z,19Z)-OH(4))</t>
  </si>
  <si>
    <t>HMDB0274653</t>
  </si>
  <si>
    <t>[H][C@](O)(COP(O)(O)=O)COP(O)(=O)OC[C@@]([H])(COC(=O)CCCCCCCCCCCCCCCCC(C)CC)OC(=O)CCC(O)\C=C/C=C\C\C=C/C\C=C/C\C=C/C\C=C/CC</t>
  </si>
  <si>
    <t>YPTJTNQXHLEWDR-PIFVRLOQSA-N</t>
  </si>
  <si>
    <t>C49H86O14P2</t>
  </si>
  <si>
    <t>4.57_298.1423n</t>
  </si>
  <si>
    <t>Toxin T2 Tetrol</t>
  </si>
  <si>
    <t>HMDB0036159</t>
  </si>
  <si>
    <t>34114-99-3</t>
  </si>
  <si>
    <t>CC1=CC2OC3C(O)C(O)C(C)(C33CO3)C2(CO)CC1O</t>
  </si>
  <si>
    <t>ZAXZBJSXSOISTF-UHFFFAOYSA-N</t>
  </si>
  <si>
    <t>C15H22O6</t>
  </si>
  <si>
    <t>5.17_347.1106m/z</t>
  </si>
  <si>
    <t>2,3 Dinor 15-Epi-15-F2t Isop</t>
  </si>
  <si>
    <t>CCCCCC(C=CC1C(CC(C1CC=CCC(=O)O)O)O)O</t>
  </si>
  <si>
    <t>IDKLJIUIJUVJNR-WHLNSVFBSA-N</t>
  </si>
  <si>
    <t>C18H20O7</t>
  </si>
  <si>
    <t>5.70_786.4481m/z</t>
  </si>
  <si>
    <t>PE-NMe(14:1(9Z)/22:6(4Z,7Z,10Z,13Z,16Z,19Z))</t>
  </si>
  <si>
    <t>HMDB0113015</t>
  </si>
  <si>
    <t>[H]C(COC(=O)CCCCCCC\C=C/CCCC)(COP(O)(=O)OCCNC)OC(=O)CC\C=C/C\C=C/C\C=C/C\C=C/C\C=C/C\C=C/CC</t>
  </si>
  <si>
    <t>PMTKSVLFITYPNJ-OIUVYQTBSA-N</t>
  </si>
  <si>
    <t>C42H70NO8P</t>
  </si>
  <si>
    <t>4.11_756.2107n</t>
  </si>
  <si>
    <t>Kaempferol 3-Gentiobioside 7-Rhamnoside</t>
  </si>
  <si>
    <t>HMDB0034396</t>
  </si>
  <si>
    <t>173740-43-7</t>
  </si>
  <si>
    <t>CC1OC(OC2=CC(O)=C3C(=O)C(OC4OC(COC5OC(CO)C(O)C(O)C5O)C(O)C(O)C4O)=C(OC3=C2)C2=CC=C(O)C=C2)C(O)C(O)C1O</t>
  </si>
  <si>
    <t>QFSDWLPMRWDFID-UHFFFAOYSA-N</t>
  </si>
  <si>
    <t>C33H40O20</t>
  </si>
  <si>
    <t>3.69_669.2029m/z</t>
  </si>
  <si>
    <t>Acteoside</t>
  </si>
  <si>
    <t>HMDB0034843</t>
  </si>
  <si>
    <t>C10501</t>
  </si>
  <si>
    <t>61276-17-3</t>
  </si>
  <si>
    <t>CC1OC(OC2C(O)C(OCCC3=CC(O)=C(O)C=C3)OC(CO)C2OC(=O)\C=C\C2=CC(O)=C(O)C=C2)C(O)C(O)C1O</t>
  </si>
  <si>
    <t>FBSKJMQYURKNSU-QPJJXVBHSA-N</t>
  </si>
  <si>
    <t>9.41_532.2699m/z</t>
  </si>
  <si>
    <t>Telmisartan</t>
  </si>
  <si>
    <t>HMDB0015101</t>
  </si>
  <si>
    <t>C07710</t>
  </si>
  <si>
    <t>144701-48-4</t>
  </si>
  <si>
    <t>CCCC1=NC2=C(C=C(C=C2C)C2=NC3=CC=CC=C3N2C)N1CC1=CC=C(C=C1)C1=CC=CC=C1C(O)=O</t>
  </si>
  <si>
    <t>RMMXLENWKUUMAY-UHFFFAOYSA-N</t>
  </si>
  <si>
    <t>C33H30N4O2</t>
  </si>
  <si>
    <t>4.16_486.2151m/z</t>
  </si>
  <si>
    <t>N-(4-Acetylphenyl)-2-[4-(2,6-Dioxo-1,3-Dipropyl-7h-Purin-8-Yl)Phenoxy]Acetamide</t>
  </si>
  <si>
    <t>HMDB0254926</t>
  </si>
  <si>
    <t>CCCN1C2=C(NC(=N2)C2=CC=C(OCC(=O)NC3=CC=C(C=C3)C(C)=O)C=C2)C(=O)N(CCC)C1=O</t>
  </si>
  <si>
    <t>ZKUCFFYOQOJLGT-UHFFFAOYSA-N</t>
  </si>
  <si>
    <t>C27H29N5O5</t>
  </si>
  <si>
    <t>3.84_784.1500m/z</t>
  </si>
  <si>
    <t>Fad</t>
  </si>
  <si>
    <t>HMDB0001248</t>
  </si>
  <si>
    <t>C00016</t>
  </si>
  <si>
    <t>ko00740,ko04977</t>
  </si>
  <si>
    <t>Riboflavin metabolism|Vitamin digestion and absorption</t>
  </si>
  <si>
    <t>146-14-5</t>
  </si>
  <si>
    <t>CC1=CC2=C(C=C1C)N(C[C@H](O)[C@H](O)[C@H](O)COP(O)(=O)OP(O)(=O)OC[C@H]1O[C@H]([C@H](O)[C@@H]1O)N1C=NC3=C1N=CN=C3N)C1=NC(=O)NC(=O)C1=N2</t>
  </si>
  <si>
    <t>VWWQXMAJTJZDQX-UYBVJOGSSA-N</t>
  </si>
  <si>
    <t>C27H33N9O15P2</t>
  </si>
  <si>
    <t>6.38_469.2944m/z</t>
  </si>
  <si>
    <t>Sorbitan Stearate</t>
  </si>
  <si>
    <t>HMDB0029888</t>
  </si>
  <si>
    <t>LMFA07011020</t>
  </si>
  <si>
    <t>1338-41-6</t>
  </si>
  <si>
    <t>O(C(CCCCCCCCCCCCCCCCC)=O)CC(C1OCC(O)C1O)O</t>
  </si>
  <si>
    <t>HVUMOYIDDBPOLL-UHFFFAOYSA-N</t>
  </si>
  <si>
    <t>C24H46O6</t>
  </si>
  <si>
    <t>3.41_958.2033m/z</t>
  </si>
  <si>
    <t>Monardaein</t>
  </si>
  <si>
    <t>HMDB0034147</t>
  </si>
  <si>
    <t>C08723</t>
  </si>
  <si>
    <t>73545-87-6</t>
  </si>
  <si>
    <t>OC1C(COC(=O)\C=C/C2=CC=C(O)C=C2)OC(OC2=CC3=C(OC4OC(COC(=O)CC(O)=O)C(OC(=O)CC(O)=O)C(O)C4O)C=C(O)C=C3[O+]=C2C2=CC=C(O)C=C2)C(O)C1O</t>
  </si>
  <si>
    <t>HOQNHEQPPFYHLF-UHFFFAOYSA-O</t>
  </si>
  <si>
    <t>C42H41O23+</t>
  </si>
  <si>
    <t>4.12_443.1600m/z</t>
  </si>
  <si>
    <t>Benzenesulfonamide, 2-(Cyclohexylamino)-N-(((1,1-Dimethylethyl)Amino)Carbonyl)-5-Nitro-</t>
  </si>
  <si>
    <t>HMDB0249303</t>
  </si>
  <si>
    <t>CC(C)(C)NC(=O)NS(=O)(=O)C1=C(NC2CCCCC2)C=CC(=C1)[N+]([O-])=O</t>
  </si>
  <si>
    <t>LBAPYVMLNHDSLS-UHFFFAOYSA-N</t>
  </si>
  <si>
    <t>C17H26N4O5S</t>
  </si>
  <si>
    <t>10.51_431.2199m/z</t>
  </si>
  <si>
    <t>PA(18:3(6Z,9Z,12Z)/0:0)</t>
  </si>
  <si>
    <t>HMDB0062316</t>
  </si>
  <si>
    <t>LMGP10050023</t>
  </si>
  <si>
    <t>[C@](COP(=O)(O)O)([H])(O)COC(CCCC/C=C\C/C=C\C/C=C\CCCCC)=O</t>
  </si>
  <si>
    <t>KWFUSJZUJLGPTO-ZJVPVJIZSA-N</t>
  </si>
  <si>
    <t>9.88_345.2059m/z</t>
  </si>
  <si>
    <t>Poststerone</t>
  </si>
  <si>
    <t>LMST02030165</t>
  </si>
  <si>
    <t>C08837</t>
  </si>
  <si>
    <t>C1[C@@]2(C)[C@]([H])(C(=O)C=C3[C@]2([H])CC[C@]2(C)[C@@]([H])(C(=O)C)CC[C@@]32O)C[C@@H](O)[C@H]1O</t>
  </si>
  <si>
    <t>VNLQNGYIXVTQRR-NQPIQAHSSA-N</t>
  </si>
  <si>
    <t>4.36_779.3852m/z</t>
  </si>
  <si>
    <t>25-O-Desacetyl Rifabutin</t>
  </si>
  <si>
    <t>HMDB0060732</t>
  </si>
  <si>
    <t>CO[C@H]1\C=C/O[C@@]2(C)OC3=C(C2=O)C2=C(C(O)=C3C)C(O)=C(N=C(O)\C(C)=C/C=C\[C@H](C)[C@H](O)[C@@H](C)[C@@H](O)[C@@H](C)[C@H](O)[C@H]1C)C(C=NN1CCN(C)CC1)=C2O</t>
  </si>
  <si>
    <t>KUJZTIJOBQNKDR-WINKZEBYSA-N</t>
  </si>
  <si>
    <t>C41H56N4O11</t>
  </si>
  <si>
    <t>3.93_915.2556m/z</t>
  </si>
  <si>
    <t>1,2,2'-Triferuloylgentiobiose</t>
  </si>
  <si>
    <t>HMDB0301722</t>
  </si>
  <si>
    <t>COC1=CC(\C=C\C(=O)O[C@@H]2O[C@H](CO[C@@H]3O[C@H](CO)[C@@H](O)[C@H](O)[C@H]3OC(=O)\C=C\C3=CC=C(O)C(OC)=C3)[C@@H](O)[C@H](O)[C@H]2OC(=O)\C=C\C2=CC=C(O)C(OC)=C2)=CC=C1O</t>
  </si>
  <si>
    <t>KHUQBGCNTVZZRF-BQCRRWLHSA-N</t>
  </si>
  <si>
    <t>C42H46O20</t>
  </si>
  <si>
    <t>4.55_914.4495n</t>
  </si>
  <si>
    <t>3b-Pregnadienolone 3-[Rhamnosyl-(1-&gt;4)-Rhamnosyl-(1-&gt;4)-Rhamnosyl-(1-&gt;4)-Glucoside]</t>
  </si>
  <si>
    <t>HMDB0038383</t>
  </si>
  <si>
    <t>312304-02-2</t>
  </si>
  <si>
    <t>CC1OC(OC2C(C)OC(OC3C(C)OC(OC4C(CO)OC(OC5CCC6(C)C7CCC8(C)C(CC=C8C(C)=O)C7CC=C6C5)C(O)C4O)C(O)C3O)C(O)C2O)C(O)C(O)C1O</t>
  </si>
  <si>
    <t>SULXAXUGFHTBKQ-UHFFFAOYSA-N</t>
  </si>
  <si>
    <t>C45H70O19</t>
  </si>
  <si>
    <t>5.28_372.1418n</t>
  </si>
  <si>
    <t>Citrusin E</t>
  </si>
  <si>
    <t>HMDB0039234</t>
  </si>
  <si>
    <t>134860-03-0</t>
  </si>
  <si>
    <t>COC(=O)CCC1=CC(OC)=C(OC2OC(CO)C(O)C(O)C2O)C=C1</t>
  </si>
  <si>
    <t>GPJDWVYEUMEYKE-UHFFFAOYSA-N</t>
  </si>
  <si>
    <t>3.86_591.1143m/z</t>
  </si>
  <si>
    <t>Protoleucomelone</t>
  </si>
  <si>
    <t>HMDB0034711</t>
  </si>
  <si>
    <t>112209-51-5</t>
  </si>
  <si>
    <t>CC(=O)OC1=CC=C(C=C1)C1=C(OC(C)=O)C(OC(C)=O)=C2C(OC3=CC(OC(C)=O)=C(OC(C)=O)C=C23)=C1OC(C)=O</t>
  </si>
  <si>
    <t>LSEKLPKUWRDLKY-UHFFFAOYSA-N</t>
  </si>
  <si>
    <t>C30H24O13</t>
  </si>
  <si>
    <t>4.55_339.0524m/z</t>
  </si>
  <si>
    <t>Bissalicyl Fumarate</t>
  </si>
  <si>
    <t>C1=CC=C(C(=C1)C(=O)O)OC(=O)C=CC(=O)OC2=CC=CC=C2C(=O)O</t>
  </si>
  <si>
    <t>DMCJLRGWPYVYCQ-MDZDMXLPSA-N</t>
  </si>
  <si>
    <t>C18H12O8</t>
  </si>
  <si>
    <t>3.81_577.2867m/z</t>
  </si>
  <si>
    <t>Piperidine, 4-(1a,10b-Dihydro-6h-Dibenzo(3,4:6,7)Cyclohept(1,2-B)Oxiren-6-Ylidene)-</t>
  </si>
  <si>
    <t>HMDB0256577</t>
  </si>
  <si>
    <t>C1CC(CCN1)=C1C2=CC=CC=C2C2OC2C2=CC=CC=C12</t>
  </si>
  <si>
    <t>LQCXYBFJXNJNQQ-UHFFFAOYSA-N</t>
  </si>
  <si>
    <t>C20H19NO</t>
  </si>
  <si>
    <t>11.23_627.4614m/z</t>
  </si>
  <si>
    <t>DG(9D3/9D3/0:0)</t>
  </si>
  <si>
    <t>HMDB0116428</t>
  </si>
  <si>
    <t>[H][C@](CO)(COC(=O)CCCCCCCCC1=C(C)C(C)=C(CCC)O1)OC(=O)CCCCCCCCC1=C(C)C(C)=C(CCC)O1</t>
  </si>
  <si>
    <t>UPQVMLHMFBLTRA-XIFFEERXSA-N</t>
  </si>
  <si>
    <t>C39H64O7</t>
  </si>
  <si>
    <t>3.97_603.0903m/z</t>
  </si>
  <si>
    <t>Theaflavin</t>
  </si>
  <si>
    <t>HMDB0005788</t>
  </si>
  <si>
    <t>4670-05-7</t>
  </si>
  <si>
    <t>C1C(C(OC2=CC(=CC(=C21)O)O)C3=CC(=O)C(=C4C(=C3)C=C(C(=C4O)O)C5C(CC6=C(C=C(C=C6O5)O)O)O)O)O</t>
  </si>
  <si>
    <t>MKTFRRIBCBTOKJ-CRFHJIRQSA-N</t>
  </si>
  <si>
    <t>5.12_543.2447m/z</t>
  </si>
  <si>
    <t>Asperitaconic Acid B</t>
  </si>
  <si>
    <t>LMFA01170147</t>
  </si>
  <si>
    <t>[C@H](C(=C)C(O)=O)(C(=O)O)CCCCCCOC(=O)C</t>
  </si>
  <si>
    <t>KGTVAJSWHXHSPP-NSHDSACASA-N</t>
  </si>
  <si>
    <t>C13H20O6</t>
  </si>
  <si>
    <t>2.16_521.1121m/z</t>
  </si>
  <si>
    <t>Aminoparathion</t>
  </si>
  <si>
    <t>HMDB0001504</t>
  </si>
  <si>
    <t>C06605</t>
  </si>
  <si>
    <t>3735-01-1</t>
  </si>
  <si>
    <t>CCOP(=S)(OCC)OC1=CC=C(N)C=C1</t>
  </si>
  <si>
    <t>XIZOTXGJXSTQDI-UHFFFAOYSA-N</t>
  </si>
  <si>
    <t>Organic thiophosphoric acids and derivatives</t>
  </si>
  <si>
    <t>Thiophosphoric acid esters</t>
  </si>
  <si>
    <t>C10H16NO3PS</t>
  </si>
  <si>
    <t>11.37_375.2502m/z</t>
  </si>
  <si>
    <t>Persediene</t>
  </si>
  <si>
    <t>LMFA05000716</t>
  </si>
  <si>
    <t>CC(=O)OC[C@@H](O)CC(=O)CCCCCCCCCCC/C=C/C=C</t>
  </si>
  <si>
    <t>IMNSNWGUJWPUOQ-FNEOHHHZSA-N</t>
  </si>
  <si>
    <t>13.94_749.4773m/z</t>
  </si>
  <si>
    <t>PG(18:3(6Z,9Z,12Z)/18:3(6Z,9Z,12Z))</t>
  </si>
  <si>
    <t>HMDB0010666</t>
  </si>
  <si>
    <t>LMGP04010380</t>
  </si>
  <si>
    <t>[H][C@](O)(CO)COP(OC[C@]([H])(OC(CCCC/C=C\C/C=C\C/C=C\CCCCC)=O)COC(CCCC/C=C\C/C=C\C/C=C\CCCCC)=O)(=O)O</t>
  </si>
  <si>
    <t>CRMBDNVWTUGBMN-FQTJGYFUSA-N</t>
  </si>
  <si>
    <t>C42H71O10P</t>
  </si>
  <si>
    <t>5.95_507.2077m/z</t>
  </si>
  <si>
    <t>6-O-Oleuropeoylsucrose</t>
  </si>
  <si>
    <t>HMDB0038117</t>
  </si>
  <si>
    <t>17651-05-7</t>
  </si>
  <si>
    <t>CC(C)(O)C1CCC(=CC1)C(=O)OC[C@H]1O[C@H](O[C@]2(CO)O[C@H](CO)[C@@H](O)[C@@H]2O)[C@H](O)[C@@H](O)[C@@H]1O</t>
  </si>
  <si>
    <t>NRXDBALRMKOHET-QWENIEMVSA-N</t>
  </si>
  <si>
    <t>C22H36O13</t>
  </si>
  <si>
    <t>5.61_434.2092n</t>
  </si>
  <si>
    <t>Flunisolide</t>
  </si>
  <si>
    <t>HMDB0014326</t>
  </si>
  <si>
    <t>C07005</t>
  </si>
  <si>
    <t>3385-03-3</t>
  </si>
  <si>
    <t>[H][C@@]12C[C@@]3([H])[C@]4([H])C[C@H](F)C5=CC(=O)C=C[C@]5(C)[C@@]4([H])[C@@H](O)C[C@]3(C)[C@@]1(OC(C)(C)O2)C(=O)CO</t>
  </si>
  <si>
    <t>XSFJVAJPIHIPKU-XWCQMRHXSA-N</t>
  </si>
  <si>
    <t>C24H31FO6</t>
  </si>
  <si>
    <t>0.80_437.1627m/z</t>
  </si>
  <si>
    <t>Dolutegravir</t>
  </si>
  <si>
    <t>HMDB0251580</t>
  </si>
  <si>
    <t>CC1CCOC2CN3C=C(C(=O)NCC4=C(F)C=C(F)C=C4)C(=O)C(O)=C3C(=O)N12</t>
  </si>
  <si>
    <t>RHWKPHLQXYSBKR-UHFFFAOYSA-N</t>
  </si>
  <si>
    <t>Pyridinecarboxylic acids and derivatives</t>
  </si>
  <si>
    <t>C20H19F2N3O5</t>
  </si>
  <si>
    <t>5.77_377.1745m/z</t>
  </si>
  <si>
    <t>Lisuride</t>
  </si>
  <si>
    <t>HMDB0014727</t>
  </si>
  <si>
    <t>18016-80-3</t>
  </si>
  <si>
    <t>[H][C@@]12CC3=CNC4=CC=CC(=C34)C1=C[C@@H](CN2C)NC(=O)N(CC)CC</t>
  </si>
  <si>
    <t>BKRGVLQUQGGVSM-KBXCAEBGSA-N</t>
  </si>
  <si>
    <t>C20H26N4O</t>
  </si>
  <si>
    <t>9.16_337.1795m/z</t>
  </si>
  <si>
    <t>Seratrodast</t>
  </si>
  <si>
    <t>HMDB0258244</t>
  </si>
  <si>
    <t>CC1=C(C)C(=O)C(C(CCCCCC(O)=O)C2=CC=CC=C2)=C(C)C1=O</t>
  </si>
  <si>
    <t>ZBVKEHDGYSLCCC-UHFFFAOYSA-N</t>
  </si>
  <si>
    <t>Neoflavonoids</t>
  </si>
  <si>
    <t>Dalbergiones</t>
  </si>
  <si>
    <t>C22H26O4</t>
  </si>
  <si>
    <t>1.50_311.1104m/z</t>
  </si>
  <si>
    <t>Piromidic Acid</t>
  </si>
  <si>
    <t>HMDB0256609</t>
  </si>
  <si>
    <t>19562-30-2</t>
  </si>
  <si>
    <t>CCN1C=C(C(O)=O)C(=O)C2=CN=C(N=C12)N1CCCC1</t>
  </si>
  <si>
    <t>RCIMBBZXSXFZBV-UHFFFAOYSA-N</t>
  </si>
  <si>
    <t>Pyridopyrimidines</t>
  </si>
  <si>
    <t>Pyrido[2,3-d]pyrimidines</t>
  </si>
  <si>
    <t>C14H16N4O3</t>
  </si>
  <si>
    <t>5.49_565.3018m/z</t>
  </si>
  <si>
    <t>Cyasterone</t>
  </si>
  <si>
    <t>HMDB0250618</t>
  </si>
  <si>
    <t>CC1OC(=O)C(C)C1CC(O)C(C)(O)C1CCC2(O)C3=CC(=O)C4CC(O)C(O)CC4(C)C3CCC12C</t>
  </si>
  <si>
    <t>NEFYSBQJYCICOG-UHFFFAOYSA-N</t>
  </si>
  <si>
    <t>9.90_547.3634m/z</t>
  </si>
  <si>
    <t>Hovenidulcigenin B</t>
  </si>
  <si>
    <t>HMDB0041547</t>
  </si>
  <si>
    <t>182173-50-8</t>
  </si>
  <si>
    <t>CC(C(CC1CC(C)C(=O)O1)OC(C)=O)C1CCC2C3(C)CCC(O)C(C)(C)C3CCC2(C)C11COC(=O)C1</t>
  </si>
  <si>
    <t>MXWZRFQGLOGOMW-UHFFFAOYSA-N</t>
  </si>
  <si>
    <t>C32H50O7</t>
  </si>
  <si>
    <t>5.09_436.1158n</t>
  </si>
  <si>
    <t>Epigallocatechin 3-O-Cinnamate</t>
  </si>
  <si>
    <t>HMDB0038831</t>
  </si>
  <si>
    <t>LMPK12020116</t>
  </si>
  <si>
    <t>108907-46-6</t>
  </si>
  <si>
    <t>C1(O)C=C2O[C@H](C3C=C(O)C(O)=C(O)C=3)[C@H](OC(/C=C/C3C=CC=CC=3)=O)CC2=C(O)C=1</t>
  </si>
  <si>
    <t>GQGIIUWXMCBYIJ-UMMIVNDFSA-N</t>
  </si>
  <si>
    <t>3.81_285.0762m/z</t>
  </si>
  <si>
    <t>Linderone</t>
  </si>
  <si>
    <t>LMPK12120437</t>
  </si>
  <si>
    <t>C1(OC)C(=O)/C(=C(/C=C/C2C=CC=CC=2)\O)/C(=O)C=1OC</t>
  </si>
  <si>
    <t>IUTJITCLNLMFAJ-CMDGGOBGSA-N</t>
  </si>
  <si>
    <t>C16H14O5</t>
  </si>
  <si>
    <t>1.13_495.0430m/z</t>
  </si>
  <si>
    <t>Pu-H71</t>
  </si>
  <si>
    <t>1202865-65-3</t>
  </si>
  <si>
    <t>CC(C)NCCCN1C2=NC=NC(=C2N=C1SC3=C(C=C4C(=C3)OCO4)I)N</t>
  </si>
  <si>
    <t>SUPVGFZUWFMATN-UHFFFAOYSA-N</t>
  </si>
  <si>
    <t>C18H21IN6O2S</t>
  </si>
  <si>
    <t>4.49_365.1194m/z</t>
  </si>
  <si>
    <t>D-Fructosazine</t>
  </si>
  <si>
    <t>HMDB0035284</t>
  </si>
  <si>
    <t>13185-73-4</t>
  </si>
  <si>
    <t>OCC(O)C(O)C(O)C1=CN=C(C=N1)C(O)C(O)C(O)CO</t>
  </si>
  <si>
    <t>NPWQIVOYGNUVEB-UHFFFAOYSA-N</t>
  </si>
  <si>
    <t>C12H20N2O8</t>
  </si>
  <si>
    <t>5.18_376.2095n</t>
  </si>
  <si>
    <t>2,3-Di-O-Hexanoyl-Alpha-Glucopyranose</t>
  </si>
  <si>
    <t>LMSL05000001</t>
  </si>
  <si>
    <t>O[C@@H]1[C@H](OC(=O)CCCCC)[C@@H](OC(=O)CCCCC)[C@H](O)[C@@H](CO)O1</t>
  </si>
  <si>
    <t>SLOAWEZLWSROFF-CUWKQTPXSA-N</t>
  </si>
  <si>
    <t>C18H32O8</t>
  </si>
  <si>
    <t>9.86_1103.6617m/z</t>
  </si>
  <si>
    <t>Ganglioside GA2 (d18:1/16:0)</t>
  </si>
  <si>
    <t>HMDB0004890</t>
  </si>
  <si>
    <t>CCCCCCCCCCCCCCCC(=O)N[C@@H](CO[C@@H]1O[C@H](CO)[C@@H](O[C@@H]2O[C@H](CO)[C@H](O[C@@H]3O[C@H](CO)[C@H](O)[C@H](O)[C@H]3NC(C)=O)[C@H](O)[C@H]2O)[C@H](O)C1O)[C@H](O)\C=C\CCCCCCCCCCCCC</t>
  </si>
  <si>
    <t>FYUKXZXCRJNQJV-CITTUYONSA-N</t>
  </si>
  <si>
    <t>C54H100N2O18</t>
  </si>
  <si>
    <t>3.54_611.1202m/z</t>
  </si>
  <si>
    <t>Ginkgetin</t>
  </si>
  <si>
    <t>HMDB0033762</t>
  </si>
  <si>
    <t>LMPK12040003</t>
  </si>
  <si>
    <t>C10048</t>
  </si>
  <si>
    <t>481-46-9</t>
  </si>
  <si>
    <t>C1(OC)=CC2OC(C3C=CC(OC)=C(C4=C(O)C=C(O)C5C(=O)C=C(C6=CC=C(O)C=C6)OC4=5)C=3)=CC(=O)C=2C(O)=C1</t>
  </si>
  <si>
    <t>AIFCFBUSLAEIBR-UHFFFAOYSA-N</t>
  </si>
  <si>
    <t>6.09_467.1915m/z</t>
  </si>
  <si>
    <t>Hbas#3</t>
  </si>
  <si>
    <t>LMFA13040147</t>
  </si>
  <si>
    <t>O([C@@H](CCCC/C=C/C(=O)O)C)[C@H]1[C@H](O)C[C@@H](OC(=O)C2=CC=C(O)C=C2)[C@H](C)O1</t>
  </si>
  <si>
    <t>BJUWUCQZCXGYNI-NJABCCJWSA-N</t>
  </si>
  <si>
    <t>C22H30O8</t>
  </si>
  <si>
    <t>4.58_497.3101m/z</t>
  </si>
  <si>
    <t>Pregnanediol 3-O-Glucuronide</t>
  </si>
  <si>
    <t>HMDB0010318</t>
  </si>
  <si>
    <t>1852-49-9</t>
  </si>
  <si>
    <t>[H][C@@]1(CC[C@@]2([H])[C@]3([H])CC[C@]4([H])C[C@@H](CC[C@]4(C)[C@@]3([H])CC[C@]12C)O[C@]1([H])O[C@@H]([C@@H](O)[C@H](O)[C@H]1O)C(O)=O)[C@H](C)O</t>
  </si>
  <si>
    <t>ZFFFJLDTCLJDHL-JQYCEVDMSA-N</t>
  </si>
  <si>
    <t>1.81_331.0672m/z</t>
  </si>
  <si>
    <t>5-O-Galloylhamamelofuranose</t>
  </si>
  <si>
    <t>HMDB0039366</t>
  </si>
  <si>
    <t>90275-97-1</t>
  </si>
  <si>
    <t>OCC1(O)C(O)OC(COC(=O)C2=CC(O)=C(O)C(O)=C2)C1O</t>
  </si>
  <si>
    <t>VGGLWNMXAJJMPA-UHFFFAOYSA-N</t>
  </si>
  <si>
    <t>C13H16O10</t>
  </si>
  <si>
    <t>10.94_297.2666n</t>
  </si>
  <si>
    <t>3-Ketosphingosine</t>
  </si>
  <si>
    <t>LMSP01010002</t>
  </si>
  <si>
    <t>C06121</t>
  </si>
  <si>
    <t>[C@](CO)([H])(N)C(=O)/C=C/CCCCCCCCCCCCC</t>
  </si>
  <si>
    <t>VWTPJNGTEYZXFV-ZWKQNVPVSA-N</t>
  </si>
  <si>
    <t>C18H35NO2</t>
  </si>
  <si>
    <t>6.41_629.2598m/z</t>
  </si>
  <si>
    <t>6-Amino-9-Benzyl-2-(2-Methoxyethoxy)-9h-Purin-8-Ol</t>
  </si>
  <si>
    <t>HMDB0245634</t>
  </si>
  <si>
    <t>COCCOC1=NC2=C(NC(=O)N2CC2=CC=CC=C2)C(N)=N1</t>
  </si>
  <si>
    <t>YYCDGEZXHXHLGW-UHFFFAOYSA-N</t>
  </si>
  <si>
    <t>C15H17N5O3</t>
  </si>
  <si>
    <t>4.09_205.0861m/z</t>
  </si>
  <si>
    <t>Dihydrodeoxy-8-Epiaustdiol</t>
  </si>
  <si>
    <t>HMDB0031668</t>
  </si>
  <si>
    <t>58957-07-6</t>
  </si>
  <si>
    <t>CC1=CC2=C(C)C(=O)C(C)(O)C(O)C2=CO1</t>
  </si>
  <si>
    <t>JVUYBLROBHJEJN-UHFFFAOYSA-N</t>
  </si>
  <si>
    <t>Azaphilones</t>
  </si>
  <si>
    <t>C12H14O4</t>
  </si>
  <si>
    <t>4.85_580.1805n</t>
  </si>
  <si>
    <t>Naringin</t>
  </si>
  <si>
    <t>HMDB0002927</t>
  </si>
  <si>
    <t>LMPK12140235</t>
  </si>
  <si>
    <t>C09789</t>
  </si>
  <si>
    <t>10236-47-2</t>
  </si>
  <si>
    <t>C1(O[C@H]2[C@H](O[C@H]3[C@H](O)[C@H](O)[C@@H](O)[C@H](C)O3)[C@@H](O)[C@H](O)[C@@H](CO)O2)C=C2O[C@]([H])(C3C=CC(O)=CC=3)CC(=O)C2=C(O)C=1</t>
  </si>
  <si>
    <t>DFPMSGMNTNDNHN-ZPHOTFPESA-N</t>
  </si>
  <si>
    <t>C27H32O14</t>
  </si>
  <si>
    <t>6.07_635.2336m/z</t>
  </si>
  <si>
    <t>Fluvoxamino Acid</t>
  </si>
  <si>
    <t>HMDB0060950</t>
  </si>
  <si>
    <t>88699-91-6</t>
  </si>
  <si>
    <t>NCCO\N=C(/CCCC(O)=O)C1=CC=C(C=C1)C(F)(F)F</t>
  </si>
  <si>
    <t>KUIZEDQDELAFQK-XDHOZWIPSA-N</t>
  </si>
  <si>
    <t>C14H17F3N2O3</t>
  </si>
  <si>
    <t>7.07_147.0802m/z</t>
  </si>
  <si>
    <t>Beta-Thujaplicin</t>
  </si>
  <si>
    <t>HMDB0035213</t>
  </si>
  <si>
    <t>C09904</t>
  </si>
  <si>
    <t>499-44-5</t>
  </si>
  <si>
    <t>CC(C)C1=CC(=O)C(O)=CC=C1</t>
  </si>
  <si>
    <t>FUWUEFKEXZQKKA-UHFFFAOYSA-N</t>
  </si>
  <si>
    <t>Tropolones</t>
  </si>
  <si>
    <t>C10H12O2</t>
  </si>
  <si>
    <t>6.96_176.1066m/z</t>
  </si>
  <si>
    <t>3-Hydroxy-3-Phenylpentanamide</t>
  </si>
  <si>
    <t>HMDB0245886</t>
  </si>
  <si>
    <t>CCC(O)(CC(N)=O)C1=CC=CC=C1</t>
  </si>
  <si>
    <t>MOHYRCCDARWQRM-UHFFFAOYSA-N</t>
  </si>
  <si>
    <t>Phenylpropanes</t>
  </si>
  <si>
    <t>3.67_367.1034m/z</t>
  </si>
  <si>
    <t>3-O-Caffeoyl-1-O-Methylquinic Acid</t>
  </si>
  <si>
    <t>HMDB0039959</t>
  </si>
  <si>
    <t>COC1(CC(O)C(O)C(C1)OC(=O)\C=C/C1=CC(O)=C(O)C=C1)C(O)=O</t>
  </si>
  <si>
    <t>NRRBIAVXVIGMKC-HYXAFXHYSA-N</t>
  </si>
  <si>
    <t>C17H20O9</t>
  </si>
  <si>
    <t>1.06_331.1266n</t>
  </si>
  <si>
    <t>4-Pyridinecarboxamide, N-(((Diphenylmethyl)Amino)Carbonyl)-, Monohydrochloride</t>
  </si>
  <si>
    <t>C1=CC=C(C=C1)C(C2=CC=CC=C2)NC(=O)NC(=O)C3=CC=NC=C3.Cl</t>
  </si>
  <si>
    <t>RQNHYCIQTXNWLZ-UHFFFAOYSA-N</t>
  </si>
  <si>
    <t>C14H21NO8</t>
  </si>
  <si>
    <t>11.94_493.3885m/z</t>
  </si>
  <si>
    <t>DG(8:0/0:0/17:0)</t>
  </si>
  <si>
    <t>HMDB0092928</t>
  </si>
  <si>
    <t>[H][C@@](O)(COC(=O)CCCCCCC)COC(=O)CCCCCCCCCCCCCCCC</t>
  </si>
  <si>
    <t>XFCGVXHAIQFXRB-AREMUKBSSA-N</t>
  </si>
  <si>
    <t>C28H54O5</t>
  </si>
  <si>
    <t>1.11_519.1687m/z</t>
  </si>
  <si>
    <t>Sibiricose A5</t>
  </si>
  <si>
    <t>COC1=C(C=CC(=C1)C=CC(=O)OC2C(C(OC2(CO)OC3C(C(C(C(O3)CO)O)O)O)CO)O)O</t>
  </si>
  <si>
    <t>ZPEADZHVGOCGKH-YQTDNFGYSA-N</t>
  </si>
  <si>
    <t>C22H30O14</t>
  </si>
  <si>
    <t>4.69_567.3176m/z</t>
  </si>
  <si>
    <t>6alpha-Glucuronosylhyodeoxycholate</t>
  </si>
  <si>
    <t>LMST05010016</t>
  </si>
  <si>
    <t>C11246</t>
  </si>
  <si>
    <t>O([C@@H]1[C@]2([H])C[C@@H](CC[C@]2(C)[C@@]2([H])CC[C@]3(C)[C@]([H])(CC[C@@]3([H])[C@]2([H])C1)[C@H](C)CCC(=O)O)O)[C@@H]1O[C@@H]([C@H]([C@H](O)[C@H]1O)O)C(=O)O</t>
  </si>
  <si>
    <t>MAXKTGFGXCXJFY-HHUAQUJWSA-N</t>
  </si>
  <si>
    <t>3.66_280.1225m/z</t>
  </si>
  <si>
    <t>Thiochrome</t>
  </si>
  <si>
    <t>HMDB0259006</t>
  </si>
  <si>
    <t>CC1=C(CCO)SC2=NC3=NC(C)=NC=C3CN12</t>
  </si>
  <si>
    <t>GTQXMAIXVFLYKF-UHFFFAOYSA-N</t>
  </si>
  <si>
    <t>C12H14N4OS</t>
  </si>
  <si>
    <t>9.47_795.4130m/z</t>
  </si>
  <si>
    <t>Aginoside Progenin</t>
  </si>
  <si>
    <t>HMDB0034595</t>
  </si>
  <si>
    <t>61478-53-3</t>
  </si>
  <si>
    <t>CC1C2C(CC3C4CC(O)C5CC(OC6OC(CO)C(OC7OC(CO)C(O)C(O)C7O)C(O)C6O)C(O)CC5(C)C4CCC23C)OC11CCC(C)CO1</t>
  </si>
  <si>
    <t>DQLBLHWGFPEMQR-UHFFFAOYSA-N</t>
  </si>
  <si>
    <t>4.57_611.2089m/z</t>
  </si>
  <si>
    <t>Tinctormine</t>
  </si>
  <si>
    <t>LMPK12120407</t>
  </si>
  <si>
    <t>C1(/C(=C2\C(O)C(O)C(CO)N\2)/O)C([C@H]2[C@H](O)[C@@H](O)[C@H](O)[C@@H](CO)O2)(O)C(O)=C(C(C=CC2C=CC(O)=CC=2)=O)C(=O)C=1</t>
  </si>
  <si>
    <t>SWPZRXBZBMWKJC-OPEGSKGCSA-N</t>
  </si>
  <si>
    <t>C27H31NO14</t>
  </si>
  <si>
    <t>10.84_903.4946m/z</t>
  </si>
  <si>
    <t>Alliosterol 1-(4''-Galactosylrhamnoside) 16-Galactoside</t>
  </si>
  <si>
    <t>HMDB0038346</t>
  </si>
  <si>
    <t>289690-79-5</t>
  </si>
  <si>
    <t>CC(C)CCC(O)C(C)C1C(CC2C3CC=C4CC(O)CC(OC5OC(C)C(OC6OC(CO)C(O)C(O)C6O)C(O)C5O)C4(C)C3CCC12C)OC1OC(CO)C(O)C(O)C1O</t>
  </si>
  <si>
    <t>RPMXUCNWRIVIFQ-UHFFFAOYSA-N</t>
  </si>
  <si>
    <t>C45H76O18</t>
  </si>
  <si>
    <t>0.62_103.0503m/z</t>
  </si>
  <si>
    <t>Cycloserine</t>
  </si>
  <si>
    <t>HMDB0014405</t>
  </si>
  <si>
    <t>LMPK14000007</t>
  </si>
  <si>
    <t>C08057</t>
  </si>
  <si>
    <t>ko00997</t>
  </si>
  <si>
    <t>Biosynthesis of various secondary metabolites - part 3</t>
  </si>
  <si>
    <t>68-41-7</t>
  </si>
  <si>
    <t>[C@]1([H])(N)CONC1=O</t>
  </si>
  <si>
    <t>DYDCUQKUCUHJBH-UWTATZPHSA-N</t>
  </si>
  <si>
    <t>Azolines</t>
  </si>
  <si>
    <t>Isoxazolines</t>
  </si>
  <si>
    <t>C3H6N2O2</t>
  </si>
  <si>
    <t>3.35_402.0244n</t>
  </si>
  <si>
    <t>Dtdp</t>
  </si>
  <si>
    <t>HMDB0001274</t>
  </si>
  <si>
    <t>C00363</t>
  </si>
  <si>
    <t>ko00240</t>
  </si>
  <si>
    <t>Pyrimidine metabolism</t>
  </si>
  <si>
    <t>491-97-4</t>
  </si>
  <si>
    <t>CC1=CN([C@H]2C[C@H](O)[C@@H](COP(O)(=O)OP(O)(O)=O)O2)C(=O)NC1=O</t>
  </si>
  <si>
    <t>UJLXYODCHAELLY-XLPZGREQSA-N</t>
  </si>
  <si>
    <t>Pyrimidine deoxyribonucleotides</t>
  </si>
  <si>
    <t>C10H16N2O11P2</t>
  </si>
  <si>
    <t>0.75_244.0926m/z</t>
  </si>
  <si>
    <t>Cytarabine</t>
  </si>
  <si>
    <t>HMDB0015122</t>
  </si>
  <si>
    <t>C02961</t>
  </si>
  <si>
    <t>147-94-4</t>
  </si>
  <si>
    <t>NC1=NC(=O)N(C=C1)[C@@H]1O[C@H](CO)[C@@H](O)[C@@H]1O</t>
  </si>
  <si>
    <t>UHDGCWIWMRVCDJ-CCXZUQQUSA-N</t>
  </si>
  <si>
    <t>C9H13N3O5</t>
  </si>
  <si>
    <t>5.15_851.4819m/z</t>
  </si>
  <si>
    <t>PGP(16:0/18:1(11Z))</t>
  </si>
  <si>
    <t>HMDB0013475</t>
  </si>
  <si>
    <t>LMGP05010002</t>
  </si>
  <si>
    <t>[C@]([H])(OC(CCCCCCCCC/C=C\CCCCCC)=O)(COP(=O)(O)OC[C@@]([H])(O)COP(=O)(O)O)COC(CCCCCCCCCCCCCCC)=O</t>
  </si>
  <si>
    <t>BMNRKKFJIDDAOJ-GPJPVTGXSA-N</t>
  </si>
  <si>
    <t>C40H78O13P2</t>
  </si>
  <si>
    <t>10.03_563.0314m/z</t>
  </si>
  <si>
    <t>Udp-Alpha-D-Galactose</t>
  </si>
  <si>
    <t>HMDB0304527</t>
  </si>
  <si>
    <t>OCC1OC(OP([O-])(=O)OP([O-])(=O)OCC2OC(C(O)C2O)N2C=CC(=O)NC2=O)C(O)C(O)C1O</t>
  </si>
  <si>
    <t>HSCJRCZFDFQWRP-UHFFFAOYSA-L</t>
  </si>
  <si>
    <t>C15H22N2O17P2-2</t>
  </si>
  <si>
    <t>4.45_290.1516n</t>
  </si>
  <si>
    <t>[6]-Dehydrogingerdione</t>
  </si>
  <si>
    <t>HMDB0029474</t>
  </si>
  <si>
    <t>76060-35-0</t>
  </si>
  <si>
    <t>CCCCCC(=O)CC(=O)C=CC1=CC(=C(C=C1)O)OC</t>
  </si>
  <si>
    <t>JUKHKHMSQCQHEN-VQHVLOKHSA-N</t>
  </si>
  <si>
    <t>3.65_180.0628n</t>
  </si>
  <si>
    <t>D-Glucose</t>
  </si>
  <si>
    <t>HMDB0000122</t>
  </si>
  <si>
    <t>C00221</t>
  </si>
  <si>
    <t>ko00010,ko00030</t>
  </si>
  <si>
    <t>Glycolysis / Gluconeogenesis|Pentose phosphate pathway</t>
  </si>
  <si>
    <t>492-61-5</t>
  </si>
  <si>
    <t>OC[C@H]1O[C@@H](O)[C@H](O)[C@@H](O)[C@@H]1O</t>
  </si>
  <si>
    <t>WQZGKKKJIJFFOK-VFUOTHLCSA-N</t>
  </si>
  <si>
    <t>7.36_765.3217m/z</t>
  </si>
  <si>
    <t>Methyl (1-(4-Fluorobenzyl)-1h-Indazole-3-Carbonyl)-L-Valinate</t>
  </si>
  <si>
    <t>HMDB0254816</t>
  </si>
  <si>
    <t>COC(=O)C(NC(=O)C1=NN(CC2=CC=C(F)C=C2)C2=CC=CC=C12)C(C)C</t>
  </si>
  <si>
    <t>FRFFLYJQPCIIQB-UHFFFAOYSA-N</t>
  </si>
  <si>
    <t>C21H22FN3O3</t>
  </si>
  <si>
    <t>12.76_1063.5131m/z</t>
  </si>
  <si>
    <t>PIP(22:2(13Z,16Z)/20:5(7Z,9Z,11E,13E,17Z)-3OH(5,6,15))</t>
  </si>
  <si>
    <t>HMDB0280249</t>
  </si>
  <si>
    <t>[H][C@@](COC(=O)CCCCCCCCCCC\C=C/C\C=C/CCCCC)(COP(O)(=O)O[C@H]1C(O)C(O)C(O)[C@@H](OP(O)(O)=O)C1O)OC(=O)CCC[C@@H](O)[C@H](O)\C=C/C=C\C=C\C=C\[C@@H](O)C\C=C/CC</t>
  </si>
  <si>
    <t>JNPXHCGIKFUOID-TULWCQDTSA-N</t>
  </si>
  <si>
    <t>C51H86O19P2</t>
  </si>
  <si>
    <t>11.04_205.0859m/z</t>
  </si>
  <si>
    <t>Monoisobutyl Phthalic Acid</t>
  </si>
  <si>
    <t>HMDB0002056</t>
  </si>
  <si>
    <t>30833-53-5</t>
  </si>
  <si>
    <t>CC(C)COC(=O)C1=CC=CC=C1C(O)=O</t>
  </si>
  <si>
    <t>RZJSUWQGFCHNFS-UHFFFAOYSA-N</t>
  </si>
  <si>
    <t>9.24_306.1830n</t>
  </si>
  <si>
    <t>5'-Carboxy-Gamma-Chromanol</t>
  </si>
  <si>
    <t>HMDB0012799</t>
  </si>
  <si>
    <t>1221262-11-8</t>
  </si>
  <si>
    <t>C[C@@H](CCC[C@]1(C)CCC2=CC(O)=C(C)C(C)=C2O1)C(O)=O</t>
  </si>
  <si>
    <t>CNGKBUHOCIWLHJ-BBATYDOGSA-N</t>
  </si>
  <si>
    <t>C18H26O4</t>
  </si>
  <si>
    <t>5.32_441.2996m/z</t>
  </si>
  <si>
    <t>13'-Carboxy-Gamma-Tocotrienol</t>
  </si>
  <si>
    <t>HMDB0012558</t>
  </si>
  <si>
    <t>C\C(CC\C=C(/C)C(O)=O)=C/CC\C(C)=C\CC[C@]1(C)CCC2=C(O1)C(C)=C(C)C(O)=C2</t>
  </si>
  <si>
    <t>UJMZKOBSLDXUHY-YQHRJHOASA-N</t>
  </si>
  <si>
    <t>5.32_430.1261n</t>
  </si>
  <si>
    <t>8-C-Rhamnosylgenkwanin</t>
  </si>
  <si>
    <t>LMPK12110974</t>
  </si>
  <si>
    <t>C1(OC)=C([C@H]2[C@H](O)[C@H](O)[C@@H](O)[C@H](C)O2)C2OC(C3C=CC(O)=CC=3)=CC(=O)C=2C(O)=C1</t>
  </si>
  <si>
    <t>KIWXLHWYSZKGIL-GMXZXDKESA-N</t>
  </si>
  <si>
    <t>12.69_487.3759m/z</t>
  </si>
  <si>
    <t>3,7-Dihydroxy-25-Methoxycucurbita-5,23-Dien-19-Al</t>
  </si>
  <si>
    <t>HMDB0039362</t>
  </si>
  <si>
    <t>COC(C)(C)\C=C\CC(C)C1CCC2(C)C3C(O)C=C4C(CCC(O)C4(C)C)C3(CCC12C)C=O</t>
  </si>
  <si>
    <t>AEUOCNAZOMRXEC-NTEUORMPSA-N</t>
  </si>
  <si>
    <t>C31H50O4</t>
  </si>
  <si>
    <t>3.64_299.0771m/z</t>
  </si>
  <si>
    <t>Salicylic Acid Beta-D-Glucoside</t>
  </si>
  <si>
    <t>HMDB0041271</t>
  </si>
  <si>
    <t>10366-91-3</t>
  </si>
  <si>
    <t>OCC1OC(OC2=CC=CC=C2C(O)=O)C(O)C(O)C1O</t>
  </si>
  <si>
    <t>TZPBMNKOLMSJPF-UHFFFAOYSA-N</t>
  </si>
  <si>
    <t>1.17_581.1486m/z</t>
  </si>
  <si>
    <t>Galactobuxin</t>
  </si>
  <si>
    <t>LMPK12112938</t>
  </si>
  <si>
    <t>C1(OC)=CC2OC(C3C=C(OC)C(O[C@H]4[C@H](O)[C@@H](O)[C@@H](O)[C@@H](CO)O4)=CC=3)=C(OC)C(=O)C=2C(O)=C1OC</t>
  </si>
  <si>
    <t>RHTMFBCTQXIHQT-OZWSFNHBSA-N</t>
  </si>
  <si>
    <t>C25H28O13</t>
  </si>
  <si>
    <t>3.65_615.1544m/z</t>
  </si>
  <si>
    <t>Flazine</t>
  </si>
  <si>
    <t>HMDB0033459</t>
  </si>
  <si>
    <t>100041-05-2</t>
  </si>
  <si>
    <t>OCC1=CC=C(O1)C1=C2NC3=CC=CC=C3C2=CC(=N1)C(O)=O</t>
  </si>
  <si>
    <t>USBWYUYKHHILLZ-UHFFFAOYSA-N</t>
  </si>
  <si>
    <t>C17H12N2O4</t>
  </si>
  <si>
    <t>0.96_299.0381m/z</t>
  </si>
  <si>
    <t>2-Amino-4-[(2-Amino-2-Carboxyethyl)Disulfanyl]Butanoic Acid</t>
  </si>
  <si>
    <t>HMDB0246700</t>
  </si>
  <si>
    <t>13147-16-5</t>
  </si>
  <si>
    <t>NC(CCSSCC(N)C(O)=O)C(O)=O</t>
  </si>
  <si>
    <t>YPWSLBHSMIKTPR-UHFFFAOYSA-N</t>
  </si>
  <si>
    <t>C7H14N2O4S2</t>
  </si>
  <si>
    <t>4.15_349.1055m/z</t>
  </si>
  <si>
    <t>Indole-3-Acetylglutamic Acid</t>
  </si>
  <si>
    <t>HMDB0038665</t>
  </si>
  <si>
    <t>57105-48-3</t>
  </si>
  <si>
    <t>OC(=O)CC[C@H](NC(=O)CC1=CNC2=C1C=CC=C2)C(O)=O</t>
  </si>
  <si>
    <t>YRKLGWOHYXIKSF-LBPRGKRZSA-N</t>
  </si>
  <si>
    <t>C15H16N2O5</t>
  </si>
  <si>
    <t>1.06_407.1158m/z</t>
  </si>
  <si>
    <t>3-Methylbutyl Glucosinolate</t>
  </si>
  <si>
    <t>HMDB0038412</t>
  </si>
  <si>
    <t>76265-22-0</t>
  </si>
  <si>
    <t>CC(C)CC\C(SC1OC(CO)C(O)C(O)C1O)=N/OS(O)(=O)=O</t>
  </si>
  <si>
    <t>IGFSKYBVOPSATL-MDWZMJQESA-N</t>
  </si>
  <si>
    <t>C12H23NO9S2</t>
  </si>
  <si>
    <t>7.21_480.3107m/z</t>
  </si>
  <si>
    <t>Helilupolone</t>
  </si>
  <si>
    <t>LMPK12120593</t>
  </si>
  <si>
    <t>C1(O)C(C/C=C(/C)\C)(C/C=C(/C)\C)C(=O)C(C(=O)CCC2C=CC=CC=2)=C(O)C=1C/C=C(/C)\C</t>
  </si>
  <si>
    <t>LFFGARMIFWEHDF-UHFFFAOYSA-N</t>
  </si>
  <si>
    <t>C30H38O4</t>
  </si>
  <si>
    <t>3.98_440.1298n</t>
  </si>
  <si>
    <t>Ginkgolide C</t>
  </si>
  <si>
    <t>LMPR0104540003</t>
  </si>
  <si>
    <t>C07603</t>
  </si>
  <si>
    <t>AMOGMTLMADGEOQ-AEXCBEIUSA-N</t>
  </si>
  <si>
    <t>C20H24O11</t>
  </si>
  <si>
    <t>3.59_303.0865m/z</t>
  </si>
  <si>
    <t>Haematoxylin</t>
  </si>
  <si>
    <t>LMPK12100063</t>
  </si>
  <si>
    <t>C09931</t>
  </si>
  <si>
    <t>517-28-2</t>
  </si>
  <si>
    <t>[C@]12([H])C3C=C(O)C(O)=CC=3C[C@@]1(O)COC1C(O)=C(O)C=CC=12</t>
  </si>
  <si>
    <t>WZUVPPKBWHMQCE-XJKSGUPXSA-N</t>
  </si>
  <si>
    <t>C16H14O6</t>
  </si>
  <si>
    <t>1.33_363.1260m/z</t>
  </si>
  <si>
    <t>Catalpol</t>
  </si>
  <si>
    <t>LMPR0102070007</t>
  </si>
  <si>
    <t>C09773</t>
  </si>
  <si>
    <t>O([C@@H]1OC=C[C@@]2([H])[C@H](O)[C@]3([H])O[C@]3(CO)[C@]21[H])[C@H]1[C@H](O)[C@H]([C@H](O)[C@@H](CO)O1)O</t>
  </si>
  <si>
    <t>LHDWRKICQLTVDL-PZYDOOQISA-N</t>
  </si>
  <si>
    <t>C15H22O10</t>
  </si>
  <si>
    <t>4.28_631.2026m/z</t>
  </si>
  <si>
    <t>Ikarisoside F</t>
  </si>
  <si>
    <t>LMPK12111712</t>
  </si>
  <si>
    <t>C1(O)=C(C/C=C(/C)\C)C2OC(C3C=CC(O)=CC=3)=C(O[C@H]3[C@H](O[C@H]4[C@H](O)[C@@H](O)[C@H](O)CO4)[C@H](O)[C@@H](O)[C@H](C)O3)C(=O)C=2C(O)=C1</t>
  </si>
  <si>
    <t>ASPIQZXMZNLGRL-NPFMWIEOSA-N</t>
  </si>
  <si>
    <t>C31H36O14</t>
  </si>
  <si>
    <t>4.65_671.2192m/z</t>
  </si>
  <si>
    <t>Pneumatopterin A</t>
  </si>
  <si>
    <t>LMPK12020157</t>
  </si>
  <si>
    <t>[C@@H]1(C2C=CC=CC=2)C[C@@H](O)C2=C(O[C@H]3[C@H](O)[C@@H](O)[C@H](O)[C@@H](CO)O3)C(CO)=C(O[C@H]3[C@H](O)[C@@H](O)[C@H](O)[C@@H](CO)O3)C(C)=C2O1</t>
  </si>
  <si>
    <t>ADJGLONWRMEELF-NEEZJNSISA-N</t>
  </si>
  <si>
    <t>C29H38O15</t>
  </si>
  <si>
    <t>5.80_581.2237m/z</t>
  </si>
  <si>
    <t>Aldosterone 18-Glucuronide</t>
  </si>
  <si>
    <t>HMDB0010345</t>
  </si>
  <si>
    <t>3604-86-2</t>
  </si>
  <si>
    <t>[H][C@]12CC3(C(O[C@@H]4O[C@@H]([C@@H](O)[C@H](O)[C@H]4O)C(O)=O)O1)C(CC[C@@H]3C(=O)CO)C1CCC3=CC(=O)CC[C@]3(C)C21</t>
  </si>
  <si>
    <t>OMRIQCUHVVBJKI-ACOLCOCVSA-N</t>
  </si>
  <si>
    <t>2.61_412.9689m/z</t>
  </si>
  <si>
    <t>Perfluorooctanoic Acid</t>
  </si>
  <si>
    <t>HMDB0059587</t>
  </si>
  <si>
    <t>335-67-1</t>
  </si>
  <si>
    <t>C(=O)(C(C(C(C(C(C(C(F)(F)F)(F)F)(F)F)(F)F)(F)F)(F)F)(F)F)O</t>
  </si>
  <si>
    <t>SNGREZUHAYWORS-UHFFFAOYSA-N</t>
  </si>
  <si>
    <t>C8HF15O2</t>
  </si>
  <si>
    <t>5.09_283.0810m/z</t>
  </si>
  <si>
    <t>Dimethyl Fukiic Acid</t>
  </si>
  <si>
    <t>HMDB0029497</t>
  </si>
  <si>
    <t>56158-55-5</t>
  </si>
  <si>
    <t>COC(=O)C(O)C(O)(CC1=CC(O)=C(O)C=C1)C(=O)OC</t>
  </si>
  <si>
    <t>QHQANDJGWIVAAC-UHFFFAOYSA-N</t>
  </si>
  <si>
    <t>6.88_547.2182m/z</t>
  </si>
  <si>
    <t>Isocyclocalamin</t>
  </si>
  <si>
    <t>HMDB0035222</t>
  </si>
  <si>
    <t>111004-32-1</t>
  </si>
  <si>
    <t>COC(=O)CC1OC(C)(C)C2C(O)C(=O)C3(C)C(CCC4(C)C(OC(=O)C5OC345)C3=COC=C3)C12C</t>
  </si>
  <si>
    <t>BPAWUWIFAKISJD-UHFFFAOYSA-N</t>
  </si>
  <si>
    <t>3.68_450.1393m/z</t>
  </si>
  <si>
    <t>Pemetrexed</t>
  </si>
  <si>
    <t>HMDB0014780</t>
  </si>
  <si>
    <t>150399-23-8</t>
  </si>
  <si>
    <t>NC1=NC(=O)C2=C(NC=C2CCC2=CC=C(C=C2)C(=O)N[C@H](CCC(O)=O)C(O)=O)N1</t>
  </si>
  <si>
    <t>WBXPDJSOTKVWSJ-CYBMUJFWSA-N</t>
  </si>
  <si>
    <t>C20H21N5O6</t>
  </si>
  <si>
    <t>5.36_625.2267m/z</t>
  </si>
  <si>
    <t>Tyramine Glucuronide</t>
  </si>
  <si>
    <t>HMDB0010328</t>
  </si>
  <si>
    <t>27972-85-6</t>
  </si>
  <si>
    <t>NCCC1=CC=C(O[C@@H]2O[C@@H]([C@@H](O)[C@H](O)[C@H]2O)C(O)=O)C=C1</t>
  </si>
  <si>
    <t>AQKVISOBVPVACA-BYNIDDHOSA-N</t>
  </si>
  <si>
    <t>C14H19NO7</t>
  </si>
  <si>
    <t>9.18_468.0376n</t>
  </si>
  <si>
    <t>Primisulfuron-Methyl</t>
  </si>
  <si>
    <t>HMDB0256773</t>
  </si>
  <si>
    <t>COC(=O)C1=C(C=CC=C1)S(=O)(=O)NC(=O)NC1=NC(OC(F)F)=CC(OC(F)F)=N1</t>
  </si>
  <si>
    <t>ZTYVMAQSHCZXLF-UHFFFAOYSA-N</t>
  </si>
  <si>
    <t>Sulfonylureas</t>
  </si>
  <si>
    <t>C15H12F4N4O7S</t>
  </si>
  <si>
    <t>2.43_423.1758n</t>
  </si>
  <si>
    <t>Neolinustatin</t>
  </si>
  <si>
    <t>C08336</t>
  </si>
  <si>
    <t>72229-42-6</t>
  </si>
  <si>
    <t>CCC(C)(C#N)OC1C(C(C(C(O1)COC2C(C(C(C(O2)CO)O)O)O)O)O)O</t>
  </si>
  <si>
    <t>WOSYVGNDRYBQCQ-BARGLTKPSA-N</t>
  </si>
  <si>
    <t>C17H29NO11</t>
  </si>
  <si>
    <t>3.25_311.0732m/z</t>
  </si>
  <si>
    <t>8-Nitroguanosine</t>
  </si>
  <si>
    <t>HMDB0247454</t>
  </si>
  <si>
    <t>NC1=NC2=C(N=C(N2C2OC(CO)C(O)C2O)[N+]([O-])=O)C(=O)N1</t>
  </si>
  <si>
    <t>KGUOMRFOXYDMAH-UHFFFAOYSA-N</t>
  </si>
  <si>
    <t>C10H12N6O7</t>
  </si>
  <si>
    <t>6.44_545.2169m/z</t>
  </si>
  <si>
    <t>Hhcfu</t>
  </si>
  <si>
    <t>HMDB0247349</t>
  </si>
  <si>
    <t>CC(O)CCCCNC(=O)N1C=C(F)C(=O)NC1=O</t>
  </si>
  <si>
    <t>QGVFMTLBNIONJB-UHFFFAOYSA-N</t>
  </si>
  <si>
    <t>C11H16FN3O4</t>
  </si>
  <si>
    <t>14.67_1055.5247m/z</t>
  </si>
  <si>
    <t>PIP(22:2(13Z,16Z)/22:6(5Z,8E,10Z,13Z,15E,19Z)-2OH(7S, 17S))</t>
  </si>
  <si>
    <t>HMDB0280247</t>
  </si>
  <si>
    <t>[H][C@@](COC(=O)CCCCCCCCCCC\C=C/C\C=C/CCCCC)(COP(O)(=O)O[C@H]1C(O)C(O)C(O)[C@@H](OP(O)(O)=O)C1O)OC(=O)CCC\C=C/[C@@H](O)\C=C\C=C/C\C=C/C=C/[C@@H](O)C\C=C/CC</t>
  </si>
  <si>
    <t>AYDXONCWTICPKU-IEDBQCDZSA-N</t>
  </si>
  <si>
    <t>C53H88O18P2</t>
  </si>
  <si>
    <t>4.15_481.0992m/z</t>
  </si>
  <si>
    <t>Isochinomin</t>
  </si>
  <si>
    <t>HMDB0041147</t>
  </si>
  <si>
    <t>83118-66-5</t>
  </si>
  <si>
    <t>COC1=C(C2OC(CO)C(O)C(O)C2O)C2=C(C(O)=C1)C(=O)C1=C(O2)C=C(O)C(O)=C1</t>
  </si>
  <si>
    <t>VXVIYGXUCPLQBI-UHFFFAOYSA-N</t>
  </si>
  <si>
    <t>C20H20O11</t>
  </si>
  <si>
    <t>5.58_697.2117m/z</t>
  </si>
  <si>
    <t>Cefradine</t>
  </si>
  <si>
    <t>HMDB0015428</t>
  </si>
  <si>
    <t>C06897</t>
  </si>
  <si>
    <t>38821-53-3</t>
  </si>
  <si>
    <t>[H][C@]12SCC(C)=C(N1C(=O)[C@H]2NC(=O)[C@H](N)C1=CCC=CC1)C(O)=O</t>
  </si>
  <si>
    <t>RDLPVSKMFDYCOR-UEKVPHQBSA-N</t>
  </si>
  <si>
    <t>C16H19N3O4S</t>
  </si>
  <si>
    <t>7.57_725.3728m/z</t>
  </si>
  <si>
    <t>Arvenin Iv</t>
  </si>
  <si>
    <t>LMST01010411</t>
  </si>
  <si>
    <t>[C@@]12(C)C[C@H]([C@]([H])([C@](O)(C)C(=O)CCC(C)(C)O)[C@@]1(C)CC([C@@]1(C)[C@]3([H])C[C@@H](C(=O)C(C)(C)C3=CC[C@@]21[H])O[C@H]1[C@H](O)[C@@H](O)[C@H](O)[C@@H](CO)O1)=O)O</t>
  </si>
  <si>
    <t>NWOBCRRKTPFKMK-DZVMZPAQSA-N</t>
  </si>
  <si>
    <t>C36H56O12</t>
  </si>
  <si>
    <t>0.77_275.1232m/z</t>
  </si>
  <si>
    <t>3-[2-Carboxyprop-1-Enyl(Ethoxycarbonyl)Amino]-2-Methylprop-2-Enoic Acid</t>
  </si>
  <si>
    <t>HMDB0257806</t>
  </si>
  <si>
    <t>CCOC(=O)N(C=C(C)C(O)=O)C=C(C)C(O)=O</t>
  </si>
  <si>
    <t>WJKBLCUQNVHPKU-UHFFFAOYSA-N</t>
  </si>
  <si>
    <t>C11H15NO6</t>
  </si>
  <si>
    <t>3.49_328.1057n</t>
  </si>
  <si>
    <t>Cay10397</t>
  </si>
  <si>
    <t>78028-01-0</t>
  </si>
  <si>
    <t>CCOC(=O)C1=CC=C(C=C1)N=NC2=CC(=C(C=C2)O)CC(=O)O</t>
  </si>
  <si>
    <t>YYBSDOZYJSGLTH-UHFFFAOYSA-N</t>
  </si>
  <si>
    <t>C17H16N2O5</t>
  </si>
  <si>
    <t>6.30_260.2006m/z</t>
  </si>
  <si>
    <t>1-(1-Phenylcyclohexyl)-4-Hydroxypiperidine</t>
  </si>
  <si>
    <t>HMDB0243775</t>
  </si>
  <si>
    <t>OC1CCN(CC1)C1(CCCCC1)C1=CC=CC=C1</t>
  </si>
  <si>
    <t>SLUMSLWGPLFKGY-UHFFFAOYSA-N</t>
  </si>
  <si>
    <t>C17H25NO</t>
  </si>
  <si>
    <t>5.82_287.0559m/z</t>
  </si>
  <si>
    <t>Eriodictyol</t>
  </si>
  <si>
    <t>HMDB0005810</t>
  </si>
  <si>
    <t>LMPK12140002</t>
  </si>
  <si>
    <t>C05631</t>
  </si>
  <si>
    <t>552-58-9</t>
  </si>
  <si>
    <t>C1(O)C=C2O[C@H](C3=CC=C(O)C(O)=C3)CC(=O)C2=C(O)C=1</t>
  </si>
  <si>
    <t>SBHXYTNGIZCORC-ZDUSSCGKSA-N</t>
  </si>
  <si>
    <t>7.97_672.3735m/z</t>
  </si>
  <si>
    <t>Phodia-Pg</t>
  </si>
  <si>
    <t>LMGP20060007</t>
  </si>
  <si>
    <t>[H][C@](O)(CO)COP(OC[C@]([H])(OC(CCCC(O)/C=C/C(=O)O)=O)COC(CCCCCCCCCCCCCCC)=O)(=O)O</t>
  </si>
  <si>
    <t>IZAWODGMBPNPBY-DVYIRHKNSA-N</t>
  </si>
  <si>
    <t>C30H55O13P</t>
  </si>
  <si>
    <t>1.54_393.0956m/z</t>
  </si>
  <si>
    <t>N-(4-Hydroxyphenyl)Ethoxycarbothioamide</t>
  </si>
  <si>
    <t>HMDB0033179</t>
  </si>
  <si>
    <t>53409-36-2</t>
  </si>
  <si>
    <t>CCOC(=S)NC1=CC=C(O)C=C1</t>
  </si>
  <si>
    <t>PUWHCBBKAJGINR-UHFFFAOYSA-N</t>
  </si>
  <si>
    <t>C9H11NO2S</t>
  </si>
  <si>
    <t>12.20_303.2327m/z</t>
  </si>
  <si>
    <t>Arachidonic Acid</t>
  </si>
  <si>
    <t>HMDB0001043</t>
  </si>
  <si>
    <t>LMFA01030001</t>
  </si>
  <si>
    <t>C00219</t>
  </si>
  <si>
    <t>ko00590,ko00591,ko01040,ko04216,ko04217,ko04270,ko04611,ko04664,ko04666,ko04723,ko04726,ko04730,ko04745,ko04750,ko04912,ko04913,ko04921,ko04923,ko04925,ko05140,ko05146</t>
  </si>
  <si>
    <t>Arachidonic acid metabolism|Linoleic acid metabolism|Biosynthesis of unsaturated fatty acids|Ferroptosis|Necroptosis|Vascular smooth muscle contraction|Platelet activation|Fc epsilon RI signaling pathway|Fc gamma R-mediated phagocytosis|Retrograde endocannabinoid signaling|Serotonergic synapse|Long-term depression|Phototransduction - fly|Inflammatory mediator regulation of TRP channels|GnRH signaling pathway|Ovarian steroidogenesis|Oxytocin signaling pathway|Regulation of lipolysis in adipocytes|Aldosterone synthesis and secretion|Leishmaniasis|Amoebiasis</t>
  </si>
  <si>
    <t>506-32-1</t>
  </si>
  <si>
    <t>C(O)(=O)CCC/C=C\C/C=C\C/C=C\C/C=C\CCCCC</t>
  </si>
  <si>
    <t>YZXBAPSDXZZRGB-DOFZRALJSA-N</t>
  </si>
  <si>
    <t>C20H32O2</t>
  </si>
  <si>
    <t>10.72_825.4793m/z</t>
  </si>
  <si>
    <t>PG(a-13:0/PGF1alpha)</t>
  </si>
  <si>
    <t>HMDB0270626</t>
  </si>
  <si>
    <t>CCCCC[C@H](O)\C=C\[C@H]1[C@H](O)C[C@H](O)[C@@H]1CCCCCCC(=O)O[C@H](COC(=O)CCCCCCCCC(C)CC)COP(O)(=O)OC[C@@H](O)CO</t>
  </si>
  <si>
    <t>JEPWZHYTOOFUSO-ZNDKPBBDSA-N</t>
  </si>
  <si>
    <t>C39H73O13P</t>
  </si>
  <si>
    <t>6.07_663.2619m/z</t>
  </si>
  <si>
    <t>Meta-O-Dealkylated Flecainide</t>
  </si>
  <si>
    <t>HMDB0060831</t>
  </si>
  <si>
    <t>OC1=CC=C(OCC(F)(F)F)C(=C1)C(=O)NCC1CCCCN1</t>
  </si>
  <si>
    <t>FVJPPEWHZCSTAC-UHFFFAOYSA-N</t>
  </si>
  <si>
    <t>C15H19F3N2O3</t>
  </si>
  <si>
    <t>11.84_725.4445m/z</t>
  </si>
  <si>
    <t>Bis(4-Methoxybenzoyl)-3a,29-Dihydroxy-8-Multifloren-7-One</t>
  </si>
  <si>
    <t>HMDB0039970</t>
  </si>
  <si>
    <t>361475-68-5</t>
  </si>
  <si>
    <t>COC1=CC=C(C=C1)C(=O)OCC1(C)CCC2(C)CCC3(C)C4=C(CCC3(C)C2C1)C1(C)CCC(OC(=O)C2=CC=C(OC)C=C2)C(C)(C)C1CC4=O</t>
  </si>
  <si>
    <t>XIPDKLJUGQQUJU-UHFFFAOYSA-N</t>
  </si>
  <si>
    <t>C46H60O7</t>
  </si>
  <si>
    <t>13.51_561.3923m/z</t>
  </si>
  <si>
    <t>PA(10:0/17:0)</t>
  </si>
  <si>
    <t>HMDB0114774</t>
  </si>
  <si>
    <t>[H][C@@](COC(=O)CCCCCCCCC)(COP(O)(O)=O)OC(=O)CCCCCCCCCCCCCCCC</t>
  </si>
  <si>
    <t>PFOQLRFDXOUOJU-MUUNZHRXSA-N</t>
  </si>
  <si>
    <t>C30H59O8P</t>
  </si>
  <si>
    <t>1.84_267.1084m/z</t>
  </si>
  <si>
    <t>5-Deoxy-D-Ribose</t>
  </si>
  <si>
    <t>HMDB0246776</t>
  </si>
  <si>
    <t>CC(O)C(O)C(O)C=O</t>
  </si>
  <si>
    <t>WDRISBUVHBMJEF-UHFFFAOYSA-N</t>
  </si>
  <si>
    <t>C5H10O4</t>
  </si>
  <si>
    <t>3.51_452.1313n</t>
  </si>
  <si>
    <t>(-)-Epicatechin 6-C-Glucoside</t>
  </si>
  <si>
    <t>HMDB0037399</t>
  </si>
  <si>
    <t>103215-49-2</t>
  </si>
  <si>
    <t>OC[C@H]1OC([C@H](O)[C@@H](O)[C@@H]1O)C1=C(O)C=C2O[C@@H]([C@H](O)CC2=C1O)C1=CC(O)=C(O)C=C1</t>
  </si>
  <si>
    <t>PWMSPKVTJLJDDS-NOCOPWLTSA-N</t>
  </si>
  <si>
    <t>0.67_236.0796m/z</t>
  </si>
  <si>
    <t>L-Histidine Trimethylbetaine</t>
  </si>
  <si>
    <t>HMDB0029422</t>
  </si>
  <si>
    <t>C05575</t>
  </si>
  <si>
    <t>ko00340</t>
  </si>
  <si>
    <t>Histidine metabolism</t>
  </si>
  <si>
    <t>534-30-5</t>
  </si>
  <si>
    <t>C[N+](C)(C)C(CC1=CN=CN1)C([O-])=O</t>
  </si>
  <si>
    <t>GPPYTCRVKHULJH-UHFFFAOYSA-N</t>
  </si>
  <si>
    <t>C9H15N3O2</t>
  </si>
  <si>
    <t>5.87_736.3091n</t>
  </si>
  <si>
    <t>Hydroxy Ritonavir</t>
  </si>
  <si>
    <t>HMDB0061044</t>
  </si>
  <si>
    <t>CC(C)[C@H](NC(=O)N(C)CC1=CSC(=N1)C(C)(C)O)C(=O)N[C@H](C[C@H](O)[C@H](CC1=CC=CC=C1)NC(=O)OCC1=CN=CS1)CC1=CC=CC=C1</t>
  </si>
  <si>
    <t>CLEDZMPJHBBTNZ-QJANCWQKSA-N</t>
  </si>
  <si>
    <t>C37H48N6O6S2</t>
  </si>
  <si>
    <t>4.84_679.3755m/z</t>
  </si>
  <si>
    <t>Methantheline</t>
  </si>
  <si>
    <t>HMDB0015075</t>
  </si>
  <si>
    <t>C07849</t>
  </si>
  <si>
    <t>5818-17-7</t>
  </si>
  <si>
    <t>CC[N+](C)(CC)CCOC(=O)C1C2=CC=CC=C2OC2=CC=CC=C12</t>
  </si>
  <si>
    <t>GZHFODJQISUKAY-UHFFFAOYSA-N</t>
  </si>
  <si>
    <t>C21H26NO3+</t>
  </si>
  <si>
    <t>4.77_425.2162m/z</t>
  </si>
  <si>
    <t>Cinitapride</t>
  </si>
  <si>
    <t>HMDB0015698</t>
  </si>
  <si>
    <t>66564-14-5</t>
  </si>
  <si>
    <t>CCOC1=CC(N)=C(C=C1C(=O)NC1CCN(CC2CCC=CC2)CC1)[N+]([O-])=O</t>
  </si>
  <si>
    <t>ZDLBNXXKDMLZMF-UHFFFAOYSA-N</t>
  </si>
  <si>
    <t>C21H30N4O4</t>
  </si>
  <si>
    <t>0.78_189.0636n</t>
  </si>
  <si>
    <t>N-Acetyl-L-Glutamic Acid</t>
  </si>
  <si>
    <t>HMDB0001138</t>
  </si>
  <si>
    <t>C00624</t>
  </si>
  <si>
    <t>ko00220</t>
  </si>
  <si>
    <t>Arginine biosynthesis</t>
  </si>
  <si>
    <t>1188-37-0</t>
  </si>
  <si>
    <t>CC(=O)N[C@@H](CCC(O)=O)C(O)=O</t>
  </si>
  <si>
    <t>RFMMMVDNIPUKGG-YFKPBYRVSA-N</t>
  </si>
  <si>
    <t>C7H11NO5</t>
  </si>
  <si>
    <t>9.37_541.2408m/z</t>
  </si>
  <si>
    <t>2beta-Acetoxy-3,5-Di-O-Acetylhellebrigenin</t>
  </si>
  <si>
    <t>LMST01130047</t>
  </si>
  <si>
    <t>C1[C@@]2(C=O)[C@](OC(C)=O)(CC[C@]3([H])[C@]2([H])CC[C@]2(C)[C@@]([H])(C4C=CC(=O)OC=4)CC[C@]32O)C[C@@H](OC(C)=O)[C@H]1OC(C)=O</t>
  </si>
  <si>
    <t>DVNCUYADCHDELL-IXMRLRNZSA-N</t>
  </si>
  <si>
    <t>0.93_222.9830m/z</t>
  </si>
  <si>
    <t>5-(Methylthio)-2,3-Dioxopentyl Phosphate</t>
  </si>
  <si>
    <t>HMDB0059620</t>
  </si>
  <si>
    <t>C15650</t>
  </si>
  <si>
    <t>115974-73-7</t>
  </si>
  <si>
    <t>CSCCC(=O)C(=O)COP(O)(O)=O</t>
  </si>
  <si>
    <t>HKEAOVFNWRDVAJ-UHFFFAOYSA-N</t>
  </si>
  <si>
    <t>C6H11O6PS</t>
  </si>
  <si>
    <t>4.29_135.1047n</t>
  </si>
  <si>
    <t>3-Phenylpropylamine</t>
  </si>
  <si>
    <t>HMDB0245973</t>
  </si>
  <si>
    <t>NCCCC1=CC=CC=C1</t>
  </si>
  <si>
    <t>LYUQWQRTDLVQGA-UHFFFAOYSA-N</t>
  </si>
  <si>
    <t>Phenylpropylamines</t>
  </si>
  <si>
    <t>C9H13N</t>
  </si>
  <si>
    <t>9.60_325.2018m/z</t>
  </si>
  <si>
    <t>12s-Hhtre</t>
  </si>
  <si>
    <t>HMDB0012535</t>
  </si>
  <si>
    <t>LMFA03050002</t>
  </si>
  <si>
    <t>C20388</t>
  </si>
  <si>
    <t>54397-84-1</t>
  </si>
  <si>
    <t>C(=C/C/C=C/C=C/[C@@H](O)CCCCC)/CCCC(=O)O</t>
  </si>
  <si>
    <t>KUKJHGXXZWHSBG-WBGSEQOASA-N</t>
  </si>
  <si>
    <t>C17H28O3</t>
  </si>
  <si>
    <t>9.68_413.2542m/z</t>
  </si>
  <si>
    <t>Alpha-Cortol</t>
  </si>
  <si>
    <t>HMDB0003180</t>
  </si>
  <si>
    <t>LMST02030228</t>
  </si>
  <si>
    <t>C05482</t>
  </si>
  <si>
    <t>516-38-1</t>
  </si>
  <si>
    <t>C[C@@]12C[C@@H](O)[C@@H]3[C@H](CC[C@H]4C[C@@H](O)CC[C@]43C)[C@H]1CC[C@@]2(O)[C@H](O)CO</t>
  </si>
  <si>
    <t>FFPUNPBUZDTHJI-XPOJVAQCSA-N</t>
  </si>
  <si>
    <t>4.65_519.2058m/z</t>
  </si>
  <si>
    <t>Elinafide</t>
  </si>
  <si>
    <t>HMDB0251747</t>
  </si>
  <si>
    <t>O=C1N(CCNCCCNCCN2C(=O)C3=CC=CC4=C3C(=CC=C4)C2=O)C(=O)C2=CC=CC3=C2C1=CC=C3</t>
  </si>
  <si>
    <t>QUNOQBDEVTWCTA-UHFFFAOYSA-N</t>
  </si>
  <si>
    <t>C31H28N4O4</t>
  </si>
  <si>
    <t>9.64_857.4419m/z</t>
  </si>
  <si>
    <t>Dinophysistoxin 1</t>
  </si>
  <si>
    <t>HMDB0030442</t>
  </si>
  <si>
    <t>C16870</t>
  </si>
  <si>
    <t>81720-10-7</t>
  </si>
  <si>
    <t>CC(CC(O)C1OC2CCC3(CCC(O3)\C=C\C(C)C3CC(C)=CC4(OC(CC(C)(O)C(O)=O)CCC4O)O3)OC2C(O)C1=C)C1OC2(CCC1C)OCCCC2C</t>
  </si>
  <si>
    <t>CLBIEZBAENPDFY-ZHACJKMWSA-N</t>
  </si>
  <si>
    <t>C45H70O13</t>
  </si>
  <si>
    <t>4.47_759.2693m/z</t>
  </si>
  <si>
    <t>Varespladib</t>
  </si>
  <si>
    <t>HMDB0259766</t>
  </si>
  <si>
    <t>CCC1=C(C(=O)C(N)=O)C2=C(OCC(O)=O)C=CC=C2N1CC1=CC=CC=C1</t>
  </si>
  <si>
    <t>BHLXTPHDSZUFHR-UHFFFAOYSA-N</t>
  </si>
  <si>
    <t>C21H20N2O5</t>
  </si>
  <si>
    <t>0.87_259.0068m/z</t>
  </si>
  <si>
    <t>Bis-A-Tda</t>
  </si>
  <si>
    <t>HMDB0249237</t>
  </si>
  <si>
    <t>C(NC1=NN=CS1)NC1=NN=CS1</t>
  </si>
  <si>
    <t>WMAHFAYLCMTHCB-UHFFFAOYSA-N</t>
  </si>
  <si>
    <t>C5H6N6S2</t>
  </si>
  <si>
    <t>4.68_486.2981n</t>
  </si>
  <si>
    <t>(25r)-12beta-Acetyl-17alpha-Hydroxyspirost-4-En-3-One</t>
  </si>
  <si>
    <t>LMST01080099</t>
  </si>
  <si>
    <t>C1[C@]2(C)[C@@]3([H])C[C@@H](OC(=O)C)[C@]4(C)[C@@]5(O)[C@@H]([C@]6(O[C@H]5C[C@@]4([H])[C@]3([H])CCC2=CC(=O)C1)CC[C@@]([H])(C)CO6)C</t>
  </si>
  <si>
    <t>HHCVYWVYZQZTGU-KFRJKGBGSA-N</t>
  </si>
  <si>
    <t>C29H42O6</t>
  </si>
  <si>
    <t>7.90_733.3433m/z</t>
  </si>
  <si>
    <t>LPIM1(16:0/0:0)</t>
  </si>
  <si>
    <t>LMGP15040001</t>
  </si>
  <si>
    <t>[C@](COP(O[C@H]1[C@@H](O)[C@@H](O)[C@H](O)[C@@H](O)[C@@H]1O[C@@H]1[C@@H](O)[C@@H](O)[C@H](O)[C@@H](CO)O1)(=O)O)([H])(O)COC(CCCCCCCCCCCCCCC)=O</t>
  </si>
  <si>
    <t>AEVWOKSHDQIAIR-MHQWINFDSA-N</t>
  </si>
  <si>
    <t>C31H59O17P</t>
  </si>
  <si>
    <t>12.77_461.3624m/z</t>
  </si>
  <si>
    <t>Klyflaccisteroid L</t>
  </si>
  <si>
    <t>LMST01060042</t>
  </si>
  <si>
    <t>C1C[C@H](O)CC2=C[C@@H](O)[C@@]3([H])[C@]4([H])CC[C@]([H])([C@H](C)[C@H]5C[C@]5(C)[C@H](C)C(C)C)[C@@]4(C)CO[C@]3(O)[C@@]12C</t>
  </si>
  <si>
    <t>YAZCUSQPIROPMP-JTVWJQKOSA-N</t>
  </si>
  <si>
    <t>C29H48O4</t>
  </si>
  <si>
    <t>10.25_654.2672n</t>
  </si>
  <si>
    <t>Coproporphyrin Iii</t>
  </si>
  <si>
    <t>HMDB0000570</t>
  </si>
  <si>
    <t>C05770</t>
  </si>
  <si>
    <t>14643-66-4</t>
  </si>
  <si>
    <t>CC1=C(CCC(O)=O)/C2=C/C3=N/C(=C\C4=C(C)C(CCC(O)=O)=C(N4)/C=C4\N=C(\C=C\1/N\2)C(C)=C4CCC(O)=O)/C(CCC(O)=O)=C3C</t>
  </si>
  <si>
    <t>JWFCYWSMNRLXLX-UJJXFSCMSA-N</t>
  </si>
  <si>
    <t>C36H38N4O8</t>
  </si>
  <si>
    <t>3.88_210.0760m/z</t>
  </si>
  <si>
    <t>Pretyrosine</t>
  </si>
  <si>
    <t>HMDB0304809</t>
  </si>
  <si>
    <t>C00826</t>
  </si>
  <si>
    <t>[H][C@](N)(CC1(C=CC([H])(O)C=C1)C(O)=O)C(O)=O</t>
  </si>
  <si>
    <t>MIEILDYWGANZNH-DSQUFTABSA-N</t>
  </si>
  <si>
    <t>C10H13NO5</t>
  </si>
  <si>
    <t>1.32_281.0275m/z</t>
  </si>
  <si>
    <t>3-[[(2r)-2-Acetamido-2-Carboxyethyl]Disulfanyl]-2-Aminopropanoic Acid</t>
  </si>
  <si>
    <t>HMDB0247775</t>
  </si>
  <si>
    <t>CC(=O)NC(CSSCC(N)C(O)=O)C(O)=O</t>
  </si>
  <si>
    <t>ZLCOWUKVVFVVKA-UHFFFAOYSA-N</t>
  </si>
  <si>
    <t>C8H14N2O5S2</t>
  </si>
  <si>
    <t>11.56_341.2108m/z</t>
  </si>
  <si>
    <t>14-Epi-14-J4-Neurop</t>
  </si>
  <si>
    <t>LMFA04010499</t>
  </si>
  <si>
    <t>C(CC/C=C\C[C@H]1C=CC(=O)[C@H]1/C=C/[C@H](O)C/C=C\C/C=C\CC)(=O)O</t>
  </si>
  <si>
    <t>SLTMIIJERDOHIQ-DQKNRYEOSA-N</t>
  </si>
  <si>
    <t>3.66_430.1681m/z</t>
  </si>
  <si>
    <t>Dibutyryl Adenosine</t>
  </si>
  <si>
    <t>HMDB0251178</t>
  </si>
  <si>
    <t>CCCC(=O)C(O)(C1OC(C(O)C1O)N1C=NC2=C1N=CN=C2N)C(=O)CCC</t>
  </si>
  <si>
    <t>YBPWNFMPWVRSOD-UHFFFAOYSA-N</t>
  </si>
  <si>
    <t>C18H25N5O6</t>
  </si>
  <si>
    <t>6.39_557.2958m/z</t>
  </si>
  <si>
    <t>Pregnanetriol 3a-O-B-D-Glucuronide</t>
  </si>
  <si>
    <t>HMDB0247360</t>
  </si>
  <si>
    <t>CC(O)C1(O)CCC2C3CCC4CC(CCC4(C)C3CCC12C)OC1OC(C(O)C(O)C1O)C(O)=O</t>
  </si>
  <si>
    <t>DUXHVCKABSGLJH-UHFFFAOYSA-N</t>
  </si>
  <si>
    <t>C27H44O9</t>
  </si>
  <si>
    <t>4.40_275.0911m/z</t>
  </si>
  <si>
    <t>Epiafzelechin</t>
  </si>
  <si>
    <t>HMDB0030822</t>
  </si>
  <si>
    <t>LMPK12020036</t>
  </si>
  <si>
    <t>C12128</t>
  </si>
  <si>
    <t>24808-04-6</t>
  </si>
  <si>
    <t>C1(O)C=C2O[C@H](C3C=CC(O)=CC=3)[C@H](O)CC2=C(O)C=1</t>
  </si>
  <si>
    <t>RSYUFYQTACJFML-UKRRQHHQSA-N</t>
  </si>
  <si>
    <t>C15H14O5</t>
  </si>
  <si>
    <t>4.19_261.0877m/z</t>
  </si>
  <si>
    <t>Aspartylphenylalanine</t>
  </si>
  <si>
    <t>HMDB0000706</t>
  </si>
  <si>
    <t>13433-09-5</t>
  </si>
  <si>
    <t>N[C@@H](CC(O)=O)C(=O)N[C@@H](CC1=CC=CC=C1)C(O)=O</t>
  </si>
  <si>
    <t>YZQCXOFQZKCETR-UWVGGRQHSA-N</t>
  </si>
  <si>
    <t>C13H16N2O5</t>
  </si>
  <si>
    <t>5.47_433.1503m/z</t>
  </si>
  <si>
    <t>Catechin 3-Hexanoate</t>
  </si>
  <si>
    <t>LMPK12020285</t>
  </si>
  <si>
    <t>C1(C=CC(O)=C(O)C=1)[C@@H]1[C@@H](OC(=O)CCCCC)CC2C(O)=CC(O)=CC=2O1</t>
  </si>
  <si>
    <t>BUJKDCHBKBKPGU-PZJWPPBQSA-N</t>
  </si>
  <si>
    <t>2.79_255.0507m/z</t>
  </si>
  <si>
    <t>(2r,3s)-Piscidic Acid</t>
  </si>
  <si>
    <t>HMDB0030809</t>
  </si>
  <si>
    <t>35388-57-9</t>
  </si>
  <si>
    <t>OC(C(O)=O)C(O)(CC1=CC=C(O)C=C1)C(O)=O</t>
  </si>
  <si>
    <t>TUODPMGCCJSJRH-UHFFFAOYSA-N</t>
  </si>
  <si>
    <t>C11H12O7</t>
  </si>
  <si>
    <t>5.26_721.2139m/z</t>
  </si>
  <si>
    <t>5-Hydroxyomeprazole</t>
  </si>
  <si>
    <t>HMDB0014010</t>
  </si>
  <si>
    <t>92340-57-3</t>
  </si>
  <si>
    <t>COC1=CC2=C(C=C1)N=C(N2)S(=O)CC1=NC=C(CO)C(OC)=C1C</t>
  </si>
  <si>
    <t>CMZHQFXXAAIBKE-UHFFFAOYSA-N</t>
  </si>
  <si>
    <t>Benzimidazoles</t>
  </si>
  <si>
    <t>Sulfinylbenzimidazoles</t>
  </si>
  <si>
    <t>C17H19N3O4S</t>
  </si>
  <si>
    <t>8.32_491.2269m/z</t>
  </si>
  <si>
    <t>Eleutherazine B</t>
  </si>
  <si>
    <t>CC(=CC(=O)NCCCC1C(=O)NC(C(=O)N1)CCCNC(=O)C=C(C)CCO)CCO</t>
  </si>
  <si>
    <t>CNQCBOHTKBVCFM-URISWADMSA-N</t>
  </si>
  <si>
    <t>C22H36N4O6</t>
  </si>
  <si>
    <t>5.34_679.2566m/z</t>
  </si>
  <si>
    <t>Sophoraflavanone B</t>
  </si>
  <si>
    <t>HMDB0247465</t>
  </si>
  <si>
    <t>LMPK12140279</t>
  </si>
  <si>
    <t>C18023</t>
  </si>
  <si>
    <t>C1(O)=C(C/C=C(/C)\C)C2OC(C3C=CC(O)=CC=3)CC(=O)C=2C(O)=C1</t>
  </si>
  <si>
    <t>LPEPZZAVFJPLNZ-UHFFFAOYSA-N</t>
  </si>
  <si>
    <t>3.69_470.1300m/z</t>
  </si>
  <si>
    <t>4-Hydroxy Duloxetine Glucuronide</t>
  </si>
  <si>
    <t>HMDB0060763</t>
  </si>
  <si>
    <t>CNCC[C@H](OC1=CC=C(O[C@@H]2O[C@@H]([C@@H](O)[C@H](O)[C@H]2O)C(O)=O)C2=CC=CC=C12)C1=CC=CS1</t>
  </si>
  <si>
    <t>OBIZFSZXDHWUJZ-ANUWOGMRSA-N</t>
  </si>
  <si>
    <t>C24H27NO8S</t>
  </si>
  <si>
    <t>6.07_721.3543m/z</t>
  </si>
  <si>
    <t>Rac S 33138</t>
  </si>
  <si>
    <t>HMDB0257083</t>
  </si>
  <si>
    <t>CC(=O)NC1=CC=C(CCN2CC3COC4=C(C=C(C=C4)C#N)C3C2)C=C1</t>
  </si>
  <si>
    <t>ZDZWIQDJFWTDAM-UHFFFAOYSA-N</t>
  </si>
  <si>
    <t>C22H23N3O2</t>
  </si>
  <si>
    <t>7.55_558.3430m/z</t>
  </si>
  <si>
    <t>Ciclesonide</t>
  </si>
  <si>
    <t>HMDB0015480</t>
  </si>
  <si>
    <t>141845-82-1</t>
  </si>
  <si>
    <t>[H][C@@]12C[C@@]3([H])[C@]4([H])CCC5=CC(=O)C=C[C@]5(C)[C@@]4([H])[C@@H](O)C[C@]3(C)[C@@]1(OC(O2)C1CCCCC1)C(=O)COC(=O)C(C)C</t>
  </si>
  <si>
    <t>LUKZNWIVRBCLON-FOMURGDPSA-N</t>
  </si>
  <si>
    <t>C32H44O7</t>
  </si>
  <si>
    <t>4.82_325.1542m/z</t>
  </si>
  <si>
    <t>Carbocysteine-Lysine</t>
  </si>
  <si>
    <t>HMDB0249634</t>
  </si>
  <si>
    <t>NCCCCC(NC(=O)C(N)CSCC(O)=O)C(O)=O</t>
  </si>
  <si>
    <t>ZXFWVUHYOBPQHY-UHFFFAOYSA-N</t>
  </si>
  <si>
    <t>C11H21N3O5S</t>
  </si>
  <si>
    <t>6.63_723.3575m/z</t>
  </si>
  <si>
    <t>1-Acetyl-3,14,20-Trihydroxywitha-5,24-Dienolide 3-Glucoside</t>
  </si>
  <si>
    <t>HMDB0033572</t>
  </si>
  <si>
    <t>227179-07-9</t>
  </si>
  <si>
    <t>CC(=O)OC1CC(CC2=CCC3C(CCC4(C)C(CCC34O)C(C)(O)C3CC(C)=C(C)C(=O)O3)C12C)OC1OC(CO)C(O)C(O)C1O</t>
  </si>
  <si>
    <t>ACXRDVCAKSUCPM-UHFFFAOYSA-N</t>
  </si>
  <si>
    <t>C36H54O12</t>
  </si>
  <si>
    <t>4.12_485.1455m/z</t>
  </si>
  <si>
    <t>Butyrolactone Derivative</t>
  </si>
  <si>
    <t>HMDB0249481</t>
  </si>
  <si>
    <t>COC(=O)C1(CC2=CC=C3OC(C)(C)C(O)CC3=C2)OC(=O)C(O)=C1C1=CC=C(O)C=C1</t>
  </si>
  <si>
    <t>NSXYYYUKWBLFQH-UHFFFAOYSA-N</t>
  </si>
  <si>
    <t>C24H24O8</t>
  </si>
  <si>
    <t>11.00_268.2401n</t>
  </si>
  <si>
    <t>11-Cyclohexylundecanoic Acid</t>
  </si>
  <si>
    <t>HMDB0030997</t>
  </si>
  <si>
    <t>LMFA01140007</t>
  </si>
  <si>
    <t>C12100</t>
  </si>
  <si>
    <t>C1CC(CCCCCCCCCCC(=O)O)CCC1</t>
  </si>
  <si>
    <t>WFTPSUGFEZHCGU-UHFFFAOYSA-N</t>
  </si>
  <si>
    <t>12.16_970.6106m/z</t>
  </si>
  <si>
    <t>PC(22:0/6 keto-PGF1alpha)</t>
  </si>
  <si>
    <t>HMDB0287791</t>
  </si>
  <si>
    <t>CCCCCCCCCCCCCCCCCCCCCC(=O)OC[C@H](COP([O-])(=O)OCC[N+](C)(C)C)OC(=O)CCCCC(=O)C[C@H]1[C@@H](O)C[C@@H](O)[C@@H]1\C=C\[C@@H](O)CCCCC</t>
  </si>
  <si>
    <t>KBEDSIQQDNJLAR-XAHXGJFASA-N</t>
  </si>
  <si>
    <t>C50H94NO12P</t>
  </si>
  <si>
    <t>4.84_801.2610m/z</t>
  </si>
  <si>
    <t>Sar115740</t>
  </si>
  <si>
    <t>C1=CC(=CC(=C1)F)CN2C3=C(C=C(C=C3)F)C=C2C(=O)NC4=CC5=C(C=C4)NC=C5</t>
  </si>
  <si>
    <t>OCSHTBUKRNOLMC-UHFFFAOYSA-N</t>
  </si>
  <si>
    <t>C24H17F2N3O</t>
  </si>
  <si>
    <t>4.45_254.1305n</t>
  </si>
  <si>
    <t>4-(Tert-Butyl)Phenyl Benzoate</t>
  </si>
  <si>
    <t>CC(C)(C)C1=CC=C(C=C1)OC(=O)C2=CC=CC=C2</t>
  </si>
  <si>
    <t>OWZCLYMEMJOKAC-UHFFFAOYSA-N</t>
  </si>
  <si>
    <t>6.39_497.2757m/z</t>
  </si>
  <si>
    <t>DG(2:0/20:4(6Z,8E,10E,14Z)-2OH(5S,12R)/0:0)</t>
  </si>
  <si>
    <t>HMDB0296927</t>
  </si>
  <si>
    <t>CCCCC\C=C/C[C@H](O)\C=C\C=C\C=C/[C@H](O)CCCC(=O)O[C@@H](CO)COC(C)=O</t>
  </si>
  <si>
    <t>NJCPJEWGESLRSC-PJWHYACISA-N</t>
  </si>
  <si>
    <t>C25H40O7</t>
  </si>
  <si>
    <t>4.21_1036.3578m/z</t>
  </si>
  <si>
    <t>3-Hydroxyheptadecanoyl-Coa</t>
  </si>
  <si>
    <t>HMDB0301295</t>
  </si>
  <si>
    <t>CCCCCCCCCCCCCCC(O)CC(=O)SCCNC(=O)CCNC(=O)C(O)C(C)(C)COP(O)(=O)OP(O)(=O)OCC1OC(C(O)C1OP(O)(O)=O)N1C=NC2=C1N=CN=C2N</t>
  </si>
  <si>
    <t>WSVGZMBRZBPVEM-UHFFFAOYSA-N</t>
  </si>
  <si>
    <t>C38H68N7O18P3S</t>
  </si>
  <si>
    <t>4.74_336.1862m/z</t>
  </si>
  <si>
    <t>Imidazolone A</t>
  </si>
  <si>
    <t>HMDB0253421</t>
  </si>
  <si>
    <t>NC(CCCN=C1NC(CC(O)C(O)CO)C(=O)N1)C(O)=O</t>
  </si>
  <si>
    <t>HZDLKNOGBSMKRN-UHFFFAOYSA-N</t>
  </si>
  <si>
    <t>C12H22N4O6</t>
  </si>
  <si>
    <t>9.82_503.2065m/z</t>
  </si>
  <si>
    <t>Artonin M</t>
  </si>
  <si>
    <t>LMPK12111515</t>
  </si>
  <si>
    <t>C12C(=O)C3CC4C(CC/C=C(\C)/C)(C)OC5=C(O)C=C(O)C(C=3OC=1C=C1OC(C)(C)C=CC1=C2O)=C45</t>
  </si>
  <si>
    <t>AKJMHCXQYHWXIY-UHFFFAOYSA-N</t>
  </si>
  <si>
    <t>C30H30O7</t>
  </si>
  <si>
    <t>5.65_585.2567m/z</t>
  </si>
  <si>
    <t>Paclobutrazol</t>
  </si>
  <si>
    <t>C18479</t>
  </si>
  <si>
    <t>76738-62-0</t>
  </si>
  <si>
    <t>CC(C)(C)C(C(CC1=CC=C(C=C1)Cl)N2C=NC=N2)O</t>
  </si>
  <si>
    <t>RMOGWMIKYWRTKW-KGLIPLIRSA-N</t>
  </si>
  <si>
    <t>C15H20ClN3O</t>
  </si>
  <si>
    <t>8.71_624.3525m/z</t>
  </si>
  <si>
    <t>Phodia-Pe</t>
  </si>
  <si>
    <t>LMGP20020021</t>
  </si>
  <si>
    <t>[C@](COP(=O)(O)OCCN)([H])(OC(CCCC(O)/C=C/C(=O)O)=O)COC(CCCCCCCCCCCCCCC)=O</t>
  </si>
  <si>
    <t>GHAGXTIPRXJPAN-MDRDBUOMSA-N</t>
  </si>
  <si>
    <t>C29H54NO11P</t>
  </si>
  <si>
    <t>2.50_627.1930m/z</t>
  </si>
  <si>
    <t>10-Acetoxyligustroside</t>
  </si>
  <si>
    <t>HMDB0035217</t>
  </si>
  <si>
    <t>57799-95-8</t>
  </si>
  <si>
    <t>COC(=O)C1=COC(OC2OC(CO)C(O)C(O)C2O)\C(=C\COC(C)=O)C1CC(=O)OCCC1=CC=C(O)C=C1</t>
  </si>
  <si>
    <t>DKRXODJAISNRGA-CAOOACKPSA-N</t>
  </si>
  <si>
    <t>C27H34O14</t>
  </si>
  <si>
    <t>5.49_349.1652m/z</t>
  </si>
  <si>
    <t>Latanoprost Lactone Diol</t>
  </si>
  <si>
    <t>145667-75-0</t>
  </si>
  <si>
    <t>C1C(C(C2C1OC(=O)C2)CCC(CCC3=CC=CC=C3)O)O</t>
  </si>
  <si>
    <t>CQVHXVLSHMRWEC-UTSKFRMZSA-N</t>
  </si>
  <si>
    <t>C18H24O4</t>
  </si>
  <si>
    <t>4.86_461.1580m/z</t>
  </si>
  <si>
    <t>3b,8b-Dihydroxy-6b-(3-Chloro-2-Hydroxy-2-Methylbutanoyloxy)-7(11)-Eremophilen-12,8-Olide</t>
  </si>
  <si>
    <t>HMDB0036524</t>
  </si>
  <si>
    <t>264607-21-8</t>
  </si>
  <si>
    <t>CC(Cl)C(C)(O)C(=O)OC1C2=C(C)C(=O)OC2(O)CC2CCC(O)C(C)C12C</t>
  </si>
  <si>
    <t>IYBZGGXFPLMHRX-UHFFFAOYSA-N</t>
  </si>
  <si>
    <t>C20H29ClO7</t>
  </si>
  <si>
    <t>10.99_269.2120m/z</t>
  </si>
  <si>
    <t>5,10-Pentadecadien-1-Ol</t>
  </si>
  <si>
    <t>HMDB0031111</t>
  </si>
  <si>
    <t>LMFA05000631</t>
  </si>
  <si>
    <t>OCCCC/C=C/CCC/C=C/CCCC</t>
  </si>
  <si>
    <t>KKBFAANQNYGLKU-RINXSNKBSA-N</t>
  </si>
  <si>
    <t>C15H28O</t>
  </si>
  <si>
    <t>3.88_223.0853n</t>
  </si>
  <si>
    <t>N-Acetyl-L-Tyrosine</t>
  </si>
  <si>
    <t>HMDB0000866</t>
  </si>
  <si>
    <t>537-55-3</t>
  </si>
  <si>
    <t>CC(=O)N[C@@H](CC1=CC=C(O)C=C1)C(O)=O</t>
  </si>
  <si>
    <t>CAHKINHBCWCHCF-JTQLQIEISA-N</t>
  </si>
  <si>
    <t>C11H13NO4</t>
  </si>
  <si>
    <t>5.10_855.4801m/z</t>
  </si>
  <si>
    <t>PGP(a-17:0/18:1(12Z)-2OH(9,10))</t>
  </si>
  <si>
    <t>HMDB0274527</t>
  </si>
  <si>
    <t>[H][C@](O)(COP(O)(O)=O)COP(O)(=O)OC[C@@]([H])(COC(=O)CCCCCCCCCCCCC(C)CC)OC(=O)CCCCCCC[C@H](O)[C@@H](O)C\C=C/CCCCC</t>
  </si>
  <si>
    <t>OLOYEMNVVGQWAK-GUKOMVMQSA-N</t>
  </si>
  <si>
    <t>C41H80O15P2</t>
  </si>
  <si>
    <t>5.32_681.2715m/z</t>
  </si>
  <si>
    <t>Sulpiride</t>
  </si>
  <si>
    <t>HMDB0014535</t>
  </si>
  <si>
    <t>C12653</t>
  </si>
  <si>
    <t>15676-16-1</t>
  </si>
  <si>
    <t>CCN1CCCC1CNC(=O)C1=C(OC)C=CC(=C1)S(N)(=O)=O</t>
  </si>
  <si>
    <t>BGRJTUBHPOOWDU-UHFFFAOYSA-N</t>
  </si>
  <si>
    <t>C15H23N3O4S</t>
  </si>
  <si>
    <t>6.61_492.3097m/z</t>
  </si>
  <si>
    <t>PC(14:0/2:0)</t>
  </si>
  <si>
    <t>LMGP01010504</t>
  </si>
  <si>
    <t>[C@](COP(=O)([O-])OCC[N+](C)(C)C)([H])(OC(C)=O)COC(CCCCCCCCCCCCC)=O</t>
  </si>
  <si>
    <t>ZEECREVTOCXSIM-HSZRJFAPSA-N</t>
  </si>
  <si>
    <t>2.12_407.1191m/z</t>
  </si>
  <si>
    <t>3,5,6-Trihydroxy-5-(Hydroxymethyl)-2-Methoxy-2-Cyclohexen-1-One</t>
  </si>
  <si>
    <t>HMDB0041031</t>
  </si>
  <si>
    <t>76663-30-4</t>
  </si>
  <si>
    <t>COC1=C(O)CC(O)(CO)C(O)C1=O</t>
  </si>
  <si>
    <t>OPIUUJWCOWMEJN-UHFFFAOYSA-N</t>
  </si>
  <si>
    <t>C8H12O6</t>
  </si>
  <si>
    <t>11.25_397.2592m/z</t>
  </si>
  <si>
    <t>MG(0:0/18:3(6Z,9Z,12Z)/0:0)</t>
  </si>
  <si>
    <t>HMDB0011539</t>
  </si>
  <si>
    <t>[H]C(CO)(CO)OC(=O)CCCC\C=C/C\C=C/C\C=C/CCCCC</t>
  </si>
  <si>
    <t>BXAXVVVVPFELOK-QNEBEIHSSA-N</t>
  </si>
  <si>
    <t>5.80_902.3786m/z</t>
  </si>
  <si>
    <t>(D-Ala1)-Peptide T</t>
  </si>
  <si>
    <t>HMDB0260060</t>
  </si>
  <si>
    <t>CC(O)C(NC(=O)C(CC1=CC=C(O)C=C1)NC(=O)C(CC(N)=O)NC(=O)C(NC(=O)C(NC(=O)C(NC(=O)C(CO)NC(=O)C(C)N)C(C)O)C(C)O)C(C)O)C(O)=O</t>
  </si>
  <si>
    <t>IWHCAJPPWOMXNW-UHFFFAOYSA-N</t>
  </si>
  <si>
    <t>C35H55N9O16</t>
  </si>
  <si>
    <t>7.91_831.3608m/z</t>
  </si>
  <si>
    <t>N1,N5,N10,N14-Tetra-Trans-P-Coumaroylspermine</t>
  </si>
  <si>
    <t>HMDB0039963</t>
  </si>
  <si>
    <t>OC1=CC=C(\C=C\C(=O)NCCCN(CCCCN(CCCNC(=O)\C=C\C2=CC=C(O)C=C2)C(=O)\C=C\C2=CC=C(O)C=C2)C(=O)\C=C\C2=CC=C(O)C=C2)C=C1</t>
  </si>
  <si>
    <t>KKJYIHSXTUGJLP-BRJCPHQQSA-N</t>
  </si>
  <si>
    <t>C46H50N4O8</t>
  </si>
  <si>
    <t>12.38_391.2619m/z</t>
  </si>
  <si>
    <t>mLPA(O-16:0)</t>
  </si>
  <si>
    <t>LMGP00000064</t>
  </si>
  <si>
    <t>[C@](COP(=O)(O)OC)([H])(O)COCCCCCCCCCCCCCCCC</t>
  </si>
  <si>
    <t>IXJRAZBOBFNYIJ-HXUWFJFHSA-N</t>
  </si>
  <si>
    <t>C20H43O6P</t>
  </si>
  <si>
    <t>10.49_886.4912n</t>
  </si>
  <si>
    <t>16,23-Epoxy-5beta-Cholestane Triglycoside</t>
  </si>
  <si>
    <t>LMST05050027</t>
  </si>
  <si>
    <t>O([C@@]1([H])[C@@H]([C@@H]([C@H]([C@H](C)O1)O)O)O)[C@@H]1[C@@H](O)[C@H](O)[C@@H](CO)O[C@@]1([H])O[C@@H]1[C@@H](O)[C@H](O)[C@@H](CO)O[C@@]1([H])O[C@H]1CC[C@]2(C)[C@@]3([H])CC[C@]4(C)[C@@]5([H])[C@H](C)[C@@H](O)[C@H](/C=C(\C)/C)O[C@@]5([H])C[C@@]4([H])[C@]3</t>
  </si>
  <si>
    <t>AJNYRTVTKHEZMG-BYMWGYRGSA-N</t>
  </si>
  <si>
    <t>9.10_769.3687m/z</t>
  </si>
  <si>
    <t>Thalicpureine</t>
  </si>
  <si>
    <t>HMDB0033032</t>
  </si>
  <si>
    <t>218900-91-5</t>
  </si>
  <si>
    <t>CNCCC1=C(OC)C(OC)=C(OC)C2=C1C=CC1=C2C=C(OC)C(OC)=C1</t>
  </si>
  <si>
    <t>VMIFHEUVQQHIOK-UHFFFAOYSA-N</t>
  </si>
  <si>
    <t>6,6a-secoaporphines</t>
  </si>
  <si>
    <t>C22H27NO5</t>
  </si>
  <si>
    <t>3.79_385.0578m/z</t>
  </si>
  <si>
    <t>Oryzalin</t>
  </si>
  <si>
    <t>C18877</t>
  </si>
  <si>
    <t>19044-88-3</t>
  </si>
  <si>
    <t>CCCN(CCC)C1=C(C=C(C=C1[N+](=O)[O-])S(=O)(=O)N)[N+](=O)[O-]</t>
  </si>
  <si>
    <t>UNAHYJYOSSSJHH-UHFFFAOYSA-N</t>
  </si>
  <si>
    <t>C12H18N4O6S</t>
  </si>
  <si>
    <t>11.37_370.2949m/z</t>
  </si>
  <si>
    <t>MG(18:3(6Z,9Z,12Z)/0:0/0:0)</t>
  </si>
  <si>
    <t>HMDB0011569</t>
  </si>
  <si>
    <t>[H][C@](O)(CO)COC(=O)CCCC\C=C/C\C=C/C\C=C/CCCCC</t>
  </si>
  <si>
    <t>XQBHBEXBUZDCRY-FFXVNFNPSA-N</t>
  </si>
  <si>
    <t>5.58_139.0218m/z</t>
  </si>
  <si>
    <t>S-(4,5-Dihydro-2-Methyl-3-Furanyl) Ethanethioate</t>
  </si>
  <si>
    <t>HMDB0037786</t>
  </si>
  <si>
    <t>26486-14-6</t>
  </si>
  <si>
    <t>CC(=O)SC1=C(C)OCC1</t>
  </si>
  <si>
    <t>YDYAMYYOQBGPRX-UHFFFAOYSA-N</t>
  </si>
  <si>
    <t>C7H10O2S</t>
  </si>
  <si>
    <t>10.40_338.2091n</t>
  </si>
  <si>
    <t>1beta,3beta,5alpha,6beta-Tetrahydroxyandrostan-17-One</t>
  </si>
  <si>
    <t>LMST02020108</t>
  </si>
  <si>
    <t>C1[C@H](O)C[C@@]2(O)[C@@](C)([C@@]3([H])CC[C@]4(C)C(=O)CC[C@@]4([H])[C@]3([H])C[C@H]2O)[C@@H]1O</t>
  </si>
  <si>
    <t>ONHQGXIEYFYVDF-MESRZZFMSA-N</t>
  </si>
  <si>
    <t>C19H30O5</t>
  </si>
  <si>
    <t>0.73_123.0551m/z</t>
  </si>
  <si>
    <t>Niacinamide</t>
  </si>
  <si>
    <t>HMDB0001406</t>
  </si>
  <si>
    <t>C00153</t>
  </si>
  <si>
    <t>ko00760,ko04212,ko04977</t>
  </si>
  <si>
    <t>Nicotinate and nicotinamide metabolism|Longevity regulating pathway - worm|Vitamin digestion and absorption</t>
  </si>
  <si>
    <t>98-92-0</t>
  </si>
  <si>
    <t>NC(=O)C1=CC=CN=C1</t>
  </si>
  <si>
    <t>DFPAKSUCGFBDDF-UHFFFAOYSA-N</t>
  </si>
  <si>
    <t>C6H6N2O</t>
  </si>
  <si>
    <t>7.85_291.1950m/z</t>
  </si>
  <si>
    <t>16-A1-Phytop</t>
  </si>
  <si>
    <t>LMFA02030059</t>
  </si>
  <si>
    <t>C(CCCCCCC[C@@H]1C(=O)C=C[C@@H]1/C=C/[C@@H](O)CC)(=O)O</t>
  </si>
  <si>
    <t>OXXJZDJLYSMGIQ-IQDGFBTQSA-N</t>
  </si>
  <si>
    <t>4.69_641.2438m/z</t>
  </si>
  <si>
    <t>(2r,3r,4e)-2,3-Dihydroxy-5-(Methylsulfanyl)Pent-4-Enoylcarnitine</t>
  </si>
  <si>
    <t>HMDB0241865</t>
  </si>
  <si>
    <t>CSC=CC(O)C(O)C(=O)OC(CC([O-])=O)C[N+](C)(C)C</t>
  </si>
  <si>
    <t>OUASMDLFFOSFCF-UHFFFAOYSA-N</t>
  </si>
  <si>
    <t>C13H23NO6S</t>
  </si>
  <si>
    <t>7.82_669.3487m/z</t>
  </si>
  <si>
    <t>Spongipregnoloside A</t>
  </si>
  <si>
    <t>LMST02030217</t>
  </si>
  <si>
    <t>[C@]12(CC=C3C[C@@H](O[C@H]4[C@H](O[C@H]5[C@H](O)[C@H](O)[C@@H](O)[C@H](C)O5)[C@@H](O)[C@H](O)[C@@H](CO)O4)CC[C@]3(C)[C@@]1([H])CC[C@]1(C)[C@@H](C(=O)C)CC[C@@]21[H])[H]</t>
  </si>
  <si>
    <t>RNGPDKGOULTCGD-XTMOBVPXSA-N</t>
  </si>
  <si>
    <t>C33H52O11</t>
  </si>
  <si>
    <t>9.50_1066.5506m/z</t>
  </si>
  <si>
    <t>CDP-DG(22:3(10Z,13Z,16Z)/18:2(10E,12Z)+=O(9))</t>
  </si>
  <si>
    <t>HMDB0292373</t>
  </si>
  <si>
    <t>[H][C@@](COC(=O)CCCCCCCC\C=C/C\C=C/C\C=C/CCCCCC)(COP(O)(=O)OP(O)(=O)OC[C@H]1O[C@H]([C@H](O)[C@@H]1O)N1C=CC(N)=NC1=O)OC(=O)CCCCCCCC(=O)\C=C\C=C/CCCCC</t>
  </si>
  <si>
    <t>YUEBVQJIXZAFMF-AKQSQQEISA-N</t>
  </si>
  <si>
    <t>C53H87N3O16P2</t>
  </si>
  <si>
    <t>9.27_249.1493m/z</t>
  </si>
  <si>
    <t>3,7-Dihydroxy-9,11-Eremophiladien-8-One</t>
  </si>
  <si>
    <t>CC1C(CCC2=CC(=O)C(CC12C)(C(=C)C)O)O</t>
  </si>
  <si>
    <t>SFNQVDIXXKZSCB-UEEZHKSASA-N</t>
  </si>
  <si>
    <t>C15H22O3</t>
  </si>
  <si>
    <t>2.52_429.1612m/z</t>
  </si>
  <si>
    <t>2,3-Butanediol Apiosylglucoside</t>
  </si>
  <si>
    <t>HMDB0033063</t>
  </si>
  <si>
    <t>CC(O)C(C)OC1OC(COC2OCC(O)(CO)C2O)C(O)C(O)C1O</t>
  </si>
  <si>
    <t>IXOASERJLNPXSS-UHFFFAOYSA-N</t>
  </si>
  <si>
    <t>C15H28O11</t>
  </si>
  <si>
    <t>12.39_481.2065m/z</t>
  </si>
  <si>
    <t>3'-Hydroxy-T2 Toxin</t>
  </si>
  <si>
    <t>HMDB0036601</t>
  </si>
  <si>
    <t>84474-35-1</t>
  </si>
  <si>
    <t>CC(=O)OCC12CC(OC(=O)CC(C)(C)O)C(C)=CC1OC1C(O)C(OC(C)=O)C2(C)C11CO1</t>
  </si>
  <si>
    <t>MLDQZNYFEGLVAS-UHFFFAOYSA-N</t>
  </si>
  <si>
    <t>C24H34O10</t>
  </si>
  <si>
    <t>10.91_321.2433m/z</t>
  </si>
  <si>
    <t>8-Hetre</t>
  </si>
  <si>
    <t>HMDB0060052</t>
  </si>
  <si>
    <t>CCCCC\C=C/C\C=C\C=C/[C@@H](O)CCCCCCC(O)=O</t>
  </si>
  <si>
    <t>SKIQVURLERJJCK-GMPUQMIZSA-N</t>
  </si>
  <si>
    <t>C20H34O3</t>
  </si>
  <si>
    <t>5.95_505.3170m/z</t>
  </si>
  <si>
    <t>(3beta,5alpha,9alpha,14alpha,22e,24r)-3,5,9,14-Tetrahydroxyergosta-7,22-Dien-6-One</t>
  </si>
  <si>
    <t>HMDB0032690</t>
  </si>
  <si>
    <t>211486-14-5</t>
  </si>
  <si>
    <t>CC(C)C(C)\C=C\C(C)C1CCC2(O)C3=CC(=O)C4(O)CC(O)CCC4(C)C3(O)CCC12C</t>
  </si>
  <si>
    <t>RLODFSODJNFIMP-BQYQJAHWSA-N</t>
  </si>
  <si>
    <t>C28H44O5</t>
  </si>
  <si>
    <t>0.66_565.0477m/z</t>
  </si>
  <si>
    <t>Uridine Diphosphate Glucose</t>
  </si>
  <si>
    <t>HMDB0000286</t>
  </si>
  <si>
    <t>C00029</t>
  </si>
  <si>
    <t>ko00040,ko00052,ko00053,ko00240,ko00500,ko00520,ko00524,ko00541,ko00561,ko00908,ko01051</t>
  </si>
  <si>
    <t>Pentose and glucuronate interconversions|Galactose metabolism|Ascorbate and aldarate metabolism|Pyrimidine metabolism|Starch and sucrose metabolism|Amino sugar and nucleotide sugar metabolism|Neomycin, kanamycin and gentamicin biosynthesis|O-Antigen nucleotide sugar biosynthesis|Glycerolipid metabolism|Zeatin biosynthesis|Biosynthesis of ansamycins</t>
  </si>
  <si>
    <t>133-89-1</t>
  </si>
  <si>
    <t>OC[C@H]1O[C@H](OP(O)(=O)OP(O)(=O)OC[C@H]2O[C@H]([C@H](O)[C@@H]2O)N2C=CC(=O)NC2=O)[C@H](O)[C@@H](O)[C@@H]1O</t>
  </si>
  <si>
    <t>HSCJRCZFDFQWRP-JZMIEXBBSA-N</t>
  </si>
  <si>
    <t>C15H24N2O17P2</t>
  </si>
  <si>
    <t>6.90_719.2554m/z</t>
  </si>
  <si>
    <t>Azadirachtin A</t>
  </si>
  <si>
    <t>LMPR0106100001</t>
  </si>
  <si>
    <t>C08748</t>
  </si>
  <si>
    <t>[C@@]12(O[C@@]1(C)[C@H]1C[C@@H]2O[C@@]2([H])[C@]1(O)C=CO2)[C@]1(C)[C@H](O)[C@@]2([H])[C@@]3([H])[C@@](CO2)(C(=O)OC)[C@@H](C[C@H](OC(=O)/C(/C)=C/C)[C@]23CO[C@](O)(C(=O)OC)[C@@]12[H])OC(=O)C</t>
  </si>
  <si>
    <t>FTNJWQUOZFUQQJ-NDAWSKJSSA-N</t>
  </si>
  <si>
    <t>8.86_578.3474m/z</t>
  </si>
  <si>
    <t>Chenodeoxycholyltyrosine</t>
  </si>
  <si>
    <t>HMDB0242398</t>
  </si>
  <si>
    <t>CC(CCC(=O)NC(CC1=CC=C(O)C=C1)C(O)=O)C1CCC2C3C(O)CC4CC(O)CCC4(C)C3CCC12C</t>
  </si>
  <si>
    <t>GADRVMPNTDRMDU-UHFFFAOYSA-N</t>
  </si>
  <si>
    <t>C33H49NO6</t>
  </si>
  <si>
    <t>4.38_525.1946m/z</t>
  </si>
  <si>
    <t>2-Decarboxybetanin</t>
  </si>
  <si>
    <t>HMDB0036378</t>
  </si>
  <si>
    <t>OCC1OC(OC2=C(O)C=C3C(CC\[N+]3=C\C=C3/CC(NC(=C3)C(O)=O)C(O)=O)=C2)C(O)C(O)C1O</t>
  </si>
  <si>
    <t>LHFIVCHVGBRMCE-UHFFFAOYSA-O</t>
  </si>
  <si>
    <t>C23H27N2O11+</t>
  </si>
  <si>
    <t>0.72_203.1502m/z</t>
  </si>
  <si>
    <t>Asymmetric Dimethylarginine</t>
  </si>
  <si>
    <t>HMDB0001539</t>
  </si>
  <si>
    <t>C03626</t>
  </si>
  <si>
    <t>30315-93-6</t>
  </si>
  <si>
    <t>N[C@@H](CCC\N=C(/N)N(C)C)C(O)=O</t>
  </si>
  <si>
    <t>YDGMGEXADBMOMJ-LURJTMIESA-N</t>
  </si>
  <si>
    <t>C8H18N4O2</t>
  </si>
  <si>
    <t>3.49_267.1438m/z</t>
  </si>
  <si>
    <t>Butanoyl (2s)-2-Amino-5-(Diaminomethylideneamino)Pentanoate</t>
  </si>
  <si>
    <t>HMDB0257690</t>
  </si>
  <si>
    <t>CCCC(=O)OC(=O)C(N)CCCN=C(N)N</t>
  </si>
  <si>
    <t>VIJKIBRZWVCVQS-UHFFFAOYSA-N</t>
  </si>
  <si>
    <t>C10H20N4O3</t>
  </si>
  <si>
    <t>4.36_477.1719m/z</t>
  </si>
  <si>
    <t>1-(2-Hydroxyphenylamino)-1-Deoxy-Beta-D-Gentiobioside 1,2-Carbamate</t>
  </si>
  <si>
    <t>HMDB0037551</t>
  </si>
  <si>
    <t>396714-64-0</t>
  </si>
  <si>
    <t>OCC1OC(OCC2OC3C(OC(=O)N3C3=CC=CC=C3O)C(O)C2O)C(O)C(O)C1O</t>
  </si>
  <si>
    <t>UQUJYJFBLXCVJV-UHFFFAOYSA-N</t>
  </si>
  <si>
    <t>C19H25NO12</t>
  </si>
  <si>
    <t>6.27_603.2213m/z</t>
  </si>
  <si>
    <t>Olmesartan Medoxomil</t>
  </si>
  <si>
    <t>HMDB0255956</t>
  </si>
  <si>
    <t>144689-63-4</t>
  </si>
  <si>
    <t>CCCC1=NC(=C(N1CC1=CC=C(C=C1)C1=C(C=CC=C1)C1=NN=NN1)C(=O)OCC1=C(C)OC(=O)O1)C(C)(C)O</t>
  </si>
  <si>
    <t>UQGKUQLKSCSZGY-UHFFFAOYSA-N</t>
  </si>
  <si>
    <t>C29H30N6O6</t>
  </si>
  <si>
    <t>1.64_205.0347m/z</t>
  </si>
  <si>
    <t>2-Methyl-4-Oxopentanedioic Acid</t>
  </si>
  <si>
    <t>HMDB0039447</t>
  </si>
  <si>
    <t>55601-64-4</t>
  </si>
  <si>
    <t>CC(CC(=O)C(O)=O)C(O)=O</t>
  </si>
  <si>
    <t>AVSMSTWODLACGT-UHFFFAOYSA-N</t>
  </si>
  <si>
    <t>C6H8O5</t>
  </si>
  <si>
    <t>1.75_194.0814m/z</t>
  </si>
  <si>
    <t>Kainic Acid</t>
  </si>
  <si>
    <t>HMDB0253757</t>
  </si>
  <si>
    <t>CC(=C)C1CNC(C1CC(O)=O)C(O)=O</t>
  </si>
  <si>
    <t>VLSMHEGGTFMBBZ-UHFFFAOYSA-N</t>
  </si>
  <si>
    <t>C10H15NO4</t>
  </si>
  <si>
    <t>4.12_432.1144m/z</t>
  </si>
  <si>
    <t>(R)-2-Hydroxy-7,8-Dimethoxy-2h-1,4-Benzoxazin-3(4h)-One 2-Glucoside</t>
  </si>
  <si>
    <t>HMDB0037262</t>
  </si>
  <si>
    <t>40246-09-1</t>
  </si>
  <si>
    <t>COC1=CC=C2NC(=O)C(OC3OC(CO)C(O)C(O)C3O)OC2=C1OC</t>
  </si>
  <si>
    <t>VKCKUXJIUMKEJF-UHFFFAOYSA-N</t>
  </si>
  <si>
    <t>C16H21NO10</t>
  </si>
  <si>
    <t>4.38_215.1253m/z</t>
  </si>
  <si>
    <t>Stizolamine</t>
  </si>
  <si>
    <t>HMDB0302288</t>
  </si>
  <si>
    <t>CN1C(CO)=CN=C(NC(N)=N)C1=O</t>
  </si>
  <si>
    <t>XZOSNHNAQRVGSZ-UHFFFAOYSA-N</t>
  </si>
  <si>
    <t>C7H11N5O2</t>
  </si>
  <si>
    <t>3.84_319.1030m/z</t>
  </si>
  <si>
    <t>Diallyl 2,2'-Oxydiethyl Dicarbonate</t>
  </si>
  <si>
    <t>HMDB0244610</t>
  </si>
  <si>
    <t>C=CCOC(=O)OCCOCCOC(=O)OCC=C</t>
  </si>
  <si>
    <t>JHQVCQDWGSXTFE-UHFFFAOYSA-N</t>
  </si>
  <si>
    <t>C12H18O7</t>
  </si>
  <si>
    <t>14.26_585.4507m/z</t>
  </si>
  <si>
    <t>Lepirenin</t>
  </si>
  <si>
    <t>LMPK03000060</t>
  </si>
  <si>
    <t>[C@H]1(O[C@H](CC1)[C@H](O)CCCCCCCCCCCCC1C(=O)O[C@@H](C)C=1)[C@H](O)CC/C=C\CCCCCCCC</t>
  </si>
  <si>
    <t>NFUCVCGYTFOYNA-WHFYHSCDSA-N</t>
  </si>
  <si>
    <t>C35H62O5</t>
  </si>
  <si>
    <t>11.37_409.2734m/z</t>
  </si>
  <si>
    <t>(23r)-1alpha-Hydroxy-25,27-Didehydrovitamin D3 26,23-Lactone</t>
  </si>
  <si>
    <t>HMDB0242503</t>
  </si>
  <si>
    <t>CC(CC1CC(=C)C(=O)O1)C1CCC2C(CCCC12C)=CC=C1CC(O)CC(O)C1=C</t>
  </si>
  <si>
    <t>SAODSJHDCZTVAT-UHFFFAOYSA-N</t>
  </si>
  <si>
    <t>C27H38O4</t>
  </si>
  <si>
    <t>5.94_656.3070m/z</t>
  </si>
  <si>
    <t>Jesaconitine</t>
  </si>
  <si>
    <t>HMDB0253732</t>
  </si>
  <si>
    <t>CCN1CC2(COC)C3C(OC)C4C1C3(C1CC3(O)C(OC(=O)C5=CC=C(OC)C=C5)C1C4(OC(C)=O)C(O)C3OC)C(CC2O)OC</t>
  </si>
  <si>
    <t>MGTJNQWIXFSPLC-UHFFFAOYSA-N</t>
  </si>
  <si>
    <t>C35H49NO12</t>
  </si>
  <si>
    <t>3.73_361.0694m/z</t>
  </si>
  <si>
    <t>1,4-Diamino-2,3-Dicyano-1,4-Bis(O-Aminophenylmercapto)Butadiene</t>
  </si>
  <si>
    <t>HMDB0259375</t>
  </si>
  <si>
    <t>NC(SC1=CC=CC=C1N)=C(C#N)C(C#N)=C(N)SC1=CC=CC=C1N</t>
  </si>
  <si>
    <t>DVEXZJFMOKTQEZ-UHFFFAOYSA-N</t>
  </si>
  <si>
    <t>10.26_959.4838m/z</t>
  </si>
  <si>
    <t>3-[4-[(E)-2-[6-(Dibutylamino)Naphthalen-2-Yl]Ethenyl]Pyridin-1-Ium-1-Yl]Propane-1-Sulfonate</t>
  </si>
  <si>
    <t>HMDB0251113</t>
  </si>
  <si>
    <t>CCCCN(CCCC)C1=CC2=C(C=C1)C=C(C=CC1=CC=[N+](CCCS([O-])(=O)=O)C=C1)C=C2</t>
  </si>
  <si>
    <t>HAPJROQJVSPKCJ-UHFFFAOYSA-N</t>
  </si>
  <si>
    <t>C28H36N2O3S</t>
  </si>
  <si>
    <t>4.72_366.2037n</t>
  </si>
  <si>
    <t>Ox-Lgd2</t>
  </si>
  <si>
    <t>LMFA03100037</t>
  </si>
  <si>
    <t>C1(C(C)(O)OC(=O)C=1C/C=C\CCCC(=O)O)/C=C/[C@@H](O)CCCCC</t>
  </si>
  <si>
    <t>RAQOIYLDXSAKSS-DPLATEDBSA-N</t>
  </si>
  <si>
    <t>6.52_641.2389m/z</t>
  </si>
  <si>
    <t>5-Oxozaleplon</t>
  </si>
  <si>
    <t>HMDB0246836</t>
  </si>
  <si>
    <t>CCN(C(C)=O)C1=CC=CC(=C1)C1=CC(=O)NC2=C(C=NN12)C#N</t>
  </si>
  <si>
    <t>LUFPEMFJYAYYDI-UHFFFAOYSA-N</t>
  </si>
  <si>
    <t>C17H15N5O2</t>
  </si>
  <si>
    <t>13.43_512.5035m/z</t>
  </si>
  <si>
    <t>Cer(d18:0/14:0)</t>
  </si>
  <si>
    <t>HMDB0011759</t>
  </si>
  <si>
    <t>LMSP02020016</t>
  </si>
  <si>
    <t>[C@](CO)([H])(NC(CCCCCCCCCCCCC)=O)[C@]([H])(O)CCCCCCCCCCCCCCC</t>
  </si>
  <si>
    <t>UDTSZXVRDXQARY-IOWSJCHKSA-N</t>
  </si>
  <si>
    <t>Ceramides</t>
  </si>
  <si>
    <t>C32H65NO3</t>
  </si>
  <si>
    <t>5.02_547.1069m/z</t>
  </si>
  <si>
    <t>6''-O-Malonyldaidzin</t>
  </si>
  <si>
    <t>HMDB0041263</t>
  </si>
  <si>
    <t>C16191</t>
  </si>
  <si>
    <t>124590-31-4</t>
  </si>
  <si>
    <t>OC1C(O)C(COC(=O)CC(O)=O)OC(OC2=CC3=C(C=C2)C(=O)C(=CO3)C2=CC=C(O)C=C2)C1O</t>
  </si>
  <si>
    <t>MTXMHWSVSZKYBT-UHFFFAOYSA-N</t>
  </si>
  <si>
    <t>C24H22O12</t>
  </si>
  <si>
    <t>15.39_986.6762m/z</t>
  </si>
  <si>
    <t>Galalpha1-6Glcbeta-Cer(t19:1/21:0(2OH[R])</t>
  </si>
  <si>
    <t>LMSP05000012</t>
  </si>
  <si>
    <t>[C@](CO[C@H]1[C@H](O)[C@@H](O)[C@H](O)[C@@H](CO[C@@H]2[C@H](O)[C@@H](O)[C@@H](O)[C@@H](CO)O2)O1)([H])(NC([C@H](O)CCCCCCCCCCCCCCCCCCC)=O)[C@]([H])(O)[C@H](O)/C=C/CCCCCCCCCC(C)C</t>
  </si>
  <si>
    <t>RAPLGLSHTMHONS-AZSJRVJFSA-N</t>
  </si>
  <si>
    <t>C51H97NO15</t>
  </si>
  <si>
    <t>4.88_295.1517m/z</t>
  </si>
  <si>
    <t>S-(2-Methylpropionyl)-Dihydrolipoamide-E</t>
  </si>
  <si>
    <t>HMDB0006868</t>
  </si>
  <si>
    <t>LMFA08010022</t>
  </si>
  <si>
    <t>C04424</t>
  </si>
  <si>
    <t>C(CCCC(CCSC(C(C)C)=O)S)C(N)=O</t>
  </si>
  <si>
    <t>UEFURMXXHJCLJP-UHFFFAOYSA-N</t>
  </si>
  <si>
    <t>C12H23NO2S2</t>
  </si>
  <si>
    <t>8.75_747.3807m/z</t>
  </si>
  <si>
    <t>6-Epi-7-Isocucurbic Acid Glucoside</t>
  </si>
  <si>
    <t>HMDB0029782</t>
  </si>
  <si>
    <t>176486-13-8</t>
  </si>
  <si>
    <t>CC\C=C\CC1C(CC(O)=O)CCC1OC1OC(CO)C(O)C(O)C1O</t>
  </si>
  <si>
    <t>GJZJZRWFRZFTEE-ONEGZZNKSA-N</t>
  </si>
  <si>
    <t>C18H30O8</t>
  </si>
  <si>
    <t>4.36_548.1867n</t>
  </si>
  <si>
    <t>Ambofuracin</t>
  </si>
  <si>
    <t>LMPK12130058</t>
  </si>
  <si>
    <t>C12[C@H](O[C@@H]3[C@@H](O)[C@H](O)[C@@H](COC(CCC(OC)=O)=O)O[C@H]3OC)[C@@H](CC3C=CC(O)=CC=3)OC=1C=C(O)C=C2</t>
  </si>
  <si>
    <t>DFDBQOBSZWTRTL-RXGMISFTSA-N</t>
  </si>
  <si>
    <t>C27H32O12</t>
  </si>
  <si>
    <t>5.10_270.1488n</t>
  </si>
  <si>
    <t>1,5-Dihydro-7-(1-Piperidinyl)-Imidazo(2,1-B)Quinazolin-2(3h)-One</t>
  </si>
  <si>
    <t>HMDB0259407</t>
  </si>
  <si>
    <t>O=C1CN2CC3=C(C=CC(=C3)N3CCCCC3)N=C2N1</t>
  </si>
  <si>
    <t>MNVCNERGJZWWAO-UHFFFAOYSA-N</t>
  </si>
  <si>
    <t>C15H18N4O</t>
  </si>
  <si>
    <t>4.29_743.2192m/z</t>
  </si>
  <si>
    <t>Halistanol Sulfonic Acid E</t>
  </si>
  <si>
    <t>LMST05020050</t>
  </si>
  <si>
    <t>O=S(O)(O[C@H]1C[C@]2([C@]3([H])[C@@H](O)C[C@]([H])([C@H](C)CCC(C)C(C)(C)C)[C@@]3(C)CC[C@]2([H])[C@]2(C)[C@]1([H])C[C@H](OS(=O)(O)=O)[C@@H](OS(=O)(O)=O)C2)[H])=O</t>
  </si>
  <si>
    <t>KLKUVWUOOYCGDW-SKZMTPNBSA-N</t>
  </si>
  <si>
    <t>C29H52O13S3</t>
  </si>
  <si>
    <t>7.55_658.3568m/z</t>
  </si>
  <si>
    <t>Phhdia-Pg</t>
  </si>
  <si>
    <t>LMGP20060011</t>
  </si>
  <si>
    <t>[H][C@](O)(CO)COP(OC[C@]([H])(OC(CCC(O)/C=C/C(=O)O)=O)COC(CCCCCCCCCCCCCCC)=O)(=O)O</t>
  </si>
  <si>
    <t>JLAFXXUEEICKMN-NERPZCABSA-N</t>
  </si>
  <si>
    <t>C29H53O13P</t>
  </si>
  <si>
    <t>1.98_467.1137m/z</t>
  </si>
  <si>
    <t>Benfotiamine</t>
  </si>
  <si>
    <t>22475-89-2</t>
  </si>
  <si>
    <t>CC1=NC=C(C(=N1)N)CN(C=O)C(=C(CCOP(=O)(O)O)SC(=O)C2=CC=CC=C2)C</t>
  </si>
  <si>
    <t>BTNNPSLJPBRMLZ-LGMDPLHJSA-N</t>
  </si>
  <si>
    <t>C19H23N4O6PS</t>
  </si>
  <si>
    <t>0.71_253.0560m/z</t>
  </si>
  <si>
    <t>4-O-Methylglucuronic Acid</t>
  </si>
  <si>
    <t>HMDB0302222</t>
  </si>
  <si>
    <t>[H][C@](O)(C=O)[C@@]([H])(O)[C@]([H])(OC)[C@]([H])(O)C(O)=O</t>
  </si>
  <si>
    <t>QGGOCWIJGWDKHC-FSIIMWSLSA-N</t>
  </si>
  <si>
    <t>C7H12O7</t>
  </si>
  <si>
    <t>5.21_715.3908m/z</t>
  </si>
  <si>
    <t>Fungichromin</t>
  </si>
  <si>
    <t>C13299</t>
  </si>
  <si>
    <t>6834-98-6</t>
  </si>
  <si>
    <t>CCCCCC(C1C(CC(CC(CC(CC(CC(C(C(C(=CC=CC=CC=CC=CC(C(OC1=O)C)O)C)O)O)O)O)O)O)O)O)O</t>
  </si>
  <si>
    <t>AGJUUQSLGVCRQA-SWOUQTJZSA-N</t>
  </si>
  <si>
    <t>C35H58O12</t>
  </si>
  <si>
    <t>4.93_1041.5632m/z</t>
  </si>
  <si>
    <t>Pacific Ciguatoxin 4a</t>
  </si>
  <si>
    <t>HMDB0033124</t>
  </si>
  <si>
    <t>66231-73-0</t>
  </si>
  <si>
    <t>CC1C(C)C2(CCCO2)OC2C1OC1CC3OC4CC5OC6C\C=C/CC7OC8C=CC9OC%10C(CC9OC8C=CC7OC6CC(O)C5(C)OC4CC(C)CC3OC1C(C)C2O)OC1CC=CC(OC1C%10O)\C=C/C=C</t>
  </si>
  <si>
    <t>QFYRPKKCVYDHFZ-KHGXCJAJSA-N</t>
  </si>
  <si>
    <t>Ciguatera toxins</t>
  </si>
  <si>
    <t>C60H84O16</t>
  </si>
  <si>
    <t>9.56_939.3125m/z</t>
  </si>
  <si>
    <t>Hexandraside C</t>
  </si>
  <si>
    <t>LMPK12111721</t>
  </si>
  <si>
    <t>C1(O[C@H]2[C@H](O[C@H]3[C@H](O)[C@@H](O)[C@H](O)[C@@H](CO)O3)[C@@H](O)[C@H](O)[C@@H](CO)O2)=C(C/C=C(/C)\C)C2OC(C3C=CC(O)=CC=3)=C(O[C@H]3[C@H](O[C@H]4[C@H](O)[C@@H](O)[C@H](O)CO4)[C@H](O)[C@@H](O)[C@H](C)O3)C(=O)C=2C(O)=C1</t>
  </si>
  <si>
    <t>GKVRQPHAMQILQC-LOZZVJFBSA-N</t>
  </si>
  <si>
    <t>C43H56O24</t>
  </si>
  <si>
    <t>2.60_238.0817n</t>
  </si>
  <si>
    <t>N7-(2-Carbamoyl-2-Hydroxyethyl)Guanine</t>
  </si>
  <si>
    <t>HMDB0255307</t>
  </si>
  <si>
    <t>NC(=O)C(O)CN1C=NC2=C1C(=O)NC(N)=N2</t>
  </si>
  <si>
    <t>JYHHZNJOFXOGSQ-UHFFFAOYSA-N</t>
  </si>
  <si>
    <t>C8H10N6O3</t>
  </si>
  <si>
    <t>9.45_405.2247m/z</t>
  </si>
  <si>
    <t>Terazosin</t>
  </si>
  <si>
    <t>HMDB0015293</t>
  </si>
  <si>
    <t>C07127</t>
  </si>
  <si>
    <t>63590-64-7</t>
  </si>
  <si>
    <t>COC1=C(OC)C=C2C(N)=NC(=NC2=C1)N1CCN(CC1)C(=O)C1CCCO1</t>
  </si>
  <si>
    <t>VCKUSRYTPJJLNI-UHFFFAOYSA-N</t>
  </si>
  <si>
    <t>C19H25N5O4</t>
  </si>
  <si>
    <t>1.60_345.0804m/z</t>
  </si>
  <si>
    <t>Azaserine</t>
  </si>
  <si>
    <t>HMDB0248767</t>
  </si>
  <si>
    <t>NC(COC(=O)C=[N+]=[N-])C(O)=O</t>
  </si>
  <si>
    <t>MZZGOOYMKKIOOX-UHFFFAOYSA-N</t>
  </si>
  <si>
    <t>C5H7N3O4</t>
  </si>
  <si>
    <t>14.41_615.4973m/z</t>
  </si>
  <si>
    <t>DG(16:0/20:3(5Z,8Z,11Z)-O(14R,15S)/0:0)</t>
  </si>
  <si>
    <t>HMDB0295391</t>
  </si>
  <si>
    <t>CCCCCCCCCCCCCCCC(=O)OC[C@H](CO)OC(=O)CCC\C=C/C\C=C/C\C=C/CC1OC1CCCCC</t>
  </si>
  <si>
    <t>HXPFLRMMJOLZJR-BEZQTAAKSA-N</t>
  </si>
  <si>
    <t>C39H68O6</t>
  </si>
  <si>
    <t>9.31_279.1107n</t>
  </si>
  <si>
    <t>Niazirin</t>
  </si>
  <si>
    <t>HMDB0032807</t>
  </si>
  <si>
    <t>122001-32-5</t>
  </si>
  <si>
    <t>C[C@@H]1O[C@@H](OC2=CC=C(CC#N)C=C2)[C@H](O)[C@H](O)[C@H]1O</t>
  </si>
  <si>
    <t>OBJREHLZEIEGDU-CNJBRALLSA-N</t>
  </si>
  <si>
    <t>C14H17NO5</t>
  </si>
  <si>
    <t>11.39_440.3133n</t>
  </si>
  <si>
    <t>Acetolein</t>
  </si>
  <si>
    <t>HMDB0303184</t>
  </si>
  <si>
    <t>CCCCCCCCC=CCCCCCCCC(=O)OCC(COC(C)=O)OC(C)=O</t>
  </si>
  <si>
    <t>KXLSJQTXSAYFDL-UHFFFAOYSA-N</t>
  </si>
  <si>
    <t>C25H44O6</t>
  </si>
  <si>
    <t>4.65_394.1709m/z</t>
  </si>
  <si>
    <t>Latrunculin B</t>
  </si>
  <si>
    <t>HMDB0253990</t>
  </si>
  <si>
    <t>CC1CCC2CC(CC(O)(O2)C2CSC(=O)N2)OC(=O)C=C(C)CCC=C1</t>
  </si>
  <si>
    <t>NSHPHXHGRHSMIK-UHFFFAOYSA-N</t>
  </si>
  <si>
    <t>C20H29NO5S</t>
  </si>
  <si>
    <t>1.08_236.9980m/z</t>
  </si>
  <si>
    <t>Pentafluorobenzoyl Acetate</t>
  </si>
  <si>
    <t>HMDB0256261</t>
  </si>
  <si>
    <t>CC(=O)OC(=O)C1=C(F)C(F)=C(F)C(F)=C1F</t>
  </si>
  <si>
    <t>WODCDQXOYWLWCW-UHFFFAOYSA-N</t>
  </si>
  <si>
    <t>C9H3F5O3</t>
  </si>
  <si>
    <t>1.96_311.1123m/z</t>
  </si>
  <si>
    <t>Dihydromelilotoside</t>
  </si>
  <si>
    <t>HMDB0038334</t>
  </si>
  <si>
    <t>24696-05-7</t>
  </si>
  <si>
    <t>OCC1OC(OC2=CC=CC=C2CCC(O)=O)C(O)C(O)C1O</t>
  </si>
  <si>
    <t>FXEOLMWSBWXMSF-UHFFFAOYSA-N</t>
  </si>
  <si>
    <t>C15H20O8</t>
  </si>
  <si>
    <t>1.79_437.1629m/z</t>
  </si>
  <si>
    <t>Trpm8 Antagonist</t>
  </si>
  <si>
    <t>HMDB0259304</t>
  </si>
  <si>
    <t>COC(=O)C(CC1=CNC2=CC=CC=C12)N(CC1=CC=CC=C1)CC1=CC=CC=C1</t>
  </si>
  <si>
    <t>HHVOOJDLCVOLKI-UHFFFAOYSA-N</t>
  </si>
  <si>
    <t>C26H26N2O2</t>
  </si>
  <si>
    <t>5.06_701.2445m/z</t>
  </si>
  <si>
    <t>Epicillin</t>
  </si>
  <si>
    <t>HMDB0251843</t>
  </si>
  <si>
    <t>CC1(C)SC2C(NC(=O)C(N)C3=CCC=CC3)C(=O)N2C1C(O)=O</t>
  </si>
  <si>
    <t>RPBAFSBGYDKNRG-UHFFFAOYSA-N</t>
  </si>
  <si>
    <t>C16H21N3O4S</t>
  </si>
  <si>
    <t>6.48_495.2351m/z</t>
  </si>
  <si>
    <t>Lucidenic Acid K</t>
  </si>
  <si>
    <t>HMDB0035890</t>
  </si>
  <si>
    <t>CC(CCC(O)=O)C1CC(=O)C2(C)C3=C(C(=O)C(O)C12C)C1(C)CCC(=O)C(C)(C)C1CC3=O</t>
  </si>
  <si>
    <t>NCGJGPSWDDQPKM-UHFFFAOYSA-N</t>
  </si>
  <si>
    <t>14.58_542.4410m/z</t>
  </si>
  <si>
    <t>DG(10:0/18:1(12Z)-O(9S,10R)/0:0)</t>
  </si>
  <si>
    <t>HMDB0294517</t>
  </si>
  <si>
    <t>CCCCCCCCCC(=O)OC[C@H](CO)OC(=O)CCCCCCCC1OC1C\C=C/CCCCC</t>
  </si>
  <si>
    <t>YPBRMQZMQZNISG-FDXSIFPNSA-N</t>
  </si>
  <si>
    <t>C31H56O6</t>
  </si>
  <si>
    <t>1.69_359.0983m/z</t>
  </si>
  <si>
    <t>Vanilloside</t>
  </si>
  <si>
    <t>HMDB0029664</t>
  </si>
  <si>
    <t>494-08-6</t>
  </si>
  <si>
    <t>COC1=C(OC2OC(CO)C(O)C(O)C2O)C=CC(C=O)=C1</t>
  </si>
  <si>
    <t>LPRNQMUKVDHCFX-UHFFFAOYSA-N</t>
  </si>
  <si>
    <t>9.94_302.3052m/z</t>
  </si>
  <si>
    <t>Sphinganine</t>
  </si>
  <si>
    <t>HMDB0000269</t>
  </si>
  <si>
    <t>LMSP01020001</t>
  </si>
  <si>
    <t>C00836</t>
  </si>
  <si>
    <t>ko00600,ko04071</t>
  </si>
  <si>
    <t>Sphingolipid metabolism|Sphingolipid signaling pathway</t>
  </si>
  <si>
    <t>764-22-7</t>
  </si>
  <si>
    <t>OC[C@]([H])(N)[C@]([H])(O)CCCCCCCCCCCCCCC</t>
  </si>
  <si>
    <t>OTKJDMGTUTTYMP-ZWKOTPCHSA-N</t>
  </si>
  <si>
    <t>C18H39NO2</t>
  </si>
  <si>
    <t>9.21_655.2757m/z</t>
  </si>
  <si>
    <t>Cryptophycin</t>
  </si>
  <si>
    <t>HMDB0242628</t>
  </si>
  <si>
    <t>COC1=CC=C(CC2NC(=O)C=CCC(OC(=O)C(CC(C)C)OC(=O)C(C)CNC2=O)C(C)C2OC2C2=CC=CC=C2)C=C1Cl</t>
  </si>
  <si>
    <t>PSNOPSMXOBPNNV-UHFFFAOYSA-N</t>
  </si>
  <si>
    <t>C35H43ClN2O8</t>
  </si>
  <si>
    <t>4.86_264.1359n</t>
  </si>
  <si>
    <t>Amaralin</t>
  </si>
  <si>
    <t>LMPR0103420002</t>
  </si>
  <si>
    <t>C09291</t>
  </si>
  <si>
    <t>O1[C@@]2([H])C[C@@H](C)[C@]3([H])[C@H]4O[C@H]4[C@H](O)[C@@]3(C)C[C@]2([H])C(=C)C1=O</t>
  </si>
  <si>
    <t>XPNBRTWIMIGGMT-MIPSWGQUSA-N</t>
  </si>
  <si>
    <t>3.73_458.1630m/z</t>
  </si>
  <si>
    <t>Caldiamide</t>
  </si>
  <si>
    <t>HMDB0251634</t>
  </si>
  <si>
    <t>CN=C(O)CN(CCN(CCN(CC(O)=O)CC(O)=NC)CC(O)=O)CC(O)=O</t>
  </si>
  <si>
    <t>RZESKRXOCXWCFX-UHFFFAOYSA-N</t>
  </si>
  <si>
    <t>C16H29N5O8</t>
  </si>
  <si>
    <t>3.75_459.1094m/z</t>
  </si>
  <si>
    <t>Bisnoryangonin</t>
  </si>
  <si>
    <t>HMDB0303165</t>
  </si>
  <si>
    <t>C12085</t>
  </si>
  <si>
    <t>13709-27-8</t>
  </si>
  <si>
    <t>OC1=CC=C(\C=C\C2=CC(O)=CC(=O)O2)C=C1</t>
  </si>
  <si>
    <t>ORVQWHLMVLOZPX-ZZXKWVIFSA-N</t>
  </si>
  <si>
    <t>C13H10O4</t>
  </si>
  <si>
    <t>5.17_723.2248m/z</t>
  </si>
  <si>
    <t>Isochamanetin</t>
  </si>
  <si>
    <t>LMPK12140146</t>
  </si>
  <si>
    <t>C1(O)=CC2OC(C3C=CC=CC=3)CC(=O)C=2C(O)=C1CC1C(O)=CC=CC=1</t>
  </si>
  <si>
    <t>KSBALECVCJXYHU-UHFFFAOYSA-N</t>
  </si>
  <si>
    <t>C22H18O5</t>
  </si>
  <si>
    <t>4.72_437.2392m/z</t>
  </si>
  <si>
    <t>13,14-Dihydro-16,16-Difluoro Prostaglandin E1</t>
  </si>
  <si>
    <t>475992-30-4</t>
  </si>
  <si>
    <t>CCCCC(C(CCC1C(CC(=O)C1CCCCCCC(=O)O)O)O)(F)F</t>
  </si>
  <si>
    <t>PNVYHTHOCKTJCO-JOCBIADPSA-N</t>
  </si>
  <si>
    <t>C20H34F2O5</t>
  </si>
  <si>
    <t>5.03_494.2159n</t>
  </si>
  <si>
    <t>Glaucarubinone</t>
  </si>
  <si>
    <t>C08763</t>
  </si>
  <si>
    <t>1259-86-5</t>
  </si>
  <si>
    <t>CCC(C)(C(=O)OC1C2C(C(C3(C4C2(CO3)C(CC5C4(C(C(=O)C=C5C)O)C)OC1=O)O)O)C)O</t>
  </si>
  <si>
    <t>WRBGCYVAJRRQKP-STDAJNJZSA-N</t>
  </si>
  <si>
    <t>14.46_640.5139m/z</t>
  </si>
  <si>
    <t>Asitribin</t>
  </si>
  <si>
    <t>HMDB0029958</t>
  </si>
  <si>
    <t>168113-64-2</t>
  </si>
  <si>
    <t>CCCCCCC(O)CCCC(O)C1CCC(O1)C1CCC(O1)C(O)CCCCCCCCCCCCC1=CC(C)OC1=O</t>
  </si>
  <si>
    <t>DAEFUOXKPZLQMM-UHFFFAOYSA-N</t>
  </si>
  <si>
    <t>11.19_299.2588m/z</t>
  </si>
  <si>
    <t>Dl-2-Hydroxy Stearic Acid</t>
  </si>
  <si>
    <t>HMDB0242145</t>
  </si>
  <si>
    <t>LMFA02000120</t>
  </si>
  <si>
    <t>629-22-1</t>
  </si>
  <si>
    <t>C(CCCCCCCCCCCCCCC)C(O)C(=O)O</t>
  </si>
  <si>
    <t>KIHBGTRZFAVZRV-UHFFFAOYSA-N</t>
  </si>
  <si>
    <t>C18H36O3</t>
  </si>
  <si>
    <t>6.78_240.1147n</t>
  </si>
  <si>
    <t>1-Acetoxy-4,6-Tetradecadiene-8,10,12-Triyne</t>
  </si>
  <si>
    <t>HMDB0030881</t>
  </si>
  <si>
    <t>6581-87-9</t>
  </si>
  <si>
    <t>CC#CC#CC#C\C=C\C=C\CCCOC(C)=O</t>
  </si>
  <si>
    <t>CWMYRIMGSBQMJG-HULFFUFUSA-N</t>
  </si>
  <si>
    <t>Fatty alcohol esters</t>
  </si>
  <si>
    <t>C16H16O2</t>
  </si>
  <si>
    <t>6.93_343.1547m/z</t>
  </si>
  <si>
    <t>Hydroxyisonobilin</t>
  </si>
  <si>
    <t>HMDB0034475</t>
  </si>
  <si>
    <t>C\C=C(\C)C(=O)OC1CC(=C)C(O)CC(O)\C(C)=C/C2OC(=O)C(=C)C12</t>
  </si>
  <si>
    <t>SDFKKMBWIQKUOQ-RXDMEISQSA-N</t>
  </si>
  <si>
    <t>6.08_467.2241m/z</t>
  </si>
  <si>
    <t>Histidinohydroxylysinonorleucine</t>
  </si>
  <si>
    <t>HMDB0253184</t>
  </si>
  <si>
    <t>CCCCC(NN(NC(CC1=CN=CN1)C(O)=O)C(CCC(O)CN)C(O)=O)C(O)=O</t>
  </si>
  <si>
    <t>DDELKTCDPMLGSF-UHFFFAOYSA-N</t>
  </si>
  <si>
    <t>C18H32N6O7</t>
  </si>
  <si>
    <t>4.93_679.2563m/z</t>
  </si>
  <si>
    <t>Dracocephalumoid E</t>
  </si>
  <si>
    <t>LMPR0104050025</t>
  </si>
  <si>
    <t>C1[C@@]2(C)C(=CC(=O)[C@@]34O[C@@]23C(=O)C2O[C@@H](C)CC=2C4=O)C(C)=C(C)C1</t>
  </si>
  <si>
    <t>RONAXPUMYPPEOK-FABONIEZSA-N</t>
  </si>
  <si>
    <t>5.49_409.2228m/z</t>
  </si>
  <si>
    <t>Reichstein's Substance E</t>
  </si>
  <si>
    <t>HMDB0245599</t>
  </si>
  <si>
    <t>CC12CC(O)C3C(CCC4=CC(=O)CCC34C)C1CCC2(O)C(O)CO</t>
  </si>
  <si>
    <t>AWWCEQOCFFQUKS-UHFFFAOYSA-N</t>
  </si>
  <si>
    <t>C21H32O5</t>
  </si>
  <si>
    <t>4.40_549.2186m/z</t>
  </si>
  <si>
    <t>Glutaminylglutamic Acid</t>
  </si>
  <si>
    <t>HMDB0028796</t>
  </si>
  <si>
    <t>88830-90-4</t>
  </si>
  <si>
    <t>N[C@@H](CCC(N)=O)C(=O)N[C@@H](CCC(O)=O)C(O)=O</t>
  </si>
  <si>
    <t>OWOFCNWTMWOOJJ-WDSKDSINSA-N</t>
  </si>
  <si>
    <t>C10H17N3O6</t>
  </si>
  <si>
    <t>9.43_742.1895n</t>
  </si>
  <si>
    <t>Quercetin 3-(2gal-Apiosylrobinobioside)</t>
  </si>
  <si>
    <t>HMDB0041412</t>
  </si>
  <si>
    <t>165880-62-6</t>
  </si>
  <si>
    <t>CC1OC(OCC2OC(OC3=C(OC4=CC(O)=CC(O)=C4C3=O)C3=CC(O)=C(O)C=C3)C(OC3OCC(O)(CO)C3O)C(O)C2O)C(O)C(O)C1O</t>
  </si>
  <si>
    <t>UPVDFUGORYNXMW-UHFFFAOYSA-N</t>
  </si>
  <si>
    <t>C32H38O20</t>
  </si>
  <si>
    <t>4.61_439.1820m/z</t>
  </si>
  <si>
    <t>Cis-3-Hexenyl B-Primeveroside</t>
  </si>
  <si>
    <t>HMDB0031690</t>
  </si>
  <si>
    <t>132278-37-6</t>
  </si>
  <si>
    <t>CC\C=C/CCOC1OC(COC2OCC(O)C(O)C2O)C(O)C(O)C1O</t>
  </si>
  <si>
    <t>NVTNXPADRDASMP-ARJAWSKDSA-N</t>
  </si>
  <si>
    <t>C17H30O10</t>
  </si>
  <si>
    <t>2.60_422.1302m/z</t>
  </si>
  <si>
    <t>Kinetin-7-N-Glucoside</t>
  </si>
  <si>
    <t>HMDB0012243</t>
  </si>
  <si>
    <t>823188-66-5</t>
  </si>
  <si>
    <t>OC[C@H]1O[C@H]([C@H](O)[C@@H](O)[C@@H]1O)N1C=NC2=NC=NC(NCC3=CC=CO3)=C12</t>
  </si>
  <si>
    <t>AXJIOWGMASZFOU-HDNYONAXSA-N</t>
  </si>
  <si>
    <t>C16H19N5O6</t>
  </si>
  <si>
    <t>3.65_247.0432m/z</t>
  </si>
  <si>
    <t>Sodium Glucoheptonate</t>
  </si>
  <si>
    <t>HMDB0303297</t>
  </si>
  <si>
    <t>[Na+].OC[C@@H](O)[C@@H](O)[C@H](O)[C@@H](O)C(O)C([O-])=O</t>
  </si>
  <si>
    <t>FMYOMWCQJXWGEN-BMZZJELJSA-M</t>
  </si>
  <si>
    <t>C7H13NaO8</t>
  </si>
  <si>
    <t>0.54_113.1072m/z</t>
  </si>
  <si>
    <t>2-Imino-4-Methylpiperidine</t>
  </si>
  <si>
    <t>165383-72-2</t>
  </si>
  <si>
    <t>CC1CCN=C(C1)N</t>
  </si>
  <si>
    <t>GGDLOMFAKKVDPT-UHFFFAOYSA-N</t>
  </si>
  <si>
    <t>C6H12N2</t>
  </si>
  <si>
    <t>4.67_417.2098m/z</t>
  </si>
  <si>
    <t>P-Mppf</t>
  </si>
  <si>
    <t>HMDB0244701</t>
  </si>
  <si>
    <t>COC1=CC=CC=C1N1CCN(CCN(C(=O)C2=CC=C(F)C=C2)C2=CC=CC=N2)CC1</t>
  </si>
  <si>
    <t>YJZYDPRMWYWYCG-UHFFFAOYSA-N</t>
  </si>
  <si>
    <t>C25H27FN4O2</t>
  </si>
  <si>
    <t>0.77_491.1612m/z</t>
  </si>
  <si>
    <t>5,6-Dihydrouridine</t>
  </si>
  <si>
    <t>HMDB0000497</t>
  </si>
  <si>
    <t>5627-05-4</t>
  </si>
  <si>
    <t>OC[C@H]1O[C@H]([C@H](O)[C@@H]1O)N1CCC(=O)NC1=O</t>
  </si>
  <si>
    <t>ZPTBLXKRQACLCR-XVFCMESISA-N</t>
  </si>
  <si>
    <t>C9H14N2O6</t>
  </si>
  <si>
    <t>1.06_265.1164n</t>
  </si>
  <si>
    <t>D-1-[(3-Carboxypropyl)Amino]-1-Deoxyfructose</t>
  </si>
  <si>
    <t>HMDB0038663</t>
  </si>
  <si>
    <t>10003-63-1</t>
  </si>
  <si>
    <t>OC[C@H]1O[C@](O)(CNCCCC(O)=O)[C@@H](O)[C@@H]1O</t>
  </si>
  <si>
    <t>HUEOABWGBTXQNF-SFKDOBOXSA-N</t>
  </si>
  <si>
    <t>C10H19NO7</t>
  </si>
  <si>
    <t>4.83_506.1516m/z</t>
  </si>
  <si>
    <t>4-(2-Nitroethyl)Phenyl Primeveroside</t>
  </si>
  <si>
    <t>HMDB0031742</t>
  </si>
  <si>
    <t>OC1COC(OCC2OC(OC3=CC=C(CCN(=O)=O)C=C3)C(O)C(O)C2O)C(O)C1O</t>
  </si>
  <si>
    <t>ZHVLPKFAODFQST-UHFFFAOYSA-N</t>
  </si>
  <si>
    <t>C19H27NO12</t>
  </si>
  <si>
    <t>4.23_587.0958m/z</t>
  </si>
  <si>
    <t>Isorhamnetin 3-(6''-Malonylglucoside)</t>
  </si>
  <si>
    <t>HMDB0038820</t>
  </si>
  <si>
    <t>86555-37-5</t>
  </si>
  <si>
    <t>COC1=C(O)C=CC(=C1)C1=C(OC2OC(COC(=O)CC(O)=O)C(O)C(O)C2O)C(=O)C2=C(O)C=C(O)C=C2O1</t>
  </si>
  <si>
    <t>QCPKSTMYFZPGOX-UHFFFAOYSA-N</t>
  </si>
  <si>
    <t>C25H24O15</t>
  </si>
  <si>
    <t>14.09_666.4934m/z</t>
  </si>
  <si>
    <t>DG(15:0/20:5(7Z,9Z,11E,13E,17Z)-3OH(5,6,15)/0:0)</t>
  </si>
  <si>
    <t>HMDB0295331</t>
  </si>
  <si>
    <t>CCCCCCCCCCCCCCC(=O)OC[C@H](CO)OC(=O)CCC[C@@H](O)[C@H](O)\C=C/C=C\C=C\C=C\[C@@H](O)C\C=C/CC</t>
  </si>
  <si>
    <t>WPIMNCQFVXZGPM-KGBXPJSASA-N</t>
  </si>
  <si>
    <t>C38H64O8</t>
  </si>
  <si>
    <t>9.82_263.1651m/z</t>
  </si>
  <si>
    <t>12-Oxo-2,3-Dinor-10,15-Phytodienoic Acid</t>
  </si>
  <si>
    <t>HMDB0032090</t>
  </si>
  <si>
    <t>197247-23-7</t>
  </si>
  <si>
    <t>CC\C=C\CC1C(CCCCCC(O)=O)C=CC1=O</t>
  </si>
  <si>
    <t>SZVNKXCDJUBPQO-HWKANZROSA-N</t>
  </si>
  <si>
    <t>C16H24O3</t>
  </si>
  <si>
    <t>11.31_915.4957m/z</t>
  </si>
  <si>
    <t>Hoduloside Viii</t>
  </si>
  <si>
    <t>HMDB0040660</t>
  </si>
  <si>
    <t>154971-12-7</t>
  </si>
  <si>
    <t>CC(C)(O)\C=C\CC(C)(O)C1C2CCC3C4(C)CCC(OC5OCC(O)C(O)C5O)C(C)(C)C4CCC3(C)C2(COC2OC(COC3OCC(O)C(O)C3O)C(O)C(O)C2O)CC1=O</t>
  </si>
  <si>
    <t>RDSYZBZVCGNHLV-MDWZMJQESA-N</t>
  </si>
  <si>
    <t>C46H76O18</t>
  </si>
  <si>
    <t>2.05_290.0558n</t>
  </si>
  <si>
    <t>1-[4,9-Dihydro-2-(Methylthio)-1,3-Thiazino[6,5-B]Indol-4-Yl]-2-Propanone</t>
  </si>
  <si>
    <t>HMDB0038641</t>
  </si>
  <si>
    <t>113866-43-6</t>
  </si>
  <si>
    <t>CSC1=NC(CC(C)=O)C2=C(NC3=CC=CC=C23)S1</t>
  </si>
  <si>
    <t>YKKHSMWTSSXPSC-UHFFFAOYSA-N</t>
  </si>
  <si>
    <t>C14H14N2OS2</t>
  </si>
  <si>
    <t>10.53_310.1238m/z</t>
  </si>
  <si>
    <t>Edetic Acid</t>
  </si>
  <si>
    <t>HMDB0015109</t>
  </si>
  <si>
    <t>C00284</t>
  </si>
  <si>
    <t>62-33-9</t>
  </si>
  <si>
    <t>OC(=O)CN(CCN(CC(O)=O)CC(O)=O)CC(O)=O</t>
  </si>
  <si>
    <t>KCXVZYZYPLLWCC-UHFFFAOYSA-N</t>
  </si>
  <si>
    <t>C10H16N2O8</t>
  </si>
  <si>
    <t>5.44_355.2265m/z</t>
  </si>
  <si>
    <t>Hydroxyprogesterone Acetate</t>
  </si>
  <si>
    <t>302-23-8</t>
  </si>
  <si>
    <t>CC(=O)C1(CCC2C1(CCC3C2CCC4=CC(=O)CCC34C)C)OC(=O)C</t>
  </si>
  <si>
    <t>VTHUYJIXSMGYOQ-KOORYGTMSA-N</t>
  </si>
  <si>
    <t>11.51_737.4114m/z</t>
  </si>
  <si>
    <t>Schidigerasaponin F2</t>
  </si>
  <si>
    <t>HMDB0036244</t>
  </si>
  <si>
    <t>267003-05-4</t>
  </si>
  <si>
    <t>CC1C2C(CC3C4CCC5CC(OC6OC(CO)C(O)C(O)C6OC6OC(CO)C(O)C(O)C6O)C(O)CC5(C)C4CCC23C)OC11CCC(C)CO1</t>
  </si>
  <si>
    <t>ZGVRGXGXZKITGK-UHFFFAOYSA-N</t>
  </si>
  <si>
    <t>C39H64O14</t>
  </si>
  <si>
    <t>5.25_432.1781n</t>
  </si>
  <si>
    <t>Pseudolaric Acid B</t>
  </si>
  <si>
    <t>82508-31-4</t>
  </si>
  <si>
    <t>CC(=CC=CC1(C2CCC3(C2(CCC(=CC3)C(=O)OC)OC(=O)C)C(=O)O1)C)C(=O)O</t>
  </si>
  <si>
    <t>VDGOFNMYZYBUDT-YCONPBHISA-N</t>
  </si>
  <si>
    <t>C23H28O8</t>
  </si>
  <si>
    <t>10.26_286.1239m/z</t>
  </si>
  <si>
    <t>Benzo[A]Pyrene-9,10-Oxide</t>
  </si>
  <si>
    <t>HMDB0060090</t>
  </si>
  <si>
    <t>C14849</t>
  </si>
  <si>
    <t>36504-66-2</t>
  </si>
  <si>
    <t>O1C2C=CC3=C(C12)C1=C2C(C=CC4=C2C(C=C1)=CC=C4)=C3</t>
  </si>
  <si>
    <t>GOEJUYABKOTLJA-UHFFFAOYSA-N</t>
  </si>
  <si>
    <t>Pyrenes</t>
  </si>
  <si>
    <t>C20H12O</t>
  </si>
  <si>
    <t>1.81_571.1994m/z</t>
  </si>
  <si>
    <t>Rutaretin 9-Rutinoside</t>
  </si>
  <si>
    <t>HMDB0034611</t>
  </si>
  <si>
    <t>160845-05-6</t>
  </si>
  <si>
    <t>CC1OC(OCC2OC(OC3=C4OC(=O)C=CC4=CC4=C3OC(C4)C(C)(C)O)C(O)C(O)C2O)C(O)C(O)C1O</t>
  </si>
  <si>
    <t>BXZHQIFYFLLPME-UHFFFAOYSA-N</t>
  </si>
  <si>
    <t>0.71_209.0294m/z</t>
  </si>
  <si>
    <t>D-Glucarate</t>
  </si>
  <si>
    <t>HMDB0029881</t>
  </si>
  <si>
    <t>C00818</t>
  </si>
  <si>
    <t>ko00053</t>
  </si>
  <si>
    <t>Ascorbate and aldarate metabolism</t>
  </si>
  <si>
    <t>87-73-0</t>
  </si>
  <si>
    <t>C(C(C(C(=O)O)O)O)(C(C(=O)O)O)O</t>
  </si>
  <si>
    <t>DSLZVSRJTYRBFB-UHFFFAOYSA-N</t>
  </si>
  <si>
    <t>C6H10O8</t>
  </si>
  <si>
    <t>0.72_579.1771m/z</t>
  </si>
  <si>
    <t>Aurin</t>
  </si>
  <si>
    <t>HMDB0248730</t>
  </si>
  <si>
    <t>C14213</t>
  </si>
  <si>
    <t>603-45-2</t>
  </si>
  <si>
    <t>OC1=CC=C(C=C1)C(C1=CC=C(O)C=C1)=C1C=CC(=O)C=C1</t>
  </si>
  <si>
    <t>FYEHYMARPSSOBO-UHFFFAOYSA-N</t>
  </si>
  <si>
    <t>C19H14O3</t>
  </si>
  <si>
    <t>4.07_134.0963m/z</t>
  </si>
  <si>
    <t>Phenylpropanolamine</t>
  </si>
  <si>
    <t>HMDB0001942</t>
  </si>
  <si>
    <t>C02343</t>
  </si>
  <si>
    <t>14838-15-4</t>
  </si>
  <si>
    <t>C[C@@H](N)[C@@H](O)C1=CC=CC=C1</t>
  </si>
  <si>
    <t>DLNKOYKMWOXYQA-VXNVDRBHSA-N</t>
  </si>
  <si>
    <t>C9H13NO</t>
  </si>
  <si>
    <t>10.34_353.2090m/z</t>
  </si>
  <si>
    <t>9,10-Dihome</t>
  </si>
  <si>
    <t>HMDB0004704</t>
  </si>
  <si>
    <t>LMFA02000229</t>
  </si>
  <si>
    <t>C14828</t>
  </si>
  <si>
    <t>263399-34-4</t>
  </si>
  <si>
    <t>OC(=O)CCCCCCCC(O)C(O)C/C=C\CCCCC</t>
  </si>
  <si>
    <t>XEBKSQSGNGRGDW-YFHOEESVSA-N</t>
  </si>
  <si>
    <t>5.97_553.2411m/z</t>
  </si>
  <si>
    <t>Myotoxin A</t>
  </si>
  <si>
    <t>HMDB0254743</t>
  </si>
  <si>
    <t>CC(O)C1OCC(O)C(C)=CC(=O)OCC23CCC(C)=CC2OC2CC(OC(=O)C=CC=C1)C3(C)C21CO1</t>
  </si>
  <si>
    <t>XHEPXCWCOGMKMI-UHFFFAOYSA-N</t>
  </si>
  <si>
    <t>C29H38O9</t>
  </si>
  <si>
    <t>3.72_465.1580m/z</t>
  </si>
  <si>
    <t>Beta-D-Xylopyranosyl-(1-&gt;4)-Alpha-L-Rhamnopyranosyl-(1-&gt;2)-D-Fucose</t>
  </si>
  <si>
    <t>HMDB0041225</t>
  </si>
  <si>
    <t>[H][C@]1(O[C@@H]2OC[C@@H](O)[C@H](O)[C@H]2O)[C@H](C)O[C@@H](O[C@@]2([H])C(O)O[C@H](C)[C@H](O)[C@@H]2O)[C@H](O)[C@@H]1O</t>
  </si>
  <si>
    <t>UQYIWBRIELHTMI-MHHRBAHSSA-N</t>
  </si>
  <si>
    <t>C17H30O13</t>
  </si>
  <si>
    <t>4.36_528.2256m/z</t>
  </si>
  <si>
    <t>2-[3-Methoxy-2-Propoxy-5-[5-(3,4,5-Trimethoxyphenyl)Oxolan-2-Yl]Phenyl]Sulfonylethanol</t>
  </si>
  <si>
    <t>HMDB0253852</t>
  </si>
  <si>
    <t>CCCOC1=C(OC)C=C(C=C1S(=O)(=O)CCO)C1CCC(O1)C1=CC(OC)=C(OC)C(OC)=C1</t>
  </si>
  <si>
    <t>WXIDMVGKJBAEFP-UHFFFAOYSA-N</t>
  </si>
  <si>
    <t>C25H34O9S</t>
  </si>
  <si>
    <t>6.37_573.2172m/z</t>
  </si>
  <si>
    <t>N-Ribosylhistidine</t>
  </si>
  <si>
    <t>HMDB0002089</t>
  </si>
  <si>
    <t>98379-91-0</t>
  </si>
  <si>
    <t>N[C@@H](CC1=CN(C=N1)[C@@H]1O[C@H](CO)[C@@H](O)[C@H]1O)C(O)=O</t>
  </si>
  <si>
    <t>TTYCFBAOLXCFAB-VAPHQMJDSA-N</t>
  </si>
  <si>
    <t>C11H17N3O6</t>
  </si>
  <si>
    <t>4.83_476.1839n</t>
  </si>
  <si>
    <t>1-(2h-1,3-Benzodioxol-5-Yl)-2-[2,6-Dimethoxy-4-(Prop-2-En-1-Yl)Phenoxy]Propyl Benzoate</t>
  </si>
  <si>
    <t>HMDB0039249</t>
  </si>
  <si>
    <t>COC1=CC(CC=C)=CC(OC)=C1OC(C)C(OC(=O)C1=CC=CC=C1)C1=CC2=C(OCO2)C=C1</t>
  </si>
  <si>
    <t>RJWAIUBGAOQMRT-UHFFFAOYSA-N</t>
  </si>
  <si>
    <t>C28H28O7</t>
  </si>
  <si>
    <t>10.60_615.3515m/z</t>
  </si>
  <si>
    <t>Exophilin A1</t>
  </si>
  <si>
    <t>LMFA00000048</t>
  </si>
  <si>
    <t>C(CC(O)CC(OC(CC(O)CC(OC(CC(O)CC(O)CCCCC)=O)CCCCC)=O)CCCCC)(=O)O</t>
  </si>
  <si>
    <t>RZQNQMRSGMXXMH-UHFFFAOYSA-N</t>
  </si>
  <si>
    <t>C30H56O10</t>
  </si>
  <si>
    <t>4.72_799.2194m/z</t>
  </si>
  <si>
    <t>Epimedoside</t>
  </si>
  <si>
    <t>LMPK12112021</t>
  </si>
  <si>
    <t>C1(O)=C(C/C=C(/C)\C)C2OC(C3C=CC(OC)=CC=3)=C(O[C@H]3[C@H](O)[C@H](O[C@H]4[C@H](O)[C@@H](O)[C@H](O)[C@@H](COC(C)=O)O4)[C@@H](OC(C)=O)[C@H](C)O3)C(=O)C=2C(O)=C1</t>
  </si>
  <si>
    <t>ZRGOVKQDBSFQIU-RDYCXQFPSA-N</t>
  </si>
  <si>
    <t>C37H44O17</t>
  </si>
  <si>
    <t>11.56_443.2420m/z</t>
  </si>
  <si>
    <t>Scillirosidin</t>
  </si>
  <si>
    <t>LMST01130002</t>
  </si>
  <si>
    <t>C1[C@]2(C)[C@@]3([H])CC[C@]4(C)[C@@]([H])(C5=COC(=O)C=C5)CC[C@]4(O)[C@]3(O)C[C@@H](C(C)=O)C2=C[C@@H](O)C1</t>
  </si>
  <si>
    <t>GDCPHDCZAIPAOR-QXVHPVESSA-N</t>
  </si>
  <si>
    <t>C26H34O6</t>
  </si>
  <si>
    <t>10.00_283.2055m/z</t>
  </si>
  <si>
    <t>8,11,14,18-Eicosatetraynoic Acid</t>
  </si>
  <si>
    <t>LMFA01030692</t>
  </si>
  <si>
    <t>C(CCCCCCC#CCC#CCC#CCCCCC)(=O)O</t>
  </si>
  <si>
    <t>QLLIWTBTVOPGCM-UHFFFAOYSA-N</t>
  </si>
  <si>
    <t>3.71_894.2194m/z</t>
  </si>
  <si>
    <t>Gamma-Butyrobetainyl-Coa</t>
  </si>
  <si>
    <t>LMFA07050321</t>
  </si>
  <si>
    <t>[C@@H]1([C@H](O)[C@H](OP(=O)(O)O)[C@@H](COP(O)(=O)OP(O)(=O)OCC(C)(C)[C@@H](O)C(=O)NCCC(=O)NCCSC(CCC[N+](C)(C)C)=O)O1)N1C=NC2C(N)=NC=NC1=2</t>
  </si>
  <si>
    <t>QAMRRBGWSPTAEJ-SVHODSNWSA-O</t>
  </si>
  <si>
    <t>C28H50N8O17P3S+</t>
  </si>
  <si>
    <t>10.26_631.2423m/z</t>
  </si>
  <si>
    <t>Darexaban Glucuronide</t>
  </si>
  <si>
    <t>HMDB0249922</t>
  </si>
  <si>
    <t>COC1=CC=C(C=C1)C(=O)NC1=C(NC(=O)C2=CC=C(C=C2)N2CCCN(C)CC2)C(OC2OC(C(O)C(O)C2O)C(O)=O)=CC=C1</t>
  </si>
  <si>
    <t>IOUMBCGOXOKZAE-UHFFFAOYSA-N</t>
  </si>
  <si>
    <t>C33H38N4O10</t>
  </si>
  <si>
    <t>5.74_388.1519n</t>
  </si>
  <si>
    <t>Visnadin</t>
  </si>
  <si>
    <t>C09316</t>
  </si>
  <si>
    <t>477-32-7</t>
  </si>
  <si>
    <t>CCC(C)C(=O)OC1C(C2=C(C=CC3=C2OC(=O)C=C3)OC1(C)C)OC(=O)C</t>
  </si>
  <si>
    <t>GVBNSPFBYXGREE-CXWAGAITSA-N</t>
  </si>
  <si>
    <t>4.85_441.2098m/z</t>
  </si>
  <si>
    <t>Merodesmosine</t>
  </si>
  <si>
    <t>HMDB0030407</t>
  </si>
  <si>
    <t>17096-97-8</t>
  </si>
  <si>
    <t>NC(CCCCNC\C(CCC(N)C(O)=O)=C\CCCC(N)C(O)=O)C(O)=O</t>
  </si>
  <si>
    <t>ZUXGPPMNMKSOEO-LFYBBSHMSA-N</t>
  </si>
  <si>
    <t>C18H34N4O6</t>
  </si>
  <si>
    <t>12.13_297.2896m/z</t>
  </si>
  <si>
    <t>Linoleamide</t>
  </si>
  <si>
    <t>HMDB0062656</t>
  </si>
  <si>
    <t>LMFA08010008</t>
  </si>
  <si>
    <t>3072-13-7</t>
  </si>
  <si>
    <t>C(CCCCCCC/C=C\C/C=C\CCCCC)(=O)N</t>
  </si>
  <si>
    <t>SFIHQZFZMWZOJV-HZJYTTRNSA-N</t>
  </si>
  <si>
    <t>C18H33NO</t>
  </si>
  <si>
    <t>10.26_970.6188m/z</t>
  </si>
  <si>
    <t>PGP(i-22:0/20:3(6,8,11)-OH(5))</t>
  </si>
  <si>
    <t>HMDB0275920</t>
  </si>
  <si>
    <t>[H][C@](O)(COP(O)(O)=O)COP(O)(=O)OC[C@@]([H])(COC(=O)CCCCCCCCCCCCCCCCCCC(C)C)OC(=O)CCCC(O)\C=C\C=C\C\C=C\CCCCCCCC</t>
  </si>
  <si>
    <t>YXSLHFGLRICTKB-VDNNJBHTSA-N</t>
  </si>
  <si>
    <t>C48H90O14P2</t>
  </si>
  <si>
    <t>6.58_413.2177m/z</t>
  </si>
  <si>
    <t>Pgg2</t>
  </si>
  <si>
    <t>HMDB0003235</t>
  </si>
  <si>
    <t>LMFA03010009</t>
  </si>
  <si>
    <t>C05956</t>
  </si>
  <si>
    <t>ko00590,ko04611,ko04726</t>
  </si>
  <si>
    <t>Arachidonic acid metabolism|Platelet activation|Serotonergic synapse</t>
  </si>
  <si>
    <t>51982-36-6</t>
  </si>
  <si>
    <t>[C@H]1(/C=C/[C@@H](OO)CCCCC)[C@@H]2OO[C@@H](C2)[C@@H]1C/C=C\CCCC(=O)O</t>
  </si>
  <si>
    <t>SGUKUZOVHSFKPH-YNNPMVKQSA-N</t>
  </si>
  <si>
    <t>9.19_655.3335m/z</t>
  </si>
  <si>
    <t>Aspacoside C</t>
  </si>
  <si>
    <t>LMST02030246</t>
  </si>
  <si>
    <t>[C@]12(CC[C@]3([H])C[C@@H](O[C@H]4[C@H](O)[C@@H](O)[C@H](O[C@H]5OC[C@@H](O)[C@@H](O)[C@@H]5O)[C@@H](CO)O4)CC[C@]3(C)[C@@]1([H])CC[C@]1(C)C(C(=O)C)=CC[C@@]21[H])[H]</t>
  </si>
  <si>
    <t>JOBHPQGGRHLPEW-HSKWOOTGSA-N</t>
  </si>
  <si>
    <t>C32H50O11</t>
  </si>
  <si>
    <t>4.79_328.1584n</t>
  </si>
  <si>
    <t>Eplivanserin</t>
  </si>
  <si>
    <t>HMDB0251869</t>
  </si>
  <si>
    <t>CN(C)CCON=C(C=CC1=CC=C(O)C=C1)C1=CC=CC=C1F</t>
  </si>
  <si>
    <t>VAIOZOCLKVMIMN-UHFFFAOYSA-N</t>
  </si>
  <si>
    <t>C19H21FN2O2</t>
  </si>
  <si>
    <t>5.57_551.2995m/z</t>
  </si>
  <si>
    <t>Tabimorelin</t>
  </si>
  <si>
    <t>HMDB0258669</t>
  </si>
  <si>
    <t>CNC(=O)C(CC1=CC=CC=C1)N(C)C(=O)C(CC1=CC2=CC=CC=C2C=C1)N(C)C(=O)C=CCC(C)(C)N</t>
  </si>
  <si>
    <t>WURGZWOTGMLDJP-UHFFFAOYSA-N</t>
  </si>
  <si>
    <t>C32H40N4O3</t>
  </si>
  <si>
    <t>10.11_733.2466m/z</t>
  </si>
  <si>
    <t>Pegdinetanib</t>
  </si>
  <si>
    <t>HMDB0256201</t>
  </si>
  <si>
    <t>COCCNC(=O)OCC(COC(=O)NCCOC)OCCCC(=O)NCCNC(=O)CCN1C(=O)CC(SCC(N)C(O)=O)C1=O</t>
  </si>
  <si>
    <t>PQEJXGNZBLONLG-UHFFFAOYSA-N</t>
  </si>
  <si>
    <t>C27H46N6O13S</t>
  </si>
  <si>
    <t>7.20_255.1210m/z</t>
  </si>
  <si>
    <t>Decarbamoylsaxitoxin</t>
  </si>
  <si>
    <t>HMDB0038319</t>
  </si>
  <si>
    <t>58911-04-9</t>
  </si>
  <si>
    <t>OCC1NC(=N)N2CCC(O)(O)C22NC(=N)NC12</t>
  </si>
  <si>
    <t>VRRIYZJUSNMZMP-UHFFFAOYSA-N</t>
  </si>
  <si>
    <t>Saxitoxins, gonyautoxins, and derivatives</t>
  </si>
  <si>
    <t>C9H16N6O3</t>
  </si>
  <si>
    <t>10.24_337.2383m/z</t>
  </si>
  <si>
    <t>Pgf1alpha</t>
  </si>
  <si>
    <t>HMDB0002685</t>
  </si>
  <si>
    <t>LMFA03010137</t>
  </si>
  <si>
    <t>C06475</t>
  </si>
  <si>
    <t>745-62-0</t>
  </si>
  <si>
    <t>[C@H]1(/C=C/[C@@H](O)CCCCC)[C@H](O)C[C@H](O)[C@@H]1CCCCCCC(=O)O</t>
  </si>
  <si>
    <t>DZUXGQBLFALXCR-CDIPTNKSSA-N</t>
  </si>
  <si>
    <t>C20H36O5</t>
  </si>
  <si>
    <t>4.02_522.1952m/z</t>
  </si>
  <si>
    <t>Tyr-Gly-Gly-Phe-Gly-Oh</t>
  </si>
  <si>
    <t>HMDB0259341</t>
  </si>
  <si>
    <t>NC(CC1=CC=C(O)C=C1)C(=O)NCC(=O)NCC(=O)NC(CC1=CC=CC=C1)C(=O)NCC(O)=O</t>
  </si>
  <si>
    <t>CJXBPYBHEPRPPC-UHFFFAOYSA-N</t>
  </si>
  <si>
    <t>C24H29N5O7</t>
  </si>
  <si>
    <t>7.78_511.3272m/z</t>
  </si>
  <si>
    <t>Tetrahca</t>
  </si>
  <si>
    <t>HMDB0062534</t>
  </si>
  <si>
    <t>CC(CCC(O)C(C)C(O)=O)C1CCC2C3C(O)CC4CC(O)CCC4(C)C3CC(O)C12C</t>
  </si>
  <si>
    <t>FAYYTQMQTAKHRM-UHFFFAOYSA-N</t>
  </si>
  <si>
    <t>11.46_627.3129m/z</t>
  </si>
  <si>
    <t>Dexniguldipine</t>
  </si>
  <si>
    <t>HMDB0251090</t>
  </si>
  <si>
    <t>C11236</t>
  </si>
  <si>
    <t>102993-22-6</t>
  </si>
  <si>
    <t>COC(=O)C1=C(C)NC(C)=C(C1C1=CC=CC(=C1)[N+]([O-])=O)C(=O)OCCCN1CCC(CC1)(C1=CC=CC=C1)C1=CC=CC=C1</t>
  </si>
  <si>
    <t>SVJMLYUFVDMUHP-UHFFFAOYSA-N</t>
  </si>
  <si>
    <t>C36H39N3O6</t>
  </si>
  <si>
    <t>3.68_453.1381m/z</t>
  </si>
  <si>
    <t>Catechin 5-Glucoside</t>
  </si>
  <si>
    <t>HMDB0037948</t>
  </si>
  <si>
    <t>88126-53-8</t>
  </si>
  <si>
    <t>OCC1OC(OC2=CC(O)=CC3=C2CC(O)C(O3)C2=CC(O)=C(O)C=C2)C(O)C(O)C1O</t>
  </si>
  <si>
    <t>ZESJTWVSXGZYTD-UHFFFAOYSA-N</t>
  </si>
  <si>
    <t>5.02_271.0609m/z</t>
  </si>
  <si>
    <t>2-Methoxyxanthone</t>
  </si>
  <si>
    <t>HMDB0032998</t>
  </si>
  <si>
    <t>1214-20-6</t>
  </si>
  <si>
    <t>COC1=CC2=C(OC3=CC=CC=C3C2=O)C=C1</t>
  </si>
  <si>
    <t>DVZCOQQFPCMIPO-UHFFFAOYSA-N</t>
  </si>
  <si>
    <t>C14H10O3</t>
  </si>
  <si>
    <t>11.09_759.4088m/z</t>
  </si>
  <si>
    <t>PA(14:0/20:5(7Z,9Z,11E,13E,17Z)-3OH(5,6,15))</t>
  </si>
  <si>
    <t>HMDB0263024</t>
  </si>
  <si>
    <t>[H][C@@](COC(=O)CCCCCCCCCCCCC)(COP(O)(O)=O)OC(=O)CCC[C@@H](O)[C@H](O)\C=C/C=C\C=C\C=C\[C@@H](O)C\C=C/CC</t>
  </si>
  <si>
    <t>VNLPIUHDXNOTES-OXXBXGGRSA-N</t>
  </si>
  <si>
    <t>C37H63O11P</t>
  </si>
  <si>
    <t>3.59_281.0995m/z</t>
  </si>
  <si>
    <t>1,1'-(Tetrahydro-6a-Hydroxy-2,3a,5-Trimethylfuro[2,3-D]-1,3-Dioxole-2,5-Diyl)Bis-Ethanone</t>
  </si>
  <si>
    <t>HMDB0032527</t>
  </si>
  <si>
    <t>18114-49-3</t>
  </si>
  <si>
    <t>CC(=O)C1(C)CC2(O)OC(C)(OC2(C)O1)C(C)=O</t>
  </si>
  <si>
    <t>TXTNKDRGVWKECN-UHFFFAOYSA-N</t>
  </si>
  <si>
    <t>C12H18O6</t>
  </si>
  <si>
    <t>8.13_785.3950m/z</t>
  </si>
  <si>
    <t>Diospolysaponin A</t>
  </si>
  <si>
    <t>LMST01080062</t>
  </si>
  <si>
    <t>[C@]12(CC=C3C[C@@H](O[C@H]4[C@H](O[C@@H]5O[C@H]([C@@H]([C@H]([C@H]5O)O)O)C)[C@@H](O)[C@H](O)[C@@H](CO)O4)CC[C@]3(C)[C@@]1([H])C[C@H](O)[C@]1(C)[C@@]3(O)[C@@H]([C@]4(OC[C@H](C)C[C@H]4O)O[C@H]3C[C@@]21O)C)[H]</t>
  </si>
  <si>
    <t>VFFHIACKVGDJGJ-TVRUCXRFSA-N</t>
  </si>
  <si>
    <t>C39H62O16</t>
  </si>
  <si>
    <t>5.52_745.2300m/z</t>
  </si>
  <si>
    <t>Hydroxydesmethyltetrahydropiperine Sulfate</t>
  </si>
  <si>
    <t>HMDB0304921</t>
  </si>
  <si>
    <t>OC1CCN(CC1)C(=O)CCCCC1=CC(OS(O)(=O)=O)=C(O)C=C1</t>
  </si>
  <si>
    <t>AMKBCTSEBOUHCV-UHFFFAOYSA-N</t>
  </si>
  <si>
    <t>C16H23NO7S</t>
  </si>
  <si>
    <t>6.11_317.1743m/z</t>
  </si>
  <si>
    <t>Estradiol Alone</t>
  </si>
  <si>
    <t>HMDB0251960</t>
  </si>
  <si>
    <t>CC12CCC3C(CCC4=C3C(C=O)C(=O)C(O)=C4)C1CCC2O</t>
  </si>
  <si>
    <t>VKDPLNVDFPLMDU-UHFFFAOYSA-N</t>
  </si>
  <si>
    <t>10.28_735.2404m/z</t>
  </si>
  <si>
    <t>Curcumin Dimer 3</t>
  </si>
  <si>
    <t>HMDB0039452</t>
  </si>
  <si>
    <t>COC1=CC(\C=C\C(\O)=C\C(=O)C2C(O\C(=C/C(=O)/C=C/C3=CC(OC)=C(O)C=C3)\C\2=C\C2=CC(OC)=C(O)C=C2)C2=CC=C(O)C(OC)=C2)=CC=C1O</t>
  </si>
  <si>
    <t>HJALWSMTAVUJGY-JBZHRJFQSA-N</t>
  </si>
  <si>
    <t>C42H38O12</t>
  </si>
  <si>
    <t>3.48_559.0654m/z</t>
  </si>
  <si>
    <t>Benzofuran Isophthalate</t>
  </si>
  <si>
    <t>HMDB0249014</t>
  </si>
  <si>
    <t>O=C1OC2=C(OC(=O)C3=CC1=CC=C3)C1=CC=CC=C1O2</t>
  </si>
  <si>
    <t>QBZIQORRGWYVRK-UHFFFAOYSA-N</t>
  </si>
  <si>
    <t>C16H8O5</t>
  </si>
  <si>
    <t>7.34_419.2649m/z</t>
  </si>
  <si>
    <t>Ascr#24</t>
  </si>
  <si>
    <t>LMFA13040029</t>
  </si>
  <si>
    <t>O([C@@H](CCCCCCCCCCCC(=O)O)C)[C@H]1[C@H](O)C[C@@H](O)[C@H](C)O1</t>
  </si>
  <si>
    <t>NRXYKCLIMLPUIO-KWXDATOUSA-N</t>
  </si>
  <si>
    <t>C20H38O6</t>
  </si>
  <si>
    <t>14.67_608.4880m/z</t>
  </si>
  <si>
    <t>Cer(d16:1/PGF2alpha)</t>
  </si>
  <si>
    <t>HMDB0289852</t>
  </si>
  <si>
    <t>CCCCCCCCCCC\C=C\[C@@H](O)[C@H](CO)NC(=O)CCC\C=C\C[C@H]1[C@@H](O)C[C@@H](O)[C@@H]1\C=C\[C@@H](O)CCCCC</t>
  </si>
  <si>
    <t>SYJGHUBWILJSRH-GDYUEUFESA-N</t>
  </si>
  <si>
    <t>C36H65NO6</t>
  </si>
  <si>
    <t>2.05_321.0634m/z</t>
  </si>
  <si>
    <t>6-Methylthioinosine</t>
  </si>
  <si>
    <t>HMDB0242752</t>
  </si>
  <si>
    <t>CSC1=NC=NC2=C1N=CN2C1OC(CO)C(O)C1O</t>
  </si>
  <si>
    <t>ZDRFDHHANOYUTE-UHFFFAOYSA-N</t>
  </si>
  <si>
    <t>C11H14N4O4S</t>
  </si>
  <si>
    <t>4.78_473.2029m/z</t>
  </si>
  <si>
    <t>Hypochoeroside A</t>
  </si>
  <si>
    <t>HMDB0303759</t>
  </si>
  <si>
    <t>CC1C2C(OC1=O)\C=C(C)\C(O)C\C=C(C)\CC2OC1OC(CO)C(O)C(O)C1O</t>
  </si>
  <si>
    <t>CPKWYFUGBHLPGR-SXFWLWNESA-N</t>
  </si>
  <si>
    <t>C21H32O9</t>
  </si>
  <si>
    <t>6.86_684.3002m/z</t>
  </si>
  <si>
    <t>Protorifamycin I</t>
  </si>
  <si>
    <t>LMPK05000007</t>
  </si>
  <si>
    <t>C12246</t>
  </si>
  <si>
    <t>C12C(=O)C=C3NC(=O)C(C)=CC=C[C@H](C)[C@@H]([C@@H](C)[C@@H](O)[C@@H](C)[C@H](O)[C@H](C)[C@@H](O)C(CO)C=C(C(=O)C1=C(O)C(=CC=2C3=O)C)C)O</t>
  </si>
  <si>
    <t>DWSNNJANRGBGNU-WVBZPEKPSA-N</t>
  </si>
  <si>
    <t>C35H45NO10</t>
  </si>
  <si>
    <t>4.33_320.0894n</t>
  </si>
  <si>
    <t>Barceloneic Acid A</t>
  </si>
  <si>
    <t>CC1=CC(=C(C(=C1)OC2=C(C=C(C=C2O)OC)CO)C(=O)O)O</t>
  </si>
  <si>
    <t>ULPVIBVOKQAXJB-UHFFFAOYSA-N</t>
  </si>
  <si>
    <t>M-H, 2M-H, M-H2O-H</t>
  </si>
  <si>
    <t>0.91_329.0487m/z</t>
  </si>
  <si>
    <t>Oxoguanine</t>
  </si>
  <si>
    <t>HMDB0255995</t>
  </si>
  <si>
    <t>O=NC1=NC2=C(NC=N2)C(=O)N1</t>
  </si>
  <si>
    <t>WMHLZRDNWFNTCU-UHFFFAOYSA-N</t>
  </si>
  <si>
    <t>C5H3N5O2</t>
  </si>
  <si>
    <t>9.79_297.1681m/z</t>
  </si>
  <si>
    <t>13,14-Dihydro-15-Keto-Tetranor Prostaglandin D2</t>
  </si>
  <si>
    <t>CCCCCC(=O)CCC1C(C(CC1=O)O)CCC(=O)O</t>
  </si>
  <si>
    <t>CIXGXJHOQWHINC-NFAWXSAZSA-N</t>
  </si>
  <si>
    <t>6.27_659.2282m/z</t>
  </si>
  <si>
    <t>Artonin D</t>
  </si>
  <si>
    <t>HMDB0035961</t>
  </si>
  <si>
    <t>128532-95-6</t>
  </si>
  <si>
    <t>CC1=CC(C(C(C1)C1=C(O)C=C(O)C=C1)C(=O)C1=C(O)C2=C(OC(C)(C)C=C2)C=C1)C1=C(O)C=CC(C(=O)\C=C\C2=C(O)C=C(O)C=C2)=C1O</t>
  </si>
  <si>
    <t>JIQSDJNLGMFGDV-VZUCSPMQSA-N</t>
  </si>
  <si>
    <t>C40H36O10</t>
  </si>
  <si>
    <t>6.46_469.1865m/z</t>
  </si>
  <si>
    <t>Sophoraflavanone G</t>
  </si>
  <si>
    <t>HMDB0258381</t>
  </si>
  <si>
    <t>LMPK12140467</t>
  </si>
  <si>
    <t>C1(O)=C(CC(C(C)=C)C/C=C(\C)/C)C2OC(C3C(O)=CC(O)=CC=3)CC(=O)C=2C(O)=C1</t>
  </si>
  <si>
    <t>XRYVAQQLDYTHCL-UHFFFAOYSA-N</t>
  </si>
  <si>
    <t>C25H28O6</t>
  </si>
  <si>
    <t>11.76_597.3758m/z</t>
  </si>
  <si>
    <t>Phorbol Myristate</t>
  </si>
  <si>
    <t>HMDB0256455</t>
  </si>
  <si>
    <t>CCCCCCCCCCCCCC(=O)OC12C(C3C=C(CO)CC4(O)C(C=C(C)C4=O)C3(O)C(C)C1O)C2(C)C</t>
  </si>
  <si>
    <t>CESGKXMBHGUQTB-UHFFFAOYSA-N</t>
  </si>
  <si>
    <t>C34H54O7</t>
  </si>
  <si>
    <t>6.22_216.1512n</t>
  </si>
  <si>
    <t>10-Hydroxy-Isolaurene</t>
  </si>
  <si>
    <t>LMPR0103170001</t>
  </si>
  <si>
    <t>C1(O)=C(C)C=CC([C@]2(C)CCC(C)=C2C)=C1</t>
  </si>
  <si>
    <t>AGMIVVAYCIYLIV-OAHLLOKOSA-N</t>
  </si>
  <si>
    <t>Cresols</t>
  </si>
  <si>
    <t>C15H20O</t>
  </si>
  <si>
    <t>11.39_442.3524m/z</t>
  </si>
  <si>
    <t>Isopropyl Unoprostone</t>
  </si>
  <si>
    <t>HMDB0253677</t>
  </si>
  <si>
    <t>CCCCCCCC(=O)CCC1C(O)CC(O)C1CC=CCCCC(=O)OC(C)C</t>
  </si>
  <si>
    <t>XXUPXHKCPIKWLR-UHFFFAOYSA-N</t>
  </si>
  <si>
    <t>C25H44O5</t>
  </si>
  <si>
    <t>5.32_608.3189m/z</t>
  </si>
  <si>
    <t>Okhdia-Pa</t>
  </si>
  <si>
    <t>LMGP20070026</t>
  </si>
  <si>
    <t>[C@](COP(=O)(O)O)([H])(OC(CCC(=O)/C=C/C(=O)O)=O)COC(CCCCCCC/C=C\CCCCCCCC)=O</t>
  </si>
  <si>
    <t>FRDPXMCLHQEKDB-PRKCMIBCSA-N</t>
  </si>
  <si>
    <t>C28H47O11P</t>
  </si>
  <si>
    <t>4.72_469.2041m/z</t>
  </si>
  <si>
    <t>Succinyl-Trialanine-4-Nitroanilide</t>
  </si>
  <si>
    <t>HMDB0258533</t>
  </si>
  <si>
    <t>CC(NC(=O)CCC(O)=O)C(=O)NC(C)C(=O)NC(C)C(=O)NC1=CC=C(C=C1)[N+]([O-])=O</t>
  </si>
  <si>
    <t>GVUGADOWXGKRAE-UHFFFAOYSA-N</t>
  </si>
  <si>
    <t>C19H25N5O8</t>
  </si>
  <si>
    <t>1.55_395.0949m/z</t>
  </si>
  <si>
    <t>Veranisatin C</t>
  </si>
  <si>
    <t>HMDB0031756</t>
  </si>
  <si>
    <t>182876-51-3</t>
  </si>
  <si>
    <t>COC(=O)C1(O)C2CC3(C(C)CC(O)C3(O)C11COC1=O)C(O)C(=O)O2</t>
  </si>
  <si>
    <t>JTVRXANWSWLMEV-UHFFFAOYSA-N</t>
  </si>
  <si>
    <t>C16H20O10</t>
  </si>
  <si>
    <t>5.52_381.1914m/z</t>
  </si>
  <si>
    <t>Novaxenicin C</t>
  </si>
  <si>
    <t>LMPR01040142</t>
  </si>
  <si>
    <t>[C@@]1([H])(C2=C[C@]([H])(C(O)C(C)(O)C)OC2=O)CC[C@@](O)(C)[C@@H]2O[C@@H]2CC(=C)[C@]1([H])CO</t>
  </si>
  <si>
    <t>MQIRKBSTEITVIF-APHMRBDOSA-N</t>
  </si>
  <si>
    <t>11.60_501.3547m/z</t>
  </si>
  <si>
    <t>Tumonoic Acid H</t>
  </si>
  <si>
    <t>CCCCCCCCC(C)C(=O)N1CCCC1C(=O)OC(C(C)C)C(=O)OC(C(C)C)C(=O)O</t>
  </si>
  <si>
    <t>XZDDLHQSVWZOPD-MYGLTJDJSA-N</t>
  </si>
  <si>
    <t>C26H45NO7</t>
  </si>
  <si>
    <t>9.66_829.4234m/z</t>
  </si>
  <si>
    <t>1alpha,3beta,22r-Trihydroxyergosta-5,24e-Dien-26-Oic Acid 3-O-B-D-Glucoside 26-O-B-D-Glucosyl Ester</t>
  </si>
  <si>
    <t>HMDB0040398</t>
  </si>
  <si>
    <t>155510-72-8</t>
  </si>
  <si>
    <t>CC(C(O)C\C(C)=C(\C)C(=O)OC1OC(CO)C(O)C(O)C1O)C1CCC2C3CC=C4CC(CC(O)C4(C)C3CCC12C)OC1OC(CO)C(O)C(O)C1O</t>
  </si>
  <si>
    <t>JPXWUHUTNQDPDE-ZCXUNETKSA-N</t>
  </si>
  <si>
    <t>C40H64O15</t>
  </si>
  <si>
    <t>4.38_279.1204m/z</t>
  </si>
  <si>
    <t>1-Methoxy-1-(2,4,5-Trimethoxyphenyl)-2-Propanol</t>
  </si>
  <si>
    <t>HMDB0031772</t>
  </si>
  <si>
    <t>98205-47-1</t>
  </si>
  <si>
    <t>COC(C(C)O)C1=CC(OC)=C(OC)C=C1OC</t>
  </si>
  <si>
    <t>IXNRGYSRFBDZLB-UHFFFAOYSA-N</t>
  </si>
  <si>
    <t>C13H20O5</t>
  </si>
  <si>
    <t>7.26_387.0260m/z</t>
  </si>
  <si>
    <t>5-Fluorouridine Monophosphate</t>
  </si>
  <si>
    <t>HMDB0060397</t>
  </si>
  <si>
    <t>C16634</t>
  </si>
  <si>
    <t>ko00983</t>
  </si>
  <si>
    <t>Drug metabolism - other enzymes</t>
  </si>
  <si>
    <t>796-66-7</t>
  </si>
  <si>
    <t>O[C@H]1[C@@H](O)[C@@H](O[C@@H]1COP(O)(O)=O)N1C=C(F)C(O)=NC1=O</t>
  </si>
  <si>
    <t>RNBMPPYRHNWTMA-UAKXSSHOSA-N</t>
  </si>
  <si>
    <t>C9H12FN2O9P</t>
  </si>
  <si>
    <t>8.10_344.1621n</t>
  </si>
  <si>
    <t>2-(4-Allyl-2-Methoxyphenoxy)-1-(4-Hydroxy-3-Methoxyphenyl)-1-Propanol</t>
  </si>
  <si>
    <t>HMDB0031753</t>
  </si>
  <si>
    <t>108907-55-7</t>
  </si>
  <si>
    <t>COC1=C(O)C=CC(=C1)C(O)C(C)OC1=C(OC)C=C(CC=C)C=C1</t>
  </si>
  <si>
    <t>PDALBPBLFWHDRD-UHFFFAOYSA-N</t>
  </si>
  <si>
    <t>10.06_393.2613m/z</t>
  </si>
  <si>
    <t>Glycerylmonooleate</t>
  </si>
  <si>
    <t>HMDB0252857</t>
  </si>
  <si>
    <t>CCCCCCCCC=CCCCCCCCC(=O)OC(=O)C(O)CO</t>
  </si>
  <si>
    <t>MFIQBAKSQYMQQX-UHFFFAOYSA-N</t>
  </si>
  <si>
    <t>C21H38O5</t>
  </si>
  <si>
    <t>11.59_1029.5614m/z</t>
  </si>
  <si>
    <t>Melilotoside D</t>
  </si>
  <si>
    <t>HMDB0041467</t>
  </si>
  <si>
    <t>172659-13-1</t>
  </si>
  <si>
    <t>CC1OC(OC2C(OC3C(O)C(O)COC3OC3CCC4(C)C(CCC5(C)C4CC=C4C6CC(C)(C)CC(O)C6(C)CCC54C)C3(C)CO)OC(CO)C(O)C2OC2OCC(O)C(O)C2O)C(O)C(O)C1O</t>
  </si>
  <si>
    <t>MKFBJAPUHISATM-UHFFFAOYSA-N</t>
  </si>
  <si>
    <t>C52H86O20</t>
  </si>
  <si>
    <t>6.61_269.1756m/z</t>
  </si>
  <si>
    <t>Goshuyic Acid</t>
  </si>
  <si>
    <t>HMDB0000560</t>
  </si>
  <si>
    <t>LMFA01030257</t>
  </si>
  <si>
    <t>39039-37-7</t>
  </si>
  <si>
    <t>C(CCC/C=C\C/C=C\CCCCC)(=O)O</t>
  </si>
  <si>
    <t>HXHZGHRLVRFQDR-HZJYTTRNSA-N</t>
  </si>
  <si>
    <t>4.70_389.1816m/z</t>
  </si>
  <si>
    <t>(-)-11-Hydroxy-9,10-Dihydrojasmonic Acid 11-Beta-D-Glucoside</t>
  </si>
  <si>
    <t>LMFA02020206</t>
  </si>
  <si>
    <t>C1[C@H](CC(O)=O)[C@@H](CCCC(O[C@@H]2O[C@H](CO)[C@@H](O)[C@H](O)[C@H]2O)C)C(=O)C1</t>
  </si>
  <si>
    <t>QPYZJXJBZOQDGA-XGNCEZCHSA-N</t>
  </si>
  <si>
    <t>C18H30O9</t>
  </si>
  <si>
    <t>10.61_319.2276m/z</t>
  </si>
  <si>
    <t>Sterebin E</t>
  </si>
  <si>
    <t>HMDB0035379</t>
  </si>
  <si>
    <t>114343-74-7</t>
  </si>
  <si>
    <t>C\C(=C\CO)\C=C\C1C(C)(O)C(O)C(O)C2C(C)(C)CCCC12C</t>
  </si>
  <si>
    <t>RMAJUEUHZWCNQM-UFVXJIOISA-N</t>
  </si>
  <si>
    <t>6.34_577.2046m/z</t>
  </si>
  <si>
    <t>Lappaol C</t>
  </si>
  <si>
    <t>HMDB0301813</t>
  </si>
  <si>
    <t>C17686</t>
  </si>
  <si>
    <t>64855-00-1</t>
  </si>
  <si>
    <t>COC1=CC(CC2C(CC3=CC(OC)=C(O)C(=C3)C(CO)C(O)C3=CC=C(O)C(OC)=C3)COC2=O)=CC=C1O</t>
  </si>
  <si>
    <t>BWOAMGHNXHLWMX-UHFFFAOYSA-N</t>
  </si>
  <si>
    <t>11.25_699.3958m/z</t>
  </si>
  <si>
    <t>Jwh 073 2-Hydroxyindole Metabolite-D7</t>
  </si>
  <si>
    <t>CCCCN1C2=CC=CC=C2C(=C1O)C(=O)C3=CC=CC4=CC=CC=C43</t>
  </si>
  <si>
    <t>HLQUZHWENOKGOT-NCKGIQLSSA-N</t>
  </si>
  <si>
    <t>C23H14D7NO2</t>
  </si>
  <si>
    <t>3.39_315.0721m/z</t>
  </si>
  <si>
    <t>Phenylglucuronide</t>
  </si>
  <si>
    <t>HMDB0059806</t>
  </si>
  <si>
    <t>O[C@@H]1[C@@H](O)C(OC2=CC=CC=C2)O[C@@H]([C@H]1O)C(O)=O</t>
  </si>
  <si>
    <t>WVHAUDNUGBNUDZ-SDQGTYQYSA-N</t>
  </si>
  <si>
    <t>5.35_453.2093m/z</t>
  </si>
  <si>
    <t>Lactose-Lysine</t>
  </si>
  <si>
    <t>HMDB0253951</t>
  </si>
  <si>
    <t>NC(CCCCNCC(=O)C(O)C(OC1OC(CO)C(O)C(O)C1O)C(O)CO)C(O)=O</t>
  </si>
  <si>
    <t>XVJNMIGVIYENHK-UHFFFAOYSA-N</t>
  </si>
  <si>
    <t>C18H34N2O12</t>
  </si>
  <si>
    <t>7.55_475.2095m/z</t>
  </si>
  <si>
    <t>Kushenol D</t>
  </si>
  <si>
    <t>LMPK12120281</t>
  </si>
  <si>
    <t>C1=CC(O)=CC(OC)=C1/C=C/C(=O)C1C(O)=C(CC(C(C)=C)C/C=C(\C)/C)C(O)=CC=1OC</t>
  </si>
  <si>
    <t>LZSUTCMOKIJOBI-ZRDIBKRKSA-N</t>
  </si>
  <si>
    <t>C27H32O6</t>
  </si>
  <si>
    <t>10.23_200.2008m/z</t>
  </si>
  <si>
    <t>Dodecanamide</t>
  </si>
  <si>
    <t>HMDB0251566</t>
  </si>
  <si>
    <t>LMFA08010001</t>
  </si>
  <si>
    <t>C13831</t>
  </si>
  <si>
    <t>NC(CCCCCCCCCCC)=O</t>
  </si>
  <si>
    <t>ILRSCQWREDREME-UHFFFAOYSA-N</t>
  </si>
  <si>
    <t>C12H25NO</t>
  </si>
  <si>
    <t>1.31_377.1051m/z</t>
  </si>
  <si>
    <t>(6s)-6,7-Dihydro-2-Nitro-6-[[4-(Trifluoromethoxy)Phenyl]Methoxy]-5h-Imidazo[2,1-B][1,3]Oxazine</t>
  </si>
  <si>
    <t>HMDB0248078</t>
  </si>
  <si>
    <t>[O-][N+](=O)C1=CN2CC(COC2=N1)OCC1=CC=C(OC(F)(F)F)C=C1</t>
  </si>
  <si>
    <t>ZLHZLMOSPGACSZ-UHFFFAOYSA-N</t>
  </si>
  <si>
    <t>C14H12F3N3O5</t>
  </si>
  <si>
    <t>14.82_713.5442n</t>
  </si>
  <si>
    <t>GlcCer(d18:2(4E,8Z)/16:0(2OH[R]))</t>
  </si>
  <si>
    <t>LMSP05010048</t>
  </si>
  <si>
    <t>[C@](CO[C@H]1[C@H](O)[C@@H](O)[C@H](O)[C@@H](CO)O1)([H])(NC([C@H](O)CCCCCCCCCCCCCC)=O)[C@]([H])(O)/C=C/CC/C=C\CCCCCCCCC</t>
  </si>
  <si>
    <t>HOMYIYLRRDTKAA-QZNXAUJSSA-N</t>
  </si>
  <si>
    <t>12.10_499.3390m/z</t>
  </si>
  <si>
    <t>Homodolichosterone</t>
  </si>
  <si>
    <t>HMDB0034079</t>
  </si>
  <si>
    <t>85797-14-4</t>
  </si>
  <si>
    <t>C\C=C(/C(C)C)C(O)C(O)C(C)C1CCC2C3CC(=O)C4CC(O)C(O)CC4(C)C3CCC12C</t>
  </si>
  <si>
    <t>DXUFRIYNOOTWEO-REZTVBANSA-N</t>
  </si>
  <si>
    <t>C29H48O5</t>
  </si>
  <si>
    <t>11.20_553.3135m/z</t>
  </si>
  <si>
    <t>11-Ketorockogenin Acetate</t>
  </si>
  <si>
    <t>CC1CCC2(C(C3C(O2)CC4C3(C(C(=O)C5C4CCC6C5(CCC(C6)OC(=O)C)C)OC(=O)C)C)C)OC1</t>
  </si>
  <si>
    <t>SJZHCCUPAKHVFK-VSXUVRPXSA-N</t>
  </si>
  <si>
    <t>C31H46O7</t>
  </si>
  <si>
    <t>6.52_230.1899m/z</t>
  </si>
  <si>
    <t>Neoherculin</t>
  </si>
  <si>
    <t>HMDB0030955</t>
  </si>
  <si>
    <t>504-97-2</t>
  </si>
  <si>
    <t>C\C=C/C=C/C=C\CC\C=C\C(\O)=N\CC(C)C</t>
  </si>
  <si>
    <t>SBXYHCVXUCYYJT-JRNWQWJGSA-N</t>
  </si>
  <si>
    <t>Carboximidic acids and derivatives</t>
  </si>
  <si>
    <t>Carboximidic acids</t>
  </si>
  <si>
    <t>C16H25NO</t>
  </si>
  <si>
    <t>4.41_498.2823n</t>
  </si>
  <si>
    <t>Val-Gly-Val-Ala-Pro-Gly</t>
  </si>
  <si>
    <t>HMDB0253033</t>
  </si>
  <si>
    <t>CC(C)C(N)C(=O)NCC(=O)NC(C(C)C)C(=O)NC(C)C(=O)N1CCCC1C(=O)NCC(O)=O</t>
  </si>
  <si>
    <t>RLCSROTYKMPBDL-UHFFFAOYSA-N</t>
  </si>
  <si>
    <t>C22H38N6O7</t>
  </si>
  <si>
    <t>5.37_535.1972m/z</t>
  </si>
  <si>
    <t>Pyroglu-Glu-Asp-Ser-Glyoh</t>
  </si>
  <si>
    <t>HMDB0251847</t>
  </si>
  <si>
    <t>OCC(NC(=O)C(CC(O)=O)NC(=O)C(CCC(O)=O)NC(=O)C1CCC(=O)N1)C(=O)NCC(O)=O</t>
  </si>
  <si>
    <t>HJOWVYBCMAYCGY-UHFFFAOYSA-N</t>
  </si>
  <si>
    <t>C19H27N5O12</t>
  </si>
  <si>
    <t>0.73_192.0864m/z</t>
  </si>
  <si>
    <t>3-Oxopimelic Acid</t>
  </si>
  <si>
    <t>LMFA01170069</t>
  </si>
  <si>
    <t>C(C(=O)CCCC(O)=O)C(O)=O</t>
  </si>
  <si>
    <t>IYNRULSFFKEOLT-UHFFFAOYSA-N</t>
  </si>
  <si>
    <t>13.95_136.9980m/z</t>
  </si>
  <si>
    <t>Orotic Acid</t>
  </si>
  <si>
    <t>HMDB0000226</t>
  </si>
  <si>
    <t>C00295</t>
  </si>
  <si>
    <t>65-86-1</t>
  </si>
  <si>
    <t>OC(=O)C1=CC(=O)NC(=O)N1</t>
  </si>
  <si>
    <t>PXQPEWDEAKTCGB-UHFFFAOYSA-N</t>
  </si>
  <si>
    <t>C5H4N2O4</t>
  </si>
  <si>
    <t>6.91_517.2563m/z</t>
  </si>
  <si>
    <t>Norzolmitripan</t>
  </si>
  <si>
    <t>HMDB0060966</t>
  </si>
  <si>
    <t>NCCC1=CNC2=C1C=C(C[C@@H]1COC(O)=N1)C=C2</t>
  </si>
  <si>
    <t>NKOBWHOGNBPTDO-LLVKDONJSA-N</t>
  </si>
  <si>
    <t>C14H17N3O2</t>
  </si>
  <si>
    <t>5.47_459.1813m/z</t>
  </si>
  <si>
    <t>Naproxen</t>
  </si>
  <si>
    <t>HMDB0001923</t>
  </si>
  <si>
    <t>C01517</t>
  </si>
  <si>
    <t>22204-53-1</t>
  </si>
  <si>
    <t>COC1=CC2=C(C=C1)C=C(C=C2)[C@H](C)C(O)=O</t>
  </si>
  <si>
    <t>CMWTZPSULFXXJA-VIFPVBQESA-N</t>
  </si>
  <si>
    <t>C14H14O3</t>
  </si>
  <si>
    <t>3.38_381.1637n</t>
  </si>
  <si>
    <t>Cis-Zeatin-7-N-Glucoside</t>
  </si>
  <si>
    <t>HMDB0012201</t>
  </si>
  <si>
    <t>823188-69-8</t>
  </si>
  <si>
    <t>C\C(CO)=C\CNC1=C2N(C=NC2=NC=N1)[C@@H]1O[C@H](CO)[C@@H](O)[C@H](O)[C@H]1O</t>
  </si>
  <si>
    <t>HTDHRCLVWUEXIS-MTQUCLQASA-N</t>
  </si>
  <si>
    <t>C16H23N5O6</t>
  </si>
  <si>
    <t>3.39_347.2800m/z</t>
  </si>
  <si>
    <t>1-Decanethiol</t>
  </si>
  <si>
    <t>HMDB0243855</t>
  </si>
  <si>
    <t>CCCCCCCCCCS</t>
  </si>
  <si>
    <t>VTXVGVNLYGSIAR-UHFFFAOYSA-N</t>
  </si>
  <si>
    <t>Thiols</t>
  </si>
  <si>
    <t>Alkylthiols</t>
  </si>
  <si>
    <t>C10H22S</t>
  </si>
  <si>
    <t>4.45_409.1862m/z</t>
  </si>
  <si>
    <t>9-(Tetrahydrofuran-2-Yl)-9h-Purin-6-Amine</t>
  </si>
  <si>
    <t>HMDB0244787</t>
  </si>
  <si>
    <t>NC1=NC=NC2=C1N=CN2C1CCCO1</t>
  </si>
  <si>
    <t>UKHMZCMKHPHFOT-UHFFFAOYSA-N</t>
  </si>
  <si>
    <t>C9H11N5O</t>
  </si>
  <si>
    <t>10.49_428.3730m/z</t>
  </si>
  <si>
    <t>MG(0:0/22:2(13Z,16Z)/0:0)</t>
  </si>
  <si>
    <t>HMDB0011553</t>
  </si>
  <si>
    <t>[H]C(CO)(CO)OC(=O)CCCCCCCCCCC\C=C/C\C=C/CCCCC</t>
  </si>
  <si>
    <t>PFISEVUKDJTNGO-HZJYTTRNSA-N</t>
  </si>
  <si>
    <t>C25H46O4</t>
  </si>
  <si>
    <t>10.94_878.5175m/z</t>
  </si>
  <si>
    <t>PE(22:6(4Z,7Z,10Z,13Z,16Z,19Z)/6 keto-PGF1alpha)</t>
  </si>
  <si>
    <t>HMDB0284366</t>
  </si>
  <si>
    <t>CCCCC[C@H](O)\C=C\[C@H]1[C@H](O)C[C@H](O)[C@@H]1CC(=O)CCCCC(=O)O[C@H](COC(=O)CC\C=C/C\C=C/C\C=C/C\C=C/C\C=C/C\C=C/CC)COP(O)(=O)OCCN</t>
  </si>
  <si>
    <t>WHZPTWJFOADCGH-CJIHTBCUSA-N</t>
  </si>
  <si>
    <t>C47H76NO12P</t>
  </si>
  <si>
    <t>0.65_147.1128m/z</t>
  </si>
  <si>
    <t>Vigabatrin</t>
  </si>
  <si>
    <t>HMDB0015212</t>
  </si>
  <si>
    <t>C07500</t>
  </si>
  <si>
    <t>60643-86-9</t>
  </si>
  <si>
    <t>NC(CCC(O)=O)C=C</t>
  </si>
  <si>
    <t>PJDFLNIOAUIZSL-UHFFFAOYSA-N</t>
  </si>
  <si>
    <t>C6H11NO2</t>
  </si>
  <si>
    <t>10.30_356.3520m/z</t>
  </si>
  <si>
    <t>Eicosanoyl-Ea</t>
  </si>
  <si>
    <t>HMDB0248559</t>
  </si>
  <si>
    <t>LMFA08040038</t>
  </si>
  <si>
    <t>94421-69-9</t>
  </si>
  <si>
    <t>C(CCCCCCCCCCC)CCCCCCCC(=O)NCCO</t>
  </si>
  <si>
    <t>AUJVQJHODMISJP-UHFFFAOYSA-N</t>
  </si>
  <si>
    <t>C22H45NO2</t>
  </si>
  <si>
    <t>8.47_566.3471m/z</t>
  </si>
  <si>
    <t>Mdn-0104</t>
  </si>
  <si>
    <t>LMGL06010001</t>
  </si>
  <si>
    <t>O(CC[C@@H](C([O-])=O)[N+](C)(C)C)C[C@]([H])(O)COC(C(C)(C)C(=O)/C(/C)=C/CCCCCCCCCCC)=O</t>
  </si>
  <si>
    <t>NXAYEJXOTSDSHG-ODINOTFKSA-N</t>
  </si>
  <si>
    <t>C29H53NO7</t>
  </si>
  <si>
    <t>2.03_329.1236m/z</t>
  </si>
  <si>
    <t>Ajugol</t>
  </si>
  <si>
    <t>HMDB0248074</t>
  </si>
  <si>
    <t>CC1(O)CC(O)C2C=COC(OC3OC(CO)C(O)C(O)C3O)C12</t>
  </si>
  <si>
    <t>VELYAQRXBJLJAK-UHFFFAOYSA-N</t>
  </si>
  <si>
    <t>C15H24O9</t>
  </si>
  <si>
    <t>7.53_421.2005m/z</t>
  </si>
  <si>
    <t>Pharmagsid_47333</t>
  </si>
  <si>
    <t>CC1=NC=C(C=N1)C(CCCCCCC2=NC3=C(CCCN3)C=C2)CC(=O)O</t>
  </si>
  <si>
    <t>NJDBZBVQIMZWPP-SFHVURJKSA-N</t>
  </si>
  <si>
    <t>C22H30N4O2</t>
  </si>
  <si>
    <t>2.85_218.1028m/z</t>
  </si>
  <si>
    <t>Pantothenic Acid</t>
  </si>
  <si>
    <t>HMDB0000210</t>
  </si>
  <si>
    <t>C00864</t>
  </si>
  <si>
    <t>ko00410,ko00770,ko04977</t>
  </si>
  <si>
    <t>beta-Alanine metabolism|Pantothenate and CoA biosynthesis|Vitamin digestion and absorption</t>
  </si>
  <si>
    <t>79-83-4</t>
  </si>
  <si>
    <t>CC(C)(CO)[C@@H](O)C(=O)NCCC(O)=O</t>
  </si>
  <si>
    <t>GHOKWGTUZJEAQD-ZETCQYMHSA-N</t>
  </si>
  <si>
    <t>C9H17NO5</t>
  </si>
  <si>
    <t>1.31_312.1205m/z</t>
  </si>
  <si>
    <t>Norscopolamine</t>
  </si>
  <si>
    <t>HMDB0255751</t>
  </si>
  <si>
    <t>OCC(C(=O)OC1CC2NC(C1)C1OC21)C1=CC=CC=C1</t>
  </si>
  <si>
    <t>MOYZEMOPQDTDHA-UHFFFAOYSA-N</t>
  </si>
  <si>
    <t>C16H19NO4</t>
  </si>
  <si>
    <t>5.07_411.2304m/z</t>
  </si>
  <si>
    <t>Irbesartan</t>
  </si>
  <si>
    <t>HMDB0015163</t>
  </si>
  <si>
    <t>C07469</t>
  </si>
  <si>
    <t>138402-11-6</t>
  </si>
  <si>
    <t>CCCCC1=NC2(CCCC2)C(=O)N1CC1=CC=C(C=C1)C1=CC=CC=C1C1=NNN=N1</t>
  </si>
  <si>
    <t>YOSHYTLCDANDAN-UHFFFAOYSA-N</t>
  </si>
  <si>
    <t>C25H28N6O</t>
  </si>
  <si>
    <t>4.29_787.3536m/z</t>
  </si>
  <si>
    <t>Phodia-Pi</t>
  </si>
  <si>
    <t>LMGP20050007</t>
  </si>
  <si>
    <t>[C@]([H])(OC(CCCC(O)/C=C/C(=O)O)=O)(COP(=O)(O)O[C@H]1[C@H](O)[C@@H](O)[C@H](O)[C@@H](O)[C@H]1O)COC(CCCCCCCCCCCCCCC)=O</t>
  </si>
  <si>
    <t>CTIZRZRKYNSWAF-DEVRSIMPSA-N</t>
  </si>
  <si>
    <t>C33H59O16P</t>
  </si>
  <si>
    <t>1.59_323.0710m/z</t>
  </si>
  <si>
    <t>Oryzenin</t>
  </si>
  <si>
    <t>HMDB0302835</t>
  </si>
  <si>
    <t>[Cl-].CC1=C(CCO)SC=[N+]1CC1=CN=C(C)NC1=N</t>
  </si>
  <si>
    <t>MYVIATVLJGTBFV-UHFFFAOYSA-M</t>
  </si>
  <si>
    <t>C12H17ClN4OS</t>
  </si>
  <si>
    <t>2.90_422.1593m/z</t>
  </si>
  <si>
    <t>Glycerol Tribenzoate</t>
  </si>
  <si>
    <t>HMDB0029556</t>
  </si>
  <si>
    <t>614-33-5</t>
  </si>
  <si>
    <t>O=C(OCC(COC(=O)C1=CC=CC=C1)OC(=O)C1=CC=CC=C1)C1=CC=CC=C1</t>
  </si>
  <si>
    <t>HIZCTWCPHWUPFU-UHFFFAOYSA-N</t>
  </si>
  <si>
    <t>C24H20O6</t>
  </si>
  <si>
    <t>5.22_473.1916m/z</t>
  </si>
  <si>
    <t>15-(4-Iodophenyl)-3,3-Dimethylpentadecanoic Acid</t>
  </si>
  <si>
    <t>HMDB0244311</t>
  </si>
  <si>
    <t>CC(C)(CCCCCCCCCCCCC1=CC=C(I)C=C1)CC(O)=O</t>
  </si>
  <si>
    <t>COJKCRQZSGYQAF-UHFFFAOYSA-N</t>
  </si>
  <si>
    <t>C23H37IO2</t>
  </si>
  <si>
    <t>10.51_584.1585m/z</t>
  </si>
  <si>
    <t>Lacto-N-Triaose</t>
  </si>
  <si>
    <t>HMDB0006592</t>
  </si>
  <si>
    <t>75645-27-1</t>
  </si>
  <si>
    <t>[H][C@@](O[C@@H]1O[C@H](CO)[C@H](O)[C@]([H])(O[C@@H]2O[C@H](CO)[C@@H](O)[C@H](O)[C@H]2NC(C)=O)[C@H]1O)([C@H](O)CO)[C@H](O)[C@@H](O)C=O</t>
  </si>
  <si>
    <t>RJTOFDPWCJDYFZ-SPVZFZGWSA-N</t>
  </si>
  <si>
    <t>C20H35NO16</t>
  </si>
  <si>
    <t>3.40_523.1994m/z</t>
  </si>
  <si>
    <t>Galactoarabinan</t>
  </si>
  <si>
    <t>HMDB0252576</t>
  </si>
  <si>
    <t>COC1C(O)COC(OCC2OC(OC3C(O)C(C)OC(CO)C3O)C(O)C(OC)C2O)C1O</t>
  </si>
  <si>
    <t>SATHPVQTSSUFFW-UHFFFAOYSA-N</t>
  </si>
  <si>
    <t>C20H36O14</t>
  </si>
  <si>
    <t>5.85_256.1672n</t>
  </si>
  <si>
    <t>(6r,8z)-6-Hydroxy-3-Oxotetradecenoic Acid</t>
  </si>
  <si>
    <t>HMDB0062363</t>
  </si>
  <si>
    <t>CCCCC\C=C/C[C@H](O)CCC(=O)CC(O)=O</t>
  </si>
  <si>
    <t>JVEAMJNRAYIMIF-DGMVEKRQSA-N</t>
  </si>
  <si>
    <t>C14H24O4</t>
  </si>
  <si>
    <t>4.87_619.2751m/z</t>
  </si>
  <si>
    <t>Hordatine B</t>
  </si>
  <si>
    <t>HMDB0030459</t>
  </si>
  <si>
    <t>C08308</t>
  </si>
  <si>
    <t>10502-21-3</t>
  </si>
  <si>
    <t>COC1=C2OC(C(C(=O)NCCCCNC(N)=N)C2=CC(\C=C/C(=O)NCCCCNC(N)=N)=C1)C1=CC=C(O)C=C1</t>
  </si>
  <si>
    <t>LRLXAXGCQUOKIO-WDZFZDKYSA-N</t>
  </si>
  <si>
    <t>C29H40N8O5</t>
  </si>
  <si>
    <t>5.51_374.2453n</t>
  </si>
  <si>
    <t>Digitoxigenin</t>
  </si>
  <si>
    <t>LMST01120001</t>
  </si>
  <si>
    <t>143-62-4</t>
  </si>
  <si>
    <t>C1[C@]2(C)[C@@]3([H])CC[C@]4(C)[C@@]([H])(C5COC(=O)C=5)CC[C@]4(O)[C@]3([H])CC[C@]2([H])C[C@@H](O)C1</t>
  </si>
  <si>
    <t>XZTUSOXSLKTKJQ-CESUGQOBSA-N</t>
  </si>
  <si>
    <t>C23H34O4</t>
  </si>
  <si>
    <t>0.84_150.0913m/z</t>
  </si>
  <si>
    <t>2-Aminopropiophenone</t>
  </si>
  <si>
    <t>HMDB0245024</t>
  </si>
  <si>
    <t>5265-18-9</t>
  </si>
  <si>
    <t>CC(N)C(=O)C1=CC=CC=C1</t>
  </si>
  <si>
    <t>PUAQLLVFLMYYJJ-UHFFFAOYSA-N</t>
  </si>
  <si>
    <t>C9H11NO</t>
  </si>
  <si>
    <t>4.23_360.1440m/z</t>
  </si>
  <si>
    <t>(1r,2s,5r,6s)-6-(3,4-Dihydroxyphenyl)-2-(3,4-Methylenedioxyphenyl)-3,7-Dioxabicyclo-[3,3,0]Octane</t>
  </si>
  <si>
    <t>HMDB0059746</t>
  </si>
  <si>
    <t>OC1=C(O)C=C(C=C1)[C@H]1OCC2C1CO[C@@H]2C1=CC=C2OCOC2=C1</t>
  </si>
  <si>
    <t>CGEORJKFOZSMEZ-NWZDRYQDSA-N</t>
  </si>
  <si>
    <t>C19H18O6</t>
  </si>
  <si>
    <t>4.45_457.1861m/z</t>
  </si>
  <si>
    <t>Lobaric Acid</t>
  </si>
  <si>
    <t>522-53-2</t>
  </si>
  <si>
    <t>CCCCCC1=C(C(=CC2=C1OC3=CC(=CC(=C3C(=O)O2)C(=O)CCCC)OC)O)C(=O)O</t>
  </si>
  <si>
    <t>JHEWMLHQNRHTQX-UHFFFAOYSA-N</t>
  </si>
  <si>
    <t>C25H28O8</t>
  </si>
  <si>
    <t>11.58_267.2678m/z</t>
  </si>
  <si>
    <t>9-Octadecenal</t>
  </si>
  <si>
    <t>HMDB0030965</t>
  </si>
  <si>
    <t>LMFA06000099</t>
  </si>
  <si>
    <t>5090-41-5</t>
  </si>
  <si>
    <t>C(/CCCCCCCC)=C\CCCCCCCC([H])=O</t>
  </si>
  <si>
    <t>ZENZJGDPWWLORF-MDZDMXLPSA-N</t>
  </si>
  <si>
    <t>9.33_765.4063m/z</t>
  </si>
  <si>
    <t>23r,24s-Diacetoxy-3beta,15alpha,25-Trihydroxy-Cycloart-7-En-16-One-3-O-Beta-D-Xylopyranoside</t>
  </si>
  <si>
    <t>LMST01100017</t>
  </si>
  <si>
    <t>C1C[C@H](O[C@H]2[C@H](O)[C@@H](O)[C@H](O)CO2)C(C)(C)[C@]2([H])CC=C3[C@]4(C)[C@@H](O)C(=O)[C@@]([C@H](C)C[C@@H](OC(=O)C)[C@H](OC(=O)C)C(O)(C)C)([H])[C@@]4(C)CC[C@@]43C[C@]124</t>
  </si>
  <si>
    <t>REJVIGQRBBRIJE-CUBBNAKDSA-N</t>
  </si>
  <si>
    <t>C39H60O12</t>
  </si>
  <si>
    <t>5.94_695.2881m/z</t>
  </si>
  <si>
    <t>N-(2-Methoxybenzyl)-N-(4-Phenoxypyridin-3-Yl)Acetamide</t>
  </si>
  <si>
    <t>HMDB0249955</t>
  </si>
  <si>
    <t>COC1=CC=CC=C1CN(C(C)=O)C1=C(OC2=CC=CC=C2)C=CN=C1</t>
  </si>
  <si>
    <t>DHZBNHMEIOBPAE-UHFFFAOYSA-N</t>
  </si>
  <si>
    <t>C21H20N2O3</t>
  </si>
  <si>
    <t>3.90_417.2013m/z</t>
  </si>
  <si>
    <t>PA(15:1(9Z)/0:0)</t>
  </si>
  <si>
    <t>LMGP10050021</t>
  </si>
  <si>
    <t>[C@](COP(=O)(O)O)([H])(O)COC(CCCCCCC/C=C\CCCCC)=O</t>
  </si>
  <si>
    <t>WMIBCBLHUXDTKT-JTGQJZMRSA-N</t>
  </si>
  <si>
    <t>C18H35O7P</t>
  </si>
  <si>
    <t>5.19_589.2666m/z</t>
  </si>
  <si>
    <t>Physagulin F</t>
  </si>
  <si>
    <t>HMDB0039631</t>
  </si>
  <si>
    <t>CC(C1CC(C)=C(C)C(=O)O1)C12OC1C(OC(C)=O)C1(O)C3CC(O)C4(O)CC=CC(=O)C4(C)C3CCC21C</t>
  </si>
  <si>
    <t>XIINLGCQYPFDPD-UHFFFAOYSA-N</t>
  </si>
  <si>
    <t>C30H40O9</t>
  </si>
  <si>
    <t>5.34_589.2484m/z</t>
  </si>
  <si>
    <t>Harderoporphyrin</t>
  </si>
  <si>
    <t>HMDB0000683</t>
  </si>
  <si>
    <t>30783-27-8</t>
  </si>
  <si>
    <t>CC1=C2NC(\C=C3/N=C(/C=C4\N\C(=C/C5=N/C(=C\2)/C(CCC(O)=O)=C5C)C(C=C)=C4C)C(C)=C3CCC(O)=O)=C1CCC(O)=O</t>
  </si>
  <si>
    <t>KECOXFKVIHSIBO-UJJXFSCMSA-N</t>
  </si>
  <si>
    <t>C35H36N4O6</t>
  </si>
  <si>
    <t>4.70_445.2080m/z</t>
  </si>
  <si>
    <t>Berkeleylactone G</t>
  </si>
  <si>
    <t>LMFA07040167</t>
  </si>
  <si>
    <t>[C@@H]1([C@@H](OC(=O)CCC(=O)O)CCCCCCCC[C@H](O)[C@@H](C)OC(=O)C=C1)O</t>
  </si>
  <si>
    <t>LHCHMGFKQQZRRH-JUDWWFKISA-N</t>
  </si>
  <si>
    <t>C20H32O8</t>
  </si>
  <si>
    <t>1.16_241.1182m/z</t>
  </si>
  <si>
    <t>3-Hydroxyphenylpropionylglycine</t>
  </si>
  <si>
    <t>HMDB0094724</t>
  </si>
  <si>
    <t>OC(CC(O)=NCC(O)=O)C1=CC=CC=C1</t>
  </si>
  <si>
    <t>VYBVJMVAEFUFQW-UHFFFAOYSA-N</t>
  </si>
  <si>
    <t>7.03_653.3545m/z</t>
  </si>
  <si>
    <t>Pc(O-5:0/0:0)[R]</t>
  </si>
  <si>
    <t>LMGP01060020</t>
  </si>
  <si>
    <t>[C@](COP(=O)([O-])OCC[N+](C)(C)C)([H])(O)COCCCCC</t>
  </si>
  <si>
    <t>FBCWZRYNKHOPFU-CYBMUJFWSA-N</t>
  </si>
  <si>
    <t>C13H30NO6P</t>
  </si>
  <si>
    <t>10.60_620.1525n</t>
  </si>
  <si>
    <t>Apigenin 7-(3''-Acetyl-6''-E-P-Coumaroylglucoside)</t>
  </si>
  <si>
    <t>LMPK12110403</t>
  </si>
  <si>
    <t>C1(O[C@H]2[C@H](O)[C@@H](OC(C)=O)[C@H](O)[C@@H](COC(/C=C/C3C=CC(O)=CC=3)=O)O2)C=C2OC(C3C=CC(O)=CC=3)=CC(=O)C2=C(O)C=1</t>
  </si>
  <si>
    <t>PDUDZEVWHZXBNE-RTMDKLGPSA-N</t>
  </si>
  <si>
    <t>C32H28O13</t>
  </si>
  <si>
    <t>9.77_657.3249m/z</t>
  </si>
  <si>
    <t>Pob-Pi</t>
  </si>
  <si>
    <t>LMGP20050016</t>
  </si>
  <si>
    <t>[C@]([H])(OC(CCC([H])=O)=O)(COP(=O)(O)O[C@H]1[C@H](O)[C@@H](O)[C@H](O)[C@@H](O)[C@H]1O)COC(CCCCCCCCCCCCCCC)=O</t>
  </si>
  <si>
    <t>FMZKSNCOYOBYMQ-KQHDOJJOSA-N</t>
  </si>
  <si>
    <t>C29H53O14P</t>
  </si>
  <si>
    <t>11.99_459.3461m/z</t>
  </si>
  <si>
    <t>Neotigogenin Acetate</t>
  </si>
  <si>
    <t>4948-43-0</t>
  </si>
  <si>
    <t>CC1CCC2(C(C3C(O2)CC4C3(CCC5C4CCC6C5(CCC(C6)OC(=O)C)C)C)C)OC1</t>
  </si>
  <si>
    <t>LVRAKYNQYKVPIK-UHFFFAOYSA-N</t>
  </si>
  <si>
    <t>C29H46O4</t>
  </si>
  <si>
    <t>7.70_735.2027m/z</t>
  </si>
  <si>
    <t>Phenoxomethylpenicilloyl</t>
  </si>
  <si>
    <t>HMDB0256236</t>
  </si>
  <si>
    <t>1049-84-9</t>
  </si>
  <si>
    <t>CC1(C)SC(NC1C(O)=O)C(NC(=O)COC1=CC=CC=C1)C(O)=O</t>
  </si>
  <si>
    <t>FJTUHYOOCYRLJI-UHFFFAOYSA-N</t>
  </si>
  <si>
    <t>C16H20N2O6S</t>
  </si>
  <si>
    <t>12.88_510.4514m/z</t>
  </si>
  <si>
    <t>Nervonyl Carnitine</t>
  </si>
  <si>
    <t>HMDB0006509</t>
  </si>
  <si>
    <t>1242471-01-7</t>
  </si>
  <si>
    <t>CCCCCCCC\C=C/CCCCCCCCCCCCCC(=O)O[C@H](CC(O)=O)C[N+](C)(C)C</t>
  </si>
  <si>
    <t>QGIHQXKFCAACHN-BKAVPCLVSA-O</t>
  </si>
  <si>
    <t>C31H59NO4</t>
  </si>
  <si>
    <t>5.74_363.2646m/z</t>
  </si>
  <si>
    <t>4-Phenyl-1-(3-(Tetrahydro-2-Furyl)Propyl)Isonipecotic Acid Ethyl Ester</t>
  </si>
  <si>
    <t>HMDB0258665</t>
  </si>
  <si>
    <t>CCOC(=O)C1(CCN(CCCC2CCCO2)CC1)C1=CC=CC=C1</t>
  </si>
  <si>
    <t>QHDJAMFGKRJOLY-UHFFFAOYSA-N</t>
  </si>
  <si>
    <t>C21H31NO3</t>
  </si>
  <si>
    <t>6.90_531.2445m/z</t>
  </si>
  <si>
    <t>Ccr3 Antagonist</t>
  </si>
  <si>
    <t>HMDB0249924</t>
  </si>
  <si>
    <t>CC(=O)C1=C(C)N=C(NC(=O)NC2CCCCC2CN2CCCC(CC3=CC=C(F)C=C3)C2)S1</t>
  </si>
  <si>
    <t>NDZYPHLNJZSQJY-UHFFFAOYSA-N</t>
  </si>
  <si>
    <t>C26H35FN4O2S</t>
  </si>
  <si>
    <t>6.11_1094.5097m/z</t>
  </si>
  <si>
    <t>CDP-DG(18:2(9Z,12Z)/22:6(4Z,7Z,10Z,13Z,16Z,19Z))</t>
  </si>
  <si>
    <t>HMDB0115976</t>
  </si>
  <si>
    <t>[H][C@@](COC(=O)CCCCCCC\C=C/C\C=C/CCCCC)(COP(O)(=O)OP(O)(=O)OC[C@H]1O[C@H](C(O)[C@H]1O)N1C=CC(N)=NC1=O)OC(=O)CC\C=C/C\C=C/C\C=C/C\C=C/C\C=C/C\C=C/CC</t>
  </si>
  <si>
    <t>YRIUBWPTQXWLIU-FBQAPBKESA-N</t>
  </si>
  <si>
    <t>C52H81N3O15P2</t>
  </si>
  <si>
    <t>4.84_829.3639m/z</t>
  </si>
  <si>
    <t>Diapolycopenedioic Acid Diglucosyl Ester</t>
  </si>
  <si>
    <t>LMPR0106010069</t>
  </si>
  <si>
    <t>C(/C=C(\C)/C(=O)O[C@H]1[C@H](O)[C@@H](O)[C@H](O)[C@@H](CO)O1)=C\C(\C)=C\C=C\C(\C)=C\C=C\C=C(/C)\C=C\C=C(\C=C\C=C(/C)\C(=O)O[C@H]1[C@H](O)[C@@H](O)[C@H](O)[C@@H](CO)O1)/C</t>
  </si>
  <si>
    <t>ZVGZSPSYISRPRS-OKRWTFKHSA-N</t>
  </si>
  <si>
    <t>C42H56O14</t>
  </si>
  <si>
    <t>8.23_888.4391n</t>
  </si>
  <si>
    <t>PGP(i-14:0/6 keto-PGF1alpha)</t>
  </si>
  <si>
    <t>HMDB0275021</t>
  </si>
  <si>
    <t>CCCCC[C@H](O)\C=C\[C@H]1[C@H](O)C[C@H](O)[C@@H]1CC(=O)CCCCC(=O)O[C@H](COC(=O)CCCCCCCCCCC(C)C)COP(O)(=O)OC[C@@H](O)COP(O)(O)=O</t>
  </si>
  <si>
    <t>XCRWXPCRBXSNLQ-OJSUGNCISA-N</t>
  </si>
  <si>
    <t>C40H74O17P2</t>
  </si>
  <si>
    <t>5.08_493.1103m/z</t>
  </si>
  <si>
    <t>2-Hydroxy-4-(3-Azidomethylphenyl)-4-Oxo-2-Butenoic Acid</t>
  </si>
  <si>
    <t>HMDB0253188</t>
  </si>
  <si>
    <t>OC(=O)C(=O)C=C(O)C1=CC(CN=[N+]=[N-])=CC=C1</t>
  </si>
  <si>
    <t>ZIRLWIWYZCQZJW-UHFFFAOYSA-N</t>
  </si>
  <si>
    <t>C11H9N3O4</t>
  </si>
  <si>
    <t>4.87_218.1306n</t>
  </si>
  <si>
    <t>(R)-Pterosin B</t>
  </si>
  <si>
    <t>HMDB0030759</t>
  </si>
  <si>
    <t>34175-96-7</t>
  </si>
  <si>
    <t>CC1CC2=C(C1=O)C(C)=C(CCO)C(C)=C2</t>
  </si>
  <si>
    <t>SJNCSXMTBXDZQA-UHFFFAOYSA-N</t>
  </si>
  <si>
    <t>Indanones</t>
  </si>
  <si>
    <t>C14H18O2</t>
  </si>
  <si>
    <t>10.62_458.2301n</t>
  </si>
  <si>
    <t>1,3-Dideacetyl-7-Deacetoxy-7-Oxokhivorin</t>
  </si>
  <si>
    <t>CC1(C(CC(C2(C1CC(=O)C3(C2CCC4(C35C(O5)C(=O)OC4C6=COC=C6)C)C)C)O)O)C</t>
  </si>
  <si>
    <t>BBSPXZBAZKHYLF-HUBYRZTESA-N</t>
  </si>
  <si>
    <t>11.39_489.2267m/z</t>
  </si>
  <si>
    <t>Rubraflavone D</t>
  </si>
  <si>
    <t>HMDB0030631</t>
  </si>
  <si>
    <t>54835-66-4</t>
  </si>
  <si>
    <t>CC(C)=CCC\C(C)=C/CC1=C(OC2=C(C(O)=C3C=CC(C)(C)OC3=C2)C1=O)C1=C(O)C=C(O)C=C1</t>
  </si>
  <si>
    <t>SKCPIJZMAFLOJW-NVMNQCDNSA-N</t>
  </si>
  <si>
    <t>C30H32O6</t>
  </si>
  <si>
    <t>7.34_197.0195m/z</t>
  </si>
  <si>
    <t>4,6-Dinitro-O-Cresol</t>
  </si>
  <si>
    <t>HMDB0245221</t>
  </si>
  <si>
    <t>C18653</t>
  </si>
  <si>
    <t>534-52-1</t>
  </si>
  <si>
    <t>CC1=CC(=CC(=C1O)[N+]([O-])=O)[N+]([O-])=O</t>
  </si>
  <si>
    <t>ZXVONLUNISGICL-UHFFFAOYSA-N</t>
  </si>
  <si>
    <t>C7H6N2O5</t>
  </si>
  <si>
    <t>0.78_178.0477n</t>
  </si>
  <si>
    <t>Gluconolactone</t>
  </si>
  <si>
    <t>HMDB0000150</t>
  </si>
  <si>
    <t>C00198</t>
  </si>
  <si>
    <t>90-80-2</t>
  </si>
  <si>
    <t>OC[C@H]1OC(=O)[C@H](O)[C@@H](O)[C@@H]1O</t>
  </si>
  <si>
    <t>PHOQVHQSTUBQQK-SQOUGZDYSA-N</t>
  </si>
  <si>
    <t>7.69_527.3142m/z</t>
  </si>
  <si>
    <t>Anamorelin</t>
  </si>
  <si>
    <t>HMDB0248383</t>
  </si>
  <si>
    <t>CN(C)N(C)C(=O)C1(CC2=CC=CC=C2)CCCN(C1)C(=O)C(CC1=CNC2=CC=CC=C12)NC(=O)C(C)(C)N</t>
  </si>
  <si>
    <t>VQPFSIRUEPQQPP-UHFFFAOYSA-N</t>
  </si>
  <si>
    <t>C31H42N6O3</t>
  </si>
  <si>
    <t>9.50_517.2433m/z</t>
  </si>
  <si>
    <t>2beta-Acetoxy-3-O-Acetylhellebrigenin</t>
  </si>
  <si>
    <t>LMST01130046</t>
  </si>
  <si>
    <t>C1[C@@]2(C=O)[C@](O)(CC[C@]3([H])[C@]2([H])CC[C@]2(C)[C@@]([H])(C4C=CC(=O)OC=4)CC[C@]32O)C[C@@H](OC(C)=O)[C@H]1OC(C)=O</t>
  </si>
  <si>
    <t>XPBNKMICKOYQJO-GYLVSBEASA-N</t>
  </si>
  <si>
    <t>C28H36O9</t>
  </si>
  <si>
    <t>7.07_213.1271m/z</t>
  </si>
  <si>
    <t>10-Fluoro-Capric Acid</t>
  </si>
  <si>
    <t>LMFA01090047</t>
  </si>
  <si>
    <t>C(CCCCCCCCCF)(=O)O</t>
  </si>
  <si>
    <t>LXJHQFGNWFLQTR-UHFFFAOYSA-N</t>
  </si>
  <si>
    <t>C10H19FO2</t>
  </si>
  <si>
    <t>5.06_589.2666m/z</t>
  </si>
  <si>
    <t>Ag-041r</t>
  </si>
  <si>
    <t>199800-49-2</t>
  </si>
  <si>
    <t>CCOC(CN1C2=CC=CC=C2C(C1=O)(CC(=O)NC3=CC=C(C=C3)C)NC(=O)NC4=CC=C(C=C4)C)OCC</t>
  </si>
  <si>
    <t>KOLPMNSDISYEBU-WJOKGBTCSA-N</t>
  </si>
  <si>
    <t>N-phenylureas</t>
  </si>
  <si>
    <t>C31H36N4O5</t>
  </si>
  <si>
    <t>5.76_492.2360n</t>
  </si>
  <si>
    <t>Rac-5,6-Epoxy-Retinoyl-Beta-D-Glucuronide</t>
  </si>
  <si>
    <t>HMDB0060123</t>
  </si>
  <si>
    <t>C\C(\C=C\[C@]12O[C@]1(C)CCCC2(C)C)=C/C=C/C(/C)=C/C(=O)O[C@@H]1O[C@H]([C@@H](O)[C@@H](O)[C@H]1O)C(O)=O</t>
  </si>
  <si>
    <t>BZPOQLONXBJGAZ-XSHYMXFSSA-N</t>
  </si>
  <si>
    <t>6.78_293.1530m/z</t>
  </si>
  <si>
    <t>2,3-Dehydrosalvipisone</t>
  </si>
  <si>
    <t>HMDB0040742</t>
  </si>
  <si>
    <t>CC(C)C1=C(O)C(=O)C2=C(C=CC(C)=C2C\C=C/C(C)=C)C1=O</t>
  </si>
  <si>
    <t>DRAMPMNRCNQDOE-SREVYHEPSA-N</t>
  </si>
  <si>
    <t>Naphthoquinones</t>
  </si>
  <si>
    <t>C20H22O3</t>
  </si>
  <si>
    <t>6.39_257.1743m/z</t>
  </si>
  <si>
    <t>5-Nonyltetrahydro-2-Oxo-3-Furancarboxylic Acid</t>
  </si>
  <si>
    <t>HMDB0030993</t>
  </si>
  <si>
    <t>CCCCCCCCCC1CC(C(O)=O)C(=O)O1</t>
  </si>
  <si>
    <t>DKQLZKCYTLXNBN-UHFFFAOYSA-N</t>
  </si>
  <si>
    <t>9.45_419.2427m/z</t>
  </si>
  <si>
    <t>19-Hydroxytelocinobufagin</t>
  </si>
  <si>
    <t>LMST01130012</t>
  </si>
  <si>
    <t>C1[C@]2(CO)[C@@]3([H])CC[C@]4(C)[C@@]([H])(C5=COC(=O)C=C5)CC[C@]4(O)[C@]3([H])CC[C@]2(O)C[C@@H](O)C1</t>
  </si>
  <si>
    <t>ABVKNZHLRVHZSO-XHCIOXAKSA-N</t>
  </si>
  <si>
    <t>10.58_973.6351m/z</t>
  </si>
  <si>
    <t>PC(20:0/LTE4)</t>
  </si>
  <si>
    <t>HMDB0286968</t>
  </si>
  <si>
    <t>CCCCCCCCCCCCCCCCCCCC(=O)OC[C@H](COP([O-])(=O)OCC[N+](C)(C)C)OC(=O)[C@@H](N)CS[C@H](\C=C\C=C\C=C/C\C=C/CCCCC)[C@@H](O)CCCC(O)=O</t>
  </si>
  <si>
    <t>WFMXBLZHQMXGGY-QXGCZGODSA-N</t>
  </si>
  <si>
    <t>C51H93N2O11PS</t>
  </si>
  <si>
    <t>4.97_499.2180m/z</t>
  </si>
  <si>
    <t>Cinnamoside</t>
  </si>
  <si>
    <t>HMDB0038923</t>
  </si>
  <si>
    <t>108567-70-0</t>
  </si>
  <si>
    <t>CC(=O)C=C=C1C(C)(C)CC(CC1(C)O)OC1OC(COC2OCC(O)(CO)C2O)C(O)C(O)C1O</t>
  </si>
  <si>
    <t>WGFLJEFKPRMWSU-UHFFFAOYSA-N</t>
  </si>
  <si>
    <t>6.37_599.1931m/z</t>
  </si>
  <si>
    <t>3,9-Dihydroeucomin</t>
  </si>
  <si>
    <t>COC1=CC=C(C=C1)CC2COC3=CC(=CC(=C3C2=O)O)O</t>
  </si>
  <si>
    <t>IERGURVELWCYAW-UHFFFAOYSA-N</t>
  </si>
  <si>
    <t>Homoisoflavonoids</t>
  </si>
  <si>
    <t>Homoisoflavans</t>
  </si>
  <si>
    <t>C17H16O5</t>
  </si>
  <si>
    <t>11.92_352.3206m/z</t>
  </si>
  <si>
    <t>Dtre</t>
  </si>
  <si>
    <t>HMDB0002823</t>
  </si>
  <si>
    <t>LMFA01030408</t>
  </si>
  <si>
    <t>28845-86-5</t>
  </si>
  <si>
    <t>C(CCCCCCCCCCC/C=C\C/C=C\C/C=C\CC)(=O)O</t>
  </si>
  <si>
    <t>WBBQTNCISCKUMU-PDBXOOCHSA-N</t>
  </si>
  <si>
    <t>C22H38O2</t>
  </si>
  <si>
    <t>1.81_602.1285m/z</t>
  </si>
  <si>
    <t>Cyanidin 3-(2''-Galloylgalactoside)</t>
  </si>
  <si>
    <t>LMPK12010100</t>
  </si>
  <si>
    <t>C1(O)=CC2[O+]=C(C3C=C(O)C(O)=CC=3)C(O[C@H]3[C@H](OC(C4C=C(O)C(O)=C(O)C=4)=O)[C@@H](O)[C@@H](O)[C@@H](CO)O3)=CC=2C(O)=C1</t>
  </si>
  <si>
    <t>WUJWGTHCPFBYPP-WZGYZDFVSA-O</t>
  </si>
  <si>
    <t>C28H25O15+</t>
  </si>
  <si>
    <t>4.93_510.3053m/z</t>
  </si>
  <si>
    <t>Erinacine P</t>
  </si>
  <si>
    <t>HMDB0036313</t>
  </si>
  <si>
    <t>291532-17-7</t>
  </si>
  <si>
    <t>CC(C)C1=C2C3CC(OC(C)=O)C(C=O)=CC(OC4OCC(O)C(O)C4O)C3(C)CCC2(C)CC1</t>
  </si>
  <si>
    <t>SEBFACPAABUJNW-UHFFFAOYSA-N</t>
  </si>
  <si>
    <t>C27H40O8</t>
  </si>
  <si>
    <t>3.05_779.2011m/z</t>
  </si>
  <si>
    <t>Kaempferol 3-O-[2''-(4'''-Acetyl-Rhamnosyl)-6''-Glucosyl] Glucoside</t>
  </si>
  <si>
    <t>LMPK12111963</t>
  </si>
  <si>
    <t>C1C=C(O)C=CC=1C1=C(O[C@H]2[C@H](O[C@H]3[C@H](O)[C@H](O)[C@@H](OC(C)=O)[C@H](C)O3)[C@@H](O)[C@H](O)[C@@H](CO[C@H]3[C@H](O)[C@@H](O)[C@H](O)[C@@H](CO)O3)O2)C(=O)C2C(O)=CC(O)=CC=2O1</t>
  </si>
  <si>
    <t>GLBNIGIHMJUSCH-NQFGZKPFSA-N</t>
  </si>
  <si>
    <t>C35H42O21</t>
  </si>
  <si>
    <t>8.31_116.0625n</t>
  </si>
  <si>
    <t>Indene</t>
  </si>
  <si>
    <t>HMDB0253451</t>
  </si>
  <si>
    <t>C1C=CC2=CC=CC=C12</t>
  </si>
  <si>
    <t>YBYIRNPNPLQARY-UHFFFAOYSA-N</t>
  </si>
  <si>
    <t>Indenes and isoindenes</t>
  </si>
  <si>
    <t>C9H8</t>
  </si>
  <si>
    <t>10.72_309.2209m/z</t>
  </si>
  <si>
    <t>Callyspongenol A</t>
  </si>
  <si>
    <t>LMFA05000724</t>
  </si>
  <si>
    <t>OCC#CCCCC#CCCCCC#CCCCC/C=C\C#C</t>
  </si>
  <si>
    <t>OZOLQBVPEIWKPL-ARJAWSKDSA-N</t>
  </si>
  <si>
    <t>C22H28O</t>
  </si>
  <si>
    <t>2.98_274.0208m/z</t>
  </si>
  <si>
    <t>Metronidazole Phosphate</t>
  </si>
  <si>
    <t>HMDB0254689</t>
  </si>
  <si>
    <t>CC1=NC=C(N1CCOP(O)(O)=O)[N+]([O-])=O</t>
  </si>
  <si>
    <t>GFFOAZOYBIIJHI-UHFFFAOYSA-N</t>
  </si>
  <si>
    <t>C6H10N3O6P</t>
  </si>
  <si>
    <t>10.04_661.0310m/z</t>
  </si>
  <si>
    <t>Gdp-Mannuronate</t>
  </si>
  <si>
    <t>HMDB0304366</t>
  </si>
  <si>
    <t>NC1=NC2=C(N=CN2[C@@H]2O[C@H](COP([O-])(=O)OP([O-])(=O)OC3O[C@@H]([C@@H](O)[C@H](O)[C@@H]3O)C([O-])=O)[C@@H](O)[C@H]2O)C(=O)N1</t>
  </si>
  <si>
    <t>DNBSDUDYNPJVCN-MVUGPJFESA-K</t>
  </si>
  <si>
    <t>Purine nucleotide sugars</t>
  </si>
  <si>
    <t>C16H20N5O17P2-3</t>
  </si>
  <si>
    <t>10.58_1079.5225m/z</t>
  </si>
  <si>
    <t>PIP(22:3(10Z,13Z,16Z)/18:1(12Z)-2OH(9,10))</t>
  </si>
  <si>
    <t>HMDB0280337</t>
  </si>
  <si>
    <t>[H][C@@](COC(=O)CCCCCCCC\C=C/C\C=C/C\C=C/CCCCCC)(COP(O)(=O)O[C@H]1C(O)C(O)C(O)[C@@H](OP(O)(O)=O)C1O)OC(=O)CCCCCCC[C@H](O)[C@@H](O)C\C=C/CCCCC</t>
  </si>
  <si>
    <t>OICRDFKTZWZJFE-RFHVNEFUSA-N</t>
  </si>
  <si>
    <t>C50H90O18P2</t>
  </si>
  <si>
    <t>9.86_1195.5295m/z</t>
  </si>
  <si>
    <t>CDP-DG(a-17:0/LTE4)</t>
  </si>
  <si>
    <t>HMDB0292981</t>
  </si>
  <si>
    <t>CCCCC\C=C/C\C=C/C=C/C=C/[C@@H](SC[C@H](N)C(=O)O[C@H](COC(=O)CCCCCCCCCCCCC(C)CC)COP(O)(=O)OP(O)(=O)OC[C@H]1O[C@H]([C@H](O)[C@@H]1O)N1C=CC(N)=NC1=O)[C@@H](O)CCCC(O)=O</t>
  </si>
  <si>
    <t>FMNWOUODFJLJPJ-XVZPUASOSA-N</t>
  </si>
  <si>
    <t>C52H88N4O18P2S</t>
  </si>
  <si>
    <t>3.92_695.2189m/z</t>
  </si>
  <si>
    <t>5-Hydroxy-7,3',4'-Trimethoxy-8-Methylisoflavone 5-Neohesperidoside</t>
  </si>
  <si>
    <t>HMDB0030627</t>
  </si>
  <si>
    <t>87611-94-7</t>
  </si>
  <si>
    <t>COC1=CC(OC2OC(CO)C(O)C(O)C2OC2OC(C)C(O)C(O)C2O)=C2C(=O)C(=COC2=C1C)C1=CC(OC)=C(OC)C=C1</t>
  </si>
  <si>
    <t>HBIBVIWVUMZFQY-UHFFFAOYSA-N</t>
  </si>
  <si>
    <t>4.60_523.1417m/z</t>
  </si>
  <si>
    <t>Indigo</t>
  </si>
  <si>
    <t>HMDB0240742</t>
  </si>
  <si>
    <t>O=C1\C(NC2=CC=CC=C12)=C1/NC2=CC=CC=C2C1=O</t>
  </si>
  <si>
    <t>COHYTHOBJLSHDF-BUHFOSPRSA-N</t>
  </si>
  <si>
    <t>C16H10N2O2</t>
  </si>
  <si>
    <t>10.42_920.5194m/z</t>
  </si>
  <si>
    <t>Yuccoside C</t>
  </si>
  <si>
    <t>HMDB0033849</t>
  </si>
  <si>
    <t>55826-88-5</t>
  </si>
  <si>
    <t>CC1C2C(CC3C4CCC5CC(CCC5(C)C4CCC23C)OC2OC(CO)C(OC3OC(CO)C(O)C(O)C3OC3OC(CO)C(O)C(O)C3O)C(O)C2O)OC11CCC(C)CO1</t>
  </si>
  <si>
    <t>JNTJNUDLVQQYGM-UHFFFAOYSA-N</t>
  </si>
  <si>
    <t>C45H74O18</t>
  </si>
  <si>
    <t>3.47_735.2103m/z</t>
  </si>
  <si>
    <t>Glucoliquiritin Apioside</t>
  </si>
  <si>
    <t>HMDB0041149</t>
  </si>
  <si>
    <t>157226-47-6</t>
  </si>
  <si>
    <t>OCC1OC(OC2=CC3=C(C=C2)C(=O)CC(O3)C2=CC=C(OC3OC(CO)C(O)C(O)C3OC3OCC(O)(CO)C3O)C=C2)C(O)C(O)C1O</t>
  </si>
  <si>
    <t>JUYBMOHJXUXKDN-UHFFFAOYSA-N</t>
  </si>
  <si>
    <t>C32H40O18</t>
  </si>
  <si>
    <t>8.44_392.1712m/z</t>
  </si>
  <si>
    <t>Scopolamine N-Oxide</t>
  </si>
  <si>
    <t>6106-81-6</t>
  </si>
  <si>
    <t>C[N+]1(C2CC(CC1C3C2O3)OC(=O)C(CO)C4=CC=CC=C4)[O-]</t>
  </si>
  <si>
    <t>GSYQNAMOFFWAPF-IILNCVEESA-N</t>
  </si>
  <si>
    <t>C19H25NO5</t>
  </si>
  <si>
    <t>9.27_1029.4374m/z</t>
  </si>
  <si>
    <t>PIP(18:3(6Z,9Z,12Z)/20:5(7Z,9Z,11E,13E,17Z)-3OH(5,6,15))</t>
  </si>
  <si>
    <t>HMDB0279315</t>
  </si>
  <si>
    <t>[H][C@@](COC(=O)CCCC\C=C/C\C=C/C\C=C/CCCCC)(COP(O)(=O)O[C@H]1C(O)C(O)C(O)[C@@H](OP(O)(O)=O)C1O)OC(=O)CCC[C@@H](O)[C@H](O)\C=C/C=C\C=C\C=C\[C@@H](O)C\C=C/CC</t>
  </si>
  <si>
    <t>BVWBMRXNNCJZRU-UEMGJSNGSA-N</t>
  </si>
  <si>
    <t>C47H76O19P2</t>
  </si>
  <si>
    <t>4.65_598.1890n</t>
  </si>
  <si>
    <t>Cp-532623</t>
  </si>
  <si>
    <t>CCC1CC(C2=C(N1C(=O)OC(C)C)C=CC(=C2)C(F)(F)F)N(CC3=CC(=CC(=C3)C(F)(F)F)C(F)(F)F)C(=O)C</t>
  </si>
  <si>
    <t>TUPKOWFPVAXQFP-OFNKIYASSA-N</t>
  </si>
  <si>
    <t>Hydroquinolines</t>
  </si>
  <si>
    <t>C27H27F9N2O3</t>
  </si>
  <si>
    <t>4.29_253.1058m/z</t>
  </si>
  <si>
    <t>N,N-Dihydroxy-L-Tryptophan</t>
  </si>
  <si>
    <t>HMDB0304419</t>
  </si>
  <si>
    <t>ON(O)C(CC1=CNC2=C1C=CC=C2)C([O-])=O</t>
  </si>
  <si>
    <t>FKJQZUQEYSGYFZ-UHFFFAOYSA-M</t>
  </si>
  <si>
    <t>C11H11N2O4-</t>
  </si>
  <si>
    <t>4.48_480.0902n</t>
  </si>
  <si>
    <t>Gossypetin 8-Glucoside</t>
  </si>
  <si>
    <t>LMPK12113198</t>
  </si>
  <si>
    <t>C10051</t>
  </si>
  <si>
    <t>C1(O)=C(O[C@H]2[C@H](O)[C@@H](O)[C@H](O)[C@@H](CO)O2)C2OC(C3C=C(O)C(O)=CC=3)=C(O)C(=O)C=2C(O)=C1</t>
  </si>
  <si>
    <t>SJRXVLUZMMDCNG-KKPQBLLMSA-N</t>
  </si>
  <si>
    <t>4.08_319.0821m/z</t>
  </si>
  <si>
    <t>11-Methoxynoryangonin</t>
  </si>
  <si>
    <t>HMDB0030754</t>
  </si>
  <si>
    <t>77900-31-3</t>
  </si>
  <si>
    <t>COC1=CC(=O)OC(\C=C/C2=CC(OC)=C(O)C=C2)=C1</t>
  </si>
  <si>
    <t>YHVDGZPFCGLBOW-HYXAFXHYSA-N</t>
  </si>
  <si>
    <t>Kavalactones</t>
  </si>
  <si>
    <t>8.47_1067.4806m/z</t>
  </si>
  <si>
    <t>Pisumsaponin I</t>
  </si>
  <si>
    <t>HMDB0038316</t>
  </si>
  <si>
    <t>333334-36-4</t>
  </si>
  <si>
    <t>CC1OC(OC2C(O)C(O)C(CO)OC2OC2C(O)C(O)C(OC2OC2CCC3(C)C(CCC4(C)C3CC=C3C5CC(C)(C)CC(OC(=O)CC(O)=O)C5(C)CCC43C)C2(C)CO)C(O)=O)C(O)C(O)C1O</t>
  </si>
  <si>
    <t>UZZVCPOZXWRBFO-UHFFFAOYSA-N</t>
  </si>
  <si>
    <t>C51H80O21</t>
  </si>
  <si>
    <t>3.35_204.0294m/z</t>
  </si>
  <si>
    <t>Xanthurenic Acid</t>
  </si>
  <si>
    <t>HMDB0000881</t>
  </si>
  <si>
    <t>C02470</t>
  </si>
  <si>
    <t>ko00380</t>
  </si>
  <si>
    <t>Tryptophan metabolism</t>
  </si>
  <si>
    <t>59-00-7</t>
  </si>
  <si>
    <t>OC(=O)C1=NC2=C(O)C=CC=C2C(O)=C1</t>
  </si>
  <si>
    <t>FBZONXHGGPHHIY-UHFFFAOYSA-N</t>
  </si>
  <si>
    <t>0.79_437.9711n</t>
  </si>
  <si>
    <t>Perfluorooctane</t>
  </si>
  <si>
    <t>HMDB0256326</t>
  </si>
  <si>
    <t>FC(F)(F)C(F)(F)C(F)(F)C(F)(F)C(F)(F)C(F)(F)C(F)(F)C(F)(F)F</t>
  </si>
  <si>
    <t>YVBBRRALBYAZBM-UHFFFAOYSA-N</t>
  </si>
  <si>
    <t>Organofluorides</t>
  </si>
  <si>
    <t>C8F18</t>
  </si>
  <si>
    <t>0.55_180.9898m/z</t>
  </si>
  <si>
    <t>5-Hydroxymaltol</t>
  </si>
  <si>
    <t>HMDB0032988</t>
  </si>
  <si>
    <t>1073-96-7</t>
  </si>
  <si>
    <t>CC1=C(O)C(=O)C(O)=CO1</t>
  </si>
  <si>
    <t>SSSNQLHKSUJJTE-UHFFFAOYSA-N</t>
  </si>
  <si>
    <t>14.52_703.5074m/z</t>
  </si>
  <si>
    <t>Cer(d18:1/LTE4)</t>
  </si>
  <si>
    <t>HMDB0290010</t>
  </si>
  <si>
    <t>CCCCCCCCCCCCC\C=C\[C@@H](O)[C@H](CO)NC(=O)[C@@H](N)CS[C@H](\C=C\C=C\C=C/C\C=C/CCCCC)[C@@H](O)CCCC(O)=O</t>
  </si>
  <si>
    <t>BFQSZLXIKLOENT-ZHYMGTRMSA-N</t>
  </si>
  <si>
    <t>C41H72N2O6S</t>
  </si>
  <si>
    <t>12.11_448.3549n</t>
  </si>
  <si>
    <t>6-Deoxodolichosterone</t>
  </si>
  <si>
    <t>HMDB0034332</t>
  </si>
  <si>
    <t>87833-55-4</t>
  </si>
  <si>
    <t>CC(C)C(=C)C(O)C(O)C(C)C1CCC2C3CCC4CC(O)C(O)CC4(C)C3CCC12C</t>
  </si>
  <si>
    <t>YCYJLHFHRKUCQX-UHFFFAOYSA-N</t>
  </si>
  <si>
    <t>4.45_445.1707m/z</t>
  </si>
  <si>
    <t>Corchoionoside B</t>
  </si>
  <si>
    <t>HMDB0030975</t>
  </si>
  <si>
    <t>189344-54-5</t>
  </si>
  <si>
    <t>CC1=CC(=O)CC(C)(C)C1(O)\C=C\C(=O)COC1OC(CO)C(O)C(O)C1O</t>
  </si>
  <si>
    <t>FUXBESIRIBMOMU-SNAWJCMRSA-N</t>
  </si>
  <si>
    <t>C19H28O9</t>
  </si>
  <si>
    <t>5.54_437.1228m/z</t>
  </si>
  <si>
    <t>Camostat</t>
  </si>
  <si>
    <t>HMDB0249575</t>
  </si>
  <si>
    <t>CN(C)C(=O)COC(=O)CC1=CC=C(OC(=O)C2=CC=C(NC(N)=N)C=C2)C=C1</t>
  </si>
  <si>
    <t>XASIMHXSUQUHLV-UHFFFAOYSA-N</t>
  </si>
  <si>
    <t>C20H22N4O5</t>
  </si>
  <si>
    <t>14.37_471.3437m/z</t>
  </si>
  <si>
    <t>(9e)-10-Nitrooctadec-9-Enoylcarnitine</t>
  </si>
  <si>
    <t>HMDB0241823</t>
  </si>
  <si>
    <t>CCCCCCCCC(=CCCCCCCCC(=O)OC(CC([O-])=O)C[N+](C)(C)C)N(=O)=O</t>
  </si>
  <si>
    <t>AZNSPPVLQBDFKQ-UHFFFAOYSA-N</t>
  </si>
  <si>
    <t>C25H46N2O6</t>
  </si>
  <si>
    <t>9.17_627.3015m/z</t>
  </si>
  <si>
    <t>Anisocoumarin H</t>
  </si>
  <si>
    <t>CC(=CC(CC(=CCOC1=CC2=C(C=C1)C=CC(=O)O2)C)O)C</t>
  </si>
  <si>
    <t>VNADFOGBKXRWGC-RIYZIHGNSA-N</t>
  </si>
  <si>
    <t>7.99_685.2431m/z</t>
  </si>
  <si>
    <t>Tariquidar</t>
  </si>
  <si>
    <t>HMDB0258730</t>
  </si>
  <si>
    <t>COC1=CC2=C(CN(CCC3=CC=C(NC(=O)C4=CC(OC)=C(OC)C=C4NC(=O)C4=CN=C5C=CC=CC5=C4)C=C3)CC2)C=C1OC</t>
  </si>
  <si>
    <t>LGGHDPFKSSRQNS-UHFFFAOYSA-N</t>
  </si>
  <si>
    <t>C38H38N4O6</t>
  </si>
  <si>
    <t>2.14_166.0863m/z</t>
  </si>
  <si>
    <t>L-Phenylalanine</t>
  </si>
  <si>
    <t>HMDB0000159</t>
  </si>
  <si>
    <t>C00079</t>
  </si>
  <si>
    <t>ko00360,ko00400,ko00460,ko00470,ko00940,ko00960,ko00966,ko00970,ko00998,ko02010,ko04974,ko04978,ko05230</t>
  </si>
  <si>
    <t>Phenylalanine metabolism|Phenylalanine, tyrosine and tryptophan biosynthesis|Cyanoamino acid metabolism|D-Amino acid metabolism|Phenylpropanoid biosynthesis|Tropane, piperidine and pyridine alkaloid biosynthesis|Glucosinolate biosynthesis|Aminoacyl-tRNA biosynthesis|Biosynthesis of various secondary metabolites - part 2|ABC transporters|Protein digestion and absorption|Mineral absorption|Central carbon metabolism in cancer</t>
  </si>
  <si>
    <t>63-91-2</t>
  </si>
  <si>
    <t>N[C@@H](CC1=CC=CC=C1)C(O)=O</t>
  </si>
  <si>
    <t>COLNVLDHVKWLRT-QMMMGPOBSA-N</t>
  </si>
  <si>
    <t>5.90_384.1207n</t>
  </si>
  <si>
    <t>Gancaonin P 3'Methyl Ether</t>
  </si>
  <si>
    <t>HMDB0040813</t>
  </si>
  <si>
    <t>LMPK12112394</t>
  </si>
  <si>
    <t>151776-21-5</t>
  </si>
  <si>
    <t>C1(O)=CC2OC(C3C=C(OC)C(O)=CC=3)=C(O)C(=O)C=2C(O)=C1C/C=C(\C)/C</t>
  </si>
  <si>
    <t>UXTFKMCFQVSJLL-UHFFFAOYSA-N</t>
  </si>
  <si>
    <t>C21H20O7</t>
  </si>
  <si>
    <t>3.93_330.1312n</t>
  </si>
  <si>
    <t>3-(3,4-Dihydroxyphenyl)-1-Propanol 3'-Glucoside</t>
  </si>
  <si>
    <t>HMDB0038304</t>
  </si>
  <si>
    <t>OCCCC1=CC(OC2OC(CO)C(O)C(O)C2O)=C(O)C=C1</t>
  </si>
  <si>
    <t>HGKIWLYFVQJOOO-UHFFFAOYSA-N</t>
  </si>
  <si>
    <t>4.99_507.2234m/z</t>
  </si>
  <si>
    <t>Methyl 3-(2,3-Dihydroxy-3-Methylbutyl)-4-Hydroxybenzoate</t>
  </si>
  <si>
    <t>HMDB0032796</t>
  </si>
  <si>
    <t>117176-70-2</t>
  </si>
  <si>
    <t>COC(=O)C1=CC(CC(O)C(C)(C)O)=C(O)C=C1</t>
  </si>
  <si>
    <t>ABFHVQPVDSMGNR-UHFFFAOYSA-N</t>
  </si>
  <si>
    <t>C13H18O5</t>
  </si>
  <si>
    <t>11.92_401.2833m/z</t>
  </si>
  <si>
    <t>9'-Hydroxy-9'-Apo-Epsilon,Psi-Caroten-3-One</t>
  </si>
  <si>
    <t>LMPR01070607</t>
  </si>
  <si>
    <t>C1C(C)(C)C(/C=C/C(/C)=C/C=C/C(/C)=C/C=C/C=C(\C)/C=C/C=C(/O)\C)C(C)=CC1=O</t>
  </si>
  <si>
    <t>TZRGXVRDLYKUHZ-HVINYWROSA-N</t>
  </si>
  <si>
    <t>C29H38O2</t>
  </si>
  <si>
    <t>1.06_256.1025m/z</t>
  </si>
  <si>
    <t>Keto-3-Deoxy-D-Manno-Octulosonic Acid</t>
  </si>
  <si>
    <t>HMDB0244292</t>
  </si>
  <si>
    <t>C01187</t>
  </si>
  <si>
    <t>OCC(O)C(O)C(O)C(O)CC(=O)C(O)=O</t>
  </si>
  <si>
    <t>KYQCXUMVJGMDNG-UHFFFAOYSA-N</t>
  </si>
  <si>
    <t>5.62_566.2758m/z</t>
  </si>
  <si>
    <t>4-Hprog</t>
  </si>
  <si>
    <t>HMDB0246436</t>
  </si>
  <si>
    <t>CC(C=CC1=C(C)CCCC1(C)C)=CC=CC(C)=CC(=O)NC1=CC=C(OC2OC(C(O)C(O)C2O)C(O)=O)C=C1</t>
  </si>
  <si>
    <t>UVITUJIIRZWOPU-UHFFFAOYSA-N</t>
  </si>
  <si>
    <t>C32H41NO8</t>
  </si>
  <si>
    <t>9.96_843.4258m/z</t>
  </si>
  <si>
    <t>Okadaic Acid</t>
  </si>
  <si>
    <t>HMDB0030441</t>
  </si>
  <si>
    <t>C01945</t>
  </si>
  <si>
    <t>78111-17-8</t>
  </si>
  <si>
    <t>CC(CC(O)C1OC2CCC3(CCC(O3)\C=C\C(C)C3CC(C)=CC4(OC(CC(C)(O)C(O)=O)CCC4O)O3)OC2C(O)C1=C)C1OC2(CCCCO2)CCC1C</t>
  </si>
  <si>
    <t>QNDVLZJODHBUFM-MDZDMXLPSA-N</t>
  </si>
  <si>
    <t>C44H68O13</t>
  </si>
  <si>
    <t>4.67_815.3343m/z</t>
  </si>
  <si>
    <t>Tamsulosin</t>
  </si>
  <si>
    <t>HMDB0014844</t>
  </si>
  <si>
    <t>C07124</t>
  </si>
  <si>
    <t>106133-20-4</t>
  </si>
  <si>
    <t>CCOC1=CC=CC=C1OCCN[C@H](C)CC1=CC(=C(OC)C=C1)S(N)(=O)=O</t>
  </si>
  <si>
    <t>DRHKJLXJIQTDTD-OAHLLOKOSA-N</t>
  </si>
  <si>
    <t>C20H28N2O5S</t>
  </si>
  <si>
    <t>3.67_472.1823m/z</t>
  </si>
  <si>
    <t>Grapiprant</t>
  </si>
  <si>
    <t>HMDB0252937</t>
  </si>
  <si>
    <t>CCC1=NC2=C(C)N=C(C)C=C2N1C1=CC=C(CCNC(=O)NS(=O)(=O)C2=CC=C(C)C=C2)C=C1</t>
  </si>
  <si>
    <t>HZVLFTCYCLXTGV-UHFFFAOYSA-N</t>
  </si>
  <si>
    <t>C26H29N5O3S</t>
  </si>
  <si>
    <t>1.57_301.0893m/z</t>
  </si>
  <si>
    <t>Tuliposide A</t>
  </si>
  <si>
    <t>HMDB0303140</t>
  </si>
  <si>
    <t>LMFA13010041</t>
  </si>
  <si>
    <t>C08561</t>
  </si>
  <si>
    <t>19870-30-5</t>
  </si>
  <si>
    <t>[C@H]1(OC(=O)C(=C)CCO)[C@H](O)[C@H]([C@H](O)[C@@H](CO)O1)O</t>
  </si>
  <si>
    <t>SQRUWMQAWMLKPR-DZEUPHNYSA-N</t>
  </si>
  <si>
    <t>7.55_507.2945m/z</t>
  </si>
  <si>
    <t>Ceanothine D</t>
  </si>
  <si>
    <t>HMDB0029341</t>
  </si>
  <si>
    <t>23926-97-8</t>
  </si>
  <si>
    <t>CCC(C)C1OC2=CC=C(C=C2)\C=C/NC(=O)C(CC(C)C)NC(=O)C1NC(=O)C1CCCN1C</t>
  </si>
  <si>
    <t>HURFCPCPTXOVJN-YPKPFQOOSA-N</t>
  </si>
  <si>
    <t>C27H40N4O4</t>
  </si>
  <si>
    <t>10.59_1135.5682m/z</t>
  </si>
  <si>
    <t>Ttpa</t>
  </si>
  <si>
    <t>HMDB0259314</t>
  </si>
  <si>
    <t>CC1=CC=C(C=C1)N(C1=CC=C(C)C=C1)C1=C2C=CC=CC2=C(N(C2=CC=C(C)C=C2)C2=CC=C(C)C=C2)C2=CC=CC=C12</t>
  </si>
  <si>
    <t>FWXNJWAXBVMBGL-UHFFFAOYSA-N</t>
  </si>
  <si>
    <t>C42H36N2</t>
  </si>
  <si>
    <t>5.15_480.2363n</t>
  </si>
  <si>
    <t>4-Propanoyl-Ht2 Toxin</t>
  </si>
  <si>
    <t>HMDB0036161</t>
  </si>
  <si>
    <t>104903-80-2</t>
  </si>
  <si>
    <t>CCC(=O)OC1C(O)C2OC3C=C(C)C(CC3(COC(C)=O)C1(C)C21CO1)OC(=O)CC(C)C</t>
  </si>
  <si>
    <t>HHSVPRXLNYVHLR-UHFFFAOYSA-N</t>
  </si>
  <si>
    <t>2.68_423.0908m/z</t>
  </si>
  <si>
    <t>2-Hydroxyxanthone</t>
  </si>
  <si>
    <t>HMDB0032997</t>
  </si>
  <si>
    <t>1915-98-6</t>
  </si>
  <si>
    <t>OC1=CC2=C(OC3=CC=CC=C3C2=O)C=C1</t>
  </si>
  <si>
    <t>WSACHQJPCNOREV-UHFFFAOYSA-N</t>
  </si>
  <si>
    <t>C13H8O3</t>
  </si>
  <si>
    <t>10.11_940.3384m/z</t>
  </si>
  <si>
    <t>7-Acetyltaxol</t>
  </si>
  <si>
    <t>92950-39-5</t>
  </si>
  <si>
    <t>CC1=C2C(C(=O)C3(C(CC4C(C3C(C(C2(C)C)(CC1OC(=O)C(C(C5=CC=CC=C5)NC(=O)C6=CC=CC=C6)O)O)OC(=O)C7=CC=CC=C7)(CO4)OC(=O)C)OC(=O)C)C)OC(=O)C</t>
  </si>
  <si>
    <t>QHVFIEKTXYELRR-XOVTVWCYSA-N</t>
  </si>
  <si>
    <t>C49H53NO15</t>
  </si>
  <si>
    <t>8.69_165.0699m/z</t>
  </si>
  <si>
    <t>Thiomorpholine 3-Carboxylate</t>
  </si>
  <si>
    <t>HMDB0059611</t>
  </si>
  <si>
    <t>C03901</t>
  </si>
  <si>
    <t>20960-92-3</t>
  </si>
  <si>
    <t>OC(=O)C1CSCCN1</t>
  </si>
  <si>
    <t>JOKIQGQOKXGHDV-UHFFFAOYSA-N</t>
  </si>
  <si>
    <t>C5H9NO2S</t>
  </si>
  <si>
    <t>7.35_461.2507m/z</t>
  </si>
  <si>
    <t>(-)-Fusicoplagin A</t>
  </si>
  <si>
    <t>LMPR0104350001</t>
  </si>
  <si>
    <t>[C@H]1(C)[C@H](OC(=O)C)[C@H](O)[C@@]2([H])[C@](O)(C(C)C)CC[C@]2(COC(=O)C)C[C@@]2([H])C(=C)[C@@H](O)C[C@@]12[H]</t>
  </si>
  <si>
    <t>AMBIXBPMZZPLEH-RITQMIIASA-N</t>
  </si>
  <si>
    <t>C24H38O7</t>
  </si>
  <si>
    <t>9.71_379.2453m/z</t>
  </si>
  <si>
    <t>13,14-Dihydro-Pge1</t>
  </si>
  <si>
    <t>HMDB0002689</t>
  </si>
  <si>
    <t>LMFA03010144</t>
  </si>
  <si>
    <t>19313-28-1</t>
  </si>
  <si>
    <t>[C@H]1(CC[C@@H](O)CCCCC)[C@H](O)CC(=O)[C@@H]1CCCCCCC(=O)O</t>
  </si>
  <si>
    <t>DPOINJQWXDTOSF-DODZYUBVSA-N</t>
  </si>
  <si>
    <t>8.43_567.2768m/z</t>
  </si>
  <si>
    <t>Lamellosterol C</t>
  </si>
  <si>
    <t>LMST05020062</t>
  </si>
  <si>
    <t>C1C[C@@H](O)C[C@]2([H])C[C@@H](O)[C@@]3(O)[C@]4([H])CC[C@]([H])([C@H](C)/C=C/C(C)C(C)COS(=O)(O)=O)[C@@]4(C)CC[C@]3([H])[C@@]12C</t>
  </si>
  <si>
    <t>WBNUFLZYIPASAS-YGXGWDJCSA-N</t>
  </si>
  <si>
    <t>C28H48O7S</t>
  </si>
  <si>
    <t>4.69_647.1227m/z</t>
  </si>
  <si>
    <t>(3''-Apiosyl-6''-Malonyl)Astragalin</t>
  </si>
  <si>
    <t>HMDB0038765</t>
  </si>
  <si>
    <t>119067-83-3</t>
  </si>
  <si>
    <t>OCC1(O)COC(OC2C(O)C(COC(=O)CC(O)=O)OC(OC3=C(OC4=CC(O)=CC(O)=C4C3=O)C3=CC=C(O)C=C3)C2O)C1O</t>
  </si>
  <si>
    <t>OQHJOYJQTQSHRY-UHFFFAOYSA-N</t>
  </si>
  <si>
    <t>C29H30O18</t>
  </si>
  <si>
    <t>3.63_333.1421n</t>
  </si>
  <si>
    <t>Ciglitazone</t>
  </si>
  <si>
    <t>HMDB0250241</t>
  </si>
  <si>
    <t>74772-77-3</t>
  </si>
  <si>
    <t>CC1(COC2=CC=C(CC3SC(=O)NC3=O)C=C2)CCCCC1</t>
  </si>
  <si>
    <t>YZFWTZACSRHJQD-UHFFFAOYSA-N</t>
  </si>
  <si>
    <t>C18H23NO3S</t>
  </si>
  <si>
    <t>4.42_546.2676n</t>
  </si>
  <si>
    <t>Canavalioside</t>
  </si>
  <si>
    <t>HMDB0036317</t>
  </si>
  <si>
    <t>316141-31-8</t>
  </si>
  <si>
    <t>CC12CCCC(C)(C1C(O)C(O)C13CC(O)(COC4OC(CO)C(O)C(O)C4O)C(O)(C1)CCC23)C(O)=O</t>
  </si>
  <si>
    <t>HVFLAHBPOQXZBM-UHFFFAOYSA-N</t>
  </si>
  <si>
    <t>C26H42O12</t>
  </si>
  <si>
    <t>12.10_471.3432m/z</t>
  </si>
  <si>
    <t>10-Deoxymethymycin</t>
  </si>
  <si>
    <t>LMPK04000035</t>
  </si>
  <si>
    <t>C11994</t>
  </si>
  <si>
    <t>[C@@H]1([C@H](O)[C@@H](N(C)C)C[C@@H](C)O1)O[C@@H]1[C@@H](C)C(=O)O[C@H](CC)[C@H](C)C=CC(=O)[C@H](C)C[C@@H]1C</t>
  </si>
  <si>
    <t>DZGHWPQKGWXOHD-NHLONWFASA-N</t>
  </si>
  <si>
    <t>C25H43NO6</t>
  </si>
  <si>
    <t>3.40_366.1155m/z</t>
  </si>
  <si>
    <t>4-Hydroxyvoriconazole</t>
  </si>
  <si>
    <t>HMDB0060894</t>
  </si>
  <si>
    <t>C[C@@H](C1=NC=NC=C1F)[C@](O)(C(O)N1C=NC=N1)C1=C(F)C=C(F)C=C1</t>
  </si>
  <si>
    <t>ICGJRJXWKNVQMK-TXTOSPAFSA-N</t>
  </si>
  <si>
    <t>C16H14F3N5O2</t>
  </si>
  <si>
    <t>3.84_551.1783m/z</t>
  </si>
  <si>
    <t>Benzo[Ghi]Perylene</t>
  </si>
  <si>
    <t>HMDB0249010</t>
  </si>
  <si>
    <t>C14318</t>
  </si>
  <si>
    <t>191-24-2</t>
  </si>
  <si>
    <t>C1=CC2=CC=C3C=CC4=C5C6=C(C=CC=C6C(=C1)C2=C35)C=C4</t>
  </si>
  <si>
    <t>GYFAGKUZYNFMBN-UHFFFAOYSA-N</t>
  </si>
  <si>
    <t>Benzopyrenes</t>
  </si>
  <si>
    <t>C22H12</t>
  </si>
  <si>
    <t>8.91_717.3693m/z</t>
  </si>
  <si>
    <t>Norendoxifen</t>
  </si>
  <si>
    <t>HMDB0060615</t>
  </si>
  <si>
    <t>CC\C(=C(/C1=CC=C(O)C=C1)C1=CC=C(OCCN)C=C1)C1=CC=CC=C1</t>
  </si>
  <si>
    <t>YCQBLTPGQSYLHD-VHXPQNKSSA-N</t>
  </si>
  <si>
    <t>C24H25NO2</t>
  </si>
  <si>
    <t>5.04_895.4753m/z</t>
  </si>
  <si>
    <t>PGP(16:0/20:4(5Z,8Z,11Z,14Z))</t>
  </si>
  <si>
    <t>HMDB0013482</t>
  </si>
  <si>
    <t>CCCCCCCCCCCCCCCC(=O)OC[C@]([H])(COP(=O)(O)OC[C@@]([H])(O)COP(=O)(O)O)OC(=O)CCC\C=C/C\C=C/C\C=C/C\C=C/CCCCC</t>
  </si>
  <si>
    <t>DPHOYXSTTLCECY-NYWCEQGFSA-N</t>
  </si>
  <si>
    <t>7.52_356.1982n</t>
  </si>
  <si>
    <t>Vamorolone</t>
  </si>
  <si>
    <t>HMDB0259760</t>
  </si>
  <si>
    <t>CC1CC2C3CCC4=CC(=O)C=CC4(C)C3=CCC2(C)C1(O)C(=O)CO</t>
  </si>
  <si>
    <t>ZYTXTXAMMDTYDQ-UHFFFAOYSA-N</t>
  </si>
  <si>
    <t>C22H28O4</t>
  </si>
  <si>
    <t>1.08_174.1600m/z</t>
  </si>
  <si>
    <t>N-(3-(Dimethylamino)Propyl)Acrylamide</t>
  </si>
  <si>
    <t>HMDB0246231</t>
  </si>
  <si>
    <t>CN(C)CCCN=C(O)C=C</t>
  </si>
  <si>
    <t>ADTJPOBHAXXXFS-UHFFFAOYSA-N</t>
  </si>
  <si>
    <t>Acrylic acids and derivatives</t>
  </si>
  <si>
    <t>C8H16N2O</t>
  </si>
  <si>
    <t>3.79_302.1229m/z</t>
  </si>
  <si>
    <t>4-[3,4,5-Trihydroxy-6-(Hydroxymethyl)Oxan-2-Yl]Oxybenzaldehyde</t>
  </si>
  <si>
    <t>HMDB0253067</t>
  </si>
  <si>
    <t>OCC1OC(OC2=CC=C(C=O)C=C2)C(O)C(O)C1O</t>
  </si>
  <si>
    <t>OLZAGZCCJJBKNZ-UHFFFAOYSA-N</t>
  </si>
  <si>
    <t>12.89_296.2947m/z</t>
  </si>
  <si>
    <t>2-Pentadecylfuran</t>
  </si>
  <si>
    <t>HMDB0033609</t>
  </si>
  <si>
    <t>59958-20-2</t>
  </si>
  <si>
    <t>CCCCCCCCCCCCCCCC1=CC=CO1</t>
  </si>
  <si>
    <t>LSVQFJUSRLOULU-UHFFFAOYSA-N</t>
  </si>
  <si>
    <t>C19H34O</t>
  </si>
  <si>
    <t>6.63_439.2334m/z</t>
  </si>
  <si>
    <t>3'-Methoxy-[6]-Gingerdiol 3,5-Diacetate</t>
  </si>
  <si>
    <t>HMDB0040569</t>
  </si>
  <si>
    <t>143519-18-0</t>
  </si>
  <si>
    <t>CCCCCC(CC(CCC1=CC(OC)=C(OC)C=C1)OC(C)=O)OC(C)=O</t>
  </si>
  <si>
    <t>QCJKXQWAFFZFLJ-UHFFFAOYSA-N</t>
  </si>
  <si>
    <t>1.27_187.0480n</t>
  </si>
  <si>
    <t>1-(Malonylamino)Cyclopropanecarboxylic Acid</t>
  </si>
  <si>
    <t>HMDB0031700</t>
  </si>
  <si>
    <t>80550-27-2</t>
  </si>
  <si>
    <t>OC(=O)CC(=O)NC1(CC1)C(O)=O</t>
  </si>
  <si>
    <t>QXOQNNAWFUXKMH-UHFFFAOYSA-N</t>
  </si>
  <si>
    <t>C7H9NO5</t>
  </si>
  <si>
    <t>8.16_285.2070m/z</t>
  </si>
  <si>
    <t>Auberganol</t>
  </si>
  <si>
    <t>HMDB0039715</t>
  </si>
  <si>
    <t>102490-02-8</t>
  </si>
  <si>
    <t>CC1C(O)CCC2(C)CCC(CC12)C(C)(C)O</t>
  </si>
  <si>
    <t>XALRSJNOMCWQJW-UHFFFAOYSA-N</t>
  </si>
  <si>
    <t>C15H28O2</t>
  </si>
  <si>
    <t>0.78_422.2467m/z</t>
  </si>
  <si>
    <t>Ucm707</t>
  </si>
  <si>
    <t>390824-20-1</t>
  </si>
  <si>
    <t>CCCCCC=CCC=CCC=CCC=CCCCC(=O)NCC1=COC=C1</t>
  </si>
  <si>
    <t>FZNNBSHTNRBBBD-DOFZRALJSA-N</t>
  </si>
  <si>
    <t>C25H37NO2</t>
  </si>
  <si>
    <t>4.51_754.0941n</t>
  </si>
  <si>
    <t>Adenosine Thiamine Triphosphate</t>
  </si>
  <si>
    <t>HMDB0013646</t>
  </si>
  <si>
    <t>30632-11-2</t>
  </si>
  <si>
    <t>CC1=C(CCOP(O)(=O)OP(O)(=O)OP(O)(=O)OC[C@H]2O[C@H]([C@@H](O)[C@H]2O)N2C=NC3=C2N=CN=C3N)SC=[N+]1CC1=CN=C(C)N=C1N</t>
  </si>
  <si>
    <t>FGOYXNBJKMNPDH-HPXJRWHBSA-O</t>
  </si>
  <si>
    <t>C22H31N9O13P3S+</t>
  </si>
  <si>
    <t>3.97_307.1395m/z</t>
  </si>
  <si>
    <t>Phaseolic Acid</t>
  </si>
  <si>
    <t>HMDB0031897</t>
  </si>
  <si>
    <t>LMFA01060200</t>
  </si>
  <si>
    <t>29533-15-1</t>
  </si>
  <si>
    <t>C(C(=O)CCC(O)CCC(O)CCCCO)(=O)O</t>
  </si>
  <si>
    <t>OPPXDBWFRYVXHW-UHFFFAOYSA-N</t>
  </si>
  <si>
    <t>C12H22O6</t>
  </si>
  <si>
    <t>0.67_128.9583m/z</t>
  </si>
  <si>
    <t>Methylene Dithiocyanate</t>
  </si>
  <si>
    <t>HMDB0254635</t>
  </si>
  <si>
    <t>N#CSCSC#N</t>
  </si>
  <si>
    <t>JWZXKXIUSSIAMR-UHFFFAOYSA-N</t>
  </si>
  <si>
    <t>Thioacetals</t>
  </si>
  <si>
    <t>Dithioacetals</t>
  </si>
  <si>
    <t>C3H2N2S2</t>
  </si>
  <si>
    <t>5.15_645.2147m/z</t>
  </si>
  <si>
    <t>Ripasudil</t>
  </si>
  <si>
    <t>HMDB0257240</t>
  </si>
  <si>
    <t>CC1CNCCCN1S(=O)(=O)C1=CC=CC2=CN=CC(F)=C12</t>
  </si>
  <si>
    <t>QSKQVZWVLOIIEV-UHFFFAOYSA-N</t>
  </si>
  <si>
    <t>C15H18FN3O2S</t>
  </si>
  <si>
    <t>6.25_479.2060m/z</t>
  </si>
  <si>
    <t>Triamcinolone Diacetate</t>
  </si>
  <si>
    <t>C08184</t>
  </si>
  <si>
    <t>67-78-7</t>
  </si>
  <si>
    <t>CC(=O)OCC(=O)C1(C(CC2C1(CC(C3(C2CCC4=CC(=O)C=CC43C)F)O)C)OC(=O)C)O</t>
  </si>
  <si>
    <t>XGMPVBXKDAHORN-RBWIMXSLSA-N</t>
  </si>
  <si>
    <t>C25H31FO8</t>
  </si>
  <si>
    <t>5.13_687.2653m/z</t>
  </si>
  <si>
    <t>Taxinine M</t>
  </si>
  <si>
    <t>135730-55-1</t>
  </si>
  <si>
    <t>CC(=O)OC1CC(C(=C)C2C1(C(C(C3(C4(CC(=O)C(C2OC(=O)C)C3(CO4)C)C)O)OC(=O)C)OC(=O)C)COC(=O)C5=CC=CC=C5)O</t>
  </si>
  <si>
    <t>NLPSSNXRGVDJMP-NTOIUUNRSA-N</t>
  </si>
  <si>
    <t>C35H44O14</t>
  </si>
  <si>
    <t>10.68_249.1847m/z</t>
  </si>
  <si>
    <t>5-Hexyl-2-Furanhexanoic Acid</t>
  </si>
  <si>
    <t>HMDB0112088</t>
  </si>
  <si>
    <t>CCCCCCC1=CC=C(CCCCCC(O)=O)O1</t>
  </si>
  <si>
    <t>HPFDAHYFHAOXSC-UHFFFAOYSA-N</t>
  </si>
  <si>
    <t>C16H26O3</t>
  </si>
  <si>
    <t>4.16_651.2619m/z</t>
  </si>
  <si>
    <t>Devd-Amc</t>
  </si>
  <si>
    <t>HMDB0251075</t>
  </si>
  <si>
    <t>CC(C)C(NC(=O)C(CCC(O)=O)NC(=O)C(N)CC(O)=O)C(=O)NC(CC(O)=O)C(=O)NC1=CC2=C(C=C1)C(C)=CC(=O)O2</t>
  </si>
  <si>
    <t>QBRZOFRRJLWXGM-UHFFFAOYSA-N</t>
  </si>
  <si>
    <t>C28H35N5O12</t>
  </si>
  <si>
    <t>3.81_472.1457m/z</t>
  </si>
  <si>
    <t>Lucuminoside</t>
  </si>
  <si>
    <t>HMDB0029900</t>
  </si>
  <si>
    <t>C08335</t>
  </si>
  <si>
    <t>1392-28-5</t>
  </si>
  <si>
    <t>OC1COC(OCC2OC(OC(C#N)C3=CC=CC=C3)C(O)C(O)C2O)C(O)C1O</t>
  </si>
  <si>
    <t>YYYCJNDALLBNEG-UHFFFAOYSA-N</t>
  </si>
  <si>
    <t>C19H25NO10</t>
  </si>
  <si>
    <t>4.48_292.1309n</t>
  </si>
  <si>
    <t>Coriandrone B</t>
  </si>
  <si>
    <t>HMDB0037775</t>
  </si>
  <si>
    <t>139906-04-0</t>
  </si>
  <si>
    <t>COC1=C2CC(O)C(C)(C)OC2=C2C(=O)OC(C)CC2=C1</t>
  </si>
  <si>
    <t>BWHXOOBBSCGLBC-UHFFFAOYSA-N</t>
  </si>
  <si>
    <t>C16H20O5</t>
  </si>
  <si>
    <t>8.69_681.3384m/z</t>
  </si>
  <si>
    <t>N1-(2-Methoxy-4-Methylbenzyl)-N2-(2-(5-Methylpyridin-2-Yl)Ethyl)Oxalamide</t>
  </si>
  <si>
    <t>HMDB0032382</t>
  </si>
  <si>
    <t>745047-94-3</t>
  </si>
  <si>
    <t>COC1=C(CNC(=O)C(=O)NCCC2=NC=C(C)C=C2)C=CC(C)=C1</t>
  </si>
  <si>
    <t>GDMDCNCFVKXNAN-UHFFFAOYSA-N</t>
  </si>
  <si>
    <t>C19H23N3O3</t>
  </si>
  <si>
    <t>1.08_215.1390m/z</t>
  </si>
  <si>
    <t>1,5-Octadienoylglycine</t>
  </si>
  <si>
    <t>HMDB0094783</t>
  </si>
  <si>
    <t>CCC=CCCC(NCC(O)=O)=C=O</t>
  </si>
  <si>
    <t>FXEHVBOEEKVPDD-UHFFFAOYSA-N</t>
  </si>
  <si>
    <t>C10H15NO3</t>
  </si>
  <si>
    <t>4.72_211.0969m/z</t>
  </si>
  <si>
    <t>Perillic Acid</t>
  </si>
  <si>
    <t>HMDB0004586</t>
  </si>
  <si>
    <t>LMPR0102090041</t>
  </si>
  <si>
    <t>C11924</t>
  </si>
  <si>
    <t>ko00903</t>
  </si>
  <si>
    <t>Limonene and pinene degradation</t>
  </si>
  <si>
    <t>7694-45-3</t>
  </si>
  <si>
    <t>C1CC(C(=C)C)CC=C1C(=O)O</t>
  </si>
  <si>
    <t>CDSMSBUVCWHORP-UHFFFAOYSA-N</t>
  </si>
  <si>
    <t>C10H14O2</t>
  </si>
  <si>
    <t>1.85_449.0135m/z</t>
  </si>
  <si>
    <t>Spinacetin 3-O-Sulfate</t>
  </si>
  <si>
    <t>LMPK12113032</t>
  </si>
  <si>
    <t>C1(O)=CC2OC(C3C=C(OC)C(O)=CC=3)=C(OS(O)(=O)=O)C(=O)C=2C(O)=C1OC</t>
  </si>
  <si>
    <t>HCHZZIMVIOVUJX-UHFFFAOYSA-N</t>
  </si>
  <si>
    <t>11.44_571.3621m/z</t>
  </si>
  <si>
    <t>24-Dimethoxy-3beta,6beta,19alpha-Trihydroxyurs-12-En-28-Oic Acid</t>
  </si>
  <si>
    <t>LMPR0106180020</t>
  </si>
  <si>
    <t>C1[C@@]2(C)[C@@]([H])([C@H](O)C[C@]3(C)[C@]2([H])CC=C2[C@@]3(C)CC[C@]3(C(=O)O)[C@@]2([H])[C@@](O)(C)[C@H](C)CC3)[C@](C)(C(OC)OC)[C@@H](O)C1</t>
  </si>
  <si>
    <t>USJKWZMUWKNOSF-LCKMQYNLSA-N</t>
  </si>
  <si>
    <t>C32H52O7</t>
  </si>
  <si>
    <t>4.10_419.1554m/z</t>
  </si>
  <si>
    <t>Deoxyloganin</t>
  </si>
  <si>
    <t>HMDB0251007</t>
  </si>
  <si>
    <t>COC(=O)C1=COC(OC2OC(CO)C(O)C(O)C2O)C2C(C)CCC12</t>
  </si>
  <si>
    <t>KMHXLGLJTQHEIM-UHFFFAOYSA-N</t>
  </si>
  <si>
    <t>C17H26O9</t>
  </si>
  <si>
    <t>11.61_378.2763n</t>
  </si>
  <si>
    <t>1-Arachidonoyl-Sn-Glycerol</t>
  </si>
  <si>
    <t>HMDB0011578</t>
  </si>
  <si>
    <t>LMGL01010032</t>
  </si>
  <si>
    <t>C13857</t>
  </si>
  <si>
    <t>124511-15-5</t>
  </si>
  <si>
    <t>OC[C@]([H])(O)COC(CCC/C=C\C/C=C\C/C=C\C/C=C\CCCCC)=O</t>
  </si>
  <si>
    <t>DCPCOKIYJYGMDN-HUDVFFLJSA-N</t>
  </si>
  <si>
    <t>C23H38O4</t>
  </si>
  <si>
    <t>8.20_477.2492m/z</t>
  </si>
  <si>
    <t>Erinacine A</t>
  </si>
  <si>
    <t>HMDB0040291</t>
  </si>
  <si>
    <t>CC(C)C1=C2C3=CC=C(CC(OC4OCC(O)C(O)C4O)C3(C)CCC2(C)CC1)C=O</t>
  </si>
  <si>
    <t>LPPCHLAEVDUIIW-UHFFFAOYSA-N</t>
  </si>
  <si>
    <t>C25H36O6</t>
  </si>
  <si>
    <t>12.95_584.4213m/z</t>
  </si>
  <si>
    <t>Chromoionophore I</t>
  </si>
  <si>
    <t>HMDB0250212</t>
  </si>
  <si>
    <t>CCCCCCCCCCCCCCCCCC(=O)N=C1C=C2OC3=C(C=CC(=C3)N(CC)CC)N=C2C2=CC=CC=C12</t>
  </si>
  <si>
    <t>MYWBZQJIXVRCJC-UHFFFAOYSA-N</t>
  </si>
  <si>
    <t>C38H53N3O2</t>
  </si>
  <si>
    <t>10.29_971.3300m/z</t>
  </si>
  <si>
    <t>Isogemichalcone B</t>
  </si>
  <si>
    <t>LMPK12120063</t>
  </si>
  <si>
    <t>C1(O)C=CC(/C=C/C(OC/C(=C/CC2C(O)=C(C(/C=C/C3C=CC(O)=CC=3)=O)C=CC=2O)/C)=O)=CC=1</t>
  </si>
  <si>
    <t>YKTQNXNBVRMYNF-YVMHTMGASA-N</t>
  </si>
  <si>
    <t>C29H26O7</t>
  </si>
  <si>
    <t>8.18_836.3133m/z</t>
  </si>
  <si>
    <t>Argipressin (4-9)</t>
  </si>
  <si>
    <t>HMDB0248588</t>
  </si>
  <si>
    <t>NC(CCC(N)=O)C(=O)NC(CC(N)=O)C(=O)NC(CSSCC(N)C(O)=O)C(=O)N1CCCC1C(=O)NC(CCCN=C(N)N)C(=O)NCC(N)=O</t>
  </si>
  <si>
    <t>QLKCJPVQOVZUPP-UHFFFAOYSA-N</t>
  </si>
  <si>
    <t>C28H49N13O10S2</t>
  </si>
  <si>
    <t>12.87_128.0949n</t>
  </si>
  <si>
    <t>Piperidine-1-Carboxamide</t>
  </si>
  <si>
    <t>HMDB0256575</t>
  </si>
  <si>
    <t>NC(=O)N1CCCCC1</t>
  </si>
  <si>
    <t>JSPCTNUQYWIIOT-UHFFFAOYSA-N</t>
  </si>
  <si>
    <t>Piperidinecarboxylic acids and derivatives</t>
  </si>
  <si>
    <t>C6H12N2O</t>
  </si>
  <si>
    <t>0.77_270.1446m/z</t>
  </si>
  <si>
    <t>3'-Hydroxyhexobarbital</t>
  </si>
  <si>
    <t>HMDB0013940</t>
  </si>
  <si>
    <t>427-29-2</t>
  </si>
  <si>
    <t>CN1C(=O)NC(=O)C(C)(C2=CC(O)CCC2)C1=O</t>
  </si>
  <si>
    <t>YHCGILGEMWNROZ-UHFFFAOYSA-N</t>
  </si>
  <si>
    <t>C12H16N2O4</t>
  </si>
  <si>
    <t>11.27_291.2316m/z</t>
  </si>
  <si>
    <t>4-Androstenediol</t>
  </si>
  <si>
    <t>HMDB0005849</t>
  </si>
  <si>
    <t>LMST02020105</t>
  </si>
  <si>
    <t>C14210</t>
  </si>
  <si>
    <t>1156-92-9</t>
  </si>
  <si>
    <t>[C@@]12([H])CCC3=C[C@@H](O)CC[C@]3(C)[C@@]1([H])CC[C@]1(C)[C@@H](O)CC[C@@]21[H]</t>
  </si>
  <si>
    <t>BTTWKVFKBPAFDK-LOVVWNRFSA-N</t>
  </si>
  <si>
    <t>C19H30O2</t>
  </si>
  <si>
    <t>4.79_521.3352n</t>
  </si>
  <si>
    <t>Chenodeoxycholylglutamic Acid</t>
  </si>
  <si>
    <t>HMDB0242405</t>
  </si>
  <si>
    <t>CC(CCC(=O)NC(CCC(O)=O)C(O)=O)C1CCC2C3C(O)CC4CC(O)CCC4(C)C3CCC12C</t>
  </si>
  <si>
    <t>MHOZNCAVRHAOKT-UHFFFAOYSA-N</t>
  </si>
  <si>
    <t>C29H47NO7</t>
  </si>
  <si>
    <t>6.47_290.1510n</t>
  </si>
  <si>
    <t>1-Dehydro-[6]-Gingerdione</t>
  </si>
  <si>
    <t>HMDB0302131</t>
  </si>
  <si>
    <t>C17746</t>
  </si>
  <si>
    <t>CCCCC\C(O)=C\C(=O)\C=C\C1=CC(OC)=C(O)C=C1</t>
  </si>
  <si>
    <t>GPNSDXAINXYRNZ-YYKRUEADSA-N</t>
  </si>
  <si>
    <t>3.88_391.0795m/z</t>
  </si>
  <si>
    <t>Hydroxydehydro Nifedipine Carboxylate</t>
  </si>
  <si>
    <t>HMDB0246184</t>
  </si>
  <si>
    <t>34783-31-8</t>
  </si>
  <si>
    <t>COC(=O)C1=C(C)N=C(CO)C(C(O)=O)=C1C1=CC=CC=C1[N+]([O-])=O</t>
  </si>
  <si>
    <t>ARDQNVJJIRIJPD-UHFFFAOYSA-N</t>
  </si>
  <si>
    <t>C16H14N2O7</t>
  </si>
  <si>
    <t>5.90_180.1019m/z</t>
  </si>
  <si>
    <t>Desglymidodrine</t>
  </si>
  <si>
    <t>HMDB0060558</t>
  </si>
  <si>
    <t>COC1=CC(C(O)CN)=C(OC)C=C1</t>
  </si>
  <si>
    <t>VFRCNXKYZVQYLX-UHFFFAOYSA-N</t>
  </si>
  <si>
    <t>8.95_709.3399m/z</t>
  </si>
  <si>
    <t>Bastaxanthin C</t>
  </si>
  <si>
    <t>LMPR01071029</t>
  </si>
  <si>
    <t>C(=C(/O)\C(\C)=C\C=C\C(\C)=C\C=C\C=C(/C)\C=C\C=C(/CO)\C#CC1C(C)(C)C[C@H](OS(O)(=O)=O)CC=1C)/C(=O)[C@]1(C)CC(=O)C[C@]1(CO)C</t>
  </si>
  <si>
    <t>QKKLSOIKTYCSMC-ZKFJHPDGSA-N</t>
  </si>
  <si>
    <t>C40H52O9S</t>
  </si>
  <si>
    <t>3.69_357.0830m/z</t>
  </si>
  <si>
    <t>Isoxanthopterin</t>
  </si>
  <si>
    <t>HMDB0000704</t>
  </si>
  <si>
    <t>C03975</t>
  </si>
  <si>
    <t>529-69-1</t>
  </si>
  <si>
    <t>NC1=NC(=O)C2=C(N1)NC(=O)C=N2</t>
  </si>
  <si>
    <t>GLKCOBIIZKYKFN-UHFFFAOYSA-N</t>
  </si>
  <si>
    <t>C6H5N5O2</t>
  </si>
  <si>
    <t>1.15_262.9782m/z</t>
  </si>
  <si>
    <t>2,1,3-Benzoxadiazole-4-Sulfonic Acid, 7-Fluoro-</t>
  </si>
  <si>
    <t>HMDB0245326</t>
  </si>
  <si>
    <t>OS(=O)(=O)C1=CC=C(F)C2=NON=C12</t>
  </si>
  <si>
    <t>BXHVBQRYTWNRSK-UHFFFAOYSA-N</t>
  </si>
  <si>
    <t>C6H3FN2O4S</t>
  </si>
  <si>
    <t>5.79_776.4603m/z</t>
  </si>
  <si>
    <t>PE(14:0/22:5(4Z,7Z,10Z,13Z,16Z))</t>
  </si>
  <si>
    <t>HMDB0008845</t>
  </si>
  <si>
    <t>[H][C@@](COC(=O)CCCCCCCCCCCCC)(COP(O)(=O)OCCN)OC(=O)CC\C=C/C\C=C/C\C=C/C\C=C/C\C=C/CCCCC</t>
  </si>
  <si>
    <t>WPOPBYPPPATGDY-UQGWHFHQSA-N</t>
  </si>
  <si>
    <t>C41H72NO8P</t>
  </si>
  <si>
    <t>4.48_287.1458m/z</t>
  </si>
  <si>
    <t>Asparaginylhistidine</t>
  </si>
  <si>
    <t>HMDB0028733</t>
  </si>
  <si>
    <t>224638-52-2</t>
  </si>
  <si>
    <t>N[C@@H](CC(N)=O)C(=O)N[C@@H](CC1=CNC=N1)C(O)=O</t>
  </si>
  <si>
    <t>FFMIYIMKQIMDPK-BQBZGAKWSA-N</t>
  </si>
  <si>
    <t>C10H15N5O4</t>
  </si>
  <si>
    <t>1.11_270.0634n</t>
  </si>
  <si>
    <t>2-Methoxy-11-Oxo-11h-Pyrido(2,1-B)Quinazoline-8-Carboxylic Acid</t>
  </si>
  <si>
    <t>HMDB0249396</t>
  </si>
  <si>
    <t>COC1=CC2=C(C=C1)N=C1C=CC(=CN1C2=O)C(O)=O</t>
  </si>
  <si>
    <t>PNVRFQIVLRDFMU-UHFFFAOYSA-N</t>
  </si>
  <si>
    <t>C14H10N2O4</t>
  </si>
  <si>
    <t>5.54_455.1324m/z</t>
  </si>
  <si>
    <t>Enterolactone 3''-Glucuronide</t>
  </si>
  <si>
    <t>HMDB0240433</t>
  </si>
  <si>
    <t>O[C@@H]1[C@@H](O)[C@H](OC2=CC=CC(C[C@@H]3COC(=O)[C@H]3CC3=CC(O)=CC=C3)=C2)O[C@@H]([C@H]1O)C(O)=O</t>
  </si>
  <si>
    <t>YPASCVZALRQWQG-NBSJFAFNSA-N</t>
  </si>
  <si>
    <t>C24H26O10</t>
  </si>
  <si>
    <t>0.80_253.0925m/z</t>
  </si>
  <si>
    <t>Ethyl Glucoside</t>
  </si>
  <si>
    <t>HMDB0242122</t>
  </si>
  <si>
    <t>CCOC1OC(CO)C(O)C(O)C1O</t>
  </si>
  <si>
    <t>WYUFTYLVLQZQNH-UHFFFAOYSA-N</t>
  </si>
  <si>
    <t>9.18_310.1777n</t>
  </si>
  <si>
    <t>Botrydial</t>
  </si>
  <si>
    <t>LMPR0103640001</t>
  </si>
  <si>
    <t>C09622</t>
  </si>
  <si>
    <t>[C@H]1(C)[C@H](C=O)[C@]2(O)[C@@](C)(C=O)CC(C)(C)[C@]2([H])[C@@H](OC(=O)C)C1</t>
  </si>
  <si>
    <t>SJFIYVCSGNWVPJ-GKKOWQTJSA-N</t>
  </si>
  <si>
    <t>C17H26O5</t>
  </si>
  <si>
    <t>4.58_173.1324m/z</t>
  </si>
  <si>
    <t>Trans-Beta-Damascenone</t>
  </si>
  <si>
    <t>HMDB0013804</t>
  </si>
  <si>
    <t>LMPR01070304</t>
  </si>
  <si>
    <t>23696-85-7</t>
  </si>
  <si>
    <t>C1C=CC(C)=C(C(/C=C/C)=O)C1(C)C</t>
  </si>
  <si>
    <t>POIARNZEYGURDG-FNORWQNLSA-N</t>
  </si>
  <si>
    <t>5.73_567.3376m/z</t>
  </si>
  <si>
    <t>1-(1-(Tert-Butoxycarbonyl)Piperidin-4-Yl)Azetidine-3-Carboxylic Acid</t>
  </si>
  <si>
    <t>HMDB0247560</t>
  </si>
  <si>
    <t>CC(C)(C)OC(=O)N1CCC(CC1)N1CC(C1)C(O)=O</t>
  </si>
  <si>
    <t>PJUNYYOGPCHSBI-UHFFFAOYSA-N</t>
  </si>
  <si>
    <t>C14H24N2O4</t>
  </si>
  <si>
    <t>4.24_589.1742m/z</t>
  </si>
  <si>
    <t>(S)-Malyl Alpha-D-Glucosaminide</t>
  </si>
  <si>
    <t>LMFA13010058</t>
  </si>
  <si>
    <t>O[C@H]1[C@@H]([C@H]([C@@H](O[C@@H](CC(O)=O)C(O)=O)O[C@@H]1CO)N)O</t>
  </si>
  <si>
    <t>DFSUVSNIIHLGAX-NKQVSKEESA-N</t>
  </si>
  <si>
    <t>C10H17NO9</t>
  </si>
  <si>
    <t>5.54_707.2663m/z</t>
  </si>
  <si>
    <t>Isofezolac</t>
  </si>
  <si>
    <t>HMDB0253634</t>
  </si>
  <si>
    <t>OC(=O)CC1=C(C(=NN1C1=CC=CC=C1)C1=CC=CC=C1)C1=CC=CC=C1</t>
  </si>
  <si>
    <t>LZRDDINFIHUVCX-UHFFFAOYSA-N</t>
  </si>
  <si>
    <t>C23H18N2O2</t>
  </si>
  <si>
    <t>4.28_435.1839m/z</t>
  </si>
  <si>
    <t>Luseogliflozin</t>
  </si>
  <si>
    <t>HMDB0254222</t>
  </si>
  <si>
    <t>CCOC1=CC=C(CC2=C(C)C=C(OC)C(=C2)C2SC(CO)C(O)C(O)C2O)C=C1</t>
  </si>
  <si>
    <t>WHSOLWOTCHFFBK-UHFFFAOYSA-N</t>
  </si>
  <si>
    <t>C23H30O6S</t>
  </si>
  <si>
    <t>7.53_641.3904m/z</t>
  </si>
  <si>
    <t>26-O-[Beta-D-Glucopyranosyl]-25r-Furostan-3beta,22alpha,26-Triol</t>
  </si>
  <si>
    <t>LMST01070001</t>
  </si>
  <si>
    <t>C1[C@]2(C)[C@@]3([H])CC[C@]4(C)[C@H]5[C@H](C)[C@@](O)(CC[C@@H](C)CO[C@H]6[C@H](O)[C@@H](O)[C@H](O)[C@@H](CO)O6)O[C@H]5C[C@@]4([H])[C@]3([H])CC[C@@]2([H])C[C@@H](O)C1</t>
  </si>
  <si>
    <t>FBJYDOQUXQMQSS-WILLDVSMSA-N</t>
  </si>
  <si>
    <t>C33H56O9</t>
  </si>
  <si>
    <t>8.02_1041.4684m/z</t>
  </si>
  <si>
    <t>PIP2(16:0/18:1(11Z))</t>
  </si>
  <si>
    <t>HMDB0010036</t>
  </si>
  <si>
    <t>CCCCCCCCCCCCCCCC(=O)OC[C@]([H])(COP(O)(=O)O[C@H]1C(O)C(O)C(OP(=O)(O)O)[C@@H](OP(=O)(O)O)C1O)OC(=O)CCCCCCCCC\C=C/CCCCCC</t>
  </si>
  <si>
    <t>CLHCYGPNJHZDRS-OLRVBNOISA-N</t>
  </si>
  <si>
    <t>C43H83O19P3</t>
  </si>
  <si>
    <t>9.40_417.0167m/z</t>
  </si>
  <si>
    <t>4-Fluoro-3-Nitrobenzotrifluoride</t>
  </si>
  <si>
    <t>367-86-2</t>
  </si>
  <si>
    <t>C1=CC(=C(C=C1C(F)(F)F)[N+](=O)[O-])F</t>
  </si>
  <si>
    <t>HLDFCCHSOZWKAA-UHFFFAOYSA-N</t>
  </si>
  <si>
    <t>C7H3F4NO2</t>
  </si>
  <si>
    <t>7.41_585.2381m/z</t>
  </si>
  <si>
    <t>Pimethixene</t>
  </si>
  <si>
    <t>HMDB0240247</t>
  </si>
  <si>
    <t>314-03-4</t>
  </si>
  <si>
    <t>CN1CCC(CC1)=C1C2=CC=CC=C2SC2=CC=CC=C12</t>
  </si>
  <si>
    <t>NZLVRVYNQYGMAB-UHFFFAOYSA-N</t>
  </si>
  <si>
    <t>C19H19NS</t>
  </si>
  <si>
    <t>12.52_714.4778m/z</t>
  </si>
  <si>
    <t>Microcolin B</t>
  </si>
  <si>
    <t>CCCCC(C)CC(C)C(=O)N(C)C(CC(C)C)C(=O)NC(C(C)OC(=O)C)C(=O)N(C)C(C(C)C)C(=O)N1CCCC1C(=O)N2C(C=CC2=O)C</t>
  </si>
  <si>
    <t>MNASOWORUXKEPP-APCQCXEZSA-N</t>
  </si>
  <si>
    <t>C39H65N5O8</t>
  </si>
  <si>
    <t>8.36_359.1087m/z</t>
  </si>
  <si>
    <t>12-Tridecene-4,6,8,10-Tetraynal</t>
  </si>
  <si>
    <t>HMDB0038915</t>
  </si>
  <si>
    <t>28789-45-9</t>
  </si>
  <si>
    <t>C=CC#CC#CC#CC#CCCC=O</t>
  </si>
  <si>
    <t>OFXBKGMSUXMAMD-UHFFFAOYSA-N</t>
  </si>
  <si>
    <t>C13H8O</t>
  </si>
  <si>
    <t>3.79_438.1539m/z</t>
  </si>
  <si>
    <t>5,10-Methenyltetrahydrofolic Acid</t>
  </si>
  <si>
    <t>HMDB0001354</t>
  </si>
  <si>
    <t>C00445</t>
  </si>
  <si>
    <t>ko00670,ko00720</t>
  </si>
  <si>
    <t>One carbon pool by folate|Carbon fixation pathways in prokaryotes</t>
  </si>
  <si>
    <t>7444-29-3</t>
  </si>
  <si>
    <t>[H][C@@]12CN(C=[N+]1C1=C(NC2)NC(N)=NC1=O)C1=CC=C(C=C1)C(=O)N[C@@H](CCC(O)=O)C([O-])=O</t>
  </si>
  <si>
    <t>MEANFMOQMXYMCT-OLZOCXBDSA-N</t>
  </si>
  <si>
    <t>C20H21N7O6</t>
  </si>
  <si>
    <t>8.43_590.2956m/z</t>
  </si>
  <si>
    <t>Benzoylmesaconine</t>
  </si>
  <si>
    <t>HMDB0249053</t>
  </si>
  <si>
    <t>COCC12CN(C)C3C4C(OC)C1C3(C1CC3(O)C(OC(=O)C5=CC=CC=C5)C1C4(O)C(O)C3OC)C(CC2O)OC</t>
  </si>
  <si>
    <t>PULWZCUZNRVAHT-UHFFFAOYSA-N</t>
  </si>
  <si>
    <t>C31H43NO10</t>
  </si>
  <si>
    <t>4.72_675.3447m/z</t>
  </si>
  <si>
    <t>Sufac#1</t>
  </si>
  <si>
    <t>LMFA01020436</t>
  </si>
  <si>
    <t>C(CCCCCCCCC(OS(O)(=O)=O)CCC(C)C)(=O)O</t>
  </si>
  <si>
    <t>JZVLQNZGNMOISM-UHFFFAOYSA-N</t>
  </si>
  <si>
    <t>C15H30O6S</t>
  </si>
  <si>
    <t>12.76_273.2575m/z</t>
  </si>
  <si>
    <t>Neocembrene</t>
  </si>
  <si>
    <t>LMPR0104190001</t>
  </si>
  <si>
    <t>C09140</t>
  </si>
  <si>
    <t>[C@H]1(C(C)=C)CC=C(C)CCC=C(C)CCC=C(C)CC1</t>
  </si>
  <si>
    <t>VWSPQDDPRITBAM-KPGNMOGWSA-N</t>
  </si>
  <si>
    <t>C20H32</t>
  </si>
  <si>
    <t>2.07_479.1736m/z</t>
  </si>
  <si>
    <t>Gentiobiosyl 2-Methyl-6-Oxo-2e,4e-Heptadienoate</t>
  </si>
  <si>
    <t>HMDB0032134</t>
  </si>
  <si>
    <t>CC(=O)\C=C\C=C(/C)C(=O)OC1OC(COC2OC(CO)C(O)C(O)C2O)C(O)C(O)C1O</t>
  </si>
  <si>
    <t>YFKTUCLAEHYWLL-MSLMYCKWSA-N</t>
  </si>
  <si>
    <t>C20H30O13</t>
  </si>
  <si>
    <t>8.34_475.2334m/z</t>
  </si>
  <si>
    <t>Ingenol Mebutate</t>
  </si>
  <si>
    <t>HMDB0253485</t>
  </si>
  <si>
    <t>CC=C(C)C(=O)OC1C(C)=CC23C(C)CC4C(C(C=C(CO)C(O)C12O)C3=O)C4(C)C</t>
  </si>
  <si>
    <t>VDJHFHXMUKFKET-UHFFFAOYSA-N</t>
  </si>
  <si>
    <t>C25H34O6</t>
  </si>
  <si>
    <t>10.00_563.3191m/z</t>
  </si>
  <si>
    <t>2-O-(2-O-Isovaleryl-Beta-D-Glucopyranosyl) Atractyligenin.</t>
  </si>
  <si>
    <t>LMPR0104130008</t>
  </si>
  <si>
    <t>[C@@]123[C@@H](O)C([C@@H](CC[C@@]1([H])[C@]1(C)C[C@H](O[C@H]4[C@H](OC(=O)CC(C)CC)[C@@H](O)[C@H](O)[C@@H](CO)O4)C[C@@H](C(=O)O)[C@@]1([H])CC2)C3)=C</t>
  </si>
  <si>
    <t>KIFITJDLHDKWBZ-BNENIBRGSA-N</t>
  </si>
  <si>
    <t>C31H48O10</t>
  </si>
  <si>
    <t>4.72_202.1203n</t>
  </si>
  <si>
    <t>9,10-Dihydroxy-2-Decenoic Acid</t>
  </si>
  <si>
    <t>LMFA01050428</t>
  </si>
  <si>
    <t>C(/C=C/CCCCCC(O)CO)(=O)O</t>
  </si>
  <si>
    <t>LJVFDEUMLMNPKS-FNORWQNLSA-N</t>
  </si>
  <si>
    <t>C10H18O4</t>
  </si>
  <si>
    <t>2.12_509.1508m/z</t>
  </si>
  <si>
    <t>N7-(2-((Hydroxyethyl)Thio)Ethyl)Guanine</t>
  </si>
  <si>
    <t>HMDB0255306</t>
  </si>
  <si>
    <t>NC1=NC2=C(N(CCSCCO)C=N2)C(=O)N1</t>
  </si>
  <si>
    <t>SQQNJJKNRHKMKW-UHFFFAOYSA-N</t>
  </si>
  <si>
    <t>C9H13N5O2S</t>
  </si>
  <si>
    <t>5.28_483.2797m/z</t>
  </si>
  <si>
    <t>Glycyl-Histidyl-Arginyl-Proline</t>
  </si>
  <si>
    <t>HMDB0252877</t>
  </si>
  <si>
    <t>NCC(=O)NC(CC1=CN=CN1)C(=O)NC(CCCN=C(N)N)C(=O)N1CCCC1C(O)=O</t>
  </si>
  <si>
    <t>YVHCULPWZYVJEK-UHFFFAOYSA-N</t>
  </si>
  <si>
    <t>C19H31N9O5</t>
  </si>
  <si>
    <t>5.52_445.1860m/z</t>
  </si>
  <si>
    <t>13-Hydroxy-5'-O-Methylmelledonal</t>
  </si>
  <si>
    <t>HMDB0035864</t>
  </si>
  <si>
    <t>112471-06-4</t>
  </si>
  <si>
    <t>COC1=CC(O)=C(C(=O)OC2CC3(C)C4C(O)C(C)(CO)CC4(O)C=C(C=O)C23O)C(C)=C1</t>
  </si>
  <si>
    <t>GEZFFZYSQRTAPC-UHFFFAOYSA-N</t>
  </si>
  <si>
    <t>C24H30O9</t>
  </si>
  <si>
    <t>4.61_526.2103m/z</t>
  </si>
  <si>
    <t>1,3-Dithiane-2-Propanamine, N-(2-(3,4-Dimethoxyphenyl)Ethyl)-N-Methyl-2-(2-Naphthalenyl)-</t>
  </si>
  <si>
    <t>HMDB0257253</t>
  </si>
  <si>
    <t>COC1=C(OC)C=C(CCN(C)CCCC2(SCCCS2)C2=CC3=CC=CC=C3C=C2)C=C1</t>
  </si>
  <si>
    <t>YEXYNWAZYPPKQD-UHFFFAOYSA-N</t>
  </si>
  <si>
    <t>C28H35NO2S2</t>
  </si>
  <si>
    <t>5.10_309.1554m/z</t>
  </si>
  <si>
    <t>Hexyl Glucoside</t>
  </si>
  <si>
    <t>HMDB0031688</t>
  </si>
  <si>
    <t>59080-45-4</t>
  </si>
  <si>
    <t>CCCCCCOC1OC(CO)C(O)C(O)C1O</t>
  </si>
  <si>
    <t>JVAZJLFFSJARQM-UHFFFAOYSA-N</t>
  </si>
  <si>
    <t>C12H24O6</t>
  </si>
  <si>
    <t>6.27_486.2245n</t>
  </si>
  <si>
    <t>6-Hydroxyangolensic Acid Methyl Ester</t>
  </si>
  <si>
    <t>CC1(C(C2(C3CCC4(C(OC(=O)CC4(C3=C)OC2CC1=O)C5=COC=C5)C)C)C(C(=O)OC)O)C</t>
  </si>
  <si>
    <t>GOYZKWCPWBKPIG-RNKBQGBYSA-N</t>
  </si>
  <si>
    <t>2.20_261.0878m/z</t>
  </si>
  <si>
    <t>L-1,2,3,4-Tetrahydro-Beta-Carboline-3-Carboxylic Acid</t>
  </si>
  <si>
    <t>HMDB0035665</t>
  </si>
  <si>
    <t>42438-90-4</t>
  </si>
  <si>
    <t>OC(=O)C1CC2=C(CN1)NC1=CC=CC=C21</t>
  </si>
  <si>
    <t>FSNCEEGOMTYXKY-UHFFFAOYSA-N</t>
  </si>
  <si>
    <t>C12H12N2O2</t>
  </si>
  <si>
    <t>3.84_369.0631m/z</t>
  </si>
  <si>
    <t>Rhodamine 110</t>
  </si>
  <si>
    <t>HMDB0257198</t>
  </si>
  <si>
    <t>NC1=CC2=C(C=C1)C(C1=CC=CC=C1C(O)=O)=C1C=CC(=N)C=C1O2</t>
  </si>
  <si>
    <t>UPZKDDJKJWYWHQ-UHFFFAOYSA-N</t>
  </si>
  <si>
    <t>C20H14N2O3</t>
  </si>
  <si>
    <t>10.00_361.2370m/z</t>
  </si>
  <si>
    <t>Dhv-Pge2</t>
  </si>
  <si>
    <t>HMDB0251112</t>
  </si>
  <si>
    <t>CCCCC(O)(CC=CC1C(O)CC(=O)C1CC=CCCCC(O)=O)C=C</t>
  </si>
  <si>
    <t>RUFIPEVZPSRREO-UHFFFAOYSA-N</t>
  </si>
  <si>
    <t>C22H34O5</t>
  </si>
  <si>
    <t>5.81_406.1253n</t>
  </si>
  <si>
    <t>Afzelechin 7-Apioside</t>
  </si>
  <si>
    <t>HMDB0030824</t>
  </si>
  <si>
    <t>114590-44-2</t>
  </si>
  <si>
    <t>OCC1(O)COC(OC2=CC(O)=C3CC(O)C(OC3=C2)C2=CC=C(O)C=C2)C1O</t>
  </si>
  <si>
    <t>BJBAEYMVZJJUEM-UHFFFAOYSA-N</t>
  </si>
  <si>
    <t>6.84_767.3838m/z</t>
  </si>
  <si>
    <t>(6beta,7alpha,12beta,13beta)-7-Hydroxy-11,16-Dioxo-8,14-Apianadien-22,6-Olide</t>
  </si>
  <si>
    <t>HMDB0031380</t>
  </si>
  <si>
    <t>403613-16-1</t>
  </si>
  <si>
    <t>CC(C)C12C(C(C)=CC1=O)C1=C(C2=O)C23CCCC(C)(C)C2C(OC3=O)C1O</t>
  </si>
  <si>
    <t>IEPYKUBVROCHOQ-UHFFFAOYSA-N</t>
  </si>
  <si>
    <t>C23H28O5</t>
  </si>
  <si>
    <t>4.36_569.2066m/z</t>
  </si>
  <si>
    <t>Vidarabine</t>
  </si>
  <si>
    <t>HMDB0014340</t>
  </si>
  <si>
    <t>C07195</t>
  </si>
  <si>
    <t>24356-66-9</t>
  </si>
  <si>
    <t>NC1=NC=NC2=C1N=CN2[C@@H]1O[C@H](CO)[C@@H](O)[C@@H]1O</t>
  </si>
  <si>
    <t>OIRDTQYFTABQOQ-UHTZMRCNSA-N</t>
  </si>
  <si>
    <t>7.12_723.2482m/z</t>
  </si>
  <si>
    <t>Zanthobisquinolone</t>
  </si>
  <si>
    <t>HMDB0040786</t>
  </si>
  <si>
    <t>57147-67-8</t>
  </si>
  <si>
    <t>CN1C(=O)C(CC2=C(O)C3=CC=CC=C3N(C)C2=O)=C(O)C2=CC=CC=C12</t>
  </si>
  <si>
    <t>JCLGYGPWVWEPSU-UHFFFAOYSA-N</t>
  </si>
  <si>
    <t>Hydroxyquinolines</t>
  </si>
  <si>
    <t>C21H18N2O4</t>
  </si>
  <si>
    <t>11.89_325.2159m/z</t>
  </si>
  <si>
    <t>Etonogestrel</t>
  </si>
  <si>
    <t>HMDB0014439</t>
  </si>
  <si>
    <t>54048-10-1</t>
  </si>
  <si>
    <t>[H][C@@]12CC[C@@](O)(C#C)[C@@]1(CC)CC(=C)[C@]1([H])[C@@]3([H])CCC(=O)C=C3CC[C@@]21[H]</t>
  </si>
  <si>
    <t>GCKFUYQCUCGESZ-BPIQYHPVSA-N</t>
  </si>
  <si>
    <t>C22H28O2</t>
  </si>
  <si>
    <t>1.06_360.1399m/z</t>
  </si>
  <si>
    <t>4'-Nitrophenyl-2-Acetamido-2-Deoxy-Beta-Glucopyranoside</t>
  </si>
  <si>
    <t>HMDB0246183</t>
  </si>
  <si>
    <t>CC(=O)NC1C(O)C(O)C(CO)OC1OC1=CC=C(C=C1)[N+]([O-])=O</t>
  </si>
  <si>
    <t>OMRLTNCLYHKQCK-UHFFFAOYSA-N</t>
  </si>
  <si>
    <t>C14H18N2O8</t>
  </si>
  <si>
    <t>5.32_581.2923m/z</t>
  </si>
  <si>
    <t>Taurolithocholate Sulfate</t>
  </si>
  <si>
    <t>HMDB0002580</t>
  </si>
  <si>
    <t>LMST05020003</t>
  </si>
  <si>
    <t>C03642</t>
  </si>
  <si>
    <t>15324-65-9</t>
  </si>
  <si>
    <t>[C@]12(CC[C@]([H])([C@H](C)CCC(=O)NCCS(=O)(=O)O)[C@@]1(C)CC[C@]1([H])[C@@]3(C)CC[C@@H](OS(=O)(O)=O)C[C@@]3([H])CC[C@]12[H])[H]</t>
  </si>
  <si>
    <t>HSNPMXROZIQAQD-GBURMNQMSA-N</t>
  </si>
  <si>
    <t>C26H45NO8S2</t>
  </si>
  <si>
    <t>9.71_288.1133m/z</t>
  </si>
  <si>
    <t>Ciprofloxacin-7-Ethylenediamine</t>
  </si>
  <si>
    <t>HMDB0250269</t>
  </si>
  <si>
    <t>103222-12-4</t>
  </si>
  <si>
    <t>NCCNC1=C(F)C=C2C(=O)C(=CN(C3CC3)C2=C1)C(O)=O</t>
  </si>
  <si>
    <t>ZYLULTURYPAERI-UHFFFAOYSA-N</t>
  </si>
  <si>
    <t>C15H16FN3O3</t>
  </si>
  <si>
    <t>3.58_339.1192m/z</t>
  </si>
  <si>
    <t>Tyrosylhydroxyproline</t>
  </si>
  <si>
    <t>HMDB0029106</t>
  </si>
  <si>
    <t>936346-34-8</t>
  </si>
  <si>
    <t>N[C@@H](CC1=CC=C(O)C=C1)C(=O)N1C[C@H](O)C[C@H]1C(O)=O</t>
  </si>
  <si>
    <t>FTWOPDCJCRFTHX-WOPDTQHZSA-N</t>
  </si>
  <si>
    <t>C14H18N2O5</t>
  </si>
  <si>
    <t>5.08_517.0965m/z</t>
  </si>
  <si>
    <t>3,5,6-Trihydroxy-3',4',7-Trimethoxyflavone 3-Glucuronide</t>
  </si>
  <si>
    <t>HMDB0038264</t>
  </si>
  <si>
    <t>COC1=C(OC)C=C(C=C1)C1=C(OC2OC(C(O)C(O)C2O)C(O)=O)C(=O)C2=C(O)C(O)=C(OC)C=C2O1</t>
  </si>
  <si>
    <t>LURNGPWLQCDCBE-UHFFFAOYSA-N</t>
  </si>
  <si>
    <t>C24H24O14</t>
  </si>
  <si>
    <t>9.29_947.4850m/z</t>
  </si>
  <si>
    <t>Asparagoside D</t>
  </si>
  <si>
    <t>HMDB0031836</t>
  </si>
  <si>
    <t>60267-24-5</t>
  </si>
  <si>
    <t>CC1C2C(CC3C4CCC5CC(CCC5(C)C4CCC23C)OC2OC(CO)C(OC3OC(CO)C(O)C(O)C3O)C(OC3OC(CO)C(O)C(O)C3O)C2O)OC11CCC(C)CO1</t>
  </si>
  <si>
    <t>DEXBUPZUMRUNGB-UHFFFAOYSA-N</t>
  </si>
  <si>
    <t>7.99_478.2944m/z</t>
  </si>
  <si>
    <t>Vapiprost</t>
  </si>
  <si>
    <t>HMDB0259765</t>
  </si>
  <si>
    <t>OC1CC(OCC2=CC=C(C=C2)C2=CC=CC=C2)C(CCC=CCCC(O)=O)C1N1CCCCC1</t>
  </si>
  <si>
    <t>GQGRDYWMOPRROR-UHFFFAOYSA-N</t>
  </si>
  <si>
    <t>C30H39NO4</t>
  </si>
  <si>
    <t>9.23_325.2007m/z</t>
  </si>
  <si>
    <t>Prostaglandin F-Main Urinary Metabolite</t>
  </si>
  <si>
    <t>HMDB0256371</t>
  </si>
  <si>
    <t>OCCCCCC(=O)CCC1C(O)CC(O)C1CC=CCC(O)=O</t>
  </si>
  <si>
    <t>MBJNKTSSQMIPIF-UHFFFAOYSA-N</t>
  </si>
  <si>
    <t>C18H30O6</t>
  </si>
  <si>
    <t>7.97_907.2228m/z</t>
  </si>
  <si>
    <t>Cp-671305</t>
  </si>
  <si>
    <t>CC(C(=O)O)OC1=CC(=C(C=C1)CNC(=O)C2=C(N=CC=C2)OC3=CC4=C(C=C3)OCO4)F</t>
  </si>
  <si>
    <t>CNIGFESSDPOCKS-CYBMUJFWSA-N</t>
  </si>
  <si>
    <t>2-phenoxypropionic acids</t>
  </si>
  <si>
    <t>C23H19FN2O7</t>
  </si>
  <si>
    <t>4.95_413.1815m/z</t>
  </si>
  <si>
    <t>Longilactone, Delta-4(18)-Isomer, 2alpha-Alcoho</t>
  </si>
  <si>
    <t>CC1C(C(C2C3(C(C(C4C2(C1C(=O)O4)C)O)C(=C)CC(C3O)O)C)O)O</t>
  </si>
  <si>
    <t>YEMMVDQCVABATJ-NNLGHBTGSA-N</t>
  </si>
  <si>
    <t>C19H28O7</t>
  </si>
  <si>
    <t>11.14_335.2578m/z</t>
  </si>
  <si>
    <t>Isolinderenolide</t>
  </si>
  <si>
    <t>HMDB0038104</t>
  </si>
  <si>
    <t>139328-80-6</t>
  </si>
  <si>
    <t>CCCC\C=C/CCCCCCCCC\C=C1\C(O)C(=C)OC1=O</t>
  </si>
  <si>
    <t>PBBONDCKOKLJIC-MJKSAKIDSA-N</t>
  </si>
  <si>
    <t>C21H34O3</t>
  </si>
  <si>
    <t>9.86_1121.5310m/z</t>
  </si>
  <si>
    <t>PIP(22:3(10Z,13Z,16Z)/PGF1alpha)</t>
  </si>
  <si>
    <t>HMDB0280379</t>
  </si>
  <si>
    <t>CCCCCC\C=C/C\C=C/C\C=C/CCCCCCCCC(=O)OC[C@@H]1COP(O)(=O)O[C@H]2[C@H](O)[C@@H](O)[C@H](O)[C@@H](CCCCCCC(=O)O1)[C@@H](O)C[C@@H](O)[C@H](C=C[C@@H](O)CCCCC)[C@@H](O)[C@H]2OP(O)(O)=O</t>
  </si>
  <si>
    <t>CXFGFYJKGXAUJJ-GRUOMRKOSA-N</t>
  </si>
  <si>
    <t>C52H92O19P2</t>
  </si>
  <si>
    <t>7.28_873.3159m/z</t>
  </si>
  <si>
    <t>Pazopanib</t>
  </si>
  <si>
    <t>HMDB0256144</t>
  </si>
  <si>
    <t>CN(C1=CC2=NN(C)C(C)=C2C=C1)C1=CC=NC(NC2=CC=C(C)C(=C2)S(N)(=O)=O)=N1</t>
  </si>
  <si>
    <t>CUIHSIWYWATEQL-UHFFFAOYSA-N</t>
  </si>
  <si>
    <t>C21H23N7O2S</t>
  </si>
  <si>
    <t>4.43_163.1480m/z</t>
  </si>
  <si>
    <t>Homodihydrojasmone</t>
  </si>
  <si>
    <t>HMDB0031181</t>
  </si>
  <si>
    <t>4868-24-0</t>
  </si>
  <si>
    <t>CCCCCCC1=C(C)CCC1=O</t>
  </si>
  <si>
    <t>JAPZZAUIIPKQJW-UHFFFAOYSA-N</t>
  </si>
  <si>
    <t>C12H20O</t>
  </si>
  <si>
    <t>4.28_381.1131m/z</t>
  </si>
  <si>
    <t>Lophirone J</t>
  </si>
  <si>
    <t>LMPK12140049</t>
  </si>
  <si>
    <t>C1(OC)C=C2O[C@H](C3C=CC4OC(C5C=CC(OC)=CC=5)=CC=4C=3)CC(=O)C2=CC=1</t>
  </si>
  <si>
    <t>GIIGHMRSPFEORX-DEOSSOPVSA-N</t>
  </si>
  <si>
    <t>C25H20O5</t>
  </si>
  <si>
    <t>1.55_361.1387m/z</t>
  </si>
  <si>
    <t>Nitrendipine</t>
  </si>
  <si>
    <t>HMDB0015187</t>
  </si>
  <si>
    <t>C07713</t>
  </si>
  <si>
    <t>39562-70-4</t>
  </si>
  <si>
    <t>CCOC(=O)C1=C(C)NC(C)=C(C1C1=CC(=CC=C1)[N+]([O-])=O)C(=O)OC</t>
  </si>
  <si>
    <t>PVHUJELLJLJGLN-UHFFFAOYSA-N</t>
  </si>
  <si>
    <t>5.57_427.2841m/z</t>
  </si>
  <si>
    <t>Eicosapentaenoylcholine</t>
  </si>
  <si>
    <t>HMDB0240649</t>
  </si>
  <si>
    <t>1891060-19-7</t>
  </si>
  <si>
    <t>CC\C=C/C\C=C/C\C=C/C\C=C/C\C=C/CCCC(=O)OCC[N+](C)(C)C</t>
  </si>
  <si>
    <t>GVBOIWTXZCLZKP-WMPRHZDHSA-N</t>
  </si>
  <si>
    <t>C25H42NO2+</t>
  </si>
  <si>
    <t>4.60_273.0766m/z</t>
  </si>
  <si>
    <t>5,6-Dihydro-5-Hydroxy-6-Methyl-2h-Pyran-2-One</t>
  </si>
  <si>
    <t>HMDB0034270</t>
  </si>
  <si>
    <t>C09925</t>
  </si>
  <si>
    <t>15345-89-8</t>
  </si>
  <si>
    <t>COC1=CC(=O)OC(\C=C\C2=CC=CC=C2)=C1</t>
  </si>
  <si>
    <t>DKKJNZYHGRUXBS-BQYQJAHWSA-N</t>
  </si>
  <si>
    <t>C14H12O3</t>
  </si>
  <si>
    <t>4.12_256.1309n</t>
  </si>
  <si>
    <t>2-[4-(3-Hydroxypropyl)-2-Methoxyphenoxy]-1,3-Propanediol</t>
  </si>
  <si>
    <t>HMDB0040352</t>
  </si>
  <si>
    <t>COC1=CC(CCCO)=CC=C1OC(CO)CO</t>
  </si>
  <si>
    <t>WAPGRPJEBCULTQ-UHFFFAOYSA-N</t>
  </si>
  <si>
    <t>Anisoles</t>
  </si>
  <si>
    <t>7.60_325.2019m/z</t>
  </si>
  <si>
    <t>Delta10-12-Phytof</t>
  </si>
  <si>
    <t>LMFA02040002</t>
  </si>
  <si>
    <t>C(CCCCCCCC(O)/C=C/C1C(O)CC(C(O)CC)O1)(=O)O</t>
  </si>
  <si>
    <t>BHWUKOCNOLCGLB-ZHACJKMWSA-N</t>
  </si>
  <si>
    <t>C18H32O6</t>
  </si>
  <si>
    <t>9.90_511.0204m/z</t>
  </si>
  <si>
    <t>4-Methylumbelliferyl Phosphate</t>
  </si>
  <si>
    <t>HMDB0246521</t>
  </si>
  <si>
    <t>CC1=CC(=O)OC2=C1C=CC(OP(O)(O)=O)=C2</t>
  </si>
  <si>
    <t>BCHIXGBGRHLSBE-UHFFFAOYSA-N</t>
  </si>
  <si>
    <t>C10H9O6P</t>
  </si>
  <si>
    <t>5.90_490.2800n</t>
  </si>
  <si>
    <t>12-Hydroxy-13-O-D-Glucuronoside-Octadec-9z-Enoate</t>
  </si>
  <si>
    <t>HMDB0060118</t>
  </si>
  <si>
    <t>CCCCC[C@H](O)[C@H](C\C=C/CCCCCCCC(O)=O)O[C@H]1O[C@@H]([C@H](O)[C@H](O)[C@@H]1O)C(O)=O</t>
  </si>
  <si>
    <t>WDJRXGFYLUIKBX-GRIBZEQKSA-N</t>
  </si>
  <si>
    <t>C24H42O10</t>
  </si>
  <si>
    <t>9.35_751.3154m/z</t>
  </si>
  <si>
    <t>Bastaxanthin E</t>
  </si>
  <si>
    <t>LMPR01071030</t>
  </si>
  <si>
    <t>[C@@]1(C(=O)/C=C/C(/C)=C/C=C/C(/C)=C/C=C/C=C(\C)/C=C/C=C(\CO)/C#CC2C(C)(C)C[C@H](OS(O)(=O)=O)CC=2C)(C)CC(=O)C[C@@]1(C)C(=O)O</t>
  </si>
  <si>
    <t>CUWCDZGFISCKLX-FAWBBLHCSA-N</t>
  </si>
  <si>
    <t>C40H50O9S</t>
  </si>
  <si>
    <t>11.16_278.2476m/z</t>
  </si>
  <si>
    <t>6-[1]-Ladderane Hexanol</t>
  </si>
  <si>
    <t>LMFA01140088</t>
  </si>
  <si>
    <t>C(CCC1C=CC2C3CCC=CC3C2C1)CCCO</t>
  </si>
  <si>
    <t>WNGSQFREFUKQMP-UHFFFAOYSA-N</t>
  </si>
  <si>
    <t>C18H28O</t>
  </si>
  <si>
    <t>0.75_115.0389m/z</t>
  </si>
  <si>
    <t>2-C-Methyl-1,4-Erythrono-D-Lactone</t>
  </si>
  <si>
    <t>HMDB0029884</t>
  </si>
  <si>
    <t>18465-71-9</t>
  </si>
  <si>
    <t>CC1(O)C(O)COC1=O</t>
  </si>
  <si>
    <t>OHTGZAWPVDWARE-UHFFFAOYSA-N</t>
  </si>
  <si>
    <t>C5H8O4</t>
  </si>
  <si>
    <t>0.73_144.0654m/z</t>
  </si>
  <si>
    <t>Glutamic Acid Gamma-Methyl Ester</t>
  </si>
  <si>
    <t>HMDB0061715</t>
  </si>
  <si>
    <t>1499-55-4</t>
  </si>
  <si>
    <t>COC(=O)CC[C@H](N)C(O)=O</t>
  </si>
  <si>
    <t>ZGEYCCHDTIDZAE-BYPYZUCNSA-N</t>
  </si>
  <si>
    <t>C6H11NO4</t>
  </si>
  <si>
    <t>9.80_375.1958m/z</t>
  </si>
  <si>
    <t>Betamethasone</t>
  </si>
  <si>
    <t>HMDB0014586</t>
  </si>
  <si>
    <t>C06848</t>
  </si>
  <si>
    <t>378-44-9</t>
  </si>
  <si>
    <t>[H][C@@]12C[C@H](C)[C@](O)(C(=O)CO)[C@@]1(C)C[C@H](O)[C@@]1(F)[C@@]2([H])CCC2=CC(=O)C=C[C@]12C</t>
  </si>
  <si>
    <t>UREBDLICKHMUKA-DVTGEIKXSA-N</t>
  </si>
  <si>
    <t>C22H29FO5</t>
  </si>
  <si>
    <t>8.49_317.1745m/z</t>
  </si>
  <si>
    <t>Bisphenol A Bis(2-Hydroxyethyl)Ether</t>
  </si>
  <si>
    <t>HMDB0247634</t>
  </si>
  <si>
    <t>C14347</t>
  </si>
  <si>
    <t>901-44-0</t>
  </si>
  <si>
    <t>CC(C)(C1=CC=C(OCCO)C=C1)C1=CC=C(OCCO)C=C1</t>
  </si>
  <si>
    <t>UUAGPGQUHZVJBQ-UHFFFAOYSA-N</t>
  </si>
  <si>
    <t>0.78_335.1602n</t>
  </si>
  <si>
    <t>N6-Cyclopentyladenosine</t>
  </si>
  <si>
    <t>HMDB0242692</t>
  </si>
  <si>
    <t>OCC1OC(C(O)C1O)N1C=NC2=C1N=CN=C2NC1CCCC1</t>
  </si>
  <si>
    <t>SQMWSBKSHWARHU-UHFFFAOYSA-N</t>
  </si>
  <si>
    <t>7.91_329.2332m/z</t>
  </si>
  <si>
    <t>Avocadyne</t>
  </si>
  <si>
    <t>HMDB0035473</t>
  </si>
  <si>
    <t>LMFA05000643</t>
  </si>
  <si>
    <t>129099-96-3</t>
  </si>
  <si>
    <t>C#CCCCCCCCCCCCC(O)CC(O)CO</t>
  </si>
  <si>
    <t>OHLQBKZXSJYBMK-UHFFFAOYSA-N</t>
  </si>
  <si>
    <t>C17H32O3</t>
  </si>
  <si>
    <t>3.99_573.1623m/z</t>
  </si>
  <si>
    <t>Razaxaban</t>
  </si>
  <si>
    <t>HMDB0257116</t>
  </si>
  <si>
    <t>CN(C)CC1=NC=CN1C1=CC(F)=C(C=C1)N=C(O)C1=CC(=NN1C1=CC2=C(ONC2=N)C=C1)C(F)(F)F</t>
  </si>
  <si>
    <t>OFJRNBWSFXEHSA-UHFFFAOYSA-N</t>
  </si>
  <si>
    <t>C24H20F4N8O2</t>
  </si>
  <si>
    <t>8.37_771.3419m/z</t>
  </si>
  <si>
    <t>Olamufloxacin</t>
  </si>
  <si>
    <t>HMDB0255928</t>
  </si>
  <si>
    <t>CC1=C(N2CC(N)C3(CC3)C2)C(F)=C(N)C2=C1N(C=C(C(O)=O)C2=O)C1CC1</t>
  </si>
  <si>
    <t>LEILBPMISZFZQK-UHFFFAOYSA-N</t>
  </si>
  <si>
    <t>C20H23FN4O3</t>
  </si>
  <si>
    <t>7.30_403.2470m/z</t>
  </si>
  <si>
    <t>Ent-3alpha-Acetoxy-16beta,17,18-Trihydroxyatisane</t>
  </si>
  <si>
    <t>LMPR0104150007</t>
  </si>
  <si>
    <t>[C@H]1(OC(=O)C)CC[C@@]2(C)[C@]3([H])C[C@@H]4CC[C@]3(C[C@]4(O)CO)CC[C@]2([H])[C@@]1(C)CO</t>
  </si>
  <si>
    <t>OUSPOFFCBMUVKE-CGGIHEHQSA-N</t>
  </si>
  <si>
    <t>C22H36O5</t>
  </si>
  <si>
    <t>1.59_318.0396m/z</t>
  </si>
  <si>
    <t>Hapten A</t>
  </si>
  <si>
    <t>HMDB0253050</t>
  </si>
  <si>
    <t>CO[P+]([S-])(NCCC(O)=O)OC1=CC(C)=C(SC)C=C1</t>
  </si>
  <si>
    <t>KNTOFFUMVTXBLD-UHFFFAOYSA-N</t>
  </si>
  <si>
    <t>C12H18NO4PS2</t>
  </si>
  <si>
    <t>7.53_554.3472m/z</t>
  </si>
  <si>
    <t>PG(20:2(11Z,14Z)/0:0)</t>
  </si>
  <si>
    <t>LMGP04050024</t>
  </si>
  <si>
    <t>[H][C@](O)(CO)COP(OC[C@]([H])(O)COC(CCCCCCCCC/C=C\C/C=C\CCCCC)=O)(=O)O</t>
  </si>
  <si>
    <t>ALJXGNMOATZBMV-XTYNSLPVSA-N</t>
  </si>
  <si>
    <t>C26H49O9P</t>
  </si>
  <si>
    <t>9.15_787.4116m/z</t>
  </si>
  <si>
    <t>Balagyptin</t>
  </si>
  <si>
    <t>HMDB0041332</t>
  </si>
  <si>
    <t>172046-43-4</t>
  </si>
  <si>
    <t>CC(O)C1C(O)CC2C3CC=C4CC(CCC4(C)C3CCC12C)OC1OC(COC2OC(C)C(O)C(O)C2O)C(O)C(O)C1OC1OC(C)C(O)C(O)C1O</t>
  </si>
  <si>
    <t>DHEBGTQGALZORI-UHFFFAOYSA-N</t>
  </si>
  <si>
    <t>C39H64O16</t>
  </si>
  <si>
    <t>10.25_763.2941m/z</t>
  </si>
  <si>
    <t>Hellebrin</t>
  </si>
  <si>
    <t>LMST01130006</t>
  </si>
  <si>
    <t>C08868</t>
  </si>
  <si>
    <t>C1[C@@]2(C=O)[C@](O)(CC[C@]3([H])[C@]2([H])CC[C@]2(C)[C@@]([H])(C4C=CC(=O)OC=4)CC[C@]32O)C[C@@H](O[C@H]2[C@H](O)[C@H](O)[C@@H](O[C@@H]3O[C@H](CO)[C@@H](O)[C@H](O)[C@H]3O)[C@H](C)O2)C1</t>
  </si>
  <si>
    <t>DCSLTSSPIJWEJN-YRFFWODSSA-N</t>
  </si>
  <si>
    <t>C36H52O15</t>
  </si>
  <si>
    <t>9.05_288.1133m/z</t>
  </si>
  <si>
    <t>Rutaecarpine</t>
  </si>
  <si>
    <t>HMDB0042010</t>
  </si>
  <si>
    <t>C09238</t>
  </si>
  <si>
    <t>84-26-4</t>
  </si>
  <si>
    <t>O=C1N2CCC3=C(NC4=CC=CC=C34)C2=NC2=CC=CC=C12</t>
  </si>
  <si>
    <t>ACVGWSKVRYFWRP-UHFFFAOYSA-N</t>
  </si>
  <si>
    <t>C18H13N3O</t>
  </si>
  <si>
    <t>5.15_407.1344m/z</t>
  </si>
  <si>
    <t>Repin</t>
  </si>
  <si>
    <t>11024-67-2</t>
  </si>
  <si>
    <t>CC1(CO1)C(=O)OC2CC(=C)C3CC(C4(C3C5C2C(=C)C(=O)O5)CO4)O</t>
  </si>
  <si>
    <t>HQZJODBJOBTCPI-VHCPEVEQSA-N</t>
  </si>
  <si>
    <t>C19H22O7</t>
  </si>
  <si>
    <t>1.98_179.0704m/z</t>
  </si>
  <si>
    <t>Coniferaldehyde</t>
  </si>
  <si>
    <t>HMDB0141782</t>
  </si>
  <si>
    <t>C02666</t>
  </si>
  <si>
    <t>20649-42-7</t>
  </si>
  <si>
    <t>COC1=C(O)C=CC(\C=C\C=O)=C1</t>
  </si>
  <si>
    <t>DKZBBWMURDFHNE-NSCUHMNNSA-N</t>
  </si>
  <si>
    <t>C10H10O3</t>
  </si>
  <si>
    <t>4.06_444.1423n</t>
  </si>
  <si>
    <t>1,3-Diferuloylglycerol</t>
  </si>
  <si>
    <t>HMDB0303032</t>
  </si>
  <si>
    <t>COC1=CC(C=CC(=O)OCC(O)COC(=O)C=CC2=CC=C(O)C(OC)=C2)=CC=C1O</t>
  </si>
  <si>
    <t>PATJZXBBUQEFOY-UHFFFAOYSA-N</t>
  </si>
  <si>
    <t>0.61_237.0205m/z</t>
  </si>
  <si>
    <t>Menadione Bisulfite</t>
  </si>
  <si>
    <t>HMDB0254432</t>
  </si>
  <si>
    <t>CC1(CC(=O)C2=CC=CC=C2C1=O)S(O)(=O)=O</t>
  </si>
  <si>
    <t>WIXFIQKTHUVFDI-UHFFFAOYSA-N</t>
  </si>
  <si>
    <t>C11H10O5S</t>
  </si>
  <si>
    <t>4.95_300.1229m/z</t>
  </si>
  <si>
    <t>6,3'-Dimethoxyflavone</t>
  </si>
  <si>
    <t>LMPK12110103</t>
  </si>
  <si>
    <t>C1=CC2OC(C3C=C(OC)C=CC=3)=CC(=O)C=2C=C1OC</t>
  </si>
  <si>
    <t>LLLIKVGWTVPYAL-UHFFFAOYSA-N</t>
  </si>
  <si>
    <t>4.26_441.2049m/z</t>
  </si>
  <si>
    <t>Fluorometholone 17-Acetate</t>
  </si>
  <si>
    <t>C14629</t>
  </si>
  <si>
    <t>3801-06-7</t>
  </si>
  <si>
    <t>CC1CC2C3CCC(C3(CC(C2(C4(C1=CC(=O)C=C4)C)F)O)C)(C(=O)C)OC(=O)C</t>
  </si>
  <si>
    <t>YRFXGQHBPBMFHW-SBTZIJSASA-N</t>
  </si>
  <si>
    <t>C24H31FO5</t>
  </si>
  <si>
    <t>5.17_370.1004n</t>
  </si>
  <si>
    <t>[(2r,3r,4r,5s)-3,4-Diacetyloxy-5-(2,4-Dioxopyrimidin-1-Yl)Oxolan-2-Yl]Methyl Acetate</t>
  </si>
  <si>
    <t>HMDB0245549</t>
  </si>
  <si>
    <t>CC(=O)OCC1OC(C(OC(C)=O)C1OC(C)=O)N1C=CC(=O)NC1=O</t>
  </si>
  <si>
    <t>AUFUWRKPQLGTGF-UHFFFAOYSA-N</t>
  </si>
  <si>
    <t>C15H18N2O9</t>
  </si>
  <si>
    <t>5.34_289.0615m/z</t>
  </si>
  <si>
    <t>Tetraethyl Pyrophosphate</t>
  </si>
  <si>
    <t>HMDB0258824</t>
  </si>
  <si>
    <t>C19017</t>
  </si>
  <si>
    <t>107-49-3</t>
  </si>
  <si>
    <t>CCOP(=O)(OCC)OP(=O)(OCC)OCC</t>
  </si>
  <si>
    <t>IDCBOTIENDVCBQ-UHFFFAOYSA-N</t>
  </si>
  <si>
    <t>Organic oxoanionic compounds</t>
  </si>
  <si>
    <t>Organic pyrophosphates</t>
  </si>
  <si>
    <t>C8H20O7P2</t>
  </si>
  <si>
    <t>6.11_501.2089m/z</t>
  </si>
  <si>
    <t>Neryl Rhamnosyl-Glucoside</t>
  </si>
  <si>
    <t>HMDB0029349</t>
  </si>
  <si>
    <t>84534-31-6</t>
  </si>
  <si>
    <t>CC1OC(OCC2OC(OC\C=C(\C)CCC=C(C)C)C(O)C(O)C2O)C(O)C(O)C1O</t>
  </si>
  <si>
    <t>YZJBMONDZNACEV-WQLSENKSSA-N</t>
  </si>
  <si>
    <t>C22H38O10</t>
  </si>
  <si>
    <t>0.62_180.0444m/z</t>
  </si>
  <si>
    <t>1,8-Naphthalimide</t>
  </si>
  <si>
    <t>HMDB0244249</t>
  </si>
  <si>
    <t>OC1=NC(=O)C2=CC=CC3=C2C1=CC=C3</t>
  </si>
  <si>
    <t>XJHABGPPCLHLLV-UHFFFAOYSA-N</t>
  </si>
  <si>
    <t>C12H7NO2</t>
  </si>
  <si>
    <t>8.19_671.3599m/z</t>
  </si>
  <si>
    <t>Lyciumoside Iii</t>
  </si>
  <si>
    <t>HMDB0039553</t>
  </si>
  <si>
    <t>C\C(CC\C=C(/C)CCC(OC1OC(CO)C(O)C(O)C1O)C(C)(C)O)=C/CCC(C)(OC1OC(CO)C(O)C(O)C1O)C=C</t>
  </si>
  <si>
    <t>OZHKUJVWCFTHRG-IDXRHMDNSA-N</t>
  </si>
  <si>
    <t>C32H56O13</t>
  </si>
  <si>
    <t>13.43_311.2366m/z</t>
  </si>
  <si>
    <t>(Z,Z)-2-Methyl-5-(8,11,14-Pentadecatrienyl)-1,3-Benzenediol</t>
  </si>
  <si>
    <t>HMDB0038908</t>
  </si>
  <si>
    <t>50423-15-9</t>
  </si>
  <si>
    <t>CC1=C(O)C=C(CCCCCCC\C=C/C\C=C\CC=C)C=C1O</t>
  </si>
  <si>
    <t>UKMBKJYRCZVQFL-NKEWZBFXSA-N</t>
  </si>
  <si>
    <t>C22H32O2</t>
  </si>
  <si>
    <t>10.91_499.3755m/z</t>
  </si>
  <si>
    <t>Panaxatriol</t>
  </si>
  <si>
    <t>HMDB0038244</t>
  </si>
  <si>
    <t>CC12CCC(C1C(O)CC1C3(C)CCC(O)C(C)(C)C3C(O)CC21C)C1(C)CCCC(C)(C)O1</t>
  </si>
  <si>
    <t>QFJUYMMIBFBOJY-UHFFFAOYSA-N</t>
  </si>
  <si>
    <t>C30H52O4</t>
  </si>
  <si>
    <t>4.19_576.1721m/z</t>
  </si>
  <si>
    <t>Alkaloid Rc</t>
  </si>
  <si>
    <t>HMDB0029361</t>
  </si>
  <si>
    <t>17948-36-6</t>
  </si>
  <si>
    <t>CN1CCC2=CC3=C(OCO3)C=C2C2OC(OC3OC(CO)C(O)C(O)C3O)C3=C(C=CC4=C3OCO4)C12</t>
  </si>
  <si>
    <t>LOJGKLLTOGPATF-UHFFFAOYSA-N</t>
  </si>
  <si>
    <t>Rhoeadine alkaloids</t>
  </si>
  <si>
    <t>C26H29NO11</t>
  </si>
  <si>
    <t>4.51_404.1084n</t>
  </si>
  <si>
    <t>Ipragliflozin</t>
  </si>
  <si>
    <t>HMDB0253567</t>
  </si>
  <si>
    <t>OCC1OC(C(O)C(O)C1O)C1=CC(CC2=CC3=CC=CC=C3S2)=C(F)C=C1</t>
  </si>
  <si>
    <t>AHFWIQIYAXSLBA-UHFFFAOYSA-N</t>
  </si>
  <si>
    <t>C21H21FO5S</t>
  </si>
  <si>
    <t>11.07_319.2276m/z</t>
  </si>
  <si>
    <t>Alpha-Androstenol</t>
  </si>
  <si>
    <t>HMDB0005935</t>
  </si>
  <si>
    <t>LMST02020008</t>
  </si>
  <si>
    <t>1153-51-1</t>
  </si>
  <si>
    <t>C1[C@]2(C)[C@@]3([H])CC[C@]4(C)C=CC[C@@]4([H])[C@]3([H])CC[C@@]2([H])C[C@H](O)C1</t>
  </si>
  <si>
    <t>KRVXMNNRSSQZJP-PHFHYRSDSA-N</t>
  </si>
  <si>
    <t>C19H30O</t>
  </si>
  <si>
    <t>10.34_457.1988m/z</t>
  </si>
  <si>
    <t>Phyllanthin</t>
  </si>
  <si>
    <t>HMDB0256511</t>
  </si>
  <si>
    <t>COCC(CC1=CC=C(OC)C(OC)=C1)C(COC)CC1=CC=C(OC)C(OC)=C1</t>
  </si>
  <si>
    <t>KFLQGJQSLUYUBF-UHFFFAOYSA-N</t>
  </si>
  <si>
    <t>3.79_275.0758m/z</t>
  </si>
  <si>
    <t>3'-Deoxyinosine</t>
  </si>
  <si>
    <t>HMDB0246093</t>
  </si>
  <si>
    <t>OCC1CC(O)C(O1)N1C=NC2=C1N=CNC2=O</t>
  </si>
  <si>
    <t>RPZDLTVHZJHPAW-UHFFFAOYSA-N</t>
  </si>
  <si>
    <t>Purine 3'-deoxyribonucleosides</t>
  </si>
  <si>
    <t>C10H12N4O4</t>
  </si>
  <si>
    <t>5.82_577.3005m/z</t>
  </si>
  <si>
    <t>6,7-Dimethoxy-2-(Piperazin-1-Yl)Quinazolin-4-Amine</t>
  </si>
  <si>
    <t>HMDB0247128</t>
  </si>
  <si>
    <t>60547-97-9</t>
  </si>
  <si>
    <t>COC1=C(OC)C=C2C(=N)NC(=NC2=C1)N1CCNCC1</t>
  </si>
  <si>
    <t>APKHJGDGWQDBGM-UHFFFAOYSA-N</t>
  </si>
  <si>
    <t>C14H19N5O2</t>
  </si>
  <si>
    <t>10.60_379.2838m/z</t>
  </si>
  <si>
    <t>MG(0:0/20:4(8Z,11Z,14Z,17Z)/0:0)</t>
  </si>
  <si>
    <t>HMDB0011549</t>
  </si>
  <si>
    <t>[H]C(CO)(CO)OC(=O)CCCCCC\C=C/C\C=C/C\C=C/C\C=C/CC</t>
  </si>
  <si>
    <t>JCKNHZDBFKYTQU-LTKCOYKYSA-N</t>
  </si>
  <si>
    <t>Endocannabinoids</t>
  </si>
  <si>
    <t>5.87_460.3187n</t>
  </si>
  <si>
    <t>Ergosta-7,9(11),22e-Trien-3beta,5alpha,6beta,14alpha,25-Pentol</t>
  </si>
  <si>
    <t>LMST01031157</t>
  </si>
  <si>
    <t>C1[C@]2(C)C3=CC[C@]4(C)[C@@]([H])([C@]([H])(C)/C=C/[C@H](C)C(O)(C)C)CC[C@@]4(O)C3=C[C@@H](O)[C@@]2(O)C[C@@H](O)C1</t>
  </si>
  <si>
    <t>FJQJWURRCQWXRQ-GEPFKGMXSA-N</t>
  </si>
  <si>
    <t>4.04_293.0915m/z</t>
  </si>
  <si>
    <t>1,3-Bis(Tetrahydro-2-Furanyl)-5-Fluoro-2,4-Pyrimidinedione</t>
  </si>
  <si>
    <t>HMDB0252180</t>
  </si>
  <si>
    <t>FC1=CN(C2CCCO2)C(=O)N(C2CCCO2)C1=O</t>
  </si>
  <si>
    <t>FLMBDTNCANYTCP-UHFFFAOYSA-N</t>
  </si>
  <si>
    <t>C12H15FN2O4</t>
  </si>
  <si>
    <t>5.49_727.2803m/z</t>
  </si>
  <si>
    <t>Myricanol 5-Laminaribioside</t>
  </si>
  <si>
    <t>HMDB0036528</t>
  </si>
  <si>
    <t>137578-55-3</t>
  </si>
  <si>
    <t>COC1=C(OC2OC(CO)C(O)C(OC3OC(CO)C(O)C(O)C3O)C2O)C2=CC(=C1OC)C1=C(O)C=CC(CCC(O)CCCC2)=C1</t>
  </si>
  <si>
    <t>XMKXFSLOVIEGBT-UHFFFAOYSA-N</t>
  </si>
  <si>
    <t>C33H46O15</t>
  </si>
  <si>
    <t>3.40_182.0579n</t>
  </si>
  <si>
    <t>2',6'-Dihydroxy-4'-Methoxyacetophenone</t>
  </si>
  <si>
    <t>HMDB0029646</t>
  </si>
  <si>
    <t>C10680</t>
  </si>
  <si>
    <t>7507-89-3</t>
  </si>
  <si>
    <t>COC1=CC(O)=C(C(C)=O)C(O)=C1</t>
  </si>
  <si>
    <t>GKSGTWUNURZTKD-UHFFFAOYSA-N</t>
  </si>
  <si>
    <t>C9H10O4</t>
  </si>
  <si>
    <t>8.53_636.3524m/z</t>
  </si>
  <si>
    <t>Indinavir</t>
  </si>
  <si>
    <t>HMDB0014369</t>
  </si>
  <si>
    <t>C07051</t>
  </si>
  <si>
    <t>150378-17-9</t>
  </si>
  <si>
    <t>CC(C)(C)NC(=O)[C@@H]1CN(CC2=CN=CC=C2)CCN1C[C@@H](O)C[C@@H](CC1=CC=CC=C1)C(=O)N[C@@H]1[C@H](O)CC2=CC=CC=C12</t>
  </si>
  <si>
    <t>CBVCZFGXHXORBI-PXQQMZJSSA-N</t>
  </si>
  <si>
    <t>C36H47N5O4</t>
  </si>
  <si>
    <t>6.88_541.2938m/z</t>
  </si>
  <si>
    <t>PG(22:4(7Z,10Z,13Z,16Z)/0:0)</t>
  </si>
  <si>
    <t>LMGP04050017</t>
  </si>
  <si>
    <t>[H][C@](O)(CO)COP(OC[C@]([H])(O)COC(CCCCC/C=C\C/C=C\C/C=C\C/C=C\CCCCC)=O)(=O)O</t>
  </si>
  <si>
    <t>GTUVDMUYRYBFAU-INRKLGSDSA-N</t>
  </si>
  <si>
    <t>C28H49O9P</t>
  </si>
  <si>
    <t>4.54_430.1835n</t>
  </si>
  <si>
    <t>Cissoic Acid</t>
  </si>
  <si>
    <t>LMFA01170151</t>
  </si>
  <si>
    <t>C(/C=C/C(/C)=C/C=C/C[C@H](O[C@H]1[C@H](O)[C@@H](O)[C@H](O)[C@@H](CO)O1)[C@H](C)CC(=O)O)(=O)O</t>
  </si>
  <si>
    <t>ZTPPKAUYDONSLR-AYWFJNOKSA-N</t>
  </si>
  <si>
    <t>C20H30O10</t>
  </si>
  <si>
    <t>5.02_1133.6162m/z</t>
  </si>
  <si>
    <t>Nelfinavir</t>
  </si>
  <si>
    <t>HMDB0014365</t>
  </si>
  <si>
    <t>C07257</t>
  </si>
  <si>
    <t>159989-64-7</t>
  </si>
  <si>
    <t>[H][C@@]12CCCC[C@]1([H])CN(C[C@@H](O)[C@H](CSC1=CC=CC=C1)NC(=O)C1=C(C)C(O)=CC=C1)[C@@H](C2)C(=O)NC(C)(C)C</t>
  </si>
  <si>
    <t>QAGYKUNXZHXKMR-HKWSIXNMSA-N</t>
  </si>
  <si>
    <t>C32H45N3O4S</t>
  </si>
  <si>
    <t>5.01_735.4016m/z</t>
  </si>
  <si>
    <t>Agavoside B</t>
  </si>
  <si>
    <t>HMDB0034211</t>
  </si>
  <si>
    <t>56857-66-0</t>
  </si>
  <si>
    <t>CC1C2C(CC3C4CCC5CC(CCC5(C)C4CC(=O)C23C)OC2OC(CO)C(OC3OC(CO)C(O)C(O)C3O)C(O)C2O)OC11CCC(C)CO1</t>
  </si>
  <si>
    <t>YEKZYRCPUZIPAI-UHFFFAOYSA-N</t>
  </si>
  <si>
    <t>3.39_380.1553m/z</t>
  </si>
  <si>
    <t>Acarviosin</t>
  </si>
  <si>
    <t>HMDB0247888</t>
  </si>
  <si>
    <t>COC1OC(C)C(NC2C=C(CO)C(O)C(O)C2O)C(O)C1O</t>
  </si>
  <si>
    <t>KFHKERRGDZTZQJ-UHFFFAOYSA-N</t>
  </si>
  <si>
    <t>C14H25NO8</t>
  </si>
  <si>
    <t>5.52_685.2089m/z</t>
  </si>
  <si>
    <t>Niazinin</t>
  </si>
  <si>
    <t>HMDB0031942</t>
  </si>
  <si>
    <t>147821-57-6</t>
  </si>
  <si>
    <t>COC(=S)NCC1=CC=C(O[C@@H]2O[C@@H](C)[C@H](O)[C@@H](O)[C@H]2O)C=C1</t>
  </si>
  <si>
    <t>ZOIAMMQYAZSWRX-CNJBRALLSA-N</t>
  </si>
  <si>
    <t>C15H21NO6S</t>
  </si>
  <si>
    <t>0.88_178.9927m/z</t>
  </si>
  <si>
    <t>2-(Methylthio)Phenol</t>
  </si>
  <si>
    <t>HMDB0041281</t>
  </si>
  <si>
    <t>1073-29-6</t>
  </si>
  <si>
    <t>CSC1=CC=CC=C1O</t>
  </si>
  <si>
    <t>SOOARYARZPXNAL-UHFFFAOYSA-N</t>
  </si>
  <si>
    <t>C7H8OS</t>
  </si>
  <si>
    <t>5.51_615.2978m/z</t>
  </si>
  <si>
    <t>Uk-156819</t>
  </si>
  <si>
    <t>CC1=C(C2=CC=CC=C2N1CCCCC(=O)O)C3=CN=CC=C3</t>
  </si>
  <si>
    <t>MYDPDVXVDQMNLD-UHFFFAOYSA-N</t>
  </si>
  <si>
    <t>C19H20N2O2</t>
  </si>
  <si>
    <t>5.76_344.2215m/z</t>
  </si>
  <si>
    <t>Acitretin</t>
  </si>
  <si>
    <t>HMDB0014602</t>
  </si>
  <si>
    <t>D02754</t>
  </si>
  <si>
    <t>55079-83-9</t>
  </si>
  <si>
    <t>COC1=C(C)C(C)=C(\C=C\C(\C)=C\C=C\C(\C)=C\C(O)=O)C(C)=C1</t>
  </si>
  <si>
    <t>IHUNBGSDBOWDMA-AQFIFDHZSA-N</t>
  </si>
  <si>
    <t>C21H26O3</t>
  </si>
  <si>
    <t>9.80_344.3158m/z</t>
  </si>
  <si>
    <t>Lesquerolic Acid</t>
  </si>
  <si>
    <t>LMFA01050117</t>
  </si>
  <si>
    <t>C(/C=C\CC(O)CCCCCC)CCCCCCCCC(=O)O</t>
  </si>
  <si>
    <t>OONXYOAWMIVMCI-KAMYIIQDSA-N</t>
  </si>
  <si>
    <t>4.28_521.2720m/z</t>
  </si>
  <si>
    <t>Preladenant</t>
  </si>
  <si>
    <t>HMDB0256760</t>
  </si>
  <si>
    <t>COCCOC1=CC=C(C=C1)N1CCN(CCN2N=CC3=C2N=C(N)N2N=C(N=C32)C2=CC=CO2)CC1</t>
  </si>
  <si>
    <t>DTYWJKSSUANMHD-UHFFFAOYSA-N</t>
  </si>
  <si>
    <t>C25H29N9O3</t>
  </si>
  <si>
    <t>1.15_709.1593m/z</t>
  </si>
  <si>
    <t>Apigenin 7-(6''-Malonylneohesperidoside)</t>
  </si>
  <si>
    <t>LMPK12110386</t>
  </si>
  <si>
    <t>C(OC[C@@H]1[C@@H](O)[C@H](O)[C@@H](O[C@H]2[C@H](O)[C@H](O)[C@@H](O)[C@H](C)O2)[C@H](OC2=CC3OC(C4C=CC(O)=CC=4)=CC(=O)C=3C(O)=C2)O1)(=O)CC(O)=O</t>
  </si>
  <si>
    <t>FZDRRQITRWLLCV-XUVHGVEMSA-N</t>
  </si>
  <si>
    <t>C30H32O17</t>
  </si>
  <si>
    <t>5.17_723.1480m/z</t>
  </si>
  <si>
    <t>Tephcalostan</t>
  </si>
  <si>
    <t>LMPK12090001</t>
  </si>
  <si>
    <t>C12OC(C(=C)C)CC=1C=C1C3OC4C=C5OCOC5=CC=4C=3C(=O)OC1=C2</t>
  </si>
  <si>
    <t>KKHJPBHZHXWSPP-UHFFFAOYSA-N</t>
  </si>
  <si>
    <t>Coumestans</t>
  </si>
  <si>
    <t>C21H14O6</t>
  </si>
  <si>
    <t>14.66_568.4566m/z</t>
  </si>
  <si>
    <t>DG(10:0/20:3(6,8,11)-OH(5)/0:0)</t>
  </si>
  <si>
    <t>HMDB0294601</t>
  </si>
  <si>
    <t>CCCCCCCCCC(=O)OC[C@H](CO)OC(=O)CCCC(O)\C=C\C=C\C\C=C\CCCCCCCC</t>
  </si>
  <si>
    <t>DIJPHLLUKBAVMO-TYQGFVIRSA-N</t>
  </si>
  <si>
    <t>C33H58O6</t>
  </si>
  <si>
    <t>4.70_296.1513m/z</t>
  </si>
  <si>
    <t>Adibendan</t>
  </si>
  <si>
    <t>HMDB0248011</t>
  </si>
  <si>
    <t>CC1(C)C(=O)NC2=CC3=C(NC(=N3)C3=CC=NC=C3)C=C12</t>
  </si>
  <si>
    <t>TVLQBBHUNDMTEC-UHFFFAOYSA-N</t>
  </si>
  <si>
    <t>C16H14N4O</t>
  </si>
  <si>
    <t>11.97_851.4538m/z</t>
  </si>
  <si>
    <t>Saikosaponin B3</t>
  </si>
  <si>
    <t>HMDB0257450</t>
  </si>
  <si>
    <t>COC1C=C2C3CC(C)(C)CCC3(CO)C(O)CC2(C)C2(C)CCC3C(C)(CO)C(CCC3(C)C12)OC1OC(C)C(O)C(OC2OC(CO)C(O)C(O)C2O)C1O</t>
  </si>
  <si>
    <t>GLQYFMRUYWFXGT-UHFFFAOYSA-N</t>
  </si>
  <si>
    <t>C43H72O14</t>
  </si>
  <si>
    <t>5.65_731.3139m/z</t>
  </si>
  <si>
    <t>1-[(1r,2r,3s,4s)-3-Hydroxy-4,7,7-Trimethyl-2-Bicyclo[2.2.1]Heptanyl]-3-(4-Methylphenyl)Sulfonylurea</t>
  </si>
  <si>
    <t>HMDB0245721</t>
  </si>
  <si>
    <t>CC1=CC=C(C=C1)S(=O)(=O)NC(O)=NC1C(O)C2(C)CCC1C2(C)C</t>
  </si>
  <si>
    <t>RMTYNAPTNBJHQI-UHFFFAOYSA-N</t>
  </si>
  <si>
    <t>C18H26N2O4S</t>
  </si>
  <si>
    <t>7.07_259.1477m/z</t>
  </si>
  <si>
    <t>2-(4-Methyl-5-Thiazolyl)Ethyl Hexanoate</t>
  </si>
  <si>
    <t>HMDB0032421</t>
  </si>
  <si>
    <t>94159-32-7</t>
  </si>
  <si>
    <t>CCCCCC(=O)OCCC1=C(C)N=CS1</t>
  </si>
  <si>
    <t>VJULDCZELAIZHC-UHFFFAOYSA-N</t>
  </si>
  <si>
    <t>Thiazoles</t>
  </si>
  <si>
    <t>C12H19NO2S</t>
  </si>
  <si>
    <t>5.77_441.2461m/z</t>
  </si>
  <si>
    <t>Astemizole</t>
  </si>
  <si>
    <t>HMDB0014775</t>
  </si>
  <si>
    <t>C06832</t>
  </si>
  <si>
    <t>68844-77-9</t>
  </si>
  <si>
    <t>COC1=CC=C(CCN2CCC(CC2)NC2=NC3=CC=CC=C3N2CC2=CC=C(F)C=C2)C=C1</t>
  </si>
  <si>
    <t>GXDALQBWZGODGZ-UHFFFAOYSA-N</t>
  </si>
  <si>
    <t>C28H31FN4O</t>
  </si>
  <si>
    <t>4.36_967.3235m/z</t>
  </si>
  <si>
    <t>4-Nitrophenyl Maltopentaoside</t>
  </si>
  <si>
    <t>HMDB0246543</t>
  </si>
  <si>
    <t>OCC1OC(OC2C(O)C(O)C(OC3C(O)C(O)C(OC4C(O)C(O)C(OC5C(O)C(O)C(OC6=CC=C(C=C6)[N+]([O-])=O)OC5CO)OC4CO)OC3CO)OC2CO)C(O)C(O)C1O</t>
  </si>
  <si>
    <t>YXGBAQKCCMQLGH-UHFFFAOYSA-N</t>
  </si>
  <si>
    <t>C36H55NO28</t>
  </si>
  <si>
    <t>3.77_507.2045m/z</t>
  </si>
  <si>
    <t>Gentamicin A Sulfate</t>
  </si>
  <si>
    <t>HMDB0252686</t>
  </si>
  <si>
    <t>CNC1C(O)COC(OC2C(N)CC(N)C(OC3OC(CO)C(O)C(O)C3N)C2O)C1O</t>
  </si>
  <si>
    <t>LKKVGKXCMYHKSL-UHFFFAOYSA-N</t>
  </si>
  <si>
    <t>C18H36N4O10</t>
  </si>
  <si>
    <t>9.05_672.2798m/z</t>
  </si>
  <si>
    <t>Mezerein</t>
  </si>
  <si>
    <t>HMDB0254694</t>
  </si>
  <si>
    <t>CC1C(OC(=O)C=CC=CC2=CC=CC=C2)C2(OC3(OC2C2C4OC4(CO)C(O)C4(O)C(C=C(C)C4=O)C12O3)C1=CC=CC=C1)C(C)=C</t>
  </si>
  <si>
    <t>DLEDLHFNQDHEOJ-UHFFFAOYSA-N</t>
  </si>
  <si>
    <t>C38H38O10</t>
  </si>
  <si>
    <t>11.44_1081.5230m/z</t>
  </si>
  <si>
    <t>Aziii</t>
  </si>
  <si>
    <t>HMDB0034544</t>
  </si>
  <si>
    <t>244776-46-3</t>
  </si>
  <si>
    <t>CC1OC(OC2C(O)C(O)C(OC2OC2C(O)C(O)C(OC2OC2CCC3(C)C(CCC4(C)C3CC=C3C5CC(C)(C)CC(OC6CC(=O)C(O)=C(C)O6)C5(C)CCC43C)C2(C)CO)C(O)=O)C(O)=O)C(O)C(O)C1O</t>
  </si>
  <si>
    <t>MISLOXVLNGPFID-UHFFFAOYSA-N</t>
  </si>
  <si>
    <t>C54H82O22</t>
  </si>
  <si>
    <t>1.28_624.9390m/z</t>
  </si>
  <si>
    <t>Perfluoro-15-Crown-5</t>
  </si>
  <si>
    <t>HMDB0256312</t>
  </si>
  <si>
    <t>FC1(F)OC(F)(F)C(F)(F)OC(F)(F)C(F)(F)OC(F)(F)C(F)(F)OC(F)(F)C(F)(F)OC1(F)F</t>
  </si>
  <si>
    <t>CAKZCCWLOCDNJK-UHFFFAOYSA-N</t>
  </si>
  <si>
    <t>C10F20O5</t>
  </si>
  <si>
    <t>8.36_291.1212m/z</t>
  </si>
  <si>
    <t>Descyclopropyl Abacavir</t>
  </si>
  <si>
    <t>HMDB0251034</t>
  </si>
  <si>
    <t>NC1=NC2=C(N=CN2C2CC(CO)C=C2)C(N)=N1</t>
  </si>
  <si>
    <t>ZKJUXHDSLJYKED-UHFFFAOYSA-N</t>
  </si>
  <si>
    <t>C11H14N6O</t>
  </si>
  <si>
    <t>9.90_181.1222m/z</t>
  </si>
  <si>
    <t>Dihydroactinidiolide</t>
  </si>
  <si>
    <t>HMDB0035240</t>
  </si>
  <si>
    <t>15356-74-8</t>
  </si>
  <si>
    <t>CC12CCCC(C)(C)C1=CC(=O)O2</t>
  </si>
  <si>
    <t>IMKHDCBNRDRUEB-UHFFFAOYSA-N</t>
  </si>
  <si>
    <t>Benzofurans</t>
  </si>
  <si>
    <t>C11H16O2</t>
  </si>
  <si>
    <t>8.58_845.2201m/z</t>
  </si>
  <si>
    <t>Malvidin 3,7-Di-(6-Malonylglucoside)</t>
  </si>
  <si>
    <t>LMPK12010406</t>
  </si>
  <si>
    <t>C1(O[C@H]2[C@H](O)[C@@H](O)[C@H](O)[C@@H](COC(=O)CC(O)=O)O2)=CC2[O+]=C(C3C=C(OC)C(O)=C(OC)C=3)C(O[C@H]3[C@H](O)[C@@H](O)[C@H](O)[C@@H](COC(=O)CC(O)=O)O3)=CC=2C(O)=C1</t>
  </si>
  <si>
    <t>MGXVJWFWNDVDSQ-CBPISELESA-O</t>
  </si>
  <si>
    <t>C35H39O23+</t>
  </si>
  <si>
    <t>3.62_535.2012m/z</t>
  </si>
  <si>
    <t>2-P-Tolyl-5,6,7,8-Tetrahydrobenzo[D]Imidazo[2,1-B]Thiazole</t>
  </si>
  <si>
    <t>C11571</t>
  </si>
  <si>
    <t>CC1=CC=C(C=C1)C2=CN3C4=C(CCCC4)SC3=N2</t>
  </si>
  <si>
    <t>IMUKUMUNZJILCG-UHFFFAOYSA-N</t>
  </si>
  <si>
    <t>C16H16N2S</t>
  </si>
  <si>
    <t>0.75_158.0578n</t>
  </si>
  <si>
    <t>Hept-2-Enedioic Acid</t>
  </si>
  <si>
    <t>LMFA01031011</t>
  </si>
  <si>
    <t>C(=C([H])CCCC(O)=O)C(O)=O</t>
  </si>
  <si>
    <t>OXQWBLJQOBXJPM-UHFFFAOYSA-N</t>
  </si>
  <si>
    <t>C7H10O4</t>
  </si>
  <si>
    <t>4.63_363.1663m/z</t>
  </si>
  <si>
    <t>Benzyl Alcohol, 4-(2,4-Diamino-5-Pyrimidinylmethyl)-2,6-Dimethoxy-Alpha,Alpha-Dimethyl-</t>
  </si>
  <si>
    <t>HMDB0249395</t>
  </si>
  <si>
    <t>COC1=CC(CC2=CN=C(N)N=C2N)=CC(OC)=C1C(C)(C)O</t>
  </si>
  <si>
    <t>ZEHBWBDRLQCJBQ-UHFFFAOYSA-N</t>
  </si>
  <si>
    <t>C16H22N4O3</t>
  </si>
  <si>
    <t>11.83_335.1513m/z</t>
  </si>
  <si>
    <t>Hydrocinchonine</t>
  </si>
  <si>
    <t>HMDB0030283</t>
  </si>
  <si>
    <t>485-65-4</t>
  </si>
  <si>
    <t>CCC1CN2CCC1CC2C(O)C1=CC=NC2=CC=CC=C12</t>
  </si>
  <si>
    <t>WFJNHVWTKZUUTR-UHFFFAOYSA-N</t>
  </si>
  <si>
    <t>Cinchona alkaloids</t>
  </si>
  <si>
    <t>C19H24N2O</t>
  </si>
  <si>
    <t>11.04_515.3727m/z</t>
  </si>
  <si>
    <t>N,N'-Bis(1-Hexylnipecotoyl)Piperazine</t>
  </si>
  <si>
    <t>HMDB0249358</t>
  </si>
  <si>
    <t>CCCCCCN1CCCC(C1)C(=O)N1CCN(CC1)C(=O)C1CCCN(CCCCCC)C1</t>
  </si>
  <si>
    <t>PENPGXZRBZXSOX-UHFFFAOYSA-N</t>
  </si>
  <si>
    <t>C28H52N4O2</t>
  </si>
  <si>
    <t>0.78_215.1390m/z</t>
  </si>
  <si>
    <t>Ethylnorepinephrine</t>
  </si>
  <si>
    <t>3198-07-0</t>
  </si>
  <si>
    <t>CCC(C(C1=CC(=C(C=C1)O)O)O)N</t>
  </si>
  <si>
    <t>LENNRXOJHWNHSD-UHFFFAOYSA-N</t>
  </si>
  <si>
    <t>9.50_1108.5620m/z</t>
  </si>
  <si>
    <t>CDP-DG(22:3(10Z,13Z,16Z)/20:4(6E,8Z,11Z,14Z)+=O(5))</t>
  </si>
  <si>
    <t>HMDB0292369</t>
  </si>
  <si>
    <t>[H][C@@](COC(=O)CCCCCCCC\C=C/C\C=C/C\C=C/CCCCCC)(COP(O)(=O)OP(O)(=O)OC[C@H]1O[C@H]([C@H](O)[C@@H]1O)N1C=CC(N)=NC1=O)OC(=O)CCCC(=O)\C=C\C=C/C\C=C/C\C=C/CCCCC</t>
  </si>
  <si>
    <t>UTGKRIAZEFLGPV-IDFKESNZSA-N</t>
  </si>
  <si>
    <t>C55H87N3O16P2</t>
  </si>
  <si>
    <t>3.53_417.2020m/z</t>
  </si>
  <si>
    <t>Colchicine</t>
  </si>
  <si>
    <t>HMDB0015466</t>
  </si>
  <si>
    <t>C07592</t>
  </si>
  <si>
    <t>64-86-8</t>
  </si>
  <si>
    <t>COC1=CC2=C(C(OC)=C1OC)C1=CC=C(OC)C(=O)C=C1C(CC2)NC(C)=O</t>
  </si>
  <si>
    <t>IAKHMKGGTNLKSZ-UHFFFAOYSA-N</t>
  </si>
  <si>
    <t>C22H25NO6</t>
  </si>
  <si>
    <t>4.84_681.2408m/z</t>
  </si>
  <si>
    <t>PC(2:0/2:0)</t>
  </si>
  <si>
    <t>LMGP01010992</t>
  </si>
  <si>
    <t>[C@](COP(=O)([O-])OCC[N+](C)(C)C)([H])(OC(C)=O)COC(C)=O</t>
  </si>
  <si>
    <t>GAZIIOYXDWTTMC-GFCCVEGCSA-N</t>
  </si>
  <si>
    <t>C12H24NO8P</t>
  </si>
  <si>
    <t>12.54_461.3624m/z</t>
  </si>
  <si>
    <t>13'-Carboxy-Alpha-Tocopherol</t>
  </si>
  <si>
    <t>HMDB0012555</t>
  </si>
  <si>
    <t>C[C@H](CCC[C@H](C)CCC[C@@]1(C)CCC2=C(O1)C(C)=C(C)C(O)=C2C)CCCC(C)C(O)=O</t>
  </si>
  <si>
    <t>NJIUWSABAIXPGI-AXTKCOKSSA-N</t>
  </si>
  <si>
    <t>4.92_492.1509m/z</t>
  </si>
  <si>
    <t>Normorphine 3-Glucuronide</t>
  </si>
  <si>
    <t>HMDB0255747</t>
  </si>
  <si>
    <t>OC1C=CC2C3CC4=C5C(OC1C25CCN3)=C(OC1OC(C(O)C(O)C1O)C(O)=O)C=C4</t>
  </si>
  <si>
    <t>AZRPPLMNKUSBGC-UHFFFAOYSA-N</t>
  </si>
  <si>
    <t>C22H25NO9</t>
  </si>
  <si>
    <t>5.43_469.2439m/z</t>
  </si>
  <si>
    <t>Pravastatin</t>
  </si>
  <si>
    <t>HMDB0005022</t>
  </si>
  <si>
    <t>LMFA05000695</t>
  </si>
  <si>
    <t>C01844</t>
  </si>
  <si>
    <t>81093-37-0</t>
  </si>
  <si>
    <t>[C@]12([H])C(C=C[C@H](C)[C@@H]1CC[C@@H](O)C[C@@H](O)CC(=O)O)=C[C@@H](O)C[C@@H]2OC([C@@H](C)CC)=O</t>
  </si>
  <si>
    <t>TUZYXOIXSAXUGO-PZAWKZKUSA-N</t>
  </si>
  <si>
    <t>C23H36O7</t>
  </si>
  <si>
    <t>12.18_833.4299m/z</t>
  </si>
  <si>
    <t>Hovenidulcioside A1</t>
  </si>
  <si>
    <t>HMDB0041028</t>
  </si>
  <si>
    <t>171499-79-9</t>
  </si>
  <si>
    <t>CC(C(CC1OC(=O)C(C)=C1)OC(C)=O)C1CCC2C3(C)CCC(OC4OC(CO)C(O)C(O)C4OC4OC(C)C(O)C(O)C4O)C(C)(C)C3CCC2(C)C11COC(=O)C1</t>
  </si>
  <si>
    <t>ODNHLYCLMUNJRG-UHFFFAOYSA-N</t>
  </si>
  <si>
    <t>C44H68O16</t>
  </si>
  <si>
    <t>10.58_1011.4912m/z</t>
  </si>
  <si>
    <t>As-PL(17:0/16:0)</t>
  </si>
  <si>
    <t>LMGP14010008</t>
  </si>
  <si>
    <t>[C@](COP(=O)(O)OCC(O)CO[C@H]1[C@H](O)[C@H](O)[C@@H](C[As](C)(=O)C)O1)([H])(OC(CCCCCCCCCCCCCCC)=O)COC(CCCCCCCCCCCCCCCC)=O</t>
  </si>
  <si>
    <t>MIYRVEOURUEZSI-WMEUEQAASA-N</t>
  </si>
  <si>
    <t>C46H90AsO14P</t>
  </si>
  <si>
    <t>0.72_274.1393m/z</t>
  </si>
  <si>
    <t>Edoxudine</t>
  </si>
  <si>
    <t>15176-29-1</t>
  </si>
  <si>
    <t>CCC1=CN(C(=O)NC1=O)C2CC(C(O2)CO)O</t>
  </si>
  <si>
    <t>XACKNLSZYYIACO-DJLDLDEBSA-N</t>
  </si>
  <si>
    <t>C11H16N2O5</t>
  </si>
  <si>
    <t>3.81_878.1935m/z</t>
  </si>
  <si>
    <t>2-Methylhexanoyl-Coa</t>
  </si>
  <si>
    <t>HMDB0011660</t>
  </si>
  <si>
    <t>CCCCC(C)C(=O)SCCNC(=O)CCNC(=O)C(O)C(C)(C)COP(O)(=O)OP(O)(=O)OC[C@H]1O[C@H]([C@H](O)[C@@H]1OP(O)(O)=O)N1C=NC2=C1N=CN=C2N</t>
  </si>
  <si>
    <t>QZBBWKARTWOCMU-BEMBNQBDSA-N</t>
  </si>
  <si>
    <t>C28H48N7O17P3S</t>
  </si>
  <si>
    <t>7.77_315.1950m/z</t>
  </si>
  <si>
    <t>Xeniolit A</t>
  </si>
  <si>
    <t>LMPR0104420002</t>
  </si>
  <si>
    <t>[C@@]12([H])/C(=C\C=C\C(O)(C)C)/C(=O)OC[C@@]1([H])C(=C)C[C@@H](O)C=C(C)CC2</t>
  </si>
  <si>
    <t>ZHNTWXWAMWPYNI-ISMBWBSXSA-N</t>
  </si>
  <si>
    <t>9.42_917.4744m/z</t>
  </si>
  <si>
    <t>Sarsasapogenin 3-[4''-Glucosyl-6''-Arabinosylglucoside]</t>
  </si>
  <si>
    <t>HMDB0030233</t>
  </si>
  <si>
    <t>181492-99-9</t>
  </si>
  <si>
    <t>CC1C2C(CC3C4CCC5CC(CCC5(C)C4CCC23C)OC2OC(COC3OCC(O)C(O)C3O)C(OC3OC(CO)C(O)C(O)C3O)C(O)C2O)OC11CCC(C)CO1</t>
  </si>
  <si>
    <t>ZUIQPSIQYROGAZ-UHFFFAOYSA-N</t>
  </si>
  <si>
    <t>C44H72O17</t>
  </si>
  <si>
    <t>4.15_431.1552m/z</t>
  </si>
  <si>
    <t>Benzyl Gentiobioside</t>
  </si>
  <si>
    <t>HMDB0041515</t>
  </si>
  <si>
    <t>56775-64-5</t>
  </si>
  <si>
    <t>OCC1OC(OCC2OC(OCC3=CC=CC=C3)C(O)C(O)C2O)C(O)C(O)C1O</t>
  </si>
  <si>
    <t>LLEMMFPELBNINR-UHFFFAOYSA-N</t>
  </si>
  <si>
    <t>9.91_375.1787m/z</t>
  </si>
  <si>
    <t>Diflucortolone</t>
  </si>
  <si>
    <t>HMDB0251260</t>
  </si>
  <si>
    <t>CC1CC2C3CC(F)C4=CC(=O)C=CC4(C)C3(F)C(O)CC2(C)C1C(=O)CO</t>
  </si>
  <si>
    <t>OGPWIDANBSLJPC-UHFFFAOYSA-N</t>
  </si>
  <si>
    <t>C22H28F2O4</t>
  </si>
  <si>
    <t>14.28_863.4249m/z</t>
  </si>
  <si>
    <t>Russelioside B</t>
  </si>
  <si>
    <t>HMDB0257365</t>
  </si>
  <si>
    <t>COC1C(O)C(OC2CCC3(C)C4CCC5(C)C(CCC5(O)C4CC=C3C2)C(C)OC2OC(CO)C(O)C(O)C2O)OC(C)C1OC1OC(CO)C(O)C(O)C1O</t>
  </si>
  <si>
    <t>ZIRUZIJLGKNREM-UHFFFAOYSA-N</t>
  </si>
  <si>
    <t>C40H66O17</t>
  </si>
  <si>
    <t>3.98_596.1539m/z</t>
  </si>
  <si>
    <t>Hyacinthin</t>
  </si>
  <si>
    <t>HMDB0037982</t>
  </si>
  <si>
    <t>56767-17-0</t>
  </si>
  <si>
    <t>OC1C(C\[O+]=C(/O)\C=C\C2=CC=C(O)C=C2)OC(OC2=C(OC3=CC(O)=CC(=O)C3=C2)C2=CC(O)=C(O)C=C2)C(O)C1O</t>
  </si>
  <si>
    <t>QAOBEOXFSUJDJL-FPYGCLRLSA-O</t>
  </si>
  <si>
    <t>C30H27O13+</t>
  </si>
  <si>
    <t>8.45_690.3241m/z</t>
  </si>
  <si>
    <t>Naloxegol</t>
  </si>
  <si>
    <t>HMDB0255436</t>
  </si>
  <si>
    <t>COCCOCCOCCOCCOCCOCCOCCOC1CCC2(O)C3CC4=C5C(OC1C25CCN3CC=C)=C(O)C=C4</t>
  </si>
  <si>
    <t>XNKCCCKFOQNXKV-UHFFFAOYSA-N</t>
  </si>
  <si>
    <t>C34H53NO11</t>
  </si>
  <si>
    <t>9.29_971.5831m/z</t>
  </si>
  <si>
    <t>PI(20:0/20:3(8Z,11Z,14Z)-2OH(5,6))</t>
  </si>
  <si>
    <t>HMDB0277005</t>
  </si>
  <si>
    <t>[H][C@@](COC(=O)CCCCCCCCCCCCCCCCCCC)(COP(O)(=O)O[C@H]1[C@H](O)[C@@H](O)[C@H](O)[C@@H](O)[C@H]1O)OC(=O)CCCC(O)C(O)C\C=C/C\C=C/C\C=C/CCCCC</t>
  </si>
  <si>
    <t>KZAFMSRNMNIBAN-XDTATKDZSA-N</t>
  </si>
  <si>
    <t>C49H89O15P</t>
  </si>
  <si>
    <t>7.30_443.2615m/z</t>
  </si>
  <si>
    <t>Fluocortolone Pivalate</t>
  </si>
  <si>
    <t>HMDB0252353</t>
  </si>
  <si>
    <t>CC1CC2C3CC(F)C4=CC(=O)C=CC4(C)C3C(O)CC2(C)C1C(=O)COC(=O)C(C)(C)C</t>
  </si>
  <si>
    <t>XZBJVIQXJHGUBE-UHFFFAOYSA-N</t>
  </si>
  <si>
    <t>C27H37FO5</t>
  </si>
  <si>
    <t>9.09_1116.5525m/z</t>
  </si>
  <si>
    <t>CDP-DG(20:1(11Z)/20:3(5Z,8Z,11Z)-O(14R,15S))</t>
  </si>
  <si>
    <t>HMDB0291695</t>
  </si>
  <si>
    <t>[H][C@@](COC(=O)CCCCCCCCC\C=C/CCCCCCCC)(COP(O)(=O)OP(O)(=O)OC[C@H]1O[C@H]([C@H](O)[C@@H]1O)N1C=CC(N)=NC1=O)OC(=O)CCC\C=C/C\C=C/C\C=C/CC1OC1CCCCC</t>
  </si>
  <si>
    <t>QAYFPCFBJNXCGW-QBTKNPFDSA-N</t>
  </si>
  <si>
    <t>C52H87N3O16P2</t>
  </si>
  <si>
    <t>4.10_439.1733m/z</t>
  </si>
  <si>
    <t>Fluprostenol</t>
  </si>
  <si>
    <t>HMDB0252405</t>
  </si>
  <si>
    <t>OC(COC1=CC=CC(=C1)C(F)(F)F)C=CC1C(O)CC(O)C1CC=CCCCC(O)=O</t>
  </si>
  <si>
    <t>WWSWYXNVCBLWNZ-UHFFFAOYSA-N</t>
  </si>
  <si>
    <t>C23H29F3O6</t>
  </si>
  <si>
    <t>4.08_446.1422n</t>
  </si>
  <si>
    <t>Monotropeoside</t>
  </si>
  <si>
    <t>HMDB0303042</t>
  </si>
  <si>
    <t>[H][C@@]1(O)CO[C@@]([H])(OC[C@@]2([H])O[C@@]([H])(OC3=CC=CC=C3C(=O)OC)[C@]([H])(O)[C@@]([H])(O)[C@]2([H])O)[C@]([H])(O)[C@@]1([H])O</t>
  </si>
  <si>
    <t>VHUNCYDAXJGCLO-AHMNSWSSSA-N</t>
  </si>
  <si>
    <t>C19H26O12</t>
  </si>
  <si>
    <t>5.10_271.0962m/z</t>
  </si>
  <si>
    <t>2-(1,2,3,4-Tetrahydroxybutyl)Thiazolidine-4-Carboxylic Acid</t>
  </si>
  <si>
    <t>HMDB0244783</t>
  </si>
  <si>
    <t>OCC(O)C(O)C(O)C1NC(CS1)C(O)=O</t>
  </si>
  <si>
    <t>AGZXTDUDXXPCMJ-UHFFFAOYSA-N</t>
  </si>
  <si>
    <t>C8H15NO6S</t>
  </si>
  <si>
    <t>7.81_565.3371m/z</t>
  </si>
  <si>
    <t>Colocynthenin E</t>
  </si>
  <si>
    <t>LMST01010452</t>
  </si>
  <si>
    <t>[C@@]12(C)C(=O)C[C@]3(C)[C@]([H])([C@H](O)C[C@@]3(C)[C@]1([H])CC=C(C(C)(C)O)[C@@]2([H])CC(O)=O)[C@](O)(C)C(=O)CCC(OC(C)=O)(C)C</t>
  </si>
  <si>
    <t>DOKSZSLDXMZOOW-SKCDPEBHSA-N</t>
  </si>
  <si>
    <t>C31H48O9</t>
  </si>
  <si>
    <t>1.94_477.0620m/z</t>
  </si>
  <si>
    <t>Edta Citrate</t>
  </si>
  <si>
    <t>HMDB0251706</t>
  </si>
  <si>
    <t>OC(=O)CN1CCN2CC(=O)OOC(=O)CC(O)(CC(=O)OOC(=O)C1)C(=O)OOC(=O)C2</t>
  </si>
  <si>
    <t>YJBKIVNOGNRKDV-UHFFFAOYSA-N</t>
  </si>
  <si>
    <t>C16H18N2O15</t>
  </si>
  <si>
    <t>4.51_333.1547m/z</t>
  </si>
  <si>
    <t>2-Amino-2,3,6,7-Tetrahydro-1h-Pteridin-4-One</t>
  </si>
  <si>
    <t>HMDB0255369</t>
  </si>
  <si>
    <t>NC1NC(=O)C2=NCCN=C2N1</t>
  </si>
  <si>
    <t>FMXISFBIIIIIAA-UHFFFAOYSA-N</t>
  </si>
  <si>
    <t>C6H9N5O</t>
  </si>
  <si>
    <t>3.93_370.0894n</t>
  </si>
  <si>
    <t>Fraxin</t>
  </si>
  <si>
    <t>HMDB0252486</t>
  </si>
  <si>
    <t>COC1=CC2=C(OC(=O)C=C2)C(OC2OC(CO)C(O)C(O)C2O)=C1O</t>
  </si>
  <si>
    <t>CRSFLLTWRCYNNX-UHFFFAOYSA-N</t>
  </si>
  <si>
    <t>C16H18O10</t>
  </si>
  <si>
    <t>5.21_603.1691m/z</t>
  </si>
  <si>
    <t>Dioonflavone</t>
  </si>
  <si>
    <t>3778-26-5</t>
  </si>
  <si>
    <t>COC1=CC=C(C=C1)C2=CC(=O)C3=C(O2)C(=C(C=C3OC)OC)C4=C(C=CC(=C4)C5=CC(=O)C6=C(O5)C=C(C=C6OC)OC)OC</t>
  </si>
  <si>
    <t>MZDGQNFFUITEAB-UHFFFAOYSA-N</t>
  </si>
  <si>
    <t>C36H30O10</t>
  </si>
  <si>
    <t>10.79_530.2704m/z</t>
  </si>
  <si>
    <t>Deltaline</t>
  </si>
  <si>
    <t>C08679</t>
  </si>
  <si>
    <t>3836-11-9</t>
  </si>
  <si>
    <t>CCN1CC2(CCC(C34C2C(C5(C31)C6(CC(C7CC4(C6C7OC)O)OC)OCO5)OC(=O)C)OC)C</t>
  </si>
  <si>
    <t>DTTPWCNKTMQMTE-DZZCPBQSSA-N</t>
  </si>
  <si>
    <t>C27H41NO8</t>
  </si>
  <si>
    <t>6.75_622.2860m/z</t>
  </si>
  <si>
    <t>6-Hydroxysandoricin</t>
  </si>
  <si>
    <t>HMDB0037556</t>
  </si>
  <si>
    <t>C01536</t>
  </si>
  <si>
    <t>133585-56-5</t>
  </si>
  <si>
    <t>COC(=O)C(O)C1C(C)(C)C(CC2OC34C(O)C(=O)OC(C5=COC=C5)C3(C)C(CC(C4=C)C12C)OC(C)=O)OC(C)=O</t>
  </si>
  <si>
    <t>NKHYHRMLCJNKHW-UHFFFAOYSA-N</t>
  </si>
  <si>
    <t>C31H40O12</t>
  </si>
  <si>
    <t>12.16_501.3548m/z</t>
  </si>
  <si>
    <t>Certonardosterol I</t>
  </si>
  <si>
    <t>LMST01031205</t>
  </si>
  <si>
    <t>C1[C@]2(C)[C@@]3([H])CC[C@]4(C)[C@@]([H])([C@]([H])(C)/C=C(\C)/[C@H](C)[C@@H](C)CO)C[C@@H](O)[C@@]4([H])[C@]3(O)C[C@H](O)[C@@]2([H])C[C@@H](O)C1</t>
  </si>
  <si>
    <t>KPNZIJDIWSLXBI-ZESZIVLYSA-N</t>
  </si>
  <si>
    <t>Gorgostanes and derivatives</t>
  </si>
  <si>
    <t>4.53_198.1255n</t>
  </si>
  <si>
    <t>4-(4-Methylcyclohexyl)-4-Oxobutanoic Acid</t>
  </si>
  <si>
    <t>HMDB0253742</t>
  </si>
  <si>
    <t>CC1CCC(CC1)C(=O)CCC(O)=O</t>
  </si>
  <si>
    <t>JOWMTYWOBJALGB-UHFFFAOYSA-N</t>
  </si>
  <si>
    <t>M+H-H2O, M+K, M+H</t>
  </si>
  <si>
    <t>5.15_270.1253n</t>
  </si>
  <si>
    <t>Violastyrene</t>
  </si>
  <si>
    <t>19034-96-9</t>
  </si>
  <si>
    <t>COC1=CC(=C(C=C1CC=CC2=CC=CC=C2)OC)O</t>
  </si>
  <si>
    <t>MGFYJNMOZGSGMU-RMKNXTFCSA-N</t>
  </si>
  <si>
    <t>Cinnamylphenols</t>
  </si>
  <si>
    <t>1.77_262.0694m/z</t>
  </si>
  <si>
    <t>Propetamphos</t>
  </si>
  <si>
    <t>C18669</t>
  </si>
  <si>
    <t>31218-83-4</t>
  </si>
  <si>
    <t>CCNP(=S)(OC)OC(=CC(=O)OC(C)C)C</t>
  </si>
  <si>
    <t>BZNDWPRGXNILMS-VQHVLOKHSA-N</t>
  </si>
  <si>
    <t>C10H20NO4PS</t>
  </si>
  <si>
    <t>4.99_623.2876m/z</t>
  </si>
  <si>
    <t>(S)-Hdac-42</t>
  </si>
  <si>
    <t>935881-37-1</t>
  </si>
  <si>
    <t>CC(C)C(C1=CC=CC=C1)C(=O)NC2=CC=C(C=C2)C(=O)NO</t>
  </si>
  <si>
    <t>LAMIXXKAWNLXOC-INIZCTEOSA-N</t>
  </si>
  <si>
    <t>C18H20N2O3</t>
  </si>
  <si>
    <t>6.93_525.3414m/z</t>
  </si>
  <si>
    <t>24-Epi-Brassinolide</t>
  </si>
  <si>
    <t>HMDB0034081</t>
  </si>
  <si>
    <t>LMST01140002</t>
  </si>
  <si>
    <t>C11049</t>
  </si>
  <si>
    <t>72962-43-7</t>
  </si>
  <si>
    <t>C1C[C@]([H])([C@H](C)[C@@H](O)[C@H](O)[C@H](C)C(C)C)[C@@]2(C)CC[C@@]3([H])[C@](COC(=O)[C@@]4([H])C[C@H](O)[C@H](O)C[C@]34C)([H])[C@@]21[H]</t>
  </si>
  <si>
    <t>IXVMHGVQKLDRKH-QHBHMFGVSA-N</t>
  </si>
  <si>
    <t>C28H48O6</t>
  </si>
  <si>
    <t>10.72_651.2921m/z</t>
  </si>
  <si>
    <t>Preglabridin</t>
  </si>
  <si>
    <t>CC(=CCC1=C(C=CC2=C1OCC(C2)C3=C(C=C(C=C3)O)O)O)C</t>
  </si>
  <si>
    <t>HJYNNFAPXVIBTD-CQSZACIVSA-N</t>
  </si>
  <si>
    <t>4.31_505.2249m/z</t>
  </si>
  <si>
    <t>Hydroxyhomo Sildenafil</t>
  </si>
  <si>
    <t>HMDB0253271</t>
  </si>
  <si>
    <t>CCCC1=NN(C)C2=C1N=C(NC2=O)C1=C(OCC)C=CC(=C1)S(=O)(=O)N1CCN(CCO)CC1</t>
  </si>
  <si>
    <t>NEYKRKVLEWKOBI-UHFFFAOYSA-N</t>
  </si>
  <si>
    <t>C23H32N6O5S</t>
  </si>
  <si>
    <t>9.35_447.0268m/z</t>
  </si>
  <si>
    <t>3-[(1r,2r,3s)-3-Carboxy-1,2,3-Trihydroxypropyl]Dioxirane-3-Carboxylic Acid</t>
  </si>
  <si>
    <t>HMDB0255411</t>
  </si>
  <si>
    <t>OC(C(O)C(O)=O)C(O)C1(OO1)C(O)=O</t>
  </si>
  <si>
    <t>ANVLMUZOIWITMQ-UHFFFAOYSA-N</t>
  </si>
  <si>
    <t>C6H8O9</t>
  </si>
  <si>
    <t>4.84_357.0702m/z</t>
  </si>
  <si>
    <t>5-Hydroxy-2-[2-Methyl-3-(Trifluoromethyl)Anilino]Pyridine-3-Carboxylic Acid</t>
  </si>
  <si>
    <t>HMDB0246804</t>
  </si>
  <si>
    <t>CC1=C(C=CC=C1NC1=NC=C(O)C=C1C(O)=O)C(F)(F)F</t>
  </si>
  <si>
    <t>JSXNJGKWSWRIGA-UHFFFAOYSA-N</t>
  </si>
  <si>
    <t>C14H11F3N2O3</t>
  </si>
  <si>
    <t>1.98_608.2308m/z</t>
  </si>
  <si>
    <t>Amorphigenol O-Glucoside</t>
  </si>
  <si>
    <t>LMPK12060005</t>
  </si>
  <si>
    <t>O([C@H]1[C@H](O)[C@@H](O)[C@H](O)[C@@H](CO)O1)C([C@@H]1OC2C=CC3C(=O)[C@@]4([H])C5C(OC[C@@]4([H])OC=3C=2C1)=CC(OC)=C(OC)C=5)(CO)C</t>
  </si>
  <si>
    <t>LRSAWVIIJXAORQ-AVAFNCKQSA-N</t>
  </si>
  <si>
    <t>4.02_543.2431m/z</t>
  </si>
  <si>
    <t>Isoleucyl-Prolyl-Arginine-4-Nitroanilide</t>
  </si>
  <si>
    <t>HMDB0250210</t>
  </si>
  <si>
    <t>CCC(C)C(N)C(=O)N1CCCC1C(=O)NC(CCCN=C(N)N)C(=O)NC1=CC=C(C=C1)[N+]([O-])=O</t>
  </si>
  <si>
    <t>XHTORJWGZKCDGL-UHFFFAOYSA-N</t>
  </si>
  <si>
    <t>C23H36N8O5</t>
  </si>
  <si>
    <t>5.12_446.1418m/z</t>
  </si>
  <si>
    <t>O-Hexanoyl-Adenosine Monophosphate</t>
  </si>
  <si>
    <t>LMFA07080001</t>
  </si>
  <si>
    <t>O(P(O)(=O)OC(=O)CCCCC)C[C@@H]1[C@@H](C([C@@H](O1)N1C=NC2C(=NC=NC1=2)N)O)O</t>
  </si>
  <si>
    <t>CTEJAJOBMJUFFB-YNYVPPHTSA-N</t>
  </si>
  <si>
    <t>C16H24N5O8P</t>
  </si>
  <si>
    <t>5.99_602.3686m/z</t>
  </si>
  <si>
    <t>PI(P-18:0/0:0)</t>
  </si>
  <si>
    <t>LMGP06070002</t>
  </si>
  <si>
    <t>[C@]([H])(O)(COP(=O)(O)O[C@H]1[C@H](O)[C@@H](O)[C@H](O)[C@@H](O)[C@H]1O)CO/C=C\CCCCCCCCCCCCCCCC</t>
  </si>
  <si>
    <t>VQWOKPHLVOSHNB-JXVUEMGPSA-N</t>
  </si>
  <si>
    <t>C27H53O11P</t>
  </si>
  <si>
    <t>5.95_647.2312m/z</t>
  </si>
  <si>
    <t>Bicisate</t>
  </si>
  <si>
    <t>HMDB0249184</t>
  </si>
  <si>
    <t>CCOC(=O)C(CS)NCCNC(CS)C(=O)OCC</t>
  </si>
  <si>
    <t>RZQNBTMGBODDSK-UHFFFAOYSA-N</t>
  </si>
  <si>
    <t>C12H24N2O4S2</t>
  </si>
  <si>
    <t>1.11_323.0535m/z</t>
  </si>
  <si>
    <t>(-)-Homoeriodictyol, Sodium Salt</t>
  </si>
  <si>
    <t>HMDB0303234</t>
  </si>
  <si>
    <t>[Na+].[H]C1(CC(=O)C2=C(O)C=C([O-])C=C2O1)C1=CC(OC)=C(O)C=C1</t>
  </si>
  <si>
    <t>VTSVJNMTTDGHQA-UHFFFAOYSA-M</t>
  </si>
  <si>
    <t>C16H13NaO6</t>
  </si>
  <si>
    <t>12.25_582.4064n</t>
  </si>
  <si>
    <t>Pectenol A</t>
  </si>
  <si>
    <t>LMPR01070069</t>
  </si>
  <si>
    <t>C(=C(/C=C/C1=C(C)[C@@H](O)[C@@H](O)CC1(C)C)\C)\C=C\C(\C)=C\C=C\C=C(/C)\C=C\C=C(/C)\C#CC1=C(C)C[C@@H](O)CC1(C)C</t>
  </si>
  <si>
    <t>ILEQLDBIUDBYJN-VZBOJHQZSA-N</t>
  </si>
  <si>
    <t>C40H54O3</t>
  </si>
  <si>
    <t>5.92_331.1161m/z</t>
  </si>
  <si>
    <t>Mytilin A</t>
  </si>
  <si>
    <t>HMDB0039002</t>
  </si>
  <si>
    <t>73112-73-9</t>
  </si>
  <si>
    <t>COC1=C(CC(O)(CO)C\C1=N/C(CO)C(O)=O)NCC(O)=O</t>
  </si>
  <si>
    <t>WXEQFJUHQIGKNG-OVCLIPMQSA-N</t>
  </si>
  <si>
    <t>C13H20N2O8</t>
  </si>
  <si>
    <t>6.20_146.0730n</t>
  </si>
  <si>
    <t>1-Tetralone</t>
  </si>
  <si>
    <t>HMDB0248243</t>
  </si>
  <si>
    <t>O=C1CCCC2=CC=CC=C12</t>
  </si>
  <si>
    <t>XHLHPRDBBAGVEG-UHFFFAOYSA-N</t>
  </si>
  <si>
    <t>Tetralins</t>
  </si>
  <si>
    <t>C10H10O</t>
  </si>
  <si>
    <t>0.77_487.1663m/z</t>
  </si>
  <si>
    <t>Cgp 57380</t>
  </si>
  <si>
    <t>522629-08-9</t>
  </si>
  <si>
    <t>C1=CC(=CC=C1NC2=C3C(=NC=NC3=NN2)N)F</t>
  </si>
  <si>
    <t>UQPMANVRZYYQMD-UHFFFAOYSA-N</t>
  </si>
  <si>
    <t>Pyrazolopyrimidines</t>
  </si>
  <si>
    <t>Pyrazolo[3,4-d]pyrimidines</t>
  </si>
  <si>
    <t>C11H9FN6</t>
  </si>
  <si>
    <t>4.43_150.1044n</t>
  </si>
  <si>
    <t>Verbenone</t>
  </si>
  <si>
    <t>HMDB0259787</t>
  </si>
  <si>
    <t>C09913</t>
  </si>
  <si>
    <t>18309-32-5</t>
  </si>
  <si>
    <t>CC1=CC(=O)C2CC1C2(C)C</t>
  </si>
  <si>
    <t>DCSCXTJOXBUFGB-UHFFFAOYSA-N</t>
  </si>
  <si>
    <t>4.02_151.0389m/z</t>
  </si>
  <si>
    <t>Quinolacetic Acid</t>
  </si>
  <si>
    <t>HMDB0240257</t>
  </si>
  <si>
    <t>55604-87-0</t>
  </si>
  <si>
    <t>OC(=O)CC1(O)C=CC(=O)C=C1</t>
  </si>
  <si>
    <t>RFJUCKOEXRTZPN-UHFFFAOYSA-N</t>
  </si>
  <si>
    <t>12.74_392.3729m/z</t>
  </si>
  <si>
    <t>1-O-(2r-Hydroxy-Nonadecyl)-Sn-Glycerol</t>
  </si>
  <si>
    <t>LMGL01020065</t>
  </si>
  <si>
    <t>[C@](CO)([H])(O)COC[C@H](O)CCCCCCCCCCCCCCCCC</t>
  </si>
  <si>
    <t>TYAPEMWQBJOODI-YADHBBJMSA-N</t>
  </si>
  <si>
    <t>C22H46O4</t>
  </si>
  <si>
    <t>10.94_343.3318m/z</t>
  </si>
  <si>
    <t>2-Aminoethyl Oleate</t>
  </si>
  <si>
    <t>HMDB0245016</t>
  </si>
  <si>
    <t>CCCCCCCCC=CCCCCCCCC(=O)OCCN</t>
  </si>
  <si>
    <t>VPHOSDZKGZRSAI-UHFFFAOYSA-N</t>
  </si>
  <si>
    <t>C20H39NO2</t>
  </si>
  <si>
    <t>10.38_608.3433m/z</t>
  </si>
  <si>
    <t>Glycochenodeoxycholic Acid 3-Glucuronide</t>
  </si>
  <si>
    <t>HMDB0002579</t>
  </si>
  <si>
    <t>79254-98-1</t>
  </si>
  <si>
    <t>[H][C@@]12CCC([C@H](C)CCC(=O)NCC(O)=O)[C@@]1(C)CC[C@@]1([H])[C@@]2([H])[C@H](O)C[C@]2([H])C[C@@H](CC[C@]12C)O[C@@H]1O[C@@H]([C@@H](O)[C@H](O)[C@H]1O)C(O)=O</t>
  </si>
  <si>
    <t>ABFZMYIIUREPLL-ZWDGUQLWSA-N</t>
  </si>
  <si>
    <t>C32H51NO11</t>
  </si>
  <si>
    <t>8.89_975.4797m/z</t>
  </si>
  <si>
    <t>7-Sulfocholic Acid</t>
  </si>
  <si>
    <t>HMDB0002421</t>
  </si>
  <si>
    <t>LMST05020039</t>
  </si>
  <si>
    <t>60320-05-0</t>
  </si>
  <si>
    <t>[C@@]12([H])[C@H](OS(O)(=O)=O)C[C@]3([H])C[C@H](O)CC[C@]3(C)[C@@]1([H])C[C@H](O)[C@]1(C)[C@@]([H])([C@]([H])(C)CCC(=O)O)CC[C@@]21[H]</t>
  </si>
  <si>
    <t>RRVLNNMINXAIKC-OELDTZBJSA-N</t>
  </si>
  <si>
    <t>C24H40O8S</t>
  </si>
  <si>
    <t>9.25_347.2217m/z</t>
  </si>
  <si>
    <t>Insignin A</t>
  </si>
  <si>
    <t>LMST02030222</t>
  </si>
  <si>
    <t>C1[C@@]2(C)C(=CC[C@]3([H])[C@]2([H])CC[C@@]2(C)[C@]3(O)[C@H](O)OC[C@H]2C(C)=O)C[C@@H](O)C1</t>
  </si>
  <si>
    <t>XSCQMBRUSKHLQE-SZELBSGTSA-N</t>
  </si>
  <si>
    <t>5.86_483.1866m/z</t>
  </si>
  <si>
    <t>8-Propanoylneosolaniol</t>
  </si>
  <si>
    <t>HMDB0038562</t>
  </si>
  <si>
    <t>111112-47-1</t>
  </si>
  <si>
    <t>CCC(=O)O[C@H]1C[C@@]2(COC(C)=O)[C@H](O[C@@H]3[C@H](O)[C@@H](OC(C)=O)[C@@]2(C)[C@]32CO2)C=C1C</t>
  </si>
  <si>
    <t>ZSGWJLBSFZRJAT-MLXHEQMXSA-N</t>
  </si>
  <si>
    <t>C22H30O9</t>
  </si>
  <si>
    <t>4.44_465.1396m/z</t>
  </si>
  <si>
    <t>Afzelechin 3-O-Alpha-L-Rhamnopyranoside</t>
  </si>
  <si>
    <t>LMPK12020029</t>
  </si>
  <si>
    <t>C1(O)C=C2O[C@H](C3C=CC(O)=CC=3)[C@@H](O[C@H]3[C@H](O)[C@H](O)[C@@H](O)[C@H](C)O3)CC2=C(O)C=1</t>
  </si>
  <si>
    <t>SQJLTDFIOMWZDE-QUYVSAIISA-N</t>
  </si>
  <si>
    <t>C21H24O9</t>
  </si>
  <si>
    <t>3.90_208.0607m/z</t>
  </si>
  <si>
    <t>6-Hydroxy-3,4-Dihydro-2(1h)-Quinolinone</t>
  </si>
  <si>
    <t>HMDB0246939</t>
  </si>
  <si>
    <t>OC1=CC=C2NC(=O)CCC2=C1</t>
  </si>
  <si>
    <t>HOSGXJWQVBHGLT-UHFFFAOYSA-N</t>
  </si>
  <si>
    <t>Quinolones and derivatives</t>
  </si>
  <si>
    <t>C9H9NO2</t>
  </si>
  <si>
    <t>10.05_463.2701m/z</t>
  </si>
  <si>
    <t>Simvastatin</t>
  </si>
  <si>
    <t>HMDB0005007</t>
  </si>
  <si>
    <t>C07262</t>
  </si>
  <si>
    <t>79902-63-9</t>
  </si>
  <si>
    <t>[H][C@]12[C@H](C[C@@H](C)C=C1C=C[C@H](C)[C@@H]2CC[C@@H]1C[C@@H](O)CC(=O)O1)OC(=O)C(C)(C)CC</t>
  </si>
  <si>
    <t>RYMZZMVNJRMUDD-HGQWONQESA-N</t>
  </si>
  <si>
    <t>C25H38O5</t>
  </si>
  <si>
    <t>4.58_883.3960m/z</t>
  </si>
  <si>
    <t>Licoricesaponin G2</t>
  </si>
  <si>
    <t>HMDB0039318</t>
  </si>
  <si>
    <t>CC12CCC(C)(CC1C1=CC(=O)C3C4(C)CCC(OC5OC(C(O)C(O)C5OC5OC(C(O)C(O)C5O)C(O)=O)C(O)=O)C(C)(CO)C4CCC3(C)C1(C)CC2)C(O)=O</t>
  </si>
  <si>
    <t>WBQVRPYEEYUEBQ-UHFFFAOYSA-N</t>
  </si>
  <si>
    <t>C42H62O17</t>
  </si>
  <si>
    <t>4.55_394.2566n</t>
  </si>
  <si>
    <t>1,6-Bis(Cyclohexyloximinocarbonyl)Hexane</t>
  </si>
  <si>
    <t>HMDB0257195</t>
  </si>
  <si>
    <t>O=C(NCCCCCCNC(=O)ON=C1CCCCC1)ON=C1CCCCC1</t>
  </si>
  <si>
    <t>RXSVYGIGWRDVQC-UHFFFAOYSA-N</t>
  </si>
  <si>
    <t>C20H34N4O4</t>
  </si>
  <si>
    <t>10.80_797.4314m/z</t>
  </si>
  <si>
    <t>Porphyrin A</t>
  </si>
  <si>
    <t>HMDB0256707</t>
  </si>
  <si>
    <t>CC(C)=CCCC(C)=CCCC(C)=CCCC(O)C1=C(C)C2=CC3=NC(C=C4N=C(C=C5NC(=CC1=N2)C(C)=C5C=C)C(C)=C4CCC(O)=O)=C(CCC(O)=O)C3=CO</t>
  </si>
  <si>
    <t>GXWMRLPEBCSCFJ-UHFFFAOYSA-N</t>
  </si>
  <si>
    <t>C49H58N4O6</t>
  </si>
  <si>
    <t>4.22_363.1204m/z</t>
  </si>
  <si>
    <t>Benzyl Edta</t>
  </si>
  <si>
    <t>HMDB0249072</t>
  </si>
  <si>
    <t>OC(=O)CN(CC(CC1=CC=CC=C1)N(CC(O)=O)CC(O)=O)CC(O)=O</t>
  </si>
  <si>
    <t>DTRVZAALOQTDSF-UHFFFAOYSA-N</t>
  </si>
  <si>
    <t>C17H22N2O8</t>
  </si>
  <si>
    <t>0.72_261.0367m/z</t>
  </si>
  <si>
    <t>D-Glucose 6-Phosphate</t>
  </si>
  <si>
    <t>HMDB0001401</t>
  </si>
  <si>
    <t>C00092</t>
  </si>
  <si>
    <t>ko00500,ko00521,ko00524,ko00562,ko00998,ko02020,ko02060,ko04911,ko04917,ko04918,ko04931,ko04973,ko05111,ko05230,ko05415</t>
  </si>
  <si>
    <t>Starch and sucrose metabolism|Streptomycin biosynthesis|Neomycin, kanamycin and gentamicin biosynthesis|Inositol phosphate metabolism|Biosynthesis of various secondary metabolites - part 2|Two-component system|Phosphotransferase system (PTS)|Insulin secretion|Prolactin signaling pathway|Thyroid hormone synthesis|Insulin resistance|Carbohydrate digestion and absorption|Biofilm formation - Vibrio cholerae|Central carbon metabolism in cancer|Diabetic cardiomyopathy</t>
  </si>
  <si>
    <t>56-73-5</t>
  </si>
  <si>
    <t>C(C(C(C(C(C=O)O)O)O)O)OP(=O)(O)O</t>
  </si>
  <si>
    <t>VFRROHXSMXFLSN-SLPGGIOYSA-N</t>
  </si>
  <si>
    <t>3.64_419.0958n</t>
  </si>
  <si>
    <t>Cyanidin 3-Arabinoside</t>
  </si>
  <si>
    <t>HMDB0037972</t>
  </si>
  <si>
    <t>27214-72-8</t>
  </si>
  <si>
    <t>OC[C@@H]1O[C@H](OC2=CC3=C(C=C(O)C=C3O)[O+]=C2C2=CC(O)=C(O)C=C2)[C@H](O)[C@H]1O</t>
  </si>
  <si>
    <t>SBBFXSBQYRSIPP-GNBUJSLZSA-O</t>
  </si>
  <si>
    <t>C20H19O10+</t>
  </si>
  <si>
    <t>11.74_527.3587m/z</t>
  </si>
  <si>
    <t>Tetracaine</t>
  </si>
  <si>
    <t>HMDB0258868</t>
  </si>
  <si>
    <t>C07526</t>
  </si>
  <si>
    <t>94-24-6</t>
  </si>
  <si>
    <t>CCCCNC1=CC=C(C=C1)C(=O)OCCN(C)C</t>
  </si>
  <si>
    <t>GKCBAIGFKIBETG-UHFFFAOYSA-N</t>
  </si>
  <si>
    <t>C15H24N2O2</t>
  </si>
  <si>
    <t>0.73_458.1863m/z</t>
  </si>
  <si>
    <t>Propylene Glycol Alginate</t>
  </si>
  <si>
    <t>HMDB0039860</t>
  </si>
  <si>
    <t>COC1OC(C(OC2OC(C(C)C(O)C2O)C(=O)OCC(C)O)C(O)C1O)C(O)=O</t>
  </si>
  <si>
    <t>HDSBZMRLPLPFLQ-UHFFFAOYSA-N</t>
  </si>
  <si>
    <t>C17H28O13</t>
  </si>
  <si>
    <t>9.69_449.1953m/z</t>
  </si>
  <si>
    <t>Broussoflavan A</t>
  </si>
  <si>
    <t>LMPK12020243</t>
  </si>
  <si>
    <t>C1(O)=CC2O[C@H](C3C(C/C=C(\C)/C)=C(O)C4OC(C)(C)C(O)C(O)C=4C=3)CCC=2C=C1</t>
  </si>
  <si>
    <t>YJRPYTOREHMPPM-HRRASNIPSA-N</t>
  </si>
  <si>
    <t>C25H30O6</t>
  </si>
  <si>
    <t>5.67_513.2704m/z</t>
  </si>
  <si>
    <t>3,17-Androstanediol Glucuronide</t>
  </si>
  <si>
    <t>HMDB0010321</t>
  </si>
  <si>
    <t>[H][C@@]12CC[C@H](O)[C@@]1(C)CC[C@@]1([H])[C@@]2([H])CC[C@@]2([H])C[C@@H](CC[C@]12C)OC(=O)[C@H]1O[C@@H](O)[C@H](O)[C@@H](O)[C@@H]1O</t>
  </si>
  <si>
    <t>TWDCYBTXSUNASK-WGGIPMEBSA-N</t>
  </si>
  <si>
    <t>C25H40O8</t>
  </si>
  <si>
    <t>6.10_309.1481m/z</t>
  </si>
  <si>
    <t>4-(Methylsulfanyl)-2-Oxobutanoylcarnitine</t>
  </si>
  <si>
    <t>HMDB0241872</t>
  </si>
  <si>
    <t>CSCCC(=O)C(=O)OC(CC([O-])=O)C[N+](C)(C)C</t>
  </si>
  <si>
    <t>ZIQIIRWBMMFMDF-UHFFFAOYSA-N</t>
  </si>
  <si>
    <t>C12H21NO5S</t>
  </si>
  <si>
    <t>10.15_226.0120m/z</t>
  </si>
  <si>
    <t>(1r,4r,5s,6r)-4-Amino-2-Oxabicyclo[3.1.0]Hexane-4,6-Dicarboxylic Acid</t>
  </si>
  <si>
    <t>HMDB0242337</t>
  </si>
  <si>
    <t>NC1(COC2C(C12)C(O)=O)C(O)=O</t>
  </si>
  <si>
    <t>YASVRZWVUGJELU-UHFFFAOYSA-N</t>
  </si>
  <si>
    <t>6.20_655.2131m/z</t>
  </si>
  <si>
    <t>Tubulin Polymerization Inhibitor</t>
  </si>
  <si>
    <t>HMDB0259320</t>
  </si>
  <si>
    <t>COC1=C(O)C=C(C=C2C3=CC=CC=C3C(=O)C3=CC=CC=C23)C=C1</t>
  </si>
  <si>
    <t>MQLACMBJVPINKE-UHFFFAOYSA-N</t>
  </si>
  <si>
    <t>C22H16O3</t>
  </si>
  <si>
    <t>5.09_307.1536m/z</t>
  </si>
  <si>
    <t>Pyrethrosin</t>
  </si>
  <si>
    <t>C09536</t>
  </si>
  <si>
    <t>28272-18-6</t>
  </si>
  <si>
    <t>CC1=CC(C2C(CC3(C(O3)CC1)C)OC(=O)C2=C)OC(=O)C</t>
  </si>
  <si>
    <t>JJMLQAVFDJXJAL-AWZCNKNJSA-N</t>
  </si>
  <si>
    <t>9.80_227.2004m/z</t>
  </si>
  <si>
    <t>Myristoleic Acid</t>
  </si>
  <si>
    <t>HMDB0002000</t>
  </si>
  <si>
    <t>LMFA01030051</t>
  </si>
  <si>
    <t>C08322</t>
  </si>
  <si>
    <t>544-64-9</t>
  </si>
  <si>
    <t>C(/C=C\CCCC)CCCCCCC(=O)O</t>
  </si>
  <si>
    <t>YWWVWXASSLXJHU-WAYWQWQTSA-N</t>
  </si>
  <si>
    <t>C14H26O2</t>
  </si>
  <si>
    <t>7.30_735.2870m/z</t>
  </si>
  <si>
    <t>Zaragozic Acid A</t>
  </si>
  <si>
    <t>HMDB0259988</t>
  </si>
  <si>
    <t>CCC(C)CC(C)C=CC(=O)OC1C(O)C2(CCC(=C)C(OC(C)=O)C(C)CC3=CC=CC=C3)OC1(C(O)=O)C(O)(C(O2)C(O)=O)C(O)=O</t>
  </si>
  <si>
    <t>DFKDOZMCHOGOBR-UHFFFAOYSA-N</t>
  </si>
  <si>
    <t>C35H46O14</t>
  </si>
  <si>
    <t>1.57_333.0267m/z</t>
  </si>
  <si>
    <t>[(2r,3s,5r)-5-(2,4-Dioxopyrimidin-1-Yl)-3-Hydroxyoxolan-2-Yl]Methoxy-Fluorophosphinic Acid</t>
  </si>
  <si>
    <t>HMDB0258011</t>
  </si>
  <si>
    <t>OC1CC(OC1COP(O)(F)=O)N1C=CC(=O)NC1=O</t>
  </si>
  <si>
    <t>QYAKHWNNJJLYOP-UHFFFAOYSA-N</t>
  </si>
  <si>
    <t>C9H12FN2O7P</t>
  </si>
  <si>
    <t>5.79_721.2715m/z</t>
  </si>
  <si>
    <t>Odevixibat</t>
  </si>
  <si>
    <t>HMDB0304842</t>
  </si>
  <si>
    <t>CCCCC1(CCCC)CN(C2=CC=CC=C2)C2=CC(SC)=C(OCC(=O)N[C@@H](C(=O)N[C@@H](CC)C(O)=O)C3=CC=C(O)C=C3)C=C2S(=O)(=O)N1</t>
  </si>
  <si>
    <t>XULSCZPZVQIMFM-IPZQJPLYSA-N</t>
  </si>
  <si>
    <t>C37H48N4O8S2</t>
  </si>
  <si>
    <t>6.80_495.2598m/z</t>
  </si>
  <si>
    <t>Capsianoside V</t>
  </si>
  <si>
    <t>HMDB0030737</t>
  </si>
  <si>
    <t>121924-06-9</t>
  </si>
  <si>
    <t>C\C(CC(O)\C=C(/C)C(O)=O)=C/CC\C(CO)=C\CCC(C)(OC1OC(CO)C(O)C(O)C1O)C=C</t>
  </si>
  <si>
    <t>XQQKZIVFXGPJHN-KMRBWUSPSA-N</t>
  </si>
  <si>
    <t>4.24_471.1841m/z</t>
  </si>
  <si>
    <t>22-Dimethylarsinoyl-(5z,8z, 11z,14z,17z,20z)-Docosahexaenoic Acid</t>
  </si>
  <si>
    <t>LMFA00000029</t>
  </si>
  <si>
    <t>C([As](C)(=O)C)/C=C\C/C=C\C/C=C\C/C=C\C/C=C\C/C=C\CCCC(O)=O</t>
  </si>
  <si>
    <t>GJSMHUXGVHPNKH-GANQPYOASA-N</t>
  </si>
  <si>
    <t>C24H37AsO3</t>
  </si>
  <si>
    <t>5.71_481.3165m/z</t>
  </si>
  <si>
    <t>Varanic Acid</t>
  </si>
  <si>
    <t>HMDB0002195</t>
  </si>
  <si>
    <t>1061-64-9</t>
  </si>
  <si>
    <t>[H][C@@]12CC[C@H]([C@H](C)CC[C@@H](O)[C@@H](O)C(O)=O)[C@@]1(C)CC[C@@]1([H])[C@@]2([H])CC[C@]2([H])C[C@H](O)CC[C@]12C</t>
  </si>
  <si>
    <t>NRDKNLGDNLHWHG-IYELHLJQSA-N</t>
  </si>
  <si>
    <t>C26H44O5</t>
  </si>
  <si>
    <t>9.19_309.1707m/z</t>
  </si>
  <si>
    <t>Methyl 8-[2-(2-Formyl-Vinyl)-3-Hydroxy-5-Oxo-Cyclopentyl]-Octanoate</t>
  </si>
  <si>
    <t>LMFA01050151</t>
  </si>
  <si>
    <t>C1(C(=O)CC(O)C1/C=C/C=O)CCCCCCCC(=O)OC</t>
  </si>
  <si>
    <t>HJQXDNVSMCDIJM-VQHVLOKHSA-N</t>
  </si>
  <si>
    <t>9.75_697.3646m/z</t>
  </si>
  <si>
    <t>Abeado</t>
  </si>
  <si>
    <t>HMDB0247746</t>
  </si>
  <si>
    <t>CN(CC=CCN)CC1OC(C(O)C1O)N1C=NC2=C1N=CN=C2N</t>
  </si>
  <si>
    <t>YWJCZGDVJQLZET-UHFFFAOYSA-N</t>
  </si>
  <si>
    <t>C15H23N7O3</t>
  </si>
  <si>
    <t>1.60_299.0901m/z</t>
  </si>
  <si>
    <t>Butanoic Acid, [(Diethoxyphosphinyl)Oxy]Methyl Ester</t>
  </si>
  <si>
    <t>HMDB0245609</t>
  </si>
  <si>
    <t>CCCC(=O)OCOP(=O)(OCC)OCC</t>
  </si>
  <si>
    <t>UGIGKLCVADLBRB-UHFFFAOYSA-N</t>
  </si>
  <si>
    <t>C9H19O6P</t>
  </si>
  <si>
    <t>4.68_611.2700m/z</t>
  </si>
  <si>
    <t>Bioadykinin Fragment 1-5</t>
  </si>
  <si>
    <t>HMDB0245648</t>
  </si>
  <si>
    <t>NC(CCCN=C(N)N)C(=O)N1CCCC1C(=O)N1CCCC1C(=O)NCC(=O)NC(CC1=CC=CC=C1)C(O)=O</t>
  </si>
  <si>
    <t>USSUMSBPLJWFSZ-UHFFFAOYSA-N</t>
  </si>
  <si>
    <t>C27H40N8O6</t>
  </si>
  <si>
    <t>6.35_539.2781m/z</t>
  </si>
  <si>
    <t>Denticulaflavonol</t>
  </si>
  <si>
    <t>LMPK12111996</t>
  </si>
  <si>
    <t>C12=C(O)C(C/C=C(/CCC3C(=C)CCC4C(C)(C)CCCC34C)\C)=C(O)C=C1OC(C1C=CC(O)=CC=1)=C(O)C2=O</t>
  </si>
  <si>
    <t>VLQNALFJVBGYOK-IFRROFPPSA-N</t>
  </si>
  <si>
    <t>C35H42O6</t>
  </si>
  <si>
    <t>6.16_639.2071m/z</t>
  </si>
  <si>
    <t>Nicomol</t>
  </si>
  <si>
    <t>HMDB0255582</t>
  </si>
  <si>
    <t>OC1C(COC(=O)C2=CN=CC=C2)(COC(=O)C2=CN=CC=C2)CCCC1(COC(=O)C1=CN=CC=C1)COC(=O)C1=CN=CC=C1</t>
  </si>
  <si>
    <t>VRAHPESAMYMDQI-UHFFFAOYSA-N</t>
  </si>
  <si>
    <t>C34H32N4O9</t>
  </si>
  <si>
    <t>11.44_605.4770m/z</t>
  </si>
  <si>
    <t>Methoctramine</t>
  </si>
  <si>
    <t>HMDB0254535</t>
  </si>
  <si>
    <t>COC1=CC=CC=C1CNCCCCCCNCCCCCCCCNCCCCCCNCC1=CC=CC=C1OC</t>
  </si>
  <si>
    <t>RPMBYDYUVKEZJA-UHFFFAOYSA-N</t>
  </si>
  <si>
    <t>C36H62N4O2</t>
  </si>
  <si>
    <t>10.89_405.2620m/z</t>
  </si>
  <si>
    <t>16,16-Dimethyl-Pge1</t>
  </si>
  <si>
    <t>LMFA03010057</t>
  </si>
  <si>
    <t>41692-15-3</t>
  </si>
  <si>
    <t>[C@H]1(/C=C/[C@@H](O)C(C)(C)CCCC)[C@H](O)CC(=O)[C@@H]1CCCCCCC(=O)O</t>
  </si>
  <si>
    <t>RQOFITYRYPQNLL-ZWSAOQBFSA-N</t>
  </si>
  <si>
    <t>8.71_496.2827m/z</t>
  </si>
  <si>
    <t>PC(18:4(6Z,9Z,12Z,15Z)/0:0)</t>
  </si>
  <si>
    <t>HMDB0010389</t>
  </si>
  <si>
    <t>LMGP01050129</t>
  </si>
  <si>
    <t>[C@](COP(=O)([O-])OCC[N+](C)(C)C)([H])(O)COC(CCCC/C=C\C/C=C\C/C=C\C/C=C\CC)=O</t>
  </si>
  <si>
    <t>RVSJNDKZLRQIIG-VDNIJTNNSA-N</t>
  </si>
  <si>
    <t>C26H46NO7P</t>
  </si>
  <si>
    <t>4.58_1012.4852n</t>
  </si>
  <si>
    <t>Licoricesaponin D3</t>
  </si>
  <si>
    <t>HMDB0038431</t>
  </si>
  <si>
    <t>118536-87-1</t>
  </si>
  <si>
    <t>CC1OC(OC2C(O)C(OC3C(O)C(O)C(OC3OC3CCC4(C)C(CCC5(C)C4CC=C4C6CC(C)(CC(OC(C)=O)C6(C)CCC54C)C(O)=O)C3(C)C)C(O)=O)OC(C2O)C(O)=O)C(O)C(O)C1O</t>
  </si>
  <si>
    <t>USBWWSIEUOUQTH-UHFFFAOYSA-N</t>
  </si>
  <si>
    <t>C50H76O21</t>
  </si>
  <si>
    <t>5.10_397.2097m/z</t>
  </si>
  <si>
    <t>8h-Purin-8-One, 7-(2-Butynyl)-7,9-Dihydro-9-(6-Methoxy-3-Pyridinyl)-6-(1-Piperazinyl)-</t>
  </si>
  <si>
    <t>HMDB0259448</t>
  </si>
  <si>
    <t>COC1=NC=C(C=C1)N1C(=O)N(CC#CC)C2=C1N=CN=C2N1CCNCC1</t>
  </si>
  <si>
    <t>DKHHDEIZLVCHEA-UHFFFAOYSA-N</t>
  </si>
  <si>
    <t>C19H21N7O2</t>
  </si>
  <si>
    <t>5.77_670.3381m/z</t>
  </si>
  <si>
    <t>Am-LPE(22:6(4Z,7Z,10Z,13Z,16Z,19Z)/0:0)</t>
  </si>
  <si>
    <t>LMGP21050003</t>
  </si>
  <si>
    <t>[C@](COP(=O)(O)OCCNC[C@@]1(O)OC[C@@H](O)[C@@H](O)[C@@H]1O)([H])(O)COC(CC/C=C\C/C=C\C/C=C\C/C=C\C/C=C\C/C=C\CC)=O</t>
  </si>
  <si>
    <t>AKXNPTXZQGVZOD-YCRCIVEVSA-N</t>
  </si>
  <si>
    <t>C33H54NO12P</t>
  </si>
  <si>
    <t>5.23_565.2275m/z</t>
  </si>
  <si>
    <t>Deacetoxy(7)-7-Oxokhivorinic Acid</t>
  </si>
  <si>
    <t>CC(=O)OC1CC(C2(C3CCC4(C(OC(=O)C5C4(C3(C(=O)CC2C1(C)C)C)O5)C(=O)O)C)C)OC(=O)C</t>
  </si>
  <si>
    <t>WROKSYFOSDWFHL-UQVLWQGYSA-N</t>
  </si>
  <si>
    <t>C27H36O10</t>
  </si>
  <si>
    <t>11.10_339.2893m/z</t>
  </si>
  <si>
    <t>MG(18:1(11Z)/0:0/0:0)</t>
  </si>
  <si>
    <t>HMDB0011566</t>
  </si>
  <si>
    <t>[H][C@](O)(CO)COC(=O)CCCCCCCCC\C=C/CCCCCC</t>
  </si>
  <si>
    <t>KJHYUSLWTPMFTN-AQWUKCDYSA-N</t>
  </si>
  <si>
    <t>3.84_575.1731m/z</t>
  </si>
  <si>
    <t>Guadecitabine</t>
  </si>
  <si>
    <t>HMDB0252962</t>
  </si>
  <si>
    <t>NC1=NC2=C(N=CN2C2CC(O)C(COP(O)(=O)OC3CC(OC3CO)N3C=NC(N)=NC3=O)O2)C(=O)N1</t>
  </si>
  <si>
    <t>GUWXKKAWLCENJA-UHFFFAOYSA-N</t>
  </si>
  <si>
    <t>C18H24N9O10P</t>
  </si>
  <si>
    <t>4.03_374.0489m/z</t>
  </si>
  <si>
    <t>Nitisinone</t>
  </si>
  <si>
    <t>HMDB0014492</t>
  </si>
  <si>
    <t>104206-65-7</t>
  </si>
  <si>
    <t>[O-][N+](=O)C1=C(C=CC(=C1)C(F)(F)F)C(=O)C1C(=O)CCCC1=O</t>
  </si>
  <si>
    <t>OUBCNLGXQFSTLU-UHFFFAOYSA-N</t>
  </si>
  <si>
    <t>C14H10F3NO5</t>
  </si>
  <si>
    <t>6.30_472.3186n</t>
  </si>
  <si>
    <t>HMDB0259282</t>
  </si>
  <si>
    <t>CC1(C)CCC2(CCC3(C)C(=CCC4C5(C)CC(O)C(O)C(C)(O)C5=CCC34C)C2C1)C(O)=O</t>
  </si>
  <si>
    <t>WYJAKKNMIDWZKG-UHFFFAOYSA-N</t>
  </si>
  <si>
    <t>2.30_172.9564m/z</t>
  </si>
  <si>
    <t>1,2-Ethanedisulfonic Acid</t>
  </si>
  <si>
    <t>HMDB0244098</t>
  </si>
  <si>
    <t>OS(=O)(=O)CCS(O)(=O)=O</t>
  </si>
  <si>
    <t>AFAXGSQYZLGZPG-UHFFFAOYSA-N</t>
  </si>
  <si>
    <t>Organic sulfonic acids and derivatives</t>
  </si>
  <si>
    <t>Organosulfonic acids and derivatives</t>
  </si>
  <si>
    <t>C2H6O6S2</t>
  </si>
  <si>
    <t>14.67_508.4358m/z</t>
  </si>
  <si>
    <t>Janohigenin 23-0</t>
  </si>
  <si>
    <t>LMPK15040012</t>
  </si>
  <si>
    <t>C1(O)C=C(CCCCCCCCCCCCCCCCCCCCCCC)C(C(O)=O)=C(O)C=1C</t>
  </si>
  <si>
    <t>DHLRSKNLLXXLFY-UHFFFAOYSA-N</t>
  </si>
  <si>
    <t>6.18_523.2190m/z</t>
  </si>
  <si>
    <t>2-Methoxy-Estradiol-17beta 3-Glucuronide</t>
  </si>
  <si>
    <t>HMDB0006765</t>
  </si>
  <si>
    <t>LMST05010009</t>
  </si>
  <si>
    <t>C11131</t>
  </si>
  <si>
    <t>[C@]12([C@]([H])(CC[C@]3(C)[C@H](CC[C@@]13[H])O)C1C=C(OC)C(O[C@H]3[C@H](O)[C@H]([C@H](O)[C@@H](C(=O)O)O3)O)=CC=1CC2)[H]</t>
  </si>
  <si>
    <t>LLCPFVIBUZJITJ-GVEMAFOVSA-N</t>
  </si>
  <si>
    <t>C25H34O9</t>
  </si>
  <si>
    <t>3.79_190.0608n</t>
  </si>
  <si>
    <t>Carglumic Acid</t>
  </si>
  <si>
    <t>HMDB0015673</t>
  </si>
  <si>
    <t>C05829</t>
  </si>
  <si>
    <t>1188-38-1</t>
  </si>
  <si>
    <t>NC(=O)N[C@@H](CCC(O)=O)C(O)=O</t>
  </si>
  <si>
    <t>LCQLHJZYVOQKHU-VKHMYHEASA-N</t>
  </si>
  <si>
    <t>C6H10N2O5</t>
  </si>
  <si>
    <t>4.67_437.1237m/z</t>
  </si>
  <si>
    <t>4-Nitrobenzylthioinosine</t>
  </si>
  <si>
    <t>HMDB0255484</t>
  </si>
  <si>
    <t>OCC1OC(C(O)C1O)N1C=NC2=C1N=CN=C2SCC1=CC=C(C=C1)[N+]([O-])=O</t>
  </si>
  <si>
    <t>DYCJFJRCWPVDHY-UHFFFAOYSA-N</t>
  </si>
  <si>
    <t>C17H17N5O6S</t>
  </si>
  <si>
    <t>4.91_694.9133m/z</t>
  </si>
  <si>
    <t>Pppgpp</t>
  </si>
  <si>
    <t>HMDB0304469</t>
  </si>
  <si>
    <t>NC1=NC2=C(N=CN2C2OC(COP([O-])(=O)OP([O-])(=O)OP([O-])([O-])=O)C(OP([O-])(=O)OP(O)([O-])=O)C2O)C(=O)N1</t>
  </si>
  <si>
    <t>KCPMACXZAITQAX-UHFFFAOYSA-H</t>
  </si>
  <si>
    <t>C10H12N5O20P5-6</t>
  </si>
  <si>
    <t>2.53_339.1051m/z</t>
  </si>
  <si>
    <t>Vanilloloside</t>
  </si>
  <si>
    <t>HMDB0032013</t>
  </si>
  <si>
    <t>74950-96-2</t>
  </si>
  <si>
    <t>COC1=C(O[C@@H]2O[C@H](CO)[C@@H](O)[C@H](O)[C@H]2O)C=CC(CO)=C1</t>
  </si>
  <si>
    <t>SIMPNXWTAVEOTO-RKQHYHRCSA-N</t>
  </si>
  <si>
    <t>10.53_742.4375m/z</t>
  </si>
  <si>
    <t>Alliospiroside C</t>
  </si>
  <si>
    <t>HMDB0030914</t>
  </si>
  <si>
    <t>114317-57-6</t>
  </si>
  <si>
    <t>CC1C2C(CC3C4CC=C5CC(O)CC(OC6OCC(O)C(O)C6OC6OC(C)C(O)C(O)C6O)C5(C)C4CCC23C)OC11CC(O)C(C)CO1</t>
  </si>
  <si>
    <t>CEUOJNPNKKLCDB-UHFFFAOYSA-N</t>
  </si>
  <si>
    <t>C38H60O13</t>
  </si>
  <si>
    <t>10.57_723.4304m/z</t>
  </si>
  <si>
    <t>Fuscaside B</t>
  </si>
  <si>
    <t>LMST05050036</t>
  </si>
  <si>
    <t>C1C[C@H](O[C@@H]2OC[C@@H](O)[C@H](O)[C@H]2O)C[C@]2([H])[C@H](O)C[C@]3([H])[C@@]([H])([C@]21C)CC[C@]1(C)[C@@]([H])([C@@H](CC[C@H](O[C@@H]2OC[C@@H](O)[C@H](O)[C@H]2O)[C@H](C)C)C)C[C@H](O)[C@]13[H]</t>
  </si>
  <si>
    <t>YXEPNYVZWCVYPE-SSDFDMOKSA-N</t>
  </si>
  <si>
    <t>C37H64O12</t>
  </si>
  <si>
    <t>6.09_631.2207m/z</t>
  </si>
  <si>
    <t>3'-Sialyllactosamine</t>
  </si>
  <si>
    <t>HMDB0006607</t>
  </si>
  <si>
    <t>126151-66-4</t>
  </si>
  <si>
    <t>CC(=O)N[C@@H]1[C@@H](O)C[C@@](O[C@H]2[C@@H](O)[C@@H](CO)O[C@@H](O[C@H]([C@H](O)CO)[C@H](O)[C@@H](N)C=O)[C@@H]2O)(OC1[C@H](O)[C@H](O)CO)C(O)=O</t>
  </si>
  <si>
    <t>MKNNYTWMAUAKMA-FRLIKFETSA-N</t>
  </si>
  <si>
    <t>C23H40N2O18</t>
  </si>
  <si>
    <t>5.71_345.1319m/z</t>
  </si>
  <si>
    <t>N-Acetylmuramyl-L-Alanine</t>
  </si>
  <si>
    <t>HMDB0255071</t>
  </si>
  <si>
    <t>CC(OC1C(N)C(OC(CO)C1O)N(C(C)C(O)=O)C(C)=O)C(O)=O</t>
  </si>
  <si>
    <t>BHFOXNINBMQQOR-UHFFFAOYSA-N</t>
  </si>
  <si>
    <t>C14H24N2O9</t>
  </si>
  <si>
    <t>10.33_377.1942m/z</t>
  </si>
  <si>
    <t>Pentosidine</t>
  </si>
  <si>
    <t>HMDB0003933</t>
  </si>
  <si>
    <t>124505-87-9</t>
  </si>
  <si>
    <t>N[C@@H](CCCCN1C=CC=C2N=C(NCCC[C@H](N)C(O)=O)N=C12)C(O)=O</t>
  </si>
  <si>
    <t>AYEKKSTZQYEZPU-RYUDHWBXSA-N</t>
  </si>
  <si>
    <t>C17H26N6O4</t>
  </si>
  <si>
    <t>7.77_391.1746m/z</t>
  </si>
  <si>
    <t>3-O-Methylniveusin A</t>
  </si>
  <si>
    <t>HMDB0039084</t>
  </si>
  <si>
    <t>COC12CC(O)C(C)(CC(OC(=O)C(\C)=C/C)C3C(OC(=O)C3=C)\C=C1\CO)O2</t>
  </si>
  <si>
    <t>MEJPFLKDAHVOFR-OLIGCOFLSA-N</t>
  </si>
  <si>
    <t>C21H28O8</t>
  </si>
  <si>
    <t>13.80_694.5214m/z</t>
  </si>
  <si>
    <t>Galactosylceramide (d18:1/14:0)</t>
  </si>
  <si>
    <t>HMDB0012321</t>
  </si>
  <si>
    <t>C02686</t>
  </si>
  <si>
    <t>148347-41-5</t>
  </si>
  <si>
    <t>CCCCCCCCCCCCC\C=C/C(O)C(CO[C@@H]1O[C@H](CO)[C@H](O)[C@H](O)[C@H]1O)NC(=O)CCCCCCCCCCCCC</t>
  </si>
  <si>
    <t>BDGGMKFFYWPIFU-RVGPXRCNSA-N</t>
  </si>
  <si>
    <t>C38H73NO8</t>
  </si>
  <si>
    <t>5.21_549.1977m/z</t>
  </si>
  <si>
    <t>Myricatomentoside I</t>
  </si>
  <si>
    <t>HMDB0031536</t>
  </si>
  <si>
    <t>191999-61-8</t>
  </si>
  <si>
    <t>COC1=C(OC2OC(CO)C(O)C(O)C2O)C2=CC=C1OC1=CC(CCC(=O)CCCC2)=CC=C1O</t>
  </si>
  <si>
    <t>RALVCBWUWHJOGL-UHFFFAOYSA-N</t>
  </si>
  <si>
    <t>C26H32O10</t>
  </si>
  <si>
    <t>4.51_519.1473m/z</t>
  </si>
  <si>
    <t>Musabalbisiane A</t>
  </si>
  <si>
    <t>HMDB0038680</t>
  </si>
  <si>
    <t>143183-61-3</t>
  </si>
  <si>
    <t>OC[C@@H]1C[C@@H](O)[C@]2(C=O)[C@@](CC(O)=O)([C@H](O)CC[C@]2(C=O)[C@@]11C[C@H](O[C@H]1O)C1=COC=C1)C(O)=O</t>
  </si>
  <si>
    <t>OCCSGWHBAQZQOW-ZUKDTQBBSA-N</t>
  </si>
  <si>
    <t>14.09_212.9786m/z</t>
  </si>
  <si>
    <t>Heptafluorobutyric Acid</t>
  </si>
  <si>
    <t>HMDB0253102</t>
  </si>
  <si>
    <t>OC(=O)C(F)(F)C(F)(F)C(F)(F)F</t>
  </si>
  <si>
    <t>YPJUNDFVDDCYIH-UHFFFAOYSA-N</t>
  </si>
  <si>
    <t>C4HF7O2</t>
  </si>
  <si>
    <t>2.61_541.1158m/z</t>
  </si>
  <si>
    <t>Pelargonidin</t>
  </si>
  <si>
    <t>HMDB0003263</t>
  </si>
  <si>
    <t>LMPK12010003</t>
  </si>
  <si>
    <t>C05904</t>
  </si>
  <si>
    <t>ko00941,ko00942</t>
  </si>
  <si>
    <t>Flavonoid biosynthesis|Anthocyanin biosynthesis</t>
  </si>
  <si>
    <t>7690-51-9</t>
  </si>
  <si>
    <t>C1(O)C=C2[O+]=C(C3=CC=C(O)C=C3)C(O)=CC2=C(O)C=1</t>
  </si>
  <si>
    <t>XVFMGWDSJLBXDZ-UHFFFAOYSA-O</t>
  </si>
  <si>
    <t>Hydroxyflavonoids</t>
  </si>
  <si>
    <t>C15H11O5+</t>
  </si>
  <si>
    <t>9.18_507.0284m/z</t>
  </si>
  <si>
    <t>Imidazole Citrate</t>
  </si>
  <si>
    <t>HMDB0253417</t>
  </si>
  <si>
    <t>OC12CC(=O)ON3C=C(OC(=O)C1)N=C3OC2=O</t>
  </si>
  <si>
    <t>VYKJZGXZKPUALN-UHFFFAOYSA-N</t>
  </si>
  <si>
    <t>C9H6N2O7</t>
  </si>
  <si>
    <t>1.35_245.1495m/z</t>
  </si>
  <si>
    <t>N-(3-Oxo-Heptanoyl)-Homoserine Lactone</t>
  </si>
  <si>
    <t>LMFA08030033</t>
  </si>
  <si>
    <t>[C@@H]1(CCOC1=O)NC(=O)CC(=O)CCCC</t>
  </si>
  <si>
    <t>WMGXONSYPOENKA-VIFPVBQESA-N</t>
  </si>
  <si>
    <t>C11H17NO4</t>
  </si>
  <si>
    <t>6.14_485.2025m/z</t>
  </si>
  <si>
    <t>Benzonaphthazepine</t>
  </si>
  <si>
    <t>HMDB0249024</t>
  </si>
  <si>
    <t>N1C=CC=CC2=C1C=CC1=C2C2=CC=CC=C2C=C1</t>
  </si>
  <si>
    <t>CWFLEPHNJKBEDC-UHFFFAOYSA-N</t>
  </si>
  <si>
    <t>C18H13N</t>
  </si>
  <si>
    <t>6.80_628.7928m/z</t>
  </si>
  <si>
    <t>Iodamide</t>
  </si>
  <si>
    <t>HMDB0253510</t>
  </si>
  <si>
    <t>CC(O)=NCC1=C(I)C(C(O)=O)=C(I)C(N=C(C)O)=C1I</t>
  </si>
  <si>
    <t>VVDGWALACJEJKG-UHFFFAOYSA-N</t>
  </si>
  <si>
    <t>C12H11I3N2O4</t>
  </si>
  <si>
    <t>0.67_173.1035m/z</t>
  </si>
  <si>
    <t>L-Arginine</t>
  </si>
  <si>
    <t>HMDB0000517</t>
  </si>
  <si>
    <t>C00062</t>
  </si>
  <si>
    <t>ko00220,ko00261,ko00330,ko00331,ko00470,ko00970,ko00997,ko02010,ko04150,ko04974,ko05014,ko05022,ko05142,ko05146,ko05230</t>
  </si>
  <si>
    <t>Arginine biosynthesis|Monobactam biosynthesis|Arginine and proline metabolism|Clavulanic acid biosynthesis|D-Amino acid metabolism|Aminoacyl-tRNA biosynthesis|Biosynthesis of various secondary metabolites - part 3|ABC transporters|mTOR signaling pathway|Protein digestion and absorption|Amyotrophic lateral sclerosis|Pathways of neurodegeneration - multiple diseases|Chagas disease|Amoebiasis|Central carbon metabolism in cancer</t>
  </si>
  <si>
    <t>74-79-3</t>
  </si>
  <si>
    <t>N[C@@H](CCCNC(N)=N)C(O)=O</t>
  </si>
  <si>
    <t>ODKSFYDXXFIFQN-BYPYZUCNSA-N</t>
  </si>
  <si>
    <t>C6H14N4O2</t>
  </si>
  <si>
    <t>13.64_480.4045m/z</t>
  </si>
  <si>
    <t>(3beta,22r,23r,24s)-3,22,23-Trihydroxystigmastan-6-One</t>
  </si>
  <si>
    <t>HMDB0039713</t>
  </si>
  <si>
    <t>90524-90-6</t>
  </si>
  <si>
    <t>CCC(C(C)C)C(O)C(O)C(C)C1CCC2C3CC(=O)C4CC(O)CCC4(C)C3CCC12C</t>
  </si>
  <si>
    <t>DYENWMUXSKPFLC-UHFFFAOYSA-N</t>
  </si>
  <si>
    <t>13.37_424.2586n</t>
  </si>
  <si>
    <t>PA(17:0/0:0)</t>
  </si>
  <si>
    <t>HMDB0062318</t>
  </si>
  <si>
    <t>LMGP10050036</t>
  </si>
  <si>
    <t>[C@](COP(=O)(O)O)([H])(O)COC(CCCCCCCCCCCCCCCC)=O</t>
  </si>
  <si>
    <t>AXKVUJMUBAXXKG-LJQANCHMSA-N</t>
  </si>
  <si>
    <t>C20H41O7P</t>
  </si>
  <si>
    <t>7.99_735.3411m/z</t>
  </si>
  <si>
    <t>Mitraphylline</t>
  </si>
  <si>
    <t>C09227</t>
  </si>
  <si>
    <t>509-80-8</t>
  </si>
  <si>
    <t>CC1C2CN3CCC4(C3CC2C(=CO1)C(=O)OC)C5=CC=CC=C5NC4=O</t>
  </si>
  <si>
    <t>JMIAZDVHNCCPDM-DAFCLMLCSA-N</t>
  </si>
  <si>
    <t>Indolizidines</t>
  </si>
  <si>
    <t>C21H24N2O4</t>
  </si>
  <si>
    <t>4.79_554.1881m/z</t>
  </si>
  <si>
    <t>Fiduxosin</t>
  </si>
  <si>
    <t>HMDB0252255</t>
  </si>
  <si>
    <t>COC1=CC=CC2=C1C1CN(CCCCN3C(=O)NC4=C(SC5=NC=C(N=C45)C4=CC=CC=C4)C3=O)CC1CO2</t>
  </si>
  <si>
    <t>WDTAYDBPNYFWDR-UHFFFAOYSA-N</t>
  </si>
  <si>
    <t>C30H29N5O4S</t>
  </si>
  <si>
    <t>6.44_671.4013m/z</t>
  </si>
  <si>
    <t>Acebutolol</t>
  </si>
  <si>
    <t>HMDB0015324</t>
  </si>
  <si>
    <t>C06803</t>
  </si>
  <si>
    <t>37517-30-9</t>
  </si>
  <si>
    <t>CCCC(=O)NC1=CC(C(C)=O)=C(OCC(O)CNC(C)C)C=C1</t>
  </si>
  <si>
    <t>GOEMGAFJFRBGGG-UHFFFAOYSA-N</t>
  </si>
  <si>
    <t>C18H28N2O4</t>
  </si>
  <si>
    <t>4.86_488.1770m/z</t>
  </si>
  <si>
    <t>Dathf</t>
  </si>
  <si>
    <t>HMDB0250875</t>
  </si>
  <si>
    <t>NC1=NC2=C(CC(CCC3=CC=C(C=C3)C(=O)NC(CCC(O)=O)C(O)=O)CN2)C(=O)N1</t>
  </si>
  <si>
    <t>ZUQBAQVRAURMCL-UHFFFAOYSA-N</t>
  </si>
  <si>
    <t>C21H25N5O6</t>
  </si>
  <si>
    <t>8.12_848.3832m/z</t>
  </si>
  <si>
    <t>Protoveratrine B</t>
  </si>
  <si>
    <t>C10816</t>
  </si>
  <si>
    <t>124-97-0</t>
  </si>
  <si>
    <t>CCC(C)C(=O)OC1C(C2C(CN3CC(CCC3C2(C)O)C)C4C1(C5C(C(C6C7(C5(C4)OC6(C(CC7)OC(=O)C(C)(C(C)O)O)O)C)OC(=O)C)OC(=O)C)O)O</t>
  </si>
  <si>
    <t>BFLXOMFFVWQPAZ-CEEVVQPDSA-N</t>
  </si>
  <si>
    <t>C41H63NO15</t>
  </si>
  <si>
    <t>5.30_484.1940n</t>
  </si>
  <si>
    <t>Plantacyanin</t>
  </si>
  <si>
    <t>HMDB0303586</t>
  </si>
  <si>
    <t>C1=CC=C2C(=C1)N(C1=CC=CC=C21)C1=CC=C(C=C1)C1=CC=C(C=C1)N1C2=CC=CC=C2C2=CC=CC=C12</t>
  </si>
  <si>
    <t>VFUDMQLBKNMONU-UHFFFAOYSA-N</t>
  </si>
  <si>
    <t>C36H24N2</t>
  </si>
  <si>
    <t>5.61_295.1558n</t>
  </si>
  <si>
    <t>Cyclohexyl Biphenyl-3-Ylcarbamate</t>
  </si>
  <si>
    <t>HMDB0246967</t>
  </si>
  <si>
    <t>565460-15-3</t>
  </si>
  <si>
    <t>O=C(NC1=CC=CC(=C1)C1=CC=CC=C1)OC1CCCCC1</t>
  </si>
  <si>
    <t>HHVUFQYJOSFTEH-UHFFFAOYSA-N</t>
  </si>
  <si>
    <t>C19H21NO2</t>
  </si>
  <si>
    <t>6.18_280.1823n</t>
  </si>
  <si>
    <t>Callyspongenol D</t>
  </si>
  <si>
    <t>LMFA05000721</t>
  </si>
  <si>
    <t>C(C#CCCCCCC#CC#CCCCC/C=C\C#C)O</t>
  </si>
  <si>
    <t>NENOYMHTWHLEKR-ARJAWSKDSA-N</t>
  </si>
  <si>
    <t>C20H24O</t>
  </si>
  <si>
    <t>7.20_553.2284m/z</t>
  </si>
  <si>
    <t>Queuine</t>
  </si>
  <si>
    <t>HMDB0001495</t>
  </si>
  <si>
    <t>C01449</t>
  </si>
  <si>
    <t>72496-59-4</t>
  </si>
  <si>
    <t>O[C@@H]1C=C[C@@H](NCC2=CNC3=C2C(=O)NC(=N)N3)[C@@H]1O</t>
  </si>
  <si>
    <t>WYROLENTHWJFLR-BHNWBGBOSA-N</t>
  </si>
  <si>
    <t>Pyrrolopyrimidines</t>
  </si>
  <si>
    <t>Pyrrolo[2,3-d]pyrimidines</t>
  </si>
  <si>
    <t>C12H15N5O3</t>
  </si>
  <si>
    <t>11.18_539.3940m/z</t>
  </si>
  <si>
    <t>Bhas#42</t>
  </si>
  <si>
    <t>LMFA13040040</t>
  </si>
  <si>
    <t>O([C@@H](CCCCCCCCCCCCCCCCCC[C@@H](O)CC(=O)O)C)[C@H]1[C@H](O)C[C@@H](O)[C@H](C)O1</t>
  </si>
  <si>
    <t>WJTVYQIDWKKLFI-HDVHYMLASA-N</t>
  </si>
  <si>
    <t>C29H56O7</t>
  </si>
  <si>
    <t>5.45_895.2825m/z</t>
  </si>
  <si>
    <t>Pamicogrel</t>
  </si>
  <si>
    <t>HMDB0256105</t>
  </si>
  <si>
    <t>CCOC(=O)CN1C=CC=C1C1=NC(=C(S1)C1=CC=C(OC)C=C1)C1=CC=C(OC)C=C1</t>
  </si>
  <si>
    <t>ISCHOARKJADAKJ-UHFFFAOYSA-N</t>
  </si>
  <si>
    <t>C25H24N2O4S</t>
  </si>
  <si>
    <t>6.59_686.2545n</t>
  </si>
  <si>
    <t>Calyxin J</t>
  </si>
  <si>
    <t>LMPK12140544</t>
  </si>
  <si>
    <t>C12O[C@@H](C3C=CC(O)=CC=3)C3[C@@H](C4C=CC(O)=CC=4)O[C@@H](CCC4C=CC(O)=CC=4)CC3C=1C1OC(C3C=CC(O)=CC=3)CC(=O)C=1C(OC)=C2</t>
  </si>
  <si>
    <t>VIDHFKRYBXNWLN-YYDCKXNUSA-N</t>
  </si>
  <si>
    <t>C42H38O9</t>
  </si>
  <si>
    <t>4.24_365.1816m/z</t>
  </si>
  <si>
    <t>Bhas#10</t>
  </si>
  <si>
    <t>LMFA13040053</t>
  </si>
  <si>
    <t>O([C@@H](CCCC[C@@H](O)CC(=O)O)C)[C@H]1[C@H](O)C[C@@H](O)[C@H](C)O1</t>
  </si>
  <si>
    <t>WNUSOZJRAZSLBP-AOWZIMASSA-N</t>
  </si>
  <si>
    <t>C15H28O7</t>
  </si>
  <si>
    <t>6.97_357.0613m/z</t>
  </si>
  <si>
    <t>Psoromic Acid</t>
  </si>
  <si>
    <t>7299-11-8</t>
  </si>
  <si>
    <t>CC1=CC(=C(C2=C1C(=O)OC3=C(O2)C(=CC(=C3C)OC)C(=O)O)C=O)O</t>
  </si>
  <si>
    <t>FUCWJKJZOHOLEO-UHFFFAOYSA-N</t>
  </si>
  <si>
    <t>C18H14O8</t>
  </si>
  <si>
    <t>7.12_407.1708m/z</t>
  </si>
  <si>
    <t>Fastigilin B</t>
  </si>
  <si>
    <t>C09451</t>
  </si>
  <si>
    <t>6995-11-5</t>
  </si>
  <si>
    <t>CC1C2C=CC(=O)C2(C(C3C(C(=O)OC3C1O)C)OC(=O)C=C(C)C)C</t>
  </si>
  <si>
    <t>DLISCHVYLYGCNV-HJDABSCOSA-N</t>
  </si>
  <si>
    <t>3.66_132.0444m/z</t>
  </si>
  <si>
    <t>Benzoxazinone</t>
  </si>
  <si>
    <t>HMDB0249036</t>
  </si>
  <si>
    <t>O=C1CC2=CC=CC=C2ON1</t>
  </si>
  <si>
    <t>HQQTZCPKNZVLFF-UHFFFAOYSA-N</t>
  </si>
  <si>
    <t>Benzoxazines</t>
  </si>
  <si>
    <t>C8H7NO2</t>
  </si>
  <si>
    <t>4.35_801.2985m/z</t>
  </si>
  <si>
    <t>Ipsapirone</t>
  </si>
  <si>
    <t>HMDB0253573</t>
  </si>
  <si>
    <t>O=C1N(CCCCN2CCN(CC2)C2=NC=CC=N2)S(=O)(=O)C2=CC=CC=C12</t>
  </si>
  <si>
    <t>TZJUVVIWVWFLCD-UHFFFAOYSA-N</t>
  </si>
  <si>
    <t>C19H23N5O3S</t>
  </si>
  <si>
    <t>3.25_393.0033m/z</t>
  </si>
  <si>
    <t>Dihydronaringenin-O-Sulphate</t>
  </si>
  <si>
    <t>HMDB0059996</t>
  </si>
  <si>
    <t>OC1=CC(O)=C(C(=O)CCC2=CC=C(OS(O)(=O)=O)C=C2)C(O)=C1</t>
  </si>
  <si>
    <t>IKBKWHISHDVLNO-UHFFFAOYSA-N</t>
  </si>
  <si>
    <t>C15H14O8S</t>
  </si>
  <si>
    <t>7.80_615.3284m/z</t>
  </si>
  <si>
    <t>PA(5-iso PGF2VI/10:0)</t>
  </si>
  <si>
    <t>HMDB0262688</t>
  </si>
  <si>
    <t>CCCCCCCCCC(=O)O[C@H](COC(=O)C\C=C/C[C@@H]1[C@@H](O)C[C@@H](O)[C@@H]1\C=C\[C@H](O)CCCCC)COP(O)(O)=O</t>
  </si>
  <si>
    <t>USHYAABBKPVWGJ-ALXJYBTHSA-N</t>
  </si>
  <si>
    <t>C31H55O11P</t>
  </si>
  <si>
    <t>9.60_594.2804n</t>
  </si>
  <si>
    <t>Tyr-Gly-Gly-Trp-Leu</t>
  </si>
  <si>
    <t>HMDB0259342</t>
  </si>
  <si>
    <t>CC(C)CC(NC(=O)C(CC1=CNC2=CC=CC=C12)NC(=O)CNC(=O)CNC(=O)C(N)CC1=CC=C(O)C=C1)C(O)=O</t>
  </si>
  <si>
    <t>RLDBWDFQAZNDLP-UHFFFAOYSA-N</t>
  </si>
  <si>
    <t>C30H38N6O7</t>
  </si>
  <si>
    <t>6.48_459.2738m/z</t>
  </si>
  <si>
    <t>Lucidenic Acid A</t>
  </si>
  <si>
    <t>HMDB0037611</t>
  </si>
  <si>
    <t>95311-94-7</t>
  </si>
  <si>
    <t>CC(CCC(O)=O)C1CC(=O)C2(C)C3=C(C(=O)CC12C)C1(C)CCC(=O)C(C)(C)C1CC3O</t>
  </si>
  <si>
    <t>INIPQDKLXQHEAJ-UHFFFAOYSA-N</t>
  </si>
  <si>
    <t>C27H38O6</t>
  </si>
  <si>
    <t>9.31_993.4832m/z</t>
  </si>
  <si>
    <t>PGP(20:1(11Z)/PGF2alpha)</t>
  </si>
  <si>
    <t>HMDB0273257</t>
  </si>
  <si>
    <t>CCCCCCCC\C=C/CCCCCCCCCC(=O)OC[C@H](COP(O)(=O)OC[C@@H](O)COP(O)(O)=O)OC(=O)CCC\C=C\C[C@H]1[C@@H](O)C[C@@H](O)[C@@H]1\C=C\[C@@H](O)CCCCC</t>
  </si>
  <si>
    <t>MCKYEHZTCCLDQK-VBUZOKRCSA-N</t>
  </si>
  <si>
    <t>C46H84O16P2</t>
  </si>
  <si>
    <t>3.39_431.0592m/z</t>
  </si>
  <si>
    <t>N-Desmethyl Enzalutamide</t>
  </si>
  <si>
    <t>HMDB0255117</t>
  </si>
  <si>
    <t>CC1(C)N(C(=S)N(C1=O)C1=CC(=C(C=C1)C#N)C(F)(F)F)C1=CC(F)=C(C=C1)C(N)=O</t>
  </si>
  <si>
    <t>JSFOGZGIBIQRPU-UHFFFAOYSA-N</t>
  </si>
  <si>
    <t>C20H14F4N4O2S</t>
  </si>
  <si>
    <t>4.49_977.2496m/z</t>
  </si>
  <si>
    <t>Kaempferol 3-(2'''-Sinapoylsophoroside) 7-Glucoside</t>
  </si>
  <si>
    <t>HMDB0037440</t>
  </si>
  <si>
    <t>61042-11-3</t>
  </si>
  <si>
    <t>COC1=CC(\C=C\C(=O)OC2C(OC3C(OC4=C(OC5=CC(OC6OC(CO)C(O)C(O)C6O)=CC(O)=C5C4=O)C4=CC=C(O)C=C4)OC(CO)C(O)C3O)OC(CO)C(O)C2O)=CC(OC)=C1O</t>
  </si>
  <si>
    <t>YXXQWPJFPHUNRF-FPYGCLRLSA-N</t>
  </si>
  <si>
    <t>C44H50O25</t>
  </si>
  <si>
    <t>1.06_174.1256n</t>
  </si>
  <si>
    <t>2-Allyloxymethyl-2-Ethylpropanediol</t>
  </si>
  <si>
    <t>CCC(CO)(CO)COCC=C</t>
  </si>
  <si>
    <t>LZDXRPVSAKWYDH-UHFFFAOYSA-N</t>
  </si>
  <si>
    <t>C9H18O3</t>
  </si>
  <si>
    <t>8.22_711.2423m/z</t>
  </si>
  <si>
    <t>Xanthoxylol</t>
  </si>
  <si>
    <t>HMDB0029459</t>
  </si>
  <si>
    <t>54983-95-8</t>
  </si>
  <si>
    <t>COC1=C(O)C=CC(=C1)C1OCC2C1COC2C1=CC2=C(OCO2)C=C1</t>
  </si>
  <si>
    <t>VBIRCRCPHNUJAS-UHFFFAOYSA-N</t>
  </si>
  <si>
    <t>10.19_647.3393m/z</t>
  </si>
  <si>
    <t>Dokdolipid C</t>
  </si>
  <si>
    <t>LMFA13030022</t>
  </si>
  <si>
    <t>O([C@H](CCCCCCCCCCCCC[C@H](O)C)CC(=O)O)[C@H]1[C@H](O[C@H]2[C@H](O)[C@H](O)[C@@H](O)[C@H](C)O2)[C@H](O)[C@@H](O)[C@H](C)O1</t>
  </si>
  <si>
    <t>RYTIKEDVGHOTEX-AKPHOZAOSA-N</t>
  </si>
  <si>
    <t>C30H56O12</t>
  </si>
  <si>
    <t>5.03_498.1889n</t>
  </si>
  <si>
    <t>Tyr-Val-Ala-Asp-Chloromethyl Ketone</t>
  </si>
  <si>
    <t>HMDB0259348</t>
  </si>
  <si>
    <t>CC(C)C(NC(=O)C(N)CC1=CC=C(O)C=C1)C(=O)NC(C)C(=O)NC(CC(O)=O)C(=O)CCl</t>
  </si>
  <si>
    <t>HTXLWQRYWUYNFF-UHFFFAOYSA-N</t>
  </si>
  <si>
    <t>M+H-H2O, M+NH4, M+Na</t>
  </si>
  <si>
    <t>C22H31ClN4O7</t>
  </si>
  <si>
    <t>2.61_480.9562m/z</t>
  </si>
  <si>
    <t>Umbelliferone Sulfate</t>
  </si>
  <si>
    <t>HMDB0240565</t>
  </si>
  <si>
    <t>[O-]S(=O)(=O)OC1=CC2=C(C=CC(=O)O2)C=C1</t>
  </si>
  <si>
    <t>LJOOSFYJELZGMR-UHFFFAOYSA-M</t>
  </si>
  <si>
    <t>C9H5O6S-</t>
  </si>
  <si>
    <t>4.40_642.2751m/z</t>
  </si>
  <si>
    <t>Gly-Pro-Gly-Arg-Ala-Phe</t>
  </si>
  <si>
    <t>HMDB0252833</t>
  </si>
  <si>
    <t>CC(NC(=O)C(CCCN=C(N)N)NC(=O)CNC(=O)C1CCCN1C(=O)CN)C(=O)NC(CC1=CC=CC=C1)C(O)=O</t>
  </si>
  <si>
    <t>BRENMGSWNOZDLU-UHFFFAOYSA-N</t>
  </si>
  <si>
    <t>C27H41N9O7</t>
  </si>
  <si>
    <t>9.37_591.3195n</t>
  </si>
  <si>
    <t>PC(0:0/PGE2)</t>
  </si>
  <si>
    <t>LMGP20010051</t>
  </si>
  <si>
    <t>C(OP(OCC[N+](C)(C)C)([O-])=O)[C@]([H])(OC(=O)CCC/C=C\C[C@H]1C(=O)C[C@@H](O)[C@@H]1/C=C/[C@@H](O)CCCCC)CO</t>
  </si>
  <si>
    <t>QFBMVHPGUOVSGP-QJRTVADPSA-N</t>
  </si>
  <si>
    <t>C28H50NO10P</t>
  </si>
  <si>
    <t>6.69_572.3575m/z</t>
  </si>
  <si>
    <t>PG(10:0/10:0)</t>
  </si>
  <si>
    <t>LMGP04010032</t>
  </si>
  <si>
    <t>[H][C@](O)(CO)COP(OC[C@]([H])(OC(CCCCCCCCC)=O)COC(CCCCCCCCC)=O)(=O)O</t>
  </si>
  <si>
    <t>IOLZSQRFJBMYSU-BJKOFHAPSA-N</t>
  </si>
  <si>
    <t>C26H51O10P</t>
  </si>
  <si>
    <t>4.38_179.0340m/z</t>
  </si>
  <si>
    <t>Caffeic Acid</t>
  </si>
  <si>
    <t>HMDB0001964</t>
  </si>
  <si>
    <t>C01481</t>
  </si>
  <si>
    <t>501-16-6</t>
  </si>
  <si>
    <t>OC(=O)\C=C\C1=CC(O)=C(O)C=C1</t>
  </si>
  <si>
    <t>QAIPRVGONGVQAS-DUXPYHPUSA-N</t>
  </si>
  <si>
    <t>C9H8O4</t>
  </si>
  <si>
    <t>7.85_479.2426m/z</t>
  </si>
  <si>
    <t>Glyvenol</t>
  </si>
  <si>
    <t>HMDB0252894</t>
  </si>
  <si>
    <t>CCOC1OC(C(COCC2=CC=CC=C2)OCC2=CC=CC=C2)C(OCC2=CC=CC=C2)C1O</t>
  </si>
  <si>
    <t>ULLNJSBQMBKOJH-UHFFFAOYSA-N</t>
  </si>
  <si>
    <t>C29H34O6</t>
  </si>
  <si>
    <t>3.56_883.1858m/z</t>
  </si>
  <si>
    <t>Indanthrene</t>
  </si>
  <si>
    <t>HMDB0253449</t>
  </si>
  <si>
    <t>O=C1C2=CC=CC=C2C(=O)C2=C1C=CC1=C2NC2=C(N1)C1=C(C=C2)C(=O)C2=CC=CC=C2C1=O</t>
  </si>
  <si>
    <t>UHOKSCJSTAHBSO-UHFFFAOYSA-N</t>
  </si>
  <si>
    <t>C28H14N2O4</t>
  </si>
  <si>
    <t>5.74_477.3209m/z</t>
  </si>
  <si>
    <t>N-Oleoyl Arginine</t>
  </si>
  <si>
    <t>HMDB0241954</t>
  </si>
  <si>
    <t>CCCCCCCCC=CCCCCCCCC(=O)NC(CCCN=C(N)N)C(O)=O</t>
  </si>
  <si>
    <t>YZYYKAWTXPUEGT-UHFFFAOYSA-N</t>
  </si>
  <si>
    <t>C24H46N4O3</t>
  </si>
  <si>
    <t>9.95_665.3542m/z</t>
  </si>
  <si>
    <t>(1alpha,3beta,20s,22r,24s,25s)-Pubescenin</t>
  </si>
  <si>
    <t>HMDB0030011</t>
  </si>
  <si>
    <t>100217-93-4</t>
  </si>
  <si>
    <t>CC(C1CCC2C3CC=C4CC(CC(O)C4(C)C3CCC12C)OC1OC(CO)C(O)C(O)C1O)C1CC2(C)OC2(C)C(=O)O1</t>
  </si>
  <si>
    <t>OVHWHMIFHTVFRU-UHFFFAOYSA-N</t>
  </si>
  <si>
    <t>C34H52O10</t>
  </si>
  <si>
    <t>6.31_177.0547m/z</t>
  </si>
  <si>
    <t>Trans-2-Methoxycinnamic Acid</t>
  </si>
  <si>
    <t>HMDB0302514</t>
  </si>
  <si>
    <t>[H]\C(=C(\[H])C1=CC=CC=C1OC)C(O)=O</t>
  </si>
  <si>
    <t>FEGVSPGUHMGGBO-VOTSOKGWSA-N</t>
  </si>
  <si>
    <t>9.86_767.3298n</t>
  </si>
  <si>
    <t>Pentagastrin</t>
  </si>
  <si>
    <t>HMDB0014329</t>
  </si>
  <si>
    <t>5534-95-2</t>
  </si>
  <si>
    <t>CSCC[C@H](NC(=O)[C@H](CC1=CNC2=CC=CC=C12)NC(=O)CCNC(=O)OCC(C)C)C(=O)N[C@@H](CC(O)=O)C(=O)N[C@@H](CC1=CC=CC=C1)C(N)=O</t>
  </si>
  <si>
    <t>ALXRNCVIQSDJAO-KRCBVYEFSA-N</t>
  </si>
  <si>
    <t>C37H49N7O9S</t>
  </si>
  <si>
    <t>11.01_592.3617m/z</t>
  </si>
  <si>
    <t>PC(20:2(11Z,14Z)/0:0)</t>
  </si>
  <si>
    <t>HMDB0010392</t>
  </si>
  <si>
    <t>LMGP01050132</t>
  </si>
  <si>
    <t>[C@](COP(=O)([O-])OCC[N+](C)(C)C)([H])(O)COC(CCCCCCCCC/C=C\C/C=C\CCCCC)=O</t>
  </si>
  <si>
    <t>YYQVCMMXPIJVHY-ZOIJLGJPSA-N</t>
  </si>
  <si>
    <t>C28H54NO7P</t>
  </si>
  <si>
    <t>3.97_394.1477n</t>
  </si>
  <si>
    <t>1-(3-Methyl-2-Butenoyl)-6-Apiosylglucose</t>
  </si>
  <si>
    <t>HMDB0039952</t>
  </si>
  <si>
    <t>467242-32-6</t>
  </si>
  <si>
    <t>CC(C)=CC(=O)OC1OC(COC2OCC(O)(CO)C2O)C(O)C(O)C1O</t>
  </si>
  <si>
    <t>MVLVZZLLWUAMRM-UHFFFAOYSA-N</t>
  </si>
  <si>
    <t>C16H26O11</t>
  </si>
  <si>
    <t>4.35_851.1813m/z</t>
  </si>
  <si>
    <t>Celosianin</t>
  </si>
  <si>
    <t>HMDB0302989</t>
  </si>
  <si>
    <t>OC[C@H]1OC(OC2=C(O)C=C3C(C[C@@H](C([O-])=O)[N+]3=C\C=C3/C[C@H]([NH2+]C(=C3)C([O-])=O)C([O-])=O)=C2)[C@H](OC2O[C@@H]([C@@H](O)[C@H](O)[C@H]2OC(=O)\C=C/C2=CC=C(O)C=C2)C([O-])=O)[C@@H](O)[C@@H]1O</t>
  </si>
  <si>
    <t>VYAFZESLHLWKCS-AHJBFHQGSA-L</t>
  </si>
  <si>
    <t>C39H38N2O21-2</t>
  </si>
  <si>
    <t>4.67_205.0739n</t>
  </si>
  <si>
    <t>Indolelactic Acid</t>
  </si>
  <si>
    <t>HMDB0000671</t>
  </si>
  <si>
    <t>C02043</t>
  </si>
  <si>
    <t>1821-52-9</t>
  </si>
  <si>
    <t>C1=CC=C2C(=C1)C(=CN2)CC(C(=O)O)O</t>
  </si>
  <si>
    <t>XGILAAMKEQUXLS-UHFFFAOYSA-N</t>
  </si>
  <si>
    <t>C11H11NO3</t>
  </si>
  <si>
    <t>3.67_485.1877m/z</t>
  </si>
  <si>
    <t>N-Methyl-2-[3-(Trifluoromethyl)Phenyl]-3,4-Dihydropyrazol-5-Amine</t>
  </si>
  <si>
    <t>HMDB0249487</t>
  </si>
  <si>
    <t>CN=C1CCN(N1)C1=CC=CC(=C1)C(F)(F)F</t>
  </si>
  <si>
    <t>MWRJSSGQTGTSKH-UHFFFAOYSA-N</t>
  </si>
  <si>
    <t>C11H12F3N3</t>
  </si>
  <si>
    <t>5.61_275.1547m/z</t>
  </si>
  <si>
    <t>Denzimol</t>
  </si>
  <si>
    <t>HMDB0251002</t>
  </si>
  <si>
    <t>OC(CN1C=CN=C1)C1=CC=C(CCC2=CC=CC=C2)C=C1</t>
  </si>
  <si>
    <t>IAWIJHCUEPVIOO-UHFFFAOYSA-N</t>
  </si>
  <si>
    <t>C19H20N2O</t>
  </si>
  <si>
    <t>3.53_464.0958n</t>
  </si>
  <si>
    <t>Myricitrin</t>
  </si>
  <si>
    <t>LMPK12112436</t>
  </si>
  <si>
    <t>C10108</t>
  </si>
  <si>
    <t>C1(O)=CC2OC(C3C=C(O)C(O)=C(O)C=3)=C(O[C@H]3[C@H](O)[C@H](O)[C@@H](O)[C@H](C)O3)C(=O)C=2C(O)=C1</t>
  </si>
  <si>
    <t>DCYOADKBABEMIQ-OWMUPTOHSA-N</t>
  </si>
  <si>
    <t>C21H20O12</t>
  </si>
  <si>
    <t>5.77_528.2800m/z</t>
  </si>
  <si>
    <t>Vertilmicin</t>
  </si>
  <si>
    <t>HMDB0242753</t>
  </si>
  <si>
    <t>CCNC1CC(N)C(OC2OC(=CCC2N)C(C)N)C(O)C1OC1OCC(C)(O)C(NC)C1O</t>
  </si>
  <si>
    <t>QVRLHIRFLRXFIW-UHFFFAOYSA-N</t>
  </si>
  <si>
    <t>C22H43N5O7</t>
  </si>
  <si>
    <t>3.11_445.0415m/z</t>
  </si>
  <si>
    <t>Ellagic Acid Glucoside</t>
  </si>
  <si>
    <t>HMDB0301703</t>
  </si>
  <si>
    <t>[H][C@]1(CO)O[C@@]([H])(OC2=CC3=C4C(OC(=O)C5=CC(O)=C(O)C(OC3=O)=C45)=C2O)[C@]([H])(O)[C@@]([H])(O)[C@]1([H])O</t>
  </si>
  <si>
    <t>DOPSJTNYZLQUNU-XQKIPRNGSA-N</t>
  </si>
  <si>
    <t>C20H16O13</t>
  </si>
  <si>
    <t>8.56_272.2580m/z</t>
  </si>
  <si>
    <t>7z-Palmitoleic Acid</t>
  </si>
  <si>
    <t>HMDB0002186</t>
  </si>
  <si>
    <t>LMFA01030055</t>
  </si>
  <si>
    <t>2416-19-5</t>
  </si>
  <si>
    <t>C(=C/CCCCCCCC)/CCCCCC(=O)O</t>
  </si>
  <si>
    <t>PJHOFUXBXJNUAC-KTKRTIGZSA-N</t>
  </si>
  <si>
    <t>C16H30O2</t>
  </si>
  <si>
    <t>4.58_163.0752m/z</t>
  </si>
  <si>
    <t>(E)-Methyl Ester 3-Phenyl-2-Propenoic Acid</t>
  </si>
  <si>
    <t>HMDB0303905</t>
  </si>
  <si>
    <t>C06358</t>
  </si>
  <si>
    <t>103-26-4</t>
  </si>
  <si>
    <t>COC(=O)\C=C\C1=CC=CC=C1</t>
  </si>
  <si>
    <t>CCRCUPLGCSFEDV-BQYQJAHWSA-N</t>
  </si>
  <si>
    <t>10.37_553.2686m/z</t>
  </si>
  <si>
    <t>SQMG(16:1(9Z)/0:0)</t>
  </si>
  <si>
    <t>LMGL04010002</t>
  </si>
  <si>
    <t>[C@](CO[C@@H]1[C@H](O)[C@@H](O)[C@H](O)[C@@H](CS(O)(=O)=O)O1)([H])(O)COC(=O)CCCCCCC/C=C\CCCCCC</t>
  </si>
  <si>
    <t>OGARSMGVMPSJRA-UUVKLZRASA-N</t>
  </si>
  <si>
    <t>C25H46O11S</t>
  </si>
  <si>
    <t>5.79_349.2231m/z</t>
  </si>
  <si>
    <t>5-Hydroxy Saxagliptin</t>
  </si>
  <si>
    <t>HMDB0061099</t>
  </si>
  <si>
    <t>[H]C12CC3(O)CC(O)(C1)CC(C2)(C3)[C@H](N)C(=O)N1[C@@H]2C[C@@H]2C[C@@H]1C#N</t>
  </si>
  <si>
    <t>GAWUJFVQGSLSSZ-HREDRMPBSA-N</t>
  </si>
  <si>
    <t>C18H25N3O3</t>
  </si>
  <si>
    <t>11.14_269.2585m/z</t>
  </si>
  <si>
    <t>Herculin</t>
  </si>
  <si>
    <t>HMDB0030275</t>
  </si>
  <si>
    <t>LMFA08020180</t>
  </si>
  <si>
    <t>CCC/C=C/CCCC/C=C/C(=O)NCC(C)C</t>
  </si>
  <si>
    <t>JNPRQUIWDVDHIT-GYIPPJPDSA-N</t>
  </si>
  <si>
    <t>C16H29NO</t>
  </si>
  <si>
    <t>10.58_480.3085m/z</t>
  </si>
  <si>
    <t>PE(18:1(9Z)/0:0)</t>
  </si>
  <si>
    <t>HMDB0011506</t>
  </si>
  <si>
    <t>LMGP02050004</t>
  </si>
  <si>
    <t>89576-29-4</t>
  </si>
  <si>
    <t>[C@](COP(=O)(O)OCCN)([H])(O)COC(CCCCCCC/C=C\CCCCCCCC)=O</t>
  </si>
  <si>
    <t>PYVRVRFVLRNJLY-MZMPXXGTSA-N</t>
  </si>
  <si>
    <t>C23H46NO7P</t>
  </si>
  <si>
    <t>3.73_200.0290m/z</t>
  </si>
  <si>
    <t>Thiabendazole</t>
  </si>
  <si>
    <t>HMDB0014868</t>
  </si>
  <si>
    <t>C07131</t>
  </si>
  <si>
    <t>148-79-8</t>
  </si>
  <si>
    <t>N1C2=CC=CC=C2N=C1C1=CSC=N1</t>
  </si>
  <si>
    <t>WJCNZQLZVWNLKY-UHFFFAOYSA-N</t>
  </si>
  <si>
    <t>C10H7N3S</t>
  </si>
  <si>
    <t>4.78_455.2277m/z</t>
  </si>
  <si>
    <t>(S)-Menthone 8-Thioacetate</t>
  </si>
  <si>
    <t>HMDB0037386</t>
  </si>
  <si>
    <t>57129-12-1</t>
  </si>
  <si>
    <t>C[C@H]1CC[C@@H](C(=O)C1)C(C)(C)SC(C)=O</t>
  </si>
  <si>
    <t>AMXPURQVAMENCC-WPRPVWTQSA-N</t>
  </si>
  <si>
    <t>C12H20O2S</t>
  </si>
  <si>
    <t>3.67_379.1399m/z</t>
  </si>
  <si>
    <t>(S)-Bitalin A 12-Glucoside</t>
  </si>
  <si>
    <t>HMDB0038328</t>
  </si>
  <si>
    <t>CC(=O)C1=CC2=C(OC(C2)C(=C)COC2OC(CO)C(O)C(O)C2O)C=C1</t>
  </si>
  <si>
    <t>TTWVIHLNMJFBMC-UHFFFAOYSA-N</t>
  </si>
  <si>
    <t>C19H24O8</t>
  </si>
  <si>
    <t>11.99_495.2479m/z</t>
  </si>
  <si>
    <t>PA(21:4(6Z,9Z,12Z,15Z)/0:0)</t>
  </si>
  <si>
    <t>LMGP10050003</t>
  </si>
  <si>
    <t>[C@](COP(=O)(O)O)([H])(O)COC(CCCC/C=C\C/C=C\C/C=C\C/C=C\CCCCC)=O</t>
  </si>
  <si>
    <t>QGRGKKKASAUUCG-MDGVENSFSA-N</t>
  </si>
  <si>
    <t>C24H41O7P</t>
  </si>
  <si>
    <t>1.31_152.0566m/z</t>
  </si>
  <si>
    <t>Guanine</t>
  </si>
  <si>
    <t>HMDB0000132</t>
  </si>
  <si>
    <t>C00242</t>
  </si>
  <si>
    <t>73-40-5</t>
  </si>
  <si>
    <t>NC1=NC(=O)C2=C(N1)N=CN2</t>
  </si>
  <si>
    <t>UYTPUPDQBNUYGX-UHFFFAOYSA-N</t>
  </si>
  <si>
    <t>C5H5N5O</t>
  </si>
  <si>
    <t>12.08_413.3407m/z</t>
  </si>
  <si>
    <t>25-Hydroxyvitamin D2 / 25-Hydroxyergocalciferol</t>
  </si>
  <si>
    <t>HMDB01438</t>
  </si>
  <si>
    <t>LMST03010030</t>
  </si>
  <si>
    <t>21343-40-8</t>
  </si>
  <si>
    <t>C1C(=C)/C(=C\C=C2\[C@]3([H])CC[C@@]([C@@](C)([H])/C=C/[C@H](C)C(O)(C)C)([H])[C@@]3(C)CCC\2)/C[C@@H](O)C1</t>
  </si>
  <si>
    <t>KJKIIUAXZGLUND-ICCVIKJNSA-N</t>
  </si>
  <si>
    <t>C28H44O2</t>
  </si>
  <si>
    <t>3.79_358.0777m/z</t>
  </si>
  <si>
    <t>Salicylamide Glucuronide</t>
  </si>
  <si>
    <t>HMDB0257458</t>
  </si>
  <si>
    <t>NC(=O)C1=CC=CC=C1OC1OC(C(O)C(O)C1O)C(O)=O</t>
  </si>
  <si>
    <t>AEMUKQHDNNVAES-UHFFFAOYSA-N</t>
  </si>
  <si>
    <t>C13H15NO8</t>
  </si>
  <si>
    <t>0.97_358.9933m/z</t>
  </si>
  <si>
    <t>Phenthoate</t>
  </si>
  <si>
    <t>HMDB0256420</t>
  </si>
  <si>
    <t>C14429</t>
  </si>
  <si>
    <t>2597-03-7</t>
  </si>
  <si>
    <t>CCOC(=O)C(SP(=S)(OC)OC)C1=CC=CC=C1</t>
  </si>
  <si>
    <t>XAMUDJHXFNRLCY-UHFFFAOYSA-N</t>
  </si>
  <si>
    <t>C12H17O4PS2</t>
  </si>
  <si>
    <t>10.94_1018.5939m/z</t>
  </si>
  <si>
    <t>As-PL(20:0/15:0)</t>
  </si>
  <si>
    <t>LMGP14010010</t>
  </si>
  <si>
    <t>[C@](COP(=O)(O)OCC(O)CO[C@H]1[C@H](O)[C@H](O)[C@@H](C[As](C)(=O)C)O1)([H])(OC(CCCCCCCCCCCCCC)=O)COC(CCCCCCCCCCCCCCCCCCC)=O</t>
  </si>
  <si>
    <t>UYVBEQOHCMEYGX-JIGYZZFZSA-N</t>
  </si>
  <si>
    <t>C48H94AsO14P</t>
  </si>
  <si>
    <t>11.46_524.3710m/z</t>
  </si>
  <si>
    <t>PC(O-16:0/2:0)</t>
  </si>
  <si>
    <t>HMDB0062195</t>
  </si>
  <si>
    <t>LMGP01020046</t>
  </si>
  <si>
    <t>74389-68-7</t>
  </si>
  <si>
    <t>[C@](COP(=O)([O-])OCC[N+](C)(C)C)([H])(OC(C)=O)COCCCCCCCCCCCCCCCC</t>
  </si>
  <si>
    <t>HVAUUPRFYPCOCA-AREMUKBSSA-N</t>
  </si>
  <si>
    <t>C26H54NO7P</t>
  </si>
  <si>
    <t>3.93_264.1360n</t>
  </si>
  <si>
    <t>Tanacetin</t>
  </si>
  <si>
    <t>HMDB0035715</t>
  </si>
  <si>
    <t>1401-54-3</t>
  </si>
  <si>
    <t>CC12CCC3C(OC(=O)C3=C)C1(O)C(=C)CCC2O</t>
  </si>
  <si>
    <t>CFUWPZZLCJXNSQ-UHFFFAOYSA-N</t>
  </si>
  <si>
    <t>4.45_607.2007m/z</t>
  </si>
  <si>
    <t>5,7-Dihydroxy-3',4'-Dimethoxy-8-(3-Hydroxy-3-Methylbutyl)-Isoflavone 7-Glucoside</t>
  </si>
  <si>
    <t>HMDB0034812</t>
  </si>
  <si>
    <t>COC1=CC=C(C=C1OC)C1=COC2=C(CCC(C)(C)O)C(O[C@@H]3O[C@H](CO)[C@@H](O)[C@H](O)[C@H]3O)=CC(O)=C2C1=O</t>
  </si>
  <si>
    <t>AQOVBCDOFOOETK-KAPITKBASA-N</t>
  </si>
  <si>
    <t>C28H34O12</t>
  </si>
  <si>
    <t>10.01_405.2312m/z</t>
  </si>
  <si>
    <t>Calycanthidine</t>
  </si>
  <si>
    <t>HMDB0030281</t>
  </si>
  <si>
    <t>C09097</t>
  </si>
  <si>
    <t>5516-85-8</t>
  </si>
  <si>
    <t>CN1CCC2(C1NC1=C2C=CC=C1)C12CCN(C)C1N(C)C1=C2C=CC=C1</t>
  </si>
  <si>
    <t>GSQUXSFTXJRLQJ-UHFFFAOYSA-N</t>
  </si>
  <si>
    <t>Pyrroloindoles</t>
  </si>
  <si>
    <t>C23H28N4</t>
  </si>
  <si>
    <t>3.72_323.0738m/z</t>
  </si>
  <si>
    <t>(2s,3r,4r,6r,7s,8r,9r)-1,2,3,4,6,7,8,9-Octahydroxydecan-5-One</t>
  </si>
  <si>
    <t>HMDB0255321</t>
  </si>
  <si>
    <t>CC(O)C(O)C(O)C(O)C(=O)C(O)C(O)C(O)CO</t>
  </si>
  <si>
    <t>IWVGVRYMNNLIKH-UHFFFAOYSA-N</t>
  </si>
  <si>
    <t>C10H20O9</t>
  </si>
  <si>
    <t>1.52_383.1446m/z</t>
  </si>
  <si>
    <t>2-Iodo-Hexadecanoic Acid</t>
  </si>
  <si>
    <t>LMFA01090037</t>
  </si>
  <si>
    <t>C(C(I)CCCCCCCCCCCCCC)(=O)O</t>
  </si>
  <si>
    <t>YLPKUDQPEREJNG-UHFFFAOYSA-N</t>
  </si>
  <si>
    <t>C16H31IO2</t>
  </si>
  <si>
    <t>12.80_446.3632m/z</t>
  </si>
  <si>
    <t>1alpha,25-Dihydroxyvitamin D2</t>
  </si>
  <si>
    <t>HMDB0006225</t>
  </si>
  <si>
    <t>LMST03010040</t>
  </si>
  <si>
    <t>60133-18-8</t>
  </si>
  <si>
    <t>[C@@H]1(O)C(=C)/C(=C\C=C2\[C@]3([H])CC[C@@]([C@@](C)([H])/C=C/[C@H](C)C(O)(C)C)([H])[C@@]3(C)CCC\2)/C[C@@H](O)C1</t>
  </si>
  <si>
    <t>ZGLHBRQAEXKACO-XJRQOBMKSA-N</t>
  </si>
  <si>
    <t>C28H44O3</t>
  </si>
  <si>
    <t>9.35_459.2739m/z</t>
  </si>
  <si>
    <t>DG(2:0/22:6(4Z,7Z,11E,13Z,15E,19Z)-2OH(10S,17)/0:0)</t>
  </si>
  <si>
    <t>HMDB0297023</t>
  </si>
  <si>
    <t>CC\C=C/C[C@H](O)\C=C\C=C/C=C/[C@H](O)C\C=C/C\C=C/CCC(=O)O[C@@H](CO)COC(C)=O</t>
  </si>
  <si>
    <t>BXQZQJOEMKGRKT-DVQAMCMWSA-N</t>
  </si>
  <si>
    <t>6.14_626.2962m/z</t>
  </si>
  <si>
    <t>Pob-Ps</t>
  </si>
  <si>
    <t>LMGP20040017</t>
  </si>
  <si>
    <t>C(O)(=O)[C@@]([H])(N)COP(OC[C@]([H])(OC(CCC(=O)[H])=O)COC(CCCCCCCCCCCCCCC)=O)(=O)O</t>
  </si>
  <si>
    <t>IMHWZIBEXZSLHP-PKTZIBPZSA-N</t>
  </si>
  <si>
    <t>C26H48NO11P</t>
  </si>
  <si>
    <t>5.36_495.1276m/z</t>
  </si>
  <si>
    <t>Chloroethyl Nitrosourea</t>
  </si>
  <si>
    <t>HMDB0255807</t>
  </si>
  <si>
    <t>NC(=O)C1CCCN1C(=O)N(CCCl)N=O</t>
  </si>
  <si>
    <t>ZOBZYPPNZPDEHJ-UHFFFAOYSA-N</t>
  </si>
  <si>
    <t>C8H13ClN4O3</t>
  </si>
  <si>
    <t>4.79_803.2769m/z</t>
  </si>
  <si>
    <t>Baohuoside Vi</t>
  </si>
  <si>
    <t>HMDB0248862</t>
  </si>
  <si>
    <t>COC1=CC=C(C=C1)C1=C(OC2OC(C)C(O)C(O)C2OC2OC(C)C(O)C(O)C2O)C(=O)C2=C(O)C=C(OC3OC(CO)C(O)C(O)C3O)C(CC=C(C)C)=C2O1</t>
  </si>
  <si>
    <t>ULZLIYVOYYQJRO-UHFFFAOYSA-N</t>
  </si>
  <si>
    <t>C39H50O19</t>
  </si>
  <si>
    <t>3.99_384.2144n</t>
  </si>
  <si>
    <t>20-Trihydroxy-Leukotriene-B4</t>
  </si>
  <si>
    <t>HMDB0012643</t>
  </si>
  <si>
    <t>LMFA03020066</t>
  </si>
  <si>
    <t>O[C@@H](/C=C\C=C\C=C\[C@H](C/C=C\CCCCC(O)(O)O)O)CCCC(=O)O</t>
  </si>
  <si>
    <t>UZWWTCBNUQJEPB-WLMOLUCVSA-N</t>
  </si>
  <si>
    <t>C20H32O7</t>
  </si>
  <si>
    <t>8.54_244.2632m/z</t>
  </si>
  <si>
    <t>9-Pentadecen-1-Ol</t>
  </si>
  <si>
    <t>LMFA05000050</t>
  </si>
  <si>
    <t>C(/CCCCC)=C\CCCCCCCCO</t>
  </si>
  <si>
    <t>CMWLZVMFIMYXKI-VOTSOKGWSA-N</t>
  </si>
  <si>
    <t>C15H30O</t>
  </si>
  <si>
    <t>5.73_479.2647m/z</t>
  </si>
  <si>
    <t>(12s,15s)-15-O-Demethyl-10,29-Dideoxy-11,12-Dihydro-Striatin C</t>
  </si>
  <si>
    <t>HMDB0033030</t>
  </si>
  <si>
    <t>CC(C)C1=C2C3CCC4C5C(OC6OCC(O)C(OC4O)C56O)C3(C)CCC2(C)CC1</t>
  </si>
  <si>
    <t>FTZQOXPOWUWXJV-UHFFFAOYSA-N</t>
  </si>
  <si>
    <t>C25H38O6</t>
  </si>
  <si>
    <t>6.04_286.2292n</t>
  </si>
  <si>
    <t>Retinol</t>
  </si>
  <si>
    <t>HMDB0000305</t>
  </si>
  <si>
    <t>LMPR01090001</t>
  </si>
  <si>
    <t>C00473</t>
  </si>
  <si>
    <t>ko00830,ko04977</t>
  </si>
  <si>
    <t>Retinol metabolism|Vitamin digestion and absorption</t>
  </si>
  <si>
    <t>68-26-8</t>
  </si>
  <si>
    <t>C1[C@@](C)(C)C(/C=C/C(/C)=C/C=C/C(/C)=C/CO)=C(C)CC1</t>
  </si>
  <si>
    <t>FPIPGXGPPPQFEQ-OVSJKPMPSA-N</t>
  </si>
  <si>
    <t>C20H30O</t>
  </si>
  <si>
    <t>7.70_935.3406m/z</t>
  </si>
  <si>
    <t>Lyciumin B</t>
  </si>
  <si>
    <t>HMDB0038673</t>
  </si>
  <si>
    <t>125756-66-3</t>
  </si>
  <si>
    <t>CC(C)C1NC(=O)C(NC(=O)C(CC2=CNC3=C2C=CC=C3)NC(=O)C2CCCN2C(=O)C2CCC(=O)N2)N2C=C(CC(NC(=O)C(CO)NC(=O)CNC1=O)C(O)=O)C1=C2C=CC=C1</t>
  </si>
  <si>
    <t>BWRVBFMWWHWLBW-UHFFFAOYSA-N</t>
  </si>
  <si>
    <t>C44H52N10O11</t>
  </si>
  <si>
    <t>0.54_113.0166m/z</t>
  </si>
  <si>
    <t>3-Methyl-2-Thioxoimidazolidin-4-One</t>
  </si>
  <si>
    <t>HMDB0247205</t>
  </si>
  <si>
    <t>694-68-8</t>
  </si>
  <si>
    <t>CN1C(=O)CNC1=S</t>
  </si>
  <si>
    <t>MEJHYNPOIFOIIU-UHFFFAOYSA-N</t>
  </si>
  <si>
    <t>C4H6N2OS</t>
  </si>
  <si>
    <t>5.62_371.0858m/z</t>
  </si>
  <si>
    <t>Mafenide</t>
  </si>
  <si>
    <t>HMDB0254296</t>
  </si>
  <si>
    <t>C07106</t>
  </si>
  <si>
    <t>138-39-6</t>
  </si>
  <si>
    <t>NCC1=CC=C(C=C1)S(N)(=O)=O</t>
  </si>
  <si>
    <t>TYMRLRRVMHJFTF-UHFFFAOYSA-N</t>
  </si>
  <si>
    <t>C7H10N2O2S</t>
  </si>
  <si>
    <t>13.07_589.4434m/z</t>
  </si>
  <si>
    <t>Tasidotin</t>
  </si>
  <si>
    <t>HMDB0258732</t>
  </si>
  <si>
    <t>CC(C)C(NC(=O)C(C(C)C)N(C)C)C(=O)N(C)C(C(C)C)C(=O)N1CCCC1C(=O)N1CCCC1C(=O)NC(C)(C)C</t>
  </si>
  <si>
    <t>QMCOCIWNMHBIIA-UHFFFAOYSA-N</t>
  </si>
  <si>
    <t>C32H58N6O5</t>
  </si>
  <si>
    <t>5.18_242.1173m/z</t>
  </si>
  <si>
    <t>Dibenzoylmethane</t>
  </si>
  <si>
    <t>HMDB0251166</t>
  </si>
  <si>
    <t>120-46-7</t>
  </si>
  <si>
    <t>O=C(CC(=O)C1=CC=CC=C1)C1=CC=CC=C1</t>
  </si>
  <si>
    <t>NZZIMKJIVMHWJC-UHFFFAOYSA-N</t>
  </si>
  <si>
    <t>C15H12O2</t>
  </si>
  <si>
    <t>12.83_405.1735m/z</t>
  </si>
  <si>
    <t>Alanylasparagine</t>
  </si>
  <si>
    <t>HMDB0028682</t>
  </si>
  <si>
    <t>31796-57-3</t>
  </si>
  <si>
    <t>C[C@H](N)C(=O)N[C@@H](CC(N)=O)C(O)=O</t>
  </si>
  <si>
    <t>CCUAQNUWXLYFRA-IMJSIDKUSA-N</t>
  </si>
  <si>
    <t>C7H13N3O4</t>
  </si>
  <si>
    <t>5.62_301.0715m/z</t>
  </si>
  <si>
    <t>Liquiritigenin</t>
  </si>
  <si>
    <t>HMDB0029519</t>
  </si>
  <si>
    <t>LMPK12140061</t>
  </si>
  <si>
    <t>C09762</t>
  </si>
  <si>
    <t>578-86-9</t>
  </si>
  <si>
    <t>C1(O)C=C2O[C@]([H])(C3C=CC(O)=CC=3)CC(=O)C2=CC=1</t>
  </si>
  <si>
    <t>FURUXTVZLHCCNA-AWEZNQCLSA-N</t>
  </si>
  <si>
    <t>C15H12O4</t>
  </si>
  <si>
    <t>1.74_323.0426m/z</t>
  </si>
  <si>
    <t>Phenytoin Catechol</t>
  </si>
  <si>
    <t>HMDB0060865</t>
  </si>
  <si>
    <t>35531-90-9</t>
  </si>
  <si>
    <t>OC1=C(O)C=C(C=C1)C1(NC(=O)NC1=O)C1=CC=CC=C1</t>
  </si>
  <si>
    <t>WWEKVOUOQUHVHS-UHFFFAOYSA-N</t>
  </si>
  <si>
    <t>C15H12N2O4</t>
  </si>
  <si>
    <t>2.64_157.0740n</t>
  </si>
  <si>
    <t>N-Acetylproline</t>
  </si>
  <si>
    <t>HMDB0094701</t>
  </si>
  <si>
    <t>68-95-1</t>
  </si>
  <si>
    <t>[H][C@]1(CCCN1C(C)=O)C(O)=O</t>
  </si>
  <si>
    <t>GNMSLDIYJOSUSW-LURJTMIESA-N</t>
  </si>
  <si>
    <t>C7H11NO3</t>
  </si>
  <si>
    <t>4.36_563.1549m/z</t>
  </si>
  <si>
    <t>Gambiriin A1</t>
  </si>
  <si>
    <t>HMDB0038357</t>
  </si>
  <si>
    <t>76250-49-2</t>
  </si>
  <si>
    <t>OC(CC1=C(O)C=C(O)C=C1O)C(C1=CC(O)=C(O)C=C1)C1=C(O)C=C(O)C2=C1OC(C(O)C2)C1=CC(O)=C(O)C=C1</t>
  </si>
  <si>
    <t>AAOPKIFUFWCDQZ-UHFFFAOYSA-N</t>
  </si>
  <si>
    <t>C30H28O12</t>
  </si>
  <si>
    <t>11.09_861.4851m/z</t>
  </si>
  <si>
    <t>Momorcharaside A</t>
  </si>
  <si>
    <t>HMDB0032942</t>
  </si>
  <si>
    <t>135126-59-9</t>
  </si>
  <si>
    <t>CC(C(O)C(O)C(O)C(C)(C)O)C1CCC2(C)C3CC=C4C(CCC(OC5OC(COC6OC(CO)C(O)C(O)C6O)C(O)C(O)C5O)C4(C)C)C3(C)CCC12C</t>
  </si>
  <si>
    <t>WBYJYPOPDKQBQJ-UHFFFAOYSA-N</t>
  </si>
  <si>
    <t>C42H72O15</t>
  </si>
  <si>
    <t>4.44_543.1641m/z</t>
  </si>
  <si>
    <t>Vilaprisan</t>
  </si>
  <si>
    <t>HMDB0259806</t>
  </si>
  <si>
    <t>CC12CC(C3=CC=C(C=C3)S(C)(=O)=O)C3=C4CCC(=O)C=C4CCC3C1CCC2(O)C(F)(F)C(F)(F)F</t>
  </si>
  <si>
    <t>JUFWQQVHQFDUOD-UHFFFAOYSA-N</t>
  </si>
  <si>
    <t>C27H29F5O4S</t>
  </si>
  <si>
    <t>10.27_751.4254m/z</t>
  </si>
  <si>
    <t>2-(2-Methoxyphenyl)-1-{1-[(1-Methylpiperidin-2-Yl)Methyl]-1h-Indol-3-Yl}Ethan-1-One</t>
  </si>
  <si>
    <t>CN1CCCCC1CN2C=C(C3=CC=CC=C32)C(=O)CC4=CC=CC=C4OC</t>
  </si>
  <si>
    <t>AJSBNWAHEDVQJT-UHFFFAOYSA-N</t>
  </si>
  <si>
    <t>Phenylacetylindoles</t>
  </si>
  <si>
    <t>C24H28N2O2</t>
  </si>
  <si>
    <t>0.71_451.0176m/z</t>
  </si>
  <si>
    <t>Bis(2-Furanylmethyl) Disulfide</t>
  </si>
  <si>
    <t>HMDB0029988</t>
  </si>
  <si>
    <t>4437-20-1</t>
  </si>
  <si>
    <t>C(SSCC1=CC=CO1)C1=CC=CO1</t>
  </si>
  <si>
    <t>CBJPZHSWLMJQRI-UHFFFAOYSA-N</t>
  </si>
  <si>
    <t>C10H10O2S2</t>
  </si>
  <si>
    <t>4.13_662.1128m/z</t>
  </si>
  <si>
    <t>Delphinidin 3-(2''-Galloylgalactoside)</t>
  </si>
  <si>
    <t>LMPK12010265</t>
  </si>
  <si>
    <t>C1(O)=CC2[O+]=C(C3C=C(O)C(O)=C(O)C=3)C(O[C@H]3[C@H](OC(C4C=C(O)C(O)=C(O)C=4)=O)[C@@H](O)[C@@H](O)[C@@H](CO)O3)=CC=2C(O)=C1</t>
  </si>
  <si>
    <t>DPASDXFUYSHIAA-JGSGXJSYSA-O</t>
  </si>
  <si>
    <t>C28H25O16+</t>
  </si>
  <si>
    <t>1.67_462.1431m/z</t>
  </si>
  <si>
    <t>Lestaurtinib</t>
  </si>
  <si>
    <t>HMDB0254022</t>
  </si>
  <si>
    <t>CC12OC(CC1(O)CO)N1C3=CC=CC=C3C3=C4C(=O)NCC4=C4C5=CC=CC=C5N2C4=C13</t>
  </si>
  <si>
    <t>UIARLYUEJFELEN-UHFFFAOYSA-N</t>
  </si>
  <si>
    <t>C26H21N3O4</t>
  </si>
  <si>
    <t>10.13_314.3416m/z</t>
  </si>
  <si>
    <t>Eicosen-1-Ol</t>
  </si>
  <si>
    <t>HMDB0303126</t>
  </si>
  <si>
    <t>CCCCCCCCCCCCCCCCCC\C=C\O</t>
  </si>
  <si>
    <t>ACJQRYKUUGFHPV-FMQUCBEESA-N</t>
  </si>
  <si>
    <t>Enols</t>
  </si>
  <si>
    <t>C20H40O</t>
  </si>
  <si>
    <t>8.91_277.1773m/z</t>
  </si>
  <si>
    <t>Lubiminol</t>
  </si>
  <si>
    <t>HMDB0029604</t>
  </si>
  <si>
    <t>55784-92-4</t>
  </si>
  <si>
    <t>CC1C(O)C(O)CC(CO)C11CCC(C1)C(C)=C</t>
  </si>
  <si>
    <t>NPIIWZCGVADPIE-UHFFFAOYSA-N</t>
  </si>
  <si>
    <t>C15H26O3</t>
  </si>
  <si>
    <t>4.63_513.1539m/z</t>
  </si>
  <si>
    <t>Meclofenoxate</t>
  </si>
  <si>
    <t>HMDB0254396</t>
  </si>
  <si>
    <t>C08195</t>
  </si>
  <si>
    <t>51-68-3</t>
  </si>
  <si>
    <t>CN(C)CCOC(=O)COC1=CC=C(Cl)C=C1</t>
  </si>
  <si>
    <t>XZTYGFHCIAKPGJ-UHFFFAOYSA-N</t>
  </si>
  <si>
    <t>C12H16ClNO3</t>
  </si>
  <si>
    <t>2.05_107.0491m/z</t>
  </si>
  <si>
    <t>Benzaldehyde</t>
  </si>
  <si>
    <t>HMDB0006115</t>
  </si>
  <si>
    <t>C00261</t>
  </si>
  <si>
    <t>ko00623,ko00627</t>
  </si>
  <si>
    <t>Toluene degradation|Aminobenzoate degradation</t>
  </si>
  <si>
    <t>100-52-7</t>
  </si>
  <si>
    <t>O=CC1=CC=CC=C1</t>
  </si>
  <si>
    <t>HUMNYLRZRPPJDN-UHFFFAOYSA-N</t>
  </si>
  <si>
    <t>Benzoyl derivatives</t>
  </si>
  <si>
    <t>C7H6O</t>
  </si>
  <si>
    <t>4.58_580.1649m/z</t>
  </si>
  <si>
    <t>N-[4-({3-[(3,5-Dimethoxyphenyl)Amino]Quinoxalin-2-Yl}Sulfamoyl)Phenyl]-3-Methoxy-4-Methylbenzamide</t>
  </si>
  <si>
    <t>HMDB0259934</t>
  </si>
  <si>
    <t>COC1=CC(OC)=CC(NC2=NC3=CC=CC=C3N=C2NS(=O)(=O)C2=CC=C(NC(=O)C3=CC(OC)=C(C)C=C3)C=C2)=C1</t>
  </si>
  <si>
    <t>HJSSPYJVWLTYHG-UHFFFAOYSA-N</t>
  </si>
  <si>
    <t>C31H29N5O6S</t>
  </si>
  <si>
    <t>1.11_425.1627m/z</t>
  </si>
  <si>
    <t>Butyryl Timolol</t>
  </si>
  <si>
    <t>HMDB0249485</t>
  </si>
  <si>
    <t>CCCC(=O)OC(CNC(C)(C)C)COC1=NSN=C1N1CCOCC1</t>
  </si>
  <si>
    <t>IGJCFKQCZRWRRM-UHFFFAOYSA-N</t>
  </si>
  <si>
    <t>C17H30N4O4S</t>
  </si>
  <si>
    <t>4.22_621.2968m/z</t>
  </si>
  <si>
    <t>(-)-Thebaine</t>
  </si>
  <si>
    <t>HMDB0029378</t>
  </si>
  <si>
    <t>COC1=CC=C2C3CC4=C5C(OC1C25CCN3C)=C(OC)C=C4</t>
  </si>
  <si>
    <t>FQXXSQDCDRQNQE-UHFFFAOYSA-N</t>
  </si>
  <si>
    <t>C19H21NO3</t>
  </si>
  <si>
    <t>4.67_408.2271n</t>
  </si>
  <si>
    <t>1-Palmitoylglycerone 3-Phosphate</t>
  </si>
  <si>
    <t>HMDB0062190</t>
  </si>
  <si>
    <t>LMGP00000063</t>
  </si>
  <si>
    <t>C01192</t>
  </si>
  <si>
    <t>17378-38-0</t>
  </si>
  <si>
    <t>C(OC(CCCCCCCCCCCCCCC)=O)C(=O)COP(=O)(O)O</t>
  </si>
  <si>
    <t>MLWXSIMRTQAWHY-UHFFFAOYSA-N</t>
  </si>
  <si>
    <t>C19H37O7P</t>
  </si>
  <si>
    <t>3.07_723.1746m/z</t>
  </si>
  <si>
    <t>Apigenin 7-(4'',6''-Diacetylalloside)-4'-Alloside</t>
  </si>
  <si>
    <t>LMPK12110388</t>
  </si>
  <si>
    <t>C1(O[C@H]2[C@H](O)[C@H](O)[C@H](OC(C)=O)[C@@H](COC(=O)C)O2)=CC2OC(C3C=CC(O[C@H]4[C@H](O)[C@H](O)[C@H](O)[C@@H](CO)O4)=CC=3)=CC(=O)C=2C(O)=C1</t>
  </si>
  <si>
    <t>JBQUODZYFWCFIH-MOFAGTPGSA-N</t>
  </si>
  <si>
    <t>C31H34O17</t>
  </si>
  <si>
    <t>4.31_359.0643m/z</t>
  </si>
  <si>
    <t>Benzamide, N-(Aminothioxomethyl)- (9ci)</t>
  </si>
  <si>
    <t>C1=CC=C(C=C1)C(=O)NC(=S)N</t>
  </si>
  <si>
    <t>DQMWMUMCNOJLSI-UHFFFAOYSA-N</t>
  </si>
  <si>
    <t>C8H8N2OS</t>
  </si>
  <si>
    <t>8.49_240.1015m/z</t>
  </si>
  <si>
    <t>Flavone</t>
  </si>
  <si>
    <t>HMDB0003075</t>
  </si>
  <si>
    <t>LMPK12110097</t>
  </si>
  <si>
    <t>C10043</t>
  </si>
  <si>
    <t>525-82-6</t>
  </si>
  <si>
    <t>C1=CC2OC(C3C=CC=CC=3)=CC(=O)C=2C=C1</t>
  </si>
  <si>
    <t>VHBFFQKBGNRLFZ-UHFFFAOYSA-N</t>
  </si>
  <si>
    <t>C15H10O2</t>
  </si>
  <si>
    <t>6.09_425.1604m/z</t>
  </si>
  <si>
    <t>6-Deoxy-Gamma-Mangostin</t>
  </si>
  <si>
    <t>HMDB0038552</t>
  </si>
  <si>
    <t>105037-94-3</t>
  </si>
  <si>
    <t>CC(C)=CCC1=C(O)C2=C(OC3=C(C2=O)C(CC=C(C)C)=C(O)C=C3)C=C1O</t>
  </si>
  <si>
    <t>XEWOBYXKXJFGNN-UHFFFAOYSA-N</t>
  </si>
  <si>
    <t>C23H24O5</t>
  </si>
  <si>
    <t>10.55_925.4753m/z</t>
  </si>
  <si>
    <t>Phytolaccoside I</t>
  </si>
  <si>
    <t>HMDB0040810</t>
  </si>
  <si>
    <t>65608-04-0</t>
  </si>
  <si>
    <t>CC1OC(OC2C(O)C(O)C(CO)OC2OC2C(O)C(O)COC2OC2CCC3(C)C(CCC4(C)C3CC=C3C5CC(C)(CCC5(CCC43C)C(O)=O)C(O)=O)C2(C)CO)C(O)C(O)C1O</t>
  </si>
  <si>
    <t>ZIGYVPCMVRRVNL-UHFFFAOYSA-N</t>
  </si>
  <si>
    <t>C47H74O19</t>
  </si>
  <si>
    <t>3.84_226.1340m/z</t>
  </si>
  <si>
    <t>O-Aminoazotoluene</t>
  </si>
  <si>
    <t>HMDB0255841</t>
  </si>
  <si>
    <t>C19188</t>
  </si>
  <si>
    <t>97-56-3</t>
  </si>
  <si>
    <t>CC1=C(N)C=CC(=C1)N=NC1=C(C)C=CC=C1</t>
  </si>
  <si>
    <t>PFRYFZZSECNQOL-UHFFFAOYSA-N</t>
  </si>
  <si>
    <t>C14H15N3</t>
  </si>
  <si>
    <t>5.39_497.1648m/z</t>
  </si>
  <si>
    <t>Eucaglobulin</t>
  </si>
  <si>
    <t>HMDB0036742</t>
  </si>
  <si>
    <t>241130-84-7</t>
  </si>
  <si>
    <t>CC(C)(O)C1CCC(=CC1)C(=O)OCC1OC(OC(=O)C2=CC(O)=C(O)C(O)=C2)C(O)C(O)C1O</t>
  </si>
  <si>
    <t>GMBUWWLCKJYTTG-UHFFFAOYSA-N</t>
  </si>
  <si>
    <t>9.56_390.3574m/z</t>
  </si>
  <si>
    <t>1-O-(2r-Methoxy-4z-Octadecenyl)-Sn-Glycerol</t>
  </si>
  <si>
    <t>LMGL01020043</t>
  </si>
  <si>
    <t>[C@](CO)([H])(O)COC[C@H](OC)C/C=C\CCCCCCCCCCCCC</t>
  </si>
  <si>
    <t>HAEKESXEMFDAFY-UBUYBAOQSA-N</t>
  </si>
  <si>
    <t>9.37_621.3270m/z</t>
  </si>
  <si>
    <t>Biricodar</t>
  </si>
  <si>
    <t>HMDB0249234</t>
  </si>
  <si>
    <t>COC1=CC(=CC(OC)=C1OC)C(=O)C(=O)N1CCCCC1C(=O)OC(CCCC1=CN=CC=C1)CCCC1=CN=CC=C1</t>
  </si>
  <si>
    <t>CGVWPQOFHSAKRR-UHFFFAOYSA-N</t>
  </si>
  <si>
    <t>C34H41N3O7</t>
  </si>
  <si>
    <t>6.78_211.1114m/z</t>
  </si>
  <si>
    <t>(2s)-2-(3,8-Dimethylazulen-5-Yl)Propanoic Acid</t>
  </si>
  <si>
    <t>HMDB0249880</t>
  </si>
  <si>
    <t>CC(C(O)=O)C1=CC=C(C)C2=CC=C(C)C2=C1</t>
  </si>
  <si>
    <t>VEHBLYQIKWPOQM-UHFFFAOYSA-N</t>
  </si>
  <si>
    <t>C15H16O2</t>
  </si>
  <si>
    <t>11.61_423.2749m/z</t>
  </si>
  <si>
    <t>[12]-Gingerol</t>
  </si>
  <si>
    <t>HMDB0036356</t>
  </si>
  <si>
    <t>104264-55-3</t>
  </si>
  <si>
    <t>CCCCCCCCCCCC(O)CC(=O)CCC1=CC(OC)=C(O)C=C1</t>
  </si>
  <si>
    <t>HQXJXOYLPWCMGL-UHFFFAOYSA-N</t>
  </si>
  <si>
    <t>10.17_433.2563m/z</t>
  </si>
  <si>
    <t>N-Methylphenylalanyl-Prolyl-Arginine</t>
  </si>
  <si>
    <t>HMDB0255190</t>
  </si>
  <si>
    <t>CNC(CC1=CC=CC=C1)C(=O)N1CCCC1C(=O)NC(CCCN=C(N)N)C(O)=O</t>
  </si>
  <si>
    <t>LVCPRLFCRFDKSQ-UHFFFAOYSA-N</t>
  </si>
  <si>
    <t>C21H32N6O4</t>
  </si>
  <si>
    <t>4.24_595.1454m/z</t>
  </si>
  <si>
    <t>Mefenacet</t>
  </si>
  <si>
    <t>HMDB0254408</t>
  </si>
  <si>
    <t>C14525</t>
  </si>
  <si>
    <t>73250-68-7</t>
  </si>
  <si>
    <t>CN(C(=O)COC1=NC2=CC=CC=C2S1)C1=CC=CC=C1</t>
  </si>
  <si>
    <t>XIGAUIHYSDTJHW-UHFFFAOYSA-N</t>
  </si>
  <si>
    <t>Benzothiazoles</t>
  </si>
  <si>
    <t>C16H14N2O2S</t>
  </si>
  <si>
    <t>10.48_647.1168m/z</t>
  </si>
  <si>
    <t>Sterigmatocystin</t>
  </si>
  <si>
    <t>HMDB0030588</t>
  </si>
  <si>
    <t>C00961</t>
  </si>
  <si>
    <t>ko00254</t>
  </si>
  <si>
    <t>Aflatoxin biosynthesis</t>
  </si>
  <si>
    <t>10048-13-2</t>
  </si>
  <si>
    <t>COC1=CC2=C(C3C=COC3O2)C2=C1C(=O)C1=C(O)C=CC=C1O2</t>
  </si>
  <si>
    <t>UTSVPXMQSFGQTM-UHFFFAOYSA-N</t>
  </si>
  <si>
    <t>Sterigmatocystins</t>
  </si>
  <si>
    <t>C18H12O6</t>
  </si>
  <si>
    <t>14.78_587.4665m/z</t>
  </si>
  <si>
    <t>DG(14:0/20:3(5Z,8Z,11Z)-O(14R,15S)/0:0)</t>
  </si>
  <si>
    <t>HMDB0295021</t>
  </si>
  <si>
    <t>CCCCCCCCCCCCCC(=O)OC[C@H](CO)OC(=O)CCC\C=C/C\C=C/C\C=C/CC1OC1CCCCC</t>
  </si>
  <si>
    <t>AHJVSRBUYFCQBM-SUOOUYMCSA-N</t>
  </si>
  <si>
    <t>C37H64O6</t>
  </si>
  <si>
    <t>9.49_779.4181m/z</t>
  </si>
  <si>
    <t>Liamocin A1</t>
  </si>
  <si>
    <t>LMFA00000047</t>
  </si>
  <si>
    <t>C(CC(O)CC(OC(CC(O)CC(OC(CC(O)CC(O)CCCCC)=O)CCCCC)=O)CCCCC)(=O)OC[C@@H](O)[C@@H](O)[C@H](O)[C@H](O)CO</t>
  </si>
  <si>
    <t>VVUAHGLHHLVKDR-MGXCTWJYSA-N</t>
  </si>
  <si>
    <t>C36H68O15</t>
  </si>
  <si>
    <t>1.56_241.0325m/z</t>
  </si>
  <si>
    <t>8-Nitroguanine</t>
  </si>
  <si>
    <t>HMDB0247453</t>
  </si>
  <si>
    <t>NC1=NC2=C(NC(=N2)[N+]([O-])=O)C(=O)N1</t>
  </si>
  <si>
    <t>IYHJRKNFFYAOGE-UHFFFAOYSA-N</t>
  </si>
  <si>
    <t>C5H4N6O3</t>
  </si>
  <si>
    <t>4.45_308.1258n</t>
  </si>
  <si>
    <t>8-Acetylegelolide</t>
  </si>
  <si>
    <t>HMDB0037772</t>
  </si>
  <si>
    <t>142449-62-5</t>
  </si>
  <si>
    <t>CC1C2C(OC1=O)C1=C(C)OC=C1C(C)(O)CC2OC(C)=O</t>
  </si>
  <si>
    <t>KOUVNGDGNNAPQW-UHFFFAOYSA-N</t>
  </si>
  <si>
    <t>Cycloheptafurans</t>
  </si>
  <si>
    <t>C16H20O6</t>
  </si>
  <si>
    <t>4.05_503.1798m/z</t>
  </si>
  <si>
    <t>Na-Hexanoyl-Nb-Inosityltryptophan</t>
  </si>
  <si>
    <t>HMDB0039501</t>
  </si>
  <si>
    <t>124772-47-0</t>
  </si>
  <si>
    <t>CCCCCC(=O)NC(CC1=CN(C2C(O)C(O)C(O)C(O)C2O)C2=C1C=CC=C2)C(O)=O</t>
  </si>
  <si>
    <t>ZUUILEUIJMVLIM-UHFFFAOYSA-N</t>
  </si>
  <si>
    <t>C23H32N2O8</t>
  </si>
  <si>
    <t>5.66_614.3331m/z</t>
  </si>
  <si>
    <t>C-6 Nbd Ceramide</t>
  </si>
  <si>
    <t>86701-10-2</t>
  </si>
  <si>
    <t>CCCCCCCCCCCCCC=CC(C(CO)NC(=O)CCCCCNC1=CC=C(C2=NON=C12)[N+](=O)[O-])O</t>
  </si>
  <si>
    <t>HZIRBXILQRLFIK-OBGWFSINSA-N</t>
  </si>
  <si>
    <t>C30H49N5O6</t>
  </si>
  <si>
    <t>6.08_233.2010m/z</t>
  </si>
  <si>
    <t>Fencamfamine</t>
  </si>
  <si>
    <t>HMDB0015508</t>
  </si>
  <si>
    <t>1209-98-9</t>
  </si>
  <si>
    <t>CCNC1C2CCC(C2)C1C1=CC=CC=C1</t>
  </si>
  <si>
    <t>IKFBPFGUINLYQI-UHFFFAOYSA-N</t>
  </si>
  <si>
    <t>C15H21N</t>
  </si>
  <si>
    <t>8.71_474.3006m/z</t>
  </si>
  <si>
    <t>PE(19:1(9Z)/0:0)</t>
  </si>
  <si>
    <t>LMGP02050019</t>
  </si>
  <si>
    <t>[C@](COP(=O)(O)OCCN)([H])(O)COC(CCCCCCC/C=C\CCCCCCCCC)=O</t>
  </si>
  <si>
    <t>QXOXODCLNBXHKD-ZXEGGCGDSA-N</t>
  </si>
  <si>
    <t>C24H48NO7P</t>
  </si>
  <si>
    <t>4.24_395.2403m/z</t>
  </si>
  <si>
    <t>8,8a-Deoxyoleandolide</t>
  </si>
  <si>
    <t>LMPK04000030</t>
  </si>
  <si>
    <t>C11989</t>
  </si>
  <si>
    <t>[C@H]1(C)C(=O)[C@H](C)[C@@H](O)[C@@H](C)[C@@H](C)OC(=O)[C@H](C)[C@@H](O)[C@H](C)[C@@H](O)[C@@H](C)C1</t>
  </si>
  <si>
    <t>OLPAVFVRSHWADO-KYEFFAPUSA-N</t>
  </si>
  <si>
    <t>C20H36O6</t>
  </si>
  <si>
    <t>12.04_551.4305m/z</t>
  </si>
  <si>
    <t>Muricin E</t>
  </si>
  <si>
    <t>HMDB0036974</t>
  </si>
  <si>
    <t>CCCCCCCC(O)C(O)CCCCCC(O)C1CCC(CCCCCCCC(O)CC2=CC(C)OC2=O)O1</t>
  </si>
  <si>
    <t>ZJOXRHQHOYSIEO-UHFFFAOYSA-N</t>
  </si>
  <si>
    <t>C33H60O7</t>
  </si>
  <si>
    <t>9.80_742.4364m/z</t>
  </si>
  <si>
    <t>Davercin</t>
  </si>
  <si>
    <t>HMDB0242528</t>
  </si>
  <si>
    <t>CCC1OC(=O)C(C)C(OC2CC(C)(OC)C(O)C(C)O2)C(C)C(OC2OC(C)CC(C2O)N(C)C)C(C)(O)CC(C)C(=O)C(C)C2OC(=O)OC12C</t>
  </si>
  <si>
    <t>NKLGIWNNVDPGCA-UHFFFAOYSA-N</t>
  </si>
  <si>
    <t>C38H65NO14</t>
  </si>
  <si>
    <t>4.45_317.1382m/z</t>
  </si>
  <si>
    <t>4-Hydroxy-5,7,4'-Trimethoxyflavan</t>
  </si>
  <si>
    <t>LMPK12020173</t>
  </si>
  <si>
    <t>C1(OC)=CC2OC(C3C=CC(OC)=CC=3)CC(O)C=2C(OC)=C1</t>
  </si>
  <si>
    <t>XCMICCXLNOOUBF-UHFFFAOYSA-N</t>
  </si>
  <si>
    <t>C18H20O5</t>
  </si>
  <si>
    <t>13.41_841.4031m/z</t>
  </si>
  <si>
    <t>Pkddia-Pi</t>
  </si>
  <si>
    <t>LMGP20050004</t>
  </si>
  <si>
    <t>[C@]([H])(OC(CCCCCCCC(=O)/C=C/C(=O)O)=O)(COP(=O)(O)O[C@H]1[C@H](O)[C@@H](O)[C@H](O)[C@@H](O)[C@H]1O)COC(CCCCCCCCCCCCCCC)=O</t>
  </si>
  <si>
    <t>IXBLZYJKJFGBJU-BODKNMEDSA-N</t>
  </si>
  <si>
    <t>C37H65O16P</t>
  </si>
  <si>
    <t>7.22_509.3081m/z</t>
  </si>
  <si>
    <t>Lidoflazine</t>
  </si>
  <si>
    <t>HMDB0254083</t>
  </si>
  <si>
    <t>CC1=CC=CC(C)=C1N=C(O)CN1CCN(CCCC(C2=CC=C(F)C=C2)C2=CC=C(F)C=C2)CC1</t>
  </si>
  <si>
    <t>ZBIAKUMOEKILTF-UHFFFAOYSA-N</t>
  </si>
  <si>
    <t>C30H35F2N3O</t>
  </si>
  <si>
    <t>4.02_362.1497m/z</t>
  </si>
  <si>
    <t>Desmethyl Erlotinib</t>
  </si>
  <si>
    <t>HMDB0244811</t>
  </si>
  <si>
    <t>COCCOC1=C(OCCO)C=C2C(NC3=CC=CC(=C3)C#C)=NC=NC2=C1</t>
  </si>
  <si>
    <t>KOQIAZNBAWFSQM-UHFFFAOYSA-N</t>
  </si>
  <si>
    <t>C21H21N3O4</t>
  </si>
  <si>
    <t>6.24_685.3803m/z</t>
  </si>
  <si>
    <t>N-Didesmethyl-Tamoxifen</t>
  </si>
  <si>
    <t>HMDB0061086</t>
  </si>
  <si>
    <t>C16548</t>
  </si>
  <si>
    <t>80234-20-4</t>
  </si>
  <si>
    <t>CC\C(=C(/C1=CC=CC=C1)C1=CC=C(OCCN)C=C1)C1=CC=CC=C1</t>
  </si>
  <si>
    <t>MCJKBWHDNUSJLW-VHXPQNKSSA-N</t>
  </si>
  <si>
    <t>C24H25NO</t>
  </si>
  <si>
    <t>4.56_505.1563m/z</t>
  </si>
  <si>
    <t>Methyl Salicylate O-[Rhamnosyl-(1-&gt;6)-Glucoside]</t>
  </si>
  <si>
    <t>HMDB0033138</t>
  </si>
  <si>
    <t>COC(=O)C1=CC=CC=C1OC1OC(COC2OC(C)C(O)C(O)C2O)C(O)C(O)C1O</t>
  </si>
  <si>
    <t>CTLIPTKQWTWERE-UHFFFAOYSA-N</t>
  </si>
  <si>
    <t>C20H28O12</t>
  </si>
  <si>
    <t>1.06_338.1808m/z</t>
  </si>
  <si>
    <t>Valproic Acid Glucuronide</t>
  </si>
  <si>
    <t>HMDB0000901</t>
  </si>
  <si>
    <t>60113-83-9</t>
  </si>
  <si>
    <t>CCCC(CCC)C(=O)O[C@@H]1O[C@@H]([C@@H](O)[C@H](O)[C@H]1O)C(O)=O</t>
  </si>
  <si>
    <t>XXKSYIHWRBBHIC-JVWRJRKNSA-N</t>
  </si>
  <si>
    <t>C14H24O8</t>
  </si>
  <si>
    <t>10.68_787.4471m/z</t>
  </si>
  <si>
    <t>Chromafenozide</t>
  </si>
  <si>
    <t>HMDB0250201</t>
  </si>
  <si>
    <t>C18515</t>
  </si>
  <si>
    <t>143807-66-3</t>
  </si>
  <si>
    <t>CC1=CC(=CC(C)=C1)C(=O)N(NC(=O)C1=CC=C2OCCCC2=C1C)C(C)(C)C</t>
  </si>
  <si>
    <t>HPNSNYBUADCFDR-UHFFFAOYSA-N</t>
  </si>
  <si>
    <t>C24H30N2O3</t>
  </si>
  <si>
    <t>3.01_289.0704m/z</t>
  </si>
  <si>
    <t>2,4',5,7-Tetrahydroxyflavanone</t>
  </si>
  <si>
    <t>HMDB0040314</t>
  </si>
  <si>
    <t>58124-18-8</t>
  </si>
  <si>
    <t>OC1=CC=C(C=C1)C1(O)CC(=O)C2=C(O)C=C(O)C=C2O1</t>
  </si>
  <si>
    <t>NFENYLPEYDNIMO-UHFFFAOYSA-N</t>
  </si>
  <si>
    <t>5.42_506.9380m/z</t>
  </si>
  <si>
    <t>Deoxyuridine Triphosphate</t>
  </si>
  <si>
    <t>HMDB0001191</t>
  </si>
  <si>
    <t>C00460</t>
  </si>
  <si>
    <t>1173-82-6</t>
  </si>
  <si>
    <t>O[C@H]1C[C@@H](O[C@@H]1COP(O)(=O)OP(O)(=O)OP(O)(O)=O)N1C=CC(=O)NC1=O</t>
  </si>
  <si>
    <t>AHCYMLUZIRLXAA-SHYZEUOFSA-N</t>
  </si>
  <si>
    <t>C9H15N2O14P3</t>
  </si>
  <si>
    <t>6.48_526.3159m/z</t>
  </si>
  <si>
    <t>(5z,7s,8e,10z,13z,15e,17s,19z)-7,17-Dihydroxydocosa-5,8,10,13,15,19-Hexaenoylcarnitine</t>
  </si>
  <si>
    <t>HMDB0241613</t>
  </si>
  <si>
    <t>CCC=CCC(O)C=CC=CCC=CC=CC(O)C=CCCCC(=O)OC(CC([O-])=O)C[N+](C)(C)C</t>
  </si>
  <si>
    <t>BZVKAIXCLPFURE-UHFFFAOYSA-N</t>
  </si>
  <si>
    <t>C29H45NO6</t>
  </si>
  <si>
    <t>4.75_343.2265m/z</t>
  </si>
  <si>
    <t>17-Keto-4(Z),7(Z),10(Z),13(Z),15(E),19(Z)-Docosahexaenoic Acid</t>
  </si>
  <si>
    <t>CCC=CCC(=O)C=CC=CCC=CCC=CCC=CCCC(=O)O</t>
  </si>
  <si>
    <t>QCEBQMMZCFADMF-SWDQBTSJSA-N</t>
  </si>
  <si>
    <t>4.46_365.1956m/z</t>
  </si>
  <si>
    <t>Dodecahydro-8''-Hydroxy-1'',2'(5'H)-Furan-5',5''-[5h-1,4a](Methanoxymethano)Naphthalen]-2,9''-Dione</t>
  </si>
  <si>
    <t>CC1CC(C2C3(CCCC2(C14CCC5(O4)CCOC5=O)COC3=O)C)O</t>
  </si>
  <si>
    <t>BTDGKVYVOVKLMN-UHFFFAOYSA-N</t>
  </si>
  <si>
    <t>8.25_333.2036m/z</t>
  </si>
  <si>
    <t>Alizapride</t>
  </si>
  <si>
    <t>HMDB0015494</t>
  </si>
  <si>
    <t>59338-93-1</t>
  </si>
  <si>
    <t>COC1=CC2=NNN=C2C=C1C(=O)NCC1CCCN1CC=C</t>
  </si>
  <si>
    <t>KSEYRUGYKHXGFW-UHFFFAOYSA-N</t>
  </si>
  <si>
    <t>Benzotriazoles</t>
  </si>
  <si>
    <t>C16H21N5O2</t>
  </si>
  <si>
    <t>6.90_631.3323m/z</t>
  </si>
  <si>
    <t>Porphyrinogen</t>
  </si>
  <si>
    <t>HMDB0256709</t>
  </si>
  <si>
    <t>C1C2=CC=C(CC3=CC=C(CC4=CC=C(CC5=CC=C1N5)N4)N3)N2</t>
  </si>
  <si>
    <t>VCRBUDCZLSQJPZ-UHFFFAOYSA-N</t>
  </si>
  <si>
    <t>C20H20N4</t>
  </si>
  <si>
    <t>9.14_274.1931n</t>
  </si>
  <si>
    <t>5z,8z,11z,14z,17z-Octadecapentaenoic Acid</t>
  </si>
  <si>
    <t>LMFA02000349</t>
  </si>
  <si>
    <t>C(/C=C\C/C=C\C/C=C\C/C=C\CC=C)CCC(O)=O</t>
  </si>
  <si>
    <t>QGOBAKWVSYWVNA-GJDCDIHCSA-N</t>
  </si>
  <si>
    <t>C18H26O2</t>
  </si>
  <si>
    <t>1.37_459.1107m/z</t>
  </si>
  <si>
    <t>Bikoeniquinone A</t>
  </si>
  <si>
    <t>HMDB0040789</t>
  </si>
  <si>
    <t>155519-84-9</t>
  </si>
  <si>
    <t>COC1=C2NC3=CC=CC=C3C2=C(C(C)=C1)C1=C(C)C(=O)C2=C(NC3=CC=CC=C23)C1=O</t>
  </si>
  <si>
    <t>WNIJCVSAQYOBMV-UHFFFAOYSA-N</t>
  </si>
  <si>
    <t>C27H20N2O3</t>
  </si>
  <si>
    <t>12.90_210.1964m/z</t>
  </si>
  <si>
    <t>Amiflamina</t>
  </si>
  <si>
    <t>HMDB0248301</t>
  </si>
  <si>
    <t>CC(N)CC1=C(C)C=C(C=C1)N(C)C</t>
  </si>
  <si>
    <t>HFQMYSHATTXRTC-UHFFFAOYSA-N</t>
  </si>
  <si>
    <t>C12H20N2</t>
  </si>
  <si>
    <t>4.83_347.1710m/z</t>
  </si>
  <si>
    <t>Suberic Acid</t>
  </si>
  <si>
    <t>HMDB0000893</t>
  </si>
  <si>
    <t>LMFA01170001</t>
  </si>
  <si>
    <t>C08278</t>
  </si>
  <si>
    <t>505-48-6</t>
  </si>
  <si>
    <t>OC(CCCCCCC(=O)O)=O</t>
  </si>
  <si>
    <t>TYFQFVWCELRYAO-UHFFFAOYSA-N</t>
  </si>
  <si>
    <t>C8H14O4</t>
  </si>
  <si>
    <t>1.59_330.0030m/z</t>
  </si>
  <si>
    <t>(3-Methoxy-4-Phosphonooxyphenyl)-Oxomethanesulfonic Acid</t>
  </si>
  <si>
    <t>HMDB0257809</t>
  </si>
  <si>
    <t>COC1=C(OP(O)(O)=O)C=CC(=C1)C(=O)S(O)(=O)=O</t>
  </si>
  <si>
    <t>ARBWFKBMXJNIEZ-UHFFFAOYSA-N</t>
  </si>
  <si>
    <t>C8H9O9PS</t>
  </si>
  <si>
    <t>7.08_690.3420m/z</t>
  </si>
  <si>
    <t>5-Hydroxy-2,3,4-Trimethoxy-9,10-Dihydrophenanthrene</t>
  </si>
  <si>
    <t>HMDB0302013</t>
  </si>
  <si>
    <t>CC(C)CC(NC(=O)C(CC1=CC=CC=C1)NC(=O)C(COCC1=CC=CC=C1)NC(=O)OC(C)(C)C)C(=O)OCC1=CC=CC=C1</t>
  </si>
  <si>
    <t>QRTAICOFOHHOKD-UHFFFAOYSA-N</t>
  </si>
  <si>
    <t>C37H47N3O7</t>
  </si>
  <si>
    <t>4.79_468.1870m/z</t>
  </si>
  <si>
    <t>Neopetasitenine</t>
  </si>
  <si>
    <t>HMDB0030329</t>
  </si>
  <si>
    <t>60409-51-0</t>
  </si>
  <si>
    <t>C[C@H]1O[C@]11C[C@@H](C)[C@@](C)(OC(C)=O)C(=O)OC\C2=C\CN(C)CC[C@@H](OC1=O)C2=O</t>
  </si>
  <si>
    <t>RNNVXCSFOWGBQP-MWTIQZJTSA-N</t>
  </si>
  <si>
    <t>Azaspirodecane derivatives</t>
  </si>
  <si>
    <t>C21H29NO8</t>
  </si>
  <si>
    <t>12.78_419.3515m/z</t>
  </si>
  <si>
    <t>7-Hydroperoxycholesterol</t>
  </si>
  <si>
    <t>HMDB0247254</t>
  </si>
  <si>
    <t>CC(C)CCCC(C)C1CCC2C3C(OO)C=C4CC(O)CCC4(C)C3CCC12C</t>
  </si>
  <si>
    <t>KJIGLXGIVLBXCF-UHFFFAOYSA-N</t>
  </si>
  <si>
    <t>C27H46O3</t>
  </si>
  <si>
    <t>4.93_733.2451m/z</t>
  </si>
  <si>
    <t>4-[(2-Cyclobutylimidazo[4,5-B]Pyrazin-3-Yl)Methyl]-7,8-Difluoro-1h-Quinolin-2-One</t>
  </si>
  <si>
    <t>HMDB0253776</t>
  </si>
  <si>
    <t>FC1=C(F)C2=C(C=C1)C(CN1C(=NC3=NC=CN=C13)C1CCC1)=CC(=O)N2</t>
  </si>
  <si>
    <t>ISGGXCWQSOCOCW-UHFFFAOYSA-N</t>
  </si>
  <si>
    <t>C19H15F2N5O</t>
  </si>
  <si>
    <t>1.26_282.1182m/z</t>
  </si>
  <si>
    <t>3-Hydroxy-4-Butanolide</t>
  </si>
  <si>
    <t>HMDB0034681</t>
  </si>
  <si>
    <t>211107-44-7</t>
  </si>
  <si>
    <t>OCC1OC(OC2COC(=O)C2)C(O)C(O)C1O</t>
  </si>
  <si>
    <t>MQEPWBMWFIVRPS-UHFFFAOYSA-N</t>
  </si>
  <si>
    <t>C10H16O8</t>
  </si>
  <si>
    <t>4.03_327.0451m/z</t>
  </si>
  <si>
    <t>Orange I</t>
  </si>
  <si>
    <t>HMDB0032886</t>
  </si>
  <si>
    <t>523-44-4</t>
  </si>
  <si>
    <t>OC1=CC=C(\N=N/C2=CC=C(C=C2)S(O)(=O)=O)C2=CC=CC=C12</t>
  </si>
  <si>
    <t>PURJGKXXWJKIQR-ZCXUNETKSA-N</t>
  </si>
  <si>
    <t>Naphthols and derivatives</t>
  </si>
  <si>
    <t>C16H12N2O4S</t>
  </si>
  <si>
    <t>13.61_565.4013m/z</t>
  </si>
  <si>
    <t>32,35-Anhydrobacteriohopan-11-Ene-Tetrol</t>
  </si>
  <si>
    <t>LMPR04000023</t>
  </si>
  <si>
    <t>C1C[C@]2(C)C3[C@@](C)(CCC2C(C)(C)C1)[C@]1(C)CCC2C(C(CCC4OC[C@H](O)[C@@H]4O)C)CC[C@]2(C)C1C=C3</t>
  </si>
  <si>
    <t>AFHCCDGQGXIVGF-JYEFOXIVSA-N</t>
  </si>
  <si>
    <t>C35H58O3</t>
  </si>
  <si>
    <t>5.64_605.2041m/z</t>
  </si>
  <si>
    <t>Fenamiphos</t>
  </si>
  <si>
    <t>HMDB0031787</t>
  </si>
  <si>
    <t>C18659</t>
  </si>
  <si>
    <t>22224-92-6</t>
  </si>
  <si>
    <t>CCOP(=O)(NC(C)C)OC1=CC=C(SC)C(C)=C1</t>
  </si>
  <si>
    <t>ZCJPOPBZHLUFHF-UHFFFAOYSA-N</t>
  </si>
  <si>
    <t>C13H22NO3PS</t>
  </si>
  <si>
    <t>4.12_445.1747m/z</t>
  </si>
  <si>
    <t>Alpha-Carboxyethylhydroxychroman Glutamine</t>
  </si>
  <si>
    <t>LMPR02020084</t>
  </si>
  <si>
    <t>N(C(CC[C@@]1(CCC2C(=C(C(=C(C=2O1)C)C)O)C)C)=O)[C@@H](CCC(N)=O)C(=O)O</t>
  </si>
  <si>
    <t>IVPFPZVDVVKLCQ-BTYIYWSLSA-N</t>
  </si>
  <si>
    <t>C21H30N2O6</t>
  </si>
  <si>
    <t>8.84_1008.3865m/z</t>
  </si>
  <si>
    <t>Arginine Vasopressin 1-8</t>
  </si>
  <si>
    <t>HMDB0012895</t>
  </si>
  <si>
    <t>37552-33-3</t>
  </si>
  <si>
    <t>NC1CSSC[C@H](NC(=O)C(CC(O)=N)NC(=O)[C@@H](CCC(O)=N)NC(=O)[C@@H](CC2=CC=CC=C2)NC(=O)[C@@H](CC2=CC=C(O)C=C2)NC1=O)C(=O)N1CCC[C@@H]1C(=O)N[C@H](CCCNC(N)=N)C(O)=O</t>
  </si>
  <si>
    <t>SXYIOPJBWYQZRQ-VMPYSSHJSA-N</t>
  </si>
  <si>
    <t>C44H61N13O12S2</t>
  </si>
  <si>
    <t>10.33_881.4150m/z</t>
  </si>
  <si>
    <t>Arg-His-Phe-Trp-Gln-Gln</t>
  </si>
  <si>
    <t>HMDB0248576</t>
  </si>
  <si>
    <t>NC(CCCN=C(N)N)C(=O)NC(CC1=CN=CN1)C(=O)NC(CC1=CC=CC=C1)C(=O)NC(CC1=CNC2=CC=CC=C12)C(=O)NC(CCC(N)=O)C(=O)NC(CCC(N)=O)C(O)=O</t>
  </si>
  <si>
    <t>CKXXDJVVNYDXOD-UHFFFAOYSA-N</t>
  </si>
  <si>
    <t>C42H56N14O9</t>
  </si>
  <si>
    <t>5.73_371.2049m/z</t>
  </si>
  <si>
    <t>Ru-0211</t>
  </si>
  <si>
    <t>C13707</t>
  </si>
  <si>
    <t>136790-76-6</t>
  </si>
  <si>
    <t>CCCCC(C1(CCC2C(O1)CC(=O)C2CCCCCCC(=O)O)O)(F)F</t>
  </si>
  <si>
    <t>WGFOBBZOWHGYQH-MXHNKVEKSA-N</t>
  </si>
  <si>
    <t>C20H32F2O5</t>
  </si>
  <si>
    <t>11.85_279.2317m/z</t>
  </si>
  <si>
    <t>15-Hydroxy-9z,12z-Octadecadienoic Acid</t>
  </si>
  <si>
    <t>HMDB0029978</t>
  </si>
  <si>
    <t>LMFA02000316</t>
  </si>
  <si>
    <t>177931-23-6</t>
  </si>
  <si>
    <t>C(CCCCCCC/C=C\C/C=C\CC(O)CCC)(=O)O</t>
  </si>
  <si>
    <t>MZQXAWAWDWCIKG-OHPMOLHNSA-N</t>
  </si>
  <si>
    <t>4.84_178.0262m/z</t>
  </si>
  <si>
    <t>2-Amino-4,6-Dinitrotoluene</t>
  </si>
  <si>
    <t>HMDB0245219</t>
  </si>
  <si>
    <t>C16395</t>
  </si>
  <si>
    <t>ko00633</t>
  </si>
  <si>
    <t>Nitrotoluene degradation</t>
  </si>
  <si>
    <t>35572-78-2</t>
  </si>
  <si>
    <t>CC1=C(C=C(C=C1N)[N+]([O-])=O)[N+]([O-])=O</t>
  </si>
  <si>
    <t>IEEJAAUSLQCGJH-UHFFFAOYSA-N</t>
  </si>
  <si>
    <t>Toluenes</t>
  </si>
  <si>
    <t>C7H7N3O4</t>
  </si>
  <si>
    <t>5.35_262.1800m/z</t>
  </si>
  <si>
    <t>6e,8e,12e,14e-Hexadecatetraen-10-Ynoic Acid</t>
  </si>
  <si>
    <t>LMFA01030703</t>
  </si>
  <si>
    <t>C(CCCC/C=C/C=C/C#C/C=C/C=C/C)(=O)O</t>
  </si>
  <si>
    <t>PQEDBXYGXRUDBS-BDPLZKCDSA-N</t>
  </si>
  <si>
    <t>C16H20O2</t>
  </si>
  <si>
    <t>4.28_379.1161m/z</t>
  </si>
  <si>
    <t>Cappariloside A</t>
  </si>
  <si>
    <t>HMDB0034937</t>
  </si>
  <si>
    <t>229483-41-4</t>
  </si>
  <si>
    <t>OCC1OC(OC2=CC=CC3=C2C(CC#N)=CN3)C(O)C(O)C1O</t>
  </si>
  <si>
    <t>ZVFUTZQNUQUJLW-UHFFFAOYSA-N</t>
  </si>
  <si>
    <t>C16H18N2O6</t>
  </si>
  <si>
    <t>2.25_265.0326m/z</t>
  </si>
  <si>
    <t>Thioproline</t>
  </si>
  <si>
    <t>HMDB0062164</t>
  </si>
  <si>
    <t>34592-47-7</t>
  </si>
  <si>
    <t>OC(=O)[C@@H]1CSCN1</t>
  </si>
  <si>
    <t>DZLNHFMRPBPULJ-VKHMYHEASA-N</t>
  </si>
  <si>
    <t>C4H7NO2S</t>
  </si>
  <si>
    <t>3.92_387.1294m/z</t>
  </si>
  <si>
    <t>10-Hydroxyloganin</t>
  </si>
  <si>
    <t>LMPR0102070028</t>
  </si>
  <si>
    <t>C11659</t>
  </si>
  <si>
    <t>O([C@@H]1OC=C(C(=O)OC)[C@@]2([H])C[C@H](O)[C@H](CO)[C@]21[H])[C@H]1[C@@H]([C@H]([C@H](O)[C@H](O1)CO)O)O</t>
  </si>
  <si>
    <t>GTEDLLYKAJRTNK-UMHDANERSA-N</t>
  </si>
  <si>
    <t>11.87_354.2999m/z</t>
  </si>
  <si>
    <t>11-(3-Methyl-5-Pentylfuran-2-Yl)-Undecanoic Acid</t>
  </si>
  <si>
    <t>HMDB0031005</t>
  </si>
  <si>
    <t>LMFA01150013</t>
  </si>
  <si>
    <t>57818-37-8</t>
  </si>
  <si>
    <t>C(CC)CCC1=CC(C)=C(CCCCCCCCCCC(=O)O)O1</t>
  </si>
  <si>
    <t>QDTBMEGPXZUECM-UHFFFAOYSA-N</t>
  </si>
  <si>
    <t>C21H36O3</t>
  </si>
  <si>
    <t>1.33_229.0319m/z</t>
  </si>
  <si>
    <t>Methylisocitric Acid</t>
  </si>
  <si>
    <t>HMDB0006471</t>
  </si>
  <si>
    <t>C04593</t>
  </si>
  <si>
    <t>ko00640</t>
  </si>
  <si>
    <t>Propanoate metabolism</t>
  </si>
  <si>
    <t>CC(O)(C(CC(O)=O)C(O)=O)C(O)=O</t>
  </si>
  <si>
    <t>HHKPKXCSHMJWCF-UHFFFAOYSA-N</t>
  </si>
  <si>
    <t>10.20_315.2538m/z</t>
  </si>
  <si>
    <t>Oenanthic Ether</t>
  </si>
  <si>
    <t>HMDB0000798</t>
  </si>
  <si>
    <t>LMFA07010984</t>
  </si>
  <si>
    <t>106-30-9</t>
  </si>
  <si>
    <t>C(OCC)(=O)CCCCCC</t>
  </si>
  <si>
    <t>TVQGDYNRXLTQAP-UHFFFAOYSA-N</t>
  </si>
  <si>
    <t>C9H18O2</t>
  </si>
  <si>
    <t>4.45_1071.4026m/z</t>
  </si>
  <si>
    <t>PIP3(16:0/16:1(9Z))</t>
  </si>
  <si>
    <t>HMDB0010148</t>
  </si>
  <si>
    <t>CCCCCCCCCCCCCCCC(=O)OC[C@]([H])(COP(O)(=O)O[C@H]1C(O)C(OP(=O)(O)O)C(OP(=O)(O)O)[C@@H](OP(=O)(O)O)C1O)OC(=O)CCCCCCC\C=C/CCCCCC</t>
  </si>
  <si>
    <t>FLQSJIBLYKXZJZ-BOBQXRQZSA-N</t>
  </si>
  <si>
    <t>C41H80O22P4</t>
  </si>
  <si>
    <t>4.54_551.1355m/z</t>
  </si>
  <si>
    <t>Flutamide</t>
  </si>
  <si>
    <t>HMDB0014642</t>
  </si>
  <si>
    <t>C07653</t>
  </si>
  <si>
    <t>ko05200,ko05215</t>
  </si>
  <si>
    <t>Pathways in cancer|Prostate cancer</t>
  </si>
  <si>
    <t>13311-84-7</t>
  </si>
  <si>
    <t>CC(C)C(=O)NC1=CC(=C(C=C1)[N+]([O-])=O)C(F)(F)F</t>
  </si>
  <si>
    <t>MKXKFYHWDHIYRV-UHFFFAOYSA-N</t>
  </si>
  <si>
    <t>C11H11F3N2O3</t>
  </si>
  <si>
    <t>12.62_403.2816m/z</t>
  </si>
  <si>
    <t>MG(0:0/20:3(11Z,14Z,17Z)/0:0)</t>
  </si>
  <si>
    <t>HMDB0011545</t>
  </si>
  <si>
    <t>[H]C(CO)(CO)OC(=O)CCCCCCCCC\C=C/C\C=C/C\C=C/CC</t>
  </si>
  <si>
    <t>SLRKCKOWXHZSDR-PDBXOOCHSA-N</t>
  </si>
  <si>
    <t>14.16_514.4250m/z</t>
  </si>
  <si>
    <t>N-Nervonoyl Phenylalanine</t>
  </si>
  <si>
    <t>HMDB0242097</t>
  </si>
  <si>
    <t>CCCCCCCCC=CCCCCCCCCCCCCCC(=O)NC(CC1=CC=CC=C1)C(O)=O</t>
  </si>
  <si>
    <t>WTVQLUCOXLWXSN-UHFFFAOYSA-N</t>
  </si>
  <si>
    <t>C33H55NO3</t>
  </si>
  <si>
    <t>1.06_130.0862m/z</t>
  </si>
  <si>
    <t>Pipecolic Acid</t>
  </si>
  <si>
    <t>HMDB0000070</t>
  </si>
  <si>
    <t>C00408</t>
  </si>
  <si>
    <t>ko00310,ko00960</t>
  </si>
  <si>
    <t>Lysine degradation|Tropane, piperidine and pyridine alkaloid biosynthesis</t>
  </si>
  <si>
    <t>535-75-1</t>
  </si>
  <si>
    <t>OC(=O)C1CCCCN1</t>
  </si>
  <si>
    <t>HXEACLLIILLPRG-UHFFFAOYSA-N</t>
  </si>
  <si>
    <t>0.75_238.0376m/z</t>
  </si>
  <si>
    <t>Methylpyrogallol Sulfate 3</t>
  </si>
  <si>
    <t>HMDB0240694</t>
  </si>
  <si>
    <t>COC1=C(O)C=CC=C1OS(O)(=O)=O</t>
  </si>
  <si>
    <t>ARLAWMCEVZUXEY-UHFFFAOYSA-N</t>
  </si>
  <si>
    <t>Arylsulfates</t>
  </si>
  <si>
    <t>C7H8O6S</t>
  </si>
  <si>
    <t>3.73_461.1629m/z</t>
  </si>
  <si>
    <t>3'-Azido-3'-Deoxy-5'- O-Beta-D-Glucopyranuronosylthymidine</t>
  </si>
  <si>
    <t>HMDB0060752</t>
  </si>
  <si>
    <t>CC1=CN(C2CC(N=[N+]=[N-])[C@@H](COC3O[C@@H]([C@@H](O)[C@H](O)[C@H]3O)C(O)=O)O2)C(=O)N=C1O</t>
  </si>
  <si>
    <t>NFXAJWJJNLWLOV-OTQDERTISA-N</t>
  </si>
  <si>
    <t>Pyrimidine 2',3'-dideoxyribonucleosides</t>
  </si>
  <si>
    <t>C16H21N5O10</t>
  </si>
  <si>
    <t>5.41_567.3179m/z</t>
  </si>
  <si>
    <t>Deoxycholic Acid 3-Glucuronide</t>
  </si>
  <si>
    <t>HMDB0002596</t>
  </si>
  <si>
    <t>72504-58-6</t>
  </si>
  <si>
    <t>[H][C@@]12CCC([C@H](C)CCC(O)=O)[C@@]1(C)[C@@H](O)C[C@@]1([H])[C@@]2([H])CC[C@]2([H])C[C@@H](CC[C@]12C)OC1O[C@@H]([C@@H](O)[C@H](O)[C@H]1O)C(O)=O</t>
  </si>
  <si>
    <t>NNEIBJNHWVDJBA-WJQHFXMBSA-N</t>
  </si>
  <si>
    <t>1.15_180.0657m/z</t>
  </si>
  <si>
    <t>L-Tyrosine</t>
  </si>
  <si>
    <t>HMDB0000158</t>
  </si>
  <si>
    <t>C00082</t>
  </si>
  <si>
    <t>ko00130,ko00261,ko00350,ko00360,ko00400,ko00401,ko00460,ko00680,ko00730,ko00940,ko00950,ko00965,ko00966,ko00970,ko00998,ko01055,ko01059,ko04728,ko04916,ko04917,ko04974,ko05012,ko05030,ko05031,ko05034,ko05230</t>
  </si>
  <si>
    <t>Ubiquinone and other terpenoid-quinone biosynthesis|Monobactam biosynthesis|Tyrosine metabolism|Phenylalanine metabolism|Phenylalanine, tyrosine and tryptophan biosynthesis|Novobiocin biosynthesis|Cyanoamino acid metabolism|Methane metabolism|Thiamine metabolism|Phenylpropanoid biosynthesis|Isoquinoline alkaloid biosynthesis|Betalain biosynthesis|Glucosinolate biosynthesis|Aminoacyl-tRNA biosynthesis|Biosynthesis of various secondary metabolites - part 2|Biosynthesis of vancomycin group antibiotics|Biosynthesis of enediyne antibiotics|Dopaminergic synapse|Melanogenesis|Prolactin signaling pathway|Protein digestion and absorption|Parkinson disease|Cocaine addiction|Amphetamine addiction|Alcoholism|Central carbon metabolism in cancer</t>
  </si>
  <si>
    <t>60-18-4</t>
  </si>
  <si>
    <t>N[C@@H](CC1=CC=C(O)C=C1)C(O)=O</t>
  </si>
  <si>
    <t>OUYCCCASQSFEME-QMMMGPOBSA-N</t>
  </si>
  <si>
    <t>C9H11NO3</t>
  </si>
  <si>
    <t>10.40_773.2561m/z</t>
  </si>
  <si>
    <t>Udp-3-O-(3-Hydroxymyristoyl)-Alpha-D-Glucosamine</t>
  </si>
  <si>
    <t>HMDB0304525</t>
  </si>
  <si>
    <t>[H][C@@](O)(CCCCCCCCCCC)CC(=O)O[C@]1([H])[C@@]([H])(N)[C@@]([H])(OP(O)(=O)OP(O)(=O)OC[C@@]2([H])O[C@@]([H])(N3C=CC([O-])=NC3=O)[C@]([H])(O)[C@]2([H])O)O[C@]([H])(CO)[C@@]1([H])O</t>
  </si>
  <si>
    <t>ZFPNNOXCEDQJQS-SSVOXRMNSA-M</t>
  </si>
  <si>
    <t>C29H50N3O18P2-</t>
  </si>
  <si>
    <t>4.00_394.1625n</t>
  </si>
  <si>
    <t>Austrobuxusin C</t>
  </si>
  <si>
    <t>LMPR0103540018</t>
  </si>
  <si>
    <t>[C@]12(C)[C@@]3(C[C@@]([H])([C@H](C)OC)C(=O)O3)[C@@H]3O[C@@H]3[C@@]1(O)[C@H]1C(O[C@@H]([C@H]2O)[C@H]1C(C)=C)=O</t>
  </si>
  <si>
    <t>IVXYILFVJOWSAE-DEKYSQEQSA-N</t>
  </si>
  <si>
    <t>C20H26O8</t>
  </si>
  <si>
    <t>5.10_456.2134m/z</t>
  </si>
  <si>
    <t>Cd 1790</t>
  </si>
  <si>
    <t>HMDB0060809</t>
  </si>
  <si>
    <t>CC#CCN1C(=NC2=C1C(=O)N(CC1=NC3=CC=CC=C3C(C)=N1)C(=O)N2C)N1CCCC(O)C1</t>
  </si>
  <si>
    <t>QAHWUJQHJPWQGS-UHFFFAOYSA-N</t>
  </si>
  <si>
    <t>C25H27N7O3</t>
  </si>
  <si>
    <t>5.97_301.1409m/z</t>
  </si>
  <si>
    <t>Glyceryl 5-Hydroxydecanoate</t>
  </si>
  <si>
    <t>HMDB0032297</t>
  </si>
  <si>
    <t>26446-31-1</t>
  </si>
  <si>
    <t>CCCCCC(O)CCCC(=O)OCC(O)CO</t>
  </si>
  <si>
    <t>ILJDYMFZBMWGGZ-UHFFFAOYSA-N</t>
  </si>
  <si>
    <t>C13H26O5</t>
  </si>
  <si>
    <t>9.75_345.1705m/z</t>
  </si>
  <si>
    <t>Gibberellin A15 (Open Lactone Form)</t>
  </si>
  <si>
    <t>HMDB0304359</t>
  </si>
  <si>
    <t>CC1(CCCC2(CO)C3CCC4CC3(CC4=C)C(C12)C([O-])=O)C([O-])=O</t>
  </si>
  <si>
    <t>TZGXVFYTKTWKCU-UHFFFAOYSA-L</t>
  </si>
  <si>
    <t>C20H26O5-2</t>
  </si>
  <si>
    <t>5.27_973.3810m/z</t>
  </si>
  <si>
    <t>LPIM2(19:2(9Z,12Z)/0:0)</t>
  </si>
  <si>
    <t>LMGP15040016</t>
  </si>
  <si>
    <t>[C@](COP(O[C@H]1[C@@H](O[C@@H]2[C@@H](O)[C@@H](O)[C@H](O)[C@@H](CO)O2)[C@@H](O)[C@H](O)[C@@H](O)[C@@H]1O[C@@H]1[C@@H](O)[C@@H](O)[C@H](O)[C@@H](CO)O1)(=O)O)([H])(O)COC(CCCCCCC/C=C\C/C=C\CCCCCC)=O</t>
  </si>
  <si>
    <t>WCRVWLVWDHDWND-KBSFNISYSA-N</t>
  </si>
  <si>
    <t>C40H71O22P</t>
  </si>
  <si>
    <t>7.67_660.2956m/z</t>
  </si>
  <si>
    <t>Paromomycin</t>
  </si>
  <si>
    <t>HMDB0015490</t>
  </si>
  <si>
    <t>C00832</t>
  </si>
  <si>
    <t>ko00524</t>
  </si>
  <si>
    <t>Neomycin, kanamycin and gentamicin biosynthesis</t>
  </si>
  <si>
    <t>1263-89-4</t>
  </si>
  <si>
    <t>NC[C@@H]1O[C@H](O[C@@H]2[C@@H](CO)O[C@@H](O[C@@H]3[C@@H](O)[C@H](N)C[C@H](N)[C@H]3O[C@H]3O[C@H](CO)[C@@H](O)[C@H](O)[C@H]3N)[C@@H]2O)[C@H](N)[C@@H](O)[C@@H]1O</t>
  </si>
  <si>
    <t>UOZODPSAJZTQNH-LSWIJEOBSA-N</t>
  </si>
  <si>
    <t>C23H45N5O14</t>
  </si>
  <si>
    <t>5.17_310.1565n</t>
  </si>
  <si>
    <t>2-Hydroxy-3,6-Diphenylcyclohexyl Acetate</t>
  </si>
  <si>
    <t>CC(=O)OC1C(CCC(C1O)C2=CC=CC=C2)C3=CC=CC=C3</t>
  </si>
  <si>
    <t>RRGRXDIGPVAQIW-UHFFFAOYSA-N</t>
  </si>
  <si>
    <t>12.49_503.3707m/z</t>
  </si>
  <si>
    <t>Cyclopassifloic Acid B</t>
  </si>
  <si>
    <t>HMDB0038388</t>
  </si>
  <si>
    <t>292167-35-2</t>
  </si>
  <si>
    <t>CC(C)C(O)(CO)CCC(C)C1CCC2(C)C3CCC4C5(CC35CCC12C)C(O)CC(O)C4(C)C(O)=O</t>
  </si>
  <si>
    <t>WXPOFBIHDUXUII-UHFFFAOYSA-N</t>
  </si>
  <si>
    <t>C31H52O6</t>
  </si>
  <si>
    <t>0.71_277.0323m/z</t>
  </si>
  <si>
    <t>(R)-3-Amino-2-Fluoropropyl Phosphenite</t>
  </si>
  <si>
    <t>HMDB0248770</t>
  </si>
  <si>
    <t>NCC(F)COP=O</t>
  </si>
  <si>
    <t>ZUHQHFXKGMALPO-UHFFFAOYSA-N</t>
  </si>
  <si>
    <t>C3H7FNO2P</t>
  </si>
  <si>
    <t>10.11_588.3306m/z</t>
  </si>
  <si>
    <t>PC(20:4(5Z,8Z,11Z,14Z)/0:0)</t>
  </si>
  <si>
    <t>HMDB0010395</t>
  </si>
  <si>
    <t>LMGP01050048</t>
  </si>
  <si>
    <t>60701-99-7</t>
  </si>
  <si>
    <t>[C@](COP(=O)([O-])OCC[N+](C)(C)C)([H])(O)COC(CCC/C=C\C/C=C\C/C=C\C/C=C\CCCCC)=O</t>
  </si>
  <si>
    <t>LAXQYRRMGGEGOH-JXRLJXCWSA-N</t>
  </si>
  <si>
    <t>8.62_311.1862m/z</t>
  </si>
  <si>
    <t>(7z)-14-Hydroxy-10,13-Dioxoheptadec-7-Enoic Acid</t>
  </si>
  <si>
    <t>LMFA01050450</t>
  </si>
  <si>
    <t>C(O)(=O)CCCCC/C=C\CC(=O)CCC(=O)C(O)CCC</t>
  </si>
  <si>
    <t>QGFDIKLPPWSQIY-ALCCZGGFSA-N</t>
  </si>
  <si>
    <t>C17H28O5</t>
  </si>
  <si>
    <t>6.09_647.1886m/z</t>
  </si>
  <si>
    <t>4'-Hydroxywarfarin</t>
  </si>
  <si>
    <t>24579-14-4</t>
  </si>
  <si>
    <t>CC(=O)CC(C1=CC=C(C=C1)O)C2=C(C3=CC=CC=C3OC2=O)O</t>
  </si>
  <si>
    <t>RRZWAMPDGRWRPF-UHFFFAOYSA-N</t>
  </si>
  <si>
    <t>C19H16O5</t>
  </si>
  <si>
    <t>10.11_238.1568n</t>
  </si>
  <si>
    <t>Sundiversifolide</t>
  </si>
  <si>
    <t>LMPR0103390002</t>
  </si>
  <si>
    <t>C1(CCCO)[C@@H](C)C[C@H]2OC(=O)[C@@H](C)[C@H]2CC=1</t>
  </si>
  <si>
    <t>OXNJNKIMPIRBQC-YRRQLQLVSA-N</t>
  </si>
  <si>
    <t>7.30_747.3239m/z</t>
  </si>
  <si>
    <t>Glucoscilliroside</t>
  </si>
  <si>
    <t>LMST01130009</t>
  </si>
  <si>
    <t>C1[C@]2(C)[C@@]3([H])CC[C@]4(C)[C@@]([H])(C5=COC(=O)C=C5)CC[C@]4(O)[C@]3(O)C[C@@H](C(C)=O)C2=C[C@@H](O[C@H]2[C@H](O)[C@@H](O)[C@H](O[C@H]3[C@H](O)[C@@H](O)[C@H](O)[C@@H](CO)O3)[C@@H](CO)O2)C1</t>
  </si>
  <si>
    <t>UJOADTPCXQMFOK-ANWJPPJGSA-N</t>
  </si>
  <si>
    <t>C38H54O16</t>
  </si>
  <si>
    <t>7.99_813.2876m/z</t>
  </si>
  <si>
    <t>N-Desmethyl Topotecan</t>
  </si>
  <si>
    <t>HMDB0255119</t>
  </si>
  <si>
    <t>CCC1(O)C(=O)OCC2=C1C=C1N(CC3=C1N=C1C=CC(O)=C(CNC)C1=C3)C2=O</t>
  </si>
  <si>
    <t>ZWUJOGCYOWLZFL-UHFFFAOYSA-N</t>
  </si>
  <si>
    <t>C22H21N3O5</t>
  </si>
  <si>
    <t>4.67_251.0793n</t>
  </si>
  <si>
    <t>N-Phenylacetylaspartic Acid</t>
  </si>
  <si>
    <t>HMDB0029355</t>
  </si>
  <si>
    <t>2752-32-1</t>
  </si>
  <si>
    <t>OC(=O)CC(NC(=O)CC1=CC=CC=C1)C(O)=O</t>
  </si>
  <si>
    <t>SVFKZPQPMMZHLZ-UHFFFAOYSA-N</t>
  </si>
  <si>
    <t>1.41_489.1225m/z</t>
  </si>
  <si>
    <t>6-Azauridine</t>
  </si>
  <si>
    <t>HMDB0247037</t>
  </si>
  <si>
    <t>OCC1OC(C(O)C1O)N1N=CC(=O)NC1=O</t>
  </si>
  <si>
    <t>WYXSYVWAUAUWLD-UHFFFAOYSA-N</t>
  </si>
  <si>
    <t>C8H11N3O6</t>
  </si>
  <si>
    <t>14.32_589.4817m/z</t>
  </si>
  <si>
    <t>Dg(14:0/20:4(5z,8z,11z,14z)/0:0)[Iso2]</t>
  </si>
  <si>
    <t>HMDB0007025</t>
  </si>
  <si>
    <t>LMGL02010392</t>
  </si>
  <si>
    <t>OC[C@]([H])(OC(CCC/C=C\C/C=C\C/C=C\C/C=C\CCCCC)=O)COC(CCCCCCCCCCCCC)=O</t>
  </si>
  <si>
    <t>WUAKTBJJBHNDEY-BAGRHYESSA-N</t>
  </si>
  <si>
    <t>5.37_380.2235m/z</t>
  </si>
  <si>
    <t>4-(5h-Dibenzo[A,D]Cyclohepten-5-Ylidene)-1-[4-(2h-Tetrazol-5-Yl)Butyl]-Piperidine</t>
  </si>
  <si>
    <t>HMDB0248686</t>
  </si>
  <si>
    <t>162640-98-4</t>
  </si>
  <si>
    <t>C(CCC1=NNN=N1)CN1CCC(CC1)=C1C2=CC=CC=C2C=CC2=CC=CC=C12</t>
  </si>
  <si>
    <t>LQNGMDUIRLSESZ-UHFFFAOYSA-N</t>
  </si>
  <si>
    <t>Dibenzocycloheptenes</t>
  </si>
  <si>
    <t>C25H27N5</t>
  </si>
  <si>
    <t>11.48_340.2842m/z</t>
  </si>
  <si>
    <t>15s-Hetre</t>
  </si>
  <si>
    <t>HMDB0005045</t>
  </si>
  <si>
    <t>LMFA03050007</t>
  </si>
  <si>
    <t>13-16-1</t>
  </si>
  <si>
    <t>C(/C/C=C\C=C\[C@@H](O)CCCCC)=C/CCCCCCC(=O)O</t>
  </si>
  <si>
    <t>IUKXMNDGTWTNTP-OAHXIXLCSA-N</t>
  </si>
  <si>
    <t>0.55_201.0082m/z</t>
  </si>
  <si>
    <t>1,4-Butanediphosphonic Acid</t>
  </si>
  <si>
    <t>HMDB0244204</t>
  </si>
  <si>
    <t>OP(O)(=O)CCCCP(O)(O)=O</t>
  </si>
  <si>
    <t>JKTORXLUQLQJCM-UHFFFAOYSA-N</t>
  </si>
  <si>
    <t>C4H12O6P2</t>
  </si>
  <si>
    <t>0.62_182.9622m/z</t>
  </si>
  <si>
    <t>6-Sulfanyl-1h-Pyrimidine-2,4-Dione</t>
  </si>
  <si>
    <t>HMDB0255801</t>
  </si>
  <si>
    <t>SC1=CC(=O)NC(=O)N1</t>
  </si>
  <si>
    <t>HCFLFBOWTIRGOA-UHFFFAOYSA-N</t>
  </si>
  <si>
    <t>C4H4N2O2S</t>
  </si>
  <si>
    <t>1.31_314.9918m/z</t>
  </si>
  <si>
    <t>4-([2,2'-Bithiophen]-5-Yl)But-3-Yn-1-Yl Acetate</t>
  </si>
  <si>
    <t>HMDB0034454</t>
  </si>
  <si>
    <t>LMFA12000355</t>
  </si>
  <si>
    <t>C04485</t>
  </si>
  <si>
    <t>1219-28-9</t>
  </si>
  <si>
    <t>C1=CC=C(C2=CC=C(C#CCCOC(C)=O)S2)S1</t>
  </si>
  <si>
    <t>KHPAKGUGOFYJNA-UHFFFAOYSA-N</t>
  </si>
  <si>
    <t>C14H12O2S2</t>
  </si>
  <si>
    <t>5.36_391.1973m/z</t>
  </si>
  <si>
    <t>Glycylphenylalanylleucylglycine</t>
  </si>
  <si>
    <t>HMDB0252827</t>
  </si>
  <si>
    <t>CC(C)CC(NC(=O)C(CC1=CC=CC=C1)NC(=O)CN)C(=O)NCC(O)=O</t>
  </si>
  <si>
    <t>WEZDRVHTDXTVLT-UHFFFAOYSA-N</t>
  </si>
  <si>
    <t>C19H28N4O5</t>
  </si>
  <si>
    <t>4.70_345.1552m/z</t>
  </si>
  <si>
    <t>(1r,3s,4s,6r)-6,9-Dihydroxyfenchone 6-O-B-D-Glucoside</t>
  </si>
  <si>
    <t>HMDB0033222</t>
  </si>
  <si>
    <t>217960-73-1</t>
  </si>
  <si>
    <t>CC1(CO)C2CC(OC3OC(CO)C(O)C(O)C3O)C(C)(C2)C1=O</t>
  </si>
  <si>
    <t>QZAWDTYMSDWVFW-UHFFFAOYSA-N</t>
  </si>
  <si>
    <t>8.02_621.2162m/z</t>
  </si>
  <si>
    <t>3,5-Bis(2-Fluorobenzylidene)-4-Piperidone</t>
  </si>
  <si>
    <t>HMDB0246046</t>
  </si>
  <si>
    <t>FC1=CC=CC=C1C=C1CNCC(=CC2=CC=CC=C2F)C1=O</t>
  </si>
  <si>
    <t>NIVYQYSNRUIFIF-UHFFFAOYSA-N</t>
  </si>
  <si>
    <t>Piperidinones</t>
  </si>
  <si>
    <t>C19H15F2NO</t>
  </si>
  <si>
    <t>6.46_991.5429m/z</t>
  </si>
  <si>
    <t>PIM1(18:2(9Z,12Z)/16:2(9Z,12Z))</t>
  </si>
  <si>
    <t>LMGP15010029</t>
  </si>
  <si>
    <t>[C@](COP(O[C@H]1[C@@H](O)[C@@H](O)[C@H](O)[C@@H](O)[C@@H]1O[C@@H]1[C@@H](O)[C@@H](O)[C@H](O)[C@@H](CO)O1)(=O)O)([H])(OC(CCCCCCC/C=C\C/C=C\CCC)=O)COC(CCCCCCC/C=C\C/C=C\CCCCC)=O</t>
  </si>
  <si>
    <t>NZFGLTZZMUEWBH-WHJURPCISA-N</t>
  </si>
  <si>
    <t>C49H85O18P</t>
  </si>
  <si>
    <t>5.01_222.1124m/z</t>
  </si>
  <si>
    <t>7-Ethoxy-4-Methyl-2h-1-Benzopyran-2-One</t>
  </si>
  <si>
    <t>HMDB0035095</t>
  </si>
  <si>
    <t>87-05-8</t>
  </si>
  <si>
    <t>CCOC1=CC2=C(C=C1)C(C)=CC(=O)O2</t>
  </si>
  <si>
    <t>NKRISXMDKXBVRJ-UHFFFAOYSA-N</t>
  </si>
  <si>
    <t>C12H12O3</t>
  </si>
  <si>
    <t>3.82_327.0721m/z</t>
  </si>
  <si>
    <t>Bergenin</t>
  </si>
  <si>
    <t>C09919</t>
  </si>
  <si>
    <t>477-90-7</t>
  </si>
  <si>
    <t>COC1=C(C=C2C(=C1O)C3C(C(C(C(O3)CO)O)O)OC2=O)O</t>
  </si>
  <si>
    <t>YWJXCIXBAKGUKZ-HJJNZUOJSA-N</t>
  </si>
  <si>
    <t>1.35_252.1090m/z</t>
  </si>
  <si>
    <t>5'-Deoxyadenosine</t>
  </si>
  <si>
    <t>HMDB0001983</t>
  </si>
  <si>
    <t>C05198</t>
  </si>
  <si>
    <t>4754-39-6</t>
  </si>
  <si>
    <t>C[C@H]1O[C@H]([C@H](O)[C@@H]1O)N1C=NC2=C(N)N=CN=C12</t>
  </si>
  <si>
    <t>XGYIMTFOTBMPFP-KQYNXXCUSA-N</t>
  </si>
  <si>
    <t>5'-deoxyribonucleosides</t>
  </si>
  <si>
    <t>C10H13N5O3</t>
  </si>
  <si>
    <t>3.79_561.1236m/z</t>
  </si>
  <si>
    <t>Flufenamic Acid</t>
  </si>
  <si>
    <t>HMDB0252331</t>
  </si>
  <si>
    <t>C13038</t>
  </si>
  <si>
    <t>530-78-9</t>
  </si>
  <si>
    <t>OC(=O)C1=CC=CC=C1NC1=CC(=CC=C1)C(F)(F)F</t>
  </si>
  <si>
    <t>LPEPZBJOKDYZAD-UHFFFAOYSA-N</t>
  </si>
  <si>
    <t>C14H10F3NO2</t>
  </si>
  <si>
    <t>2.07_543.0416m/z</t>
  </si>
  <si>
    <t>Dtdp-Alpha-D-Glucose</t>
  </si>
  <si>
    <t>HMDB0304344</t>
  </si>
  <si>
    <t>[H][C@]1(O)C[C@@]([H])(O[C@]1([H])COP([O-])(=O)OP(O)(=O)O[C@@]1([H])O[C@]([H])(CO)[C@@]([H])(O)[C@]([H])(O)[C@@]1([H])O)N1C=C(C)C([O-])=NC1=O</t>
  </si>
  <si>
    <t>YSYKRGRSMLTJNL-URARBOGNSA-L</t>
  </si>
  <si>
    <t>C16H24N2O16P2-2</t>
  </si>
  <si>
    <t>8.45_549.2325m/z</t>
  </si>
  <si>
    <t>Bruceantin</t>
  </si>
  <si>
    <t>C08749</t>
  </si>
  <si>
    <t>41451-75-6</t>
  </si>
  <si>
    <t>CC1=C(C(=O)CC2(C1CC3C45C2C(C(C(C4C(C(=O)O3)OC(=O)C=C(C)C(C)C)(OC5)C(=O)OC)O)O)C)O</t>
  </si>
  <si>
    <t>IRQXZTBHNKVIRL-GOTQHHPNSA-N</t>
  </si>
  <si>
    <t>C28H36O11</t>
  </si>
  <si>
    <t>11.23_507.2724m/z</t>
  </si>
  <si>
    <t>1-(11z,14z-Eicosadienoyl)-Glycero-3-Phosphate</t>
  </si>
  <si>
    <t>HMDB0062303</t>
  </si>
  <si>
    <t>[H]C(CCCCC)=C([H])C\C([H])=C(\[H])CCCCCCCCCC(=O)OC[C@@]([H])(O)COP(O)(O)=O</t>
  </si>
  <si>
    <t>PIWSAHYRIXOITD-MNZXDXIFSA-N</t>
  </si>
  <si>
    <t>C23H43O7P</t>
  </si>
  <si>
    <t>13.82_667.4537m/z</t>
  </si>
  <si>
    <t>PG(a-13:0/a-15:0)</t>
  </si>
  <si>
    <t>HMDB0116638</t>
  </si>
  <si>
    <t>[H][C@](O)(CO)COP(O)(=O)OC[C@@]([H])(COC(=O)CCCCCCCCC(C)CC)OC(=O)CCCCCCCCCCC(C)CC</t>
  </si>
  <si>
    <t>OIMPHTHCOXQAAQ-VJUQQTGUSA-N</t>
  </si>
  <si>
    <t>C34H67O10P</t>
  </si>
  <si>
    <t>4.63_415.1244m/z</t>
  </si>
  <si>
    <t>Sinapaldehyde Glucoside</t>
  </si>
  <si>
    <t>COC1=CC(=CC(=C1OC2C(C(C(C(O2)CO)O)O)O)OC)C=CC=O</t>
  </si>
  <si>
    <t>OYTCTPHTVUEGCL-RBKUQZRRSA-N</t>
  </si>
  <si>
    <t>4.63_549.2473m/z</t>
  </si>
  <si>
    <t>Alanyltryptophan</t>
  </si>
  <si>
    <t>HMDB0013209</t>
  </si>
  <si>
    <t>16305-75-2</t>
  </si>
  <si>
    <t>C[C@H](N)C(=O)N[C@@H](CC1=CNC2=C1C=CC=C2)C(O)=O</t>
  </si>
  <si>
    <t>WUGMRIBZSVSJNP-UFBFGSQYSA-N</t>
  </si>
  <si>
    <t>C14H17N3O3</t>
  </si>
  <si>
    <t>11.09_837.4250m/z</t>
  </si>
  <si>
    <t>Mabioside C</t>
  </si>
  <si>
    <t>HMDB0040653</t>
  </si>
  <si>
    <t>156980-54-0</t>
  </si>
  <si>
    <t>[H][C@]12CCC3[C@@]4(C)CC[C@H](O[C@@H]5O[C@H](CO[C@@H]6O[C@@H](C)[C@H](O)[C@@H](O)[C@H]6O)[C@@H](O)[C@H](O)[C@H]5O)C(C)(C)C4CC[C@@]3(C)[C@]1(C)C(=O)OCC1=C2C(=O)O[C@@H]1CC=C(C)C</t>
  </si>
  <si>
    <t>MRRXLUATSGZGMZ-BDLJIMIMSA-N</t>
  </si>
  <si>
    <t>C42H64O14</t>
  </si>
  <si>
    <t>5.84_803.2900m/z</t>
  </si>
  <si>
    <t>Ulexone B</t>
  </si>
  <si>
    <t>LMPK12050212</t>
  </si>
  <si>
    <t>C12OC(C)(C)C=CC=1C1OC=C(C3=CC4C=CC(C)(C)OC=4C=C3)C(=O)C=1C(O)=C2</t>
  </si>
  <si>
    <t>ACNNVOPYPNMOSB-UHFFFAOYSA-N</t>
  </si>
  <si>
    <t>Pyranoisoflavonoids</t>
  </si>
  <si>
    <t>C25H22O5</t>
  </si>
  <si>
    <t>4.68_232.1462n</t>
  </si>
  <si>
    <t>Alantolactone</t>
  </si>
  <si>
    <t>LMPR0103190013</t>
  </si>
  <si>
    <t>C09289</t>
  </si>
  <si>
    <t>546-43-0</t>
  </si>
  <si>
    <t>O1[C@]2([H])C[C@@]3(C)CCC[C@H](C)C3=C[C@]2([H])C(=C)C1=O</t>
  </si>
  <si>
    <t>PXOYOCNNSUAQNS-AGNJHWRGSA-N</t>
  </si>
  <si>
    <t>C15H20O2</t>
  </si>
  <si>
    <t>4.31_431.1891m/z</t>
  </si>
  <si>
    <t>N,N'-Dibenzhydrylethane-1,2-Diamine</t>
  </si>
  <si>
    <t>HMDB0254810</t>
  </si>
  <si>
    <t>C(CNC(C1=CC=CC=C1)C1=CC=CC=C1)NC(C1=CC=CC=C1)C1=CC=CC=C1</t>
  </si>
  <si>
    <t>DTZDSNQYNPNCPK-UHFFFAOYSA-N</t>
  </si>
  <si>
    <t>C28H28N2</t>
  </si>
  <si>
    <t>2.11_320.0553m/z</t>
  </si>
  <si>
    <t>Glutathione Peroxide</t>
  </si>
  <si>
    <t>HMDB0252820</t>
  </si>
  <si>
    <t>NC1CCC(=O)NC(CS)C(=O)NCC(=O)OOOOC1=O</t>
  </si>
  <si>
    <t>AWVSETWNTPXALU-UHFFFAOYSA-N</t>
  </si>
  <si>
    <t>C10H15N3O8S</t>
  </si>
  <si>
    <t>4.20_699.2496m/z</t>
  </si>
  <si>
    <t>Benzylpenicilloyl</t>
  </si>
  <si>
    <t>HMDB0256234</t>
  </si>
  <si>
    <t>CC(=O)C(NC(=O)CC1=CC=CC=C1)C1NC(C(O)=O)C(C)(C)S1</t>
  </si>
  <si>
    <t>BABPKMOCIHJONA-UHFFFAOYSA-N</t>
  </si>
  <si>
    <t>C17H22N2O4S</t>
  </si>
  <si>
    <t>9.28_313.2384m/z</t>
  </si>
  <si>
    <t>12,13-Dihydroxyoleic Acid</t>
  </si>
  <si>
    <t>HMDB0004705</t>
  </si>
  <si>
    <t>LMFA02000302</t>
  </si>
  <si>
    <t>C14829</t>
  </si>
  <si>
    <t>7293-40-5</t>
  </si>
  <si>
    <t>C(CCCCCCC/C=C\C[C@H](O)[C@@H](O)CCCCC)(=O)O</t>
  </si>
  <si>
    <t>CQSLTKIXAJTQGA-BTDPBSJTSA-N</t>
  </si>
  <si>
    <t>15.40_683.5238m/z</t>
  </si>
  <si>
    <t>DG(18:0/20:3(5Z,8Z,11Z)-O(14R,15S)/0:0)</t>
  </si>
  <si>
    <t>HMDB0295807</t>
  </si>
  <si>
    <t>CCCCCCCCCCCCCCCCCC(=O)OC[C@H](CO)OC(=O)CCC\C=C/C\C=C/C\C=C/CC1OC1CCCCC</t>
  </si>
  <si>
    <t>UOQXPVBPXOFCFW-IXZQYOSYSA-N</t>
  </si>
  <si>
    <t>C41H72O6</t>
  </si>
  <si>
    <t>4.97_787.2783m/z</t>
  </si>
  <si>
    <t>Isorotenone</t>
  </si>
  <si>
    <t>CC(C)C1=CC2=C(O1)C=CC3=C2OC4COC5=CC(=C(C=C5C4C3=O)OC)OC</t>
  </si>
  <si>
    <t>DJDRQIXLFYUYAA-RTWAWAEBSA-N</t>
  </si>
  <si>
    <t>C23H22O6</t>
  </si>
  <si>
    <t>3.62_709.2299m/z</t>
  </si>
  <si>
    <t>Cay10499</t>
  </si>
  <si>
    <t>359714-55-9</t>
  </si>
  <si>
    <t>CC1=C(C=CC(=C1)N2C(=O)OC(=N2)OC)NC(=O)OCC3=CC=CC=C3</t>
  </si>
  <si>
    <t>QTENHWTVRQKWRI-UHFFFAOYSA-N</t>
  </si>
  <si>
    <t>C18H17N3O5</t>
  </si>
  <si>
    <t>9.80_249.1824m/z</t>
  </si>
  <si>
    <t>5e-Tetradecenoic Acid</t>
  </si>
  <si>
    <t>HMDB0000499</t>
  </si>
  <si>
    <t>LMFA01030913</t>
  </si>
  <si>
    <t>5684-69-5</t>
  </si>
  <si>
    <t>C(CCC/C=C/CCCCCCCC)(=O)O</t>
  </si>
  <si>
    <t>AFGUVBVUFZMJMX-MDZDMXLPSA-N</t>
  </si>
  <si>
    <t>7.21_194.1304n</t>
  </si>
  <si>
    <t>Dodecatrienoic Acid</t>
  </si>
  <si>
    <t>HMDB0302622</t>
  </si>
  <si>
    <t>CCCCCC=CC=CC=CC(O)=O</t>
  </si>
  <si>
    <t>QFQUMHBUJBZOBZ-UHFFFAOYSA-N</t>
  </si>
  <si>
    <t>C12H18O2</t>
  </si>
  <si>
    <t>5.35_174.1852m/z</t>
  </si>
  <si>
    <t>(-)-Menthol</t>
  </si>
  <si>
    <t>HMDB0003352</t>
  </si>
  <si>
    <t>LMPR0102090001</t>
  </si>
  <si>
    <t>C00400</t>
  </si>
  <si>
    <t>ko00902,ko04750</t>
  </si>
  <si>
    <t>Monoterpenoid biosynthesis|Inflammatory mediator regulation of TRP channels</t>
  </si>
  <si>
    <t>2216-51-5</t>
  </si>
  <si>
    <t>[C@@H]1(C(C)C)CC[C@@H](C)C[C@H]1O</t>
  </si>
  <si>
    <t>NOOLISFMXDJSKH-KXUCPTDWSA-N</t>
  </si>
  <si>
    <t>C10H20O</t>
  </si>
  <si>
    <t>6.18_573.2710m/z</t>
  </si>
  <si>
    <t>Indole-3-Acetyl-Isoleucine</t>
  </si>
  <si>
    <t>HMDB0304382</t>
  </si>
  <si>
    <t>CCC(C)C(NC(=O)CC1=CNC2=C1C=CC=C2)C([O-])=O</t>
  </si>
  <si>
    <t>WPTUQMUCTTVOFW-UHFFFAOYSA-M</t>
  </si>
  <si>
    <t>C16H19N2O3-</t>
  </si>
  <si>
    <t>4.36_547.2392m/z</t>
  </si>
  <si>
    <t>3-Oxo-Alpha-Ionol 9-[Apiosyl-(1-&gt;6)-Glucoside]</t>
  </si>
  <si>
    <t>HMDB0040672</t>
  </si>
  <si>
    <t>143363-62-6</t>
  </si>
  <si>
    <t>CC(OC1OC(COC2OCC(O)(CO)C2O)C(O)C(O)C1O)\C=C\C1C(C)=CC(=O)CC1(C)C</t>
  </si>
  <si>
    <t>DQQUPMXQGJRNAW-AATRIKPKSA-N</t>
  </si>
  <si>
    <t>C24H38O11</t>
  </si>
  <si>
    <t>3.71_463.0881m/z</t>
  </si>
  <si>
    <t>Kaempferol 3-O-Arabinoside</t>
  </si>
  <si>
    <t>HMDB0029261</t>
  </si>
  <si>
    <t>OC[C@@H]1O[C@H](OC2=C(OC3=CC(O)=CC(O)=C3C2=O)C2=CC=C(O)C=C2)[C@H](O)[C@H]1O</t>
  </si>
  <si>
    <t>POQICXMTUPVZMX-BQCJVYABSA-N</t>
  </si>
  <si>
    <t>C20H18O10</t>
  </si>
  <si>
    <t>5.61_407.2060m/z</t>
  </si>
  <si>
    <t>Didrovaltratum</t>
  </si>
  <si>
    <t>LMPR0102070008</t>
  </si>
  <si>
    <t>C09776</t>
  </si>
  <si>
    <t>[C@]12(CO1)[C@@H](OC(=O)C)C[C@]1([H])C(COC(=O)CC(C)C)=CO[C@@H](OC(=O)CC(C)C)[C@@]12[H]</t>
  </si>
  <si>
    <t>PHHROXLDZHUIGO-PNBTUHDLSA-N</t>
  </si>
  <si>
    <t>1.50_370.1508m/z</t>
  </si>
  <si>
    <t>2-Methoxy-4-(2-(Methylamino)Propyl)Phenyl Beta-D-Glucopyranosiduronic Acid</t>
  </si>
  <si>
    <t>HMDB0244645</t>
  </si>
  <si>
    <t>CNC(C)CC1=CC(OC)=C(OC2OC(C(O)C(O)C2O)C(O)=O)C=C1</t>
  </si>
  <si>
    <t>HCHNINKPRWVEFF-UHFFFAOYSA-N</t>
  </si>
  <si>
    <t>C17H25NO8</t>
  </si>
  <si>
    <t>1.22_147.0287m/z</t>
  </si>
  <si>
    <t>D-Arabinono-1,4-Lactone</t>
  </si>
  <si>
    <t>HMDB0302833</t>
  </si>
  <si>
    <t>C00652</t>
  </si>
  <si>
    <t>2782-09-4</t>
  </si>
  <si>
    <t>OC[C@H]1OC(=O)[C@@H](O)[C@@H]1O</t>
  </si>
  <si>
    <t>CUOKHACJLGPRHD-JJYYJPOSSA-N</t>
  </si>
  <si>
    <t>4.00_291.1336m/z</t>
  </si>
  <si>
    <t>L-Thyronine</t>
  </si>
  <si>
    <t>HMDB0000667</t>
  </si>
  <si>
    <t>1596-67-4</t>
  </si>
  <si>
    <t>N[C@@H](CC1=CC=C(OC2=CC=C(O)C=C2)C=C1)C(O)=O</t>
  </si>
  <si>
    <t>KKCIOUWDFWQUBT-AWEZNQCLSA-N</t>
  </si>
  <si>
    <t>C15H15NO4</t>
  </si>
  <si>
    <t>9.20_351.1400m/z</t>
  </si>
  <si>
    <t>4,4'-Dihydroxytetraphenylmethane</t>
  </si>
  <si>
    <t>HMDB0244814</t>
  </si>
  <si>
    <t>OC1=CC=C(C=C1)C(C1=CC=CC=C1)(C1=CC=CC=C1)C1=CC=C(O)C=C1</t>
  </si>
  <si>
    <t>BATCUENAARTUKW-UHFFFAOYSA-N</t>
  </si>
  <si>
    <t>C25H20O2</t>
  </si>
  <si>
    <t>4.10_257.1392m/z</t>
  </si>
  <si>
    <t>Patulolide C</t>
  </si>
  <si>
    <t>LMFA07040122</t>
  </si>
  <si>
    <t>C1(O[C@H](C)CCCCCC[C@H](O)C=C1)=O</t>
  </si>
  <si>
    <t>KANOICQRSIXTJU-OJLMFNQTSA-N</t>
  </si>
  <si>
    <t>5.10_651.3352m/z</t>
  </si>
  <si>
    <t>Thapsigargin</t>
  </si>
  <si>
    <t>LMPR0103410001</t>
  </si>
  <si>
    <t>C09561</t>
  </si>
  <si>
    <t>67526-95-8</t>
  </si>
  <si>
    <t>O(C(=O)CCC)[C@H]1C[C@](C)(OC(=O)C)[C@]2([C@H](OC(CCCCCCC)=O)[C@@H](OC(=O)/C(=C\C)/C)C(C)=C2[C@@]2(OC([C@]([C@@]12O)(O)C)=O)[H])[H]</t>
  </si>
  <si>
    <t>IXFPJGBNCFXKPI-FSIHEZPISA-N</t>
  </si>
  <si>
    <t>C34H50O12</t>
  </si>
  <si>
    <t>10.38_275.2004m/z</t>
  </si>
  <si>
    <t>(-)-8-Hydroxy-11e,17-Octadecadien-9-Ynoic Acid</t>
  </si>
  <si>
    <t>LMFA02000191</t>
  </si>
  <si>
    <t>C(CCCCCCC(O)C#C/C=C/CCCCC=C)(=O)O</t>
  </si>
  <si>
    <t>KICRKYKTMPUVKC-BQYQJAHWSA-N</t>
  </si>
  <si>
    <t>C18H28O3</t>
  </si>
  <si>
    <t>5.23_317.1653m/z</t>
  </si>
  <si>
    <t>Tetradecyl Phosphonate</t>
  </si>
  <si>
    <t>4671-75-4</t>
  </si>
  <si>
    <t>CCCCCCCCCCCCCCP(=O)(O)O</t>
  </si>
  <si>
    <t>BVQJQTMSTANITJ-UHFFFAOYSA-N</t>
  </si>
  <si>
    <t>C14H31O3P</t>
  </si>
  <si>
    <t>6.02_670.6346m/z</t>
  </si>
  <si>
    <t>DG(14:0/24:0/0:0)</t>
  </si>
  <si>
    <t>HMDB0007035</t>
  </si>
  <si>
    <t>[H][C@](CO)(COC(=O)CCCCCCCCCCCCC)OC(=O)CCCCCCCCCCCCCCCCCCCCCCC</t>
  </si>
  <si>
    <t>MRSNAXQGXHAQSN-KDXMTYKHSA-N</t>
  </si>
  <si>
    <t>C41H80O5</t>
  </si>
  <si>
    <t>4.01_402.1886n</t>
  </si>
  <si>
    <t>Methyl 7-Epi-12-Hydroxyjasmonate Glucoside</t>
  </si>
  <si>
    <t>HMDB0031763</t>
  </si>
  <si>
    <t>142465-56-3</t>
  </si>
  <si>
    <t>COC(=O)CC1CCC(=O)C1C\C=C\CCOC1OC(CO)C(O)C(O)C1O</t>
  </si>
  <si>
    <t>AJWIFVNLXHFTFD-NSCUHMNNSA-N</t>
  </si>
  <si>
    <t>C19H30O9</t>
  </si>
  <si>
    <t>14.09_712.5352m/z</t>
  </si>
  <si>
    <t>Chrysogeside C</t>
  </si>
  <si>
    <t>LMSP05010095</t>
  </si>
  <si>
    <t>C([C@H](NC([C@H](O)/C=C/CCCCCCCCCCCCCCC)=O)[C@H](O)/C=C/CC/C=C(\C)/CCCCC)O[C@H]1[C@H](O)[C@@H](O)[C@H](O)[C@@H](CO)O1</t>
  </si>
  <si>
    <t>MPDYYYVKKXHAGJ-JAKQRLLBSA-N</t>
  </si>
  <si>
    <t>C40H73NO9</t>
  </si>
  <si>
    <t>5.88_613.3430m/z</t>
  </si>
  <si>
    <t>Dhlnl</t>
  </si>
  <si>
    <t>HMDB0246853</t>
  </si>
  <si>
    <t>NC(CCC(O)CNCC(O)CCC(N)C(O)=O)C(O)=O</t>
  </si>
  <si>
    <t>COYAOJMPFAKKAM-UHFFFAOYSA-N</t>
  </si>
  <si>
    <t>C12H25N3O6</t>
  </si>
  <si>
    <t>7.65_820.3561m/z</t>
  </si>
  <si>
    <t>Rpr112698</t>
  </si>
  <si>
    <t>HMDB0060870</t>
  </si>
  <si>
    <t>CO[C@@H]1C2=C(C)[C@H](C[C@@](O)([C@@H](OC(=O)C3=CC=CC=C3)C3[C@@]4(CO[C@@H]4C[C@H](O)[C@@]3(C)C1=O)OC(C)=O)C2(C)C)OC(=O)[C@H](O)[C@@H](NC(=O)OC(C)(C)C)C1=CC=CC=C1</t>
  </si>
  <si>
    <t>KWXAADKMZIJIMH-JWMHMURQSA-N</t>
  </si>
  <si>
    <t>C44H55NO14</t>
  </si>
  <si>
    <t>5.41_419.2287m/z</t>
  </si>
  <si>
    <t>Tsangane L 3-Glucoside</t>
  </si>
  <si>
    <t>HMDB0040824</t>
  </si>
  <si>
    <t>143775-68-2</t>
  </si>
  <si>
    <t>CC(O)CCC1=C(C)CC(CC1(C)C)OC1OC(CO)C(O)C(O)C1O</t>
  </si>
  <si>
    <t>UJRMJTIXXKZFGB-UHFFFAOYSA-N</t>
  </si>
  <si>
    <t>C19H34O7</t>
  </si>
  <si>
    <t>5.51_707.2324m/z</t>
  </si>
  <si>
    <t>Allithiamine</t>
  </si>
  <si>
    <t>HMDB0031758</t>
  </si>
  <si>
    <t>554-44-9</t>
  </si>
  <si>
    <t>C\C(N(CC1=C(N)N=C(C)N=C1)C=O)=C(\CCO)SSCC=C</t>
  </si>
  <si>
    <t>WNCAVNGLACHSRZ-SDNWHVSQSA-N</t>
  </si>
  <si>
    <t>C15H22N4O2S2</t>
  </si>
  <si>
    <t>4.78_435.0782m/z</t>
  </si>
  <si>
    <t>Dimethyl 2-Galloylgalactarate</t>
  </si>
  <si>
    <t>HMDB0036935</t>
  </si>
  <si>
    <t>COC(=O)C(O)C(O)C(O)C(OC(=O)C1=CC(O)=C(O)C(O)=C1)C(=O)OC</t>
  </si>
  <si>
    <t>FUZPULBJXZQHRK-UHFFFAOYSA-N</t>
  </si>
  <si>
    <t>C15H18O12</t>
  </si>
  <si>
    <t>4.03_298.0948n</t>
  </si>
  <si>
    <t>Amlexanox</t>
  </si>
  <si>
    <t>HMDB0015160</t>
  </si>
  <si>
    <t>68302-57-8</t>
  </si>
  <si>
    <t>CC(C)C1=CC2=C(OC3=NC(N)=C(C=C3C2=O)C(O)=O)C=C1</t>
  </si>
  <si>
    <t>SGRYPYWGNKJSDL-UHFFFAOYSA-N</t>
  </si>
  <si>
    <t>C16H14N2O4</t>
  </si>
  <si>
    <t>10.95_571.2886m/z</t>
  </si>
  <si>
    <t>PI(16:0/0:0)</t>
  </si>
  <si>
    <t>HMDB0061695</t>
  </si>
  <si>
    <t>LMGP06050002</t>
  </si>
  <si>
    <t>1425501-12-7</t>
  </si>
  <si>
    <t>[C@]([H])(O)(COP(=O)(O)O[C@H]1[C@H](O)[C@@H](O)[C@H](O)[C@@H](O)[C@H]1O)COC(CCCCCCCCCCCCCCC)=O</t>
  </si>
  <si>
    <t>UOXRPRZMAROFPH-OAOCPRPWSA-N</t>
  </si>
  <si>
    <t>C25H49O12P</t>
  </si>
  <si>
    <t>4.24_555.2072m/z</t>
  </si>
  <si>
    <t>Dehydrocyclopeptine</t>
  </si>
  <si>
    <t>CN1C(=CC2=CC=CC=C2)C(=O)NC3=CC=CC=C3C1=O</t>
  </si>
  <si>
    <t>FYVKHLSOIIPVEH-PTNGSMBKSA-N</t>
  </si>
  <si>
    <t>C17H14N2O2</t>
  </si>
  <si>
    <t>14.09_722.4958m/z</t>
  </si>
  <si>
    <t>PS(15:0/16:0)</t>
  </si>
  <si>
    <t>HMDB0112281</t>
  </si>
  <si>
    <t>LMGP03010917</t>
  </si>
  <si>
    <t>C(O)(=O)[C@@]([H])(N)COP(OC[C@]([H])(OC(CCCCCCCCCCCCCCC)=O)COC(CCCCCCCCCCCCCC)=O)(=O)O</t>
  </si>
  <si>
    <t>YMQHGFKMTUEJFL-NOCHOARKSA-N</t>
  </si>
  <si>
    <t>C37H72NO10P</t>
  </si>
  <si>
    <t>5.56_459.3098m/z</t>
  </si>
  <si>
    <t>Pubesenolide</t>
  </si>
  <si>
    <t>HMDB0033728</t>
  </si>
  <si>
    <t>98569-64-3</t>
  </si>
  <si>
    <t>CC(C1CCC2C3CC=C4CC(O)CC(O)C4(C)C3CCC12C)C1CC(C)=C(CO)C(=O)O1</t>
  </si>
  <si>
    <t>FYYIHVSEGVWNCF-UHFFFAOYSA-N</t>
  </si>
  <si>
    <t>C28H42O5</t>
  </si>
  <si>
    <t>1.48_348.1287m/z</t>
  </si>
  <si>
    <t>Dide-O-Methylsimmondsin</t>
  </si>
  <si>
    <t>HMDB0041207</t>
  </si>
  <si>
    <t>135074-86-1</t>
  </si>
  <si>
    <t>OCC1OC(OC2CC(O)C(O)C(O)\C2=C/C#N)C(O)C(O)C1O</t>
  </si>
  <si>
    <t>MRQYIJOEUFLPMV-KTAJNNJTSA-N</t>
  </si>
  <si>
    <t>C14H21NO9</t>
  </si>
  <si>
    <t>8.60_495.3331m/z</t>
  </si>
  <si>
    <t>3alpha,7alpha,12alpha-Trihydroxy-5beta-Cholestan-26-Oic Acid</t>
  </si>
  <si>
    <t>HMDB0000601</t>
  </si>
  <si>
    <t>LMST04030001</t>
  </si>
  <si>
    <t>C04722</t>
  </si>
  <si>
    <t>547-98-8</t>
  </si>
  <si>
    <t>[C@]12([C@H](O)C[C@]3([H])C[C@H](O)CC[C@]3(C)[C@@]1([H])C[C@H](O)[C@]1(C)[C@@]([H])([C@@](C)([H])CCCC(C)C(=O)O)CC[C@@]21[H])[H]</t>
  </si>
  <si>
    <t>CNWPIIOQKZNXBB-VCVMUKOKSA-N</t>
  </si>
  <si>
    <t>C27H46O5</t>
  </si>
  <si>
    <t>3.64_727.1936m/z</t>
  </si>
  <si>
    <t>PIP2[4',5'](8:0/8:0)</t>
  </si>
  <si>
    <t>LMGP08010004</t>
  </si>
  <si>
    <t>[C@]([H])(OC(CCCCCCC)=O)(COP(=O)(O)O[C@H]1[C@H](O)[C@@H](OP(=O)(O)O)[C@H](OP(=O)(O)O)[C@@H](O)[C@H]1O)COC(CCCCCCC)=O</t>
  </si>
  <si>
    <t>XLNCEHRXXWQMPK-MJUMVPIBSA-N</t>
  </si>
  <si>
    <t>C25H49O19P3</t>
  </si>
  <si>
    <t>5.75_763.2826m/z</t>
  </si>
  <si>
    <t>2-Methoxyestradiol-17beta 3-Sulfate</t>
  </si>
  <si>
    <t>LMST05020007</t>
  </si>
  <si>
    <t>C08359</t>
  </si>
  <si>
    <t>[C@@]12([H])CC[C@H](O)[C@@]1(C)CC[C@]1([H])C3C=C(C(OS(=O)(=O)O)=CC=3CC[C@@]21[H])OC</t>
  </si>
  <si>
    <t>HKVMUVAMCRTTDB-SSTWWWIQSA-N</t>
  </si>
  <si>
    <t>C19H26O6S</t>
  </si>
  <si>
    <t>8.22_703.2110m/z</t>
  </si>
  <si>
    <t>Penicilloic Acid</t>
  </si>
  <si>
    <t>HMDB0060617</t>
  </si>
  <si>
    <t>CC1(C)SC(NC1C(O)=O)C(NC(=O)CC1=CC=CC=C1)C(O)=O</t>
  </si>
  <si>
    <t>HCYWNSXLUZRKJX-UHFFFAOYSA-N</t>
  </si>
  <si>
    <t>C16H20N2O5S</t>
  </si>
  <si>
    <t>11.39_888.5045m/z</t>
  </si>
  <si>
    <t>Dihydrogeranylgeranyl-Chlorophyll A</t>
  </si>
  <si>
    <t>HMDB0304334</t>
  </si>
  <si>
    <t>CCC1=C(C)C2=CC3=C(C=C)C(C)=C4C=C5C(C)C(CCC(=O)OCC=C(C)CCCC(C)CCC=C(C)CCC=C(C)C)C6=[N+]5[Mg--]5(N34)N3C(=CC1=[N+]25)C(C)=C1C(=O)[C-](C(=O)OC)C6=C31</t>
  </si>
  <si>
    <t>QHUCPLMRABCZRD-UHFFFAOYSA-M</t>
  </si>
  <si>
    <t>Metallotetrapyrroles</t>
  </si>
  <si>
    <t>C55H67MgN4O5-</t>
  </si>
  <si>
    <t>4.70_457.1703m/z</t>
  </si>
  <si>
    <t>Ergothioneine</t>
  </si>
  <si>
    <t>HMDB0003045</t>
  </si>
  <si>
    <t>C05570</t>
  </si>
  <si>
    <t>497-30-3</t>
  </si>
  <si>
    <t>C[N+](C)(C)[C@@H](CC1=CNC(=S)N1)C([O-])=O</t>
  </si>
  <si>
    <t>SSISHJJTAXXQAX-ZETCQYMHSA-N</t>
  </si>
  <si>
    <t>C9H15N3O2S</t>
  </si>
  <si>
    <t>4.81_429.1763m/z</t>
  </si>
  <si>
    <t>Fk-409</t>
  </si>
  <si>
    <t>138472-01-2</t>
  </si>
  <si>
    <t>CCC(=CC(=NO)C(=O)N)C(C)[N+](=O)[O-]</t>
  </si>
  <si>
    <t>MZAGXDHQGXUDDX-JSRXJHBZSA-N</t>
  </si>
  <si>
    <t>Oximes</t>
  </si>
  <si>
    <t>C8H13N3O4</t>
  </si>
  <si>
    <t>10.62_398.2091n</t>
  </si>
  <si>
    <t>Beraprost</t>
  </si>
  <si>
    <t>88475-69-8</t>
  </si>
  <si>
    <t>CC#CCC(C)C(C=CC1C(CC2C1C3=CC=CC(=C3O2)CCCC(=O)O)O)O</t>
  </si>
  <si>
    <t>CTPOHARTNNSRSR-OUKQBFOZSA-N</t>
  </si>
  <si>
    <t>C24H30O5</t>
  </si>
  <si>
    <t>4.05_163.0753m/z</t>
  </si>
  <si>
    <t>Beta-Dolabrin</t>
  </si>
  <si>
    <t>LMPR0102110001</t>
  </si>
  <si>
    <t>C1=C(O)C(=O)C=C(C(C)=C)C=C1</t>
  </si>
  <si>
    <t>ZXPADFNEYYDQFL-UHFFFAOYSA-N</t>
  </si>
  <si>
    <t>5.17_317.0663m/z</t>
  </si>
  <si>
    <t>3-O-Caffeoylshikimic Acid</t>
  </si>
  <si>
    <t>HMDB0030654</t>
  </si>
  <si>
    <t>6082-44-6</t>
  </si>
  <si>
    <t>OC1C=C(CC(OC(=O)\C=C/C2=CC(O)=C(O)C=C2)C1O)C(O)=O</t>
  </si>
  <si>
    <t>QMPHZIPNNJOWQI-RQOWECAXSA-N</t>
  </si>
  <si>
    <t>C16H16O8</t>
  </si>
  <si>
    <t>0.73_117.0738m/z</t>
  </si>
  <si>
    <t>(+/-)-3-(Ethylthio)Butanol</t>
  </si>
  <si>
    <t>HMDB0032277</t>
  </si>
  <si>
    <t>117013-33-9</t>
  </si>
  <si>
    <t>CCSC(C)CCO</t>
  </si>
  <si>
    <t>RNFXBUGJWZOUJT-UHFFFAOYSA-N</t>
  </si>
  <si>
    <t>Dialkylthioethers</t>
  </si>
  <si>
    <t>C6H14OS</t>
  </si>
  <si>
    <t>4.50_326.0355m/z</t>
  </si>
  <si>
    <t>Ml130</t>
  </si>
  <si>
    <t>CC1=CC=C(C=C1)S(=O)(=O)N2C3=CC=CC=C3N=C2N</t>
  </si>
  <si>
    <t>SRFABRWQVPCPRG-UHFFFAOYSA-N</t>
  </si>
  <si>
    <t>C14H13N3O2S</t>
  </si>
  <si>
    <t>0.78_144.1018m/z</t>
  </si>
  <si>
    <t>1-Aminocyclohexanecarboxylic Acid</t>
  </si>
  <si>
    <t>HMDB0243822</t>
  </si>
  <si>
    <t>NC1(CCCCC1)C(O)=O</t>
  </si>
  <si>
    <t>WOXWUZCRWJWTRT-UHFFFAOYSA-N</t>
  </si>
  <si>
    <t>C7H13NO2</t>
  </si>
  <si>
    <t>11.48_521.3833m/z</t>
  </si>
  <si>
    <t>DG(8:0/20:4(5Z,8Z,11Z,14Z)-OH(20)/0:0)</t>
  </si>
  <si>
    <t>HMDB0297071</t>
  </si>
  <si>
    <t>CCCCCCCC(=O)OC[C@H](CO)OC(=O)CCC\C=C/C\C=C/C\C=C/C\C=C/CCCCCO</t>
  </si>
  <si>
    <t>DCQOHXXYQYVNJT-ACDILTGJSA-N</t>
  </si>
  <si>
    <t>4.93_363.1806m/z</t>
  </si>
  <si>
    <t>12-Oxo-20-Trihydroxy-Leukotriene B4</t>
  </si>
  <si>
    <t>HMDB0012553</t>
  </si>
  <si>
    <t>LMFA03020050</t>
  </si>
  <si>
    <t>O[C@@H](/C=C\C=C\C=C\C(C/C=C\CCCCC(O)(O)O)=O)CCCC(=O)O</t>
  </si>
  <si>
    <t>QVZXILIWUPKGPA-CWJNPFRJSA-N</t>
  </si>
  <si>
    <t>9.37_653.2581m/z</t>
  </si>
  <si>
    <t>N-(1-Deoxy-1-Fructosyl)Phenylalanine</t>
  </si>
  <si>
    <t>HMDB0037846</t>
  </si>
  <si>
    <t>87251-83-0</t>
  </si>
  <si>
    <t>OC[C@H]1OC(O)(CN[C@@H](CC2=CC=CC=C2)C(O)=O)[C@@H](O)[C@@H]1O</t>
  </si>
  <si>
    <t>FAVRCIXPIVJIPN-VJDSNFAGSA-N</t>
  </si>
  <si>
    <t>C15H21NO7</t>
  </si>
  <si>
    <t>4.75_961.5508m/z</t>
  </si>
  <si>
    <t>PGP(a-21:0/20:3(6,8,11)-OH(5))</t>
  </si>
  <si>
    <t>HMDB0274675</t>
  </si>
  <si>
    <t>[H][C@](O)(COP(O)(O)=O)COP(O)(=O)OC[C@@]([H])(COC(=O)CCCCCCCCCCCCCCCCC(C)CC)OC(=O)CCCC(O)\C=C\C=C\C\C=C\CCCCCCCC</t>
  </si>
  <si>
    <t>RXWIKRAFMJTOFN-FPZQPSPOSA-N</t>
  </si>
  <si>
    <t>C47H88O14P2</t>
  </si>
  <si>
    <t>5.64_295.1160m/z</t>
  </si>
  <si>
    <t>2,6-Diaminopurine 2',3'-Dideoxyriboside</t>
  </si>
  <si>
    <t>HMDB0250896</t>
  </si>
  <si>
    <t>NC1=NC2=C(N=CN2C2CCC(CO)O2)C(N)=N1</t>
  </si>
  <si>
    <t>OABUIHOVHQHUAO-UHFFFAOYSA-N</t>
  </si>
  <si>
    <t>Purine 2',3'-dideoxyribonucleosides</t>
  </si>
  <si>
    <t>C10H14N6O2</t>
  </si>
  <si>
    <t>12.17_389.1888m/z</t>
  </si>
  <si>
    <t>4-(6-(4-(Piperazin-1-Yl)Phenyl)Pyrazolo[1,5-A]Pyrimidin-3-Yl)Quinoline</t>
  </si>
  <si>
    <t>HMDB0244322</t>
  </si>
  <si>
    <t>C1CN(CCN1)C1=CC=C(C=C1)C1=CN2N=CC(=C2N=C1)C1=CC=NC2=CC=CC=C12</t>
  </si>
  <si>
    <t>CDOVNWNANFFLFJ-UHFFFAOYSA-N</t>
  </si>
  <si>
    <t>C25H22N6</t>
  </si>
  <si>
    <t>10.40_312.3258m/z</t>
  </si>
  <si>
    <t>2e-Phytenal</t>
  </si>
  <si>
    <t>HMDB0035654</t>
  </si>
  <si>
    <t>LMPR0104010025</t>
  </si>
  <si>
    <t>13754-69-3</t>
  </si>
  <si>
    <t>C(/C=C(\C)/CCCC(C)CCCC(C)CCCC(C)C)(=O)[H]</t>
  </si>
  <si>
    <t>RAFZYSUICBQABU-HMMYKYKNSA-N</t>
  </si>
  <si>
    <t>C20H38O</t>
  </si>
  <si>
    <t>11.14_327.2317m/z</t>
  </si>
  <si>
    <t>19(20)-Epdpe</t>
  </si>
  <si>
    <t>HMDB0013620</t>
  </si>
  <si>
    <t>LMFA04000038</t>
  </si>
  <si>
    <t>C(CC/C=C\C/C=C\C/C=C\C/C=C\C/C=C\CC1OC1CC)(=O)O</t>
  </si>
  <si>
    <t>OSXOPUBJJDUAOJ-MBYQGORISA-N</t>
  </si>
  <si>
    <t>C22H32O3</t>
  </si>
  <si>
    <t>1.37_185.0420m/z</t>
  </si>
  <si>
    <t>1-Rhamnono-1,4-Lactone</t>
  </si>
  <si>
    <t>HMDB0302823</t>
  </si>
  <si>
    <t>CC(O)C1OC(=O)C(O)C1O</t>
  </si>
  <si>
    <t>VASLEPDZAKCNJX-UHFFFAOYSA-N</t>
  </si>
  <si>
    <t>C6H10O5</t>
  </si>
  <si>
    <t>12.42_455.2101m/z</t>
  </si>
  <si>
    <t>1,7-Dideacetoxy-1,7-Dioxo-3-Deacetylkhivorin</t>
  </si>
  <si>
    <t>CC1(C2CC(=O)C3(C(C2(C(=O)CC1O)C)CCC4(C35C(O5)C(=O)OC4C6=COC=C6)C)C)C</t>
  </si>
  <si>
    <t>BSZLLSHGSWKZRE-IYLQSFRJSA-N</t>
  </si>
  <si>
    <t>C26H32O7</t>
  </si>
  <si>
    <t>5.66_349.2277m/z</t>
  </si>
  <si>
    <t>(+)-Mahanimbine</t>
  </si>
  <si>
    <t>HMDB0030318</t>
  </si>
  <si>
    <t>C09220</t>
  </si>
  <si>
    <t>21104-28-9</t>
  </si>
  <si>
    <t>CC(C)=CCCC1(C)OC2=C(C)C=C3C(NC4=CC=CC=C34)=C2C=C1</t>
  </si>
  <si>
    <t>HTNVFUBCWIYPJN-UHFFFAOYSA-N</t>
  </si>
  <si>
    <t>C23H25NO</t>
  </si>
  <si>
    <t>3.97_557.2204m/z</t>
  </si>
  <si>
    <t>11-Hydroxyiridodial Glucoside Pentaacetate</t>
  </si>
  <si>
    <t>LMPR0102070031</t>
  </si>
  <si>
    <t>C11666</t>
  </si>
  <si>
    <t>C(=O)(OC[C@H]1O[C@H]([C@H](OC(C)=O)[C@H]([C@@H]1OC(C)=O)OC(C)=O)O[C@@H]1OC=C(COC(=O)C)[C@@]2([H])CC[C@H](C)[C@]21[H])C</t>
  </si>
  <si>
    <t>LMOCIFYNGJTLCQ-NALAVQKMSA-N</t>
  </si>
  <si>
    <t>C26H36O13</t>
  </si>
  <si>
    <t>3.90_239.0512m/z</t>
  </si>
  <si>
    <t>Preparation 11</t>
  </si>
  <si>
    <t>HMDB0256765</t>
  </si>
  <si>
    <t>CCOC(=O)COP(=S)(OCC)OCC</t>
  </si>
  <si>
    <t>FCZCIXQGZOUIDN-UHFFFAOYSA-N</t>
  </si>
  <si>
    <t>C8H17O5PS</t>
  </si>
  <si>
    <t>10.29_787.4054m/z</t>
  </si>
  <si>
    <t>Okoda-Pi</t>
  </si>
  <si>
    <t>LMGP20050033</t>
  </si>
  <si>
    <t>[C@]([H])(OC(CCCCCCCC(=O)/C=C/C=O)=O)(COP(=O)(O)O[C@H]1[C@H](O)[C@@H](O)[C@H](O)[C@@H](O)[C@H]1O)COC(CCCCCCC/C=C\CCCCCCCC)=O</t>
  </si>
  <si>
    <t>RRBQZUDFMTXZPR-XXDJRPSRSA-N</t>
  </si>
  <si>
    <t>C39H67O15P</t>
  </si>
  <si>
    <t>2.50_741.1863m/z</t>
  </si>
  <si>
    <t>Azaribine</t>
  </si>
  <si>
    <t>HMDB0248766</t>
  </si>
  <si>
    <t>CC(=O)OCC1OC(C(OC(C)=O)C1OC(C)=O)N1N=CC(=O)NC1=O</t>
  </si>
  <si>
    <t>QQOBRRFOVWGIMD-UHFFFAOYSA-N</t>
  </si>
  <si>
    <t>C14H17N3O9</t>
  </si>
  <si>
    <t>5.61_297.1846m/z</t>
  </si>
  <si>
    <t>4-Oxo-13-Cis-Retinoate</t>
  </si>
  <si>
    <t>HMDB0012789</t>
  </si>
  <si>
    <t>C\C(\C=C\C1=C(C)CCC(=O)C1(C)C)=C/C=C/C(/C)=C\C(O)=O</t>
  </si>
  <si>
    <t>YOFBBAJVETYSCH-IWRFDTMXSA-N</t>
  </si>
  <si>
    <t>1.13_261.1807m/z</t>
  </si>
  <si>
    <t>8-Acetamido-2-Methyl-7-Oxononanoic Acid</t>
  </si>
  <si>
    <t>CC(CCCCC(=O)C(C)NC(=O)C)C(=O)O</t>
  </si>
  <si>
    <t>UALLEVOGEQZKSX-UHFFFAOYSA-N</t>
  </si>
  <si>
    <t>C12H21NO4</t>
  </si>
  <si>
    <t>4.33_415.2198m/z</t>
  </si>
  <si>
    <t>PC(4:0/4:0)</t>
  </si>
  <si>
    <t>LMGP01011222</t>
  </si>
  <si>
    <t>[C@](COP(=O)([O-])OCC[N+](C)(C)C)([H])(OC(CCC)=O)COC(CCC)=O</t>
  </si>
  <si>
    <t>QIJYAMAPPUXBSC-CQSZACIVSA-N</t>
  </si>
  <si>
    <t>C16H32NO8P</t>
  </si>
  <si>
    <t>4.19_429.1182m/z</t>
  </si>
  <si>
    <t>3-[[(2s)-3-(4-Phenylphenyl)-2-(Phosphonomethylamino)Propanoyl]Amino]Propanoic Acid</t>
  </si>
  <si>
    <t>HMDB0249872</t>
  </si>
  <si>
    <t>OC(=O)CCNC(=O)C(CC1=CC=C(C=C1)C1=CC=CC=C1)NCP(O)(O)=O</t>
  </si>
  <si>
    <t>MVRLTBIHUWUGAR-UHFFFAOYSA-N</t>
  </si>
  <si>
    <t>C19H23N2O6P</t>
  </si>
  <si>
    <t>4.47_389.1815m/z</t>
  </si>
  <si>
    <t>Ascr#4</t>
  </si>
  <si>
    <t>LMFA13040155</t>
  </si>
  <si>
    <t>O([C@@H](CCC(=O)C)C)[C@H]1[C@H](O[C@H]2[C@H](O)[C@@H](O)[C@H](O)[C@@H](CO)O2)C[C@@H](O)[C@H](C)O1</t>
  </si>
  <si>
    <t>HFJWZOCWIUZTNY-WLJKUCSMSA-N</t>
  </si>
  <si>
    <t>C18H32O10</t>
  </si>
  <si>
    <t>7.77_561.2314m/z</t>
  </si>
  <si>
    <t>PI(12:0/0:0)</t>
  </si>
  <si>
    <t>LMGP06050007</t>
  </si>
  <si>
    <t>[C@]([H])(O)(COP(=O)(O)O[C@H]1[C@H](O)[C@@H](O)[C@H](O)[C@@H](O)[C@H]1O)COC(CCCCCCCCCCC)=O</t>
  </si>
  <si>
    <t>XRLCEWWZNPSDGB-PSZFZNCLSA-N</t>
  </si>
  <si>
    <t>C21H41O12P</t>
  </si>
  <si>
    <t>6.42_679.3690m/z</t>
  </si>
  <si>
    <t>11-Dehydro-2,3-Dinor-Txb2</t>
  </si>
  <si>
    <t>LMFA03030013</t>
  </si>
  <si>
    <t>79250-60-5</t>
  </si>
  <si>
    <t>C1[C@H](O)[C@H](C/C=C\CC(=O)O)[C@@H](/C=C/[C@@H](O)CCCCC)OC1=O</t>
  </si>
  <si>
    <t>PJAAKFHMQLYVGV-YCEKRRLLSA-N</t>
  </si>
  <si>
    <t>C18H28O6</t>
  </si>
  <si>
    <t>6.67_187.1330m/z</t>
  </si>
  <si>
    <t>10-Hydroxy Capric Acid</t>
  </si>
  <si>
    <t>HMDB0244272</t>
  </si>
  <si>
    <t>LMFA01050033</t>
  </si>
  <si>
    <t>C02774</t>
  </si>
  <si>
    <t>C(CCCCCCCO)CC(=O)O</t>
  </si>
  <si>
    <t>YJCJVMMDTBEITC-UHFFFAOYSA-N</t>
  </si>
  <si>
    <t>11.42_381.2972m/z</t>
  </si>
  <si>
    <t>Hexadecyl Acetyl Glycerol</t>
  </si>
  <si>
    <t>77133-35-8</t>
  </si>
  <si>
    <t>CCCCCCCCCCCCCCCCOCC(CO)OC(=O)C</t>
  </si>
  <si>
    <t>QTEHGUUSIIWOOW-NRFANRHFSA-N</t>
  </si>
  <si>
    <t>C21H42O4</t>
  </si>
  <si>
    <t>6.50_373.2592m/z</t>
  </si>
  <si>
    <t>L-Nil</t>
  </si>
  <si>
    <t>159190-45-1</t>
  </si>
  <si>
    <t>CC(=NCCCCC(C(=O)O)N)N</t>
  </si>
  <si>
    <t>ONYFNWIHJBLQKE-ZETCQYMHSA-N</t>
  </si>
  <si>
    <t>C8H17N3O2</t>
  </si>
  <si>
    <t>10.04_475.2702m/z</t>
  </si>
  <si>
    <t>17-Phenyl-Trinor-Pgf2alpha Isopropyl Ester</t>
  </si>
  <si>
    <t>LMFA03010124</t>
  </si>
  <si>
    <t>[C@H]1(/C=C/[C@@H](O)CCC2C=CC=CC=2)[C@H](O)C[C@H](O)[C@@H]1C/C=C\CCCC(=O)OC(C)C</t>
  </si>
  <si>
    <t>JGZRPRSJSQLFBO-FWPUOYPASA-N</t>
  </si>
  <si>
    <t>C26H38O5</t>
  </si>
  <si>
    <t>13.79_848.6081m/z</t>
  </si>
  <si>
    <t>6-O-(13-Methylmyristoyl)-6'-O-Oleoyltrehalose</t>
  </si>
  <si>
    <t>LMSL03001298</t>
  </si>
  <si>
    <t>O([C@@H]1[C@H](O)[C@@H](O)[C@H](O)[C@@H](COC(CCCCCCC/C=C\CCCCCCCC)=O)O1)[C@@H]1[C@H](O)[C@@H](O)[C@H](O)[C@@H](COC(=O)CCCCCCCCCCCC(C)C)O1</t>
  </si>
  <si>
    <t>PVZKDYANFLTWOS-CUNMKMKMSA-N</t>
  </si>
  <si>
    <t>C45H82O13</t>
  </si>
  <si>
    <t>4.63_486.1979m/z</t>
  </si>
  <si>
    <t>Pemigatinib</t>
  </si>
  <si>
    <t>HMDB0304863</t>
  </si>
  <si>
    <t>CCN1C(=O)N(CC2=CN=C3NC(CN4CCOCC4)=CC3=C12)C1=C(F)C(OC)=CC(OC)=C1F</t>
  </si>
  <si>
    <t>HCDMJFOHIXMBOV-UHFFFAOYSA-N</t>
  </si>
  <si>
    <t>C24H27F2N5O4</t>
  </si>
  <si>
    <t>4.33_399.1277m/z</t>
  </si>
  <si>
    <t>Oleoside Dimethyl Ester</t>
  </si>
  <si>
    <t>HMDB0031350</t>
  </si>
  <si>
    <t>30164-95-5</t>
  </si>
  <si>
    <t>COC(=O)CC1\C(=C\C)C(OC2OC(CO)C(O)C(O)C2O)OC=C1C(=O)OC</t>
  </si>
  <si>
    <t>KYVUMEGNMQDSHO-YWEYNIOJSA-N</t>
  </si>
  <si>
    <t>C18H26O11</t>
  </si>
  <si>
    <t>4.96_221.1171m/z</t>
  </si>
  <si>
    <t>2,2,4,4,-Tetramethyl-6-(1-Oxopropyl)-1,3,5-Cyclohexanetrione</t>
  </si>
  <si>
    <t>HMDB0033191</t>
  </si>
  <si>
    <t>CCC(=O)C1C(=O)C(C)(C)C(=O)C(C)(C)C1=O</t>
  </si>
  <si>
    <t>IZVWNTVILPFEDY-UHFFFAOYSA-N</t>
  </si>
  <si>
    <t>C13H18O4</t>
  </si>
  <si>
    <t>5.17_577.1460m/z</t>
  </si>
  <si>
    <t>Adrafinil</t>
  </si>
  <si>
    <t>HMDB0248029</t>
  </si>
  <si>
    <t>ON=C(O)CS(=O)C(C1=CC=CC=C1)C1=CC=CC=C1</t>
  </si>
  <si>
    <t>CGNMLOKEMNBUAI-UHFFFAOYSA-N</t>
  </si>
  <si>
    <t>C15H15NO3S</t>
  </si>
  <si>
    <t>4.63_382.0989m/z</t>
  </si>
  <si>
    <t>(S)-Malyl N-Acetyl-Alpha-D-Glucosaminide</t>
  </si>
  <si>
    <t>LMFA13010059</t>
  </si>
  <si>
    <t>O[C@H]1[C@@H]([C@H]([C@@H](O[C@@H](CC(O)=O)C(O)=O)O[C@@H]1CO)NC(C)=O)O</t>
  </si>
  <si>
    <t>COBMRTSHZAUOCY-BVKYVCSXSA-N</t>
  </si>
  <si>
    <t>C12H19NO10</t>
  </si>
  <si>
    <t>4.23_415.2533m/z</t>
  </si>
  <si>
    <t>Methyl N-({(2s,3s)-3-[(Propylamino)Carbonyl]Oxiran-2-Yl}Carbonyl)-L-Isoleucyl-L-Prolinate</t>
  </si>
  <si>
    <t>HMDB0249521</t>
  </si>
  <si>
    <t>CCCNC(=O)C1OC1C(=O)NC(C(C)CC)C(=O)N1CCCC1C(=O)OC</t>
  </si>
  <si>
    <t>XGWSRLSPWIEMLQ-UHFFFAOYSA-N</t>
  </si>
  <si>
    <t>C19H31N3O6</t>
  </si>
  <si>
    <t>4.19_368.0823m/z</t>
  </si>
  <si>
    <t>Ufiprazole</t>
  </si>
  <si>
    <t>HMDB0259389</t>
  </si>
  <si>
    <t>73590-85-9</t>
  </si>
  <si>
    <t>COC1=CC2=C(C=C1)N=C(N2)SCC1=C(C)C(OC)=C(C)C=N1</t>
  </si>
  <si>
    <t>XURCIPRUUASYLR-UHFFFAOYSA-N</t>
  </si>
  <si>
    <t>C17H19N3O2S</t>
  </si>
  <si>
    <t>5.77_622.3143m/z</t>
  </si>
  <si>
    <t>PC(2:0/22:6(5Z,8E,10Z,13Z,15E,19Z)-2OH(7S, 17S))</t>
  </si>
  <si>
    <t>HMDB0288870</t>
  </si>
  <si>
    <t>[H][C@@](COC(C)=O)(COP([O-])(=O)OCC[N+](C)(C)C)OC(=O)CCC\C=C/[C@@H](O)\C=C\C=C/C\C=C/C=C/[C@@H](O)C\C=C/CC</t>
  </si>
  <si>
    <t>PHBYJTASVSXTSS-QKMQXXATSA-N</t>
  </si>
  <si>
    <t>C32H52NO10P</t>
  </si>
  <si>
    <t>0.67_317.1150m/z</t>
  </si>
  <si>
    <t>Emmotin A</t>
  </si>
  <si>
    <t>LMPR0103200001</t>
  </si>
  <si>
    <t>C1=C(COC)C2C(=O)[C@H](O)[C@@H](C(O)(C)C)CC=2C(C)=C1</t>
  </si>
  <si>
    <t>GRTATZFIZSZURL-GXTWGEPZSA-N</t>
  </si>
  <si>
    <t>8.60_701.2802m/z</t>
  </si>
  <si>
    <t>Benfluorex</t>
  </si>
  <si>
    <t>HMDB0248949</t>
  </si>
  <si>
    <t>23602-78-0</t>
  </si>
  <si>
    <t>CC(CC1=CC(=CC=C1)C(F)(F)F)NCCOC(=O)C1=CC=CC=C1</t>
  </si>
  <si>
    <t>CJAVTWRYCDNHSM-UHFFFAOYSA-N</t>
  </si>
  <si>
    <t>C19H20F3NO2</t>
  </si>
  <si>
    <t>4.76_509.1293m/z</t>
  </si>
  <si>
    <t>Hesperetin 7-O-Glucoside</t>
  </si>
  <si>
    <t>HMDB0030747</t>
  </si>
  <si>
    <t>LMPK12140378</t>
  </si>
  <si>
    <t>2500-68-7</t>
  </si>
  <si>
    <t>C1(OC2OC(CO)C(O)C(O)C2O)=CC2OC(C3C=C(O)C(OC)=CC=3)CC(=O)C=2C(O)=C1</t>
  </si>
  <si>
    <t>ADSYMQORONDIDD-UHFFFAOYSA-N</t>
  </si>
  <si>
    <t>C22H24O11</t>
  </si>
  <si>
    <t>10.51_356.2921n</t>
  </si>
  <si>
    <t>MG(0:0/18:1(9Z)/0:0)</t>
  </si>
  <si>
    <t>HMDB0011537</t>
  </si>
  <si>
    <t>LMGL01010024</t>
  </si>
  <si>
    <t>3443-84-3</t>
  </si>
  <si>
    <t>OC[C@]([H])(OC(CCCCCCC/C=C\CCCCCCCC)=O)CO</t>
  </si>
  <si>
    <t>UPWGQKDVAURUGE-KTKRTIGZSA-N</t>
  </si>
  <si>
    <t>11.16_541.3136m/z</t>
  </si>
  <si>
    <t>PI(O-16:0/0:0)</t>
  </si>
  <si>
    <t>LMGP06060003</t>
  </si>
  <si>
    <t>[C@]([H])(O)(COP(=O)(O)O[C@H]1[C@H](O)[C@@H](O)[C@H](O)[C@@H](O)[C@H]1O)COCCCCCCCCCCCCCCCC</t>
  </si>
  <si>
    <t>FFAHVVKFSPSLDR-NTFXODPMSA-N</t>
  </si>
  <si>
    <t>C25H51O11P</t>
  </si>
  <si>
    <t>9.65_1087.4646m/z</t>
  </si>
  <si>
    <t>PIP2(16:0/22:3(10Z,13Z,16Z))</t>
  </si>
  <si>
    <t>HMDB0010046</t>
  </si>
  <si>
    <t>CCCCCCCCCCCCCCCC(=O)OC[C@]([H])(COP(O)(=O)O[C@H]1C(O)C(O)C(OP(=O)(O)O)[C@@H](OP(=O)(O)O)C1O)OC(=O)CCCCCCCC\C=C/C\C=C/C\C=C/CCCCC</t>
  </si>
  <si>
    <t>JPEMFPCFNDKASK-FFDUEBCISA-N</t>
  </si>
  <si>
    <t>C47H87O19P3</t>
  </si>
  <si>
    <t>4.07_441.2014m/z</t>
  </si>
  <si>
    <t>Diferuloylputrescine</t>
  </si>
  <si>
    <t>HMDB0033468</t>
  </si>
  <si>
    <t>42369-86-8</t>
  </si>
  <si>
    <t>COC1=CC(\C=C\C(=O)NCCCCNC(=O)\C=C\C2=CC(OC)=C(O)C=C2)=CC=C1O</t>
  </si>
  <si>
    <t>CHEMZHJQHCVLFI-MKICQXMISA-N</t>
  </si>
  <si>
    <t>C24H28N2O6</t>
  </si>
  <si>
    <t>7.26_649.2878m/z</t>
  </si>
  <si>
    <t>Scilliroside</t>
  </si>
  <si>
    <t>LMST01130007</t>
  </si>
  <si>
    <t>C08880</t>
  </si>
  <si>
    <t>C1[C@]2(C)[C@@]3([H])CC[C@]4(C)[C@@]([H])(C5=COC(=O)C=C5)CC[C@]4(O)[C@]3(O)C[C@@H](C(C)=O)C2=C[C@@H](O[C@H]2[C@H](O)[C@@H](O)[C@H](O)[C@@H](CO)O2)C1</t>
  </si>
  <si>
    <t>QDGKTFOPMZQUSE-ZSMGSENVSA-N</t>
  </si>
  <si>
    <t>C32H44O11</t>
  </si>
  <si>
    <t>0.55_242.0346m/z</t>
  </si>
  <si>
    <t>Glucosamine 6-Sulfate</t>
  </si>
  <si>
    <t>HMDB0000592</t>
  </si>
  <si>
    <t>C04132</t>
  </si>
  <si>
    <t>91674-26-9</t>
  </si>
  <si>
    <t>N[C@H]1[C@H](O)O[C@H](COS(O)(=O)=O)[C@@H](O)[C@@H]1O</t>
  </si>
  <si>
    <t>MTDHILKWIRSIHB-QZABAPFNSA-N</t>
  </si>
  <si>
    <t>C6H13NO8S</t>
  </si>
  <si>
    <t>1.06_383.1440m/z</t>
  </si>
  <si>
    <t>Uk-121,265</t>
  </si>
  <si>
    <t>HMDB0060893</t>
  </si>
  <si>
    <t>C[C@@H](C1=NC=[N+]([O-])C=C1F)[C@](O)(CN1C=NC=N1)C1=C(F)C=C(F)C=C1</t>
  </si>
  <si>
    <t>KPLFPLUCFPRUHU-MGPLVRAMSA-N</t>
  </si>
  <si>
    <t>9.60_393.1895m/z</t>
  </si>
  <si>
    <t>16(R)-Afp 07 (Free Acid)</t>
  </si>
  <si>
    <t>773825-80-2</t>
  </si>
  <si>
    <t>CCC#CCC(C)C(C=CC1C(CC2C1C(C(=CCCCC(=O)O)O2)(F)F)O)O</t>
  </si>
  <si>
    <t>PVHIRYQSPDZLLG-HWMGRDFZSA-N</t>
  </si>
  <si>
    <t>C22H30F2O5</t>
  </si>
  <si>
    <t>5.51_641.2598m/z</t>
  </si>
  <si>
    <t>Vipadenant</t>
  </si>
  <si>
    <t>HMDB0259832</t>
  </si>
  <si>
    <t>CC1=CC(CN2N=NC3=C(N=C(N)N=C23)C2=CC=CO2)=CC=C1N</t>
  </si>
  <si>
    <t>HQSBCDPYXDGTCL-UHFFFAOYSA-N</t>
  </si>
  <si>
    <t>C16H15N7O</t>
  </si>
  <si>
    <t>11.25_433.2566m/z</t>
  </si>
  <si>
    <t>Propionylcarnitine</t>
  </si>
  <si>
    <t>HMDB0000824</t>
  </si>
  <si>
    <t>C03017</t>
  </si>
  <si>
    <t>20064-19-1</t>
  </si>
  <si>
    <t>CCC(=O)O[C@H](CC(O)=O)C[N+](C)(C)C</t>
  </si>
  <si>
    <t>UFAHZIUFPNSHSL-MRVPVSSYSA-O</t>
  </si>
  <si>
    <t>C10H19NO4</t>
  </si>
  <si>
    <t>8.32_839.3240m/z</t>
  </si>
  <si>
    <t>11-Hydroxyaclacinomycin X</t>
  </si>
  <si>
    <t>HMDB0244359</t>
  </si>
  <si>
    <t>CCC1(O)CC(OC2CC(C(OC3CC(O)C(OC4OC(C)C(=O)C=C4N)C(C)O3)C(C)O2)N(C)C)C2=C(O)C3=C(C(O)=C2C1C(=O)OC)C(=O)C1=C(C(O)=CC=C1)C3=O</t>
  </si>
  <si>
    <t>LPFZXQBRNYTAKP-UHFFFAOYSA-N</t>
  </si>
  <si>
    <t>C42H52N2O16</t>
  </si>
  <si>
    <t>1.13_453.1577m/z</t>
  </si>
  <si>
    <t>Naltrindole</t>
  </si>
  <si>
    <t>C18128</t>
  </si>
  <si>
    <t>111555-53-4</t>
  </si>
  <si>
    <t>C1CC1CN2CCC34C5C6=C(CC3(C2CC7=C4C(=C(C=C7)O)O5)O)C8=CC=CC=C8N6</t>
  </si>
  <si>
    <t>WIYUZYBFCWCCQJ-IFKAHUTRSA-N</t>
  </si>
  <si>
    <t>C26H26N2O3</t>
  </si>
  <si>
    <t>4.55_464.1527m/z</t>
  </si>
  <si>
    <t>Mandelonitrile Rutinoside</t>
  </si>
  <si>
    <t>HMDB0032803</t>
  </si>
  <si>
    <t>184002-37-7</t>
  </si>
  <si>
    <t>CC1OC(OCC2OC(OC(C#N)C3=CC=CC=C3)C(O)C(O)C2O)C(O)C(O)C1O</t>
  </si>
  <si>
    <t>QSPJUYWAUZTHLP-UHFFFAOYSA-N</t>
  </si>
  <si>
    <t>C20H27NO10</t>
  </si>
  <si>
    <t>5.10_757.3256m/z</t>
  </si>
  <si>
    <t>Droperidol</t>
  </si>
  <si>
    <t>HMDB0014593</t>
  </si>
  <si>
    <t>C06974</t>
  </si>
  <si>
    <t>548-73-2</t>
  </si>
  <si>
    <t>FC1=CC=C(C=C1)C(=O)CCCN1CCC(=CC1)N1C(=O)NC2=CC=CC=C12</t>
  </si>
  <si>
    <t>RMEDXOLNCUSCGS-UHFFFAOYSA-N</t>
  </si>
  <si>
    <t>C22H22FN3O2</t>
  </si>
  <si>
    <t>4.45_641.1514m/z</t>
  </si>
  <si>
    <t>Quercetin 3-(6''-Ferulylglucoside)</t>
  </si>
  <si>
    <t>LMPK12112145</t>
  </si>
  <si>
    <t>C1(O)=CC2OC(C3C=C(O)C(O)=CC=3)=C(O[C@@H]3O[C@H](COC(/C=C/C4C=CC(O)=C(OC)C=4)=O)[C@@H](O)[C@H](O)[C@H]3O)C(=O)C=2C(O)=C1</t>
  </si>
  <si>
    <t>PSBFVXDMNYDZMV-SMTCTBLTSA-N</t>
  </si>
  <si>
    <t>C31H28O15</t>
  </si>
  <si>
    <t>9.73_493.2222m/z</t>
  </si>
  <si>
    <t>Deuteroporphyrin Ix</t>
  </si>
  <si>
    <t>HMDB0000579</t>
  </si>
  <si>
    <t>448-65-7</t>
  </si>
  <si>
    <t>CC1=C/C2=C/C3=N/C(=C\C4=C(CCC(O)=O)C(C)=C(N4)/C=C4\N=C(C=C4C)\C=C\1/N\2)/C(CCC(O)=O)=C3C</t>
  </si>
  <si>
    <t>KWKUIRGQJJFUCG-LMKUSPAJSA-N</t>
  </si>
  <si>
    <t>C30H30N4O4</t>
  </si>
  <si>
    <t>4.04_585.1610m/z</t>
  </si>
  <si>
    <t>Amarogentin</t>
  </si>
  <si>
    <t>HMDB0248275</t>
  </si>
  <si>
    <t>OCC1OC(OC2OC=C3C(CCOC3=O)C2C=C)C(OC(=O)C2=C(O)C=C(O)C=C2C2=CC=CC(O)=C2)C(O)C1O</t>
  </si>
  <si>
    <t>DBOVHQOUSDWAPQ-UHFFFAOYSA-N</t>
  </si>
  <si>
    <t>C29H30O13</t>
  </si>
  <si>
    <t>11.48_230.1399m/z</t>
  </si>
  <si>
    <t>2-Amino-3,4-Dimethylimidazo[4,5-F]Quinoline</t>
  </si>
  <si>
    <t>HMDB0029707</t>
  </si>
  <si>
    <t>C19254</t>
  </si>
  <si>
    <t>77094-11-2</t>
  </si>
  <si>
    <t>CN1C(N)=NC2=C1C(C)=CC1=C2C=CC=N1</t>
  </si>
  <si>
    <t>GMGWMIJIGUYNAY-UHFFFAOYSA-N</t>
  </si>
  <si>
    <t>C12H12N4</t>
  </si>
  <si>
    <t>5.54_511.1232m/z</t>
  </si>
  <si>
    <t>Neosilyhermin A</t>
  </si>
  <si>
    <t>HMDB0030106</t>
  </si>
  <si>
    <t>96291-04-2</t>
  </si>
  <si>
    <t>COC1=C(O)C=CC(=C1)C1OC2=C(O)C=CC(C3CC(=O)C4=C(O)C=C(O)C=C4O3)=C2C1CO</t>
  </si>
  <si>
    <t>ODFCTVKAFKIYJI-UHFFFAOYSA-N</t>
  </si>
  <si>
    <t>C25H22O9</t>
  </si>
  <si>
    <t>8.45_295.2266m/z</t>
  </si>
  <si>
    <t>13s-Hotre(Gamma)</t>
  </si>
  <si>
    <t>LMFA02000173</t>
  </si>
  <si>
    <t>74784-20-6</t>
  </si>
  <si>
    <t>C(=C/C/C=C\C=C\[C@@H](O)CCCCC)/CCCCC(=O)O</t>
  </si>
  <si>
    <t>HNBLUNXZQNJFRB-KYLWABQHSA-N</t>
  </si>
  <si>
    <t>9.69_308.1408n</t>
  </si>
  <si>
    <t>Ovaliflavanone B</t>
  </si>
  <si>
    <t>LMPK12140012</t>
  </si>
  <si>
    <t>C1(O)=C(C/C=C(\C)/C)C2OC(C3C=CC=CC=3)CC(=O)C=2C=C1</t>
  </si>
  <si>
    <t>ZBNBGEUTJNZRKT-UHFFFAOYSA-N</t>
  </si>
  <si>
    <t>C20H20O3</t>
  </si>
  <si>
    <t>1.13_167.0580n</t>
  </si>
  <si>
    <t>4-Hydroxyphenylglycine</t>
  </si>
  <si>
    <t>HMDB0244973</t>
  </si>
  <si>
    <t>NC(C(O)=O)C1=CC=C(O)C=C1</t>
  </si>
  <si>
    <t>LJCWONGJFPCTTL-UHFFFAOYSA-N</t>
  </si>
  <si>
    <t>3.66_389.1424m/z</t>
  </si>
  <si>
    <t>Pamapimod</t>
  </si>
  <si>
    <t>HMDB0256101</t>
  </si>
  <si>
    <t>CN1C(=O)C(OC2=C(F)C=C(F)C=C2)=CC2=CNC(=NC(CCO)CCO)N=C12</t>
  </si>
  <si>
    <t>JYYLVUFNAHSSFE-UHFFFAOYSA-N</t>
  </si>
  <si>
    <t>C19H20F2N4O4</t>
  </si>
  <si>
    <t>4.10_595.1659m/z</t>
  </si>
  <si>
    <t>Catechin 3',4'-Diglucoside</t>
  </si>
  <si>
    <t>HMDB0037950</t>
  </si>
  <si>
    <t>105330-55-0</t>
  </si>
  <si>
    <t>OCC1OC(OC2=C(OC3OC(CO)C(O)C(O)C3O)C=C(C=C2)C2OC3=CC(O)=CC(O)=C3CC2O)C(O)C(O)C1O</t>
  </si>
  <si>
    <t>WEXDMQBFSBEMLP-UHFFFAOYSA-N</t>
  </si>
  <si>
    <t>C27H34O16</t>
  </si>
  <si>
    <t>10.72_269.1756m/z</t>
  </si>
  <si>
    <t>2e,4e-Tetradecadienoic Acid</t>
  </si>
  <si>
    <t>LMFA01030252</t>
  </si>
  <si>
    <t>C(/C=C/C=C/CCCCCCCCC)(=O)O</t>
  </si>
  <si>
    <t>WNLVXSRACLAFOL-AQASXUMVSA-N</t>
  </si>
  <si>
    <t>10.38_293.2107m/z</t>
  </si>
  <si>
    <t>12-Oxo-Pda</t>
  </si>
  <si>
    <t>HMDB0301804</t>
  </si>
  <si>
    <t>LMFA02010001</t>
  </si>
  <si>
    <t>C01226</t>
  </si>
  <si>
    <t>85551-10-6</t>
  </si>
  <si>
    <t>C(CCCCCCC(=O)O)[C@H]1C=CC(=O)[C@H]1C/C=C\CC</t>
  </si>
  <si>
    <t>PMTMAFAPLCGXGK-JMTMCXQRSA-N</t>
  </si>
  <si>
    <t>0.97_316.0119m/z</t>
  </si>
  <si>
    <t>Neridronic Acid</t>
  </si>
  <si>
    <t>HMDB0255543</t>
  </si>
  <si>
    <t>NCCCCCC(O)(P(O)(O)=O)P(O)(O)=O</t>
  </si>
  <si>
    <t>PUUSSSIBPPTKTP-UHFFFAOYSA-N</t>
  </si>
  <si>
    <t>C6H17NO7P2</t>
  </si>
  <si>
    <t>5.17_497.1066m/z</t>
  </si>
  <si>
    <t>Sulfapyridine</t>
  </si>
  <si>
    <t>HMDB0015028</t>
  </si>
  <si>
    <t>144-83-2</t>
  </si>
  <si>
    <t>NC1=CC=C(C=C1)S(=O)(=O)NC1=CC=CC=N1</t>
  </si>
  <si>
    <t>GECHUMIMRBOMGK-UHFFFAOYSA-N</t>
  </si>
  <si>
    <t>C11H11N3O2S</t>
  </si>
  <si>
    <t>1.57_360.1625m/z</t>
  </si>
  <si>
    <t>7-[(3s,4s)-3-(Benzenesulfonamido)-2-Bicyclo[2.2.1]Heptanyl]Hept-5-Enoic Acid</t>
  </si>
  <si>
    <t>HMDB0244396</t>
  </si>
  <si>
    <t>OC(=O)CCCC=CCC1C2CCC(C2)C1NS(=O)(=O)C1=CC=CC=C1</t>
  </si>
  <si>
    <t>PWTCIBWRMQFJBC-UHFFFAOYSA-N</t>
  </si>
  <si>
    <t>C20H27NO4S</t>
  </si>
  <si>
    <t>10.68_247.1699m/z</t>
  </si>
  <si>
    <t>Alpha-Curcumene</t>
  </si>
  <si>
    <t>HMDB0059878</t>
  </si>
  <si>
    <t>C09649</t>
  </si>
  <si>
    <t>CC(CCC=C(C)C)C1=CC=C(C)C=C1</t>
  </si>
  <si>
    <t>VMYXUZSZMNBRCN-UHFFFAOYSA-N</t>
  </si>
  <si>
    <t>C15H22</t>
  </si>
  <si>
    <t>13.26_419.3515m/z</t>
  </si>
  <si>
    <t>3s-Hydroxy-4r-Methyl-2s-(N-Eicosanyl)Butanolide</t>
  </si>
  <si>
    <t>LMPK03000097</t>
  </si>
  <si>
    <t>C(CCCCCCCCCCCCCCCCCCC)[C@H]1[C@@H](O)[C@@H](C)OC1=O</t>
  </si>
  <si>
    <t>UHXFUQMDLJEQAJ-SGNDLWITSA-N</t>
  </si>
  <si>
    <t>C25H48O3</t>
  </si>
  <si>
    <t>9.16_467.2060m/z</t>
  </si>
  <si>
    <t>Lotrafiban</t>
  </si>
  <si>
    <t>HMDB0254173</t>
  </si>
  <si>
    <t>CN1CC2=C(NC(CC(O)=O)C1=O)C=CC(=C2)C(=O)N1CCC(CC1)C1CCNCC1</t>
  </si>
  <si>
    <t>PYZOVVQJTLOHDG-UHFFFAOYSA-N</t>
  </si>
  <si>
    <t>C23H32N4O4</t>
  </si>
  <si>
    <t>4.76_791.1592m/z</t>
  </si>
  <si>
    <t>Apigenin Triacetate</t>
  </si>
  <si>
    <t>3316-46-9</t>
  </si>
  <si>
    <t>CC(=O)OC1=CC=C(C=C1)C2=CC(=O)C3=C(O2)C=C(C=C3OC(=O)C)OC(=O)C</t>
  </si>
  <si>
    <t>IVXFOQQPPONQTB-UHFFFAOYSA-N</t>
  </si>
  <si>
    <t>C21H16O8</t>
  </si>
  <si>
    <t>1.17_731.1413m/z</t>
  </si>
  <si>
    <t>Daphnoretin Methyl Ether</t>
  </si>
  <si>
    <t>HMDB0039046</t>
  </si>
  <si>
    <t>3749-38-0</t>
  </si>
  <si>
    <t>COC1=C(OC)C=C2C=C(OC3=CC4=C(C=CC(=O)O4)C=C3)C(=O)OC2=C1</t>
  </si>
  <si>
    <t>BCLNKNUUTUITEA-UHFFFAOYSA-N</t>
  </si>
  <si>
    <t>C20H14O7</t>
  </si>
  <si>
    <t>8.45_373.1640m/z</t>
  </si>
  <si>
    <t>Flibanserin</t>
  </si>
  <si>
    <t>HMDB0252304</t>
  </si>
  <si>
    <t>FC(F)(F)C1=CC(=CC=C1)N1CCN(CCN2C(=O)NC3=CC=CC=C23)CC1</t>
  </si>
  <si>
    <t>PPRRDFIXUUSXRA-UHFFFAOYSA-N</t>
  </si>
  <si>
    <t>C20H21F3N4O</t>
  </si>
  <si>
    <t>3.73_487.1426m/z</t>
  </si>
  <si>
    <t>6-Caffeoylsucrose</t>
  </si>
  <si>
    <t>HMDB0035486</t>
  </si>
  <si>
    <t>OCC1OC(CO)(OC2OC(COC(=O)\C=C\C3=CC(O)=C(O)C=C3)C(O)C(O)C2O)C(O)C1O</t>
  </si>
  <si>
    <t>UZUDNVXQOKQTDO-DUXPYHPUSA-N</t>
  </si>
  <si>
    <t>C21H28O14</t>
  </si>
  <si>
    <t>1.47_369.1402m/z</t>
  </si>
  <si>
    <t>Cellulose, Microcrystalline</t>
  </si>
  <si>
    <t>HMDB0032197</t>
  </si>
  <si>
    <t>9004-34-6</t>
  </si>
  <si>
    <t>COC1OC(CO)C(OC2OC(CO)C(OC)C(O)C2O)C(O)C1O</t>
  </si>
  <si>
    <t>PTHCMJGKKRQCBF-UHFFFAOYSA-N</t>
  </si>
  <si>
    <t>C14H26O11</t>
  </si>
  <si>
    <t>4.78_687.2289m/z</t>
  </si>
  <si>
    <t>Cj-013790</t>
  </si>
  <si>
    <t>C1C(C=CC1OC2=CC=CC(=C2)OC3=CC=C(C=C3)F)N(C(=O)N)O</t>
  </si>
  <si>
    <t>CJFQUWMJNVTKDJ-DYVFJYSZSA-N</t>
  </si>
  <si>
    <t>C18H17FN2O4</t>
  </si>
  <si>
    <t>3.79_175.0341m/z</t>
  </si>
  <si>
    <t>8-Azaguanine</t>
  </si>
  <si>
    <t>HMDB0247422</t>
  </si>
  <si>
    <t>NC1=NC2=C(NN=N2)C(O)=N1</t>
  </si>
  <si>
    <t>LPXQRXLUHJKZIE-UHFFFAOYSA-N</t>
  </si>
  <si>
    <t>C4H4N6O</t>
  </si>
  <si>
    <t>4.88_391.1385m/z</t>
  </si>
  <si>
    <t>Piceid</t>
  </si>
  <si>
    <t>HMDB0030564</t>
  </si>
  <si>
    <t>LMPK13090012</t>
  </si>
  <si>
    <t>C10275</t>
  </si>
  <si>
    <t>27208-80-6</t>
  </si>
  <si>
    <t>C1=C(O)C=C(/C=C/C2=CC=C(O)C=C2)C=C1O[C@H]1[C@H](O)[C@@H](O)[C@H](O)[C@@H](CO)O1</t>
  </si>
  <si>
    <t>HSTZMXCBWJGKHG-CUYWLFDKSA-N</t>
  </si>
  <si>
    <t>10.60_501.2821m/z</t>
  </si>
  <si>
    <t>Solacetal C</t>
  </si>
  <si>
    <t>LMFA02000383</t>
  </si>
  <si>
    <t>C(CCCCCCC[C@@H]1O[C@H](C2=CC=C(O)C(OC)=C2)O[C@H](/C=C\CCCCC)[C@H]1O)(=O)OC</t>
  </si>
  <si>
    <t>BRAJKTXAHZAWAJ-CXJDUWBVSA-N</t>
  </si>
  <si>
    <t>3.86_293.0389m/z</t>
  </si>
  <si>
    <t>Fludioxonil</t>
  </si>
  <si>
    <t>HMDB0252328</t>
  </si>
  <si>
    <t>C18462</t>
  </si>
  <si>
    <t>131341-86-1</t>
  </si>
  <si>
    <t>FC1(F)OC2=CC=CC(=C2O1)C1=CNC=C1C#N</t>
  </si>
  <si>
    <t>MUJOIMFVNIBMKC-UHFFFAOYSA-N</t>
  </si>
  <si>
    <t>C12H6F2N2O2</t>
  </si>
  <si>
    <t>8.22_1102.3502m/z</t>
  </si>
  <si>
    <t>Trans-2-All-Cis-6,9,12,15,18,21-Tetracosaheptaenoyl-Coa</t>
  </si>
  <si>
    <t>HMDB0006260</t>
  </si>
  <si>
    <t>C16374</t>
  </si>
  <si>
    <t>CCC=CCC=CCC=CCC=CCC=CCC=CCCC=CC(=O)SCCNC(=O)CCNC(=O)C(O)C(C)(C)COP(O)(=O)OP(O)(=O)OCC1OC(C(O)C1OP(O)(O)=O)N1C=NC2=C1N=CN=C2N</t>
  </si>
  <si>
    <t>NVOWZIBKQIWTDG-UHFFFAOYSA-N</t>
  </si>
  <si>
    <t>C45H68N7O17P3S</t>
  </si>
  <si>
    <t>1.13_122.0600m/z</t>
  </si>
  <si>
    <t>3-(1h-Pyrrol-2-Yl)Propanoic Acid</t>
  </si>
  <si>
    <t>HMDB0245768</t>
  </si>
  <si>
    <t>OC(=O)CCC1=CC=CN1</t>
  </si>
  <si>
    <t>XDNDSAQVXNZKGP-UHFFFAOYSA-N</t>
  </si>
  <si>
    <t>C7H9NO2</t>
  </si>
  <si>
    <t>10.02_912.4709n</t>
  </si>
  <si>
    <t>Medicagenic Acid 28-O-[B-D-Xylosyl-(1-&gt;4)-A-L-Rhamnosyl-(1-&gt;2)-A-L-Arabinosyl] Ester</t>
  </si>
  <si>
    <t>HMDB0039295</t>
  </si>
  <si>
    <t>129570-95-2</t>
  </si>
  <si>
    <t>CC1OC(OC2C(O)C(O)COC2OC(=O)C23CCC(C)(C)CC2C2=CCC4C5(C)CC(O)C(O)C(C)(C5CCC4(C)C2(C)CC3)C(O)=O)C(O)C(O)C1OC1OCC(O)C(O)C1O</t>
  </si>
  <si>
    <t>NVYDZIYMAONXJL-UHFFFAOYSA-N</t>
  </si>
  <si>
    <t>C46H72O18</t>
  </si>
  <si>
    <t>10.51_861.3708m/z</t>
  </si>
  <si>
    <t>Lafutidine</t>
  </si>
  <si>
    <t>HMDB0240216</t>
  </si>
  <si>
    <t>118288-08-7</t>
  </si>
  <si>
    <t>O=C(CS(=O)CC1=CC=CO1)NC\C=C/COC1=NC=CC(CN2CCCCC2)=C1</t>
  </si>
  <si>
    <t>KMZQAVXSMUKBPD-DJWKRKHSSA-N</t>
  </si>
  <si>
    <t>C22H29N3O4S</t>
  </si>
  <si>
    <t>6.22_133.1010m/z</t>
  </si>
  <si>
    <t>P-Mentha-1,3,5,8-Tetraene</t>
  </si>
  <si>
    <t>HMDB0029641</t>
  </si>
  <si>
    <t>1195-32-0</t>
  </si>
  <si>
    <t>CC(=C)C1=CC=C(C)C=C1</t>
  </si>
  <si>
    <t>MMSLOZQEMPDGPI-UHFFFAOYSA-N</t>
  </si>
  <si>
    <t>Phenylpropenes</t>
  </si>
  <si>
    <t>C10H12</t>
  </si>
  <si>
    <t>2.16_347.0959m/z</t>
  </si>
  <si>
    <t>2-Hydroxyestrone Sulfate</t>
  </si>
  <si>
    <t>HMDB0012622</t>
  </si>
  <si>
    <t>1240-04-6</t>
  </si>
  <si>
    <t>CC12CCC3C(CCC4=C3C=C(O)C(OS(O)(=O)=O)=C4)C1CCC2=O</t>
  </si>
  <si>
    <t>DTMWSKSAMRZGQH-UHFFFAOYSA-N</t>
  </si>
  <si>
    <t>C18H22O6S</t>
  </si>
  <si>
    <t>8.71_845.5990m/z</t>
  </si>
  <si>
    <t>All Trans Decaprenyl Diphosphate</t>
  </si>
  <si>
    <t>HMDB0006288</t>
  </si>
  <si>
    <t>[P](OCC=C(C)C)(OCC=C(C)C)(=O)(OP(OCC=C(C)C)(OCC=C(C)C)=O)(CC=C(C)C)(CC=C(C)C)(CC=C(C)C)(CC=C(C)C)(CC=C(C)C)CC=C(C)C</t>
  </si>
  <si>
    <t>UAYWNGPBKZFVAV-UHFFFAOYSA-N</t>
  </si>
  <si>
    <t>Isoprenoid phosphates</t>
  </si>
  <si>
    <t>C50H90O7P2</t>
  </si>
  <si>
    <t>7.65_269.1369m/z</t>
  </si>
  <si>
    <t>Arginylasparagine</t>
  </si>
  <si>
    <t>HMDB0028704</t>
  </si>
  <si>
    <t>68040-95-9</t>
  </si>
  <si>
    <t>N[C@@H](CCCNC(N)=N)C(=O)N[C@@H](CC(N)=O)C(O)=O</t>
  </si>
  <si>
    <t>JSLGXODUIAFWCF-WDSKDSINSA-N</t>
  </si>
  <si>
    <t>C10H20N6O4</t>
  </si>
  <si>
    <t>2.01_480.0473m/z</t>
  </si>
  <si>
    <t>1-(5-Fluoropentyl)-3-(2-Iodobenzoyl)Indole</t>
  </si>
  <si>
    <t>HMDB0248268</t>
  </si>
  <si>
    <t>335161-03-0</t>
  </si>
  <si>
    <t>FCCCCCN1C=C(C(=O)C2=CC=CC=C2I)C2=CC=CC=C12</t>
  </si>
  <si>
    <t>LFFIIZFINPPEMC-UHFFFAOYSA-N</t>
  </si>
  <si>
    <t>Benzoylindoles</t>
  </si>
  <si>
    <t>C20H19FINO</t>
  </si>
  <si>
    <t>9.86_242.2841m/z</t>
  </si>
  <si>
    <t>Hexadecylamine</t>
  </si>
  <si>
    <t>HMDB0243891</t>
  </si>
  <si>
    <t>143-27-1</t>
  </si>
  <si>
    <t>CCCCCCCCCCCCCCCCN</t>
  </si>
  <si>
    <t>FJLUATLTXUNBOT-UHFFFAOYSA-N</t>
  </si>
  <si>
    <t>C16H35N</t>
  </si>
  <si>
    <t>3.93_569.1874m/z</t>
  </si>
  <si>
    <t>N4-Acetylcytidine</t>
  </si>
  <si>
    <t>HMDB0005923</t>
  </si>
  <si>
    <t>3768-18-1</t>
  </si>
  <si>
    <t>CC(=O)NC1=NC(=O)N(C=C1)[C@@H]1O[C@H](CO)[C@@H](O)[C@H]1O</t>
  </si>
  <si>
    <t>NIDVTARKFBZMOT-PEBGCTIMSA-N</t>
  </si>
  <si>
    <t>C11H15N3O6</t>
  </si>
  <si>
    <t>4.12_428.1922m/z</t>
  </si>
  <si>
    <t>Hippuryl-Histidyl-Leucine</t>
  </si>
  <si>
    <t>HMDB0253176</t>
  </si>
  <si>
    <t>CC(C)CC(NC(=O)C(CC1=CN=CN1)NC(=O)CNC(=O)C1=CC=CC=C1)C(O)=O</t>
  </si>
  <si>
    <t>AAXWBCKQYLBQKY-UHFFFAOYSA-N</t>
  </si>
  <si>
    <t>C21H27N5O5</t>
  </si>
  <si>
    <t>5.02_545.0914m/z</t>
  </si>
  <si>
    <t>(2,6-Dioxo-3h-Purin-9-Yl) Pyridine-3-Carboxylate</t>
  </si>
  <si>
    <t>HMDB0242495</t>
  </si>
  <si>
    <t>O=C(ON1C=NC2=C1NC(=O)NC2=O)C1=CN=CC=C1</t>
  </si>
  <si>
    <t>RTUPAQBCUJORTM-UHFFFAOYSA-N</t>
  </si>
  <si>
    <t>C11H7N5O4</t>
  </si>
  <si>
    <t>4.16_468.1472m/z</t>
  </si>
  <si>
    <t>Ketotifen-N-Glucuronide</t>
  </si>
  <si>
    <t>HMDB0060596</t>
  </si>
  <si>
    <t>C[N+]1(CCC(CC1)=C1C2=C(SC=C2)C(=O)CC2=C1C=CC=C2)C1OC(C(O)C(O)C1O)C([O-])=O</t>
  </si>
  <si>
    <t>WLTPAELNPGRIGG-AQTBWJFISA-N</t>
  </si>
  <si>
    <t>C25H27NO7S</t>
  </si>
  <si>
    <t>13.50_307.2640m/z</t>
  </si>
  <si>
    <t>1,3e,6z,9z-Nonadecatetraene</t>
  </si>
  <si>
    <t>LMFA11000063</t>
  </si>
  <si>
    <t>CC/C=C/C/C=C\C/C=C\CCCCCCCCC</t>
  </si>
  <si>
    <t>MWNTUKOYEZXHLL-UYKONYGJSA-N</t>
  </si>
  <si>
    <t>C19H34</t>
  </si>
  <si>
    <t>3.93_525.1220m/z</t>
  </si>
  <si>
    <t>Ascorbalamic Acid</t>
  </si>
  <si>
    <t>HMDB0029944</t>
  </si>
  <si>
    <t>41679-87-2</t>
  </si>
  <si>
    <t>OC1COC(O)(C1O)C1(O)CC(N=C1O)C(O)=O</t>
  </si>
  <si>
    <t>FLVJBXHFHKVHJN-UHFFFAOYSA-N</t>
  </si>
  <si>
    <t>C9H13NO8</t>
  </si>
  <si>
    <t>6.03_419.1346m/z</t>
  </si>
  <si>
    <t>Nortrachelogenin</t>
  </si>
  <si>
    <t>COC1=C(C=CC(=C1)CC2COC(=O)C2(CC3=CC(=C(C=C3)O)OC)O)O</t>
  </si>
  <si>
    <t>ZITBJWXLODLDRH-XOBRGWDASA-N</t>
  </si>
  <si>
    <t>10.16_431.2647m/z</t>
  </si>
  <si>
    <t>Glycerol Trihexanoate</t>
  </si>
  <si>
    <t>HMDB0031125</t>
  </si>
  <si>
    <t>621-70-5</t>
  </si>
  <si>
    <t>CCCCCC(=O)OCC(COC(=O)CCCCC)OC(=O)CCCCC</t>
  </si>
  <si>
    <t>MAYCICSNZYXLHB-UHFFFAOYSA-N</t>
  </si>
  <si>
    <t>C21H38O6</t>
  </si>
  <si>
    <t>1.70_184.9857m/z</t>
  </si>
  <si>
    <t>Di-2-Propenyl Disulfide, 9ci</t>
  </si>
  <si>
    <t>HMDB0033966</t>
  </si>
  <si>
    <t>C08369</t>
  </si>
  <si>
    <t>2179-57-9</t>
  </si>
  <si>
    <t>C=CCSSCC=C</t>
  </si>
  <si>
    <t>PFRGXCVKLLPLIP-UHFFFAOYSA-N</t>
  </si>
  <si>
    <t>Allyl sulfur compounds</t>
  </si>
  <si>
    <t>C6H10S2</t>
  </si>
  <si>
    <t>2.68_166.1227m/z</t>
  </si>
  <si>
    <t>Hordenine</t>
  </si>
  <si>
    <t>HMDB0004366</t>
  </si>
  <si>
    <t>C06199</t>
  </si>
  <si>
    <t>ko00350</t>
  </si>
  <si>
    <t>Tyrosine metabolism</t>
  </si>
  <si>
    <t>539-15-1</t>
  </si>
  <si>
    <t>CN(C)CCC1=CC=C(O)C=C1</t>
  </si>
  <si>
    <t>KUBCEEMXQZUPDQ-UHFFFAOYSA-N</t>
  </si>
  <si>
    <t>C10H15NO</t>
  </si>
  <si>
    <t>0.64_203.0339m/z</t>
  </si>
  <si>
    <t>Purpurogallin</t>
  </si>
  <si>
    <t>HMDB0256929</t>
  </si>
  <si>
    <t>C09964</t>
  </si>
  <si>
    <t>569-77-7</t>
  </si>
  <si>
    <t>OC1=C(O)C(O)=C2C(=C1)C=CC=C(O)C2=O</t>
  </si>
  <si>
    <t>WDGFFVCWBZVLCE-UHFFFAOYSA-N</t>
  </si>
  <si>
    <t>C11H8O5</t>
  </si>
  <si>
    <t>1.17_189.0396m/z</t>
  </si>
  <si>
    <t>3,7-Dideoxy-D-Threo-Hepto-2,6-Diuolosonic Acid</t>
  </si>
  <si>
    <t>LMFA01050489</t>
  </si>
  <si>
    <t>C(C(=O)C(O)=O)[C@@H](O)[C@H](O)C(=O)C</t>
  </si>
  <si>
    <t>JBJFMONKIKZMPK-INEUFUBQSA-N</t>
  </si>
  <si>
    <t>C7H10O6</t>
  </si>
  <si>
    <t>4.21_260.0529m/z</t>
  </si>
  <si>
    <t>Inositol Cyclic Phosphate</t>
  </si>
  <si>
    <t>HMDB0001125</t>
  </si>
  <si>
    <t>C04299</t>
  </si>
  <si>
    <t>43119-57-9</t>
  </si>
  <si>
    <t>O[C@H]1[C@H]2OP(O)(=O)O[C@H]2[C@H](O)[C@@H](O)[C@@H]1O</t>
  </si>
  <si>
    <t>SXHMVNXROAUURW-FTYOSCRSSA-N</t>
  </si>
  <si>
    <t>C6H11O8P</t>
  </si>
  <si>
    <t>0.91_295.0303m/z</t>
  </si>
  <si>
    <t>2-Oxo-4-Methylthio-Butanoic Acid</t>
  </si>
  <si>
    <t>HMDB0001553</t>
  </si>
  <si>
    <t>LMFA01060170</t>
  </si>
  <si>
    <t>C01180</t>
  </si>
  <si>
    <t>ko00270,ko00470,ko00966</t>
  </si>
  <si>
    <t>Cysteine and methionine metabolism|D-Amino acid metabolism|Glucosinolate biosynthesis</t>
  </si>
  <si>
    <t>583-92-6</t>
  </si>
  <si>
    <t>C(=O)(CCSC)C(=O)O</t>
  </si>
  <si>
    <t>SXFSQZDSUWACKX-UHFFFAOYSA-N</t>
  </si>
  <si>
    <t>C5H8O3S</t>
  </si>
  <si>
    <t>10.11_718.2989n</t>
  </si>
  <si>
    <t>Verteporfin</t>
  </si>
  <si>
    <t>HMDB0014603</t>
  </si>
  <si>
    <t>129497-78-5</t>
  </si>
  <si>
    <t>COC(=O)CCC1=C2NC(\C=C3/N=C(/C=C4\N\C(=C/C5=N/C(=C\2)/C(CCC(O)=O)=C5C)C(C=C)=C4C)C2=CC=C([C@@H](C(=O)OC)[C@@]32C)C(=O)OC)=C1C</t>
  </si>
  <si>
    <t>YTZALCGQUPRCGW-MXVXOLGGSA-N</t>
  </si>
  <si>
    <t>C41H42N4O8</t>
  </si>
  <si>
    <t>8.62_449.3256m/z</t>
  </si>
  <si>
    <t>3alpha,7alpha,12alpha,16alpha-Tetrahydroxy-5beta-Cholestan-26-Oic Acid</t>
  </si>
  <si>
    <t>LMST04030210</t>
  </si>
  <si>
    <t>C1[C@]2(C)[C@@]3([H])C[C@H](O)[C@]4(C)[C@@]([H])([C@]([H])(C)CCCC(C)C(=O)O)[C@H](O)C[C@@]4([H])[C@]3([H])[C@H](O)C[C@]2([H])C[C@H](O)C1</t>
  </si>
  <si>
    <t>RZONGASFCUAARL-FQOXINNRSA-N</t>
  </si>
  <si>
    <t>3.40_207.0651m/z</t>
  </si>
  <si>
    <t>4-Methyl-5-Carboxyethyl-2-Furanacrylic Acid</t>
  </si>
  <si>
    <t>LMFA01150052</t>
  </si>
  <si>
    <t>C(/C(O)=O)=C\C1=CC(C)=C(CCC(=O)O)O1</t>
  </si>
  <si>
    <t>XWVYTGBODUKBFE-DUXPYHPUSA-N</t>
  </si>
  <si>
    <t>C11H12O5</t>
  </si>
  <si>
    <t>9.89_785.4316m/z</t>
  </si>
  <si>
    <t>Asparagoside C</t>
  </si>
  <si>
    <t>HMDB0031835</t>
  </si>
  <si>
    <t>60267-23-4</t>
  </si>
  <si>
    <t>CC1C2C(CC3C4CCC5CC(CCC5(C)C4CCC23C)OC2OC(CO)C(O)C(OC3OC(CO)C(O)C(O)C3O)C2O)OC11CCC(C)CO1</t>
  </si>
  <si>
    <t>ZJCKMLSMXPLTKX-UHFFFAOYSA-N</t>
  </si>
  <si>
    <t>4.54_640.2041m/z</t>
  </si>
  <si>
    <t>2-Pyrrolino-Dox</t>
  </si>
  <si>
    <t>HMDB0245311</t>
  </si>
  <si>
    <t>COC1=CC=CC2=C1C(=O)C1=C(C(O)=C3CC(O)(CC(OC4CC(C(O)C(C)O4)N4CCC=C4)C3=C1O)C(=O)CO)C2=O</t>
  </si>
  <si>
    <t>NOPNWHSMQOXAEI-UHFFFAOYSA-N</t>
  </si>
  <si>
    <t>C31H33NO11</t>
  </si>
  <si>
    <t>15.25_485.2654m/z</t>
  </si>
  <si>
    <t>Kazinol E</t>
  </si>
  <si>
    <t>LMPK12020237</t>
  </si>
  <si>
    <t>C1(O)=CC2O[C@H](C3C=C(O)C(O)=C(C/C=C(\C)/C)C=3C/C=C(/C)\C)CCC=2C=C1C(C)(C=C)C</t>
  </si>
  <si>
    <t>RPBKTSQYNACKIG-MHZLTWQESA-N</t>
  </si>
  <si>
    <t>5.84_807.3390m/z</t>
  </si>
  <si>
    <t>Abecarnil</t>
  </si>
  <si>
    <t>HMDB0247747</t>
  </si>
  <si>
    <t>COCC1=C2C(NC3=C2C=C(OCC2=CC=CC=C2)C=C3)=CN=C1C(=O)OC(C)C</t>
  </si>
  <si>
    <t>RLFKILXOLJVUNF-UHFFFAOYSA-N</t>
  </si>
  <si>
    <t>C24H24N2O4</t>
  </si>
  <si>
    <t>1.09_687.0997m/z</t>
  </si>
  <si>
    <t>Aflatoxin Gm1</t>
  </si>
  <si>
    <t>HMDB0030477</t>
  </si>
  <si>
    <t>23532-00-5</t>
  </si>
  <si>
    <t>COC1=CC2=C(C3=C1C1=C(C(=O)OCC1)C(=O)O3)C1(O)C=COC1O2</t>
  </si>
  <si>
    <t>QSHBSBLCKIPCKO-UHFFFAOYSA-N</t>
  </si>
  <si>
    <t>C17H12O8</t>
  </si>
  <si>
    <t>3.49_457.0424m/z</t>
  </si>
  <si>
    <t>M-Trigallic Acid</t>
  </si>
  <si>
    <t>HMDB0030559</t>
  </si>
  <si>
    <t>2131-66-0</t>
  </si>
  <si>
    <t>OC(=O)C1=CC(O)=C(O)C(OC(=O)C2=CC(O)=C(O)C(OC(=O)C3=CC(O)=C(O)C(O)=C3)=C2)=C1</t>
  </si>
  <si>
    <t>QUXNYZHQBWMPNX-UHFFFAOYSA-N</t>
  </si>
  <si>
    <t>C21H14O13</t>
  </si>
  <si>
    <t>6.35_715.2851m/z</t>
  </si>
  <si>
    <t>6-Gingesulfonic Acid</t>
  </si>
  <si>
    <t>HMDB0038999</t>
  </si>
  <si>
    <t>145937-21-9</t>
  </si>
  <si>
    <t>CCCCCC(CC(=O)CCC1=CC(OC)=C(O)C=C1)S(O)(=O)=O</t>
  </si>
  <si>
    <t>UGTSZVWDFDIWIG-UHFFFAOYSA-N</t>
  </si>
  <si>
    <t>C17H26O6S</t>
  </si>
  <si>
    <t>4.33_785.3387m/z</t>
  </si>
  <si>
    <t>Pkodia-Pi</t>
  </si>
  <si>
    <t>LMGP20050008</t>
  </si>
  <si>
    <t>[C@]([H])(OC(CCCC(=O)/C=C/C(=O)O)=O)(COP(=O)(O)O[C@H]1[C@H](O)[C@@H](O)[C@H](O)[C@@H](O)[C@H]1O)COC(CCCCCCCCCCCCCCC)=O</t>
  </si>
  <si>
    <t>GXYNPAFQVDFTDK-LHONLTDBSA-N</t>
  </si>
  <si>
    <t>C33H57O16P</t>
  </si>
  <si>
    <t>4.20_383.0984m/z</t>
  </si>
  <si>
    <t>4-Hydroxy-6-Methyl-3-(1h-Pyrazol-3-Yl)-2h-Pyran-2-One</t>
  </si>
  <si>
    <t>HMDB0246447</t>
  </si>
  <si>
    <t>CC1=CC(O)=C(C2=CC=NN2)C(=O)O1</t>
  </si>
  <si>
    <t>PTFCNBWCZAMULF-UHFFFAOYSA-N</t>
  </si>
  <si>
    <t>C9H8N2O3</t>
  </si>
  <si>
    <t>2.56_361.1140m/z</t>
  </si>
  <si>
    <t>Cornoside</t>
  </si>
  <si>
    <t>HMDB0302801</t>
  </si>
  <si>
    <t>OC[C@@H]1O[C@H](OCCC2(O)C=CC(=O)C=C2)[C@@H](O)[C@H](O)[C@H]1O</t>
  </si>
  <si>
    <t>VTVARPTUBCBNJX-WJTVCTBASA-N</t>
  </si>
  <si>
    <t>5.64_631.2546m/z</t>
  </si>
  <si>
    <t>Dalamid</t>
  </si>
  <si>
    <t>HMDB0250832</t>
  </si>
  <si>
    <t>CSCCC(NC(=O)C(CC1=CC=CC=C1)NC(=O)CNC(=O)C(C)NC(=O)C(N)CC1=CC=C(O)C=C1)C(N)=O</t>
  </si>
  <si>
    <t>ANZXICRKKYOVMY-UHFFFAOYSA-N</t>
  </si>
  <si>
    <t>C28H38N6O6S</t>
  </si>
  <si>
    <t>14.83_558.4800n</t>
  </si>
  <si>
    <t>1,2-Epoxy-1,2,7,7',8,8',11,12-Octahydro-Psi,Psi-Carotene</t>
  </si>
  <si>
    <t>HMDB0029853</t>
  </si>
  <si>
    <t>51598-36-8</t>
  </si>
  <si>
    <t>CC(C)=CCC\C(C)=C\CC\C(C)=C\CC\C(C)=C/C=C/C=C(/C)\C=C/C=C(\C)CC\C=C(/C)CCC1OC1(C)C</t>
  </si>
  <si>
    <t>URWDEZYCMUWBPQ-YOWDSOSNSA-N</t>
  </si>
  <si>
    <t>C40H62O</t>
  </si>
  <si>
    <t>3.56_301.1054m/z</t>
  </si>
  <si>
    <t>Triciribine</t>
  </si>
  <si>
    <t>35943-35-2</t>
  </si>
  <si>
    <t>CN1C2=NC=NC3=C2C(=CN3C4C(C(C(O4)CO)O)O)C(=N1)N</t>
  </si>
  <si>
    <t>HOGVTUZUJGHKPL-HTVVRFAVSA-N</t>
  </si>
  <si>
    <t>C13H16N6O4</t>
  </si>
  <si>
    <t>3.63_349.2008m/z</t>
  </si>
  <si>
    <t>Gibberellin A110</t>
  </si>
  <si>
    <t>HMDB0032010</t>
  </si>
  <si>
    <t>202057-27-0</t>
  </si>
  <si>
    <t>[H][C@@]12CC[C@@H]3C[C@]1(CC3=C)[C@@H](C(O)=O)[C@@]1([H])[C@@]2(C)C[C@H](O)C[C@@]1(C)C(O)=O</t>
  </si>
  <si>
    <t>SFGDEUSMQMGAFH-MJPABCAUSA-N</t>
  </si>
  <si>
    <t>3.90_428.1105n</t>
  </si>
  <si>
    <t>Rutilantinone</t>
  </si>
  <si>
    <t>21288-61-9</t>
  </si>
  <si>
    <t>CCC1(CC(C2=C(C3=C(C=C2C1C(=O)OC)C(=O)C4=C(C=CC(=C4C3=O)O)O)O)O)O</t>
  </si>
  <si>
    <t>RWCVSDKDFSVZNF-KRYGIPSASA-N</t>
  </si>
  <si>
    <t>Naphthacenes</t>
  </si>
  <si>
    <t>Tetracenequinones</t>
  </si>
  <si>
    <t>C22H20O9</t>
  </si>
  <si>
    <t>5.77_393.1882m/z</t>
  </si>
  <si>
    <t>Theodrenaline</t>
  </si>
  <si>
    <t>HMDB0258964</t>
  </si>
  <si>
    <t>CN1C2=C(N(CCNCC(O)C3=CC(O)=C(O)C=C3)C=N2)C(=O)N(C)C1=O</t>
  </si>
  <si>
    <t>WMCMJIGLYZDKRN-UHFFFAOYSA-N</t>
  </si>
  <si>
    <t>C17H21N5O5</t>
  </si>
  <si>
    <t>8.88_601.2446m/z</t>
  </si>
  <si>
    <t>Withaperuvin H</t>
  </si>
  <si>
    <t>HMDB0034061</t>
  </si>
  <si>
    <t>CC1=C(C)C(=O)OC(C1)C(C)(O)C1(O)CCC2(O)C3CC4SCC(O)OC5C=CC(=O)C(C)(C3CCC12C)C45O</t>
  </si>
  <si>
    <t>RALUHIBMVXYCHB-UHFFFAOYSA-N</t>
  </si>
  <si>
    <t>C30H42O9S</t>
  </si>
  <si>
    <t>14.05_606.4724m/z</t>
  </si>
  <si>
    <t>Cer(d16:1/PGE2)</t>
  </si>
  <si>
    <t>HMDB0289849</t>
  </si>
  <si>
    <t>CCCCCCCCCCC\C=C\[C@@H](O)[C@H](CO)NC(=O)CCC\C=C/C[C@@H]1[C@@H](\C=C\[C@@H](O)CCCCC)[C@H](O)CC1=O</t>
  </si>
  <si>
    <t>GGPAQCCNGPTJGI-JLMYKDPPSA-N</t>
  </si>
  <si>
    <t>C36H63NO6</t>
  </si>
  <si>
    <t>4.54_679.2551m/z</t>
  </si>
  <si>
    <t>(+-)-5-Deoxykievitone</t>
  </si>
  <si>
    <t>HMDB0034214</t>
  </si>
  <si>
    <t>LMPK12050458</t>
  </si>
  <si>
    <t>C10418</t>
  </si>
  <si>
    <t>74161-24-3</t>
  </si>
  <si>
    <t>C1(O)=C(C/C=C(\C)/C)C2OCC(C3=CC=C(O)C=C3O)C(=O)C=2C=C1</t>
  </si>
  <si>
    <t>JIJYZALGIIQXKE-UHFFFAOYSA-N</t>
  </si>
  <si>
    <t>6.09_421.1867m/z</t>
  </si>
  <si>
    <t>18-Oxocortisol</t>
  </si>
  <si>
    <t>HMDB0000332</t>
  </si>
  <si>
    <t>LMST02030194</t>
  </si>
  <si>
    <t>2410-60-8</t>
  </si>
  <si>
    <t>[C@@]12([H])CCC3=CC(=O)CC[C@]3(C)[C@@]1([H])[C@@H](O)C[C@]1(C=O)[C@](O)(C(=O)CO)CC[C@@]21[H]</t>
  </si>
  <si>
    <t>XUQWWIFROYJHCU-FJNAKSJRSA-N</t>
  </si>
  <si>
    <t>1.78_420.1499m/z</t>
  </si>
  <si>
    <t>4-Hydroxy-5-(3',4'-Dihydroxyphenyl)-Valeric Acid-O-Glucuronide</t>
  </si>
  <si>
    <t>HMDB0059971</t>
  </si>
  <si>
    <t>OC(CCC(=O)O[C@@H]1O[C@@H]([C@@H](O)[C@H](O)[C@H]1O)C(O)=O)CC1=CC(O)=C(O)C=C1</t>
  </si>
  <si>
    <t>FZTBEBWSWJPSHQ-AHLSELSJSA-N</t>
  </si>
  <si>
    <t>C17H22O11</t>
  </si>
  <si>
    <t>4.76_464.2258n</t>
  </si>
  <si>
    <t>Linalool Oxide D 3-[Apiosyl-(1-&gt;6)-Glucoside]</t>
  </si>
  <si>
    <t>HMDB0031367</t>
  </si>
  <si>
    <t>CC1(C)OC(C)(CCC1OC1OC(COC2OCC(O)(CO)C2O)C(O)C(O)C1O)C=C</t>
  </si>
  <si>
    <t>AINNVCLTLJOODL-UHFFFAOYSA-N</t>
  </si>
  <si>
    <t>9.15_395.1475m/z</t>
  </si>
  <si>
    <t>Curcumin I</t>
  </si>
  <si>
    <t>HMDB0039611</t>
  </si>
  <si>
    <t>91884-86-5</t>
  </si>
  <si>
    <t>COC1=C(O)C=CC(C\C=C\C(=O)CC(=O)\C=C/CC2=CC(OC)=C(O)C=C2)=C1</t>
  </si>
  <si>
    <t>COTOOGZUELSHJZ-KYPMKJFLSA-N</t>
  </si>
  <si>
    <t>C23H24O6</t>
  </si>
  <si>
    <t>3.79_476.0749m/z</t>
  </si>
  <si>
    <t>Isavuconazole</t>
  </si>
  <si>
    <t>HMDB0253593</t>
  </si>
  <si>
    <t>CC(C1=NC(=CS1)C1=CC=C(C=C1)C#N)C(O)(CN1C=NC=N1)C1=C(F)C=CC(F)=C1</t>
  </si>
  <si>
    <t>DDFOUSQFMYRUQK-UHFFFAOYSA-N</t>
  </si>
  <si>
    <t>C22H17F2N5OS</t>
  </si>
  <si>
    <t>5.82_523.1774m/z</t>
  </si>
  <si>
    <t>Triphenylphosphine</t>
  </si>
  <si>
    <t>HMDB0259265</t>
  </si>
  <si>
    <t>C1=CC=C(C=C1)P(C1=CC=CC=C1)C1=CC=CC=C1</t>
  </si>
  <si>
    <t>RIOQSEWOXXDEQQ-UHFFFAOYSA-N</t>
  </si>
  <si>
    <t>Phenylphosphines and derivatives</t>
  </si>
  <si>
    <t>C18H15P</t>
  </si>
  <si>
    <t>6.78_121.0256m/z</t>
  </si>
  <si>
    <t>Oxalates</t>
  </si>
  <si>
    <t>HMDB0303018</t>
  </si>
  <si>
    <t>[NH3+]OC(=O)C(=O)O[NH3+]</t>
  </si>
  <si>
    <t>VQVRXZJXTLRRKU-UHFFFAOYSA-N</t>
  </si>
  <si>
    <t>Dicarboxylic acids and derivatives</t>
  </si>
  <si>
    <t>C2H6N2O4+2</t>
  </si>
  <si>
    <t>7.50_434.2299n</t>
  </si>
  <si>
    <t>11alpha,19-Dihydroxytelocinobufagin</t>
  </si>
  <si>
    <t>LMST01130013</t>
  </si>
  <si>
    <t>C1[C@]2(CO)[C@@]3([H])[C@H](O)C[C@]4(C)[C@@]([H])(C5=COC(=O)C=C5)CC[C@]4(O)[C@]3([H])CC[C@]2(O)C[C@@H](O)C1</t>
  </si>
  <si>
    <t>WHVSTINJJCCIPI-RNROHMHZSA-N</t>
  </si>
  <si>
    <t>9.90_869.4159m/z</t>
  </si>
  <si>
    <t>Oleragenoside</t>
  </si>
  <si>
    <t>HMDB0036943</t>
  </si>
  <si>
    <t>274677-98-4</t>
  </si>
  <si>
    <t>CC1(C)CCC2(CCC3(C)C(=CCC4C5(C)CC(O)C(OC6OC(C(O)C(O)C6O)C(O)=O)C(C)(C=O)C5CCC34C)C2C1)C(=O)OC1OC(CO)C(O)C(O)C1O</t>
  </si>
  <si>
    <t>QUKCKUMUBOPETR-UHFFFAOYSA-N</t>
  </si>
  <si>
    <t>C42H64O16</t>
  </si>
  <si>
    <t>4.40_196.1099n</t>
  </si>
  <si>
    <t>Loliolide</t>
  </si>
  <si>
    <t>HMDB0302428</t>
  </si>
  <si>
    <t>C[C@@]12C[C@@H](O)CC(C)(C)C1=CC(=O)O2</t>
  </si>
  <si>
    <t>XEVQXKKKAVVSMW-WRWORJQWSA-N</t>
  </si>
  <si>
    <t>C11H16O3</t>
  </si>
  <si>
    <t>9.69_268.0965m/z</t>
  </si>
  <si>
    <t>2-(2-Amino-3-Methoxyphenyl)-4h-1-Benzopyran-4-One</t>
  </si>
  <si>
    <t>HMDB0244751</t>
  </si>
  <si>
    <t>167869-21-8</t>
  </si>
  <si>
    <t>COC1=CC=CC(=C1N)C1=CC(=O)C2=CC=CC=C2O1</t>
  </si>
  <si>
    <t>QFWCYNPOPKQOKV-UHFFFAOYSA-N</t>
  </si>
  <si>
    <t>C16H13NO3</t>
  </si>
  <si>
    <t>3.86_237.1164m/z</t>
  </si>
  <si>
    <t>Id11614</t>
  </si>
  <si>
    <t>HMDB0060827</t>
  </si>
  <si>
    <t>C1CN(CCN1)C1=NSC2=C1C=CC=C2</t>
  </si>
  <si>
    <t>KRDOFMHJLWKXIU-UHFFFAOYSA-N</t>
  </si>
  <si>
    <t>C11H13N3S</t>
  </si>
  <si>
    <t>9.12_399.2165m/z</t>
  </si>
  <si>
    <t>Citreoviridin D</t>
  </si>
  <si>
    <t>HMDB0030522</t>
  </si>
  <si>
    <t>74145-79-2</t>
  </si>
  <si>
    <t>COC1=C(C)C(=O)OC(\C=C/C=C/C=C\C(\C)=C\C2(C)OC(C)C(C)(O)C2O)=C1C</t>
  </si>
  <si>
    <t>WQOZGNFAVRFSGE-ULPXYLRASA-N</t>
  </si>
  <si>
    <t>8.08_361.2368m/z</t>
  </si>
  <si>
    <t>20-F4-Neurop</t>
  </si>
  <si>
    <t>LMFA04010001</t>
  </si>
  <si>
    <t>C(CC/C=C\C/C=C\C/C=C\CC1C(O)CC(O)C1/C=C/C(O)CC)(=O)O</t>
  </si>
  <si>
    <t>CJWASNYUTHNACM-KBUBQVDUSA-N</t>
  </si>
  <si>
    <t>5.33_498.2090n</t>
  </si>
  <si>
    <t>Iridodial Glucoside Tetraacetate</t>
  </si>
  <si>
    <t>LMPR0102070026</t>
  </si>
  <si>
    <t>C11657</t>
  </si>
  <si>
    <t>C(=O)(OC[C@H]1O[C@H]([C@H](OC(C)=O)[C@H]([C@@H]1OC(C)=O)OC(C)=O)O[C@@H]1OC=C(C)[C@@]2([H])CC[C@H](C)[C@]21[H])C</t>
  </si>
  <si>
    <t>WRILMBKQMSIVJG-CUBFQIDASA-N</t>
  </si>
  <si>
    <t>C24H34O11</t>
  </si>
  <si>
    <t>3.73_819.1334m/z</t>
  </si>
  <si>
    <t>Beta-Alanyl-Coa</t>
  </si>
  <si>
    <t>HMDB0006805</t>
  </si>
  <si>
    <t>C02335</t>
  </si>
  <si>
    <t>ko00410,ko00640</t>
  </si>
  <si>
    <t>beta-Alanine metabolism|Propanoate metabolism</t>
  </si>
  <si>
    <t>CC(C)(COP(O)(=O)OP(O)(=O)OC[C@H]1O[C@H]([C@H](O)[C@@H]1OP(O)(O)=O)N1C=NC2=C(N)N=CN=C12)C(O)C(=O)NCCC(=O)NCCSC(=O)CCN</t>
  </si>
  <si>
    <t>RUWSXZUPLIXLGD-UXYNFSPESA-N</t>
  </si>
  <si>
    <t>C24H41N8O17P3S</t>
  </si>
  <si>
    <t>12.97_271.2745m/z</t>
  </si>
  <si>
    <t>Palmitoleamide</t>
  </si>
  <si>
    <t>HMDB0256086</t>
  </si>
  <si>
    <t>CCCCCCC=CCCCCCCCC(N)=O</t>
  </si>
  <si>
    <t>YRPQTVNCCVPGFA-UHFFFAOYSA-N</t>
  </si>
  <si>
    <t>C16H31NO</t>
  </si>
  <si>
    <t>2.94_417.0030m/z</t>
  </si>
  <si>
    <t>6-Methylthiopurine 5'-Monophosphate Ribonucleotide</t>
  </si>
  <si>
    <t>HMDB0060414</t>
  </si>
  <si>
    <t>C16615</t>
  </si>
  <si>
    <t>7021-52-5</t>
  </si>
  <si>
    <t>CSC1=NC=NC2=C1N=CN2[C@@H]1O[C@H](COP(O)(O)=O)[C@@H](O)[C@H]1O</t>
  </si>
  <si>
    <t>BMYFUCYXRGTQQL-IOSLPCCCSA-N</t>
  </si>
  <si>
    <t>C11H15N4O7PS</t>
  </si>
  <si>
    <t>11.44_725.4119m/z</t>
  </si>
  <si>
    <t>Officinoterpenoside C</t>
  </si>
  <si>
    <t>LMPR0106150047</t>
  </si>
  <si>
    <t>C1[C@@H](O)[C@H](O)[C@@](CO)(C)[C@]2([H])CC[C@@]3(C)[C@]4(C)CC[C@@]5(C(=O)O[C@H]6[C@H](O)[C@@H](O)[C@H](O)[C@@H](CO)O6)CC[C@@](C)(CO)[C@H](C)[C@@]5([H])C4=CC[C@]3([H])[C@@]12C</t>
  </si>
  <si>
    <t>CYKADGBCIQYFTJ-JTKKEWTBSA-N</t>
  </si>
  <si>
    <t>C37H60O11</t>
  </si>
  <si>
    <t>10.46_535.3121m/z</t>
  </si>
  <si>
    <t>3-O-Alpha-L-Rhamnopyranosyl-3-Hydroxynonanoyl-3-Hydroxydecanoic Acid</t>
  </si>
  <si>
    <t>LMFA13030011</t>
  </si>
  <si>
    <t>O([C@H]1[C@H](O)[C@H](O)[C@@H](O)[C@H](C)O1)C(CCCCCC)CC(=O)OC(CCCCCCC)CC(=O)O</t>
  </si>
  <si>
    <t>XHNBTUJCLWCVLZ-WAJLVERESA-N</t>
  </si>
  <si>
    <t>C25H46O9</t>
  </si>
  <si>
    <t>10.49_827.4945m/z</t>
  </si>
  <si>
    <t>Fulvyne A</t>
  </si>
  <si>
    <t>LMFA01031222</t>
  </si>
  <si>
    <t>C(C#CC(O)C(O)C(O)CCCCCCCCCCCCC(O)/C=C/CCCCCC(=O)CCCC(O)C#CC(O)C#CCC(O)CCCC(O)/C=C/C(O)C#C)(=O)O</t>
  </si>
  <si>
    <t>HCYVKXJJRVFHDS-WWKKMSDWSA-N</t>
  </si>
  <si>
    <t>C47H72O12</t>
  </si>
  <si>
    <t>8.99_351.2140m/z</t>
  </si>
  <si>
    <t>Corchorifatty Acid F</t>
  </si>
  <si>
    <t>HMDB0035919</t>
  </si>
  <si>
    <t>95341-44-9</t>
  </si>
  <si>
    <t>CC\C=C/CC(O)C(O)\C=C\C(O)CCCCCCCC(O)=O</t>
  </si>
  <si>
    <t>MKYUCBXUUSZMQB-MKZMYESJSA-N</t>
  </si>
  <si>
    <t>3.52_679.1080m/z</t>
  </si>
  <si>
    <t>Grevilline B</t>
  </si>
  <si>
    <t>HMDB0033240</t>
  </si>
  <si>
    <t>41744-33-6</t>
  </si>
  <si>
    <t>OC1=CC=C(C=C1)C1=C(O)C(=O)O\C(=C\C2=CC(O)=C(O)C=C2)C1=O</t>
  </si>
  <si>
    <t>MCSQVSPITLWUGY-RIYZIHGNSA-N</t>
  </si>
  <si>
    <t>C18H12O7</t>
  </si>
  <si>
    <t>11.33_507.3683m/z</t>
  </si>
  <si>
    <t>Theasapogenol A</t>
  </si>
  <si>
    <t>HMDB0034519</t>
  </si>
  <si>
    <t>13844-22-9</t>
  </si>
  <si>
    <t>CC1(C)CC2C3=CCC4C5(C)CCC(O)C(C)(CO)C5CCC4(C)C3(C)CC(O)C2(CO)C(O)C1O</t>
  </si>
  <si>
    <t>VKJLHZZPVLQJKG-UHFFFAOYSA-N</t>
  </si>
  <si>
    <t>C30H50O6</t>
  </si>
  <si>
    <t>4.58_569.2000m/z</t>
  </si>
  <si>
    <t>Tryptoquivaline</t>
  </si>
  <si>
    <t>HMDB0259309</t>
  </si>
  <si>
    <t>CC(C)C(OC(C)=O)C1=NC2=CC=CC=C2C(=O)N1C1CC2(OC1=O)C1N(O)C(C)(C)C(=O)N1C1=CC=CC=C21</t>
  </si>
  <si>
    <t>CYNVLFGDEQQUPE-UHFFFAOYSA-N</t>
  </si>
  <si>
    <t>C29H30N4O7</t>
  </si>
  <si>
    <t>11.66_347.2187m/z</t>
  </si>
  <si>
    <t>Corticosterone</t>
  </si>
  <si>
    <t>HMDB0001547</t>
  </si>
  <si>
    <t>LMST02030186</t>
  </si>
  <si>
    <t>C02140</t>
  </si>
  <si>
    <t>ko00140,ko04923,ko04925,ko05020</t>
  </si>
  <si>
    <t>Steroid hormone biosynthesis|Regulation of lipolysis in adipocytes|Aldosterone synthesis and secretion|Prion disease</t>
  </si>
  <si>
    <t>50-22-6</t>
  </si>
  <si>
    <t>C1CC2[C@]([C@@]3([H])[C@@H](O)C[C@@]4(C)[C@@]([H])(CC[C@@]4(C(=O)CO)[H])[C@]13[H])(C)CCC(=O)C=2</t>
  </si>
  <si>
    <t>OMFXVFTZEKFJBZ-HJTSIMOOSA-N</t>
  </si>
  <si>
    <t>6.67_431.1923m/z</t>
  </si>
  <si>
    <t>Diethyl Ethoxymethylenemalonate</t>
  </si>
  <si>
    <t>CCOC=C(C(=O)OCC)C(=O)OCC</t>
  </si>
  <si>
    <t>LTMHNWPUDSTBKD-UHFFFAOYSA-N</t>
  </si>
  <si>
    <t>C10H16O5</t>
  </si>
  <si>
    <t>4.44_531.2736m/z</t>
  </si>
  <si>
    <t>PA(O-20:4(5Z,8Z,11Z,14Z)/2:0)</t>
  </si>
  <si>
    <t>HMDB0011156</t>
  </si>
  <si>
    <t>CCCCC\C=C/C\C=C/C\C=C/C\C=C/CCCCOC[C@]([H])(COP(=O)(O)O)OC(C)=O</t>
  </si>
  <si>
    <t>LTIFQHVEGFEXBJ-NTNVCBRRSA-N</t>
  </si>
  <si>
    <t>C25H43O7P</t>
  </si>
  <si>
    <t>6.69_747.2851m/z</t>
  </si>
  <si>
    <t>Taccalonolide A</t>
  </si>
  <si>
    <t>LMST01160016</t>
  </si>
  <si>
    <t>C08635</t>
  </si>
  <si>
    <t>108885-68-3</t>
  </si>
  <si>
    <t>O1[C@H]2C[C@]3([H])C([C@@H]([C@]4([H])[C@]([H])([C@@H]([C@@H]([C@@]5([C@@]6([H])[C@H](C)C=C7[C@]([C@]6([H])[C@H](OC(=O)C)[C@]54[H])(C)[C@@](C)(C(=O)O7)O)C)OC(=O)C)OC(C)=O)[C@@]3(C)[C@H]([C@@H]12)OC(C)=O)O)=O</t>
  </si>
  <si>
    <t>PTTJLTMUKRRHAT-VJAKQJMOSA-N</t>
  </si>
  <si>
    <t>C36H46O14</t>
  </si>
  <si>
    <t>4.56_515.0858m/z</t>
  </si>
  <si>
    <t>(E)-Resveratrol 3-Glucoside 4'-Sulfate</t>
  </si>
  <si>
    <t>HMDB0037073</t>
  </si>
  <si>
    <t>OCC1OC(OC2=CC(\C=C/C3=CC=C(OS(O)(=O)=O)C=C3)=CC(O)=C2)C(O)C(O)C1O</t>
  </si>
  <si>
    <t>OPXYKICHKIQGOV-UPHRSURJSA-N</t>
  </si>
  <si>
    <t>C20H22O11S</t>
  </si>
  <si>
    <t>10.55_741.4067m/z</t>
  </si>
  <si>
    <t>Momordicoside E</t>
  </si>
  <si>
    <t>HMDB0035697</t>
  </si>
  <si>
    <t>78887-74-8</t>
  </si>
  <si>
    <t>CC(C=O)C1CCC2(C)C3CC=C4C(CCC(OC5OC(COC6OC(CO)C(O)C(O)C6O)C(O)C(O)C5O)C4(C)C)C3(C)CCC12C</t>
  </si>
  <si>
    <t>JSJMNXVHBCPZCJ-UHFFFAOYSA-N</t>
  </si>
  <si>
    <t>C37H60O12</t>
  </si>
  <si>
    <t>4.58_195.1491m/z</t>
  </si>
  <si>
    <t>Phenmetrazine</t>
  </si>
  <si>
    <t>HMDB0014968</t>
  </si>
  <si>
    <t>C07432</t>
  </si>
  <si>
    <t>134-49-6</t>
  </si>
  <si>
    <t>CC1NCCOC1C1=CC=CC=C1</t>
  </si>
  <si>
    <t>OOBHFESNSZDWIU-UHFFFAOYSA-N</t>
  </si>
  <si>
    <t>C11H15NO</t>
  </si>
  <si>
    <t>0.65_131.1292m/z</t>
  </si>
  <si>
    <t>Agmatine</t>
  </si>
  <si>
    <t>HMDB0001432</t>
  </si>
  <si>
    <t>C00179</t>
  </si>
  <si>
    <t>306-60-5</t>
  </si>
  <si>
    <t>NCCCCNC(N)=N</t>
  </si>
  <si>
    <t>QYPPJABKJHAVHS-UHFFFAOYSA-N</t>
  </si>
  <si>
    <t>Guanidines</t>
  </si>
  <si>
    <t>C5H14N4</t>
  </si>
  <si>
    <t>5.79_741.3671m/z</t>
  </si>
  <si>
    <t>(4-Methoxynaphthalen-1-Yl)(1-Pentyl-1h-Indol-3-Yl)Methanone</t>
  </si>
  <si>
    <t>HMDB0245605</t>
  </si>
  <si>
    <t>210179-46-7</t>
  </si>
  <si>
    <t>CCCCCN1C=C(C(=O)C2=CC=C(OC)C3=CC=CC=C23)C2=CC=CC=C12</t>
  </si>
  <si>
    <t>UBMPKJKGUQDHRM-UHFFFAOYSA-N</t>
  </si>
  <si>
    <t>C25H25NO2</t>
  </si>
  <si>
    <t>9.96_801.4266m/z</t>
  </si>
  <si>
    <t>(25s)-Spirostane-3b,5b,6a-Triol 3-[4''-Rhamnosylglucoside]</t>
  </si>
  <si>
    <t>HMDB0035488</t>
  </si>
  <si>
    <t>265092-98-6</t>
  </si>
  <si>
    <t>CC1C2C(CC3C4CC(O)C5(O)CC(CCC5(C)C4CCC23C)OC2OC(CO)C(OC3OC(C)C(O)C(O)C3O)C(O)C2O)OC11CCC(C)CO1</t>
  </si>
  <si>
    <t>GBRQGKIXYHHYOW-UHFFFAOYSA-N</t>
  </si>
  <si>
    <t>8.96_236.0923m/z</t>
  </si>
  <si>
    <t>(E)-5-(3,4,5,6-Tetrahydro-3-Pyridylidenemethyl)-2-Furanmethanol</t>
  </si>
  <si>
    <t>HMDB0033560</t>
  </si>
  <si>
    <t>OCC1=CC=C(O1)\C=C1\CCCN=C1</t>
  </si>
  <si>
    <t>HKIPZBSQJPFABU-TWGQIWQCSA-N</t>
  </si>
  <si>
    <t>C11H13NO2</t>
  </si>
  <si>
    <t>8.65_520.2793m/z</t>
  </si>
  <si>
    <t>PC(15:0/0:0)</t>
  </si>
  <si>
    <t>HMDB0010381</t>
  </si>
  <si>
    <t>LMGP01050016</t>
  </si>
  <si>
    <t>[C@](COP(=O)([O-])OCC[N+](C)(C)C)([H])(O)COC(CCCCCCCCCCCCCC)=O</t>
  </si>
  <si>
    <t>RJZVWDTYEWCUAR-JOCHJYFZSA-N</t>
  </si>
  <si>
    <t>C23H48NO7P</t>
  </si>
  <si>
    <t>6.52_208.0970m/z</t>
  </si>
  <si>
    <t>2-Phenylbutyramide</t>
  </si>
  <si>
    <t>90-26-6</t>
  </si>
  <si>
    <t>CCC(C1=CC=CC=C1)C(=O)N</t>
  </si>
  <si>
    <t>UNFGQCCHVMMMRF-UHFFFAOYSA-N</t>
  </si>
  <si>
    <t>0.87_455.0781m/z</t>
  </si>
  <si>
    <t>Urolithin A</t>
  </si>
  <si>
    <t>HMDB0013695</t>
  </si>
  <si>
    <t>1143-70-0</t>
  </si>
  <si>
    <t>OC1=CC2=C(C=C1)C1=C(C=C(O)C=C1)C(=O)O2</t>
  </si>
  <si>
    <t>RIUPLDUFZCXCHM-UHFFFAOYSA-N</t>
  </si>
  <si>
    <t>C13H8O4</t>
  </si>
  <si>
    <t>11.04_393.2977m/z</t>
  </si>
  <si>
    <t>Diethylhexyl Adipate</t>
  </si>
  <si>
    <t>HMDB0040270</t>
  </si>
  <si>
    <t>C14240</t>
  </si>
  <si>
    <t>ko05207</t>
  </si>
  <si>
    <t>Chemical carcinogenesis - receptor activation</t>
  </si>
  <si>
    <t>103-23-1</t>
  </si>
  <si>
    <t>CCCCC(CC)COC(=O)CCCCC(=O)OCC(CC)CCCC</t>
  </si>
  <si>
    <t>SAOKZLXYCUGLFA-UHFFFAOYSA-N</t>
  </si>
  <si>
    <t>7.16_565.2645m/z</t>
  </si>
  <si>
    <t>Withaperuvin B</t>
  </si>
  <si>
    <t>HMDB0034191</t>
  </si>
  <si>
    <t>LMST01160021</t>
  </si>
  <si>
    <t>81644-35-1</t>
  </si>
  <si>
    <t>C1(=O)C=C[C@H](O)[C@@]2(O)[C@@H](O)C[C@@]3([H])C4=CC[C@@](O)([C@](O)(C)[C@]5([H])OC(=O)C(C)=C(C)C5)[C@@]4(C)CC[C@]3([H])[C@@]12C</t>
  </si>
  <si>
    <t>IHIHXNCZVACPKN-WOONZQPCSA-N</t>
  </si>
  <si>
    <t>11.84_548.3004m/z</t>
  </si>
  <si>
    <t>Glycerol Phenylbutyrate</t>
  </si>
  <si>
    <t>HMDB0252844</t>
  </si>
  <si>
    <t>O=C(CCCC1=CC=CC=C1)OCC(COC(=O)CCCC1=CC=CC=C1)OC(=O)CCCC1=CC=CC=C1</t>
  </si>
  <si>
    <t>ZSDBFLMJVAGKOU-UHFFFAOYSA-N</t>
  </si>
  <si>
    <t>C33H38O6</t>
  </si>
  <si>
    <t>9.28_713.3391m/z</t>
  </si>
  <si>
    <t>Cheirotoxol</t>
  </si>
  <si>
    <t>HMDB0030076</t>
  </si>
  <si>
    <t>CC1OC(OC2CCC3(CO)C4CCC5(C)C(CCC5(O)C4CCC3(O)C2)C2=CC(=O)OC2)C(O)C(O)C1OC1OC(CO)C(O)C(O)C1O</t>
  </si>
  <si>
    <t>PHMHHZLBZSMXTG-UHFFFAOYSA-N</t>
  </si>
  <si>
    <t>C35H54O15</t>
  </si>
  <si>
    <t>1.08_406.0011m/z</t>
  </si>
  <si>
    <t>Cefaclor</t>
  </si>
  <si>
    <t>HMDB0014971</t>
  </si>
  <si>
    <t>C06877</t>
  </si>
  <si>
    <t>53994-73-3</t>
  </si>
  <si>
    <t>[H][C@]12SCC(Cl)=C(N1C(=O)[C@H]2NC(=O)[C@H](N)C1=CC=CC=C1)C(O)=O</t>
  </si>
  <si>
    <t>QYIYFLOTGYLRGG-GPCCPHFNSA-N</t>
  </si>
  <si>
    <t>C15H14ClN3O4S</t>
  </si>
  <si>
    <t>9.11_883.4311m/z</t>
  </si>
  <si>
    <t>Cay10509</t>
  </si>
  <si>
    <t>COC(=O)CCCCCCC1C(CC(C1CCC(CSC2=CC=CC=C2F)O)O)O</t>
  </si>
  <si>
    <t>WXWNDRIOPFNYII-UHFFFAOYSA-N</t>
  </si>
  <si>
    <t>C23H35FO5S</t>
  </si>
  <si>
    <t>11.44_511.2657m/z</t>
  </si>
  <si>
    <t>Perulactone B</t>
  </si>
  <si>
    <t>HMDB0030119</t>
  </si>
  <si>
    <t>85643-90-9</t>
  </si>
  <si>
    <t>CC1C(CC(O)C(C)(O)C2(O)CCC3(O)C4CC=C5CC=CC(=O)C5(C)C4CCC23C)COC1=O</t>
  </si>
  <si>
    <t>GRNQXNIWEPWACV-UHFFFAOYSA-N</t>
  </si>
  <si>
    <t>C28H40O7</t>
  </si>
  <si>
    <t>15.16_630.5092m/z</t>
  </si>
  <si>
    <t>Dg(14:0/22:6(4z,7z,10z,13z,16z,19z)/0:0)[Iso2]</t>
  </si>
  <si>
    <t>HMDB0007034</t>
  </si>
  <si>
    <t>LMGL02010401</t>
  </si>
  <si>
    <t>OC[C@]([H])(OC(CC/C=C\C/C=C\C/C=C\C/C=C\C/C=C\C/C=C\CC)=O)COC(CCCCCCCCCCCCC)=O</t>
  </si>
  <si>
    <t>FRUADKDVYOLUEU-RWYVPCEMSA-N</t>
  </si>
  <si>
    <t>6.04_349.1642m/z</t>
  </si>
  <si>
    <t>4-Acetyl-2-Prenylphenol Glucoside</t>
  </si>
  <si>
    <t>HMDB0038282</t>
  </si>
  <si>
    <t>CC(C)=CCC1=C(OC2OC(CO)C(O)C(O)C2O)C=CC(=C1)C(C)=O</t>
  </si>
  <si>
    <t>GVWZZKUSNVNWGC-UHFFFAOYSA-N</t>
  </si>
  <si>
    <t>C19H26O7</t>
  </si>
  <si>
    <t>5.34_259.0608m/z</t>
  </si>
  <si>
    <t>Phenylparaben</t>
  </si>
  <si>
    <t>C1=CC=C(C=C1)OC(=O)C2=CC=C(C=C2)O</t>
  </si>
  <si>
    <t>GJLNWLVPAHNBQN-UHFFFAOYSA-N</t>
  </si>
  <si>
    <t>C13H10O3</t>
  </si>
  <si>
    <t>13.36_811.4953m/z</t>
  </si>
  <si>
    <t>Linolipin A</t>
  </si>
  <si>
    <t>LMGL05010039</t>
  </si>
  <si>
    <t>O([C@H]1[C@H](O)[C@@H](O)[C@@H](O)[C@@H](CO)O1)C[C@]([H])(OC(CCCCCCC/C=C\C=C\O/C=C\C=C/CC)=O)COC(=O)CCCCCCC/C=C\C/C=C\C/C=C\CC</t>
  </si>
  <si>
    <t>HJMOOVDMBBFAGL-UPOCCRFSSA-N</t>
  </si>
  <si>
    <t>C45H72O11</t>
  </si>
  <si>
    <t>9.16_397.2007m/z</t>
  </si>
  <si>
    <t>19-Oxodesacetylcinobufagin</t>
  </si>
  <si>
    <t>LMST01130017</t>
  </si>
  <si>
    <t>C1[C@]2(C=O)[C@@]3([H])CC[C@]4(C)[C@@]([H])(C5=COC(=O)C=C5)[C@@H](O)[C@H]5O[C@@]45[C@]3([H])CC[C@]2([H])C[C@@H](O)C1</t>
  </si>
  <si>
    <t>JNBBHUNHDKWCIR-DFJCLZAPSA-N</t>
  </si>
  <si>
    <t>5.84_707.1730m/z</t>
  </si>
  <si>
    <t>Niazidin</t>
  </si>
  <si>
    <t>HMDB0031981</t>
  </si>
  <si>
    <t>198969-42-5</t>
  </si>
  <si>
    <t>C[C@@H]1O[C@@H](OC2=CC=C(CNC(=S)OC#N)C=C2)[C@H](O)[C@H](O)[C@H]1O</t>
  </si>
  <si>
    <t>NYQKSLDPYVPTRT-CNJBRALLSA-N</t>
  </si>
  <si>
    <t>C15H18N2O6S</t>
  </si>
  <si>
    <t>2.30_217.0474m/z</t>
  </si>
  <si>
    <t>2-O-Methyl-L-Fucose</t>
  </si>
  <si>
    <t>HMDB0033789</t>
  </si>
  <si>
    <t>1887228-22-9</t>
  </si>
  <si>
    <t>CO[C@@H]1[C@H](O)O[C@@H](C)[C@@H](O)[C@H]1O</t>
  </si>
  <si>
    <t>YLAMTMNJXPWCQN-CXNFULCWSA-N</t>
  </si>
  <si>
    <t>C7H14O5</t>
  </si>
  <si>
    <t>8.71_547.2798m/z</t>
  </si>
  <si>
    <t>Hordatine A</t>
  </si>
  <si>
    <t>HMDB0030461</t>
  </si>
  <si>
    <t>C08307</t>
  </si>
  <si>
    <t>7073-64-5</t>
  </si>
  <si>
    <t>NC(=N)NCCCCNC(=O)\C=C/C1=CC(O)=C2OC(C(C(=O)NCCCCNC(N)=N)C2=C1)C1=CC=C(O)C=C1</t>
  </si>
  <si>
    <t>FCINNGNGQHGDFW-YHYXMXQVSA-N</t>
  </si>
  <si>
    <t>C28H38N8O5</t>
  </si>
  <si>
    <t>3.88_417.1761m/z</t>
  </si>
  <si>
    <t>((4-(4-Amidinophenoxy)Butanoyl)Aspartyl)Valine</t>
  </si>
  <si>
    <t>HMDB0242231</t>
  </si>
  <si>
    <t>CC(C)C(NC(=O)C(CC(O)=O)NC(=O)CCCOC1=CC=C(C=C1)C(N)=N)C(O)=O</t>
  </si>
  <si>
    <t>JFCXCBBSUORTNS-UHFFFAOYSA-N</t>
  </si>
  <si>
    <t>C20H28N4O7</t>
  </si>
  <si>
    <t>4.12_519.1118m/z</t>
  </si>
  <si>
    <t>2-Amino-2'-Fluoro-5-Nitrobenzophenone</t>
  </si>
  <si>
    <t>HMDB0244976</t>
  </si>
  <si>
    <t>NC1=C(C=C(C=C1)[N+]([O-])=O)C(=O)C1=CC=CC=C1F</t>
  </si>
  <si>
    <t>ZTEHQPVGEHUXHI-UHFFFAOYSA-N</t>
  </si>
  <si>
    <t>C13H9FN2O3</t>
  </si>
  <si>
    <t>6.44_595.2391m/z</t>
  </si>
  <si>
    <t>Bilin</t>
  </si>
  <si>
    <t>HMDB0249207</t>
  </si>
  <si>
    <t>N1C(C=C2C=CC=N2)=CC=C1C=C1C=CC(C=C2C=CC=N2)=N1</t>
  </si>
  <si>
    <t>PPRBOEHFGAHFGC-UHFFFAOYSA-N</t>
  </si>
  <si>
    <t>C19H14N4</t>
  </si>
  <si>
    <t>3.99_533.2444m/z</t>
  </si>
  <si>
    <t>Apomorphine</t>
  </si>
  <si>
    <t>HMDB0014852</t>
  </si>
  <si>
    <t>41372-20-7</t>
  </si>
  <si>
    <t>[H][C@]12CC3=C(C(O)=C(O)C=C3)C3=CC=CC(CCN1C)=C23</t>
  </si>
  <si>
    <t>VMWNQDUVQKEIOC-CYBMUJFWSA-N</t>
  </si>
  <si>
    <t>Aporphines</t>
  </si>
  <si>
    <t>C17H17NO2</t>
  </si>
  <si>
    <t>3.82_587.1970m/z</t>
  </si>
  <si>
    <t>Asp-Asp-Asp-Asp-Lys</t>
  </si>
  <si>
    <t>HMDB0248661</t>
  </si>
  <si>
    <t>NCCCCC(NC(=O)C(CC(O)=O)NC(=O)C(CC(O)=O)NC(=O)C(CC(O)=O)NC(=O)C(N)CC(O)=O)C(O)=O</t>
  </si>
  <si>
    <t>WIGQMQCSQBOAKQ-UHFFFAOYSA-N</t>
  </si>
  <si>
    <t>C22H34N6O14</t>
  </si>
  <si>
    <t>1.15_386.1807m/z</t>
  </si>
  <si>
    <t>4-Hydroxy-3-Prenylbenzoic Acid Glucoside</t>
  </si>
  <si>
    <t>HMDB0039891</t>
  </si>
  <si>
    <t>CC(C)=CCC1=CC(=CC=C1OC1OC(CO)C(O)C(O)C1O)C(O)=O</t>
  </si>
  <si>
    <t>ZTHSABILDCCHJR-UHFFFAOYSA-N</t>
  </si>
  <si>
    <t>11.79_573.2820m/z</t>
  </si>
  <si>
    <t>Ganoderic Acid L</t>
  </si>
  <si>
    <t>HMDB0035885</t>
  </si>
  <si>
    <t>102607-24-9</t>
  </si>
  <si>
    <t>CC(CC(=O)CC(C)(O)C1CC(O)C2(C)C3=C(C(=O)CC12C)C1(C)CCC(O)C(C)(C)C1CC3O)C(O)=O</t>
  </si>
  <si>
    <t>RZBILUATLYXZLI-UHFFFAOYSA-N</t>
  </si>
  <si>
    <t>12.87_431.2556m/z</t>
  </si>
  <si>
    <t>Chenodeoxycholic Acid</t>
  </si>
  <si>
    <t>HMDB0000518</t>
  </si>
  <si>
    <t>LMST04010032</t>
  </si>
  <si>
    <t>C02528</t>
  </si>
  <si>
    <t>ko00120,ko04976</t>
  </si>
  <si>
    <t>Primary bile acid biosynthesis|Bile secretion</t>
  </si>
  <si>
    <t>474-25-9</t>
  </si>
  <si>
    <t>C1[C@]2(C)[C@@]3([H])CC[C@]4(C)[C@@]([H])([C@]([H])(C)CCC(O)=O)CC[C@@]4([H])[C@]3([H])[C@H](O)C[C@]2([H])C[C@H](O)C1</t>
  </si>
  <si>
    <t>RUDATBOHQWOJDD-BSWAIDMHSA-N</t>
  </si>
  <si>
    <t>C24H40O4</t>
  </si>
  <si>
    <t>5.67_655.1819m/z</t>
  </si>
  <si>
    <t>Isotectorigenin, 7-Methyl Ether</t>
  </si>
  <si>
    <t>COC1=CC=C(C=C1)C2=COC3=C(C2=O)C(=CC(=C3OC)OC)O</t>
  </si>
  <si>
    <t>WVKDAMAQNQRJFP-UHFFFAOYSA-N</t>
  </si>
  <si>
    <t>C18H16O6</t>
  </si>
  <si>
    <t>3.73_487.2031m/z</t>
  </si>
  <si>
    <t>Glutamylproline</t>
  </si>
  <si>
    <t>HMDB0028827</t>
  </si>
  <si>
    <t>41745-47-5</t>
  </si>
  <si>
    <t>N[C@@H](CCC(O)=O)C(=O)N1CCC[C@H]1C(O)=O</t>
  </si>
  <si>
    <t>YBTCBQBIJKGSJP-BQBZGAKWSA-N</t>
  </si>
  <si>
    <t>C10H16N2O5</t>
  </si>
  <si>
    <t>4.84_691.2145m/z</t>
  </si>
  <si>
    <t>Tenatoprazole</t>
  </si>
  <si>
    <t>HMDB0258812</t>
  </si>
  <si>
    <t>COC1=NC2=C(NC(=N2)S(=O)CC2=NC=C(C)C(OC)=C2C)C=C1</t>
  </si>
  <si>
    <t>ZBFDAUIVDSSISP-UHFFFAOYSA-N</t>
  </si>
  <si>
    <t>Imidazopyridines</t>
  </si>
  <si>
    <t>C16H18N4O3S</t>
  </si>
  <si>
    <t>5.95_415.1033m/z</t>
  </si>
  <si>
    <t>Daidzein 4'-O-Glucoside</t>
  </si>
  <si>
    <t>LMPK12050016</t>
  </si>
  <si>
    <t>OC1C=CC2C(=O)C(C3C=CC(O[C@H]4[C@H](O)[C@@H](O)[C@H](O)[C@@H](CO)O4)=CC=3)=COC=2C=1</t>
  </si>
  <si>
    <t>FIENOOOOPYEDMI-QNDFHXLGSA-N</t>
  </si>
  <si>
    <t>C21H20O9</t>
  </si>
  <si>
    <t>3.88_499.2027m/z</t>
  </si>
  <si>
    <t>3-Deaza-2'-Deoxyadenosine</t>
  </si>
  <si>
    <t>78582-17-9</t>
  </si>
  <si>
    <t>C1C(C(OC1N2C=NC3=C2C=CN=C3N)CO)O</t>
  </si>
  <si>
    <t>KMQPIRJQPAVGJL-DJLDLDEBSA-N</t>
  </si>
  <si>
    <t>Imidazole[4,5-c]pyridine ribonucleosides and ribonucleotides</t>
  </si>
  <si>
    <t>C11H14N4O3</t>
  </si>
  <si>
    <t>1.31_462.1431m/z</t>
  </si>
  <si>
    <t>Probenecid Glucuronide</t>
  </si>
  <si>
    <t>HMDB0256786</t>
  </si>
  <si>
    <t>CCCN(CCC)S(=O)(=O)C1=CC=C(C=C1)C(=O)OC1OC(C(O)C(O)C1O)C(O)=O</t>
  </si>
  <si>
    <t>BZOGRYWIYJNLDE-UHFFFAOYSA-N</t>
  </si>
  <si>
    <t>C19H27NO10S</t>
  </si>
  <si>
    <t>11.84_277.2170m/z</t>
  </si>
  <si>
    <t>6-Phenylundecane</t>
  </si>
  <si>
    <t>HMDB0061857</t>
  </si>
  <si>
    <t>4537-14-8</t>
  </si>
  <si>
    <t>CCCCCC(CCCCC)C1=CC=CC=C1</t>
  </si>
  <si>
    <t>WCABIRIFXVXGQH-UHFFFAOYSA-N</t>
  </si>
  <si>
    <t>C17H28</t>
  </si>
  <si>
    <t>3.70_738.2010m/z</t>
  </si>
  <si>
    <t>Xanthochymuside</t>
  </si>
  <si>
    <t>HMDB0030609</t>
  </si>
  <si>
    <t>31654-49-6</t>
  </si>
  <si>
    <t>OCC1OC(OC2=C(C3C(OC4=CC(O)=CC(O)=C4C3=O)C3=CC=C(O)C=C3)C3=C(C(=O)CC(O3)C3=CC(O)=C(O)C=C3)C(O)=C2)C(O)C(O)C1O</t>
  </si>
  <si>
    <t>XGQOXAVFFQEOBL-UHFFFAOYSA-N</t>
  </si>
  <si>
    <t>C36H32O16</t>
  </si>
  <si>
    <t>7.62_419.0323m/z</t>
  </si>
  <si>
    <t>1-(Methylsulfinyl)Propyl 1-Propenyl Disulfide</t>
  </si>
  <si>
    <t>HMDB0033058</t>
  </si>
  <si>
    <t>CCC(SS\C=C\C)S(C)=O</t>
  </si>
  <si>
    <t>MKOPLMYOMZFPLE-GQCTYLIASA-N</t>
  </si>
  <si>
    <t>C7H14OS3</t>
  </si>
  <si>
    <t>4.91_941.3977m/z</t>
  </si>
  <si>
    <t>PGP(18:3(6Z,9Z,12Z)/PGJ2)</t>
  </si>
  <si>
    <t>HMDB0273051</t>
  </si>
  <si>
    <t>CCCCC\C=C/C\C=C/C\C=C/CCCCC(=O)OC[C@H](COP(O)(=O)OC[C@@H](O)COP(O)(O)=O)OC(=O)CCC\C=C/C[C@H]1C=CC(=O)[C@@H]1\C=C\[C@@H](O)CCCCC</t>
  </si>
  <si>
    <t>SFSVHBMQULQEPL-YSFIDNHZSA-N</t>
  </si>
  <si>
    <t>C44H72O15P2</t>
  </si>
  <si>
    <t>1.22_317.0425m/z</t>
  </si>
  <si>
    <t>Bisphenol Af</t>
  </si>
  <si>
    <t>HMDB0249276</t>
  </si>
  <si>
    <t>C14350</t>
  </si>
  <si>
    <t>1478-61-1</t>
  </si>
  <si>
    <t>OC1=CC=C(C=C1)C(C1=CC=C(O)C=C1)(C(F)(F)F)C(F)(F)F</t>
  </si>
  <si>
    <t>ZFVMWEVVKGLCIJ-UHFFFAOYSA-N</t>
  </si>
  <si>
    <t>C15H10F6O2</t>
  </si>
  <si>
    <t>10.62_338.1882n</t>
  </si>
  <si>
    <t>Resmethrin</t>
  </si>
  <si>
    <t>HMDB0257162</t>
  </si>
  <si>
    <t>C10991</t>
  </si>
  <si>
    <t>10453-86-8</t>
  </si>
  <si>
    <t>CC(C)=CC1C(C(=O)OCC2=COC(CC3=CC=CC=C3)=C2)C1(C)C</t>
  </si>
  <si>
    <t>VEMKTZHHVJILDY-UHFFFAOYSA-N</t>
  </si>
  <si>
    <t>C22H26O3</t>
  </si>
  <si>
    <t>14.46_460.3907n</t>
  </si>
  <si>
    <t>Protopanaxadiol</t>
  </si>
  <si>
    <t>LMPR0106080003</t>
  </si>
  <si>
    <t>C1C[C@]2(C)[C@@]3([H])C[C@@H](O)[C@]4([H])[C@@]([H])([C@@](O)(C)CC/C=C(\C)/C)CC[C@@]4(C)[C@]3(C)CC[C@@]2([H])C(C)(C)[C@H]1O</t>
  </si>
  <si>
    <t>PYXFVCFISTUSOO-VUFVRDRTSA-N</t>
  </si>
  <si>
    <t>C30H52O3</t>
  </si>
  <si>
    <t>9.31_731.3998m/z</t>
  </si>
  <si>
    <t>Cimimanol E</t>
  </si>
  <si>
    <t>LMST01100024</t>
  </si>
  <si>
    <t>C1C=C2[C@@]3(C[C@]43CC[C@H](O[C@@H]3OC[C@@H](O)[C@H](O[C@@H]5OC[C@@H](O)[C@H](O)[C@H]5O)[C@H]3O)C(C)(C)[C@]14[H])[C@@H](O)C[C@@]1(C)[C@@]2(C)CC(=O)[C@]1([H])[C@@H](CC(=O)[C@@H]1OC1(C)C)C</t>
  </si>
  <si>
    <t>CNUIDPGEIQBELJ-XAOUBJRKSA-N</t>
  </si>
  <si>
    <t>C40H60O13</t>
  </si>
  <si>
    <t>3.73_283.0102m/z</t>
  </si>
  <si>
    <t>Methyl Thiophene-2-Carboxylate</t>
  </si>
  <si>
    <t>HMDB0029719</t>
  </si>
  <si>
    <t>5380-42-7</t>
  </si>
  <si>
    <t>COC(=O)C1=CC=CS1</t>
  </si>
  <si>
    <t>PGBFYLVIMDQYMS-UHFFFAOYSA-N</t>
  </si>
  <si>
    <t>Thiophenes</t>
  </si>
  <si>
    <t>Thiophene carboxylic acids and derivatives</t>
  </si>
  <si>
    <t>C6H6O2S</t>
  </si>
  <si>
    <t>9.98_510.2805n</t>
  </si>
  <si>
    <t>MGMG(18:5(3Z,6Z,9Z,12Z,15Z)/0:0)</t>
  </si>
  <si>
    <t>LMGL04010011</t>
  </si>
  <si>
    <t>C(O[C@@H]1O[C@@H]([C@@H]([C@@H]([C@H]1O)O)O)CO)[C@]([H])(O)COC(C/C=C\C/C=C\C/C=C\C/C=C\C/C=C\CC)=O</t>
  </si>
  <si>
    <t>QEEXYSAHKXUIFD-OCIPMTKCSA-N</t>
  </si>
  <si>
    <t>C27H42O9</t>
  </si>
  <si>
    <t>5.45_547.1433m/z</t>
  </si>
  <si>
    <t>Chrysin 6-C-Glucoside-8-C-Alpha-L-Arabinopyranoside</t>
  </si>
  <si>
    <t>C1C(C(C(C(O1)C2=C3C(=C(C(=C2O)C4C(C(C(C(O4)CO)O)O)O)O)C(=O)C=C(O3)C5=CC=CC=C5)O)O)O</t>
  </si>
  <si>
    <t>ZGVGUTOTMNVHSX-ICQLDYLPSA-N</t>
  </si>
  <si>
    <t>C26H28O13</t>
  </si>
  <si>
    <t>13.43_573.1919m/z</t>
  </si>
  <si>
    <t>Uvarinol</t>
  </si>
  <si>
    <t>LMPK12140149</t>
  </si>
  <si>
    <t>C1C=CC(CC2C=C(CC3C(O)=C(CC4C=CC=CC=4O)C4OC(C5C=CC=CC=5)CC(=O)C=4C=3O)C(O)=CC=2)=C(O)C=1</t>
  </si>
  <si>
    <t>DNSBHCGTUDJZGO-UHFFFAOYSA-N</t>
  </si>
  <si>
    <t>C36H30O7</t>
  </si>
  <si>
    <t>6.97_505.2075m/z</t>
  </si>
  <si>
    <t>Prednisolone Hemisuccinate</t>
  </si>
  <si>
    <t>HMDB0245744</t>
  </si>
  <si>
    <t>CC12CC(O)C3C(CCC4=CC(=O)C=CC34C)C1CCC2(O)C(=O)COC(=O)CCC(O)=O</t>
  </si>
  <si>
    <t>APGDTXUMTIZLCJ-UHFFFAOYSA-N</t>
  </si>
  <si>
    <t>C25H32O8</t>
  </si>
  <si>
    <t>8.71_1049.5606m/z</t>
  </si>
  <si>
    <t>PIP(20:0/18:1(12Z)-2OH(9,10))</t>
  </si>
  <si>
    <t>HMDB0279506</t>
  </si>
  <si>
    <t>[H][C@@](COC(=O)CCCCCCCCCCCCCCCCCCC)(COP(O)(=O)O[C@H]1C(O)C(O)C(O)[C@@H](OP(O)(O)=O)C1O)OC(=O)CCCCCCC[C@H](O)[C@@H](O)C\C=C/CCCCC</t>
  </si>
  <si>
    <t>LYZZEJQVWRWVAX-SKYBTHAESA-N</t>
  </si>
  <si>
    <t>C47H90O18P2</t>
  </si>
  <si>
    <t>4.40_693.1286m/z</t>
  </si>
  <si>
    <t>Apigenin 7-Glucuronide-4'-(6''-Malonylglucoside)</t>
  </si>
  <si>
    <t>LMPK12110389</t>
  </si>
  <si>
    <t>C1(O[C@H]2[C@H](O)[C@@H](O)[C@H](O)[C@@H](C(=O)O)O2)=CC2OC(C3C=CC(O[C@H]4[C@H](O)[C@@H](O)[C@H](O)[C@@H](COC(=O)CC(O)=O)O4)=CC=3)=CC(=O)C=2C(O)=C1</t>
  </si>
  <si>
    <t>KWPZKEPPMDOLFK-QWPFMXMHSA-N</t>
  </si>
  <si>
    <t>C30H30O19</t>
  </si>
  <si>
    <t>2.61_187.0240m/z</t>
  </si>
  <si>
    <t>(2e)-2-(Methoxycarbonylmethyl)But-2-Enedioic Acid</t>
  </si>
  <si>
    <t>LMFA01020393</t>
  </si>
  <si>
    <t>C11515</t>
  </si>
  <si>
    <t>C(=O)(O)/C(/CC(=O)OC)=C/C(=O)O</t>
  </si>
  <si>
    <t>MRNZYUAGJLJQAM-DUXPYHPUSA-N</t>
  </si>
  <si>
    <t>C7H8O6</t>
  </si>
  <si>
    <t>5.23_545.2163m/z</t>
  </si>
  <si>
    <t>PA(2:0/20:5(7Z,9Z,11E,13E,17Z)-3OH(5,6,15))</t>
  </si>
  <si>
    <t>HMDB0266555</t>
  </si>
  <si>
    <t>[H][C@@](COC(C)=O)(COP(O)(O)=O)OC(=O)CCC[C@@H](O)[C@H](O)\C=C/C=C\C=C\C=C\[C@@H](O)C\C=C/CC</t>
  </si>
  <si>
    <t>IXFKGQDWWLVJCJ-FGRNOYPVSA-N</t>
  </si>
  <si>
    <t>C25H39O11P</t>
  </si>
  <si>
    <t>7.45_766.3079m/z</t>
  </si>
  <si>
    <t>Streptoval C</t>
  </si>
  <si>
    <t>54955-14-5</t>
  </si>
  <si>
    <t>CC1C(C(C(OC1O)C(C)C(C(C)C=CC=C(C)C(=O)NC2=C(C(=C3C(=C2O)C(=O)C(=C4C3=C(OCO4)C(=CC(=O)C)C)C)OC(=O)C)C)O)C(=O)OC)O</t>
  </si>
  <si>
    <t>MIUJOEGCYRFQIS-VWSKNAGGSA-N</t>
  </si>
  <si>
    <t>C40H49NO14</t>
  </si>
  <si>
    <t>7.49_892.3754m/z</t>
  </si>
  <si>
    <t>Taxol C</t>
  </si>
  <si>
    <t>153415-45-3</t>
  </si>
  <si>
    <t>CCCCCC(=O)NC(C1=CC=CC=C1)C(C(=O)OC2CC3(C(C4C(C(CC5C4(CO5)OC(=O)C)O)(C(=O)C(C(=C2C)C3(C)C)OC(=O)C)C)OC(=O)C6=CC=CC=C6)O)O</t>
  </si>
  <si>
    <t>BEHTXUBGUDGCNQ-IEAAAIHOSA-N</t>
  </si>
  <si>
    <t>C46H57NO14</t>
  </si>
  <si>
    <t>4.45_486.1893n</t>
  </si>
  <si>
    <t>2',4',4-Trihydroxy-3'-Prenylchalcone 4'-O-Glucoside</t>
  </si>
  <si>
    <t>LMPK12120030</t>
  </si>
  <si>
    <t>C1(O[C@H]2[C@H](O)[C@@H](O)[C@H](O)[C@@H](CO)O2)C=CC(C(=O)/C=C/C2C=CC(O)=CC=2)=C(O)C=1C/C=C(/C)\C</t>
  </si>
  <si>
    <t>HNRQFWQDRYQVNP-BAOGALEJSA-N</t>
  </si>
  <si>
    <t>C26H30O9</t>
  </si>
  <si>
    <t>2.58_325.0118m/z</t>
  </si>
  <si>
    <t>Ranelic Acid</t>
  </si>
  <si>
    <t>HMDB0257107</t>
  </si>
  <si>
    <t>OC(=O)CN(CC(O)=O)C1=C(C#N)C(CC(O)=O)=C(S1)C(O)=O</t>
  </si>
  <si>
    <t>DJSXNILVACEBLP-UHFFFAOYSA-N</t>
  </si>
  <si>
    <t>C12H10N2O8S</t>
  </si>
  <si>
    <t>4.12_463.1822m/z</t>
  </si>
  <si>
    <t>2-[4-(3-Hydroxypropyl)-2-Methoxyphenoxy]-1,3-Propanediol 1-Glucoside</t>
  </si>
  <si>
    <t>HMDB0040353</t>
  </si>
  <si>
    <t>68340-35-2</t>
  </si>
  <si>
    <t>COC1=C(OC(CO)COC2OC(CO)C(O)C(O)C2O)C=CC(CCCO)=C1</t>
  </si>
  <si>
    <t>LRRKTNFBBSNZEN-UHFFFAOYSA-N</t>
  </si>
  <si>
    <t>C19H30O10</t>
  </si>
  <si>
    <t>0.78_420.2311m/z</t>
  </si>
  <si>
    <t>Oxidized Macamide</t>
  </si>
  <si>
    <t>LMFA08020373</t>
  </si>
  <si>
    <t>C(CCCCCCC/C=C/C=C/C(=O)C/C=C/CC)(=O)NCC1=CC=CC=C1</t>
  </si>
  <si>
    <t>IYXPYLUEWJJJNN-USPSPXRMSA-N</t>
  </si>
  <si>
    <t>C25H35NO2</t>
  </si>
  <si>
    <t>13.70_488.3938m/z</t>
  </si>
  <si>
    <t>TG(8:0/8:0/8:0)</t>
  </si>
  <si>
    <t>HMDB0011187</t>
  </si>
  <si>
    <t>C13044</t>
  </si>
  <si>
    <t>538-23-8</t>
  </si>
  <si>
    <t>[H]C(COC(=O)CCCCCCC)(COC(=O)CCCCCCC)OC(=O)CCCCCCC</t>
  </si>
  <si>
    <t>VLPFTAMPNXLGLX-UHFFFAOYSA-N</t>
  </si>
  <si>
    <t>C27H50O6</t>
  </si>
  <si>
    <t>4.83_365.0875m/z</t>
  </si>
  <si>
    <t>1-Naphthyl Β-D-Glucuronide</t>
  </si>
  <si>
    <t>C11586</t>
  </si>
  <si>
    <t>27710-10-7</t>
  </si>
  <si>
    <t>C1=CC=C2C(=C1)C=CC=C2OC3C(C(C(C(O3)C(=O)O)O)O)O</t>
  </si>
  <si>
    <t>KEQWBZWOGRCILF-AKFOCJAPSA-N</t>
  </si>
  <si>
    <t>12.93_495.4383m/z</t>
  </si>
  <si>
    <t>1,2-Dimyristoyl-Sn-Glycerol</t>
  </si>
  <si>
    <t>HMDB0007008</t>
  </si>
  <si>
    <t>LMGL02010321</t>
  </si>
  <si>
    <t>C16667</t>
  </si>
  <si>
    <t>OC[C@]([H])(OC(CCCCCCCCCCCCC)=O)COC(CCCCCCCCCCCCC)=O</t>
  </si>
  <si>
    <t>JFBCSFJKETUREV-LJAQVGFWSA-N</t>
  </si>
  <si>
    <t>C31H60O5</t>
  </si>
  <si>
    <t>10.19_265.1477m/z</t>
  </si>
  <si>
    <t>6,7-Dihydro-4-(Hydroxymethyl)-2-(P-Hydroxyphenethyl)-7-Methyl-5h-2-Pyrindinium</t>
  </si>
  <si>
    <t>HMDB0033483</t>
  </si>
  <si>
    <t>15794-93-1</t>
  </si>
  <si>
    <t>CC1CCC2=C(CO)C=[N+](CCC3=CC=C(O)C=C3)C=C12</t>
  </si>
  <si>
    <t>XLWXLZKPQFKGJS-UHFFFAOYSA-O</t>
  </si>
  <si>
    <t>C18H22NO2+</t>
  </si>
  <si>
    <t>4.63_640.1633n</t>
  </si>
  <si>
    <t>Rhamnetin 3-Sophoroside</t>
  </si>
  <si>
    <t>HMDB0038303</t>
  </si>
  <si>
    <t>259234-17-8</t>
  </si>
  <si>
    <t>COC1=CC(O)=C2C(=O)C(OC3OC(CO)C(O)C(O)C3OC3OC(CO)C(O)C(O)C3O)=C(OC2=C1)C1=CC(O)=C(O)C=C1</t>
  </si>
  <si>
    <t>CEZKIFXYWPTANH-UHFFFAOYSA-N</t>
  </si>
  <si>
    <t>C28H32O17</t>
  </si>
  <si>
    <t>6.07_567.1876m/z</t>
  </si>
  <si>
    <t>Prednisolone Phthalate</t>
  </si>
  <si>
    <t>HMDB0256749</t>
  </si>
  <si>
    <t>CC12CC(O)C3C(CCC4=CC(=O)C5=C(OC(=O)C6=CC=CC=C6C(=O)O5)C34C)C1CCC2(O)C(=O)CO</t>
  </si>
  <si>
    <t>XOHBVKQPECVNLN-UHFFFAOYSA-N</t>
  </si>
  <si>
    <t>C29H30O9</t>
  </si>
  <si>
    <t>6.07_519.2548m/z</t>
  </si>
  <si>
    <t>N,N-Diphenyl-P-Phenylenediamine</t>
  </si>
  <si>
    <t>HMDB0243487</t>
  </si>
  <si>
    <t>NC1=CC=C(C=C1)N(C1=CC=CC=C1)C1=CC=CC=C1</t>
  </si>
  <si>
    <t>UXKQNCDDHDBAPD-UHFFFAOYSA-N</t>
  </si>
  <si>
    <t>C18H16N2</t>
  </si>
  <si>
    <t>7.51_763.2779m/z</t>
  </si>
  <si>
    <t>Dihydrorobustic Acid</t>
  </si>
  <si>
    <t>CC1(CCC2=C(O1)C=C3C(=C2OC)C(=C(C(=O)O3)C4=CC=C(C=C4)OC)O)C</t>
  </si>
  <si>
    <t>WJMJXJYEGROEHH-UHFFFAOYSA-N</t>
  </si>
  <si>
    <t>Hydroxyisoflavonoids</t>
  </si>
  <si>
    <t>C22H22O6</t>
  </si>
  <si>
    <t>2.77_323.0384m/z</t>
  </si>
  <si>
    <t>Ribavirin Monophosphate</t>
  </si>
  <si>
    <t>HMDB0257208</t>
  </si>
  <si>
    <t>NC(=O)C1=NN(C=N1)C1OC(COP(O)(O)=O)C(O)C1O</t>
  </si>
  <si>
    <t>SDWIOXKHTFOULX-UHFFFAOYSA-N</t>
  </si>
  <si>
    <t>C8H13N4O8P</t>
  </si>
  <si>
    <t>1.29_189.1234m/z</t>
  </si>
  <si>
    <t>N-(3-Amino-3-Oxopropyl)-L-Valine</t>
  </si>
  <si>
    <t>HMDB0246894</t>
  </si>
  <si>
    <t>CC(C)C(NCCC(N)=O)C(O)=O</t>
  </si>
  <si>
    <t>BZEVQVJZLREGPF-UHFFFAOYSA-N</t>
  </si>
  <si>
    <t>C8H16N2O3</t>
  </si>
  <si>
    <t>2.79_263.1059m/z</t>
  </si>
  <si>
    <t>Hydroxyprolyl-Methionine</t>
  </si>
  <si>
    <t>HMDB0028869</t>
  </si>
  <si>
    <t>CSCCC(NC(=O)C1CC(O)CN1)C(O)=O</t>
  </si>
  <si>
    <t>XTTZAXBOUXWPAU-UHFFFAOYSA-N</t>
  </si>
  <si>
    <t>C10H18N2O4S</t>
  </si>
  <si>
    <t>0.71_379.1006m/z</t>
  </si>
  <si>
    <t>(S)-A-Amino-2,5-Dihydro-5-Oxo-4-Isoxazolepropanoic Acid N2-Glucoside</t>
  </si>
  <si>
    <t>HMDB0029404</t>
  </si>
  <si>
    <t>29790-46-3</t>
  </si>
  <si>
    <t>NC(CC1=CN(OC1=O)C1OC(CO)C(O)C(O)C1O)C(O)=O</t>
  </si>
  <si>
    <t>OURYTICKCZBKFC-UHFFFAOYSA-N</t>
  </si>
  <si>
    <t>C12H18N2O9</t>
  </si>
  <si>
    <t>4.12_415.2337m/z</t>
  </si>
  <si>
    <t>20-Hydroxy-Pgf2alpha</t>
  </si>
  <si>
    <t>HMDB04049</t>
  </si>
  <si>
    <t>LMFA03010029</t>
  </si>
  <si>
    <t>57930-92-4</t>
  </si>
  <si>
    <t>[C@H]1(/C=C/[C@@H](O)CCCCCO)[C@H](O)C[C@H](O)[C@@H]1C/C=C\CCCC(=O)O</t>
  </si>
  <si>
    <t>XQXUYZDBZCLAQO-UNKHNRNISA-N</t>
  </si>
  <si>
    <t>0.54_116.1069m/z</t>
  </si>
  <si>
    <t>2,4-Hexadien-1-Ol</t>
  </si>
  <si>
    <t>HMDB0303233</t>
  </si>
  <si>
    <t>CC=CC=CCO</t>
  </si>
  <si>
    <t>MEIRRNXMZYDVDW-UHFFFAOYSA-N</t>
  </si>
  <si>
    <t>C6H10O</t>
  </si>
  <si>
    <t>11.10_665.2919m/z</t>
  </si>
  <si>
    <t>Pefloxacin</t>
  </si>
  <si>
    <t>HMDB0014630</t>
  </si>
  <si>
    <t>70458-92-3</t>
  </si>
  <si>
    <t>CCN1C=C(C(O)=O)C(=O)C2=CC(F)=C(C=C12)N1CCN(C)CC1</t>
  </si>
  <si>
    <t>FHFYDNQZQSQIAI-UHFFFAOYSA-N</t>
  </si>
  <si>
    <t>C17H20FN3O3</t>
  </si>
  <si>
    <t>8.77_227.1283m/z</t>
  </si>
  <si>
    <t>Traumatic Acid</t>
  </si>
  <si>
    <t>HMDB0000933</t>
  </si>
  <si>
    <t>LMFA01170002</t>
  </si>
  <si>
    <t>C16308</t>
  </si>
  <si>
    <t>6402-36-4</t>
  </si>
  <si>
    <t>C(CC(=O)O)CCCCCC/C=C/C(=O)O</t>
  </si>
  <si>
    <t>MAZWDMBCPDUFDJ-VQHVLOKHSA-N</t>
  </si>
  <si>
    <t>3.72_403.1938m/z</t>
  </si>
  <si>
    <t>Minoxidil Glucuronide</t>
  </si>
  <si>
    <t>HMDB0254740</t>
  </si>
  <si>
    <t>NC1=CC(=NC(=N)N1OC1OC(C(O)C(O)C1O)C(O)=O)N1CCCCC1</t>
  </si>
  <si>
    <t>WJHSTCUDHNONOO-UHFFFAOYSA-N</t>
  </si>
  <si>
    <t>C15H23N5O7</t>
  </si>
  <si>
    <t>3.65_619.2238m/z</t>
  </si>
  <si>
    <t>Gamma-Glutamyltyrosine</t>
  </si>
  <si>
    <t>HMDB0011741</t>
  </si>
  <si>
    <t>C01151</t>
  </si>
  <si>
    <t>ko00030,ko00440</t>
  </si>
  <si>
    <t>Pentose phosphate pathway|Phosphonate and phosphinate metabolism</t>
  </si>
  <si>
    <t>7432-23-7</t>
  </si>
  <si>
    <t>N[C@@H](CCC(=O)N[C@@H](CC1=CC=C(O)C=C1)C(O)=O)C(O)=O</t>
  </si>
  <si>
    <t>VVLXCWVSSLFQDS-QWRGUYRKSA-N</t>
  </si>
  <si>
    <t>C14H18N2O6</t>
  </si>
  <si>
    <t>4.96_177.0909m/z</t>
  </si>
  <si>
    <t>5,6,7,8-Tetrahydro-2-Naphthoic Acid</t>
  </si>
  <si>
    <t>C14111</t>
  </si>
  <si>
    <t>ko00626</t>
  </si>
  <si>
    <t>Naphthalene degradation</t>
  </si>
  <si>
    <t>1131-63-1</t>
  </si>
  <si>
    <t>C1CCC2=C(C1)C=CC(=C2)C(=O)O</t>
  </si>
  <si>
    <t>RSWXAGBBPCRION-UHFFFAOYSA-N</t>
  </si>
  <si>
    <t>Naphthalenecarboxylic acids and derivatives</t>
  </si>
  <si>
    <t>C11H12O2</t>
  </si>
  <si>
    <t>5.22_594.6858m/z</t>
  </si>
  <si>
    <t>Hexasodium Metaphosphate (P6o186(-))</t>
  </si>
  <si>
    <t>HMDB0303419</t>
  </si>
  <si>
    <t>[Na+].[Na+].[Na+].[Na+].[Na+].[Na+].[O-]P1(=O)OP([O-])(=O)OP([O-])(=O)OP([O-])(=O)OP([O-])(=O)OP([O-])(=O)O1</t>
  </si>
  <si>
    <t>GCLGEJMYGQKIIW-UHFFFAOYSA-H</t>
  </si>
  <si>
    <t>Na6O18P6</t>
  </si>
  <si>
    <t>11.50_791.4519m/z</t>
  </si>
  <si>
    <t>PA(20:4(5Z,8Z,11Z,14Z)/20:5(7Z,9Z,11E,13E,17Z)-3OH(5,6,15))</t>
  </si>
  <si>
    <t>HMDB0265205</t>
  </si>
  <si>
    <t>[H][C@@](COC(=O)CCC\C=C/C\C=C/C\C=C/C\C=C/CCCCC)(COP(O)(O)=O)OC(=O)CCC[C@@H](O)[C@H](O)\C=C/C=C\C=C\C=C\[C@@H](O)C\C=C/CC</t>
  </si>
  <si>
    <t>DENOQCZFDYWANS-PPXNNLDDSA-N</t>
  </si>
  <si>
    <t>C43H67O11P</t>
  </si>
  <si>
    <t>4.28_448.1386m/z</t>
  </si>
  <si>
    <t>Peonidin 3-Rhamnoside</t>
  </si>
  <si>
    <t>HMDB0038091</t>
  </si>
  <si>
    <t>72551-79-2</t>
  </si>
  <si>
    <t>COC1=C(O)C=CC(=C1)C1=C(OC2OC(C)C(O)C(O)C2O)C=C2C(O)=CC(O)=CC2=[O+]1</t>
  </si>
  <si>
    <t>CLAWMDIRFKUSBX-UHFFFAOYSA-O</t>
  </si>
  <si>
    <t>C22H23O10+</t>
  </si>
  <si>
    <t>7.20_577.2983m/z</t>
  </si>
  <si>
    <t>3-Methylglutarylcarnitine</t>
  </si>
  <si>
    <t>HMDB0000552</t>
  </si>
  <si>
    <t>102673-95-0</t>
  </si>
  <si>
    <t>C[C@H](CC(O)=O)CC(=O)O[C@H](CC([O-])=O)C[N+](C)(C)C</t>
  </si>
  <si>
    <t>HFCPFJNSBPQJDP-NXEZZACHSA-N</t>
  </si>
  <si>
    <t>C13H23NO6</t>
  </si>
  <si>
    <t>4.48_377.1780m/z</t>
  </si>
  <si>
    <t>Tppu</t>
  </si>
  <si>
    <t>1222780-33-7</t>
  </si>
  <si>
    <t>CCC(=O)N1CCC(CC1)NC(=O)NC2=CC=C(C=C2)OC(F)(F)F</t>
  </si>
  <si>
    <t>AAJMQTLFRTZCJK-UHFFFAOYSA-N</t>
  </si>
  <si>
    <t>C16H20F3N3O3</t>
  </si>
  <si>
    <t>8.69_413.1229m/z</t>
  </si>
  <si>
    <t>Ononin</t>
  </si>
  <si>
    <t>LMPK12050014</t>
  </si>
  <si>
    <t>C10509</t>
  </si>
  <si>
    <t>486-62-4</t>
  </si>
  <si>
    <t>C1(O[C@H]2[C@H](O)[C@@H](O)[C@H](O)[C@@H](CO)O2)=CC2OC=C(C3=CC=C(OC)C=C3)C(=O)C=2C=C1</t>
  </si>
  <si>
    <t>MGJLSBDCWOSMHL-MIUGBVLSSA-N</t>
  </si>
  <si>
    <t>5.26_438.1615m/z</t>
  </si>
  <si>
    <t>6'-Apiosyllotaustralin</t>
  </si>
  <si>
    <t>HMDB0034207</t>
  </si>
  <si>
    <t>170033-25-7</t>
  </si>
  <si>
    <t>CCC(C)(OC1OC(COC2OC(CO)C(O)C2O)C(O)C(O)C1O)C#N</t>
  </si>
  <si>
    <t>NUKMOAMTVXXKKG-UHFFFAOYSA-N</t>
  </si>
  <si>
    <t>C16H27NO10</t>
  </si>
  <si>
    <t>5.83_1121.4919m/z</t>
  </si>
  <si>
    <t>Tricosanoyl-Coa</t>
  </si>
  <si>
    <t>HMDB0062537</t>
  </si>
  <si>
    <t>CCCCCCCCCCCCCCCCCCCCCCC(=O)SCCN=C(O)CCN=C(O)C(O)C(C)(C)COP(O)(=O)OP(O)(=O)OCC1OC(C(O)C1OP(O)(O)=O)N1C=NC2=C(N)N=CN=C12</t>
  </si>
  <si>
    <t>GBAQBZWAXMYXRJ-UHFFFAOYSA-N</t>
  </si>
  <si>
    <t>C44H80N7O17P3S</t>
  </si>
  <si>
    <t>5.86_201.1125m/z</t>
  </si>
  <si>
    <t>2-Hydroxy-2,6,6-Trimethylcyclohexanone</t>
  </si>
  <si>
    <t>HMDB0037023</t>
  </si>
  <si>
    <t>7500-42-7</t>
  </si>
  <si>
    <t>CC1(C)CCCC(C)(O)C1=O</t>
  </si>
  <si>
    <t>FWCGLHYHGUHPRY-UHFFFAOYSA-N</t>
  </si>
  <si>
    <t>C9H16O2</t>
  </si>
  <si>
    <t>4.58_192.0786n</t>
  </si>
  <si>
    <t>Ethyl-P-Coumarate</t>
  </si>
  <si>
    <t>2979-06-8</t>
  </si>
  <si>
    <t>CCOC(=O)C=CC1=CC=C(C=C1)O</t>
  </si>
  <si>
    <t>ZOQCEVXVQCPESC-VMPITWQZSA-N</t>
  </si>
  <si>
    <t>C11H12O3</t>
  </si>
  <si>
    <t>3.95_365.1450m/z</t>
  </si>
  <si>
    <t>2,6-Diamino-4-Hydroxy-5-N-Methylformamidopyrimidine</t>
  </si>
  <si>
    <t>HMDB0011657</t>
  </si>
  <si>
    <t>C04744</t>
  </si>
  <si>
    <t>77440-13-2</t>
  </si>
  <si>
    <t>CN(C=O)C1=C(N)N=C(N)N=C1O</t>
  </si>
  <si>
    <t>CGWDNAFNQOBSCK-UHFFFAOYSA-N</t>
  </si>
  <si>
    <t>C6H9N5O2</t>
  </si>
  <si>
    <t>0.72_119.0581n</t>
  </si>
  <si>
    <t>L-Threonine</t>
  </si>
  <si>
    <t>HMDB0000167</t>
  </si>
  <si>
    <t>C00188</t>
  </si>
  <si>
    <t>ko00260,ko00261,ko00290,ko00470,ko00860,ko00970,ko00997,ko02010,ko04974,ko04978</t>
  </si>
  <si>
    <t>Glycine, serine and threonine metabolism|Monobactam biosynthesis|Valine, leucine and isoleucine biosynthesis|D-Amino acid metabolism|Porphyrin metabolism|Aminoacyl-tRNA biosynthesis|Biosynthesis of various secondary metabolites - part 3|ABC transporters|Protein digestion and absorption|Mineral absorption</t>
  </si>
  <si>
    <t>72-19-5</t>
  </si>
  <si>
    <t>C[C@@H](O)[C@H](N)C(O)=O</t>
  </si>
  <si>
    <t>AYFVYJQAPQTCCC-GBXIJSLDSA-N</t>
  </si>
  <si>
    <t>C4H9NO3</t>
  </si>
  <si>
    <t>2.56_188.0322n</t>
  </si>
  <si>
    <t>Cis-2-Methylaconitate</t>
  </si>
  <si>
    <t>HMDB0006357</t>
  </si>
  <si>
    <t>C04225</t>
  </si>
  <si>
    <t>6061-93-4</t>
  </si>
  <si>
    <t>C\C(C(O)=O)=C(/CC(O)=O)C(O)=O</t>
  </si>
  <si>
    <t>NUZLRKBHOBPTQV-ARJAWSKDSA-N</t>
  </si>
  <si>
    <t>1.43_434.0702m/z</t>
  </si>
  <si>
    <t>N-Acetylneuraminic Acid 9-Phosphate</t>
  </si>
  <si>
    <t>HMDB0004381</t>
  </si>
  <si>
    <t>C06241</t>
  </si>
  <si>
    <t>37992-17-9</t>
  </si>
  <si>
    <t>[H][C@]1(OC(O)(C[C@H](O)[C@H]1NC(C)=O)C(O)=O)[C@H](O)[C@H](O)COP(O)(O)=O</t>
  </si>
  <si>
    <t>SQMNIXJSBCSNCI-LUWBGTNYSA-N</t>
  </si>
  <si>
    <t>C11H20NO12P</t>
  </si>
  <si>
    <t>7.16_853.3411m/z</t>
  </si>
  <si>
    <t>Panomifene</t>
  </si>
  <si>
    <t>HMDB0256113</t>
  </si>
  <si>
    <t>OCCNCCOC1=CC=C(C=C1)C(=C(C1=CC=CC=C1)C(F)(F)F)C1=CC=CC=C1</t>
  </si>
  <si>
    <t>MHXVDXXARZCVRK-UHFFFAOYSA-N</t>
  </si>
  <si>
    <t>C25H24F3NO2</t>
  </si>
  <si>
    <t>0.75_387.1492m/z</t>
  </si>
  <si>
    <t>Jwh 073 N-(4-Hydroxybutyl) Metabolite-D5</t>
  </si>
  <si>
    <t>C1=CC=C2C(=C1)C=CC=C2C(=O)C3=CN(C4=CC=CC=C43)CCCCO</t>
  </si>
  <si>
    <t>FIBVDFAPDNJBNI-HXXXRZHPSA-N</t>
  </si>
  <si>
    <t>C23H16D5NO2</t>
  </si>
  <si>
    <t>4.72_513.1956m/z</t>
  </si>
  <si>
    <t>Benserazide</t>
  </si>
  <si>
    <t>HMDB0248960</t>
  </si>
  <si>
    <t>322-35-0</t>
  </si>
  <si>
    <t>NC(CO)C(O)=NNCC1=C(O)C(O)=C(O)C=C1</t>
  </si>
  <si>
    <t>BNQDCRGUHNALGH-UHFFFAOYSA-N</t>
  </si>
  <si>
    <t>C10H15N3O5</t>
  </si>
  <si>
    <t>13.98_295.2265m/z</t>
  </si>
  <si>
    <t>9-Oxoode</t>
  </si>
  <si>
    <t>HMDB0004669</t>
  </si>
  <si>
    <t>LMFA02000274</t>
  </si>
  <si>
    <t>C14766</t>
  </si>
  <si>
    <t>54232-59-6</t>
  </si>
  <si>
    <t>OC(=O)CCCCCCCC(=O)/C=C/C=C\CCCCC</t>
  </si>
  <si>
    <t>LUZSWWYKKLTDHU-ZJHFMPGASA-N</t>
  </si>
  <si>
    <t>8.88_641.3906m/z</t>
  </si>
  <si>
    <t>Asparagoside B</t>
  </si>
  <si>
    <t>HMDB0029315</t>
  </si>
  <si>
    <t>60237-69-6</t>
  </si>
  <si>
    <t>CC(CCC1(O)OC2CC3C4CCC5CC(O)CCC5(C)C4CCC3(C)C2C1C)COC1OC(CO)C(O)C(O)C1O</t>
  </si>
  <si>
    <t>FBJYDOQUXQMQSS-UHFFFAOYSA-N</t>
  </si>
  <si>
    <t>11.37_502.3735m/z</t>
  </si>
  <si>
    <t>(25s)-5alpha-Cholestan-3beta,6alpha,7beta,8beta,15alpha,16beta,26-Heptol</t>
  </si>
  <si>
    <t>LMST01010327</t>
  </si>
  <si>
    <t>C1[C@]2(C)[C@@]3([H])CC[C@]4(C)[C@@]([H])([C@]([H])(C)CCC[C@@H](CO)C)[C@@H](O)[C@H](O)[C@@]4([H])[C@]3(O)[C@@H](O)[C@H](O)[C@@]2([H])C[C@@H](O)C1</t>
  </si>
  <si>
    <t>VHACFTUFOBCYNP-YDVWPAHASA-N</t>
  </si>
  <si>
    <t>C27H48O7</t>
  </si>
  <si>
    <t>9.35_365.2322m/z</t>
  </si>
  <si>
    <t>Urocortisone</t>
  </si>
  <si>
    <t>LMST02030098</t>
  </si>
  <si>
    <t>C05470</t>
  </si>
  <si>
    <t>53-05-4</t>
  </si>
  <si>
    <t>[C@@]12([H])CC[C@](O)(C(=O)CO)[C@@]1(C)CC(=O)[C@]1([H])[C@@]3(C)CC[C@@H](O)C[C@@]3([H])CC[C@@]21[H]</t>
  </si>
  <si>
    <t>SYGWGHVTLUBCEM-ZIZPXRJBSA-N</t>
  </si>
  <si>
    <t>10.24_882.3103m/z</t>
  </si>
  <si>
    <t>B Lewis B</t>
  </si>
  <si>
    <t>HMDB0248833</t>
  </si>
  <si>
    <t>CC1OC(OC2C(CO)OC(O)C(NC(C)=O)C2OC2OC(CO)C(O)C(OC3OC(CO)C(O)C(O)C3O)C2OC2OC(C)C(O)C(O)C2O)C(O)C(O)C1O</t>
  </si>
  <si>
    <t>AAKHDGZVKNZPFG-UHFFFAOYSA-N</t>
  </si>
  <si>
    <t>C32H55NO24</t>
  </si>
  <si>
    <t>4.90_149.0596m/z</t>
  </si>
  <si>
    <t>2-Methoxy-4-Vinylphenol</t>
  </si>
  <si>
    <t>HMDB0013744</t>
  </si>
  <si>
    <t>C17883</t>
  </si>
  <si>
    <t>7786-61-0</t>
  </si>
  <si>
    <t>COC1=CC(C=C)=CC=C1O</t>
  </si>
  <si>
    <t>YOMSJEATGXXYPX-UHFFFAOYSA-N</t>
  </si>
  <si>
    <t>C9H10O2</t>
  </si>
  <si>
    <t>10.23_241.2272m/z</t>
  </si>
  <si>
    <t>(E,E)-2,4-Decadienoic Isobutylamide</t>
  </si>
  <si>
    <t>HMDB0030951</t>
  </si>
  <si>
    <t>LMFA08020162</t>
  </si>
  <si>
    <t>18836-52-7</t>
  </si>
  <si>
    <t>CCCCC/C=C\C=C\C(NCC(C)C)=O</t>
  </si>
  <si>
    <t>MAGQQZHFHJDIRE-QNRZBPGKSA-N</t>
  </si>
  <si>
    <t>C14H25NO</t>
  </si>
  <si>
    <t>14.93_671.4661m/z</t>
  </si>
  <si>
    <t>PA(14:0/20:3(5Z,8Z,11Z))</t>
  </si>
  <si>
    <t>HMDB0114784</t>
  </si>
  <si>
    <t>[H][C@@](COC(=O)CCCCCCCCCCCCC)(COP(O)(O)=O)OC(=O)CCC\C=C/C\C=C/C\C=C/CCCCCCCC</t>
  </si>
  <si>
    <t>NVBMOVTUZNFKEL-FFUHTYBESA-N</t>
  </si>
  <si>
    <t>C37H67O8P</t>
  </si>
  <si>
    <t>2.82_365.1091m/z</t>
  </si>
  <si>
    <t>Ilaprazole</t>
  </si>
  <si>
    <t>HMDB0253394</t>
  </si>
  <si>
    <t>COC1=C(C)C(C[S+]([O-])C2=NC3=CC(=CC=C3N2)N2C=CC=C2)=NC=C1</t>
  </si>
  <si>
    <t>HRRXCXABAPSOCP-UHFFFAOYSA-N</t>
  </si>
  <si>
    <t>C19H18N4O2S</t>
  </si>
  <si>
    <t>10.28_573.3783m/z</t>
  </si>
  <si>
    <t>Lasalocid A</t>
  </si>
  <si>
    <t>LMPK09000002</t>
  </si>
  <si>
    <t>25999-31-9</t>
  </si>
  <si>
    <t>C1(C(C(O)=O)=C(O)C(C)=CC=1)CC[C@@H](C)[C@H](O)[C@H](C)C(=O)[C@@H]([C@]1([H])[C@@H](C)C[C@@](CC)([C@@]2([H])CC[C@](O)(CC)[C@H](C)O2)O1)CC</t>
  </si>
  <si>
    <t>BBMULGJBVDDDNI-OWKLGTHSSA-N</t>
  </si>
  <si>
    <t>0.55_173.2012m/z</t>
  </si>
  <si>
    <t>Pempidine</t>
  </si>
  <si>
    <t>HMDB0256215</t>
  </si>
  <si>
    <t>79-55-0</t>
  </si>
  <si>
    <t>CN1C(C)(C)CCCC1(C)C</t>
  </si>
  <si>
    <t>XULIXFLCVXWHRF-UHFFFAOYSA-N</t>
  </si>
  <si>
    <t>C10H21N</t>
  </si>
  <si>
    <t>7.26_496.3054m/z</t>
  </si>
  <si>
    <t>1-(2-Methoxy-13-Methyl-Pentadecanyl)-Sn-Glycero-3-Phosphoserine</t>
  </si>
  <si>
    <t>LMGP03060009</t>
  </si>
  <si>
    <t>C(O)(=O)[C@@]([H])(N)COP(OC[C@]([H])(O)COCC(OC)CCCCCCCCCCC(C)CC)(=O)O</t>
  </si>
  <si>
    <t>WAUPVGWFMPGBFC-JRRMTSHWSA-N</t>
  </si>
  <si>
    <t>C23H48NO9P</t>
  </si>
  <si>
    <t>4.42_477.1974m/z</t>
  </si>
  <si>
    <t>Dihydrobiopterin</t>
  </si>
  <si>
    <t>HMDB0000038</t>
  </si>
  <si>
    <t>C02953</t>
  </si>
  <si>
    <t>ko00790</t>
  </si>
  <si>
    <t>Folate biosynthesis</t>
  </si>
  <si>
    <t>6779-87-9</t>
  </si>
  <si>
    <t>C[C@H](O)[C@H](O)C1=NC2=C(NC1)NC(N)=NC2=O</t>
  </si>
  <si>
    <t>FEMXZDUTFRTWPE-DZSWIPIPSA-N</t>
  </si>
  <si>
    <t>C9H13N5O3</t>
  </si>
  <si>
    <t>1.56_360.1263n</t>
  </si>
  <si>
    <t>Invert Sugar</t>
  </si>
  <si>
    <t>HMDB0303239</t>
  </si>
  <si>
    <t>OCC(O)C(O)C(O)C(O)C=O.OCC(O)C(O)C(O)C(=O)CO</t>
  </si>
  <si>
    <t>PJVXUVWGSCCGHT-UHFFFAOYSA-N</t>
  </si>
  <si>
    <t>C12H24O12</t>
  </si>
  <si>
    <t>4.72_755.2543m/z</t>
  </si>
  <si>
    <t>3,4-Dhpea-Ea</t>
  </si>
  <si>
    <t>HMDB0029304</t>
  </si>
  <si>
    <t>COC(=O)C1=CO[C@@H](O)\C(=C/C)[C@@H]1CC(=O)OCCC1=CC=C(O)C(O)=C1</t>
  </si>
  <si>
    <t>BIWKXNFEOZXNLX-SQOYHTLWSA-N</t>
  </si>
  <si>
    <t>C19H22O8</t>
  </si>
  <si>
    <t>4.42_425.1760m/z</t>
  </si>
  <si>
    <t>Cay10572</t>
  </si>
  <si>
    <t>845714-00-3</t>
  </si>
  <si>
    <t>C1CNC(=O)C2=C1NC(=C2)C3=CC=NC=C3</t>
  </si>
  <si>
    <t>DKXHSOUZPMHNIZ-UHFFFAOYSA-N</t>
  </si>
  <si>
    <t>C12H11N3O</t>
  </si>
  <si>
    <t>5.23_503.2751m/z</t>
  </si>
  <si>
    <t>26,26,26,27,27,27-Hexafluoro-25-Hydroxyvitamin D2</t>
  </si>
  <si>
    <t>LMST03010008</t>
  </si>
  <si>
    <t>C1CC(=C)/C(/C[C@H]1O)=C/C=C1/[C@]2([H])CC[C@@]([C@@](C)([H])/C=C/[C@H](C)C(O)(C(F)(F)F)C(F)(F)F)([H])[C@@]2(C)CCC/1</t>
  </si>
  <si>
    <t>WIHFNGKRMGPABR-SBFIBYMCSA-N</t>
  </si>
  <si>
    <t>C28H38F6O2</t>
  </si>
  <si>
    <t>4.35_603.1717m/z</t>
  </si>
  <si>
    <t>Indole-3-Acetyl-Glutamate</t>
  </si>
  <si>
    <t>HMDB0304379</t>
  </si>
  <si>
    <t>[O-]C(=O)CCC(NC(=O)CC1=CNC2=C1C=CC=C2)C([O-])=O</t>
  </si>
  <si>
    <t>YRKLGWOHYXIKSF-UHFFFAOYSA-L</t>
  </si>
  <si>
    <t>C15H14N2O5-2</t>
  </si>
  <si>
    <t>5.15_409.2075m/z</t>
  </si>
  <si>
    <t>Dhas#18</t>
  </si>
  <si>
    <t>LMFA13040001</t>
  </si>
  <si>
    <t>O([C@@H](C[C@H](O)CCCC[C@@H](O)CC(=O)O)C)[C@H]1[C@H](O)C[C@@H](O)[C@H](C)O1</t>
  </si>
  <si>
    <t>KOPWGKUEIMDQOP-ULRVOZHWSA-N</t>
  </si>
  <si>
    <t>C17H32O8</t>
  </si>
  <si>
    <t>4.92_417.1552m/z</t>
  </si>
  <si>
    <t>6-(4-Methyl-2-Oxopentyl)-4-Hydroxy-2-Pyrone</t>
  </si>
  <si>
    <t>HMDB0304223</t>
  </si>
  <si>
    <t>CC(C)CC(=O)CC1=CC([O-])=CC(=O)O1</t>
  </si>
  <si>
    <t>GACVANPZCDHOHT-UHFFFAOYSA-M</t>
  </si>
  <si>
    <t>C11H13O4-</t>
  </si>
  <si>
    <t>4.63_594.1978m/z</t>
  </si>
  <si>
    <t>Ubrogepant</t>
  </si>
  <si>
    <t>HMDB0304882</t>
  </si>
  <si>
    <t>C[C@@H]1[C@@H](C[C@H](NC(=O)C2=CN=C3C[C@]4(CC3=C2)C(=O)NC2=NC=CC=C42)C(=O)N1CC(F)(F)F)C1=CC=CC=C1</t>
  </si>
  <si>
    <t>DDOOFTLHJSMHLN-ZQHRPCGSSA-N</t>
  </si>
  <si>
    <t>C29H26F3N5O3</t>
  </si>
  <si>
    <t>3.67_271.0700m/z</t>
  </si>
  <si>
    <t>Pyridine N-Oxide Glucuronide</t>
  </si>
  <si>
    <t>HMDB0061177</t>
  </si>
  <si>
    <t>O[C@H]1[C@H](O)[C@@H](O[N+]2=CC=CC=C2)O[C@H]([C@@H]1O)C(O)=O</t>
  </si>
  <si>
    <t>KITHDEVLYXWSPB-ZBGLXGBJSA-O</t>
  </si>
  <si>
    <t>C11H14NO7+</t>
  </si>
  <si>
    <t>14.20_573.2081m/z</t>
  </si>
  <si>
    <t>Tetrahydrofolyl-[Glu](2)</t>
  </si>
  <si>
    <t>HMDB0006825</t>
  </si>
  <si>
    <t>C09332</t>
  </si>
  <si>
    <t>NC1=NC2=C(NC(CNC3=CC=C(C=C3)C(=O)NC(CCC(=O)NC(CCC(O)=O)C(O)=O)C(O)=O)CN2)C(=O)N1</t>
  </si>
  <si>
    <t>ZAOGJXDWOQXFBW-UHFFFAOYSA-N</t>
  </si>
  <si>
    <t>C24H30N8O9</t>
  </si>
  <si>
    <t>7.49_535.3276m/z</t>
  </si>
  <si>
    <t>9,11alpha-Epoxy-6alpha-Acetoxy-Cholest-7-En-3beta,5alpha,19-Triol</t>
  </si>
  <si>
    <t>LMST01010293</t>
  </si>
  <si>
    <t>C12=C[C@H](OC(C)=O)[C@@]3(O)C[C@@H](O)CC[C@]3(CO)[C@@]31O[C@@H]3C[C@]1(C)[C@@]([H])([C@@](C)([H])CCCC(C)C)CC[C@@]21[H]</t>
  </si>
  <si>
    <t>HDUDIWVTPSZRBL-HRNUATCOSA-N</t>
  </si>
  <si>
    <t>C29H46O6</t>
  </si>
  <si>
    <t>8.37_427.0958m/z</t>
  </si>
  <si>
    <t>Sulfaguanidine</t>
  </si>
  <si>
    <t>HMDB0258573</t>
  </si>
  <si>
    <t>57-67-0</t>
  </si>
  <si>
    <t>NC(=N)NS(=O)(=O)C1=CC=C(N)C=C1</t>
  </si>
  <si>
    <t>BRBKOPJOKNSWSG-UHFFFAOYSA-N</t>
  </si>
  <si>
    <t>C7H10N4O2S</t>
  </si>
  <si>
    <t>9.60_226.1225m/z</t>
  </si>
  <si>
    <t>3(2h)-Isoflavene</t>
  </si>
  <si>
    <t>HMDB0246115</t>
  </si>
  <si>
    <t>C1OC2=CC=CC=C2C=C1C1=CC=CC=C1</t>
  </si>
  <si>
    <t>CNNBJLXLTIKXGJ-UHFFFAOYSA-N</t>
  </si>
  <si>
    <t>Isoflav-3-enes</t>
  </si>
  <si>
    <t>C15H12O</t>
  </si>
  <si>
    <t>0.75_124.0392m/z</t>
  </si>
  <si>
    <t>Isonicotinic Acid</t>
  </si>
  <si>
    <t>HMDB0060665</t>
  </si>
  <si>
    <t>C07446</t>
  </si>
  <si>
    <t>55-22-1</t>
  </si>
  <si>
    <t>OC(=O)C1=CC=NC=C1</t>
  </si>
  <si>
    <t>TWBYWOBDOCUKOW-UHFFFAOYSA-N</t>
  </si>
  <si>
    <t>C6H5NO2</t>
  </si>
  <si>
    <t>4.92_921.2409m/z</t>
  </si>
  <si>
    <t>Kbt 1585 Hydrochloride</t>
  </si>
  <si>
    <t>HMDB0247783</t>
  </si>
  <si>
    <t>CC1=C(COC(=O)C2N3C(SC2(C)C)C(NC(=O)C(N)C2=CC=CC=C2)C3=O)OC(=O)O1</t>
  </si>
  <si>
    <t>ZKUKMWMSYCIYRD-UHFFFAOYSA-N</t>
  </si>
  <si>
    <t>C21H23N3O7S</t>
  </si>
  <si>
    <t>11.29_529.3887m/z</t>
  </si>
  <si>
    <t>Tsugaric Acid B</t>
  </si>
  <si>
    <t>HMDB0031962</t>
  </si>
  <si>
    <t>201045-20-7</t>
  </si>
  <si>
    <t>CC(CCC(C1C(O)CC2(C)C3=C(CCC12C)C1(C)CCC(OC(C)=O)C(C)(C)C1CC3)C(O)=O)C(C)=C</t>
  </si>
  <si>
    <t>ZCMJUAGNOJTZBJ-UHFFFAOYSA-N</t>
  </si>
  <si>
    <t>C33H52O5</t>
  </si>
  <si>
    <t>12.95_265.1409m/z</t>
  </si>
  <si>
    <t>(+-)-Carbovir</t>
  </si>
  <si>
    <t>HMDB0242235</t>
  </si>
  <si>
    <t>NC1=NC2=C(N=CN2C2CC(CO)C=C2)C(=O)N1</t>
  </si>
  <si>
    <t>XSSYCIGJYCVRRK-UHFFFAOYSA-N</t>
  </si>
  <si>
    <t>Nucleoside and nucleotide analogues</t>
  </si>
  <si>
    <t>C11H13N5O2</t>
  </si>
  <si>
    <t>4.51_307.1285m/z</t>
  </si>
  <si>
    <t>Siguazodan</t>
  </si>
  <si>
    <t>HMDB0258290</t>
  </si>
  <si>
    <t>CN=C(NC#N)NC1=CC=C(C=C1)C1=NN=C(O)CC1C</t>
  </si>
  <si>
    <t>NUHPODZZKHQQET-UHFFFAOYSA-N</t>
  </si>
  <si>
    <t>Pyridazines and derivatives</t>
  </si>
  <si>
    <t>C14H16N6O</t>
  </si>
  <si>
    <t>5.08_533.1850m/z</t>
  </si>
  <si>
    <t>Sericetin Diacetate</t>
  </si>
  <si>
    <t>CC(=CCC1=C2C(=C(C3=C1OC(C=C3)(C)C)OC(=O)C)C(=O)C(=C(O2)C4=CC=CC=C4)OC(=O)C)C</t>
  </si>
  <si>
    <t>IIKLIRVROMFZGV-UHFFFAOYSA-N</t>
  </si>
  <si>
    <t>C29H28O7</t>
  </si>
  <si>
    <t>9.80_284.2947m/z</t>
  </si>
  <si>
    <t>2-Tetradecylcyclobutanone</t>
  </si>
  <si>
    <t>HMDB0037517</t>
  </si>
  <si>
    <t>35493-47-1</t>
  </si>
  <si>
    <t>CCCCCCCCCCCCCCC1CCC1=O</t>
  </si>
  <si>
    <t>HTZLOIBLMXPDGR-UHFFFAOYSA-N</t>
  </si>
  <si>
    <t>4.18_557.2933m/z</t>
  </si>
  <si>
    <t>Dasc#1</t>
  </si>
  <si>
    <t>LMFA13040150</t>
  </si>
  <si>
    <t>O([C@@H](CCCCC(=O)O[C@H]1[C@H](C)O[C@@H](O[C@@H](CCCCC(=O)O)C)[C@H](O)C1)C)[C@H]1[C@H](O)C[C@@H](O)[C@H](C)O1</t>
  </si>
  <si>
    <t>ROTVIEONMDYDGI-IHNDJESHSA-N</t>
  </si>
  <si>
    <t>C26H46O11</t>
  </si>
  <si>
    <t>4.69_425.2394m/z</t>
  </si>
  <si>
    <t>Linusic Acid</t>
  </si>
  <si>
    <t>LMFA01050535</t>
  </si>
  <si>
    <t>C(CCCCCCCC(O)C(O)CC(O)C(O)CC(O)C(O)CC)(=O)O</t>
  </si>
  <si>
    <t>HCPSZQRUACPWRI-UHFFFAOYSA-N</t>
  </si>
  <si>
    <t>C18H36O8</t>
  </si>
  <si>
    <t>1.58_297.0979m/z</t>
  </si>
  <si>
    <t>Chakanoside I</t>
  </si>
  <si>
    <t>HMDB0302044</t>
  </si>
  <si>
    <t>OC[C@H]1O[C@@H](OCC(=O)C2=CC=CC=C2)[C@H](O)[C@@H](O)[C@@H]1O</t>
  </si>
  <si>
    <t>CJQCIXJPXYAJCU-RKQHYHRCSA-N</t>
  </si>
  <si>
    <t>C14H18O7</t>
  </si>
  <si>
    <t>3.99_390.1486m/z</t>
  </si>
  <si>
    <t>Trifluperidol</t>
  </si>
  <si>
    <t>HMDB0259210</t>
  </si>
  <si>
    <t>OC1(CCN(CCCC(=O)C2=CC=C(F)C=C2)CC1)C1=CC(=CC=C1)C(F)(F)F</t>
  </si>
  <si>
    <t>GPMXUUPHFNMNDH-UHFFFAOYSA-N</t>
  </si>
  <si>
    <t>C22H23F4NO2</t>
  </si>
  <si>
    <t>4.78_396.1421n</t>
  </si>
  <si>
    <t>Methyl (3x,4e,10r)-3,10-Dihydroxy-4,11-Dodecadiene-6,8-Diynoate 10-Glucoside</t>
  </si>
  <si>
    <t>HMDB0040897</t>
  </si>
  <si>
    <t>142449-85-2</t>
  </si>
  <si>
    <t>COC(=O)CC(O)\C=C\C#CC#CC(OC1OC(CO)C(O)C(O)C1O)C=C</t>
  </si>
  <si>
    <t>CDSGJPSZVQMWJQ-SOFGYWHQSA-N</t>
  </si>
  <si>
    <t>C19H24O9</t>
  </si>
  <si>
    <t>3.63_400.1247m/z</t>
  </si>
  <si>
    <t>Lasmiditan</t>
  </si>
  <si>
    <t>HMDB0304879</t>
  </si>
  <si>
    <t>CN1CCC(CC1)C(=O)C1=CC=CC(NC(=O)C2=C(F)C=C(F)C=C2F)=N1</t>
  </si>
  <si>
    <t>XEDHVZKDSYZQBF-UHFFFAOYSA-N</t>
  </si>
  <si>
    <t>C19H18F3N3O2</t>
  </si>
  <si>
    <t>1.06_384.1211n</t>
  </si>
  <si>
    <t>(+)-Zeylenol</t>
  </si>
  <si>
    <t>HMDB0029541</t>
  </si>
  <si>
    <t>113532-12-0</t>
  </si>
  <si>
    <t>OC1C=CC(OC(=O)C2=CC=CC=C2)C(O)C1(O)COC(=O)C1=CC=CC=C1</t>
  </si>
  <si>
    <t>AWCUZBLYCWUTRL-UHFFFAOYSA-N</t>
  </si>
  <si>
    <t>5.70_613.3456m/z</t>
  </si>
  <si>
    <t>Pov-Ps</t>
  </si>
  <si>
    <t>LMGP20040015</t>
  </si>
  <si>
    <t>C(O)(=O)[C@@]([H])(N)COP(OC[C@]([H])(OC(CCCC(=O)[H])=O)COC(CCCCCCCCCCCCCCC)=O)(=O)O</t>
  </si>
  <si>
    <t>WKTXKVFIBCEKJI-RPWUZVMVSA-N</t>
  </si>
  <si>
    <t>C27H50NO11P</t>
  </si>
  <si>
    <t>10.57_363.2151m/z</t>
  </si>
  <si>
    <t>Pegvaliase</t>
  </si>
  <si>
    <t>HMDB0256204</t>
  </si>
  <si>
    <t>COCCOCCCCCC(=O)NCCCCC(N)C(O)=O</t>
  </si>
  <si>
    <t>NPOCDVAOUKODSQ-UHFFFAOYSA-N</t>
  </si>
  <si>
    <t>C15H30N2O5</t>
  </si>
  <si>
    <t>3.84_591.1919m/z</t>
  </si>
  <si>
    <t>Bentazepam</t>
  </si>
  <si>
    <t>HMDB0248964</t>
  </si>
  <si>
    <t>O=C1CN=C(C2=C(N1)SC1=C2CCCC1)C1=CC=CC=C1</t>
  </si>
  <si>
    <t>AIZFEOPQVZBNGH-UHFFFAOYSA-N</t>
  </si>
  <si>
    <t>Thienodiazepines</t>
  </si>
  <si>
    <t>C17H16N2OS</t>
  </si>
  <si>
    <t>8.91_301.1408m/z</t>
  </si>
  <si>
    <t>Alpha-Cehc</t>
  </si>
  <si>
    <t>HMDB0001518</t>
  </si>
  <si>
    <t>4072-32-6</t>
  </si>
  <si>
    <t>CC1=C(O)C(C)=C2CCC(C)(CCC(O)=O)OC2=C1C</t>
  </si>
  <si>
    <t>AXODOWFEFKOVSH-UHFFFAOYSA-N</t>
  </si>
  <si>
    <t>4.91_892.4292n</t>
  </si>
  <si>
    <t>Valorphin</t>
  </si>
  <si>
    <t>HMDB0059789</t>
  </si>
  <si>
    <t>[H][C@](C)(O)[C@]([H])(N=C(O)[C@]([H])(CC1=CNC2=CC=CC=C12)N=C(O)[C@]1([H])CCCN1C(=O)[C@]([H])(CC1=CC=C(O)C=C1)N=C(O)[C@@]([H])(N=C(O)[C@@]([H])(N)C(C)C)C(C)C)C(O)=N[C@@]([H])(CCC(O)=O)C(O)=O</t>
  </si>
  <si>
    <t>CNYWVXYFCKFXLL-NMUVPRMFSA-N</t>
  </si>
  <si>
    <t>C44H60N8O12</t>
  </si>
  <si>
    <t>6.50_625.2497m/z</t>
  </si>
  <si>
    <t>PC(O-1:0/2:0)</t>
  </si>
  <si>
    <t>LMGP01020005</t>
  </si>
  <si>
    <t>[C@](COP(=O)([O-])OCC[N+](C)(C)C)([H])(OC(C)=O)COC</t>
  </si>
  <si>
    <t>PHIZERZKVIUDPM-LLVKDONJSA-N</t>
  </si>
  <si>
    <t>C11H24NO7P</t>
  </si>
  <si>
    <t>6.12_881.4021m/z</t>
  </si>
  <si>
    <t>Cyclosquamosin D</t>
  </si>
  <si>
    <t>HMDB0303369</t>
  </si>
  <si>
    <t>CC(C)CC1NC(=O)C(NC(=O)CNC(=O)CNC(=O)C2CCCN2C(=O)C(CC2=CC=C(O)C=C2)NC(=O)C(CC2=CC=C(O)C=C2)NC(=O)C(CO)NC1=O)C(C)C</t>
  </si>
  <si>
    <t>ZHNAXZUOHRJIJT-UHFFFAOYSA-N</t>
  </si>
  <si>
    <t>C41H56N8O11</t>
  </si>
  <si>
    <t>1.52_237.0733m/z</t>
  </si>
  <si>
    <t>Curvulalide</t>
  </si>
  <si>
    <t>LMFA07040141</t>
  </si>
  <si>
    <t>C1(=O)C=C[C@H](O)C=C[C@H](O)[C@@H](O)[C@@H](C)O1</t>
  </si>
  <si>
    <t>XVHODQZCEHEBGN-UPVLLSTMSA-N</t>
  </si>
  <si>
    <t>Oxocins</t>
  </si>
  <si>
    <t>C10H14O5</t>
  </si>
  <si>
    <t>0.77_216.1106n</t>
  </si>
  <si>
    <t>Prolyl-Threonine</t>
  </si>
  <si>
    <t>HMDB0029027</t>
  </si>
  <si>
    <t>CC(O)C(NC(=O)C1CCCN1)C(O)=O</t>
  </si>
  <si>
    <t>GVUVRRPYYDHHGK-UHFFFAOYSA-N</t>
  </si>
  <si>
    <t>C9H16N2O4</t>
  </si>
  <si>
    <t>10.92_925.5015m/z</t>
  </si>
  <si>
    <t>PGP(22:6(4Z,7Z,10Z,13Z,16Z,19Z)/20:2(11Z,14Z))</t>
  </si>
  <si>
    <t>HMDB0116476</t>
  </si>
  <si>
    <t>[H][C@](O)(COP(O)(O)=O)COP(O)(=O)OC[C@@]([H])(COC(=O)CC\C=C/C\C=C/C\C=C/C\C=C/C\C=C/C\C=C/CC)OC(=O)CCCCCCCCC\C=C/C\C=C/CCCCC</t>
  </si>
  <si>
    <t>ABHMVWXFQJYJQT-VTAPOZJKSA-N</t>
  </si>
  <si>
    <t>C48H80O13P2</t>
  </si>
  <si>
    <t>7.64_165.0697m/z</t>
  </si>
  <si>
    <t>Ponticaepoxide</t>
  </si>
  <si>
    <t>HMDB0303145</t>
  </si>
  <si>
    <t>CC#CC#CC#C\C=C/C1OC1C=C</t>
  </si>
  <si>
    <t>ZJMXHGIVVFPAJY-KHPPLWFESA-N</t>
  </si>
  <si>
    <t>C13H10O</t>
  </si>
  <si>
    <t>12.13_256.1478m/z</t>
  </si>
  <si>
    <t>Desmethylcyproheptadine</t>
  </si>
  <si>
    <t>HMDB0251056</t>
  </si>
  <si>
    <t>C1CC(CCN1)=C1C2=CC=CC=C2C=CC2=CC=CC=C12</t>
  </si>
  <si>
    <t>INPJSDMJYRCDGA-UHFFFAOYSA-N</t>
  </si>
  <si>
    <t>C20H19N</t>
  </si>
  <si>
    <t>5.56_337.1639m/z</t>
  </si>
  <si>
    <t>Resiquimod</t>
  </si>
  <si>
    <t>HMDB0257161</t>
  </si>
  <si>
    <t>CCOCC1=NC2=C(N1CC(C)(C)O)C1=CC=CC=C1NC2=N</t>
  </si>
  <si>
    <t>BXNMTOQRYBFHNZ-UHFFFAOYSA-N</t>
  </si>
  <si>
    <t>Imidazoquinolines</t>
  </si>
  <si>
    <t>C17H22N4O2</t>
  </si>
  <si>
    <t>6.73_595.1457m/z</t>
  </si>
  <si>
    <t>Formononetin 7-(2-P-Hydroxybenzoylglucoside)</t>
  </si>
  <si>
    <t>HMDB0038773</t>
  </si>
  <si>
    <t>122130-27-2</t>
  </si>
  <si>
    <t>COC1=CC=C(C=C1)C1=COC2=C(C=CC(OC3OC(CO)C(O)C(O)C3OC(=O)C3=CC=C(O)C=C3)=C2)C1=O</t>
  </si>
  <si>
    <t>PDHVVKASGTXJHE-UHFFFAOYSA-N</t>
  </si>
  <si>
    <t>C29H26O11</t>
  </si>
  <si>
    <t>3.64_456.1925m/z</t>
  </si>
  <si>
    <t>Monatepil</t>
  </si>
  <si>
    <t>HMDB0254841</t>
  </si>
  <si>
    <t>OC(CCCN1CCN(CC1)C1=CC=C(F)C=C1)=NC1C2=CC=CC=C2CSC2=CC=CC=C12</t>
  </si>
  <si>
    <t>WFNRNNUZFPVBSM-UHFFFAOYSA-N</t>
  </si>
  <si>
    <t>Benzothiepins</t>
  </si>
  <si>
    <t>Dibenzothiepins</t>
  </si>
  <si>
    <t>C28H30FN3OS</t>
  </si>
  <si>
    <t>0.70_307.0424m/z</t>
  </si>
  <si>
    <t>3-Deoxy-D-Glycero-D-Galacto-2-Nonulosonic Acid</t>
  </si>
  <si>
    <t>HMDB0000425</t>
  </si>
  <si>
    <t>22594-61-2</t>
  </si>
  <si>
    <t>OC[C@H](O)[C@@H](O)[C@H](O)[C@H](O)[C@@H](O)CC(=O)C(O)=O</t>
  </si>
  <si>
    <t>FQHUAUMYHAJTDH-IMSDGWMTSA-N</t>
  </si>
  <si>
    <t>C9H16O9</t>
  </si>
  <si>
    <t>0.70_218.1500m/z</t>
  </si>
  <si>
    <t>Gamma-Glutamyl-L-Putrescine</t>
  </si>
  <si>
    <t>HMDB0012230</t>
  </si>
  <si>
    <t>C15699</t>
  </si>
  <si>
    <t>NCCCCNC(=O)CC[C@H](N)C(O)=O</t>
  </si>
  <si>
    <t>WKGTVHGVLRCTCF-ZETCQYMHSA-N</t>
  </si>
  <si>
    <t>C9H19N3O3</t>
  </si>
  <si>
    <t>6.22_511.2903m/z</t>
  </si>
  <si>
    <t>L-Oleandrosyl-Oleandolide</t>
  </si>
  <si>
    <t>LMPK04000033</t>
  </si>
  <si>
    <t>C11992</t>
  </si>
  <si>
    <t>[C@@]12(C(=O)[C@H](C)[C@@H](O)[C@@H](C)[C@@H](C)OC(=O)[C@H](C)[C@@H](O[C@@H]3O[C@H]([C@H](O)[C@@H](OC)C3)C)[C@H](C)[C@@H](O)[C@@H](C)C1)OC2</t>
  </si>
  <si>
    <t>WBLQSDZLJBWRPL-WQMXQYMNSA-N</t>
  </si>
  <si>
    <t>5.67_679.3435m/z</t>
  </si>
  <si>
    <t>PA(10:0/5-iso PGF2VI)</t>
  </si>
  <si>
    <t>HMDB0262687</t>
  </si>
  <si>
    <t>CCCCCCCCCC(=O)OC[C@H](COP(O)(O)=O)OC(=O)C\C=C/C[C@@H]1[C@@H](O)C[C@@H](O)[C@@H]1\C=C\[C@H](O)CCCCC</t>
  </si>
  <si>
    <t>GFXKERFPTKKQKB-ALXJYBTHSA-N</t>
  </si>
  <si>
    <t>11.54_609.4507m/z</t>
  </si>
  <si>
    <t>DG(18:4(6Z,9Z,12Z,15Z)/18:4(6Z,9Z,12Z,15Z)/0:0)</t>
  </si>
  <si>
    <t>HMDB0007338</t>
  </si>
  <si>
    <t>LMGL02010329</t>
  </si>
  <si>
    <t>OC[C@]([H])(OC(CCCC/C=C\C/C=C\C/C=C\C/C=C\CC)=O)COC(CCCC/C=C\C/C=C\C/C=C\C/C=C\CC)=O</t>
  </si>
  <si>
    <t>ZXBDMMYPYQQALX-BJXCJIDGSA-N</t>
  </si>
  <si>
    <t>C39H60O5</t>
  </si>
  <si>
    <t>3.86_447.1503m/z</t>
  </si>
  <si>
    <t>Stavudine</t>
  </si>
  <si>
    <t>HMDB0014787</t>
  </si>
  <si>
    <t>C07312</t>
  </si>
  <si>
    <t>3056-17-5</t>
  </si>
  <si>
    <t>CC1=CN([C@@H]2O[C@H](CO)C=C2)C(=O)NC1=O</t>
  </si>
  <si>
    <t>XNKLLVCARDGLGL-JGVFFNPUSA-N</t>
  </si>
  <si>
    <t>C10H12N2O4</t>
  </si>
  <si>
    <t>9.43_1093.4967m/z</t>
  </si>
  <si>
    <t>Soyasaponin Aa</t>
  </si>
  <si>
    <t>HMDB0040505</t>
  </si>
  <si>
    <t>157263-01-9</t>
  </si>
  <si>
    <t>CC1=C(O)C(=O)CC(OC2CC(C)(C)CC3C4=CCC5C6(C)CCC(OC7OC(C(O)C(O)C7OC7OCC(O)C(O)C7OC7OC(CO)C(O)C(O)C7O)C(O)=O)C(C)(CO)C6CCC5(C)C4(C)CCC23C)O1</t>
  </si>
  <si>
    <t>AKVKZWDTBCHBPM-UHFFFAOYSA-N</t>
  </si>
  <si>
    <t>C53H82O21</t>
  </si>
  <si>
    <t>2.16_377.1065m/z</t>
  </si>
  <si>
    <t>Mefloquine</t>
  </si>
  <si>
    <t>HMDB0014502</t>
  </si>
  <si>
    <t>C07633</t>
  </si>
  <si>
    <t>53230-10-7</t>
  </si>
  <si>
    <t>OC(C1CCCCN1)C1=CC(=NC2=C1C=CC=C2C(F)(F)F)C(F)(F)F</t>
  </si>
  <si>
    <t>XEEQGYMUWCZPDN-UHFFFAOYSA-N</t>
  </si>
  <si>
    <t>4-quinolinemethanols</t>
  </si>
  <si>
    <t>C17H16F6N2O</t>
  </si>
  <si>
    <t>7.14_579.3146m/z</t>
  </si>
  <si>
    <t>Procaterol</t>
  </si>
  <si>
    <t>HMDB0015453</t>
  </si>
  <si>
    <t>72332-33-3</t>
  </si>
  <si>
    <t>CC[C@H](NC(C)C)[C@H](O)C1=C2C=CC(=O)NC2=C(O)C=C1</t>
  </si>
  <si>
    <t>FKNXQNWAXFXVNW-BLLLJJGKSA-N</t>
  </si>
  <si>
    <t>C16H22N2O3</t>
  </si>
  <si>
    <t>4.28_225.1101m/z</t>
  </si>
  <si>
    <t>Sebacic Acid</t>
  </si>
  <si>
    <t>HMDB0000792</t>
  </si>
  <si>
    <t>LMFA01170006</t>
  </si>
  <si>
    <t>C08277</t>
  </si>
  <si>
    <t>111-20-6</t>
  </si>
  <si>
    <t>C(CCCCCCCCC(=O)O)(=O)O</t>
  </si>
  <si>
    <t>CXMXRPHRNRROMY-UHFFFAOYSA-N</t>
  </si>
  <si>
    <t>2.96_481.1891m/z</t>
  </si>
  <si>
    <t>Rhodamine 6g</t>
  </si>
  <si>
    <t>HMDB0257199</t>
  </si>
  <si>
    <t>CCNC1=C(C)C=C2C(OC3=CC(=NCC)C(C)=CC3=C2C2=CC=CC=C2C(=O)OCC)=C1</t>
  </si>
  <si>
    <t>IWWWBRIIGAXLCJ-UHFFFAOYSA-N</t>
  </si>
  <si>
    <t>C28H30N2O3</t>
  </si>
  <si>
    <t>4.06_525.1610m/z</t>
  </si>
  <si>
    <t>Demethyloleuropein</t>
  </si>
  <si>
    <t>HMDB0036121</t>
  </si>
  <si>
    <t>52077-55-1</t>
  </si>
  <si>
    <t>C\C=C1/C(OC2OC(CO)C(O)C(O)C2O)OC=C(C1CC(=O)OCCC1=CC(O)=C(O)C=C1)C(O)=O</t>
  </si>
  <si>
    <t>HKVGJQVJNQRJPO-OIXVIMQBSA-N</t>
  </si>
  <si>
    <t>C24H30O13</t>
  </si>
  <si>
    <t>11.99_523.3991m/z</t>
  </si>
  <si>
    <t>DG(10:0/18:2(10E,12Z)+=O(9)/0:0)</t>
  </si>
  <si>
    <t>HMDB0294505</t>
  </si>
  <si>
    <t>CCCCCCCCCC(=O)OC[C@H](CO)OC(=O)CCCCCCCC(=O)\C=C\C=C/CCCCC</t>
  </si>
  <si>
    <t>WMGSZWRDTVOZMB-JIUDAZAXSA-N</t>
  </si>
  <si>
    <t>6.01_391.1972m/z</t>
  </si>
  <si>
    <t>(3s,4s)-3-Hydroxytetradecane-1,3,4-Tricarboxylic Acid</t>
  </si>
  <si>
    <t>LMFA01170075</t>
  </si>
  <si>
    <t>C04529</t>
  </si>
  <si>
    <t>C(C(O)=O)C[C@@](O)(C(O)=O)[C@@H](C(O)=O)CCCCCCCCCC</t>
  </si>
  <si>
    <t>QFOFNCNFUGQWTO-DYVFJYSZSA-N</t>
  </si>
  <si>
    <t>C17H30O7</t>
  </si>
  <si>
    <t>5.64_623.2700m/z</t>
  </si>
  <si>
    <t>Lappaconitine</t>
  </si>
  <si>
    <t>C08694</t>
  </si>
  <si>
    <t>32854-75-4</t>
  </si>
  <si>
    <t>CCN1CC2(CCC(C34C2CC(C31)C5(CC(C6CC4C5(C6OC)O)OC)O)OC)OC(=O)C7=CC=CC=C7NC(=O)C</t>
  </si>
  <si>
    <t>NWBWCXBPKTTZNQ-MUVXNFNYSA-N</t>
  </si>
  <si>
    <t>C32H44N2O8</t>
  </si>
  <si>
    <t>11.92_438.3787m/z</t>
  </si>
  <si>
    <t>Cerotic Acid(D3)</t>
  </si>
  <si>
    <t>LMFA01010052</t>
  </si>
  <si>
    <t>C(CCCCCCCCCCCCC(=O)O)CCCCCCCCCCCC([2H])([2H])[2H]</t>
  </si>
  <si>
    <t>XMHIUKTWLZUKEX-FIBGUPNXSA-N</t>
  </si>
  <si>
    <t>C26H49D3O2</t>
  </si>
  <si>
    <t>4.11_406.1108m/z</t>
  </si>
  <si>
    <t>N-Acetyl-6-O-L-Fucosyl-D-Glucosamine</t>
  </si>
  <si>
    <t>HMDB0002220</t>
  </si>
  <si>
    <t>109582-58-3</t>
  </si>
  <si>
    <t>C[C@@H]1OC(OCC(O)[C@@H](O)[C@H](O)[C@@H](NC(C)=O)C=O)[C@@H](O)[C@H](O)[C@@H]1O</t>
  </si>
  <si>
    <t>YBWAUUBLHOFOPK-SOHGFDPZSA-N</t>
  </si>
  <si>
    <t>C14H25NO10</t>
  </si>
  <si>
    <t>9.69_369.1691m/z</t>
  </si>
  <si>
    <t>Louisfieserone A</t>
  </si>
  <si>
    <t>LMPK12140697</t>
  </si>
  <si>
    <t>C1(=O)[C@@]2(C(C)(C)C3[C@@](O)(C4C(=O)C[C@@H](C5C=CC=CC=5)OC=42)[C@]1(OC3)C)C</t>
  </si>
  <si>
    <t>NZANVYUIDHOMEY-HZOCRMPBSA-N</t>
  </si>
  <si>
    <t>Oxepanes</t>
  </si>
  <si>
    <t>C22H24O5</t>
  </si>
  <si>
    <t>4.40_273.0766m/z</t>
  </si>
  <si>
    <t>Trioxsalen</t>
  </si>
  <si>
    <t>HMDB0015575</t>
  </si>
  <si>
    <t>C09314</t>
  </si>
  <si>
    <t>3902-71-4</t>
  </si>
  <si>
    <t>CC1=CC2=CC3=C(OC(=O)C=C3C)C(C)=C2O1</t>
  </si>
  <si>
    <t>FMHHVULEAZTJMA-UHFFFAOYSA-N</t>
  </si>
  <si>
    <t>4.08_395.2066m/z</t>
  </si>
  <si>
    <t>15-Keto-Pge2</t>
  </si>
  <si>
    <t>HMDB0003175</t>
  </si>
  <si>
    <t>LMFA03010030</t>
  </si>
  <si>
    <t>C04707</t>
  </si>
  <si>
    <t>26441-05-4</t>
  </si>
  <si>
    <t>[C@H]1(/C=C/C(=O)CCCCC)[C@H](O)CC(=O)[C@@H]1C/C=C\CCCC(=O)O</t>
  </si>
  <si>
    <t>YRTJDWROBKPZNV-KMXMBPPJSA-N</t>
  </si>
  <si>
    <t>C20H30O5</t>
  </si>
  <si>
    <t>11.31_531.2717m/z</t>
  </si>
  <si>
    <t>PG(20:5(5Z,8Z,11Z,14Z,17Z)/0:0)</t>
  </si>
  <si>
    <t>LMGP04050030</t>
  </si>
  <si>
    <t>[H][C@](O)(CO)COP(OC[C@]([H])(O)COC(CCC/C=C\C/C=C\C/C=C\C/C=C\C/C=C\CC)=O)(=O)O</t>
  </si>
  <si>
    <t>UBJZUYNJJSKNCQ-MTVYBJJPSA-N</t>
  </si>
  <si>
    <t>C26H43O9P</t>
  </si>
  <si>
    <t>8.86_172.1695m/z</t>
  </si>
  <si>
    <t>Cis-P-Menth-2-En-1-Ol</t>
  </si>
  <si>
    <t>HMDB0302611</t>
  </si>
  <si>
    <t>CC(C)[C@H]1CC[C@](C)(O)C=C1</t>
  </si>
  <si>
    <t>IZXYHAXVIZHGJV-NXEZZACHSA-N</t>
  </si>
  <si>
    <t>C10H18O</t>
  </si>
  <si>
    <t>10.09_407.2408m/z</t>
  </si>
  <si>
    <t>Alfuzosin</t>
  </si>
  <si>
    <t>HMDB0014490</t>
  </si>
  <si>
    <t>81403-80-7</t>
  </si>
  <si>
    <t>COC1=C(OC)C=C2C(N)=NC(=NC2=C1)N(C)CCCNC(=O)C1CCCO1</t>
  </si>
  <si>
    <t>WNMJYKCGWZFFKR-UHFFFAOYSA-N</t>
  </si>
  <si>
    <t>C19H27N5O4</t>
  </si>
  <si>
    <t>9.16_389.1954m/z</t>
  </si>
  <si>
    <t>Adamantylamide-Alanyl-Isoglutamine</t>
  </si>
  <si>
    <t>HMDB0247998</t>
  </si>
  <si>
    <t>CC(N)C(=O)NC(CCC(=O)NC12CC3CC(CC(C3)C1)C2)C(N)=O</t>
  </si>
  <si>
    <t>MXWDHKDTQAPDQD-UHFFFAOYSA-N</t>
  </si>
  <si>
    <t>C18H30N4O3</t>
  </si>
  <si>
    <t>3.64_445.1930m/z</t>
  </si>
  <si>
    <t>2-Acetylaminofluorene</t>
  </si>
  <si>
    <t>HMDB0244967</t>
  </si>
  <si>
    <t>C02778</t>
  </si>
  <si>
    <t>CC(O)=NC1=CC=C2C(CC3=CC=CC=C23)=C1</t>
  </si>
  <si>
    <t>CZIHNRWJTSTCEX-UHFFFAOYSA-N</t>
  </si>
  <si>
    <t>Fluorenes</t>
  </si>
  <si>
    <t>C15H13NO</t>
  </si>
  <si>
    <t>2.09_571.0265m/z</t>
  </si>
  <si>
    <t>N6-(Delta2-Isopentenyl)-Adenosine 5'-Triphosphate</t>
  </si>
  <si>
    <t>HMDB0304434</t>
  </si>
  <si>
    <t>[H][C@]1(COP([O-])(=O)OP(O)(=O)OP([O-])([O-])=O)O[C@@]([H])(N2C=NC3=C(NCC=C(C)C)N=CN=C23)[C@]([H])(O)[C@]1([H])O</t>
  </si>
  <si>
    <t>OPLVZTYVQUWKHB-SDBHATRESA-K</t>
  </si>
  <si>
    <t>C15H21N5O13P3-3</t>
  </si>
  <si>
    <t>4.43_635.1575m/z</t>
  </si>
  <si>
    <t>Carthamidin 6,7-Diglucoside</t>
  </si>
  <si>
    <t>HMDB0040125</t>
  </si>
  <si>
    <t>OCC1OC(OC2=C(OC3OC(CO)C(O)C(O)C3O)C(O)=C3C(=O)CC(OC3=C2)C2=CC=C(O)C=C2)C(O)C(O)C1O</t>
  </si>
  <si>
    <t>YIVXUBJSZSRYMU-UHFFFAOYSA-N</t>
  </si>
  <si>
    <t>C27H32O16</t>
  </si>
  <si>
    <t>2.87_420.1444m/z</t>
  </si>
  <si>
    <t>Linifanib</t>
  </si>
  <si>
    <t>HMDB0254099</t>
  </si>
  <si>
    <t>796967-16-3</t>
  </si>
  <si>
    <t>CC1=CC(NC(=O)NC2=CC=C(C=C2)C2=C3C(N)=NNC3=CC=C2)=C(F)C=C1</t>
  </si>
  <si>
    <t>MPVGZUGXCQEXTM-UHFFFAOYSA-N</t>
  </si>
  <si>
    <t>C21H18FN5O</t>
  </si>
  <si>
    <t>0.78_215.0814n</t>
  </si>
  <si>
    <t>Kinetin</t>
  </si>
  <si>
    <t>HMDB0012245</t>
  </si>
  <si>
    <t>C08272</t>
  </si>
  <si>
    <t>525-79-1</t>
  </si>
  <si>
    <t>C(NC1=NC=NC2=C1NC=N2)C1=CC=CO1</t>
  </si>
  <si>
    <t>QANMHLXAZMSUEX-UHFFFAOYSA-N</t>
  </si>
  <si>
    <t>C10H9N5O</t>
  </si>
  <si>
    <t>5.19_341.1387m/z</t>
  </si>
  <si>
    <t>Quassinol</t>
  </si>
  <si>
    <t>HMDB0037235</t>
  </si>
  <si>
    <t>21018-87-1</t>
  </si>
  <si>
    <t>CC1CC(=O)C2(O)OC3C4C2(C)C1CC1OC(=O)C=C(C(C)=C3O)C41C</t>
  </si>
  <si>
    <t>WKNPIBKVHHVICI-UHFFFAOYSA-N</t>
  </si>
  <si>
    <t>3.66_401.1417m/z</t>
  </si>
  <si>
    <t>Succinyladenosine</t>
  </si>
  <si>
    <t>HMDB0000912</t>
  </si>
  <si>
    <t>4542-23-8</t>
  </si>
  <si>
    <t>OC[C@H]1O[C@H]([C@H](O)[C@@H]1O)N1C=NC2=C(N[C@@H](CC(O)=O)C(O)=O)N=CN=C12</t>
  </si>
  <si>
    <t>VKGZCEJTCKHMRL-VWJPMABRSA-N</t>
  </si>
  <si>
    <t>C14H17N5O8</t>
  </si>
  <si>
    <t>5.67_713.3750m/z</t>
  </si>
  <si>
    <t>(S)-Laudanosine</t>
  </si>
  <si>
    <t>HMDB0030213</t>
  </si>
  <si>
    <t>C09558</t>
  </si>
  <si>
    <t>2688-77-9</t>
  </si>
  <si>
    <t>COC1=C(OC)C=C(CC2N(C)CCC3=CC(OC)=C(OC)C=C23)C=C1</t>
  </si>
  <si>
    <t>KGPAYJZAMGEDIQ-UHFFFAOYSA-N</t>
  </si>
  <si>
    <t>Benzylisoquinolines</t>
  </si>
  <si>
    <t>C21H27NO4</t>
  </si>
  <si>
    <t>8.31_419.1850m/z</t>
  </si>
  <si>
    <t>Zabofloxacin</t>
  </si>
  <si>
    <t>HMDB0259980</t>
  </si>
  <si>
    <t>CON=C1CN(CC11CNC1)C1=C(F)C=C2C(=O)C(=CN(C3CC3)C2=N1)C(O)=O</t>
  </si>
  <si>
    <t>ZNPOCLHDJCAZAH-UHFFFAOYSA-N</t>
  </si>
  <si>
    <t>C19H20FN5O4</t>
  </si>
  <si>
    <t>10.64_548.2981m/z</t>
  </si>
  <si>
    <t>Cholylthreonine</t>
  </si>
  <si>
    <t>HMDB0242443</t>
  </si>
  <si>
    <t>CC(O)C(NC(=O)CCC(C)C1CCC2C3C(O)CC4CC(O)CCC4(C)C3CC(O)C12C)C(O)=O</t>
  </si>
  <si>
    <t>WRLSMXLTDIMCNI-UHFFFAOYSA-N</t>
  </si>
  <si>
    <t>C28H47NO7</t>
  </si>
  <si>
    <t>13.37_818.5604m/z</t>
  </si>
  <si>
    <t>3-Methoxy-4-Hydroxy-5-All-Trans-Nonaprenylbenzoate</t>
  </si>
  <si>
    <t>HMDB0304137</t>
  </si>
  <si>
    <t>COC1=C(O)C(C\C=C(/C)CC\C=C(/C)CC\C=C(/C)CC\C=C(/C)CC\C=C(/C)CC\C=C(/C)CC\C=C(/C)CC\C=C(/C)CCC=C(C)C)=CC(=C1)C([O-])=O</t>
  </si>
  <si>
    <t>FDPPBYXDOXRDHA-JSGWLJPKSA-M</t>
  </si>
  <si>
    <t>Polyterpenoids</t>
  </si>
  <si>
    <t>C53H79O4-</t>
  </si>
  <si>
    <t>7.79_166.1225m/z</t>
  </si>
  <si>
    <t>2,4,6,8-Decatetraenal</t>
  </si>
  <si>
    <t>LMFA06000061</t>
  </si>
  <si>
    <t>C/C=C/C=C/C=C/C=C/C([H])=O</t>
  </si>
  <si>
    <t>ADCGETJXLJQTBY-GAXCVXDLSA-N</t>
  </si>
  <si>
    <t>C10H12O</t>
  </si>
  <si>
    <t>10.60_221.1541m/z</t>
  </si>
  <si>
    <t>(6e,8e)-4,6,8-Megastigmatriene</t>
  </si>
  <si>
    <t>HMDB0035180</t>
  </si>
  <si>
    <t>51468-86-1</t>
  </si>
  <si>
    <t>C\C=C\C=C1/C(C)=CCCC1(C)C</t>
  </si>
  <si>
    <t>BYDQKMZEOZVIJM-HFACTSAFSA-N</t>
  </si>
  <si>
    <t>C13H20</t>
  </si>
  <si>
    <t>4.52_314.0999n</t>
  </si>
  <si>
    <t>6-O-Acetylarbutin</t>
  </si>
  <si>
    <t>HMDB0034060</t>
  </si>
  <si>
    <t>10338-88-2</t>
  </si>
  <si>
    <t>CC(=O)OCC1OC(OC2=CC=C(O)C=C2)C(O)C(O)C1O</t>
  </si>
  <si>
    <t>XABUTYXAHYMCDK-UHFFFAOYSA-N</t>
  </si>
  <si>
    <t>9.64_355.2746m/z</t>
  </si>
  <si>
    <t>Finasteride</t>
  </si>
  <si>
    <t>HMDB0001984</t>
  </si>
  <si>
    <t>98319-26-7</t>
  </si>
  <si>
    <t>[H][C@@]12CC[C@H](C(=O)NC(C)(C)C)[C@@]1(C)CC[C@@]1([H])[C@@]2([H])CC[C@@]2([H])NC(=O)C=C[C@]12C</t>
  </si>
  <si>
    <t>DBEPLOCGEIEOCV-WSBQPABSSA-N</t>
  </si>
  <si>
    <t>C23H36N2O2</t>
  </si>
  <si>
    <t>5.84_543.2013m/z</t>
  </si>
  <si>
    <t>Strictosamide</t>
  </si>
  <si>
    <t>C16724</t>
  </si>
  <si>
    <t>23141-25-5</t>
  </si>
  <si>
    <t>C=CC1C2CC3C4=C(CCN3C(=O)C2=COC1OC5C(C(C(C(O5)CO)O)O)O)C6=CC=CC=C6N4</t>
  </si>
  <si>
    <t>LBRPLJCNRZUXLS-IUNANRIWSA-N</t>
  </si>
  <si>
    <t>C26H30N2O8</t>
  </si>
  <si>
    <t>5.12_455.1313m/z</t>
  </si>
  <si>
    <t>Sayaendoside</t>
  </si>
  <si>
    <t>C1C(C(C(O1)OC2C(C(C(OC2OCCC3=CC=CC=C3)CO)O)O)O)(CO)O</t>
  </si>
  <si>
    <t>UWKRNCNWJVCHGZ-DERWZFJFSA-N</t>
  </si>
  <si>
    <t>6.27_475.1968m/z</t>
  </si>
  <si>
    <t>Gibberellin A4 Glucosyl Ester</t>
  </si>
  <si>
    <t>HMDB0038610</t>
  </si>
  <si>
    <t>54788-52-2</t>
  </si>
  <si>
    <t>[H][C@@]12CC[C@@H]3C[C@]1(CC3=C)[C@@H](C(=O)O[C@@H]1O[C@H](CO)[C@@H](O)[C@H](O)[C@H]1O)[C@]1([H])[C@@]3(C)[C@@H](O)CC[C@@]21OC3=O</t>
  </si>
  <si>
    <t>WAJNZXFSVANOAB-BELPUEJPSA-N</t>
  </si>
  <si>
    <t>4.79_447.2237m/z</t>
  </si>
  <si>
    <t>Butalbital</t>
  </si>
  <si>
    <t>HMDB0014386</t>
  </si>
  <si>
    <t>77-26-9</t>
  </si>
  <si>
    <t>CC(C)CC1(CC=C)C(=O)NC(=O)NC1=O</t>
  </si>
  <si>
    <t>UZVHFVZFNXBMQJ-UHFFFAOYSA-N</t>
  </si>
  <si>
    <t>C11H16N2O3</t>
  </si>
  <si>
    <t>10.79_583.2876m/z</t>
  </si>
  <si>
    <t>PI(17:2(9Z,12Z)/0:0)</t>
  </si>
  <si>
    <t>LMGP06050015</t>
  </si>
  <si>
    <t>[C@]([H])(O)(COP(=O)(O)O[C@H]1[C@H](O)[C@@H](O)[C@H](O)[C@@H](O)[C@H]1O)COC(CCCCCCC/C=C\C/C=C\CCCC)=O</t>
  </si>
  <si>
    <t>CXHDGZFLVMVIOQ-BMFSPUCHSA-N</t>
  </si>
  <si>
    <t>C26H47O12P</t>
  </si>
  <si>
    <t>8.86_668.3431m/z</t>
  </si>
  <si>
    <t>Naloxonazine</t>
  </si>
  <si>
    <t>HMDB0255437</t>
  </si>
  <si>
    <t>OC1=C2OC3C(CCC4(O)C5CC(C=C1)=C2C34CCN5CC=C)=NN=C1CCC2(O)C3CC4=C5C(OC1C25CCN3CC=C)=C(O)C=C4</t>
  </si>
  <si>
    <t>AJPSBXJNFJCCBI-UHFFFAOYSA-N</t>
  </si>
  <si>
    <t>C38H42N4O6</t>
  </si>
  <si>
    <t>4.83_387.2024m/z</t>
  </si>
  <si>
    <t>Laccarin</t>
  </si>
  <si>
    <t>HMDB0041440</t>
  </si>
  <si>
    <t>175669-28-0</t>
  </si>
  <si>
    <t>CC1CCNC2=C(C(C)=O)C(=O)NC12</t>
  </si>
  <si>
    <t>DAMBAJDWLIFTNW-UHFFFAOYSA-N</t>
  </si>
  <si>
    <t>C10H14N2O2</t>
  </si>
  <si>
    <t>10.10_641.2600m/z</t>
  </si>
  <si>
    <t>Taccalonolide B</t>
  </si>
  <si>
    <t>LMST01160035</t>
  </si>
  <si>
    <t>O1[C@H]2C[C@]3([H])C([C@@H]([C@]4([H])[C@]([H])([C@@H]([C@@H]([C@@]5([C@@]6([H])[C@H](C)C=C7[C@]([C@]6([H])[C@H](O)[C@]54[H])(C)[C@@](C)(C(=O)O7)O)C)OC(=O)C)OC(C)=O)[C@@]3(C)[C@H]([C@@H]12)OC(C)=O)O)=O</t>
  </si>
  <si>
    <t>FFQOXBQSZPYHSA-MPOUNFKCSA-N</t>
  </si>
  <si>
    <t>C34H44O13</t>
  </si>
  <si>
    <t>11.44_469.2557m/z</t>
  </si>
  <si>
    <t>PG(15:1(9Z)/0:0)</t>
  </si>
  <si>
    <t>LMGP04050018</t>
  </si>
  <si>
    <t>[H][C@](O)(CO)COP(OC[C@]([H])(O)COC(CCCCCCC/C=C\CCCCC)=O)(=O)O</t>
  </si>
  <si>
    <t>WECFZWMCSXUKNW-SLVIYJBESA-N</t>
  </si>
  <si>
    <t>C21H41O9P</t>
  </si>
  <si>
    <t>5.33_457.2044m/z</t>
  </si>
  <si>
    <t>19-Dimethylarsinoyl-Nonadecanoic Acid</t>
  </si>
  <si>
    <t>LMFA00000039</t>
  </si>
  <si>
    <t>C(CCCCCCCCCCCCCCCCCC(=O)O)[As](C)(=O)C</t>
  </si>
  <si>
    <t>DQMMGFZOXXMBBB-UHFFFAOYSA-N</t>
  </si>
  <si>
    <t>C21H43AsO3</t>
  </si>
  <si>
    <t>6.93_565.2289m/z</t>
  </si>
  <si>
    <t>Myricanol 5-Glucoside</t>
  </si>
  <si>
    <t>HMDB0036525</t>
  </si>
  <si>
    <t>90052-02-1</t>
  </si>
  <si>
    <t>COC1=C(OC2OC(CO)C(O)C(O)C2O)C2=CC(=C1OC)C1=C(O)C=CC(CCC(O)CCCC2)=C1</t>
  </si>
  <si>
    <t>NPSYWDNXSMBWKP-UHFFFAOYSA-N</t>
  </si>
  <si>
    <t>10.00_270.1982n</t>
  </si>
  <si>
    <t>Androsta-4,16-Dien-3-One</t>
  </si>
  <si>
    <t>HMDB0248405</t>
  </si>
  <si>
    <t>CC12CCC3C(CCC4=CC(=O)CCC34C)C1CC=C2</t>
  </si>
  <si>
    <t>HNDHDMOSWUAEAW-UHFFFAOYSA-N</t>
  </si>
  <si>
    <t>C19H26O</t>
  </si>
  <si>
    <t>3.35_405.0563m/z</t>
  </si>
  <si>
    <t>4-Hydroxy-3-(2'-Hydroxy-[1,1'-Biphenyl]-4-Yl)-6-Oxo-6,7-Dihydrothieno[2,3-B]Pyridine-5-Carbonitrile</t>
  </si>
  <si>
    <t>HMDB0247515</t>
  </si>
  <si>
    <t>OC1=CC=CC=C1C1=CC=C(C=C1)C1=CSC2=C1C(O)=C(C#N)C(=O)N2</t>
  </si>
  <si>
    <t>CTESJDQKVOEUOY-UHFFFAOYSA-N</t>
  </si>
  <si>
    <t>C20H12N2O3S</t>
  </si>
  <si>
    <t>3.97_302.1056m/z</t>
  </si>
  <si>
    <t>Salbutamol 4-O-Sulfate</t>
  </si>
  <si>
    <t>HMDB0060604</t>
  </si>
  <si>
    <t>CC(C)(C)NCC(O)C1=CC=C(OS(O)(=O)=O)C(CO)=C1</t>
  </si>
  <si>
    <t>FPMLHYFHLRTRMB-UHFFFAOYSA-N</t>
  </si>
  <si>
    <t>C13H21NO6S</t>
  </si>
  <si>
    <t>4.74_411.1294m/z</t>
  </si>
  <si>
    <t>Methylpicraquassioside A</t>
  </si>
  <si>
    <t>HMDB0038347</t>
  </si>
  <si>
    <t>COC(=O)CCC1=C(OC2OC(CO)C(O)C(O)C2O)C=C2OC=CC2=C1OC</t>
  </si>
  <si>
    <t>YCIAHAYEVBEGKT-UHFFFAOYSA-N</t>
  </si>
  <si>
    <t>C19H24O10</t>
  </si>
  <si>
    <t>12.50_435.3468m/z</t>
  </si>
  <si>
    <t>3alpha,7alpha-Dihydroxy-5beta-Cholestan-26-Oic Acid</t>
  </si>
  <si>
    <t>HMDB0000359</t>
  </si>
  <si>
    <t>LMST04030066</t>
  </si>
  <si>
    <t>17974-66-2</t>
  </si>
  <si>
    <t>C1[C@]2(C)[C@@]3([H])CC[C@]4(C)[C@@]([H])([C@]([H])(C)CCCC(C)C(O)=O)CC[C@@]4([H])[C@]3([H])[C@H](O)C[C@]2([H])C[C@H](O)C1</t>
  </si>
  <si>
    <t>ITZYGDKGRKKBSN-HKFUITGCSA-N</t>
  </si>
  <si>
    <t>C27H46O4</t>
  </si>
  <si>
    <t>8.71_341.2772m/z</t>
  </si>
  <si>
    <t>Cuda</t>
  </si>
  <si>
    <t>479413-68-8</t>
  </si>
  <si>
    <t>C1CCC(CC1)NC(=O)NCCCCCCCCCCCC(=O)O</t>
  </si>
  <si>
    <t>HPTJABJPZMULFH-UHFFFAOYSA-N</t>
  </si>
  <si>
    <t>C19H36N2O3</t>
  </si>
  <si>
    <t>3.82_525.1974m/z</t>
  </si>
  <si>
    <t>Neplanocin A</t>
  </si>
  <si>
    <t>HMDB0255538</t>
  </si>
  <si>
    <t>NC1=NC=NC2=C1N=CN2C1C=C(CO)C(O)C1O</t>
  </si>
  <si>
    <t>XUGWUUDOWNZAGW-UHFFFAOYSA-N</t>
  </si>
  <si>
    <t>Cyclopentyl nucleosides</t>
  </si>
  <si>
    <t>C11H13N5O3</t>
  </si>
  <si>
    <t>3.73_118.0650m/z</t>
  </si>
  <si>
    <t>Indole</t>
  </si>
  <si>
    <t>HMDB0000738</t>
  </si>
  <si>
    <t>C00463</t>
  </si>
  <si>
    <t>ko00380,ko00400,ko00402,ko04974</t>
  </si>
  <si>
    <t>Tryptophan metabolism|Phenylalanine, tyrosine and tryptophan biosynthesis|Benzoxazinoid biosynthesis|Protein digestion and absorption</t>
  </si>
  <si>
    <t>120-72-9</t>
  </si>
  <si>
    <t>N1C=CC2=C1C=CC=C2</t>
  </si>
  <si>
    <t>SIKJAQJRHWYJAI-UHFFFAOYSA-N</t>
  </si>
  <si>
    <t>C8H7N</t>
  </si>
  <si>
    <t>5.84_461.2016m/z</t>
  </si>
  <si>
    <t>(2s)-2-Amino-7-(1-Aminoethylideneamino)-5-Sulfanylideneheptanoic Acid</t>
  </si>
  <si>
    <t>HMDB0252980</t>
  </si>
  <si>
    <t>CC(N)=NCCC(=S)CCC(N)C(O)=O</t>
  </si>
  <si>
    <t>IQZQJEAFSMXZNF-UHFFFAOYSA-N</t>
  </si>
  <si>
    <t>C9H17N3O2S</t>
  </si>
  <si>
    <t>5.34_451.1609m/z</t>
  </si>
  <si>
    <t>3,4,5-Trimethoxyphenyl Acetate</t>
  </si>
  <si>
    <t>HMDB0031722</t>
  </si>
  <si>
    <t>17742-46-0</t>
  </si>
  <si>
    <t>COC1=CC(OC(C)=O)=CC(OC)=C1OC</t>
  </si>
  <si>
    <t>ASPRESJSDRJZBN-UHFFFAOYSA-N</t>
  </si>
  <si>
    <t>Phenol esters</t>
  </si>
  <si>
    <t>C11H14O5</t>
  </si>
  <si>
    <t>6.31_567.3383m/z</t>
  </si>
  <si>
    <t>Polysorbate 20</t>
  </si>
  <si>
    <t>HMDB0037182</t>
  </si>
  <si>
    <t>C11624</t>
  </si>
  <si>
    <t>9005-64-5</t>
  </si>
  <si>
    <t>CCCCCCCCCCCC(=O)OCCOCC(OCCO)C1OCC(OCCO)C1OCCO</t>
  </si>
  <si>
    <t>HMFKFHLTUCJZJO-UHFFFAOYSA-N</t>
  </si>
  <si>
    <t>C26H50O10</t>
  </si>
  <si>
    <t>10.91_663.3708m/z</t>
  </si>
  <si>
    <t>1-Acetyl-3,27-Dihydroxywitha-5,24-Dienolide 3-Glucoside</t>
  </si>
  <si>
    <t>HMDB0033729</t>
  </si>
  <si>
    <t>227179-08-0</t>
  </si>
  <si>
    <t>CC(C1CCC2C3CC=C4CC(CC(OC(C)=O)C4(C)C3CCC12C)OC1OC(CO)C(O)C(O)C1O)C1CC(C)=C(CO)C(=O)O1</t>
  </si>
  <si>
    <t>SKADEWVNQSRPEJ-UHFFFAOYSA-N</t>
  </si>
  <si>
    <t>C36H54O11</t>
  </si>
  <si>
    <t>11.06_399.2165m/z</t>
  </si>
  <si>
    <t>Deoxyschizandrin</t>
  </si>
  <si>
    <t>HMDB0251013</t>
  </si>
  <si>
    <t>C16951</t>
  </si>
  <si>
    <t>61281-38-7</t>
  </si>
  <si>
    <t>COC1=C(OC)C(OC)=C2C(CC(C)C(C)CC3=CC(OC)=C(OC)C(OC)=C23)=C1</t>
  </si>
  <si>
    <t>JEJFTTRHGBKKEI-UHFFFAOYSA-N</t>
  </si>
  <si>
    <t>5.12_433.0750m/z</t>
  </si>
  <si>
    <t>Tyramine-O-Sulfate</t>
  </si>
  <si>
    <t>HMDB0006409</t>
  </si>
  <si>
    <t>30223-92-8</t>
  </si>
  <si>
    <t>NCCC1=CC=C(OS(O)(=O)=O)C=C1</t>
  </si>
  <si>
    <t>DYDUXGMDSXJQFT-UHFFFAOYSA-N</t>
  </si>
  <si>
    <t>C8H11NO4S</t>
  </si>
  <si>
    <t>4.88_417.2096m/z</t>
  </si>
  <si>
    <t>Spironolactone</t>
  </si>
  <si>
    <t>HMDB0014565</t>
  </si>
  <si>
    <t>C07310</t>
  </si>
  <si>
    <t>52-01-7</t>
  </si>
  <si>
    <t>[H][C@@]12CC[C@@]3(CCC(=O)O3)[C@@]1(C)CC[C@@]1([H])[C@@]2([H])[C@@]([H])(CC2=CC(=O)CC[C@]12C)SC(C)=O</t>
  </si>
  <si>
    <t>LXMSZDCAJNLERA-ZHYRCANASA-N</t>
  </si>
  <si>
    <t>C24H32O4S</t>
  </si>
  <si>
    <t>6.12_226.1198n</t>
  </si>
  <si>
    <t>Tuberonic Acid</t>
  </si>
  <si>
    <t>HMDB0303749</t>
  </si>
  <si>
    <t>LMFA02020007</t>
  </si>
  <si>
    <t>C(C[C@@H]1[C@H](C/C=C\CCO)C(=O)CC1)(=O)O</t>
  </si>
  <si>
    <t>RZGFUGXQKMEMOO-SZXTZRQCSA-N</t>
  </si>
  <si>
    <t>C12H18O4</t>
  </si>
  <si>
    <t>8.30_369.1916m/z</t>
  </si>
  <si>
    <t>Lactapiperanol D</t>
  </si>
  <si>
    <t>HMDB0033631</t>
  </si>
  <si>
    <t>243447-94-1</t>
  </si>
  <si>
    <t>COC1OCC2(O)C(OC(C)=O)C3CC(C)(C)CC3C3(C)CC123</t>
  </si>
  <si>
    <t>VFJHHENNFQFTOV-UHFFFAOYSA-N</t>
  </si>
  <si>
    <t>C18H28O5</t>
  </si>
  <si>
    <t>5.02_345.1341m/z</t>
  </si>
  <si>
    <t>Tms</t>
  </si>
  <si>
    <t>24144-92-1</t>
  </si>
  <si>
    <t>COC1=CC(=C(C=C1)C=CC2=CC(=CC(=C2)OC)OC)OC</t>
  </si>
  <si>
    <t>JDBCWSHYEQUBLW-AATRIKPKSA-N</t>
  </si>
  <si>
    <t>C18H20O4</t>
  </si>
  <si>
    <t>1.06_141.0426n</t>
  </si>
  <si>
    <t>2-Aminomuconic Acid Semialdehyde</t>
  </si>
  <si>
    <t>HMDB0001280</t>
  </si>
  <si>
    <t>LMFA01060191</t>
  </si>
  <si>
    <t>C03824</t>
  </si>
  <si>
    <t>245128-91-0</t>
  </si>
  <si>
    <t>C(=O)(O)/C(/N)=C\C=C/C=O</t>
  </si>
  <si>
    <t>QCGTZPZKJPTAEP-REDYYMJGSA-N</t>
  </si>
  <si>
    <t>C6H7NO3</t>
  </si>
  <si>
    <t>3.65_310.0932m/z</t>
  </si>
  <si>
    <t>Taxiphyllin</t>
  </si>
  <si>
    <t>HMDB0030704</t>
  </si>
  <si>
    <t>C01855</t>
  </si>
  <si>
    <t>21401-21-8</t>
  </si>
  <si>
    <t>OCC1OC(OC(C#N)C2=CC=C(O)C=C2)C(O)C(O)C1O</t>
  </si>
  <si>
    <t>NVLTYOJHPBMILU-UHFFFAOYSA-N</t>
  </si>
  <si>
    <t>8.76_309.2048m/z</t>
  </si>
  <si>
    <t>12,17</t>
  </si>
  <si>
    <t>LMFA03000025</t>
  </si>
  <si>
    <t>C(CCCCCCC/C=C\CC1C2OC(C)(O1)C(O)CC2)(=O)O</t>
  </si>
  <si>
    <t>AXRADOFMFPTYAS-VURMDHGXSA-N</t>
  </si>
  <si>
    <t>C18H30O5</t>
  </si>
  <si>
    <t>6.59_376.1669n</t>
  </si>
  <si>
    <t>Kanzonol V</t>
  </si>
  <si>
    <t>HMDB0029788</t>
  </si>
  <si>
    <t>184584-65-4</t>
  </si>
  <si>
    <t>CC(C)=CCC1=C(O)C=C2OC(=CC2=C1)C1=C2OC(C)(C)C=CC2=C(O)C=C1</t>
  </si>
  <si>
    <t>AKOSXIFOBUWPLU-UHFFFAOYSA-N</t>
  </si>
  <si>
    <t>C24H24O4</t>
  </si>
  <si>
    <t>7.57_328.2630m/z</t>
  </si>
  <si>
    <t>Desogestrel</t>
  </si>
  <si>
    <t>HMDB0014449</t>
  </si>
  <si>
    <t>LMST02030104</t>
  </si>
  <si>
    <t>C07629</t>
  </si>
  <si>
    <t>54024-22-5</t>
  </si>
  <si>
    <t>[C@]12(CC)CC([C@]3([H])[C@@]4([H])CCCC=C4CC[C@@]3([H])[C@]1([H])CC[C@@]2(O)C#C)=C</t>
  </si>
  <si>
    <t>RPLCPCMSCLEKRS-BPIQYHPVSA-N</t>
  </si>
  <si>
    <t>C22H30O</t>
  </si>
  <si>
    <t>3.95_303.0506m/z</t>
  </si>
  <si>
    <t>Taxifolin</t>
  </si>
  <si>
    <t>HMDB0303943</t>
  </si>
  <si>
    <t>LMPK12140721</t>
  </si>
  <si>
    <t>C01617</t>
  </si>
  <si>
    <t>480-18-2</t>
  </si>
  <si>
    <t>C1(O)C=C(O)C2C(=O)[C@@H]([C@@H](C3=CC=C(O)C(O)=C3)OC=2C=1)O</t>
  </si>
  <si>
    <t>CXQWRCVTCMQVQX-LSDHHAIUSA-N</t>
  </si>
  <si>
    <t>C15H12O7</t>
  </si>
  <si>
    <t>5.38_589.2994m/z</t>
  </si>
  <si>
    <t>Butralin</t>
  </si>
  <si>
    <t>HMDB0249470</t>
  </si>
  <si>
    <t>C18582</t>
  </si>
  <si>
    <t>33629-47-9</t>
  </si>
  <si>
    <t>CCC(C)NC1=C(C=C(C=C1N(=O)=O)C(C)(C)C)N(=O)=O</t>
  </si>
  <si>
    <t>SPNQRCTZKIBOAX-UHFFFAOYSA-N</t>
  </si>
  <si>
    <t>C14H21N3O4</t>
  </si>
  <si>
    <t>0.77_263.0870m/z</t>
  </si>
  <si>
    <t>L-Beta-Aspartyl-L-Glutamic Acid</t>
  </si>
  <si>
    <t>HMDB0011164</t>
  </si>
  <si>
    <t>NC(CC(=O)NC(CCC(O)=O)C(O)=O)C(O)=O</t>
  </si>
  <si>
    <t>DBMVITQDGVMXEY-UHFFFAOYSA-N</t>
  </si>
  <si>
    <t>C9H14N2O7</t>
  </si>
  <si>
    <t>3.77_192.0778n</t>
  </si>
  <si>
    <t>(R)-Shinanolone</t>
  </si>
  <si>
    <t>HMDB0030580</t>
  </si>
  <si>
    <t>CC1=CC2=C(C(=O)CCC2O)C(O)=C1</t>
  </si>
  <si>
    <t>JOCZVRFSKAUXRP-UHFFFAOYSA-N</t>
  </si>
  <si>
    <t>1.13_227.1389m/z</t>
  </si>
  <si>
    <t>Isoleucylhydroxyproline</t>
  </si>
  <si>
    <t>HMDB0028908</t>
  </si>
  <si>
    <t>90965-80-3</t>
  </si>
  <si>
    <t>CC[C@H](C)[C@H](N)C(=O)N1C[C@H](O)C[C@H]1C(O)=O</t>
  </si>
  <si>
    <t>IFZSZULHIWFRSB-KZVJFYERSA-N</t>
  </si>
  <si>
    <t>C11H20N2O4</t>
  </si>
  <si>
    <t>4.97_505.2074m/z</t>
  </si>
  <si>
    <t>Triamterene</t>
  </si>
  <si>
    <t>HMDB0001940</t>
  </si>
  <si>
    <t>D00386</t>
  </si>
  <si>
    <t>396-01-0</t>
  </si>
  <si>
    <t>NC1=NC(N)=C2N=C(C(N)=NC2=N1)C1=CC=CC=C1</t>
  </si>
  <si>
    <t>FNYLWPVRPXGIIP-UHFFFAOYSA-N</t>
  </si>
  <si>
    <t>C12H11N7</t>
  </si>
  <si>
    <t>8.07_947.3546m/z</t>
  </si>
  <si>
    <t>Gamma-Amanitin</t>
  </si>
  <si>
    <t>HMDB0252608</t>
  </si>
  <si>
    <t>CCC(C)C1NC(=O)CNC(=O)C2CC3=C(NC4=CC(O)=CC=C34)S(=O)CC(NC(=O)CNC1=O)C(=O)NC(CC(N)=O)C(=O)N1CC(O)CC1C(=O)NC(C(C)C(C)O)C(=O)N2</t>
  </si>
  <si>
    <t>WVHGJJRMKGDTEC-UHFFFAOYSA-N</t>
  </si>
  <si>
    <t>C39H54N10O13S</t>
  </si>
  <si>
    <t>4.65_795.2676m/z</t>
  </si>
  <si>
    <t>Deoxypodophyllotoxin</t>
  </si>
  <si>
    <t>C10556</t>
  </si>
  <si>
    <t>19186-35-7</t>
  </si>
  <si>
    <t>COC1=CC(=CC(=C1OC)OC)C2C3C(CC4=CC5=C(C=C24)OCO5)COC3=O</t>
  </si>
  <si>
    <t>ZGLXUQQMLLIKAN-SVIJTADQSA-N</t>
  </si>
  <si>
    <t>C22H22O7</t>
  </si>
  <si>
    <t>4.28_440.1009m/z</t>
  </si>
  <si>
    <t>Convergence</t>
  </si>
  <si>
    <t>HMDB0250444</t>
  </si>
  <si>
    <t>FC(F)(F)C1=CC=C(C=C1)S(=O)(=O)N1CCN(CC1)C(=O)C1=C2N=CC=CN2N=C1</t>
  </si>
  <si>
    <t>ZIZJYTFTAKMQAI-UHFFFAOYSA-N</t>
  </si>
  <si>
    <t>C18H16F3N5O3S</t>
  </si>
  <si>
    <t>5.38_583.3324m/z</t>
  </si>
  <si>
    <t>Lerisetron</t>
  </si>
  <si>
    <t>HMDB0254019</t>
  </si>
  <si>
    <t>C(N1C2=CC=CC=C2N=C1N1CCNCC1)C1=CC=CC=C1</t>
  </si>
  <si>
    <t>PWWDCRQZITYKDV-UHFFFAOYSA-N</t>
  </si>
  <si>
    <t>C18H20N4</t>
  </si>
  <si>
    <t>1.46_251.1366m/z</t>
  </si>
  <si>
    <t>N,N,N-Trimethyl-L-Alanyl-L-Proline Betaine</t>
  </si>
  <si>
    <t>HMDB0240365</t>
  </si>
  <si>
    <t>2177265-93-7</t>
  </si>
  <si>
    <t>C[C@@H](C(=O)N1CCC[C@H]1C([O-])=O)[N+](C)(C)C</t>
  </si>
  <si>
    <t>KXONJPJIFNGMCN-IUCAKERBSA-N</t>
  </si>
  <si>
    <t>4.44_320.0530n</t>
  </si>
  <si>
    <t>Trans-3,3',4',5,5',7-Hexahydroxyflavanone</t>
  </si>
  <si>
    <t>HMDB0030835</t>
  </si>
  <si>
    <t>27200-12-0</t>
  </si>
  <si>
    <t>OC1C(OC2=CC(O)=CC(O)=C2C1=O)C1=CC(O)=C(O)C(O)=C1</t>
  </si>
  <si>
    <t>KJXSIXMJHKAJOD-UHFFFAOYSA-N</t>
  </si>
  <si>
    <t>C15H12O8</t>
  </si>
  <si>
    <t>10.80_997.4649m/z</t>
  </si>
  <si>
    <t>Licoricesaponin F3</t>
  </si>
  <si>
    <t>HMDB0039490</t>
  </si>
  <si>
    <t>CC1OC(OC2C(O)C(O)C(OC2OC2C(O)C(O)C(OC2OC2CCC3(C)C(CCC4(C)C3CC=C3C5CC6(C)CC(OC6=O)C5(C)CCC43C)C2(C)C)C(O)=O)C(O)=O)C(O)C(O)C1O</t>
  </si>
  <si>
    <t>NUXMXYUOCFBORQ-UHFFFAOYSA-N</t>
  </si>
  <si>
    <t>C48H72O19</t>
  </si>
  <si>
    <t>8.16_518.2754m/z</t>
  </si>
  <si>
    <t>Ibha#22</t>
  </si>
  <si>
    <t>LMFA13040111</t>
  </si>
  <si>
    <t>O([C@H](C)CCCCCCCC[C@H](O)CC(=O)O)[C@H]1[C@H](O)C[C@@H](OC(=O)C2=CNC3C=CC=CC=32)[C@H](C)O1</t>
  </si>
  <si>
    <t>SUECAIROUVPYHD-PWAWAHSOSA-N</t>
  </si>
  <si>
    <t>C28H41NO8</t>
  </si>
  <si>
    <t>1.06_268.1654m/z</t>
  </si>
  <si>
    <t>N,N-Diisopropyl-3-Nitrobenzamide</t>
  </si>
  <si>
    <t>CC(C)N(C(C)C)C(=O)C1=CC(=CC=C1)[N+](=O)[O-]</t>
  </si>
  <si>
    <t>UFFKMMNKRCCXPE-UHFFFAOYSA-N</t>
  </si>
  <si>
    <t>C13H18N2O3</t>
  </si>
  <si>
    <t>6.14_208.0970m/z</t>
  </si>
  <si>
    <t>Alpha-Methyltyrosine Methyl Ester</t>
  </si>
  <si>
    <t>HMDB0248234</t>
  </si>
  <si>
    <t>COC(=O)C(C)(N)CC1=CC=C(O)C=C1</t>
  </si>
  <si>
    <t>WYJJUDJUEGRXHZ-UHFFFAOYSA-N</t>
  </si>
  <si>
    <t>6.80_525.3267m/z</t>
  </si>
  <si>
    <t>Protriptyline</t>
  </si>
  <si>
    <t>HMDB0014488</t>
  </si>
  <si>
    <t>C07408</t>
  </si>
  <si>
    <t>438-60-8</t>
  </si>
  <si>
    <t>CNCCCC1C2=CC=CC=C2C=CC2=CC=CC=C12</t>
  </si>
  <si>
    <t>BWPIARFWQZKAIA-UHFFFAOYSA-N</t>
  </si>
  <si>
    <t>C19H21N</t>
  </si>
  <si>
    <t>5.28_725.2405m/z</t>
  </si>
  <si>
    <t>Temoporfin</t>
  </si>
  <si>
    <t>HMDB0258804</t>
  </si>
  <si>
    <t>C11730</t>
  </si>
  <si>
    <t>OC1=CC=CC(=C1)C-1=C2\CCC(=N2)\C(=C2/N\C(\C=C2)=C(/C2=N/C(/C=C2)=C(\C2=CC=C\-1N2)C1=CC(O)=CC=C1)C1=CC(O)=CC=C1)\C1=CC(O)=CC=C1</t>
  </si>
  <si>
    <t>LYPFDBRUNKHDGX-LWQDQPMZSA-N</t>
  </si>
  <si>
    <t>C44H32N4O4</t>
  </si>
  <si>
    <t>1.06_485.0221m/z</t>
  </si>
  <si>
    <t>Cdp-Ethanolamine</t>
  </si>
  <si>
    <t>HMDB0001564</t>
  </si>
  <si>
    <t>C00570</t>
  </si>
  <si>
    <t>ko00564</t>
  </si>
  <si>
    <t>Glycerophospholipid metabolism</t>
  </si>
  <si>
    <t>3036-18-8</t>
  </si>
  <si>
    <t>NCCOP(O)(=O)OP(O)(=O)OC[C@H]1O[C@H]([C@H](O)[C@@H]1O)N1C=CC(N)=NC1=O</t>
  </si>
  <si>
    <t>WVIMUEUQJFPNDK-PEBGCTIMSA-N</t>
  </si>
  <si>
    <t>C11H20N4O11P2</t>
  </si>
  <si>
    <t>9.56_241.1441m/z</t>
  </si>
  <si>
    <t>Dodecadienoic Acid</t>
  </si>
  <si>
    <t>HMDB0302621</t>
  </si>
  <si>
    <t>CCCCCCCC=CC=CC(O)=O</t>
  </si>
  <si>
    <t>HQSBWLQFLLMPKC-UHFFFAOYSA-N</t>
  </si>
  <si>
    <t>C12H20O2</t>
  </si>
  <si>
    <t>9.00_313.1808m/z</t>
  </si>
  <si>
    <t>4-Oxoisotretinoin</t>
  </si>
  <si>
    <t>71748-58-8</t>
  </si>
  <si>
    <t>CC1=C(C(CCC1=O)(C)C)C=CC(=CC=CC(=CC(=O)O)C)C</t>
  </si>
  <si>
    <t>GGCUJPCCTQNTJF-FAOQNJJDSA-N</t>
  </si>
  <si>
    <t>4.58_493.1856m/z</t>
  </si>
  <si>
    <t>Physalin B</t>
  </si>
  <si>
    <t>HMDB0030128</t>
  </si>
  <si>
    <t>23133-56-4</t>
  </si>
  <si>
    <t>CC12OC(=O)C3(O)CCC4C(CC=C5CC=CC(=O)C45C)C45OC13C(C4=O)C1(C)CC2OC(=O)C1CO5</t>
  </si>
  <si>
    <t>HVTFEHJSUSPQBK-UHFFFAOYSA-N</t>
  </si>
  <si>
    <t>C28H30O9</t>
  </si>
  <si>
    <t>12.65_526.4471m/z</t>
  </si>
  <si>
    <t>DG(14:1(9Z)/14:1(9Z)/0:0)</t>
  </si>
  <si>
    <t>HMDB0007038</t>
  </si>
  <si>
    <t>LMGL02010325</t>
  </si>
  <si>
    <t>OC[C@]([H])(OC(CCCCCCC/C=C\CCCC)=O)COC(CCCCCCC/C=C\CCCC)=O</t>
  </si>
  <si>
    <t>UOMACDOEROJUON-XRZSNXEXSA-N</t>
  </si>
  <si>
    <t>C31H56O5</t>
  </si>
  <si>
    <t>7.83_475.2094m/z</t>
  </si>
  <si>
    <t>Mitopodozide</t>
  </si>
  <si>
    <t>HMDB0254763</t>
  </si>
  <si>
    <t>CCNNC(=O)C1C(CO)C(O)C2=CC3=C(OCO3)C=C2C1C1=CC(OC)=C(OC)C(OC)=C1</t>
  </si>
  <si>
    <t>CPTIBDHUFVHUJK-UHFFFAOYSA-N</t>
  </si>
  <si>
    <t>C24H30N2O8</t>
  </si>
  <si>
    <t>3.79_529.2130m/z</t>
  </si>
  <si>
    <t>Anonaine</t>
  </si>
  <si>
    <t>HMDB0030348</t>
  </si>
  <si>
    <t>C09339</t>
  </si>
  <si>
    <t>1862-41-5</t>
  </si>
  <si>
    <t>C1OC2=C(O1)C1=C3C(CC4=CC=CC=C14)NCCC3=C2</t>
  </si>
  <si>
    <t>VZTUKBKUWSHDFM-UHFFFAOYSA-N</t>
  </si>
  <si>
    <t>C17H15NO2</t>
  </si>
  <si>
    <t>8.89_305.1757m/z</t>
  </si>
  <si>
    <t>Menthyl Benzoate</t>
  </si>
  <si>
    <t>6284-35-1</t>
  </si>
  <si>
    <t>CC1CCC(C(C1)OC(=O)C2=CC=CC=C2)C(C)C</t>
  </si>
  <si>
    <t>TTYVYRHNIVBWCB-UHFFFAOYSA-N</t>
  </si>
  <si>
    <t>C17H24O2</t>
  </si>
  <si>
    <t>5.83_293.1358m/z</t>
  </si>
  <si>
    <t>Ethenodeoxyadenosine</t>
  </si>
  <si>
    <t>HMDB0001786</t>
  </si>
  <si>
    <t>68498-25-9</t>
  </si>
  <si>
    <t>C1C(C(OC1N2C=NC3=C2N=CN4C3=NC=C4)CO)O</t>
  </si>
  <si>
    <t>XQQIMTUYVDUWKJ-ZQTLJVIJSA-N</t>
  </si>
  <si>
    <t>C12H13N5O3</t>
  </si>
  <si>
    <t>5.22_361.2945m/z</t>
  </si>
  <si>
    <t>Sitamaquine</t>
  </si>
  <si>
    <t>HMDB0258315</t>
  </si>
  <si>
    <t>CCN(CC)CCCCCCNC1=CC(OC)=CC2=C(C)C=CN=C12</t>
  </si>
  <si>
    <t>RVAKDGYPIVSYEU-UHFFFAOYSA-N</t>
  </si>
  <si>
    <t>Aminoquinolines and derivatives</t>
  </si>
  <si>
    <t>C21H33N3O</t>
  </si>
  <si>
    <t>0.78_136.0617m/z</t>
  </si>
  <si>
    <t>Adenine</t>
  </si>
  <si>
    <t>HMDB0000034</t>
  </si>
  <si>
    <t>C00147</t>
  </si>
  <si>
    <t>ko00230,ko00908</t>
  </si>
  <si>
    <t>Purine metabolism|Zeatin biosynthesis</t>
  </si>
  <si>
    <t>73-24-5</t>
  </si>
  <si>
    <t>NC1=C2NC=NC2=NC=N1</t>
  </si>
  <si>
    <t>GFFGJBXGBJISGV-UHFFFAOYSA-N</t>
  </si>
  <si>
    <t>C5H5N5</t>
  </si>
  <si>
    <t>4.74_649.2501m/z</t>
  </si>
  <si>
    <t>Deoxyaminopteroic Acid</t>
  </si>
  <si>
    <t>HMDB0244853</t>
  </si>
  <si>
    <t>CN(CC1=CN=C2N=C(N)N=C(N)C2=N1)C1=CC=C(C=C1)C(O)=O</t>
  </si>
  <si>
    <t>LWCXZSDKANNOAR-UHFFFAOYSA-N</t>
  </si>
  <si>
    <t>C15H15N7O2</t>
  </si>
  <si>
    <t>9.75_562.3148m/z</t>
  </si>
  <si>
    <t>PC(18:3(6Z,9Z,12Z)/0:0)</t>
  </si>
  <si>
    <t>HMDB0010387</t>
  </si>
  <si>
    <t>LMGP01050128</t>
  </si>
  <si>
    <t>[C@](COP(=O)([O-])OCC[N+](C)(C)C)([H])(O)COC(CCCC/C=C\C/C=C\C/C=C\CCCCC)=O</t>
  </si>
  <si>
    <t>MRTUWVDDQVMUCR-ACHCNROVSA-N</t>
  </si>
  <si>
    <t>11.67_206.1667n</t>
  </si>
  <si>
    <t>Methyl-Delta-Ionone</t>
  </si>
  <si>
    <t>HMDB0032397</t>
  </si>
  <si>
    <t>7784-98-7</t>
  </si>
  <si>
    <t>CCC(=O)\C=C\C1C(C)C=CCC1(C)C</t>
  </si>
  <si>
    <t>ZQJCPDKTEXSWTH-CMDGGOBGSA-N</t>
  </si>
  <si>
    <t>M+H-H2O, M+NH4, M+H</t>
  </si>
  <si>
    <t>C14H22O</t>
  </si>
  <si>
    <t>10.60_226.0119m/z</t>
  </si>
  <si>
    <t>Phosphinomethylisomalate</t>
  </si>
  <si>
    <t>HMDB0304462</t>
  </si>
  <si>
    <t>OC(C(CP([O-])=O)C([O-])=O)C([O-])=O</t>
  </si>
  <si>
    <t>RZQCPFXISXNJHP-UHFFFAOYSA-K</t>
  </si>
  <si>
    <t>C5H5O7P-3</t>
  </si>
  <si>
    <t>9.21_545.3248m/z</t>
  </si>
  <si>
    <t>Doramapimod</t>
  </si>
  <si>
    <t>HMDB0251587</t>
  </si>
  <si>
    <t>CC1=CC=C(C=C1)N1N=C(C=C1NC(=O)NC1=CC=C(OCCN2CCOCC2)C2=C1C=CC=C2)C(C)(C)C</t>
  </si>
  <si>
    <t>MVCOAUNKQVWQHZ-UHFFFAOYSA-N</t>
  </si>
  <si>
    <t>C31H37N5O3</t>
  </si>
  <si>
    <t>11.06_343.2244m/z</t>
  </si>
  <si>
    <t>1-O-(2r-Hydroxy-Tetradecyl)-Sn-Glycerol</t>
  </si>
  <si>
    <t>LMGL01020061</t>
  </si>
  <si>
    <t>[C@](CO)([H])(O)COC[C@H](O)CCCCCCCCCCCC</t>
  </si>
  <si>
    <t>NWPUZHCKNYVMOZ-SJORKVTESA-N</t>
  </si>
  <si>
    <t>C17H36O4</t>
  </si>
  <si>
    <t>11.41_1013.4615m/z</t>
  </si>
  <si>
    <t>Fevicordin B 2-[Rhamnosyl-(1-&gt;4)-Glucosyl-(1-&gt;6)-Glucoside]</t>
  </si>
  <si>
    <t>HMDB0035498</t>
  </si>
  <si>
    <t>178062-93-6</t>
  </si>
  <si>
    <t>CC1OC(OC2C(CO)OC(OCC3OC(OC4=C(O)C(C)=C5CCC6C7(C)CC(O)C(C(C)(O)C(=O)CCC(C)(C)OC(C)=O)C7(C)CC(=O)C6(C)C5=C4)C(O)C(O)C3O)C(O)C2O)C(O)C(O)C1O</t>
  </si>
  <si>
    <t>MTLIDTCASADKNT-UHFFFAOYSA-N</t>
  </si>
  <si>
    <t>C49H74O22</t>
  </si>
  <si>
    <t>4.50_435.0919m/z</t>
  </si>
  <si>
    <t>Guaijaverin</t>
  </si>
  <si>
    <t>LMPK12112168</t>
  </si>
  <si>
    <t>C1(O)=CC2OC(C3C=C(O)C(O)=CC=3)=C(O[C@H]3[C@H](O)[C@@H](O)[C@@H](O)CO3)C(=O)C=2C(O)=C1</t>
  </si>
  <si>
    <t>PZZRDJXEMZMZFD-IEGSVRCHSA-N</t>
  </si>
  <si>
    <t>C20H18O11</t>
  </si>
  <si>
    <t>4.40_491.2093m/z</t>
  </si>
  <si>
    <t>Diphenoxylate</t>
  </si>
  <si>
    <t>HMDB0015213</t>
  </si>
  <si>
    <t>C07872</t>
  </si>
  <si>
    <t>915-30-0</t>
  </si>
  <si>
    <t>CCOC(=O)C1(CCN(CCC(C#N)(C2=CC=CC=C2)C2=CC=CC=C2)CC1)C1=CC=CC=C1</t>
  </si>
  <si>
    <t>HYPPXZBJBPSRLK-UHFFFAOYSA-N</t>
  </si>
  <si>
    <t>C30H32N2O2</t>
  </si>
  <si>
    <t>4.36_136.0887n</t>
  </si>
  <si>
    <t>4-Propylphenol</t>
  </si>
  <si>
    <t>HMDB0032625</t>
  </si>
  <si>
    <t>C14311</t>
  </si>
  <si>
    <t>645-56-7</t>
  </si>
  <si>
    <t>CCCC1=CC=C(O)C=C1</t>
  </si>
  <si>
    <t>KLSLBUSXWBJMEC-UHFFFAOYSA-N</t>
  </si>
  <si>
    <t>C9H12O</t>
  </si>
  <si>
    <t>5.26_410.1666m/z</t>
  </si>
  <si>
    <t>Trimethaphan</t>
  </si>
  <si>
    <t>HMDB0015248</t>
  </si>
  <si>
    <t>C07174</t>
  </si>
  <si>
    <t>7187-66-8</t>
  </si>
  <si>
    <t>O=C1N(CC2=CC=CC=C2)C2C[S+]3CCCC3C2N1CC1=CC=CC=C1</t>
  </si>
  <si>
    <t>CHQOEHPMXSHGCL-UHFFFAOYSA-N</t>
  </si>
  <si>
    <t>Thienoimidazolidines</t>
  </si>
  <si>
    <t>C22H25N2OS+</t>
  </si>
  <si>
    <t>4.85_187.0632n</t>
  </si>
  <si>
    <t>3-Amino-2-Naphthoic Acid</t>
  </si>
  <si>
    <t>5959-52-4</t>
  </si>
  <si>
    <t>C1=CC=C2C=C(C(=CC2=C1)C(=O)O)N</t>
  </si>
  <si>
    <t>XFXOLBNQYFRSLQ-UHFFFAOYSA-N</t>
  </si>
  <si>
    <t>6.59_316.1579n</t>
  </si>
  <si>
    <t>Fluorocarazolol</t>
  </si>
  <si>
    <t>HMDB0252371</t>
  </si>
  <si>
    <t>CC(CF)NCC(O)COC1=CC=CC2=C1C1=CC=CC=C1N2</t>
  </si>
  <si>
    <t>QHLGXPUIUKSADT-UHFFFAOYSA-N</t>
  </si>
  <si>
    <t>C18H21FN2O2</t>
  </si>
  <si>
    <t>6.90_539.3587m/z</t>
  </si>
  <si>
    <t>Ethylene Brassylate</t>
  </si>
  <si>
    <t>HMDB0040459</t>
  </si>
  <si>
    <t>105-95-3</t>
  </si>
  <si>
    <t>O=C1CCCCCCCCCCCC(=O)OCCO1</t>
  </si>
  <si>
    <t>XRHCAGNSDHCHFJ-UHFFFAOYSA-N</t>
  </si>
  <si>
    <t>C15H26O4</t>
  </si>
  <si>
    <t>3.81_953.2915m/z</t>
  </si>
  <si>
    <t>Alpha-Cyclodextrin</t>
  </si>
  <si>
    <t>10016-20-3</t>
  </si>
  <si>
    <t>C(C1C2C(C(C(O1)OC3C(OC(C(C3O)O)OC4C(OC(C(C4O)O)OC5C(OC(C(C5O)O)OC6C(OC(C(C6O)O)OC7C(OC(O2)C(C7O)O)CO)CO)CO)CO)CO)O)O)O</t>
  </si>
  <si>
    <t>HFHDHCJBZVLPGP-RWMJIURBSA-N</t>
  </si>
  <si>
    <t>C36H60O30</t>
  </si>
  <si>
    <t>3.53_547.0746m/z</t>
  </si>
  <si>
    <t>Dtdp-D-Glucose</t>
  </si>
  <si>
    <t>HMDB0001328</t>
  </si>
  <si>
    <t>C00842</t>
  </si>
  <si>
    <t>ko00521,ko00523,ko00525,ko00541,ko01055</t>
  </si>
  <si>
    <t>Streptomycin biosynthesis|Polyketide sugar unit biosynthesis|Acarbose and validamycin biosynthesis|O-Antigen nucleotide sugar biosynthesis|Biosynthesis of vancomycin group antibiotics</t>
  </si>
  <si>
    <t>2196-62-5</t>
  </si>
  <si>
    <t>CC1=CN([C@H]2C[C@H](O)[C@@H](COP(O)(=O)OP(O)(=O)O[C@H]3O[C@H](CO)[C@@H](O)[C@H](O)[C@H]3O)O2)C(=O)NC1=O</t>
  </si>
  <si>
    <t>YSYKRGRSMLTJNL-URARBOGNSA-N</t>
  </si>
  <si>
    <t>C16H26N2O16P2</t>
  </si>
  <si>
    <t>1.50_270.0608m/z</t>
  </si>
  <si>
    <t>Gamma-Glutamyl-2-Aminobutyrate</t>
  </si>
  <si>
    <t>HMDB0242176</t>
  </si>
  <si>
    <t>CCC(NC(=O)CCC([NH3+])C([O-])=O)C([O-])=O</t>
  </si>
  <si>
    <t>FUZOZPRKGAXGOB-UHFFFAOYSA-M</t>
  </si>
  <si>
    <t>C9H15N2O5-</t>
  </si>
  <si>
    <t>8.27_593.2529m/z</t>
  </si>
  <si>
    <t>[D-Met2, Pro5]-Enkephalinamide</t>
  </si>
  <si>
    <t>HMDB0247158</t>
  </si>
  <si>
    <t>CSCCC(NC(=O)C(N)CC1=CC=C(O)C=C1)C(=O)NCC(=O)NC(CC1=CC=CC=C1)C(=O)N1CCCC1C(N)=O</t>
  </si>
  <si>
    <t>UIRWGVLTPPSGEN-UHFFFAOYSA-N</t>
  </si>
  <si>
    <t>C30H40N6O6S</t>
  </si>
  <si>
    <t>1.06_327.1294m/z</t>
  </si>
  <si>
    <t>L-Fucose</t>
  </si>
  <si>
    <t>HMDB0000174</t>
  </si>
  <si>
    <t>C01019</t>
  </si>
  <si>
    <t>ko00051,ko00520,ko02020,ko02024,ko04625</t>
  </si>
  <si>
    <t>Fructose and mannose metabolism|Amino sugar and nucleotide sugar metabolism|Two-component system|Quorum sensing|C-type lectin receptor signaling pathway</t>
  </si>
  <si>
    <t>6696-41-9</t>
  </si>
  <si>
    <t>C[C@@H]1O[C@@H](O)[C@@H](O)[C@H](O)[C@@H]1O</t>
  </si>
  <si>
    <t>SHZGCJCMOBCMKK-SXUWKVJYSA-N</t>
  </si>
  <si>
    <t>C6H12O5</t>
  </si>
  <si>
    <t>3.95_538.1341n</t>
  </si>
  <si>
    <t>Limocitrol 3-Glucoside</t>
  </si>
  <si>
    <t>HMDB0037690</t>
  </si>
  <si>
    <t>77133-42-7</t>
  </si>
  <si>
    <t>COC1=C(O)C=CC(=C1)C1=C(OC2OC(CO)C(O)C(O)C2O)C(=O)C2=C(O)C(OC)=C(O)C(OC)=C2O1</t>
  </si>
  <si>
    <t>PRBUAZIWXABBBW-UHFFFAOYSA-N</t>
  </si>
  <si>
    <t>C24H26O14</t>
  </si>
  <si>
    <t>14.15_477.3934m/z</t>
  </si>
  <si>
    <t>Lobophysterol D</t>
  </si>
  <si>
    <t>LMST01060034</t>
  </si>
  <si>
    <t>C1C[C@H](O)C[C@]2(O)[C@H](O)C[C@@]3([H])[C@]4([H])CC[C@]([H])([C@H](C)[C@H]5C[C@]5(C)[C@H](C)C(C)C)[C@@]4(C)[C@@H](O)C[C@]3([H])[C@@]12C</t>
  </si>
  <si>
    <t>FQRVYQKVENRSNI-COZHLPQQSA-N</t>
  </si>
  <si>
    <t>0.61_195.0316m/z</t>
  </si>
  <si>
    <t>3-Indoleacetonitrile</t>
  </si>
  <si>
    <t>HMDB0006524</t>
  </si>
  <si>
    <t>C02938</t>
  </si>
  <si>
    <t>771-51-7</t>
  </si>
  <si>
    <t>N#CCC1=CNC2=C1C=CC=C2</t>
  </si>
  <si>
    <t>DMCPFOBLJMLSNX-UHFFFAOYSA-N</t>
  </si>
  <si>
    <t>C10H8N2</t>
  </si>
  <si>
    <t>4.84_399.0306m/z</t>
  </si>
  <si>
    <t>5-(5-Iodo-4-Methoxy-2-Propan-2-Ylphenoxy)Pyrimidine-2,4-Diamine</t>
  </si>
  <si>
    <t>HMDB0247533</t>
  </si>
  <si>
    <t>COC1=C(I)C=C(OC2=CN=C(N)N=C2N)C(=C1)C(C)C</t>
  </si>
  <si>
    <t>AATPYXMXFBBKFO-UHFFFAOYSA-N</t>
  </si>
  <si>
    <t>C14H17IN4O2</t>
  </si>
  <si>
    <t>10.39_681.3490m/z</t>
  </si>
  <si>
    <t>1-Pentyl-3-(1-Naphthoyl)Indole</t>
  </si>
  <si>
    <t>HMDB0243989</t>
  </si>
  <si>
    <t>209414-07-3</t>
  </si>
  <si>
    <t>CCCCCN1C=C(C(=O)C2=CC=CC3=CC=CC=C23)C2=CC=CC=C12</t>
  </si>
  <si>
    <t>JDNLPKCAXICMBW-UHFFFAOYSA-N</t>
  </si>
  <si>
    <t>C24H23NO</t>
  </si>
  <si>
    <t>11.56_419.3515m/z</t>
  </si>
  <si>
    <t>(20r,22r)-20,22-Dihydroxycholesterol</t>
  </si>
  <si>
    <t>LMST01010200</t>
  </si>
  <si>
    <t>C05501</t>
  </si>
  <si>
    <t>[C@]12(C)CC[C@@]3([H])[C@@]([H])(CC=C4C[C@@H](O)CC[C@]34C)[C@]1([H])CC[C@]2([H])[C@](O)(C)[C@H](O)CCC(C)C</t>
  </si>
  <si>
    <t>ISBSSBGEYIBVTO-TYKWNDPBSA-N</t>
  </si>
  <si>
    <t>8.71_469.2635m/z</t>
  </si>
  <si>
    <t>Camicinal</t>
  </si>
  <si>
    <t>HMDB0249573</t>
  </si>
  <si>
    <t>CC1CN(CC2=CC=C(CC(=O)N3CCC(CC3)NC3=CC(F)=CC=C3)C=C2)CCN1</t>
  </si>
  <si>
    <t>RZKDEGZIFSJVNA-UHFFFAOYSA-N</t>
  </si>
  <si>
    <t>C25H33FN4O</t>
  </si>
  <si>
    <t>9.79_611.2459m/z</t>
  </si>
  <si>
    <t>Sandoricin</t>
  </si>
  <si>
    <t>HMDB0037555</t>
  </si>
  <si>
    <t>133585-55-4</t>
  </si>
  <si>
    <t>COC(=O)CC1C(C)(C)C(CC2OC34C(O)C(=O)OC(C5=COC=C5)C3(C)C(CC(C4=C)C12C)OC(C)=O)OC(C)=O</t>
  </si>
  <si>
    <t>FPZCLGWPFTXULY-UHFFFAOYSA-N</t>
  </si>
  <si>
    <t>C31H40O11</t>
  </si>
  <si>
    <t>4.92_388.0285m/z</t>
  </si>
  <si>
    <t>3',6'-Dihydroxy-6-Isothiocyanatospiro[Isobenzofuran-1(3h),9'-[9h]Xanthen]-3-One</t>
  </si>
  <si>
    <t>HMDB0246164</t>
  </si>
  <si>
    <t>OC1=CC2=C(C=C1)C1(OC(=O)C3=C1C=CC=C3N=C=S)C1=C(O2)C=C(O)C=C1</t>
  </si>
  <si>
    <t>NUKUMXUIWPGENW-UHFFFAOYSA-N</t>
  </si>
  <si>
    <t>C21H11NO5S</t>
  </si>
  <si>
    <t>3.54_330.1274m/z</t>
  </si>
  <si>
    <t>Bisnor-(+)-S-145</t>
  </si>
  <si>
    <t>HMDB0249272</t>
  </si>
  <si>
    <t>OC(=O)CC=CCC1C2CCC(C2)C1N[P+](O)([O-])C1=CC=CC=C1</t>
  </si>
  <si>
    <t>GQHYNFATEMQPAZ-UHFFFAOYSA-N</t>
  </si>
  <si>
    <t>C18H24NO4P</t>
  </si>
  <si>
    <t>11.03_587.3433m/z</t>
  </si>
  <si>
    <t>Cinchonine</t>
  </si>
  <si>
    <t>C06528</t>
  </si>
  <si>
    <t>118-10-5</t>
  </si>
  <si>
    <t>C=CC1CN2CCC1CC2C(C3=CC=NC4=CC=CC=C34)O</t>
  </si>
  <si>
    <t>KMPWYEUPVWOPIM-QAMTZSDWSA-N</t>
  </si>
  <si>
    <t>C19H22N2O</t>
  </si>
  <si>
    <t>5.07_402.2158m/z</t>
  </si>
  <si>
    <t>Cp-401387</t>
  </si>
  <si>
    <t>CCC1=NN(C2=C1C=CC(=C2)C3(CCC(CC3)C(=O)O)C#N)C4CCCCC4</t>
  </si>
  <si>
    <t>PRUGWHGQBHEDAX-UHFFFAOYSA-N</t>
  </si>
  <si>
    <t>C23H29N3O2</t>
  </si>
  <si>
    <t>10.04_311.2215m/z</t>
  </si>
  <si>
    <t>Undecanoylcholine</t>
  </si>
  <si>
    <t>HMDB0013322</t>
  </si>
  <si>
    <t>LMFA07011030</t>
  </si>
  <si>
    <t>[N+](C)(C)(C)CCOC(=O)CCCCCCCCCC</t>
  </si>
  <si>
    <t>WAKLSXXFSACOOZ-UHFFFAOYSA-N</t>
  </si>
  <si>
    <t>C16H34NO2+</t>
  </si>
  <si>
    <t>1.40_497.1835m/z</t>
  </si>
  <si>
    <t>N-[2-(Diacetylamino)-3-(4-Isothiocyanatophenyl)Propyl]-N-[2-(Diacetylamino)Propyl]Acetamide</t>
  </si>
  <si>
    <t>HMDB0244607</t>
  </si>
  <si>
    <t>CC(CN(CC(CC1=CC=C(C=C1)N=C=S)N(C(C)=O)C(C)=O)C(C)=O)N(C(C)=O)C(C)=O</t>
  </si>
  <si>
    <t>XKWMWKSTOBNCPW-UHFFFAOYSA-N</t>
  </si>
  <si>
    <t>C23H30N4O5S</t>
  </si>
  <si>
    <t>11.50_530.3603n</t>
  </si>
  <si>
    <t>Acinospesigenin A</t>
  </si>
  <si>
    <t>LMPR0106160001</t>
  </si>
  <si>
    <t>C1C[C@]2(C)C3[C@H](O)C[C@@]4(C)[C@]5([H])CC(C)(C)CC[C@]5(C(=O)O)CC=C4[C@]3(C)CCC2[C@@](CO)(C)[C@H]1OC(=O)C</t>
  </si>
  <si>
    <t>JJFCAFYUQNMBBV-PGHFESOESA-N</t>
  </si>
  <si>
    <t>C32H50O6</t>
  </si>
  <si>
    <t>5.56_534.2705m/z</t>
  </si>
  <si>
    <t>Icas#20</t>
  </si>
  <si>
    <t>LMFA13040118</t>
  </si>
  <si>
    <t>O([C@@H](CCCCCCCCCC(=O)O)C)[C@H]1[C@H](O)C[C@@H](OC(=O)C2=CNC3C=CC=CC=32)[C@H](C)O1</t>
  </si>
  <si>
    <t>AFPJDDPSVYDRDB-DRONAGRDSA-N</t>
  </si>
  <si>
    <t>C27H39NO7</t>
  </si>
  <si>
    <t>0.78_241.1181m/z</t>
  </si>
  <si>
    <t>Bendiocarb</t>
  </si>
  <si>
    <t>HMDB0248947</t>
  </si>
  <si>
    <t>C14433</t>
  </si>
  <si>
    <t>22781-23-3</t>
  </si>
  <si>
    <t>CNC(=O)OC1=CC=CC2=C1OC(C)(C)O2</t>
  </si>
  <si>
    <t>XEGGRYVFLWGFHI-UHFFFAOYSA-N</t>
  </si>
  <si>
    <t>3.93_367.0972m/z</t>
  </si>
  <si>
    <t>1,2-Naphthalenedicarboxaldehyde</t>
  </si>
  <si>
    <t>HMDB0244100</t>
  </si>
  <si>
    <t>O=CC1=C(C=O)C2=CC=CC=C2C=C1</t>
  </si>
  <si>
    <t>WMPJPAMWRAOQSU-UHFFFAOYSA-N</t>
  </si>
  <si>
    <t>C12H8O2</t>
  </si>
  <si>
    <t>3.64_574.0767m/z</t>
  </si>
  <si>
    <t>Alamifovir</t>
  </si>
  <si>
    <t>HMDB0248100</t>
  </si>
  <si>
    <t>COC1=CC=C(SC2=NC(N)=NC3=C2N=CN3CCOCP(=O)(OCC(F)(F)F)OCC(F)(F)F)C=C1</t>
  </si>
  <si>
    <t>VDBGPMJFHCJMOL-UHFFFAOYSA-N</t>
  </si>
  <si>
    <t>C19H20F6N5O5PS</t>
  </si>
  <si>
    <t>8.47_729.2764m/z</t>
  </si>
  <si>
    <t>Ampicilloyl</t>
  </si>
  <si>
    <t>HMDB0248360</t>
  </si>
  <si>
    <t>CC(=O)C(NC(=O)C(N)C1=CC=CC=C1)C1NC(C(O)=O)C(C)(C)S1</t>
  </si>
  <si>
    <t>LHQGUVYDQAGQQB-UHFFFAOYSA-N</t>
  </si>
  <si>
    <t>C17H23N3O4S</t>
  </si>
  <si>
    <t>10.83_277.1797m/z</t>
  </si>
  <si>
    <t>Cyclandelate</t>
  </si>
  <si>
    <t>HMDB0015586</t>
  </si>
  <si>
    <t>456-59-7</t>
  </si>
  <si>
    <t>CC1CC(CC(C)(C)C1)OC(=O)C(O)C1=CC=CC=C1</t>
  </si>
  <si>
    <t>WZHCOOQXZCIUNC-UHFFFAOYSA-N</t>
  </si>
  <si>
    <t>C17H24O3</t>
  </si>
  <si>
    <t>11.33_617.4196m/z</t>
  </si>
  <si>
    <t>Crassostrea Secocarotenoid</t>
  </si>
  <si>
    <t>HMDB0037789</t>
  </si>
  <si>
    <t>256505-51-8</t>
  </si>
  <si>
    <t>CC1CC(CC(C)=O)OC1(C)CC(=O)C(\C)=C\C=C\C(\C)=C\C=C\C=C(/C)\C=C\C=C(/C)\C=C\C12OC(CC1(C)C)CC2(C)O</t>
  </si>
  <si>
    <t>YCHOPPKXFCUQHM-OMSIYMKDSA-N</t>
  </si>
  <si>
    <t>9.86_959.4781m/z</t>
  </si>
  <si>
    <t>PGP(20:1(11Z)/20:3(5Z,8Z,11Z)-O(14R,15S))</t>
  </si>
  <si>
    <t>HMDB0273223</t>
  </si>
  <si>
    <t>[H][C@](O)(COP(O)(O)=O)COP(O)(=O)OC[C@@]([H])(COC(=O)CCCCCCCCC\C=C/CCCCCCCC)OC(=O)CCC\C=C/C\C=C/C\C=C/CC1OC1CCCCC</t>
  </si>
  <si>
    <t>HZFXSYNEPDPRNB-NFDOJRONSA-N</t>
  </si>
  <si>
    <t>C46H82O14P2</t>
  </si>
  <si>
    <t>14.79_759.6082m/z</t>
  </si>
  <si>
    <t>Dracontioside A</t>
  </si>
  <si>
    <t>LMSP05010040</t>
  </si>
  <si>
    <t>[C@](CO[C@H]1[C@H](O)[C@@H](O)[C@H](O)[C@@H](CO)O1)([H])(NC([C@@H](O)CCCCCCCCCCCCCCCC)=O)[C@]([H])(O)/C=C/CC/C=C/CCCCCCCCC</t>
  </si>
  <si>
    <t>BLFKVICPDXPVLY-DOZKJZEISA-N</t>
  </si>
  <si>
    <t>C42H79NO9</t>
  </si>
  <si>
    <t>0.73_272.1125m/z</t>
  </si>
  <si>
    <t>L-Phosphoarginine</t>
  </si>
  <si>
    <t>HMDB0029438</t>
  </si>
  <si>
    <t>C05945</t>
  </si>
  <si>
    <t>1189-11-3</t>
  </si>
  <si>
    <t>NC(CCCNC(=N)NP(O)(O)=O)C(O)=O</t>
  </si>
  <si>
    <t>CCTIOCVIZPCTGO-UHFFFAOYSA-N</t>
  </si>
  <si>
    <t>C6H15N4O5P</t>
  </si>
  <si>
    <t>6.16_641.2375m/z</t>
  </si>
  <si>
    <t>Tetragastrin</t>
  </si>
  <si>
    <t>HMDB0005775</t>
  </si>
  <si>
    <t>1947-37-1</t>
  </si>
  <si>
    <t>CSCC[C@H](NC(=O)[C@@H](N)CC1=CNC2=CC=CC=C12)C(=O)N[C@@H](CC(O)=O)C(=O)N[C@@H](CC1=CC=CC=C1)C(N)=O</t>
  </si>
  <si>
    <t>RGYLYUZOGHTBRF-BIHRQFPBSA-N</t>
  </si>
  <si>
    <t>C29H36N6O6S</t>
  </si>
  <si>
    <t>4.22_901.2561m/z</t>
  </si>
  <si>
    <t>Rigosertib</t>
  </si>
  <si>
    <t>HMDB0257229</t>
  </si>
  <si>
    <t>COC1=CC(OC)=C(C=CS(=O)(=O)CC2=CC(NCC(O)=O)=C(OC)C=C2)C(OC)=C1</t>
  </si>
  <si>
    <t>OWBFCJROIKNMGD-UHFFFAOYSA-N</t>
  </si>
  <si>
    <t>C21H25NO8S</t>
  </si>
  <si>
    <t>9.77_345.2070m/z</t>
  </si>
  <si>
    <t>Carnosic Acid 12-Methyl Ether</t>
  </si>
  <si>
    <t>HMDB0302940</t>
  </si>
  <si>
    <t>COC1=C(O)C2=C(CCC3C2C(CCC3(C)C)C(O)=O)C=C1C(C)C</t>
  </si>
  <si>
    <t>LGAMCBOKOMIWEL-UHFFFAOYSA-N</t>
  </si>
  <si>
    <t>4.88_393.2128m/z</t>
  </si>
  <si>
    <t>Bhas#18</t>
  </si>
  <si>
    <t>LMFA13040051</t>
  </si>
  <si>
    <t>O([C@@H](CCCCCC[C@@H](O)CC(=O)O)C)[C@H]1[C@H](O)C[C@@H](O)[C@H](C)O1</t>
  </si>
  <si>
    <t>NJSZAOQCCDFSCR-DZGCXMPZSA-N</t>
  </si>
  <si>
    <t>C17H32O7</t>
  </si>
  <si>
    <t>10.96_331.2841m/z</t>
  </si>
  <si>
    <t>Mg(16:0/0:0/0:0)[Rac]</t>
  </si>
  <si>
    <t>HMDB0245964</t>
  </si>
  <si>
    <t>LMGL01010001</t>
  </si>
  <si>
    <t>542-44-9</t>
  </si>
  <si>
    <t>OCC([H])(O)COC(CCCCCCCCCCCCCCC)=O</t>
  </si>
  <si>
    <t>QHZLMUACJMDIAE-UHFFFAOYSA-N</t>
  </si>
  <si>
    <t>C19H38O4</t>
  </si>
  <si>
    <t>6.38_245.1897m/z</t>
  </si>
  <si>
    <t>3-Methoxy-5-Pentyl-2-Prenylphenol</t>
  </si>
  <si>
    <t>CCCCCC1=CC(=C(C(=C1)OC)CC=C(C)C)O</t>
  </si>
  <si>
    <t>FCNLMUQPSJEBQE-UHFFFAOYSA-N</t>
  </si>
  <si>
    <t>C17H26O2</t>
  </si>
  <si>
    <t>1.70_130.9664m/z</t>
  </si>
  <si>
    <t>Cis-3-Chloro-2-Propene-1-Ol</t>
  </si>
  <si>
    <t>HMDB0060456</t>
  </si>
  <si>
    <t>C06612</t>
  </si>
  <si>
    <t>ko00625</t>
  </si>
  <si>
    <t>Chloroalkane and chloroalkene degradation</t>
  </si>
  <si>
    <t>OC\C=C/Cl</t>
  </si>
  <si>
    <t>HJGHXDNIPAWLLE-UPHRSURJSA-N</t>
  </si>
  <si>
    <t>Vinyl chlorides</t>
  </si>
  <si>
    <t>C3H5ClO</t>
  </si>
  <si>
    <t>4.88_513.1767m/z</t>
  </si>
  <si>
    <t>Dukunolide D</t>
  </si>
  <si>
    <t>HMDB0035732</t>
  </si>
  <si>
    <t>101560-02-5</t>
  </si>
  <si>
    <t>CC12OC(=O)CC1C(C)(C)C(=O)C1(O)CC3=CCCC4(C)C(OC(=O)C(=C34)C21O)C1=COC=C1</t>
  </si>
  <si>
    <t>WUQGZJQZKDLECQ-UHFFFAOYSA-N</t>
  </si>
  <si>
    <t>4.40_239.2115m/z</t>
  </si>
  <si>
    <t>Tapentadol</t>
  </si>
  <si>
    <t>CCC(C1=CC(=CC=C1)O)C(C)CN(C)C</t>
  </si>
  <si>
    <t>KWTWDQCKEHXFFR-SMDDNHRTSA-N</t>
  </si>
  <si>
    <t>C14H23NO</t>
  </si>
  <si>
    <t>9.88_913.5775m/z</t>
  </si>
  <si>
    <t>PI(16:0/22:2(13Z,16Z))</t>
  </si>
  <si>
    <t>HMDB0009791</t>
  </si>
  <si>
    <t>[H][C@@](COC(=O)CCCCCCCCCCCCCCC)(COP(O)(=O)O[C@H]1C(O)C(O)C(O)[C@@H](O)C1O)OC(=O)CCCCCCCCCCC\C=C/C\C=C/CCCCC</t>
  </si>
  <si>
    <t>LVTHUJDMZSSKKX-HOPZLNLWSA-N</t>
  </si>
  <si>
    <t>C47H87O13P</t>
  </si>
  <si>
    <t>9.80_359.2210m/z</t>
  </si>
  <si>
    <t>Resolvin D1</t>
  </si>
  <si>
    <t>HMDB03733</t>
  </si>
  <si>
    <t>LMFA04030011</t>
  </si>
  <si>
    <t>C18178</t>
  </si>
  <si>
    <t>872993-05-0</t>
  </si>
  <si>
    <t>C(CC/C=C\C[C@H](O)[C@H](O)/C=C/C=C/C=C\C=C\[C@@H](O)C/C=C\CC)(=O)O</t>
  </si>
  <si>
    <t>OIWTWACQMDFHJG-CCFUIAGSSA-N</t>
  </si>
  <si>
    <t>8.11_653.3182m/z</t>
  </si>
  <si>
    <t>Jwh 015</t>
  </si>
  <si>
    <t>155471-08-2</t>
  </si>
  <si>
    <t>CCCN1C(=C(C2=CC=CC=C21)C(=O)C3=CC=CC4=CC=CC=C43)C</t>
  </si>
  <si>
    <t>LJSBBBWQTLXQEN-UHFFFAOYSA-N</t>
  </si>
  <si>
    <t>C23H21NO</t>
  </si>
  <si>
    <t>14.61_581.4059m/z</t>
  </si>
  <si>
    <t>DG(10:0/PGF2alpha/0:0)</t>
  </si>
  <si>
    <t>HMDB0294465</t>
  </si>
  <si>
    <t>CCCCCCCCCC(=O)OC[C@H](CO)OC(=O)CCC\C=C\C[C@H]1[C@@H](O)C[C@@H](O)[C@@H]1\C=C\[C@@H](O)CCCCC</t>
  </si>
  <si>
    <t>QLEWOWIZJILRIY-YOSQQCAHSA-N</t>
  </si>
  <si>
    <t>C33H58O8</t>
  </si>
  <si>
    <t>5.94_503.1558m/z</t>
  </si>
  <si>
    <t>7-Hydroxy-5,4'-Dimethoxy-8-Methylisoflavone 7-O-Rhamnoside</t>
  </si>
  <si>
    <t>LMPK12050339</t>
  </si>
  <si>
    <t>O([C@H]1[C@H](O)[C@H](O)[C@@H](O)[C@H](C)O1)C1C=C(OC)C2C(=O)C(C3C=CC(OC)=CC=3)=COC=2C=1C</t>
  </si>
  <si>
    <t>FBUPXHQDNXCVLC-AISPUCENSA-N</t>
  </si>
  <si>
    <t>C24H26O9</t>
  </si>
  <si>
    <t>3.79_533.1480m/z</t>
  </si>
  <si>
    <t>3,6,9,12-Tetraazatetradecanedioic Acid, 3,6,9,12-Tetrakis(Carboxymethyl)-</t>
  </si>
  <si>
    <t>HMDB0247535</t>
  </si>
  <si>
    <t>OC(=O)CN(CCN(CCN(CC(O)=O)CC(O)=O)CC(O)=O)CCN(CC(O)=O)CC(O)=O</t>
  </si>
  <si>
    <t>RAEOEMDZDMCHJA-UHFFFAOYSA-N</t>
  </si>
  <si>
    <t>C18H30N4O12</t>
  </si>
  <si>
    <t>9.15_379.2102m/z</t>
  </si>
  <si>
    <t>N-Methylserotonin</t>
  </si>
  <si>
    <t>HMDB0004369</t>
  </si>
  <si>
    <t>C06212</t>
  </si>
  <si>
    <t>1134-01-6</t>
  </si>
  <si>
    <t>CNCCC1=CNC2=C1C=C(O)C=C2</t>
  </si>
  <si>
    <t>ASUSBMNYRHGZIG-UHFFFAOYSA-N</t>
  </si>
  <si>
    <t>C11H14N2O</t>
  </si>
  <si>
    <t>4.76_913.4842m/z</t>
  </si>
  <si>
    <t>PGP(16:0/20:3(6,8,11)-OH(5))</t>
  </si>
  <si>
    <t>HMDB0272390</t>
  </si>
  <si>
    <t>[H][C@](O)(COP(O)(O)=O)COP(O)(=O)OC[C@@]([H])(COC(=O)CCCCCCCCCCCCCCC)OC(=O)CCCC(O)\C=C\C=C\C\C=C\CCCCCCCC</t>
  </si>
  <si>
    <t>KJMVBPDLZHLODN-MBXSOUAISA-N</t>
  </si>
  <si>
    <t>C42H78O14P2</t>
  </si>
  <si>
    <t>4.82_456.1260m/z</t>
  </si>
  <si>
    <t>Tolmetin Glucuronide</t>
  </si>
  <si>
    <t>HMDB0042044</t>
  </si>
  <si>
    <t>71595-19-2</t>
  </si>
  <si>
    <t>CN1C(CC(=O)O[C@@H]2O[C@@H]([C@@H](O)[C@H](O)[C@H]2O)C(O)=O)=CC=C1C(=O)C1=CC=C(C)C=C1</t>
  </si>
  <si>
    <t>MEFIGCPEYJZFFC-ZFORQUDYSA-N</t>
  </si>
  <si>
    <t>C21H23NO9</t>
  </si>
  <si>
    <t>1.66_361.1138m/z</t>
  </si>
  <si>
    <t>8-Hydroxy-7-Methylguanine</t>
  </si>
  <si>
    <t>HMDB0006037</t>
  </si>
  <si>
    <t>1688-85-3</t>
  </si>
  <si>
    <t>CN1C(=O)NC2=C1C(=O)N=C(N)N2</t>
  </si>
  <si>
    <t>VHPXSVXJBWZORQ-UHFFFAOYSA-N</t>
  </si>
  <si>
    <t>C6H7N5O2</t>
  </si>
  <si>
    <t>4.56_463.2549m/z</t>
  </si>
  <si>
    <t>1,2-Dibutyrin</t>
  </si>
  <si>
    <t>HMDB0304007</t>
  </si>
  <si>
    <t>CCCC(=O)OCC(CO)OC(=O)CCC</t>
  </si>
  <si>
    <t>AWHAUPZHZYUHOM-UHFFFAOYSA-N</t>
  </si>
  <si>
    <t>C11H20O5</t>
  </si>
  <si>
    <t>5.30_393.1093m/z</t>
  </si>
  <si>
    <t>3-[3-Fluoro-4-[6-(2-Methyl-2h-Tetrazol-5-Yl)-3-Pyridinyl]Phenyl]-5-(Hydroxymethyl)-2-Oxazolidinone</t>
  </si>
  <si>
    <t>HMDB0245794</t>
  </si>
  <si>
    <t>CN1N=NC(=N1)C1=NC=C(C=C1)C1=C(F)C=C(C=C1)N1CC(CO)OC1=O</t>
  </si>
  <si>
    <t>XFALPSLJIHVRKE-UHFFFAOYSA-N</t>
  </si>
  <si>
    <t>C17H15FN6O3</t>
  </si>
  <si>
    <t>4.44_925.4069m/z</t>
  </si>
  <si>
    <t>Tafenoquine</t>
  </si>
  <si>
    <t>HMDB0258678</t>
  </si>
  <si>
    <t>COC1=NC2=C(C(C)=C1)C(OC1=CC=CC(=C1)C(F)(F)F)=C(OC)C=C2NC(C)CCCN</t>
  </si>
  <si>
    <t>LBHLFPGPEGDCJG-UHFFFAOYSA-N</t>
  </si>
  <si>
    <t>C24H28F3N3O3</t>
  </si>
  <si>
    <t>4.35_272.1774n</t>
  </si>
  <si>
    <t>3,5-Diprenyl-4-Hydroxyacetophenone</t>
  </si>
  <si>
    <t>41607-43-6</t>
  </si>
  <si>
    <t>CC(=CCC1=CC(=CC(=C1O)CC=C(C)C)C(=O)C)C</t>
  </si>
  <si>
    <t>XVTRUNNIGJWXKK-UHFFFAOYSA-N</t>
  </si>
  <si>
    <t>C18H24O2</t>
  </si>
  <si>
    <t>3.75_433.1475m/z</t>
  </si>
  <si>
    <t>Captopril</t>
  </si>
  <si>
    <t>HMDB0015328</t>
  </si>
  <si>
    <t>62571-86-2</t>
  </si>
  <si>
    <t>C[C@H](CS)C(=O)N1CCC[C@H]1C(O)=O</t>
  </si>
  <si>
    <t>FAKRSMQSSFJEIM-RQJHMYQMSA-N</t>
  </si>
  <si>
    <t>C9H15NO3S</t>
  </si>
  <si>
    <t>6.11_531.2051m/z</t>
  </si>
  <si>
    <t>Urb754</t>
  </si>
  <si>
    <t>86672-58-4</t>
  </si>
  <si>
    <t>CC1=CC=C(C=C1)NC2=NC3=C(C=C(C=C3)C)C(=O)O2</t>
  </si>
  <si>
    <t>GFWNGVKCDGYFKG-UHFFFAOYSA-N</t>
  </si>
  <si>
    <t>C16H14N2O2</t>
  </si>
  <si>
    <t>4.36_911.4233m/z</t>
  </si>
  <si>
    <t>PGP(16:1(9Z)/22:6(4Z,7Z,10Z,13Z,16Z,19Z))</t>
  </si>
  <si>
    <t>HMDB0013501</t>
  </si>
  <si>
    <t>CCCCCC\C=C/CCCCCCCC(=O)OC[C@]([H])(COP(=O)(O)OC[C@@]([H])(O)COP(=O)(O)O)OC(=O)CC\C=C/C\C=C/C\C=C/C\C=C/C\C=C/C\C=C/CC</t>
  </si>
  <si>
    <t>RYPDXCMWYJTYPM-BHJRESQJSA-N</t>
  </si>
  <si>
    <t>C44H74O13P2</t>
  </si>
  <si>
    <t>4.67_283.1549m/z</t>
  </si>
  <si>
    <t>Geranyl Acetoacetate</t>
  </si>
  <si>
    <t>HMDB0038256</t>
  </si>
  <si>
    <t>LMFA07010896</t>
  </si>
  <si>
    <t>10032-00-5</t>
  </si>
  <si>
    <t>C/C(=C\CC/C(=C\COC(=O)CC(=O)C)/C)/C</t>
  </si>
  <si>
    <t>RYILZWKGLGVPOC-WQLSENKSSA-N</t>
  </si>
  <si>
    <t>14.31_669.4688m/z</t>
  </si>
  <si>
    <t>DG(16:0/PGJ2/0:0)</t>
  </si>
  <si>
    <t>HMDB0295463</t>
  </si>
  <si>
    <t>CCCCCCCCCCCCCCCC(=O)OC[C@H](CO)OC(=O)CCC\C=C/C[C@H]1C=CC(=O)[C@@H]1\C=C\[C@@H](O)CCCCC</t>
  </si>
  <si>
    <t>MDXPRRYIIVUAMT-LBXLQPMRSA-N</t>
  </si>
  <si>
    <t>C39H66O7</t>
  </si>
  <si>
    <t>8.01_211.1333m/z</t>
  </si>
  <si>
    <t>9z-Traumatiin</t>
  </si>
  <si>
    <t>LMFA01060167</t>
  </si>
  <si>
    <t>C16311</t>
  </si>
  <si>
    <t>C(CCCCCCC/C=C\CC=O)(=O)O</t>
  </si>
  <si>
    <t>KIHXTOVLSZRTHJ-ALCCZGGFSA-N</t>
  </si>
  <si>
    <t>9.82_307.1881m/z</t>
  </si>
  <si>
    <t>Tetranorprostanedioic Acid</t>
  </si>
  <si>
    <t>HMDB0258926</t>
  </si>
  <si>
    <t>OC(=O)CCCCCCCC1CCCC1CCC(O)=O</t>
  </si>
  <si>
    <t>VDSTWEBFEFGHLI-UHFFFAOYSA-N</t>
  </si>
  <si>
    <t>C16H28O4</t>
  </si>
  <si>
    <t>5.97_435.2158m/z</t>
  </si>
  <si>
    <t>(2s)-2'-Methoxykurarinone</t>
  </si>
  <si>
    <t>LMPK12140500</t>
  </si>
  <si>
    <t>C1(O)C(C[C@H](C(C)=C)C/C=C(/C)\C)=C2O[C@H](C3C=CC(O)=CC=3OC)CC(=O)C2=C(OC)C=1</t>
  </si>
  <si>
    <t>KTAQQSUPNZAWEY-OSPHWJPCSA-N</t>
  </si>
  <si>
    <t>5.85_220.1462n</t>
  </si>
  <si>
    <t>Tetradecan-7,9-Diynoic Acid</t>
  </si>
  <si>
    <t>LMFA01031094</t>
  </si>
  <si>
    <t>C(CCCCCC#CC#CCCCC)(=O)O</t>
  </si>
  <si>
    <t>UDDQRZKIDJCZJF-UHFFFAOYSA-N</t>
  </si>
  <si>
    <t>M+H, M+K, M+H-H2O</t>
  </si>
  <si>
    <t>C14H20O2</t>
  </si>
  <si>
    <t>8.91_704.3844m/z</t>
  </si>
  <si>
    <t>Fumonisin B1</t>
  </si>
  <si>
    <t>LMSP01080022</t>
  </si>
  <si>
    <t>C19241</t>
  </si>
  <si>
    <t>116355-83-0</t>
  </si>
  <si>
    <t>C[C@H](N)[C@@H](O)C[C@H](O)CCCC[C@@H](O)C[C@H](C)C[C@H](OC(=O)C[C@H](C(O)=O)CC(=O)O)[C@H](OC(=O)C[C@H](C(O)=O)CC(=O)O)[C@H](C)CCCC</t>
  </si>
  <si>
    <t>UVBUBMSSQKOIBE-DSLOAKGESA-N</t>
  </si>
  <si>
    <t>9.39_275.2006m/z</t>
  </si>
  <si>
    <t>6-[1]-Ladderane Hexanoic Acid</t>
  </si>
  <si>
    <t>LMFA01140085</t>
  </si>
  <si>
    <t>C(C1CC2C3C=CCCC3C2C=C1)CCCCC(=O)O</t>
  </si>
  <si>
    <t>ATCCBQYAUWNJQL-UHFFFAOYSA-N</t>
  </si>
  <si>
    <t>4.10_403.1243m/z</t>
  </si>
  <si>
    <t>Oleoside 11-Methyl Ester</t>
  </si>
  <si>
    <t>HMDB0041550</t>
  </si>
  <si>
    <t>60539-23-3</t>
  </si>
  <si>
    <t>COC(=O)C1=COC(OC2OC(CO)C(O)C(O)C2O)\C(=C/C)C1CC(O)=O</t>
  </si>
  <si>
    <t>XSCVKBFEPYGZSL-CLTKARDFSA-N</t>
  </si>
  <si>
    <t>C17H24O11</t>
  </si>
  <si>
    <t>5.12_347.1499m/z</t>
  </si>
  <si>
    <t>Enterodiol</t>
  </si>
  <si>
    <t>HMDB0005056</t>
  </si>
  <si>
    <t>C18166</t>
  </si>
  <si>
    <t>80226-00-2</t>
  </si>
  <si>
    <t>OC[C@H](CC1=CC(O)=CC=C1)[C@H](CO)CC1=CC(O)=CC=C1</t>
  </si>
  <si>
    <t>DWONJCNDULPHLV-HOTGVXAUSA-N</t>
  </si>
  <si>
    <t>C18H22O4</t>
  </si>
  <si>
    <t>7.72_857.3234m/z</t>
  </si>
  <si>
    <t>Bussein</t>
  </si>
  <si>
    <t>41060-14-4</t>
  </si>
  <si>
    <t>CC(C)C(=C1C2C(C(C(C34C25C(C6(C(C7(CC6(C3(C7CC(=O)OC)C)OC(O4)(O5)C)C)OC(=O)C(C)C)O)OC(=O)C)OC(=O)C)OC(=O)C)(C(OC1=O)C8=COC=C8)C)O</t>
  </si>
  <si>
    <t>KVAGRMDUXLYLAZ-ZGZXWHTRSA-N</t>
  </si>
  <si>
    <t>C43H54O18</t>
  </si>
  <si>
    <t>0.62_284.9859m/z</t>
  </si>
  <si>
    <t>Vitamin C Oxalate</t>
  </si>
  <si>
    <t>HMDB0259845</t>
  </si>
  <si>
    <t>OC1OC(=O)C(=O)OC1(O)C1OC(=O)C(O)=C1O</t>
  </si>
  <si>
    <t>OSJSRODAWHQEJB-UHFFFAOYSA-N</t>
  </si>
  <si>
    <t>C8H6O10</t>
  </si>
  <si>
    <t>5.01_516.0757m/z</t>
  </si>
  <si>
    <t>Lipoyl-Amp</t>
  </si>
  <si>
    <t>HMDB0059635</t>
  </si>
  <si>
    <t>C16238</t>
  </si>
  <si>
    <t>ko00785</t>
  </si>
  <si>
    <t>Lipoic acid metabolism</t>
  </si>
  <si>
    <t>NC1=NC=NC2=C1N=CN2[C@@H]1O[C@H](COP(O)(=O)OC(=O)CCCCC2CCSS2)[C@@H](O)[C@H]1O</t>
  </si>
  <si>
    <t>QWEGOCJRZOKSOE-NLJBGGCZSA-N</t>
  </si>
  <si>
    <t>C18H26N5O8PS2</t>
  </si>
  <si>
    <t>5.54_265.1055m/z</t>
  </si>
  <si>
    <t>N-[(2z)-2-Methoxyiminopropyl]-7h-Purin-6-Amine</t>
  </si>
  <si>
    <t>HMDB0258951</t>
  </si>
  <si>
    <t>CON=C(C)CNC1=NC=NC2=C1NC=N2</t>
  </si>
  <si>
    <t>KWKJDWTYFHVXDB-UHFFFAOYSA-N</t>
  </si>
  <si>
    <t>C9H12N6O</t>
  </si>
  <si>
    <t>5.38_819.2711m/z</t>
  </si>
  <si>
    <t>3,5,7-Trihydroxy-4'-Methoxy-8-Prenylflavone 3-[Rhamnosyl-(1-&gt;6)-Galactoside] 7-Galactoside</t>
  </si>
  <si>
    <t>HMDB0033395</t>
  </si>
  <si>
    <t>COC1=CC=C(C=C1)C1=C(OC2OC(COC3OC(C)C(O)C(O)C3O)C(O)C(O)C2O)C(=O)C2=C(O1)C(CC=C(C)C)=C(OC1OC(CO)C(O)C(O)C1O)C=C2O</t>
  </si>
  <si>
    <t>SFPBPCAQVDGNMT-UHFFFAOYSA-N</t>
  </si>
  <si>
    <t>C39H50O20</t>
  </si>
  <si>
    <t>4.33_341.1235m/z</t>
  </si>
  <si>
    <t>Ixoroside</t>
  </si>
  <si>
    <t>LMPR0102070041</t>
  </si>
  <si>
    <t>[C@@]12([H])[C@@](O)(CC[C@]1([H])C(C(=O)[H])=CO[C@H]2O[C@H]1[C@H](O)[C@H]([C@H](O)[C@@H](CO)O1)O)C</t>
  </si>
  <si>
    <t>XQUFDDXBHJINGZ-PSWNKMJPSA-N</t>
  </si>
  <si>
    <t>9.62_765.3546m/z</t>
  </si>
  <si>
    <t>Dihydrozeatin-7-N-Glucoside</t>
  </si>
  <si>
    <t>HMDB0012211</t>
  </si>
  <si>
    <t>93860-33-4</t>
  </si>
  <si>
    <t>C[C@H](CO)CCNC1=C2N(C=NC2=NC=N1)[C@@H]1O[C@H](CO)[C@@H](O)[C@H](O)[C@H]1O</t>
  </si>
  <si>
    <t>WSELIHNWDGFXRQ-CBGBLGFFSA-N</t>
  </si>
  <si>
    <t>C16H25N5O6</t>
  </si>
  <si>
    <t>7.08_571.2549m/z</t>
  </si>
  <si>
    <t>Cromakalim</t>
  </si>
  <si>
    <t>HMDB0250542</t>
  </si>
  <si>
    <t>C11819</t>
  </si>
  <si>
    <t>CC1(C)OC2=C(C=C(C=C2)C#N)C(C1O)N1CCCC1=O</t>
  </si>
  <si>
    <t>TVZCRIROJQEVOT-UHFFFAOYSA-N</t>
  </si>
  <si>
    <t>C16H18N2O3</t>
  </si>
  <si>
    <t>3.86_457.1929m/z</t>
  </si>
  <si>
    <t>Isopentyl Gentiobioside</t>
  </si>
  <si>
    <t>HMDB0041512</t>
  </si>
  <si>
    <t>178275-89-3</t>
  </si>
  <si>
    <t>CC(C)CCOC1OC(COC2OC(CO)C(O)C(O)C2O)C(O)C(O)C1O</t>
  </si>
  <si>
    <t>PPIXDGFHKZNFOD-UHFFFAOYSA-N</t>
  </si>
  <si>
    <t>C17H32O11</t>
  </si>
  <si>
    <t>5.47_391.1741m/z</t>
  </si>
  <si>
    <t>Posatirelin</t>
  </si>
  <si>
    <t>HMDB0256710</t>
  </si>
  <si>
    <t>CC(C)CC(NC(=O)C1CCCC(=O)N1)C(=O)N1CCCC1C(N)=O</t>
  </si>
  <si>
    <t>DPNGIIPSQYKWQA-UHFFFAOYSA-N</t>
  </si>
  <si>
    <t>C17H28N4O4</t>
  </si>
  <si>
    <t>3.77_300.1207n</t>
  </si>
  <si>
    <t>Salidroside</t>
  </si>
  <si>
    <t>C06046</t>
  </si>
  <si>
    <t>10338-51-9</t>
  </si>
  <si>
    <t>C1=CC(=CC=C1CCOC2C(C(C(C(O2)CO)O)O)O)O</t>
  </si>
  <si>
    <t>ILRCGYURZSFMEG-RKQHYHRCSA-N</t>
  </si>
  <si>
    <t>M+NH4, M+K, M+H-H2O</t>
  </si>
  <si>
    <t>C14H20O7</t>
  </si>
  <si>
    <t>3.86_290.1164m/z</t>
  </si>
  <si>
    <t>5-S-Cysteinyldopamine</t>
  </si>
  <si>
    <t>HMDB0246842</t>
  </si>
  <si>
    <t>NCCC1=CC(O)=C(O)C(SCC(N)C(O)=O)=C1</t>
  </si>
  <si>
    <t>BZYHBWCVRKSWDB-UHFFFAOYSA-N</t>
  </si>
  <si>
    <t>C11H16N2O4S</t>
  </si>
  <si>
    <t>5.28_555.3524m/z</t>
  </si>
  <si>
    <t>Triprolidine</t>
  </si>
  <si>
    <t>HMDB0014571</t>
  </si>
  <si>
    <t>486-12-4</t>
  </si>
  <si>
    <t>CC1=CC=C(C=C1)C(=C/CN1CCCC1)\C1=CC=CC=N1</t>
  </si>
  <si>
    <t>CBEQULMOCCWAQT-WOJGMQOQSA-N</t>
  </si>
  <si>
    <t>C19H22N2</t>
  </si>
  <si>
    <t>5.60_871.2439m/z</t>
  </si>
  <si>
    <t>Bis-(1,3-Diethylthiobarbituric Acid)Trimethine Oxonol</t>
  </si>
  <si>
    <t>HMDB0249236</t>
  </si>
  <si>
    <t>CCN1C(=O)C(C=CC=C2C(=O)N(CC)C(=S)N(CC)C2=O)C(=O)N(CC)C1=S</t>
  </si>
  <si>
    <t>VJYNRXFXHKIGLT-UHFFFAOYSA-N</t>
  </si>
  <si>
    <t>C19H24N4O4S2</t>
  </si>
  <si>
    <t>4.99_367.2122m/z</t>
  </si>
  <si>
    <t>(S)-[8]-Gingerol</t>
  </si>
  <si>
    <t>HMDB0033615</t>
  </si>
  <si>
    <t>C17495</t>
  </si>
  <si>
    <t>23513-08-8</t>
  </si>
  <si>
    <t>CCCCCCCC(O)CC(=O)CCC1=CC(OC)=C(O)C=C1</t>
  </si>
  <si>
    <t>BCIWKKMTBRYQJU-UHFFFAOYSA-N</t>
  </si>
  <si>
    <t>0.73_134.0810m/z</t>
  </si>
  <si>
    <t>3-Methyl-2-Oxo-Butanoic Acid</t>
  </si>
  <si>
    <t>HMDB0000019</t>
  </si>
  <si>
    <t>LMFA01020274</t>
  </si>
  <si>
    <t>C00141</t>
  </si>
  <si>
    <t>ko00280,ko00290,ko00770,ko00966</t>
  </si>
  <si>
    <t>Valine, leucine and isoleucine degradation|Valine, leucine and isoleucine biosynthesis|Pantothenate and CoA biosynthesis|Glucosinolate biosynthesis</t>
  </si>
  <si>
    <t>759-05-7</t>
  </si>
  <si>
    <t>C(=O)(C(=O)O)C(C)C</t>
  </si>
  <si>
    <t>QHKABHOOEWYVLI-UHFFFAOYSA-N</t>
  </si>
  <si>
    <t>Short-chain keto acids and derivatives</t>
  </si>
  <si>
    <t>C5H8O3</t>
  </si>
  <si>
    <t>5.47_601.2283m/z</t>
  </si>
  <si>
    <t>Lariciresinol-Sesquilignan</t>
  </si>
  <si>
    <t>HMDB0301744</t>
  </si>
  <si>
    <t>COC1=CC(CC2COC(C2CO)C2=CC=C(OC(CO)C(O)C3=CC=C(O)C(OC)=C3)C(OC)=C2)=CC=C1O</t>
  </si>
  <si>
    <t>MWGNJVCCJCKLGJ-UHFFFAOYSA-N</t>
  </si>
  <si>
    <t>C30H36O10</t>
  </si>
  <si>
    <t>11.92_365.1933m/z</t>
  </si>
  <si>
    <t>5-Amino-1-[(2r,3r,4s,5r)-5-[(Benzylamino)Methyl]-3,4-Dihydroxyoxolan-2-Yl]Imidazole-4-Carboxamide</t>
  </si>
  <si>
    <t>HMDB0252921</t>
  </si>
  <si>
    <t>NC(=O)C1=C(N)N(C=N1)C1OC(CNCC2=CC=CC=C2)C(O)C1O</t>
  </si>
  <si>
    <t>LECUGLHMNZTZQB-UHFFFAOYSA-N</t>
  </si>
  <si>
    <t>C16H21N5O4</t>
  </si>
  <si>
    <t>4.43_242.1516n</t>
  </si>
  <si>
    <t>(3s,5r,6r,7e)-3,5,6-Trihydroxy-7-Megastigmen-9-One</t>
  </si>
  <si>
    <t>HMDB0038736</t>
  </si>
  <si>
    <t>CC(=O)\C=C\C1(O)C(C)(C)CC(O)CC1(C)O</t>
  </si>
  <si>
    <t>QASOACWKTAXFSE-AATRIKPKSA-N</t>
  </si>
  <si>
    <t>C13H22O4</t>
  </si>
  <si>
    <t>5.26_673.2712m/z</t>
  </si>
  <si>
    <t>N(6)-Monobutyryladenosine</t>
  </si>
  <si>
    <t>HMDB0255286</t>
  </si>
  <si>
    <t>CCCC(=O)NC1=NC=NC2=C1N=CN2C1OC(CO)C(O)C1O</t>
  </si>
  <si>
    <t>NFFYGAVXFCQEOT-UHFFFAOYSA-N</t>
  </si>
  <si>
    <t>C14H19N5O5</t>
  </si>
  <si>
    <t>4.42_435.1878m/z</t>
  </si>
  <si>
    <t>S-[1-[2-(Acetyloxy)Ethyl]Butyl] Ethanethioate</t>
  </si>
  <si>
    <t>HMDB0037764</t>
  </si>
  <si>
    <t>136954-25-1</t>
  </si>
  <si>
    <t>CCCC(CCOC(C)=O)SC(C)=O</t>
  </si>
  <si>
    <t>GSJSVAFGVJLTNQ-UHFFFAOYSA-N</t>
  </si>
  <si>
    <t>Thiocarboxylic acids and derivatives</t>
  </si>
  <si>
    <t>Thioesters</t>
  </si>
  <si>
    <t>C10H18O3S</t>
  </si>
  <si>
    <t>5.01_137.0596m/z</t>
  </si>
  <si>
    <t>6-Ethyl-3-Hydroxy-2-Methyl-4-Pyrone</t>
  </si>
  <si>
    <t>HMDB0247055</t>
  </si>
  <si>
    <t>CCC1=CC(=O)C(O)=C(C)O1</t>
  </si>
  <si>
    <t>MOVXRZYRDPFMQW-UHFFFAOYSA-N</t>
  </si>
  <si>
    <t>1.73_301.0930m/z</t>
  </si>
  <si>
    <t>3-Carboxy-4-Methyl-5-(1-Hydroxypropyl)-2-Furanpropionic Acid</t>
  </si>
  <si>
    <t>LMFA01150060</t>
  </si>
  <si>
    <t>C(C)C(O)C1=C(C)C(C(=O)O)=C(CCC(=O)O)O1</t>
  </si>
  <si>
    <t>OZOJARPUDFLESM-UHFFFAOYSA-N</t>
  </si>
  <si>
    <t>C12H16O6</t>
  </si>
  <si>
    <t>7.99_193.0862m/z</t>
  </si>
  <si>
    <t>[2-(2-Methylphenyl)-1,3-Dioxolan-4-Yl]Methanol</t>
  </si>
  <si>
    <t>HMDB0059940</t>
  </si>
  <si>
    <t>CC1=CC=CC=C1C1OCC(CO)O1</t>
  </si>
  <si>
    <t>SZESZZKBJJPMKG-UHFFFAOYSA-N</t>
  </si>
  <si>
    <t>C11H14O3</t>
  </si>
  <si>
    <t>13.50_432.3599n</t>
  </si>
  <si>
    <t>Gamma-Tocopheryl Quinone</t>
  </si>
  <si>
    <t>HMDB0033998</t>
  </si>
  <si>
    <t>CC(C)CCCC(C)CCCC(C)CCCC(C)(O)CCC1=CC(=O)C(C)=C(C)C1=O</t>
  </si>
  <si>
    <t>XEXGHDCZBILZDD-UHFFFAOYSA-N</t>
  </si>
  <si>
    <t>C28H48O3</t>
  </si>
  <si>
    <t>7.80_1039.3529m/z</t>
  </si>
  <si>
    <t>Tezacaftor</t>
  </si>
  <si>
    <t>HMDB0304895</t>
  </si>
  <si>
    <t>CC(C)(CO)C1=CC2=CC(NC(=O)C3(CC3)C3=CC=C4OC(F)(F)OC4=C3)=C(F)C=C2N1C[C@@H](O)CO</t>
  </si>
  <si>
    <t>MJUVRTYWUMPBTR-MRXNPFEDSA-N</t>
  </si>
  <si>
    <t>C26H27F3N2O6</t>
  </si>
  <si>
    <t>11.67_180.1512n</t>
  </si>
  <si>
    <t>Cis-Quinceoxepane</t>
  </si>
  <si>
    <t>HMDB0038108</t>
  </si>
  <si>
    <t>133005-51-3</t>
  </si>
  <si>
    <t>CC1CCCOC(C1)\C=C/C(C)=C</t>
  </si>
  <si>
    <t>RLBHQLPVVYXAQJ-SREVYHEPSA-N</t>
  </si>
  <si>
    <t>9.75_630.3024m/z</t>
  </si>
  <si>
    <t>17-Aag</t>
  </si>
  <si>
    <t>HMDB0244762</t>
  </si>
  <si>
    <t>COC1CC(C)CC2=C(NCC=C)C(=O)C=C(NC(=O)C(C)=CC=CC(OC)C(OC(N)=O)C(C)=CC(C)C1O)C2=O</t>
  </si>
  <si>
    <t>AYUNIORJHRXIBJ-UHFFFAOYSA-N</t>
  </si>
  <si>
    <t>C31H43N3O8</t>
  </si>
  <si>
    <t>4.09_263.0526m/z</t>
  </si>
  <si>
    <t>Mannitol 1-Phosphate</t>
  </si>
  <si>
    <t>HMDB0001530</t>
  </si>
  <si>
    <t>C00644</t>
  </si>
  <si>
    <t>ko00051,ko02060</t>
  </si>
  <si>
    <t>Fructose and mannose metabolism|Phosphotransferase system (PTS)</t>
  </si>
  <si>
    <t>15806-48-1</t>
  </si>
  <si>
    <t>OC[C@@H](O)[C@@H](O)[C@H](O)[C@H](O)COP(O)(O)=O</t>
  </si>
  <si>
    <t>GACTWZZMVMUKNG-KVTDHHQDSA-N</t>
  </si>
  <si>
    <t>C6H15O9P</t>
  </si>
  <si>
    <t>4.54_382.1076m/z</t>
  </si>
  <si>
    <t>2-Naphthalenecarboxamide, 3-Hydroxy-N-(2-Methoxy-3-Dibenzofuranyl)-</t>
  </si>
  <si>
    <t>HMDB0245718</t>
  </si>
  <si>
    <t>COC1=C(NC(=O)C2=C(O)C=C3C=CC=CC3=C2)C=C2OC3=CC=CC=C3C2=C1</t>
  </si>
  <si>
    <t>CZPWGRUUELIMPA-UHFFFAOYSA-N</t>
  </si>
  <si>
    <t>Dibenzofurans</t>
  </si>
  <si>
    <t>C24H17NO4</t>
  </si>
  <si>
    <t>6.27_448.2093n</t>
  </si>
  <si>
    <t>17beta-Estradiol 3-(Beta-D-Glucuronide)</t>
  </si>
  <si>
    <t>HMDB0006224</t>
  </si>
  <si>
    <t>LMST05010007</t>
  </si>
  <si>
    <t>C05503</t>
  </si>
  <si>
    <t>15270-30-1</t>
  </si>
  <si>
    <t>[C@@]12([H])CCC3C=C(C=CC=3[C@@]1([H])CC[C@]1(C)[C@H](CC[C@@]21[H])O)O[C@H]1[C@H](O)[C@H]([C@H](O)[C@@H](C(=O)O)O1)O</t>
  </si>
  <si>
    <t>MUOHJTRCBBDUOW-QXYWQCSFSA-N</t>
  </si>
  <si>
    <t>7.92_821.3421m/z</t>
  </si>
  <si>
    <t>As-PL(20:0/0:0)</t>
  </si>
  <si>
    <t>LMGP14040002</t>
  </si>
  <si>
    <t>[C@](COP(=O)(O)OCC(O)CO[C@H]1[C@H](O)[C@H](O)[C@@H](C[As](C)(=O)C)O1)([H])(O)COC(CCCCCCCCCCCCCCCCCCC)=O</t>
  </si>
  <si>
    <t>YQQNRCDEVKUMKF-UHQOJOICSA-N</t>
  </si>
  <si>
    <t>C33H66AsO13P</t>
  </si>
  <si>
    <t>1.35_218.1265n</t>
  </si>
  <si>
    <t>Meprobamate</t>
  </si>
  <si>
    <t>HMDB0014515</t>
  </si>
  <si>
    <t>57-53-4</t>
  </si>
  <si>
    <t>CCCC(C)(COC(N)=O)COC(N)=O</t>
  </si>
  <si>
    <t>NPPQSCRMBWNHMW-UHFFFAOYSA-N</t>
  </si>
  <si>
    <t>C9H18N2O4</t>
  </si>
  <si>
    <t>4.00_501.1573m/z</t>
  </si>
  <si>
    <t>Kelampayoside A</t>
  </si>
  <si>
    <t>HMDB0038714</t>
  </si>
  <si>
    <t>87562-76-3</t>
  </si>
  <si>
    <t>COC1=CC(O[C@@H]2O[C@H](CO[C@@H]3OC[C@](O)(CO)[C@H]3O)[C@@H](O)[C@H](O)[C@H]2O)=CC(OC)=C1OC</t>
  </si>
  <si>
    <t>CKGKQISENBKOCA-FHXQZXMCSA-N</t>
  </si>
  <si>
    <t>14.58_541.4772m/z</t>
  </si>
  <si>
    <t>9,9'-Di-Cis-Zeta-Carotene</t>
  </si>
  <si>
    <t>HMDB0003063</t>
  </si>
  <si>
    <t>LMPR01070295</t>
  </si>
  <si>
    <t>C15857</t>
  </si>
  <si>
    <t>72746-33-9</t>
  </si>
  <si>
    <t>C(=C/C=C/C=C(\C)/C=C/C=C(/C)\CC/C=C(\C)/CC/C=C(/C)\C)(/C)\C=C\C=C(\C)/CC/C=C(\C)/CC/C=C(/C)\C</t>
  </si>
  <si>
    <t>BIWLELKAFXRPDE-ZURBLSRNSA-N</t>
  </si>
  <si>
    <t>C40H60</t>
  </si>
  <si>
    <t>13.28_815.3883m/z</t>
  </si>
  <si>
    <t>PGP(i-12:0/22:6(5Z,7Z,10Z,13Z,16Z,19Z)-OH(4))</t>
  </si>
  <si>
    <t>HMDB0274861</t>
  </si>
  <si>
    <t>[H][C@](O)(COP(O)(O)=O)COP(O)(=O)OC[C@@]([H])(COC(=O)CCCCCCCCC(C)C)OC(=O)CCC(O)\C=C/C=C\C\C=C/C\C=C/C\C=C/C\C=C/CC</t>
  </si>
  <si>
    <t>KDCMTNAUDHPFOA-FEFXRYMYSA-N</t>
  </si>
  <si>
    <t>C40H68O14P2</t>
  </si>
  <si>
    <t>12.07_562.3160m/z</t>
  </si>
  <si>
    <t>2-Deoxy-20-Hydroxyecdysone 22-Phosphate</t>
  </si>
  <si>
    <t>LMST01010181</t>
  </si>
  <si>
    <t>C12=CC([C@]3([H])C[C@@H](O)CC[C@]3(C)[C@@]1([H])CC[C@@]1(C)[C@@]2(O)CC[C@@]1([C@](O)(C)[C@H](OP(=O)(O)O)CCC(O)(C)C)[H])=O</t>
  </si>
  <si>
    <t>ZZFVYSIMDVDSAY-GLPVALQZSA-N</t>
  </si>
  <si>
    <t>C27H45O9P</t>
  </si>
  <si>
    <t>0.78_423.1468m/z</t>
  </si>
  <si>
    <t>Cabotegravir</t>
  </si>
  <si>
    <t>HMDB0249523</t>
  </si>
  <si>
    <t>CC1COC2CN3C=C(C(=O)NCC4=C(F)C=C(F)C=C4)C(=O)C(O)=C3C(=O)N12</t>
  </si>
  <si>
    <t>WCWSTNLSLKSJPK-UHFFFAOYSA-N</t>
  </si>
  <si>
    <t>C19H17F2N3O5</t>
  </si>
  <si>
    <t>6.11_569.3164m/z</t>
  </si>
  <si>
    <t>16alpha,17alpha-Epoxy-Sinusta-5-En-3beta-Ol-20beta-Yl Sulfate</t>
  </si>
  <si>
    <t>LMST05020063</t>
  </si>
  <si>
    <t>C1[C@]2(C)[C@@]3([H])CC[C@]4(C)[C@@]5(O[C@@H]5C[C@@]4([H])[C@]3([H])CC=C2C[C@@H](O)C1)[C@](C[C@@H](C)[C@H](C)C(C)C)(OS(O)(=O)=O)C</t>
  </si>
  <si>
    <t>MBEVKYVYIQZRDZ-CRANKKPJSA-N</t>
  </si>
  <si>
    <t>C29H48O6S</t>
  </si>
  <si>
    <t>1.43_200.0557m/z</t>
  </si>
  <si>
    <t>O-Succinyl-L-Homoserine</t>
  </si>
  <si>
    <t>HMDB0255868</t>
  </si>
  <si>
    <t>NC(CCOC(=O)CCC(O)=O)C(O)=O</t>
  </si>
  <si>
    <t>GNISQJGXJIDKDJ-UHFFFAOYSA-N</t>
  </si>
  <si>
    <t>C8H13NO6</t>
  </si>
  <si>
    <t>3.58_629.1508m/z</t>
  </si>
  <si>
    <t>4-(4-Hydroxyphenyl)-2-Butanone O-[2,6-Digalloylglucoside]</t>
  </si>
  <si>
    <t>HMDB0039314</t>
  </si>
  <si>
    <t>105274-14-4</t>
  </si>
  <si>
    <t>CC(=O)CCC1=CC=C(OC2OC(COC(=O)C3=CC(O)=C(O)C(O)=C3)C(O)C(O)C2OC(=O)C2=CC(O)=C(O)C(O)=C2)C=C1</t>
  </si>
  <si>
    <t>GLAXWGBAKGLFEU-UHFFFAOYSA-N</t>
  </si>
  <si>
    <t>C30H30O15</t>
  </si>
  <si>
    <t>10.38_397.2007m/z</t>
  </si>
  <si>
    <t>Sb 939</t>
  </si>
  <si>
    <t>929016-96-6</t>
  </si>
  <si>
    <t>CCCCC1=NC2=C(N1CCN(CC)CC)C=CC(=C2)C=CC(=O)NO</t>
  </si>
  <si>
    <t>JHDKZFFAIZKUCU-ZRDIBKRKSA-N</t>
  </si>
  <si>
    <t>C20H30N4O2</t>
  </si>
  <si>
    <t>3.95_509.0909m/z</t>
  </si>
  <si>
    <t>Enzalutamide</t>
  </si>
  <si>
    <t>HMDB0251831</t>
  </si>
  <si>
    <t>CNC(=O)C1=C(F)C=C(C=C1)N1C(=S)N(C(=O)C1(C)C)C1=CC=C(C#N)C(=C1)C(F)(F)F</t>
  </si>
  <si>
    <t>WXCXUHSOUPDCQV-UHFFFAOYSA-N</t>
  </si>
  <si>
    <t>C21H16F4N4O2S</t>
  </si>
  <si>
    <t>11.67_280.1309m/z</t>
  </si>
  <si>
    <t>N-(7-Methyloctanoyl)Homoserine Lactone</t>
  </si>
  <si>
    <t>LMFA08030041</t>
  </si>
  <si>
    <t>C(CCCCCC(C)C)(=O)NC1C(=O)OCC1</t>
  </si>
  <si>
    <t>KUHGURYHJUOXBF-UHFFFAOYSA-N</t>
  </si>
  <si>
    <t>C13H23NO3</t>
  </si>
  <si>
    <t>3.17_167.0339m/z</t>
  </si>
  <si>
    <t>Vanillic Acid</t>
  </si>
  <si>
    <t>HMDB0000484</t>
  </si>
  <si>
    <t>C06672</t>
  </si>
  <si>
    <t>121-34-6</t>
  </si>
  <si>
    <t>COC1=C(O)C=CC(=C1)C(O)=O</t>
  </si>
  <si>
    <t>WKOLLVMJNQIZCI-UHFFFAOYSA-N</t>
  </si>
  <si>
    <t>4.33_469.2069m/z</t>
  </si>
  <si>
    <t>2',3'-Dideoxyadenosine</t>
  </si>
  <si>
    <t>HMDB0245544</t>
  </si>
  <si>
    <t>NC1=NC=NC2=C1N=CN2C1CCC(CO)O1</t>
  </si>
  <si>
    <t>WVXRAFOPTSTNLL-UHFFFAOYSA-N</t>
  </si>
  <si>
    <t>C10H13N5O2</t>
  </si>
  <si>
    <t>14.74_158.1538m/z</t>
  </si>
  <si>
    <t>2,4-Nonadien-1-Ol</t>
  </si>
  <si>
    <t>HMDB0034845</t>
  </si>
  <si>
    <t>LMFA05000608</t>
  </si>
  <si>
    <t>64576-90-5</t>
  </si>
  <si>
    <t>C(/CCCC)=C\C=C\CO</t>
  </si>
  <si>
    <t>NCPWFIVLKCFWSP-BSWSSELBSA-N</t>
  </si>
  <si>
    <t>C9H16O</t>
  </si>
  <si>
    <t>8.64_570.3422m/z</t>
  </si>
  <si>
    <t>2,3-Diacetoxy-7,8-Epoxy-24,29-Dinor-1,3,5-Friedelatriene-20-Carboxylic Acid</t>
  </si>
  <si>
    <t>CC1=C2CC3C4(O3)C(C2=CC(=C1OC(=O)C)OC(=O)C)(CCC5(C4(CCC6(C5CC(CC6)(C)C(=O)O)C)C)C)C</t>
  </si>
  <si>
    <t>MAAVNXPPBHQXNL-INMPMWFSSA-N</t>
  </si>
  <si>
    <t>C33H44O7</t>
  </si>
  <si>
    <t>1.29_364.1599m/z</t>
  </si>
  <si>
    <t>Aucubin</t>
  </si>
  <si>
    <t>HMDB0036562</t>
  </si>
  <si>
    <t>C09771</t>
  </si>
  <si>
    <t>479-98-1</t>
  </si>
  <si>
    <t>OCC1OC(OC2OC=CC3C(O)C=C(CO)C23)C(O)C(O)C1O</t>
  </si>
  <si>
    <t>RJWJHRPNHPHBRN-UHFFFAOYSA-N</t>
  </si>
  <si>
    <t>5.08_455.1693m/z</t>
  </si>
  <si>
    <t>Ozagrel</t>
  </si>
  <si>
    <t>82571-53-7</t>
  </si>
  <si>
    <t>C1=CC(=CC=C1CN2C=CN=C2)C=CC(=O)O</t>
  </si>
  <si>
    <t>SHZKQBHERIJWAO-AATRIKPKSA-N</t>
  </si>
  <si>
    <t>Cinnamic acids</t>
  </si>
  <si>
    <t>C13H12N2O2</t>
  </si>
  <si>
    <t>8.18_853.3032m/z</t>
  </si>
  <si>
    <t>Moricizine</t>
  </si>
  <si>
    <t>HMDB0014818</t>
  </si>
  <si>
    <t>C07743</t>
  </si>
  <si>
    <t>31883-05-3</t>
  </si>
  <si>
    <t>CCOC(=O)NC1=CC2=C(SC3=CC=CC=C3N2C(=O)CCN2CCOCC2)C=C1</t>
  </si>
  <si>
    <t>FUBVWMNBEHXPSU-UHFFFAOYSA-N</t>
  </si>
  <si>
    <t>Benzothiazines</t>
  </si>
  <si>
    <t>Phenothiazines</t>
  </si>
  <si>
    <t>C22H25N3O4S</t>
  </si>
  <si>
    <t>10.24_497.1746m/z</t>
  </si>
  <si>
    <t>1-(2-Pyridylazo)-2-Naphthol</t>
  </si>
  <si>
    <t>HMDB0243783</t>
  </si>
  <si>
    <t>OC1=C(N=NC2=CC=CC=N2)C2=CC=CC=C2C=C1</t>
  </si>
  <si>
    <t>LLYOXZQVOKALCD-UHFFFAOYSA-N</t>
  </si>
  <si>
    <t>C15H11N3O</t>
  </si>
  <si>
    <t>5.07_528.2947m/z</t>
  </si>
  <si>
    <t>PA(2:0/18:1(12Z)-2OH(9,10))</t>
  </si>
  <si>
    <t>HMDB0266539</t>
  </si>
  <si>
    <t>[H][C@@](COC(C)=O)(COP(O)(O)=O)OC(=O)CCCCCCC[C@H](O)[C@@H](O)C\C=C/CCCCC</t>
  </si>
  <si>
    <t>OMJNZMKZEQGCBC-HRTZQAELSA-N</t>
  </si>
  <si>
    <t>C23H43O10P</t>
  </si>
  <si>
    <t>9.33_721.2599m/z</t>
  </si>
  <si>
    <t>Brecanavir</t>
  </si>
  <si>
    <t>HMDB0249373</t>
  </si>
  <si>
    <t>CC(C)CN(CC(O)C(CC1=CC=C(OCC2=CSC(C)=N2)C=C1)NC(=O)OC1COC2OCCC12)S(=O)(=O)C1=CC2=C(OCO2)C=C1</t>
  </si>
  <si>
    <t>JORVRJNILJXMMG-UHFFFAOYSA-N</t>
  </si>
  <si>
    <t>Phenylbutylamines</t>
  </si>
  <si>
    <t>C33H41N3O10S2</t>
  </si>
  <si>
    <t>9.79_307.1670m/z</t>
  </si>
  <si>
    <t>Chlorosphaerolactylate B</t>
  </si>
  <si>
    <t>LMFA07090120</t>
  </si>
  <si>
    <t>C(CCCCCCCCCCCCl)(=O)OC(C)C(O)=O</t>
  </si>
  <si>
    <t>SFJAMELRYCBOPH-UHFFFAOYSA-N</t>
  </si>
  <si>
    <t>C15H27ClO4</t>
  </si>
  <si>
    <t>4.44_327.1234m/z</t>
  </si>
  <si>
    <t>Junosmarin</t>
  </si>
  <si>
    <t>HMDB0033290</t>
  </si>
  <si>
    <t>CC(C)CC(=O)OC1C(O)C2=C(OC1(C)C)C=CC1=C2OC(=O)C=C1</t>
  </si>
  <si>
    <t>GWZZKJQYTUFZHD-UHFFFAOYSA-N</t>
  </si>
  <si>
    <t>C19H22O6</t>
  </si>
  <si>
    <t>10.66_358.3676m/z</t>
  </si>
  <si>
    <t>Behenic Acid</t>
  </si>
  <si>
    <t>HMDB0000944</t>
  </si>
  <si>
    <t>LMFA01010022</t>
  </si>
  <si>
    <t>C08281</t>
  </si>
  <si>
    <t>ko00073,ko01040</t>
  </si>
  <si>
    <t>Cutin, suberine and wax biosynthesis|Biosynthesis of unsaturated fatty acids</t>
  </si>
  <si>
    <t>112-85-6</t>
  </si>
  <si>
    <t>C(CCCCCCCCCCCCC(=O)O)CCCCCCCC</t>
  </si>
  <si>
    <t>UKMSUNONTOPOIO-UHFFFAOYSA-N</t>
  </si>
  <si>
    <t>C22H44O2</t>
  </si>
  <si>
    <t>0.77_125.0709m/z</t>
  </si>
  <si>
    <t>Methylimidazole Acetaldehyde</t>
  </si>
  <si>
    <t>HMDB0004181</t>
  </si>
  <si>
    <t>C05827</t>
  </si>
  <si>
    <t>19639-03-3</t>
  </si>
  <si>
    <t>CN1C=NC(CC=O)=C1</t>
  </si>
  <si>
    <t>GCQHUBANENYTLB-UHFFFAOYSA-N</t>
  </si>
  <si>
    <t>C6H8N2O</t>
  </si>
  <si>
    <t>3.88_564.1724m/z</t>
  </si>
  <si>
    <t>Gravacridonetriol Glucoside</t>
  </si>
  <si>
    <t>HMDB0029331</t>
  </si>
  <si>
    <t>59086-96-3</t>
  </si>
  <si>
    <t>CN1C2=CC=CC=C2C(=O)C2=C1C1=C(OC(C1)C(O)(CO)COC1OC(CO)C(O)C(O)C1O)C=C2O</t>
  </si>
  <si>
    <t>BFVREXFWNFMMSF-UHFFFAOYSA-N</t>
  </si>
  <si>
    <t>C25H29NO11</t>
  </si>
  <si>
    <t>4.67_273.0612n</t>
  </si>
  <si>
    <t>Tolcapone</t>
  </si>
  <si>
    <t>HMDB0014468</t>
  </si>
  <si>
    <t>C07949</t>
  </si>
  <si>
    <t>134308-13-7</t>
  </si>
  <si>
    <t>CC1=CC=C(C=C1)C(=O)C1=CC(=C(O)C(O)=C1)[N+]([O-])=O</t>
  </si>
  <si>
    <t>MIQPIUSUKVNLNT-UHFFFAOYSA-N</t>
  </si>
  <si>
    <t>Benzophenones</t>
  </si>
  <si>
    <t>C14H11NO5</t>
  </si>
  <si>
    <t>0.84_485.0159m/z</t>
  </si>
  <si>
    <t>Cyanophos</t>
  </si>
  <si>
    <t>HMDB0250614</t>
  </si>
  <si>
    <t>C18397</t>
  </si>
  <si>
    <t>2636-26-2</t>
  </si>
  <si>
    <t>COP(=S)(OC)OC1=CC=C(C=C1)C#N</t>
  </si>
  <si>
    <t>SCKHCCSZFPSHGR-UHFFFAOYSA-N</t>
  </si>
  <si>
    <t>C9H10NO3PS</t>
  </si>
  <si>
    <t>11.01_379.1558m/z</t>
  </si>
  <si>
    <t>4-Hydroxy-2-Nonenal-[Cys-Gly] Conjugate</t>
  </si>
  <si>
    <t>HMDB0304175</t>
  </si>
  <si>
    <t>CCCCCC(O)C(CC=O)SCC([N+])C(=O)NCC([O-])=O</t>
  </si>
  <si>
    <t>XLGVEZUMGDAHMH-UHFFFAOYSA-M</t>
  </si>
  <si>
    <t>C14H26N2O5S</t>
  </si>
  <si>
    <t>6.90_465.1763m/z</t>
  </si>
  <si>
    <t>Castaneiolide</t>
  </si>
  <si>
    <t>HMDB0034876</t>
  </si>
  <si>
    <t>125300-50-7</t>
  </si>
  <si>
    <t>CCCCCC1CC2=C(C(O)C(O)(CCCC)CC3=C1C(=O)OC3=O)C(=O)OC2=O</t>
  </si>
  <si>
    <t>RKHYCZRKSYBVGA-UHFFFAOYSA-N</t>
  </si>
  <si>
    <t>C22H28O8</t>
  </si>
  <si>
    <t>10.87_532.3849m/z</t>
  </si>
  <si>
    <t>Butyryl Trihexyl Citrate</t>
  </si>
  <si>
    <t>HMDB0247498</t>
  </si>
  <si>
    <t>CCCCCCOC(=O)CC(CC(=O)OCCCCCC)(OC(=O)CCC)C(=O)OCCCCCC</t>
  </si>
  <si>
    <t>GWVUTNGDMGTPFE-UHFFFAOYSA-N</t>
  </si>
  <si>
    <t>C28H50O8</t>
  </si>
  <si>
    <t>11.67_192.1511n</t>
  </si>
  <si>
    <t>4-(4-Methyl-3-Pentenyl)-3-Cyclohexene-1-Carboxaldehyde</t>
  </si>
  <si>
    <t>HMDB0031733</t>
  </si>
  <si>
    <t>37677-14-8</t>
  </si>
  <si>
    <t>CC(C)=CCCC1=CCC(CC1)C=O</t>
  </si>
  <si>
    <t>MQBIZQLCHSZBOI-UHFFFAOYSA-N</t>
  </si>
  <si>
    <t>M+H-H2O, M+H, M+NH4</t>
  </si>
  <si>
    <t>C13H20O</t>
  </si>
  <si>
    <t>10.87_361.2344m/z</t>
  </si>
  <si>
    <t>11-Deoxy-Pge1</t>
  </si>
  <si>
    <t>LMFA03010054</t>
  </si>
  <si>
    <t>37786-00-8</t>
  </si>
  <si>
    <t>[C@H]1(/C=C/[C@@H](O)CCCCC)CCC(=O)[C@@H]1CCCCCCC(=O)O</t>
  </si>
  <si>
    <t>DPNOTBLPQOITGU-LDDQNKHRSA-N</t>
  </si>
  <si>
    <t>3.82_339.0719m/z</t>
  </si>
  <si>
    <t>2,5-Dimethyl-3-Furanthiol Acetate</t>
  </si>
  <si>
    <t>HMDB0032234</t>
  </si>
  <si>
    <t>55764-22-2</t>
  </si>
  <si>
    <t>CC(=O)SC1=C(C)OC(C)=C1</t>
  </si>
  <si>
    <t>LULNJORVPBVGRB-UHFFFAOYSA-N</t>
  </si>
  <si>
    <t>C8H10O2S</t>
  </si>
  <si>
    <t>6.16_700.3319m/z</t>
  </si>
  <si>
    <t>PA(8:0/LTE4)</t>
  </si>
  <si>
    <t>HMDB0266621</t>
  </si>
  <si>
    <t>CCCCCCCC(=O)OC[C@H](COP(O)(O)=O)OC(=O)[C@@H](N)CS[C@H](\C=C\C=C\C=C/C\C=C/CCCCC)[C@@H](O)CCCC(O)=O</t>
  </si>
  <si>
    <t>CQVLCSQTTIYRKR-AEYPYFIVSA-N</t>
  </si>
  <si>
    <t>C34H58NO11PS</t>
  </si>
  <si>
    <t>4.42_287.0670m/z</t>
  </si>
  <si>
    <t>2-Amino-7-Methoxy-3h-Phenoxazin-3-One</t>
  </si>
  <si>
    <t>HMDB0240720</t>
  </si>
  <si>
    <t>COC1=CC2=C(C=C1)N=C1C=C(N)C(=O)C=C1O2</t>
  </si>
  <si>
    <t>DDHPPCVMQOXUFB-UHFFFAOYSA-N</t>
  </si>
  <si>
    <t>C13H10N2O3</t>
  </si>
  <si>
    <t>3.58_371.1345m/z</t>
  </si>
  <si>
    <t>1-Methoxy-3-(4-Hydroxyphenyl)-2e-Propenal 4'-Glucoside</t>
  </si>
  <si>
    <t>HMDB0034755</t>
  </si>
  <si>
    <t>COC\C=C\C1=CC=C(OC2OC(CO)C(O)C(O)C2O)C=C1</t>
  </si>
  <si>
    <t>NZZJDBVBBHYGQX-NSCUHMNNSA-N</t>
  </si>
  <si>
    <t>13.46_658.5248m/z</t>
  </si>
  <si>
    <t>DG(14:0/PGF1alpha/0:0)</t>
  </si>
  <si>
    <t>HMDB0295175</t>
  </si>
  <si>
    <t>CCCCCCCCCCCCCC(=O)OC[C@H](CO)OC(=O)CCCCCC[C@H]1[C@@H](O)C[C@@H](O)[C@@H]1\C=C\[C@@H](O)CCCCC</t>
  </si>
  <si>
    <t>GQRBXTUGEIZXNC-SZOVQTRSSA-N</t>
  </si>
  <si>
    <t>C37H68O8</t>
  </si>
  <si>
    <t>8.73_278.1384m/z</t>
  </si>
  <si>
    <t>Peucenin</t>
  </si>
  <si>
    <t>578-72-3</t>
  </si>
  <si>
    <t>CC1=CC(=O)C2=C(O1)C=C(C(=C2O)CC=C(C)C)O</t>
  </si>
  <si>
    <t>DTNGBIGBPPPNNB-UHFFFAOYSA-N</t>
  </si>
  <si>
    <t>C15H16O4</t>
  </si>
  <si>
    <t>5.13_723.1720m/z</t>
  </si>
  <si>
    <t>Thiofluor 623</t>
  </si>
  <si>
    <t>1004324-99-5</t>
  </si>
  <si>
    <t>CC1(C(=C(C(=C(C#N)C#N)O1)C#N)C=CC2=CC=C(C=C2)N(CCOCCOCCOC)S(=O)(=O)C3=C(C=C(C=C3)[N+](=O)[O-])[N+](=O)[O-])C</t>
  </si>
  <si>
    <t>CDPMXQUCTGVMFA-UXBLZVDNSA-N</t>
  </si>
  <si>
    <t>C31H30N6O10S</t>
  </si>
  <si>
    <t>11.26_433.2358m/z</t>
  </si>
  <si>
    <t>LysoPA(0:0/18:2(9Z,12Z))</t>
  </si>
  <si>
    <t>HMDB0007852</t>
  </si>
  <si>
    <t>CCCCC\C=C/C\C=C/CCCCCCCC(=O)OC(CO)COP(O)(O)=O</t>
  </si>
  <si>
    <t>PALVOIADDFXQGT-HZJYTTRNSA-N</t>
  </si>
  <si>
    <t>C21H39O7P</t>
  </si>
  <si>
    <t>4.28_842.4287n</t>
  </si>
  <si>
    <t>26-(2-Glucosyl-6-Acetylglucosyl]-1,3,11,22-Tetrahydroxyergosta-5,24-Dien-26-Oate</t>
  </si>
  <si>
    <t>HMDB0040406</t>
  </si>
  <si>
    <t>155510-76-2</t>
  </si>
  <si>
    <t>CC(C(O)C\C(C)=C(\C)C(=O)OC1OC(COC(C)=O)C(O)C(O)C1OC1OC(CO)C(O)C(O)C1O)C1CCC2C3CC=C4CC(O)CC(O)C4(C)C3C(O)CC12C</t>
  </si>
  <si>
    <t>CRRPFFTZRFACDM-ZCXUNETKSA-N</t>
  </si>
  <si>
    <t>C42H66O17</t>
  </si>
  <si>
    <t>4.09_161.0596m/z</t>
  </si>
  <si>
    <t>7-Methyl-2-Benzofurancarboxaldehyde</t>
  </si>
  <si>
    <t>HMDB0041009</t>
  </si>
  <si>
    <t>57897-70-8</t>
  </si>
  <si>
    <t>CC1=C2OC(C=O)=CC2=CC=C1</t>
  </si>
  <si>
    <t>JXPVJVSXZDJGIZ-UHFFFAOYSA-N</t>
  </si>
  <si>
    <t>C10H8O2</t>
  </si>
  <si>
    <t>3.77_195.1490m/z</t>
  </si>
  <si>
    <t>N-Pivaloylaniline</t>
  </si>
  <si>
    <t>6625-74-7</t>
  </si>
  <si>
    <t>CC(C)(C)C(=O)NC1=CC=CC=C1</t>
  </si>
  <si>
    <t>LWJNWXYSLBGWDU-UHFFFAOYSA-N</t>
  </si>
  <si>
    <t>5.87_949.5066m/z</t>
  </si>
  <si>
    <t>PIP(16:0/18:1(12Z)-2OH(9,10))</t>
  </si>
  <si>
    <t>HMDB0278469</t>
  </si>
  <si>
    <t>[H][C@@](COC(=O)CCCCCCCCCCCCCCC)(COP(O)(=O)O[C@H]1C(O)C(O)C(O)[C@@H](OP(O)(O)=O)C1O)OC(=O)CCCCCCC[C@H](O)[C@@H](O)C\C=C/CCCCC</t>
  </si>
  <si>
    <t>XJSLCGAOLTWWOR-ZGBXYTNISA-N</t>
  </si>
  <si>
    <t>C43H82O18P2</t>
  </si>
  <si>
    <t>5.02_563.1369m/z</t>
  </si>
  <si>
    <t>Apiin</t>
  </si>
  <si>
    <t>HMDB0030843</t>
  </si>
  <si>
    <t>LMPK12110337</t>
  </si>
  <si>
    <t>C04858</t>
  </si>
  <si>
    <t>26544-34-3</t>
  </si>
  <si>
    <t>C1(O[C@H]2[C@H](O[C@H]3[C@H](O)[C@](CO)(O)CO3)[C@@H](O)[C@H](O)[C@@H](CO)O2)=CC2OC(C3C=CC(O)=CC=3)=CC(=O)C=2C(O)=C1</t>
  </si>
  <si>
    <t>NTDLXWMIWOECHG-YRCFQSNFSA-N</t>
  </si>
  <si>
    <t>C26H28O14</t>
  </si>
  <si>
    <t>6.09_284.0894n</t>
  </si>
  <si>
    <t>D-Vacciniin</t>
  </si>
  <si>
    <t>HMDB0038492</t>
  </si>
  <si>
    <t>14200-76-1</t>
  </si>
  <si>
    <t>O[C@H]1O[C@H](COC(=O)C2=CC=CC=C2)[C@@H](O)[C@H](O)[C@H]1O</t>
  </si>
  <si>
    <t>MRDRXKCKIMVUHN-HMUNZLOLSA-N</t>
  </si>
  <si>
    <t>0.72_149.0637m/z</t>
  </si>
  <si>
    <t>Hexanesulfonic Acid</t>
  </si>
  <si>
    <t>HMDB0253146</t>
  </si>
  <si>
    <t>CCCCCCS(O)(=O)=O</t>
  </si>
  <si>
    <t>FYAQQULBLMNGAH-UHFFFAOYSA-N</t>
  </si>
  <si>
    <t>C6H14O3S</t>
  </si>
  <si>
    <t>3.93_477.2311m/z</t>
  </si>
  <si>
    <t>Methyl Cellulose</t>
  </si>
  <si>
    <t>HMDB0029925</t>
  </si>
  <si>
    <t>9004-67-5</t>
  </si>
  <si>
    <t>COCC1O[C@@H](O[C@@H]2C(COC)OC(OC)C(OC)C2OC)C(OC)C(OC)C1OC</t>
  </si>
  <si>
    <t>YLGXILFCIXHCMC-JHGZEJCSSA-N</t>
  </si>
  <si>
    <t>4.90_579.2232m/z</t>
  </si>
  <si>
    <t>5,6-Dihydro-11-Methoxyyangonin</t>
  </si>
  <si>
    <t>HMDB0038722</t>
  </si>
  <si>
    <t>COC1=CC(=O)OC(C1)\C=C/C1=CC(OC)=C(OC)C=C1</t>
  </si>
  <si>
    <t>FISBBPCLKKQWQA-XQRVVYSFSA-N</t>
  </si>
  <si>
    <t>C16H18O5</t>
  </si>
  <si>
    <t>9.31_353.0041m/z</t>
  </si>
  <si>
    <t>Mevalonate-Pp</t>
  </si>
  <si>
    <t>HMDB0001090</t>
  </si>
  <si>
    <t>LMFA01050416</t>
  </si>
  <si>
    <t>C01143</t>
  </si>
  <si>
    <t>103025-21-4</t>
  </si>
  <si>
    <t>C(C[C@](C)(O)CCOP(O)(=O)OP(O)(=O)O)(=O)O</t>
  </si>
  <si>
    <t>SIGQQUBJQXSAMW-ZCFIWIBFSA-N</t>
  </si>
  <si>
    <t>C6H14O10P2</t>
  </si>
  <si>
    <t>8.58_783.3418m/z</t>
  </si>
  <si>
    <t>O-Desmethylcarvedilol</t>
  </si>
  <si>
    <t>HMDB0013949</t>
  </si>
  <si>
    <t>72956-44-6</t>
  </si>
  <si>
    <t>OC(CNCCOC1=CC=CC=C1O)COC1=CC=CC2=C1C1=CC=CC=C1N2</t>
  </si>
  <si>
    <t>XAUKPPPYYOKVQJ-UHFFFAOYSA-N</t>
  </si>
  <si>
    <t>C23H24N2O4</t>
  </si>
  <si>
    <t>5.58_443.1833m/z</t>
  </si>
  <si>
    <t>N-(3-(3-Hydroxy-4-Methoxyphenyl)Propyl)-L-Alpha-Aspartyl-L-Phenylalanine</t>
  </si>
  <si>
    <t>HMDB0259626</t>
  </si>
  <si>
    <t>COC1=C(O)C=C(CCCNC(CC(O)=O)C(=O)NC(CC2=CC=CC=C2)C(O)=O)C=C1</t>
  </si>
  <si>
    <t>WJYNYVNIRKZJOZ-UHFFFAOYSA-N</t>
  </si>
  <si>
    <t>C23H28N2O7</t>
  </si>
  <si>
    <t>14.82_800.5484m/z</t>
  </si>
  <si>
    <t>PC(14:0/20:3(5Z,8Z,11Z))</t>
  </si>
  <si>
    <t>HMDB0007881</t>
  </si>
  <si>
    <t>LMGP01012127</t>
  </si>
  <si>
    <t>[C@](COP(=O)([O-])OCC[N+](C)(C)C)([H])(OC(CCC/C=C\C/C=C\C/C=C\CCCCCCCC)=O)COC(CCCCCCCCCCCCC)=O</t>
  </si>
  <si>
    <t>XWHIBISICRMDDW-ZLBNXBDKSA-N</t>
  </si>
  <si>
    <t>C42H78NO8P</t>
  </si>
  <si>
    <t>2.82_503.1404m/z</t>
  </si>
  <si>
    <t>2'-(E)-Feruloyl-3-(Arabinosylxylose)</t>
  </si>
  <si>
    <t>HMDB0030230</t>
  </si>
  <si>
    <t>COC1=C(O)C=CC(\C=C\C(=O)OC2C(OC3C(O)COC(O)C3O)OC(CO)C2O)=C1</t>
  </si>
  <si>
    <t>ZXAPYACNVQHJGD-HWKANZROSA-N</t>
  </si>
  <si>
    <t>6.15_228.1744m/z</t>
  </si>
  <si>
    <t>Dezocine</t>
  </si>
  <si>
    <t>HMDB0015340</t>
  </si>
  <si>
    <t>C08010</t>
  </si>
  <si>
    <t>53648-55-8</t>
  </si>
  <si>
    <t>[H][C@@]12CC3=CC=C(O)C=C3[C@@](C)(CCCCC1)[C@H]2N</t>
  </si>
  <si>
    <t>VTMVHDZWSFQSQP-VBNZEHGJSA-N</t>
  </si>
  <si>
    <t>C16H23NO</t>
  </si>
  <si>
    <t>4.00_279.0863m/z</t>
  </si>
  <si>
    <t>Cyclic-Hpmpc</t>
  </si>
  <si>
    <t>HMDB0250198</t>
  </si>
  <si>
    <t>NC1=NC(=O)N(CC2COP(O)(=O)CO2)C=C1</t>
  </si>
  <si>
    <t>YXQUGSXUDFTPLL-UHFFFAOYSA-N</t>
  </si>
  <si>
    <t>C8H12N3O5P</t>
  </si>
  <si>
    <t>5.65_433.2440m/z</t>
  </si>
  <si>
    <t>5,6-Dihydroxyprostaglandin F1a</t>
  </si>
  <si>
    <t>HMDB0012109</t>
  </si>
  <si>
    <t>11000-26-3</t>
  </si>
  <si>
    <t>CCCCC[C@H](O)\C=C\[C@H]1[C@H](O)C[C@H](O)[C@@H]1CC(O)C(O)CCCC(O)=O</t>
  </si>
  <si>
    <t>SAAOVBGAFHJPIF-NYNACFBQSA-N</t>
  </si>
  <si>
    <t>C20H36O7</t>
  </si>
  <si>
    <t>11.27_641.4401m/z</t>
  </si>
  <si>
    <t>Pipecuronium</t>
  </si>
  <si>
    <t>HMDB0015431</t>
  </si>
  <si>
    <t>C07554</t>
  </si>
  <si>
    <t>68399-58-6</t>
  </si>
  <si>
    <t>[H][C@@]12C[C@@H]([C@H](OC(C)=O)[C@@]1(C)CC[C@@]1([H])[C@@]2([H])CC[C@@]2([H])C[C@H](OC(C)=O)[C@H](C[C@]12C)N1CC[N+](C)(C)CC1)N1CC[N+](C)(C)CC1</t>
  </si>
  <si>
    <t>OWWLUIWOFHMHOQ-XGHATYIMSA-N</t>
  </si>
  <si>
    <t>C35H62N4O4+2</t>
  </si>
  <si>
    <t>10.98_341.2111m/z</t>
  </si>
  <si>
    <t>13-Epi-13-J4-Neurop</t>
  </si>
  <si>
    <t>LMFA04010491</t>
  </si>
  <si>
    <t>C(CC/C=C\C/C=C\C/C=C\C[C@@H](O)/C=C/[C@H]1C=CC(=O)[C@H]1CC)(=O)O</t>
  </si>
  <si>
    <t>VDNXNFTWHWSBCI-PNMHXWFHSA-N</t>
  </si>
  <si>
    <t>6.76_277.1440m/z</t>
  </si>
  <si>
    <t>(S)-Bilobanone</t>
  </si>
  <si>
    <t>HMDB0036110</t>
  </si>
  <si>
    <t>17015-33-7</t>
  </si>
  <si>
    <t>CC(C)CC1=CC(=CO1)C1CC=C(C)C(=O)C1</t>
  </si>
  <si>
    <t>ORQIZUYAGXZVPI-UHFFFAOYSA-N</t>
  </si>
  <si>
    <t>1.64_579.0920m/z</t>
  </si>
  <si>
    <t>Sulfobutyl Ether</t>
  </si>
  <si>
    <t>HMDB0258592</t>
  </si>
  <si>
    <t>OS(=O)(=O)CCCCOCCCCS(O)(=O)=O</t>
  </si>
  <si>
    <t>NZAQRZWBQUIBSF-UHFFFAOYSA-N</t>
  </si>
  <si>
    <t>C8H18O7S2</t>
  </si>
  <si>
    <t>6.11_121.0256m/z</t>
  </si>
  <si>
    <t>Nitromethane</t>
  </si>
  <si>
    <t>HMDB0255654</t>
  </si>
  <si>
    <t>C19275</t>
  </si>
  <si>
    <t>75-52-5</t>
  </si>
  <si>
    <t>CN(=O)=O</t>
  </si>
  <si>
    <t>LYGJENNIWJXYER-UHFFFAOYSA-N</t>
  </si>
  <si>
    <t>Organic 1,3-dipolar compounds</t>
  </si>
  <si>
    <t>Allyl-type 1,3-dipolar organic compounds</t>
  </si>
  <si>
    <t>Organic nitro compounds</t>
  </si>
  <si>
    <t>CH3NO2</t>
  </si>
  <si>
    <t>1.06_196.0736n</t>
  </si>
  <si>
    <t>Homoveratric Acid</t>
  </si>
  <si>
    <t>HMDB0000434</t>
  </si>
  <si>
    <t>93-40-3</t>
  </si>
  <si>
    <t>COC1=CC=C(CC(O)=O)C=C1OC</t>
  </si>
  <si>
    <t>WUAXWQRULBZETB-UHFFFAOYSA-N</t>
  </si>
  <si>
    <t>C10H12O4</t>
  </si>
  <si>
    <t>9.87_417.2282m/z</t>
  </si>
  <si>
    <t>(+)-7-Iso-Jasmonate</t>
  </si>
  <si>
    <t>HMDB0303939</t>
  </si>
  <si>
    <t>CCC=CCC1C(CC([O-])=O)CCC1=O</t>
  </si>
  <si>
    <t>ZNJFBWYDHIGLCU-UHFFFAOYSA-M</t>
  </si>
  <si>
    <t>C12H17O3-</t>
  </si>
  <si>
    <t>10.60_303.2316m/z</t>
  </si>
  <si>
    <t>11s,12r-Epetre</t>
  </si>
  <si>
    <t>HMDB0004673</t>
  </si>
  <si>
    <t>LMFA03080014</t>
  </si>
  <si>
    <t>123931-40-8</t>
  </si>
  <si>
    <t>C(/C=C\C/C=C\CCCC(=O)O)[C@@H]1O[C@@H]1C/C=C\CCCCC</t>
  </si>
  <si>
    <t>DXOYQVHGIODESM-LZXKBWHHSA-N</t>
  </si>
  <si>
    <t>5.01_405.1188m/z</t>
  </si>
  <si>
    <t>Gibberellin A59</t>
  </si>
  <si>
    <t>HMDB0035051</t>
  </si>
  <si>
    <t>78333-20-7</t>
  </si>
  <si>
    <t>[H][C@@]12CC[C@]3(O)C[C@]1(CC3=C)[C@@H](C(O)=O)[C@@]1([H])[C@@]22CC=C[C@@]1(C(O)=O)C(=O)O2</t>
  </si>
  <si>
    <t>OCSSJFLGODGXOU-ZGHMGGRHSA-N</t>
  </si>
  <si>
    <t>C19H20O7</t>
  </si>
  <si>
    <t>0.77_100.0523n</t>
  </si>
  <si>
    <t>Allyl Acetic Acid</t>
  </si>
  <si>
    <t>HMDB0031602</t>
  </si>
  <si>
    <t>LMFA01030007</t>
  </si>
  <si>
    <t>591-80-0</t>
  </si>
  <si>
    <t>C=CCCC(=O)O</t>
  </si>
  <si>
    <t>HVAMZGADVCBITI-UHFFFAOYSA-N</t>
  </si>
  <si>
    <t>C5H8O2</t>
  </si>
  <si>
    <t>14.19_542.4179n</t>
  </si>
  <si>
    <t>DG(10:0/18:1(12Z)-2OH(9,10)/0:0)</t>
  </si>
  <si>
    <t>HMDB0294513</t>
  </si>
  <si>
    <t>CCCCCCCCCC(=O)OC[C@H](CO)OC(=O)CCCCCCC[C@H](O)[C@@H](O)C\C=C/CCCCC</t>
  </si>
  <si>
    <t>WQGBOEYXKKYYMW-QNGVTICKSA-N</t>
  </si>
  <si>
    <t>C31H58O7</t>
  </si>
  <si>
    <t>11.73_138.0661m/z</t>
  </si>
  <si>
    <t>Benzofurazan</t>
  </si>
  <si>
    <t>HMDB0249016</t>
  </si>
  <si>
    <t>O1N=C2C=CC=CC2=N1</t>
  </si>
  <si>
    <t>AWBOSXFRPFZLOP-UHFFFAOYSA-N</t>
  </si>
  <si>
    <t>Benzoxadiazoles</t>
  </si>
  <si>
    <t>C6H4N2O</t>
  </si>
  <si>
    <t>3.52_511.1218m/z</t>
  </si>
  <si>
    <t>Cp-471358</t>
  </si>
  <si>
    <t>C1CCC(C1)(C(=O)NO)N(CCC(=O)O)S(=O)(=O)C2=CC=C(C=C2)OC3=CC=C(C=C3)F</t>
  </si>
  <si>
    <t>VHHGUBHZBLPTKL-UHFFFAOYSA-N</t>
  </si>
  <si>
    <t>C21H23FN2O7S</t>
  </si>
  <si>
    <t>4.85_825.3404m/z</t>
  </si>
  <si>
    <t>Aclacinomycin X</t>
  </si>
  <si>
    <t>HMDB0247948</t>
  </si>
  <si>
    <t>CCC1(O)CC(OC2CC(C(OC3CC(O)C(OC4OC(C)C(=O)C=C4N)C(C)O3)C(C)O2)N(C)C)C2=C(O)C3=C(C=C2C1C(=O)OC)C(=O)C1=CC=CC(O)=C1C3=O</t>
  </si>
  <si>
    <t>OHMUKIWRHXAZQS-UHFFFAOYSA-N</t>
  </si>
  <si>
    <t>C42H52N2O15</t>
  </si>
  <si>
    <t>8.86_196.0167m/z</t>
  </si>
  <si>
    <t>2-Amino-6-Nitrobenzothiazole</t>
  </si>
  <si>
    <t>HMDB0247150</t>
  </si>
  <si>
    <t>N=C1NC2=C(S1)C=C(C=C2)N(=O)=O</t>
  </si>
  <si>
    <t>GPNAVOJCQIEKQF-UHFFFAOYSA-N</t>
  </si>
  <si>
    <t>C7H5N3O2S</t>
  </si>
  <si>
    <t>10.29_933.4068m/z</t>
  </si>
  <si>
    <t>Benzyloxycarbonyl-Val-Ala-Asp(Ome)-Fluoromethylketone</t>
  </si>
  <si>
    <t>HMDB0244824</t>
  </si>
  <si>
    <t>COC(=O)CC(NC(=O)C(C)NC(=O)C(NC(=O)OCC1=CC=CC=C1)C(C)C)C(=O)CF</t>
  </si>
  <si>
    <t>MIFGOLAMNLSLGH-UHFFFAOYSA-N</t>
  </si>
  <si>
    <t>C22H30FN3O7</t>
  </si>
  <si>
    <t>5.62_423.1447m/z</t>
  </si>
  <si>
    <t>Uvaretin</t>
  </si>
  <si>
    <t>LMPK12120469</t>
  </si>
  <si>
    <t>C09978</t>
  </si>
  <si>
    <t>C1(O)C=C(OC)C(C(=O)CCC2C=CC=CC=2)=C(O)C=1CC1C=CC=CC=1O</t>
  </si>
  <si>
    <t>LQHGGFQNRNEFIG-UHFFFAOYSA-N</t>
  </si>
  <si>
    <t>C23H22O5</t>
  </si>
  <si>
    <t>1.64_297.1189m/z</t>
  </si>
  <si>
    <t>2,3-Butanediol Glucoside</t>
  </si>
  <si>
    <t>HMDB0040822</t>
  </si>
  <si>
    <t>146763-54-4</t>
  </si>
  <si>
    <t>CC(O)C(C)OC1OC(CO)C(O)C(O)C1O</t>
  </si>
  <si>
    <t>ZLXYJEYKAQYNPV-UHFFFAOYSA-N</t>
  </si>
  <si>
    <t>C10H20O7</t>
  </si>
  <si>
    <t>7.43_411.2385m/z</t>
  </si>
  <si>
    <t>15-Methyl-15s-Pgd2</t>
  </si>
  <si>
    <t>LMFA03010050</t>
  </si>
  <si>
    <t>85280-90-6</t>
  </si>
  <si>
    <t>[C@H]1(/C=C/[C@@](C)(O)CCCCC)C(=O)C[C@H](O)[C@@H]1C/C=C\CCCC(=O)O</t>
  </si>
  <si>
    <t>CTXLUMAOXBULOZ-QEQARHSSSA-N</t>
  </si>
  <si>
    <t>C21H34O5</t>
  </si>
  <si>
    <t>10.26_721.3791m/z</t>
  </si>
  <si>
    <t>Arvenin I</t>
  </si>
  <si>
    <t>LMST01010408</t>
  </si>
  <si>
    <t>[C@@]12(C)C[C@H]([C@]([H])([C@](O)(C)C(=O)/C=C/C(C)(C)OC(=O)C)[C@@]1(C)CC([C@@]1(C)[C@]3([H])C[C@@H](C(=O)C(C)(C)C3=CC[C@@]21[H])O[C@H]1[C@H](O)[C@@H](O)[C@H](O)[C@@H](CO)O1)=O)O</t>
  </si>
  <si>
    <t>PQOVWWZVVIGRPP-BBANTJNRSA-N</t>
  </si>
  <si>
    <t>C38H56O13</t>
  </si>
  <si>
    <t>4.12_632.2053m/z</t>
  </si>
  <si>
    <t>3'-Sialyllactose</t>
  </si>
  <si>
    <t>HMDB0000825</t>
  </si>
  <si>
    <t>35890-38-1</t>
  </si>
  <si>
    <t>[H][C@]1(O[C@@](C[C@H](O)[C@H]1NC(C)=O)(O[C@H]1[C@@H](O)[C@@H](CO)O[C@@H](O[C@H]([C@H](O)CO)[C@H](O)[C@@H](O)C=O)[C@@H]1O)C(O)=O)[C@H](O)[C@H](O)CO</t>
  </si>
  <si>
    <t>OIZGSVFYNBZVIK-FHHHURIISA-N</t>
  </si>
  <si>
    <t>C23H39NO19</t>
  </si>
  <si>
    <t>8.01_451.0381m/z</t>
  </si>
  <si>
    <t>Methyl 3,5-Dinitrobenzoate</t>
  </si>
  <si>
    <t>HMDB0254567</t>
  </si>
  <si>
    <t>COC(=O)C1=CC(=CC(=C1)[N+]([O-])=O)[N+]([O-])=O</t>
  </si>
  <si>
    <t>POGCCFLNFPIIGW-UHFFFAOYSA-N</t>
  </si>
  <si>
    <t>C8H6N2O6</t>
  </si>
  <si>
    <t>5.08_795.2668m/z</t>
  </si>
  <si>
    <t>D 4476</t>
  </si>
  <si>
    <t>301836-43-1</t>
  </si>
  <si>
    <t>C1COC2=C(O1)C=CC(=C2)C3=C(NC(=N3)C4=CC=C(C=C4)C(=O)N)C5=CC=CC=N5</t>
  </si>
  <si>
    <t>DPDZHVCKYBCJHW-UHFFFAOYSA-N</t>
  </si>
  <si>
    <t>C23H18N4O3</t>
  </si>
  <si>
    <t>1.70_396.1764m/z</t>
  </si>
  <si>
    <t>N-Jasmonoyltyrosine</t>
  </si>
  <si>
    <t>HMDB0039503</t>
  </si>
  <si>
    <t>105801-18-1</t>
  </si>
  <si>
    <t>CC\C=C\CC1C(CC(=O)NC(CC2=CC=C(O)C=C2)C(O)=O)CCC1=O</t>
  </si>
  <si>
    <t>SLWSWKGGZQCLDU-ONEGZZNKSA-N</t>
  </si>
  <si>
    <t>C21H27NO5</t>
  </si>
  <si>
    <t>5.08_537.3273m/z</t>
  </si>
  <si>
    <t>4-Fluoro-N-Methyl-L-Phenylalanyl-N-Methyl-L-Valyl-3-(1,1-Dimethylethyl)-N-Ethyl-L-Tyrosinamide</t>
  </si>
  <si>
    <t>HMDB0245737</t>
  </si>
  <si>
    <t>CCNC(=O)C(CC1=CC(=C(O)C=C1)C(C)(C)C)NC(=O)C(C(C)C)N(C)C(=O)C(CC1=CC=C(F)C=C1)NC</t>
  </si>
  <si>
    <t>KSDWAJPUTRBIRR-UHFFFAOYSA-N</t>
  </si>
  <si>
    <t>C31H45FN4O4</t>
  </si>
  <si>
    <t>7.69_385.2230m/z</t>
  </si>
  <si>
    <t>Berkeleylactone M</t>
  </si>
  <si>
    <t>LMFA07040173</t>
  </si>
  <si>
    <t>[C@@H]1([C@@H](OC(=O)CCC(=O)O)CCCCCCCCC[C@@H](C)OC(=O)CC1)O</t>
  </si>
  <si>
    <t>GUYSGRRZEXJUDH-ZACQAIPSSA-N</t>
  </si>
  <si>
    <t>12.00_361.2732m/z</t>
  </si>
  <si>
    <t>O-Arachidonoyl Glycidol</t>
  </si>
  <si>
    <t>439146-24-4</t>
  </si>
  <si>
    <t>CCCCCC=CCC=CCC=CCC=CCCCC(=O)OCC1CO1</t>
  </si>
  <si>
    <t>ACYNJBAUKQMZDF-UHFFFAOYSA-N</t>
  </si>
  <si>
    <t>C23H36O3</t>
  </si>
  <si>
    <t>2.16_445.0938m/z</t>
  </si>
  <si>
    <t>(-)-8-(2-Carboxy-1-Phenylethyl)-3,5,7-Trihydroxyflavone Delta-Lactone</t>
  </si>
  <si>
    <t>LMPK12111648</t>
  </si>
  <si>
    <t>C12OC(=O)CC(C3C=CC=CC=3)C=1C1OC(C3C=CC=CC=3)=C(O)C(=O)C=1C(O)=C2</t>
  </si>
  <si>
    <t>SXMQPTBFMABSHL-UHFFFAOYSA-N</t>
  </si>
  <si>
    <t>C24H16O6</t>
  </si>
  <si>
    <t>13.41_769.4734m/z</t>
  </si>
  <si>
    <t>Nigericin</t>
  </si>
  <si>
    <t>HMDB0255599</t>
  </si>
  <si>
    <t>COC1CC(CC2CCC(C)C(O2)C(C)C(O)=O)OC2(OC(C)(CC2C)C2CCC(C)(O2)C2OC(CC2C)C2OC(O)(CO)C(C)CC2C)C1C</t>
  </si>
  <si>
    <t>DANUORFCFTYTSZ-UHFFFAOYSA-N</t>
  </si>
  <si>
    <t>C40H68O11</t>
  </si>
  <si>
    <t>10.11_844.5199m/z</t>
  </si>
  <si>
    <t>Osirisyne F</t>
  </si>
  <si>
    <t>LMFA01031217</t>
  </si>
  <si>
    <t>C(C#CC(O)C(O)C(O)CCCCCCCCCCCC/C=C/C(=O)CCC/C=C/C(O)CCCC(O)C#CC(O)C#CCC(O)CCCC(O)/C=C/C(O)C#C)(=O)O</t>
  </si>
  <si>
    <t>QGUOXVDMUDHUSI-LQYIHJHESA-N</t>
  </si>
  <si>
    <t>C47H70O12</t>
  </si>
  <si>
    <t>5.09_251.1640m/z</t>
  </si>
  <si>
    <t>Gemfibrozil</t>
  </si>
  <si>
    <t>HMDB0015371</t>
  </si>
  <si>
    <t>C07020</t>
  </si>
  <si>
    <t>25812-30-0</t>
  </si>
  <si>
    <t>CC1=CC(OCCCC(C)(C)C(O)=O)=C(C)C=C1</t>
  </si>
  <si>
    <t>HEMJJKBWTPKOJG-UHFFFAOYSA-N</t>
  </si>
  <si>
    <t>8.71_869.5933m/z</t>
  </si>
  <si>
    <t>PA(a-25:0/20:5(7Z,9Z,11E,13E,17Z)-3OH(5,6,15))</t>
  </si>
  <si>
    <t>HMDB0267281</t>
  </si>
  <si>
    <t>[H][C@@](COC(=O)CCCCCCCCCCCCCCCCCCCCC(C)CC)(COP(O)(O)=O)OC(=O)CCC[C@@H](O)[C@H](O)\C=C/C=C\C=C\C=C\[C@@H](O)C\C=C/CC</t>
  </si>
  <si>
    <t>TUEMQEFCJIZXDZ-FMZMKKDFSA-N</t>
  </si>
  <si>
    <t>C48H85O11P</t>
  </si>
  <si>
    <t>3.33_272.0173m/z</t>
  </si>
  <si>
    <t>L-Glutamic Acid 5-Phosphate</t>
  </si>
  <si>
    <t>HMDB0001228</t>
  </si>
  <si>
    <t>C03287</t>
  </si>
  <si>
    <t>ko00330,ko00332</t>
  </si>
  <si>
    <t>Arginine and proline metabolism|Carbapenem biosynthesis</t>
  </si>
  <si>
    <t>13254-53-0</t>
  </si>
  <si>
    <t>N[C@@H](CCC(=O)OP(O)(O)=O)C(O)=O</t>
  </si>
  <si>
    <t>PJRXVIJAERNUIP-VKHMYHEASA-N</t>
  </si>
  <si>
    <t>C5H10NO7P</t>
  </si>
  <si>
    <t>5.35_505.2216m/z</t>
  </si>
  <si>
    <t>PA(2:0/5-iso PGF2VI)</t>
  </si>
  <si>
    <t>HMDB0266529</t>
  </si>
  <si>
    <t>CCCCC[C@@H](O)\C=C\[C@H]1[C@H](O)C[C@H](O)[C@H]1C\C=C/CC(=O)O[C@H](COC(C)=O)COP(O)(O)=O</t>
  </si>
  <si>
    <t>STFIURNMGJWLJB-FPOGUXASSA-N</t>
  </si>
  <si>
    <t>C23H39O11P</t>
  </si>
  <si>
    <t>9.71_609.3028m/z</t>
  </si>
  <si>
    <t>PI(17:0/0:0)</t>
  </si>
  <si>
    <t>LMGP06050029</t>
  </si>
  <si>
    <t>[C@]([H])(O)(COP(=O)(O)O[C@H]1[C@H](O)[C@@H](O)[C@H](O)[C@@H](O)[C@H]1O)COC(CCCCCCCCCCCCCCCC)=O</t>
  </si>
  <si>
    <t>KNQQEDTUCAXLKN-DDPOLRDFSA-N</t>
  </si>
  <si>
    <t>C26H51O12P</t>
  </si>
  <si>
    <t>10.58_370.2949m/z</t>
  </si>
  <si>
    <t>Ceriporic Acid C</t>
  </si>
  <si>
    <t>LMFA01170127</t>
  </si>
  <si>
    <t>C(C(=C)[C@H](C(O)=O)CCCCCC/C=C\CCCCCCCC)(=O)O</t>
  </si>
  <si>
    <t>BQGIGMHUCMNPDK-OEIFXAAASA-N</t>
  </si>
  <si>
    <t>4.47_477.1756m/z</t>
  </si>
  <si>
    <t>Melledonal A</t>
  </si>
  <si>
    <t>HMDB0035865</t>
  </si>
  <si>
    <t>103847-15-0</t>
  </si>
  <si>
    <t>CC1=CC(O)=CC(O)=C1C(=O)OC1CC2(C)C3C(O)C(C)(C)CC3(O)C=C(C=O)C12O</t>
  </si>
  <si>
    <t>BYWJNFQCWYEWHX-UHFFFAOYSA-N</t>
  </si>
  <si>
    <t>7.77_672.2888m/z</t>
  </si>
  <si>
    <t>Noa-Asn-Apns-Dmt-Nh-Tbu</t>
  </si>
  <si>
    <t>HMDB0255676</t>
  </si>
  <si>
    <t>CC(C)(C)NC(=O)C1N(CSC1(C)C)C(=O)C(O)C(CC1=CC=CC=C1)NC(=O)C(CC(N)=O)NC(=O)COC1=CC=CC2=CC=CC=C12</t>
  </si>
  <si>
    <t>UFSMRNQSQSGJII-UHFFFAOYSA-N</t>
  </si>
  <si>
    <t>C36H45N5O7S</t>
  </si>
  <si>
    <t>8.64_280.1176m/z</t>
  </si>
  <si>
    <t>(+)-Cis-Khellactone</t>
  </si>
  <si>
    <t>HMDB0243535</t>
  </si>
  <si>
    <t>CC1(C)OC2=C(C(O)C1O)C1=C(C=CC(=O)O1)C=C2</t>
  </si>
  <si>
    <t>HKXQUNNSKMWIKJ-UHFFFAOYSA-N</t>
  </si>
  <si>
    <t>C14H14O5</t>
  </si>
  <si>
    <t>4.58_131.0491m/z</t>
  </si>
  <si>
    <t>Trans-Cinnamic Acid</t>
  </si>
  <si>
    <t>HMDB0000930</t>
  </si>
  <si>
    <t>C10438</t>
  </si>
  <si>
    <t>140-10-3</t>
  </si>
  <si>
    <t>OC(=O)\C=C\C1=CC=CC=C1</t>
  </si>
  <si>
    <t>WBYWAXJHAXSJNI-VOTSOKGWSA-N</t>
  </si>
  <si>
    <t>5.08_471.0855m/z</t>
  </si>
  <si>
    <t>Cysteineglutathione Disulfide</t>
  </si>
  <si>
    <t>HMDB0000656</t>
  </si>
  <si>
    <t>13081-14-6</t>
  </si>
  <si>
    <t>N[C@@H](CCC(=O)N[C@@H](CSSCC(N)C(O)=O)C(=O)NCC(O)=O)C(O)=O</t>
  </si>
  <si>
    <t>BNRXZEPOHPEEAS-PPSBICQBSA-N</t>
  </si>
  <si>
    <t>C13H22N4O8S2</t>
  </si>
  <si>
    <t>1.02_305.0122m/z</t>
  </si>
  <si>
    <t>3-Sulfinoalanine</t>
  </si>
  <si>
    <t>HMDB0000996</t>
  </si>
  <si>
    <t>C00606</t>
  </si>
  <si>
    <t>ko00270,ko00430</t>
  </si>
  <si>
    <t>Cysteine and methionine metabolism|Taurine and hypotaurine metabolism</t>
  </si>
  <si>
    <t>1115-65-7</t>
  </si>
  <si>
    <t>C(C(C(=O)O)N)S(=O)=O</t>
  </si>
  <si>
    <t>WVMUCBHSEHBMKA-REOHCLBHSA-N</t>
  </si>
  <si>
    <t>C3H7NO4S</t>
  </si>
  <si>
    <t>7.45_287.2226m/z</t>
  </si>
  <si>
    <t>Pentadecylic Acid</t>
  </si>
  <si>
    <t>HMDB0000826</t>
  </si>
  <si>
    <t>LMFA01010015</t>
  </si>
  <si>
    <t>C16537</t>
  </si>
  <si>
    <t>1002-84-2</t>
  </si>
  <si>
    <t>C(CCCCC)CCCCCCCCC(=O)O</t>
  </si>
  <si>
    <t>WQEPLUUGTLDZJY-UHFFFAOYSA-N</t>
  </si>
  <si>
    <t>C15H30O2</t>
  </si>
  <si>
    <t>12.65_503.3713m/z</t>
  </si>
  <si>
    <t>Ganoderiol I</t>
  </si>
  <si>
    <t>HMDB0037778</t>
  </si>
  <si>
    <t>114567-49-6</t>
  </si>
  <si>
    <t>COC1CC2C(C)(C)C(=O)CCC2(C)C2=C1C1(C)C(O)CC(C(C)CCC=C(CO)CO)C1(C)CC2</t>
  </si>
  <si>
    <t>SQJBJGSQYVYNPM-UHFFFAOYSA-N</t>
  </si>
  <si>
    <t>C31H50O5</t>
  </si>
  <si>
    <t>4.92_483.1512m/z</t>
  </si>
  <si>
    <t>Genipinic Acid</t>
  </si>
  <si>
    <t>HMDB0038126</t>
  </si>
  <si>
    <t>COC(=O)C(C1CCC2=C1C(O)OC2)C(O)=O</t>
  </si>
  <si>
    <t>XNIJPPBKASPAIZ-UHFFFAOYSA-N</t>
  </si>
  <si>
    <t>C11H14O6</t>
  </si>
  <si>
    <t>0.78_250.0896n</t>
  </si>
  <si>
    <t>2-(3-Methylpiperidin-1-Yl)[1,3]Thiazolo[4,5-D]Pyrimidin-7(6h)-One</t>
  </si>
  <si>
    <t>HMDB0244922</t>
  </si>
  <si>
    <t>CC1CCCN(C1)C1=NC2=C(S1)C(=O)NC=N2</t>
  </si>
  <si>
    <t>YGZJEYMCWNFTAT-UHFFFAOYSA-N</t>
  </si>
  <si>
    <t>C11H14N4OS</t>
  </si>
  <si>
    <t>1.83_473.1663m/z</t>
  </si>
  <si>
    <t>Biopterin</t>
  </si>
  <si>
    <t>HMDB0000468</t>
  </si>
  <si>
    <t>C06313</t>
  </si>
  <si>
    <t>22150-76-1</t>
  </si>
  <si>
    <t>C[C@H](O)[C@H](O)C1=CNC2=NC(N)=NC(=O)C2=N1</t>
  </si>
  <si>
    <t>LHQIJBMDNUYRAM-DZSWIPIPSA-N</t>
  </si>
  <si>
    <t>C9H11N5O3</t>
  </si>
  <si>
    <t>9.01_357.2056m/z</t>
  </si>
  <si>
    <t>6alpha-Methylprednisolone</t>
  </si>
  <si>
    <t>HMDB0015094</t>
  </si>
  <si>
    <t>LMST02030178</t>
  </si>
  <si>
    <t>83-43-2</t>
  </si>
  <si>
    <t>[C@]12([C@]3([H])[C@]([H])([C@@]4([H])[C@](C)(C[C@@H]3O)[C@@](O)(C(=O)CO)CC4)C[C@H](C)C1=CC(=O)C=C2)C</t>
  </si>
  <si>
    <t>VHRSUDSXCMQTMA-PJHHCJLFSA-N</t>
  </si>
  <si>
    <t>1.60_413.0677m/z</t>
  </si>
  <si>
    <t>Kaempferol 3-P-Coumarate</t>
  </si>
  <si>
    <t>LMPK12111992</t>
  </si>
  <si>
    <t>C1(O)=CC2OC(C3C=CC(O)=CC=3)=C(OC(/C=C/C3C=CC(O)=CC=3)=O)C(=O)C=2C(O)=C1</t>
  </si>
  <si>
    <t>OBSPVONVWCVMCK-XCVCLJGOSA-N</t>
  </si>
  <si>
    <t>C24H16O8</t>
  </si>
  <si>
    <t>9.96_439.0190m/z</t>
  </si>
  <si>
    <t>2,2'-Dithiodipyridine</t>
  </si>
  <si>
    <t>HMDB0245356</t>
  </si>
  <si>
    <t>S(SC1=CC=CC=N1)C1=CC=CC=N1</t>
  </si>
  <si>
    <t>HAXFWIACAGNFHA-UHFFFAOYSA-N</t>
  </si>
  <si>
    <t>C10H8N2S2</t>
  </si>
  <si>
    <t>1.70_176.9719m/z</t>
  </si>
  <si>
    <t>Methylenediphosphonic Acid</t>
  </si>
  <si>
    <t>HMDB0254641</t>
  </si>
  <si>
    <t>OP(O)(=O)CP(O)(O)=O</t>
  </si>
  <si>
    <t>MBKDYNNUVRNNRF-UHFFFAOYSA-N</t>
  </si>
  <si>
    <t>CH6O6P2</t>
  </si>
  <si>
    <t>12.32_576.3311m/z</t>
  </si>
  <si>
    <t>Phoha-Pe</t>
  </si>
  <si>
    <t>LMGP20020019</t>
  </si>
  <si>
    <t>[C@](COP(=O)(O)OCCN)([H])(OC(CCC(O)/C=C/C(=O)[H])=O)COC(CCCCCCCCCCCCCCC)=O</t>
  </si>
  <si>
    <t>UYWHOTHDXIKERB-ZTUGMGODSA-N</t>
  </si>
  <si>
    <t>C28H52NO10P</t>
  </si>
  <si>
    <t>1.98_212.1177m/z</t>
  </si>
  <si>
    <t>2-Phenylimidazo[1,2-A]Pyridine</t>
  </si>
  <si>
    <t>HMDB0245292</t>
  </si>
  <si>
    <t>C1=C(N=C2C=CC=CN12)C1=CC=CC=C1</t>
  </si>
  <si>
    <t>KDHWCFCNNGUJCP-UHFFFAOYSA-N</t>
  </si>
  <si>
    <t>C13H10N2</t>
  </si>
  <si>
    <t>6.96_429.1901m/z</t>
  </si>
  <si>
    <t>Estrone 3-Glucuronide</t>
  </si>
  <si>
    <t>HMDB0004483</t>
  </si>
  <si>
    <t>LMST05010011</t>
  </si>
  <si>
    <t>C11133</t>
  </si>
  <si>
    <t>2479-90-5</t>
  </si>
  <si>
    <t>[C@@H]1([C@@H]([C@H]([C@H](O)[C@@H](C(O)=O)O1)O)O)OC1C=CC2=C(CC[C@]3([H])[C@]2([H])CC[C@]2(C)C(CC[C@@]32[H])=O)C=1</t>
  </si>
  <si>
    <t>FJAZVHYPASAQKM-JBAURARKSA-N</t>
  </si>
  <si>
    <t>C24H30O8</t>
  </si>
  <si>
    <t>9.98_877.4911m/z</t>
  </si>
  <si>
    <t>(3b,21b)-12-Oleanene-3,21,28-Triol 28-[Arabinosyl-(1-&gt;3)-Arabinosyl-(1-&gt;3)-Arabinoside]</t>
  </si>
  <si>
    <t>HMDB0033641</t>
  </si>
  <si>
    <t>243468-98-6</t>
  </si>
  <si>
    <t>CC1(C)CC2C3=CCC4C5(C)CCC(O)C(C)(C)C5CCC4(C)C3(C)CCC2(COC2OCC(O)C(OC3OCC(O)C(OC4OCC(O)C(O)C4O)C3O)C2O)CC1O</t>
  </si>
  <si>
    <t>PUHAZANIUBMAAJ-UHFFFAOYSA-N</t>
  </si>
  <si>
    <t>C45H74O15</t>
  </si>
  <si>
    <t>5.94_487.1971m/z</t>
  </si>
  <si>
    <t>Strobilurin</t>
  </si>
  <si>
    <t>HMDB0258515</t>
  </si>
  <si>
    <t>COC=C(C(O)=O)C(C)=CC=CC1=CC2=C(OCC3(OC(OC3(C)C)C=C(C)C)O2)C=C1</t>
  </si>
  <si>
    <t>VNWDELVQQMLKLU-UHFFFAOYSA-N</t>
  </si>
  <si>
    <t>C25H30O7</t>
  </si>
  <si>
    <t>0.78_152.0704m/z</t>
  </si>
  <si>
    <t>Phthalide</t>
  </si>
  <si>
    <t>HMDB0032469</t>
  </si>
  <si>
    <t>87-41-2</t>
  </si>
  <si>
    <t>O=C1OCC2=CC=CC=C12</t>
  </si>
  <si>
    <t>WNZQDUSMALZDQF-UHFFFAOYSA-N</t>
  </si>
  <si>
    <t>C8H6O2</t>
  </si>
  <si>
    <t>5.86_697.2484m/z</t>
  </si>
  <si>
    <t>Gamma-Glutamyl-5-Hydroxytryptophan</t>
  </si>
  <si>
    <t>HMDB0252616</t>
  </si>
  <si>
    <t>NC(CCC(O)=O)C(=O)NC(CC1=CNC2=C1C=C(O)C=C2)C(O)=O</t>
  </si>
  <si>
    <t>GJOHGZXBEHBULM-UHFFFAOYSA-N</t>
  </si>
  <si>
    <t>C16H19N3O6</t>
  </si>
  <si>
    <t>14.58_433.3673m/z</t>
  </si>
  <si>
    <t>13'-Hydroxy-Gamma-Tocopherol</t>
  </si>
  <si>
    <t>HMDB0012561</t>
  </si>
  <si>
    <t>CC(CO)CCC[C@H](C)CCC[C@H](C)CCC[C@]1(C)CCC2=C(O1)C(C)=C(C)C(O)=C2</t>
  </si>
  <si>
    <t>QNBPVJMQPAQXML-SLGTZZLGSA-N</t>
  </si>
  <si>
    <t>0.78_452.2572m/z</t>
  </si>
  <si>
    <t>Cenisertib</t>
  </si>
  <si>
    <t>HMDB0249799</t>
  </si>
  <si>
    <t>CN1CCN(CC1)C1=C(C)C=C(NC2=NC=C(F)C(NC3C4CC(C=C4)C3C(N)=O)=N2)C=C1</t>
  </si>
  <si>
    <t>KSOVGRCOLZZTPF-UHFFFAOYSA-N</t>
  </si>
  <si>
    <t>C24H30FN7O</t>
  </si>
  <si>
    <t>4.67_193.1587m/z</t>
  </si>
  <si>
    <t>(E)-5,8-Megastigmadien-4-One</t>
  </si>
  <si>
    <t>HMDB0034671</t>
  </si>
  <si>
    <t>67401-26-7</t>
  </si>
  <si>
    <t>C\C=C/CC1=C(C)C(=O)CCC1(C)C</t>
  </si>
  <si>
    <t>CVDHBGKYPTUEAA-WAYWQWQTSA-N</t>
  </si>
  <si>
    <t>0.72_244.0790m/z</t>
  </si>
  <si>
    <t>N-Acetyl-D-Glucosamine</t>
  </si>
  <si>
    <t>HMDB0000215</t>
  </si>
  <si>
    <t>C00140</t>
  </si>
  <si>
    <t>ko00520,ko02010,ko02060</t>
  </si>
  <si>
    <t>Amino sugar and nucleotide sugar metabolism|ABC transporters|Phosphotransferase system (PTS)</t>
  </si>
  <si>
    <t>7512-17-6</t>
  </si>
  <si>
    <t>CC(=O)N[C@H]1C(O)O[C@H](CO)[C@@H](O)[C@@H]1O</t>
  </si>
  <si>
    <t>OVRNDRQMDRJTHS-RTRLPJTCSA-N</t>
  </si>
  <si>
    <t>C8H15NO6</t>
  </si>
  <si>
    <t>3.61_271.1540m/z</t>
  </si>
  <si>
    <t>Cladosporester C</t>
  </si>
  <si>
    <t>LMFA01170149</t>
  </si>
  <si>
    <t>C(/C=C/CCCCCCC(=O)OC)(=O)OCC(O)CO</t>
  </si>
  <si>
    <t>WABSIBOPGQPWRD-VQHVLOKHSA-N</t>
  </si>
  <si>
    <t>C14H24O6</t>
  </si>
  <si>
    <t>9.50_363.2141m/z</t>
  </si>
  <si>
    <t>2-Alpha-Ethoxydihydrophytuberin</t>
  </si>
  <si>
    <t>HMDB0302961</t>
  </si>
  <si>
    <t>CCO[C@@H]1C[C@@]2(C)OC[C@]3(C)CC[C@H](C[C@]23O1)C(C)(C)OC(C)=O</t>
  </si>
  <si>
    <t>WZOSFKXVOJBVII-UWAKZDDMSA-N</t>
  </si>
  <si>
    <t>C19H32O5</t>
  </si>
  <si>
    <t>10.34_400.3783m/z</t>
  </si>
  <si>
    <t>24-Hydroxy-10z-Tetracosenoic Acid</t>
  </si>
  <si>
    <t>LMFA01050215</t>
  </si>
  <si>
    <t>C(CCCCCCCC/C=C\CCCCCCCCCCCCCO)(=O)O</t>
  </si>
  <si>
    <t>VQZGIEKNJUIUHV-XQRVVYSFSA-N</t>
  </si>
  <si>
    <t>C24H46O3</t>
  </si>
  <si>
    <t>2.07_675.2137m/z</t>
  </si>
  <si>
    <t>Methyl 3,4,5-Trimethoxycinnamate [Arabinosyl-(1-&gt;3)-[Glucosyl-(1-&gt;6)]-Glucosyl] Ester</t>
  </si>
  <si>
    <t>HMDB0034756</t>
  </si>
  <si>
    <t>234761-04-7</t>
  </si>
  <si>
    <t>COC1=CC(\C=C\C(=O)OC2OC(COC3OC(CO)C(O)C(O)C3O)C(O)C(OC3OC(CO)C(O)C3O)C2O)=CC(OC)=C1OC</t>
  </si>
  <si>
    <t>PQBHLKVDBLIZKB-SNAWJCMRSA-N</t>
  </si>
  <si>
    <t>C29H42O19</t>
  </si>
  <si>
    <t>10.80_751.4268m/z</t>
  </si>
  <si>
    <t>Polypodoside C</t>
  </si>
  <si>
    <t>HMDB0040745</t>
  </si>
  <si>
    <t>120015-17-0</t>
  </si>
  <si>
    <t>[H][C@@]12CC[C@](O)([C@H](C)[C@]3([H])CC[C@@H](C)[C@H](O[C@]4([H])O[C@@H](C)[C@H](O)[C@@H](OC)[C@H]4O)O3)[C@@]1(C)CC[C@@]1([H])C2=CC(=O)[C@@]2([H])C[C@H](CC[C@]12C)O[C@]1([H])O[C@H](CO)[C@@H](O)[C@H](O)[C@H]1O</t>
  </si>
  <si>
    <t>MJFULEHSWVMRQG-ICMXPTIASA-N</t>
  </si>
  <si>
    <t>1.11_321.0693n</t>
  </si>
  <si>
    <t>Beta-Citryl-L-Glutamic Acid</t>
  </si>
  <si>
    <t>HMDB0013220</t>
  </si>
  <si>
    <t>69281-09-0</t>
  </si>
  <si>
    <t>OC(=O)CCC(NC(=O)C(O)(CC(O)=O)CC(O)=O)C(O)=O</t>
  </si>
  <si>
    <t>GAQNUGISBQJMKO-UHFFFAOYSA-N</t>
  </si>
  <si>
    <t>C11H15NO10</t>
  </si>
  <si>
    <t>11.31_305.2109m/z</t>
  </si>
  <si>
    <t>7alpha,17beta-Dihydroxyandrost-4-En-3-One</t>
  </si>
  <si>
    <t>HMDB0247408</t>
  </si>
  <si>
    <t>CC12CCC3C(C1CCC2O)C(O)CC1=CC(=O)CCC31C</t>
  </si>
  <si>
    <t>RNCGWYKXAJCOLD-UHFFFAOYSA-N</t>
  </si>
  <si>
    <t>C19H28O3</t>
  </si>
  <si>
    <t>4.47_565.2486m/z</t>
  </si>
  <si>
    <t>Glutaminylhistidine</t>
  </si>
  <si>
    <t>HMDB0028799</t>
  </si>
  <si>
    <t>104018-08-8</t>
  </si>
  <si>
    <t>[H][C@](N)(CCC(O)=N)C(O)=N[C@@]([H])(CC1=CN=CN1)C(O)=O</t>
  </si>
  <si>
    <t>JZOYFBPIEHCDFV-YUMQZZPRSA-N</t>
  </si>
  <si>
    <t>C11H17N5O4</t>
  </si>
  <si>
    <t>0.55_159.1492m/z</t>
  </si>
  <si>
    <t>Tropine</t>
  </si>
  <si>
    <t>HMDB0259297</t>
  </si>
  <si>
    <t>C02066</t>
  </si>
  <si>
    <t>120-29-6</t>
  </si>
  <si>
    <t>CN1C2CCC1CC(O)C2</t>
  </si>
  <si>
    <t>CYHOMWAPJJPNMW-UHFFFAOYSA-N</t>
  </si>
  <si>
    <t>Tropane alkaloids</t>
  </si>
  <si>
    <t>C8H15NO</t>
  </si>
  <si>
    <t>6.99_447.0294m/z</t>
  </si>
  <si>
    <t>2-(Alpha-Hydroxyethyl)Thiamine Diphosphate</t>
  </si>
  <si>
    <t>HMDB0304055</t>
  </si>
  <si>
    <t>CC(O)C1=[N+](CC2=C(N)N=C(C)N=C2)C(C)=C(CCOP([O-])(=O)OP([O-])([O-])=O)S1</t>
  </si>
  <si>
    <t>RRUVJGASJONMDY-UHFFFAOYSA-L</t>
  </si>
  <si>
    <t>C14H20N4O8P2S-2</t>
  </si>
  <si>
    <t>10.78_853.3694m/z</t>
  </si>
  <si>
    <t>Pisumoside A</t>
  </si>
  <si>
    <t>HMDB0037126</t>
  </si>
  <si>
    <t>333334-42-2</t>
  </si>
  <si>
    <t>CC12CCCC(C)(C1C(O)C(O)C13CC(COC4OC(CO)C(O)C(O)C4O)C(O)(C1)CCC23)C(=O)OC1OC(CO)C(O)C(O)C1OC1OC(CO)C(O)C(O)C1O</t>
  </si>
  <si>
    <t>KOGDNIPXKVTMKI-UHFFFAOYSA-N</t>
  </si>
  <si>
    <t>C38H62O21</t>
  </si>
  <si>
    <t>9.50_569.3125m/z</t>
  </si>
  <si>
    <t>N-Monodesmethyl-Rizatriptan</t>
  </si>
  <si>
    <t>HMDB0060847</t>
  </si>
  <si>
    <t>CN(C)CCC1=CNC2=CC(O)=C(CN3C=NC=N3)C=C12</t>
  </si>
  <si>
    <t>YQPPJBHQJWSUTE-UHFFFAOYSA-N</t>
  </si>
  <si>
    <t>C15H19N5O</t>
  </si>
  <si>
    <t>6.47_334.1902m/z</t>
  </si>
  <si>
    <t>18-Oxo-Oleate</t>
  </si>
  <si>
    <t>HMDB0304034</t>
  </si>
  <si>
    <t>[O-]C(=O)CCCCCCCC=CCCCCCCCC=O</t>
  </si>
  <si>
    <t>SNOSCANYFCXCGY-UHFFFAOYSA-M</t>
  </si>
  <si>
    <t>C18H31O3-</t>
  </si>
  <si>
    <t>3.84_234.1235m/z</t>
  </si>
  <si>
    <t>(9z)-12-Oxo-Dodec-9-Enoate</t>
  </si>
  <si>
    <t>HMDB0303984</t>
  </si>
  <si>
    <t>[O-]C(=O)CCCCCCCC=CCC=O</t>
  </si>
  <si>
    <t>KIHXTOVLSZRTHJ-UHFFFAOYSA-M</t>
  </si>
  <si>
    <t>C12H19O3-</t>
  </si>
  <si>
    <t>8.35_543.2966m/z</t>
  </si>
  <si>
    <t>Cucurbitacin S</t>
  </si>
  <si>
    <t>HMDB0250583</t>
  </si>
  <si>
    <t>CC1C2C(CC3(C)C4CC=C5C(C=C(O)C(=O)C5(C)C)C4(C)C(=O)CC23C)OC(CC1=O)C(C)(C)O</t>
  </si>
  <si>
    <t>MBYLRWSUZLFUTO-UHFFFAOYSA-N</t>
  </si>
  <si>
    <t>C30H42O6</t>
  </si>
  <si>
    <t>11.48_275.2004m/z</t>
  </si>
  <si>
    <t>9-Kot</t>
  </si>
  <si>
    <t>LMFA02000371</t>
  </si>
  <si>
    <t>125559-74-2</t>
  </si>
  <si>
    <t>C(CCCCCCCC(=O)/C=C/C=C\C/C=C\CC)(=O)O</t>
  </si>
  <si>
    <t>ACHDMUPTZYZIGR-CUHSZNQNSA-N</t>
  </si>
  <si>
    <t>7.16_637.2642m/z</t>
  </si>
  <si>
    <t>PI(18:4(6Z,9Z,12Z,15Z)/0:0)</t>
  </si>
  <si>
    <t>LMGP06050017</t>
  </si>
  <si>
    <t>[C@]([H])(O)(COP(=O)(O)O[C@H]1[C@H](O)[C@@H](O)[C@H](O)[C@@H](O)[C@H]1O)COC(CCCC/C=C\C/C=C\C/C=C\C/C=C\CC)=O</t>
  </si>
  <si>
    <t>RZLNVOWKGBDTLF-LQZFJLJHSA-N</t>
  </si>
  <si>
    <t>C27H45O12P</t>
  </si>
  <si>
    <t>4.03_278.0666m/z</t>
  </si>
  <si>
    <t>N-[4'-Hydroxy-(E)-Cinnamoyl]-L-Aspartic Acid</t>
  </si>
  <si>
    <t>HMDB0029234</t>
  </si>
  <si>
    <t>OC(=O)CC(NC(=O)\C=C\C1=CC=C(O)C=C1)C(O)=O</t>
  </si>
  <si>
    <t>FKBRNPNAUOXZMQ-ZZXKWVIFSA-N</t>
  </si>
  <si>
    <t>C13H13NO6</t>
  </si>
  <si>
    <t>1.13_151.0000m/z</t>
  </si>
  <si>
    <t>Ethylene Glycol Dinitrate</t>
  </si>
  <si>
    <t>HMDB0252070</t>
  </si>
  <si>
    <t>O=N(=O)OCCON(=O)=O</t>
  </si>
  <si>
    <t>UQXKXGWGFRWILX-UHFFFAOYSA-N</t>
  </si>
  <si>
    <t>Organic nitrates</t>
  </si>
  <si>
    <t>C2H4N2O6</t>
  </si>
  <si>
    <t>5.02_274.0839n</t>
  </si>
  <si>
    <t>Phloretin</t>
  </si>
  <si>
    <t>HMDB0003306</t>
  </si>
  <si>
    <t>LMPK12120525</t>
  </si>
  <si>
    <t>C00774</t>
  </si>
  <si>
    <t>60-82-2</t>
  </si>
  <si>
    <t>C1(O)C=C(O)C(C(=O)CCC2C=CC(O)=CC=2)=C(O)C=1</t>
  </si>
  <si>
    <t>VGEREEWJJVICBM-UHFFFAOYSA-N</t>
  </si>
  <si>
    <t>3.99_643.2575m/z</t>
  </si>
  <si>
    <t>N6-Cis-P-Coumaroylserotonin</t>
  </si>
  <si>
    <t>HMDB0038340</t>
  </si>
  <si>
    <t>OC1=CC=C(\C=C\C(=O)NCCC2=CNC3=C2C=C(O)C=C3)C=C1</t>
  </si>
  <si>
    <t>WLZPAFGVOWCVMG-FPYGCLRLSA-N</t>
  </si>
  <si>
    <t>C19H18N2O3</t>
  </si>
  <si>
    <t>4.29_335.1853m/z</t>
  </si>
  <si>
    <t>Arnicolide C</t>
  </si>
  <si>
    <t>CC1CC2C(C(C(=O)O2)C)C(C3(C1C=CC3=O)C)OC(=O)C(C)C</t>
  </si>
  <si>
    <t>WKUOPGZYLRFCHJ-APDQSUQKSA-N</t>
  </si>
  <si>
    <t>C19H26O5</t>
  </si>
  <si>
    <t>4.08_381.0804m/z</t>
  </si>
  <si>
    <t>6-Formylpterin</t>
  </si>
  <si>
    <t>HMDB0247066</t>
  </si>
  <si>
    <t>OC1=NC(=N)NC2=C1N=C(C=O)C=N2</t>
  </si>
  <si>
    <t>LLJAQDVNMGLRBD-UHFFFAOYSA-N</t>
  </si>
  <si>
    <t>C7H5N5O2</t>
  </si>
  <si>
    <t>4.51_449.1433m/z</t>
  </si>
  <si>
    <t>Antibiotic M83</t>
  </si>
  <si>
    <t>HMDB0247274</t>
  </si>
  <si>
    <t>COC12C3NC3CN1C1=C(C2COC(N)=O)C(=O)C(NC2=CC=C(O)C=C2)=C(C)C1=O</t>
  </si>
  <si>
    <t>HNTGDFCASLOZEZ-UHFFFAOYSA-N</t>
  </si>
  <si>
    <t>C21H22N4O6</t>
  </si>
  <si>
    <t>6.01_235.1301m/z</t>
  </si>
  <si>
    <t>Pymetrozine</t>
  </si>
  <si>
    <t>C18590</t>
  </si>
  <si>
    <t>123312-89-0</t>
  </si>
  <si>
    <t>CC1=NNC(=O)N(C1)N=CC2=CN=CC=C2</t>
  </si>
  <si>
    <t>QHMTXANCGGJZRX-WUXMJOGZSA-N</t>
  </si>
  <si>
    <t>1,2,4-triazines</t>
  </si>
  <si>
    <t>C10H11N5O</t>
  </si>
  <si>
    <t>6.58_479.2050m/z</t>
  </si>
  <si>
    <t>15-Keto Fluprostenol Isopropyl Ester</t>
  </si>
  <si>
    <t>CC(C)OC(=O)CCCC=CCC1C(CC(C1C=CC(=O)COC2=CC=CC(=C2)C(F)(F)F)O)O</t>
  </si>
  <si>
    <t>KSDDYCRRTVADFZ-OHDKTVHDSA-N</t>
  </si>
  <si>
    <t>C26H33F3O6</t>
  </si>
  <si>
    <t>1.06_346.1241m/z</t>
  </si>
  <si>
    <t>3-(3-Amino-3-Carboxypropyl)Uridine</t>
  </si>
  <si>
    <t>HMDB0242130</t>
  </si>
  <si>
    <t>[H]C(N)(CCN1C(=O)C=CN(C1=O)[C@]1([H])O[C@]([H])(CO)[C@@]([H])(O)[C@@]1([H])O)C(O)=O</t>
  </si>
  <si>
    <t>YXNIEZJFCGTDKV-JANFQQFMSA-N</t>
  </si>
  <si>
    <t>C13H19N3O8</t>
  </si>
  <si>
    <t>4.70_815.2419m/z</t>
  </si>
  <si>
    <t>2-Ethoxy-3-[4-[2-(4-Methylsulfonyloxyphenyl)Ethoxy]Phenyl]Propanoic Acid</t>
  </si>
  <si>
    <t>HMDB0245109</t>
  </si>
  <si>
    <t>CCOC(CC1=CC=C(OCCC2=CC=C(OS(C)(=O)=O)C=C2)C=C1)C(O)=O</t>
  </si>
  <si>
    <t>CXGTZJYQWSUFET-UHFFFAOYSA-N</t>
  </si>
  <si>
    <t>C20H24O7S</t>
  </si>
  <si>
    <t>5.71_340.1399m/z</t>
  </si>
  <si>
    <t>Mycotoxin T 2</t>
  </si>
  <si>
    <t>HMDB0032864</t>
  </si>
  <si>
    <t>208346-80-9</t>
  </si>
  <si>
    <t>CCOC(=O)NCC1=CC=C(OC2OC(C)C(O)C(O)C2O)C=C1</t>
  </si>
  <si>
    <t>UNNZZQOFLFJJJZ-UHFFFAOYSA-N</t>
  </si>
  <si>
    <t>C16H23NO7</t>
  </si>
  <si>
    <t>4.42_789.3901m/z</t>
  </si>
  <si>
    <t>Spiperone</t>
  </si>
  <si>
    <t>HMDB0258423</t>
  </si>
  <si>
    <t>749-02-0</t>
  </si>
  <si>
    <t>FC1=CC=C(C=C1)C(=O)CCCN1CCC2(CC1)N(CNC2=O)C1=CC=CC=C1</t>
  </si>
  <si>
    <t>DKGZKTPJOSAWFA-UHFFFAOYSA-N</t>
  </si>
  <si>
    <t>C23H26FN3O2</t>
  </si>
  <si>
    <t>8.16_227.1064m/z</t>
  </si>
  <si>
    <t>3[N-Morpholino]Propane Sulfonic Acid</t>
  </si>
  <si>
    <t>HMDB0254880</t>
  </si>
  <si>
    <t>OS(=O)(=O)CCCN1CCOCC1</t>
  </si>
  <si>
    <t>DVLFYONBTKHTER-UHFFFAOYSA-N</t>
  </si>
  <si>
    <t>C7H15NO4S</t>
  </si>
  <si>
    <t>3.33_426.1364m/z</t>
  </si>
  <si>
    <t>((4-(3-(4-Fluoro-Alpha-Hydroxybenzyl)-4-Hydroxyphenoxy)-3,5-Dimethylphenyl)Amino)Oxoacetate</t>
  </si>
  <si>
    <t>HMDB0242230</t>
  </si>
  <si>
    <t>CC1=CC(NC(=O)C(O)=O)=CC(C)=C1OC1=CC(C(O)C2=CC=C(F)C=C2)=C(O)C=C1</t>
  </si>
  <si>
    <t>JLRFZRFZFZGWFE-UHFFFAOYSA-N</t>
  </si>
  <si>
    <t>C23H20FNO6</t>
  </si>
  <si>
    <t>7.77_332.1569m/z</t>
  </si>
  <si>
    <t>Molinate</t>
  </si>
  <si>
    <t>HMDB0254835</t>
  </si>
  <si>
    <t>O=C1N(NC=C1N1C=CN=N1)C1=CC(=NC=N1)N1CCOCC1</t>
  </si>
  <si>
    <t>IJMBOKOTALXLKS-UHFFFAOYSA-N</t>
  </si>
  <si>
    <t>C13H14N8O2</t>
  </si>
  <si>
    <t>4.14_233.0807m/z</t>
  </si>
  <si>
    <t>Citrinin</t>
  </si>
  <si>
    <t>C16765</t>
  </si>
  <si>
    <t>518-75-2</t>
  </si>
  <si>
    <t>CC1C(OC=C2C1=C(C(=C(C2=O)C(=O)O)O)C)C</t>
  </si>
  <si>
    <t>CBGDIJWINPWWJW-IYSWYEEDSA-N</t>
  </si>
  <si>
    <t>C13H14O5</t>
  </si>
  <si>
    <t>6.22_336.1952m/z</t>
  </si>
  <si>
    <t>Alpha-Pentyl-3-(2-Quinolinylmethoxy)Benzenemethanol</t>
  </si>
  <si>
    <t>HMDB0257187</t>
  </si>
  <si>
    <t>101910-24-1</t>
  </si>
  <si>
    <t>CCCCCC(O)C1=CC(OCC2=NC3=CC=CC=C3C=C2)=CC=C1</t>
  </si>
  <si>
    <t>JRLOEMCOOZSCQP-UHFFFAOYSA-N</t>
  </si>
  <si>
    <t>C22H25NO2</t>
  </si>
  <si>
    <t>4.03_607.1433m/z</t>
  </si>
  <si>
    <t>Epifisetinidol-(4beta-&gt;8)-Catechin</t>
  </si>
  <si>
    <t>HMDB0032007</t>
  </si>
  <si>
    <t>OC1CC2=C(OC1C1=CC(O)=C(O)C=C1)C(C1C(O)C(OC3=C1C=CC(O)=C3)C1=CC(O)=C(O)C=C1)=C(O)C=C2O</t>
  </si>
  <si>
    <t>CVPALQKJIJFGCD-UHFFFAOYSA-N</t>
  </si>
  <si>
    <t>C30H26O11</t>
  </si>
  <si>
    <t>3.82_911.2011m/z</t>
  </si>
  <si>
    <t>Epicatechin 3-O-(3-O-Methylgallate)</t>
  </si>
  <si>
    <t>HMDB0037945</t>
  </si>
  <si>
    <t>LMPK12020093</t>
  </si>
  <si>
    <t>83104-86-3</t>
  </si>
  <si>
    <t>C1(O)C=C2O[C@H](C3C=C(O)C(O)=CC=3)[C@H](OC(C3C=C(OC)C(O)=C(O)C=3)=O)CC2=C(O)C=1</t>
  </si>
  <si>
    <t>XGTBMCGGGJLOPS-IFMALSPDSA-N</t>
  </si>
  <si>
    <t>C23H20O10</t>
  </si>
  <si>
    <t>5.56_439.2182m/z</t>
  </si>
  <si>
    <t>3-Sulfodeoxycholic Acid</t>
  </si>
  <si>
    <t>HMDB0002504</t>
  </si>
  <si>
    <t>67030-48-2</t>
  </si>
  <si>
    <t>[H][C@@]12CC[C@H]([C@H](C)CCC(O)=O)C1[C@@H](O)C[C@@]1([H])[C@@]2([H])CC[C@]2([H])C[C@@H](CC[C@]12C)OS(O)(=O)=O</t>
  </si>
  <si>
    <t>WSBVSABEAXNERB-JNLBVXOESA-N</t>
  </si>
  <si>
    <t>C23H38O7S</t>
  </si>
  <si>
    <t>4.72_517.0967m/z</t>
  </si>
  <si>
    <t>Epigallocatechin 3-O-(3-O-Methylgallate)</t>
  </si>
  <si>
    <t>HMDB0038363</t>
  </si>
  <si>
    <t>LMPK12020121</t>
  </si>
  <si>
    <t>83104-87-4</t>
  </si>
  <si>
    <t>C1(O)C=C2O[C@H](C3C=C(O)C(O)=C(O)C=3)[C@H](OC(C3C=C(OC)C(O)=C(O)C=3)=O)CC2=C(O)C=1</t>
  </si>
  <si>
    <t>WVRDOLPMKOCJRJ-DENIHFKCSA-N</t>
  </si>
  <si>
    <t>C23H20O11</t>
  </si>
  <si>
    <t>7.16_605.2604m/z</t>
  </si>
  <si>
    <t>Pipemidic Acid</t>
  </si>
  <si>
    <t>HMDB0041989</t>
  </si>
  <si>
    <t>51940-44-4</t>
  </si>
  <si>
    <t>CCN1C=C(C(O)=O)C(=O)C2=CN=C(N=C12)N1CCNCC1</t>
  </si>
  <si>
    <t>JOHZPMXAZQZXHR-UHFFFAOYSA-N</t>
  </si>
  <si>
    <t>C14H17N5O3</t>
  </si>
  <si>
    <t>8.49_522.3214m/z</t>
  </si>
  <si>
    <t>1-(2-Methoxy-6z-Octadecenyl)-Sn-Glycero-3-Phosphoserine</t>
  </si>
  <si>
    <t>LMGP03060016</t>
  </si>
  <si>
    <t>C(O)(=O)[C@@]([H])(N)COP(OC[C@]([H])(O)COCC(OC)CCC/C=C\CCCCCCCCCCC)(=O)O</t>
  </si>
  <si>
    <t>ZBMOVTXRLZMVEF-WZVZHPRESA-N</t>
  </si>
  <si>
    <t>12.78_897.5176m/z</t>
  </si>
  <si>
    <t>Raddeanin A</t>
  </si>
  <si>
    <t>HMDB0257094</t>
  </si>
  <si>
    <t>CC1OC(OC2C(O)C(O)C(CO)OC2OC2C(O)C(O)COC2OC2CCC3(C)C(CCC4(C)C3CC=C3C5CC(C)(C)CCC5(CCC43C)C(O)=O)C2(C)C)C(O)C(O)C1O</t>
  </si>
  <si>
    <t>VQQGPFFHGWNIGX-UHFFFAOYSA-N</t>
  </si>
  <si>
    <t>C47H76O16</t>
  </si>
  <si>
    <t>4.77_417.2457m/z</t>
  </si>
  <si>
    <t>Glutamylleucylarginine</t>
  </si>
  <si>
    <t>HMDB0252758</t>
  </si>
  <si>
    <t>CC(C)CC(NC(=O)C(N)CCC(O)=O)C(=O)NC(CCCN=C(N)N)C(O)=O</t>
  </si>
  <si>
    <t>VSRCAOIHMGCIJK-UHFFFAOYSA-N</t>
  </si>
  <si>
    <t>C17H32N6O6</t>
  </si>
  <si>
    <t>13.13_381.1735m/z</t>
  </si>
  <si>
    <t>S-Japonin</t>
  </si>
  <si>
    <t>HMDB0035802</t>
  </si>
  <si>
    <t>36031-35-3</t>
  </si>
  <si>
    <t>CS\C=C\C(=O)OC1CC(C)C2(C)CC(=C(C)C)C(=O)CC2C1</t>
  </si>
  <si>
    <t>HDHDUJDLKYTRAS-VOTSOKGWSA-N</t>
  </si>
  <si>
    <t>C19H28O3S</t>
  </si>
  <si>
    <t>5.61_394.1777n</t>
  </si>
  <si>
    <t>1,3,8-Trihydroxy-4-Methyl-2,7-Diprenylxanthone</t>
  </si>
  <si>
    <t>HMDB0037298</t>
  </si>
  <si>
    <t>CC(C)=CCC1=C(O)C2=C(OC3=C(C(O)=C(CC=C(C)C)C(O)=C3C)C2=O)C=C1</t>
  </si>
  <si>
    <t>QPSZSDVSMAQDTD-UHFFFAOYSA-N</t>
  </si>
  <si>
    <t>C24H26O5</t>
  </si>
  <si>
    <t>1.79_215.0538m/z</t>
  </si>
  <si>
    <t>(2z,4'Z)-2-(5-Methylthio-4-Penten-2-Ynylidene)-1,6-Dioxaspiro[4.4]Non-3-Ene</t>
  </si>
  <si>
    <t>HMDB0032660</t>
  </si>
  <si>
    <t>CS\C=C/C#C\C=C1\OC2(CCCO2)C=C1</t>
  </si>
  <si>
    <t>SOSDBVUESBQTDG-QFQHGIJPSA-N</t>
  </si>
  <si>
    <t>C13H14O2S</t>
  </si>
  <si>
    <t>2.68_649.2127m/z</t>
  </si>
  <si>
    <t>Z-Asp-Glu-Val-Asp-Fluoromethylketone</t>
  </si>
  <si>
    <t>HMDB0259962</t>
  </si>
  <si>
    <t>CC(C)C(NC(=O)C(CCC(O)=O)NC(=O)C(CC(O)=O)NC(=O)OCC1=CC=CC=C1)C(=O)NC(CC(O)=O)C(=O)CF</t>
  </si>
  <si>
    <t>WZFWAHASLGOYJD-UHFFFAOYSA-N</t>
  </si>
  <si>
    <t>C27H35FN4O12</t>
  </si>
  <si>
    <t>7.20_735.2483m/z</t>
  </si>
  <si>
    <t>1-(5-Cyanopyridin-2-Yl)-3-((1s,2s)-2-(6-Fluoro-2-Hydroxy-3-Propanoylphenyl)Cyclopropyl)Urea</t>
  </si>
  <si>
    <t>HMDB0254768</t>
  </si>
  <si>
    <t>CCC(=O)C1=C(O)C(C2CC2NC(=O)NC2=NC=C(C=C2)C#N)=C(F)C=C1</t>
  </si>
  <si>
    <t>NKPHEWJJTGPRSL-UHFFFAOYSA-N</t>
  </si>
  <si>
    <t>C19H17FN4O3</t>
  </si>
  <si>
    <t>10.89_394.3291m/z</t>
  </si>
  <si>
    <t>Lithocholic Acid</t>
  </si>
  <si>
    <t>HMDB0000761</t>
  </si>
  <si>
    <t>LMST04010003</t>
  </si>
  <si>
    <t>C03990</t>
  </si>
  <si>
    <t>434-13-9</t>
  </si>
  <si>
    <t>C1[C@]2(C)[C@@]3([H])CC[C@]4(C)[C@@]([H])([C@]([H])(C)CCC(O)=O)CC[C@@]4([H])[C@]3([H])CC[C@]2([H])C[C@H](O)C1</t>
  </si>
  <si>
    <t>SMEROWZSTRWXGI-HVATVPOCSA-N</t>
  </si>
  <si>
    <t>C24H40O3</t>
  </si>
  <si>
    <t>12.16_597.3764m/z</t>
  </si>
  <si>
    <t>PI(O-20:0/0:0)</t>
  </si>
  <si>
    <t>LMGP06060001</t>
  </si>
  <si>
    <t>[C@]([H])(O)(COP(=O)(O)O[C@H]1[C@H](O)[C@@H](O)[C@H](O)[C@@H](O)[C@H]1O)COCCCCCCCCCCCCCCCCCCCC</t>
  </si>
  <si>
    <t>FHYCYULARSUKFT-FTXWSHJNSA-N</t>
  </si>
  <si>
    <t>C29H59O11P</t>
  </si>
  <si>
    <t>1.50_254.9166m/z</t>
  </si>
  <si>
    <t>4,5-Dinitro-7,8-Dithiabicyclo[4.2.0]Octa-1(6),2,4-Triene-2-Carboxylic Acid</t>
  </si>
  <si>
    <t>HMDB0257945</t>
  </si>
  <si>
    <t>OC(=O)C1=CC(=C(C2=C1SS2)[N+]([O-])=O)[N+]([O-])=O</t>
  </si>
  <si>
    <t>RJRIXRJFUIMVPU-UHFFFAOYSA-N</t>
  </si>
  <si>
    <t>C7H2N2O6S2</t>
  </si>
  <si>
    <t>3.93_243.1226m/z</t>
  </si>
  <si>
    <t>Diethylene Glycol Dimethacrylate</t>
  </si>
  <si>
    <t>HMDB0251246</t>
  </si>
  <si>
    <t>CC(=C)C(=O)OCCOCCOC(=O)C(C)=C</t>
  </si>
  <si>
    <t>XFCMNSHQOZQILR-UHFFFAOYSA-N</t>
  </si>
  <si>
    <t>C12H18O5</t>
  </si>
  <si>
    <t>4.93_239.1519n</t>
  </si>
  <si>
    <t>Salbutamol</t>
  </si>
  <si>
    <t>HMDB0001937</t>
  </si>
  <si>
    <t>C11770</t>
  </si>
  <si>
    <t>18559-94-9</t>
  </si>
  <si>
    <t>CC(C)(C)NCC(O)C1=CC(CO)=C(O)C=C1</t>
  </si>
  <si>
    <t>NDAUXUAQIAJITI-UHFFFAOYSA-N</t>
  </si>
  <si>
    <t>Benzyl alcohols</t>
  </si>
  <si>
    <t>C13H21NO3</t>
  </si>
  <si>
    <t>2.33_403.1226m/z</t>
  </si>
  <si>
    <t>Theviridoside</t>
  </si>
  <si>
    <t>COC(=O)C1=COC(C2C1(CC=C2CO)O)OC3C(C(C(C(O3)CO)O)O)O</t>
  </si>
  <si>
    <t>LDBMLOLBWUOZGG-DOFVRBEMSA-N</t>
  </si>
  <si>
    <t>1.69_823.1441m/z</t>
  </si>
  <si>
    <t>Glycogen Phosphorylase Inhibitor</t>
  </si>
  <si>
    <t>HMDB0252870</t>
  </si>
  <si>
    <t>CNC(=O)NC1=CC(NC(=O)NC(=O)C2=CC(F)=C(F)C=C2Cl)=C(OC)C=C1</t>
  </si>
  <si>
    <t>ROJNYKZWTOHRNU-UHFFFAOYSA-N</t>
  </si>
  <si>
    <t>C17H15ClF2N4O4</t>
  </si>
  <si>
    <t>3.99_358.1296m/z</t>
  </si>
  <si>
    <t>Oxodipine</t>
  </si>
  <si>
    <t>HMDB0255993</t>
  </si>
  <si>
    <t>CCOC(=O)C1=C(C)NC(C)=C(C1C1=C2OCOC2=CC=C1)C(=O)OC</t>
  </si>
  <si>
    <t>MSOAVHHAZCMHDI-UHFFFAOYSA-N</t>
  </si>
  <si>
    <t>C19H21NO6</t>
  </si>
  <si>
    <t>3.63_457.1317m/z</t>
  </si>
  <si>
    <t>4-Hydroxy-5-(3',4'-Dihydroxyphenyl)-Valeric Acid-O-Methyl-O-Glucuronide</t>
  </si>
  <si>
    <t>HMDB0059972</t>
  </si>
  <si>
    <t>OC(CCC(=O)OCOC1OC(C(O)O)C(O)C(O)C1O)CC1=CC(O)=C(O)C=C1</t>
  </si>
  <si>
    <t>KRZPFELARLSRKT-UHFFFAOYSA-N</t>
  </si>
  <si>
    <t>C18H26O12</t>
  </si>
  <si>
    <t>4.42_417.1528m/z</t>
  </si>
  <si>
    <t>4-Acetamido-2-Amino-6-Nitrotoluene</t>
  </si>
  <si>
    <t>HMDB0060384</t>
  </si>
  <si>
    <t>C16420</t>
  </si>
  <si>
    <t>CC(O)=NC1=CC(N)=C(C)C(=C1)N(=O)=O</t>
  </si>
  <si>
    <t>VVBFFAYCAFLAAG-UHFFFAOYSA-N</t>
  </si>
  <si>
    <t>C9H11N3O3</t>
  </si>
  <si>
    <t>6.88_347.1146m/z</t>
  </si>
  <si>
    <t>7-Beta-D-Glucopyranosyloxybutylidenephthalide</t>
  </si>
  <si>
    <t>HMDB0034752</t>
  </si>
  <si>
    <t>240823-19-2</t>
  </si>
  <si>
    <t>CCC\C=C1\OC(=O)C2=C1C=CC=C2OC1OC(CO)C(O)C(O)C1O</t>
  </si>
  <si>
    <t>LNWJAAMNXBMBCE-UXBLZVDNSA-N</t>
  </si>
  <si>
    <t>C18H22O8</t>
  </si>
  <si>
    <t>5.23_527.2131m/z</t>
  </si>
  <si>
    <t>16,17-Dihydro-16alpha,17-Dihydroxygibberellin A4 17-Glucoside</t>
  </si>
  <si>
    <t>HMDB0040647</t>
  </si>
  <si>
    <t>159858-83-0</t>
  </si>
  <si>
    <t>[H][C@@]12CC[C@@H]3C[C@]1(C[C@]3(O)CO[C@@H]1O[C@H](CO)[C@@H](O)[C@H](O)[C@H]1O)[C@@H](C(O)=O)[C@]1([H])[C@@]3(C)[C@@H](O)CC[C@@]21OC3=O</t>
  </si>
  <si>
    <t>XKXOQMAKWNRIFD-MHDFSROXSA-N</t>
  </si>
  <si>
    <t>C25H36O12</t>
  </si>
  <si>
    <t>9.80_219.1743m/z</t>
  </si>
  <si>
    <t>2-Hydroxyacorenone</t>
  </si>
  <si>
    <t>HMDB0030916</t>
  </si>
  <si>
    <t>185154-94-3</t>
  </si>
  <si>
    <t>CC(C)C1C(O)CC(C)C11CC=C(C)C(=O)C1</t>
  </si>
  <si>
    <t>ADNFCKCPNFGLCH-UHFFFAOYSA-N</t>
  </si>
  <si>
    <t>C15H24O2</t>
  </si>
  <si>
    <t>5.84_459.2003m/z</t>
  </si>
  <si>
    <t>1-[3-(Trifluoromethyl)Phenyl]Piperazine</t>
  </si>
  <si>
    <t>HMDB0244703</t>
  </si>
  <si>
    <t>FC(F)(F)C1=CC(=CC=C1)N1CCNCC1</t>
  </si>
  <si>
    <t>KKIMDKMETPPURN-UHFFFAOYSA-N</t>
  </si>
  <si>
    <t>C11H13F3N2</t>
  </si>
  <si>
    <t>4.90_367.0199m/z</t>
  </si>
  <si>
    <t>Orotidylic Acid</t>
  </si>
  <si>
    <t>HMDB0000218</t>
  </si>
  <si>
    <t>C01103</t>
  </si>
  <si>
    <t>2149-82-8</t>
  </si>
  <si>
    <t>O[C@H]1[C@@H](O)[C@@H](O[C@@H]1COP(O)(O)=O)N1C(=O)NC(=O)C=C1C(O)=O</t>
  </si>
  <si>
    <t>KYOBSHFOBAOFBF-XVFCMESISA-N</t>
  </si>
  <si>
    <t>C10H13N2O11P</t>
  </si>
  <si>
    <t>1.31_400.9640m/z</t>
  </si>
  <si>
    <t>Bismuth Subsalicylate</t>
  </si>
  <si>
    <t>HMDB0015408</t>
  </si>
  <si>
    <t>C07870</t>
  </si>
  <si>
    <t>14882-18-9</t>
  </si>
  <si>
    <t>O[Bi]1OC(=O)C2=CC=CC=C2O1</t>
  </si>
  <si>
    <t>ZREIPSZUJIFJNP-UHFFFAOYSA-K</t>
  </si>
  <si>
    <t>C7H5BiO4</t>
  </si>
  <si>
    <t>4.33_528.3317m/z</t>
  </si>
  <si>
    <t>PG(18:1(9Z)/0:0)</t>
  </si>
  <si>
    <t>HMDB0240602</t>
  </si>
  <si>
    <t>LMGP04050006</t>
  </si>
  <si>
    <t>[H][C@](O)(CO)COP(OC[C@]([H])(O)COC(CCCCCCC/C=C\CCCCCCCC)=O)(=O)O</t>
  </si>
  <si>
    <t>FQQQKGAFQIIGLQ-SNZQZGEVSA-N</t>
  </si>
  <si>
    <t>C24H47O9P</t>
  </si>
  <si>
    <t>10.47_710.4244n</t>
  </si>
  <si>
    <t>(3b,16a,20r)-25-Acetoxy-3,16,20,22-Tetrahydroxy-5-Cucurbiten-11-One 3-Glucoside</t>
  </si>
  <si>
    <t>HMDB0035346</t>
  </si>
  <si>
    <t>178062-95-8</t>
  </si>
  <si>
    <t>CC(=O)OC(C)(C)CCC(O)C(C)(O)C1C(O)CC2(C)C3CC=C4C(CCC(OC5OC(CO)C(O)C(O)C5O)C4(C)C)C3(C)C(=O)CC12C</t>
  </si>
  <si>
    <t>MLRANCIIGOHULD-UHFFFAOYSA-N</t>
  </si>
  <si>
    <t>C38H62O12</t>
  </si>
  <si>
    <t>11.31_629.2719m/z</t>
  </si>
  <si>
    <t>Urobilinogen</t>
  </si>
  <si>
    <t>HMDB0004158</t>
  </si>
  <si>
    <t>C05791</t>
  </si>
  <si>
    <t>17208-65-0</t>
  </si>
  <si>
    <t>CCC1=C(C)C(=O)NC1CC1=C(C)C(CCC(O)=O)=C(CC2=C(CCC(O)=O)C(C)=C(CC3NC(=O)C(C=C)=C3C)N2)N1</t>
  </si>
  <si>
    <t>KSQFFJKKJAEKTB-UHFFFAOYSA-N</t>
  </si>
  <si>
    <t>C33H42N4O6</t>
  </si>
  <si>
    <t>2.54_155.0339m/z</t>
  </si>
  <si>
    <t>N-Methylethanolamine Phosphate</t>
  </si>
  <si>
    <t>HMDB0304429</t>
  </si>
  <si>
    <t>C[N+]CCOP([O-])([O-])=O</t>
  </si>
  <si>
    <t>OQZPTXREFPNEHF-UHFFFAOYSA-L</t>
  </si>
  <si>
    <t>C3H9NO4P-</t>
  </si>
  <si>
    <t>14.33_312.3256m/z</t>
  </si>
  <si>
    <t>11z-Eicosenal</t>
  </si>
  <si>
    <t>LMFA06000248</t>
  </si>
  <si>
    <t>C(CCCCCCCCC/C=C\CCCCCCCC)(=O)[H]</t>
  </si>
  <si>
    <t>WJLJKNYXWACGHC-KTKRTIGZSA-N</t>
  </si>
  <si>
    <t>13.83_583.3964m/z</t>
  </si>
  <si>
    <t>3-O-Beta-D-Glucosyl-Brassicasterol</t>
  </si>
  <si>
    <t>HMDB0304143</t>
  </si>
  <si>
    <t>CC(C)C(C)C=CC(C)C1CCC2C3CC=C4CC(CCC4(C)C3CCC12C)OC1OC(CO)C(O)C(O)C1O</t>
  </si>
  <si>
    <t>ILUZPRRJJSFYEH-UHFFFAOYSA-N</t>
  </si>
  <si>
    <t>C34H56O6</t>
  </si>
  <si>
    <t>1.29_332.1319m/z</t>
  </si>
  <si>
    <t>N'-Hydroxyneosaxitoxin</t>
  </si>
  <si>
    <t>HMDB0033665</t>
  </si>
  <si>
    <t>153856-78-1</t>
  </si>
  <si>
    <t>ONC(=O)OCC1C2NC(=N)NC22N(CCC2(O)O)C(=N)N1O</t>
  </si>
  <si>
    <t>YBDAUZJLBCGWOB-UHFFFAOYSA-N</t>
  </si>
  <si>
    <t>C10H17N7O6</t>
  </si>
  <si>
    <t>7.83_283.2053m/z</t>
  </si>
  <si>
    <t>Retinoic Acid</t>
  </si>
  <si>
    <t>HMDB0001852</t>
  </si>
  <si>
    <t>LMPR01090019</t>
  </si>
  <si>
    <t>C00777</t>
  </si>
  <si>
    <t>ko00830,ko04659,ko04672,ko05200,ko05222,ko05223,ko05226</t>
  </si>
  <si>
    <t>Retinol metabolism|Th17 cell differentiation|Intestinal immune network for IgA production|Pathways in cancer|Small cell lung cancer|Non-small cell lung cancer|Gastric cancer</t>
  </si>
  <si>
    <t>302-79-4</t>
  </si>
  <si>
    <t>C1C(C)(C)C(/C=C/C(=C/C=C/C(=C/C(=O)O)/C)/C)=C(C)CC1</t>
  </si>
  <si>
    <t>SHGAZHPCJJPHSC-YCNIQYBTSA-N</t>
  </si>
  <si>
    <t>1.76_310.1397m/z</t>
  </si>
  <si>
    <t>Glutaminyltyrosine</t>
  </si>
  <si>
    <t>HMDB0028809</t>
  </si>
  <si>
    <t>457662-02-1</t>
  </si>
  <si>
    <t>N[C@@H](CCC(N)=O)C(=O)N[C@@H](CC1=CC=C(O)C=C1)C(O)=O</t>
  </si>
  <si>
    <t>KGNSGRRALVIRGR-QWRGUYRKSA-N</t>
  </si>
  <si>
    <t>C14H19N3O5</t>
  </si>
  <si>
    <t>4.24_297.1340m/z</t>
  </si>
  <si>
    <t>3-Methyladenine</t>
  </si>
  <si>
    <t>HMDB0011600</t>
  </si>
  <si>
    <t>C00913</t>
  </si>
  <si>
    <t>5142-23-4</t>
  </si>
  <si>
    <t>CN1C=NC(=N)C2=C1N=CN2</t>
  </si>
  <si>
    <t>ZPBYVFQJHWLTFB-UHFFFAOYSA-N</t>
  </si>
  <si>
    <t>C6H7N5</t>
  </si>
  <si>
    <t>9.60_661.2607m/z</t>
  </si>
  <si>
    <t>Casopitant</t>
  </si>
  <si>
    <t>HMDB0249696</t>
  </si>
  <si>
    <t>CC(N(C)C(=O)N1CCC(CC1C1=C(C)C=C(F)C=C1)N1CCN(CC1)C(C)=O)C1=CC(=CC(=C1)C(F)(F)F)C(F)(F)F</t>
  </si>
  <si>
    <t>XGGTZCKQRWXCHW-UHFFFAOYSA-N</t>
  </si>
  <si>
    <t>C30H35F7N4O2</t>
  </si>
  <si>
    <t>5.90_399.1032m/z</t>
  </si>
  <si>
    <t>Ronidazole</t>
  </si>
  <si>
    <t>HMDB0257302</t>
  </si>
  <si>
    <t>7681-76-7</t>
  </si>
  <si>
    <t>CN1C(COC(O)=N)=NC=C1N(=O)=O</t>
  </si>
  <si>
    <t>PQFRTXSWDXZRRS-UHFFFAOYSA-N</t>
  </si>
  <si>
    <t>C6H8N4O4</t>
  </si>
  <si>
    <t>4.72_360.0935m/z</t>
  </si>
  <si>
    <t>Hyaluronan Biosynthesis, Precursor 1</t>
  </si>
  <si>
    <t>HMDB0060071</t>
  </si>
  <si>
    <t>C04794</t>
  </si>
  <si>
    <t>CC(O)=N[C@H]1[C@H](O)O[C@H](CO)[C@@H](O)[C@@H]1O[C@@H]1OC(=C[C@H](O)[C@H]1O)C(O)=O</t>
  </si>
  <si>
    <t>DLGJWSVWTWEWBJ-UCFDOFRFSA-N</t>
  </si>
  <si>
    <t>C14H21NO11</t>
  </si>
  <si>
    <t>8.31_414.3133n</t>
  </si>
  <si>
    <t>Diosgenin</t>
  </si>
  <si>
    <t>LMST01080037</t>
  </si>
  <si>
    <t>C08898</t>
  </si>
  <si>
    <t>512-04-9</t>
  </si>
  <si>
    <t>C1[C@H](O)CC2[C@@](C)([C@@]3([H])CC[C@]4(C)[C@H]5[C@@H]([C@]6(O[C@H]5C[C@@]4([H])[C@]3([H])CC=2)CC[C@@H](C)CO6)C)C1</t>
  </si>
  <si>
    <t>WQLVFSAGQJTQCK-VKROHFNGSA-N</t>
  </si>
  <si>
    <t>C27H42O3</t>
  </si>
  <si>
    <t>10.28_239.2367m/z</t>
  </si>
  <si>
    <t>2-Hexadecenal</t>
  </si>
  <si>
    <t>HMDB0060482</t>
  </si>
  <si>
    <t>LMFA06000089</t>
  </si>
  <si>
    <t>C06123</t>
  </si>
  <si>
    <t>C(CCCCCC)CCCCCC/C=C/C([H])=O</t>
  </si>
  <si>
    <t>KLJFYXOVGVXZKT-CCEZHUSRSA-N</t>
  </si>
  <si>
    <t>C16H30O</t>
  </si>
  <si>
    <t>3.65_456.0233m/z</t>
  </si>
  <si>
    <t>Protogonyautoxin I</t>
  </si>
  <si>
    <t>HMDB0033511</t>
  </si>
  <si>
    <t>80173-30-4</t>
  </si>
  <si>
    <t>OC1(O)C(CN2C(=N)NC(COC(=O)NS(O)(=O)=O)C3NC(=N)NC123)OS(O)(=O)=O</t>
  </si>
  <si>
    <t>OKSSKVHGKYJNLL-UHFFFAOYSA-N</t>
  </si>
  <si>
    <t>C10H17N7O11S2</t>
  </si>
  <si>
    <t>4.60_231.0650m/z</t>
  </si>
  <si>
    <t>5-(3-Aminopropylphosphanyloxy)-2-(Hydroxymethyl)Pyran-4-One</t>
  </si>
  <si>
    <t>HMDB0258034</t>
  </si>
  <si>
    <t>NCCCPOC1=COC(CO)=CC1=O</t>
  </si>
  <si>
    <t>XBVUKAHAVXVVAD-UHFFFAOYSA-N</t>
  </si>
  <si>
    <t>C9H13NO4P</t>
  </si>
  <si>
    <t>3.67_339.0573m/z</t>
  </si>
  <si>
    <t>3,4-Bis(Carboxymethyl)-3,4-Dihydroxyhexanedioic Acid</t>
  </si>
  <si>
    <t>HMDB0258023</t>
  </si>
  <si>
    <t>OC(=O)CC(O)(CC(O)=O)C(O)(CC(O)=O)CC(O)=O</t>
  </si>
  <si>
    <t>SZRYIORVLGWZEK-UHFFFAOYSA-N</t>
  </si>
  <si>
    <t>C10H14O10</t>
  </si>
  <si>
    <t>4.19_447.0925m/z</t>
  </si>
  <si>
    <t>5-Hydroxy-3,3',7,8-Tetramethoxy-4',5'-Methylenedioxyflavone</t>
  </si>
  <si>
    <t>HMDB0041257</t>
  </si>
  <si>
    <t>161697-25-2</t>
  </si>
  <si>
    <t>COC1=C2OCOC2=CC(=C1)C1=C(O)C(=O)C2=C(O1)C(OC)=C(OC)C=C2OC</t>
  </si>
  <si>
    <t>ADHJMNNFIWLSBG-UHFFFAOYSA-N</t>
  </si>
  <si>
    <t>C20H18O9</t>
  </si>
  <si>
    <t>2.05_508.1821m/z</t>
  </si>
  <si>
    <t>1-Methyl-5-(4-Benzoyl)Pyrrole-2-Acetic Acid 2-(Theophylline-7-Yl)Ethyl Ester</t>
  </si>
  <si>
    <t>HMDB0254399</t>
  </si>
  <si>
    <t>CN1C(CC(=O)OCCN2C=NC3=C2C(=O)N(C)C(=O)N3C)=CC=C1C(=O)C1=CC=C(C)C=C1</t>
  </si>
  <si>
    <t>TYIRBZOAKBEYEJ-UHFFFAOYSA-N</t>
  </si>
  <si>
    <t>C24H25N5O5</t>
  </si>
  <si>
    <t>6.01_234.1121m/z</t>
  </si>
  <si>
    <t>6-Methoxy Naphthalene Acetic Acid</t>
  </si>
  <si>
    <t>23981-47-7</t>
  </si>
  <si>
    <t>COC1=CC2=C(C=C1)C=C(C=C2)CC(=O)O</t>
  </si>
  <si>
    <t>PHJFLPMVEFKEPL-UHFFFAOYSA-N</t>
  </si>
  <si>
    <t>C13H12O3</t>
  </si>
  <si>
    <t>1.04_137.1325m/z</t>
  </si>
  <si>
    <t>(+)-Limonene</t>
  </si>
  <si>
    <t>HMDB0003375</t>
  </si>
  <si>
    <t>LMPR0102090013</t>
  </si>
  <si>
    <t>C06099</t>
  </si>
  <si>
    <t>5989-27-5</t>
  </si>
  <si>
    <t>C1C[C@H](CC=C1C)C(C)=C</t>
  </si>
  <si>
    <t>XMGQYMWWDOXHJM-JTQLQIEISA-N</t>
  </si>
  <si>
    <t>1.06_160.1080m/z</t>
  </si>
  <si>
    <t>Ectoine</t>
  </si>
  <si>
    <t>HMDB0240650</t>
  </si>
  <si>
    <t>C06231</t>
  </si>
  <si>
    <t>ko00260</t>
  </si>
  <si>
    <t>Glycine, serine and threonine metabolism</t>
  </si>
  <si>
    <t>96702-03-3</t>
  </si>
  <si>
    <t>CC1=NCC[C@H](N1)C(O)=O</t>
  </si>
  <si>
    <t>WQXNXVUDBPYKBA-YFKPBYRVSA-N</t>
  </si>
  <si>
    <t>C6H10N2O2</t>
  </si>
  <si>
    <t>1.44_258.1449m/z</t>
  </si>
  <si>
    <t>Epsilon-(Gamma-Glutamyl)Lysine</t>
  </si>
  <si>
    <t>HMDB0003869</t>
  </si>
  <si>
    <t>17105-15-6</t>
  </si>
  <si>
    <t>N[C@@H](CCCCNC(=O)CC[C@H](N)C(O)=O)C(O)=O</t>
  </si>
  <si>
    <t>JPKNLFVGUZRHOB-YUMQZZPRSA-N</t>
  </si>
  <si>
    <t>C11H21N3O5</t>
  </si>
  <si>
    <t>8.37_495.0831m/z</t>
  </si>
  <si>
    <t>Tedizolid Phosphate</t>
  </si>
  <si>
    <t>HMDB0258775</t>
  </si>
  <si>
    <t>CN1N=NC(=N1)C1=NC=C(C=C1)C1=C(F)C=C(C=C1)N1CC(COP(O)(O)=O)OC1=O</t>
  </si>
  <si>
    <t>QCGUSIANLFXSGE-UHFFFAOYSA-N</t>
  </si>
  <si>
    <t>C17H16FN6O6P</t>
  </si>
  <si>
    <t>5.10_529.0962m/z</t>
  </si>
  <si>
    <t>Myricetin 3-(3'',4''-Diacetylrhamnoside)</t>
  </si>
  <si>
    <t>HMDB0029877</t>
  </si>
  <si>
    <t>184533-13-9</t>
  </si>
  <si>
    <t>CC1OC(OC2=C(OC3=C(C(O)=CC(O)=C3)C2=O)C2=CC(O)=C(O)C(O)=C2)C(O)C(OC(C)=O)C1OC(C)=O</t>
  </si>
  <si>
    <t>HIVURPVQOPPNFN-UHFFFAOYSA-N</t>
  </si>
  <si>
    <t>C25H24O14</t>
  </si>
  <si>
    <t>1.64_459.1718m/z</t>
  </si>
  <si>
    <t>(2s,3'S)-Alpha-Amino-2-Carboxy-5-Oxo-1-Pyrrolidinebutanoic Acid</t>
  </si>
  <si>
    <t>HMDB0039110</t>
  </si>
  <si>
    <t>NC(CCN1C(CCC1=O)C(O)=O)C(O)=O</t>
  </si>
  <si>
    <t>IAWKAVWGVXBNLH-UHFFFAOYSA-N</t>
  </si>
  <si>
    <t>C9H14N2O5</t>
  </si>
  <si>
    <t>5.99_323.0134m/z</t>
  </si>
  <si>
    <t>N-Nitrosothiazolidine-4-Carboxylic Acid</t>
  </si>
  <si>
    <t>HMDB0040192</t>
  </si>
  <si>
    <t>86594-16-3</t>
  </si>
  <si>
    <t>OC(=O)C1CSCN1N=O</t>
  </si>
  <si>
    <t>LGLMHMRNPVACGS-UHFFFAOYSA-N</t>
  </si>
  <si>
    <t>C4H6N2O3S</t>
  </si>
  <si>
    <t>1.56_525.0313m/z</t>
  </si>
  <si>
    <t>4-Pyridoxic Acid 5'-Phosphate</t>
  </si>
  <si>
    <t>HMDB0246577</t>
  </si>
  <si>
    <t>CC1=NC=C(COP(O)(O)=O)C(C(O)=O)=C1O</t>
  </si>
  <si>
    <t>FTQNPJLEFOEFIU-UHFFFAOYSA-N</t>
  </si>
  <si>
    <t>C8H10NO7P</t>
  </si>
  <si>
    <t>1.29_133.1052m/z</t>
  </si>
  <si>
    <t>2-Heptanethiol</t>
  </si>
  <si>
    <t>HMDB0032303</t>
  </si>
  <si>
    <t>628-00-2</t>
  </si>
  <si>
    <t>CCCCCC(C)S</t>
  </si>
  <si>
    <t>DAZNOIJJVKASGS-UHFFFAOYSA-N</t>
  </si>
  <si>
    <t>C7H16S</t>
  </si>
  <si>
    <t>4.72_607.2385m/z</t>
  </si>
  <si>
    <t>Lificiguat</t>
  </si>
  <si>
    <t>HMDB0259948</t>
  </si>
  <si>
    <t>170632-47-0</t>
  </si>
  <si>
    <t>OCC1=CC=C(O1)C1=NN(CC2=CC=CC=C2)C2=CC=CC=C12</t>
  </si>
  <si>
    <t>OQQVFCKUDYMWGV-UHFFFAOYSA-N</t>
  </si>
  <si>
    <t>Benzopyrazoles</t>
  </si>
  <si>
    <t>Indazoles</t>
  </si>
  <si>
    <t>C19H16N2O2</t>
  </si>
  <si>
    <t>1.98_167.0702m/z</t>
  </si>
  <si>
    <t>Vanylglycol</t>
  </si>
  <si>
    <t>HMDB0001490</t>
  </si>
  <si>
    <t>C05594</t>
  </si>
  <si>
    <t>534-82-7</t>
  </si>
  <si>
    <t>COC1=CC(=CC=C1O)C(O)CO</t>
  </si>
  <si>
    <t>FBWPWWWZWKPJFL-UHFFFAOYSA-N</t>
  </si>
  <si>
    <t>C9H12O4</t>
  </si>
  <si>
    <t>5.67_545.2164m/z</t>
  </si>
  <si>
    <t>Punaglandin 6</t>
  </si>
  <si>
    <t>LMFA03120043</t>
  </si>
  <si>
    <t>[C@@]1(O)(C/C=C\CCCCC)C=C(Cl)C(=O)[C@@H]1C[C@H](OC(=O)C)[C@@H](OC(C)=O)CCCC(=O)OC</t>
  </si>
  <si>
    <t>UQSBPTWIGBVTJJ-WRXYSHGISA-N</t>
  </si>
  <si>
    <t>C25H37ClO8</t>
  </si>
  <si>
    <t>9.55_369.0158m/z</t>
  </si>
  <si>
    <t>2'-Deoxy-5'-O-Thiophosphonouridine</t>
  </si>
  <si>
    <t>HMDB0251638</t>
  </si>
  <si>
    <t>OC1CC(OC1COP(O)(O)=S)N1C=CC(=O)NC1=O</t>
  </si>
  <si>
    <t>LGZBLTPUGKWVDT-UHFFFAOYSA-N</t>
  </si>
  <si>
    <t>C9H13N2O7PS</t>
  </si>
  <si>
    <t>8.71_751.2417m/z</t>
  </si>
  <si>
    <t>Leonoside A</t>
  </si>
  <si>
    <t>HMDB0040342</t>
  </si>
  <si>
    <t>140147-66-6</t>
  </si>
  <si>
    <t>COC1=C(O)C=CC(\C=C/C(=O)OC2C(CO)OC(OCCC3=CC(O)=C(O)C=C3)C(O)C2OC2OC(C)C(O)C(O)C2OC2OCC(O)C(O)C2O)=C1</t>
  </si>
  <si>
    <t>ZPJGTPAAEPXBQT-YVMONPNESA-N</t>
  </si>
  <si>
    <t>C35H46O19</t>
  </si>
  <si>
    <t>4.70_369.0199m/z</t>
  </si>
  <si>
    <t>2-Hydroxy-3-Butenylglucosinolate</t>
  </si>
  <si>
    <t>HMDB0304069</t>
  </si>
  <si>
    <t>OCC1OC(SC(CC(O)C=C)=NOS([O-])(=O)=O)C(O)C(O)C1O</t>
  </si>
  <si>
    <t>MYHSVHWQEVDFQT-UHFFFAOYSA-M</t>
  </si>
  <si>
    <t>C11H18NO10S2-</t>
  </si>
  <si>
    <t>14.78_479.3727m/z</t>
  </si>
  <si>
    <t>Lobophysterol C</t>
  </si>
  <si>
    <t>LMST01031221</t>
  </si>
  <si>
    <t>[C@@H]1(O)C[C@H](O)C[C@]2(O)[C@H](O)C[C@@]3([H])[C@]4([H])C[C@H](O)/C(=C(/C)\C[C@@H](C)[C@H](C)C(C)C)/[C@@]4(C)CC[C@]3([H])[C@@]12C</t>
  </si>
  <si>
    <t>JTYTUJCFPOMDGR-VTJAFITISA-N</t>
  </si>
  <si>
    <t>4.07_535.1787m/z</t>
  </si>
  <si>
    <t>(Z)-Resveratrol 3,4'-Diglucoside</t>
  </si>
  <si>
    <t>HMDB0039910</t>
  </si>
  <si>
    <t>OCC1OC(OC2=CC=C(\C=C/C3=CC(O)=CC(OC4OC(CO)C(O)C(O)C4O)=C3)C=C2)C(O)C(O)C1O</t>
  </si>
  <si>
    <t>YGQPMDDXSJHKJT-UPHRSURJSA-N</t>
  </si>
  <si>
    <t>C26H32O13</t>
  </si>
  <si>
    <t>4.90_569.2295n</t>
  </si>
  <si>
    <t>Aklavine</t>
  </si>
  <si>
    <t>C18634</t>
  </si>
  <si>
    <t>60504-57-6</t>
  </si>
  <si>
    <t>CCC1(CC(C2=C(C3=C(C=C2C1C(=O)OC)C(=O)C4=C(C3=O)C(=CC=C4)O)O)OC5CC(C(C(O5)C)O)N(C)C)O</t>
  </si>
  <si>
    <t>LJZPVWKMAYDYAS-QKKPTTNWSA-N</t>
  </si>
  <si>
    <t>3.77_594.1378m/z</t>
  </si>
  <si>
    <t>Apigeninidin 5-(5''-Caffeylarabinoside)</t>
  </si>
  <si>
    <t>HMDB0301882</t>
  </si>
  <si>
    <t>O[C@H]1[C@H](COC(=O)\C=C\C2=CC(O)=C(O)C=C2)O[C@@H](OC2=CC(O)=CC3=C2C=CC(=[O+]3)C2=CC=C(O)C=C2)[C@@H]1O</t>
  </si>
  <si>
    <t>BBZCRSFPHPHYKT-ANHREMPLSA-O</t>
  </si>
  <si>
    <t>C29H25O11+</t>
  </si>
  <si>
    <t>8.77_375.1788m/z</t>
  </si>
  <si>
    <t>L-Prolinamide, 5-Oxo-L-Prolyl-1-Methyl-L-Histidyl-</t>
  </si>
  <si>
    <t>HMDB0243934</t>
  </si>
  <si>
    <t>CN1C=NC(CC(N)C(=O)N2CCCC2C(=O)NC(=O)C2CCC(=O)N2)=C1</t>
  </si>
  <si>
    <t>PBGMJEFISXYLCY-UHFFFAOYSA-N</t>
  </si>
  <si>
    <t>C17H24N6O4</t>
  </si>
  <si>
    <t>9.07_463.2316m/z</t>
  </si>
  <si>
    <t>Melatonin</t>
  </si>
  <si>
    <t>HMDB0001389</t>
  </si>
  <si>
    <t>C01598</t>
  </si>
  <si>
    <t>ko00380,ko04080,ko04713</t>
  </si>
  <si>
    <t>Tryptophan metabolism|Neuroactive ligand-receptor interaction|Circadian entrainment</t>
  </si>
  <si>
    <t>73-31-4</t>
  </si>
  <si>
    <t>COC1=CC2=C(NC=C2CCNC(C)=O)C=C1</t>
  </si>
  <si>
    <t>DRLFMBDRBRZALE-UHFFFAOYSA-N</t>
  </si>
  <si>
    <t>C13H16N2O2</t>
  </si>
  <si>
    <t>3.48_285.0978m/z</t>
  </si>
  <si>
    <t>3-Carboxy-4-Methyl-5-Propyl-2-Furanpropanoic Acid</t>
  </si>
  <si>
    <t>HMDB0061112</t>
  </si>
  <si>
    <t>LMFA01150004</t>
  </si>
  <si>
    <t>86879-39-2</t>
  </si>
  <si>
    <t>O1C(CCC)=C(C)C(C(O)=O)=C1CCC(O)=O</t>
  </si>
  <si>
    <t>WMCQWXZMVIETAO-UHFFFAOYSA-N</t>
  </si>
  <si>
    <t>C12H16O5</t>
  </si>
  <si>
    <t>4.68_232.1098n</t>
  </si>
  <si>
    <t>7,8 Dihydrokawain</t>
  </si>
  <si>
    <t>587-63-3</t>
  </si>
  <si>
    <t>COC1=CC(=O)OC(C1)CCC2=CC=CC=C2</t>
  </si>
  <si>
    <t>VOOYTQRREPYRIW-GFCCVEGCSA-N</t>
  </si>
  <si>
    <t>C14H16O3</t>
  </si>
  <si>
    <t>1.70_322.0959m/z</t>
  </si>
  <si>
    <t>Amonafide</t>
  </si>
  <si>
    <t>HMDB0248346</t>
  </si>
  <si>
    <t>CN(C)CCN1C(=O)C2=CC=CC3=CC(N)=CC(C1=O)=C23</t>
  </si>
  <si>
    <t>UPALIKSFLSVKIS-UHFFFAOYSA-N</t>
  </si>
  <si>
    <t>C16H17N3O2</t>
  </si>
  <si>
    <t>3.64_330.0754m/z</t>
  </si>
  <si>
    <t>Ggstop</t>
  </si>
  <si>
    <t>HMDB0252708</t>
  </si>
  <si>
    <t>COP(=O)(CCC(N)C(O)=O)OC1=CC=CC(CC(O)=O)=C1</t>
  </si>
  <si>
    <t>NTFPDEDRMYYPAC-UHFFFAOYSA-N</t>
  </si>
  <si>
    <t>C13H18NO7P</t>
  </si>
  <si>
    <t>4.56_221.0449m/z</t>
  </si>
  <si>
    <t>Herniarin</t>
  </si>
  <si>
    <t>HMDB0029758</t>
  </si>
  <si>
    <t>C09268</t>
  </si>
  <si>
    <t>531-59-9</t>
  </si>
  <si>
    <t>COC1=CC2=C(C=CC(=O)O2)C=C1</t>
  </si>
  <si>
    <t>LIIALPBMIOVAHH-UHFFFAOYSA-N</t>
  </si>
  <si>
    <t>4.74_498.2550m/z</t>
  </si>
  <si>
    <t>Copanlisib</t>
  </si>
  <si>
    <t>HMDB0250446</t>
  </si>
  <si>
    <t>COC1=C(OCCCN2CCOCC2)C=CC2=C3NCCN3C(=NC(=O)C3=CN=C(N)N=C3)N=C12</t>
  </si>
  <si>
    <t>MWYDSXOGIBMAET-UHFFFAOYSA-N</t>
  </si>
  <si>
    <t>C23H28N8O4</t>
  </si>
  <si>
    <t>11.08_401.2322m/z</t>
  </si>
  <si>
    <t>Nevskin</t>
  </si>
  <si>
    <t>HMDB0030162</t>
  </si>
  <si>
    <t>61490-17-3</t>
  </si>
  <si>
    <t>CC1(O)CCC2C(C)(C)C(O)CCC2(C)C1COC1=CC2=C(C=CC(=O)O2)C=C1</t>
  </si>
  <si>
    <t>WNANPKYNOALKIV-UHFFFAOYSA-N</t>
  </si>
  <si>
    <t>4.88_745.3285m/z</t>
  </si>
  <si>
    <t>Posaconazole</t>
  </si>
  <si>
    <t>HMDB0015392</t>
  </si>
  <si>
    <t>171228-49-2</t>
  </si>
  <si>
    <t>CC[C@@H]([C@H](C)O)N1N=CN(C1=O)C1=CC=C(C=C1)N1CCN(CC1)C1=CC=C(OCC2CO[C@](CN3C=NC=N3)(C2)C2=C(F)C=C(F)C=C2)C=C1</t>
  </si>
  <si>
    <t>RAGOYPUPXAKGKH-AGDNISCASA-N</t>
  </si>
  <si>
    <t>C37H42F2N8O4</t>
  </si>
  <si>
    <t>11.83_391.1828m/z</t>
  </si>
  <si>
    <t>Serylvalylglycylglutamic Acid</t>
  </si>
  <si>
    <t>HMDB0302163</t>
  </si>
  <si>
    <t>CC(C)C(N=C(O)C(N)CO)C(O)=NCC(O)=NC(CCC(O)=O)C(O)=O</t>
  </si>
  <si>
    <t>BUADZOJMDKUNMV-UHFFFAOYSA-N</t>
  </si>
  <si>
    <t>C15H26N4O8</t>
  </si>
  <si>
    <t>11.08_245.1383m/z</t>
  </si>
  <si>
    <t>Polyethylene, Oxidized</t>
  </si>
  <si>
    <t>HMDB0032472</t>
  </si>
  <si>
    <t>68441-17-8</t>
  </si>
  <si>
    <t>CC(C(O)CCCCC=O)C(=O)CCC(O)=O</t>
  </si>
  <si>
    <t>AZUZXOSWBOBCJY-UHFFFAOYSA-N</t>
  </si>
  <si>
    <t>7.52_296.1772n</t>
  </si>
  <si>
    <t>Exemestane</t>
  </si>
  <si>
    <t>HMDB0015125</t>
  </si>
  <si>
    <t>C08162</t>
  </si>
  <si>
    <t>107868-30-4</t>
  </si>
  <si>
    <t>[H][C@@]12CCC(=O)[C@@]1(C)CC[C@@]1([H])[C@@]2([H])CC(=C)C2=CC(=O)C=C[C@]12C</t>
  </si>
  <si>
    <t>BFYIZQONLCFLEV-DAELLWKTSA-N</t>
  </si>
  <si>
    <t>1.17_335.0617m/z</t>
  </si>
  <si>
    <t>Glucose Lactate Pyruvate</t>
  </si>
  <si>
    <t>HMDB0252783</t>
  </si>
  <si>
    <t>CC(O)C(=O)OOC(=O)C(=O)CC1(O)OC(CO)C(O)C(O)C1O</t>
  </si>
  <si>
    <t>FWQWYTQHEPIGFR-UHFFFAOYSA-N</t>
  </si>
  <si>
    <t>C12H18O12</t>
  </si>
  <si>
    <t>4.68_432.1057n</t>
  </si>
  <si>
    <t>Vitexin</t>
  </si>
  <si>
    <t>HMDB0259858</t>
  </si>
  <si>
    <t>OCC1OC(C(O)C(O)C1O)C1=C(O)C=C(O)C2=C1OC(=CC2=O)C1=CC=C(O)C=C1</t>
  </si>
  <si>
    <t>SGEWCQFRYRRZDC-UHFFFAOYSA-N</t>
  </si>
  <si>
    <t>8.37_401.1772m/z</t>
  </si>
  <si>
    <t>Isoflupredone Acetate</t>
  </si>
  <si>
    <t>HMDB0253640</t>
  </si>
  <si>
    <t>CC(=O)OCC(=O)C1(O)CCC2C3CCC4=CC(=O)C=CC4(C)C3(F)C(O)CC12C</t>
  </si>
  <si>
    <t>ZOCUOMKMBMEYQV-UHFFFAOYSA-N</t>
  </si>
  <si>
    <t>C23H29FO6</t>
  </si>
  <si>
    <t>5.77_291.1584m/z</t>
  </si>
  <si>
    <t>Indole-3-Acetyl-Valine</t>
  </si>
  <si>
    <t>HMDB0304389</t>
  </si>
  <si>
    <t>CC(C)C(NC(=O)CC1=CNC2=C1C=CC=C2)C([O-])=O</t>
  </si>
  <si>
    <t>AZEGJHGXTSUPPG-UHFFFAOYSA-M</t>
  </si>
  <si>
    <t>C15H17N2O3-</t>
  </si>
  <si>
    <t>5.04_541.1852m/z</t>
  </si>
  <si>
    <t>Carotamine</t>
  </si>
  <si>
    <t>HMDB0039955</t>
  </si>
  <si>
    <t>NC1=CC=C(C=C1)C(=O)NC1=CC=C(C(O)=O)C(N)=C1</t>
  </si>
  <si>
    <t>GGUOSFAJMKBDFW-UHFFFAOYSA-N</t>
  </si>
  <si>
    <t>C14H13N3O3</t>
  </si>
  <si>
    <t>9.90_543.3679m/z</t>
  </si>
  <si>
    <t>Vitamin D3 Glucosiduronate</t>
  </si>
  <si>
    <t>HMDB0259846</t>
  </si>
  <si>
    <t>CC(C)CCCC(C)C1CCC2C(CCCC12C)=CC=C1CC(CCC1=C)OC1OC(C(O)C(O)C1O)C(O)=O</t>
  </si>
  <si>
    <t>HSMHKPFJPOTDCW-UHFFFAOYSA-N</t>
  </si>
  <si>
    <t>C33H52O7</t>
  </si>
  <si>
    <t>1.45_473.1291m/z</t>
  </si>
  <si>
    <t>Trans-Caffeic Acid [Apiosyl-(1-&gt;6)-Glucosyl] Ester</t>
  </si>
  <si>
    <t>HMDB0033694</t>
  </si>
  <si>
    <t>OCC1(O)COC(OCC2OC(OC(=O)\C=C\C3=CC(O)=C(O)C=C3)C(O)C(O)C2O)C1O</t>
  </si>
  <si>
    <t>LULOGYYPGZOKQW-DUXPYHPUSA-N</t>
  </si>
  <si>
    <t>C20H26O13</t>
  </si>
  <si>
    <t>2.25_197.0449m/z</t>
  </si>
  <si>
    <t>Methyl Furfuracrylate</t>
  </si>
  <si>
    <t>HMDB0032399</t>
  </si>
  <si>
    <t>LMFA07010960</t>
  </si>
  <si>
    <t>623-18-7</t>
  </si>
  <si>
    <t>O=C(/C=C/C1=CC=CO1)OC</t>
  </si>
  <si>
    <t>PLNJUBIUGVATKW-SNAWJCMRSA-N</t>
  </si>
  <si>
    <t>C8H8O3</t>
  </si>
  <si>
    <t>8.67_200.2371m/z</t>
  </si>
  <si>
    <t>1-Tridecene</t>
  </si>
  <si>
    <t>HMDB0030930</t>
  </si>
  <si>
    <t>LMFA11000331</t>
  </si>
  <si>
    <t>2437-56-1</t>
  </si>
  <si>
    <t>C=CCCCCCCCCCCC</t>
  </si>
  <si>
    <t>VQOXUMQBYILCKR-UHFFFAOYSA-N</t>
  </si>
  <si>
    <t>C13H26</t>
  </si>
  <si>
    <t>5.64_227.0820m/z</t>
  </si>
  <si>
    <t>Azobenzene</t>
  </si>
  <si>
    <t>HMDB0248813</t>
  </si>
  <si>
    <t>C19334</t>
  </si>
  <si>
    <t>103-33-3</t>
  </si>
  <si>
    <t>C1=CC=C(C=C1)N=NC1=CC=CC=C1</t>
  </si>
  <si>
    <t>DMLAVOWQYNRWNQ-UHFFFAOYSA-N</t>
  </si>
  <si>
    <t>C12H10N2</t>
  </si>
  <si>
    <t>6.45_439.3203m/z</t>
  </si>
  <si>
    <t>mLPA(O-18:0)</t>
  </si>
  <si>
    <t>LMGP00000065</t>
  </si>
  <si>
    <t>[C@](COP(=O)(O)OC)([H])(O)COCCCCCCCCCCCCCCCCCC</t>
  </si>
  <si>
    <t>FIBCZHAELLGUEG-JOCHJYFZSA-N</t>
  </si>
  <si>
    <t>C22H47O6P</t>
  </si>
  <si>
    <t>10.06_368.1584m/z</t>
  </si>
  <si>
    <t>4-[[4-Amino-6-(2,4,6-Trimethylanilino)-1,3,5-Triazin-2-Yl]Amino]Benzonitrile</t>
  </si>
  <si>
    <t>HMDB0246320</t>
  </si>
  <si>
    <t>CC1=CC(C)=C(NC2=NC(N)=NC(NC3=CC=C(C=C3)C#N)=N2)C(C)=C1</t>
  </si>
  <si>
    <t>UMLZEJREMDUKPX-UHFFFAOYSA-N</t>
  </si>
  <si>
    <t>C19H19N7</t>
  </si>
  <si>
    <t>5.01_597.2797m/z</t>
  </si>
  <si>
    <t>D-Phenylalanyl-L-2-Piperidinecarbonyl-N-(4-Nitro Phenyl)-L-Argininamide</t>
  </si>
  <si>
    <t>HMDB0253010</t>
  </si>
  <si>
    <t>NC(CC1=CC=CC=C1)C(=O)N1CCCCC1C(=O)NC(CCCN=C(N)N)C(=O)NC1=CC=C(C=C1)[N+]([O-])=O</t>
  </si>
  <si>
    <t>YDMBNDUHUNWWRP-UHFFFAOYSA-N</t>
  </si>
  <si>
    <t>C27H36N8O5</t>
  </si>
  <si>
    <t>10.38_977.4882m/z</t>
  </si>
  <si>
    <t>PGP(i-20:0/20:4(6E,8Z,11Z,13E)-2OH(5S,15S))</t>
  </si>
  <si>
    <t>HMDB0275686</t>
  </si>
  <si>
    <t>[H][C@](O)(COP(O)(O)=O)COP(O)(=O)OC[C@@]([H])(COC(=O)CCCCCCCCCCCCCCCCC(C)C)OC(=O)CCC[C@H](O)\C=C\C=C/C\C=C/C=C/[C@H](O)CCCCC</t>
  </si>
  <si>
    <t>WHALDABCAKBMHS-AESZTMDOSA-N</t>
  </si>
  <si>
    <t>11.00_280.2634m/z</t>
  </si>
  <si>
    <t>(4e,14z)-2-Aminooctadeca-4,14-Diene-1,3-Diol</t>
  </si>
  <si>
    <t>HMDB0242112</t>
  </si>
  <si>
    <t>[H]\C(CCC)=C(/[H])CCCCCCCC\C([H])=C(/[H])C(O)C(N)CO</t>
  </si>
  <si>
    <t>KWDXKYNWAKMLKK-YQMRQDNGSA-N</t>
  </si>
  <si>
    <t>3.82_556.1433m/z</t>
  </si>
  <si>
    <t>Cartormin</t>
  </si>
  <si>
    <t>HMDB0035209</t>
  </si>
  <si>
    <t>OCC1OC(C(O)C(O)C1O)C1(O)C2=C(C=C(N2)C2OCC(O)C2O)C(O)=C(C(=O)\C=C\C2=CC=C(O)C=C2)C1=O</t>
  </si>
  <si>
    <t>DDYOBOBXPBUGTA-ZZXKWVIFSA-N</t>
  </si>
  <si>
    <t>C27H29NO13</t>
  </si>
  <si>
    <t>4.47_509.1253m/z</t>
  </si>
  <si>
    <t>Apigenidin</t>
  </si>
  <si>
    <t>HMDB0303074</t>
  </si>
  <si>
    <t>C08574</t>
  </si>
  <si>
    <t>OC1=CC=C(C=C1)C1=[O+]C2=C(C=C1)C(O)=CC(O)=C2</t>
  </si>
  <si>
    <t>ZKMZBAABQFUXFE-UHFFFAOYSA-O</t>
  </si>
  <si>
    <t>C15H11O4+</t>
  </si>
  <si>
    <t>4.15_351.1023m/z</t>
  </si>
  <si>
    <t>Fluconazole</t>
  </si>
  <si>
    <t>HMDB0014342</t>
  </si>
  <si>
    <t>C07002</t>
  </si>
  <si>
    <t>86386-73-4</t>
  </si>
  <si>
    <t>OC(CN1C=NC=N1)(CN1C=NC=N1)C1=C(F)C=C(F)C=C1</t>
  </si>
  <si>
    <t>RFHAOTPXVQNOHP-UHFFFAOYSA-N</t>
  </si>
  <si>
    <t>C13H12F2N6O</t>
  </si>
  <si>
    <t>4.82_479.3207m/z</t>
  </si>
  <si>
    <t>Verdamicin</t>
  </si>
  <si>
    <t>HMDB0259789</t>
  </si>
  <si>
    <t>CNC1C(O)C(OC2C(N)CC(N)C(OC3OC(=CCC3N)C(C)N)C2O)OCC1(C)O</t>
  </si>
  <si>
    <t>XUSXOPRDIDWMFO-UHFFFAOYSA-N</t>
  </si>
  <si>
    <t>C20H39N5O7</t>
  </si>
  <si>
    <t>5.49_251.1065m/z</t>
  </si>
  <si>
    <t>1-Hydroxy-2-(N-Acetylcysteinyl)-3-Butene</t>
  </si>
  <si>
    <t>HMDB0244631</t>
  </si>
  <si>
    <t>CC(=O)NC(CSC(CO)C=C)C(O)=O</t>
  </si>
  <si>
    <t>CVFXMLXLNNEEJM-UHFFFAOYSA-N</t>
  </si>
  <si>
    <t>C9H15NO4S</t>
  </si>
  <si>
    <t>4.31_571.1439m/z</t>
  </si>
  <si>
    <t>Viscutin 1</t>
  </si>
  <si>
    <t>LMPK12020265</t>
  </si>
  <si>
    <t>C1(O)C=C2O[C@H](C3C=C(O)C(O)=CC=3)CCC2=C(O[C@@H]2OC[C@@H](O)[C@H](O)C2OC(C2C=CC(O)=CC=2)=O)C=1</t>
  </si>
  <si>
    <t>TXPZFODNQVHXLF-RLFCAORJSA-N</t>
  </si>
  <si>
    <t>C27H26O11</t>
  </si>
  <si>
    <t>4.72_765.1279m/z</t>
  </si>
  <si>
    <t>Degalloyltheaflavonin</t>
  </si>
  <si>
    <t>HMDB0040548</t>
  </si>
  <si>
    <t>143833-95-8</t>
  </si>
  <si>
    <t>OCC1OC(OC2=C(OC3=C(C(O)=CC(O)=C3)C2=O)C2=CC(O)=C(O)C(O)=C2C2=C(C=C(O)C(O)=C2O)C2OC3=C(CC2O)C(O)=CC(O)=C3)C(O)C(O)C1O</t>
  </si>
  <si>
    <t>KJHVUKFVUVEKRC-UHFFFAOYSA-N</t>
  </si>
  <si>
    <t>Complex tannins</t>
  </si>
  <si>
    <t>C36H32O20</t>
  </si>
  <si>
    <t>10.21_663.2761m/z</t>
  </si>
  <si>
    <t>PI(20:5(5Z,8Z,11Z,14Z,17Z)/0:0)</t>
  </si>
  <si>
    <t>HMDB0256524</t>
  </si>
  <si>
    <t>CCC=CCC=CCC=CCC=CCC=CCCCC(=O)OCC(O)COP(O)(=O)OC1C(O)C(O)C(O)C(O)C1O</t>
  </si>
  <si>
    <t>NAVULVNLGJVPQU-UHFFFAOYSA-N</t>
  </si>
  <si>
    <t>C29H47O12P</t>
  </si>
  <si>
    <t>4.23_467.1170m/z</t>
  </si>
  <si>
    <t>B-D-Xylopyranosyl-(1-&gt;4)-A-L-Rhamnopyranosyl-(1-&gt;2)-L-Arabinose</t>
  </si>
  <si>
    <t>HMDB0041221</t>
  </si>
  <si>
    <t>CC1OC(OC2C(O)OCC(O)C2O)C(O)C(O)C1OC1OCC(O)C(O)C1O</t>
  </si>
  <si>
    <t>YRPDOTZSNIEQMF-UHFFFAOYSA-N</t>
  </si>
  <si>
    <t>C16H28O13</t>
  </si>
  <si>
    <t>3.46_357.0729m/z</t>
  </si>
  <si>
    <t>7-Dechlorogriseofulvin</t>
  </si>
  <si>
    <t>CC1CC(=O)C=C(C12C(=O)C3=C(O2)C=C(C=C3OC)OC)OC</t>
  </si>
  <si>
    <t>QPCYNIYZPDJCMB-XLFHBGCDSA-N</t>
  </si>
  <si>
    <t>C17H18O6</t>
  </si>
  <si>
    <t>5.84_493.1837m/z</t>
  </si>
  <si>
    <t>1,3-Benzenedicarbonitrile, 2-[[4-[[2-(Acetyloxy)Ethyl]Butylamino]-2-Methylphenyl]Azo]-5-Nitro-</t>
  </si>
  <si>
    <t>HMDB0247629</t>
  </si>
  <si>
    <t>CCCCN(CCOC(C)=O)C1=CC(C)=C(C=C1)N=NC1=C(C=C(C=C1C#N)[N+]([O-])=O)C#N</t>
  </si>
  <si>
    <t>ARSKJXYLLONUAJ-UHFFFAOYSA-N</t>
  </si>
  <si>
    <t>C23H24N6O4</t>
  </si>
  <si>
    <t>4.84_267.0748m/z</t>
  </si>
  <si>
    <t>Arabinosylhypoxanthine</t>
  </si>
  <si>
    <t>HMDB0003040</t>
  </si>
  <si>
    <t>7013-16-3</t>
  </si>
  <si>
    <t>OC[C@H]1OC([C@@H](O)[C@@H]1O)N1C=NC2=C1NC=NC2=O</t>
  </si>
  <si>
    <t>UGQMRVRMYYASKQ-KBNQYOMWSA-N</t>
  </si>
  <si>
    <t>C10H12N4O5</t>
  </si>
  <si>
    <t>13.26_358.2947m/z</t>
  </si>
  <si>
    <t>15s-Hpede</t>
  </si>
  <si>
    <t>LMFA01040030</t>
  </si>
  <si>
    <t>145375-41-3</t>
  </si>
  <si>
    <t>C(/C=C\C=C\[C@@H](OO)CCCCC)CCCCCCCCC(=O)O</t>
  </si>
  <si>
    <t>KEXNVBSLXJLOPR-XMSPSUPSSA-N</t>
  </si>
  <si>
    <t>C20H36O4</t>
  </si>
  <si>
    <t>4.36_394.1990n</t>
  </si>
  <si>
    <t>Pteroside Z</t>
  </si>
  <si>
    <t>HMDB0032587</t>
  </si>
  <si>
    <t>35943-37-4</t>
  </si>
  <si>
    <t>CC1=CC2=C(C(=O)C(C)(C)C2)C(C)=C1CCOC1OC(CO)C(O)C(O)C1O</t>
  </si>
  <si>
    <t>QFXWNTWJLHHEKX-UHFFFAOYSA-N</t>
  </si>
  <si>
    <t>C21H30O7</t>
  </si>
  <si>
    <t>3.17_625.1196m/z</t>
  </si>
  <si>
    <t>6''-Caffeoylhyperin</t>
  </si>
  <si>
    <t>HMDB0037539</t>
  </si>
  <si>
    <t>84575-22-4</t>
  </si>
  <si>
    <t>OC1C(COC(=O)\C=C\C2=CC(O)=C(O)C=C2)OC(OC2=C(OC3=CC(O)=CC(O)=C3C2=O)C2=CC(O)=C(O)C=C2)C(O)C1O</t>
  </si>
  <si>
    <t>IHBVMUCQCZEAPW-QHHAFSJGSA-N</t>
  </si>
  <si>
    <t>C30H26O15</t>
  </si>
  <si>
    <t>3.77_529.1199m/z</t>
  </si>
  <si>
    <t>Diospyrin</t>
  </si>
  <si>
    <t>HMDB0038867</t>
  </si>
  <si>
    <t>27838-81-9</t>
  </si>
  <si>
    <t>OCC1OC(OC2C(O)C3=C(O)C=C(O)C=C3OC2C2=CC(O)=C(O)C(O)=C2)C(O)C(O)C1O</t>
  </si>
  <si>
    <t>XCZZWPJIGBONJX-UHFFFAOYSA-N</t>
  </si>
  <si>
    <t>C21H24O13</t>
  </si>
  <si>
    <t>4.35_607.1644m/z</t>
  </si>
  <si>
    <t>4-Amino-6,7-Dihydro-5h-Cyclopenta[B]Pyridin-2-Yl 4-Methylbenzenesulfonate</t>
  </si>
  <si>
    <t>CC1=CC=C(C=C1)S(=O)(=O)OC2=NC3=C(CCC3)C(=C2)N</t>
  </si>
  <si>
    <t>WEDJTHOBXWJYEJ-UHFFFAOYSA-N</t>
  </si>
  <si>
    <t>C15H16N2O3S</t>
  </si>
  <si>
    <t>3.24_359.1107m/z</t>
  </si>
  <si>
    <t>7,8-Dihydropteroic Acid</t>
  </si>
  <si>
    <t>HMDB0001412</t>
  </si>
  <si>
    <t>C00921</t>
  </si>
  <si>
    <t>2134-76-1</t>
  </si>
  <si>
    <t>NC1=NC2=C(N=C(CNC3=CC=C(C=C3)C(O)=O)CN2)C(=O)N1</t>
  </si>
  <si>
    <t>WBFYVDCHGVNRBH-UHFFFAOYSA-N</t>
  </si>
  <si>
    <t>C14H14N6O3</t>
  </si>
  <si>
    <t>5.92_287.1651m/z</t>
  </si>
  <si>
    <t>(Z,Z)-2,9,16-Heptadecatriene-4,6-Diyn-8-Ol</t>
  </si>
  <si>
    <t>HMDB0032674</t>
  </si>
  <si>
    <t>13894-72-9</t>
  </si>
  <si>
    <t>C\C=C/C#CC#CC(O)\C=C\CCCCCC=C</t>
  </si>
  <si>
    <t>BVVCAUWTOOENBU-JSNTUCNZSA-N</t>
  </si>
  <si>
    <t>C17H22O</t>
  </si>
  <si>
    <t>11.51_809.3413m/z</t>
  </si>
  <si>
    <t>Nebivolol</t>
  </si>
  <si>
    <t>HMDB0015594</t>
  </si>
  <si>
    <t>99200-09-6</t>
  </si>
  <si>
    <t>OC(CNCC(O)C1CCC2=C(O1)C=CC(F)=C2)C1CCC2=C(O1)C=CC(F)=C2</t>
  </si>
  <si>
    <t>KOHIRBRYDXPAMZ-UHFFFAOYSA-N</t>
  </si>
  <si>
    <t>C22H25F2NO4</t>
  </si>
  <si>
    <t>9.45_353.2297m/z</t>
  </si>
  <si>
    <t>9s,10s,11r-Trihydroxy-12z-Octadecenoic Acid</t>
  </si>
  <si>
    <t>LMFA02000011</t>
  </si>
  <si>
    <t>C(CCCCCCC[C@H](O)[C@H](O)[C@H](O)/C=C\CCCCC)(=O)O</t>
  </si>
  <si>
    <t>JHGVFGJXFVIYSM-BSHMHQBXSA-N</t>
  </si>
  <si>
    <t>C18H34O5</t>
  </si>
  <si>
    <t>10.19_445.2006m/z</t>
  </si>
  <si>
    <t>Alopecurone G</t>
  </si>
  <si>
    <t>LMPK12140080</t>
  </si>
  <si>
    <t>C1(O)C(C[C@H](C(C)=C)C/C=C(\C)/C)=C2O[C@H](C3C=CC(O)=CC=3OC)CC(=O)C2=CC=1</t>
  </si>
  <si>
    <t>VRMRECOMNBQHJO-NSYGIPOTSA-N</t>
  </si>
  <si>
    <t>C26H30O5</t>
  </si>
  <si>
    <t>5.36_285.1495m/z</t>
  </si>
  <si>
    <t>Bicyclo[2.2.1]Heptan-2-One, 1,7,7-Trimethyl-3-(Phenylmethylene)-</t>
  </si>
  <si>
    <t>HMDB0244683</t>
  </si>
  <si>
    <t>CC1(C)C2CCC1(C)C(=O)C2=CC1=CC=CC=C1</t>
  </si>
  <si>
    <t>OIQXFRANQVWXJF-UHFFFAOYSA-N</t>
  </si>
  <si>
    <t>0.70_259.0975n</t>
  </si>
  <si>
    <t>Lenalidomide</t>
  </si>
  <si>
    <t>HMDB0014623</t>
  </si>
  <si>
    <t>191732-72-6</t>
  </si>
  <si>
    <t>NC1=CC=CC2=C1CN(C1CCC(=O)NC1=O)C2=O</t>
  </si>
  <si>
    <t>GOTYRUGSSMKFNF-UHFFFAOYSA-N</t>
  </si>
  <si>
    <t>C13H13N3O3</t>
  </si>
  <si>
    <t>11.98_326.3050m/z</t>
  </si>
  <si>
    <t>11,14-Eicosadienoic Acid</t>
  </si>
  <si>
    <t>LMFA01030130</t>
  </si>
  <si>
    <t>C(/C=C/C/C=C/CCCCC)CCCCCCCCC(=O)O</t>
  </si>
  <si>
    <t>XSXIVVZCUAHUJO-AVQMFFATSA-N</t>
  </si>
  <si>
    <t>C20H36O2</t>
  </si>
  <si>
    <t>1.09_535.1799m/z</t>
  </si>
  <si>
    <t>Delamanid</t>
  </si>
  <si>
    <t>HMDB0250966</t>
  </si>
  <si>
    <t>CC1(COC2=CC=C(C=C2)N2CCC(CC2)OC2=CC=C(OC(F)(F)F)C=C2)CN2C=C(N=C2O1)[N+]([O-])=O</t>
  </si>
  <si>
    <t>XDAOLTSRNUSPPH-UHFFFAOYSA-N</t>
  </si>
  <si>
    <t>C25H25F3N4O6</t>
  </si>
  <si>
    <t>12.38_413.3405m/z</t>
  </si>
  <si>
    <t>Doxercalciferol</t>
  </si>
  <si>
    <t>LMST03010069</t>
  </si>
  <si>
    <t>C1/C(=C/C=C2\CCC[C@]3(C)[C@@]([H])([C@@]([H])(/C=C/[C@@H](C)C(C)C)C)CC[C@@]\23[H])/C(=C)[C@@H](O)C[C@@H]1O</t>
  </si>
  <si>
    <t>HKXBNHCUPKIYDM-MIOKCKKRSA-N</t>
  </si>
  <si>
    <t>10.08_399.0068m/z</t>
  </si>
  <si>
    <t>3,5-Dinitrocatechol</t>
  </si>
  <si>
    <t>HMDB0246069</t>
  </si>
  <si>
    <t>OC1=CC(=CC(=C1O)[N+]([O-])=O)[N+]([O-])=O</t>
  </si>
  <si>
    <t>VDCDWNDTNSWDFJ-UHFFFAOYSA-N</t>
  </si>
  <si>
    <t>C6H4N2O6</t>
  </si>
  <si>
    <t>4.36_441.1201m/z</t>
  </si>
  <si>
    <t>N-(4-Sulfophenyl)Adenosine</t>
  </si>
  <si>
    <t>HMDB0249997</t>
  </si>
  <si>
    <t>OCC1OC(C(O)C1O)N1C=NC2=C1N=CN=C2NC1=CC=C(C=C1)S(O)(=O)=O</t>
  </si>
  <si>
    <t>ZUEJJBKBTNSMGJ-UHFFFAOYSA-N</t>
  </si>
  <si>
    <t>C16H17N5O7S</t>
  </si>
  <si>
    <t>4.36_461.2028m/z</t>
  </si>
  <si>
    <t>Ethyl 7-Epi-12-Hydroxyjasmonate Glucoside</t>
  </si>
  <si>
    <t>HMDB0036340</t>
  </si>
  <si>
    <t>CCOC(=O)CC1CCC(=O)C1C\C=C\CCOC1OC(CO)C(O)C(O)C1O</t>
  </si>
  <si>
    <t>DALGUVBWVCFIPV-ONEGZZNKSA-N</t>
  </si>
  <si>
    <t>C20H32O9</t>
  </si>
  <si>
    <t>3.64_513.1821m/z</t>
  </si>
  <si>
    <t>Plevitrexed</t>
  </si>
  <si>
    <t>HMDB0256642</t>
  </si>
  <si>
    <t>CC1=NC2=CC(C)=C(CN(CC#C)C3=CC(F)=C(C=C3)C(=O)NC(CCC3=NNN=N3)C(O)=O)C=C2C(=O)N1</t>
  </si>
  <si>
    <t>IEJSCSAMMLUINT-UHFFFAOYSA-N</t>
  </si>
  <si>
    <t>C26H25FN8O4</t>
  </si>
  <si>
    <t>11.19_997.4301m/z</t>
  </si>
  <si>
    <t>2-(4-(2-Carboxyethyl)Phenethylamino)-5'-N-Ethylcarboxamidoadenosine</t>
  </si>
  <si>
    <t>HMDB0249866</t>
  </si>
  <si>
    <t>CCNC(=O)C1OC(C(O)C1O)N1C=NC2=C1N=C(NCCC1=CC=C(CCC(O)=O)C=C1)N=C2N</t>
  </si>
  <si>
    <t>PAOANWZGLPPROA-UHFFFAOYSA-N</t>
  </si>
  <si>
    <t>C23H29N7O6</t>
  </si>
  <si>
    <t>11.40_355.2239m/z</t>
  </si>
  <si>
    <t>(9s,10s)-9,10-Dihydroxyoctadecanoic Acid</t>
  </si>
  <si>
    <t>HMDB0059633</t>
  </si>
  <si>
    <t>LMFA02000238</t>
  </si>
  <si>
    <t>C15988</t>
  </si>
  <si>
    <t>C(O)(=O)CCCCCCC[C@H](O)[C@@H](O)CCCCCCCC</t>
  </si>
  <si>
    <t>VACHUYIREGFMSP-IRXDYDNUSA-N</t>
  </si>
  <si>
    <t>C18H36O4</t>
  </si>
  <si>
    <t>4.65_357.2054m/z</t>
  </si>
  <si>
    <t>16-Phenyl Tetranor Prostaglandin E1</t>
  </si>
  <si>
    <t>C1C(C(C(C1=O)CCCCCCC(=O)O)C=CC(CC2=CC=CC=C2)O)O</t>
  </si>
  <si>
    <t>WDKPQDFHBMGHOW-ABXFKLLGSA-N</t>
  </si>
  <si>
    <t>9.05_455.1403m/z</t>
  </si>
  <si>
    <t>Thiafentanil</t>
  </si>
  <si>
    <t>HMDB0259592</t>
  </si>
  <si>
    <t>COCC(=O)N(C1=CC=CC=C1)C1(CCN(CCC2=CC=CS2)CC1)C(=O)OC</t>
  </si>
  <si>
    <t>HFRKHTCPWUOGHM-UHFFFAOYSA-N</t>
  </si>
  <si>
    <t>C22H28N2O4S</t>
  </si>
  <si>
    <t>1.29_238.0684m/z</t>
  </si>
  <si>
    <t>N-Methacryloyl-L-Glutamic Acid</t>
  </si>
  <si>
    <t>HMDB0255166</t>
  </si>
  <si>
    <t>CC(=C)C(=O)NC(CCC(O)=O)C(O)=O</t>
  </si>
  <si>
    <t>BCKKKQIAPZBSDV-UHFFFAOYSA-N</t>
  </si>
  <si>
    <t>C9H13NO5</t>
  </si>
  <si>
    <t>12.25_965.4400m/z</t>
  </si>
  <si>
    <t>PGP(18:2(9Z,11Z)/20:5(7Z,9Z,11E,13E,17Z)-3OH(5,6,15))</t>
  </si>
  <si>
    <t>HMDB0272881</t>
  </si>
  <si>
    <t>[H][C@](O)(COP(O)(O)=O)COP(O)(=O)OC[C@@]([H])(COC(=O)CCCCCCC\C=C/C=C\CCCCCC)OC(=O)CCC[C@@H](O)[C@H](O)\C=C/C=C\C=C\C=C\[C@@H](O)C\C=C/CC</t>
  </si>
  <si>
    <t>ALGCGUMJMNIJHE-FXPJASPHSA-N</t>
  </si>
  <si>
    <t>C44H74O16P2</t>
  </si>
  <si>
    <t>4.62_303.0494m/z</t>
  </si>
  <si>
    <t>Quercetin</t>
  </si>
  <si>
    <t>HMDB0005794</t>
  </si>
  <si>
    <t>LMPK12110004</t>
  </si>
  <si>
    <t>C00389</t>
  </si>
  <si>
    <t>ko00941,ko00944,ko04152</t>
  </si>
  <si>
    <t>Flavonoid biosynthesis|Flavone and flavonol biosynthesis|AMPK signaling pathway</t>
  </si>
  <si>
    <t>117-39-5</t>
  </si>
  <si>
    <t>C1(O)C=C2OC(C3=CC=C(O)C(O)=C3)=C(O)C(=O)C2=C(O)C=1</t>
  </si>
  <si>
    <t>REFJWTPEDVJJIY-UHFFFAOYSA-N</t>
  </si>
  <si>
    <t>6.59_269.0454m/z</t>
  </si>
  <si>
    <t>Apigenin</t>
  </si>
  <si>
    <t>HMDB0002124</t>
  </si>
  <si>
    <t>LMPK12110005</t>
  </si>
  <si>
    <t>C01477</t>
  </si>
  <si>
    <t>ko00941,ko00943,ko00944</t>
  </si>
  <si>
    <t>Flavonoid biosynthesis|Isoflavonoid biosynthesis|Flavone and flavonol biosynthesis</t>
  </si>
  <si>
    <t>520-36-5</t>
  </si>
  <si>
    <t>C1(O)C=C2OC(C3=CC=C(O)C=C3)=CC(=O)C2=C(O)C=1</t>
  </si>
  <si>
    <t>KZNIFHPLKGYRTM-UHFFFAOYSA-N</t>
  </si>
  <si>
    <t>C15H10O5</t>
  </si>
  <si>
    <t>4.05_499.2532m/z</t>
  </si>
  <si>
    <t>Stallimycin</t>
  </si>
  <si>
    <t>HMDB0251483</t>
  </si>
  <si>
    <t>CN1C=C(NC(=O)C2=CC(NC(=O)C3=CC(=CN3C)N=CO)=CN2C)C=C1C(=O)NCCC(N)=N</t>
  </si>
  <si>
    <t>UPBAOYRENQEPJO-UHFFFAOYSA-N</t>
  </si>
  <si>
    <t>N-arylamides</t>
  </si>
  <si>
    <t>C22H27N9O4</t>
  </si>
  <si>
    <t>6.01_168.0292m/z</t>
  </si>
  <si>
    <t>2-Methoxy-5-Nitrophenol</t>
  </si>
  <si>
    <t>C17385</t>
  </si>
  <si>
    <t>636-93-1</t>
  </si>
  <si>
    <t>COC1=C(C=C(C=C1)[N+](=O)[O-])O</t>
  </si>
  <si>
    <t>KXKCTSZYNCDFFG-UHFFFAOYSA-N</t>
  </si>
  <si>
    <t>C7H7NO4</t>
  </si>
  <si>
    <t>10.28_405.1841m/z</t>
  </si>
  <si>
    <t>Umbelliprenin</t>
  </si>
  <si>
    <t>HMDB0030597</t>
  </si>
  <si>
    <t>23838-17-7</t>
  </si>
  <si>
    <t>CC(C)=CCC\C(C)=C/CC\C(C)=C\COC1=CC2=C(C=CC(=O)O2)C=C1</t>
  </si>
  <si>
    <t>GNMUGVNEWCZUAA-SGRLLCBQSA-N</t>
  </si>
  <si>
    <t>C24H30O3</t>
  </si>
  <si>
    <t>7.57_647.3569m/z</t>
  </si>
  <si>
    <t>Quinidine</t>
  </si>
  <si>
    <t>HMDB0015044</t>
  </si>
  <si>
    <t>C06527</t>
  </si>
  <si>
    <t>56-54-2</t>
  </si>
  <si>
    <t>[H][C@@]12CCN(C[C@@H]1C=C)[C@]([H])(C2)[C@@H](O)C1=C2C=C(OC)C=CC2=NC=C1</t>
  </si>
  <si>
    <t>LOUPRKONTZGTKE-LHHVKLHASA-N</t>
  </si>
  <si>
    <t>C20H24N2O2</t>
  </si>
  <si>
    <t>8.02_335.0135m/z</t>
  </si>
  <si>
    <t>6-Thioxanthine</t>
  </si>
  <si>
    <t>HMDB0247108</t>
  </si>
  <si>
    <t>2002-59-7</t>
  </si>
  <si>
    <t>OC1=NC2=C(N=CN2)C(S)=N1</t>
  </si>
  <si>
    <t>RJOXFJDOUQJOMQ-UHFFFAOYSA-N</t>
  </si>
  <si>
    <t>C5H4N4OS</t>
  </si>
  <si>
    <t>4.03_311.0533m/z</t>
  </si>
  <si>
    <t>Almecillin</t>
  </si>
  <si>
    <t>HMDB0248169</t>
  </si>
  <si>
    <t>CC1(C)SC2C(NC(=O)CSCC=C)C(=O)N2C1C(O)=O</t>
  </si>
  <si>
    <t>QULKGELYPOJSLP-UHFFFAOYSA-N</t>
  </si>
  <si>
    <t>C13H18N2O4S2</t>
  </si>
  <si>
    <t>3.82_471.1294m/z</t>
  </si>
  <si>
    <t>Fraxidin Methyl Ether</t>
  </si>
  <si>
    <t>COC1=C(C(=C2C(=C1)C=CC(=O)O2)OC)OC</t>
  </si>
  <si>
    <t>RAYQKHLZHPFYEJ-UHFFFAOYSA-N</t>
  </si>
  <si>
    <t>C12H12O5</t>
  </si>
  <si>
    <t>0.66_333.0592m/z</t>
  </si>
  <si>
    <t>Glycerophosphoinositol</t>
  </si>
  <si>
    <t>HMDB0011649</t>
  </si>
  <si>
    <t>C01225</t>
  </si>
  <si>
    <t>129830-95-1</t>
  </si>
  <si>
    <t>OC[C@@H](O)COP(O)(=O)O[C@H]1[C@H](O)[C@@H](O)[C@H](O)[C@@H](O)[C@H]1O</t>
  </si>
  <si>
    <t>BMVUIWJCUQSHLZ-UJGXJMNGSA-N</t>
  </si>
  <si>
    <t>C9H19O11P</t>
  </si>
  <si>
    <t>13.28_342.2999m/z</t>
  </si>
  <si>
    <t>20-Hydroxy-6z,15z-Eicosadienoic Acid</t>
  </si>
  <si>
    <t>HMDB0245564</t>
  </si>
  <si>
    <t>OCCCCC=CCCCCCCCC=CCCCCC(O)=O</t>
  </si>
  <si>
    <t>RYHYNNWEPYGEEH-UHFFFAOYSA-N</t>
  </si>
  <si>
    <t>4.62_333.0432m/z</t>
  </si>
  <si>
    <t>Cyanthoate</t>
  </si>
  <si>
    <t>HMDB0250616</t>
  </si>
  <si>
    <t>C18974</t>
  </si>
  <si>
    <t>3734-95-0</t>
  </si>
  <si>
    <t>CCOP(=O)(OCC)SCC(O)=NC(C)(C)C#N</t>
  </si>
  <si>
    <t>TWDJIKFUVRYBJF-UHFFFAOYSA-N</t>
  </si>
  <si>
    <t>Organophosphorus compounds</t>
  </si>
  <si>
    <t>Organothiophosphorus compounds</t>
  </si>
  <si>
    <t>C10H19N2O4PS</t>
  </si>
  <si>
    <t>7.22_535.1976m/z</t>
  </si>
  <si>
    <t>Piperaduncin A</t>
  </si>
  <si>
    <t>LMPK12120474</t>
  </si>
  <si>
    <t>C1(OC)C(C(C=C(C)C)C2C=C(C(=O)OC)C=CC=2O)=C(O)C(C(=O)CCC2C=CC=CC=2)=C(O)C=1</t>
  </si>
  <si>
    <t>UWDJCYWVPNETPR-UHFFFAOYSA-N</t>
  </si>
  <si>
    <t>C29H30O7</t>
  </si>
  <si>
    <t>4.93_557.3323m/z</t>
  </si>
  <si>
    <t>Etamiphylline</t>
  </si>
  <si>
    <t>HMDB0041889</t>
  </si>
  <si>
    <t>314-35-2</t>
  </si>
  <si>
    <t>CCN(CC)CCN1C=NC2=C1C(=O)N(C)C(=O)N2C</t>
  </si>
  <si>
    <t>AWKLBIOQCIORSB-UHFFFAOYSA-N</t>
  </si>
  <si>
    <t>C13H21N5O2</t>
  </si>
  <si>
    <t>14.07_692.5102m/z</t>
  </si>
  <si>
    <t>Cer(t18:0/6 keto-PGF1alpha)</t>
  </si>
  <si>
    <t>HMDB0290163</t>
  </si>
  <si>
    <t>CCCCCCCCCCCCCCC(O)C(O)[C@H](CO)NC(=O)CCCCC(=O)C[C@H]1[C@@H](O)C[C@@H](O)[C@@H]1\C=C\[C@@H](O)CCCCC</t>
  </si>
  <si>
    <t>WFPZGIODRLYOTH-JUJSTMTCSA-N</t>
  </si>
  <si>
    <t>C38H71NO8</t>
  </si>
  <si>
    <t>8.06_831.3606m/z</t>
  </si>
  <si>
    <t>Leonubiastrin</t>
  </si>
  <si>
    <t>CC(C)C1=CC2=C(C(=C1)O)C3(C=CC(=O)C(C3C(C2O)OC(=O)C)(C)C(=O)OC)C</t>
  </si>
  <si>
    <t>ROWKODQLOIEBHL-XCWFNORRSA-N</t>
  </si>
  <si>
    <t>C23H28O7</t>
  </si>
  <si>
    <t>4.19_149.0504m/z</t>
  </si>
  <si>
    <t>1,8-Naphthyridine, 2-Fluoro-</t>
  </si>
  <si>
    <t>HMDB0252386</t>
  </si>
  <si>
    <t>FC1=NC2=C(C=CC=N2)C=C1</t>
  </si>
  <si>
    <t>YUMCAWUAVINQTG-UHFFFAOYSA-N</t>
  </si>
  <si>
    <t>C8H5FN2</t>
  </si>
  <si>
    <t>9.65_272.2944m/z</t>
  </si>
  <si>
    <t>14-Methyl-8-Hexadecen-1-Ol</t>
  </si>
  <si>
    <t>LMFA05000034</t>
  </si>
  <si>
    <t>C(CCCC(C)CC)/C=C/CCCCCCCO</t>
  </si>
  <si>
    <t>QRFJDYPDABYWFH-FNORWQNLSA-N</t>
  </si>
  <si>
    <t>C17H34O</t>
  </si>
  <si>
    <t>4.83_923.4994m/z</t>
  </si>
  <si>
    <t>Hebevinoside Viii</t>
  </si>
  <si>
    <t>HMDB0034598</t>
  </si>
  <si>
    <t>101365-10-0</t>
  </si>
  <si>
    <t>CC(CCC=C(C)C)C1C(CC2(C)C3C(O)C=C4C(CCC(OC5OCC(OC(C)=O)C(O)C5O)C4(C)C)C3(C)CCC12C)OC1OC(COC(C)=O)C(OC(C)=O)C(O)C1O</t>
  </si>
  <si>
    <t>CASUNJDNTPMYBY-UHFFFAOYSA-N</t>
  </si>
  <si>
    <t>C47H74O15</t>
  </si>
  <si>
    <t>4.91_313.1431m/z</t>
  </si>
  <si>
    <t>Fragransol B</t>
  </si>
  <si>
    <t>HMDB0033538</t>
  </si>
  <si>
    <t>114394-20-6</t>
  </si>
  <si>
    <t>COC1=CC(CCO)=CC2=C1OC(C2C)C1=CC(OC)=C(O)C=C1</t>
  </si>
  <si>
    <t>NBJKTAQUPAAPLZ-UHFFFAOYSA-N</t>
  </si>
  <si>
    <t>0.96_285.0225m/z</t>
  </si>
  <si>
    <t>L-Cystine</t>
  </si>
  <si>
    <t>HMDB0000192</t>
  </si>
  <si>
    <t>C00491</t>
  </si>
  <si>
    <t>ko00270,ko02010,ko04216,ko04974</t>
  </si>
  <si>
    <t>Cysteine and methionine metabolism|ABC transporters|Ferroptosis|Protein digestion and absorption</t>
  </si>
  <si>
    <t>56-89-3</t>
  </si>
  <si>
    <t>N[C@@H](CSSC[C@H](N)C(O)=O)C(O)=O</t>
  </si>
  <si>
    <t>LEVWYRKDKASIDU-IMJSIDKUSA-N</t>
  </si>
  <si>
    <t>C6H12N2O4S2</t>
  </si>
  <si>
    <t>13.01_455.3129m/z</t>
  </si>
  <si>
    <t>Calcitetrol</t>
  </si>
  <si>
    <t>HMDB0006228</t>
  </si>
  <si>
    <t>LMST03020686</t>
  </si>
  <si>
    <t>C18231</t>
  </si>
  <si>
    <t>ko00100,ko04928</t>
  </si>
  <si>
    <t>Steroid biosynthesis|Parathyroid hormone synthesis, secretion and action</t>
  </si>
  <si>
    <t>56142-94-0</t>
  </si>
  <si>
    <t>C1CC/C(=C\C=C2\C[C@H](C[C@H](O)C\2=C)O)/[C@]2([H])CC[C@]([H])([C@@H](CC[C@@H](O)C(O)(C)C)C)[C@]21C</t>
  </si>
  <si>
    <t>WFZKUWGUJVKMHC-UKBUZQLGSA-N</t>
  </si>
  <si>
    <t>C27H44O4</t>
  </si>
  <si>
    <t>8.32_367.1353m/z</t>
  </si>
  <si>
    <t>Avenic Acid A</t>
  </si>
  <si>
    <t>HMDB0030416</t>
  </si>
  <si>
    <t>76224-57-2</t>
  </si>
  <si>
    <t>OCCC(NCCC(NCCC(O)C(O)=O)C(O)=O)C(O)=O</t>
  </si>
  <si>
    <t>QUKMQOBHQMWLLR-UHFFFAOYSA-N</t>
  </si>
  <si>
    <t>C12H22N2O8</t>
  </si>
  <si>
    <t>10.92_339.2150m/z</t>
  </si>
  <si>
    <t>Kinetensin 1-3</t>
  </si>
  <si>
    <t>HMDB0012983</t>
  </si>
  <si>
    <t>138482-55-0</t>
  </si>
  <si>
    <t>CC[C@H](C)[C@H](N)C(=O)N[C@@H](C)C(=O)N[C@@H](CCCNC(N)=N)C(O)=O</t>
  </si>
  <si>
    <t>JXUGDUWBMKIJDC-NAKRPEOUSA-N</t>
  </si>
  <si>
    <t>C15H30N6O4</t>
  </si>
  <si>
    <t>3.77_625.2842m/z</t>
  </si>
  <si>
    <t>Sematilide</t>
  </si>
  <si>
    <t>HMDB0258221</t>
  </si>
  <si>
    <t>CCN(CC)CCNC(=O)C1=CC=C(NS(C)(=O)=O)C=C1</t>
  </si>
  <si>
    <t>KHYPYQZQJSBPIX-UHFFFAOYSA-N</t>
  </si>
  <si>
    <t>Sulfanilides</t>
  </si>
  <si>
    <t>C14H23N3O3S</t>
  </si>
  <si>
    <t>12.36_226.2162m/z</t>
  </si>
  <si>
    <t>2-Cyclotetradecen-1-One</t>
  </si>
  <si>
    <t>HMDB0039884</t>
  </si>
  <si>
    <t>55395-12-5</t>
  </si>
  <si>
    <t>O=C1CCCCCCCCCCC\C=C\1</t>
  </si>
  <si>
    <t>RYRDADIPPFMIQM-ZRDIBKRKSA-N</t>
  </si>
  <si>
    <t>C14H24O</t>
  </si>
  <si>
    <t>2.58_385.1364m/z</t>
  </si>
  <si>
    <t>O-Feruloylquinate</t>
  </si>
  <si>
    <t>HMDB0304441</t>
  </si>
  <si>
    <t>COC1=CC(C=CC(=O)OC2C(O)CC(O)(CC2O)C([O-])=O)=CC=C1O</t>
  </si>
  <si>
    <t>VTMFDSJJVNQXLT-UHFFFAOYSA-M</t>
  </si>
  <si>
    <t>C17H19O9-</t>
  </si>
  <si>
    <t>3.82_325.1500m/z</t>
  </si>
  <si>
    <t>Aminoethylcysteine Ketimine</t>
  </si>
  <si>
    <t>HMDB0248315</t>
  </si>
  <si>
    <t>CC(N)C(N)(CS)C(N)=O</t>
  </si>
  <si>
    <t>RUHGXEGFSPSRNK-UHFFFAOYSA-N</t>
  </si>
  <si>
    <t>C5H13N3OS</t>
  </si>
  <si>
    <t>14.71_686.5187m/z</t>
  </si>
  <si>
    <t>DG(15:0/6 keto-PGF1alpha/0:0)</t>
  </si>
  <si>
    <t>HMDB0295247</t>
  </si>
  <si>
    <t>CCCCCCCCCCCCCCC(=O)OC[C@H](CO)OC(=O)CCCCC(=O)C[C@H]1[C@@H](O)C[C@@H](O)[C@@H]1\C=C\[C@@H](O)CCCCC</t>
  </si>
  <si>
    <t>IHNGPKUQAWOKHQ-MTNMSLJZSA-N</t>
  </si>
  <si>
    <t>C38H68O9</t>
  </si>
  <si>
    <t>5.79_499.1979m/z</t>
  </si>
  <si>
    <t>Desoxylimonin</t>
  </si>
  <si>
    <t>HMDB0035031</t>
  </si>
  <si>
    <t>C10897</t>
  </si>
  <si>
    <t>CC1(C)OC2CC(=O)OCC22C1CC(=O)C1(C)C2CCC2(C)C(OC(=O)C=C12)C1=COC=C1</t>
  </si>
  <si>
    <t>QUTATOGBENCRSS-UHFFFAOYSA-N</t>
  </si>
  <si>
    <t>C26H30O7</t>
  </si>
  <si>
    <t>8.80_960.2791m/z</t>
  </si>
  <si>
    <t>3-Hydroxytridecanoyl-Coa</t>
  </si>
  <si>
    <t>HMDB0301096</t>
  </si>
  <si>
    <t>CCCCCCCCCCC(O)CC(=O)SCCNC(=O)CCNC(=O)C(O)C(C)(C)COP(O)(=O)OP(O)(=O)OCC1OC(C(O)C1OP(O)(O)=O)N1C=NC2=C1N=CN=C2N</t>
  </si>
  <si>
    <t>DGCKWHYVMOUMCS-UHFFFAOYSA-N</t>
  </si>
  <si>
    <t>C34H60N7O18P3S</t>
  </si>
  <si>
    <t>5.28_375.1448m/z</t>
  </si>
  <si>
    <t>Tetrahydrosappanone A Trimethyl Ether</t>
  </si>
  <si>
    <t>COC1=CC2=C(C=C1)C(C(CO2)CC3=CC(=C(C=C3)OC)OC)O</t>
  </si>
  <si>
    <t>KXFFLWDYUNIJNU-BFUOFWGJSA-N</t>
  </si>
  <si>
    <t>10.70_307.2375m/z</t>
  </si>
  <si>
    <t>Dyclonine</t>
  </si>
  <si>
    <t>HMDB0014783</t>
  </si>
  <si>
    <t>C07881</t>
  </si>
  <si>
    <t>586-60-7</t>
  </si>
  <si>
    <t>CCCCOC1=CC=C(C=C1)C(=O)CCN1CCCCC1</t>
  </si>
  <si>
    <t>BZEWSEKUUPWQDQ-UHFFFAOYSA-N</t>
  </si>
  <si>
    <t>C18H27NO2</t>
  </si>
  <si>
    <t>14.05_561.4147m/z</t>
  </si>
  <si>
    <t>N-Nervonoyl Arginine</t>
  </si>
  <si>
    <t>HMDB0242085</t>
  </si>
  <si>
    <t>CCCCCCCCC=CCCCCCCCCCCCCCC(=O)NC(CCCN=C(N)N)C(O)=O</t>
  </si>
  <si>
    <t>QHQXRDGUKUTULC-UHFFFAOYSA-N</t>
  </si>
  <si>
    <t>C30H58N4O3</t>
  </si>
  <si>
    <t>12.23_403.1578m/z</t>
  </si>
  <si>
    <t>Mulberrin</t>
  </si>
  <si>
    <t>HMDB0029507</t>
  </si>
  <si>
    <t>LMPK12110895</t>
  </si>
  <si>
    <t>62949-79-5</t>
  </si>
  <si>
    <t>C1(O)=C(C/C=C(\C)/C)C2OC(C3C(O)=CC(O)=CC=3)=C(C/C=C(\C)/C)C(=O)C=2C(O)=C1</t>
  </si>
  <si>
    <t>UWQYBLOHTQWSQD-UHFFFAOYSA-N</t>
  </si>
  <si>
    <t>C25H26O6</t>
  </si>
  <si>
    <t>7.39_643.3695m/z</t>
  </si>
  <si>
    <t>Kurilensoside G</t>
  </si>
  <si>
    <t>LMST05050016</t>
  </si>
  <si>
    <t>C1[C@]2(C)[C@@]3([H])CC[C@]4(C)[C@@]([H])([C@]([H])(C)CCC[C@@H](CO)C)[C@@H](O)[C@H](O)[C@@]4([H])[C@]3(O)CC=C2[C@@H](O)[C@@H](O[C@H]2[C@@H]([C@H]([C@@H](CO2)O)O)O)C1</t>
  </si>
  <si>
    <t>BAPIUISJCSENCQ-JMPVZICJSA-N</t>
  </si>
  <si>
    <t>C32H54O10</t>
  </si>
  <si>
    <t>5.47_571.3483m/z</t>
  </si>
  <si>
    <t>DG(8:0/5-iso PGF2VI/0:0)</t>
  </si>
  <si>
    <t>HMDB0297151</t>
  </si>
  <si>
    <t>CCCCCCCC(=O)OC[C@H](CO)OC(=O)C\C=C/C[C@@H]1[C@@H](O)C[C@@H](O)[C@@H]1\C=C\[C@H](O)CCCCC</t>
  </si>
  <si>
    <t>LVMMPNIBPFVLHO-GCSSZAABSA-N</t>
  </si>
  <si>
    <t>C29H50O8</t>
  </si>
  <si>
    <t>6.05_465.1397m/z</t>
  </si>
  <si>
    <t>Rhaponticin</t>
  </si>
  <si>
    <t>HMDB0304731</t>
  </si>
  <si>
    <t>LMPK13090002</t>
  </si>
  <si>
    <t>C10288</t>
  </si>
  <si>
    <t>155-58-8</t>
  </si>
  <si>
    <t>C1=C(O)C=C(/C=C/C2=CC(O)=C(OC)C=C2)C=C1O[C@@H]1O[C@@H]([C@H]([C@@H]([C@H]1O)O)O)CO</t>
  </si>
  <si>
    <t>GKAJCVFOJGXVIA-DXKBKAGUSA-N</t>
  </si>
  <si>
    <t>8.01_571.2755m/z</t>
  </si>
  <si>
    <t>Iganidipine</t>
  </si>
  <si>
    <t>HMDB0253387</t>
  </si>
  <si>
    <t>COC(=O)C1=C(C)NC(C)=C(C1C1=CC(=CC=C1)[N+]([O-])=O)C(=O)OCC(C)(C)CN1CCN(CC=C)CC1</t>
  </si>
  <si>
    <t>QBTSPDQKRVMTRU-UHFFFAOYSA-N</t>
  </si>
  <si>
    <t>C28H38N4O6</t>
  </si>
  <si>
    <t>6.52_279.1387m/z</t>
  </si>
  <si>
    <t>Retene</t>
  </si>
  <si>
    <t>HMDB0257170</t>
  </si>
  <si>
    <t>CC(C)C1=CC=C2C(C=CC3=C(C)C=CC=C23)=C1</t>
  </si>
  <si>
    <t>NXLOLUFNDSBYTP-UHFFFAOYSA-N</t>
  </si>
  <si>
    <t>C18H18</t>
  </si>
  <si>
    <t>4.33_335.1100m/z</t>
  </si>
  <si>
    <t>Nivalenol</t>
  </si>
  <si>
    <t>HMDB0004304</t>
  </si>
  <si>
    <t>C06080</t>
  </si>
  <si>
    <t>23282-20-4</t>
  </si>
  <si>
    <t>CC1=CC2C(C(C1=O)O)(C3(C(C(C(C34CO4)O2)O)O)C)CO</t>
  </si>
  <si>
    <t>UKOTXHQERFPCBU-XLYGLCRNSA-N</t>
  </si>
  <si>
    <t>C15H20O7</t>
  </si>
  <si>
    <t>5.20_398.1575m/z</t>
  </si>
  <si>
    <t>5-Hydroxydec-6-Enedioylcarnitine</t>
  </si>
  <si>
    <t>HMDB0241087</t>
  </si>
  <si>
    <t>C[N+](C)(C)CC(CC([O-])=O)OC(=O)CCCC(O)C=CCCC(O)=O</t>
  </si>
  <si>
    <t>VPQQVUIXUORCLO-UHFFFAOYSA-N</t>
  </si>
  <si>
    <t>C17H29NO7</t>
  </si>
  <si>
    <t>4.91_287.1274m/z</t>
  </si>
  <si>
    <t>Lagociclovir</t>
  </si>
  <si>
    <t>HMDB0253955</t>
  </si>
  <si>
    <t>NC1=NC2=C(N=CN2C2CC(F)C(CO)O2)C(=O)N1</t>
  </si>
  <si>
    <t>RTJUXLYUUDBAJN-UHFFFAOYSA-N</t>
  </si>
  <si>
    <t>C10H12FN5O3</t>
  </si>
  <si>
    <t>4.51_305.1140m/z</t>
  </si>
  <si>
    <t>Maculosin</t>
  </si>
  <si>
    <t>C10605</t>
  </si>
  <si>
    <t>4549-02-4</t>
  </si>
  <si>
    <t>C1CC2C(=O)NC(C(=O)N2C1)CC3=CC=C(C=C3)O</t>
  </si>
  <si>
    <t>LSGOTAXPWMCUCK-RYUDHWBXSA-N</t>
  </si>
  <si>
    <t>C14H16N2O3</t>
  </si>
  <si>
    <t>14.09_670.5241m/z</t>
  </si>
  <si>
    <t>DG(17:0/0:0/5-iso PGF2VI)</t>
  </si>
  <si>
    <t>HMDB0295697</t>
  </si>
  <si>
    <t>CCCCCCCCCCCCCCCCC(=O)OC[C@@H](O)COC(=O)C\C=C/C[C@@H]1[C@@H](O)C[C@@H](O)[C@@H]1\C=C\[C@H](O)CCCCC</t>
  </si>
  <si>
    <t>JWBIXBBWRDIKNL-ABDSSZEVSA-N</t>
  </si>
  <si>
    <t>C38H68O8</t>
  </si>
  <si>
    <t>4.15_387.0932m/z</t>
  </si>
  <si>
    <t>Ixoside</t>
  </si>
  <si>
    <t>LMPR0102070040</t>
  </si>
  <si>
    <t>[C@@]12([H])C(=CC[C@]1([H])C(C(=O)O)=CO[C@H]2O[C@H]1[C@H](O)[C@H]([C@H](O)[C@@H](CO)O1)O)C(=O)O</t>
  </si>
  <si>
    <t>AYRQUPRKTDTPEN-SQQPMCIGSA-N</t>
  </si>
  <si>
    <t>C16H20O11</t>
  </si>
  <si>
    <t>4.58_501.1959m/z</t>
  </si>
  <si>
    <t>Deoxyadenosine</t>
  </si>
  <si>
    <t>HMDB0000101</t>
  </si>
  <si>
    <t>C00559</t>
  </si>
  <si>
    <t>958-09-8</t>
  </si>
  <si>
    <t>NC1=C2N=CN([C@H]3C[C@H](O)[C@@H](CO)O3)C2=NC=N1</t>
  </si>
  <si>
    <t>OLXZPDWKRNYJJZ-RRKCRQDMSA-N</t>
  </si>
  <si>
    <t>Purine 2'-deoxyribonucleosides</t>
  </si>
  <si>
    <t>9.88_992.5932m/z</t>
  </si>
  <si>
    <t>Hexa-D-Arginine</t>
  </si>
  <si>
    <t>HMDB0253116</t>
  </si>
  <si>
    <t>NC(CCCN=C(N)N)C(=O)NC(CCCN=C(N)N)C(=O)NC(CCCN=C(N)N)C(=O)NC(CCCN=C(N)N)C(=O)NC(CCCN=C(N)N)C(=O)NC(CCCN=C(N)N)C(N)=O</t>
  </si>
  <si>
    <t>BMLTZEAFQLJTIZ-UHFFFAOYSA-N</t>
  </si>
  <si>
    <t>C36H75N25O6</t>
  </si>
  <si>
    <t>5.60_579.2463m/z</t>
  </si>
  <si>
    <t>Glycine, N-[1-(Phenylacetyl)-L-Prolyl]-</t>
  </si>
  <si>
    <t>HMDB0252866</t>
  </si>
  <si>
    <t>OC(=O)CNC(=O)C1CCCN1C(=O)CC1=CC=CC=C1</t>
  </si>
  <si>
    <t>TXYISIQQFOLDJY-UHFFFAOYSA-N</t>
  </si>
  <si>
    <t>C15H18N2O4</t>
  </si>
  <si>
    <t>1.65_389.1780m/z</t>
  </si>
  <si>
    <t>(2r,6x)-7-Methyl-3-Methylene-1,2,6,7-Octanetetrol 2-Glucoside</t>
  </si>
  <si>
    <t>HMDB0033216</t>
  </si>
  <si>
    <t>219814-32-1</t>
  </si>
  <si>
    <t>CC(C)(O)C(O)CCC(=C)C(CO)OC1OC(CO)C(O)C(O)C1O</t>
  </si>
  <si>
    <t>YTJFEBUQZTULAC-UHFFFAOYSA-N</t>
  </si>
  <si>
    <t>5.69_192.1013m/z</t>
  </si>
  <si>
    <t>Propoxur</t>
  </si>
  <si>
    <t>HMDB0256832</t>
  </si>
  <si>
    <t>C14334</t>
  </si>
  <si>
    <t>114-26-1</t>
  </si>
  <si>
    <t>CNC(=O)OC1=CC=CC=C1OC(C)C</t>
  </si>
  <si>
    <t>ISRUGXGCCGIOQO-UHFFFAOYSA-N</t>
  </si>
  <si>
    <t>3.99_353.0874m/z</t>
  </si>
  <si>
    <t>Chlorogenic Acid</t>
  </si>
  <si>
    <t>HMDB0003164</t>
  </si>
  <si>
    <t>C00852</t>
  </si>
  <si>
    <t>ko00940,ko00941,ko00945</t>
  </si>
  <si>
    <t>Phenylpropanoid biosynthesis|Flavonoid biosynthesis|Stilbenoid, diarylheptanoid and gingerol biosynthesis</t>
  </si>
  <si>
    <t>202650-88-2</t>
  </si>
  <si>
    <t>O[C@@H]1C[C@](O)(C[C@@H](OC(=O)\C=C\C2=CC(O)=C(O)C=C2)[C@@H]1O)C(O)=O</t>
  </si>
  <si>
    <t>CWVRJTMFETXNAD-JUHZACGLSA-N</t>
  </si>
  <si>
    <t>C16H18O9</t>
  </si>
  <si>
    <t>9.69_319.1545m/z</t>
  </si>
  <si>
    <t>3a-Methyl-2,3,4,5,5a,10,10a,10b-Octahydro-1h-Cyclopenta[A]Fluorene-2,3,7-Triol</t>
  </si>
  <si>
    <t>HMDB0257775</t>
  </si>
  <si>
    <t>CC12CCC3C(CC4=C3C=C(O)C=C4)C1CC(O)C2O</t>
  </si>
  <si>
    <t>ICGWILBEACJUIP-UHFFFAOYSA-N</t>
  </si>
  <si>
    <t>C17H22O3</t>
  </si>
  <si>
    <t>6.46_267.1599m/z</t>
  </si>
  <si>
    <t>5,6,7,8-Tetrahydroquinoxaline</t>
  </si>
  <si>
    <t>HMDB0033154</t>
  </si>
  <si>
    <t>34413-35-9</t>
  </si>
  <si>
    <t>C1CCC2=C(C1)N=CC=N2</t>
  </si>
  <si>
    <t>XCZPDOCRSYZOBI-UHFFFAOYSA-N</t>
  </si>
  <si>
    <t>C8H10N2</t>
  </si>
  <si>
    <t>6.11_179.0852m/z</t>
  </si>
  <si>
    <t>S-Allyl-L-Cysteine</t>
  </si>
  <si>
    <t>C16759</t>
  </si>
  <si>
    <t>21593-77-1</t>
  </si>
  <si>
    <t>C=CCSCC(C(=O)O)N</t>
  </si>
  <si>
    <t>ZFAHNWWNDFHPOH-YFKPBYRVSA-N</t>
  </si>
  <si>
    <t>C6H11NO2S</t>
  </si>
  <si>
    <t>11.77_921.5051m/z</t>
  </si>
  <si>
    <t>Strophanthidin Semicarbazide</t>
  </si>
  <si>
    <t>CC12CCC3C(C1(CCC2C4=CC(=O)OC4)O)CCC5(C3(CCC(C5)O)C=NNC(=O)N)O</t>
  </si>
  <si>
    <t>GFJQQPYCTIQFPJ-LGJNPRDNSA-N</t>
  </si>
  <si>
    <t>C24H35N3O6</t>
  </si>
  <si>
    <t>6.46_637.4309m/z</t>
  </si>
  <si>
    <t>DG(12:0/20:4(6Z,8E,10E,14Z)-2OH(5S,12R)/0:0)</t>
  </si>
  <si>
    <t>HMDB0294685</t>
  </si>
  <si>
    <t>CCCCCCCCCCCC(=O)OC[C@H](CO)OC(=O)CCC[C@@H](O)\C=C/C=C/C=C/[C@@H](O)C\C=C/CCCCC</t>
  </si>
  <si>
    <t>UYSUXOIGZLPPCF-NNCVUTPJSA-N</t>
  </si>
  <si>
    <t>9.48_655.0830m/z</t>
  </si>
  <si>
    <t>Cyclic Guanosine Monophosphate-Adenosine Monophosphate</t>
  </si>
  <si>
    <t>HMDB0245558</t>
  </si>
  <si>
    <t>NC1=NC2=C(N=CN2C2OC3COP(O)(=O)OC4C(COP(O)(=O)OC2C3O)OC(C4O)N2C=NC3=C2N=CN=C3N)C(=O)N1</t>
  </si>
  <si>
    <t>XRILCFTWUCUKJR-UHFFFAOYSA-N</t>
  </si>
  <si>
    <t>C20H24N10O13P2</t>
  </si>
  <si>
    <t>11.37_549.4140m/z</t>
  </si>
  <si>
    <t>TG(8:0/8:0/i-12:0)</t>
  </si>
  <si>
    <t>HMDB0071469</t>
  </si>
  <si>
    <t>[H][C@](COC(=O)CCCCCCC)(COC(=O)CCCCCCCCC(C)C)OC(=O)CCCCCCC</t>
  </si>
  <si>
    <t>XBIYZIDGFSGBTD-NDEPHWFRSA-N</t>
  </si>
  <si>
    <t>C31H58O6</t>
  </si>
  <si>
    <t>0.62_177.0508m/z</t>
  </si>
  <si>
    <t>Succinimidyl Carbonate</t>
  </si>
  <si>
    <t>HMDB0258541</t>
  </si>
  <si>
    <t>OC(=O)ON1C(=O)CCC1=O</t>
  </si>
  <si>
    <t>ZJIFDEVVTPEXDL-UHFFFAOYSA-N</t>
  </si>
  <si>
    <t>C5H5NO5</t>
  </si>
  <si>
    <t>1.06_256.1290m/z</t>
  </si>
  <si>
    <t>Felbamate</t>
  </si>
  <si>
    <t>HMDB0015084</t>
  </si>
  <si>
    <t>C07501</t>
  </si>
  <si>
    <t>25451-15-4</t>
  </si>
  <si>
    <t>NC(=O)OCC(COC(N)=O)C1=CC=CC=C1</t>
  </si>
  <si>
    <t>WKGXYQFOCVYPAC-UHFFFAOYSA-N</t>
  </si>
  <si>
    <t>C11H14N2O4</t>
  </si>
  <si>
    <t>7.99_285.1845m/z</t>
  </si>
  <si>
    <t>19-Hydroxyandrost-4-Ene-3,17-Dione</t>
  </si>
  <si>
    <t>HMDB0003955</t>
  </si>
  <si>
    <t>LMST02020067</t>
  </si>
  <si>
    <t>C05290</t>
  </si>
  <si>
    <t>510-64-5</t>
  </si>
  <si>
    <t>[C@]12(CO)CCC(=O)C=C1CC[C@@]1([H])[C@]3([H])CCC(=O)[C@]3(CC[C@]21[H])C</t>
  </si>
  <si>
    <t>XGUHPTGEXRHMQQ-BGJMDTOESA-N</t>
  </si>
  <si>
    <t>6.93_463.3064m/z</t>
  </si>
  <si>
    <t>Octyl Decyl Phthalate</t>
  </si>
  <si>
    <t>CCCCCCCCCCOC(=O)C1=CC=CC=C1C(=O)OCCCCCCCC</t>
  </si>
  <si>
    <t>LVAGMBHLXLZJKZ-UHFFFAOYSA-N</t>
  </si>
  <si>
    <t>C26H42O4</t>
  </si>
  <si>
    <t>9.75_195.1015m/z</t>
  </si>
  <si>
    <t>Butyl Salicylate</t>
  </si>
  <si>
    <t>HMDB0040730</t>
  </si>
  <si>
    <t>2052-14-4</t>
  </si>
  <si>
    <t>CCCCOC(=O)C1=CC=CC=C1O</t>
  </si>
  <si>
    <t>YFDUWSBGVPBWKF-UHFFFAOYSA-N</t>
  </si>
  <si>
    <t>6.42_689.2930m/z</t>
  </si>
  <si>
    <t>PI(22:6(4Z,7Z,10Z,13Z,16Z,19Z)/0:0)</t>
  </si>
  <si>
    <t>LMGP06050012</t>
  </si>
  <si>
    <t>[C@]([H])(O)(COP(=O)(O)O[C@H]1[C@H](O)[C@@H](O)[C@H](O)[C@@H](O)[C@H]1O)COC(CC/C=C\C/C=C\C/C=C\C/C=C\C/C=C\C/C=C\CC)=O</t>
  </si>
  <si>
    <t>CAPHXUZAFHNJAV-ORVKQNAXSA-N</t>
  </si>
  <si>
    <t>C31H49O12P</t>
  </si>
  <si>
    <t>4.85_130.0650m/z</t>
  </si>
  <si>
    <t>Isoquinoline</t>
  </si>
  <si>
    <t>HMDB0034244</t>
  </si>
  <si>
    <t>C06323</t>
  </si>
  <si>
    <t>119-65-3</t>
  </si>
  <si>
    <t>C1=CC=C2C=NC=CC2=C1</t>
  </si>
  <si>
    <t>AWJUIBRHMBBTKR-UHFFFAOYSA-N</t>
  </si>
  <si>
    <t>C9H7N</t>
  </si>
  <si>
    <t>5.15_390.1673n</t>
  </si>
  <si>
    <t>Dimerostatin</t>
  </si>
  <si>
    <t>LMPR0103090016</t>
  </si>
  <si>
    <t>C1=C(C)CCC=C(COC(=O)C)C[C@H](OC(=O)C(=C)CO)[C@H]2C(C(=O)O[C@H]12)=C</t>
  </si>
  <si>
    <t>NCRIAOUYYVDSRN-CGHMMIGKSA-N</t>
  </si>
  <si>
    <t>C21H26O7</t>
  </si>
  <si>
    <t>14.27_279.2315m/z</t>
  </si>
  <si>
    <t>Pinolenic Acid</t>
  </si>
  <si>
    <t>LMFA01030344</t>
  </si>
  <si>
    <t>16833-54-8</t>
  </si>
  <si>
    <t>C(CCC/C=C\CC/C=C\C/C=C\CCCCC)(=O)O</t>
  </si>
  <si>
    <t>HXQHFNIKBKZGRP-URPRIDOGSA-N</t>
  </si>
  <si>
    <t>10.28_549.2326m/z</t>
  </si>
  <si>
    <t>3,7-Dihydroxy-4,5-Dimethoxy-8-Prenylflavan 7-O-Beta-D-Glucopyranoside</t>
  </si>
  <si>
    <t>LMPK12020215</t>
  </si>
  <si>
    <t>C1(O[C@H]2[C@H](O)[C@@H](O)[C@H](O)[C@@H](CO)O2)=C(C/C=C(\C)/C)C2O[C@H](C3C=CC(O)=CC=3)[C@@H](O)[C@@H](OC)C=2C(OC)=C1</t>
  </si>
  <si>
    <t>XNNDZBMILDKUOB-DPKALAFNSA-N</t>
  </si>
  <si>
    <t>12.21_311.2226m/z</t>
  </si>
  <si>
    <t>4-Hydroxynonenal</t>
  </si>
  <si>
    <t>HMDB0004362</t>
  </si>
  <si>
    <t>LMFA06000051</t>
  </si>
  <si>
    <t>75899-68-2</t>
  </si>
  <si>
    <t>C(CCCC(O)/C=C/C([H])=O)C</t>
  </si>
  <si>
    <t>JVJFIQYAHPMBBX-FNORWQNLSA-N</t>
  </si>
  <si>
    <t>11.40_447.2158m/z</t>
  </si>
  <si>
    <t>Dulciol B</t>
  </si>
  <si>
    <t>HMDB0029989</t>
  </si>
  <si>
    <t>175617-24-0</t>
  </si>
  <si>
    <t>CC(C)=CCC1=C(O)C(O)=C(CC=C(C)C)C2=C1OC1=C(C(O)=C(C=C1O)C(C)(C)C=C)C2=O</t>
  </si>
  <si>
    <t>CLXFLUDZZDAVOS-UHFFFAOYSA-N</t>
  </si>
  <si>
    <t>C28H32O6</t>
  </si>
  <si>
    <t>5.77_283.1515m/z</t>
  </si>
  <si>
    <t>3-(6-Aminopurin-9-Yl)-5-(Hydroxymethyl)Cyclopentane-1,2-Diol</t>
  </si>
  <si>
    <t>HMDB0244841</t>
  </si>
  <si>
    <t>NC1=C2N=CN(C3CC(CO)C(O)C3O)C2=NC=N1</t>
  </si>
  <si>
    <t>UGRNVLGKAGREKS-UHFFFAOYSA-N</t>
  </si>
  <si>
    <t>C11H15N5O3</t>
  </si>
  <si>
    <t>1.02_434.9883m/z</t>
  </si>
  <si>
    <t>Fosfosal</t>
  </si>
  <si>
    <t>HMDB0252467</t>
  </si>
  <si>
    <t>6064-83-1</t>
  </si>
  <si>
    <t>OC(=O)C1=CC=CC=C1OP(O)(O)=O</t>
  </si>
  <si>
    <t>FFKUDWZICMJVPA-UHFFFAOYSA-N</t>
  </si>
  <si>
    <t>C7H7O6P</t>
  </si>
  <si>
    <t>4.40_169.1222m/z</t>
  </si>
  <si>
    <t>10-Hydroxy-2e-Decenoic Acid</t>
  </si>
  <si>
    <t>LMFA01050157</t>
  </si>
  <si>
    <t>C(/C=C/CCCCCCCO)(=O)O</t>
  </si>
  <si>
    <t>QHBZHVUGQROELI-SOFGYWHQSA-N</t>
  </si>
  <si>
    <t>C10H18O3</t>
  </si>
  <si>
    <t>7.10_324.1952m/z</t>
  </si>
  <si>
    <t>Propafenone</t>
  </si>
  <si>
    <t>HMDB0015313</t>
  </si>
  <si>
    <t>C07381</t>
  </si>
  <si>
    <t>54063-53-5</t>
  </si>
  <si>
    <t>CCCNCC(O)COC1=CC=CC=C1C(=O)CCC1=CC=CC=C1</t>
  </si>
  <si>
    <t>JWHAUXFOSRPERK-UHFFFAOYSA-N</t>
  </si>
  <si>
    <t>C21H27NO3</t>
  </si>
  <si>
    <t>4.11_182.1177m/z</t>
  </si>
  <si>
    <t>2,4,6-Trimethylbenzoic Acid</t>
  </si>
  <si>
    <t>CC1=CC(=C(C(=C1)C)C(=O)O)C</t>
  </si>
  <si>
    <t>FFFIRKXTFQCCKJ-UHFFFAOYSA-N</t>
  </si>
  <si>
    <t>5.39_499.2163m/z</t>
  </si>
  <si>
    <t>Methaqualone</t>
  </si>
  <si>
    <t>HMDB0240285</t>
  </si>
  <si>
    <t>C07560</t>
  </si>
  <si>
    <t>72-44-6</t>
  </si>
  <si>
    <t>CC1=CC=CC=C1N1C(C)=NC2=CC=CC=C2C1=O</t>
  </si>
  <si>
    <t>JEYCTXHKTXCGPB-UHFFFAOYSA-N</t>
  </si>
  <si>
    <t>C16H14N2O</t>
  </si>
  <si>
    <t>4.58_859.4137m/z</t>
  </si>
  <si>
    <t>PGP(i-14:0/20:4(6E,8Z,11Z,14Z)+=O(5))</t>
  </si>
  <si>
    <t>HMDB0275039</t>
  </si>
  <si>
    <t>[H][C@](O)(COP(O)(O)=O)COP(O)(=O)OC[C@@]([H])(COC(=O)CCCCCCCCCCC(C)C)OC(=O)CCCC(=O)\C=C\C=C/C\C=C/C\C=C/CCCCC</t>
  </si>
  <si>
    <t>JQXGCGYGSKUCEG-KXAXRPOFSA-N</t>
  </si>
  <si>
    <t>C40H70O14P2</t>
  </si>
  <si>
    <t>9.94_335.2227m/z</t>
  </si>
  <si>
    <t>Androsterone</t>
  </si>
  <si>
    <t>HMDB0000031</t>
  </si>
  <si>
    <t>LMST02020001</t>
  </si>
  <si>
    <t>C00523</t>
  </si>
  <si>
    <t>53-41-8</t>
  </si>
  <si>
    <t>C1[C@@H](O)C[C@]2([H])CC[C@@]3([H])[C@]4([H])CCC(=O)[C@@]4(C)CC[C@]3([H])[C@@]2(C)C1</t>
  </si>
  <si>
    <t>QGXBDMJGAMFCBF-HLUDHZFRSA-N</t>
  </si>
  <si>
    <t>7.52_445.2580m/z</t>
  </si>
  <si>
    <t>Antibiotic Gr 95647x</t>
  </si>
  <si>
    <t>HMDB0033034</t>
  </si>
  <si>
    <t>CC(C)CC(C1=C(O)C(C=O)=C(O)C(C=O)=C1O)C1(C)CC2C3C(CC(O)C2C1)C3(C)C</t>
  </si>
  <si>
    <t>UYWXWYBEHLAUEW-UHFFFAOYSA-N</t>
  </si>
  <si>
    <t>C26H36O6</t>
  </si>
  <si>
    <t>12.47_374.3025m/z</t>
  </si>
  <si>
    <t>Anandamide (20:2, n-6)</t>
  </si>
  <si>
    <t>LMFA08040002</t>
  </si>
  <si>
    <t>C(C/C=C\C/C=C\CCCCC)CCCCCCCC(=O)NCCO</t>
  </si>
  <si>
    <t>MWQCBVWCBTUPDQ-HZJYTTRNSA-N</t>
  </si>
  <si>
    <t>C22H41NO2</t>
  </si>
  <si>
    <t>4.61_408.1508m/z</t>
  </si>
  <si>
    <t>Linustatin</t>
  </si>
  <si>
    <t>C08333</t>
  </si>
  <si>
    <t>72229-40-4</t>
  </si>
  <si>
    <t>CC(C)(C#N)OC1C(C(C(C(O1)COC2C(C(C(C(O2)CO)O)O)O)O)O)O</t>
  </si>
  <si>
    <t>FERSMFQBWVBKQK-CXTTVELOSA-N</t>
  </si>
  <si>
    <t>C16H27NO11</t>
  </si>
  <si>
    <t>6.48_319.2838m/z</t>
  </si>
  <si>
    <t>1-O-(2r-Hydroxy-Pentadecyl)-Sn-Glycerol</t>
  </si>
  <si>
    <t>LMGL01020062</t>
  </si>
  <si>
    <t>[C@](CO)([H])(O)COC[C@H](O)CCCCCCCCCCCCC</t>
  </si>
  <si>
    <t>XNBDVGMHTKTALN-MSOLQXFVSA-N</t>
  </si>
  <si>
    <t>C18H38O4</t>
  </si>
  <si>
    <t>6.18_779.2726m/z</t>
  </si>
  <si>
    <t>Regadenoson</t>
  </si>
  <si>
    <t>HMDB0257135</t>
  </si>
  <si>
    <t>CNC(=O)C1=CN(N=C1)C1=NC2=C(N=CN2C2OC(CO)C(O)C2O)C(N)=N1</t>
  </si>
  <si>
    <t>LZPZPHGJDAGEJZ-UHFFFAOYSA-N</t>
  </si>
  <si>
    <t>C15H18N8O5</t>
  </si>
  <si>
    <t>8.22_701.2137m/z</t>
  </si>
  <si>
    <t>Hydroxyitraconazole</t>
  </si>
  <si>
    <t>HMDB0061035</t>
  </si>
  <si>
    <t>112559-91-8</t>
  </si>
  <si>
    <t>CC(O)C(C)N1N=CN(C1=O)C1=CC=C(C=C1)N1CCN(CC1)C1=CC=C(OCC2COC(CN3C=NC=N3)(O2)C2=C(Cl)C=C(Cl)C=C2)C=C1</t>
  </si>
  <si>
    <t>ISJVOEOJQLKSJU-UHFFFAOYSA-N</t>
  </si>
  <si>
    <t>C35H38Cl2N8O5</t>
  </si>
  <si>
    <t>3.48_455.0282m/z</t>
  </si>
  <si>
    <t>6-Hydroxyluteolin 6,3'-Dimethyl Ether 7-Sulfate</t>
  </si>
  <si>
    <t>LMPK12111258</t>
  </si>
  <si>
    <t>C1(OS(=O)(O)=O)=CC2OC(C3C=C(OC)C(O)=CC=3)=CC(=O)C=2C(O)=C1OC</t>
  </si>
  <si>
    <t>ZZXVYRCXTONYML-UHFFFAOYSA-N</t>
  </si>
  <si>
    <t>C17H14O10S</t>
  </si>
  <si>
    <t>1.29_171.0626m/z</t>
  </si>
  <si>
    <t>8-Azaxanthine</t>
  </si>
  <si>
    <t>HMDB0247424</t>
  </si>
  <si>
    <t>OC1=NC2=C(N=NN2)C(O)=N1</t>
  </si>
  <si>
    <t>KVGVQTOQSNJTJI-UHFFFAOYSA-N</t>
  </si>
  <si>
    <t>C4H3N5O2</t>
  </si>
  <si>
    <t>9.71_501.2820m/z</t>
  </si>
  <si>
    <t>Dokdolipid A</t>
  </si>
  <si>
    <t>LMFA13030020</t>
  </si>
  <si>
    <t>O([C@H](CCCCCCCCCCCCC[C@H](O)C)CC(=O)O)[C@H]1[C@H](O)[C@H](O)[C@@H](O)[C@H](C)O1</t>
  </si>
  <si>
    <t>HBVOFRPVBQZAOZ-YCMGUTOWSA-N</t>
  </si>
  <si>
    <t>C24H46O8</t>
  </si>
  <si>
    <t>4.56_373.1288m/z</t>
  </si>
  <si>
    <t>Marmesin Rhamnoside</t>
  </si>
  <si>
    <t>HMDB0039564</t>
  </si>
  <si>
    <t>142347-99-7</t>
  </si>
  <si>
    <t>CC1OC(OC(C)(C)C2CC3=C(O2)C=C2OC(=O)C=CC2=C3)C(O)C(O)C1O</t>
  </si>
  <si>
    <t>HOSJGHRJSDQCPE-UHFFFAOYSA-N</t>
  </si>
  <si>
    <t>C20H24O8</t>
  </si>
  <si>
    <t>4.52_581.1868m/z</t>
  </si>
  <si>
    <t>Toyocamycin</t>
  </si>
  <si>
    <t>606-58-6</t>
  </si>
  <si>
    <t>C1=C(C2=C(N=CN=C2N1C3C(C(C(O3)CO)O)O)N)C#N</t>
  </si>
  <si>
    <t>XOKJUSAYZUAMGJ-WOUKDFQISA-N</t>
  </si>
  <si>
    <t>C12H13N5O4</t>
  </si>
  <si>
    <t>4.38_326.1958m/z</t>
  </si>
  <si>
    <t>Dec-4-Enedioylcarnitine</t>
  </si>
  <si>
    <t>HMDB0241082</t>
  </si>
  <si>
    <t>C[N+](C)(C)CC(CC([O-])=O)OC(=O)CCCCC=CCCC(O)=O</t>
  </si>
  <si>
    <t>INIDTRIANAYXBK-UHFFFAOYSA-N</t>
  </si>
  <si>
    <t>C17H29NO6</t>
  </si>
  <si>
    <t>3.99_833.1494m/z</t>
  </si>
  <si>
    <t>L-3-Aminobutyryl-Coa</t>
  </si>
  <si>
    <t>HMDB0012248</t>
  </si>
  <si>
    <t>C05117</t>
  </si>
  <si>
    <t>CC(N)CC(=O)SCCNC(=O)CCNC(=O)C(O)C(C)(C)COP(O)(=O)OP(O)(=O)OC[C@H]1O[C@H]([C@H](O)[C@@H]1OP(O)(O)=O)N1C=NC2=C1N=CN=C2N</t>
  </si>
  <si>
    <t>CCSDHAPTHIKZLY-LRJFFYKASA-N</t>
  </si>
  <si>
    <t>C25H43N8O17P3S</t>
  </si>
  <si>
    <t>5.32_246.1255n</t>
  </si>
  <si>
    <t>Loxoprofen</t>
  </si>
  <si>
    <t>HMDB0041920</t>
  </si>
  <si>
    <t>D08149</t>
  </si>
  <si>
    <t>80382-23-6</t>
  </si>
  <si>
    <t>CC(C(O)=O)C1=CC=C(CC2CCCC2=O)C=C1</t>
  </si>
  <si>
    <t>YMBXTVYHTMGZDW-UHFFFAOYSA-N</t>
  </si>
  <si>
    <t>C15H18O3</t>
  </si>
  <si>
    <t>1.06_217.0950n</t>
  </si>
  <si>
    <t>3-[(2-Oxoacetyl)Oxy]-4-(Trimethylazaniumyl)Butanoate</t>
  </si>
  <si>
    <t>HMDB0241791</t>
  </si>
  <si>
    <t>C[N+](C)(C)CC(CC([O-])=O)OC(=O)C=O</t>
  </si>
  <si>
    <t>PMHVEZKBYYNQIG-UHFFFAOYSA-N</t>
  </si>
  <si>
    <t>C9H15NO5</t>
  </si>
  <si>
    <t>10.11_539.0278m/z</t>
  </si>
  <si>
    <t>Nasutin A</t>
  </si>
  <si>
    <t>HMDB0255467</t>
  </si>
  <si>
    <t>OC1=CC2=C3C(=C1)C(=O)OC1=C3C(=CC(O)=C1)C(=O)O2</t>
  </si>
  <si>
    <t>HMANVBHOIJJXNQ-UHFFFAOYSA-N</t>
  </si>
  <si>
    <t>C14H6O6</t>
  </si>
  <si>
    <t>6.65_761.2611m/z</t>
  </si>
  <si>
    <t>Amoxicilloyl</t>
  </si>
  <si>
    <t>HMDB0248351</t>
  </si>
  <si>
    <t>CC(=O)C(NC(=O)C(N)C1=CC=C(O)C=C1)C1NC(C(O)=O)C(C)(C)S1</t>
  </si>
  <si>
    <t>BNIOMQSGDOYXMY-UHFFFAOYSA-N</t>
  </si>
  <si>
    <t>C17H23N3O5S</t>
  </si>
  <si>
    <t>11.25_375.3215m/z</t>
  </si>
  <si>
    <t>5-Methyldodecanoylcarnitine</t>
  </si>
  <si>
    <t>HMDB0240813</t>
  </si>
  <si>
    <t>CCCCCCCC(C)CCCC(=O)OC(CC([O-])=O)C[N+](C)(C)C</t>
  </si>
  <si>
    <t>JUUWYXYRZVVBGA-UHFFFAOYSA-N</t>
  </si>
  <si>
    <t>C20H39NO4</t>
  </si>
  <si>
    <t>2.09_474.2342m/z</t>
  </si>
  <si>
    <t>Melagatran</t>
  </si>
  <si>
    <t>HMDB0254416</t>
  </si>
  <si>
    <t>NC(=N)C1=CC=C(CNC(=O)C2CCN2C(=O)C(NCC(O)=O)C2CCCCC2)C=C1</t>
  </si>
  <si>
    <t>DKWNMCUOEDMMIN-UHFFFAOYSA-N</t>
  </si>
  <si>
    <t>C22H31N5O4</t>
  </si>
  <si>
    <t>11.79_457.3284m/z</t>
  </si>
  <si>
    <t>[16]-Gingerol</t>
  </si>
  <si>
    <t>HMDB0303092</t>
  </si>
  <si>
    <t>CCCCCCCCCCCCCCCC(O)CC(=O)CCC1=CC=C(O)C(OC)=C1</t>
  </si>
  <si>
    <t>PBVYYGQREMPCPL-UHFFFAOYSA-N</t>
  </si>
  <si>
    <t>5.01_457.1831m/z</t>
  </si>
  <si>
    <t>9-Keto Fluprostenol</t>
  </si>
  <si>
    <t>156406-33-6</t>
  </si>
  <si>
    <t>C1C(C(C(C1=O)CC=CCCCC(=O)O)C=CC(COC2=CC=CC(=C2)C(F)(F)F)O)O</t>
  </si>
  <si>
    <t>WWMXHYUXIKWXSR-AAHOZRAYSA-N</t>
  </si>
  <si>
    <t>C23H27F3O6</t>
  </si>
  <si>
    <t>7.94_650.3302m/z</t>
  </si>
  <si>
    <t>Pkooa-Ps</t>
  </si>
  <si>
    <t>LMGP20040006</t>
  </si>
  <si>
    <t>C(O)(=O)[C@@]([H])(N)COP(OC[C@]([H])(OC(CCCC(=O)/C=C/C(=O)[H])=O)COC(CCCCCCCCCCCCCCC)=O)(=O)O</t>
  </si>
  <si>
    <t>JPICCZKFIKMBKW-YKTDOQSASA-N</t>
  </si>
  <si>
    <t>C30H52NO12P</t>
  </si>
  <si>
    <t>10.33_509.0241m/z</t>
  </si>
  <si>
    <t>Phosfolan</t>
  </si>
  <si>
    <t>C19011</t>
  </si>
  <si>
    <t>947-02-4</t>
  </si>
  <si>
    <t>CCOP(=O)(N=C1SCCS1)OCC</t>
  </si>
  <si>
    <t>ILBONRFSLATCRE-UHFFFAOYSA-N</t>
  </si>
  <si>
    <t>C7H14NO3PS2</t>
  </si>
  <si>
    <t>0.62_301.0365m/z</t>
  </si>
  <si>
    <t>Risedronate</t>
  </si>
  <si>
    <t>HMDB0015022</t>
  </si>
  <si>
    <t>C08233</t>
  </si>
  <si>
    <t>105462-24-6</t>
  </si>
  <si>
    <t>OC(CC1=CN=CC=C1)(P(O)(O)=O)P(O)(O)=O</t>
  </si>
  <si>
    <t>IIDJRNMFWXDHID-UHFFFAOYSA-N</t>
  </si>
  <si>
    <t>C7H11NO7P2</t>
  </si>
  <si>
    <t>0.71_162.0519n</t>
  </si>
  <si>
    <t>D-1,5-Anhydrofructose</t>
  </si>
  <si>
    <t>HMDB0041561</t>
  </si>
  <si>
    <t>75414-43-6</t>
  </si>
  <si>
    <t>OCC1OCC(=O)C(O)C1O</t>
  </si>
  <si>
    <t>OCLOLUFOLJIQDC-UHFFFAOYSA-N</t>
  </si>
  <si>
    <t>Oxanes</t>
  </si>
  <si>
    <t>10.34_341.2110m/z</t>
  </si>
  <si>
    <t>Canrenone</t>
  </si>
  <si>
    <t>HMDB0003033</t>
  </si>
  <si>
    <t>976-71-6</t>
  </si>
  <si>
    <t>[H][C@@]12CC[C@@]3(CCC(=O)O3)[C@@]1(C)CC[C@@]1([H])[C@@]2([H])C=CC2=CC(=O)CC[C@]12C</t>
  </si>
  <si>
    <t>UJVLDDZCTMKXJK-WNHSNXHDSA-N</t>
  </si>
  <si>
    <t>6.10_559.1726m/z</t>
  </si>
  <si>
    <t>Divanillyltetrahydrofuran Ferulate</t>
  </si>
  <si>
    <t>HMDB0032730</t>
  </si>
  <si>
    <t>96917-11-2</t>
  </si>
  <si>
    <t>COC1=C(O)C=CC(CC2COCC2CC2=CC(OC)=C(OC(=O)\C=C\C3=CC(OC)=C(O)C=C3)C=C2)=C1</t>
  </si>
  <si>
    <t>WUMFMXNTYLFVSJ-YRNVUSSQSA-N</t>
  </si>
  <si>
    <t>C30H32O8</t>
  </si>
  <si>
    <t>4.45_249.1116m/z</t>
  </si>
  <si>
    <t>Pyridine-2-Azo-P-Dimethylaniline</t>
  </si>
  <si>
    <t>CN(C)C1=CC=C(C=C1)N=NC2=CC=CC=N2</t>
  </si>
  <si>
    <t>IOJNPSPGHUEJAQ-UHFFFAOYSA-N</t>
  </si>
  <si>
    <t>C13H14N4</t>
  </si>
  <si>
    <t>4.58_496.1940n</t>
  </si>
  <si>
    <t>(7r*,8r*)-3-Methoxy-3',4,7,9,9'-Pentahydroxy-8,4'-Oxyneolignan 4-Xyloside</t>
  </si>
  <si>
    <t>HMDB0040325</t>
  </si>
  <si>
    <t>62223-56-7</t>
  </si>
  <si>
    <t>COC1=C(OC2OCC(O)C(O)C2O)C=CC(=C1)C(O)C(CO)OC1=C(O)C=C(CCCO)C=C1</t>
  </si>
  <si>
    <t>XBHWAKRDNVCHEC-UHFFFAOYSA-N</t>
  </si>
  <si>
    <t>C24H32O11</t>
  </si>
  <si>
    <t>3.22_351.1290m/z</t>
  </si>
  <si>
    <t>2-Isopropyl-Malic Acid</t>
  </si>
  <si>
    <t>HMDB0000402</t>
  </si>
  <si>
    <t>LMFA01170083</t>
  </si>
  <si>
    <t>C02504</t>
  </si>
  <si>
    <t>ko00290,ko00620</t>
  </si>
  <si>
    <t>Valine, leucine and isoleucine biosynthesis|Pyruvate metabolism</t>
  </si>
  <si>
    <t>49601-06-1</t>
  </si>
  <si>
    <t>C(=O)(O)[C@](C(C)C)(O)CC(O)=O</t>
  </si>
  <si>
    <t>BITYXLXUCSKTJS-ZETCQYMHSA-N</t>
  </si>
  <si>
    <t>10.26_1191.6849m/z</t>
  </si>
  <si>
    <t>CL(8:0/8:0/16:0/18:2(9Z,11Z))</t>
  </si>
  <si>
    <t>HMDB0117181</t>
  </si>
  <si>
    <t>[H][C@](O)(COP(O)(=O)OC[C@@]([H])(COC(=O)CCCCCCC)OC(=O)CCCCCCC)COP(O)(=O)OC[C@@]([H])(COC(=O)CCCCCCCCCCCCCCC)OC(=O)CCCCCCC\C=C/C=C\CCCCCC</t>
  </si>
  <si>
    <t>UIWQKCPMQLRKSU-JMDGSTAKSA-N</t>
  </si>
  <si>
    <t>Glycerophosphoglycerophosphoglycerols</t>
  </si>
  <si>
    <t>C59H110O17P2</t>
  </si>
  <si>
    <t>5.23_271.1690m/z</t>
  </si>
  <si>
    <t>Cybutryne</t>
  </si>
  <si>
    <t>C10927</t>
  </si>
  <si>
    <t>28159-98-0</t>
  </si>
  <si>
    <t>CC(C)(C)NC1=NC(=NC(=N1)NC2CC2)SC</t>
  </si>
  <si>
    <t>HDHLIWCXDDZUFH-UHFFFAOYSA-N</t>
  </si>
  <si>
    <t>C11H19N5S</t>
  </si>
  <si>
    <t>1.06_228.0840m/z</t>
  </si>
  <si>
    <t>N-Methylcalystegine C1</t>
  </si>
  <si>
    <t>HMDB0036394</t>
  </si>
  <si>
    <t>197449-07-3</t>
  </si>
  <si>
    <t>CN1C2C(O)CC1(O)C(O)C(O)C2O</t>
  </si>
  <si>
    <t>XTMAEPUCHRMBTC-UHFFFAOYSA-N</t>
  </si>
  <si>
    <t>C8H15NO5</t>
  </si>
  <si>
    <t>5.75_523.1852m/z</t>
  </si>
  <si>
    <t>Dmaba Nhs Ester</t>
  </si>
  <si>
    <t>58068-85-2</t>
  </si>
  <si>
    <t>CN(C)C1=CC=C(C=C1)C(=O)ON2C(=O)CCC2=O</t>
  </si>
  <si>
    <t>FNGFZOAQGYOQTG-UHFFFAOYSA-N</t>
  </si>
  <si>
    <t>C13H14N2O4</t>
  </si>
  <si>
    <t>5.56_365.1591m/z</t>
  </si>
  <si>
    <t>W146</t>
  </si>
  <si>
    <t>CCCCCCC1=CC(=CC=C1)NC(=O)C(CCP(=O)(O)O)N</t>
  </si>
  <si>
    <t>FWJRVGZWNDOOFH-OAHLLOKOSA-N</t>
  </si>
  <si>
    <t>C16H27N2O4P</t>
  </si>
  <si>
    <t>1.79_286.0919m/z</t>
  </si>
  <si>
    <t>Gynocardin</t>
  </si>
  <si>
    <t>HMDB0029913</t>
  </si>
  <si>
    <t>C08331</t>
  </si>
  <si>
    <t>14332-17-3</t>
  </si>
  <si>
    <t>OCC1OC(OC2(C=CC(O)C2O)C#N)C(O)C(O)C1O</t>
  </si>
  <si>
    <t>HASDUOHKNMHNJA-UHFFFAOYSA-N</t>
  </si>
  <si>
    <t>C12H17NO8</t>
  </si>
  <si>
    <t>11.08_391.1867m/z</t>
  </si>
  <si>
    <t>Sepimostat</t>
  </si>
  <si>
    <t>HMDB0258240</t>
  </si>
  <si>
    <t>NC(=N)C1=CC2=C(C=C1)C=C(OC(=O)C1=CC=C(NC3=NCCN3)C=C1)C=C2</t>
  </si>
  <si>
    <t>QMRJOIUGPCVZPH-UHFFFAOYSA-N</t>
  </si>
  <si>
    <t>C21H19N5O2</t>
  </si>
  <si>
    <t>3.93_403.1364m/z</t>
  </si>
  <si>
    <t>Gibberellin A75</t>
  </si>
  <si>
    <t>HMDB0036893</t>
  </si>
  <si>
    <t>128712-77-6</t>
  </si>
  <si>
    <t>[H][C@@]12CC[C@]3(O)C[C@]1([C@H](O)C3=C)[C@@H](C(O)=O)[C@]1([H])[C@@]3(C)[C@@H](O)[C@@H](O)C[C@@]21OC3=O</t>
  </si>
  <si>
    <t>VCYXZJKAYAIMDV-ITKNPAOSSA-N</t>
  </si>
  <si>
    <t>5.06_521.1043m/z</t>
  </si>
  <si>
    <t>Cefoselis</t>
  </si>
  <si>
    <t>HMDB0259411</t>
  </si>
  <si>
    <t>CON=C(C(=O)NC1C2SCC(C[N+]3=CC=C(N)N3CCO)=C(N2C1=O)C([O-])=O)C1=CSC(N)=N1</t>
  </si>
  <si>
    <t>BHXLLRXDAYEMPP-UHFFFAOYSA-N</t>
  </si>
  <si>
    <t>C19H22N8O6S2</t>
  </si>
  <si>
    <t>3.60_535.1675m/z</t>
  </si>
  <si>
    <t>Cedazuridine</t>
  </si>
  <si>
    <t>HMDB0304872</t>
  </si>
  <si>
    <t>OC[C@H]1O[C@@H](N2CC[C@@H](O)NC2=O)C(F)(F)[C@@H]1O</t>
  </si>
  <si>
    <t>VUDZSIYXZUYWSC-DBRKOABJSA-N</t>
  </si>
  <si>
    <t>C9H14F2N2O5</t>
  </si>
  <si>
    <t>1.50_397.0750m/z</t>
  </si>
  <si>
    <t>7-Hydroxymethyl-12-Methylbenz[A]Anthracene Sulfate</t>
  </si>
  <si>
    <t>HMDB0060420</t>
  </si>
  <si>
    <t>C19562</t>
  </si>
  <si>
    <t>80733-96-6</t>
  </si>
  <si>
    <t>CC1=C2C3=CC=CC=C3C=CC2=C(COS(O)(=O)=O)C2=CC=CC=C12</t>
  </si>
  <si>
    <t>WYUDBEMLROEPHR-UHFFFAOYSA-N</t>
  </si>
  <si>
    <t>C20H16O4S</t>
  </si>
  <si>
    <t>12.97_255.2325m/z</t>
  </si>
  <si>
    <t>Palmitic Acid</t>
  </si>
  <si>
    <t>HMDB0000220</t>
  </si>
  <si>
    <t>LMFA01010001</t>
  </si>
  <si>
    <t>C00249</t>
  </si>
  <si>
    <t>ko00061,ko00062,ko00071,ko00073,ko01040</t>
  </si>
  <si>
    <t>Fatty acid biosynthesis|Fatty acid elongation|Fatty acid degradation|Cutin, suberine and wax biosynthesis|Biosynthesis of unsaturated fatty acids</t>
  </si>
  <si>
    <t>57-10-3</t>
  </si>
  <si>
    <t>OC(CCCCCCCCCCCCCCC)=O</t>
  </si>
  <si>
    <t>IPCSVZSSVZVIGE-UHFFFAOYSA-N</t>
  </si>
  <si>
    <t>C16H32O2</t>
  </si>
  <si>
    <t>2.46_252.9858m/z</t>
  </si>
  <si>
    <t>Uric Acid Oxalate</t>
  </si>
  <si>
    <t>HMDB0259720</t>
  </si>
  <si>
    <t>O=C1NC2=C(N1)C(=O)N1OC(=O)C(=O)ON2C1=O</t>
  </si>
  <si>
    <t>MVCXLXMFMRXXQS-UHFFFAOYSA-N</t>
  </si>
  <si>
    <t>C7H2N4O7</t>
  </si>
  <si>
    <t>9.16_230.1305n</t>
  </si>
  <si>
    <t>8,12-Epoxy-4(15),7,11-Eudesmatrien-1-One</t>
  </si>
  <si>
    <t>HMDB0033235</t>
  </si>
  <si>
    <t>220289-78-1</t>
  </si>
  <si>
    <t>CC1=COC2=C1CC1C(=C)CCC(=O)C1(C)C2</t>
  </si>
  <si>
    <t>AKNPMCISDQNRFC-UHFFFAOYSA-N</t>
  </si>
  <si>
    <t>C15H18O2</t>
  </si>
  <si>
    <t>11.66_853.4795m/z</t>
  </si>
  <si>
    <t>Valyl-Prolyl-Glycyl-Valyl-Glycine</t>
  </si>
  <si>
    <t>HMDB0259877</t>
  </si>
  <si>
    <t>CC(C)C(N)C(=O)N1CCCC1C(=O)NCC(=O)NC(C(C)C)C(=O)NCC(O)=O</t>
  </si>
  <si>
    <t>LFTRJWKKLPVMNE-UHFFFAOYSA-N</t>
  </si>
  <si>
    <t>C19H33N5O6</t>
  </si>
  <si>
    <t>5.17_370.1776n</t>
  </si>
  <si>
    <t>16-Phenoxy Tetranor Prostaglandin A2</t>
  </si>
  <si>
    <t>51639-10-2</t>
  </si>
  <si>
    <t>C1=CC=C(C=C1)OCC(C=CC2C=CC(=O)C2CC=CCCCC(=O)O)O</t>
  </si>
  <si>
    <t>CARGFWOXPNIAKB-AVZZWIIXSA-N</t>
  </si>
  <si>
    <t>2.83_354.0780m/z</t>
  </si>
  <si>
    <t>Glycodiazine</t>
  </si>
  <si>
    <t>HMDB0015461</t>
  </si>
  <si>
    <t>C12791</t>
  </si>
  <si>
    <t>339-44-6</t>
  </si>
  <si>
    <t>COCCOC1=CN=C(NS(=O)(=O)C2=CC=CC=C2)N=C1</t>
  </si>
  <si>
    <t>QFWPJPIVLCBXFJ-UHFFFAOYSA-N</t>
  </si>
  <si>
    <t>C13H15N3O4S</t>
  </si>
  <si>
    <t>4.33_180.1513n</t>
  </si>
  <si>
    <t>3,6,8-Dodecatrien-1-Ol</t>
  </si>
  <si>
    <t>LMFA05000058</t>
  </si>
  <si>
    <t>C(CC)/C=C/C=C/C/C=C/CCO</t>
  </si>
  <si>
    <t>KWVQYNPBWXUHHT-ZYXMWXIMSA-N</t>
  </si>
  <si>
    <t>6.65_463.1931m/z</t>
  </si>
  <si>
    <t>2,3-Diphenylpyrazine</t>
  </si>
  <si>
    <t>HMDB0032981</t>
  </si>
  <si>
    <t>1588-89-2</t>
  </si>
  <si>
    <t>C1=CC=C(C=C1)C1=C(N=CC=N1)C1=CC=CC=C1</t>
  </si>
  <si>
    <t>PTZIVVDMBCVSMR-UHFFFAOYSA-N</t>
  </si>
  <si>
    <t>C16H12N2</t>
  </si>
  <si>
    <t>4.19_363.3002m/z</t>
  </si>
  <si>
    <t>Anandamide (20:5, n-3)</t>
  </si>
  <si>
    <t>HMDB0013649</t>
  </si>
  <si>
    <t>LMFA08040008</t>
  </si>
  <si>
    <t>109001-03-8</t>
  </si>
  <si>
    <t>C(/C/C=C\C/C=C\C/C=C\CC)=C/C/C=C\CCCC(=O)NCCO</t>
  </si>
  <si>
    <t>OVKKNJPJQKTXIT-JLNKQSITSA-N</t>
  </si>
  <si>
    <t>C22H35NO2</t>
  </si>
  <si>
    <t>11.72_910.5348m/z</t>
  </si>
  <si>
    <t>PC(20:3(5Z,8Z,11Z)/22:6(5Z,7Z,10Z,13Z,16Z,19Z)-OH(4))</t>
  </si>
  <si>
    <t>HMDB0287319</t>
  </si>
  <si>
    <t>[H][C@@](COC(=O)CCC\C=C/C\C=C/C\C=C/CCCCCCCC)(COP([O-])(=O)OCC[N+](C)(C)C)OC(=O)CCC(O)\C=C/C=C\C\C=C/C\C=C/C\C=C/C\C=C/CC</t>
  </si>
  <si>
    <t>MQACZDACNVLDLU-YTSVJCGHSA-N</t>
  </si>
  <si>
    <t>C50H82NO9P</t>
  </si>
  <si>
    <t>6.27_345.1705m/z</t>
  </si>
  <si>
    <t>3,17-Dioxoandrost-4-En-19-Al</t>
  </si>
  <si>
    <t>LMST02020083</t>
  </si>
  <si>
    <t>C05297</t>
  </si>
  <si>
    <t>[C@]12(C)CC[C@@]3([H])[C@@]([H])(CCC4=CC(=O)CC[C@]34C=O)[C@]1([H])CCC2=O</t>
  </si>
  <si>
    <t>XRCFMDPVHKVRDJ-BGJMDTOESA-N</t>
  </si>
  <si>
    <t>4.76_511.2549m/z</t>
  </si>
  <si>
    <t>5-Alpha-Dihydrotestosterone Glucuronide</t>
  </si>
  <si>
    <t>HMDB0006203</t>
  </si>
  <si>
    <t>LMST05010041</t>
  </si>
  <si>
    <t>42037-24-1</t>
  </si>
  <si>
    <t>[C@]12(CC[C@@]3([H])CC(=O)CC[C@]3(C)[C@@]1([H])CC[C@]1(C)[C@@H](O[C@H]3[C@H](O)[C@@H](O)[C@H](O)[C@@H](C(O)=O)O3)CC[C@@]21[H])[H]</t>
  </si>
  <si>
    <t>CLQMBSSRTBUNDV-CPKOJWPQSA-N</t>
  </si>
  <si>
    <t>C25H38O8</t>
  </si>
  <si>
    <t>11.49_655.2094m/z</t>
  </si>
  <si>
    <t>Ptilosaponoside A</t>
  </si>
  <si>
    <t>LMST05050001</t>
  </si>
  <si>
    <t>C1[C@]2(CO)[C@@]3([H])CC[C@]4(C)[C@@]([H])(C=C)CC[C@@]4([H])[C@]3([H])CC[C@@]2([H])[C@@H](O[C@H]2[C@H](O)[C@@H](OS(=O)(=O)O)[C@H](O)[C@@H](CO)O2)[C@@H](OS(O)(=O)=O)C1</t>
  </si>
  <si>
    <t>WUJFWRYOPRJJBL-YFWYBDIGSA-N</t>
  </si>
  <si>
    <t>C27H44O14S2</t>
  </si>
  <si>
    <t>5.04_421.2373m/z</t>
  </si>
  <si>
    <t>(8alpha,10alpha,13alpha,17beta)-17-[(4-Hydroxyphenyl)Carbonyl]Androsta-3,5-Diene-3-Carboxylic Acid</t>
  </si>
  <si>
    <t>HMDB0243632</t>
  </si>
  <si>
    <t>CC12CCC3C(CC=C4C=C(CCC34C)C(O)=O)C1CCC2C(=O)C1=CC=C(O)C=C1</t>
  </si>
  <si>
    <t>RPNNXCYIESWDSC-UHFFFAOYSA-N</t>
  </si>
  <si>
    <t>Steroid acids</t>
  </si>
  <si>
    <t>C27H32O4</t>
  </si>
  <si>
    <t>0.67_145.1448m/z</t>
  </si>
  <si>
    <t>Homoagmatine</t>
  </si>
  <si>
    <t>HMDB0031505</t>
  </si>
  <si>
    <t>18431-52-2</t>
  </si>
  <si>
    <t>NCCCCCNC(N)=N</t>
  </si>
  <si>
    <t>XJHFHPPZQVRVHD-UHFFFAOYSA-N</t>
  </si>
  <si>
    <t>C6H16N4</t>
  </si>
  <si>
    <t>12.21_454.3884m/z</t>
  </si>
  <si>
    <t>5a-Cholestane-3a,7a,12a,25-Tetrol</t>
  </si>
  <si>
    <t>HMDB0000520</t>
  </si>
  <si>
    <t>60257-29-6</t>
  </si>
  <si>
    <t>[H][C@@]12CCC([C@H](C)CCCC(C)(C)O)[C@@]1(C)[C@@H](O)C[C@@]1([H])[C@@]2([H])[C@H](O)C[C@@]2([H])C[C@H](O)CC[C@]12C</t>
  </si>
  <si>
    <t>NTIXPPFPXLYJCT-SUGKMTRFSA-N</t>
  </si>
  <si>
    <t>C27H48O4</t>
  </si>
  <si>
    <t>4.83_488.3367m/z</t>
  </si>
  <si>
    <t>PG(O-16:0/0:0)</t>
  </si>
  <si>
    <t>LMGP04060003</t>
  </si>
  <si>
    <t>[C@]([H])(O)(COP(=O)(O)OC[C@@]([H])(O)CO)COCCCCCCCCCCCCCCCC</t>
  </si>
  <si>
    <t>NSJPSUNAUBAKMH-FCHUYYIVSA-N</t>
  </si>
  <si>
    <t>C22H47O8P</t>
  </si>
  <si>
    <t>1.65_250.1680n</t>
  </si>
  <si>
    <t>Naepaine</t>
  </si>
  <si>
    <t>HMDB0255417</t>
  </si>
  <si>
    <t>CCCCCNCCOC(=O)C1=CC=C(N)C=C1</t>
  </si>
  <si>
    <t>UYXHCVFXDBNRQW-UHFFFAOYSA-N</t>
  </si>
  <si>
    <t>C14H22N2O2</t>
  </si>
  <si>
    <t>5.82_529.2220m/z</t>
  </si>
  <si>
    <t>PA(2:0/PGE2)</t>
  </si>
  <si>
    <t>HMDB0266509</t>
  </si>
  <si>
    <t>CCCCC[C@H](O)\C=C\[C@H]1[C@H](O)CC(=O)[C@@H]1C\C=C/CCCC(=O)O[C@H](COC(C)=O)COP(O)(O)=O</t>
  </si>
  <si>
    <t>ZMVQOQCELPAVDB-SICLWOSGSA-N</t>
  </si>
  <si>
    <t>C25H41O11P</t>
  </si>
  <si>
    <t>6.11_196.0968m/z</t>
  </si>
  <si>
    <t>7-Methyl-2h-1,5-Benzodioxepin-3(4h)-One</t>
  </si>
  <si>
    <t>CC1=CC2=C(C=C1)OCC(=O)CO2</t>
  </si>
  <si>
    <t>SWUIQEBPZIHZQS-UHFFFAOYSA-N</t>
  </si>
  <si>
    <t>1.11_211.0455n</t>
  </si>
  <si>
    <t>Benzo[D][2,1]Benzothiazepine</t>
  </si>
  <si>
    <t>HMDB0258137</t>
  </si>
  <si>
    <t>S1C=C2C=CC=CC2=C2C=CC=CC2=N1</t>
  </si>
  <si>
    <t>RCZNTCRHZYKQIC-UHFFFAOYSA-N</t>
  </si>
  <si>
    <t>C13H9NS</t>
  </si>
  <si>
    <t>4.35_711.2468m/z</t>
  </si>
  <si>
    <t>Pulverulentoside I</t>
  </si>
  <si>
    <t>CC1C(C(C(C(O1)OC2C3C=COC(C3C4(C2O4)CO)OC5C(C(C(C(O5)CO)O)O)O)OC(=O)C=CC6=CC=C(C=C6)OC)OC(=O)C)O</t>
  </si>
  <si>
    <t>AUVKOEQGZIDTGI-KEDNVCTKSA-N</t>
  </si>
  <si>
    <t>C33H42O17</t>
  </si>
  <si>
    <t>4.78_457.2076m/z</t>
  </si>
  <si>
    <t>Abscisic Alcohol 11-Glucoside</t>
  </si>
  <si>
    <t>HMDB0039636</t>
  </si>
  <si>
    <t>145153-00-0</t>
  </si>
  <si>
    <t>C\C(=C/COC1OC(CO)C(O)C(O)C1O)\C=C\C1(O)C(C)=CC(=O)CC1(C)C</t>
  </si>
  <si>
    <t>PMGQCIZHFNQTAO-YTEPGLGFSA-N</t>
  </si>
  <si>
    <t>C21H32O8</t>
  </si>
  <si>
    <t>4.35_268.0941n</t>
  </si>
  <si>
    <t>9-(2-Aminopurin-9-Yl)Purin-2-Amine</t>
  </si>
  <si>
    <t>HMDB0260431</t>
  </si>
  <si>
    <t>NC1=NC=C2N=CN(N3C=NC4=CN=C(N)N=C34)C2=N1</t>
  </si>
  <si>
    <t>XHCSEMHPWIHPDQ-UHFFFAOYSA-N</t>
  </si>
  <si>
    <t>C10H8N10</t>
  </si>
  <si>
    <t>4.21_497.2388m/z</t>
  </si>
  <si>
    <t>Mtor-In-1</t>
  </si>
  <si>
    <t>HMDB0254939</t>
  </si>
  <si>
    <t>CCNC(=O)NC1=CC=C(C=C1)C1=NC2=C(CCN(C2)C2=NC=CC=N2)C(=N1)N1CCOCC1C</t>
  </si>
  <si>
    <t>WQBAZXIQANTUOY-UHFFFAOYSA-N</t>
  </si>
  <si>
    <t>C25H30N8O2</t>
  </si>
  <si>
    <t>0.72_176.0796n</t>
  </si>
  <si>
    <t>Alanylserine</t>
  </si>
  <si>
    <t>HMDB0028696</t>
  </si>
  <si>
    <t>3303-41-1</t>
  </si>
  <si>
    <t>C[C@H](N)C(=O)N[C@@H](CO)C(O)=O</t>
  </si>
  <si>
    <t>IPWKGIFRRBGCJO-IMJSIDKUSA-N</t>
  </si>
  <si>
    <t>C6H12N2O4</t>
  </si>
  <si>
    <t>5.84_484.2453n</t>
  </si>
  <si>
    <t>Biomed 101</t>
  </si>
  <si>
    <t>HMDB0257533</t>
  </si>
  <si>
    <t>CCCC1=C(OCCCOC2=C(CCC)C3=C(CCC(O3)C(O)=O)C=C2)C=CC(C(C)=O)=C1OC</t>
  </si>
  <si>
    <t>ZVVCSBSDFGYRCB-UHFFFAOYSA-N</t>
  </si>
  <si>
    <t>C28H36O7</t>
  </si>
  <si>
    <t>1.92_167.1178m/z</t>
  </si>
  <si>
    <t>2,3,6,7-Tetrahydrocyclopent[B]Azepin-8(1h)-One</t>
  </si>
  <si>
    <t>HMDB0039662</t>
  </si>
  <si>
    <t>97826-65-8</t>
  </si>
  <si>
    <t>O=C1CCC2=C1NCCC=C2</t>
  </si>
  <si>
    <t>HGKSXIDVUZUHNI-UHFFFAOYSA-N</t>
  </si>
  <si>
    <t>Azepines</t>
  </si>
  <si>
    <t>11.94_427.2452m/z</t>
  </si>
  <si>
    <t>MG(18:1(12Z)-2OH(9,10)/0:0/0:0)</t>
  </si>
  <si>
    <t>HMDB0260490</t>
  </si>
  <si>
    <t>CCCCC\C=C/C[C@@H](O)[C@H](O)CCCCCCCC(=O)OC[C@@H](O)CO</t>
  </si>
  <si>
    <t>RLKGCXCVPAYULW-QTZWXKQRSA-N</t>
  </si>
  <si>
    <t>C21H40O6</t>
  </si>
  <si>
    <t>7.17_346.1379n</t>
  </si>
  <si>
    <t>Mytilin B</t>
  </si>
  <si>
    <t>HMDB0033442</t>
  </si>
  <si>
    <t>70579-26-9</t>
  </si>
  <si>
    <t>[H][C@@](\N=C1\CC(O)(CO)CC(NCC(O)=O)=C1OC)([C@H](C)O)C(O)=O</t>
  </si>
  <si>
    <t>VIZAVBQHHMQOQF-KKUJBODISA-N</t>
  </si>
  <si>
    <t>C14H22N2O8</t>
  </si>
  <si>
    <t>1.24_312.0948m/z</t>
  </si>
  <si>
    <t>9-Arabinofuranosyladenine</t>
  </si>
  <si>
    <t>HMDB0247583</t>
  </si>
  <si>
    <t>NC1=C2N=CN(C3OC(CO)C(O)C3O)C2=NC=N1</t>
  </si>
  <si>
    <t>OIRDTQYFTABQOQ-UHFFFAOYSA-N</t>
  </si>
  <si>
    <t>5.17_775.3908m/z</t>
  </si>
  <si>
    <t>LPIM1(19:0/0:0)</t>
  </si>
  <si>
    <t>LMGP15040006</t>
  </si>
  <si>
    <t>[C@](COP(O[C@H]1[C@@H](O)[C@@H](O)[C@H](O)[C@@H](O)[C@@H]1O[C@@H]1[C@@H](O)[C@@H](O)[C@H](O)[C@@H](CO)O1)(=O)O)([H])(O)COC(CCCCCCCCCCCCCCCCCC)=O</t>
  </si>
  <si>
    <t>YQFBJYZEHWCSPG-MAKCWUSYSA-N</t>
  </si>
  <si>
    <t>C34H65O17P</t>
  </si>
  <si>
    <t>5.23_374.1726n</t>
  </si>
  <si>
    <t>Mammea B/Bc Cyclo E</t>
  </si>
  <si>
    <t>HMDB0030649</t>
  </si>
  <si>
    <t>30390-07-9</t>
  </si>
  <si>
    <t>CCCC(=O)C1=C2OC(C)(C)C(O)CC2=C(O)C2=C1OC(=O)C=C2CCC</t>
  </si>
  <si>
    <t>JKOPHYFSGRCMOF-UHFFFAOYSA-N</t>
  </si>
  <si>
    <t>5.10_434.2026m/z</t>
  </si>
  <si>
    <t>20-Oxo-Leukotriene E4</t>
  </si>
  <si>
    <t>HMDB0012642</t>
  </si>
  <si>
    <t>N[C@H](CS[C@H](\C=C\C=C\C=C/C\C=C/CCCCC=O)[C@@H](O)CCCC(O)=O)C(O)=O</t>
  </si>
  <si>
    <t>DXFWBOQUFGDWDP-HEZGWBLQSA-N</t>
  </si>
  <si>
    <t>C23H35NO6S</t>
  </si>
  <si>
    <t>4.65_435.2603m/z</t>
  </si>
  <si>
    <t>Cilazapril</t>
  </si>
  <si>
    <t>HMDB0015433</t>
  </si>
  <si>
    <t>C11693</t>
  </si>
  <si>
    <t>92077-78-6</t>
  </si>
  <si>
    <t>CCOC(=O)[C@H](CCC1=CC=CC=C1)N[C@H]1CCCN2CCC[C@H](N2C1=O)C(O)=O</t>
  </si>
  <si>
    <t>HHHKFGXWKKUNCY-FHWLQOOXSA-N</t>
  </si>
  <si>
    <t>C22H31N3O5</t>
  </si>
  <si>
    <t>0.55_117.1385m/z</t>
  </si>
  <si>
    <t>Cyclohexylamine</t>
  </si>
  <si>
    <t>HMDB0031404</t>
  </si>
  <si>
    <t>C00571</t>
  </si>
  <si>
    <t>108-91-8</t>
  </si>
  <si>
    <t>NC1CCCCC1</t>
  </si>
  <si>
    <t>PAFZNILMFXTMIY-UHFFFAOYSA-N</t>
  </si>
  <si>
    <t>C6H13N</t>
  </si>
  <si>
    <t>7.65_643.2751m/z</t>
  </si>
  <si>
    <t>2-Hydroxyphenylacetic Acid Glucuronide</t>
  </si>
  <si>
    <t>HMDB0240440</t>
  </si>
  <si>
    <t>[H][C@@]1(OC2=CC=CC=C2CC(O)=O)O[C@]([H])(C(O)=O)C([H])(C)[C@]([H])(C)C1([H])C</t>
  </si>
  <si>
    <t>MLBYCKGONSBJSK-IYJSFKGYSA-N</t>
  </si>
  <si>
    <t>C17H22O6</t>
  </si>
  <si>
    <t>8.24_553.2452m/z</t>
  </si>
  <si>
    <t>Argatroban</t>
  </si>
  <si>
    <t>C04931</t>
  </si>
  <si>
    <t>74863-84-6</t>
  </si>
  <si>
    <t>CC1CCN(C(C1)C(=O)O)C(=O)C(CCCN=C(N)N)NS(=O)(=O)C2=CC=CC3=C2NCC(C3)C</t>
  </si>
  <si>
    <t>KXNPVXPOPUZYGB-IOVMHBDKSA-N</t>
  </si>
  <si>
    <t>C23H36N6O5S</t>
  </si>
  <si>
    <t>10.49_717.3815m/z</t>
  </si>
  <si>
    <t>Neocasomorphin</t>
  </si>
  <si>
    <t>HMDB0060164</t>
  </si>
  <si>
    <t>444667-24-7</t>
  </si>
  <si>
    <t>CC[C@H](C)[C@H](NC(=O)[C@@H]1CCCN1C(=O)[C@H](CCC(O)=O)NC(=O)[C@@H](NC(=O)[C@@H]1CCCN1C(=O)[C@@H](N)CC1=CC=C(O)C=C1)C(C)C)C(O)=O</t>
  </si>
  <si>
    <t>OFSHRWCWYJBWJP-NMVUUJPQSA-N</t>
  </si>
  <si>
    <t>C35H52N6O10</t>
  </si>
  <si>
    <t>2.01_165.0546m/z</t>
  </si>
  <si>
    <t>Acetovanillone</t>
  </si>
  <si>
    <t>HMDB0247918</t>
  </si>
  <si>
    <t>C11380</t>
  </si>
  <si>
    <t>498-02-2</t>
  </si>
  <si>
    <t>COC1=CC(=CC=C1O)C(C)=O</t>
  </si>
  <si>
    <t>DFYRUELUNQRZTB-UHFFFAOYSA-N</t>
  </si>
  <si>
    <t>C9H10O3</t>
  </si>
  <si>
    <t>0.77_927.2813m/z</t>
  </si>
  <si>
    <t>Sibenadet</t>
  </si>
  <si>
    <t>HMDB0258285</t>
  </si>
  <si>
    <t>OC1=C2NC(=O)SC2=C(CCNCCS(=O)(=O)CCCOCCC2=CC=CC=C2)C=C1</t>
  </si>
  <si>
    <t>DBCKRBGYGMVSTI-UHFFFAOYSA-N</t>
  </si>
  <si>
    <t>C22H28N2O5S2</t>
  </si>
  <si>
    <t>1.06_146.0924m/z</t>
  </si>
  <si>
    <t>4-Guanidinobutanoic Acid</t>
  </si>
  <si>
    <t>HMDB0003464</t>
  </si>
  <si>
    <t>C01035</t>
  </si>
  <si>
    <t>463-00-3</t>
  </si>
  <si>
    <t>NC(=N)NCCCC(O)=O</t>
  </si>
  <si>
    <t>TUHVEAJXIMEOSA-UHFFFAOYSA-N</t>
  </si>
  <si>
    <t>C5H11N3O2</t>
  </si>
  <si>
    <t>10.84_481.2571m/z</t>
  </si>
  <si>
    <t>LysoPA(0:0/18:1(9Z))</t>
  </si>
  <si>
    <t>HMDB0007851</t>
  </si>
  <si>
    <t>CCCCCCCC\C=C/CCCCCCCC(=O)OC(CO)COP(O)(O)=O</t>
  </si>
  <si>
    <t>ZOOLJLSXNRZLDH-KTKRTIGZSA-N</t>
  </si>
  <si>
    <t>C21H41O7P</t>
  </si>
  <si>
    <t>4.98_543.3096m/z</t>
  </si>
  <si>
    <t>(1beta,2alpha,3alpha)-1,2,3,24-Tetrahydroxy-12-Oleanen-28-Oic Acid</t>
  </si>
  <si>
    <t>HMDB0035487</t>
  </si>
  <si>
    <t>254098-66-3</t>
  </si>
  <si>
    <t>CC1(C)CCC2(CCC3(C)C(=CCC4C5(C)C(O)C(O)C(O)C(C)(CO)C5CCC34C)C2C1)C(O)=O</t>
  </si>
  <si>
    <t>YOGUTEYZFFDORB-UHFFFAOYSA-N</t>
  </si>
  <si>
    <t>C30H48O6</t>
  </si>
  <si>
    <t>5.59_207.1238m/z</t>
  </si>
  <si>
    <t>N-Nitrosoanatabine</t>
  </si>
  <si>
    <t>HMDB0255199</t>
  </si>
  <si>
    <t>O=NN1CC=CCC1C1=CN=CC=C1</t>
  </si>
  <si>
    <t>ZJOFAFWTOKDIFH-UHFFFAOYSA-N</t>
  </si>
  <si>
    <t>C10H11N3O</t>
  </si>
  <si>
    <t>3.68_231.1702m/z</t>
  </si>
  <si>
    <t>N-Heptanoyl-Homoserine Lactone</t>
  </si>
  <si>
    <t>LMFA08030006</t>
  </si>
  <si>
    <t>C11844</t>
  </si>
  <si>
    <t>ko02024</t>
  </si>
  <si>
    <t>Quorum sensing</t>
  </si>
  <si>
    <t>177158-20-2</t>
  </si>
  <si>
    <t>[C@H]1(C(OCC1)=O)NC(=O)CCCCCC</t>
  </si>
  <si>
    <t>FTMZLSDESAOPSZ-VIFPVBQESA-N</t>
  </si>
  <si>
    <t>C11H19NO3</t>
  </si>
  <si>
    <t>3.48_583.1038m/z</t>
  </si>
  <si>
    <t>Endecaphyllin X</t>
  </si>
  <si>
    <t>19896-10-7</t>
  </si>
  <si>
    <t>C(C[N+](=O)[O-])C(=O)OCC1C(C(C(C(O1)O)OC(=O)CC[N+](=O)[O-])OC(=O)CC[N+](=O)[O-])OC(=O)CC[N+](=O)[O-]</t>
  </si>
  <si>
    <t>JMPKPWBLQUWFHQ-LUAGPVBASA-N</t>
  </si>
  <si>
    <t>C18H24N4O18</t>
  </si>
  <si>
    <t>2.20_481.1894m/z</t>
  </si>
  <si>
    <t>Rosuvastatin 5 S-Lactone</t>
  </si>
  <si>
    <t>HMDB0060941</t>
  </si>
  <si>
    <t>CC(C)C1=C(\C=C\[C@@H]2C[C@@H](O)CC(=O)O2)C(=NC(=N1)N(C)S(C)(=O)=O)C1=CC=C(F)C=C1</t>
  </si>
  <si>
    <t>SOEGVMSNJOCVHT-VEUZHWNKSA-N</t>
  </si>
  <si>
    <t>C22H26FN3O5S</t>
  </si>
  <si>
    <t>4.35_393.2242m/z</t>
  </si>
  <si>
    <t>Delta13-8-Isof</t>
  </si>
  <si>
    <t>LMFA03130001</t>
  </si>
  <si>
    <t>C(CCC/C=C\CC1C(O)CC(C(O)/C=C/C(O)CCCCC)O1)(=O)O</t>
  </si>
  <si>
    <t>IFTZQQRTNSLHOX-ZQDYKODVSA-N</t>
  </si>
  <si>
    <t>9.96_353.1618m/z</t>
  </si>
  <si>
    <t>Rhazidigenine Nb-Oxide</t>
  </si>
  <si>
    <t>HMDB0030263</t>
  </si>
  <si>
    <t>26066-43-3</t>
  </si>
  <si>
    <t>CCC12CCCN(=O)(C1)CCC1(O)C(CC2)=NC2=CC=CC=C12</t>
  </si>
  <si>
    <t>DJKWUXVCQNIASK-UHFFFAOYSA-N</t>
  </si>
  <si>
    <t>C19H26N2O2</t>
  </si>
  <si>
    <t>5.34_409.1058m/z</t>
  </si>
  <si>
    <t>Bumetanide</t>
  </si>
  <si>
    <t>HMDB0015024</t>
  </si>
  <si>
    <t>C06859</t>
  </si>
  <si>
    <t>28395-03-1</t>
  </si>
  <si>
    <t>CCCCNC1=C(OC2=CC=CC=C2)C(=CC(=C1)C(O)=O)S(N)(=O)=O</t>
  </si>
  <si>
    <t>MAEIEVLCKWDQJH-UHFFFAOYSA-N</t>
  </si>
  <si>
    <t>C17H20N2O5S</t>
  </si>
  <si>
    <t>1.33_233.1493m/z</t>
  </si>
  <si>
    <t>Propenoylcarnitine</t>
  </si>
  <si>
    <t>HMDB0013124</t>
  </si>
  <si>
    <t>LMFA07070104</t>
  </si>
  <si>
    <t>[C@H](C[N+](C)(C)C)(OC(=O)C=C)CC(=O)[O-]</t>
  </si>
  <si>
    <t>YUCNWOKTRWJLGY-QMMMGPOBSA-N</t>
  </si>
  <si>
    <t>C10H17NO4</t>
  </si>
  <si>
    <t>4.81_447.1294m/z</t>
  </si>
  <si>
    <t>Haematommic Acid, Ethyl Ester</t>
  </si>
  <si>
    <t>39503-14-5</t>
  </si>
  <si>
    <t>CCOC(=O)C1=C(C(=C(C=C1C)O)C=O)O</t>
  </si>
  <si>
    <t>HUXJGSHUVDWZAM-UHFFFAOYSA-N</t>
  </si>
  <si>
    <t>0.93_336.0375m/z</t>
  </si>
  <si>
    <t>6-(4-Fluorophenyl)-2,3-Dihydro-5-(4-Pyridinyl)Imidazo(2,1-B)Thiazole</t>
  </si>
  <si>
    <t>HMDB0258331</t>
  </si>
  <si>
    <t>FC1=CC=C(C=C1)C1=C(N2CCSC2=N1)C1=CC=NC=C1</t>
  </si>
  <si>
    <t>YOELZIQOLWZLQC-UHFFFAOYSA-N</t>
  </si>
  <si>
    <t>C16H12FN3S</t>
  </si>
  <si>
    <t>1.37_537.0861m/z</t>
  </si>
  <si>
    <t>Skyrin</t>
  </si>
  <si>
    <t>LMPK13040019</t>
  </si>
  <si>
    <t>C12C(O)=CC(O)=C(C3=C(C=C(O)C4C(=O)C5=C(C=C(C)C=C5O)C(=O)C=43)O)C=1C(=O)C1=C(C(O)=CC(C)=C1)C2=O</t>
  </si>
  <si>
    <t>MQSXZQXHIJMNAF-UHFFFAOYSA-N</t>
  </si>
  <si>
    <t>C30H18O10</t>
  </si>
  <si>
    <t>4.95_345.0743m/z</t>
  </si>
  <si>
    <t>Carboxytolbutamide</t>
  </si>
  <si>
    <t>HMDB0041849</t>
  </si>
  <si>
    <t>2224-10-4</t>
  </si>
  <si>
    <t>CCCCN=C(O)NS(=O)(=O)C1=CC=C(C=C1)C(O)=O</t>
  </si>
  <si>
    <t>GCMVATDSSHTCOS-UHFFFAOYSA-N</t>
  </si>
  <si>
    <t>C12H16N2O5S</t>
  </si>
  <si>
    <t>3.59_307.1290m/z</t>
  </si>
  <si>
    <t>DHAP(10:0)</t>
  </si>
  <si>
    <t>HMDB0011675</t>
  </si>
  <si>
    <t>CCCCCCCCCC(=O)OCC(=O)COP(O)(O)=O</t>
  </si>
  <si>
    <t>DWBYHKXQHTVKTE-UHFFFAOYSA-N</t>
  </si>
  <si>
    <t>C13H25O7P</t>
  </si>
  <si>
    <t>4.44_473.2027m/z</t>
  </si>
  <si>
    <t>Taraxacolide 1-O-B-D-Glucopyranoside</t>
  </si>
  <si>
    <t>HMDB0035610</t>
  </si>
  <si>
    <t>75911-12-5</t>
  </si>
  <si>
    <t>CC1C2CCC3(C)C(CC(=O)C(C)C3C2OC1=O)OC1OC(CO)C(O)C(O)C1O</t>
  </si>
  <si>
    <t>ZNBJBJUEJZNPLD-UHFFFAOYSA-N</t>
  </si>
  <si>
    <t>3.37_517.1560m/z</t>
  </si>
  <si>
    <t>B-D-Fructosyl-A-D-(6-O-(E))-Feruloylglucoside</t>
  </si>
  <si>
    <t>HMDB0029281</t>
  </si>
  <si>
    <t>OC[C@@H]1O[C@](CO)(O[C@H]2O[C@H](COC(=O)\C=C\C3=CC=CC=C3)[C@@H](O)[C@H](O)[C@H]2O)[C@H](O)[C@H]1O</t>
  </si>
  <si>
    <t>ASHAUBLELZYXKD-GASGSQLSSA-N</t>
  </si>
  <si>
    <t>C21H28O12</t>
  </si>
  <si>
    <t>1.06_173.0419m/z</t>
  </si>
  <si>
    <t>D-Ribose</t>
  </si>
  <si>
    <t>HMDB0000283</t>
  </si>
  <si>
    <t>C00121</t>
  </si>
  <si>
    <t>ko00030,ko02010,ko02030</t>
  </si>
  <si>
    <t>Pentose phosphate pathway|ABC transporters|Bacterial chemotaxis</t>
  </si>
  <si>
    <t>50-69-1</t>
  </si>
  <si>
    <t>SRBFZHDQGSBBOR-SOOFDHNKSA-N</t>
  </si>
  <si>
    <t>10.11_328.1179m/z</t>
  </si>
  <si>
    <t>Hoslundal</t>
  </si>
  <si>
    <t>LMPK12110172</t>
  </si>
  <si>
    <t>C1(OC)=CC2OC(C3C=CC=CC=3)=CC(=O)C=2C(O)=C1CC=O</t>
  </si>
  <si>
    <t>XGCZMWGDBJLFPV-UHFFFAOYSA-N</t>
  </si>
  <si>
    <t>C18H14O5</t>
  </si>
  <si>
    <t>3.86_265.1542m/z</t>
  </si>
  <si>
    <t>Vorinostat</t>
  </si>
  <si>
    <t>HMDB0015568</t>
  </si>
  <si>
    <t>149647-78-9</t>
  </si>
  <si>
    <t>ONC(=O)CCCCCCC(=O)NC1=CC=CC=C1</t>
  </si>
  <si>
    <t>WAEXFXRVDQXREF-UHFFFAOYSA-N</t>
  </si>
  <si>
    <t>C14H20N2O3</t>
  </si>
  <si>
    <t>0.78_409.0950m/z</t>
  </si>
  <si>
    <t>Benzoic Acid, 2-[[3-(2-Quinolinylmethoxy)Phenyl]Amino]-</t>
  </si>
  <si>
    <t>HMDB0258454</t>
  </si>
  <si>
    <t>OC(=O)C1=CC=CC=C1NC1=CC(OCC2=NC3=CC=CC=C3C=C2)=CC=C1</t>
  </si>
  <si>
    <t>LMPZHLXYBWGGNT-UHFFFAOYSA-N</t>
  </si>
  <si>
    <t>C23H18N2O3</t>
  </si>
  <si>
    <t>10.09_293.2355n</t>
  </si>
  <si>
    <t>2'-Hydroxy-N-(Isobutyl)-Tetradeca-2e,4e,8z-Trienamide</t>
  </si>
  <si>
    <t>LMFA08020322</t>
  </si>
  <si>
    <t>C(/C=C/C=C/CC/C=C\CCCCC)(=O)NCC(C)(C)O</t>
  </si>
  <si>
    <t>OMYRBCZBTQDJHF-RFYAXJIXSA-N</t>
  </si>
  <si>
    <t>C18H31NO2</t>
  </si>
  <si>
    <t>9.37_239.1284m/z</t>
  </si>
  <si>
    <t>Cucujolide Iv</t>
  </si>
  <si>
    <t>LMFA07040036</t>
  </si>
  <si>
    <t>C1(O[C@H](C)CCCC=CCC=CC1)=O</t>
  </si>
  <si>
    <t>FAMIQKMUIARKKU-GTHUGJSGSA-N</t>
  </si>
  <si>
    <t>1.66_273.0226m/z</t>
  </si>
  <si>
    <t>Serine Thiol</t>
  </si>
  <si>
    <t>HMDB0258249</t>
  </si>
  <si>
    <t>NC(CO)C(=O)OS</t>
  </si>
  <si>
    <t>WDYJQDSQUSHIQI-UHFFFAOYSA-N</t>
  </si>
  <si>
    <t>C3H7NO3S</t>
  </si>
  <si>
    <t>1.29_575.0690m/z</t>
  </si>
  <si>
    <t>Patuletin 3-Glucoside-7-Sulfate</t>
  </si>
  <si>
    <t>LMPK12112904</t>
  </si>
  <si>
    <t>C1(OS(=O)(=O)O)=CC2OC(C3C=C(O)C(O)=CC=3)=C(O[C@H]3[C@H](O)[C@@H](O)[C@H](O)[C@@H](CO)O3)C(=O)C=2C(O)=C1OC</t>
  </si>
  <si>
    <t>DMVNSIHCOCHGOK-OOVDEOTFSA-N</t>
  </si>
  <si>
    <t>C22H22O16S</t>
  </si>
  <si>
    <t>9.73_452.1832n</t>
  </si>
  <si>
    <t>Heteroartonin A</t>
  </si>
  <si>
    <t>HMDB0041323</t>
  </si>
  <si>
    <t>LMPK12110909</t>
  </si>
  <si>
    <t>170894-23-2</t>
  </si>
  <si>
    <t>C12C(=O)C(C/C=C(\C)/C)=C(C3C=C(O)C(OC)=C(C/C=C(\C)/C)C=3O)OC=1C=C(O)C=C2O</t>
  </si>
  <si>
    <t>ONBLHZQNAGITBB-UHFFFAOYSA-N</t>
  </si>
  <si>
    <t>C26H28O7</t>
  </si>
  <si>
    <t>0.92_190.0472m/z</t>
  </si>
  <si>
    <t>Glycerol 3-Phosphate</t>
  </si>
  <si>
    <t>HMDB0000126</t>
  </si>
  <si>
    <t>C00093</t>
  </si>
  <si>
    <t>ko00561,ko00564,ko02010,ko05231</t>
  </si>
  <si>
    <t>Glycerolipid metabolism|Glycerophospholipid metabolism|ABC transporters|Choline metabolism in cancer</t>
  </si>
  <si>
    <t>57-03-4</t>
  </si>
  <si>
    <t>OC[C@@H](O)COP(O)(O)=O</t>
  </si>
  <si>
    <t>AWUCVROLDVIAJX-GSVOUGTGSA-N</t>
  </si>
  <si>
    <t>C3H9O6P</t>
  </si>
  <si>
    <t>7.14_329.2331m/z</t>
  </si>
  <si>
    <t>16-Oxo-Heptadecanoic Acid</t>
  </si>
  <si>
    <t>LMFA01060107</t>
  </si>
  <si>
    <t>C(CCCCCCCCCCCCCCC(=O)C)(=O)O</t>
  </si>
  <si>
    <t>APFVJHNDSBIJTB-UHFFFAOYSA-N</t>
  </si>
  <si>
    <t>6.01_435.2596m/z</t>
  </si>
  <si>
    <t>Bhas#24</t>
  </si>
  <si>
    <t>LMFA13040049</t>
  </si>
  <si>
    <t>O([C@@H](CCCCCCCCC[C@@H](O)CC(=O)O)C)[C@H]1[C@H](O)C[C@@H](O)[C@H](C)O1</t>
  </si>
  <si>
    <t>UXIWWNCPRZIUAB-XGZVRMHOSA-N</t>
  </si>
  <si>
    <t>C20H38O7</t>
  </si>
  <si>
    <t>11.33_433.3310m/z</t>
  </si>
  <si>
    <t>3beta,5alpha,9alpha-Trihydroxycholest-7-En-6-One</t>
  </si>
  <si>
    <t>LMST01010258</t>
  </si>
  <si>
    <t>C1[C@@]2(C)[C@](C(=O)C=C3[C@]2(O)CC[C@@]2(C)[C@@]3([H])CC[C@]2([H])[C@@]([H])(CCCC(C)C)C)(O)C[C@@H](O)C1</t>
  </si>
  <si>
    <t>ZCLQYYLSPFQSHW-CFENXJPASA-N</t>
  </si>
  <si>
    <t>8.90_842.4314m/z</t>
  </si>
  <si>
    <t>Vincristine</t>
  </si>
  <si>
    <t>HMDB0014681</t>
  </si>
  <si>
    <t>C07204</t>
  </si>
  <si>
    <t>ko00901</t>
  </si>
  <si>
    <t>Indole alkaloid biosynthesis</t>
  </si>
  <si>
    <t>57-22-7</t>
  </si>
  <si>
    <t>[H][C@@]12N3CC[C@@]11C4=CC(=C(OC)C=C4N(C=O)[C@@]1([H])[C@](O)([C@H](OC(C)=O)[C@]2(CC)C=CC3)C(=O)OC)[C@]1(C[C@]2([H])CN(C[C@](O)(CC)C2)CCC2=C1NC1=CC=CC=C21)C(=O)OC</t>
  </si>
  <si>
    <t>OGWKCGZFUXNPDA-XQKSVPLYSA-N</t>
  </si>
  <si>
    <t>Vinca alkaloids</t>
  </si>
  <si>
    <t>C46H56N4O10</t>
  </si>
  <si>
    <t>8.76_287.2821n</t>
  </si>
  <si>
    <t>C17 Sphinganine</t>
  </si>
  <si>
    <t>LMSP01040003</t>
  </si>
  <si>
    <t>OC[C@]([H])(N)[C@]([H])(O)CCCCCCCCCCCCCC</t>
  </si>
  <si>
    <t>KFQUQCFJDMSIJF-DLBZAZTESA-N</t>
  </si>
  <si>
    <t>C17H37NO2</t>
  </si>
  <si>
    <t>4.85_471.3106m/z</t>
  </si>
  <si>
    <t>17,23-Epoxy-29-Hydroxy-27-Norlanost-8-Ene-3,15,24-Trione</t>
  </si>
  <si>
    <t>HMDB0035113</t>
  </si>
  <si>
    <t>CCC(=O)C1CC(C)C2(CC(=O)C3(C)C4=C(CCC23C)C2(C)CCC(=O)C(C)(CO)C2CC4)O1</t>
  </si>
  <si>
    <t>DVXXYXKKUSGEIB-UHFFFAOYSA-N</t>
  </si>
  <si>
    <t>C29H42O5</t>
  </si>
  <si>
    <t>1.06_335.0981m/z</t>
  </si>
  <si>
    <t>2,3-Diaminosalicylic Acid</t>
  </si>
  <si>
    <t>HMDB0013159</t>
  </si>
  <si>
    <t>NC1=CC=C(O)C(C(O)=O)=C1N</t>
  </si>
  <si>
    <t>CGKSFNAGRBJNJO-UHFFFAOYSA-N</t>
  </si>
  <si>
    <t>C7H8N2O3</t>
  </si>
  <si>
    <t>3.69_151.0389m/z</t>
  </si>
  <si>
    <t>3-Cresotinic Acid</t>
  </si>
  <si>
    <t>HMDB0002390</t>
  </si>
  <si>
    <t>C14088</t>
  </si>
  <si>
    <t>83-40-9</t>
  </si>
  <si>
    <t>CC1=C(O)C(=CC=C1)C(O)=O</t>
  </si>
  <si>
    <t>WHSXTWFYRGOBGO-UHFFFAOYSA-N</t>
  </si>
  <si>
    <t>12.16_259.2051m/z</t>
  </si>
  <si>
    <t>11e,17-Octadecadien-9-Ynoic Acid</t>
  </si>
  <si>
    <t>LMFA01031088</t>
  </si>
  <si>
    <t>C(CCCCCCCC#C/C=C/CCCCC=C)(=O)O</t>
  </si>
  <si>
    <t>PVLHKMGYBLUVEL-BQYQJAHWSA-N</t>
  </si>
  <si>
    <t>C18H28O2</t>
  </si>
  <si>
    <t>3.93_379.1399m/z</t>
  </si>
  <si>
    <t>6-Hydroxy-1h-Indole-3-Acetamide</t>
  </si>
  <si>
    <t>HMDB0031173</t>
  </si>
  <si>
    <t>192184-73-9</t>
  </si>
  <si>
    <t>NC(=O)CC1=CNC2=C1C=CC(O)=C2</t>
  </si>
  <si>
    <t>PGXXGODNTPWQHZ-UHFFFAOYSA-N</t>
  </si>
  <si>
    <t>Hydroxyindoles</t>
  </si>
  <si>
    <t>C10H10N2O2</t>
  </si>
  <si>
    <t>1.20_198.0736m/z</t>
  </si>
  <si>
    <t>2-Aminoheptanedioic Acid</t>
  </si>
  <si>
    <t>HMDB0034252</t>
  </si>
  <si>
    <t>3721-85-5</t>
  </si>
  <si>
    <t>NC(CCCCC(O)=O)C(O)=O</t>
  </si>
  <si>
    <t>JUQLUIFNNFIIKC-UHFFFAOYSA-N</t>
  </si>
  <si>
    <t>C7H13NO4</t>
  </si>
  <si>
    <t>0.78_226.1316n</t>
  </si>
  <si>
    <t>Pentobarbital</t>
  </si>
  <si>
    <t>HMDB0014457</t>
  </si>
  <si>
    <t>C07422</t>
  </si>
  <si>
    <t>76-74-4</t>
  </si>
  <si>
    <t>CCCC(C)C1(CC)C(=O)NC(=O)NC1=O</t>
  </si>
  <si>
    <t>WEXRUCMBJFQVBZ-UHFFFAOYSA-N</t>
  </si>
  <si>
    <t>C11H18N2O3</t>
  </si>
  <si>
    <t>9.71_476.1553m/z</t>
  </si>
  <si>
    <t>6''-O-Acetyldaidzin</t>
  </si>
  <si>
    <t>HMDB0030689</t>
  </si>
  <si>
    <t>71385-83-6</t>
  </si>
  <si>
    <t>CC(=O)OCC1OC(OC2=CC3=C(C=C2)C(=O)C(=CO3)C2=CC=C(O)C=C2)C(O)C(O)C1O</t>
  </si>
  <si>
    <t>ZMOZJTDOTOZVRT-UHFFFAOYSA-N</t>
  </si>
  <si>
    <t>C23H22O10</t>
  </si>
  <si>
    <t>8.53_288.2893m/z</t>
  </si>
  <si>
    <t>Margaric Acid</t>
  </si>
  <si>
    <t>HMDB0002259</t>
  </si>
  <si>
    <t>LMFA01010017</t>
  </si>
  <si>
    <t>506-12-7</t>
  </si>
  <si>
    <t>C(CCCCCCC)CCCCCCCCC(=O)O</t>
  </si>
  <si>
    <t>KEMQGTRYUADPNZ-UHFFFAOYSA-N</t>
  </si>
  <si>
    <t>C17H34O2</t>
  </si>
  <si>
    <t>4.56_295.1183m/z</t>
  </si>
  <si>
    <t>3,4-Dihydro-6-Hydroxy-2,5,7,8-Tetramethyl-2h-1-Benzopyran-2-Carboxylic Acid</t>
  </si>
  <si>
    <t>HMDB0038804</t>
  </si>
  <si>
    <t>56305-04-5</t>
  </si>
  <si>
    <t>CC1=C(O)C(C)=C2CCC(C)(OC2=C1C)C(O)=O</t>
  </si>
  <si>
    <t>GLEVLJDDWXEYCO-UHFFFAOYSA-N</t>
  </si>
  <si>
    <t>C14H18O4</t>
  </si>
  <si>
    <t>4.97_301.1193m/z</t>
  </si>
  <si>
    <t>2-Phenylglycine</t>
  </si>
  <si>
    <t>HMDB0002210</t>
  </si>
  <si>
    <t>2835-06-5</t>
  </si>
  <si>
    <t>NC(C(O)=O)C1=CC=CC=C1</t>
  </si>
  <si>
    <t>ZGUNAGUHMKGQNY-UHFFFAOYSA-N</t>
  </si>
  <si>
    <t>C8H9NO2</t>
  </si>
  <si>
    <t>11.01_679.2422m/z</t>
  </si>
  <si>
    <t>Pentacarboxylporphyrin I</t>
  </si>
  <si>
    <t>HMDB0000789</t>
  </si>
  <si>
    <t>28100-78-9</t>
  </si>
  <si>
    <t>CC1=C(CCC(O)=O)/C2=C/C3=C(CCC(O)=O)C(CC(O)=O)=C(N3)\C=C3/N=C(/C=C4\N=C(\C=C\1/N\2)C(C)=C4CCC(O)=O)C(C)=C3CCC(O)=O</t>
  </si>
  <si>
    <t>YDYIPLSPVWGSRD-TXUIXYGZSA-N</t>
  </si>
  <si>
    <t>C37H38N4O10</t>
  </si>
  <si>
    <t>4.51_271.0962m/z</t>
  </si>
  <si>
    <t>Dalbergione, 4-Methoxy-4'-Hydroxy-</t>
  </si>
  <si>
    <t>COC1=CC(=O)C(=CC1=O)C(C=C)C2=CC=C(C=C2)O</t>
  </si>
  <si>
    <t>DLCVFIMWFKVRTM-UHFFFAOYSA-N</t>
  </si>
  <si>
    <t>C16H14O4</t>
  </si>
  <si>
    <t>4.38_316.1673n</t>
  </si>
  <si>
    <t>Isopulegone Caffeate</t>
  </si>
  <si>
    <t>HMDB0029566</t>
  </si>
  <si>
    <t>179694-78-1</t>
  </si>
  <si>
    <t>CC(=C)C1CCC(COC(=O)\C=C\C2=CC(O)=C(O)C=C2)CC1</t>
  </si>
  <si>
    <t>SSVXLIRLGPMWSL-UXBLZVDNSA-N</t>
  </si>
  <si>
    <t>3.36_177.0425n</t>
  </si>
  <si>
    <t>Benzoxazine-6-Carboxylic Acid</t>
  </si>
  <si>
    <t>HMDB0249035</t>
  </si>
  <si>
    <t>OC(=O)C1=CC2=C(ONC=C2)C=C1</t>
  </si>
  <si>
    <t>XNIVKSPSCYJKBL-UHFFFAOYSA-N</t>
  </si>
  <si>
    <t>C9H7NO3</t>
  </si>
  <si>
    <t>9.16_290.1516n</t>
  </si>
  <si>
    <t>Laurenobiolide</t>
  </si>
  <si>
    <t>HMDB0036771</t>
  </si>
  <si>
    <t>C09492</t>
  </si>
  <si>
    <t>35001-25-3</t>
  </si>
  <si>
    <t>CC(=O)OC1\C=C(C)/CC\C=C(C)/CC2OC(=O)C(=C)C12</t>
  </si>
  <si>
    <t>ORJVLIMAQARNOU-ACBQZUGDSA-N</t>
  </si>
  <si>
    <t>12.36_563.5501m/z</t>
  </si>
  <si>
    <t>Dirithromycin</t>
  </si>
  <si>
    <t>62013-04-1</t>
  </si>
  <si>
    <t>CCC1C(C2C(C(C(CC(C(C(C(C(C(=O)O1)C)OC3CC(C(C(O3)C)O)(C)OC)C)OC4C(C(CC(O4)C)N(C)C)O)(C)O)C)NC(O2)COCCOC)C)(C)O</t>
  </si>
  <si>
    <t>WLOHNSSYAXHWNR-DWIOZXRMSA-N</t>
  </si>
  <si>
    <t>C39H72</t>
  </si>
  <si>
    <t>1.17_323.0982m/z</t>
  </si>
  <si>
    <t>Melibiose</t>
  </si>
  <si>
    <t>HMDB0000048</t>
  </si>
  <si>
    <t>13299-20-2</t>
  </si>
  <si>
    <t>OC[C@H]1O[C@H](OC[C@H]2O[C@H](O)[C@H](O)[C@@H](O)[C@@H]2O)[C@H](O)[C@@H](O)[C@H]1O</t>
  </si>
  <si>
    <t>DLRVVLDZNNYCBX-CQHUIXDMSA-N</t>
  </si>
  <si>
    <t>11.76_242.2476m/z</t>
  </si>
  <si>
    <t>(2r,5s,8r)-2,8-Dimethyl-5-Propan-2-Ylcyclodecan-1-One</t>
  </si>
  <si>
    <t>HMDB0257819</t>
  </si>
  <si>
    <t>CC(C)C1CCC(C)CCC(=O)C(C)CC1</t>
  </si>
  <si>
    <t>NNYHIVNQMWPBFK-UHFFFAOYSA-N</t>
  </si>
  <si>
    <t>0.87_327.0307m/z</t>
  </si>
  <si>
    <t>3,3'-Bisjuglone</t>
  </si>
  <si>
    <t>HMDB0033936</t>
  </si>
  <si>
    <t>61836-43-9</t>
  </si>
  <si>
    <t>OC1=CC=CC2=C1C(=O)C(=CC2=O)C1=CC(=O)C2=C(C(O)=CC=C2)C1=O</t>
  </si>
  <si>
    <t>YSWLZVWSHJYBPI-UHFFFAOYSA-N</t>
  </si>
  <si>
    <t>C20H10O6</t>
  </si>
  <si>
    <t>4.65_665.1700m/z</t>
  </si>
  <si>
    <t>Camellianin A</t>
  </si>
  <si>
    <t>HMDB0029908</t>
  </si>
  <si>
    <t>109232-77-1</t>
  </si>
  <si>
    <t>CC1OC(OC2C(COC(C)=O)OC(OC3=CC(O)=CC4=C3C(=O)C=C(O4)C3=CC=C(O)C=C3)C(O)C2O)C(O)C(O)C1O</t>
  </si>
  <si>
    <t>RHJULGLSOARXMO-UHFFFAOYSA-N</t>
  </si>
  <si>
    <t>C29H32O15</t>
  </si>
  <si>
    <t>3.82_970.2949m/z</t>
  </si>
  <si>
    <t>(2e)-Pentadecenoyl-Coa</t>
  </si>
  <si>
    <t>HMDB0062229</t>
  </si>
  <si>
    <t>CCCCCCCCCCCCC=CC(=O)SCCN=C(O)CCN=C(O)C(O)C(C)(C)COP(O)(=O)OP(O)(=O)OCC1OC(C(O)C1OP(O)(O)=O)N1C=NC2=C(N)N=CN=C12</t>
  </si>
  <si>
    <t>BUFWYEICGKLDLP-UHFFFAOYSA-N</t>
  </si>
  <si>
    <t>C36H62N7O17P3S</t>
  </si>
  <si>
    <t>6.30_400.2459n</t>
  </si>
  <si>
    <t>MG(5-iso PGF2VI/0:0/0:0)</t>
  </si>
  <si>
    <t>HMDB0260485</t>
  </si>
  <si>
    <t>CCCCC[C@@H](O)\C=C\[C@H]1[C@H](O)C[C@H](O)[C@H]1C\C=C/CC(=O)OC[C@@H](O)CO</t>
  </si>
  <si>
    <t>CVLKNXFZQALKRK-JHLMESGYSA-N</t>
  </si>
  <si>
    <t>C21H36O7</t>
  </si>
  <si>
    <t>1.11_298.0444m/z</t>
  </si>
  <si>
    <t>4-Amino-1-[(2r,3s,4s,5r)-3,4-Dihydroxy-5-(Hydroxymethyl)Oxolan-2-Yl]Oxypyrimidin-2-One</t>
  </si>
  <si>
    <t>HMDB0257637</t>
  </si>
  <si>
    <t>NC1=NC(=O)N(OC2OC(CO)C(O)C2O)C=C1</t>
  </si>
  <si>
    <t>QYVZUVDUGVPFFK-UHFFFAOYSA-N</t>
  </si>
  <si>
    <t>C9H13N3O6</t>
  </si>
  <si>
    <t>11.23_347.2192m/z</t>
  </si>
  <si>
    <t>Sunepitron</t>
  </si>
  <si>
    <t>HMDB0258627</t>
  </si>
  <si>
    <t>O=C1CCC(=O)N1CC1CCC2CN(CCN2C1)C1=NC=CC=N1</t>
  </si>
  <si>
    <t>UXWBIYCPUVWKHP-UHFFFAOYSA-N</t>
  </si>
  <si>
    <t>C17H23N5O2</t>
  </si>
  <si>
    <t>5.26_418.1262n</t>
  </si>
  <si>
    <t>Liquiritin</t>
  </si>
  <si>
    <t>C16989</t>
  </si>
  <si>
    <t>C1C(OC2=C(C1=O)C=CC(=C2)O)C3=CC=C(C=C3)OC4C(C(C(C(O4)CO)O)O)O</t>
  </si>
  <si>
    <t>DEMKZLAVQYISIA-ZRWXNEIDSA-N</t>
  </si>
  <si>
    <t>C21H22O9</t>
  </si>
  <si>
    <t>5.17_359.1848m/z</t>
  </si>
  <si>
    <t>1,3,7-Trimethyl-8-Nonylpurine-2,6-Dione</t>
  </si>
  <si>
    <t>HMDB0255344</t>
  </si>
  <si>
    <t>CCCCCCCCCC1=NC2=C(N1C)C(=O)N(C)C(=O)N2C</t>
  </si>
  <si>
    <t>LZDCTQSVDPHONT-UHFFFAOYSA-N</t>
  </si>
  <si>
    <t>C17H28N4O2</t>
  </si>
  <si>
    <t>8.35_597.2713m/z</t>
  </si>
  <si>
    <t>Hematoporphyrin Ix</t>
  </si>
  <si>
    <t>HMDB0000668</t>
  </si>
  <si>
    <t>14459-29-1</t>
  </si>
  <si>
    <t>CC(O)C1=C2NC(\C=C3/N\C(=C/C4=N/C(=C\C5=N\C(=C/2)\C(C)=C5C(C)O)/C(C)=C4CCC(O)=O)C(CCC(O)=O)=C3C)=C1C</t>
  </si>
  <si>
    <t>QXNKGOQXMZXHIB-AMPAVEGJSA-N</t>
  </si>
  <si>
    <t>C34H38N4O6</t>
  </si>
  <si>
    <t>3.63_622.1919m/z</t>
  </si>
  <si>
    <t>Malvidin 3-Rutinoside</t>
  </si>
  <si>
    <t>HMDB0041595</t>
  </si>
  <si>
    <t>39824-82-3</t>
  </si>
  <si>
    <t>COC1=CC(=CC(OC)=C1O)C1=C(OC2OC(COC3OC(C)C(O)C(O)C3O)C(O)C(O)C2O)C=C2C(O)=CC(O)=CC2=[O+]1</t>
  </si>
  <si>
    <t>YCDMGCUGMVVWAB-UHFFFAOYSA-O</t>
  </si>
  <si>
    <t>C29H35O16+</t>
  </si>
  <si>
    <t>6.65_222.9774m/z</t>
  </si>
  <si>
    <t>4-Thiodimethylarsenobutanoic Acid</t>
  </si>
  <si>
    <t>LMFA00000041</t>
  </si>
  <si>
    <t>C(CCC(O)=O)[As](C)(=S)C</t>
  </si>
  <si>
    <t>LPOQZCAOBCMROQ-UHFFFAOYSA-N</t>
  </si>
  <si>
    <t>C6H13AsO2S</t>
  </si>
  <si>
    <t>5.12_449.1076m/z</t>
  </si>
  <si>
    <t>Quercitrin</t>
  </si>
  <si>
    <t>HMDB0033751</t>
  </si>
  <si>
    <t>C01750</t>
  </si>
  <si>
    <t>522-12-3</t>
  </si>
  <si>
    <t>C[C@@H]1O[C@@H](OC2=C(OC3=CC(O)=CC(O)=C3C2=O)C2=CC(O)=C(O)C=C2)[C@H](O)[C@H](O)[C@H]1O</t>
  </si>
  <si>
    <t>OXGUCUVFOIWWQJ-HQBVPOQASA-N</t>
  </si>
  <si>
    <t>5.35_381.1694m/z</t>
  </si>
  <si>
    <t>Rislenemdaz</t>
  </si>
  <si>
    <t>HMDB0257242</t>
  </si>
  <si>
    <t>CC1=CC=C(COC(=O)N2CCC(CNC3=NC=CC=N3)C(F)C2)C=C1</t>
  </si>
  <si>
    <t>RECBFDWSXWAXHY-UHFFFAOYSA-N</t>
  </si>
  <si>
    <t>C19H23FN4O2</t>
  </si>
  <si>
    <t>1.26_144.1150n</t>
  </si>
  <si>
    <t>Tetrahydro-2,5-Dimethyl-2h-Pyranmethanol</t>
  </si>
  <si>
    <t>HMDB0061931</t>
  </si>
  <si>
    <t>CC1CCC(C)(CO)OC1</t>
  </si>
  <si>
    <t>BJQJGDGEKXRYBA-UHFFFAOYSA-N</t>
  </si>
  <si>
    <t>C8H16O2</t>
  </si>
  <si>
    <t>10.53_973.5133m/z</t>
  </si>
  <si>
    <t>PGP(a-21:0/PGJ2)</t>
  </si>
  <si>
    <t>HMDB0274609</t>
  </si>
  <si>
    <t>CCCCC[C@H](O)\C=C\[C@@H]1[C@@H](C\C=C/CCCC(=O)O[C@H](COC(=O)CCCCCCCCCCCCCCCCC(C)CC)COP(O)(=O)OC[C@@H](O)COP(O)(O)=O)C=CC1=O</t>
  </si>
  <si>
    <t>NWPJSCIHMSXQFZ-IVSCDTFESA-N</t>
  </si>
  <si>
    <t>C47H84O15P2</t>
  </si>
  <si>
    <t>9.93_411.0070m/z</t>
  </si>
  <si>
    <t>3-Oxalomalic Acid</t>
  </si>
  <si>
    <t>HMDB0245962</t>
  </si>
  <si>
    <t>C01990</t>
  </si>
  <si>
    <t>ko00630</t>
  </si>
  <si>
    <t>Glyoxylate and dicarboxylate metabolism</t>
  </si>
  <si>
    <t>OC(C(C(O)=O)C(=O)C(O)=O)C(O)=O</t>
  </si>
  <si>
    <t>YILAUJBAPQXZGM-UHFFFAOYSA-N</t>
  </si>
  <si>
    <t>C6H6O8</t>
  </si>
  <si>
    <t>3.48_349.1288m/z</t>
  </si>
  <si>
    <t>P-Hpea-Eda</t>
  </si>
  <si>
    <t>HMDB0029305</t>
  </si>
  <si>
    <t>[H]\C(C)=C(/C=O)C(CC=O)CC(=O)OCCC1=CC=C(O)C=C1</t>
  </si>
  <si>
    <t>VPOVFCBNUOUZGG-VVHNFQOZSA-N</t>
  </si>
  <si>
    <t>C17H20O5</t>
  </si>
  <si>
    <t>9.43_485.2159m/z</t>
  </si>
  <si>
    <t>Apadenoson</t>
  </si>
  <si>
    <t>HMDB0248502</t>
  </si>
  <si>
    <t>CCNC(=O)C1OC(C(O)C1O)N1C=NC2=C1N=C(N=C2N)C#CCC1CCC(CC1)C(=O)OC</t>
  </si>
  <si>
    <t>FLEVIENZILQUKB-UHFFFAOYSA-N</t>
  </si>
  <si>
    <t>C23H30N6O6</t>
  </si>
  <si>
    <t>5.19_325.0927m/z</t>
  </si>
  <si>
    <t>Pterin</t>
  </si>
  <si>
    <t>HMDB0000802</t>
  </si>
  <si>
    <t>C00715</t>
  </si>
  <si>
    <t>2236-60-4</t>
  </si>
  <si>
    <t>NC1=NC2=NC=CN=C2C(=O)N1</t>
  </si>
  <si>
    <t>HNXQXTQTPAJEJL-UHFFFAOYSA-N</t>
  </si>
  <si>
    <t>C6H5N5O</t>
  </si>
  <si>
    <t>3.75_373.1129m/z</t>
  </si>
  <si>
    <t>Caryoptosidic Acid</t>
  </si>
  <si>
    <t>HMDB0034249</t>
  </si>
  <si>
    <t>220271-92-1</t>
  </si>
  <si>
    <t>CC1(O)C(O)CC2C1C(OC1OC(CO)C(O)C(O)C1O)OC=C2C(O)=O</t>
  </si>
  <si>
    <t>WAXHVHOTAZULHY-UHFFFAOYSA-N</t>
  </si>
  <si>
    <t>C16H24O11</t>
  </si>
  <si>
    <t>1.33_212.0917m/z</t>
  </si>
  <si>
    <t>6-Maleimidocaproic Acid</t>
  </si>
  <si>
    <t>55750-53-3</t>
  </si>
  <si>
    <t>C1=CC(=O)N(C1=O)CCCCCC(=O)O</t>
  </si>
  <si>
    <t>WOJKKJKETHYEAC-UHFFFAOYSA-N</t>
  </si>
  <si>
    <t>1.33_260.1967m/z</t>
  </si>
  <si>
    <t>Isoleucyl-Lysine</t>
  </si>
  <si>
    <t>HMDB0028912</t>
  </si>
  <si>
    <t>CCC(C)C(N)C(=O)NC(CCCCN)C(O)=O</t>
  </si>
  <si>
    <t>UWBDLNOCIDGPQE-UHFFFAOYSA-N</t>
  </si>
  <si>
    <t>C12H25N3O3</t>
  </si>
  <si>
    <t>8.45_351.2140m/z</t>
  </si>
  <si>
    <t>Arginyl-Prolyl-Proline</t>
  </si>
  <si>
    <t>HMDB0249363</t>
  </si>
  <si>
    <t>NC(CCCN=C(N)N)C(=O)N1CCCC1C(=O)N1CCCC1C(O)=O</t>
  </si>
  <si>
    <t>YCYXHLZRUSJITQ-UHFFFAOYSA-N</t>
  </si>
  <si>
    <t>C16H28N6O4</t>
  </si>
  <si>
    <t>5.10_735.3064m/z</t>
  </si>
  <si>
    <t>N-Desmethyleletriptan</t>
  </si>
  <si>
    <t>HMDB0013919</t>
  </si>
  <si>
    <t>O=S(=O)(CCC1=CC2=C(NC=C2C[C@H]2CCCN2)C=C1)C1=CC=CC=C1</t>
  </si>
  <si>
    <t>HHTDENYTSCXDFO-GOSISDBHSA-N</t>
  </si>
  <si>
    <t>C21H24N2O2S</t>
  </si>
  <si>
    <t>10.49_753.3792m/z</t>
  </si>
  <si>
    <t>Cyclopassifloside Vii</t>
  </si>
  <si>
    <t>HMDB0036300</t>
  </si>
  <si>
    <t>301540-80-7</t>
  </si>
  <si>
    <t>CC(C)C(O)(CO)CCC(C)(O)C1C(O)CC2(C)C3CCC4C5(CC35CCC12C)C(O)CC(O)C4(C)C(=O)OC1OC(CO)C(O)C(O)C1O</t>
  </si>
  <si>
    <t>MOYBUGGNPKXCHY-UHFFFAOYSA-N</t>
  </si>
  <si>
    <t>C37H62O13</t>
  </si>
  <si>
    <t>5.47_501.1378m/z</t>
  </si>
  <si>
    <t>H-9</t>
  </si>
  <si>
    <t>C1=CC2=C(C=CN=C2)C(=C1)S(=O)(=O)NCCN</t>
  </si>
  <si>
    <t>DCVZSHVZGVWQKV-UHFFFAOYSA-N</t>
  </si>
  <si>
    <t>C11H13N3O2S</t>
  </si>
  <si>
    <t>5.39_761.2645m/z</t>
  </si>
  <si>
    <t>Mannich Bases</t>
  </si>
  <si>
    <t>HMDB0254325</t>
  </si>
  <si>
    <t>COC1=CC(CC2=CN=C(N=C3C(=O)N(CN4CCN(CC4)C4=C(F)C=C5C(=O)C(=CN(C6CC6)C5=C4)C(O)=O)C4=C3C=C(F)C=C4)N=C2N)=CC(OC)=C1OC</t>
  </si>
  <si>
    <t>RREANTFLPGEWEN-UHFFFAOYSA-N</t>
  </si>
  <si>
    <t>C40H38F2N8O7</t>
  </si>
  <si>
    <t>5.10_561.1960m/z</t>
  </si>
  <si>
    <t>8-Acetoxypinoresinol 4-Glucoside</t>
  </si>
  <si>
    <t>HMDB0033283</t>
  </si>
  <si>
    <t>COC1=C(O)C=CC(=C1)C1OCC2(OC(C)=O)C1COC2C1=CC(OC)=C(OC2OC(CO)C(O)C(O)C2O)C=C1</t>
  </si>
  <si>
    <t>ARPKCZZZMDEOIF-UHFFFAOYSA-N</t>
  </si>
  <si>
    <t>C28H34O13</t>
  </si>
  <si>
    <t>10.11_765.4066m/z</t>
  </si>
  <si>
    <t>Anagliptin</t>
  </si>
  <si>
    <t>HMDB0248378</t>
  </si>
  <si>
    <t>CC1=NN2C=C(C=NC2=C1)C(=O)NCC(C)(C)NCC(=O)N1CCCC1C#N</t>
  </si>
  <si>
    <t>LDXYBEHACFJIEL-UHFFFAOYSA-N</t>
  </si>
  <si>
    <t>C19H25N7O2</t>
  </si>
  <si>
    <t>1.69_276.0181m/z</t>
  </si>
  <si>
    <t>1-(2-Amino-3-Hydroxyphenyl)-Ethanone Sulfate</t>
  </si>
  <si>
    <t>HMDB0304931</t>
  </si>
  <si>
    <t>CC(=O)C1=C(N)C(OS(O)(=O)=O)=CC=C1</t>
  </si>
  <si>
    <t>VBVLVDWTWCPJFQ-UHFFFAOYSA-N</t>
  </si>
  <si>
    <t>C8H9NO5S</t>
  </si>
  <si>
    <t>4.76_623.2704m/z</t>
  </si>
  <si>
    <t>6,7-Dimethyl-2,3-Di-2-Pyridylquinoxaline</t>
  </si>
  <si>
    <t>HMDB0247112</t>
  </si>
  <si>
    <t>CC1=CC2=C(C=C1C)N=C(C1=CC=CC=N1)C(=N2)C1=CC=CC=N1</t>
  </si>
  <si>
    <t>NACXMBPTPBZQHY-UHFFFAOYSA-N</t>
  </si>
  <si>
    <t>C20H16N4</t>
  </si>
  <si>
    <t>10.33_333.2071m/z</t>
  </si>
  <si>
    <t>Dehydroepiandrosterone</t>
  </si>
  <si>
    <t>HMDB0000077</t>
  </si>
  <si>
    <t>LMST02020021</t>
  </si>
  <si>
    <t>C01227</t>
  </si>
  <si>
    <t>ko00140,ko00984,ko04913,ko05200,ko05215</t>
  </si>
  <si>
    <t>Steroid hormone biosynthesis|Steroid degradation|Ovarian steroidogenesis|Pathways in cancer|Prostate cancer</t>
  </si>
  <si>
    <t>53-43-0</t>
  </si>
  <si>
    <t>C1[C@]2(C)[C@@]3([H])CC[C@]4(C)C(=O)CC[C@@]4([H])[C@]3([H])CC=C2C[C@@H](O)C1</t>
  </si>
  <si>
    <t>FMGSKLZLMKYGDP-USOAJAOKSA-N</t>
  </si>
  <si>
    <t>C19H28O2</t>
  </si>
  <si>
    <t>2.54_405.0414m/z</t>
  </si>
  <si>
    <t>Cystathionine Ketimine</t>
  </si>
  <si>
    <t>HMDB0002015</t>
  </si>
  <si>
    <t>87254-95-3</t>
  </si>
  <si>
    <t>OC(=O)[C@H]1CCSCC(=N1)C(O)=O</t>
  </si>
  <si>
    <t>XJUQJVUYGRTQGI-SCSAIBSYSA-N</t>
  </si>
  <si>
    <t>C7H9NO4S</t>
  </si>
  <si>
    <t>0.65_202.9972m/z</t>
  </si>
  <si>
    <t>Lumazine</t>
  </si>
  <si>
    <t>HMDB0254198</t>
  </si>
  <si>
    <t>C03212</t>
  </si>
  <si>
    <t>487-21-8</t>
  </si>
  <si>
    <t>O=C1NC(=O)C2=NC=CNC2=N1</t>
  </si>
  <si>
    <t>UYEUUXMDVNYCAM-UHFFFAOYSA-N</t>
  </si>
  <si>
    <t>C6H4N4O2</t>
  </si>
  <si>
    <t>4.58_347.1486m/z</t>
  </si>
  <si>
    <t>Gibberellin A85</t>
  </si>
  <si>
    <t>HMDB0303670</t>
  </si>
  <si>
    <t>CC12C3C(C(O)=O)C45CC(=C)C(O)(C4)C(O)CC5C3(CCC1O)OC2=O</t>
  </si>
  <si>
    <t>SLQZHTBESWFEAE-UHFFFAOYSA-N</t>
  </si>
  <si>
    <t>C19H24O7</t>
  </si>
  <si>
    <t>2.01_266.0563m/z</t>
  </si>
  <si>
    <t>2,5-Dioxopyrrolidin-1-Yl Quinolin-6-Ylcarbamate</t>
  </si>
  <si>
    <t>HMDB0244656</t>
  </si>
  <si>
    <t>O=C(NC1=CC2=C(C=C1)N=CC=C2)ON1C(=O)CCC1=O</t>
  </si>
  <si>
    <t>LINZYZMEBMKKIT-UHFFFAOYSA-N</t>
  </si>
  <si>
    <t>C14H11N3O4</t>
  </si>
  <si>
    <t>1.04_343.1242m/z</t>
  </si>
  <si>
    <t>Melibiitol</t>
  </si>
  <si>
    <t>HMDB0006791</t>
  </si>
  <si>
    <t>C05399</t>
  </si>
  <si>
    <t>ko00052</t>
  </si>
  <si>
    <t>Galactose metabolism</t>
  </si>
  <si>
    <t>497-83-6</t>
  </si>
  <si>
    <t>OC[C@@H](O)[C@@H](O)[C@H](O)[C@@H](O)COC[C@H]1O[C@H](O)[C@H](O)[C@@H](O)[C@H]1O</t>
  </si>
  <si>
    <t>PYZZIILDSAJNLZ-QZNPSGCDSA-N</t>
  </si>
  <si>
    <t>C12H24O11</t>
  </si>
  <si>
    <t>4.54_315.1233m/z</t>
  </si>
  <si>
    <t>7-Hydroxy-5-Methoxy-6-Methylflavan</t>
  </si>
  <si>
    <t>LMPK12020257</t>
  </si>
  <si>
    <t>C1(O)=CC2O[C@H](C3C=CC=CC=3)CCC=2C(OC)=C1C</t>
  </si>
  <si>
    <t>PZRKAAPKQGONFG-HNNXBMFYSA-N</t>
  </si>
  <si>
    <t>7.48_512.3371m/z</t>
  </si>
  <si>
    <t>Milbemycin Beta3</t>
  </si>
  <si>
    <t>HMDB0254729</t>
  </si>
  <si>
    <t>CC1CCC2(CC3CC(CC=C(C)CC(C)C=CC=C(C)C4=CC(O)=C(C)C=C4C(=O)O3)O2)OC1C</t>
  </si>
  <si>
    <t>PPMBESPRWFQXDF-UHFFFAOYSA-N</t>
  </si>
  <si>
    <t>C31H42O5</t>
  </si>
  <si>
    <t>8.91_298.2526m/z</t>
  </si>
  <si>
    <t>Piperidine, 1-(4-(1-Methyl-1-(4-Methylcyclohexyl)Ethoxy)Phenyl)-, Cis-</t>
  </si>
  <si>
    <t>HMDB0259955</t>
  </si>
  <si>
    <t>CC1CCC(CC1)C(C)(C)OC1=CC=C(C=C1)N1CCCCC1</t>
  </si>
  <si>
    <t>HVXJILXIZHJUAE-UHFFFAOYSA-N</t>
  </si>
  <si>
    <t>C21H33NO</t>
  </si>
  <si>
    <t>1.71_321.0746m/z</t>
  </si>
  <si>
    <t>1-[(3r,4r,5r)-3-Fluoro-3,4-Dihydroxy-5-(1-Hydroxyethyl)Oxolan-2-Yl]Pyrimidine-2,4-Dione</t>
  </si>
  <si>
    <t>HMDB0257564</t>
  </si>
  <si>
    <t>CC(O)C1OC(N2C=CC(=O)NC2=O)C(O)(F)C1O</t>
  </si>
  <si>
    <t>AAMQKKOFDRAULR-UHFFFAOYSA-N</t>
  </si>
  <si>
    <t>C10H13FN2O6</t>
  </si>
  <si>
    <t>9.82_444.2303n</t>
  </si>
  <si>
    <t>Desmethylastemizole</t>
  </si>
  <si>
    <t>HMDB0061013</t>
  </si>
  <si>
    <t>73736-50-2</t>
  </si>
  <si>
    <t>OC1=CC=C(CCN2CCC(CC2)NC2=NC3=CC=CC=C3N2CC2=CC=C(F)C=C2)C=C1</t>
  </si>
  <si>
    <t>LAGYWHSFHIMTPE-UHFFFAOYSA-N</t>
  </si>
  <si>
    <t>C27H29FN4O</t>
  </si>
  <si>
    <t>4.65_107.0854m/z</t>
  </si>
  <si>
    <t>M-Xylene</t>
  </si>
  <si>
    <t>HMDB0059810</t>
  </si>
  <si>
    <t>C07208</t>
  </si>
  <si>
    <t>ko00622</t>
  </si>
  <si>
    <t>Xylene degradation</t>
  </si>
  <si>
    <t>108-38-3</t>
  </si>
  <si>
    <t>CC1=CC(C)=CC=C1</t>
  </si>
  <si>
    <t>IVSZLXZYQVIEFR-UHFFFAOYSA-N</t>
  </si>
  <si>
    <t>Xylenes</t>
  </si>
  <si>
    <t>C8H10</t>
  </si>
  <si>
    <t>1.09_371.0095m/z</t>
  </si>
  <si>
    <t>1,2-Benzisothiazole-2(3h)-Acetamide, N-(4-Hydroxyphenyl)-3-Oxo-, 1,1-Dioxide</t>
  </si>
  <si>
    <t>HMDB0258182</t>
  </si>
  <si>
    <t>OC1=CC=C(NC(=O)CN2C(=O)C3=CC=CC=C3S2(=O)=O)C=C1</t>
  </si>
  <si>
    <t>PUPNJSIFIXXJCH-UHFFFAOYSA-N</t>
  </si>
  <si>
    <t>C15H12N2O5S</t>
  </si>
  <si>
    <t>7.93_721.3651m/z</t>
  </si>
  <si>
    <t>(S)-Nerolidol 3-O-[A-L-Rhamnopyranosyl-(1-&gt;4)-A-L-Rhamnopyranosyl-(1-&gt;2)-B-D-Glucopyranoside]</t>
  </si>
  <si>
    <t>HMDB0040845</t>
  </si>
  <si>
    <t>CC1OC(OC2C(C)OC(OC3C(O)C(O)C(CO)OC3OC(C)(CC\C=C(/C)CCC=C(C)C)C=C)C(O)C2O)C(O)C(O)C1O</t>
  </si>
  <si>
    <t>NLQYAUOYHNMEPR-GHRIWEEISA-N</t>
  </si>
  <si>
    <t>5.77_669.2133m/z</t>
  </si>
  <si>
    <t>Benfluralin</t>
  </si>
  <si>
    <t>HMDB0248950</t>
  </si>
  <si>
    <t>1861-40-1</t>
  </si>
  <si>
    <t>[H]C1=C(C(N(C([H])([H])C([H])([H])[H])C([H])([H])C([H])([H])C([H])([H])C([H])([H])[H])=C(C([H])=C1C(F)(F)F)[N+]([O-])=O)[N+]([O-])=O</t>
  </si>
  <si>
    <t>SMDHCQAYESWHAE-UHFFFAOYSA-N</t>
  </si>
  <si>
    <t>C13H16F3N3O4</t>
  </si>
  <si>
    <t>11.73_354.2999m/z</t>
  </si>
  <si>
    <t>Pregnanetriol</t>
  </si>
  <si>
    <t>HMDB0006070</t>
  </si>
  <si>
    <t>27178-64-9</t>
  </si>
  <si>
    <t>[H][C@@]12CC[C@](O)(C(C)O)[C@@]1(C)CC[C@@]1([H])[C@@]2([H])CC[C@]2([H])C[C@H](O)CC[C@]12C</t>
  </si>
  <si>
    <t>SCPADBBISMMJAW-HWPIAJDMSA-N</t>
  </si>
  <si>
    <t>3.88_161.0231m/z</t>
  </si>
  <si>
    <t>3 Hydroxycoumarin</t>
  </si>
  <si>
    <t>HMDB0002149</t>
  </si>
  <si>
    <t>939-19-5</t>
  </si>
  <si>
    <t>OC1=CC2=CC=CC=C2OC1=O</t>
  </si>
  <si>
    <t>MJKVTPMWOKAVMS-UHFFFAOYSA-N</t>
  </si>
  <si>
    <t>C9H6O3</t>
  </si>
  <si>
    <t>15.33_988.6910m/z</t>
  </si>
  <si>
    <t>Galalpha1-6Glcbeta-Cer(t17:0/22:0(2OH[R])</t>
  </si>
  <si>
    <t>LMSP05000002</t>
  </si>
  <si>
    <t>[C@](CO[C@H]1[C@H](O)[C@@H](O)[C@H](O)[C@@H](CO[C@@H]2[C@H](O)[C@@H](O)[C@@H](O)[C@@H](CO)O2)O1)([H])(NC([C@H](O)CCCCCCCCCCCCCCCCCCCC)=O)[C@]([H])(O)[C@H](O)CCCCCCCCCCCCC</t>
  </si>
  <si>
    <t>XICBEBCRFYKDKB-DKNKIMLOSA-N</t>
  </si>
  <si>
    <t>C51H99NO15</t>
  </si>
  <si>
    <t>0.73_272.0873m/z</t>
  </si>
  <si>
    <t>1-Iodononane</t>
  </si>
  <si>
    <t>HMDB0243908</t>
  </si>
  <si>
    <t>CCCCCCCCCI</t>
  </si>
  <si>
    <t>OGSJMFCWOUHXHN-UHFFFAOYSA-N</t>
  </si>
  <si>
    <t>C9H19I</t>
  </si>
  <si>
    <t>3.69_643.1072m/z</t>
  </si>
  <si>
    <t>Fusaroskyrin</t>
  </si>
  <si>
    <t>HMDB0034314</t>
  </si>
  <si>
    <t>COC1=C(C2=C(C(O)=C1)C(=O)C1=C(O)C=C(C)C(O)=C1C2=O)C1=C(OC)C=C(O)C2=C1C(=O)C1=C(O)C(C)=CC(O)=C1C2=O</t>
  </si>
  <si>
    <t>KWJYPXPZYJXQFD-UHFFFAOYSA-N</t>
  </si>
  <si>
    <t>C32H22O12</t>
  </si>
  <si>
    <t>0.55_211.0038m/z</t>
  </si>
  <si>
    <t>P-Cresol Sulfate</t>
  </si>
  <si>
    <t>HMDB0011635</t>
  </si>
  <si>
    <t>C06677</t>
  </si>
  <si>
    <t>ko00623</t>
  </si>
  <si>
    <t>Toluene degradation</t>
  </si>
  <si>
    <t>3233-58-7</t>
  </si>
  <si>
    <t>CC1=CC=C(OS(O)(=O)=O)C=C1</t>
  </si>
  <si>
    <t>WGNAKZGUSRVWRH-UHFFFAOYSA-N</t>
  </si>
  <si>
    <t>C7H8O4S</t>
  </si>
  <si>
    <t>10.16_632.3179m/z</t>
  </si>
  <si>
    <t>Retaspimycin</t>
  </si>
  <si>
    <t>HMDB0257169</t>
  </si>
  <si>
    <t>COC1CC(C)CC2=C(O)C(NC(=O)C(C)=CC=CC(OC)C(OC(N)=O)C(C)=CC(C)C1O)=CC(O)=C2NCC=C</t>
  </si>
  <si>
    <t>OAKGNIRUXAZDQF-UHFFFAOYSA-N</t>
  </si>
  <si>
    <t>C31H45N3O8</t>
  </si>
  <si>
    <t>0.73_212.0895n</t>
  </si>
  <si>
    <t>Perseitol</t>
  </si>
  <si>
    <t>C08260</t>
  </si>
  <si>
    <t>527-06-0</t>
  </si>
  <si>
    <t>C(C(C(C(C(C(CO)O)O)O)O)O)O</t>
  </si>
  <si>
    <t>OXQKEKGBFMQTML-RYRJNEICSA-N</t>
  </si>
  <si>
    <t>C7H16O7</t>
  </si>
  <si>
    <t>3.58_426.1251n</t>
  </si>
  <si>
    <t>Butanoic Acid, 3-((2-Naphthalenylsulfonyl)Amino)-4-Oxo-4-((2-Phenylethyl)Amino)-, (S)-</t>
  </si>
  <si>
    <t>HMDB0245246</t>
  </si>
  <si>
    <t>OC(=O)CC(NS(=O)(=O)C1=CC2=CC=CC=C2C=C1)C(=O)NCCC1=CC=CC=C1</t>
  </si>
  <si>
    <t>VMYREBYTVVSDDK-UHFFFAOYSA-N</t>
  </si>
  <si>
    <t>C22H22N2O5S</t>
  </si>
  <si>
    <t>1.06_268.0946n</t>
  </si>
  <si>
    <t>4-O,6-O-Benzylidene-Alpha-D-Glucopyranose</t>
  </si>
  <si>
    <t>HMDB0245694</t>
  </si>
  <si>
    <t>OC1OC2COC(OC2C(O)C1O)C1=CC=CC=C1</t>
  </si>
  <si>
    <t>FOLRUCXBTYDAQK-UHFFFAOYSA-N</t>
  </si>
  <si>
    <t>Pyranodioxins</t>
  </si>
  <si>
    <t>C13H16O6</t>
  </si>
  <si>
    <t>3.88_327.1081m/z</t>
  </si>
  <si>
    <t>Deutzioside</t>
  </si>
  <si>
    <t>LMPR0102070036</t>
  </si>
  <si>
    <t>C11671</t>
  </si>
  <si>
    <t>O([C@@H]1OC=C(C)[C@@]2([H])[C@H](O)[C@@H]3O[C@@H]3[C@]21[H])[C@H]1[C@H](O)[C@H]([C@H](O)[C@H](O1)CO)O</t>
  </si>
  <si>
    <t>QSOURIMNVDBNHL-HJJINUIOSA-N</t>
  </si>
  <si>
    <t>8.44_357.2644m/z</t>
  </si>
  <si>
    <t>Ricinoleic Acid Methyl Ester</t>
  </si>
  <si>
    <t>141-24-2</t>
  </si>
  <si>
    <t>CCCCCCC(CC=CCCCCCCCC(=O)OC)O</t>
  </si>
  <si>
    <t>XKGDWZQXVZSXAO-ADYSOMBNSA-N</t>
  </si>
  <si>
    <t>C19H36O3</t>
  </si>
  <si>
    <t>8.12_353.1944m/z</t>
  </si>
  <si>
    <t>1-Phenylbiguanide</t>
  </si>
  <si>
    <t>HMDB0256437</t>
  </si>
  <si>
    <t>102-02-3</t>
  </si>
  <si>
    <t>NC(N)=NC(N)=NC1=CC=CC=C1</t>
  </si>
  <si>
    <t>CUQCMXFWIMOWRP-UHFFFAOYSA-N</t>
  </si>
  <si>
    <t>C8H11N5</t>
  </si>
  <si>
    <t>10.44_419.2763m/z</t>
  </si>
  <si>
    <t>6'-Hydroxybuspirone</t>
  </si>
  <si>
    <t>HMDB0061110</t>
  </si>
  <si>
    <t>125481-61-0</t>
  </si>
  <si>
    <t>OC1C(=O)N(CCCCN2CCN(CC2)C2=NC=CC=N2)C(=O)CC11CCCC1</t>
  </si>
  <si>
    <t>KOZNAHJIJGCFJJ-UHFFFAOYSA-N</t>
  </si>
  <si>
    <t>C21H31N5O3</t>
  </si>
  <si>
    <t>3.79_384.1299m/z</t>
  </si>
  <si>
    <t>5-Hydroxytryptophol Glucuronide</t>
  </si>
  <si>
    <t>HMDB0013200</t>
  </si>
  <si>
    <t>OCCC1=CNC2=C1C=C(O[C@H]1O[C@H](CO)[C@@H](O)[C@H](O)[C@H]1O)C=C2</t>
  </si>
  <si>
    <t>MYNVMBICAGQOMG-LJIZCISZSA-N</t>
  </si>
  <si>
    <t>C16H21NO7</t>
  </si>
  <si>
    <t>5.35_285.0755m/z</t>
  </si>
  <si>
    <t>Genkwanin</t>
  </si>
  <si>
    <t>HMDB0252684</t>
  </si>
  <si>
    <t>LMPK12111018</t>
  </si>
  <si>
    <t>C10046</t>
  </si>
  <si>
    <t>437-64-9</t>
  </si>
  <si>
    <t>C1(OC)=CC2OC(C3C=CC(O)=CC=3)=CC(=O)C=2C(O)=C1</t>
  </si>
  <si>
    <t>JPMYFOBNRRGFNO-UHFFFAOYSA-N</t>
  </si>
  <si>
    <t>C16H12O5</t>
  </si>
  <si>
    <t>10.02_438.0958m/z</t>
  </si>
  <si>
    <t>Narcotoline</t>
  </si>
  <si>
    <t>HMDB0033440</t>
  </si>
  <si>
    <t>C09593</t>
  </si>
  <si>
    <t>521-40-4</t>
  </si>
  <si>
    <t>COC1=C(OC)C2=C(C=C1)C(OC2=O)C1N(C)CCC2=CC3=C(OCO3)C(O)=C12</t>
  </si>
  <si>
    <t>LMGZCSKYOKDBES-UHFFFAOYSA-N</t>
  </si>
  <si>
    <t>Phthalide isoquinolines</t>
  </si>
  <si>
    <t>C21H21NO7</t>
  </si>
  <si>
    <t>4.23_292.1298n</t>
  </si>
  <si>
    <t>Histidylhistidine</t>
  </si>
  <si>
    <t>HMDB0028887</t>
  </si>
  <si>
    <t>306-14-9</t>
  </si>
  <si>
    <t>N[C@@H](CC1=CNC=N1)C(=O)N[C@@H](CC1=CNC=N1)C(O)=O</t>
  </si>
  <si>
    <t>SGCGMORCWLEJNZ-UWVGGRQHSA-N</t>
  </si>
  <si>
    <t>C12H16N6O3</t>
  </si>
  <si>
    <t>12.36_240.2317m/z</t>
  </si>
  <si>
    <t>Humulol</t>
  </si>
  <si>
    <t>HMDB0038213</t>
  </si>
  <si>
    <t>24405-58-1</t>
  </si>
  <si>
    <t>C\C1=C/CC(C)(C)\C=C\CC(C)(O)CCC1</t>
  </si>
  <si>
    <t>ZLMAVMBYWKVCLV-IMWXLZLDSA-N</t>
  </si>
  <si>
    <t>C15H26O</t>
  </si>
  <si>
    <t>7.17_367.1302m/z</t>
  </si>
  <si>
    <t>Sobetirome</t>
  </si>
  <si>
    <t>HMDB0258355</t>
  </si>
  <si>
    <t>C15618</t>
  </si>
  <si>
    <t>211110-63-3</t>
  </si>
  <si>
    <t>CC(C)C1=C(O)C=CC(CC2=C(C)C=C(OCC(O)=O)C=C2C)=C1</t>
  </si>
  <si>
    <t>QNAZTOHXCZPOSA-UHFFFAOYSA-N</t>
  </si>
  <si>
    <t>2.49_465.1600m/z</t>
  </si>
  <si>
    <t>3-[(2r)-2-Hydroxy-3-Methyl-3-[(Phosphonooxy)Methyl]Butanamido]Propanoylcarnitine</t>
  </si>
  <si>
    <t>HMDB0241869</t>
  </si>
  <si>
    <t>CC(C)(COP(O)(O)=O)C(O)C(=O)NCCC(=O)OC(CC([O-])=O)C[N+](C)(C)C</t>
  </si>
  <si>
    <t>QFGWSPGUGXALMJ-UHFFFAOYSA-N</t>
  </si>
  <si>
    <t>C16H31N2O10P</t>
  </si>
  <si>
    <t>4.83_305.1359m/z</t>
  </si>
  <si>
    <t>Artemisin</t>
  </si>
  <si>
    <t>LMPR0103190003</t>
  </si>
  <si>
    <t>C09538</t>
  </si>
  <si>
    <t>63968-64-9</t>
  </si>
  <si>
    <t>[C@@]123OO[C@@]4(CC[C@@]1([H])[C@@H](CC[C@@]2([H])[C@H](C(=O)O[C@]3([H])O4)C)C)C</t>
  </si>
  <si>
    <t>BLUAFEHZUWYNDE-NNWCWBAJSA-N</t>
  </si>
  <si>
    <t>9.17_419.1274m/z</t>
  </si>
  <si>
    <t>Benzil</t>
  </si>
  <si>
    <t>HMDB0248990</t>
  </si>
  <si>
    <t>C20226</t>
  </si>
  <si>
    <t>O=C(C(=O)C1=CC=CC=C1)C1=CC=CC=C1</t>
  </si>
  <si>
    <t>WURBFLDFSFBTLW-UHFFFAOYSA-N</t>
  </si>
  <si>
    <t>C14H10O2</t>
  </si>
  <si>
    <t>5.75_695.1909m/z</t>
  </si>
  <si>
    <t>Calopogoniumisoflavone B</t>
  </si>
  <si>
    <t>LMPK12050052</t>
  </si>
  <si>
    <t>C12OC(C)(C)C=CC=1C1OC=C(C3C=CC4OCOC=4C=3)C(=O)C=1C=C2</t>
  </si>
  <si>
    <t>WVHJQUXAKZCXEP-UHFFFAOYSA-N</t>
  </si>
  <si>
    <t>C21H16O5</t>
  </si>
  <si>
    <t>6.01_305.0227m/z</t>
  </si>
  <si>
    <t>4'-Hydroxy Nimesulide</t>
  </si>
  <si>
    <t>HMDB0246630</t>
  </si>
  <si>
    <t>CS(=O)(=O)NC1=C(OC2=CC=C(O)C=C2)C=C(C=C1)[N+]([O-])=O</t>
  </si>
  <si>
    <t>XYHFQSKAUPPPBY-UHFFFAOYSA-N</t>
  </si>
  <si>
    <t>C13H12N2O6S</t>
  </si>
  <si>
    <t>15.21_335.2577m/z</t>
  </si>
  <si>
    <t>21-Hydroxyallopregnanolone</t>
  </si>
  <si>
    <t>HMDB0000879</t>
  </si>
  <si>
    <t>LMST02030132</t>
  </si>
  <si>
    <t>C13713</t>
  </si>
  <si>
    <t>567-03-3</t>
  </si>
  <si>
    <t>[C@@]12([H])CC[C@@]3([H])C[C@H](O)CC[C@]3(C)[C@@]1([H])CC[C@]1(C)[C@@H](C(=O)CO)CC[C@@]21[H]</t>
  </si>
  <si>
    <t>CYKYBWRSLLXBOW-GDYGHMJCSA-N</t>
  </si>
  <si>
    <t>5.25_605.2385m/z</t>
  </si>
  <si>
    <t>Isomorellic Acid</t>
  </si>
  <si>
    <t>HMDB0030734</t>
  </si>
  <si>
    <t>CC(C)=CCC1=C2OC34C5CC(C=C3C(=O)C2=C(O)C2=C1OC(C)(C)C=C2)C(=O)C4(C\C=C(\C)C(O)=O)OC5(C)C</t>
  </si>
  <si>
    <t>COVMVPHACFXMAX-YVLHZVERSA-N</t>
  </si>
  <si>
    <t>C33H36O8</t>
  </si>
  <si>
    <t>3.57_390.1526n</t>
  </si>
  <si>
    <t>Todatriol Glucoside</t>
  </si>
  <si>
    <t>HMDB0037260</t>
  </si>
  <si>
    <t>COC1=CC(CC(O)COC2OC(CO)C(O)C(O)C2O)=CC(O)=C1OC</t>
  </si>
  <si>
    <t>OFPQILBGSKDVRR-UHFFFAOYSA-N</t>
  </si>
  <si>
    <t>1.67_450.1606m/z</t>
  </si>
  <si>
    <t>Apiosylglucosyl 4-Hydroxybenzoate</t>
  </si>
  <si>
    <t>HMDB0035318</t>
  </si>
  <si>
    <t>223261-31-2</t>
  </si>
  <si>
    <t>OCC1(O)COC(OCC2OC(OC(=O)C3=CC=C(O)C=C3)C(O)C(O)C2O)C1O</t>
  </si>
  <si>
    <t>QDXPYWCJJZAQEN-UHFFFAOYSA-N</t>
  </si>
  <si>
    <t>C18H24O12</t>
  </si>
  <si>
    <t>1.70_352.1613m/z</t>
  </si>
  <si>
    <t>Mitomycin</t>
  </si>
  <si>
    <t>HMDB0014450</t>
  </si>
  <si>
    <t>C06681</t>
  </si>
  <si>
    <t>50-07-7</t>
  </si>
  <si>
    <t>CO[C@]12[C@H]3N[C@H]3CN1C1=C([C@H]2COC(N)=O)C(=O)C(N)=C(C)C1=O</t>
  </si>
  <si>
    <t>NWIBSHFKIJFRCO-WUDYKRTCSA-N</t>
  </si>
  <si>
    <t>Indolequinones</t>
  </si>
  <si>
    <t>C15H18N4O5</t>
  </si>
  <si>
    <t>5.23_375.1658m/z</t>
  </si>
  <si>
    <t>6-Hydroxy-2-Bornanone Glucoside</t>
  </si>
  <si>
    <t>HMDB0034558</t>
  </si>
  <si>
    <t>155551-16-9</t>
  </si>
  <si>
    <t>CC1(C)C2CC(OC3OC(CO)C(O)C(O)C3O)C1(C)C(=O)C2</t>
  </si>
  <si>
    <t>XBXUOFIJMNLOGI-UHFFFAOYSA-N</t>
  </si>
  <si>
    <t>C16H26O7</t>
  </si>
  <si>
    <t>10.75_373.2382m/z</t>
  </si>
  <si>
    <t>(4e,7e,10z,13e,16e,19e)-Docosa-4,7,10,13,16,19-Hexaenoic Acid</t>
  </si>
  <si>
    <t>25167-62-8</t>
  </si>
  <si>
    <t>CCC=CCC=CCC=CCC=CCC=CCC=CCCC(=O)O</t>
  </si>
  <si>
    <t>MBMBGCFOFBJSGT-CHRIZAQASA-N</t>
  </si>
  <si>
    <t>8.05_574.2797m/z</t>
  </si>
  <si>
    <t>PA(2:0/22:6(5Z,8E,10Z,13Z,15E,19Z)-2OH(7S, 17S))</t>
  </si>
  <si>
    <t>HMDB0266553</t>
  </si>
  <si>
    <t>[H][C@@](COC(C)=O)(COP(O)(O)=O)OC(=O)CCC\C=C/[C@@H](O)\C=C\C=C/C\C=C/C=C/[C@@H](O)C\C=C/CC</t>
  </si>
  <si>
    <t>NXZHTZNJXROOPG-ZSHVWQJWSA-N</t>
  </si>
  <si>
    <t>C27H41O10P</t>
  </si>
  <si>
    <t>5.28_693.2327m/z</t>
  </si>
  <si>
    <t>Chalcomoracin</t>
  </si>
  <si>
    <t>HMDB0030069</t>
  </si>
  <si>
    <t>76472-89-4</t>
  </si>
  <si>
    <t>CC(C)=CCC1=C(O)C(=CC=C1O)C(=O)C1C(CC(C)=CC1C1=C(O)C=C(C=C1O)C1=CC2=C(O1)C=C(O)C=C2)C1=C(O)C=C(O)C=C1</t>
  </si>
  <si>
    <t>SEHVRKPXIDOTRX-UHFFFAOYSA-N</t>
  </si>
  <si>
    <t>C39H36O9</t>
  </si>
  <si>
    <t>3.75_449.1663m/z</t>
  </si>
  <si>
    <t>Aciclovir</t>
  </si>
  <si>
    <t>HMDB0014925</t>
  </si>
  <si>
    <t>C06810</t>
  </si>
  <si>
    <t>59277-89-3</t>
  </si>
  <si>
    <t>NC1=NC(=O)C2=C(N1)N(COCCO)C=N2</t>
  </si>
  <si>
    <t>MKUXAQIIEYXACX-UHFFFAOYSA-N</t>
  </si>
  <si>
    <t>C8H11N5O3</t>
  </si>
  <si>
    <t>11.10_326.1964m/z</t>
  </si>
  <si>
    <t>Derenofylline</t>
  </si>
  <si>
    <t>HMDB0258338</t>
  </si>
  <si>
    <t>OC1CCC(CC1)NC1=NC(=NC2=C1C=CN2)C1=CC=CC=C1</t>
  </si>
  <si>
    <t>RBZNJGHIKXAKQE-UHFFFAOYSA-N</t>
  </si>
  <si>
    <t>C18H20N4O</t>
  </si>
  <si>
    <t>4.40_225.0908m/z</t>
  </si>
  <si>
    <t>(2r,2'S)-Isobuteine</t>
  </si>
  <si>
    <t>HMDB0030411</t>
  </si>
  <si>
    <t>66512-75-2</t>
  </si>
  <si>
    <t>CC(CSCC(N)C(O)=O)C(O)=O</t>
  </si>
  <si>
    <t>QSPWUNSFUXUUDG-UHFFFAOYSA-N</t>
  </si>
  <si>
    <t>C7H13NO4S</t>
  </si>
  <si>
    <t>6.65_154.9893m/z</t>
  </si>
  <si>
    <t>M-Chlorobenzoic Acid</t>
  </si>
  <si>
    <t>HMDB0001544</t>
  </si>
  <si>
    <t>535-80-8</t>
  </si>
  <si>
    <t>OC(=O)C1=CC(Cl)=CC=C1</t>
  </si>
  <si>
    <t>LULAYUGMBFYYEX-UHFFFAOYSA-N</t>
  </si>
  <si>
    <t>C7H5ClO2</t>
  </si>
  <si>
    <t>1.39_357.0438m/z</t>
  </si>
  <si>
    <t>S-Carboxymethyl-L-Cysteine</t>
  </si>
  <si>
    <t>HMDB0029415</t>
  </si>
  <si>
    <t>2387-59-9</t>
  </si>
  <si>
    <t>NC(CSCC(O)=O)C(O)=O</t>
  </si>
  <si>
    <t>GBFLZEXEOZUWRN-UHFFFAOYSA-N</t>
  </si>
  <si>
    <t>C5H9NO4S</t>
  </si>
  <si>
    <t>4.62_465.1025m/z</t>
  </si>
  <si>
    <t>Isoquercitrin</t>
  </si>
  <si>
    <t>HMDB0037362</t>
  </si>
  <si>
    <t>LMPK12112086</t>
  </si>
  <si>
    <t>C05623</t>
  </si>
  <si>
    <t>482-35-9</t>
  </si>
  <si>
    <t>C1(O)=CC2OC(C3C=C(O)C(O)=CC=3)=C(O[C@H]3[C@H](O)[C@@H](O)[C@H](O)[C@@H](CO)O3)C(=O)C=2C(O)=C1</t>
  </si>
  <si>
    <t>OVSQVDMCBVZWGM-QSOFNFLRSA-N</t>
  </si>
  <si>
    <t>3.62_523.1227m/z</t>
  </si>
  <si>
    <t>Resveratrol 4'-(6-Galloylglucoside)</t>
  </si>
  <si>
    <t>HMDB0034687</t>
  </si>
  <si>
    <t>64898-03-9</t>
  </si>
  <si>
    <t>OC1C(COC(=O)C2=CC(O)=C(O)C(O)=C2)OC(OC2=CC=C(\C=C/C3=CC(O)=CC(O)=C3)C=C2)C(O)C1O</t>
  </si>
  <si>
    <t>HQQSMUBDNVIUPF-UPHRSURJSA-N</t>
  </si>
  <si>
    <t>C27H26O12</t>
  </si>
  <si>
    <t>10.95_352.2612n</t>
  </si>
  <si>
    <t>3-Ethyl-4-(9-Hydroxy-4,6,8,10-Tetramethyl-7-Oxododec-4-En-2-Yl)Oxetan-2-One</t>
  </si>
  <si>
    <t>HMDB0251673</t>
  </si>
  <si>
    <t>CCC(C)C(O)C(C)C(=O)C(C)C=C(C)CC(C)C1OC(=O)C1CC</t>
  </si>
  <si>
    <t>UNBMQQNYLCPCHS-UHFFFAOYSA-N</t>
  </si>
  <si>
    <t>3.75_579.1519m/z</t>
  </si>
  <si>
    <t>6''-P-Coumaroylprunin</t>
  </si>
  <si>
    <t>HMDB0037583</t>
  </si>
  <si>
    <t>96686-70-3</t>
  </si>
  <si>
    <t>OC1C(COC(=O)\C=C\C2=CC=C(O)C=C2)OC(OC2=CC3=C(C(=O)CC(O3)C3=CC=C(O)C=C3)C(O)=C2)C(O)C1O</t>
  </si>
  <si>
    <t>PLORCKNHUZJPKH-XCVCLJGOSA-N</t>
  </si>
  <si>
    <t>5.72_488.3366m/z</t>
  </si>
  <si>
    <t>LysoSM(d18:1)</t>
  </si>
  <si>
    <t>HMDB0006482</t>
  </si>
  <si>
    <t>C03640</t>
  </si>
  <si>
    <t>1670-26-4</t>
  </si>
  <si>
    <t>CCCCCCCCCCCCC\C=C\[C@@H](O)[C@@H](N)COP(=O)(O)OCC[N+](C)(C)C</t>
  </si>
  <si>
    <t>JLVSPVFPBBFMBE-HXSWCURESA-O</t>
  </si>
  <si>
    <t>C23H50N2O5P+</t>
  </si>
  <si>
    <t>0.71_245.0426m/z</t>
  </si>
  <si>
    <t>Glycerophosphoglycerol</t>
  </si>
  <si>
    <t>HMDB0240316</t>
  </si>
  <si>
    <t>185615-51-4</t>
  </si>
  <si>
    <t>OC[C@H](O)COP(O)(=O)OC[C@H](O)CO</t>
  </si>
  <si>
    <t>LLCSXHMJULHSJN-OLQVQODUSA-N</t>
  </si>
  <si>
    <t>C6H15O8P</t>
  </si>
  <si>
    <t>7.18_727.1909m/z</t>
  </si>
  <si>
    <t>Ptdins-(3,5)-P2 (1,2-Dioctanoyl)</t>
  </si>
  <si>
    <t>CCCCCCCC(=O)OCC(COP(=O)(O)OC1C(C(C(C(C1O)OP(=O)(O)O)O)OP(=O)(O)O)O)OC(=O)CCCCCCC</t>
  </si>
  <si>
    <t>QXHVLVSULWMTCV-UHFFFAOYSA-N</t>
  </si>
  <si>
    <t>2.63_331.0670m/z</t>
  </si>
  <si>
    <t>3'-Methoxyfukiic Acid</t>
  </si>
  <si>
    <t>HMDB0029498</t>
  </si>
  <si>
    <t>COC1=C(O)C=CC(CC(O)(C(O)C(O)=O)C(O)=O)=C1</t>
  </si>
  <si>
    <t>DDSGTDZCSPMYIM-UHFFFAOYSA-N</t>
  </si>
  <si>
    <t>C12H14O8</t>
  </si>
  <si>
    <t>6.35_340.1116m/z</t>
  </si>
  <si>
    <t>Ro 31-6045</t>
  </si>
  <si>
    <t>113963-68-1</t>
  </si>
  <si>
    <t>CN1C(=O)C(=C(C1=O)C2=CNC3=CC=CC=C32)C4=CNC5=CC=CC=C54</t>
  </si>
  <si>
    <t>SWAWYMIKGOHZMR-UHFFFAOYSA-N</t>
  </si>
  <si>
    <t>C21H15N3O2</t>
  </si>
  <si>
    <t>6.11_545.2005m/z</t>
  </si>
  <si>
    <t>Isoaustin</t>
  </si>
  <si>
    <t>HMDB0030043</t>
  </si>
  <si>
    <t>85066-64-4</t>
  </si>
  <si>
    <t>CC1OC(=O)C23C(=C)C(C)(CC4=C(C)C5(C=CC(=O)OC5(C)C)C(CC24C)OC(C)=O)OC(=O)C13O</t>
  </si>
  <si>
    <t>SLCHGQPSMLGFMX-UHFFFAOYSA-N</t>
  </si>
  <si>
    <t>C27H32O9</t>
  </si>
  <si>
    <t>5.47_521.9485m/z</t>
  </si>
  <si>
    <t>Cytidine Triphosphate</t>
  </si>
  <si>
    <t>HMDB0000082</t>
  </si>
  <si>
    <t>C00063</t>
  </si>
  <si>
    <t>ko00240,ko00515</t>
  </si>
  <si>
    <t>Pyrimidine metabolism|Mannose type O-glycan biosynthesis</t>
  </si>
  <si>
    <t>65-47-4</t>
  </si>
  <si>
    <t>NC1=NC(=O)N(C=C1)[C@@H]1O[C@H](COP(O)(=O)OP(O)(=O)OP(O)(O)=O)[C@@H](O)[C@H]1O</t>
  </si>
  <si>
    <t>PCDQPRRSZKQHHS-XVFCMESISA-N</t>
  </si>
  <si>
    <t>C9H16N3O14P3</t>
  </si>
  <si>
    <t>7.59_681.3387m/z</t>
  </si>
  <si>
    <t>Delartine</t>
  </si>
  <si>
    <t>HMDB0250976</t>
  </si>
  <si>
    <t>CCN1CC2(COC(=O)C3=CC=CC=C3N3C(=O)CC(C)C3=O)CCC(OC)C34C5CC6C(OC)C5C(O)(CC6OC)C(O)(C(OC)C23)C14</t>
  </si>
  <si>
    <t>XLTANAWLDBYGFU-UHFFFAOYSA-N</t>
  </si>
  <si>
    <t>C37H50N2O10</t>
  </si>
  <si>
    <t>6.29_489.2131m/z</t>
  </si>
  <si>
    <t>Austalide J</t>
  </si>
  <si>
    <t>HMDB0030156</t>
  </si>
  <si>
    <t>87833-51-0</t>
  </si>
  <si>
    <t>COC1=C2C(=O)OCC2=C(C)C2=C1CC1C(C)(CCC3(O)C1(C)CCC(=O)OC3(C)C)O2</t>
  </si>
  <si>
    <t>GEOMINBWFXSCOW-UHFFFAOYSA-N</t>
  </si>
  <si>
    <t>C25H32O7</t>
  </si>
  <si>
    <t>6.59_347.1380m/z</t>
  </si>
  <si>
    <t>Baquiloprim</t>
  </si>
  <si>
    <t>HMDB0248865</t>
  </si>
  <si>
    <t>CN(C)C1=C(C)C=C(CC2=CN=C(N)N=C2N)C2=C1N=CC=C2</t>
  </si>
  <si>
    <t>AIOWJIMWVFWROP-UHFFFAOYSA-N</t>
  </si>
  <si>
    <t>C17H20N6</t>
  </si>
  <si>
    <t>4.47_250.0716m/z</t>
  </si>
  <si>
    <t>Cinnamoylglycine</t>
  </si>
  <si>
    <t>HMDB0011621</t>
  </si>
  <si>
    <t>16534-24-0</t>
  </si>
  <si>
    <t>OC(=O)CNC(=O)\C=C\C1=CC=CC=C1</t>
  </si>
  <si>
    <t>YAADMLWHGMUGQL-VOTSOKGWSA-N</t>
  </si>
  <si>
    <t>10.04_282.1123m/z</t>
  </si>
  <si>
    <t>Indoprofen</t>
  </si>
  <si>
    <t>HMDB0253478</t>
  </si>
  <si>
    <t>31842-01-0</t>
  </si>
  <si>
    <t>CC(C(O)=O)C1=CC=C(C=C1)N1CC2=CC=CC=C2C1=O</t>
  </si>
  <si>
    <t>RJMIEHBSYVWVIN-UHFFFAOYSA-N</t>
  </si>
  <si>
    <t>C17H15NO3</t>
  </si>
  <si>
    <t>10.15_611.1549m/z</t>
  </si>
  <si>
    <t>Amorphigenin O-Glucoside</t>
  </si>
  <si>
    <t>LMPK12060002</t>
  </si>
  <si>
    <t>O(CC(C1OC2C=CC3C(=O)C4C5C(OCC4OC=3C=2C1)=CC(OC)=C(OC)C=5)=C)C1OC(CO)C(O)C(O)C1O</t>
  </si>
  <si>
    <t>CCBXLSSQLOKUNL-UHFFFAOYSA-N</t>
  </si>
  <si>
    <t>C29H32O12</t>
  </si>
  <si>
    <t>13.76_606.2843m/z</t>
  </si>
  <si>
    <t>Pentigetide</t>
  </si>
  <si>
    <t>HMDB0038221</t>
  </si>
  <si>
    <t>62087-72-3</t>
  </si>
  <si>
    <t>N[C@@H](CC(O)=O)C(\O)=N\[C@@H](CO)C(\O)=N\[C@@H](CC(O)=O)C(=O)N1CCC[C@H]1\C(O)=N\[C@@H](CCCNC(N)=N)C(O)=O</t>
  </si>
  <si>
    <t>KQDIGHIVUUADBZ-PEDHHIEDSA-N</t>
  </si>
  <si>
    <t>C22H36N8O11</t>
  </si>
  <si>
    <t>6.27_499.1937m/z</t>
  </si>
  <si>
    <t>Platyphylloside</t>
  </si>
  <si>
    <t>C1=CC(=CC=C1CCC(CC(=O)CCC2=CC=C(C=C2)O)OC3C(C(C(C(O3)CO)O)O)O)O</t>
  </si>
  <si>
    <t>PVPDIJGSCANSAG-JSFAVJLPSA-N</t>
  </si>
  <si>
    <t>5.49_239.1065m/z</t>
  </si>
  <si>
    <t>N-Lactoyl-Methionine</t>
  </si>
  <si>
    <t>HMDB0062182</t>
  </si>
  <si>
    <t>CSCCC(NC(=O)[C@H](C)O)C(O)=O</t>
  </si>
  <si>
    <t>UFMNJPDGXQPVJM-ZBHICJROSA-N</t>
  </si>
  <si>
    <t>C8H15NO4S</t>
  </si>
  <si>
    <t>12.36_341.3162m/z</t>
  </si>
  <si>
    <t>Anandamide (18:2, n-6)</t>
  </si>
  <si>
    <t>HMDB0012252</t>
  </si>
  <si>
    <t>LMFA08040004</t>
  </si>
  <si>
    <t>68171-52-8</t>
  </si>
  <si>
    <t>C(C/C=C\C/C=C\CCCCC)CCCCCC(=O)NCCO</t>
  </si>
  <si>
    <t>KQXDGUVSAAQARU-HZJYTTRNSA-N</t>
  </si>
  <si>
    <t>C20H37NO2</t>
  </si>
  <si>
    <t>2.22_327.0597m/z</t>
  </si>
  <si>
    <t>Niflumic Acid</t>
  </si>
  <si>
    <t>HMDB0015573</t>
  </si>
  <si>
    <t>C13698</t>
  </si>
  <si>
    <t>4394-00-7</t>
  </si>
  <si>
    <t>OC(=O)C1=C(NC2=CC=CC(=C2)C(F)(F)F)N=CC=C1</t>
  </si>
  <si>
    <t>JZFPYUNJRRFVQU-UHFFFAOYSA-N</t>
  </si>
  <si>
    <t>C13H9F3N2O2</t>
  </si>
  <si>
    <t>4.45_361.1641m/z</t>
  </si>
  <si>
    <t>(-)-Jasmonoyl-L-Isoleucine</t>
  </si>
  <si>
    <t>HMDB0303944</t>
  </si>
  <si>
    <t>CCC=CCC1C(CC(=O)NC(C(C)CC)C([O-])=O)CCC1=O</t>
  </si>
  <si>
    <t>IBZYPBGPOGJMBF-UHFFFAOYSA-M</t>
  </si>
  <si>
    <t>C18H28NO4-</t>
  </si>
  <si>
    <t>4.43_345.1330m/z</t>
  </si>
  <si>
    <t>N1-Trans-Feruloylagmatine</t>
  </si>
  <si>
    <t>HMDB0037107</t>
  </si>
  <si>
    <t>C18325</t>
  </si>
  <si>
    <t>COC1=CC(\C=C\C(=O)NCCCCNC(N)=N)=CC=C1O</t>
  </si>
  <si>
    <t>UBMDAKWARMURDL-FNORWQNLSA-N</t>
  </si>
  <si>
    <t>C15H22N4O3</t>
  </si>
  <si>
    <t>7.75_371.1134m/z</t>
  </si>
  <si>
    <t>2-Methyl-5,7,8-Trimethoxyisoflavone</t>
  </si>
  <si>
    <t>CC1=C(C(=O)C2=C(O1)C(=C(C=C2OC)OC)OC)C3=CC=CC=C3</t>
  </si>
  <si>
    <t>BFCBHPPLWHZOIQ-UHFFFAOYSA-N</t>
  </si>
  <si>
    <t>C19H18O5</t>
  </si>
  <si>
    <t>4.40_581.2811m/z</t>
  </si>
  <si>
    <t>Phyllalbine</t>
  </si>
  <si>
    <t>C10863</t>
  </si>
  <si>
    <t>4540-25-4</t>
  </si>
  <si>
    <t>CN1C2CCC1CC(C2)OC(=O)C3=CC(=C(C=C3)O)OC</t>
  </si>
  <si>
    <t>OZKTVDIYALBSMA-UHFFFAOYSA-N</t>
  </si>
  <si>
    <t>C16H21NO4</t>
  </si>
  <si>
    <t>4.63_327.1234m/z</t>
  </si>
  <si>
    <t>Gibberellin A3</t>
  </si>
  <si>
    <t>HMDB0003559</t>
  </si>
  <si>
    <t>LMPR0104170002</t>
  </si>
  <si>
    <t>C01699</t>
  </si>
  <si>
    <t>77-06-5</t>
  </si>
  <si>
    <t>[H][C@@]12CC[C@]3(O)C[C@]1(CC3=C)[C@@H](C(O)=O)[C@]1([H])[C@@]3(C)[C@@H](O)C=C[C@@]21OC3=O</t>
  </si>
  <si>
    <t>IXORZMNAPKEEDV-OBDJNFEBSA-N</t>
  </si>
  <si>
    <t>10.40_332.2802m/z</t>
  </si>
  <si>
    <t>8r,11s-Dihome</t>
  </si>
  <si>
    <t>LMFA02000063</t>
  </si>
  <si>
    <t>C(CCCCCC[C@@H](O)/C=C\[C@@H](O)CCCCCCC)(=O)O</t>
  </si>
  <si>
    <t>GSDSZZZUMHELIE-RMJCYXJZSA-N</t>
  </si>
  <si>
    <t>4.40_446.1421n</t>
  </si>
  <si>
    <t>Lucuminic Acid</t>
  </si>
  <si>
    <t>HMDB0035007</t>
  </si>
  <si>
    <t>190323-48-9</t>
  </si>
  <si>
    <t>OC1COC(OCC2OC(OC(C(O)=O)C3=CC=CC=C3)C(O)C(O)C2O)C(O)C1O</t>
  </si>
  <si>
    <t>DUZCTLMSDUOYAW-UHFFFAOYSA-N</t>
  </si>
  <si>
    <t>11.02_312.3623m/z</t>
  </si>
  <si>
    <t>8e-Heneicosene</t>
  </si>
  <si>
    <t>LMFA11000041</t>
  </si>
  <si>
    <t>CCCCCCC/C=C/CCCCCCCCCCCC</t>
  </si>
  <si>
    <t>JSEZWBOLDGVZFR-BMRADRMJSA-N</t>
  </si>
  <si>
    <t>C21H42</t>
  </si>
  <si>
    <t>4.76_294.1345m/z</t>
  </si>
  <si>
    <t>2-Pentanamido-3-Phenylpropanoic Acid</t>
  </si>
  <si>
    <t>HMDB0094646</t>
  </si>
  <si>
    <t>CCCCC(O)=NC(CC1=CC=CC=C1)C(O)=O</t>
  </si>
  <si>
    <t>YXQLJEQFZUMUPB-UHFFFAOYSA-N</t>
  </si>
  <si>
    <t>C14H19NO3</t>
  </si>
  <si>
    <t>5.67_599.2708m/z</t>
  </si>
  <si>
    <t>Clopenthixol Decanoate</t>
  </si>
  <si>
    <t>HMDB0250356</t>
  </si>
  <si>
    <t>CCCCCCCCCC(=O)OCCN1CCN(CCC=C2C3=CC=CC=C3SC3=C2C=C(Cl)C=C3)CC1</t>
  </si>
  <si>
    <t>QRUAPADZILXULG-UHFFFAOYSA-N</t>
  </si>
  <si>
    <t>C32H43ClN2O2S</t>
  </si>
  <si>
    <t>6.54_185.1173m/z</t>
  </si>
  <si>
    <t>3,10-Dihydroxydecanoic Acid</t>
  </si>
  <si>
    <t>LMFA01050429</t>
  </si>
  <si>
    <t>C(CC(O)CCCCCCCO)(=O)O</t>
  </si>
  <si>
    <t>WXCLDXYQUQDNDB-UHFFFAOYSA-N</t>
  </si>
  <si>
    <t>C10H20O4</t>
  </si>
  <si>
    <t>10.06_597.1403m/z</t>
  </si>
  <si>
    <t>Fenbendazole</t>
  </si>
  <si>
    <t>HMDB0029745</t>
  </si>
  <si>
    <t>43210-67-9</t>
  </si>
  <si>
    <t>COC(=O)NC1=NC2=C(N1)C=CC(SC1=CC=CC=C1)=C2</t>
  </si>
  <si>
    <t>HDDSHPAODJUKPD-UHFFFAOYSA-N</t>
  </si>
  <si>
    <t>2-benzimidazolylcarbamic acid esters</t>
  </si>
  <si>
    <t>C15H13N3O2S</t>
  </si>
  <si>
    <t>9.82_487.2480m/z</t>
  </si>
  <si>
    <t>N-[5-Methyl-8-(4-Methylpiperazin-1-Yl)-1,2,3,4-Tetrahydronaphthalen-2-Yl]-4-Morpholin-4-Ylbenzamide</t>
  </si>
  <si>
    <t>HMDB0258014</t>
  </si>
  <si>
    <t>CN1CCN(CC1)C1=C2CC(CCC2=C(C)C=C1)NC(=O)C1=CC=C(C=C1)N1CCOCC1</t>
  </si>
  <si>
    <t>IHDRUIHIJWCTIY-UHFFFAOYSA-N</t>
  </si>
  <si>
    <t>C27H36N4O2</t>
  </si>
  <si>
    <t>5.38_887.2569m/z</t>
  </si>
  <si>
    <t>Foeniculoside Ii</t>
  </si>
  <si>
    <t>HMDB0040127</t>
  </si>
  <si>
    <t>168010-11-5</t>
  </si>
  <si>
    <t>OCC1OC(OC2=CC(C3C(OC4=C3C(\C=C\C3=CC=C(O)C=C3)=CC(O)=C4)C3=CC=C(O)C=C3)=C3C(C(OC3=C2)C2=CC=C(O)C=C2)C2=CC(O)=CC(O)=C2)C(O)C(O)C1O</t>
  </si>
  <si>
    <t>LIMXEMROHIJDBW-DAFODLJHSA-N</t>
  </si>
  <si>
    <t>C48H42O14</t>
  </si>
  <si>
    <t>5.23_1027.5532m/z</t>
  </si>
  <si>
    <t>PGP(i-22:0/PGE2)</t>
  </si>
  <si>
    <t>HMDB0275846</t>
  </si>
  <si>
    <t>CCCCC[C@H](O)\C=C\[C@H]1[C@H](O)CC(=O)[C@@H]1C\C=C/CCCC(=O)O[C@H](COC(=O)CCCCCCCCCCCCCCCCCCC(C)C)COP(O)(=O)OC[C@@H](O)COP(O)(O)=O</t>
  </si>
  <si>
    <t>DCOXZKBUNFPSJC-NYYGLFFOSA-N</t>
  </si>
  <si>
    <t>C48H88O16P2</t>
  </si>
  <si>
    <t>10.56_567.2598m/z</t>
  </si>
  <si>
    <t>Diacetyl Benzoyl Lathyrol</t>
  </si>
  <si>
    <t>CC1CC2(C(C1OC(=O)C3=CC=CC=C3)C(C(=C)CCC4C(C4(C)C)C=C(C2=O)C)OC(=O)C)OC(=O)C</t>
  </si>
  <si>
    <t>JPYYWXPAHJBKJX-VWSFRBHVSA-N</t>
  </si>
  <si>
    <t>4.78_667.1646m/z</t>
  </si>
  <si>
    <t>Acetylpuerarin</t>
  </si>
  <si>
    <t>HMDB0247935</t>
  </si>
  <si>
    <t>CC(=O)OCC1OC(C(OC(C)=O)C(OC(C)=O)C1OC(C)=O)C1=C(OC(C)=O)C=CC2=C1OC=C(C2=O)C1=CC=C(OC(C)=O)C=C1</t>
  </si>
  <si>
    <t>LZYLMUTZAJLXLT-UHFFFAOYSA-N</t>
  </si>
  <si>
    <t>C33H32O15</t>
  </si>
  <si>
    <t>8.55_343.2488m/z</t>
  </si>
  <si>
    <t>Ricinoleic Acid</t>
  </si>
  <si>
    <t>LMFA02000184</t>
  </si>
  <si>
    <t>C08365</t>
  </si>
  <si>
    <t>C(CCCCCCC/C=C\C[C@H](O)CCCCCC)(=O)O</t>
  </si>
  <si>
    <t>WBHHMMIMDMUBKC-QJWNTBNXSA-N</t>
  </si>
  <si>
    <t>3.97_616.1218m/z</t>
  </si>
  <si>
    <t>Baloxavir Marboxil</t>
  </si>
  <si>
    <t>HMDB0248855</t>
  </si>
  <si>
    <t>COC(=O)OCOC1=C2N(C=CC1=O)N(C1COCCN1C2=O)C1C2=CC=CC=C2SCC2=C1C=CC(F)=C2F</t>
  </si>
  <si>
    <t>RZVPBGBYGMDSBG-UHFFFAOYSA-N</t>
  </si>
  <si>
    <t>C27H23F2N3O7S</t>
  </si>
  <si>
    <t>3.47_373.1259m/z</t>
  </si>
  <si>
    <t>1,5-Dibutyl Methyl Hydroxycitrate</t>
  </si>
  <si>
    <t>HMDB0040461</t>
  </si>
  <si>
    <t>CCCCOC(=O)CC(O)(C(O)C(=O)OCCCC)C(=O)OC</t>
  </si>
  <si>
    <t>JRMBFEKUMNWOIE-UHFFFAOYSA-N</t>
  </si>
  <si>
    <t>C15H26O8</t>
  </si>
  <si>
    <t>2.25_153.0546m/z</t>
  </si>
  <si>
    <t>3,4-Dihydroxyphenyl Ethanol</t>
  </si>
  <si>
    <t>HMDB0005784</t>
  </si>
  <si>
    <t>10597-60-1</t>
  </si>
  <si>
    <t>CC(C1=CC(=C(C=C1)O)O)O</t>
  </si>
  <si>
    <t>LOXKYYNKSCBYLB-UHFFFAOYSA-N</t>
  </si>
  <si>
    <t>5.12_463.1607m/z</t>
  </si>
  <si>
    <t>Nalidixic Acid</t>
  </si>
  <si>
    <t>HMDB0014917</t>
  </si>
  <si>
    <t>C05079</t>
  </si>
  <si>
    <t>389-08-2</t>
  </si>
  <si>
    <t>CCN1C=C(C(O)=O)C(=O)C2=C1N=C(C)C=C2</t>
  </si>
  <si>
    <t>MHWLWQUZZRMNGJ-UHFFFAOYSA-N</t>
  </si>
  <si>
    <t>C12H12N2O3</t>
  </si>
  <si>
    <t>3.62_585.1997m/z</t>
  </si>
  <si>
    <t>Oxaprozin</t>
  </si>
  <si>
    <t>HMDB0015126</t>
  </si>
  <si>
    <t>C07356</t>
  </si>
  <si>
    <t>21256-18-8</t>
  </si>
  <si>
    <t>OC(=O)CCC1=NC(=C(O1)C1=CC=CC=C1)C1=CC=CC=C1</t>
  </si>
  <si>
    <t>OFPXSFXSNFPTHF-UHFFFAOYSA-N</t>
  </si>
  <si>
    <t>Oxazoles</t>
  </si>
  <si>
    <t>C18H15NO3</t>
  </si>
  <si>
    <t>1.06_153.0651n</t>
  </si>
  <si>
    <t>Fapy-Adenine</t>
  </si>
  <si>
    <t>HMDB0004816</t>
  </si>
  <si>
    <t>C06502</t>
  </si>
  <si>
    <t>5122-36-1</t>
  </si>
  <si>
    <t>NC1=NC=NC(N)=C1NC=O</t>
  </si>
  <si>
    <t>MVYUVUOSXNYQLL-UHFFFAOYSA-N</t>
  </si>
  <si>
    <t>C5H7N5O</t>
  </si>
  <si>
    <t>5.34_551.3229m/z</t>
  </si>
  <si>
    <t>2-Deoxy-20-Hydroxy-5alpha-Ecdysone 3-Acetate</t>
  </si>
  <si>
    <t>LMST01010191</t>
  </si>
  <si>
    <t>[C@]12([C@@]3([H])CC[C@]4(C)[C@@]([H])([C@](C)([C@H](O)CCC(O)(C)C)O)CC[C@@]4(O)C3=CC(=O)[C@@]1([H])C[C@@H](OC(=O)C)CC2)C</t>
  </si>
  <si>
    <t>JYZWBQULDMOHQE-ZPQFWNFQSA-N</t>
  </si>
  <si>
    <t>C29H46O7</t>
  </si>
  <si>
    <t>11.12_446.2434n</t>
  </si>
  <si>
    <t>PA(19:3(10Z,13Z,16Z)/0:0)</t>
  </si>
  <si>
    <t>LMGP10050004</t>
  </si>
  <si>
    <t>[C@](COP(=O)(O)O)([H])(O)COC(CCCCCCCC/C=C\C/C=C\C/C=C\CC)=O</t>
  </si>
  <si>
    <t>BOUZMDJRRNOZRJ-CGJPJHFBSA-N</t>
  </si>
  <si>
    <t>C22H39O7P</t>
  </si>
  <si>
    <t>11.00_214.2164m/z</t>
  </si>
  <si>
    <t>2-Methylcyclododecanone</t>
  </si>
  <si>
    <t>HMDB0041404</t>
  </si>
  <si>
    <t>16837-94-8</t>
  </si>
  <si>
    <t>CC1CCCCCCCCCCC1=O</t>
  </si>
  <si>
    <t>JJUNXABENLJLAY-UHFFFAOYSA-N</t>
  </si>
  <si>
    <t>C13H24O</t>
  </si>
  <si>
    <t>5.59_180.0974m/z</t>
  </si>
  <si>
    <t>Glycyl-Serine</t>
  </si>
  <si>
    <t>HMDB0028850</t>
  </si>
  <si>
    <t>NCC(O)=NC(CO)C(O)=O</t>
  </si>
  <si>
    <t>BCCRXDTUTZHDEU-UHFFFAOYSA-N</t>
  </si>
  <si>
    <t>C5H10N2O4</t>
  </si>
  <si>
    <t>3.95_737.0532m/z</t>
  </si>
  <si>
    <t>Thioflosulide</t>
  </si>
  <si>
    <t>HMDB0259011</t>
  </si>
  <si>
    <t>CS(=O)(=O)NC1=C(SC2=C(F)C=C(F)C=C2)C=C2C(=O)CCC2=C1</t>
  </si>
  <si>
    <t>HDUWKQUHMUSICC-UHFFFAOYSA-N</t>
  </si>
  <si>
    <t>C16H13F2NO3S2</t>
  </si>
  <si>
    <t>4.79_559.1093m/z</t>
  </si>
  <si>
    <t>Herbacetin 8-(2'',3'',4''-Triacetylxyloside)</t>
  </si>
  <si>
    <t>LMPK12113138</t>
  </si>
  <si>
    <t>C1(O)=C(O[C@@H]2OC[C@@H](OC(=O)C)[C@H](OC(C)=O)C2OC(C)=O)C2OC(C3C=CC(O)=CC=3)=C(O)C(=O)C=2C(O)=C1</t>
  </si>
  <si>
    <t>UUUFLHFLFWPUFF-QRJDBZLKSA-N</t>
  </si>
  <si>
    <t>C26H24O14</t>
  </si>
  <si>
    <t>9.69_280.1463n</t>
  </si>
  <si>
    <t>Yashabushiketol</t>
  </si>
  <si>
    <t>C1=CC=C(C=C1)CCC(CC(=O)C=CC2=CC=CC=C2)O</t>
  </si>
  <si>
    <t>OUAINJWTDRNZIJ-ACCUITESSA-N</t>
  </si>
  <si>
    <t>C19H20O2</t>
  </si>
  <si>
    <t>5.67_495.1658m/z</t>
  </si>
  <si>
    <t>Artonin T</t>
  </si>
  <si>
    <t>HMDB0029905</t>
  </si>
  <si>
    <t>LMPK12111523</t>
  </si>
  <si>
    <t>161017-03-4</t>
  </si>
  <si>
    <t>C12C(=O)C3CC4C(C)(C)OC5=C(O)C(C/C=C(\C)/C)=C(O)C(C=3OC=1C=C(OC)C=C2O)=C45</t>
  </si>
  <si>
    <t>WGHQJSXSGKUCQL-UHFFFAOYSA-N</t>
  </si>
  <si>
    <t>C26H26O7</t>
  </si>
  <si>
    <t>11.09_447.2749m/z</t>
  </si>
  <si>
    <t>7b-Hydroxy-3-Oxo-5b-Cholanoic Acid</t>
  </si>
  <si>
    <t>HMDB0000541</t>
  </si>
  <si>
    <t>77060-26-5</t>
  </si>
  <si>
    <t>[H][C@@]12CC[C@H]([C@H](C)CCC(=O)OC)[C@@]1(C)CC[C@@]1([H])[C@@]2([H])C(=O)CC2CC(=O)CC[C@]12C</t>
  </si>
  <si>
    <t>UZRRNRRCPZZPNY-ZECRIGHZSA-N</t>
  </si>
  <si>
    <t>C25H38O4</t>
  </si>
  <si>
    <t>6.54_339.0481m/z</t>
  </si>
  <si>
    <t>Wasalexin A</t>
  </si>
  <si>
    <t>HMDB0034765</t>
  </si>
  <si>
    <t>CON1C(=O)\C(=C\N=C(SC)SC)C2=CC=CC=C12</t>
  </si>
  <si>
    <t>JJQPWCPYNJNWID-CSKARUKUSA-N</t>
  </si>
  <si>
    <t>C13H14N2O2S2</t>
  </si>
  <si>
    <t>9.58_569.1440m/z</t>
  </si>
  <si>
    <t>Guibourtinidol-(4alpha-&gt;6)-Catechin</t>
  </si>
  <si>
    <t>LMPK12030012</t>
  </si>
  <si>
    <t>C10231</t>
  </si>
  <si>
    <t>KTNXYFUXAOFFIX-VCVCDQQGSA-N</t>
  </si>
  <si>
    <t>C30H26O10</t>
  </si>
  <si>
    <t>7.64_179.0851m/z</t>
  </si>
  <si>
    <t>Trans-S-(1-Propenyl)-L-Cysteine</t>
  </si>
  <si>
    <t>HMDB0029440</t>
  </si>
  <si>
    <t>C\C=C/SCC(N)C(O)=O</t>
  </si>
  <si>
    <t>HYGGRRPFVXHQQW-IHWYPQMZSA-N</t>
  </si>
  <si>
    <t>4.16_207.1017m/z</t>
  </si>
  <si>
    <t>Alongside</t>
  </si>
  <si>
    <t>HMDB0248179</t>
  </si>
  <si>
    <t>CC1CC=CC(=O)CC=CC(O)CC(=O)O1</t>
  </si>
  <si>
    <t>BKNQGBKAJUUPBQ-UHFFFAOYSA-N</t>
  </si>
  <si>
    <t>C12H16O4</t>
  </si>
  <si>
    <t>4.82_440.1813m/z</t>
  </si>
  <si>
    <t>Minocycline</t>
  </si>
  <si>
    <t>C07225</t>
  </si>
  <si>
    <t>10118-90-8</t>
  </si>
  <si>
    <t>CN(C)C1C2CC3CC4=C(C=CC(=C4C(=C3C(=O)C2(C(=C(C1=O)C(=O)N)O)O)O)O)N(C)C</t>
  </si>
  <si>
    <t>FFTVPQUHLQBXQZ-KVUCHLLUSA-N</t>
  </si>
  <si>
    <t>C23H27N3O7</t>
  </si>
  <si>
    <t>0.65_127.1230m/z</t>
  </si>
  <si>
    <t>4-(Aminomethyl)-1-Methylpiperidin-4-Ol</t>
  </si>
  <si>
    <t>HMDB0246299</t>
  </si>
  <si>
    <t>CN1CCC(O)(CN)CC1</t>
  </si>
  <si>
    <t>JUHFGHWNBYGKCW-UHFFFAOYSA-N</t>
  </si>
  <si>
    <t>C7H16N2O</t>
  </si>
  <si>
    <t>12.95_279.2318m/z</t>
  </si>
  <si>
    <t>9r,10s-Epome</t>
  </si>
  <si>
    <t>HMDB04701</t>
  </si>
  <si>
    <t>LMFA02000283</t>
  </si>
  <si>
    <t>C14825</t>
  </si>
  <si>
    <t>C(CCCCCCC[C@@]1([H])O[C@@]1([H])C/C=C\CCCCC)(=O)O</t>
  </si>
  <si>
    <t>FBUKMFOXMZRGRB-SQGUUQMOSA-N</t>
  </si>
  <si>
    <t>5.15_707.2133m/z</t>
  </si>
  <si>
    <t>Triacetylresveratrol</t>
  </si>
  <si>
    <t>42206-94-0</t>
  </si>
  <si>
    <t>CC(=O)OC1=CC=C(C=C1)C=CC2=CC(=CC(=C2)OC(=O)C)OC(=O)C</t>
  </si>
  <si>
    <t>PDAYUJSOJIMKIS-SNAWJCMRSA-N</t>
  </si>
  <si>
    <t>C20H18O6</t>
  </si>
  <si>
    <t>10.66_506.3243m/z</t>
  </si>
  <si>
    <t>PC(17:1(10Z)/0:0)</t>
  </si>
  <si>
    <t>LMGP01050002</t>
  </si>
  <si>
    <t>[C@](COP(=O)([O-])OCC[N+](C)(C)C)([H])(O)COC(CCCCCCCC/C=C\CCCCCC)=O</t>
  </si>
  <si>
    <t>XBGIMYLOTRDXPK-AGXIJRPPSA-N</t>
  </si>
  <si>
    <t>C25H50NO7P</t>
  </si>
  <si>
    <t>9.96_571.3634m/z</t>
  </si>
  <si>
    <t>Ganodermic Acid P2</t>
  </si>
  <si>
    <t>HMDB0035292</t>
  </si>
  <si>
    <t>112430-69-0</t>
  </si>
  <si>
    <t>CC(C(C\C=C(/C)C(O)=O)OC(C)=O)C1CC(OC(C)=O)C2(C)C3=CCC4C(C)(C)C(O)CCC4(C)C3=CCC12C</t>
  </si>
  <si>
    <t>KQKZINUOFUEGEI-VXLYETTFSA-N</t>
  </si>
  <si>
    <t>C34H50O7</t>
  </si>
  <si>
    <t>0.67_188.1759m/z</t>
  </si>
  <si>
    <t>2-Amino-3-Methyl-1-Pyrrolidin-1-Yl-Butan-1-One</t>
  </si>
  <si>
    <t>HMDB0246938</t>
  </si>
  <si>
    <t>CC(C)C(N)C(=O)N1CCCC1</t>
  </si>
  <si>
    <t>IHBAVXVTGLANPI-UHFFFAOYSA-N</t>
  </si>
  <si>
    <t>C9H18N2O</t>
  </si>
  <si>
    <t>10.42_422.3275m/z</t>
  </si>
  <si>
    <t>Linoelaidylcarnitine</t>
  </si>
  <si>
    <t>HMDB0006461</t>
  </si>
  <si>
    <t>85114-47-2</t>
  </si>
  <si>
    <t>CCCCC\C=C\C\C=C\CCCCCCCC(=O)O[C@H](CC(O)=O)C[N+](C)(C)C</t>
  </si>
  <si>
    <t>MJLXQSQYKZWZCB-AKNKGCNLSA-O</t>
  </si>
  <si>
    <t>C25H45NO4</t>
  </si>
  <si>
    <t>10.25_595.2619m/z</t>
  </si>
  <si>
    <t>5beta-Cholestan-3alpha,4alpha,11beta,12beta,21-Pentol-3,21-Disulfate</t>
  </si>
  <si>
    <t>LMST01010329</t>
  </si>
  <si>
    <t>C1[C@]2(C)[C@@]3([H])[C@@H](O)[C@@H](O)[C@]4(C)[C@@]([H])([C@]([H])(COS(=O)(=O)O)CCCC(C)C)CC[C@@]4([H])[C@]3([H])CC[C@]2([H])[C@H](O)[C@H](OS(=O)(=O)O)C1</t>
  </si>
  <si>
    <t>KLTBPPZMCKDFRK-AVGDXGFQSA-N</t>
  </si>
  <si>
    <t>C27H48O11S2</t>
  </si>
  <si>
    <t>5.10_210.1618n</t>
  </si>
  <si>
    <t>10-Tridecynoic Acid</t>
  </si>
  <si>
    <t>LMFA01030603</t>
  </si>
  <si>
    <t>C(CCCCCCCCC#CCC)(=O)O</t>
  </si>
  <si>
    <t>OJDWITZAURZUDE-UHFFFAOYSA-N</t>
  </si>
  <si>
    <t>C13H22O2</t>
  </si>
  <si>
    <t>11.78_350.3051m/z</t>
  </si>
  <si>
    <t>Adrenic Acid</t>
  </si>
  <si>
    <t>HMDB0002226</t>
  </si>
  <si>
    <t>LMFA01030178</t>
  </si>
  <si>
    <t>C16527</t>
  </si>
  <si>
    <t>ko01040,ko04216</t>
  </si>
  <si>
    <t>Biosynthesis of unsaturated fatty acids|Ferroptosis</t>
  </si>
  <si>
    <t>28874-58-0</t>
  </si>
  <si>
    <t>C(CC(=O)O)CCC/C=C\C/C=C\C/C=C\C/C=C\CCCCC</t>
  </si>
  <si>
    <t>TWSWSIQAPQLDBP-DOFZRALJSA-N</t>
  </si>
  <si>
    <t>C22H36O2</t>
  </si>
  <si>
    <t>4.18_261.0869m/z</t>
  </si>
  <si>
    <t>1,2,3,4-Tetrahydro-B-Carboline-1,3-Dicarboxylic Acid</t>
  </si>
  <si>
    <t>HMDB0032102</t>
  </si>
  <si>
    <t>59132-30-8</t>
  </si>
  <si>
    <t>OC(=O)C1CC2=C(NC3=CC=CC=C23)C(N1)C(O)=O</t>
  </si>
  <si>
    <t>ZWMZDKZTZLGVRQ-UHFFFAOYSA-N</t>
  </si>
  <si>
    <t>C13H12N2O4</t>
  </si>
  <si>
    <t>0.73_191.1024m/z</t>
  </si>
  <si>
    <t>N-(Gamma-Glutamyl)Ethanolamine</t>
  </si>
  <si>
    <t>HMDB0039222</t>
  </si>
  <si>
    <t>2650-74-0</t>
  </si>
  <si>
    <t>NC(CCC(=O)NCCO)C(O)=O</t>
  </si>
  <si>
    <t>DGBJQQBLTDLFMF-UHFFFAOYSA-N</t>
  </si>
  <si>
    <t>C7H14N2O4</t>
  </si>
  <si>
    <t>4.81_319.2122m/z</t>
  </si>
  <si>
    <t>MG(0:0/i-12:0/0:0)</t>
  </si>
  <si>
    <t>HMDB0072858</t>
  </si>
  <si>
    <t>[H]C(CO)(CO)OC(=O)CCCCCCCCC(C)C</t>
  </si>
  <si>
    <t>BRNAOJQEJVYSDZ-UHFFFAOYSA-N</t>
  </si>
  <si>
    <t>C15H30O4</t>
  </si>
  <si>
    <t>4.95_355.1539m/z</t>
  </si>
  <si>
    <t>Tetrahydrocurcumin</t>
  </si>
  <si>
    <t>HMDB0005789</t>
  </si>
  <si>
    <t>36062-04-1</t>
  </si>
  <si>
    <t>COC1=CC(CCC(=O)CC(=O)CCC2=CC(OC)=C(O)C=C2)=CC=C1O</t>
  </si>
  <si>
    <t>LBTVHXHERHESKG-UHFFFAOYSA-N</t>
  </si>
  <si>
    <t>C21H24O6</t>
  </si>
  <si>
    <t>4.83_957.5111m/z</t>
  </si>
  <si>
    <t>PGP(18:0/20:3(8Z,11Z,14Z)-2OH(5,6))</t>
  </si>
  <si>
    <t>HMDB0272542</t>
  </si>
  <si>
    <t>[H][C@](O)(COP(O)(O)=O)COP(O)(=O)OC[C@@]([H])(COC(=O)CCCCCCCCCCCCCCCCC)OC(=O)CCCC(O)C(O)C\C=C/C\C=C/C\C=C/CCCCC</t>
  </si>
  <si>
    <t>DZSHICIIEKZSBL-NHUHNPLWSA-N</t>
  </si>
  <si>
    <t>C44H82O15P2</t>
  </si>
  <si>
    <t>1.06_186.1005n</t>
  </si>
  <si>
    <t>Alanylproline</t>
  </si>
  <si>
    <t>HMDB0028695</t>
  </si>
  <si>
    <t>13485-59-1</t>
  </si>
  <si>
    <t>C[C@H](N)C(=O)N1CCC[C@H]1C(O)=O</t>
  </si>
  <si>
    <t>WPWUFUBLGADILS-WDSKDSINSA-N</t>
  </si>
  <si>
    <t>C8H14N2O3</t>
  </si>
  <si>
    <t>4.44_533.1279m/z</t>
  </si>
  <si>
    <t>Sulfisoxazole</t>
  </si>
  <si>
    <t>HMDB0014408</t>
  </si>
  <si>
    <t>C07318</t>
  </si>
  <si>
    <t>127-69-5</t>
  </si>
  <si>
    <t>CC1=NOC(NS(=O)(=O)C2=CC=C(N)C=C2)=C1C</t>
  </si>
  <si>
    <t>NHUHCSRWZMLRLA-UHFFFAOYSA-N</t>
  </si>
  <si>
    <t>C11H13N3O3S</t>
  </si>
  <si>
    <t>4.19_279.0861m/z</t>
  </si>
  <si>
    <t>Anserine</t>
  </si>
  <si>
    <t>HMDB0000194</t>
  </si>
  <si>
    <t>C01262</t>
  </si>
  <si>
    <t>ko00340,ko00410</t>
  </si>
  <si>
    <t>Histidine metabolism|beta-Alanine metabolism</t>
  </si>
  <si>
    <t>584-85-0</t>
  </si>
  <si>
    <t>CN1C=NC=C1C[C@H](NC(=O)CCN)C(O)=O</t>
  </si>
  <si>
    <t>MYYIAHXIVFADCU-QMMMGPOBSA-N</t>
  </si>
  <si>
    <t>C10H16N4O3</t>
  </si>
  <si>
    <t>5.52_285.1482m/z</t>
  </si>
  <si>
    <t>Quinelorane</t>
  </si>
  <si>
    <t>HMDB0257038</t>
  </si>
  <si>
    <t>CCCN1CCCC2CC3=NC(N)=NC=C3CC12</t>
  </si>
  <si>
    <t>TUFADSGTJUOBEH-UHFFFAOYSA-N</t>
  </si>
  <si>
    <t>C14H22N4</t>
  </si>
  <si>
    <t>4.23_325.2120m/z</t>
  </si>
  <si>
    <t>Ibopamine</t>
  </si>
  <si>
    <t>HMDB0041906</t>
  </si>
  <si>
    <t>66195-31-1</t>
  </si>
  <si>
    <t>CNCCC1=CC(OC(=O)C(C)C)=C(OC(=O)C(C)C)C=C1</t>
  </si>
  <si>
    <t>WDKXLLJDNUBYCY-UHFFFAOYSA-N</t>
  </si>
  <si>
    <t>C17H25NO4</t>
  </si>
  <si>
    <t>2.43_388.9610m/z</t>
  </si>
  <si>
    <t>1-Hydroxy-2,5-Dioxopyrrolidine-3-Sulfonic Acid</t>
  </si>
  <si>
    <t>HMDB0243897</t>
  </si>
  <si>
    <t>ON1C(=O)CC(C1=O)S(O)(=O)=O</t>
  </si>
  <si>
    <t>GVJXGCIPWAVXJP-UHFFFAOYSA-N</t>
  </si>
  <si>
    <t>C4H5NO6S</t>
  </si>
  <si>
    <t>14.50_621.4718m/z</t>
  </si>
  <si>
    <t>Annoglaucin</t>
  </si>
  <si>
    <t>HMDB0029962</t>
  </si>
  <si>
    <t>164991-79-1</t>
  </si>
  <si>
    <t>CCCCCCCCCCC(O)C1CCC(O1)C1CCC(O1)C(O)CCCCC(O)CCCCCC(O)CC1=CC(C)OC1=O</t>
  </si>
  <si>
    <t>QFFLFGFTHVFFDL-UHFFFAOYSA-N</t>
  </si>
  <si>
    <t>C37H66O8</t>
  </si>
  <si>
    <t>6.43_357.1690m/z</t>
  </si>
  <si>
    <t>5-Hydroxyemedastine</t>
  </si>
  <si>
    <t>HMDB0060777</t>
  </si>
  <si>
    <t>CCOCCN1C(=NC2=C1C=CC(O)=C2)N1CCCN(C)CC1</t>
  </si>
  <si>
    <t>JNLXTCQXMDMAOC-UHFFFAOYSA-N</t>
  </si>
  <si>
    <t>C17H26N4O2</t>
  </si>
  <si>
    <t>10.67_546.2832m/z</t>
  </si>
  <si>
    <t>Glycerophospho-N-Arachidonoyl Ethanolamine</t>
  </si>
  <si>
    <t>201738-25-2</t>
  </si>
  <si>
    <t>CCCCCC=CCC=CCC=CCC=CCCCC(=O)NCCOP(=O)(O)OCC(CO)O</t>
  </si>
  <si>
    <t>PAGKVQGBMADPCS-DOFZRALJSA-N</t>
  </si>
  <si>
    <t>C25H44NO7P</t>
  </si>
  <si>
    <t>3.47_427.1210m/z</t>
  </si>
  <si>
    <t>Hastatoside</t>
  </si>
  <si>
    <t>HMDB0301945</t>
  </si>
  <si>
    <t>COC(=O)C1=COC(OC2OC(CO)C(O)C(O)C2O)C2C(C)CC(=O)C12O</t>
  </si>
  <si>
    <t>PRZVXHGUJJPSME-UHFFFAOYSA-N</t>
  </si>
  <si>
    <t>3.72_487.0847m/z</t>
  </si>
  <si>
    <t>4-Hydroxy-5-(3',4',5'-Trihydroxyphenyl)-Valeric Acid-O-Methyl-O-Glucuronide</t>
  </si>
  <si>
    <t>HMDB0059970</t>
  </si>
  <si>
    <t>OC(CCC(=O)OCO[C@@H]1O[C@@H]([C@@H](O)[C@H](O)[C@H]1O)C(O)=O)CC1=CC(O)=C(O)C(O)=C1</t>
  </si>
  <si>
    <t>GDEQVTXLETYPCM-GELMFUDPSA-N</t>
  </si>
  <si>
    <t>C18H24O13</t>
  </si>
  <si>
    <t>4.35_463.1470m/z</t>
  </si>
  <si>
    <t>Camphorsulfonic Acid</t>
  </si>
  <si>
    <t>HMDB0243496</t>
  </si>
  <si>
    <t>CC1(C)C2CCC1(CS(O)(=O)=O)C(=O)C2</t>
  </si>
  <si>
    <t>MIOPJNTWMNEORI-UHFFFAOYSA-N</t>
  </si>
  <si>
    <t>C10H16O4S</t>
  </si>
  <si>
    <t>3.82_359.0981m/z</t>
  </si>
  <si>
    <t>Nicotinuric Acid</t>
  </si>
  <si>
    <t>HMDB0003269</t>
  </si>
  <si>
    <t>C05380</t>
  </si>
  <si>
    <t>ko00760</t>
  </si>
  <si>
    <t>Nicotinate and nicotinamide metabolism</t>
  </si>
  <si>
    <t>583-08-4</t>
  </si>
  <si>
    <t>OC(=O)CNC(=O)C1=CN=CC=C1</t>
  </si>
  <si>
    <t>ZBSGKPYXQINNGF-UHFFFAOYSA-N</t>
  </si>
  <si>
    <t>C8H8N2O3</t>
  </si>
  <si>
    <t>4.69_747.2435m/z</t>
  </si>
  <si>
    <t>Famoxadone</t>
  </si>
  <si>
    <t>C18591</t>
  </si>
  <si>
    <t>131807-57-3</t>
  </si>
  <si>
    <t>CC1(C(=O)N(C(=O)O1)NC2=CC=CC=C2)C3=CC=C(C=C3)OC4=CC=CC=C4</t>
  </si>
  <si>
    <t>PCCSBWNGDMYFCW-UHFFFAOYSA-N</t>
  </si>
  <si>
    <t>C22H18N2O4</t>
  </si>
  <si>
    <t>12.52_791.4576m/z</t>
  </si>
  <si>
    <t>Melengestrol Acetate</t>
  </si>
  <si>
    <t>C14642</t>
  </si>
  <si>
    <t>CC1=CC2C(CCC3(C2CC(=C)C3(C(=O)C)OC(=O)C)C)C4(C1=CC(=O)CC4)C</t>
  </si>
  <si>
    <t>UDKABVSQKJNZBH-DWNQPYOZSA-N</t>
  </si>
  <si>
    <t>C25H32O4</t>
  </si>
  <si>
    <t>6.27_451.1971m/z</t>
  </si>
  <si>
    <t>(1r,3r,4r,5s,6s,8x)-1-Acetoxy-8-Angeloyloxy-3,4-Epoxy-5-Hydroxy-7(14),10-Bisaboladien-2-One</t>
  </si>
  <si>
    <t>HMDB0039971</t>
  </si>
  <si>
    <t>348113-03-1</t>
  </si>
  <si>
    <t>C\C=C(\C)C(=O)OC(CC=C(C)C)C(=C)C1C(O)C2OC2(C)C(=O)C1OC(C)=O</t>
  </si>
  <si>
    <t>NTVBUJOKRXFMAK-WQLSENKSSA-N</t>
  </si>
  <si>
    <t>C22H30O7</t>
  </si>
  <si>
    <t>11.14_337.1782m/z</t>
  </si>
  <si>
    <t>8e-Heptadecenedioic Acid</t>
  </si>
  <si>
    <t>LMFA01170053</t>
  </si>
  <si>
    <t>C(CCCCCC/C=C/CCCCCCCC(=O)O)(=O)O</t>
  </si>
  <si>
    <t>VDTSYDDUGXHLDV-OWOJBTEDSA-N</t>
  </si>
  <si>
    <t>C17H30O4</t>
  </si>
  <si>
    <t>3.72_427.1211m/z</t>
  </si>
  <si>
    <t>Gardenoside</t>
  </si>
  <si>
    <t>HMDB0252642</t>
  </si>
  <si>
    <t>COC(=O)C1=COC(OC2OC(CO)C(O)C(O)C2O)C2C1C=CC2(O)CO</t>
  </si>
  <si>
    <t>XJMPAUZQVRGFRE-UHFFFAOYSA-N</t>
  </si>
  <si>
    <t>5.21_423.2023m/z</t>
  </si>
  <si>
    <t>Hydroxycortisol</t>
  </si>
  <si>
    <t>HMDB0253262</t>
  </si>
  <si>
    <t>CC12CC(O)C3C(CCC4=CC(=O)CC(O)C34C)C1CCC2(O)C(=O)CO</t>
  </si>
  <si>
    <t>BCALPEWDVGLCAU-UHFFFAOYSA-N</t>
  </si>
  <si>
    <t>C21H30O6</t>
  </si>
  <si>
    <t>8.60_507.2596m/z</t>
  </si>
  <si>
    <t>4-[(2-Methyl-3-Furanyl)Thio]-5-Nonanone</t>
  </si>
  <si>
    <t>HMDB0037141</t>
  </si>
  <si>
    <t>61295-50-9</t>
  </si>
  <si>
    <t>CCCCC(=O)C(CCC)SC1=C(C)OC=C1</t>
  </si>
  <si>
    <t>PEYZZTQOVLTVHN-UHFFFAOYSA-N</t>
  </si>
  <si>
    <t>C14H22O2S</t>
  </si>
  <si>
    <t>5.03_631.2386m/z</t>
  </si>
  <si>
    <t>Hydrolysis Product Of Bussein</t>
  </si>
  <si>
    <t>CC(C)C(=C1C2C(C(C(C34C25C(C6(C(C7(CC6(C3(C7CC(=O)O)C)OC(O4)(O5)C)C)O)O)O)O)O)(C(OC1=O)C8=COC=C8)C)O</t>
  </si>
  <si>
    <t>FLRUCNJMPLRHQE-MYAXKPMNSA-N</t>
  </si>
  <si>
    <t>C32H40O14</t>
  </si>
  <si>
    <t>5.01_163.0752m/z</t>
  </si>
  <si>
    <t>O-Methoxyhydrocinnamic Acid</t>
  </si>
  <si>
    <t>COC1=CC=CC=C1CCC(=O)O</t>
  </si>
  <si>
    <t>XSZSNLOPIWWFHS-UHFFFAOYSA-N</t>
  </si>
  <si>
    <t>C10H12O3</t>
  </si>
  <si>
    <t>8.78_328.2480m/z</t>
  </si>
  <si>
    <t>13s-Hpotre(Gamma)</t>
  </si>
  <si>
    <t>LMFA02000112</t>
  </si>
  <si>
    <t>121107-97-9</t>
  </si>
  <si>
    <t>C(=C/C/C=C\C=C\C(OO)CCCCC)/CCCCC(=O)O</t>
  </si>
  <si>
    <t>LYFGXCQTRBQQMX-YSHIPJNPSA-N</t>
  </si>
  <si>
    <t>10.11_478.2918m/z</t>
  </si>
  <si>
    <t>PE(18:2(9Z,12Z)/0:0)</t>
  </si>
  <si>
    <t>HMDB0011507</t>
  </si>
  <si>
    <t>LMGP02050011</t>
  </si>
  <si>
    <t>85046-18-0</t>
  </si>
  <si>
    <t>[C@](COP(=O)(O)OCCN)([H])(O)COC(CCCCCCC/C=C\C/C=C\CCCCC)=O</t>
  </si>
  <si>
    <t>DBHKHNGBVGWQJE-USWSLJGRSA-N</t>
  </si>
  <si>
    <t>C23H44NO7P</t>
  </si>
  <si>
    <t>9.39_271.1914m/z</t>
  </si>
  <si>
    <t>Betahistine</t>
  </si>
  <si>
    <t>HMDB0015644</t>
  </si>
  <si>
    <t>5638-76-6</t>
  </si>
  <si>
    <t>CNCCC1=CC=CC=N1</t>
  </si>
  <si>
    <t>UUQMNUMQCIQDMZ-UHFFFAOYSA-N</t>
  </si>
  <si>
    <t>C8H12N2</t>
  </si>
  <si>
    <t>1.65_278.0330m/z</t>
  </si>
  <si>
    <t>Caffeic Acid 3-O-Sulfate</t>
  </si>
  <si>
    <t>HMDB0041706</t>
  </si>
  <si>
    <t>151481-52-6</t>
  </si>
  <si>
    <t>OC(=O)\C=C\C1=CC(OS(O)(=O)=O)=C(O)C=C1</t>
  </si>
  <si>
    <t>VWQNTRNACRFUCQ-DUXPYHPUSA-N</t>
  </si>
  <si>
    <t>C9H8O7S</t>
  </si>
  <si>
    <t>11.12_285.1695m/z</t>
  </si>
  <si>
    <t>Daumone-3</t>
  </si>
  <si>
    <t>LMFA13040004</t>
  </si>
  <si>
    <t>O([C@@H](CCCC/C=C/C(=O)O)C)[C@H]1[C@H](O)C[C@@H](O)[C@H](C)O1</t>
  </si>
  <si>
    <t>MWGRRKDIJLJLMO-OSYKULTDSA-N</t>
  </si>
  <si>
    <t>C15H26O6</t>
  </si>
  <si>
    <t>6.37_583.2400m/z</t>
  </si>
  <si>
    <t>Lymecycline</t>
  </si>
  <si>
    <t>HMDB0014401</t>
  </si>
  <si>
    <t>992-21-2</t>
  </si>
  <si>
    <t>[H][C@@]12C[C@@]3([H])C(C(=O)C4=C(O)C=CC=C4[C@@]3(C)O)=C(O)[C@]1(O)C(=O)C(C(=O)NCNCCCC[C@H](N)C(O)=O)=C(O)[C@H]2N(C)C</t>
  </si>
  <si>
    <t>AHEVKYYGXVEWNO-UEPZRUIBSA-N</t>
  </si>
  <si>
    <t>C29H38N4O10</t>
  </si>
  <si>
    <t>6.82_415.2335m/z</t>
  </si>
  <si>
    <t>Pilocarpine</t>
  </si>
  <si>
    <t>HMDB0015217</t>
  </si>
  <si>
    <t>C07474</t>
  </si>
  <si>
    <t>54-71-7</t>
  </si>
  <si>
    <t>CC[C@H]1[C@@H](CC2=CN=CN2C)COC1=O</t>
  </si>
  <si>
    <t>QCHFTSOMWOSFHM-WPRPVWTQSA-N</t>
  </si>
  <si>
    <t>C11H16N2O2</t>
  </si>
  <si>
    <t>0.55_241.0018m/z</t>
  </si>
  <si>
    <t>Tyrphostin A25</t>
  </si>
  <si>
    <t>HMDB0259357</t>
  </si>
  <si>
    <t>118409-58-8</t>
  </si>
  <si>
    <t>OC1=CC(C=C(C#N)C#N)=CC(O)=C1O</t>
  </si>
  <si>
    <t>YZOFLYUAQDJWKV-UHFFFAOYSA-N</t>
  </si>
  <si>
    <t>C10H6N2O3</t>
  </si>
  <si>
    <t>2.82_491.1403m/z</t>
  </si>
  <si>
    <t>Trioxyethylene Dimethacrylate</t>
  </si>
  <si>
    <t>HMDB0259257</t>
  </si>
  <si>
    <t>CC(=C)C(=O)OCCOOOOC(=O)C(C)=C</t>
  </si>
  <si>
    <t>HRDHVEJYLMDQGM-UHFFFAOYSA-N</t>
  </si>
  <si>
    <t>C10H14O7</t>
  </si>
  <si>
    <t>10.70_742.4486n</t>
  </si>
  <si>
    <t>Alliosterol 1-Rhamnoside 16-Galactoside</t>
  </si>
  <si>
    <t>HMDB0038345</t>
  </si>
  <si>
    <t>289690-78-4</t>
  </si>
  <si>
    <t>CC(C)CCC(O)C(C)C1C(CC2C3CC=C4CC(O)CC(OC5OC(C)C(O)C(O)C5O)C4(C)C3CCC12C)OC1OC(CO)C(O)C(O)C1O</t>
  </si>
  <si>
    <t>UFOUZKFFEDCDRA-UHFFFAOYSA-N</t>
  </si>
  <si>
    <t>C39H66O13</t>
  </si>
  <si>
    <t>4.58_460.1731n</t>
  </si>
  <si>
    <t>Eruberin A</t>
  </si>
  <si>
    <t>LMPK12020167</t>
  </si>
  <si>
    <t>C1(O)=C(C)C2O[C@@H](C3C=CC(OC)=CC=3)CC3O[C@@H]4[C@@H](O)[C@H](O)[C@@H](CO)O[C@H]4OC(C=23)=C1C</t>
  </si>
  <si>
    <t>BVWNFYIRLQDZHV-AGPJMPNYSA-N</t>
  </si>
  <si>
    <t>C24H28O9</t>
  </si>
  <si>
    <t>8.22_555.2807m/z</t>
  </si>
  <si>
    <t>Sarcoehrendin A</t>
  </si>
  <si>
    <t>LMFA03010222</t>
  </si>
  <si>
    <t>[C@H]1(/C=C/[C@@H](OC(C)=O)CCC(OC(=O)C)CC)[C@H](OC(=O)C)C[C@H](O)[C@@H]1C/C=C\CCCC(=O)OC</t>
  </si>
  <si>
    <t>IRWUSEQYOHQTHP-KHBMTRKYSA-N</t>
  </si>
  <si>
    <t>10.66_556.3172m/z</t>
  </si>
  <si>
    <t>Fosteabine</t>
  </si>
  <si>
    <t>HMDB0252470</t>
  </si>
  <si>
    <t>CCCCCCCCCCCCCCCCCCOP(O)(=O)OCC1OC(C(O)C1O)N1C=CC(N)=NC1=O</t>
  </si>
  <si>
    <t>YJTVZHOYBAOUTO-UHFFFAOYSA-N</t>
  </si>
  <si>
    <t>C27H50N3O8P</t>
  </si>
  <si>
    <t>4.13_546.1440m/z</t>
  </si>
  <si>
    <t>(S)-2,3-Dihydro-3,5-Dihydroxy-2-Oxo-3-Indoleacetic Acid 5-[Glucosyl-(1-&gt;4)-B-D-Glucoside]</t>
  </si>
  <si>
    <t>HMDB0034675</t>
  </si>
  <si>
    <t>218604-48-9</t>
  </si>
  <si>
    <t>OCC1OC(OC2C(O)C(O)C(OC3=CC4=C(NC(=O)C4(O)CC(O)=O)C=C3)OC2CO)C(O)C(O)C1O</t>
  </si>
  <si>
    <t>ADONHDUDLSXBIZ-UHFFFAOYSA-N</t>
  </si>
  <si>
    <t>C22H29NO15</t>
  </si>
  <si>
    <t>9.22_377.0234m/z</t>
  </si>
  <si>
    <t>Casoxin D</t>
  </si>
  <si>
    <t>HMDB0303768</t>
  </si>
  <si>
    <t>CC(C)OC(F)(F)C(F)(F)C(F)(F)C(F)(F)C(F)(F)C(F)(F)F</t>
  </si>
  <si>
    <t>INBRDFNDLUBSKE-UHFFFAOYSA-N</t>
  </si>
  <si>
    <t>C9H7F13O</t>
  </si>
  <si>
    <t>0.77_213.1595m/z</t>
  </si>
  <si>
    <t>2-Hydroxymexiletine</t>
  </si>
  <si>
    <t>HMDB0060953</t>
  </si>
  <si>
    <t>53566-98-6</t>
  </si>
  <si>
    <t>CC(N)COC1=C(C)C=CC=C1CO</t>
  </si>
  <si>
    <t>XMJYSMLLWRQQAE-UHFFFAOYSA-N</t>
  </si>
  <si>
    <t>C11H17NO2</t>
  </si>
  <si>
    <t>9.15_599.2863m/z</t>
  </si>
  <si>
    <t>Bifenazate</t>
  </si>
  <si>
    <t>C18589</t>
  </si>
  <si>
    <t>149877-41-8</t>
  </si>
  <si>
    <t>CC(C)OC(=O)NNC1=C(C=CC(=C1)C2=CC=CC=C2)OC</t>
  </si>
  <si>
    <t>VHLKTXFWDRXILV-UHFFFAOYSA-N</t>
  </si>
  <si>
    <t>C17H20N2O3</t>
  </si>
  <si>
    <t>0.64_158.0125m/z</t>
  </si>
  <si>
    <t>Sulfoacetic Acid</t>
  </si>
  <si>
    <t>HMDB0258590</t>
  </si>
  <si>
    <t>C14179</t>
  </si>
  <si>
    <t>ko00430</t>
  </si>
  <si>
    <t>Taurine and hypotaurine metabolism</t>
  </si>
  <si>
    <t>123-43-3</t>
  </si>
  <si>
    <t>OC(=O)CS(O)(=O)=O</t>
  </si>
  <si>
    <t>AGGIJOLULBJGTQ-UHFFFAOYSA-N</t>
  </si>
  <si>
    <t>C2H4O5S</t>
  </si>
  <si>
    <t>4.11_222.0759m/z</t>
  </si>
  <si>
    <t>1,4-Dihydroxy-2-Naphthoic Acid</t>
  </si>
  <si>
    <t>HMDB0244212</t>
  </si>
  <si>
    <t>C03657</t>
  </si>
  <si>
    <t>31519-22-9</t>
  </si>
  <si>
    <t>OC(=O)C1=C(O)C2=CC=CC=C2C(O)=C1</t>
  </si>
  <si>
    <t>VOJUXHHACRXLTD-UHFFFAOYSA-N</t>
  </si>
  <si>
    <t>11.23_801.4635m/z</t>
  </si>
  <si>
    <t>Vinaginsenoside R14</t>
  </si>
  <si>
    <t>HMDB0040779</t>
  </si>
  <si>
    <t>156398-73-1</t>
  </si>
  <si>
    <t>CC(O)(CO)C1CCC(C)(O1)C1CCC2(C)C1C(O)CC1C3(C)CCC(O)C(C)(C)C3C(CC21C)OC1OC(CO)C(O)C(O)C1OC1OCC(O)C(O)C1O</t>
  </si>
  <si>
    <t>OIKCVRSUBPKDNH-UHFFFAOYSA-N</t>
  </si>
  <si>
    <t>C41H70O15</t>
  </si>
  <si>
    <t>10.13_552.2310m/z</t>
  </si>
  <si>
    <t>Pegnivacogin</t>
  </si>
  <si>
    <t>HMDB0256202</t>
  </si>
  <si>
    <t>COCCOC(=O)NCCCCC(NC(=O)OCCOC)C(=O)NCCCCCCOP(O)(O)=O</t>
  </si>
  <si>
    <t>QGVYYLZOAMMKAH-UHFFFAOYSA-N</t>
  </si>
  <si>
    <t>C20H40N3O11P</t>
  </si>
  <si>
    <t>4.22_425.2180m/z</t>
  </si>
  <si>
    <t>[6]-Gingerdiol 3,5-Diacetate</t>
  </si>
  <si>
    <t>HMDB0040568</t>
  </si>
  <si>
    <t>143615-75-2</t>
  </si>
  <si>
    <t>CCCCCC(CC(CCC1=CC(OC)=C(O)C=C1)OC(C)=O)OC(C)=O</t>
  </si>
  <si>
    <t>PXBFKEHWQRAQQD-UHFFFAOYSA-N</t>
  </si>
  <si>
    <t>C21H32O6</t>
  </si>
  <si>
    <t>0.92_321.9617m/z</t>
  </si>
  <si>
    <t>Amino Tri(Methylene Phosphonic Acid), Sodium Salt</t>
  </si>
  <si>
    <t>HMDB0303193</t>
  </si>
  <si>
    <t>[Na+].OP(O)(=O)CN(CP(O)(O)=O)CP(O)([O-])=O</t>
  </si>
  <si>
    <t>RCUMDGGJOOTRBS-UHFFFAOYSA-M</t>
  </si>
  <si>
    <t>C3H11NNaO9P3</t>
  </si>
  <si>
    <t>10.14_525.2493m/z</t>
  </si>
  <si>
    <t>Demethylzeylasteral</t>
  </si>
  <si>
    <t>HMDB0250994</t>
  </si>
  <si>
    <t>CC12CCC(C)(CC1C1(C)CCC3(C)C4=CC(O)=C(O)C(C=O)=C4C(=O)C=C3C1(C)CC2)C(O)=O</t>
  </si>
  <si>
    <t>ZDZSFWLPCFRASW-UHFFFAOYSA-N</t>
  </si>
  <si>
    <t>4.26_573.2524m/z</t>
  </si>
  <si>
    <t>Rociletinib</t>
  </si>
  <si>
    <t>HMDB0257287</t>
  </si>
  <si>
    <t>COC1=CC(=CC=C1NC1=NC=C(C(NC2=CC=CC(NC(=O)C=C)=C2)=N1)C(F)(F)F)N1CCN(CC1)C(C)=O</t>
  </si>
  <si>
    <t>HUFOZJXAKZVRNJ-UHFFFAOYSA-N</t>
  </si>
  <si>
    <t>C27H28F3N7O3</t>
  </si>
  <si>
    <t>10.97_461.3271m/z</t>
  </si>
  <si>
    <t>(23r)-23,25-Dihydroxyvitamin D3 / (23r)-23,25-Dihydroxycholecalciferol</t>
  </si>
  <si>
    <t>LMST03020271</t>
  </si>
  <si>
    <t>C1C(=C)/C(=C\C=C2\[C@]3([H])CC[C@@]([H])([C@@]3(C)CCC\2)[C@]([H])(C)C[C@@H](O)CC(O)(C)C)/C[C@@H](O)C1</t>
  </si>
  <si>
    <t>JVBPQHSRTHJMLM-WORHRCAZSA-N</t>
  </si>
  <si>
    <t>C27H44O3</t>
  </si>
  <si>
    <t>3.82_489.2183m/z</t>
  </si>
  <si>
    <t>N-Hexamethylene N',N''-Diethylene Thiophosphoramide</t>
  </si>
  <si>
    <t>HMDB0259536</t>
  </si>
  <si>
    <t>S=P(N1CC1)(N1CC1)N1CCCCCC1</t>
  </si>
  <si>
    <t>IAQOECAZMQEZLI-UHFFFAOYSA-N</t>
  </si>
  <si>
    <t>C10H20N3PS</t>
  </si>
  <si>
    <t>4.63_221.0808m/z</t>
  </si>
  <si>
    <t>Tubaic Acid</t>
  </si>
  <si>
    <t>CC(=C)C1CC2=C(O1)C=CC(=C2O)C(=O)O</t>
  </si>
  <si>
    <t>CMXGHLJKXLIMAQ-UHFFFAOYSA-N</t>
  </si>
  <si>
    <t>13.28_373.2824n</t>
  </si>
  <si>
    <t>3-Hydroxytridecanoyl Carnitine</t>
  </si>
  <si>
    <t>HMDB0061639</t>
  </si>
  <si>
    <t>CCCCCCCCCCC(O)CC(=O)OC(CC([O-])=O)C[N+](C)(C)C</t>
  </si>
  <si>
    <t>DOFFCMLMRQLXPK-UHFFFAOYSA-N</t>
  </si>
  <si>
    <t>C20H39NO5</t>
  </si>
  <si>
    <t>12.55_405.3359m/z</t>
  </si>
  <si>
    <t>1,25-Dihydroxy-19-Norvitamin D3</t>
  </si>
  <si>
    <t>HMDB0244153</t>
  </si>
  <si>
    <t>CC(CCCC(C)(C)O)C1CCC2C(CCCC12C)=CC=C1CC(O)CC(O)C1</t>
  </si>
  <si>
    <t>PKFBWEUIKKCWEW-UHFFFAOYSA-N</t>
  </si>
  <si>
    <t>C26H44O3</t>
  </si>
  <si>
    <t>9.16_451.2114m/z</t>
  </si>
  <si>
    <t>Sofalcone</t>
  </si>
  <si>
    <t>HMDB0042013</t>
  </si>
  <si>
    <t>64506-49-6</t>
  </si>
  <si>
    <t>CC(C)=CCOC1=CC=C(\C=C\C(=O)C2=C(OCC(O)=O)C=C(OCC=C(C)C)C=C2)C=C1</t>
  </si>
  <si>
    <t>GFWRVVCDTLRWPK-KPKJPENVSA-N</t>
  </si>
  <si>
    <t>C27H30O6</t>
  </si>
  <si>
    <t>6.46_643.2365m/z</t>
  </si>
  <si>
    <t>Finrozole</t>
  </si>
  <si>
    <t>HMDB0252263</t>
  </si>
  <si>
    <t>OC(CC1=CC=C(F)C=C1)C(N1C=NC=N1)C1=CC=C(C=C1)C#N</t>
  </si>
  <si>
    <t>SLJZVZKQYSKYNV-UHFFFAOYSA-N</t>
  </si>
  <si>
    <t>C18H15FN4O</t>
  </si>
  <si>
    <t>0.77_333.0631m/z</t>
  </si>
  <si>
    <t>Chlorogenoquinone</t>
  </si>
  <si>
    <t>HMDB0029383</t>
  </si>
  <si>
    <t>24321-18-4</t>
  </si>
  <si>
    <t>OC1CC(O)(CC(OC(=O)\C=C/C2=CC(=O)C(=O)C=C2)C1O)C(O)=O</t>
  </si>
  <si>
    <t>ITENTBHADJNDDH-RQOWECAXSA-N</t>
  </si>
  <si>
    <t>C16H16O9</t>
  </si>
  <si>
    <t>0.71_381.0971m/z</t>
  </si>
  <si>
    <t>Carpachromene</t>
  </si>
  <si>
    <t>LMPK12110426</t>
  </si>
  <si>
    <t>C12C(=O)C=C(C3C=CC(O)=CC=3)OC=1C=C1OC(C)(C)C=CC1=C2O</t>
  </si>
  <si>
    <t>YXOATFKTEDZPFL-UHFFFAOYSA-N</t>
  </si>
  <si>
    <t>C20H16O5</t>
  </si>
  <si>
    <t>9.68_1024.2743m/z</t>
  </si>
  <si>
    <t>Cyanidin 3-(6''-Sinapylsophoroside)-5-Glucoside</t>
  </si>
  <si>
    <t>LMPK12010178</t>
  </si>
  <si>
    <t>C1(O)=CC2[O+]=C(C3C=C(O)C(O)=CC=3)C(O[C@H]3[C@H](O[C@H]4[C@H](O)[C@@H](O)[C@H](O)[C@@H](CO)O4)[C@@H](O)[C@H](O)[C@@H](COC(/C=C/C4C=C(OC)C(O)=C(OC)C=4)=O)O3)=CC=2C(O[C@H]2[C@H](O)[C@@H](O)[C@H](O)[C@@H](CO)O2)=C1</t>
  </si>
  <si>
    <t>UZRSWPNTHVIECF-YHDFJKEDSA-O</t>
  </si>
  <si>
    <t>C44H51O25+</t>
  </si>
  <si>
    <t>4.57_303.1225m/z</t>
  </si>
  <si>
    <t>2-Fluoroadenosine</t>
  </si>
  <si>
    <t>HMDB0245130</t>
  </si>
  <si>
    <t>NC1=NC(F)=NC2=C1N=CN2C1OC(CO)C(O)C1O</t>
  </si>
  <si>
    <t>HBUBKKRHXORPQB-UHFFFAOYSA-N</t>
  </si>
  <si>
    <t>C10H12FN5O4</t>
  </si>
  <si>
    <t>5.33_469.2438m/z</t>
  </si>
  <si>
    <t>Trilaciclib</t>
  </si>
  <si>
    <t>HMDB0304899</t>
  </si>
  <si>
    <t>CN1CCN(CC1)C1=CN=C(NC2=NC3=C(C=C4N3C3(CCCCC3)CNC4=O)C=N2)C=C1</t>
  </si>
  <si>
    <t>PDGKHKMBHVFCMG-UHFFFAOYSA-N</t>
  </si>
  <si>
    <t>C24H30N8O</t>
  </si>
  <si>
    <t>3.68_226.0718n</t>
  </si>
  <si>
    <t>Lysine Phosphoester</t>
  </si>
  <si>
    <t>HMDB0254265</t>
  </si>
  <si>
    <t>NCCCCC(N)C(=O)OP(O)(O)=O</t>
  </si>
  <si>
    <t>UGPVGRMTKQLUNS-UHFFFAOYSA-N</t>
  </si>
  <si>
    <t>C6H15N2O5P</t>
  </si>
  <si>
    <t>11.67_150.1043n</t>
  </si>
  <si>
    <t>Eucarvone</t>
  </si>
  <si>
    <t>HMDB0302916</t>
  </si>
  <si>
    <t>C16955</t>
  </si>
  <si>
    <t>503-93-5</t>
  </si>
  <si>
    <t>CC1=CC=CC(C)(C)CC1=O</t>
  </si>
  <si>
    <t>QNGQIURXCUHNAT-UHFFFAOYSA-N</t>
  </si>
  <si>
    <t>5.18_319.0810m/z</t>
  </si>
  <si>
    <t>Lecanoric Acid</t>
  </si>
  <si>
    <t>LMPK13080001</t>
  </si>
  <si>
    <t>C02868</t>
  </si>
  <si>
    <t>C1(C(O)=CC(O)=CC=1C)C(=O)OC1C=C(C(C(=O)O)=C(C)C=1)O</t>
  </si>
  <si>
    <t>HEMSJKZDHNSSEW-UHFFFAOYSA-N</t>
  </si>
  <si>
    <t>C16H14O7</t>
  </si>
  <si>
    <t>5.60_453.2128m/z</t>
  </si>
  <si>
    <t>Cascarillin</t>
  </si>
  <si>
    <t>HMDB0036836</t>
  </si>
  <si>
    <t>C09071</t>
  </si>
  <si>
    <t>10118-56-6</t>
  </si>
  <si>
    <t>CC1C(CC2(C)C(CCC(O)C2(C)O)C1(CC(O)C1=COC=C1)C=O)OC(C)=O</t>
  </si>
  <si>
    <t>ZOWKQQIGQBVKSV-UHFFFAOYSA-N</t>
  </si>
  <si>
    <t>C22H32O7</t>
  </si>
  <si>
    <t>2.05_437.0637m/z</t>
  </si>
  <si>
    <t>7-Deoxydoxorubicinone</t>
  </si>
  <si>
    <t>HMDB0247245</t>
  </si>
  <si>
    <t>COC1=CC=CC2=C1C(=O)C1=C(C(O)=C3CC(O)(CCC3=C1O)C(=O)CO)C2=O</t>
  </si>
  <si>
    <t>QHGFPRZWWKUHKF-UHFFFAOYSA-N</t>
  </si>
  <si>
    <t>C21H18O8</t>
  </si>
  <si>
    <t>4.90_291.1221m/z</t>
  </si>
  <si>
    <t>Dmaba-D6 Nhs Ester</t>
  </si>
  <si>
    <t>1175002-04-6</t>
  </si>
  <si>
    <t>FNGFZOAQGYOQTG-WFGJKAKNSA-N</t>
  </si>
  <si>
    <t>C13H8D6N2O4</t>
  </si>
  <si>
    <t>7.32_323.1085m/z</t>
  </si>
  <si>
    <t>N-(2-Hydroxyethyl)Ethylenediaminetriacetic Acid</t>
  </si>
  <si>
    <t>HMDB0244676</t>
  </si>
  <si>
    <t>OCCN(CCN(CC(O)=O)CC(O)=O)CC(O)=O</t>
  </si>
  <si>
    <t>URDCARMUOSMFFI-UHFFFAOYSA-N</t>
  </si>
  <si>
    <t>C10H18N2O7</t>
  </si>
  <si>
    <t>10.13_417.2610m/z</t>
  </si>
  <si>
    <t>Alfentanil</t>
  </si>
  <si>
    <t>HMDB0014940</t>
  </si>
  <si>
    <t>C08005</t>
  </si>
  <si>
    <t>71195-58-9</t>
  </si>
  <si>
    <t>CCN1N=NN(CCN2CCC(COC)(CC2)N(C(=O)CC)C2=CC=CC=C2)C1=O</t>
  </si>
  <si>
    <t>IDBPHNDTYPBSNI-UHFFFAOYSA-N</t>
  </si>
  <si>
    <t>C21H32N6O3</t>
  </si>
  <si>
    <t>3.75_289.0715m/z</t>
  </si>
  <si>
    <t>L-Tyrosine Ethyl Ester Hydrochloride</t>
  </si>
  <si>
    <t>HMDB0301756</t>
  </si>
  <si>
    <t>4089-07-0</t>
  </si>
  <si>
    <t>Cl.CCOC(=O)C(N)CC1=CC=C(O)C=C1</t>
  </si>
  <si>
    <t>BQULAXAVRFIAHN-UHFFFAOYSA-N</t>
  </si>
  <si>
    <t>C11H15ClNO3</t>
  </si>
  <si>
    <t>1.06_261.1211n</t>
  </si>
  <si>
    <t>Methylmalonylcarnitine</t>
  </si>
  <si>
    <t>HMDB0013133</t>
  </si>
  <si>
    <t>256928-70-8</t>
  </si>
  <si>
    <t>C[C@H](C(O)=O)C(=O)O[C@H](CC(O)=O)C[N+](C)(C)C</t>
  </si>
  <si>
    <t>XROYFEWIXXCPAW-HTQZYQBOSA-O</t>
  </si>
  <si>
    <t>C11H19NO6</t>
  </si>
  <si>
    <t>9.71_982.2632m/z</t>
  </si>
  <si>
    <t>5-(3-Methyl-5-Pentylfuran-2-Yl)Pentanoyl-Coa</t>
  </si>
  <si>
    <t>HMDB0301591</t>
  </si>
  <si>
    <t>CCCCCC1=CC(C)=C(CCCCC(=O)SCCNC(=O)CCNC(=O)C(O)C(C)(C)COP(O)(=O)OP(O)(=O)OCC2OC(C(O)C2OP(O)(O)=O)N2C=NC3=C2N=CN=C3N)O1</t>
  </si>
  <si>
    <t>YMMAZIAXSKQKEF-UHFFFAOYSA-N</t>
  </si>
  <si>
    <t>C36H58N7O18P3S</t>
  </si>
  <si>
    <t>5.54_481.1138m/z</t>
  </si>
  <si>
    <t>Apigenin 7-(6''-Crotonylglucoside)</t>
  </si>
  <si>
    <t>LMPK12110390</t>
  </si>
  <si>
    <t>C1(O[C@H]2[C@H](O)[C@@H](O)[C@H](O)[C@@H](COC(/C=C/C)=O)O2)=CC2OC(C3C=CC(O)=CC=3)=CC(=O)C=2C(O)=C1</t>
  </si>
  <si>
    <t>CWIZJGIOHRXGPF-WSUCEEDKSA-N</t>
  </si>
  <si>
    <t>C25H24O11</t>
  </si>
  <si>
    <t>10.53_965.5083m/z</t>
  </si>
  <si>
    <t>Arvensoside A</t>
  </si>
  <si>
    <t>C08923</t>
  </si>
  <si>
    <t>110219-89-1</t>
  </si>
  <si>
    <t>CC1(CCC2(CCC3(C(=CCC4C3(CCC5C4(CCC(C5(C)C)OC6C(C(C(C(O6)CO)O)OC7C(C(C(C(O7)CO)O)O)O)O)C)C)C2C1)C)C(=O)OC8C(C(C(C(O8)CO)O)O)O)C</t>
  </si>
  <si>
    <t>MHCDFIFLMYBWIV-PLLMSDPHSA-N</t>
  </si>
  <si>
    <t>C48H78O18</t>
  </si>
  <si>
    <t>9.42_787.1878m/z</t>
  </si>
  <si>
    <t>Patuletin 3-Glucosyl-(1-&gt;6)[Apiosyl-(1-&gt;2)-Glucoside]</t>
  </si>
  <si>
    <t>HMDB0037542</t>
  </si>
  <si>
    <t>LMPK12112896</t>
  </si>
  <si>
    <t>101021-30-1</t>
  </si>
  <si>
    <t>C1(O)=CC2OC(C3C=C(O)C(O)=CC=3)=C(OC3OC(COC4OC(CO)C(O)C(O)C4O)C(O)C(O)C3OC3OCC(CO)(O)C3O)C(=O)C=2C(O)=C1OC</t>
  </si>
  <si>
    <t>IQBTXBIIGNASBG-UHFFFAOYSA-N</t>
  </si>
  <si>
    <t>C33H40O22</t>
  </si>
  <si>
    <t>4.75_349.2580m/z</t>
  </si>
  <si>
    <t>Dodecyl Glucoside</t>
  </si>
  <si>
    <t>59122-55-3</t>
  </si>
  <si>
    <t>CCCCCCCCCCCCOC1C(C(C(C(O1)CO)O)O)O</t>
  </si>
  <si>
    <t>PYIDGJJWBIBVIA-UYTYNIKBSA-N</t>
  </si>
  <si>
    <t>C18H36O6</t>
  </si>
  <si>
    <t>5.30_332.1236n</t>
  </si>
  <si>
    <t>(2,3-Diphenylcyclopropyl)Methyl Phenyl Sulfoxide</t>
  </si>
  <si>
    <t>HMDB0062791</t>
  </si>
  <si>
    <t>O=S(CC1C(C1C1=CC=CC=C1)C1=CC=CC=C1)C1=CC=CC=C1</t>
  </si>
  <si>
    <t>MVULGCSHGFLUBH-UHFFFAOYSA-N</t>
  </si>
  <si>
    <t>C22H20OS</t>
  </si>
  <si>
    <t>4.63_546.1712n</t>
  </si>
  <si>
    <t>Gmp-N-Epsilon-(N-Alpha-Acetyl Lysine Methyl Ester) 5'-Phosphoramidate</t>
  </si>
  <si>
    <t>HMDB0304375</t>
  </si>
  <si>
    <t>COC(=O)C(CCCCNP([O-])(=O)OCC1OC(C(O)C1O)N1C=NC2=C1N=C(N)NC2=O)NC(C)=O</t>
  </si>
  <si>
    <t>CFNHKQLBSCCNGG-UHFFFAOYSA-M</t>
  </si>
  <si>
    <t>C19H29N7O10P-</t>
  </si>
  <si>
    <t>5.62_339.2528m/z</t>
  </si>
  <si>
    <t>3-Dehydrosphinganinium(1+)</t>
  </si>
  <si>
    <t>HMDB0062571</t>
  </si>
  <si>
    <t>[H][C@]([NH3+])(CO)C(=O)CCCCCCCCCCCCCCC</t>
  </si>
  <si>
    <t>KBUNOSOGGAARKZ-KRWDZBQOSA-O</t>
  </si>
  <si>
    <t>C18H38NO2+</t>
  </si>
  <si>
    <t>7.12_580.3075m/z</t>
  </si>
  <si>
    <t>(25r)-3alpha,7alpha-Dihydroxy-5beta-Cholestan-27-Oyl Taurine</t>
  </si>
  <si>
    <t>LMST05040008</t>
  </si>
  <si>
    <t>C1[C@]2(C)[C@@]3([H])CC[C@]4(C)[C@@]([H])([C@]([H])(C)CCC[C@@]([H])(C)C(=O)NCCS(O)(=O)=O)CC[C@@]4([H])[C@]3([H])[C@H](O)C[C@]2([H])C[C@H](O)C1</t>
  </si>
  <si>
    <t>JPTLXYYSWLLUOV-KTWWJORASA-N</t>
  </si>
  <si>
    <t>C29H51NO6S</t>
  </si>
  <si>
    <t>5.60_553.2652m/z</t>
  </si>
  <si>
    <t>Sarcoehrendin D</t>
  </si>
  <si>
    <t>LMFA03010225</t>
  </si>
  <si>
    <t>[C@H]1(/C=C/[C@@H](OC(C)=O)CCC(=O)CC)[C@H](OC(=O)C)C[C@H](OC(=O)C)[C@@H]1C/C=C\CCCC(=O)OC</t>
  </si>
  <si>
    <t>FOGILNKKGAILOG-PHYNBBKZSA-N</t>
  </si>
  <si>
    <t>C27H40O9</t>
  </si>
  <si>
    <t>4.22_443.1194m/z</t>
  </si>
  <si>
    <t>Cbha</t>
  </si>
  <si>
    <t>174664-65-4</t>
  </si>
  <si>
    <t>C1=CC(=CC(=C1)C(=O)NO)C=CC(=O)NO</t>
  </si>
  <si>
    <t>OYKBQNOPCSXWBL-SNAWJCMRSA-N</t>
  </si>
  <si>
    <t>C10H10N2O4</t>
  </si>
  <si>
    <t>6.71_359.1396m/z</t>
  </si>
  <si>
    <t>Ranitidine</t>
  </si>
  <si>
    <t>HMDB0001930</t>
  </si>
  <si>
    <t>C07233</t>
  </si>
  <si>
    <t>82530-72-1</t>
  </si>
  <si>
    <t>CN\C(NCCSCC1=CC=C(CN(C)C)O1)=C/[N+]([O-])=O</t>
  </si>
  <si>
    <t>VMXUWOKSQNHOCA-UKTHLTGXSA-N</t>
  </si>
  <si>
    <t>C13H22N4O3S</t>
  </si>
  <si>
    <t>9.21_158.1539m/z</t>
  </si>
  <si>
    <t>3z,6z-Nonadien-1-Ol</t>
  </si>
  <si>
    <t>HMDB0030957</t>
  </si>
  <si>
    <t>LMFA05000136</t>
  </si>
  <si>
    <t>53046-97-2</t>
  </si>
  <si>
    <t>OCC/C=C\C/C=C\CC</t>
  </si>
  <si>
    <t>PICGPEBVZGCYBV-CWWKMNTPSA-N</t>
  </si>
  <si>
    <t>5.66_311.2002m/z</t>
  </si>
  <si>
    <t>7-Oxocallitrisic Acid, Methyl Ester</t>
  </si>
  <si>
    <t>155473-19-1</t>
  </si>
  <si>
    <t>CC(C)C1=CC2=C(C=C1)C3(CCCC(C3CC2=O)(C)C(=O)OC)C</t>
  </si>
  <si>
    <t>URPBIQPJABGDJD-VTVVEXCCSA-N</t>
  </si>
  <si>
    <t>C21H28O3</t>
  </si>
  <si>
    <t>10.00_896.5506m/z</t>
  </si>
  <si>
    <t>Dolastatin 16</t>
  </si>
  <si>
    <t>CC1C(NC(=O)C2CCCN2C(=O)C(NC(=O)C3CCCN3C(=O)C(N(C(=O)C(OC(=O)C4CCCN4C(=O)C(OC1=O)C)C(C)C)C)C(C)C)C(C)CC5=CC=CC=C5)C(C)C</t>
  </si>
  <si>
    <t>JXOFEBNJOOEXJY-NLKHYCKVSA-N</t>
  </si>
  <si>
    <t>C47H70N6O10</t>
  </si>
  <si>
    <t>9.77_327.2528m/z</t>
  </si>
  <si>
    <t>12,13-Dihydroxy-11-Methoxy-9-Octadecenoic Acid</t>
  </si>
  <si>
    <t>LMFA01080006</t>
  </si>
  <si>
    <t>C(/C(OC)C(O)C(O)CCCCC)=C\CCCCCCCC(=O)O</t>
  </si>
  <si>
    <t>VLWJNSLOMXQTLE-SDNWHVSQSA-N</t>
  </si>
  <si>
    <t>12.99_367.2633m/z</t>
  </si>
  <si>
    <t>Persicaxanthin</t>
  </si>
  <si>
    <t>HMDB0034952</t>
  </si>
  <si>
    <t>80952-82-5</t>
  </si>
  <si>
    <t>C\C(CO)=C\C=C\C=C(/C)\C=C\C=C(\C)/C=C/C12OC1(C)CC(O)CC2(C)C</t>
  </si>
  <si>
    <t>JQVNCYNADFKYNN-RXCALXPUSA-N</t>
  </si>
  <si>
    <t>C25H36O3</t>
  </si>
  <si>
    <t>4.33_476.1074n</t>
  </si>
  <si>
    <t>8-Methylthiooctyl Glucosinolate</t>
  </si>
  <si>
    <t>HMDB0304248</t>
  </si>
  <si>
    <t>CSCCCCCCCCC(SC1OC(CO)C(O)C(O)C1O)=NOS([O-])(=O)=O</t>
  </si>
  <si>
    <t>CWOJBEDMJKZKAB-UHFFFAOYSA-M</t>
  </si>
  <si>
    <t>C16H30NO9S3-</t>
  </si>
  <si>
    <t>9.18_529.2574m/z</t>
  </si>
  <si>
    <t>Anisomycin</t>
  </si>
  <si>
    <t>C11281</t>
  </si>
  <si>
    <t>22862-76-6</t>
  </si>
  <si>
    <t>CC(=O)OC1C(CNC1CC2=CC=C(C=C2)OC)O</t>
  </si>
  <si>
    <t>YKJYKKNCCRKFSL-RDBSUJKOSA-N</t>
  </si>
  <si>
    <t>C14H19NO4</t>
  </si>
  <si>
    <t>9.06_567.0296m/z</t>
  </si>
  <si>
    <t>4-(1,2-Dithiin-3-Yl)-2-(Prop-1-En-2-Yloxy)But-3-Yn-1-Yl Acetate</t>
  </si>
  <si>
    <t>LMFA12000363</t>
  </si>
  <si>
    <t>C1C=C(C#CC(COC(C)=O)OC(C)=O)SSC=1</t>
  </si>
  <si>
    <t>NQRITKZRMZHYOH-UHFFFAOYSA-N</t>
  </si>
  <si>
    <t>C12H12O4S2</t>
  </si>
  <si>
    <t>5.79_419.2404m/z</t>
  </si>
  <si>
    <t>16,16-Dimethyl-6-Keto Prostaglandin E1</t>
  </si>
  <si>
    <t>75874-32-7</t>
  </si>
  <si>
    <t>CCCCC(C)(C)C(C=CC1C(CC(=O)C1CC(=O)CCCCC(=O)O)O)O</t>
  </si>
  <si>
    <t>BWEWJWWBXZXMHO-XDCFTEKWSA-N</t>
  </si>
  <si>
    <t>C22H36O6</t>
  </si>
  <si>
    <t>2.54_383.0595m/z</t>
  </si>
  <si>
    <t>Aicar</t>
  </si>
  <si>
    <t>HMDB0001517</t>
  </si>
  <si>
    <t>C04677</t>
  </si>
  <si>
    <t>ko00230,ko00340,ko04152</t>
  </si>
  <si>
    <t>Purine metabolism|Histidine metabolism|AMPK signaling pathway</t>
  </si>
  <si>
    <t>3031-94-5</t>
  </si>
  <si>
    <t>NC(=O)C1=C(N)N(C=N1)[C@@H]1O[C@H](COP(O)(O)=O)[C@@H](O)[C@H]1O</t>
  </si>
  <si>
    <t>NOTGFIUVDGNKRI-UUOKFMHZSA-N</t>
  </si>
  <si>
    <t>Imidazole ribonucleosides and ribonucleotides</t>
  </si>
  <si>
    <t>1-ribosyl-imidazolecarboxamides</t>
  </si>
  <si>
    <t>C9H15N4O8P</t>
  </si>
  <si>
    <t>1.60_393.1297m/z</t>
  </si>
  <si>
    <t>L-Dopa</t>
  </si>
  <si>
    <t>HMDB0000181</t>
  </si>
  <si>
    <t>C00355</t>
  </si>
  <si>
    <t>ko00350,ko00950,ko00965,ko04728,ko04917,ko05012,ko05030,ko05031,ko05034</t>
  </si>
  <si>
    <t>Tyrosine metabolism|Isoquinoline alkaloid biosynthesis|Betalain biosynthesis|Dopaminergic synapse|Prolactin signaling pathway|Parkinson disease|Cocaine addiction|Amphetamine addiction|Alcoholism</t>
  </si>
  <si>
    <t>59-92-7</t>
  </si>
  <si>
    <t>N[C@@H](CC1=CC=C(O)C(O)=C1)C(O)=O</t>
  </si>
  <si>
    <t>WTDRDQBEARUVNC-LURJTMIESA-N</t>
  </si>
  <si>
    <t>C9H11NO4</t>
  </si>
  <si>
    <t>7.01_391.1737m/z</t>
  </si>
  <si>
    <t>Flumethasone</t>
  </si>
  <si>
    <t>C14479</t>
  </si>
  <si>
    <t>2135-17-3</t>
  </si>
  <si>
    <t>CC1CC2C3CC(C4=CC(=O)C=CC4(C3(C(CC2(C1(C(=O)CO)O)C)O)F)C)F</t>
  </si>
  <si>
    <t>WXURHACBFYSXBI-GQKYHHCASA-N</t>
  </si>
  <si>
    <t>5.06_671.2902m/z</t>
  </si>
  <si>
    <t>Nb-Feruloyltryptamine</t>
  </si>
  <si>
    <t>HMDB0041519</t>
  </si>
  <si>
    <t>53905-13-8</t>
  </si>
  <si>
    <t>COC1=CC(\C=C\C(=O)NCCC2=CNC3=C2C=CC=C3)=CC=C1O</t>
  </si>
  <si>
    <t>LWRQDNUXWLIWDB-VQHVLOKHSA-N</t>
  </si>
  <si>
    <t>C20H20N2O3</t>
  </si>
  <si>
    <t>4.46_469.3007m/z</t>
  </si>
  <si>
    <t>PE(16:1(9Z)/0:0)</t>
  </si>
  <si>
    <t>HMDB0011504</t>
  </si>
  <si>
    <t>LMGP02050010</t>
  </si>
  <si>
    <t>[C@](COP(=O)(O)OCCN)([H])(O)COC(CCCCCCC/C=C\CCCCCC)=O</t>
  </si>
  <si>
    <t>DSOWUEHXZJUNID-WHXUGTBJSA-N</t>
  </si>
  <si>
    <t>C21H42NO7P</t>
  </si>
  <si>
    <t>11.83_323.1954m/z</t>
  </si>
  <si>
    <t>Anisodamine</t>
  </si>
  <si>
    <t>55869-99-3</t>
  </si>
  <si>
    <t>CN1C2CC(CC1C(C2)O)OC(=O)C(CO)C3=CC=CC=C3</t>
  </si>
  <si>
    <t>WTQYWNWRJNXDEG-RBZJEDDUSA-N</t>
  </si>
  <si>
    <t>C17H23NO4</t>
  </si>
  <si>
    <t>13.36_562.4231n</t>
  </si>
  <si>
    <t>Campesterol Glucoside</t>
  </si>
  <si>
    <t>HMDB0303802</t>
  </si>
  <si>
    <t>CC(C)C(C)CCC(C)C1CCC2C3CC=C4CC(CCC4(C)C3CCC12C)OC1OC(CO)C(O)C(O)C1O</t>
  </si>
  <si>
    <t>FWNZEKQVBDXWKA-UHFFFAOYSA-N</t>
  </si>
  <si>
    <t>C34H58O6</t>
  </si>
  <si>
    <t>13.51_604.4566m/z</t>
  </si>
  <si>
    <t>Cer(d16:1/20:5(7Z,9Z,11E,13E,17Z)-3OH(5,6,15))</t>
  </si>
  <si>
    <t>HMDB0289872</t>
  </si>
  <si>
    <t>[H][C@@](CO)(NC(=O)CCC[C@@H](O)[C@H](O)\C=C/C=C\C=C\C=C\[C@@H](O)C\C=C/CC)[C@H](O)\C=C\CCCCCCCCCCC</t>
  </si>
  <si>
    <t>MQGNZLUNCUXVOR-HTJYJFFISA-N</t>
  </si>
  <si>
    <t>C36H61NO6</t>
  </si>
  <si>
    <t>15.04_407.3515m/z</t>
  </si>
  <si>
    <t>Bis(7-Methyloctyl) Cyclohexane-1,2-Dicarboxylate</t>
  </si>
  <si>
    <t>HMDB0244746</t>
  </si>
  <si>
    <t>CC(C)CCCCCCOC(=O)C1CCCCC1C(=O)OCCCCCCC(C)C</t>
  </si>
  <si>
    <t>HORIEOQXBKUKGQ-UHFFFAOYSA-N</t>
  </si>
  <si>
    <t>C26H48O4</t>
  </si>
  <si>
    <t>0.64_163.0188m/z</t>
  </si>
  <si>
    <t>2-Methoxybenzenethiol</t>
  </si>
  <si>
    <t>HMDB0032571</t>
  </si>
  <si>
    <t>7217-59-6</t>
  </si>
  <si>
    <t>COC1=CC=CC=C1S</t>
  </si>
  <si>
    <t>DSCJETUEDFKYGN-UHFFFAOYSA-N</t>
  </si>
  <si>
    <t>Thiophenols</t>
  </si>
  <si>
    <t>3.65_634.1929m/z</t>
  </si>
  <si>
    <t>Elsamitrucin</t>
  </si>
  <si>
    <t>HMDB0251754</t>
  </si>
  <si>
    <t>COC1C(N)C(OC2C(OC3=C4C5=C6C(C(=O)OC7=CC=C(C)C(C(=O)O5)=C67)=C(O)C4=CC=C3)OC(C)C(O)C2(C)O)OC(C)C1O</t>
  </si>
  <si>
    <t>MGQRRMONVLMKJL-UHFFFAOYSA-N</t>
  </si>
  <si>
    <t>C33H35NO13</t>
  </si>
  <si>
    <t>8.23_728.3366n</t>
  </si>
  <si>
    <t>Phhdia-Pi</t>
  </si>
  <si>
    <t>LMGP20050011</t>
  </si>
  <si>
    <t>[C@]([H])(OC(CCC(O)/C=C/C(=O)O)=O)(COP(=O)(O)O[C@H]1[C@H](O)[C@@H](O)[C@H](O)[C@@H](O)[C@H]1O)COC(CCCCCCCCCCCCCCC)=O</t>
  </si>
  <si>
    <t>BTKFITNLZPJFIC-ZJTWPNDASA-N</t>
  </si>
  <si>
    <t>C32H57O16P</t>
  </si>
  <si>
    <t>3.65_180.0586m/z</t>
  </si>
  <si>
    <t>Metribuzin-Da</t>
  </si>
  <si>
    <t>CC(C)(C)C1=NN=C(NC1=O)SC</t>
  </si>
  <si>
    <t>MIWRSUQXSCLDNV-UHFFFAOYSA-N</t>
  </si>
  <si>
    <t>C8H13N3OS</t>
  </si>
  <si>
    <t>4.36_475.2186m/z</t>
  </si>
  <si>
    <t>Su 5416</t>
  </si>
  <si>
    <t>204005-46-9</t>
  </si>
  <si>
    <t>CC1=CC(=C(N1)C=C2C3=CC=CC=C3NC2=O)C</t>
  </si>
  <si>
    <t>WUWDLXZGHZSWQZ-WQLSENKSSA-N</t>
  </si>
  <si>
    <t>C15H14N2O</t>
  </si>
  <si>
    <t>9.33_302.2457n</t>
  </si>
  <si>
    <t>1-O-(2r-Hydroxy-4z-Tetradecenyl)-Sn-Glycerol</t>
  </si>
  <si>
    <t>LMGL01020053</t>
  </si>
  <si>
    <t>[C@](CO)([H])(O)COC[C@H](O)C/C=C\CCCCCCCCC</t>
  </si>
  <si>
    <t>ONVLPYFAZLEXML-LXHGKFCDSA-N</t>
  </si>
  <si>
    <t>C17H34O4</t>
  </si>
  <si>
    <t>9.52_362.3262m/z</t>
  </si>
  <si>
    <t>10,20-Dihydroxyeicosanoic Acid</t>
  </si>
  <si>
    <t>HMDB0031923</t>
  </si>
  <si>
    <t>120727-26-6</t>
  </si>
  <si>
    <t>OCCCCCCCCCCC(O)CCCCCCCCC(O)=O</t>
  </si>
  <si>
    <t>RIIQXYZWFWMFSB-UHFFFAOYSA-N</t>
  </si>
  <si>
    <t>C20H40O4</t>
  </si>
  <si>
    <t>13.93_367.3026m/z</t>
  </si>
  <si>
    <t>L-759,633</t>
  </si>
  <si>
    <t>174627-50-0</t>
  </si>
  <si>
    <t>CCCCCCC(C)(C)C1=CC2=C(C3CC(=CCC3C(O2)(C)C)C)C(=C1)OC</t>
  </si>
  <si>
    <t>SUFMHSFGODDLKI-NHCUHLMSSA-N</t>
  </si>
  <si>
    <t>C26H40O2</t>
  </si>
  <si>
    <t>11.12_899.4762m/z</t>
  </si>
  <si>
    <t>Azadiradione</t>
  </si>
  <si>
    <t>CC(=O)OC1CC2C(C(=O)C=CC2(C3C1(C4=CC(=O)C(C4(CC3)C)C5=COC=C5)C)C)(C)C</t>
  </si>
  <si>
    <t>KWAMDQVQFVBEAU-HMWIRDDCSA-N</t>
  </si>
  <si>
    <t>C28H34O5</t>
  </si>
  <si>
    <t>4.46_235.1328m/z</t>
  </si>
  <si>
    <t>2,2,4,4-Tetramethyl-6-(1-Oxobutyl)-1,3,5-Cyclohexanetrione</t>
  </si>
  <si>
    <t>HMDB0033197</t>
  </si>
  <si>
    <t>CCCC(=O)C1C(=O)C(C)(C)C(=O)C(C)(C)C1=O</t>
  </si>
  <si>
    <t>OGXHJIPDGPTYKY-UHFFFAOYSA-N</t>
  </si>
  <si>
    <t>3.22_229.0682m/z</t>
  </si>
  <si>
    <t>Diethyl Tartrate</t>
  </si>
  <si>
    <t>HMDB0033584</t>
  </si>
  <si>
    <t>87-91-2</t>
  </si>
  <si>
    <t>CCOC(=O)C(O)C(O)C(=O)OCC</t>
  </si>
  <si>
    <t>YSAVZVORKRDODB-UHFFFAOYSA-N</t>
  </si>
  <si>
    <t>C8H14O6</t>
  </si>
  <si>
    <t>4.69_437.1006m/z</t>
  </si>
  <si>
    <t>Silica Aerogel</t>
  </si>
  <si>
    <t>HMDB0032503</t>
  </si>
  <si>
    <t>102262-30-6</t>
  </si>
  <si>
    <t>COC1=CC=C(C=C1)C(=O)CSC1=NC(SCC(=O)C2=CC=C(C)C=C2)=NC(C)=C1</t>
  </si>
  <si>
    <t>UCVZLNNJKDOOBO-UHFFFAOYSA-N</t>
  </si>
  <si>
    <t>C23H22N2O3S2</t>
  </si>
  <si>
    <t>5.41_496.1759m/z</t>
  </si>
  <si>
    <t>(2s)-2-((3-((4-(4-Fluorophenoxy)Phenyl)Methylcarbamoyl)-4-Methoxy-Phenyl)Methyl)Butanoic Acid</t>
  </si>
  <si>
    <t>HMDB0259671</t>
  </si>
  <si>
    <t>CCC(CC1=CC(C(=O)NCC2=CC=C(OC3=CC=C(F)C=C3)C=C2)=C(OC)C=C1)C(O)=O</t>
  </si>
  <si>
    <t>VRHOBXXCNBZJRX-UHFFFAOYSA-N</t>
  </si>
  <si>
    <t>C26H26FNO5</t>
  </si>
  <si>
    <t>10.27_423.2394m/z</t>
  </si>
  <si>
    <t>8-Iso-16-Cyclohexyl-Tetranor Prostaglandin E2</t>
  </si>
  <si>
    <t>53319-30-5</t>
  </si>
  <si>
    <t>C1CCC(CC1)CC(CCC2C(C(=O)CC2=O)CC=CCCCC(=O)O)O</t>
  </si>
  <si>
    <t>PIPQNTASWLMKSF-BYOMGRGRSA-N</t>
  </si>
  <si>
    <t>5.54_523.1193m/z</t>
  </si>
  <si>
    <t>Lanceolatin B</t>
  </si>
  <si>
    <t>C1=CC=C(C=C1)C2=CC(=O)C3=C(O2)C4=C(C=C3)OC=C4</t>
  </si>
  <si>
    <t>NQNOTBRHBRJKKH-UHFFFAOYSA-N</t>
  </si>
  <si>
    <t>C17H10O3</t>
  </si>
  <si>
    <t>5.99_457.2442m/z</t>
  </si>
  <si>
    <t>Grayanotoxin I</t>
  </si>
  <si>
    <t>C09103</t>
  </si>
  <si>
    <t>4720-09-6</t>
  </si>
  <si>
    <t>CC(=O)OC1C2CCC3C1(CC(C4(C(C3(C)O)CC(C4(C)C)O)O)O)CC2(C)O</t>
  </si>
  <si>
    <t>NXCYBYJXCJWMRY-VGBBEZPXSA-N</t>
  </si>
  <si>
    <t>C22H36O7</t>
  </si>
  <si>
    <t>4.69_499.0857m/z</t>
  </si>
  <si>
    <t>Diflunisal</t>
  </si>
  <si>
    <t>HMDB0014999</t>
  </si>
  <si>
    <t>C01691</t>
  </si>
  <si>
    <t>22494-42-4</t>
  </si>
  <si>
    <t>OC(=O)C1=C(O)C=CC(=C1)C1=C(F)C=C(F)C=C1</t>
  </si>
  <si>
    <t>HUPFGZXOMWLGNK-UHFFFAOYSA-N</t>
  </si>
  <si>
    <t>C13H8F2O3</t>
  </si>
  <si>
    <t>6.71_393.1109m/z</t>
  </si>
  <si>
    <t>Clofop-Isobutyl</t>
  </si>
  <si>
    <t>HMDB0250347</t>
  </si>
  <si>
    <t>CC(C)COC(=O)C(C)OC1=CC=C(OC2=CC=C(Cl)C=C2)C=C1</t>
  </si>
  <si>
    <t>XNBRPBFBBCFVEH-UHFFFAOYSA-N</t>
  </si>
  <si>
    <t>C19H21ClO4</t>
  </si>
  <si>
    <t>3.67_246.0592m/z</t>
  </si>
  <si>
    <t>Pharmagsid_47261</t>
  </si>
  <si>
    <t>CCC(C)C(C(=O)O)N1C(=O)C2=CC=CC=C2S1</t>
  </si>
  <si>
    <t>FUSYFEXGXRDJNB-KWQFWETISA-N</t>
  </si>
  <si>
    <t>C13H15NO3S</t>
  </si>
  <si>
    <t>2.63_339.0719m/z</t>
  </si>
  <si>
    <t>Aesculin</t>
  </si>
  <si>
    <t>HMDB0030820</t>
  </si>
  <si>
    <t>C09264</t>
  </si>
  <si>
    <t>531-75-9</t>
  </si>
  <si>
    <t>OC[C@H]1O[C@@H](OC2=C(O)C=C3OC(=O)C=CC3=C2)[C@H](O)[C@@H](O)[C@@H]1O</t>
  </si>
  <si>
    <t>XHCADAYNFIFUHF-TVKJYDDYSA-N</t>
  </si>
  <si>
    <t>C15H16O9</t>
  </si>
  <si>
    <t>1.09_263.1599m/z</t>
  </si>
  <si>
    <t>3-Oxobutanoylcarnitine</t>
  </si>
  <si>
    <t>HMDB0241651</t>
  </si>
  <si>
    <t>CC(=O)CC(=O)OC(CC([O-])=O)C[N+](C)(C)C</t>
  </si>
  <si>
    <t>NGHNCQYFTPFRAD-UHFFFAOYSA-N</t>
  </si>
  <si>
    <t>C11H19NO5</t>
  </si>
  <si>
    <t>5.43_373.2592m/z</t>
  </si>
  <si>
    <t>Avocadene 1-Acetate</t>
  </si>
  <si>
    <t>HMDB0031043</t>
  </si>
  <si>
    <t>LMFA05000640</t>
  </si>
  <si>
    <t>24607-09-8</t>
  </si>
  <si>
    <t>C=CCCCCCCCCCCCC(O)CC(O)COC(C)=O</t>
  </si>
  <si>
    <t>NLBYRERHXBTBBR-UHFFFAOYSA-N</t>
  </si>
  <si>
    <t>C19H36O4</t>
  </si>
  <si>
    <t>3.72_410.1577n</t>
  </si>
  <si>
    <t>16-Epi-Austrobuxusin B</t>
  </si>
  <si>
    <t>LMPR0103540014</t>
  </si>
  <si>
    <t>[C@]12(C)[C@@]3(C[C@](O)([C@H](C)OC)C(=O)O3)[C@@H]3O[C@@H]3[C@@]1(O)[C@H]1C(O[C@@H]([C@H]2O)[C@H]1C(C)=C)=O</t>
  </si>
  <si>
    <t>SJDDNCVEBCKPTR-QNZLSBQNSA-N</t>
  </si>
  <si>
    <t>4.88_436.1359n</t>
  </si>
  <si>
    <t>Phlorizin</t>
  </si>
  <si>
    <t>HMDB0036634</t>
  </si>
  <si>
    <t>C01604</t>
  </si>
  <si>
    <t>60-81-1</t>
  </si>
  <si>
    <t>OC[C@H]1O[C@@H](OC2=CC(O)=CC(O)=C2C(=O)CCC2=CC=C(O)C=C2)[C@H](O)[C@@H](O)[C@@H]1O</t>
  </si>
  <si>
    <t>IOUVKUPGCMBWBT-QNDFHXLGSA-N</t>
  </si>
  <si>
    <t>C21H24O10</t>
  </si>
  <si>
    <t>4.21_192.0654m/z</t>
  </si>
  <si>
    <t>5-Hydroxyindoleacetic Acid</t>
  </si>
  <si>
    <t>HMDB0000763</t>
  </si>
  <si>
    <t>C05635</t>
  </si>
  <si>
    <t>ko00380,ko04726</t>
  </si>
  <si>
    <t>Tryptophan metabolism|Serotonergic synapse</t>
  </si>
  <si>
    <t>54-16-0</t>
  </si>
  <si>
    <t>OC(=O)CC1=CNC2=C1C=C(O)C=C2</t>
  </si>
  <si>
    <t>DUUGKQCEGZLZNO-UHFFFAOYSA-N</t>
  </si>
  <si>
    <t>C10H9NO3</t>
  </si>
  <si>
    <t>3.68_146.0600m/z</t>
  </si>
  <si>
    <t>4-Formyl Indole</t>
  </si>
  <si>
    <t>C1=CC(=C2C=CNC2=C1)C=O</t>
  </si>
  <si>
    <t>JFDDFGLNZWNJTK-UHFFFAOYSA-N</t>
  </si>
  <si>
    <t>C9H7NO</t>
  </si>
  <si>
    <t>4.13_753.2397m/z</t>
  </si>
  <si>
    <t>Labadoside</t>
  </si>
  <si>
    <t>HMDB0036397</t>
  </si>
  <si>
    <t>CC(=O)C1=C(O)C2=C(O[C@@H]3O[C@H](CO)[C@@H](O)[C@H](O)[C@H]3O)C=CC=C2C(=C1C)C1=C(C)C(C(C)=O)=C(O)C2=C1C=CC=C2O[C@@H]1O[C@H](CO)[C@@H](O)[C@H](O)[C@H]1O</t>
  </si>
  <si>
    <t>IPWCRHGLKMYWOK-MRAPYLISSA-N</t>
  </si>
  <si>
    <t>C38H42O16</t>
  </si>
  <si>
    <t>9.42_248.0797m/z</t>
  </si>
  <si>
    <t>(5-Phenyl-1,2,4-Triazol-3-Yl)Urea</t>
  </si>
  <si>
    <t>C15383</t>
  </si>
  <si>
    <t>6642-32-6</t>
  </si>
  <si>
    <t>C1=CC=C(C=C1)C2=NC(=NN2)NC(=O)N</t>
  </si>
  <si>
    <t>RUQGXFJIPMDCFD-UHFFFAOYSA-N</t>
  </si>
  <si>
    <t>C9H9N5O</t>
  </si>
  <si>
    <t>7.34_857.3132m/z</t>
  </si>
  <si>
    <t>Stemregenin 1</t>
  </si>
  <si>
    <t>HMDB0258494</t>
  </si>
  <si>
    <t>CC(C)N1C=NC2=C1N=C(N=C2NCCC1=CC=C(O)C=C1)C1=CSC2=CC=CC=C12</t>
  </si>
  <si>
    <t>BGFHMYJZJZLMHW-UHFFFAOYSA-N</t>
  </si>
  <si>
    <t>C24H23N5OS</t>
  </si>
  <si>
    <t>5.90_399.1425m/z</t>
  </si>
  <si>
    <t>Diphenylmethylphosphine</t>
  </si>
  <si>
    <t>1486-28-8</t>
  </si>
  <si>
    <t>CP(C1=CC=CC=C1)C2=CC=CC=C2</t>
  </si>
  <si>
    <t>UJNZOIKQAUQOCN-UHFFFAOYSA-N</t>
  </si>
  <si>
    <t>C13H13P</t>
  </si>
  <si>
    <t>5.35_986.5860n</t>
  </si>
  <si>
    <t>PGP(i-22:0/PGF1alpha)</t>
  </si>
  <si>
    <t>HMDB0275918</t>
  </si>
  <si>
    <t>CCCCC[C@H](O)\C=C\[C@H]1[C@H](O)C[C@H](O)[C@@H]1CCCCCCC(=O)O[C@H](COC(=O)CCCCCCCCCCCCCCCCCCC(C)C)COP(O)(=O)OC[C@@H](O)COP(O)(O)=O</t>
  </si>
  <si>
    <t>BTKOTSKAHLFQIN-VDGVFTGWSA-N</t>
  </si>
  <si>
    <t>C48H92O16P2</t>
  </si>
  <si>
    <t>2.64_219.1338m/z</t>
  </si>
  <si>
    <t>Epsilon-(Carboxyethyl)Lysine</t>
  </si>
  <si>
    <t>HMDB0251886</t>
  </si>
  <si>
    <t>NC(CCCC(N)C(O)=O)CCC(O)=O</t>
  </si>
  <si>
    <t>ALXLJPPLHFRKEJ-UHFFFAOYSA-N</t>
  </si>
  <si>
    <t>3.64_507.0742m/z</t>
  </si>
  <si>
    <t>Carbonyl Cyanide P-Trifluoromethoxyphenylhydrazone</t>
  </si>
  <si>
    <t>HMDB0252179</t>
  </si>
  <si>
    <t>FC(F)(F)OC1=CC=C(NN=C(C#N)C#N)C=C1</t>
  </si>
  <si>
    <t>BMZRVOVNUMQTIN-UHFFFAOYSA-N</t>
  </si>
  <si>
    <t>Phenylhydrazines</t>
  </si>
  <si>
    <t>C10H5F3N4O</t>
  </si>
  <si>
    <t>9.98_943.4866m/z</t>
  </si>
  <si>
    <t>PGP(18:0/22:5(4Z,7Z,10Z,13Z,16Z))</t>
  </si>
  <si>
    <t>HMDB0013514</t>
  </si>
  <si>
    <t>CCCCCCCCCCCCCCCCCC(=O)OC[C@]([H])(COP(=O)(O)OC[C@@]([H])(O)COP(=O)(O)O)OC(=O)CC\C=C/C\C=C/C\C=C/C\C=C/C\C=C/CCCCC</t>
  </si>
  <si>
    <t>IUAJYEYWYJINHM-NITOSIMZSA-N</t>
  </si>
  <si>
    <t>C46H82O13P2</t>
  </si>
  <si>
    <t>8.80_418.2218m/z</t>
  </si>
  <si>
    <t>Prednisone Acetate</t>
  </si>
  <si>
    <t>HMDB0256752</t>
  </si>
  <si>
    <t>CC(=O)OCC(=O)C1(O)CCC2C3CCC4=CC(=O)C=CC4(C)C3C(=O)CC12C</t>
  </si>
  <si>
    <t>MOVRKLZUVNCBIP-UHFFFAOYSA-N</t>
  </si>
  <si>
    <t>C23H28O6</t>
  </si>
  <si>
    <t>5.47_525.1724m/z</t>
  </si>
  <si>
    <t>Olaquindox</t>
  </si>
  <si>
    <t>HMDB0255930</t>
  </si>
  <si>
    <t>CC1=N(=O)C2=CC=CC=C2N(=O)=C1C(O)=NCCO</t>
  </si>
  <si>
    <t>TURHTASYUMWZCC-UHFFFAOYSA-N</t>
  </si>
  <si>
    <t>C12H13N3O4</t>
  </si>
  <si>
    <t>7.10_712.2941n</t>
  </si>
  <si>
    <t>Nomilinic Acid 17-Glucoside</t>
  </si>
  <si>
    <t>HMDB0037892</t>
  </si>
  <si>
    <t>113301-65-8</t>
  </si>
  <si>
    <t>CC(=O)OC(CC(O)=O)C1(C)C(CC(=O)C2(C)C1CCC(C)(C(OC1OC(CO)C(O)C(O)C1O)C1=COC=C1)C21OC1C(O)=O)C(C)(C)O</t>
  </si>
  <si>
    <t>MUZNNCNJBAPYJF-UHFFFAOYSA-N</t>
  </si>
  <si>
    <t>C34H48O16</t>
  </si>
  <si>
    <t>5.97_495.2599m/z</t>
  </si>
  <si>
    <t>Cinncassiol D1 Glucoside</t>
  </si>
  <si>
    <t>HMDB0034677</t>
  </si>
  <si>
    <t>CC(COC1OC(CO)C(O)C(O)C1O)C1CC2C3(O)C4OC(O)(CC2(C)C2CCC(C)(O)C42)C13C</t>
  </si>
  <si>
    <t>WJAZMOBIGFGGIP-UHFFFAOYSA-N</t>
  </si>
  <si>
    <t>1.06_227.0162m/z</t>
  </si>
  <si>
    <t>Daucic Acid</t>
  </si>
  <si>
    <t>HMDB0031665</t>
  </si>
  <si>
    <t>34098-52-7</t>
  </si>
  <si>
    <t>OC1C=C(OC(C1O)C(O)=O)C(O)=O</t>
  </si>
  <si>
    <t>KUKCUROTFRBUNU-UHFFFAOYSA-N</t>
  </si>
  <si>
    <t>C7H8O7</t>
  </si>
  <si>
    <t>3.75_381.0929m/z</t>
  </si>
  <si>
    <t>Cbmida</t>
  </si>
  <si>
    <t>HMDB0249715</t>
  </si>
  <si>
    <t>OC(=O)CN(CC(O)=O)CC1=C(O)C(O)=C(CN(CC(O)=O)CC(O)=O)C=C1</t>
  </si>
  <si>
    <t>CVKGUVNGXVVLRH-UHFFFAOYSA-N</t>
  </si>
  <si>
    <t>C16H20N2O10</t>
  </si>
  <si>
    <t>5.01_353.2109m/z</t>
  </si>
  <si>
    <t>17-Phenyl Trinor-13,14-Dihydro Prostaglandin A2</t>
  </si>
  <si>
    <t>130209-80-2</t>
  </si>
  <si>
    <t>C1=CC=C(C=C1)CCC(CCC2C=CC(=O)C2CC=CCCCC(=O)O)O</t>
  </si>
  <si>
    <t>ZHCXQFHXZFWVRT-BRQXMNQMSA-N</t>
  </si>
  <si>
    <t>1.81_232.0434m/z</t>
  </si>
  <si>
    <t>Brassicanal B</t>
  </si>
  <si>
    <t>HMDB0038592</t>
  </si>
  <si>
    <t>126654-63-5</t>
  </si>
  <si>
    <t>CC1(O)CSC2=C(C=O)C3=CC=CC=C3N12</t>
  </si>
  <si>
    <t>ZIEFIDANMCIAOW-UHFFFAOYSA-N</t>
  </si>
  <si>
    <t>C12H11NO2S</t>
  </si>
  <si>
    <t>4.58_395.1486m/z</t>
  </si>
  <si>
    <t>Pyro(L-Alpha-Aminoadipyl)-L-Histidyl-L-Thiazolidine-4-Carboxamide</t>
  </si>
  <si>
    <t>HMDB0254777</t>
  </si>
  <si>
    <t>NC(=O)C1CSCN1C(=O)C(CC1=CN=CN1)NC(=O)C1CCCC(=O)N1</t>
  </si>
  <si>
    <t>OGUDACTYCTVDNZ-UHFFFAOYSA-N</t>
  </si>
  <si>
    <t>C16H22N6O4S</t>
  </si>
  <si>
    <t>5.94_517.2077m/z</t>
  </si>
  <si>
    <t>16beta-Hydroxy-Melianthugenin</t>
  </si>
  <si>
    <t>LMST01130054</t>
  </si>
  <si>
    <t>[C@H]12O[C@]3(C)O[C@@]4(CC[C@]5([H])[C@]([H])(CC[C@]6(C)[C@@]([H])(C7C=CC(=O)OC=7)[C@@H](O)C[C@]56O)[C@@]14C=O)C[C@@H](O3)C2</t>
  </si>
  <si>
    <t>BAHOJFZMHXQESK-JOBIDQOPSA-N</t>
  </si>
  <si>
    <t>C26H32O8</t>
  </si>
  <si>
    <t>4.28_443.0637m/z</t>
  </si>
  <si>
    <t>S-(2,5-Dimethyl-3-Furanyl) 2-Furancarbothioate</t>
  </si>
  <si>
    <t>HMDB0039585</t>
  </si>
  <si>
    <t>55764-31-3</t>
  </si>
  <si>
    <t>CC1=CC(SC(=O)C2=CC=CO2)=C(C)O1</t>
  </si>
  <si>
    <t>IHJDHYVSIRCWIT-UHFFFAOYSA-N</t>
  </si>
  <si>
    <t>C11H10O3S</t>
  </si>
  <si>
    <t>1.06_128.0109n</t>
  </si>
  <si>
    <t>5-Hydroxy-2-Furoic Acid</t>
  </si>
  <si>
    <t>HMDB0059784</t>
  </si>
  <si>
    <t>OC(=O)C1=CC=C(O)O1</t>
  </si>
  <si>
    <t>JVUTYZQGCHCOPB-UHFFFAOYSA-N</t>
  </si>
  <si>
    <t>C5H4O4</t>
  </si>
  <si>
    <t>7.53_709.3782m/z</t>
  </si>
  <si>
    <t>Jwh 007</t>
  </si>
  <si>
    <t>155471-10-6</t>
  </si>
  <si>
    <t>CCCCCN1C(=C(C2=CC=CC=C21)C(=O)C3=CC=CC4=CC=CC=C43)C</t>
  </si>
  <si>
    <t>IBBNKINXTRKICJ-UHFFFAOYSA-N</t>
  </si>
  <si>
    <t>C25H25NO</t>
  </si>
  <si>
    <t>0.62_823.7426m/z</t>
  </si>
  <si>
    <t>TG(14:0/15:0/O-18:0)</t>
  </si>
  <si>
    <t>HMDB0042120</t>
  </si>
  <si>
    <t>[H][C@@](COCCCCCCCCCCCCCCCCCC)(COC(=O)CCCCCCCCCCCCC)OC(=O)CCCCCCCCCCCCCC</t>
  </si>
  <si>
    <t>LKKOPCFTBFSGGJ-QSCHNALKSA-N</t>
  </si>
  <si>
    <t>C50H98O5</t>
  </si>
  <si>
    <t>11.23_941.4566m/z</t>
  </si>
  <si>
    <t>PGP(18:3(6Z,9Z,12Z)/22:6(4Z,7Z,10Z,13Z,16Z,19Z))</t>
  </si>
  <si>
    <t>HMDB0013576</t>
  </si>
  <si>
    <t>CCCCC\C=C/C\C=C/C\C=C/CCCCC(=O)OC[C@]([H])(COP(=O)(O)OC[C@@]([H])(O)COP(=O)(O)O)OC(=O)CC\C=C/C\C=C/C\C=C/C\C=C/C\C=C/C\C=C/CC</t>
  </si>
  <si>
    <t>RZQQCNACPLEEFI-LUUFVBKHSA-N</t>
  </si>
  <si>
    <t>C46H74O13P2</t>
  </si>
  <si>
    <t>0.81_224.0533m/z</t>
  </si>
  <si>
    <t>2-Hydroxy-4-Trifluoromethyl Benzoic Acid</t>
  </si>
  <si>
    <t>HMDB0060715</t>
  </si>
  <si>
    <t>328-90-5</t>
  </si>
  <si>
    <t>OC(=O)C1=C(O)C=C(C=C1)C(F)(F)F</t>
  </si>
  <si>
    <t>XMLFPUBZFSJWCN-UHFFFAOYSA-N</t>
  </si>
  <si>
    <t>C8H5F3O3</t>
  </si>
  <si>
    <t>4.95_161.0596m/z</t>
  </si>
  <si>
    <t>1,5-Dihydroxynaphthalene</t>
  </si>
  <si>
    <t>C1=CC2=C(C=CC=C2O)C(=C1)O</t>
  </si>
  <si>
    <t>BOKGTLAJQHTOKE-UHFFFAOYSA-N</t>
  </si>
  <si>
    <t>9.58_858.3435m/z</t>
  </si>
  <si>
    <t>Semax</t>
  </si>
  <si>
    <t>HMDB0258222</t>
  </si>
  <si>
    <t>CSCCC(N)C(=O)NC(CCC(O)=O)C(=O)NC(CC1=CN=CN1)C(=O)NC(CC1=CC=CC=C1)C(=O)N1CCCC1C(=O)NCC(=O)N1CCCC1C(O)=O</t>
  </si>
  <si>
    <t>AFEHBIGDWIGTEH-UHFFFAOYSA-N</t>
  </si>
  <si>
    <t>C37H51N9O10S</t>
  </si>
  <si>
    <t>4.72_225.0399m/z</t>
  </si>
  <si>
    <t>Isochorismate</t>
  </si>
  <si>
    <t>HMDB0304395</t>
  </si>
  <si>
    <t>C00885</t>
  </si>
  <si>
    <t>ko00130,ko01053</t>
  </si>
  <si>
    <t>Ubiquinone and other terpenoid-quinone biosynthesis|Biosynthesis of siderophore group nonribosomal peptides</t>
  </si>
  <si>
    <t>22642-82-6</t>
  </si>
  <si>
    <t>[H][C@]1(O)C(=CC=C[C@]1([H])OC(=C)C(O)=O)C(O)=O</t>
  </si>
  <si>
    <t>NTGWPRCCOQCMGE-YUMQZZPRSA-N</t>
  </si>
  <si>
    <t>C10H10O6</t>
  </si>
  <si>
    <t>3.97_513.2182m/z</t>
  </si>
  <si>
    <t>2-O-(Beta-D-Galactopyranosyl-(1-&gt;6)-Beta-D-Galactopyranosyl) 2s,3r-Dihydroxynonanoic Acid</t>
  </si>
  <si>
    <t>LMFA13010051</t>
  </si>
  <si>
    <t>O[C@@H]1[C@@H](O)[C@@H](O)[C@@H](CO[C@H]2[C@H](O)[C@@H](O)[C@@H](O)[C@@H](CO)O2)O[C@H]1O[C@H](C(=O)O)[C@H](O)CCCCCC</t>
  </si>
  <si>
    <t>WPSTUWWBZDHAAE-IFBHHZPISA-N</t>
  </si>
  <si>
    <t>C21H38O14</t>
  </si>
  <si>
    <t>11.61_551.2600m/z</t>
  </si>
  <si>
    <t>(22e)-26,26,26,27,27,27-Hexafluoro-25-Hydroxy-22,23-Didehydrovitamin D3</t>
  </si>
  <si>
    <t>LMST03020081</t>
  </si>
  <si>
    <t>C1C(=C)/C(=C\C=C2\[C@]3([H])CC[C@@]([C@@](C)([H])/C=C/CC(O)(C(F)(F)F)C(F)(F)F)([H])[C@@]3(C)CCC\2)/C[C@@H](O)C1</t>
  </si>
  <si>
    <t>JHSLRLZHUYHQDA-XOHKPJPJSA-N</t>
  </si>
  <si>
    <t>C27H36F6O2</t>
  </si>
  <si>
    <t>4.10_497.2240m/z</t>
  </si>
  <si>
    <t>Lansiumamide A</t>
  </si>
  <si>
    <t>HMDB0038574</t>
  </si>
  <si>
    <t>121817-36-5</t>
  </si>
  <si>
    <t>O=C(N\C=C/C1=CC=CC=C1)\C=C\C1=CC=CC=C1</t>
  </si>
  <si>
    <t>DAZFHZLCFLDNPG-WCYNZMGESA-N</t>
  </si>
  <si>
    <t>C17H15NO</t>
  </si>
  <si>
    <t>9.66_337.1443m/z</t>
  </si>
  <si>
    <t>2',4',5''-Trihydroxy-3',6'',6''-Trimetylpyrano[2'',3'':6',5']Dihydrochalcone</t>
  </si>
  <si>
    <t>LMPK12120498</t>
  </si>
  <si>
    <t>C1C=CC=CC=1CCC(=O)C1C(O)=C(C)C(O)=C2C[C@H](O)C(C)(C)OC=12</t>
  </si>
  <si>
    <t>BAHXHQFEFUBNER-INIZCTEOSA-N</t>
  </si>
  <si>
    <t>C21H24O5</t>
  </si>
  <si>
    <t>7.80_357.0930m/z</t>
  </si>
  <si>
    <t>Tipepidine</t>
  </si>
  <si>
    <t>HMDB0259105</t>
  </si>
  <si>
    <t>CN=C(NCCSCC1=CSC(NC(N)=N)=N1)NC#N</t>
  </si>
  <si>
    <t>YDDXVAXDYKBWDX-UHFFFAOYSA-N</t>
  </si>
  <si>
    <t>C10H16N8S2</t>
  </si>
  <si>
    <t>1.61_208.0737n</t>
  </si>
  <si>
    <t>3-(3,4-Dimethoxyphenyl)-2-Propenoic Acid</t>
  </si>
  <si>
    <t>HMDB0034315</t>
  </si>
  <si>
    <t>14737-89-4</t>
  </si>
  <si>
    <t>COC1=C(OC)C=C(\C=C\C(O)=O)C=C1</t>
  </si>
  <si>
    <t>HJBWJAPEBGSQPR-GQCTYLIASA-N</t>
  </si>
  <si>
    <t>C11H12O4</t>
  </si>
  <si>
    <t>12.36_212.2005m/z</t>
  </si>
  <si>
    <t>13-Amino-Tridecanoic Acid</t>
  </si>
  <si>
    <t>LMFA01100006</t>
  </si>
  <si>
    <t>C(CCCCCCCCCCCCN)(=O)O</t>
  </si>
  <si>
    <t>YHNQOXAUNKFXNZ-UHFFFAOYSA-N</t>
  </si>
  <si>
    <t>C13H27NO2</t>
  </si>
  <si>
    <t>0.91_226.9958m/z</t>
  </si>
  <si>
    <t>Alpha-D-Xylose 1-Phosphate</t>
  </si>
  <si>
    <t>HMDB0304536</t>
  </si>
  <si>
    <t>OC1COC(OP([O-])([O-])=O)C(O)C1O</t>
  </si>
  <si>
    <t>ILXHFXFPPZGENN-UHFFFAOYSA-L</t>
  </si>
  <si>
    <t>C5H9O8P-2</t>
  </si>
  <si>
    <t>4.55_259.0811m/z</t>
  </si>
  <si>
    <t>Didanosine</t>
  </si>
  <si>
    <t>HMDB0015037</t>
  </si>
  <si>
    <t>C06953</t>
  </si>
  <si>
    <t>69655-05-6</t>
  </si>
  <si>
    <t>OC[C@@H]1CC[C@@H](O1)N1C=NC2=C1NC=NC2=O</t>
  </si>
  <si>
    <t>BXZVVICBKDXVGW-NKWVEPMBSA-N</t>
  </si>
  <si>
    <t>C10H12N4O3</t>
  </si>
  <si>
    <t>3.71_419.1190m/z</t>
  </si>
  <si>
    <t>N-Carbamoyl-2-Amino-2-(4-Hydroxyphenyl)Acetic Acid</t>
  </si>
  <si>
    <t>HMDB0031813</t>
  </si>
  <si>
    <t>32507-69-0</t>
  </si>
  <si>
    <t>NC(=O)NC(C(O)=O)C1=CC=C(O)C=C1</t>
  </si>
  <si>
    <t>GSHIDXLOTQDUAV-UHFFFAOYSA-N</t>
  </si>
  <si>
    <t>C9H10N2O4</t>
  </si>
  <si>
    <t>3.42_141.1016m/z</t>
  </si>
  <si>
    <t>2-Acetyl-1-Methylpyrrole</t>
  </si>
  <si>
    <t>HMDB0040360</t>
  </si>
  <si>
    <t>932-16-1</t>
  </si>
  <si>
    <t>CN1C=CC=C1C(C)=O</t>
  </si>
  <si>
    <t>NZFLWVDXYUGFAV-UHFFFAOYSA-N</t>
  </si>
  <si>
    <t>C7H9NO</t>
  </si>
  <si>
    <t>5.84_1143.5214m/z</t>
  </si>
  <si>
    <t>Azii</t>
  </si>
  <si>
    <t>HMDB0034543</t>
  </si>
  <si>
    <t>244776-45-2</t>
  </si>
  <si>
    <t>CC1=C(O)C(=O)CC(OC2CC(C)(C)CC3C4=CCC5C6(C)CCC(OC7OC(C(O)C(O)C7OC7OC(C(O)C(O)C7OC7OC(CO)C(O)C(O)C7O)C(O)=O)C(O)=O)C(C)(CO)C6CCC5(C)C4(C)CCC23C)O1</t>
  </si>
  <si>
    <t>XIOUCIKZATWNIJ-UHFFFAOYSA-N</t>
  </si>
  <si>
    <t>C54H82O23</t>
  </si>
  <si>
    <t>0.85_305.0680m/z</t>
  </si>
  <si>
    <t>2-(2-Hydroxyethoxy)-6-(2h-Tetrazol-5-Yl)Xanthen-9-One</t>
  </si>
  <si>
    <t>HMDB0249493</t>
  </si>
  <si>
    <t>OCCOC1=CC2=C(OC3=C(C=CC(=C3)C3=NNN=N3)C2=O)C=C1</t>
  </si>
  <si>
    <t>IVXIHYJYORUTFH-UHFFFAOYSA-N</t>
  </si>
  <si>
    <t>C16H12N4O4</t>
  </si>
  <si>
    <t>6.63_337.1634m/z</t>
  </si>
  <si>
    <t>3-Methylhistidine</t>
  </si>
  <si>
    <t>HMDB0000479</t>
  </si>
  <si>
    <t>C01152</t>
  </si>
  <si>
    <t>368-16-1</t>
  </si>
  <si>
    <t>[H][C@](N)(CC1=CN=CN1C)C(O)=O</t>
  </si>
  <si>
    <t>JDHILDINMRGULE-LURJTMIESA-N</t>
  </si>
  <si>
    <t>C7H11N3O2</t>
  </si>
  <si>
    <t>3.48_523.0154m/z</t>
  </si>
  <si>
    <t>Arctinone A</t>
  </si>
  <si>
    <t>HMDB0302306</t>
  </si>
  <si>
    <t>CC#CC1=CC=C(S1)C1=CC=C(S1)C(=O)CO</t>
  </si>
  <si>
    <t>SZHJGTIWJLCSCZ-UHFFFAOYSA-N</t>
  </si>
  <si>
    <t>C13H10O2S2</t>
  </si>
  <si>
    <t>5.74_196.1461n</t>
  </si>
  <si>
    <t>Aleprylic Acid</t>
  </si>
  <si>
    <t>LMFA01030189</t>
  </si>
  <si>
    <t>C1(C=CCC1)CCCCCCC(=O)O</t>
  </si>
  <si>
    <t>GMYNCKRSFMEXPG-UHFFFAOYSA-N</t>
  </si>
  <si>
    <t>13.12_380.2090m/z</t>
  </si>
  <si>
    <t>Atevirdine</t>
  </si>
  <si>
    <t>HMDB0248697</t>
  </si>
  <si>
    <t>CCNC1=CC=CN=C1N1CCN(CC1)C(=O)C1=CC2=CC(OC)=CC=C2N1</t>
  </si>
  <si>
    <t>UCPOMLWZWRTIAA-UHFFFAOYSA-N</t>
  </si>
  <si>
    <t>C21H25N5O2</t>
  </si>
  <si>
    <t>6.11_275.1636m/z</t>
  </si>
  <si>
    <t>Podocarpic Acid</t>
  </si>
  <si>
    <t>LMPR0104120002</t>
  </si>
  <si>
    <t>C09171</t>
  </si>
  <si>
    <t>C1CC[C@](C)(C(O)=O)[C@]2([H])CCC3=C([C@]21C)C=C(O)C=C3</t>
  </si>
  <si>
    <t>VJILEYKNALCDDV-OIISXLGYSA-N</t>
  </si>
  <si>
    <t>5.18_463.3256m/z</t>
  </si>
  <si>
    <t>Dynorphin B (10-13)</t>
  </si>
  <si>
    <t>HMDB0012936</t>
  </si>
  <si>
    <t>CC(C)[C@H](NC(=O)[C@H](N)CCCCN)C(=O)N[C@H](C(C)C)C(=O)N[C@@H]([C@H](C)O)C(O)=O</t>
  </si>
  <si>
    <t>VSLCIGXQLCYQTD-NPJQDHAYSA-N</t>
  </si>
  <si>
    <t>C20H39N5O6</t>
  </si>
  <si>
    <t>8.49_466.1988n</t>
  </si>
  <si>
    <t>Eriotriochin</t>
  </si>
  <si>
    <t>LMPK12050186</t>
  </si>
  <si>
    <t>C12OC(C(OCCO)(C)C)CC1=C(O)C1C(=O)C(C3=CC=C(O)C=C3)=COC=1C=2C/C=C(/C)\C</t>
  </si>
  <si>
    <t>GOCBWVPDSGUSDT-UHFFFAOYSA-N</t>
  </si>
  <si>
    <t>0.77_125.0476n</t>
  </si>
  <si>
    <t>3-Hydroxypyridine-2-Methanol</t>
  </si>
  <si>
    <t>C1=CC(=C(N=C1)CO)O</t>
  </si>
  <si>
    <t>ZJRBRKUGRKKZOO-UHFFFAOYSA-N</t>
  </si>
  <si>
    <t>Hydroxypyridines</t>
  </si>
  <si>
    <t>C6H7NO2</t>
  </si>
  <si>
    <t>9.47_349.1986m/z</t>
  </si>
  <si>
    <t>2,3-Dinor-8-Iso-Pgf2alpha</t>
  </si>
  <si>
    <t>LMFA03110010</t>
  </si>
  <si>
    <t>C14794</t>
  </si>
  <si>
    <t>221664-05-7</t>
  </si>
  <si>
    <t>[C@H]1(/C=C/[C@@H](O)CCCCC)[C@H](O)C[C@H](O)[C@H]1C/C=C\CC(=O)O</t>
  </si>
  <si>
    <t>IDKLJIUIJUVJNR-JSEKUSAISA-N</t>
  </si>
  <si>
    <t>2.24_287.1715m/z</t>
  </si>
  <si>
    <t>(2s)-1-[2-[[(2s)-Pyrrolidine-2-Carbonyl]Amino]Acetyl]Pyrrolidine-2-Carboxylic Acid</t>
  </si>
  <si>
    <t>HMDB0260136</t>
  </si>
  <si>
    <t>OC(=O)C1CCCN1C(=O)CNC(=O)C1CCCN1</t>
  </si>
  <si>
    <t>BRPMXFSTKXXNHF-UHFFFAOYSA-N</t>
  </si>
  <si>
    <t>C12H19N3O4</t>
  </si>
  <si>
    <t>5.86_475.1975m/z</t>
  </si>
  <si>
    <t>Mammea E/Bb</t>
  </si>
  <si>
    <t>HMDB0030814</t>
  </si>
  <si>
    <t>26477-65-6</t>
  </si>
  <si>
    <t>CCC(C)C(=O)C1=C(O)C(CC=C(C)C)=C(O)C2=C1OC(=O)C=C2C(CC)OC(C)=O</t>
  </si>
  <si>
    <t>CIJFRPODNXMJFU-UHFFFAOYSA-N</t>
  </si>
  <si>
    <t>C24H30O7</t>
  </si>
  <si>
    <t>10.11_763.5092m/z</t>
  </si>
  <si>
    <t>Spinosyn D</t>
  </si>
  <si>
    <t>C11056</t>
  </si>
  <si>
    <t>131929-63-0</t>
  </si>
  <si>
    <t>CCC1CCCC(C(C(=O)C2=CC3C4CC(CC4C(=CC3C2CC(=O)O1)C)OC5C(C(C(C(O5)C)OC)OC)OC)C)OC6CCC(C(O6)C)N(C)C</t>
  </si>
  <si>
    <t>RDECBWLKMPEKPM-PSCJHHPTSA-N</t>
  </si>
  <si>
    <t>C42H67NO10</t>
  </si>
  <si>
    <t>13.95_602.4622m/z</t>
  </si>
  <si>
    <t>Antibiotic X 14889a</t>
  </si>
  <si>
    <t>HMDB0033336</t>
  </si>
  <si>
    <t>97671-96-0</t>
  </si>
  <si>
    <t>CCC(C1OC(C)(CC1C)C1(O)OC(CC)(CC1C)C(C)O)C(=O)C(C)C(O)C(C)C1OC(O)(CC)C(C)CC1C</t>
  </si>
  <si>
    <t>CQTXDSXQPBLXND-UHFFFAOYSA-N</t>
  </si>
  <si>
    <t>C33H60O8</t>
  </si>
  <si>
    <t>4.99_285.0763m/z</t>
  </si>
  <si>
    <t>2'-Beta-Dihydroxychalcone</t>
  </si>
  <si>
    <t>LMPK12120395</t>
  </si>
  <si>
    <t>1469-94-9</t>
  </si>
  <si>
    <t>C1=CC=C(C(=O)/C=C(\O)/C2C=CC=CC=2)C(O)=C1</t>
  </si>
  <si>
    <t>AOJIJXJCNKMEET-UVTDQMKNSA-N</t>
  </si>
  <si>
    <t>C15H12O3</t>
  </si>
  <si>
    <t>1.11_342.0439m/z</t>
  </si>
  <si>
    <t>L-Cysteinylglycine Disulfide</t>
  </si>
  <si>
    <t>HMDB0000709</t>
  </si>
  <si>
    <t>70555-24-7</t>
  </si>
  <si>
    <t>N[C@@H](CSSCC(N)C(=O)NCC(O)=O)C(O)=O</t>
  </si>
  <si>
    <t>ZHRLECIZINSPKL-AKGZTFGVSA-N</t>
  </si>
  <si>
    <t>C8H15N3O5S2</t>
  </si>
  <si>
    <t>10.01_491.0331m/z</t>
  </si>
  <si>
    <t>3-[3-(Sulfooxy)Phenyl]Propanoic Acid</t>
  </si>
  <si>
    <t>HMDB0094710</t>
  </si>
  <si>
    <t>OC(=O)CCC1=CC(OS(O)(=O)=O)=CC=C1</t>
  </si>
  <si>
    <t>IQWLPDPKVFZEOK-UHFFFAOYSA-N</t>
  </si>
  <si>
    <t>C9H10O6S</t>
  </si>
  <si>
    <t>10.26_263.1983m/z</t>
  </si>
  <si>
    <t>Methyl 9z-Tetradecenoate</t>
  </si>
  <si>
    <t>LMFA07010493</t>
  </si>
  <si>
    <t>56219-06-8</t>
  </si>
  <si>
    <t>O=C(CCCCCCC/C=C\CCCC)OC</t>
  </si>
  <si>
    <t>RWIPSJUSVXDVPB-SREVYHEPSA-N</t>
  </si>
  <si>
    <t>6.54_253.1052m/z</t>
  </si>
  <si>
    <t>Decarbamoylneosaxitoxin</t>
  </si>
  <si>
    <t>HMDB0033663</t>
  </si>
  <si>
    <t>68683-58-9</t>
  </si>
  <si>
    <t>OCC1C2NC(=N)NC22N(CCC2(O)O)C(=N)N1O</t>
  </si>
  <si>
    <t>KUMXVBFFVVLQFX-UHFFFAOYSA-N</t>
  </si>
  <si>
    <t>C9H16N6O4</t>
  </si>
  <si>
    <t>0.72_104.0705m/z</t>
  </si>
  <si>
    <t>4-Amino-Butanoic Acid</t>
  </si>
  <si>
    <t>HMDB0000112</t>
  </si>
  <si>
    <t>LMFA01100039</t>
  </si>
  <si>
    <t>C00334</t>
  </si>
  <si>
    <t>ko00250,ko00330,ko00410,ko00650,ko00760,ko02024,ko04024,ko04080,ko04721,ko04723,ko04727,ko04742,ko04915,ko04929,ko05032,ko05033</t>
  </si>
  <si>
    <t>Alanine, aspartate and glutamate metabolism|Arginine and proline metabolism|beta-Alanine metabolism|Butanoate metabolism|Nicotinate and nicotinamide metabolism|Quorum sensing|cAMP signaling pathway|Neuroactive ligand-receptor interaction|Synaptic vesicle cycle|Retrograde endocannabinoid signaling|GABAergic synapse|Taste transduction|Estrogen signaling pathway|GnRH secretion|Morphine addiction|Nicotine addiction</t>
  </si>
  <si>
    <t>56-12-2</t>
  </si>
  <si>
    <t>C(CCN)C(=O)O</t>
  </si>
  <si>
    <t>BTCSSZJGUNDROE-UHFFFAOYSA-N</t>
  </si>
  <si>
    <t>C4H9NO2</t>
  </si>
  <si>
    <t>4.93_630.2838m/z</t>
  </si>
  <si>
    <t>Amikacin</t>
  </si>
  <si>
    <t>HMDB0014622</t>
  </si>
  <si>
    <t>C06820</t>
  </si>
  <si>
    <t>37517-28-5</t>
  </si>
  <si>
    <t>NCC[C@H](O)C(=O)N[C@@H]1C[C@H](N)[C@@H](O[C@H]2O[C@H](CN)[C@@H](O)[C@H](O)[C@H]2O)[C@H](O)[C@H]1O[C@H]1O[C@H](CO)[C@@H](O)[C@H](N)[C@H]1O</t>
  </si>
  <si>
    <t>LKCWBDHBTVXHDL-RMDFUYIESA-N</t>
  </si>
  <si>
    <t>C22H43N5O13</t>
  </si>
  <si>
    <t>9.79_183.0806m/z</t>
  </si>
  <si>
    <t>Methionine Sulfoxide</t>
  </si>
  <si>
    <t>HMDB0002005</t>
  </si>
  <si>
    <t>C02989</t>
  </si>
  <si>
    <t>3226-65-1</t>
  </si>
  <si>
    <t>CS(=O)CC[C@H](N)C(O)=O</t>
  </si>
  <si>
    <t>QEFRNWWLZKMPFJ-YGVKFDHGSA-N</t>
  </si>
  <si>
    <t>C5H11NO3S</t>
  </si>
  <si>
    <t>6.96_605.1990m/z</t>
  </si>
  <si>
    <t>Glutamic Acid Betaine</t>
  </si>
  <si>
    <t>HMDB0304561</t>
  </si>
  <si>
    <t>CC(C)=CCC1=C2OC(C)(C)C=CC2=C(O)C2=C1OC=C(C2=O)C1=C(O)C=C(OC2O[C@@H](CO)[C@H](O)[C@@H](O)[C@@H]2O)C=C1</t>
  </si>
  <si>
    <t>SMNRYOJOGLARRH-YYUPDQRMSA-N</t>
  </si>
  <si>
    <t>C31H34O11</t>
  </si>
  <si>
    <t>3.79_429.0485m/z</t>
  </si>
  <si>
    <t>4'-Methylepicatechin 3'-Sulfate</t>
  </si>
  <si>
    <t>HMDB0240466</t>
  </si>
  <si>
    <t>[H][C@@]1(O)CC2=C(O)C=C(O)C=C2O[C@]1([H])C1=CC(OS(O)(=O)=O)=C(OC)C=C1</t>
  </si>
  <si>
    <t>PCLCJMJFLFTHDU-MLGOLLRUSA-N</t>
  </si>
  <si>
    <t>C16H16O9S</t>
  </si>
  <si>
    <t>7.16_501.2984m/z</t>
  </si>
  <si>
    <t>2,6-Di-Tert-Butyl-4-Nitrophenol</t>
  </si>
  <si>
    <t>CC(C)(C)C1=CC(=CC(=C1O)C(C)(C)C)[N+](=O)[O-]</t>
  </si>
  <si>
    <t>FCGKUUOTWLWJHE-UHFFFAOYSA-N</t>
  </si>
  <si>
    <t>C14H21NO3</t>
  </si>
  <si>
    <t>4.36_121.1011m/z</t>
  </si>
  <si>
    <t>1,2,4-Trimethylbenzene</t>
  </si>
  <si>
    <t>HMDB0013733</t>
  </si>
  <si>
    <t>C14533</t>
  </si>
  <si>
    <t>95-63-6</t>
  </si>
  <si>
    <t>CC1=CC(C)=C(C)C=C1</t>
  </si>
  <si>
    <t>GWHJZXXIDMPWGX-UHFFFAOYSA-N</t>
  </si>
  <si>
    <t>C9H12</t>
  </si>
  <si>
    <t>7.89_251.0922m/z</t>
  </si>
  <si>
    <t>2,3-Dihydro-6-Methoxy-2,2-Dimethyl-4h-1-Benzopyran-4-One</t>
  </si>
  <si>
    <t>HMDB0041410</t>
  </si>
  <si>
    <t>13229-59-9</t>
  </si>
  <si>
    <t>COC1=CC2=C(OC(C)(C)CC2=O)C=C1</t>
  </si>
  <si>
    <t>ZCZUDOBLRMXOGV-UHFFFAOYSA-N</t>
  </si>
  <si>
    <t>C12H14O3</t>
  </si>
  <si>
    <t>2.33_468.9948m/z</t>
  </si>
  <si>
    <t>Pamidronate</t>
  </si>
  <si>
    <t>HMDB0014427</t>
  </si>
  <si>
    <t>C07395</t>
  </si>
  <si>
    <t>40391-99-9</t>
  </si>
  <si>
    <t>NCCC(O)(P(O)(O)=O)P(O)(O)=O</t>
  </si>
  <si>
    <t>WRUUGTRCQOWXEG-UHFFFAOYSA-N</t>
  </si>
  <si>
    <t>C3H11NO7P2</t>
  </si>
  <si>
    <t>9.96_349.1985m/z</t>
  </si>
  <si>
    <t>2r-Hpotre</t>
  </si>
  <si>
    <t>LMFA02000031</t>
  </si>
  <si>
    <t>C([C@H](OO)CCCCCC/C=C\C/C=C(/O)\C/C=C\CC)(=O)O</t>
  </si>
  <si>
    <t>JFASLUAXMZUDIC-HWVTWIRUSA-N</t>
  </si>
  <si>
    <t>4.10_382.1144m/z</t>
  </si>
  <si>
    <t>4-O-(Indole-3-Acetyl)-D-Glucopyranose</t>
  </si>
  <si>
    <t>HMDB0301785</t>
  </si>
  <si>
    <t>C04197</t>
  </si>
  <si>
    <t>52703-89-6</t>
  </si>
  <si>
    <t>OC[C@H]1O[C@@H](OC(=O)CC2=CNC3=CC=CC=C23)[C@H](O)[C@@H](O)[C@@H]1O</t>
  </si>
  <si>
    <t>HHDMMUWDSFASNB-JZYAIQKZSA-N</t>
  </si>
  <si>
    <t>C16H19NO7</t>
  </si>
  <si>
    <t>3.97_317.1377m/z</t>
  </si>
  <si>
    <t>3-Pyridinecarboximidamide, N-(2-Hydroxy-3-(1-Piperidinyl)Propoxy)-</t>
  </si>
  <si>
    <t>HMDB0249173</t>
  </si>
  <si>
    <t>NC(=NOCC(O)CN1CCCCC1)C1=CN=CC=C1</t>
  </si>
  <si>
    <t>MVLOQULXIYSERZ-UHFFFAOYSA-N</t>
  </si>
  <si>
    <t>C14H22N4O2</t>
  </si>
  <si>
    <t>1.59_264.1442m/z</t>
  </si>
  <si>
    <t>Caffeine, 8-((3-Methoxypropyl)Amino)-</t>
  </si>
  <si>
    <t>HMDB0247409</t>
  </si>
  <si>
    <t>COCCCNC1=NC2=C(N1C)C(=O)N(C)C(=O)N2C</t>
  </si>
  <si>
    <t>ZZQHGKMTMAORFI-UHFFFAOYSA-N</t>
  </si>
  <si>
    <t>C12H19N5O3</t>
  </si>
  <si>
    <t>2.00_192.0247m/z</t>
  </si>
  <si>
    <t>Monosodium Glutamate</t>
  </si>
  <si>
    <t>HMDB0303331</t>
  </si>
  <si>
    <t>[Na+].NC(CCC(O)=O)C([O-])=O</t>
  </si>
  <si>
    <t>LPUQAYUQRXPFSQ-UHFFFAOYSA-M</t>
  </si>
  <si>
    <t>C5H8NNaO4</t>
  </si>
  <si>
    <t>10.52_457.2806m/z</t>
  </si>
  <si>
    <t>3-Methoxy Limaprost</t>
  </si>
  <si>
    <t>CCCCC(C)CC(C=CC1C(CC(=O)C1CCCCC(CC(=O)O)OC)O)O</t>
  </si>
  <si>
    <t>CQMVTHTYLSWGRI-HMHRGJHKSA-N</t>
  </si>
  <si>
    <t>4.36_353.1237m/z</t>
  </si>
  <si>
    <t>4(1h)-Pteridinone, 2-Amino-6-Methyl-</t>
  </si>
  <si>
    <t>HMDB0247091</t>
  </si>
  <si>
    <t>CC1=CN=C2N=C(N)NC(=O)C2=N1</t>
  </si>
  <si>
    <t>UDOGNMDURIJYQC-UHFFFAOYSA-N</t>
  </si>
  <si>
    <t>C7H7N5O</t>
  </si>
  <si>
    <t>12.61_308.2944m/z</t>
  </si>
  <si>
    <t>(-)-Dilophol</t>
  </si>
  <si>
    <t>LMPR0104450002</t>
  </si>
  <si>
    <t>C1C=C(C)CC[C@@]([H])([C@@H](C)CC/C=C(\C)/C)[C@@H](O)C=C(C)C1</t>
  </si>
  <si>
    <t>OUVXRPFTQJMCGW-BRPRPXEGSA-N</t>
  </si>
  <si>
    <t>C20H34O</t>
  </si>
  <si>
    <t>5.23_478.1706m/z</t>
  </si>
  <si>
    <t>Wistin</t>
  </si>
  <si>
    <t>HMDB0030869</t>
  </si>
  <si>
    <t>19046-26-5</t>
  </si>
  <si>
    <t>COC1=CC=C(C=C1)C1=COC2=CC(OC3OC(CO)C(O)C(O)C3O)=C(OC)C=C2C1=O</t>
  </si>
  <si>
    <t>YLYJXNTZVUEFJZ-UHFFFAOYSA-N</t>
  </si>
  <si>
    <t>C23H24O10</t>
  </si>
  <si>
    <t>0.70_293.0268m/z</t>
  </si>
  <si>
    <t>Iobenguane</t>
  </si>
  <si>
    <t>HMDB0253507</t>
  </si>
  <si>
    <t>NC(N)=NCC1=CC(I)=CC=C1</t>
  </si>
  <si>
    <t>PDWUPXJEEYOOTR-UHFFFAOYSA-N</t>
  </si>
  <si>
    <t>C8H10IN3</t>
  </si>
  <si>
    <t>3.43_345.0825m/z</t>
  </si>
  <si>
    <t>Methyl 6-O-Galloyl-Beta-D-Glucopyranoside</t>
  </si>
  <si>
    <t>HMDB0039354</t>
  </si>
  <si>
    <t>88647-06-7</t>
  </si>
  <si>
    <t>COC1OC(COC(=O)C2=CC(O)=C(O)C(O)=C2)C(O)C(O)C1O</t>
  </si>
  <si>
    <t>FNCIIGZVDLRIDE-UHFFFAOYSA-N</t>
  </si>
  <si>
    <t>C14H18O10</t>
  </si>
  <si>
    <t>1.22_117.0180m/z</t>
  </si>
  <si>
    <t>Threonic Acid</t>
  </si>
  <si>
    <t>HMDB0000943</t>
  </si>
  <si>
    <t>C01620</t>
  </si>
  <si>
    <t>7306-96-9</t>
  </si>
  <si>
    <t>OC[C@H](O)[C@@H](O)C(O)=O</t>
  </si>
  <si>
    <t>JPIJQSOTBSSVTP-STHAYSLISA-N</t>
  </si>
  <si>
    <t>C4H8O5</t>
  </si>
  <si>
    <t>5.25_435.2011m/z</t>
  </si>
  <si>
    <t>8-Butanoylneosolaniol</t>
  </si>
  <si>
    <t>HMDB0038560</t>
  </si>
  <si>
    <t>98813-18-4</t>
  </si>
  <si>
    <t>[H][C@@]12O[C@]3([H])C=C(C)[C@H](C[C@]3(COC(C)=O)[C@@](C)([C@H](OC(C)=O)[C@H]1O)[C@]21CO1)OC(=O)CCC</t>
  </si>
  <si>
    <t>QAZLVSRKBUTUHB-MXINJKJASA-N</t>
  </si>
  <si>
    <t>C23H32O9</t>
  </si>
  <si>
    <t>0.64_182.9914m/z</t>
  </si>
  <si>
    <t>Poppy Acid</t>
  </si>
  <si>
    <t>HMDB0033695</t>
  </si>
  <si>
    <t>C20209</t>
  </si>
  <si>
    <t>497-59-6</t>
  </si>
  <si>
    <t>OC(=O)C1=CC(=O)C(O)=C(O1)C(O)=O</t>
  </si>
  <si>
    <t>ZEGRKMXCOCRTCS-UHFFFAOYSA-N</t>
  </si>
  <si>
    <t>C7H4O7</t>
  </si>
  <si>
    <t>10.15_270.1830n</t>
  </si>
  <si>
    <t>L-Monomenthyl Glutarate</t>
  </si>
  <si>
    <t>HMDB0303264</t>
  </si>
  <si>
    <t>[H][C@@]1(C)CC[C@@]([H])(C(C)C)[C@@]([H])(C1)OC(=O)CCCC(O)=O</t>
  </si>
  <si>
    <t>CTMTYSVTTGVYAW-FRRDWIJNSA-N</t>
  </si>
  <si>
    <t>3.40_126.0311m/z</t>
  </si>
  <si>
    <t>4-Hydroxy-5-Methyl-2-Methylene-3(2h)-Furanone</t>
  </si>
  <si>
    <t>HMDB0304178</t>
  </si>
  <si>
    <t>CC1=C([O-])C(=O)C(=C)O1</t>
  </si>
  <si>
    <t>NPMQEIOINVDLMV-UHFFFAOYSA-M</t>
  </si>
  <si>
    <t>C6H5O3-</t>
  </si>
  <si>
    <t>12.10_499.3753m/z</t>
  </si>
  <si>
    <t>Oleanolic Acid Acetate</t>
  </si>
  <si>
    <t>4339-72-4</t>
  </si>
  <si>
    <t>CC(=O)OC1CCC2(C(C1(C)C)CCC3(C2CC=C4C3(CCC5(C4CC(CC5)(C)C)C(=O)O)C)C)C</t>
  </si>
  <si>
    <t>RIXNFYQZWDGQAE-JMGFFJFSSA-N</t>
  </si>
  <si>
    <t>C32H50O4</t>
  </si>
  <si>
    <t>13.97_355.3026m/z</t>
  </si>
  <si>
    <t>Leukotriene A4-D5 Methyl Ester</t>
  </si>
  <si>
    <t>CCCCCC=CCC=CC=CC=CC1C(O1)CCCC(=O)OC</t>
  </si>
  <si>
    <t>WTKAVFHPLJFCMZ-RIVYOXCQSA-N</t>
  </si>
  <si>
    <t>C21H27D5O3</t>
  </si>
  <si>
    <t>3.66_133.0859m/z</t>
  </si>
  <si>
    <t>Hydroxy-Isocaproic Acid</t>
  </si>
  <si>
    <t>HMDB0000746</t>
  </si>
  <si>
    <t>LMFA01050408</t>
  </si>
  <si>
    <t>13748-90-8</t>
  </si>
  <si>
    <t>C(=O)(O)[C@@H](O)CC(C)C</t>
  </si>
  <si>
    <t>LVRFTAZAXQPQHI-YFKPBYRVSA-N</t>
  </si>
  <si>
    <t>C6H12O3</t>
  </si>
  <si>
    <t>0.80_171.0287m/z</t>
  </si>
  <si>
    <t>Gallic Acid</t>
  </si>
  <si>
    <t>HMDB0005807</t>
  </si>
  <si>
    <t>C01424</t>
  </si>
  <si>
    <t>149-91-7</t>
  </si>
  <si>
    <t>OC(=O)C1=CC(O)=C(O)C(O)=C1</t>
  </si>
  <si>
    <t>LNTHITQWFMADLM-UHFFFAOYSA-N</t>
  </si>
  <si>
    <t>C7H6O5</t>
  </si>
  <si>
    <t>9.14_362.2685m/z</t>
  </si>
  <si>
    <t>(+/-)-17-Hdohe</t>
  </si>
  <si>
    <t>HMDB0010213</t>
  </si>
  <si>
    <t>LMFA04000032</t>
  </si>
  <si>
    <t>90780-52-2</t>
  </si>
  <si>
    <t>C(CC/C=C\C/C=C\C/C=C\C/C=C\C=C\C(O)C/C=C\CC)(=O)O</t>
  </si>
  <si>
    <t>SWTYBBUBEPPYCX-VIIQGJSXSA-N</t>
  </si>
  <si>
    <t>2.56_451.0471m/z</t>
  </si>
  <si>
    <t>Megazol</t>
  </si>
  <si>
    <t>HMDB0254411</t>
  </si>
  <si>
    <t>CN1C(=NC=C1[N+]([O-])=O)C1=NN=C(N)S1</t>
  </si>
  <si>
    <t>VDZZTXBMKRQEPO-UHFFFAOYSA-N</t>
  </si>
  <si>
    <t>C6H6N6O2S</t>
  </si>
  <si>
    <t>5.23_481.3365m/z</t>
  </si>
  <si>
    <t>Gentamicin C2</t>
  </si>
  <si>
    <t>HMDB0252691</t>
  </si>
  <si>
    <t>CNC1C(O)C(OC2C(N)CC(N)C(OC3OC(CCC3N)C(C)N)C2O)OCC1(C)O</t>
  </si>
  <si>
    <t>XUFIWSHGXVLULG-UHFFFAOYSA-N</t>
  </si>
  <si>
    <t>C20H41N5O7</t>
  </si>
  <si>
    <t>6.65_239.9676m/z</t>
  </si>
  <si>
    <t>5-Iai</t>
  </si>
  <si>
    <t>C1C(CC2=C1C=CC(=C2)I)N</t>
  </si>
  <si>
    <t>BIHPYCDDPGNWQO-UHFFFAOYSA-N</t>
  </si>
  <si>
    <t>C9H10IN</t>
  </si>
  <si>
    <t>9.33_322.9935m/z</t>
  </si>
  <si>
    <t>2-C-Methyl-D-Erythritol 2,4-Cyclodiphosphate</t>
  </si>
  <si>
    <t>C11453</t>
  </si>
  <si>
    <t>143488-44-2</t>
  </si>
  <si>
    <t>CC1(C(COP(=O)(OP(=O)(O1)O)O)O)CO</t>
  </si>
  <si>
    <t>SFRQRNJMIIUYDI-UHNVWZDZSA-N</t>
  </si>
  <si>
    <t>C5H12O9P2</t>
  </si>
  <si>
    <t>5.32_553.1682m/z</t>
  </si>
  <si>
    <t>Indirubin-3'-Monoxime</t>
  </si>
  <si>
    <t>HMDB0253461</t>
  </si>
  <si>
    <t>160807-49-8</t>
  </si>
  <si>
    <t>OC1=C(C2=C(N=O)C3=CC=CC=C3N2)C2=CC=CC=C2N1</t>
  </si>
  <si>
    <t>FQCPPVRJPILDIK-UHFFFAOYSA-N</t>
  </si>
  <si>
    <t>C16H11N3O2</t>
  </si>
  <si>
    <t>4.24_389.1093m/z</t>
  </si>
  <si>
    <t>2-((3-Aminopyridin-2-Yl)Methylene)Hydrazinecarbothioamide</t>
  </si>
  <si>
    <t>HMDB0244625</t>
  </si>
  <si>
    <t>NC(=S)NN=CC1=C(N)C=CC=N1</t>
  </si>
  <si>
    <t>XMYKNCNAZKMVQN-UHFFFAOYSA-N</t>
  </si>
  <si>
    <t>Aminopyridines and derivatives</t>
  </si>
  <si>
    <t>C7H9N5S</t>
  </si>
  <si>
    <t>7.17_484.1864n</t>
  </si>
  <si>
    <t>Nb-Trans-P-Coumaroylserotonin Glucoside</t>
  </si>
  <si>
    <t>HMDB0032760</t>
  </si>
  <si>
    <t>76423-56-8</t>
  </si>
  <si>
    <t>OCC1OC(OC2=CC3=C(NC=C3CCNC(=O)\C=C\C3=CC=C(O)C=C3)C=C2)C(O)C(O)C1O</t>
  </si>
  <si>
    <t>LPGWQGDUKIPAME-FPYGCLRLSA-N</t>
  </si>
  <si>
    <t>C25H28N2O8</t>
  </si>
  <si>
    <t>3.77_331.0587m/z</t>
  </si>
  <si>
    <t>Fluorescein</t>
  </si>
  <si>
    <t>HMDB0014831</t>
  </si>
  <si>
    <t>2321-07-5</t>
  </si>
  <si>
    <t>OC1=CC2=C(C=C1)C1(OC(=O)C3=CC=CC=C13)C1=C(O2)C=C(O)C=C1</t>
  </si>
  <si>
    <t>GNBHRKFJIUUOQI-UHFFFAOYSA-N</t>
  </si>
  <si>
    <t>C20H12O5</t>
  </si>
  <si>
    <t>14.82_642.4354m/z</t>
  </si>
  <si>
    <t>PG(a-13:0/i-12:0)</t>
  </si>
  <si>
    <t>HMDB0116642</t>
  </si>
  <si>
    <t>[H][C@](O)(CO)COP(O)(=O)OC[C@@]([H])(COC(=O)CCCCCCCCC(C)CC)OC(=O)CCCCCCCCC(C)C</t>
  </si>
  <si>
    <t>SHJITKGNMNMLLJ-CVWZLOPKSA-N</t>
  </si>
  <si>
    <t>C31H61O10P</t>
  </si>
  <si>
    <t>4.69_361.0599m/z</t>
  </si>
  <si>
    <t>Fosphenytoin</t>
  </si>
  <si>
    <t>HMDB0015417</t>
  </si>
  <si>
    <t>C07840</t>
  </si>
  <si>
    <t>93390-81-9</t>
  </si>
  <si>
    <t>OP(O)(=O)OCN1C(=O)NC(C1=O)(C1=CC=CC=C1)C1=CC=CC=C1</t>
  </si>
  <si>
    <t>XWLUWCNOOVRFPX-UHFFFAOYSA-N</t>
  </si>
  <si>
    <t>C16H15N2O6P</t>
  </si>
  <si>
    <t>9.86_557.3472m/z</t>
  </si>
  <si>
    <t>Milbemycin D</t>
  </si>
  <si>
    <t>HMDB0254730</t>
  </si>
  <si>
    <t>CC(C)C1OC2(CCC1C)CC1CC(CC=C(C)CC(C)C=CC=C3COC4C(O)C(C)=CC(C(=O)O1)C34O)O2</t>
  </si>
  <si>
    <t>BWCRYQGQPDBOAU-UHFFFAOYSA-N</t>
  </si>
  <si>
    <t>C33H48O7</t>
  </si>
  <si>
    <t>4.99_478.1112n</t>
  </si>
  <si>
    <t>Isorhamnetin 3-Glucoside</t>
  </si>
  <si>
    <t>HMDB0302682</t>
  </si>
  <si>
    <t>LMPK12110576</t>
  </si>
  <si>
    <t>C1(O)=CC2OC(C3C=C(OC)C(O)=CC=3)=C(O[C@H]3[C@H](O)[C@@H](O)[C@H](O)[C@@H](CO)O3)C(=O)C=2C(O)=C1</t>
  </si>
  <si>
    <t>CQLRUIIRRZYHHS-LFXZADKFSA-N</t>
  </si>
  <si>
    <t>C22H22O12</t>
  </si>
  <si>
    <t>4.01_399.0459m/z</t>
  </si>
  <si>
    <t>Thiodicarb</t>
  </si>
  <si>
    <t>C18423</t>
  </si>
  <si>
    <t>59669-26-0</t>
  </si>
  <si>
    <t>CC(=NOC(=O)N(C)SN(C)C(=O)ON=C(C)SC)SC</t>
  </si>
  <si>
    <t>XDOTVMNBCQVZKG-MKICQXMISA-N</t>
  </si>
  <si>
    <t>Organic carbonic acids and derivatives</t>
  </si>
  <si>
    <t>C10H18N4O4S3</t>
  </si>
  <si>
    <t>1.56_377.0095m/z</t>
  </si>
  <si>
    <t>Glucocapparin</t>
  </si>
  <si>
    <t>HMDB0304680</t>
  </si>
  <si>
    <t>C\C(S[C@@H]1O[C@@H](CO)[C@@H](O)[C@H](O)[C@H]1O)=N/OS([O-])(=O)=O</t>
  </si>
  <si>
    <t>UBTOEGCOMHAXGV-GWULPDEYSA-M</t>
  </si>
  <si>
    <t>C8H14NO9S2-</t>
  </si>
  <si>
    <t>8.51_539.2859m/z</t>
  </si>
  <si>
    <t>(3b,4b,11b,14b)-11-Ethoxy-3,4-Epoxy-14-Hydroxy-12-Cyathen-15-Al 14-Xyloside</t>
  </si>
  <si>
    <t>HMDB0034617</t>
  </si>
  <si>
    <t>178120-49-5</t>
  </si>
  <si>
    <t>CCOC1CC2C34OC3(CCC4(C)CCC2(C)C(OC2OCC(O)C(O)C2O)C=C1C=O)C(C)C</t>
  </si>
  <si>
    <t>BYPNJSRSMGYEOF-UHFFFAOYSA-N</t>
  </si>
  <si>
    <t>C27H42O8</t>
  </si>
  <si>
    <t>15.16_480.4045m/z</t>
  </si>
  <si>
    <t>6-Deoxohomodolichosterone</t>
  </si>
  <si>
    <t>HMDB0034430</t>
  </si>
  <si>
    <t>110345-06-7</t>
  </si>
  <si>
    <t>C\C=C(/C(C)C)C(O)C(O)C(C)C1CCC2C3CCC4CC(O)C(O)CC4(C)C3CCC12C</t>
  </si>
  <si>
    <t>GQSRIBUSVVSLSQ-FBCYGCLPSA-N</t>
  </si>
  <si>
    <t>4.72_824.4606n</t>
  </si>
  <si>
    <t>PGP(16:0/18:3(6Z,9Z,12Z))</t>
  </si>
  <si>
    <t>HMDB0013478</t>
  </si>
  <si>
    <t>CCCCCCCCCCCCCCCC(=O)OC[C@]([H])(COP(=O)(O)OC[C@@]([H])(O)COP(=O)(O)O)OC(=O)CCCC\C=C/C\C=C/C\C=C/CCCCC</t>
  </si>
  <si>
    <t>LWZSKDVJRDCEQE-UIWSMAGISA-N</t>
  </si>
  <si>
    <t>C40H74O13P2</t>
  </si>
  <si>
    <t>1.67_323.1174m/z</t>
  </si>
  <si>
    <t>Tropicamide</t>
  </si>
  <si>
    <t>HMDB0014947</t>
  </si>
  <si>
    <t>1508-75-4</t>
  </si>
  <si>
    <t>CCN(CC1=CC=NC=C1)C(=O)C(CO)C1=CC=CC=C1</t>
  </si>
  <si>
    <t>BGDKAVGWHJFAGW-UHFFFAOYSA-N</t>
  </si>
  <si>
    <t>C17H20N2O2</t>
  </si>
  <si>
    <t>4.10_425.1438m/z</t>
  </si>
  <si>
    <t>Beta-L-Dioxolane-Cytidine</t>
  </si>
  <si>
    <t>HMDB0249137</t>
  </si>
  <si>
    <t>NC1=NC(=O)N(C=C1)C1COC(CO)O1</t>
  </si>
  <si>
    <t>RXRGZNYSEHTMHC-UHFFFAOYSA-N</t>
  </si>
  <si>
    <t>C8H11N3O4</t>
  </si>
  <si>
    <t>14.88_806.5763m/z</t>
  </si>
  <si>
    <t>Tulathromycin A</t>
  </si>
  <si>
    <t>HMDB0259324</t>
  </si>
  <si>
    <t>CCCNCC1(O)C(C)OC(CC1(C)OC)OC1C(C)C(OC2OC(C)CC(C2O)N(C)C)C(C)(O)CC(C)CNC(C)C(O)C(C)(O)C(CC)OC(=O)C1C</t>
  </si>
  <si>
    <t>GUARTUJKFNAVIK-UHFFFAOYSA-N</t>
  </si>
  <si>
    <t>C41H79N3O12</t>
  </si>
  <si>
    <t>1.63_149.0477n</t>
  </si>
  <si>
    <t>(S)-4-Hydroxymandelonitrile</t>
  </si>
  <si>
    <t>HMDB0060318</t>
  </si>
  <si>
    <t>C03742</t>
  </si>
  <si>
    <t>71807-09-5</t>
  </si>
  <si>
    <t>O[C@H](C#N)C1=CC=C(O)C=C1</t>
  </si>
  <si>
    <t>HOOOPXDSCKBLFG-MRVPVSSYSA-N</t>
  </si>
  <si>
    <t>9.15_445.1820m/z</t>
  </si>
  <si>
    <t>4-(Methylnitrosamino)-1-(1-Oxido-3-Pyridinyl)-1-Butanone</t>
  </si>
  <si>
    <t>HMDB0062375</t>
  </si>
  <si>
    <t>C19602</t>
  </si>
  <si>
    <t>76014-82-9</t>
  </si>
  <si>
    <t>CN(CCCC(=O)C1=CN(=O)=CC=C1)N=O</t>
  </si>
  <si>
    <t>KRRWRVSPMYAJPF-UHFFFAOYSA-N</t>
  </si>
  <si>
    <t>C10H13N3O3</t>
  </si>
  <si>
    <t>4.65_277.0326m/z</t>
  </si>
  <si>
    <t>Sodium (4-Methoxybenzoyloxy)Acetate</t>
  </si>
  <si>
    <t>HMDB0303300</t>
  </si>
  <si>
    <t>[Na+].COC1=CC=C(C=C1)C(=O)OCC([O-])=O</t>
  </si>
  <si>
    <t>DCRRSNRLZYMWBH-UHFFFAOYSA-M</t>
  </si>
  <si>
    <t>C10H9NaO5</t>
  </si>
  <si>
    <t>13.49_151.0752m/z</t>
  </si>
  <si>
    <t>4-Hydroxy-3-Methyl-2-(2-Propynyl)-2-Cyclopentene-1-One</t>
  </si>
  <si>
    <t>HMDB0246651</t>
  </si>
  <si>
    <t>CC1=C(CC#C)C(=O)CC1O</t>
  </si>
  <si>
    <t>ISFGTDAAYLSOFY-UHFFFAOYSA-N</t>
  </si>
  <si>
    <t>4.09_457.1961m/z</t>
  </si>
  <si>
    <t>Phenylalanyl-Prolyl-Arginine</t>
  </si>
  <si>
    <t>HMDB0253027</t>
  </si>
  <si>
    <t>NC(CC1=CC=CC=C1)C(=O)N1CCCC1C(=O)NC(CCCN=C(N)N)C(O)=O</t>
  </si>
  <si>
    <t>NTUPOKHATNSWCY-UHFFFAOYSA-N</t>
  </si>
  <si>
    <t>C20H30N6O4</t>
  </si>
  <si>
    <t>10.91_389.2308m/z</t>
  </si>
  <si>
    <t>Medroxyprogesterone</t>
  </si>
  <si>
    <t>HMDB0001939</t>
  </si>
  <si>
    <t>LMST02030176</t>
  </si>
  <si>
    <t>C07119</t>
  </si>
  <si>
    <t>520-85-4</t>
  </si>
  <si>
    <t>C1C[C@@](C(=O)C)(O)[C@@]2(C)CC[C@]3([H])[C@@]4(C)CCC(=O)C=C4[C@@H](C)C[C@@]3([H])[C@@]21[H]</t>
  </si>
  <si>
    <t>FRQMUZJSZHZSGN-HBNHAYAOSA-N</t>
  </si>
  <si>
    <t>3.50_226.0836n</t>
  </si>
  <si>
    <t>3-Carboxy-4-Methyl-5-Ethyl-2-Furanpropionic Acid</t>
  </si>
  <si>
    <t>HMDB0244411</t>
  </si>
  <si>
    <t>CCC1=C(C)C(C(O)=O)=C(CCC(O)=O)O1</t>
  </si>
  <si>
    <t>LOHNKCJVXLFVMW-UHFFFAOYSA-N</t>
  </si>
  <si>
    <t>3.27_371.0822m/z</t>
  </si>
  <si>
    <t>Digalacturonate</t>
  </si>
  <si>
    <t>C02273</t>
  </si>
  <si>
    <t>ko00040,ko02010</t>
  </si>
  <si>
    <t>Pentose and glucuronate interconversions|ABC transporters</t>
  </si>
  <si>
    <t>5894-59-7</t>
  </si>
  <si>
    <t>C1(C(C(OC(C1O)OC2C(C(C(OC2C(=O)O)O)O)O)C(=O)O)O)O</t>
  </si>
  <si>
    <t>IGSYEZFZPOZFNC-LKIWRGPLSA-N</t>
  </si>
  <si>
    <t>C12H18O13</t>
  </si>
  <si>
    <t>14.55_325.2006m/z</t>
  </si>
  <si>
    <t>N1,N12-Diacetylspermine</t>
  </si>
  <si>
    <t>HMDB0002172</t>
  </si>
  <si>
    <t>C03413</t>
  </si>
  <si>
    <t>61345-83-3</t>
  </si>
  <si>
    <t>CC(=O)NCCCNCCCCNCCCNC(C)=O</t>
  </si>
  <si>
    <t>NPDTUDWGJMBVEP-UHFFFAOYSA-N</t>
  </si>
  <si>
    <t>C14H30N4O2</t>
  </si>
  <si>
    <t>2.58_279.0620m/z</t>
  </si>
  <si>
    <t>N-(Gamma-Maleimidobutyryloxy)Succinimide</t>
  </si>
  <si>
    <t>HMDB0252896</t>
  </si>
  <si>
    <t>O=C(CCCN1C(=O)C=CC1=O)ON1C(=O)CCC1=O</t>
  </si>
  <si>
    <t>PVGATNRYUYNBHO-UHFFFAOYSA-N</t>
  </si>
  <si>
    <t>C12H12N2O6</t>
  </si>
  <si>
    <t>4.74_548.0658m/z</t>
  </si>
  <si>
    <t>(R)-Am1241</t>
  </si>
  <si>
    <t>444912-51-0</t>
  </si>
  <si>
    <t>CN1CCCCC1CN2C=C(C3=CC=CC=C32)C(=O)C4=C(C=CC(=C4)[N+](=O)[O-])I</t>
  </si>
  <si>
    <t>ZUHIXXCLLBMBDW-MRXNPFEDSA-N</t>
  </si>
  <si>
    <t>C22H22IN3O3</t>
  </si>
  <si>
    <t>6.61_435.2146m/z</t>
  </si>
  <si>
    <t>PG(14:1(9Z)/0:0)</t>
  </si>
  <si>
    <t>LMGP04050035</t>
  </si>
  <si>
    <t>[H][C@](O)(CO)COP(OC[C@]([H])(O)COC(CCCCCCC/C=C\CCCC)=O)(=O)O</t>
  </si>
  <si>
    <t>JQYVZBJAEMGICC-ZYHOBAKYSA-N</t>
  </si>
  <si>
    <t>C20H39O9P</t>
  </si>
  <si>
    <t>5.52_265.1584m/z</t>
  </si>
  <si>
    <t>3-Hydroxy-1-Methylestra-1,3,5(10),6-Tetraen-17-One</t>
  </si>
  <si>
    <t>C15308</t>
  </si>
  <si>
    <t>CC1=CC(=CC2=C1C3CCC4(C(C3C=C2)CCC4=O)C)O</t>
  </si>
  <si>
    <t>KRCRSBUGDLOMGX-DRMAHVMPSA-N</t>
  </si>
  <si>
    <t>C19H22O2</t>
  </si>
  <si>
    <t>4.42_583.3125m/z</t>
  </si>
  <si>
    <t>Turkesterone 22-Acetate</t>
  </si>
  <si>
    <t>LMST01010424</t>
  </si>
  <si>
    <t>C1[C@H](O)[C@H](O)C[C@@]2([H])C(=O)C=C3[C@@]([C@H](O)C[C@]4([C@@]3(O)CC[C@]4([H])[C@](O)(C)[C@H](OC(C)=O)CCC(O)(C)C)C)([H])[C@]21C</t>
  </si>
  <si>
    <t>JSZPYTWGCGPQIT-MWPSDTLYSA-N</t>
  </si>
  <si>
    <t>C29H46O9</t>
  </si>
  <si>
    <t>9.05_299.1640m/z</t>
  </si>
  <si>
    <t>Auraptene</t>
  </si>
  <si>
    <t>HMDB0034054</t>
  </si>
  <si>
    <t>495-02-3</t>
  </si>
  <si>
    <t>CC(C)=CCC\C(C)=C\COC1=CC2=C(C=CC(=O)O2)C=C1</t>
  </si>
  <si>
    <t>RSDDHGSKLOSQFK-RVDMUPIBSA-N</t>
  </si>
  <si>
    <t>2.30_536.9822m/z</t>
  </si>
  <si>
    <t>2'-Deoxyinosine Triphosphate</t>
  </si>
  <si>
    <t>HMDB0003537</t>
  </si>
  <si>
    <t>C01345</t>
  </si>
  <si>
    <t>16595-02-1</t>
  </si>
  <si>
    <t>O[C@H]1C[C@@H](O[C@@H]1COP(O)(=O)OP(O)(=O)OP(O)(O)=O)N1C=NC2=C1NC=NC2=O</t>
  </si>
  <si>
    <t>UFJPAQSLHAGEBL-RRKCRQDMSA-N</t>
  </si>
  <si>
    <t>C10H15N4O13P3</t>
  </si>
  <si>
    <t>0.71_275.0536m/z</t>
  </si>
  <si>
    <t>Biotin Thiamine</t>
  </si>
  <si>
    <t>HMDB0249230</t>
  </si>
  <si>
    <t>SOC(=O)CCCCC1SCC2NC(=O)NC12</t>
  </si>
  <si>
    <t>PWAOCCNCAGWBGY-UHFFFAOYSA-N</t>
  </si>
  <si>
    <t>C10H16N2O3S2</t>
  </si>
  <si>
    <t>11.31_396.3107m/z</t>
  </si>
  <si>
    <t>MG(0:0/20:4(5Z,8Z,11Z,14Z)/0:0)</t>
  </si>
  <si>
    <t>HMDB0004666</t>
  </si>
  <si>
    <t>LMGL01010023</t>
  </si>
  <si>
    <t>C13856</t>
  </si>
  <si>
    <t>ko04080,ko04714,ko04723</t>
  </si>
  <si>
    <t>Neuroactive ligand-receptor interaction|Thermogenesis|Retrograde endocannabinoid signaling</t>
  </si>
  <si>
    <t>53847-30-6</t>
  </si>
  <si>
    <t>OC[C@]([H])(OC(CCC/C=C\C/C=C\C/C=C\C/C=C\CCCCC)=O)CO</t>
  </si>
  <si>
    <t>RCRCTBLIHCHWDZ-DOFZRALJSA-N</t>
  </si>
  <si>
    <t>11.31_425.3257m/z</t>
  </si>
  <si>
    <t>Unoprostone Isopropyl Ester</t>
  </si>
  <si>
    <t>120373-24-2</t>
  </si>
  <si>
    <t>CCCCCCCC(=O)CCC1C(CC(C1CC=CCCCC(=O)OC(C)C)O)O</t>
  </si>
  <si>
    <t>XXUPXHKCPIKWLR-JHUOEJJVSA-N</t>
  </si>
  <si>
    <t>2.56_413.2180m/z</t>
  </si>
  <si>
    <t>Miglitol</t>
  </si>
  <si>
    <t>HMDB0014634</t>
  </si>
  <si>
    <t>C07708</t>
  </si>
  <si>
    <t>72432-03-2</t>
  </si>
  <si>
    <t>OCCN1C[C@H](O)[C@@H](O)[C@H](O)[C@H]1CO</t>
  </si>
  <si>
    <t>IBAQFPQHRJAVAV-ULAWRXDQSA-N</t>
  </si>
  <si>
    <t>C8H17NO5</t>
  </si>
  <si>
    <t>4.72_277.2008m/z</t>
  </si>
  <si>
    <t>Primaquine</t>
  </si>
  <si>
    <t>HMDB0015219</t>
  </si>
  <si>
    <t>C07627</t>
  </si>
  <si>
    <t>90-34-6</t>
  </si>
  <si>
    <t>COC1=CC(NC(C)CCCN)=C2N=CC=CC2=C1</t>
  </si>
  <si>
    <t>INDBQLZJXZLFIT-UHFFFAOYSA-N</t>
  </si>
  <si>
    <t>C15H21N3O</t>
  </si>
  <si>
    <t>3.45_683.1797m/z</t>
  </si>
  <si>
    <t>Glucocaffeic Acid</t>
  </si>
  <si>
    <t>HMDB0034313</t>
  </si>
  <si>
    <t>17093-82-2</t>
  </si>
  <si>
    <t>OCC1OC(OC2=C(O)C=C(\C=C\C(O)=O)C=C2)C(O)C(O)C1O</t>
  </si>
  <si>
    <t>OHEYCHKLBCPRLZ-DUXPYHPUSA-N</t>
  </si>
  <si>
    <t>3.72_294.1278m/z</t>
  </si>
  <si>
    <t>Glutamylglutamic Acid</t>
  </si>
  <si>
    <t>HMDB0028818</t>
  </si>
  <si>
    <t>C01425</t>
  </si>
  <si>
    <t>3929-61-1</t>
  </si>
  <si>
    <t>N[C@@H](CCC(O)=O)C(=O)N[C@@H](CCC(O)=O)C(O)=O</t>
  </si>
  <si>
    <t>KOSRFJWDECSPRO-WDSKDSINSA-N</t>
  </si>
  <si>
    <t>C10H16N2O7</t>
  </si>
  <si>
    <t>8.58_335.2228m/z</t>
  </si>
  <si>
    <t>Geranic Acid</t>
  </si>
  <si>
    <t>LMFA01030784</t>
  </si>
  <si>
    <t>C16461</t>
  </si>
  <si>
    <t>ko00281</t>
  </si>
  <si>
    <t>Geraniol degradation</t>
  </si>
  <si>
    <t>C(/C=C(\C)/CC/C=C(\C)/C)(=O)O</t>
  </si>
  <si>
    <t>ZHYZQXUYZJNEHD-VQHVLOKHSA-N</t>
  </si>
  <si>
    <t>C10H16O2</t>
  </si>
  <si>
    <t>1.22_354.9897m/z</t>
  </si>
  <si>
    <t>Arsenobetaine</t>
  </si>
  <si>
    <t>HMDB0033206</t>
  </si>
  <si>
    <t>C19331</t>
  </si>
  <si>
    <t>64436-13-1</t>
  </si>
  <si>
    <t>C[As+](C)(C)CC([O-])=O</t>
  </si>
  <si>
    <t>SPTHHTGLGVZZRH-UHFFFAOYSA-N</t>
  </si>
  <si>
    <t>C5H11AsO2</t>
  </si>
  <si>
    <t>4.85_479.1183m/z</t>
  </si>
  <si>
    <t>Aminopterin</t>
  </si>
  <si>
    <t>HMDB0001833</t>
  </si>
  <si>
    <t>D02527</t>
  </si>
  <si>
    <t>ko01523</t>
  </si>
  <si>
    <t>Antifolate resistance</t>
  </si>
  <si>
    <t>54-62-6</t>
  </si>
  <si>
    <t>NC1=NC2=C(N=C(CNC3=CC=C(C=C3)C(=O)NC(CCC(O)=O)C(O)=O)C=N2)C(N)=N1</t>
  </si>
  <si>
    <t>TVZGACDUOSZQKY-UHFFFAOYSA-N</t>
  </si>
  <si>
    <t>C19H20N8O5</t>
  </si>
  <si>
    <t>9.15_285.2070m/z</t>
  </si>
  <si>
    <t>Octanoate</t>
  </si>
  <si>
    <t>HMDB0304443</t>
  </si>
  <si>
    <t>CCCCCCCC([O-])=O</t>
  </si>
  <si>
    <t>WWZKQHOCKIZLMA-UHFFFAOYSA-M</t>
  </si>
  <si>
    <t>C8H15O2-</t>
  </si>
  <si>
    <t>9.50_232.1826n</t>
  </si>
  <si>
    <t>1-(2,6,6-Trimethyl-2-Cyclohexen-1-Yl)-1,6-Heptadien-3-One</t>
  </si>
  <si>
    <t>HMDB0029704</t>
  </si>
  <si>
    <t>79-78-7</t>
  </si>
  <si>
    <t>CC1=CCCC(C)(C)C1\C=C\C(=O)CCC=C</t>
  </si>
  <si>
    <t>FXCYGAGBPZQRJE-ZHACJKMWSA-N</t>
  </si>
  <si>
    <t>C16H24O</t>
  </si>
  <si>
    <t>10.85_330.2403n</t>
  </si>
  <si>
    <t>12,13,15-Trihydroxy-9e-Octadecenoic Acid</t>
  </si>
  <si>
    <t>LMFA01050555</t>
  </si>
  <si>
    <t>C(CCCCCCC/C=C/CC(O)C(O)CC(O)CCC)(=O)O</t>
  </si>
  <si>
    <t>ZGSOWLLPRXIOOF-VQHVLOKHSA-N</t>
  </si>
  <si>
    <t>0.98_271.0222m/z</t>
  </si>
  <si>
    <t>2-(Phosphonomethyl)Pentanedioic Acid</t>
  </si>
  <si>
    <t>HMDB0244955</t>
  </si>
  <si>
    <t>OC(=O)CCC(CP(O)(O)=O)C(O)=O</t>
  </si>
  <si>
    <t>ISEYJGQFXSTPMQ-UHFFFAOYSA-N</t>
  </si>
  <si>
    <t>C6H11O7P</t>
  </si>
  <si>
    <t>1.22_261.0528m/z</t>
  </si>
  <si>
    <t>5-Fluorouridine</t>
  </si>
  <si>
    <t>HMDB0060396</t>
  </si>
  <si>
    <t>C16633</t>
  </si>
  <si>
    <t>316-46-1</t>
  </si>
  <si>
    <t>OC[C@H]1O[C@H]([C@H](O)[C@@H]1O)N1C=C(F)C(=O)NC1=O</t>
  </si>
  <si>
    <t>FHIDNBAQOFJWCA-UAKXSSHOSA-N</t>
  </si>
  <si>
    <t>C9H11FN2O6</t>
  </si>
  <si>
    <t>11.67_164.1200n</t>
  </si>
  <si>
    <t>2-Methyl-3-(2-Pentenyl)-2-Cyclopenten-1-One</t>
  </si>
  <si>
    <t>HMDB0037294</t>
  </si>
  <si>
    <t>11050-62-7</t>
  </si>
  <si>
    <t>CC\C=C/CC1=C(C)C(=O)CC1</t>
  </si>
  <si>
    <t>GVONPEQEUQYVNH-PLNGDYQASA-N</t>
  </si>
  <si>
    <t>C11H16O</t>
  </si>
  <si>
    <t>14.56_239.0671m/z</t>
  </si>
  <si>
    <t>4-Aminohippuric Acid</t>
  </si>
  <si>
    <t>HMDB0001867</t>
  </si>
  <si>
    <t>D06890</t>
  </si>
  <si>
    <t>61-78-9</t>
  </si>
  <si>
    <t>NC1=CC=C(C=C1)C(=O)NCC(O)=O</t>
  </si>
  <si>
    <t>HSMNQINEKMPTIC-UHFFFAOYSA-N</t>
  </si>
  <si>
    <t>C9H10N2O3</t>
  </si>
  <si>
    <t>11.18_513.3208m/z</t>
  </si>
  <si>
    <t>1-Stearoylglycerophosphoglycerol</t>
  </si>
  <si>
    <t>HMDB0061697</t>
  </si>
  <si>
    <t>CCCCCCCCCCCCCCCCCC(=O)OCC(O)COP(O)(=O)OCC(O)CO</t>
  </si>
  <si>
    <t>HFJVKBVEKQHVTO-UHFFFAOYSA-N</t>
  </si>
  <si>
    <t>C24H49O9P</t>
  </si>
  <si>
    <t>4.42_469.1694m/z</t>
  </si>
  <si>
    <t>N,N'-Diacetylchitobiose</t>
  </si>
  <si>
    <t>HMDB0062702</t>
  </si>
  <si>
    <t>C01674</t>
  </si>
  <si>
    <t>35061-50-8</t>
  </si>
  <si>
    <t>CC(=O)N[C@H]1C(O)O[C@H](CO)[C@@H](O[C@@H]2O[C@H](CO)[C@@H](O)[C@H](O)[C@H]2NC(C)=O)[C@@H]1O</t>
  </si>
  <si>
    <t>CDOJPCSDOXYJJF-CBTAGEKQSA-N</t>
  </si>
  <si>
    <t>C16H28N2O11</t>
  </si>
  <si>
    <t>4.26_404.1201m/z</t>
  </si>
  <si>
    <t>Epinephrine Glucuronide</t>
  </si>
  <si>
    <t>HMDB0010336</t>
  </si>
  <si>
    <t>54964-61-3</t>
  </si>
  <si>
    <t>CNC[C@H](O)C1=CC=C(O[C@@H]2O[C@@H]([C@@H](O)[C@H](O)[C@H]2O)C(O)=O)C(O)=C1</t>
  </si>
  <si>
    <t>BLTFFSZSAZRUSC-FYRJOLOESA-N</t>
  </si>
  <si>
    <t>1.42_527.2310m/z</t>
  </si>
  <si>
    <t>4-Quinolone-3-Carboxamide Furan Cb2 Agonist</t>
  </si>
  <si>
    <t>1314230-75-5</t>
  </si>
  <si>
    <t>CCCCCN1C=C(C(=O)C2=C1C(=CC(=C2)C3=CC=CO3)OC)C(=O)NC45CC6CC(C4)CC(C6)C5</t>
  </si>
  <si>
    <t>NXZZNXUALWSJSD-UHFFFAOYSA-N</t>
  </si>
  <si>
    <t>Quinoline carboxamides</t>
  </si>
  <si>
    <t>C30H36N2O4</t>
  </si>
  <si>
    <t>12.36_851.5152m/z</t>
  </si>
  <si>
    <t>N-Di-Demethyl Roxithromycin</t>
  </si>
  <si>
    <t>HMDB0060612</t>
  </si>
  <si>
    <t>CC[C@H]1OC(=O)[C@H](C)[C@@H](OC2CC(C)(OC)C(C)C(C)O2)C(C)[C@@H](OC2OC(C)CC(N)C2O)[C@](C)(O)C[C@@H](C)\C(=N/OCOCCOC)[C@H](C)[C@@H](O)[C@]1(C)O</t>
  </si>
  <si>
    <t>JPDVTYPPMALQJO-UZQDAVMLSA-N</t>
  </si>
  <si>
    <t>C40H74N2O14</t>
  </si>
  <si>
    <t>4.55_299.1126m/z</t>
  </si>
  <si>
    <t>2-Phenylethanol Glucuronide</t>
  </si>
  <si>
    <t>HMDB0010350</t>
  </si>
  <si>
    <t>O[C@@H]1[C@@H](O)[C@H](OCCC2=CC=CC=C2)O[C@@H]([C@H]1O)C(O)=O</t>
  </si>
  <si>
    <t>HIXLLXLCNONZRH-BYNIDDHOSA-N</t>
  </si>
  <si>
    <t>5.49_671.1765m/z</t>
  </si>
  <si>
    <t>Kuwanon L</t>
  </si>
  <si>
    <t>HMDB0030121</t>
  </si>
  <si>
    <t>88524-65-6</t>
  </si>
  <si>
    <t>CC1=CC(C(C(C1)C1=C(O)C=C(O)C=C1)C(=O)C1=CC(O)=CC(O)=C1)C1=C(O)C=CC(C2CC(=O)C3=C(O)C=C(O)C=C3O2)=C1O</t>
  </si>
  <si>
    <t>CGTTUVXZNTWSEC-UHFFFAOYSA-N</t>
  </si>
  <si>
    <t>C35H30O11</t>
  </si>
  <si>
    <t>1.42_288.2029m/z</t>
  </si>
  <si>
    <t>Arginylisoleucine</t>
  </si>
  <si>
    <t>HMDB0028712</t>
  </si>
  <si>
    <t>62632-70-6</t>
  </si>
  <si>
    <t>CC[C@H](C)[C@H](NC(=O)[C@@H](N)CCCNC(N)=N)C(O)=O</t>
  </si>
  <si>
    <t>QYLJIYOGHRGUIH-CIUDSAMLSA-N</t>
  </si>
  <si>
    <t>C12H25N5O3</t>
  </si>
  <si>
    <t>10.46_502.2938m/z</t>
  </si>
  <si>
    <t>PE(0:0/20:3(11Z,14Z,17Z))</t>
  </si>
  <si>
    <t>HMDB0011484</t>
  </si>
  <si>
    <t>LMGP02050048</t>
  </si>
  <si>
    <t>C(OP(OCCN)(O)=O)[C@]([H])(OC(=O)CCCCCCCCC/C=C\C/C=C\C/C=C\CC)CO</t>
  </si>
  <si>
    <t>OQKGGFIWKFEWBV-WCABUCBOSA-N</t>
  </si>
  <si>
    <t>C25H46NO7P</t>
  </si>
  <si>
    <t>3.59_341.0846m/z</t>
  </si>
  <si>
    <t>Cytidine Monophosphate</t>
  </si>
  <si>
    <t>HMDB0000095</t>
  </si>
  <si>
    <t>C00055</t>
  </si>
  <si>
    <t>63-37-6</t>
  </si>
  <si>
    <t>NC1=NC(=O)N(C=C1)[C@@H]1O[C@H](COP(O)(O)=O)[C@@H](O)[C@H]1O</t>
  </si>
  <si>
    <t>IERHLVCPSMICTF-XVFCMESISA-N</t>
  </si>
  <si>
    <t>C9H14N3O8P</t>
  </si>
  <si>
    <t>5.79_241.1584m/z</t>
  </si>
  <si>
    <t>O-1602</t>
  </si>
  <si>
    <t>317321-41-8</t>
  </si>
  <si>
    <t>CC1=CC(C(CC1)C(=C)C)C2=C(C=C(C=C2C)O)O</t>
  </si>
  <si>
    <t>KDZOUSULXZNDJH-LSDHHAIUSA-N</t>
  </si>
  <si>
    <t>6.59_527.2105m/z</t>
  </si>
  <si>
    <t>Acetyl-N-Formyl-5-Methoxykynurenamine</t>
  </si>
  <si>
    <t>HMDB0004259</t>
  </si>
  <si>
    <t>C05642</t>
  </si>
  <si>
    <t>52450-38-1</t>
  </si>
  <si>
    <t>COC1=CC(C(=O)CCNC(C)=O)=C(NC=O)C=C1</t>
  </si>
  <si>
    <t>JYWNYMJKURVPFH-UHFFFAOYSA-N</t>
  </si>
  <si>
    <t>C13H16N2O4</t>
  </si>
  <si>
    <t>2.58_255.2066m/z</t>
  </si>
  <si>
    <t>Deacetylmoxisylyte</t>
  </si>
  <si>
    <t>HMDB0250903</t>
  </si>
  <si>
    <t>CC(C)C1=C(OCCN(C)C)C=C(C)C(O)=C1</t>
  </si>
  <si>
    <t>HJGRPZCEBPNMDU-UHFFFAOYSA-N</t>
  </si>
  <si>
    <t>C14H23NO2</t>
  </si>
  <si>
    <t>10.78_771.4103m/z</t>
  </si>
  <si>
    <t>17-Phenyl-Trinor-Pge2</t>
  </si>
  <si>
    <t>HMDB0062612</t>
  </si>
  <si>
    <t>LMFA03010067</t>
  </si>
  <si>
    <t>38315-43-4</t>
  </si>
  <si>
    <t>[C@H]1(/C=C/[C@@H](O)CCC2C=CC=CC=2)[C@H](O)CC(=O)[C@@H]1C/C=C\CCCC(=O)O</t>
  </si>
  <si>
    <t>FOBVMYJQWZOGGJ-XYRJXBATSA-N</t>
  </si>
  <si>
    <t>4.99_269.1535m/z</t>
  </si>
  <si>
    <t>3-Hydroxy-Estra-1,3,5(10),7tetraen-17-One</t>
  </si>
  <si>
    <t>LMST02010026</t>
  </si>
  <si>
    <t>C14392</t>
  </si>
  <si>
    <t>474-86-2</t>
  </si>
  <si>
    <t>C1C2[C@@]3([H])CC[C@]4(C)C(=O)CC[C@@]4([H])C3=CCC=2C=C(O)C=1</t>
  </si>
  <si>
    <t>WKRLQDKEXYKHJB-HFTRVMKXSA-N</t>
  </si>
  <si>
    <t>C18H20O2</t>
  </si>
  <si>
    <t>3.70_472.1449m/z</t>
  </si>
  <si>
    <t>Brexpiprazole</t>
  </si>
  <si>
    <t>HMDB0249379</t>
  </si>
  <si>
    <t>O=C1NC2=CC(OCCCCN3CCN(CC3)C3=C4C=CSC4=CC=C3)=CC=C2C=C1</t>
  </si>
  <si>
    <t>ZKIAIYBUSXZPLP-UHFFFAOYSA-N</t>
  </si>
  <si>
    <t>C25H27N3O2S</t>
  </si>
  <si>
    <t>5.77_1079.4803m/z</t>
  </si>
  <si>
    <t>Ctop</t>
  </si>
  <si>
    <t>HMDB0250573</t>
  </si>
  <si>
    <t>C20160</t>
  </si>
  <si>
    <t>CC(O)C(NC(=O)C1NC(=O)C(NC(=O)C(CCCN)NC(=O)C(CC2=CNC3=CC=CC=C23)NC(=O)C(CC2=CC=C(O)C=C2)NC(=O)C(CSSC1(C)C)NC(=O)C(N)CC1=CC=CC=C1)C(C)O)C(N)=O</t>
  </si>
  <si>
    <t>PZWWYAHWHHNCHO-UHFFFAOYSA-N</t>
  </si>
  <si>
    <t>C50H67N11O11S2</t>
  </si>
  <si>
    <t>8.71_930.5759m/z</t>
  </si>
  <si>
    <t>PS(22:1(13Z)/6 keto-PGF1alpha)</t>
  </si>
  <si>
    <t>HMDB0283008</t>
  </si>
  <si>
    <t>CCCCCCCC\C=C/CCCCCCCCCCCC(=O)OC[C@H](COP(O)(=O)OC[C@H](N)C(O)=O)OC(=O)CCCCC(=O)C[C@H]1[C@@H](O)C[C@@H](O)[C@@H]1\C=C\[C@@H](O)CCCCC</t>
  </si>
  <si>
    <t>MYBJIPYPUSGQGS-WVRLTYJTSA-N</t>
  </si>
  <si>
    <t>C48H86NO14P</t>
  </si>
  <si>
    <t>0.67_188.1526n</t>
  </si>
  <si>
    <t>Propamocarb</t>
  </si>
  <si>
    <t>C18885</t>
  </si>
  <si>
    <t>24579-73-5</t>
  </si>
  <si>
    <t>CCCOC(=O)NCCCN(C)C</t>
  </si>
  <si>
    <t>WZZLDXDUQPOXNW-UHFFFAOYSA-N</t>
  </si>
  <si>
    <t>C9H20N2O2</t>
  </si>
  <si>
    <t>5.23_187.0967m/z</t>
  </si>
  <si>
    <t>Azelaic Acid</t>
  </si>
  <si>
    <t>HMDB0000784</t>
  </si>
  <si>
    <t>LMFA01170054</t>
  </si>
  <si>
    <t>C08261</t>
  </si>
  <si>
    <t>123-99-9</t>
  </si>
  <si>
    <t>C(CCCCCCCC(=O)O)(=O)O</t>
  </si>
  <si>
    <t>BDJRBEYXGGNYIS-UHFFFAOYSA-N</t>
  </si>
  <si>
    <t>C9H16O4</t>
  </si>
  <si>
    <t>3.69_725.1311m/z</t>
  </si>
  <si>
    <t>Flufenacet</t>
  </si>
  <si>
    <t>HMDB0252330</t>
  </si>
  <si>
    <t>C18731</t>
  </si>
  <si>
    <t>142459-58-3</t>
  </si>
  <si>
    <t>CC(C)N(C(=O)COC1=NN=C(S1)C(F)(F)F)C1=CC=C(F)C=C1</t>
  </si>
  <si>
    <t>IANUJLZYFUDJIH-UHFFFAOYSA-N</t>
  </si>
  <si>
    <t>C14H13F4N3O2S</t>
  </si>
  <si>
    <t>2.35_209.0786m/z</t>
  </si>
  <si>
    <t>5-(2-Methylpropyl)Tetrahydro-2-Oxo-3-Furancarboxylic Acid</t>
  </si>
  <si>
    <t>HMDB0030988</t>
  </si>
  <si>
    <t>CC(C)CC1CC(C(O)=O)C(=O)O1</t>
  </si>
  <si>
    <t>ODKYFEYTVOPOOV-UHFFFAOYSA-N</t>
  </si>
  <si>
    <t>C9H14O4</t>
  </si>
  <si>
    <t>3.22_345.1189m/z</t>
  </si>
  <si>
    <t>2-(3-Hydroxyphenyl)Ethanol 1'-Glucoside</t>
  </si>
  <si>
    <t>HMDB0038332</t>
  </si>
  <si>
    <t>OCC1OC(OCCC2=CC(O)=CC=C2)C(O)C(O)C1O</t>
  </si>
  <si>
    <t>DIGNKQFJIIKEBA-UHFFFAOYSA-N</t>
  </si>
  <si>
    <t>5.69_319.1538m/z</t>
  </si>
  <si>
    <t>Zearalenone</t>
  </si>
  <si>
    <t>LMPK04000016</t>
  </si>
  <si>
    <t>C09981</t>
  </si>
  <si>
    <t>C12C=CCCCC(CCC[C@H](C)OC(=O)C1=C(O)C=C(O)C=2)=O</t>
  </si>
  <si>
    <t>MBMQEIFVQACCCH-QBODLPLBSA-N</t>
  </si>
  <si>
    <t>C18H22O5</t>
  </si>
  <si>
    <t>9.87_387.0069m/z</t>
  </si>
  <si>
    <t>S-Acetyl Dihydroasparagusic Acid</t>
  </si>
  <si>
    <t>HMDB0035717</t>
  </si>
  <si>
    <t>38146-83-7</t>
  </si>
  <si>
    <t>CC(=O)SCC(CS)C(O)=O</t>
  </si>
  <si>
    <t>PXKKBEIPDBKGPW-UHFFFAOYSA-N</t>
  </si>
  <si>
    <t>C6H10O3S2</t>
  </si>
  <si>
    <t>1.35_391.1207m/z</t>
  </si>
  <si>
    <t>Pyrazophos</t>
  </si>
  <si>
    <t>HMDB0256957</t>
  </si>
  <si>
    <t>C18761</t>
  </si>
  <si>
    <t>13457-18-6</t>
  </si>
  <si>
    <t>CCOC(=O)C1=CN2N=C(OP(=S)(OCC)OCC)C=C2N=C1C</t>
  </si>
  <si>
    <t>JOOMJVFZQRQWKR-UHFFFAOYSA-N</t>
  </si>
  <si>
    <t>C14H20N3O5PS</t>
  </si>
  <si>
    <t>14.90_819.5266m/z</t>
  </si>
  <si>
    <t>MGDG(18:3(9Z,12Z,15Z)/18:3(9Z,12Z,15Z))</t>
  </si>
  <si>
    <t>LMGL05010001</t>
  </si>
  <si>
    <t>C(O[C@H]1[C@H](O)[C@@H](O)[C@@H](O)[C@@H](CO)O1)[C@]([H])(OC(CCCCCCC/C=C\C/C=C\C/C=C\CC)=O)COC(CCCCCCC/C=C\C/C=C\C/C=C\CC)=O</t>
  </si>
  <si>
    <t>QUZHZFAQJATMCA-QAZQWDDOSA-N</t>
  </si>
  <si>
    <t>C45H74O10</t>
  </si>
  <si>
    <t>1.48_557.1697m/z</t>
  </si>
  <si>
    <t>Graveoline</t>
  </si>
  <si>
    <t>HMDB0033480</t>
  </si>
  <si>
    <t>C10689</t>
  </si>
  <si>
    <t>485-61-0</t>
  </si>
  <si>
    <t>CN1C2=CC=CC=C2C(=O)C=C1C1=CC2=C(OCO2)C=C1</t>
  </si>
  <si>
    <t>COBBNRKBTCBWQP-UHFFFAOYSA-N</t>
  </si>
  <si>
    <t>C17H13NO3</t>
  </si>
  <si>
    <t>5.71_279.1503m/z</t>
  </si>
  <si>
    <t>8-Hydroxymianserin</t>
  </si>
  <si>
    <t>HMDB0247442</t>
  </si>
  <si>
    <t>57257-81-5</t>
  </si>
  <si>
    <t>CN1CCN2C(C1)C1=CC=CC=C1CC1=C2C=CC(O)=C1</t>
  </si>
  <si>
    <t>YTMQIPGEXLWJTN-UHFFFAOYSA-N</t>
  </si>
  <si>
    <t>C18H20N2O</t>
  </si>
  <si>
    <t>1.39_503.1404m/z</t>
  </si>
  <si>
    <t>5-Hydroxy-N-Formylkynurenine</t>
  </si>
  <si>
    <t>HMDB0004086</t>
  </si>
  <si>
    <t>C05648</t>
  </si>
  <si>
    <t>NC(CC(=O)C1=C(NC=O)C=CC(O)=C1)C(O)=O</t>
  </si>
  <si>
    <t>LSTOUSIIVKMJBU-UHFFFAOYSA-N</t>
  </si>
  <si>
    <t>C11H12N2O5</t>
  </si>
  <si>
    <t>4.23_284.1126m/z</t>
  </si>
  <si>
    <t>Alanylarginine</t>
  </si>
  <si>
    <t>HMDB0028681</t>
  </si>
  <si>
    <t>16709-12-9</t>
  </si>
  <si>
    <t>C[C@H](N)C(=O)N[C@@H](CCCNC(N)=N)C(O)=O</t>
  </si>
  <si>
    <t>SITWEMZOJNKJCH-WDSKDSINSA-N</t>
  </si>
  <si>
    <t>C9H19N5O3</t>
  </si>
  <si>
    <t>3.86_683.1405m/z</t>
  </si>
  <si>
    <t>Dihydromethylsterigmatocystin</t>
  </si>
  <si>
    <t>LMPK10000004</t>
  </si>
  <si>
    <t>C03944</t>
  </si>
  <si>
    <t>C12OC3=C(C(O)=CC=C3)C(=O)C=1C(=C(O)C1O[C@@]3([H])OCC[C@@]3([H])C2=1)OC</t>
  </si>
  <si>
    <t>FAYWFTGEUVDVPA-ULCDLSAGSA-N</t>
  </si>
  <si>
    <t>C18H14O7</t>
  </si>
  <si>
    <t>11.25_568.3331m/z</t>
  </si>
  <si>
    <t>Cholylhistidine</t>
  </si>
  <si>
    <t>HMDB0242389</t>
  </si>
  <si>
    <t>CC(CCC(=O)NC(CC1=CNC=N1)C(O)=O)C1CCC2C3C(O)CC4CC(O)CCC4(C)C3CC(O)C12C</t>
  </si>
  <si>
    <t>GOBIDZCUVCOUAI-UHFFFAOYSA-N</t>
  </si>
  <si>
    <t>C30H47N3O6</t>
  </si>
  <si>
    <t>11.13_481.2569m/z</t>
  </si>
  <si>
    <t>PG(16:1(9Z)/0:0)</t>
  </si>
  <si>
    <t>LMGP04050013</t>
  </si>
  <si>
    <t>[H][C@](O)(CO)COP(OC[C@]([H])(O)COC(CCCCCCC/C=C\CCCCCC)=O)(=O)O</t>
  </si>
  <si>
    <t>JSKJPUCKVIJTKI-PNHFMCTPSA-N</t>
  </si>
  <si>
    <t>C22H43O9P</t>
  </si>
  <si>
    <t>8.88_434.3396n</t>
  </si>
  <si>
    <t>Cholest-7-En-3beta,5alpha,6alpha,9alpha-Tetrol</t>
  </si>
  <si>
    <t>LMST01010262</t>
  </si>
  <si>
    <t>C1[C@@]2(C)[C@]([C@@H](O)C=C3[C@]2(O)CC[C@@]2(C)[C@@]3([H])CC[C@]2([H])[C@@]([H])(CCCC(C)C)C)(O)C[C@@H](O)C1</t>
  </si>
  <si>
    <t>GOMPWPOKPPQMCD-BCBAPGJRSA-N</t>
  </si>
  <si>
    <t>8.32_437.1560m/z</t>
  </si>
  <si>
    <t>3'-Hydroxy-T2-Triol</t>
  </si>
  <si>
    <t>HMDB0034575</t>
  </si>
  <si>
    <t>CC1=CC2OC3C(O)C(O)C(C)(C33CO3)C2(CO)CC1OC(=O)CC(C)(C)O</t>
  </si>
  <si>
    <t>FVUXHXRZJMFQJL-UHFFFAOYSA-N</t>
  </si>
  <si>
    <t>3.27_188.0222m/z</t>
  </si>
  <si>
    <t>(S)-3-Sulfonatolactate</t>
  </si>
  <si>
    <t>HMDB0060176</t>
  </si>
  <si>
    <t>C11499</t>
  </si>
  <si>
    <t>O[C@H](CS(O)(=O)=O)C(O)=O</t>
  </si>
  <si>
    <t>CQQGIWJSICOUON-UWTATZPHSA-N</t>
  </si>
  <si>
    <t>Alpha hydroxy acids and derivatives</t>
  </si>
  <si>
    <t>C3H6O6S</t>
  </si>
  <si>
    <t>4.99_269.2262m/z</t>
  </si>
  <si>
    <t>Anhydroretinol</t>
  </si>
  <si>
    <t>HMDB0062447</t>
  </si>
  <si>
    <t>[H]/C(=C(/[H])\C(\C)=C(/[H])\C(\[H])=C1\C(C)=CCCC1(C)C)/C(/[H])=C(\C)C=C</t>
  </si>
  <si>
    <t>FWNRILWHNGFAIN-OYUWDNMLSA-N</t>
  </si>
  <si>
    <t>C20H28</t>
  </si>
  <si>
    <t>10.00_898.5648m/z</t>
  </si>
  <si>
    <t>PA(22:0/LTE4)</t>
  </si>
  <si>
    <t>HMDB0265584</t>
  </si>
  <si>
    <t>CCCCCCCCCCCCCCCCCCCCCC(=O)OC[C@H](COP(O)(O)=O)OC(=O)[C@@H](N)CS[C@H](\C=C\C=C\C=C/C\C=C/CCCCC)[C@@H](O)CCCC(O)=O</t>
  </si>
  <si>
    <t>ZFWWZOHTJKVLEC-RVSKRTSTSA-N</t>
  </si>
  <si>
    <t>C48H86NO11PS</t>
  </si>
  <si>
    <t>4.79_295.1326m/z</t>
  </si>
  <si>
    <t>(E)-1-[4-Hydroxy-3-(3-Methyl-1,3-Butadienyl)Phenyl]-2-(3,5-Dihydroxyphenyl)Ethylene</t>
  </si>
  <si>
    <t>HMDB0033331</t>
  </si>
  <si>
    <t>CC(=C)\C=C/C1=C(O)C=CC(\C=C/C2=CC(O)=CC(O)=C2)=C1</t>
  </si>
  <si>
    <t>MNTCXQWBUINPSP-HMXOFHOESA-N</t>
  </si>
  <si>
    <t>C19H18O3</t>
  </si>
  <si>
    <t>6.34_383.1483m/z</t>
  </si>
  <si>
    <t>Lepidine C</t>
  </si>
  <si>
    <t>HMDB0032717</t>
  </si>
  <si>
    <t>COC1=CC=C(OC2=CC=CC(CC3=NC=CN3)=C2)C(CC2=NC=CN2)=C1</t>
  </si>
  <si>
    <t>GTJSRUGILPIENS-UHFFFAOYSA-N</t>
  </si>
  <si>
    <t>C21H20N4O2</t>
  </si>
  <si>
    <t>5.12_555.2239m/z</t>
  </si>
  <si>
    <t>Lecocarpinolide H</t>
  </si>
  <si>
    <t>C=C1C2C(CC(=CCCC(=CC2OC1=O)CO)C=O)O</t>
  </si>
  <si>
    <t>CVISOHZWXIVDFN-VXSGYFOSSA-N</t>
  </si>
  <si>
    <t>C15H18O5</t>
  </si>
  <si>
    <t>9.92_443.1663m/z</t>
  </si>
  <si>
    <t>9-(1,3-Dioxolan-2-Yl)Purine-2,6-Diamine</t>
  </si>
  <si>
    <t>HMDB0257744</t>
  </si>
  <si>
    <t>NC1=NC2=C(N=CN2C2OCCO2)C(N)=N1</t>
  </si>
  <si>
    <t>PAYCEUPNUMVUEH-UHFFFAOYSA-N</t>
  </si>
  <si>
    <t>C8H10N6O2</t>
  </si>
  <si>
    <t>3.67_203.0819m/z</t>
  </si>
  <si>
    <t>L-Tryptophan</t>
  </si>
  <si>
    <t>HMDB0000929</t>
  </si>
  <si>
    <t>C00078</t>
  </si>
  <si>
    <t>ko00260,ko00380,ko00400,ko00404,ko00901,ko00966,ko00970,ko00998,ko04361,ko04726,ko04974,ko04978,ko05143,ko05230</t>
  </si>
  <si>
    <t>Glycine, serine and threonine metabolism|Tryptophan metabolism|Phenylalanine, tyrosine and tryptophan biosynthesis|Staurosporine biosynthesis|Indole alkaloid biosynthesis|Glucosinolate biosynthesis|Aminoacyl-tRNA biosynthesis|Biosynthesis of various secondary metabolites - part 2|Axon regeneration|Serotonergic synapse|Protein digestion and absorption|Mineral absorption|African trypanosomiasis|Central carbon metabolism in cancer</t>
  </si>
  <si>
    <t>73-22-3</t>
  </si>
  <si>
    <t>N[C@@H](CC1=CNC2=C1C=CC=C2)C(O)=O</t>
  </si>
  <si>
    <t>QIVBCDIJIAJPQS-VIFPVBQESA-N</t>
  </si>
  <si>
    <t>C11H12N2O2</t>
  </si>
  <si>
    <t>9.17_413.0057m/z</t>
  </si>
  <si>
    <t>Alginic Acid</t>
  </si>
  <si>
    <t>HMDB0029940</t>
  </si>
  <si>
    <t>C01768</t>
  </si>
  <si>
    <t>ko00051</t>
  </si>
  <si>
    <t>Fructose and mannose metabolism</t>
  </si>
  <si>
    <t>9005-32-7</t>
  </si>
  <si>
    <t>OC1C(O)C(OC2C(O)C(O)C(OP)OC2C(O)=O)OC(C1P)C(O)=O</t>
  </si>
  <si>
    <t>FHVDTGUDJYJELY-UHFFFAOYSA-N</t>
  </si>
  <si>
    <t>C12H16O12P2</t>
  </si>
  <si>
    <t>4.11_135.0440m/z</t>
  </si>
  <si>
    <t>(R)-Mandelic Acid</t>
  </si>
  <si>
    <t>HMDB0062635</t>
  </si>
  <si>
    <t>C01983</t>
  </si>
  <si>
    <t>611-71-2</t>
  </si>
  <si>
    <t>O[C@@H](C(O)=O)C1=CC=CC=C1</t>
  </si>
  <si>
    <t>IWYDHOAUDWTVEP-SSDOTTSWSA-N</t>
  </si>
  <si>
    <t>11.67_238.2163m/z</t>
  </si>
  <si>
    <t>Humulenol Ii</t>
  </si>
  <si>
    <t>HMDB0038212</t>
  </si>
  <si>
    <t>19888-00-7</t>
  </si>
  <si>
    <t>C\C1=C\CC(C)(C)\C=C/CC(=C)C(O)CC1</t>
  </si>
  <si>
    <t>ZHCPVYWHSOILQL-CGBKSYCJSA-N</t>
  </si>
  <si>
    <t>C15H24O</t>
  </si>
  <si>
    <t>5.54_134.0961m/z</t>
  </si>
  <si>
    <t>2-Acetyl-3-Ethylidene-3,4,5,6-Tetrahydropyridine</t>
  </si>
  <si>
    <t>HMDB0040039</t>
  </si>
  <si>
    <t>118355-72-9</t>
  </si>
  <si>
    <t>C\C=C1\CCCN=C1C(C)=O</t>
  </si>
  <si>
    <t>GAEQLABCUJPAHA-BAQGIRSFSA-N</t>
  </si>
  <si>
    <t>10.58_353.3024m/z</t>
  </si>
  <si>
    <t>1-Hexadecyl-2-O-Methyl-Glycerol</t>
  </si>
  <si>
    <t>111188-59-1</t>
  </si>
  <si>
    <t>CCCCCCCCCCCCCCCCOCC(CO)OC</t>
  </si>
  <si>
    <t>XAWCMDFDFNRKGK-UHFFFAOYSA-N</t>
  </si>
  <si>
    <t>Glycerol ethers</t>
  </si>
  <si>
    <t>C20H42O3</t>
  </si>
  <si>
    <t>10.38_681.4004m/z</t>
  </si>
  <si>
    <t>Oa-Pg</t>
  </si>
  <si>
    <t>LMGP20060024</t>
  </si>
  <si>
    <t>[H][C@](O)(CO)COP(OC[C@]([H])(OC(CCCCCCCC(=O)O)=O)COC(CCCCCCC/C=C\CCCCCCCC)=O)(=O)O</t>
  </si>
  <si>
    <t>PKJPVTRAHLLJGE-CBAPITDKSA-N</t>
  </si>
  <si>
    <t>C33H61O12P</t>
  </si>
  <si>
    <t>5.94_491.2859m/z</t>
  </si>
  <si>
    <t>3-Hydroxy-Dodecanedioic Acid</t>
  </si>
  <si>
    <t>HMDB0000413</t>
  </si>
  <si>
    <t>LMFA01170089</t>
  </si>
  <si>
    <t>34574-69-1</t>
  </si>
  <si>
    <t>C(=O)(O)CC(O)CCCCCCCCC(=O)O</t>
  </si>
  <si>
    <t>FYVQCLGZFXHEGL-UHFFFAOYSA-N</t>
  </si>
  <si>
    <t>C12H22O5</t>
  </si>
  <si>
    <t>2.52_455.1406m/z</t>
  </si>
  <si>
    <t>D-Galactopyranosyl-(1-&gt;3)-D-Galactopyranosyl-(1-&gt;3)-L-Arabinose</t>
  </si>
  <si>
    <t>HMDB0038862</t>
  </si>
  <si>
    <t>79043-15-5</t>
  </si>
  <si>
    <t>OCC1OC(OC2C(O)C(CO)OC(OC3C(O)COC(O)C3O)C2O)C(O)C(O)C1O</t>
  </si>
  <si>
    <t>USDVNAMKKXRXGK-UHFFFAOYSA-N</t>
  </si>
  <si>
    <t>C17H30O15</t>
  </si>
  <si>
    <t>14.09_678.4694m/z</t>
  </si>
  <si>
    <t>PA(14:0/18:1(12Z)-O(9S,10R))</t>
  </si>
  <si>
    <t>HMDB0263010</t>
  </si>
  <si>
    <t>[H][C@@](COC(=O)CCCCCCCCCCCCC)(COP(O)(O)=O)OC(=O)CCCCCCCC1OC1C\C=C/CCCCC</t>
  </si>
  <si>
    <t>SGLDLWSTFXXDDD-LFSNXOCVSA-N</t>
  </si>
  <si>
    <t>C35H65O9P</t>
  </si>
  <si>
    <t>1.06_163.0601m/z</t>
  </si>
  <si>
    <t>D-Fucose</t>
  </si>
  <si>
    <t>HMDB0029196</t>
  </si>
  <si>
    <t>C01018</t>
  </si>
  <si>
    <t>6189-71-5</t>
  </si>
  <si>
    <t>C[C@H]1O[C@H](O)[C@H](O)[C@@H](O)[C@H]1O</t>
  </si>
  <si>
    <t>SHZGCJCMOBCMKK-PHYPRBDBSA-N</t>
  </si>
  <si>
    <t>2.23_232.0587m/z</t>
  </si>
  <si>
    <t>Dicarbamoyl (2s)-2-Aminopentanedioate</t>
  </si>
  <si>
    <t>HMDB0258093</t>
  </si>
  <si>
    <t>NC(CCC(=O)OC(N)=O)C(=O)OC(N)=O</t>
  </si>
  <si>
    <t>MVHVWFHSXLHXEU-UHFFFAOYSA-N</t>
  </si>
  <si>
    <t>C7H11N3O6</t>
  </si>
  <si>
    <t>9.92_527.0515m/z</t>
  </si>
  <si>
    <t>3-Methoxy-4-Hydroxyphenylethyleneglycol Sulfate</t>
  </si>
  <si>
    <t>HMDB0000559</t>
  </si>
  <si>
    <t>3415-67-6</t>
  </si>
  <si>
    <t>COC1=C(OS(O)(=O)=O)C=CC(=C1)C(O)CO</t>
  </si>
  <si>
    <t>WUFPNASKMLJSND-UHFFFAOYSA-N</t>
  </si>
  <si>
    <t>C9H12O7S</t>
  </si>
  <si>
    <t>0.93_334.9960m/z</t>
  </si>
  <si>
    <t>Medicagol</t>
  </si>
  <si>
    <t>HMDB0033831</t>
  </si>
  <si>
    <t>LMPK12090025</t>
  </si>
  <si>
    <t>1983-72-8</t>
  </si>
  <si>
    <t>C1(O)C=CC2C3OC4=CC5OCOC=5C=C4C=3C(=O)OC=2C=1</t>
  </si>
  <si>
    <t>URMVEUAWRUQHON-UHFFFAOYSA-N</t>
  </si>
  <si>
    <t>C16H8O6</t>
  </si>
  <si>
    <t>4.74_207.0651m/z</t>
  </si>
  <si>
    <t>5-(3',4',5'-Trihydroxyphenyl)-Gamma-Valerolactone</t>
  </si>
  <si>
    <t>HMDB0041691</t>
  </si>
  <si>
    <t>OC1=CC(CC2CCC(=O)O2)=CC(O)=C1O</t>
  </si>
  <si>
    <t>CZVAQLJEUUFQCH-UHFFFAOYSA-N</t>
  </si>
  <si>
    <t>1.11_467.1733m/z</t>
  </si>
  <si>
    <t>Adiporon</t>
  </si>
  <si>
    <t>HMDB0248016</t>
  </si>
  <si>
    <t>O=C(COC1=CC=C(C=C1)C(=O)C1=CC=CC=C1)NC1CCN(CC2=CC=CC=C2)CC1</t>
  </si>
  <si>
    <t>SHHUPGSHGSNPDB-UHFFFAOYSA-N</t>
  </si>
  <si>
    <t>C27H28N2O3</t>
  </si>
  <si>
    <t>5.58_470.2030m/z</t>
  </si>
  <si>
    <t>O-Desmethyltramadol Glucuronide</t>
  </si>
  <si>
    <t>HMDB0060856</t>
  </si>
  <si>
    <t>138921-77-4</t>
  </si>
  <si>
    <t>CN(C)C[C@H]1CCCC[C@]1(O)C1=CC(O[C@@H]2O[C@@H]([C@@H](O)[C@H](O)[C@H]2O)C(O)=O)=CC=C1</t>
  </si>
  <si>
    <t>DSBGQRZOJXSECT-VZFNFROLSA-N</t>
  </si>
  <si>
    <t>C21H31NO8</t>
  </si>
  <si>
    <t>10.79_884.4769n</t>
  </si>
  <si>
    <t>Polypodoside A</t>
  </si>
  <si>
    <t>HMDB0034053</t>
  </si>
  <si>
    <t>119784-25-7</t>
  </si>
  <si>
    <t>CC(C1CCC2C3=CC(=O)C4CC(CCC4(C)C3CCC12C)OC1OC(CO)C(O)C(O)C1OC1OC(C)C(O)C(O)C1O)C1CCC(C)C(OC2OC(C)C(O)C(O)C2O)O1</t>
  </si>
  <si>
    <t>OFFJUHSISSNBNT-UHFFFAOYSA-N</t>
  </si>
  <si>
    <t>8.69_404.1355m/z</t>
  </si>
  <si>
    <t>2-Methylthio-N6-(Delta2-Isopentenyl)Adenosine</t>
  </si>
  <si>
    <t>HMDB0301782</t>
  </si>
  <si>
    <t>20859-00-1</t>
  </si>
  <si>
    <t>CSC1=NC(NCC=C(C)C)=C2N=CN([C@@H]3O[C@H](CO)[C@@H](O)[C@H]3O)C2=N1</t>
  </si>
  <si>
    <t>VZQXUWKZDSEQRR-SDBHATRESA-N</t>
  </si>
  <si>
    <t>C16H23N5O4S</t>
  </si>
  <si>
    <t>11.06_566.2878n</t>
  </si>
  <si>
    <t>Mesoporphyrin Ix</t>
  </si>
  <si>
    <t>HMDB0002379</t>
  </si>
  <si>
    <t>493-90-3</t>
  </si>
  <si>
    <t>CCC1=C(C)/C2=C/C3=C(CC)C(C)=C(N3)\C=C3/N=C(/C=C4\N=C(\C=C\1/N\2)C(C)=C4CCC(O)=O)C(CCC(O)=O)=C3C</t>
  </si>
  <si>
    <t>NCAJWYASAWUEBY-UJJXFSCMSA-N</t>
  </si>
  <si>
    <t>C34H38N4O4</t>
  </si>
  <si>
    <t>14.56_552.4983m/z</t>
  </si>
  <si>
    <t>Cer(d14:1(4E)/20:1(11Z)(2OH))</t>
  </si>
  <si>
    <t>LMSP02010069</t>
  </si>
  <si>
    <t>[C@](CO)([H])(NC(C(O)CCCCCCCC/C=C\CCCCCCCC)=O)[C@]([H])(O)/C=C/CCCCCCCCC</t>
  </si>
  <si>
    <t>NUSSYYOOAQDOJF-YECFGNMQSA-N</t>
  </si>
  <si>
    <t>C34H65NO4</t>
  </si>
  <si>
    <t>7.20_301.2018m/z</t>
  </si>
  <si>
    <t>Lyngbic Acid</t>
  </si>
  <si>
    <t>LMFA01080034</t>
  </si>
  <si>
    <t>C(CCCC)CC[C@H](OC)C/C=C/CCC(O)=O</t>
  </si>
  <si>
    <t>DHIPOEWPWSLXNL-KGXGESDWSA-N</t>
  </si>
  <si>
    <t>C15H28O3</t>
  </si>
  <si>
    <t>4.95_389.2544m/z</t>
  </si>
  <si>
    <t>DG(8:0/8:0/0:0)</t>
  </si>
  <si>
    <t>HMDB0116368</t>
  </si>
  <si>
    <t>60514-48-9</t>
  </si>
  <si>
    <t>[H][C@](CO)(COC(=O)CCCCCCC)OC(=O)CCCCCCC</t>
  </si>
  <si>
    <t>ZQBULZYTDGUSSK-KRWDZBQOSA-N</t>
  </si>
  <si>
    <t>5.86_589.2655m/z</t>
  </si>
  <si>
    <t>Nicansteroidin A</t>
  </si>
  <si>
    <t>LMST01160036</t>
  </si>
  <si>
    <t>[C@]12(C[C@H]3O[C@@]43CC=CC(=O)[C@]4(C)[C@@]1([H])CC[C@]1(C)[C@](O)([C@@](C)([H])[C@H]3C[C@@](C)(O)C(=C)C(=O)O3)C[C@H](OC(=O)C)[C@]21O)[H]</t>
  </si>
  <si>
    <t>VBZHDYQJWVIEHS-HTDSCEMCSA-N</t>
  </si>
  <si>
    <t>4.10_325.1264m/z</t>
  </si>
  <si>
    <t>S-(2-Carboxypropyl)-Cysteamine</t>
  </si>
  <si>
    <t>HMDB0002169</t>
  </si>
  <si>
    <t>LMFA01020395</t>
  </si>
  <si>
    <t>80186-81-8</t>
  </si>
  <si>
    <t>S(CCN)CC(C(=O)O)C</t>
  </si>
  <si>
    <t>UFRVABODKAYFCB-UHFFFAOYSA-N</t>
  </si>
  <si>
    <t>C6H13NO2S</t>
  </si>
  <si>
    <t>10.94_783.3263m/z</t>
  </si>
  <si>
    <t>Sparfloxacin</t>
  </si>
  <si>
    <t>HMDB0015339</t>
  </si>
  <si>
    <t>C07662</t>
  </si>
  <si>
    <t>110871-86-8</t>
  </si>
  <si>
    <t>C[C@H]1CN(C[C@@H](C)N1)C1=C(F)C(N)=C2C(=O)C(=CN(C3CC3)C2=C1F)C(O)=O</t>
  </si>
  <si>
    <t>DZZWHBIBMUVIIW-DTORHVGOSA-N</t>
  </si>
  <si>
    <t>C19H22F2N4O3</t>
  </si>
  <si>
    <t>3.97_162.0891n</t>
  </si>
  <si>
    <t>2-(1-Ethoxyethoxy)Propanoic Acid</t>
  </si>
  <si>
    <t>HMDB0059918</t>
  </si>
  <si>
    <t>CCOC(C)OC(C)C(O)=O</t>
  </si>
  <si>
    <t>FRGRNGNKLISCCU-UHFFFAOYSA-N</t>
  </si>
  <si>
    <t>C7H14O4</t>
  </si>
  <si>
    <t>4.20_327.1081m/z</t>
  </si>
  <si>
    <t>Ricinine</t>
  </si>
  <si>
    <t>HMDB0042006</t>
  </si>
  <si>
    <t>C01526</t>
  </si>
  <si>
    <t>524-40-3</t>
  </si>
  <si>
    <t>COC1=C(C#N)C(=O)N(C)C=C1</t>
  </si>
  <si>
    <t>PETSAYFQSGAEQY-UHFFFAOYSA-N</t>
  </si>
  <si>
    <t>3-pyridinecarbonitriles</t>
  </si>
  <si>
    <t>C8H8N2O2</t>
  </si>
  <si>
    <t>4.99_699.3579m/z</t>
  </si>
  <si>
    <t>Disofenin</t>
  </si>
  <si>
    <t>HMDB0251479</t>
  </si>
  <si>
    <t>CC(C)C1=CC=CC(C(C)C)=C1NC(=O)CN(CC(O)=O)CC(O)=O</t>
  </si>
  <si>
    <t>UDUSOMRJOPCWHT-UHFFFAOYSA-N</t>
  </si>
  <si>
    <t>C18H26N2O5</t>
  </si>
  <si>
    <t>1.48_385.0216m/z</t>
  </si>
  <si>
    <t>2-((2-((Dimethylamino)Methyl)Phenyl)Thio)-5-Iodophenylamine</t>
  </si>
  <si>
    <t>HMDB0249945</t>
  </si>
  <si>
    <t>CN(C)CC1=CC=CC=C1SC1=C(N)C=C(I)C=C1</t>
  </si>
  <si>
    <t>KPKLDBBNSFWOFA-UHFFFAOYSA-N</t>
  </si>
  <si>
    <t>C15H17IN2S</t>
  </si>
  <si>
    <t>5.75_431.1561m/z</t>
  </si>
  <si>
    <t>Nnal-N-Glucuronide</t>
  </si>
  <si>
    <t>HMDB0060498</t>
  </si>
  <si>
    <t>CN(CCCC(O)C1=C[N+](=CC=C1)[C@@H]1O[C@@H]([C@@H](O)[C@H](O)[C@H]1O)C(O)=O)N=O</t>
  </si>
  <si>
    <t>VSVYJUYJFLYYSI-UKOUFMKDSA-O</t>
  </si>
  <si>
    <t>C16H24N3O8+</t>
  </si>
  <si>
    <t>9.45_415.0012m/z</t>
  </si>
  <si>
    <t>(Z)-[3-(Methylsulfinyl)-1-Propenyl] 2-Propenyl Disulfide</t>
  </si>
  <si>
    <t>HMDB0032653</t>
  </si>
  <si>
    <t>104324-40-5</t>
  </si>
  <si>
    <t>CS(=O)C\C=C\SSCC=C</t>
  </si>
  <si>
    <t>FPQGSXSLZNUUFB-GQCTYLIASA-N</t>
  </si>
  <si>
    <t>C7H12OS3</t>
  </si>
  <si>
    <t>6.91_547.2545m/z</t>
  </si>
  <si>
    <t>Imazamethabenz</t>
  </si>
  <si>
    <t>HMDB0034885</t>
  </si>
  <si>
    <t>100728-84-5</t>
  </si>
  <si>
    <t>CC(C)C1(C)NC(=NC1=O)C1=C(C=CC(C)=C1)C(O)=O</t>
  </si>
  <si>
    <t>KFEFNHNXZQYTEW-UHFFFAOYSA-N</t>
  </si>
  <si>
    <t>C15H18N2O3</t>
  </si>
  <si>
    <t>4.21_222.1465n</t>
  </si>
  <si>
    <t>Tetraglyme</t>
  </si>
  <si>
    <t>HMDB0258894</t>
  </si>
  <si>
    <t>COCCOCCOCCOCCOC</t>
  </si>
  <si>
    <t>ZUHZGEOKBKGPSW-UHFFFAOYSA-N</t>
  </si>
  <si>
    <t>C10H22O5</t>
  </si>
  <si>
    <t>11.92_327.2302m/z</t>
  </si>
  <si>
    <t>8,11-Eicosadiynoic Acid</t>
  </si>
  <si>
    <t>LMFA01030688</t>
  </si>
  <si>
    <t>82073-91-4</t>
  </si>
  <si>
    <t>C(CCCCCCC#CCC#CCCCCCCCC)(=O)O</t>
  </si>
  <si>
    <t>AJBBHZDIKZCZAI-UHFFFAOYSA-N</t>
  </si>
  <si>
    <t>0.78_243.0610m/z</t>
  </si>
  <si>
    <t>Nitro 2-Acetyloxybenzoate</t>
  </si>
  <si>
    <t>HMDB0257748</t>
  </si>
  <si>
    <t>CC(=O)OC1=CC=CC=C1C(=O)O[N+]([O-])=O</t>
  </si>
  <si>
    <t>MABOJVBZGLJSDS-UHFFFAOYSA-N</t>
  </si>
  <si>
    <t>C9H7NO6</t>
  </si>
  <si>
    <t>13.67_595.4175m/z</t>
  </si>
  <si>
    <t>C-6 Nbd-Dihydro-Ceramide</t>
  </si>
  <si>
    <t>114301-95-0</t>
  </si>
  <si>
    <t>CCCCCCCCCCCCCCCC(C(CO)NC(=O)CCCCCNC1=CC=C(C2=NON=C12)[N+](=O)[O-])O</t>
  </si>
  <si>
    <t>GEZLBJRDZRUTOE-AHKZPQOWSA-N</t>
  </si>
  <si>
    <t>C30H51N5O6</t>
  </si>
  <si>
    <t>10.59_853.4941m/z</t>
  </si>
  <si>
    <t>N-Monodemethyl Roxithromycin</t>
  </si>
  <si>
    <t>HMDB0060845</t>
  </si>
  <si>
    <t>CC[C@H]1OC(=O)[C@H](C)[C@@H](O[C@H]2CC(OC)[C@@H](O)C(C)O2)[C@H](C)[C@@H](O[C@@H]2O[C@H](C)CC(NC)C2O)[C@](C)(O)C[C@@H](C)\C(=N/OCOCCOC)[C@H](C)[C@@H](O)[C@]1(C)O</t>
  </si>
  <si>
    <t>CNLGFVKNPSUQIW-AAQJIQLNSA-N</t>
  </si>
  <si>
    <t>C39H72N2O15</t>
  </si>
  <si>
    <t>3.71_531.0755m/z</t>
  </si>
  <si>
    <t>2-O-P-Coumaroyltartronic Acid</t>
  </si>
  <si>
    <t>HMDB0032956</t>
  </si>
  <si>
    <t>95519-23-6</t>
  </si>
  <si>
    <t>OC(=O)C(OC(=O)\C=C\C1=CC=C(O)C=C1)C(O)=O</t>
  </si>
  <si>
    <t>RWROLZXFRYSDLG-ZZXKWVIFSA-N</t>
  </si>
  <si>
    <t>C12H10O7</t>
  </si>
  <si>
    <t>1.27_124.0160n</t>
  </si>
  <si>
    <t>Keto-1,4-Benzoquinone</t>
  </si>
  <si>
    <t>HMDB0253785</t>
  </si>
  <si>
    <t>O=C1CC(=O)C(=O)C=C1</t>
  </si>
  <si>
    <t>UMQKCVIQVNOKLY-UHFFFAOYSA-N</t>
  </si>
  <si>
    <t>C6H4O3</t>
  </si>
  <si>
    <t>5.17_406.1987n</t>
  </si>
  <si>
    <t>13-Acetylphorbol</t>
  </si>
  <si>
    <t>HMDB0244502</t>
  </si>
  <si>
    <t>CC1C(O)C2(OC(C)=O)C(C3C=C(CO)CC4(O)C(C=C(C)C4=O)C13O)C2(C)C</t>
  </si>
  <si>
    <t>SDSVJYOOAPRSDA-UHFFFAOYSA-N</t>
  </si>
  <si>
    <t>4.79_828.4858n</t>
  </si>
  <si>
    <t>Vinaginsenoside R2</t>
  </si>
  <si>
    <t>HMDB0034625</t>
  </si>
  <si>
    <t>156980-42-6</t>
  </si>
  <si>
    <t>CC(=O)OCC1OC(OC2CC3(C)C(CC(O)C4C(CCC34C)C3(C)CCC(O3)C(C)(C)O)C3(C)CCC(O)C(C)(C)C23)C(OC2OCC(O)C(O)C2O)C(O)C1O</t>
  </si>
  <si>
    <t>URPKGNJHPFKECW-UHFFFAOYSA-N</t>
  </si>
  <si>
    <t>C43H72O15</t>
  </si>
  <si>
    <t>9.03_892.2661m/z</t>
  </si>
  <si>
    <t>Lacto-N-Fucopentaose Iii</t>
  </si>
  <si>
    <t>HMDB0006576</t>
  </si>
  <si>
    <t>25541-09-7</t>
  </si>
  <si>
    <t>CC1C(C(C(C(O1)OC2C(C(OC(C2OC3C(C(C(C(O3)CO)O)O)O)CO)OC4C(C(OC(C4O)OC5C(OC(C(C5O)O)O)CO)CO)O)NC(=O)C)O)O)O</t>
  </si>
  <si>
    <t>CMQZRJBJDCVIEY-JEOLMMCMSA-N</t>
  </si>
  <si>
    <t>C32H55NO25</t>
  </si>
  <si>
    <t>3.73_399.2021m/z</t>
  </si>
  <si>
    <t>4z-Decenedioic Acid</t>
  </si>
  <si>
    <t>HMDB0000603</t>
  </si>
  <si>
    <t>LMFA01170045</t>
  </si>
  <si>
    <t>72879-22-2</t>
  </si>
  <si>
    <t>C(CC/C=C\CCCCC(=O)O)(=O)O</t>
  </si>
  <si>
    <t>CXGDCGIPEJKSCK-IWQZZHSRSA-N</t>
  </si>
  <si>
    <t>C10H16O4</t>
  </si>
  <si>
    <t>2.23_504.0087m/z</t>
  </si>
  <si>
    <t>Alpha,Beta-Methylene Atp</t>
  </si>
  <si>
    <t>HMDB0248246</t>
  </si>
  <si>
    <t>NC1=NC=NC2=C1N=CN2C1OC(COP(O)(=O)CP(O)(=O)OP(O)(O)=O)C(O)C1O</t>
  </si>
  <si>
    <t>CAWZRIXWFRFUQB-UHFFFAOYSA-N</t>
  </si>
  <si>
    <t>C11H18N5O12P3</t>
  </si>
  <si>
    <t>9.86_475.3055m/z</t>
  </si>
  <si>
    <t>Pubescenol</t>
  </si>
  <si>
    <t>HMDB0030085</t>
  </si>
  <si>
    <t>90685-93-1</t>
  </si>
  <si>
    <t>CC(C1CCC2C3C(O)CC4C(O)CCC(=O)C4(C)C3CCC12C)C1CC2(C)OC2(C)C(=O)O1</t>
  </si>
  <si>
    <t>DGMHVWLIESGCSH-UHFFFAOYSA-N</t>
  </si>
  <si>
    <t>C28H42O6</t>
  </si>
  <si>
    <t>9.73_392.1622n</t>
  </si>
  <si>
    <t>Calabaxanthone</t>
  </si>
  <si>
    <t>HMDB0030655</t>
  </si>
  <si>
    <t>39011-96-6</t>
  </si>
  <si>
    <t>COC1=C(CC=C(C)C)C2=C(OC3=C(C(O)=C4C=CC(C)(C)OC4=C3)C2=O)C=C1</t>
  </si>
  <si>
    <t>PLKQPRRVFTZBAE-UHFFFAOYSA-N</t>
  </si>
  <si>
    <t>4.99_182.1903m/z</t>
  </si>
  <si>
    <t>5-Ethyl-3-Methyl-2e,4e,6e-Nonatriene</t>
  </si>
  <si>
    <t>LMFA11000051</t>
  </si>
  <si>
    <t>C/C=C(\C)/C=C(\CC)/C=C/CC</t>
  </si>
  <si>
    <t>CCGOFOHHWSKWIK-GOZCNEPISA-N</t>
  </si>
  <si>
    <t>C12H20</t>
  </si>
  <si>
    <t>10.75_994.5282m/z</t>
  </si>
  <si>
    <t>PI(22:6(4Z,7Z,10Z,13Z,16Z,19Z)/20:5(7Z,9Z,11E,13E,17Z)-3OH(5,6,15))</t>
  </si>
  <si>
    <t>HMDB0278383</t>
  </si>
  <si>
    <t>[H][C@@](COC(=O)CC\C=C/C\C=C/C\C=C/C\C=C/C\C=C/C\C=C/CC)(COP(O)(=O)O[C@H]1[C@H](O)[C@@H](O)[C@H](O)[C@@H](O)[C@H]1O)OC(=O)CCC[C@@H](O)[C@H](O)\C=C/C=C\C=C\C=C\[C@@H](O)C\C=C/CC</t>
  </si>
  <si>
    <t>LDPVMMQHVJKYNB-AQKWQWDPSA-N</t>
  </si>
  <si>
    <t>C51H77O16P</t>
  </si>
  <si>
    <t>10.47_327.0776m/z</t>
  </si>
  <si>
    <t>Triphenyl Phosphate</t>
  </si>
  <si>
    <t>HMDB0259262</t>
  </si>
  <si>
    <t>C14235</t>
  </si>
  <si>
    <t>115-86-6</t>
  </si>
  <si>
    <t>O=P(OC1=CC=CC=C1)(OC1=CC=CC=C1)OC1=CC=CC=C1</t>
  </si>
  <si>
    <t>XZZNDPSIHUTMOC-UHFFFAOYSA-N</t>
  </si>
  <si>
    <t>C18H15O4P</t>
  </si>
  <si>
    <t>5.80_441.0957m/z</t>
  </si>
  <si>
    <t>Fosbretabulin</t>
  </si>
  <si>
    <t>HMDB0252462</t>
  </si>
  <si>
    <t>COC1=CC(C=CC2=CC(OP(O)(O)=O)=C(OC)C=C2)=CC(OC)=C1OC</t>
  </si>
  <si>
    <t>WDOGQTQEKVLZIJ-UHFFFAOYSA-N</t>
  </si>
  <si>
    <t>C18H21O8P</t>
  </si>
  <si>
    <t>5.80_718.3446m/z</t>
  </si>
  <si>
    <t>Veratridine</t>
  </si>
  <si>
    <t>C06544</t>
  </si>
  <si>
    <t>71-62-5</t>
  </si>
  <si>
    <t>CC1CCC2C(C3(C(CC4(C5CCC6C7(C5(CC4(C3CN2C1)O)OC6(C(CC7)OC(=O)C8=CC(=C(C=C8)OC)OC)O)C)O)O)O)(C)O</t>
  </si>
  <si>
    <t>FVECELJHCSPHKY-YFUMOZOISA-N</t>
  </si>
  <si>
    <t>C36H51NO11</t>
  </si>
  <si>
    <t>5.62_415.1973m/z</t>
  </si>
  <si>
    <t>5-Megastigmen-7-Yne-3,9-Diol 3-Glucoside</t>
  </si>
  <si>
    <t>HMDB0032842</t>
  </si>
  <si>
    <t>62512-27-0</t>
  </si>
  <si>
    <t>CC(O)C#CC1=C(C)CC(CC1(C)C)OC1OC(CO)C(O)C(O)C1O</t>
  </si>
  <si>
    <t>XIRQNNSWPUAAHR-UHFFFAOYSA-N</t>
  </si>
  <si>
    <t>C19H30O7</t>
  </si>
  <si>
    <t>5.67_447.2600m/z</t>
  </si>
  <si>
    <t>2,3,5-Trimethyl-6-[4-(Methylthio)Butyl]Pyrazine</t>
  </si>
  <si>
    <t>HMDB0040005</t>
  </si>
  <si>
    <t>92233-83-5</t>
  </si>
  <si>
    <t>CSCCCCC1=C(C)N=C(C)C(C)=N1</t>
  </si>
  <si>
    <t>KGBPITFLJDEWLV-UHFFFAOYSA-N</t>
  </si>
  <si>
    <t>C12H20N2S</t>
  </si>
  <si>
    <t>9.29_443.1746m/z</t>
  </si>
  <si>
    <t>Murrastifoline F</t>
  </si>
  <si>
    <t>HMDB0040787</t>
  </si>
  <si>
    <t>155519-85-0</t>
  </si>
  <si>
    <t>COC1=CC(C)=CC2=C1N(C1=CC=CC=C21)C1=C2C(NC3=CC=CC=C23)=C(OC)C=C1C</t>
  </si>
  <si>
    <t>OBQIZMYFDVTSTF-UHFFFAOYSA-N</t>
  </si>
  <si>
    <t>C28H24N2O2</t>
  </si>
  <si>
    <t>8.49_284.0924m/z</t>
  </si>
  <si>
    <t>Carbazolepropanoic Acid</t>
  </si>
  <si>
    <t>HMDB0249628</t>
  </si>
  <si>
    <t>OC(=O)CCC1=CC=CC2=C1NC1=CC=CC=C21</t>
  </si>
  <si>
    <t>NHIYJOFCMZBBHA-UHFFFAOYSA-N</t>
  </si>
  <si>
    <t>C15H13NO2</t>
  </si>
  <si>
    <t>5.42_209.1647m/z</t>
  </si>
  <si>
    <t>Diethyltoluamide</t>
  </si>
  <si>
    <t>HMDB0250930</t>
  </si>
  <si>
    <t>C10935</t>
  </si>
  <si>
    <t>134-62-3</t>
  </si>
  <si>
    <t>CCN(CC)C(=O)C1=CC=CC(C)=C1</t>
  </si>
  <si>
    <t>MMOXZBCLCQITDF-UHFFFAOYSA-N</t>
  </si>
  <si>
    <t>C12H17NO</t>
  </si>
  <si>
    <t>6.14_492.1872m/z</t>
  </si>
  <si>
    <t>Hydromorphone-3-Glucoside</t>
  </si>
  <si>
    <t>HMDB0061144</t>
  </si>
  <si>
    <t>[H][C@@]12CC3=C4C(O[C@H]5C(=O)CC[C@]1([H])[C@@]45CCN2C)=C(OC1OC(CO)C(O)C(O)C1O)C=C3</t>
  </si>
  <si>
    <t>LAZTZBKWNKFJLP-FBSPHTLJSA-N</t>
  </si>
  <si>
    <t>C23H29NO8</t>
  </si>
  <si>
    <t>2.16_523.0889m/z</t>
  </si>
  <si>
    <t>Ccg-100602</t>
  </si>
  <si>
    <t>1207113-88-9</t>
  </si>
  <si>
    <t>C1CC(CN(C1)C(=O)C2=CC(=CC(=C2)C(F)(F)F)C(F)(F)F)C(=O)NC3=CC=C(C=C3)Cl</t>
  </si>
  <si>
    <t>MOQCFMZWVKQBAP-UHFFFAOYSA-N</t>
  </si>
  <si>
    <t>C21H17ClF6N2O2</t>
  </si>
  <si>
    <t>14.30_624.4592n</t>
  </si>
  <si>
    <t>DG(15:0/5-iso PGF2VI/0:0)</t>
  </si>
  <si>
    <t>HMDB0295279</t>
  </si>
  <si>
    <t>CCCCCCCCCCCCCCC(=O)OC[C@H](CO)OC(=O)C\C=C/C[C@@H]1[C@@H](O)C[C@@H](O)[C@@H]1\C=C\[C@H](O)CCCCC</t>
  </si>
  <si>
    <t>KCWBCUNIEMSWER-XWWNYLNASA-N</t>
  </si>
  <si>
    <t>C36H64O8</t>
  </si>
  <si>
    <t>1.06_212.0077m/z</t>
  </si>
  <si>
    <t>4-Aminophenyl Phosphate</t>
  </si>
  <si>
    <t>HMDB0249961</t>
  </si>
  <si>
    <t>NC1=CC=C(OP(O)(O)=O)C=C1</t>
  </si>
  <si>
    <t>FXZCCINCKDATPA-UHFFFAOYSA-N</t>
  </si>
  <si>
    <t>C6H8NO4P</t>
  </si>
  <si>
    <t>4.33_399.0928m/z</t>
  </si>
  <si>
    <t>Scopolin</t>
  </si>
  <si>
    <t>HMDB0303366</t>
  </si>
  <si>
    <t>COC1=CC2=C(OC(=O)C=C2)C=C1OC1OC(CO)C(O)C(O)C1O</t>
  </si>
  <si>
    <t>SGTCGCCQZOUMJJ-UHFFFAOYSA-N</t>
  </si>
  <si>
    <t>10.13_527.2642m/z</t>
  </si>
  <si>
    <t>PI(14:0/0:0)</t>
  </si>
  <si>
    <t>LMGP06050008</t>
  </si>
  <si>
    <t>[C@]([H])(O)(COP(=O)(O)O[C@H]1[C@H](O)[C@@H](O)[C@H](O)[C@@H](O)[C@H]1O)COC(CCCCCCCCCCCCC)=O</t>
  </si>
  <si>
    <t>FEWCZOSQEKFJGK-LHZCVKNISA-N</t>
  </si>
  <si>
    <t>C23H45O12P</t>
  </si>
  <si>
    <t>4.65_555.1845m/z</t>
  </si>
  <si>
    <t>Icaritin 3-Rhamnoside</t>
  </si>
  <si>
    <t>LMPK12112018</t>
  </si>
  <si>
    <t>C1(O)=C(CCC(O)(C)C)C2OC(C3C=CC(OC)=CC=3)=C(O[C@H]3[C@H](O)[C@H](O)[C@@H](O)[C@H](C)O3)C(=O)C=2C(O)=C1</t>
  </si>
  <si>
    <t>MDKYYFBRCUVEAN-GULSFEPBSA-N</t>
  </si>
  <si>
    <t>C27H32O11</t>
  </si>
  <si>
    <t>3.79_213.0907m/z</t>
  </si>
  <si>
    <t>2-(N-Morpholino)-Ethanesulfonic Acid</t>
  </si>
  <si>
    <t>HMDB0246678</t>
  </si>
  <si>
    <t>4432-31-9</t>
  </si>
  <si>
    <t>[O-]S(=O)(=O)CC[NH+]1CCOCC1</t>
  </si>
  <si>
    <t>SXGZJKUKBWWHRA-UHFFFAOYSA-N</t>
  </si>
  <si>
    <t>C6H13NO4S</t>
  </si>
  <si>
    <t>2.77_328.1155n</t>
  </si>
  <si>
    <t>Ethylvanillin Glucoside</t>
  </si>
  <si>
    <t>HMDB0037682</t>
  </si>
  <si>
    <t>122397-96-0</t>
  </si>
  <si>
    <t>CCOC1=C(OC2OC(CO)C(O)C(O)C2O)C=CC(C=O)=C1</t>
  </si>
  <si>
    <t>SWESETWDPGZBCR-UHFFFAOYSA-N</t>
  </si>
  <si>
    <t>10.25_505.2583m/z</t>
  </si>
  <si>
    <t>PG(18:4(6Z,9Z,12Z,15Z)/0:0)</t>
  </si>
  <si>
    <t>LMGP04050021</t>
  </si>
  <si>
    <t>[H][C@](O)(CO)COP(OC[C@]([H])(O)COC(CCCC/C=C\C/C=C\C/C=C\C/C=C\CC)=O)(=O)O</t>
  </si>
  <si>
    <t>OLFYINYQDQPMDM-KPKHVZAWSA-N</t>
  </si>
  <si>
    <t>C24H41O9P</t>
  </si>
  <si>
    <t>5.06_386.1362n</t>
  </si>
  <si>
    <t>Samidin</t>
  </si>
  <si>
    <t>C09310</t>
  </si>
  <si>
    <t>477-33-8</t>
  </si>
  <si>
    <t>CC(=CC(=O)OC1C(C2=C(C=CC3=C2OC(=O)C=C3)OC1(C)C)OC(=O)C)C</t>
  </si>
  <si>
    <t>FNVCLGWRMXTDSM-WOJBJXKFSA-N</t>
  </si>
  <si>
    <t>12.93_297.2216m/z</t>
  </si>
  <si>
    <t>Progesterone</t>
  </si>
  <si>
    <t>HMDB0001830</t>
  </si>
  <si>
    <t>LMST02030159</t>
  </si>
  <si>
    <t>C00410</t>
  </si>
  <si>
    <t>ko00140,ko04114,ko04913,ko04914,ko04917,ko04925,ko04927,ko04934,ko05200,ko05207,ko05215,ko05224</t>
  </si>
  <si>
    <t>Steroid hormone biosynthesis|Oocyte meiosis|Ovarian steroidogenesis|Progesterone-mediated oocyte maturation|Prolactin signaling pathway|Aldosterone synthesis and secretion|Cortisol synthesis and secretion|Cushing syndrome|Pathways in cancer|Chemical carcinogenesis - receptor activation|Prostate cancer|Breast cancer</t>
  </si>
  <si>
    <t>57-83-0</t>
  </si>
  <si>
    <t>C1CC2[C@@](C)([C@@]3([H])CC[C@@]4([C@H](CC[C@@]4([H])[C@]13[H])C(=O)C)C)CCC(=O)C=2</t>
  </si>
  <si>
    <t>RJKFOVLPORLFTN-LEKSSAKUSA-N</t>
  </si>
  <si>
    <t>C21H30O2</t>
  </si>
  <si>
    <t>4.36_583.1570m/z</t>
  </si>
  <si>
    <t>Dapagliflozin 3-O-Glucuronide</t>
  </si>
  <si>
    <t>HMDB0259686</t>
  </si>
  <si>
    <t>CCOC1=CC=C(CC2=C(Cl)C=CC(=C2)C2OC(CO)C(O)C(OC3OC(C(O)C(O)C3O)C(O)=O)C2O)C=C1</t>
  </si>
  <si>
    <t>ZYZULHSUKTZGTR-UHFFFAOYSA-N</t>
  </si>
  <si>
    <t>C27H33ClO12</t>
  </si>
  <si>
    <t>10.25_242.2839m/z</t>
  </si>
  <si>
    <t>1-Hexadecene</t>
  </si>
  <si>
    <t>HMDB0243889</t>
  </si>
  <si>
    <t>CCCCCCCCCCCCCCC=C</t>
  </si>
  <si>
    <t>GQEZCXVZFLOKMC-UHFFFAOYSA-N</t>
  </si>
  <si>
    <t>C16H32</t>
  </si>
  <si>
    <t>10.15_713.2435m/z</t>
  </si>
  <si>
    <t>Niazimicin</t>
  </si>
  <si>
    <t>HMDB0031944</t>
  </si>
  <si>
    <t>147821-49-6</t>
  </si>
  <si>
    <t>CCOC(=S)NCC1=CC=C(O[C@@H]2O[C@@H](C)[C@H](O)[C@@H](O)[C@H]2O)C=C1</t>
  </si>
  <si>
    <t>JOSHUAQJVMGTGS-NBUQLFNLSA-N</t>
  </si>
  <si>
    <t>C16H23NO6S</t>
  </si>
  <si>
    <t>10.44_419.2437m/z</t>
  </si>
  <si>
    <t>Lycocasuarinen Acid C</t>
  </si>
  <si>
    <t>LMFA01050596</t>
  </si>
  <si>
    <t>C(/C=C/C=C/[C@@H](O)C/C=C/CCC)(=O)O</t>
  </si>
  <si>
    <t>UFNNEBAWEFZJIU-QXYZXYKKSA-N</t>
  </si>
  <si>
    <t>C12H18O3</t>
  </si>
  <si>
    <t>4.31_375.1081m/z</t>
  </si>
  <si>
    <t>Aflatoxin B1 Dialcohol</t>
  </si>
  <si>
    <t>HMDB0011672</t>
  </si>
  <si>
    <t>COC1=CC2=C(C(CO2)C(O)CO)C2=C1C1=C(C(=O)CC1)C(=O)C2</t>
  </si>
  <si>
    <t>QEIDPNWKOZPLQZ-UHFFFAOYSA-N</t>
  </si>
  <si>
    <t>C18H18O6</t>
  </si>
  <si>
    <t>8.36_337.0993m/z</t>
  </si>
  <si>
    <t>N-Gluconyl Ethanolamine Phosphate</t>
  </si>
  <si>
    <t>HMDB0032294</t>
  </si>
  <si>
    <t>791807-20-0</t>
  </si>
  <si>
    <t>OC[C@@H](O)[C@H](O)[C@H](O)[C@@H](O)C(=O)NCCOP(O)(O)=O</t>
  </si>
  <si>
    <t>JNXDTQSHHDGYGF-JRTVQGFMSA-N</t>
  </si>
  <si>
    <t>C8H18NO10P</t>
  </si>
  <si>
    <t>4.98_191.1429m/z</t>
  </si>
  <si>
    <t>3-Oxo-Alpha-Ionol</t>
  </si>
  <si>
    <t>HMDB0303805</t>
  </si>
  <si>
    <t>CC(O)\C=C\C1C(C)=CC(=O)CC1(C)C</t>
  </si>
  <si>
    <t>MDCGEAGEQVMWPE-AATRIKPKSA-N</t>
  </si>
  <si>
    <t>C13H20O2</t>
  </si>
  <si>
    <t>7.61_707.3620m/z</t>
  </si>
  <si>
    <t>Acetylsalvipisone</t>
  </si>
  <si>
    <t>HMDB0031877</t>
  </si>
  <si>
    <t>CC(C)C1=C(OC(C)=O)C(=O)C2=C(C=CC(C)=C2CCCC(C)=C)C1=O</t>
  </si>
  <si>
    <t>MCXIDKIJSQDYCT-UHFFFAOYSA-N</t>
  </si>
  <si>
    <t>3.69_549.1810m/z</t>
  </si>
  <si>
    <t>(S)-Multifidol 2-[Apiosyl-(1-&gt;6)-Glucoside]</t>
  </si>
  <si>
    <t>HMDB0039930</t>
  </si>
  <si>
    <t>467437-62-3</t>
  </si>
  <si>
    <t>CCC(C)C(=O)C1=C(O)C=C(O)C=C1OC1OC(COC2OCC(O)(CO)C2O)C(O)C(O)C1O</t>
  </si>
  <si>
    <t>MXXCYHQPSVRPOP-UHFFFAOYSA-N</t>
  </si>
  <si>
    <t>C22H32O13</t>
  </si>
  <si>
    <t>3.99_441.1762m/z</t>
  </si>
  <si>
    <t>4,5-Dihydroniveusin A</t>
  </si>
  <si>
    <t>HMDB0032844</t>
  </si>
  <si>
    <t>98204-96-7</t>
  </si>
  <si>
    <t>C\C=C(\C)C(=O)OC1CC2(C)OC(O)(CC2O)C(CO)CC2OC(=O)C(=C)C12</t>
  </si>
  <si>
    <t>SNUZCOSRHAIVKC-YHYXMXQVSA-N</t>
  </si>
  <si>
    <t>10.47_545.3835m/z</t>
  </si>
  <si>
    <t>Cholesterol Glucuronide</t>
  </si>
  <si>
    <t>HMDB0010330</t>
  </si>
  <si>
    <t>17435-78-8</t>
  </si>
  <si>
    <t>[H][C@@]1(CC[C@@]2([H])[C@]3([H])CC=C4CC(CC[C@]4(C)[C@@]3([H])CC[C@]12C)O[C@@H]1O[C@@H]([C@@H](O)[C@H](O)[C@H]1O)C(O)=O)[C@H](C)CCCC(C)C</t>
  </si>
  <si>
    <t>IJLBJBCDNYOWPJ-BBPBCBHPSA-N</t>
  </si>
  <si>
    <t>C33H54O7</t>
  </si>
  <si>
    <t>0.73_171.0762m/z</t>
  </si>
  <si>
    <t>Mesalazine</t>
  </si>
  <si>
    <t>HMDB0014389</t>
  </si>
  <si>
    <t>C07138</t>
  </si>
  <si>
    <t>89-57-6</t>
  </si>
  <si>
    <t>NC1=CC(C(O)=O)=C(O)C=C1</t>
  </si>
  <si>
    <t>KBOPZPXVLCULAV-UHFFFAOYSA-N</t>
  </si>
  <si>
    <t>3.84_261.1117m/z</t>
  </si>
  <si>
    <t>Taps</t>
  </si>
  <si>
    <t>HMDB0258723</t>
  </si>
  <si>
    <t>OCC(CO)(CO)NCCCS(O)(=O)=O</t>
  </si>
  <si>
    <t>YNLCVAQJIKOXER-UHFFFAOYSA-N</t>
  </si>
  <si>
    <t>C7H17NO6S</t>
  </si>
  <si>
    <t>7.34_551.1925m/z</t>
  </si>
  <si>
    <t>Enrasentan</t>
  </si>
  <si>
    <t>HMDB0251819</t>
  </si>
  <si>
    <t>CCCOC1=CC2=C(C=C1)C(C(C2C1=C(OCCO)C=C(OC)C=C1)C(O)=O)C1=CC2=C(OCO2)C=C1</t>
  </si>
  <si>
    <t>GLCKXJLCYIJMRB-UHFFFAOYSA-N</t>
  </si>
  <si>
    <t>C29H30O8</t>
  </si>
  <si>
    <t>6.08_335.2688m/z</t>
  </si>
  <si>
    <t>Drofenine</t>
  </si>
  <si>
    <t>1679-76-1</t>
  </si>
  <si>
    <t>CCN(CC)CCOC(=O)C(C1CCCCC1)C2=CC=CC=C2</t>
  </si>
  <si>
    <t>AGJBLWCLQCKRJP-UHFFFAOYSA-N</t>
  </si>
  <si>
    <t>C20H31NO2</t>
  </si>
  <si>
    <t>5.77_467.1921m/z</t>
  </si>
  <si>
    <t>5-Methoxy-Dl-Tryptophan</t>
  </si>
  <si>
    <t>28052-84-8</t>
  </si>
  <si>
    <t>COC1=CC2=C(C=C1)NC=C2CC(C(=O)O)N</t>
  </si>
  <si>
    <t>KVNPSKDDJARYKK-UHFFFAOYSA-N</t>
  </si>
  <si>
    <t>C12H14N2O3</t>
  </si>
  <si>
    <t>5.47_405.1918m/z</t>
  </si>
  <si>
    <t>Prednisolone</t>
  </si>
  <si>
    <t>HMDB0014998</t>
  </si>
  <si>
    <t>LMST02030179</t>
  </si>
  <si>
    <t>C07369</t>
  </si>
  <si>
    <t>50-24-8</t>
  </si>
  <si>
    <t>[C@]12([C@]3([H])[C@]([H])([C@@]4([H])[C@](C)(C[C@@H]3O)[C@@](O)(C(=O)CO)CC4)CCC1=CC(=O)C=C2)C</t>
  </si>
  <si>
    <t>OIGNJSKKLXVSLS-VWUMJDOOSA-N</t>
  </si>
  <si>
    <t>C21H28O5</t>
  </si>
  <si>
    <t>10.89_555.3681m/z</t>
  </si>
  <si>
    <t>Vitamin D2 3-Glucuronide</t>
  </si>
  <si>
    <t>HMDB0010344</t>
  </si>
  <si>
    <t>CC(C)[C@@H](C)\C=C\[C@@H](C)[C@@]1([H])CCC2\C(CCC[C@]12C)=C\C=C1/CC(CCC1=C)O[C@@H]1O[C@H](C(O)=O)[C@@H](O)[C@H](O)[C@H]1O</t>
  </si>
  <si>
    <t>NLCXHIGBBJLZMX-HLQYQDSBSA-N</t>
  </si>
  <si>
    <t>C34H52O7</t>
  </si>
  <si>
    <t>3.95_599.1169m/z</t>
  </si>
  <si>
    <t>5,7,2'-Trihydroxy-6-Methoxyflavone</t>
  </si>
  <si>
    <t>HMDB0137306</t>
  </si>
  <si>
    <t>LMPK12111080</t>
  </si>
  <si>
    <t>C1(O)=CC2OC(C3C=CC=CC=3O)=CC(=O)C=2C(O)=C1OC</t>
  </si>
  <si>
    <t>VHNWVABJHPRFGC-UHFFFAOYSA-N</t>
  </si>
  <si>
    <t>10.51_477.2490m/z</t>
  </si>
  <si>
    <t>Eldoral</t>
  </si>
  <si>
    <t>HMDB0251741</t>
  </si>
  <si>
    <t>CCC1(N2CCCCC2)C(O)=NC(=O)N=C1O</t>
  </si>
  <si>
    <t>ZFVLHMJCLWOOOY-UHFFFAOYSA-N</t>
  </si>
  <si>
    <t>C11H17N3O3</t>
  </si>
  <si>
    <t>4.79_868.4864n</t>
  </si>
  <si>
    <t>PGP(18:2(9Z,11E)+=O(13)/18:0)</t>
  </si>
  <si>
    <t>HMDB0272553</t>
  </si>
  <si>
    <t>[H][C@](O)(COP(O)(O)=O)COP(O)(=O)OC[C@@]([H])(COC(=O)CCCCCCC\C=C/C=C/C(=O)CCCCC)OC(=O)CCCCCCCCCCCCCCCCC</t>
  </si>
  <si>
    <t>STAHRFFWEYGZLD-PREQTRCLSA-N</t>
  </si>
  <si>
    <t>6.27_630.2399m/z</t>
  </si>
  <si>
    <t>Efonidipine</t>
  </si>
  <si>
    <t>HMDB0251715</t>
  </si>
  <si>
    <t>CC1=C(C(C2=CC=CC(=C2)[N+]([O-])=O)C(=C(C)N1)P1(=O)OCC(C)(C)CO1)C(=O)OCCN(CC1=CC=CC=C1)C1=CC=CC=C1</t>
  </si>
  <si>
    <t>NSVFSAJIGAJDMR-UHFFFAOYSA-N</t>
  </si>
  <si>
    <t>C34H38N3O7P</t>
  </si>
  <si>
    <t>0.74_402.1367n</t>
  </si>
  <si>
    <t>Setipiprant</t>
  </si>
  <si>
    <t>HMDB0258261</t>
  </si>
  <si>
    <t>OC(=O)CN1C2=C(CN(CC2)C(=O)C2=CC=CC3=CC=CC=C23)C2=CC(F)=CC=C12</t>
  </si>
  <si>
    <t>IHAXLPDVOWLUOS-UHFFFAOYSA-N</t>
  </si>
  <si>
    <t>C24H19FN2O3</t>
  </si>
  <si>
    <t>3.61_283.0790m/z</t>
  </si>
  <si>
    <t>3-Furanmethanol Glucoside</t>
  </si>
  <si>
    <t>HMDB0032924</t>
  </si>
  <si>
    <t>86425-28-7</t>
  </si>
  <si>
    <t>OCC1OC(OCC2=COC=C2)C(O)C(O)C1O</t>
  </si>
  <si>
    <t>SPFOGLIFWSAONR-UHFFFAOYSA-N</t>
  </si>
  <si>
    <t>C11H16O7</t>
  </si>
  <si>
    <t>14.55_158.0963m/z</t>
  </si>
  <si>
    <t>5-Phenyl-1,3-Pentadiyne</t>
  </si>
  <si>
    <t>HMDB0032948</t>
  </si>
  <si>
    <t>C17717</t>
  </si>
  <si>
    <t>41268-41-1</t>
  </si>
  <si>
    <t>C#CC#CCC1=CC=CC=C1</t>
  </si>
  <si>
    <t>ZZGANZXITREHOP-UHFFFAOYSA-N</t>
  </si>
  <si>
    <t>C11H8</t>
  </si>
  <si>
    <t>11.18_357.2998m/z</t>
  </si>
  <si>
    <t>Mg(18:1(9z)/0:0/0:0)[Rac]</t>
  </si>
  <si>
    <t>HMDB0094684</t>
  </si>
  <si>
    <t>LMGL01010005</t>
  </si>
  <si>
    <t>111-03-5</t>
  </si>
  <si>
    <t>OCC([H])(O)COC(CCCCCCC/C=C\CCCCCCCC)=O</t>
  </si>
  <si>
    <t>RZRNAYUHWVFMIP-KTKRTIGZSA-N</t>
  </si>
  <si>
    <t>4.24_158.0942n</t>
  </si>
  <si>
    <t>3-Oxovalproic Acid</t>
  </si>
  <si>
    <t>HMDB0060685</t>
  </si>
  <si>
    <t>C16652</t>
  </si>
  <si>
    <t>60113-81-7</t>
  </si>
  <si>
    <t>CCCC(C(O)=O)C(=O)CC</t>
  </si>
  <si>
    <t>PPYHXKUZTSZTQU-UHFFFAOYSA-N</t>
  </si>
  <si>
    <t>C8H14O3</t>
  </si>
  <si>
    <t>4.67_375.1658m/z</t>
  </si>
  <si>
    <t>Tetranor-Pgfm</t>
  </si>
  <si>
    <t>HMDB0258925</t>
  </si>
  <si>
    <t>23109-94-6</t>
  </si>
  <si>
    <t>OC1CC(O)C(CCC(=O)CCCCC(O)=O)C1CCC(O)=O</t>
  </si>
  <si>
    <t>IGRHJCFWWOQYQE-UHFFFAOYSA-N</t>
  </si>
  <si>
    <t>4.95_435.1640m/z</t>
  </si>
  <si>
    <t>Temafloxacin</t>
  </si>
  <si>
    <t>HMDB0258796</t>
  </si>
  <si>
    <t>CC1CN(CCN1)C1=C(F)C=C2C(=O)C(=CN(C2=C1)C1=C(F)C=C(F)C=C1)C(O)=O</t>
  </si>
  <si>
    <t>QKDHBVNJCZBTMR-UHFFFAOYSA-N</t>
  </si>
  <si>
    <t>C21H18F3N3O3</t>
  </si>
  <si>
    <t>3.93_415.1582m/z</t>
  </si>
  <si>
    <t>2-[1-[(2s)-2-[[4-[(E)-N'-Hydroxycarbamimidoyl]Benzoyl]Amino]Propanoyl]Piperidin-4-Yl]Oxyacetic Acid</t>
  </si>
  <si>
    <t>HMDB0257278</t>
  </si>
  <si>
    <t>CC(NC(=O)C1=CC=C(C=C1)C(N)=NO)C(=O)N1CCC(CC1)OCC(O)=O</t>
  </si>
  <si>
    <t>IGVCMKIDNIJWLV-UHFFFAOYSA-N</t>
  </si>
  <si>
    <t>C18H24N4O6</t>
  </si>
  <si>
    <t>14.67_891.4567m/z</t>
  </si>
  <si>
    <t>Astaxanthin Dirhamnoside</t>
  </si>
  <si>
    <t>LMPR01070848</t>
  </si>
  <si>
    <t>C1C(C)(C)C(/C=C/C(/C)=C/C=C/C(/C)=C/C=C/C=C(\C)/C=C/C=C(\C)/C=C/C2=C(C)C(=O)[C@@H](O[C@@H]3[C@@H](O)[C@@H](O)[C@H](O)[C@@H](O)O3)CC2(C)C)=C(C)C(=O)[C@H]1O[C@@H]1[C@@H](O)[C@@H](O)[C@H](O)[C@@H](O)O1</t>
  </si>
  <si>
    <t>TYEKXYGJOYFKNF-VRABBIOMSA-N</t>
  </si>
  <si>
    <t>C50H68O14</t>
  </si>
  <si>
    <t>4.41_373.1275m/z</t>
  </si>
  <si>
    <t>Tetroxoprim</t>
  </si>
  <si>
    <t>HMDB0258940</t>
  </si>
  <si>
    <t>COCCOC1=C(OC)C=C(CC2=CNC(=N)NC2=N)C=C1OC</t>
  </si>
  <si>
    <t>WSWJIZXMAUYHOE-UHFFFAOYSA-N</t>
  </si>
  <si>
    <t>C16H22N4O4</t>
  </si>
  <si>
    <t>1.43_215.0167m/z</t>
  </si>
  <si>
    <t>Sodium Alginate</t>
  </si>
  <si>
    <t>HMDB0303715</t>
  </si>
  <si>
    <t>[Na+].OC1OC(C(O)C(O)C1O)C([O-])=O</t>
  </si>
  <si>
    <t>MSXHSNHNTORCAW-UHFFFAOYSA-M</t>
  </si>
  <si>
    <t>C6H9NaO7</t>
  </si>
  <si>
    <t>3.79_459.0552m/z</t>
  </si>
  <si>
    <t>Alpha-Sulfobenzylpenicillin</t>
  </si>
  <si>
    <t>HMDB0258567</t>
  </si>
  <si>
    <t>CC1(C)SC2C(NC(=O)C(C3=CC=CC=C3)S(O)(=O)=O)C(=O)N2C1C(O)=O</t>
  </si>
  <si>
    <t>JETQIUPBHQNHNZ-UHFFFAOYSA-N</t>
  </si>
  <si>
    <t>C16H18N2O7S2</t>
  </si>
  <si>
    <t>4.36_163.1116m/z</t>
  </si>
  <si>
    <t>Jasmolone</t>
  </si>
  <si>
    <t>HMDB0030039</t>
  </si>
  <si>
    <t>54383-66-3</t>
  </si>
  <si>
    <t>CC\C=C\CC1=C(C)C(O)CC1=O</t>
  </si>
  <si>
    <t>SVRKACAGHUZSGU-SNAWJCMRSA-N</t>
  </si>
  <si>
    <t>7.59_236.0922m/z</t>
  </si>
  <si>
    <t>5-Methoxytryptophol</t>
  </si>
  <si>
    <t>HMDB0001896</t>
  </si>
  <si>
    <t>712-09-4</t>
  </si>
  <si>
    <t>COC1=CC=C2NC=C(CCO)C2=C1</t>
  </si>
  <si>
    <t>QLWKTGDEPLRFAT-UHFFFAOYSA-N</t>
  </si>
  <si>
    <t>1.22_685.1827m/z</t>
  </si>
  <si>
    <t>Violacein</t>
  </si>
  <si>
    <t>HMDB0259831</t>
  </si>
  <si>
    <t>OC1=C(C=C(N1)C1=CNC2=C1C=C(O)C=C2)C1=C2C=CC=CC2=NC1=O</t>
  </si>
  <si>
    <t>SHLJIZCPRXXHHZ-UHFFFAOYSA-N</t>
  </si>
  <si>
    <t>C20H13N3O3</t>
  </si>
  <si>
    <t>5.30_753.3130m/z</t>
  </si>
  <si>
    <t>Phomopsin B</t>
  </si>
  <si>
    <t>HMDB0038884</t>
  </si>
  <si>
    <t>64925-81-1</t>
  </si>
  <si>
    <t>[H][C@]1(C=CCN1C(=O)[C@H]1NC(=O)[C@@H](NC(=O)[C@@H](NC)[C@@H](O)C2=CC=C(O)C(O[C@]1(C)CC)=C2)C(C)=C)C(=O)N\C(=C(/C)CC)C(=O)N\C(=C\C(O)=O)C(O)=O</t>
  </si>
  <si>
    <t>FHJKRASPFQAQCV-MJWOKYSHSA-N</t>
  </si>
  <si>
    <t>C36H46N6O12</t>
  </si>
  <si>
    <t>6.33_361.1866m/z</t>
  </si>
  <si>
    <t>2,3,4,5-Tetranor-Thromboxane B1</t>
  </si>
  <si>
    <t>LMFA05000605</t>
  </si>
  <si>
    <t>[C@H]1([C@@H](/C=C/[C@@H](O)CCCCC)OC(O)C[C@@H]1O)CCC(O)=O</t>
  </si>
  <si>
    <t>AXWSHCHWXXNNKN-GIGVETMCSA-N</t>
  </si>
  <si>
    <t>5.32_503.2089m/z</t>
  </si>
  <si>
    <t>Avitriptan</t>
  </si>
  <si>
    <t>HMDB0248744</t>
  </si>
  <si>
    <t>CNS(=O)(=O)CC1=CC2=C(NC=C2CCCN2CCN(CC2)C2=NC=NC=C2OC)C=C1</t>
  </si>
  <si>
    <t>WRZVGHXUPBWIOO-UHFFFAOYSA-N</t>
  </si>
  <si>
    <t>C22H30N6O3S</t>
  </si>
  <si>
    <t>0.97_268.9986m/z</t>
  </si>
  <si>
    <t>Asulam</t>
  </si>
  <si>
    <t>HMDB0248680</t>
  </si>
  <si>
    <t>C18350</t>
  </si>
  <si>
    <t>3337-71-1</t>
  </si>
  <si>
    <t>COC(=O)NS(=O)(=O)C1=CC=C(N)C=C1</t>
  </si>
  <si>
    <t>VGPYEHKOIGNJKV-UHFFFAOYSA-N</t>
  </si>
  <si>
    <t>C8H10N2O4S</t>
  </si>
  <si>
    <t>3.65_521.1873m/z</t>
  </si>
  <si>
    <t>Kanokoside A</t>
  </si>
  <si>
    <t>HMDB0035635</t>
  </si>
  <si>
    <t>C09993</t>
  </si>
  <si>
    <t>64703-85-1</t>
  </si>
  <si>
    <t>CC(C)CC(=O)OC1OC=C(COC2OC(CO)C(O)C(O)C2O)C2C3OC3C(O)(CO)C12</t>
  </si>
  <si>
    <t>CHSDMOZSQFIUGK-UHFFFAOYSA-N</t>
  </si>
  <si>
    <t>C21H32O12</t>
  </si>
  <si>
    <t>2.05_530.1641m/z</t>
  </si>
  <si>
    <t>Fluoxetine Glucuronide</t>
  </si>
  <si>
    <t>HMDB0060607</t>
  </si>
  <si>
    <t>96735-71-6</t>
  </si>
  <si>
    <t>CN(CCC(OC1=CC=C(C=C1)C(F)(F)F)C1=CC=CC=C1)[C@@H]1O[C@@H]([C@@H](O)[C@H](O)[C@H]1O)C(O)=O</t>
  </si>
  <si>
    <t>ROQAUFRWFXOLOE-FEKBJPIOSA-N</t>
  </si>
  <si>
    <t>C23H26F3NO7</t>
  </si>
  <si>
    <t>9.49_286.3103m/z</t>
  </si>
  <si>
    <t>9z-Octadecen-1-Ol</t>
  </si>
  <si>
    <t>HMDB0029632</t>
  </si>
  <si>
    <t>LMFA05000213</t>
  </si>
  <si>
    <t>143-28-2</t>
  </si>
  <si>
    <t>OCCCCCCCC/C=C\CCCCCCCC</t>
  </si>
  <si>
    <t>ALSTYHKOOCGGFT-KTKRTIGZSA-N</t>
  </si>
  <si>
    <t>C18H36O</t>
  </si>
  <si>
    <t>10.52_658.3333m/z</t>
  </si>
  <si>
    <t>Ohooa-Ps</t>
  </si>
  <si>
    <t>LMGP20040031</t>
  </si>
  <si>
    <t>C(O)(=O)[C@@]([H])(N)COP(OC[C@]([H])(OC(CCCC(O)/C=C/C=O)=O)COC(CCCCCCC/C=C\CCCCCCCC)=O)(=O)O</t>
  </si>
  <si>
    <t>AWBZXBXHEFMVDG-DIPKSNSMSA-N</t>
  </si>
  <si>
    <t>C32H56NO12P</t>
  </si>
  <si>
    <t>0.86_157.1336m/z</t>
  </si>
  <si>
    <t>Tropinone</t>
  </si>
  <si>
    <t>HMDB0304521</t>
  </si>
  <si>
    <t>C00783</t>
  </si>
  <si>
    <t>532-24-1</t>
  </si>
  <si>
    <t>CN1C2CCC1CC(=O)C2</t>
  </si>
  <si>
    <t>QQXLDOJGLXJCSE-UHFFFAOYSA-N</t>
  </si>
  <si>
    <t>C8H13NO</t>
  </si>
  <si>
    <t>4.65_597.1816m/z</t>
  </si>
  <si>
    <t>10-Acetoxyoleuropein</t>
  </si>
  <si>
    <t>HMDB0035216</t>
  </si>
  <si>
    <t>COC(=O)C1=COC(OC2OC(CO)C(O)C(O)C2O)\C(=C\COC(C)=O)C1CC(=O)OCCC1=CC(O)=C(O)C=C1</t>
  </si>
  <si>
    <t>YLCGBFYGDVDQTI-GIDUJCDVSA-N</t>
  </si>
  <si>
    <t>C27H34O15</t>
  </si>
  <si>
    <t>6.78_324.1580n</t>
  </si>
  <si>
    <t>Nitracrine</t>
  </si>
  <si>
    <t>HMDB0255631</t>
  </si>
  <si>
    <t>CN(C)CCCNC1=C2C(C=CC=C2[N+]([O-])=O)=NC2=CC=CC=C12</t>
  </si>
  <si>
    <t>YMVWGSQGCWCDGW-UHFFFAOYSA-N</t>
  </si>
  <si>
    <t>C18H20N4O2</t>
  </si>
  <si>
    <t>5.30_561.2315m/z</t>
  </si>
  <si>
    <t>Phosphoramidon</t>
  </si>
  <si>
    <t>HMDB0256490</t>
  </si>
  <si>
    <t>CC(C)CC(NP(O)(=O)OC1OC(C)C(O)C(O)C1O)C(=O)NC(CC1=CNC2=CC=CC=C12)C(O)=O</t>
  </si>
  <si>
    <t>ZPHBZEQOLSRPAK-UHFFFAOYSA-N</t>
  </si>
  <si>
    <t>C23H34N3O10P</t>
  </si>
  <si>
    <t>2.00_217.1543m/z</t>
  </si>
  <si>
    <t>N-Hexanoyl-Homoserine Lactone</t>
  </si>
  <si>
    <t>LMFA08030025</t>
  </si>
  <si>
    <t>147852-83-3</t>
  </si>
  <si>
    <t>[C@@H]1(CCOC1=O)NC(=O)CCCCC</t>
  </si>
  <si>
    <t>ZJFKKPDLNLCPNP-QMMMGPOBSA-N</t>
  </si>
  <si>
    <t>C10H17NO3</t>
  </si>
  <si>
    <t>2.14_357.1136m/z</t>
  </si>
  <si>
    <t>Cyclohexyl-[Cyclohexyl(Sulfo)Amino]Sulfamic Acid</t>
  </si>
  <si>
    <t>HMDB0257601</t>
  </si>
  <si>
    <t>OS(=O)(=O)N(C1CCCCC1)N(C1CCCCC1)S(O)(=O)=O</t>
  </si>
  <si>
    <t>FCCZXFFYLBXDHU-UHFFFAOYSA-N</t>
  </si>
  <si>
    <t>C12H24N2O6S2</t>
  </si>
  <si>
    <t>4.67_153.0182m/z</t>
  </si>
  <si>
    <t>Protocatechuic Acid</t>
  </si>
  <si>
    <t>HMDB0001856</t>
  </si>
  <si>
    <t>C00230</t>
  </si>
  <si>
    <t>ko00362,ko00623,ko00624,ko00627,ko01053</t>
  </si>
  <si>
    <t>Benzoate degradation|Toluene degradation|Polycyclic aromatic hydrocarbon degradation|Aminobenzoate degradation|Biosynthesis of siderophore group nonribosomal peptides</t>
  </si>
  <si>
    <t>99-50-3</t>
  </si>
  <si>
    <t>OC(=O)C1=CC(O)=C(O)C=C1</t>
  </si>
  <si>
    <t>YQUVCSBJEUQKSH-UHFFFAOYSA-N</t>
  </si>
  <si>
    <t>C7H6O4</t>
  </si>
  <si>
    <t>1.20_326.1445m/z</t>
  </si>
  <si>
    <t>2-O-Alpha-D-Galactopyranosyl-1-Deoxynojirimycin</t>
  </si>
  <si>
    <t>HMDB0041337</t>
  </si>
  <si>
    <t>155168-05-1</t>
  </si>
  <si>
    <t>OCC1NCC(OC2OC(CO)C(O)C(O)C2O)C(O)C1O</t>
  </si>
  <si>
    <t>CQLSQWAVFSEMIE-UHFFFAOYSA-N</t>
  </si>
  <si>
    <t>C12H23NO9</t>
  </si>
  <si>
    <t>10.68_402.3939m/z</t>
  </si>
  <si>
    <t>24-Hydroxy-Tetracosanoic Acid</t>
  </si>
  <si>
    <t>HMDB0302964</t>
  </si>
  <si>
    <t>LMFA01050213</t>
  </si>
  <si>
    <t>C(CCCCCCCCCCCCCCCCCCCCCCCO)(=O)O</t>
  </si>
  <si>
    <t>OVBKVWSHXDCSTK-UHFFFAOYSA-N</t>
  </si>
  <si>
    <t>C24H48O3</t>
  </si>
  <si>
    <t>3.65_733.1952m/z</t>
  </si>
  <si>
    <t>Sinalbine</t>
  </si>
  <si>
    <t>HMDB0303664</t>
  </si>
  <si>
    <t>COC1=CC(\C=C\C(=O)OCC[N+](C)(C)C)=CC(OC)=C1O.OC[C@H]1O[C@@H](S\C(=N/OS(=O)([O-])=O)CC2=CC=C(O)C=C2)[C@H](O)[C@@H](O)[C@@H]1O</t>
  </si>
  <si>
    <t>NUXXPTJGCLKPIG-QKEJVQCISA-N</t>
  </si>
  <si>
    <t>C30H42N2O15S2</t>
  </si>
  <si>
    <t>1.42_266.0884m/z</t>
  </si>
  <si>
    <t>Adenosine Dialdehyde</t>
  </si>
  <si>
    <t>HMDB0248007</t>
  </si>
  <si>
    <t>NC1=NC=NC2=C1N=CN2C(OC(CO)C=O)C=O</t>
  </si>
  <si>
    <t>ILMNSCQOSGKTNZ-UHFFFAOYSA-N</t>
  </si>
  <si>
    <t>C10H11N5O4</t>
  </si>
  <si>
    <t>3.27_256.0110m/z</t>
  </si>
  <si>
    <t>Aminobutane Bisphosphonate</t>
  </si>
  <si>
    <t>HMDB0249923</t>
  </si>
  <si>
    <t>CCCC(N)(P(O)(O)=O)P(O)(O)=O</t>
  </si>
  <si>
    <t>XLIREHXMRXKQIV-UHFFFAOYSA-N</t>
  </si>
  <si>
    <t>C4H13NO6P2</t>
  </si>
  <si>
    <t>4.53_333.2280m/z</t>
  </si>
  <si>
    <t>Ascr#18</t>
  </si>
  <si>
    <t>LMFA13040009</t>
  </si>
  <si>
    <t>O([C@@H](CCCCCCCCC(=O)O)C)[C@H]1[C@H](O)C[C@@H](O)[C@H](C)O1</t>
  </si>
  <si>
    <t>AHRWSOYISAIFOZ-JRBZFYFNSA-N</t>
  </si>
  <si>
    <t>C17H32O6</t>
  </si>
  <si>
    <t>11.10_347.1713m/z</t>
  </si>
  <si>
    <t>(1s,2s,4r,8s)-P-Menthane-1,2,8,9-Tetrol 2-Glucoside</t>
  </si>
  <si>
    <t>HMDB0039975</t>
  </si>
  <si>
    <t>402593-52-6</t>
  </si>
  <si>
    <t>CC(O)(CO)C1CCC(C)(O)C(C1)OC1OC(CO)C(O)C(O)C1O</t>
  </si>
  <si>
    <t>HKSOQIVAOUMKMF-UHFFFAOYSA-N</t>
  </si>
  <si>
    <t>4.46_319.1169m/z</t>
  </si>
  <si>
    <t>(R)-Lisofylline</t>
  </si>
  <si>
    <t>100324-81-0</t>
  </si>
  <si>
    <t>CC(CCCCN1C(=O)C2=C(N=CN2C)N(C1=O)C)O</t>
  </si>
  <si>
    <t>NSMXQKNUPPXBRG-SECBINFHSA-N</t>
  </si>
  <si>
    <t>C13H20N4O3</t>
  </si>
  <si>
    <t>7.20_491.1194m/z</t>
  </si>
  <si>
    <t>Glycitin</t>
  </si>
  <si>
    <t>HMDB0002219</t>
  </si>
  <si>
    <t>COC1=C(OC2OC(CO)C(O)C(O)C2O)C=C2OC=C(C(=O)C2=C1)C1=CC=C(O)C=C1</t>
  </si>
  <si>
    <t>OZBAVEKZGSOMOJ-UHFFFAOYSA-N</t>
  </si>
  <si>
    <t>C22H22O10</t>
  </si>
  <si>
    <t>11.01_479.3739m/z</t>
  </si>
  <si>
    <t>6-Deoxoteasterone</t>
  </si>
  <si>
    <t>HMDB0304225</t>
  </si>
  <si>
    <t>CC(C)C(C)C(O)C(O)C(C)C1CCC2C3CCC4CC(O)CCC4(C)C3CCC12C</t>
  </si>
  <si>
    <t>WPHVOXMMNSLJSF-UHFFFAOYSA-N</t>
  </si>
  <si>
    <t>C28H50O3</t>
  </si>
  <si>
    <t>4.07_347.1124m/z</t>
  </si>
  <si>
    <t>Muscomin</t>
  </si>
  <si>
    <t>HMDB0037250</t>
  </si>
  <si>
    <t>96910-98-4</t>
  </si>
  <si>
    <t>COC1=C(O)C2=C(C(=O)C(CC3=CC=C(O)C=C3)CO2)C(O)=C1OC</t>
  </si>
  <si>
    <t>PGCPWPPPMWXCMG-UHFFFAOYSA-N</t>
  </si>
  <si>
    <t>14.23_405.3723m/z</t>
  </si>
  <si>
    <t>(5z,9z)-2-Methoxy-Hexacosadienoic Acid</t>
  </si>
  <si>
    <t>LMFA01080023</t>
  </si>
  <si>
    <t>C(=C/CC/C=C\CCCCCCCCCCCCCCCC)/CCC(OC)C(=O)O</t>
  </si>
  <si>
    <t>USCVSTUZLRXEMP-ZCIBKELESA-N</t>
  </si>
  <si>
    <t>C27H50O3</t>
  </si>
  <si>
    <t>5.14_305.2109m/z</t>
  </si>
  <si>
    <t>Cis-[8]-Shogaol</t>
  </si>
  <si>
    <t>HMDB0031464</t>
  </si>
  <si>
    <t>CCCCCCC\C=C\C(=O)CCC1=CC(OC)=C(O)C=C1</t>
  </si>
  <si>
    <t>LGZSMXJRMTYABD-MDZDMXLPSA-N</t>
  </si>
  <si>
    <t>4.96_429.1752m/z</t>
  </si>
  <si>
    <t>Pre-Putrebactin</t>
  </si>
  <si>
    <t>LMFA08020201</t>
  </si>
  <si>
    <t>C(CC(=O)N(CCCCNC(CCC(=O)N(CCCCN)O)=O)O)C(O)=O</t>
  </si>
  <si>
    <t>MMTPETIUERTJQL-UHFFFAOYSA-N</t>
  </si>
  <si>
    <t>C16H30N4O7</t>
  </si>
  <si>
    <t>10.26_309.2070m/z</t>
  </si>
  <si>
    <t>9-Oxo-12,13-Epoxy-10-Octadecenoic Acid</t>
  </si>
  <si>
    <t>HMDB0013623</t>
  </si>
  <si>
    <t>LMFA02000247</t>
  </si>
  <si>
    <t>478931-82-7</t>
  </si>
  <si>
    <t>C(CCCC(=O)/C=C/C1OC1CCCCC)CCCC(=O)O</t>
  </si>
  <si>
    <t>RCMABBHQYMBYKV-BUHFOSPRSA-N</t>
  </si>
  <si>
    <t>5.23_316.1308m/z</t>
  </si>
  <si>
    <t>Dinorcapsaicin</t>
  </si>
  <si>
    <t>HMDB0036325</t>
  </si>
  <si>
    <t>61229-09-2</t>
  </si>
  <si>
    <t>COC1=CC(CNC(=O)CC\C=C\C(C)C)=CC=C1O</t>
  </si>
  <si>
    <t>UTTHCQMKBGTYNK-GQCTYLIASA-N</t>
  </si>
  <si>
    <t>C16H23NO3</t>
  </si>
  <si>
    <t>4.70_373.1502m/z</t>
  </si>
  <si>
    <t>Tetranor-Pgdm</t>
  </si>
  <si>
    <t>LMFA03010221</t>
  </si>
  <si>
    <t>24769-56-0</t>
  </si>
  <si>
    <t>[C@H]1(CCC(=O)CCCCC(=O)O)C(=O)C[C@H](O)[C@@H]1CCC(=O)O</t>
  </si>
  <si>
    <t>VNJBSPJILLFAIC-BZPMIXESSA-N</t>
  </si>
  <si>
    <t>12.36_198.1849m/z</t>
  </si>
  <si>
    <t>12-Amino-Dodecanoic Acid</t>
  </si>
  <si>
    <t>LMFA01100005</t>
  </si>
  <si>
    <t>C(CCCCCCCCCCCN)(=O)O</t>
  </si>
  <si>
    <t>PBLZLIFKVPJDCO-UHFFFAOYSA-N</t>
  </si>
  <si>
    <t>C12H25NO2</t>
  </si>
  <si>
    <t>3.41_386.0830m/z</t>
  </si>
  <si>
    <t>Cephaloglycin</t>
  </si>
  <si>
    <t>HMDB0014827</t>
  </si>
  <si>
    <t>C13440</t>
  </si>
  <si>
    <t>3577-01-3</t>
  </si>
  <si>
    <t>[H][C@]12SCC(COC(C)=O)=C(N1C(=O)[C@H]2NC(=O)[C@H](N)C1=CC=CC=C1)C(O)=O</t>
  </si>
  <si>
    <t>FUBBGQLTSCSAON-PBFPGSCMSA-N</t>
  </si>
  <si>
    <t>C18H19N3O6S</t>
  </si>
  <si>
    <t>7.65_784.8292m/z</t>
  </si>
  <si>
    <t>5-Diphosphoinositol Pentakisphosphate</t>
  </si>
  <si>
    <t>HMDB0006229</t>
  </si>
  <si>
    <t>C11526</t>
  </si>
  <si>
    <t>ko04070</t>
  </si>
  <si>
    <t>Phosphatidylinositol signaling system</t>
  </si>
  <si>
    <t>149714-25-0</t>
  </si>
  <si>
    <t>OP(O)(=O)O[C@@H]1[C@H](OP(O)(O)=O)[C@@H](OP(O)(O)=O)[C@H](OP(O)(=O)OP(O)(O)=O)[C@@H](OP(O)(O)=O)[C@@H]1OP(O)(O)=O</t>
  </si>
  <si>
    <t>UPHPWXPNZIOZJL-KXXVROSKSA-N</t>
  </si>
  <si>
    <t>C6H19O27P7</t>
  </si>
  <si>
    <t>1.33_291.0698m/z</t>
  </si>
  <si>
    <t>Inosine</t>
  </si>
  <si>
    <t>HMDB0000195</t>
  </si>
  <si>
    <t>C00294</t>
  </si>
  <si>
    <t>58-63-9</t>
  </si>
  <si>
    <t>OC[C@H]1O[C@H]([C@H](O)[C@@H]1O)N1C=NC2=C(O)N=CN=C12</t>
  </si>
  <si>
    <t>UGQMRVRMYYASKQ-KQYNXXCUSA-N</t>
  </si>
  <si>
    <t>4.69_405.1765m/z</t>
  </si>
  <si>
    <t>(S)-Norfenfluramine</t>
  </si>
  <si>
    <t>HMDB0243739</t>
  </si>
  <si>
    <t>1886-26-6</t>
  </si>
  <si>
    <t>CC(N)CC1=CC(=CC=C1)C(F)(F)F</t>
  </si>
  <si>
    <t>MLBHFBKZUPLWBD-UHFFFAOYSA-N</t>
  </si>
  <si>
    <t>C10H12F3N</t>
  </si>
  <si>
    <t>5.28_327.1234m/z</t>
  </si>
  <si>
    <t>Eugenyl Phenylacetate</t>
  </si>
  <si>
    <t>COC1=C(C=CC(=C1)CC=C)OC(=O)CC2=CC=CC=C2</t>
  </si>
  <si>
    <t>JEEUACXJJPNYOL-UHFFFAOYSA-N</t>
  </si>
  <si>
    <t>C18H18O3</t>
  </si>
  <si>
    <t>14.73_610.5029m/z</t>
  </si>
  <si>
    <t>Cer(d16:1/PGF1alpha)</t>
  </si>
  <si>
    <t>HMDB0289885</t>
  </si>
  <si>
    <t>CCCCCCCCCCC\C=C\[C@@H](O)[C@H](CO)NC(=O)CCCCCC[C@H]1[C@@H](O)C[C@@H](O)[C@@H]1\C=C\[C@@H](O)CCCCC</t>
  </si>
  <si>
    <t>ALHNJGMVYFFFJX-HFKGPKBPSA-N</t>
  </si>
  <si>
    <t>C36H67NO6</t>
  </si>
  <si>
    <t>4.44_787.3760m/z</t>
  </si>
  <si>
    <t>Dulcoside A</t>
  </si>
  <si>
    <t>LMPR01040131</t>
  </si>
  <si>
    <t>64432-06-0</t>
  </si>
  <si>
    <t>[C@@]123CC([C@](O[C@@H]4O[C@@H]([C@H]([C@@H]([C@H]4O[C@@H]4O[C@H]([C@@H]([C@H]([C@H]4O)O)O)C)O)O)CO)(CC[C@@]1([H])[C@]1(C)CCC[C@@](C)(C(O[C@H]4[C@H](O)[C@@H](O)[C@H](O)[C@@H](CO)O4)=O)[C@@]1([H])CC2)C3)=C</t>
  </si>
  <si>
    <t>CANAPGLEBDTCAF-NTIPNFSCSA-N</t>
  </si>
  <si>
    <t>C38H60O17</t>
  </si>
  <si>
    <t>6.37_411.2022m/z</t>
  </si>
  <si>
    <t>Phenylethylmalonamide</t>
  </si>
  <si>
    <t>HMDB0245113</t>
  </si>
  <si>
    <t>C07499</t>
  </si>
  <si>
    <t>CCC(C(O)=N)(C(O)=N)C1=CC=CC=C1</t>
  </si>
  <si>
    <t>JFZHPFOXAAIUMB-UHFFFAOYSA-N</t>
  </si>
  <si>
    <t>C11H14N2O2</t>
  </si>
  <si>
    <t>3.65_306.0766m/z</t>
  </si>
  <si>
    <t>Hallacridone</t>
  </si>
  <si>
    <t>HMDB0029826</t>
  </si>
  <si>
    <t>109897-77-0</t>
  </si>
  <si>
    <t>CN1C2=C(C=CC=C2)C(=O)C2=C1C1=C(OC(=C1)C(C)=O)C=C2O</t>
  </si>
  <si>
    <t>GZVRDNACRGJZNW-UHFFFAOYSA-N</t>
  </si>
  <si>
    <t>C18H13NO4</t>
  </si>
  <si>
    <t>14.40_650.4755n</t>
  </si>
  <si>
    <t>DG(15:0/PGE2/0:0)</t>
  </si>
  <si>
    <t>HMDB0295239</t>
  </si>
  <si>
    <t>CCCCCCCCCCCCCCC(=O)OC[C@H](CO)OC(=O)CCC\C=C/C[C@@H]1[C@@H](\C=C\[C@@H](O)CCCCC)[C@H](O)CC1=O</t>
  </si>
  <si>
    <t>IDLCZNJVCMLGAZ-KXCSLERDSA-N</t>
  </si>
  <si>
    <t>C38H66O8</t>
  </si>
  <si>
    <t>4.52_407.1921m/z</t>
  </si>
  <si>
    <t>2-Hydroxyglutaric Acid Diethyl Ester</t>
  </si>
  <si>
    <t>HMDB0303910</t>
  </si>
  <si>
    <t>CCOC(=O)CCC(O)C(=O)OCC</t>
  </si>
  <si>
    <t>DYLHSDCNOUDICA-UHFFFAOYSA-N</t>
  </si>
  <si>
    <t>C9H16O5</t>
  </si>
  <si>
    <t>1.06_261.1442m/z</t>
  </si>
  <si>
    <t>Glutamylleucine</t>
  </si>
  <si>
    <t>HMDB0028823</t>
  </si>
  <si>
    <t>5969-52-8</t>
  </si>
  <si>
    <t>CC(C)C[C@H](NC(=O)[C@@H](N)CCC(O)=O)C(O)=O</t>
  </si>
  <si>
    <t>YBAFDPFAUTYYRW-YUMQZZPRSA-N</t>
  </si>
  <si>
    <t>C11H20N2O5</t>
  </si>
  <si>
    <t>5.97_394.1784n</t>
  </si>
  <si>
    <t>Triamcinolone</t>
  </si>
  <si>
    <t>HMDB0014758</t>
  </si>
  <si>
    <t>C07158</t>
  </si>
  <si>
    <t>124-94-7</t>
  </si>
  <si>
    <t>[H][C@@]12C[C@@H](O)[C@](O)(C(=O)CO)[C@@]1(C)C[C@H](O)[C@@]1(F)[C@@]2([H])CCC2=CC(=O)C=C[C@]12C</t>
  </si>
  <si>
    <t>GFNANZIMVAIWHM-OBYCQNJPSA-N</t>
  </si>
  <si>
    <t>C21H27FO6</t>
  </si>
  <si>
    <t>4.76_541.1897m/z</t>
  </si>
  <si>
    <t>Carbutamide</t>
  </si>
  <si>
    <t>HMDB0249664</t>
  </si>
  <si>
    <t>CCCCN=C(O)NS(=O)(=O)C1=CC=C(N)C=C1</t>
  </si>
  <si>
    <t>VDTNNGKXZGSZIP-UHFFFAOYSA-N</t>
  </si>
  <si>
    <t>C11H17N3O3S</t>
  </si>
  <si>
    <t>10.40_390.2560n</t>
  </si>
  <si>
    <t>1-(4-Hydroxyphenyl)-4,8-Dimethyl-10-(2,6,6-Trimethylcyclohexen-1-Yl)Deca-3,5,7,9-Tetraen-2-One</t>
  </si>
  <si>
    <t>HMDB0257688</t>
  </si>
  <si>
    <t>CC(C=CC1=C(C)CCCC1(C)C)=CC=CC(C)=CC(=O)CC1=CC=C(O)C=C1</t>
  </si>
  <si>
    <t>WKZPWMRGEOWZTC-UHFFFAOYSA-N</t>
  </si>
  <si>
    <t>C27H34O2</t>
  </si>
  <si>
    <t>4.51_583.1807m/z</t>
  </si>
  <si>
    <t>(-)-Picrotoxinin</t>
  </si>
  <si>
    <t>LMPR0103540001</t>
  </si>
  <si>
    <t>C09529</t>
  </si>
  <si>
    <t>17617-45-7</t>
  </si>
  <si>
    <t>[C@@]12(C)[C@@]34C(=O)O[C@@H]1[C@@H]1OC(=O)[C@@H]([C@@H]1C(=C)C)[C@]2(O)C[C@H]3O4</t>
  </si>
  <si>
    <t>PIMZUZSSNYHVCU-YKWPQBAZSA-N</t>
  </si>
  <si>
    <t>C15H16O6</t>
  </si>
  <si>
    <t>4.70_540.2441m/z</t>
  </si>
  <si>
    <t>Dmg-Mino</t>
  </si>
  <si>
    <t>LMPK07000009</t>
  </si>
  <si>
    <t>C12011</t>
  </si>
  <si>
    <t>C1=C(NC(=O)CN(C)C)C(O)=C2C(=O)C3=C(O)[C@]4(O)C(=O)C(=C([C@H]([C@]4([H])C[C@]3([H])CC2=C1N(C)C)N(C)C)O)C(N)=O</t>
  </si>
  <si>
    <t>CTFJMTPWQZXWGH-ISIOAQNYSA-N</t>
  </si>
  <si>
    <t>C27H35N5O8</t>
  </si>
  <si>
    <t>5.17_551.0737m/z</t>
  </si>
  <si>
    <t>2-Beta-D-Ribofuranosyl Thiazole-4-Carboxamide</t>
  </si>
  <si>
    <t>HMDB0245037</t>
  </si>
  <si>
    <t>OCC1OC(O)C(O)(NC(=O)C2=CSC=N2)C1O</t>
  </si>
  <si>
    <t>KFYKWWBLGIHSJK-UHFFFAOYSA-N</t>
  </si>
  <si>
    <t>C9H12N2O6S</t>
  </si>
  <si>
    <t>4.75_190.0862m/z</t>
  </si>
  <si>
    <t>1-Naphthoic Acid</t>
  </si>
  <si>
    <t>C14091</t>
  </si>
  <si>
    <t>86-55-5</t>
  </si>
  <si>
    <t>C1=CC=C2C(=C1)C=CC=C2C(=O)O</t>
  </si>
  <si>
    <t>LNETULKMXZVUST-UHFFFAOYSA-N</t>
  </si>
  <si>
    <t>C11H8O2</t>
  </si>
  <si>
    <t>13.21_907.4506m/z</t>
  </si>
  <si>
    <t>Tragopogonsaponin B</t>
  </si>
  <si>
    <t>HMDB0037911</t>
  </si>
  <si>
    <t>134361-65-2</t>
  </si>
  <si>
    <t>O[C@@H]1CO[C@@H](OC(=O)[C@]23CCC(C)(C)C[C@@]2([H])C2=CCC4[C@@]5(C)CC[C@H](O[C@@H]6O[C@H](C(O)=O)[C@@H](O)[C@H](O)[C@H]6O)C(C)(C)C5CC[C@@]4(C)[C@]2(C)C[C@H]3O)[C@H](OC(=O)\C=C\C2=CC=C(O)C=C2)[C@H]1O</t>
  </si>
  <si>
    <t>WXQNYXVJRJEBPT-XLRBPNDWSA-N</t>
  </si>
  <si>
    <t>C50H70O16</t>
  </si>
  <si>
    <t>0.62_270.9853n</t>
  </si>
  <si>
    <t>Alpha-D-Glucuronate 1-Phosphate</t>
  </si>
  <si>
    <t>HMDB0304535</t>
  </si>
  <si>
    <t>OC1C(O)C(OP([O-])([O-])=O)OC(C1O)C([O-])=O</t>
  </si>
  <si>
    <t>AIQDYKMWENWVQJ-UHFFFAOYSA-K</t>
  </si>
  <si>
    <t>C6H8O10P-3</t>
  </si>
  <si>
    <t>4.15_857.4168m/z</t>
  </si>
  <si>
    <t>Thevetin B</t>
  </si>
  <si>
    <t>LMST01120011</t>
  </si>
  <si>
    <t>C08856</t>
  </si>
  <si>
    <t>C1[C@@]2(C)[C@]([H])(CC[C@]3([H])[C@]2([H])CC[C@]2(C)[C@@]([H])(C4COC(=O)C=4)CC[C@]32O)C[C@@H](O[C@H]2[C@@H](O)[C@H](OC)[C@@H](O[C@@H]3O[C@H](CO[C@@H]4O[C@H](CO)[C@@H](O)[C@H](O)[C@H]4O)[C@@H](O)[C@H](O)[C@H]3O)[C@H](C)O2)C1</t>
  </si>
  <si>
    <t>GZVMBXDQUQRICT-RCGIHWJFSA-N</t>
  </si>
  <si>
    <t>C42H66O18</t>
  </si>
  <si>
    <t>4.48_332.1472n</t>
  </si>
  <si>
    <t>Glutaminyltryptophan</t>
  </si>
  <si>
    <t>HMDB0028808</t>
  </si>
  <si>
    <t>66851-83-0</t>
  </si>
  <si>
    <t>N[C@@H](CCC(N)=O)C(=O)N[C@@H](CC1=CNC2=C1C=CC=C2)C(O)=O</t>
  </si>
  <si>
    <t>ZQFAGNFSIZZYBA-AAEUAGOBSA-N</t>
  </si>
  <si>
    <t>4.84_499.2909m/z</t>
  </si>
  <si>
    <t>DG(2:0/20:3(8Z,11Z,14Z)-2OH(5,6)/0:0)</t>
  </si>
  <si>
    <t>HMDB0296939</t>
  </si>
  <si>
    <t>CCCCC\C=C/C\C=C/C\C=C/CC(O)C(O)CCCC(=O)O[C@@H](CO)COC(C)=O</t>
  </si>
  <si>
    <t>CFMOCYLRVLGEPE-UGRJECAESA-N</t>
  </si>
  <si>
    <t>C25H42O7</t>
  </si>
  <si>
    <t>9.69_390.1332m/z</t>
  </si>
  <si>
    <t>Pirenzepine</t>
  </si>
  <si>
    <t>HMDB0014808</t>
  </si>
  <si>
    <t>C07508</t>
  </si>
  <si>
    <t>28797-61-7</t>
  </si>
  <si>
    <t>CN1CCN(CC(=O)N2C3=CC=CC=C3C(=O)NC3=C2N=CC=C3)CC1</t>
  </si>
  <si>
    <t>RMHMFHUVIITRHF-UHFFFAOYSA-N</t>
  </si>
  <si>
    <t>C19H21N5O2</t>
  </si>
  <si>
    <t>4.35_471.1973m/z</t>
  </si>
  <si>
    <t>O-Methyl-4-[(2',3',4'-Tri-O-Acetyl-Alpha-L-Rhamnosyloxy)Benzyl]Carbamate</t>
  </si>
  <si>
    <t>HMDB0031948</t>
  </si>
  <si>
    <t>163812-18-8</t>
  </si>
  <si>
    <t>COC(=O)NCC1=CC=C(O[C@@H]2O[C@@H](C)[C@H](OC(C)=O)[C@@H](OC(C)=O)[C@H]2OC(C)=O)C=C1</t>
  </si>
  <si>
    <t>LCQPFOZNYVLABG-FXCHBBSNSA-N</t>
  </si>
  <si>
    <t>C21H27NO10</t>
  </si>
  <si>
    <t>3.93_535.2026m/z</t>
  </si>
  <si>
    <t>Seryltyrosine</t>
  </si>
  <si>
    <t>HMDB0029051</t>
  </si>
  <si>
    <t>21435-27-8</t>
  </si>
  <si>
    <t>N[C@@H](CO)C(=O)N[C@@H](CC1=CC=C(O)C=C1)C(O)=O</t>
  </si>
  <si>
    <t>MALNXHYEPCSPPU-UWVGGRQHSA-N</t>
  </si>
  <si>
    <t>C12H16N2O5</t>
  </si>
  <si>
    <t>4.11_318.0970m/z</t>
  </si>
  <si>
    <t>Koparin</t>
  </si>
  <si>
    <t>HMDB0134006</t>
  </si>
  <si>
    <t>LMPK12050086</t>
  </si>
  <si>
    <t>65048-75-1</t>
  </si>
  <si>
    <t>C1(O)=CC2OC=C(C3C=CC(OC)=C(O)C=3O)C(=O)C=2C=C1</t>
  </si>
  <si>
    <t>SMOFGXHPWCTYQD-UHFFFAOYSA-N</t>
  </si>
  <si>
    <t>4.95_395.2068m/z</t>
  </si>
  <si>
    <t>1-[2-Methyl-3-(Methylthio) Allyl]Cyclohex-2-Enol</t>
  </si>
  <si>
    <t>HMDB0094658</t>
  </si>
  <si>
    <t>[H]\C(SC)=C(\C)CC1(O)CCCC=C1</t>
  </si>
  <si>
    <t>IFXHKNKBGMLXEH-MDZDMXLPSA-N</t>
  </si>
  <si>
    <t>C11H18OS</t>
  </si>
  <si>
    <t>11.77_199.1803m/z</t>
  </si>
  <si>
    <t>N-Ethyl Trans-2-Cis-6-Nonadienamide</t>
  </si>
  <si>
    <t>HMDB0032273</t>
  </si>
  <si>
    <t>LMFA08020193</t>
  </si>
  <si>
    <t>C06551</t>
  </si>
  <si>
    <t>ko00791</t>
  </si>
  <si>
    <t>Atrazine degradation</t>
  </si>
  <si>
    <t>608514-56-3</t>
  </si>
  <si>
    <t>O=C(NCC)/C=C/CC/C=C\CC</t>
  </si>
  <si>
    <t>ARSJQOAYGVNWEK-MLCWLASSSA-N</t>
  </si>
  <si>
    <t>C11H19NO</t>
  </si>
  <si>
    <t>3.54_377.1345m/z</t>
  </si>
  <si>
    <t>17-Iodoheptadecanoic Acid</t>
  </si>
  <si>
    <t>HMDB0244775</t>
  </si>
  <si>
    <t>OC(=O)CCCCCCCCCCCCCCCCI</t>
  </si>
  <si>
    <t>UBQLJCFBCITRNR-UHFFFAOYSA-N</t>
  </si>
  <si>
    <t>C17H33IO2</t>
  </si>
  <si>
    <t>0.55_193.0063m/z</t>
  </si>
  <si>
    <t>4-Fluorophenylacetic Acid</t>
  </si>
  <si>
    <t>405-50-5</t>
  </si>
  <si>
    <t>C1=CC(=CC=C1CC(=O)O)F</t>
  </si>
  <si>
    <t>MGKPFALCNDRSQD-UHFFFAOYSA-N</t>
  </si>
  <si>
    <t>C8H7FO2</t>
  </si>
  <si>
    <t>2.76_363.0849m/z</t>
  </si>
  <si>
    <t>Phenolphthalein</t>
  </si>
  <si>
    <t>HMDB0256412</t>
  </si>
  <si>
    <t>C14286</t>
  </si>
  <si>
    <t>77-09-8</t>
  </si>
  <si>
    <t>OC1=CC=C(C=C1)C1(OC(=O)C2=CC=CC=C12)C1=CC=C(O)C=C1</t>
  </si>
  <si>
    <t>KJFMBFZCATUALV-UHFFFAOYSA-N</t>
  </si>
  <si>
    <t>Benzofuranones</t>
  </si>
  <si>
    <t>C20H14O4</t>
  </si>
  <si>
    <t>10.40_655.3706m/z</t>
  </si>
  <si>
    <t>Brainesteroside D</t>
  </si>
  <si>
    <t>LMST01010435</t>
  </si>
  <si>
    <t>C1[C@H](O)[C@H](O[C@H]2[C@H](O)[C@@H](O)[C@H](O)[C@@H](CO)O2)C[C@@]2([H])C(=O)C=C3[C@@](CC[C@]4([C@@]3(O)CC[C@]4([H])[C@H](C)[C@H](O)CCC(C)C)C)([H])[C@]21C</t>
  </si>
  <si>
    <t>KSVDOOUCTHBNRK-VDGSSMFWSA-N</t>
  </si>
  <si>
    <t>7.96_509.2389m/z</t>
  </si>
  <si>
    <t>Testosterone Glucuronide</t>
  </si>
  <si>
    <t>HMDB0003193</t>
  </si>
  <si>
    <t>LMST05010012</t>
  </si>
  <si>
    <t>C11134</t>
  </si>
  <si>
    <t>1180-25-2</t>
  </si>
  <si>
    <t>[C@@H]1([C@H](O)[C@@H](O)[C@H](O)[C@H](O1)C(=O)O)O[C@H]1CC[C@]2([H])[C@@]1(CC[C@]1([H])[C@@]3(C)CCC(=O)C=C3CC[C@]12[H])C</t>
  </si>
  <si>
    <t>NIKZPECGCSUSBV-HMAFJQTKSA-N</t>
  </si>
  <si>
    <t>C25H36O8</t>
  </si>
  <si>
    <t>9.80_567.2602m/z</t>
  </si>
  <si>
    <t>Promazine</t>
  </si>
  <si>
    <t>HMDB0014564</t>
  </si>
  <si>
    <t>C07379</t>
  </si>
  <si>
    <t>58-40-2</t>
  </si>
  <si>
    <t>CN(C)CCCN1C2=CC=CC=C2SC2=CC=CC=C12</t>
  </si>
  <si>
    <t>ZGUGWUXLJSTTMA-UHFFFAOYSA-N</t>
  </si>
  <si>
    <t>C17H20N2S</t>
  </si>
  <si>
    <t>3.65_131.0363m/z</t>
  </si>
  <si>
    <t>9-Deazaguanine</t>
  </si>
  <si>
    <t>HMDB0247590</t>
  </si>
  <si>
    <t>OC1=NC(=N)NC2=C1NC=C2</t>
  </si>
  <si>
    <t>FFYPRJYSJODFFD-UHFFFAOYSA-N</t>
  </si>
  <si>
    <t>C6H6N4O</t>
  </si>
  <si>
    <t>1.60_135.0439m/z</t>
  </si>
  <si>
    <t>2-Hydroxyacetophenone</t>
  </si>
  <si>
    <t>HMDB0245150</t>
  </si>
  <si>
    <t>C07189</t>
  </si>
  <si>
    <t>ko00642</t>
  </si>
  <si>
    <t>Ethylbenzene degradation</t>
  </si>
  <si>
    <t>582-24-1</t>
  </si>
  <si>
    <t>OCC(=O)C1=CC=CC=C1</t>
  </si>
  <si>
    <t>ZWVHTXAYIKBMEE-UHFFFAOYSA-N</t>
  </si>
  <si>
    <t>10.26_615.3501m/z</t>
  </si>
  <si>
    <t>PI(19:0/0:0)</t>
  </si>
  <si>
    <t>LMGP06050027</t>
  </si>
  <si>
    <t>[C@]([H])(O)(COP(=O)(O)O[C@H]1[C@H](O)[C@@H](O)[C@H](O)[C@@H](O)[C@H]1O)COC(CCCCCCCCCCCCCCCCCC)=O</t>
  </si>
  <si>
    <t>DKQHHQKSUPFNHU-SJVXPKQBSA-N</t>
  </si>
  <si>
    <t>C28H55O12P</t>
  </si>
  <si>
    <t>3.73_623.1037m/z</t>
  </si>
  <si>
    <t>Quercetagetin 7-(6''-(E)-Caffeoylglucoside)</t>
  </si>
  <si>
    <t>LMPK12112958</t>
  </si>
  <si>
    <t>C1C=C(O)C(O)=CC=1C1=C(O)C(=O)C2C(O)=C(O)C(O[C@H]3[C@H](O)[C@@H](O)[C@H](O)[C@@H](COC(/C=C/C4C=CC(O)=C(O)C=4)=O)O3)=CC=2O1</t>
  </si>
  <si>
    <t>CPPNFWGIJSYTAL-VREZJPALSA-N</t>
  </si>
  <si>
    <t>C30H26O16</t>
  </si>
  <si>
    <t>8.27_761.2372m/z</t>
  </si>
  <si>
    <t>Oxopurpureine</t>
  </si>
  <si>
    <t>HMDB0033522</t>
  </si>
  <si>
    <t>32845-27-5</t>
  </si>
  <si>
    <t>COC1=C(OC)C=C2C(=C1)C(=O)C1=NC=CC3=C1C2=C(OC)C(OC)=C3OC</t>
  </si>
  <si>
    <t>AZTLZBDEFBJZQG-UHFFFAOYSA-N</t>
  </si>
  <si>
    <t>C21H19NO6</t>
  </si>
  <si>
    <t>6.16_687.3951m/z</t>
  </si>
  <si>
    <t>Merogedunin</t>
  </si>
  <si>
    <t>CC1=C2C(C(=O)OC3C2(C(CC1)C4(C=CC(=O)C(C4C3)(C)C)C)C)O</t>
  </si>
  <si>
    <t>XQOSNJUURCKQGN-AXSGJTORSA-N</t>
  </si>
  <si>
    <t>10.19_506.2652n</t>
  </si>
  <si>
    <t>PG(18:3(6Z,9Z,12Z)/0:0)</t>
  </si>
  <si>
    <t>LMGP04050020</t>
  </si>
  <si>
    <t>[H][C@](O)(CO)COP(OC[C@]([H])(O)COC(CCCC/C=C\C/C=C\C/C=C\CCCCC)=O)(=O)O</t>
  </si>
  <si>
    <t>CHLDMFKKCLAWKZ-CZWGOAJPSA-N</t>
  </si>
  <si>
    <t>C24H43O9P</t>
  </si>
  <si>
    <t>8.90_604.3372m/z</t>
  </si>
  <si>
    <t>PC(10:0/10:0)</t>
  </si>
  <si>
    <t>LMGP01010380</t>
  </si>
  <si>
    <t>[C@](COP(=O)([O-])OCC[N+](C)(C)C)([H])(OC(CCCCCCCCC)=O)COC(CCCCCCCCC)=O</t>
  </si>
  <si>
    <t>MLKLDGSYMHFAOC-AREMUKBSSA-N</t>
  </si>
  <si>
    <t>C28H56NO8P</t>
  </si>
  <si>
    <t>2.87_128.1433m/z</t>
  </si>
  <si>
    <t>(S)-2-Propylpiperidine</t>
  </si>
  <si>
    <t>HMDB0030285</t>
  </si>
  <si>
    <t>C06523</t>
  </si>
  <si>
    <t>458-88-8</t>
  </si>
  <si>
    <t>CCCC1CCCCN1</t>
  </si>
  <si>
    <t>NDNUANOUGZGEPO-UHFFFAOYSA-N</t>
  </si>
  <si>
    <t>C8H17N</t>
  </si>
  <si>
    <t>5.67_405.2855m/z</t>
  </si>
  <si>
    <t>S-(2-(N,N-Diisopropylamino)Ethyl)Isothiourea</t>
  </si>
  <si>
    <t>HMDB0244614</t>
  </si>
  <si>
    <t>CC(C)N(CCSC(N)=N)C(C)C</t>
  </si>
  <si>
    <t>LZIAMMQBHJIZAG-UHFFFAOYSA-N</t>
  </si>
  <si>
    <t>C9H21N3S</t>
  </si>
  <si>
    <t>8.38_186.2215m/z</t>
  </si>
  <si>
    <t>1-Dodecene</t>
  </si>
  <si>
    <t>HMDB0059874</t>
  </si>
  <si>
    <t>LMFA11000313</t>
  </si>
  <si>
    <t>C=CCCCCCCCCCC</t>
  </si>
  <si>
    <t>CRSBERNSMYQZNG-UHFFFAOYSA-N</t>
  </si>
  <si>
    <t>C12H24</t>
  </si>
  <si>
    <t>4.26_297.1324m/z</t>
  </si>
  <si>
    <t>4-Alanylaminoantipyrine</t>
  </si>
  <si>
    <t>HMDB0246333</t>
  </si>
  <si>
    <t>CC(N)C(=O)NC1=C(C)N(C)N(C1=O)C1=CC=CC=C1</t>
  </si>
  <si>
    <t>OQLNWFVUXWWSTH-UHFFFAOYSA-N</t>
  </si>
  <si>
    <t>C14H18N4O2</t>
  </si>
  <si>
    <t>2.18_329.0747m/z</t>
  </si>
  <si>
    <t>N-Succinyl-L,L-2,6-Diaminopimelate</t>
  </si>
  <si>
    <t>HMDB0012267</t>
  </si>
  <si>
    <t>C04421</t>
  </si>
  <si>
    <t>ko00300</t>
  </si>
  <si>
    <t>Lysine biosynthesis</t>
  </si>
  <si>
    <t>26605-36-7</t>
  </si>
  <si>
    <t>NC(CCC[C@H](NC(=O)CCC(O)=O)C(O)=O)C(O)=O</t>
  </si>
  <si>
    <t>GLXUWZBUPATPBR-MLWJPKLSSA-N</t>
  </si>
  <si>
    <t>C11H18N2O7</t>
  </si>
  <si>
    <t>7.49_687.2647m/z</t>
  </si>
  <si>
    <t>Tyrosyl-Tyrosine</t>
  </si>
  <si>
    <t>HMDB0029117</t>
  </si>
  <si>
    <t>NC(CC1=CC=C(O)C=C1)C(=O)NC(CC1=CC=C(O)C=C1)C(O)=O</t>
  </si>
  <si>
    <t>JAQGKXUEKGKTKX-UHFFFAOYSA-N</t>
  </si>
  <si>
    <t>C18H20N2O5</t>
  </si>
  <si>
    <t>10.63_611.2857m/z</t>
  </si>
  <si>
    <t>Phhdia-Pa</t>
  </si>
  <si>
    <t>LMGP20070011</t>
  </si>
  <si>
    <t>[C@](COP(=O)(O)O)([H])(OC(CCC(O)/C=C/C(=O)O)=O)COC(CCCCCCCCCCCCCCC)=O</t>
  </si>
  <si>
    <t>WGNYWUVFKBCERS-ABTZLANDSA-N</t>
  </si>
  <si>
    <t>C26H47O11P</t>
  </si>
  <si>
    <t>10.19_346.3313m/z</t>
  </si>
  <si>
    <t>20-Hydroxy-Eicosanoic Acid</t>
  </si>
  <si>
    <t>LMFA01050075</t>
  </si>
  <si>
    <t>C(CCCCCCCCCCO)CCCCCCCCC(=O)O</t>
  </si>
  <si>
    <t>JLDIWYKSFMPIDW-UHFFFAOYSA-N</t>
  </si>
  <si>
    <t>C20H40O3</t>
  </si>
  <si>
    <t>10.57_796.4826m/z</t>
  </si>
  <si>
    <t>Momordin Ia</t>
  </si>
  <si>
    <t>HMDB0041017</t>
  </si>
  <si>
    <t>95851-46-0</t>
  </si>
  <si>
    <t>COC(=O)C1OC(OC2CCC3(C)C(CCC4(C)C3CC=C3C5CC(C)(C)CCC5(CCC43C)C(O)=O)C2(C)C)C(O)C(OC2OCC(O)C(O)C2O)C1O</t>
  </si>
  <si>
    <t>YLACYPLYIMKUHI-UHFFFAOYSA-N</t>
  </si>
  <si>
    <t>C42H66O13</t>
  </si>
  <si>
    <t>9.97_379.0001m/z</t>
  </si>
  <si>
    <t>2-Methyl-1,4-Naphthalenediol Bis(Dihydrogen Phosphate)</t>
  </si>
  <si>
    <t>HMDB0032721</t>
  </si>
  <si>
    <t>84-98-0</t>
  </si>
  <si>
    <t>CC1=C(OP(O)(O)=O)C2=CC=CC=C2C(OP(O)(O)=O)=C1</t>
  </si>
  <si>
    <t>JTNHOVZOOVVGHI-UHFFFAOYSA-N</t>
  </si>
  <si>
    <t>C11H12O8P2</t>
  </si>
  <si>
    <t>1.06_155.0582n</t>
  </si>
  <si>
    <t>Methoxycatecholamine</t>
  </si>
  <si>
    <t>HMDB0254544</t>
  </si>
  <si>
    <t>COC1=C(N)C(O)=C(O)C=C1</t>
  </si>
  <si>
    <t>KHTCLRGXXJPSRJ-UHFFFAOYSA-N</t>
  </si>
  <si>
    <t>C7H9NO3</t>
  </si>
  <si>
    <t>4.69_413.1450m/z</t>
  </si>
  <si>
    <t>6-Amino-9h-Purine-9-Propanoic Acid</t>
  </si>
  <si>
    <t>HMDB0029939</t>
  </si>
  <si>
    <t>4244-47-7</t>
  </si>
  <si>
    <t>NC1=NC=NC2=C1N=CN2CCC(O)=O</t>
  </si>
  <si>
    <t>QXAYJKFBMWMARF-UHFFFAOYSA-N</t>
  </si>
  <si>
    <t>C8H9N5O2</t>
  </si>
  <si>
    <t>5.67_451.1976m/z</t>
  </si>
  <si>
    <t>3-[(2-Methyl-3-Furanyl)Thio]-4-Heptanone</t>
  </si>
  <si>
    <t>HMDB0037158</t>
  </si>
  <si>
    <t>61295-41-8</t>
  </si>
  <si>
    <t>CCCC(=O)C(CC)SC1=C(C)OC=C1</t>
  </si>
  <si>
    <t>GFRRQSASJZMMJC-UHFFFAOYSA-N</t>
  </si>
  <si>
    <t>C12H18O2S</t>
  </si>
  <si>
    <t>5.92_551.1407m/z</t>
  </si>
  <si>
    <t>Racemic Mixture</t>
  </si>
  <si>
    <t>HMDB0257088</t>
  </si>
  <si>
    <t>CP(=O)(CCSC1=CC=CC=C1)C1=CC=CC=C1</t>
  </si>
  <si>
    <t>DWYKUNFLSUYNSF-UHFFFAOYSA-N</t>
  </si>
  <si>
    <t>C15H17OPS</t>
  </si>
  <si>
    <t>6.71_407.2646m/z</t>
  </si>
  <si>
    <t>(2xi,6xi)-7-Methyl-3-Methylene-1,2,6,7-Octanetetrol</t>
  </si>
  <si>
    <t>HMDB0033217</t>
  </si>
  <si>
    <t>LMFA05000554</t>
  </si>
  <si>
    <t>217449-59-7</t>
  </si>
  <si>
    <t>CC(O)(C)C(O)CCC(=C)C(O)CO</t>
  </si>
  <si>
    <t>GGDOZDCNLKHEMH-UHFFFAOYSA-N</t>
  </si>
  <si>
    <t>4.85_386.0432m/z</t>
  </si>
  <si>
    <t>5-Aminofluorescein</t>
  </si>
  <si>
    <t>HMDB0246747</t>
  </si>
  <si>
    <t>NC1=CC2=C(C=C1)C1(OC2=O)C2=C(OC3=C1C=CC(O)=C3)C=C(O)C=C2</t>
  </si>
  <si>
    <t>GZAJOEGTZDUSKS-UHFFFAOYSA-N</t>
  </si>
  <si>
    <t>C20H13NO5</t>
  </si>
  <si>
    <t>1.48_381.1303m/z</t>
  </si>
  <si>
    <t>Carbendazim</t>
  </si>
  <si>
    <t>HMDB0031769</t>
  </si>
  <si>
    <t>10605-21-7</t>
  </si>
  <si>
    <t>COC(=O)NC1=NC2=CC=CC=C2N1</t>
  </si>
  <si>
    <t>TWFZGCMQGLPBSX-UHFFFAOYSA-N</t>
  </si>
  <si>
    <t>C9H9N3O2</t>
  </si>
  <si>
    <t>4.98_314.1389m/z</t>
  </si>
  <si>
    <t>Demethoxyegonol</t>
  </si>
  <si>
    <t>HMDB0030772</t>
  </si>
  <si>
    <t>53279-35-9</t>
  </si>
  <si>
    <t>OCCCC1=CC2=C(OC(=C2)C2=CC3=C(OCO3)C=C2)C=C1</t>
  </si>
  <si>
    <t>YQEPMZLWYOAQNI-UHFFFAOYSA-N</t>
  </si>
  <si>
    <t>C18H16O4</t>
  </si>
  <si>
    <t>8.91_290.1385m/z</t>
  </si>
  <si>
    <t>5,7-Dihydroxy-4'-Methoxyflavan</t>
  </si>
  <si>
    <t>LMPK12020263</t>
  </si>
  <si>
    <t>C1(O)=CC2OC(C3C=CC(OC)=CC=3)CCC=2C(O)=C1</t>
  </si>
  <si>
    <t>TZKJYXVKIZDLJU-UHFFFAOYSA-N</t>
  </si>
  <si>
    <t>C16H16O4</t>
  </si>
  <si>
    <t>9.82_199.1692m/z</t>
  </si>
  <si>
    <t>Gamma-Dodecalactone</t>
  </si>
  <si>
    <t>HMDB0031683</t>
  </si>
  <si>
    <t>LMFA07040042</t>
  </si>
  <si>
    <t>57084-18-1</t>
  </si>
  <si>
    <t>C1(OC(CCCCCCCC)CC1)=O</t>
  </si>
  <si>
    <t>WGPCZPLRVAWXPW-UHFFFAOYSA-N</t>
  </si>
  <si>
    <t>C12H22O2</t>
  </si>
  <si>
    <t>10.68_326.3779m/z</t>
  </si>
  <si>
    <t>1-Docosene</t>
  </si>
  <si>
    <t>HMDB0062602</t>
  </si>
  <si>
    <t>LMFA11000312</t>
  </si>
  <si>
    <t>1599-67-3</t>
  </si>
  <si>
    <t>C=CCCCCCCCCCCCCCCCCCCCC</t>
  </si>
  <si>
    <t>SPURMHFLEKVAAS-UHFFFAOYSA-N</t>
  </si>
  <si>
    <t>C22H44</t>
  </si>
  <si>
    <t>3.66_361.0746m/z</t>
  </si>
  <si>
    <t>Enterolactone 3'-Sulfate</t>
  </si>
  <si>
    <t>HMDB0240505</t>
  </si>
  <si>
    <t>[H][C@@]1(CC2=CC(O)=CC=C2)COC(=O)[C@@]1([H])CC1=CC(OS(O)(=O)=O)=CC=C1</t>
  </si>
  <si>
    <t>CGSFDOCYHBJLFW-PBHICJAKSA-N</t>
  </si>
  <si>
    <t>C18H18O7S</t>
  </si>
  <si>
    <t>4.50_219.0652m/z</t>
  </si>
  <si>
    <t>4-Methylumbelliferyl Acetate</t>
  </si>
  <si>
    <t>HMDB0032989</t>
  </si>
  <si>
    <t>C03837</t>
  </si>
  <si>
    <t>2747-05-9</t>
  </si>
  <si>
    <t>CC(=O)OC1=CC=C2C(C)=CC(=O)OC2=C1</t>
  </si>
  <si>
    <t>HXVZGASCDAGAPS-UHFFFAOYSA-N</t>
  </si>
  <si>
    <t>C12H10O4</t>
  </si>
  <si>
    <t>7.45_475.2913m/z</t>
  </si>
  <si>
    <t>MG(PGF1alpha/0:0/0:0)</t>
  </si>
  <si>
    <t>HMDB0260511</t>
  </si>
  <si>
    <t>CCCCC[C@H](O)\C=C\[C@H]1[C@H](O)C[C@H](O)[C@@H]1CCCCCCC(=O)OC[C@@H](O)CO</t>
  </si>
  <si>
    <t>QUXXWFCCGPDOIB-ISWYLGGCSA-N</t>
  </si>
  <si>
    <t>C23H42O7</t>
  </si>
  <si>
    <t>4.65_264.1232m/z</t>
  </si>
  <si>
    <t>Marmesin</t>
  </si>
  <si>
    <t>HMDB0030786</t>
  </si>
  <si>
    <t>13849-08-6</t>
  </si>
  <si>
    <t>CC(C)(O)C1CC2=CC3=C(OC(=O)C=C3)C=C2O1</t>
  </si>
  <si>
    <t>FWYSBEAFFPBAQU-UHFFFAOYSA-N</t>
  </si>
  <si>
    <t>3.46_467.1554m/z</t>
  </si>
  <si>
    <t>Calealactone B</t>
  </si>
  <si>
    <t>CC1CC2C(C(C(C(C(=O)C3C1O3)(C)O)OC(=O)C)OC(=O)C(=C)C)C(=C)C(=O)O2</t>
  </si>
  <si>
    <t>BRBRVKOYZAMSBL-PXFMFDQNSA-N</t>
  </si>
  <si>
    <t>C21H26O9</t>
  </si>
  <si>
    <t>0.77_137.0840n</t>
  </si>
  <si>
    <t>(R)-(-)-2-Phenylglycinol</t>
  </si>
  <si>
    <t>56613-80-0</t>
  </si>
  <si>
    <t>C1=CC=C(C=C1)C(CO)N</t>
  </si>
  <si>
    <t>IJXJGQCXFSSHNL-QMMMGPOBSA-N</t>
  </si>
  <si>
    <t>C8H11NO</t>
  </si>
  <si>
    <t>2.20_337.0670m/z</t>
  </si>
  <si>
    <t>(2,5-Dihydroxy-1h-Pyrrol-3-Yl) Prop-2-Enoate</t>
  </si>
  <si>
    <t>HMDB0242487</t>
  </si>
  <si>
    <t>OC1=CC(OC(=O)C=C)=C(O)N1</t>
  </si>
  <si>
    <t>HUBDBBBGXNEHBE-UHFFFAOYSA-N</t>
  </si>
  <si>
    <t>1.78_243.0474m/z</t>
  </si>
  <si>
    <t>3-Hydroxy-3-Carboxymethyl-Adipic Acid</t>
  </si>
  <si>
    <t>HMDB0059775</t>
  </si>
  <si>
    <t>OC(=O)CCC(O)(CC(O)=O)CC(O)=O</t>
  </si>
  <si>
    <t>GLPOQLKJZBFEMA-UHFFFAOYSA-N</t>
  </si>
  <si>
    <t>C8H12O7</t>
  </si>
  <si>
    <t>0.72_335.0636m/z</t>
  </si>
  <si>
    <t>1-Iodo-2-Methylundecane</t>
  </si>
  <si>
    <t>HMDB0062727</t>
  </si>
  <si>
    <t>CCCCCCCCCC(C)CI</t>
  </si>
  <si>
    <t>RTWBFGUVCAVDFO-UHFFFAOYSA-N</t>
  </si>
  <si>
    <t>C12H25I</t>
  </si>
  <si>
    <t>11.25_246.1243m/z</t>
  </si>
  <si>
    <t>2-Cis-Abscisate</t>
  </si>
  <si>
    <t>HMDB0304067</t>
  </si>
  <si>
    <t>CC(C=CC1(O)C(C)=CC(=O)CC1(C)C)=CC([O-])=O</t>
  </si>
  <si>
    <t>JLIDBLDQVAYHNE-UHFFFAOYSA-M</t>
  </si>
  <si>
    <t>C15H19O4-</t>
  </si>
  <si>
    <t>4.81_497.1250m/z</t>
  </si>
  <si>
    <t>Viniferifuran</t>
  </si>
  <si>
    <t>HMDB0033646</t>
  </si>
  <si>
    <t>223591-26-2</t>
  </si>
  <si>
    <t>OC1=CC=C(\C=C/C2=CC(O)=CC3=C2C(=C(O3)C2=CC=C(O)C=C2)C2=CC(O)=CC(O)=C2)C=C1</t>
  </si>
  <si>
    <t>MTRJOEZPTJRJOB-RJRFIUFISA-N</t>
  </si>
  <si>
    <t>C28H20O6</t>
  </si>
  <si>
    <t>3.58_322.0931m/z</t>
  </si>
  <si>
    <t>Nep-In-2</t>
  </si>
  <si>
    <t>HMDB0244642</t>
  </si>
  <si>
    <t>CSCCC(NC(=O)C(CS)CC1=CC=CC=C1C)C(O)=O</t>
  </si>
  <si>
    <t>FGXXIAHRYGHABD-UHFFFAOYSA-N</t>
  </si>
  <si>
    <t>C16H23NO3S2</t>
  </si>
  <si>
    <t>5.22_433.1839m/z</t>
  </si>
  <si>
    <t>Pteroside A</t>
  </si>
  <si>
    <t>HMDB0030758</t>
  </si>
  <si>
    <t>35910-15-7</t>
  </si>
  <si>
    <t>CC1=CC2=C(C(=O)C(C)(CO)C2)C(C)=C1CCOC1OC(CO)C(O)C(O)C1O</t>
  </si>
  <si>
    <t>UTBLUTBCAVVCIO-UHFFFAOYSA-N</t>
  </si>
  <si>
    <t>9.35_595.2549m/z</t>
  </si>
  <si>
    <t>Chlorin E6</t>
  </si>
  <si>
    <t>HMDB0059948</t>
  </si>
  <si>
    <t>CCC1=C(C)C2=N\C\1=C/C1=C(C)C(C(O)=O)=C(N1)\C(CC(O)=O)=C1/N=C(/C=C3\N/C(=C\2)C(C=C)=C3C)C(C)C1CCC(O)=O</t>
  </si>
  <si>
    <t>VAJLRIOJDADNAT-XORBMCRRSA-N</t>
  </si>
  <si>
    <t>C34H36N4O6</t>
  </si>
  <si>
    <t>3.52_431.1557m/z</t>
  </si>
  <si>
    <t>Methylsyringin</t>
  </si>
  <si>
    <t>HMDB0039570</t>
  </si>
  <si>
    <t>139742-20-4</t>
  </si>
  <si>
    <t>COC\C=C/C1=CC(OC)=C(OC2OC(CO)C(O)C(O)C2O)C(OC)=C1</t>
  </si>
  <si>
    <t>KDZYNPVXUQIVAO-PLNGDYQASA-N</t>
  </si>
  <si>
    <t>C18H26O9</t>
  </si>
  <si>
    <t>10.28_377.1730m/z</t>
  </si>
  <si>
    <t>Piperonyl Butoxide</t>
  </si>
  <si>
    <t>HMDB0256579</t>
  </si>
  <si>
    <t>C18880</t>
  </si>
  <si>
    <t>51-03-6</t>
  </si>
  <si>
    <t>CCCCOCCOCCOCC1=CC2=C(OCO2)C=C1CCC</t>
  </si>
  <si>
    <t>FIPWRIJSWJWJAI-UHFFFAOYSA-N</t>
  </si>
  <si>
    <t>9.04_501.2131m/z</t>
  </si>
  <si>
    <t>2-[Cyclopentyloxy(Methyl)Phosphoryl]Sulfanyl-N,N-Dimethylethanamine</t>
  </si>
  <si>
    <t>HMDB0249739</t>
  </si>
  <si>
    <t>CN(C)CCSP(C)(=O)OC1CCCC1</t>
  </si>
  <si>
    <t>UIKFLAOIGHWXAU-UHFFFAOYSA-N</t>
  </si>
  <si>
    <t>C10H22NO2PS</t>
  </si>
  <si>
    <t>3.58_279.0846m/z</t>
  </si>
  <si>
    <t>Methionyl-Methionine</t>
  </si>
  <si>
    <t>HMDB0028979</t>
  </si>
  <si>
    <t>CSCCC(N)C(=O)NC(CCSC)C(O)=O</t>
  </si>
  <si>
    <t>ZYTPOUNUXRBYGW-UHFFFAOYSA-N</t>
  </si>
  <si>
    <t>C10H20N2O3S2</t>
  </si>
  <si>
    <t>1.08_348.0700m/z</t>
  </si>
  <si>
    <t>Inosine 2',3'-Cyclic Phosphate</t>
  </si>
  <si>
    <t>HMDB0011680</t>
  </si>
  <si>
    <t>C05768</t>
  </si>
  <si>
    <t>15569-30-9</t>
  </si>
  <si>
    <t>OC[C@H]1O[C@H]([C@@H]2OP(O)(=O)O[C@H]12)N1C=NC2=C1NC=NC2=O</t>
  </si>
  <si>
    <t>SBJVDTBACUMFFD-KQYNXXCUSA-N</t>
  </si>
  <si>
    <t>C10H11N4O7P</t>
  </si>
  <si>
    <t>0.62_195.0198m/z</t>
  </si>
  <si>
    <t>Sulfanilamide</t>
  </si>
  <si>
    <t>HMDB0014404</t>
  </si>
  <si>
    <t>C07458</t>
  </si>
  <si>
    <t>63-74-1</t>
  </si>
  <si>
    <t>NC1=CC=C(C=C1)S(N)(=O)=O</t>
  </si>
  <si>
    <t>FDDDEECHVMSUSB-UHFFFAOYSA-N</t>
  </si>
  <si>
    <t>C6H8N2O2S</t>
  </si>
  <si>
    <t>4.45_377.1338m/z</t>
  </si>
  <si>
    <t>N-Acetylserotonin Glucuronide</t>
  </si>
  <si>
    <t>HMDB0060833</t>
  </si>
  <si>
    <t>CC(=O)NCCC1=CNC2=C1C=C(OC1OC(C(O)C(O)C1O)C(O)=O)C=C2</t>
  </si>
  <si>
    <t>DRKQFNYKSNWOTC-UHFFFAOYSA-N</t>
  </si>
  <si>
    <t>C18H22N2O8</t>
  </si>
  <si>
    <t>4.54_437.2030m/z</t>
  </si>
  <si>
    <t>Glas#1</t>
  </si>
  <si>
    <t>LMFA13040106</t>
  </si>
  <si>
    <t>O([C@@H](CCCCC(=O)O[C@H]1[C@H](O)[C@@H](O)[C@H](O)[C@@H](CO)O1)C)[C@H]1[C@H](O)C[C@@H](O)[C@H](C)O1</t>
  </si>
  <si>
    <t>MVQVASRYTUDSCI-POLQEPQQSA-N</t>
  </si>
  <si>
    <t>C19H34O11</t>
  </si>
  <si>
    <t>4.97_459.1302m/z</t>
  </si>
  <si>
    <t>Phloretin 2'-O-(6''-O-Acetylglucoside)</t>
  </si>
  <si>
    <t>LMPK12120519</t>
  </si>
  <si>
    <t>C1(O)C=C(O[C@H]2[C@H](O)[C@@H](O)[C@H](O)[C@@H](COC(=O)C)O2)C(C(=O)CCC2C=CC(O)=CC=2)=C(O)C=1</t>
  </si>
  <si>
    <t>WKDMJJFSCAZJHE-DODNOZFWSA-N</t>
  </si>
  <si>
    <t>7.67_520.2915m/z</t>
  </si>
  <si>
    <t>Hydrocortamate</t>
  </si>
  <si>
    <t>HMDB0014907</t>
  </si>
  <si>
    <t>76-47-1</t>
  </si>
  <si>
    <t>[H][C@@]12CC[C@](O)(C(=O)COC(=O)CN(CC)CC)[C@@]1(C)C[C@H](O)[C@@]1([H])[C@@]2([H])CCC2=CC(=O)CC[C@]12C</t>
  </si>
  <si>
    <t>FWFVLWGEFDIZMJ-FOMYWIRZSA-N</t>
  </si>
  <si>
    <t>C27H41NO6</t>
  </si>
  <si>
    <t>8.93_272.2582m/z</t>
  </si>
  <si>
    <t>(Z)-5-Hexadecenoic Acid</t>
  </si>
  <si>
    <t>HMDB0032638</t>
  </si>
  <si>
    <t>7056-90-8</t>
  </si>
  <si>
    <t>CCCCCCCCCC\C=C\CCCC(O)=O</t>
  </si>
  <si>
    <t>KVXIRQZWCOAYRD-VAWYXSNFSA-N</t>
  </si>
  <si>
    <t>3.65_187.0215m/z</t>
  </si>
  <si>
    <t>2,5-Difluorobenzaldehyde</t>
  </si>
  <si>
    <t>HMDB0245495</t>
  </si>
  <si>
    <t>FC1=CC(C=O)=C(F)C=C1</t>
  </si>
  <si>
    <t>VVVOJODFBWBNBI-UHFFFAOYSA-N</t>
  </si>
  <si>
    <t>C7H4F2O</t>
  </si>
  <si>
    <t>4.43_131.0855m/z</t>
  </si>
  <si>
    <t>Butyrophenone</t>
  </si>
  <si>
    <t>HMDB0249483</t>
  </si>
  <si>
    <t>CCCC(=O)C1=CC=CC=C1</t>
  </si>
  <si>
    <t>FFSAXUULYPJSKH-UHFFFAOYSA-N</t>
  </si>
  <si>
    <t>4.74_510.1593m/z</t>
  </si>
  <si>
    <t>Hygromycin A</t>
  </si>
  <si>
    <t>HMDB0253302</t>
  </si>
  <si>
    <t>CC(=O)C1OC(OC2=CC=C(C=C(C)C(=O)NC3C(O)C4OCOC4C(O)C3O)C=C2O)C(O)C1O</t>
  </si>
  <si>
    <t>YQYJSBFKSSDGFO-UHFFFAOYSA-N</t>
  </si>
  <si>
    <t>C23H29NO12</t>
  </si>
  <si>
    <t>2.13_126.0549m/z</t>
  </si>
  <si>
    <t>Quinone</t>
  </si>
  <si>
    <t>HMDB0003364</t>
  </si>
  <si>
    <t>C00472</t>
  </si>
  <si>
    <t>ko00627,ko05208</t>
  </si>
  <si>
    <t>Aminobenzoate degradation|Chemical carcinogenesis - reactive oxygen species</t>
  </si>
  <si>
    <t>106-51-4</t>
  </si>
  <si>
    <t>O=C1C=CC(=O)C=C1</t>
  </si>
  <si>
    <t>AZQWKYJCGOJGHM-UHFFFAOYSA-N</t>
  </si>
  <si>
    <t>C6H4O2</t>
  </si>
  <si>
    <t>8.91_271.1691m/z</t>
  </si>
  <si>
    <t>Estra-1,3,5(10)-Triene-3,16,17-Triol</t>
  </si>
  <si>
    <t>HMDB0000153</t>
  </si>
  <si>
    <t>LMST02010003</t>
  </si>
  <si>
    <t>C05141</t>
  </si>
  <si>
    <t>50-27-1</t>
  </si>
  <si>
    <t>C1C2[C@@]3([H])CC[C@]4(C)[C@@H](O)[C@H](O)C[C@@]4([H])[C@]3([H])CCC=2C=C(O)C=1</t>
  </si>
  <si>
    <t>PROQIPRRNZUXQM-ZXXIGWHRSA-N</t>
  </si>
  <si>
    <t>C18H24O3</t>
  </si>
  <si>
    <t>3.66_645.1901m/z</t>
  </si>
  <si>
    <t>Delphin</t>
  </si>
  <si>
    <t>HMDB0030693</t>
  </si>
  <si>
    <t>LMPK12010283</t>
  </si>
  <si>
    <t>C16312</t>
  </si>
  <si>
    <t>17670-06-3</t>
  </si>
  <si>
    <t>C1(O)=CC2[O+]=C(C3C=C(O)C(O)=C(O)C=3)C(O[C@H]3[C@H](O)[C@@H](O)[C@H](O)[C@@H](CO)O3)=CC=2C(O[C@H]2[C@H](O)[C@@H](O)[C@H](O)[C@@H](CO)O2)=C1</t>
  </si>
  <si>
    <t>XCTGXGVGJYACEI-LCENJUANSA-O</t>
  </si>
  <si>
    <t>C27H31O17+</t>
  </si>
  <si>
    <t>4.40_261.0401m/z</t>
  </si>
  <si>
    <t>Methoxsalen</t>
  </si>
  <si>
    <t>HMDB0014693</t>
  </si>
  <si>
    <t>C01864</t>
  </si>
  <si>
    <t>298-81-7</t>
  </si>
  <si>
    <t>COC1=C2OC(=O)C=CC2=CC2=C1OC=C2</t>
  </si>
  <si>
    <t>QXKHYNVANLEOEG-UHFFFAOYSA-N</t>
  </si>
  <si>
    <t>C12H8O4</t>
  </si>
  <si>
    <t>3.84_263.1275m/z</t>
  </si>
  <si>
    <t>Altamisic Acid</t>
  </si>
  <si>
    <t>CC1=C(C(C2C(CC1)C(=C)C(=O)O2)(C)O)CCC(=O)O</t>
  </si>
  <si>
    <t>PPUVIGSDWLRHCY-PSOPSSQASA-N</t>
  </si>
  <si>
    <t>1.20_204.9962m/z</t>
  </si>
  <si>
    <t>2-Naphthol Sulfate</t>
  </si>
  <si>
    <t>HMDB0242152</t>
  </si>
  <si>
    <t>OS(=O)(=O)OC1=CC2=CC=CC=C2C=C1</t>
  </si>
  <si>
    <t>HXEZIDSFDHEIIQ-UHFFFAOYSA-N</t>
  </si>
  <si>
    <t>C10H8O4S</t>
  </si>
  <si>
    <t>1.06_238.0706m/z</t>
  </si>
  <si>
    <t>N-Benzoylaspartic Acid</t>
  </si>
  <si>
    <t>HMDB0034251</t>
  </si>
  <si>
    <t>4631-12-3</t>
  </si>
  <si>
    <t>OC(=O)CC(NC(=O)C1=CC=CC=C1)C(O)=O</t>
  </si>
  <si>
    <t>DJLTZJGULPLVOA-UHFFFAOYSA-N</t>
  </si>
  <si>
    <t>3.84_294.0618m/z</t>
  </si>
  <si>
    <t>Macromomycin B</t>
  </si>
  <si>
    <t>HMDB0254293</t>
  </si>
  <si>
    <t>COC(=O)C1=CC(OC)=CC2=C1NC(=O)C(=C)O2</t>
  </si>
  <si>
    <t>HXKWEZFTHHFQMB-UHFFFAOYSA-N</t>
  </si>
  <si>
    <t>Benzoxazinones</t>
  </si>
  <si>
    <t>C12H11NO5</t>
  </si>
  <si>
    <t>4.00_234.1347m/z</t>
  </si>
  <si>
    <t>Histidylprolineamide</t>
  </si>
  <si>
    <t>HMDB0253186</t>
  </si>
  <si>
    <t>NC(CC1=CN=CN1)C(=O)N1CCCC1C(N)=O</t>
  </si>
  <si>
    <t>BVQMQRWLLWQCLL-UHFFFAOYSA-N</t>
  </si>
  <si>
    <t>C11H17N5O2</t>
  </si>
  <si>
    <t>5.62_653.2786m/z</t>
  </si>
  <si>
    <t>Saperconazole</t>
  </si>
  <si>
    <t>HMDB0257482</t>
  </si>
  <si>
    <t>CCC(C)N1N=CN(C1=O)C1=CC=C(C=C1)N1CCN(CC1)C1=CC=C(OCC2COC(CN3C=NC=N3)(O2)C2=C(F)C=C(F)C=C2)C=C1</t>
  </si>
  <si>
    <t>HUADITLKOCMHSB-UHFFFAOYSA-N</t>
  </si>
  <si>
    <t>C35H38F2N8O4</t>
  </si>
  <si>
    <t>5.87_296.1441m/z</t>
  </si>
  <si>
    <t>Dibenz[A,C]Anthracene</t>
  </si>
  <si>
    <t>HMDB0249009</t>
  </si>
  <si>
    <t>C19388</t>
  </si>
  <si>
    <t>215-58-7</t>
  </si>
  <si>
    <t>C1=CC=C2C=C3C4=CC=CC=C4C4=CC=CC=C4C3=CC2=C1</t>
  </si>
  <si>
    <t>RAASUWZPTOJQAY-UHFFFAOYSA-N</t>
  </si>
  <si>
    <t>Triphenylenes</t>
  </si>
  <si>
    <t>C22H14</t>
  </si>
  <si>
    <t>11.67_128.1068m/z</t>
  </si>
  <si>
    <t>7-Aminoheptanoic Acid</t>
  </si>
  <si>
    <t>HMDB0247233</t>
  </si>
  <si>
    <t>NCCCCCCC(O)=O</t>
  </si>
  <si>
    <t>XDOLZJYETYVRKV-UHFFFAOYSA-N</t>
  </si>
  <si>
    <t>C7H15NO2</t>
  </si>
  <si>
    <t>3.93_444.1994n</t>
  </si>
  <si>
    <t>Cynaroside A</t>
  </si>
  <si>
    <t>HMDB0040532</t>
  </si>
  <si>
    <t>117804-06-5</t>
  </si>
  <si>
    <t>CC1C(CC2C1C1OC(=O)C(O)(CO)C1CCC2=C)OC1OC(CO)C(O)C(O)C1O</t>
  </si>
  <si>
    <t>MVSPYXAIGOWGGA-UHFFFAOYSA-N</t>
  </si>
  <si>
    <t>3.97_279.1219m/z</t>
  </si>
  <si>
    <t>L-Gizzerosine</t>
  </si>
  <si>
    <t>HMDB0039160</t>
  </si>
  <si>
    <t>89238-78-8</t>
  </si>
  <si>
    <t>NC(CCCCNCCC1=CN=CN1)C(O)=O</t>
  </si>
  <si>
    <t>LFNFNJYYTXESHV-UHFFFAOYSA-N</t>
  </si>
  <si>
    <t>C11H20N4O2</t>
  </si>
  <si>
    <t>1.20_360.1055n</t>
  </si>
  <si>
    <t>3-Methoxy-4-Hydroxyphenylglycol Glucuronide</t>
  </si>
  <si>
    <t>HMDB0000496</t>
  </si>
  <si>
    <t>52002-41-2</t>
  </si>
  <si>
    <t>COC1=CC(=CC=C1O[C@@H]1O[C@@H]([C@@H](O)[C@H](O)[C@H]1O)C(O)=O)C(O)CO</t>
  </si>
  <si>
    <t>VMWCOZPKGQMCRO-UICVJNQZSA-N</t>
  </si>
  <si>
    <t>C15H20O10</t>
  </si>
  <si>
    <t>3.98_310.0903m/z</t>
  </si>
  <si>
    <t>Tetraphyllin B</t>
  </si>
  <si>
    <t>HMDB0029914</t>
  </si>
  <si>
    <t>34323-07-4</t>
  </si>
  <si>
    <t>OCC1OC(OC2(CC(O)C=C2)C#N)C(O)C(O)C1O</t>
  </si>
  <si>
    <t>JRCWYCAEAZEYNW-UHFFFAOYSA-N</t>
  </si>
  <si>
    <t>C12H17NO7</t>
  </si>
  <si>
    <t>1.08_359.0582m/z</t>
  </si>
  <si>
    <t>N(4)-Acetylsulfamethazine</t>
  </si>
  <si>
    <t>HMDB0244280</t>
  </si>
  <si>
    <t>CC(O)=NC1=CC=C(C=C1)S(=O)(=O)NC1=NC(C)=CC(C)=N1</t>
  </si>
  <si>
    <t>LJKAKWDUZRJNPJ-UHFFFAOYSA-N</t>
  </si>
  <si>
    <t>C14H16N4O3S</t>
  </si>
  <si>
    <t>3.77_340.1365m/z</t>
  </si>
  <si>
    <t>N(G)-Nitroarginine-4-Nitroanilide</t>
  </si>
  <si>
    <t>HMDB0247526</t>
  </si>
  <si>
    <t>NC(CCCN=C(N)N[N+]([O-])=O)C(=O)NC1=CC=C(C=C1)[N+]([O-])=O</t>
  </si>
  <si>
    <t>LNWGWFVAPQTGMG-UHFFFAOYSA-N</t>
  </si>
  <si>
    <t>C12H17N7O5</t>
  </si>
  <si>
    <t>3.93_399.1166m/z</t>
  </si>
  <si>
    <t>1,3-Diethyl-6-Hydroxy-2-Sulfanylidenepyrimidin-4-One</t>
  </si>
  <si>
    <t>HMDB0246707</t>
  </si>
  <si>
    <t>CCN1C(O)=CC(=O)N(CC)C1=S</t>
  </si>
  <si>
    <t>KLQWKZILGHCZRL-UHFFFAOYSA-N</t>
  </si>
  <si>
    <t>C8H12N2O2S</t>
  </si>
  <si>
    <t>4.63_436.1367n</t>
  </si>
  <si>
    <t>Afzelechin 4'-O-Beta-D-Glucopyranoside</t>
  </si>
  <si>
    <t>LMPK12020032</t>
  </si>
  <si>
    <t>C1(O)C=C2O[C@H](C3C=CC(O[C@H]4[C@H](O)[C@@H](O)[C@H](O)[C@@H](CO)O4)=CC=3)[C@@H](O)CC2=C(O)C=1</t>
  </si>
  <si>
    <t>IXZVCFYFCCLMQA-DPRDWZRASA-N</t>
  </si>
  <si>
    <t>4.21_207.0895n</t>
  </si>
  <si>
    <t>N-Acetyl-L-Phenylalanine</t>
  </si>
  <si>
    <t>C03519</t>
  </si>
  <si>
    <t>ko00360</t>
  </si>
  <si>
    <t>Phenylalanine metabolism</t>
  </si>
  <si>
    <t>2018-61-3</t>
  </si>
  <si>
    <t>CC(=O)N[C@@H](CC1=CC=CC=C1)C(O)=O</t>
  </si>
  <si>
    <t>CBQJSKKFNMDLON-JTQLQIEISA-N</t>
  </si>
  <si>
    <t>2.13_101.0597m/z</t>
  </si>
  <si>
    <t>4-Hydroxy-Valeric Acid</t>
  </si>
  <si>
    <t>LMFA01050009</t>
  </si>
  <si>
    <t>C(C(O)C)CC(=O)O</t>
  </si>
  <si>
    <t>FMHKPLXYWVCLME-UHFFFAOYSA-N</t>
  </si>
  <si>
    <t>C5H10O3</t>
  </si>
  <si>
    <t>5.36_240.0428m/z</t>
  </si>
  <si>
    <t>1-(3-Carboxypropylcarbamoyl)-5-Fluorouracil</t>
  </si>
  <si>
    <t>HMDB0243786</t>
  </si>
  <si>
    <t>OC(=O)CCCNC(=O)N1C=C(F)C(=O)NC1=O</t>
  </si>
  <si>
    <t>SRZFBVWHAXOYNE-UHFFFAOYSA-N</t>
  </si>
  <si>
    <t>C9H10FN3O5</t>
  </si>
  <si>
    <t>3.64_749.1755m/z</t>
  </si>
  <si>
    <t>2-Hydroxylamino-4,6-Dinitrotoluene-O-Glucoside</t>
  </si>
  <si>
    <t>HMDB0304073</t>
  </si>
  <si>
    <t>CC1=C(C=C(C=C1NOC1OC(CO)C(O)C(O)C1O)[N+]([O-])=O)[N+]([O-])=O</t>
  </si>
  <si>
    <t>FDHKZWGRIMCNIS-UHFFFAOYSA-N</t>
  </si>
  <si>
    <t>C13H17N3O10</t>
  </si>
  <si>
    <t>0.71_349.0902m/z</t>
  </si>
  <si>
    <t>N-Acetyl-1-Aspartylglutamic Acid</t>
  </si>
  <si>
    <t>HMDB0255414</t>
  </si>
  <si>
    <t>C12270</t>
  </si>
  <si>
    <t>ko00250,ko04080</t>
  </si>
  <si>
    <t>Alanine, aspartate and glutamate metabolism|Neuroactive ligand-receptor interaction</t>
  </si>
  <si>
    <t>3106-85-2</t>
  </si>
  <si>
    <t>CC(=O)NC(CC(O)=O)C(=O)NC(CCC(O)=O)C(O)=O</t>
  </si>
  <si>
    <t>OPVPGKGADVGKTG-UHFFFAOYSA-N</t>
  </si>
  <si>
    <t>C11H16N2O8</t>
  </si>
  <si>
    <t>4.35_493.1569m/z</t>
  </si>
  <si>
    <t>8-O-Acetyl Shanzhiside Methyl Ester</t>
  </si>
  <si>
    <t>HMDB0248874</t>
  </si>
  <si>
    <t>COC(=O)C1=COC(OC2OC(CO)C(O)C(O)C2O)C2C1C(O)CC2(C)OC(C)=O</t>
  </si>
  <si>
    <t>ARFRZOLTIRQFCI-UHFFFAOYSA-N</t>
  </si>
  <si>
    <t>C19H28O12</t>
  </si>
  <si>
    <t>3.67_477.1382m/z</t>
  </si>
  <si>
    <t>Albendazole-2-Aminosulfone</t>
  </si>
  <si>
    <t>HMDB0247482</t>
  </si>
  <si>
    <t>C16627</t>
  </si>
  <si>
    <t>CCCS(=O)(=O)C1=CC2=C(C=C1)N=C(N)N2</t>
  </si>
  <si>
    <t>WTPBIYSMFKUQKY-UHFFFAOYSA-N</t>
  </si>
  <si>
    <t>C10H13N3O2S</t>
  </si>
  <si>
    <t>5.90_327.2174m/z</t>
  </si>
  <si>
    <t>12s-Hydroxy-16-Heptadecynoic Acid</t>
  </si>
  <si>
    <t>LMFA01050146</t>
  </si>
  <si>
    <t>148019-74-3</t>
  </si>
  <si>
    <t>C(C[C@H](O)CCCC#C)CCCCCCCCC(=O)O</t>
  </si>
  <si>
    <t>HBFCVDJQUPEEIC-MRXNPFEDSA-N</t>
  </si>
  <si>
    <t>C17H30O3</t>
  </si>
  <si>
    <t>4.63_377.1593m/z</t>
  </si>
  <si>
    <t>Gibberellin A39</t>
  </si>
  <si>
    <t>HMDB0035045</t>
  </si>
  <si>
    <t>57672-81-8</t>
  </si>
  <si>
    <t>[H][C@@]12C[C@H](O)[C@@H]3C[C@]1(CC3=C)[C@@H](C(O)=O)[C@@]1([H])[C@]2(CC[C@H](O)[C@@]1(C)C(O)=O)C(O)=O</t>
  </si>
  <si>
    <t>LKLDZCIWUDJQCF-OZPHONOWSA-N</t>
  </si>
  <si>
    <t>1.06_114.0549m/z</t>
  </si>
  <si>
    <t>2-Furancarboxaldehyde</t>
  </si>
  <si>
    <t>HMDB0032914</t>
  </si>
  <si>
    <t>C14279</t>
  </si>
  <si>
    <t>98-01-1</t>
  </si>
  <si>
    <t>O=CC1=CC=CO1</t>
  </si>
  <si>
    <t>HYBBIBNJHNGZAN-UHFFFAOYSA-N</t>
  </si>
  <si>
    <t>C5H4O2</t>
  </si>
  <si>
    <t>8.36_247.1303m/z</t>
  </si>
  <si>
    <t>Vomifoliol</t>
  </si>
  <si>
    <t>HMDB0303570</t>
  </si>
  <si>
    <t>C04166</t>
  </si>
  <si>
    <t>CC(O)\C=C\C1(O)C(C)=CC(=O)CC1(C)C</t>
  </si>
  <si>
    <t>KPQMCAKZRXOZLB-AATRIKPKSA-N</t>
  </si>
  <si>
    <t>C13H20O3</t>
  </si>
  <si>
    <t>1.39_329.0490m/z</t>
  </si>
  <si>
    <t>8-Oxoguanine</t>
  </si>
  <si>
    <t>HMDB0041820</t>
  </si>
  <si>
    <t>C20155</t>
  </si>
  <si>
    <t>82014-86-6</t>
  </si>
  <si>
    <t>OC1=NC(=N)N=C2NC(=O)N=C12</t>
  </si>
  <si>
    <t>UBKVUFQGVWHZIR-UHFFFAOYSA-N</t>
  </si>
  <si>
    <t>11.12_549.2849m/z</t>
  </si>
  <si>
    <t>(+)-Myristinin A</t>
  </si>
  <si>
    <t>LMPK12020229</t>
  </si>
  <si>
    <t>[C@@H]1(C2C=CC(O)=CC=2)C[C@@H](C2C(O)=C(C(=O)CCCCCCCCCCC)C(O)=CC=2O)C2=CC=C(O)C=C2O1</t>
  </si>
  <si>
    <t>JGXZVDAPLSTBGZ-IRPSRAIASA-N</t>
  </si>
  <si>
    <t>C33H40O7</t>
  </si>
  <si>
    <t>10.46_239.0668m/z</t>
  </si>
  <si>
    <t>(±)-2-(1-Methylpropyl)-4,6-Dinitrophenol</t>
  </si>
  <si>
    <t>HMDB0032559</t>
  </si>
  <si>
    <t>C14302</t>
  </si>
  <si>
    <t>88-85-7</t>
  </si>
  <si>
    <t>CCC(C)C1=C(O)C(=CC(=C1)N(=O)=O)N(=O)=O</t>
  </si>
  <si>
    <t>OWZPCEFYPSAJFR-UHFFFAOYSA-N</t>
  </si>
  <si>
    <t>C10H12N2O5</t>
  </si>
  <si>
    <t>1.09_211.0687m/z</t>
  </si>
  <si>
    <t>N-Acetylglutamine</t>
  </si>
  <si>
    <t>HMDB0006029</t>
  </si>
  <si>
    <t>2490-97-3</t>
  </si>
  <si>
    <t>CC(=O)N[C@@H](CCC(N)=O)C(O)=O</t>
  </si>
  <si>
    <t>KSMRODHGGIIXDV-YFKPBYRVSA-N</t>
  </si>
  <si>
    <t>C7H12N2O4</t>
  </si>
  <si>
    <t>2.41_215.1643m/z</t>
  </si>
  <si>
    <t>Ethyl 2-Acetyloctanoate</t>
  </si>
  <si>
    <t>CCCCCCC(C(=O)C)C(=O)OCC</t>
  </si>
  <si>
    <t>BRGRZPQESQKATK-UHFFFAOYSA-N</t>
  </si>
  <si>
    <t>C12H22O3</t>
  </si>
  <si>
    <t>10.98_392.3130m/z</t>
  </si>
  <si>
    <t>Arachidoyl Glycine</t>
  </si>
  <si>
    <t>617703-96-5</t>
  </si>
  <si>
    <t>CCCCCCCCCCCCCCCCCCCC(=O)NCC(=O)O</t>
  </si>
  <si>
    <t>MUNNIYAZGQGMQR-UHFFFAOYSA-N</t>
  </si>
  <si>
    <t>C22H43NO3</t>
  </si>
  <si>
    <t>3.66_279.0512m/z</t>
  </si>
  <si>
    <t>Caffeoylmalic Acid</t>
  </si>
  <si>
    <t>HMDB0029318</t>
  </si>
  <si>
    <t>53755-04-7</t>
  </si>
  <si>
    <t>OC(=O)CC(OC(=O)\C=C\C1=CC=C(O)C(O)=C1)C(O)=O</t>
  </si>
  <si>
    <t>PMKQSEYPLQIEAY-DUXPYHPUSA-N</t>
  </si>
  <si>
    <t>C13H12O8</t>
  </si>
  <si>
    <t>0.74_191.1293m/z</t>
  </si>
  <si>
    <t>1,2-Dimethylimidazole</t>
  </si>
  <si>
    <t>HMDB0244082</t>
  </si>
  <si>
    <t>CN1C=CN=C1C</t>
  </si>
  <si>
    <t>GIWQSPITLQVMSG-UHFFFAOYSA-N</t>
  </si>
  <si>
    <t>C5H8N2</t>
  </si>
  <si>
    <t>4.79_373.2274m/z</t>
  </si>
  <si>
    <t>(E)-2-Cyano-3-(4-Hydroxy-3,5-Diisopropylphenyl)-N-(3-Phenylpropyl)Acrylamide</t>
  </si>
  <si>
    <t>HMDB0258525</t>
  </si>
  <si>
    <t>CC(C)C1=CC(C=C(C#N)C(=O)NCCCC2=CC=CC=C2)=CC(C(C)C)=C1O</t>
  </si>
  <si>
    <t>JANPYFTYAGTSIN-UHFFFAOYSA-N</t>
  </si>
  <si>
    <t>Cumenes</t>
  </si>
  <si>
    <t>C25H30N2O2</t>
  </si>
  <si>
    <t>6.25_227.1061m/z</t>
  </si>
  <si>
    <t>Phenylmethyl Benzeneacetate</t>
  </si>
  <si>
    <t>HMDB0033251</t>
  </si>
  <si>
    <t>102-16-9</t>
  </si>
  <si>
    <t>O=C(CC1=CC=CC=C1)OCC1=CC=CC=C1</t>
  </si>
  <si>
    <t>MIYFJEKZLFWKLZ-UHFFFAOYSA-N</t>
  </si>
  <si>
    <t>C15H14O2</t>
  </si>
  <si>
    <t>10.91_652.3479m/z</t>
  </si>
  <si>
    <t>Milbemycin Alpha10</t>
  </si>
  <si>
    <t>HMDB0254722</t>
  </si>
  <si>
    <t>CCC1OC2(CCC1C)CC1CC(CC=C(C)CC(C)C=CC=C3COC4C(O)C(COC(=O)C5=CC=CN5)=CC(C(=O)O1)C34O)O2</t>
  </si>
  <si>
    <t>GBWJSZIODNWKON-UHFFFAOYSA-N</t>
  </si>
  <si>
    <t>C37H49NO9</t>
  </si>
  <si>
    <t>7.01_491.3010m/z</t>
  </si>
  <si>
    <t>Pinnasterol</t>
  </si>
  <si>
    <t>LMST01010283</t>
  </si>
  <si>
    <t>C12=CC(C3=C[C@H](O)[C@@H](O)C[C@]3(C)[C@@]1([H])CC[C@@]1(C)[C@@]2([H])CC[C@@]1([C@](O)(C)[C@@H](O)CCC(C)C)[H])=O</t>
  </si>
  <si>
    <t>NBEQHHTVOOYUFN-KQLITFJUSA-N</t>
  </si>
  <si>
    <t>9.54_719.3501m/z</t>
  </si>
  <si>
    <t>1-O-(8r-Hydroxy-8-Methyl-3z,9-Decadienoyl)-Beta-D-Glucopyranose</t>
  </si>
  <si>
    <t>LMFA13010039</t>
  </si>
  <si>
    <t>O=C(C/C=C\CCC[C@](O)(C)C=C)O[C@H]1[C@H](O)[C@@H](O)[C@H](O)[C@@H](CO)O1</t>
  </si>
  <si>
    <t>VSVRDZASVIUYEH-KETPRWIJSA-N</t>
  </si>
  <si>
    <t>C17H28O8</t>
  </si>
  <si>
    <t>1.22_333.0078m/z</t>
  </si>
  <si>
    <t>2-Anthraquinonesulfonic Acid</t>
  </si>
  <si>
    <t>HMDB0245031</t>
  </si>
  <si>
    <t>OS(=O)(=O)C1=CC2=C(C=C1)C(=O)C1=CC=CC=C1C2=O</t>
  </si>
  <si>
    <t>MMNWSHJJPDXKCH-UHFFFAOYSA-N</t>
  </si>
  <si>
    <t>C14H8O5S</t>
  </si>
  <si>
    <t>0.58_356.9238m/z</t>
  </si>
  <si>
    <t>Iododiflunisal</t>
  </si>
  <si>
    <t>HMDB0253524</t>
  </si>
  <si>
    <t>OC(=O)C1=C(O)C(I)=CC(=C1)C1=C(F)C=C(F)C=C1</t>
  </si>
  <si>
    <t>SSYOLLIRAAWGDJ-UHFFFAOYSA-N</t>
  </si>
  <si>
    <t>C13H7F2IO3</t>
  </si>
  <si>
    <t>9.94_467.0330m/z</t>
  </si>
  <si>
    <t>Hydroxytyrosol 3'-Sulfate</t>
  </si>
  <si>
    <t>HMDB0240530</t>
  </si>
  <si>
    <t>OCCC1=CC(OS(O)(=O)=O)=C(O)C=C1</t>
  </si>
  <si>
    <t>BZTHVCCNFBAISK-UHFFFAOYSA-N</t>
  </si>
  <si>
    <t>C8H10O6S</t>
  </si>
  <si>
    <t>5.36_549.1015m/z</t>
  </si>
  <si>
    <t>Neobignonoside</t>
  </si>
  <si>
    <t>HMDB0033006</t>
  </si>
  <si>
    <t>OC1C(O)C(COC(=O)C2=CC=C(O)C=C2)OC(OC2=CC(O)=C3C(=O)C=C(OC3=C2)C2=CC(O)=C(O)C=C2)C1O</t>
  </si>
  <si>
    <t>YGPSUFGQACOQSG-UHFFFAOYSA-N</t>
  </si>
  <si>
    <t>4.26_357.1187m/z</t>
  </si>
  <si>
    <t>Loganic Acid</t>
  </si>
  <si>
    <t>LMPR01020138</t>
  </si>
  <si>
    <t>C01512</t>
  </si>
  <si>
    <t>ko00902</t>
  </si>
  <si>
    <t>Monoterpenoid biosynthesis</t>
  </si>
  <si>
    <t>22255-40-9</t>
  </si>
  <si>
    <t>[C@@]12([H])[C@@H](C)[C@H](C[C@]1([H])C(C(=O)O)=CO[C@H]2O[C@H]1[C@H](O)[C@H]([C@H](O)[C@@H](CO)O1)O)O</t>
  </si>
  <si>
    <t>JNNGEAWILNVFFD-CDJYTOATSA-N</t>
  </si>
  <si>
    <t>8.96_293.1757m/z</t>
  </si>
  <si>
    <t>Tanacetol A</t>
  </si>
  <si>
    <t>HMDB0035722</t>
  </si>
  <si>
    <t>86778-06-5</t>
  </si>
  <si>
    <t>CC(=O)O\C1=C(C)\CCC(CC(=O)C(=C)CC1)C(C)(C)O</t>
  </si>
  <si>
    <t>IULUGGNZUILXOI-FOWTUZBSSA-N</t>
  </si>
  <si>
    <t>C17H26O4</t>
  </si>
  <si>
    <t>4.70_473.1662m/z</t>
  </si>
  <si>
    <t>8-[(Aminomethyl)Sulfanyl]-6-Sulfanyloctanoic Acid</t>
  </si>
  <si>
    <t>HMDB0013639</t>
  </si>
  <si>
    <t>NCSCCC(S)CCCCC(O)=O</t>
  </si>
  <si>
    <t>YNZQCBXDUUGFIX-UHFFFAOYSA-N</t>
  </si>
  <si>
    <t>C9H19NO2S2</t>
  </si>
  <si>
    <t>0.65_132.0899n</t>
  </si>
  <si>
    <t>Ornithine</t>
  </si>
  <si>
    <t>HMDB0000214</t>
  </si>
  <si>
    <t>C00077</t>
  </si>
  <si>
    <t>ko00220,ko00330,ko00470,ko00480,ko00997,ko02010</t>
  </si>
  <si>
    <t>Arginine biosynthesis|Arginine and proline metabolism|D-Amino acid metabolism|Glutathione metabolism|Biosynthesis of various secondary metabolites - part 3|ABC transporters</t>
  </si>
  <si>
    <t>3184-13-2</t>
  </si>
  <si>
    <t>NCCC[C@H](N)C(O)=O</t>
  </si>
  <si>
    <t>AHLPHDHHMVZTML-BYPYZUCNSA-N</t>
  </si>
  <si>
    <t>C5H12N2O2</t>
  </si>
  <si>
    <t>7.01_581.2598m/z</t>
  </si>
  <si>
    <t>Antiaroside G</t>
  </si>
  <si>
    <t>LMST01120043</t>
  </si>
  <si>
    <t>O([C@@H]1C[C@@]2([C@](CC1)([C@@]1([C@@](CC2)([C@@]2([C@]([C@H](O)C1)([C@](CC2)(C1COC(C=1)=O)[H])C)O)[H])[H])C(=O)O)O)[C@H]1[C@H](O)[C@H](O)[C@@H](O)[C@H](C)O1</t>
  </si>
  <si>
    <t>PQWNIWYZNGKIOH-IAQCHQQASA-N</t>
  </si>
  <si>
    <t>C29H42O12</t>
  </si>
  <si>
    <t>4.26_341.1567m/z</t>
  </si>
  <si>
    <t>Pyroglutamyl-Histidyl-Glycine</t>
  </si>
  <si>
    <t>HMDB0256990</t>
  </si>
  <si>
    <t>OC(=O)CNC(=O)C(CC1C=NC=N1)NC(=O)C1CCC(=O)N1</t>
  </si>
  <si>
    <t>VTKWFWXOVZIATL-UHFFFAOYSA-N</t>
  </si>
  <si>
    <t>C13H17N5O5</t>
  </si>
  <si>
    <t>11.60_484.2799n</t>
  </si>
  <si>
    <t>PG(16:0/0:0)</t>
  </si>
  <si>
    <t>HMDB0240601</t>
  </si>
  <si>
    <t>LMGP04050008</t>
  </si>
  <si>
    <t>116870-26-9</t>
  </si>
  <si>
    <t>[H][C@](O)(CO)COP(OC[C@]([H])(O)COC(CCCCCCCCCCCCCCC)=O)(=O)O</t>
  </si>
  <si>
    <t>BVJSKAUUFXBDOB-LEWJYISDSA-N</t>
  </si>
  <si>
    <t>C22H45O9P</t>
  </si>
  <si>
    <t>3.79_455.0695m/z</t>
  </si>
  <si>
    <t>Aminoethylcysteine Ketimine Decarboxylated Dimer</t>
  </si>
  <si>
    <t>HMDB0248316</t>
  </si>
  <si>
    <t>O=C1N2CCSCC2C2=C1NCCS2</t>
  </si>
  <si>
    <t>AAFINAHKSLUCFK-UHFFFAOYSA-N</t>
  </si>
  <si>
    <t>C9H12N2OS2</t>
  </si>
  <si>
    <t>5.71_248.1049m/z</t>
  </si>
  <si>
    <t>4-Aminoantipyrine</t>
  </si>
  <si>
    <t>HMDB0246350</t>
  </si>
  <si>
    <t>83-07-8</t>
  </si>
  <si>
    <t>CN1N(C(=O)C(N)=C1C)C1=CC=CC=C1</t>
  </si>
  <si>
    <t>RLFWWDJHLFCNIJ-UHFFFAOYSA-N</t>
  </si>
  <si>
    <t>C11H13N3O</t>
  </si>
  <si>
    <t>12.52_501.3182m/z</t>
  </si>
  <si>
    <t>1-O-Alpha-D-Glucopyranosyl-1,2-Nonadecandiol</t>
  </si>
  <si>
    <t>LMFA13010006</t>
  </si>
  <si>
    <t>OC(CCCCCCCCCCCCCCCCC)CO[C@@H]1[C@H](O)[C@@H](O)[C@H](O)[C@@H](CO)O1</t>
  </si>
  <si>
    <t>JTORERGMBRHZTA-SFINKYQGSA-N</t>
  </si>
  <si>
    <t>C25H50O7</t>
  </si>
  <si>
    <t>0.77_327.1293m/z</t>
  </si>
  <si>
    <t>L-Rhamnulose</t>
  </si>
  <si>
    <t>HMDB0010207</t>
  </si>
  <si>
    <t>C00861</t>
  </si>
  <si>
    <t>470-21-3</t>
  </si>
  <si>
    <t>C[C@H]1O[C@](O)(CO)[C@@H](O)[C@@H]1O</t>
  </si>
  <si>
    <t>CJJCPDZKQKUXSS-ARQDHWQXSA-N</t>
  </si>
  <si>
    <t>1.06_300.1650m/z</t>
  </si>
  <si>
    <t>Thiazinamium</t>
  </si>
  <si>
    <t>HMDB0240235</t>
  </si>
  <si>
    <t>2338-21-8</t>
  </si>
  <si>
    <t>CC(CN1C2=CC=CC=C2SC2=CC=CC=C12)[N+](C)(C)C</t>
  </si>
  <si>
    <t>CDXCCYNINPIWGE-UHFFFAOYSA-N</t>
  </si>
  <si>
    <t>C18H23N2S+</t>
  </si>
  <si>
    <t>3.73_475.1819m/z</t>
  </si>
  <si>
    <t>Phenethyl Rutinoside</t>
  </si>
  <si>
    <t>HMDB0032622</t>
  </si>
  <si>
    <t>88510-08-1</t>
  </si>
  <si>
    <t>CC1OC(OCC2OC(OCCC3=CC=CC=C3)C(O)C(O)C2O)C(O)C(O)C1O</t>
  </si>
  <si>
    <t>OKUGUNDXBGUFPA-UHFFFAOYSA-N</t>
  </si>
  <si>
    <t>7.39_685.2478m/z</t>
  </si>
  <si>
    <t>N-(1-Deoxy-1-Fructosyl)Tyrosine</t>
  </si>
  <si>
    <t>HMDB0037845</t>
  </si>
  <si>
    <t>34393-22-1</t>
  </si>
  <si>
    <t>OC[C@H]1OC(O)(CN[C@@H](CC2=CC=C(O)C=C2)C(O)=O)[C@@H](O)[C@@H]1O</t>
  </si>
  <si>
    <t>QLJKHQIODQKMNW-VJDSNFAGSA-N</t>
  </si>
  <si>
    <t>C15H21NO8</t>
  </si>
  <si>
    <t>3.97_424.1947n</t>
  </si>
  <si>
    <t>Lys-Asp-Tyr</t>
  </si>
  <si>
    <t>HMDB0304806</t>
  </si>
  <si>
    <t>[H][C@](N)(CCCCN)C(O)=N[C@@]([H])(CC(O)=O)C(O)=N[C@@]([H])(CC1=CC=C(O)C=C1)C(O)=O</t>
  </si>
  <si>
    <t>NTBFKPBULZGXQL-KKUMJFAQSA-N</t>
  </si>
  <si>
    <t>C19H28N4O7</t>
  </si>
  <si>
    <t>0.72_402.1602m/z</t>
  </si>
  <si>
    <t>Merafloxacin</t>
  </si>
  <si>
    <t>HMDB0254459</t>
  </si>
  <si>
    <t>CCNCC1CCN(C1)C1=C(F)C=C2C(=O)C(=CN(CC)C2=C1F)C(O)=O</t>
  </si>
  <si>
    <t>BAYYCLWCHFVRLV-UHFFFAOYSA-N</t>
  </si>
  <si>
    <t>C19H23F2N3O3</t>
  </si>
  <si>
    <t>1.37_178.1437m/z</t>
  </si>
  <si>
    <t>3-Hydroxyvalproic Acid</t>
  </si>
  <si>
    <t>HMDB0013899</t>
  </si>
  <si>
    <t>LMFA01050494</t>
  </si>
  <si>
    <t>C16651</t>
  </si>
  <si>
    <t>58888-84-9</t>
  </si>
  <si>
    <t>CCC(O)C(C(=O)O)CCC</t>
  </si>
  <si>
    <t>LLPFTSMZBSRZDV-UHFFFAOYSA-N</t>
  </si>
  <si>
    <t>C8H16O3</t>
  </si>
  <si>
    <t>8.69_415.1750m/z</t>
  </si>
  <si>
    <t>Garcinone C</t>
  </si>
  <si>
    <t>HMDB0029511</t>
  </si>
  <si>
    <t>76996-27-5</t>
  </si>
  <si>
    <t>CC(C)=CCC1=C(O)C2=C(OC3=CC(O)=C(O)C(CCC(C)(C)O)=C3C2=O)C=C1O</t>
  </si>
  <si>
    <t>HLOCLVMUASBDDP-UHFFFAOYSA-N</t>
  </si>
  <si>
    <t>9.10_767.4884m/z</t>
  </si>
  <si>
    <t>PA(19:2(10Z,13Z)/PGD1)</t>
  </si>
  <si>
    <t>HMDB0264606</t>
  </si>
  <si>
    <t>CCCCC\C=C/C\C=C/CCCCCCCCC(=O)OC[C@H](COP(O)(O)=O)OC(=O)CCCCCC[C@H]1[C@@H](O)CC(=O)[C@@H]1\C=C\[C@@H](O)CCCCC</t>
  </si>
  <si>
    <t>YTCWKLCLVIZGGH-XJYRXXBGSA-N</t>
  </si>
  <si>
    <t>C42H73O11P</t>
  </si>
  <si>
    <t>9.25_365.1937m/z</t>
  </si>
  <si>
    <t>2,3-Dinor-Txb2</t>
  </si>
  <si>
    <t>HMDB0002904</t>
  </si>
  <si>
    <t>LMFA03030003</t>
  </si>
  <si>
    <t>63250-09-9</t>
  </si>
  <si>
    <t>C1[C@H](O)[C@H](C/C=C\CC(=O)O)[C@@H](/C=C/[C@@H](O)CCCCC)OC1O</t>
  </si>
  <si>
    <t>RJHNVFKNIJQTQF-LMIBIYGPSA-N</t>
  </si>
  <si>
    <t>4.38_209.1445m/z</t>
  </si>
  <si>
    <t>Pirlindole</t>
  </si>
  <si>
    <t>HMDB0256605</t>
  </si>
  <si>
    <t>CC1=CC=C2N3CCNC4CCCC(=C34)C2=C1</t>
  </si>
  <si>
    <t>IWVRVEIKCBFZNF-UHFFFAOYSA-N</t>
  </si>
  <si>
    <t>C15H18N2</t>
  </si>
  <si>
    <t>4.19_797.2509m/z</t>
  </si>
  <si>
    <t>Quercetin 5,3',4'-Trimethyl Ether 3-Galactosyl-(1-&gt;2)-Rhamnoside-7-Rhamnoside</t>
  </si>
  <si>
    <t>LMPK12112549</t>
  </si>
  <si>
    <t>C1C=C(OC)C(OC)=CC=1C1=C(O[C@H]2[C@H](O[C@H]3[C@H](O)[C@@H](O)[C@@H](O)[C@@H](CO)O3)[C@H](O)[C@@H](O)[C@H](C)O2)C(=O)C2C(OC)=CC(O[C@H]3[C@H](O)[C@H](O)[C@@H](O)[C@H](C)O3)=CC=2O1</t>
  </si>
  <si>
    <t>SPHYILLAWJQCEK-POYBCLNVSA-N</t>
  </si>
  <si>
    <t>C36H46O20</t>
  </si>
  <si>
    <t>5.94_567.2808m/z</t>
  </si>
  <si>
    <t>Physangulide</t>
  </si>
  <si>
    <t>HMDB0037381</t>
  </si>
  <si>
    <t>131749-58-1</t>
  </si>
  <si>
    <t>CC(O)(C1CCC2C3CC4OC44C(O)C(O)CC(=O)C4(C)C3CCC12C)C1CC(C)(O)C(C)(O)C(=O)O1</t>
  </si>
  <si>
    <t>OREAQOXKZSQPCV-UHFFFAOYSA-N</t>
  </si>
  <si>
    <t>C28H42O9</t>
  </si>
  <si>
    <t>3.66_203.0524m/z</t>
  </si>
  <si>
    <t>2-(2-Thienylmethylene)-1,6-Dioxaspiro[4.4]Non-3-Ene</t>
  </si>
  <si>
    <t>HMDB0034857</t>
  </si>
  <si>
    <t>124442-15-5</t>
  </si>
  <si>
    <t>C1COC2(C1)O\C(=C\C1=CC=CS1)C=C2</t>
  </si>
  <si>
    <t>LLZQYUSTIRVCPF-MDZDMXLPSA-N</t>
  </si>
  <si>
    <t>C12H12O2S</t>
  </si>
  <si>
    <t>8.53_521.2531m/z</t>
  </si>
  <si>
    <t>Petromylidene C</t>
  </si>
  <si>
    <t>LMST04010453</t>
  </si>
  <si>
    <t>C1/C(=C\C)/C(=O)C[C@]2([H])C[C@@H](O)[C@@]3([H])[C@]4([H])CC[C@H]([C@H](C)CCCOS(O)(=O)=O)[C@@]4(C)[C@@H](O)C[C@]3([H])[C@@]12C</t>
  </si>
  <si>
    <t>VFJIRIIPPFTHQR-AOUFIDPNSA-N</t>
  </si>
  <si>
    <t>C26H42O7S</t>
  </si>
  <si>
    <t>4.36_151.1481m/z</t>
  </si>
  <si>
    <t>Cystophorene</t>
  </si>
  <si>
    <t>HMDB0030944</t>
  </si>
  <si>
    <t>16356-11-9</t>
  </si>
  <si>
    <t>CCCCC\C=C/C=C/C=C</t>
  </si>
  <si>
    <t>JQQDKNVOSLONRS-STRRHFTISA-N</t>
  </si>
  <si>
    <t>C11H18</t>
  </si>
  <si>
    <t>6.85_363.2058m/z</t>
  </si>
  <si>
    <t>Benzetimide</t>
  </si>
  <si>
    <t>HMDB0248988</t>
  </si>
  <si>
    <t>OC1=NC(=O)C(CC1)(C1CCN(CC2=CC=CC=C2)CC1)C1=CC=CC=C1</t>
  </si>
  <si>
    <t>LQQIVYSCPWCSSD-UHFFFAOYSA-N</t>
  </si>
  <si>
    <t>Benzylpiperidines</t>
  </si>
  <si>
    <t>C23H26N2O2</t>
  </si>
  <si>
    <t>2.74_351.1048m/z</t>
  </si>
  <si>
    <t>Anisatin</t>
  </si>
  <si>
    <t>HMDB0302686</t>
  </si>
  <si>
    <t>C09294</t>
  </si>
  <si>
    <t>C[C@@H]1C[C@@H](O)[C@]2(O)[C@]3(COC3=O)[C@@](C)(O)[C@H]3C[C@@]12[C@@H](O)C(=O)O3</t>
  </si>
  <si>
    <t>GEVWHIDSUOMVRI-QHRGTXDDSA-N</t>
  </si>
  <si>
    <t>4.81_627.2061m/z</t>
  </si>
  <si>
    <t>Fenleuton</t>
  </si>
  <si>
    <t>HMDB0252203</t>
  </si>
  <si>
    <t>CC(C#CC1=CC(OC2=CC=C(F)C=C2)=CC=C1)N(O)C(N)=O</t>
  </si>
  <si>
    <t>MWXPQCKCKPYBDR-UHFFFAOYSA-N</t>
  </si>
  <si>
    <t>C17H15FN2O3</t>
  </si>
  <si>
    <t>8.80_244.2633m/z</t>
  </si>
  <si>
    <t>Pentadecanal</t>
  </si>
  <si>
    <t>HMDB0031078</t>
  </si>
  <si>
    <t>LMFA06000083</t>
  </si>
  <si>
    <t>C01948</t>
  </si>
  <si>
    <t>2765-11-9</t>
  </si>
  <si>
    <t>C(CCCCC)CCCCCCCCC([H])=O</t>
  </si>
  <si>
    <t>XGQJZNCFDLXSIJ-UHFFFAOYSA-N</t>
  </si>
  <si>
    <t>4.26_377.1004m/z</t>
  </si>
  <si>
    <t>(2r)-3-Cyclopentyl-2-(4-Methylsulfonylphenyl)-N-(2-Thiazolyl)Propanamide</t>
  </si>
  <si>
    <t>HMDB0242661</t>
  </si>
  <si>
    <t>CS(=O)(=O)C1=CC=C(C=C1)C(CC1CCCC1)C(=O)NC1=NC=CS1</t>
  </si>
  <si>
    <t>NEQSWPCDHDQINX-UHFFFAOYSA-N</t>
  </si>
  <si>
    <t>C18H22N2O3S2</t>
  </si>
  <si>
    <t>4.97_637.3204m/z</t>
  </si>
  <si>
    <t>Fp-Biotin</t>
  </si>
  <si>
    <t>HMDB0252476</t>
  </si>
  <si>
    <t>CCOP(F)(=O)CCCCCCCCCC(=O)NCCCCCNC(=O)CCCCC1SCC2NC(=O)NC12</t>
  </si>
  <si>
    <t>ZIFSFLGSUTZFCP-UHFFFAOYSA-N</t>
  </si>
  <si>
    <t>C27H50FN4O5PS</t>
  </si>
  <si>
    <t>4.84_449.2392m/z</t>
  </si>
  <si>
    <t>Vanoxerine</t>
  </si>
  <si>
    <t>HMDB0259764</t>
  </si>
  <si>
    <t>FC1=CC=C(C=C1)C(OCCN1CCN(CCCC2=CC=CC=C2)CC1)C1=CC=C(F)C=C1</t>
  </si>
  <si>
    <t>NAUWTFJOPJWYOT-UHFFFAOYSA-N</t>
  </si>
  <si>
    <t>C28H32F2N2O</t>
  </si>
  <si>
    <t>5.95_639.1451m/z</t>
  </si>
  <si>
    <t>5-Amino-2-(4-Amino-3-Fluorophenyl)-6,8-Difluoro-7-Methyl-4h-1-Benzopyran-4-One</t>
  </si>
  <si>
    <t>HMDB0244740</t>
  </si>
  <si>
    <t>CC1=C(F)C(N)=C2C(=O)C=C(OC2=C1F)C1=CC(F)=C(N)C=C1</t>
  </si>
  <si>
    <t>RTUZVPPGTJRELI-UHFFFAOYSA-N</t>
  </si>
  <si>
    <t>C16H11F3N2O2</t>
  </si>
  <si>
    <t>1.01_217.0321m/z</t>
  </si>
  <si>
    <t>2-Keto-D-Gluconic Acid</t>
  </si>
  <si>
    <t>C06473</t>
  </si>
  <si>
    <t>669-90-9</t>
  </si>
  <si>
    <t>C(C(C(C(C(=O)C(=O)O)O)O)O)O</t>
  </si>
  <si>
    <t>VBUYCZFBVCCYFD-JJYYJPOSSA-N</t>
  </si>
  <si>
    <t>C6H10O7</t>
  </si>
  <si>
    <t>3.64_419.0673m/z</t>
  </si>
  <si>
    <t>Meticillin</t>
  </si>
  <si>
    <t>HMDB0015541</t>
  </si>
  <si>
    <t>C07177</t>
  </si>
  <si>
    <t>61-32-5</t>
  </si>
  <si>
    <t>[H][C@]12SC(C)(C)[C@@H](N1C(=O)[C@H]2NC(=O)C1=C(OC)C=CC=C1OC)C(O)=O</t>
  </si>
  <si>
    <t>RJQXTJLFIWVMTO-TYNCELHUSA-N</t>
  </si>
  <si>
    <t>C17H20N2O6S</t>
  </si>
  <si>
    <t>4.67_408.0287m/z</t>
  </si>
  <si>
    <t>Disodium Guanylate</t>
  </si>
  <si>
    <t>HMDB0304828</t>
  </si>
  <si>
    <t>[Na+].[Na+].NC1=NC2=C(N=CN2C2OC(COP(O)(O)=O)C(O)C2O)C(=O)N1</t>
  </si>
  <si>
    <t>PVBRXXAAPNGWGE-UHFFFAOYSA-N</t>
  </si>
  <si>
    <t>C10H14N5Na2O8P+2</t>
  </si>
  <si>
    <t>7.17_407.1613m/z</t>
  </si>
  <si>
    <t>S-(N,N-Diethylcarbamoyl)Glutathione</t>
  </si>
  <si>
    <t>HMDB0257384</t>
  </si>
  <si>
    <t>CCN(CC)C(=O)SCC(NC(=O)CCC(N)C(O)=O)C(=O)NCC(O)=O</t>
  </si>
  <si>
    <t>WZXBYDBYBIGAQN-UHFFFAOYSA-N</t>
  </si>
  <si>
    <t>C15H26N4O7S</t>
  </si>
  <si>
    <t>12.36_184.1693m/z</t>
  </si>
  <si>
    <t>(+/-)-Cis- And Trans-2-Methyl-2-(4-Methyl-3-Pentenyl)Cyclopropanecarbaldehyde</t>
  </si>
  <si>
    <t>HMDB0303211</t>
  </si>
  <si>
    <t>CC(C)=CCCC1(C)CC1C=O</t>
  </si>
  <si>
    <t>HVRSGXFUZOKZNT-UHFFFAOYSA-N</t>
  </si>
  <si>
    <t>Organic oxides</t>
  </si>
  <si>
    <t>C11H18O</t>
  </si>
  <si>
    <t>3.58_475.0951m/z</t>
  </si>
  <si>
    <t>1-Propenyl 1-(Propylsulfinyl)Propyl Disulfide</t>
  </si>
  <si>
    <t>HMDB0033073</t>
  </si>
  <si>
    <t>CCCS(=O)C(CC)SS\C=C\C</t>
  </si>
  <si>
    <t>SNJBWARSGMEACP-QPJJXVBHSA-N</t>
  </si>
  <si>
    <t>C9H18OS3</t>
  </si>
  <si>
    <t>3.82_549.2472m/z</t>
  </si>
  <si>
    <t>PA(2:0/PGF2alpha)</t>
  </si>
  <si>
    <t>HMDB0266515</t>
  </si>
  <si>
    <t>CCCCC[C@H](O)\C=C\[C@H]1[C@H](O)C[C@H](O)[C@@H]1C\C=C\CCCC(=O)O[C@H](COC(C)=O)COP(O)(O)=O</t>
  </si>
  <si>
    <t>TZLUQFBMZOORBQ-KOAXEJKKSA-N</t>
  </si>
  <si>
    <t>C25H43O11P</t>
  </si>
  <si>
    <t>1.13_461.0913m/z</t>
  </si>
  <si>
    <t>Farnesyl Triphosphate</t>
  </si>
  <si>
    <t>LMPR0103010023</t>
  </si>
  <si>
    <t>C03115</t>
  </si>
  <si>
    <t>P(=O)(O)(OC/C=C(\C)/CC/C=C(\C)/CC/C=C(\C)/C)OP(=O)(O)OP(=O)(O)O</t>
  </si>
  <si>
    <t>QIOOKVHMPPJVHS-YFVJMOTDSA-N</t>
  </si>
  <si>
    <t>C15H29O10P3</t>
  </si>
  <si>
    <t>3.62_751.1507m/z</t>
  </si>
  <si>
    <t>Limocitrol</t>
  </si>
  <si>
    <t>HMDB0037691</t>
  </si>
  <si>
    <t>LMPK12113333</t>
  </si>
  <si>
    <t>549-10-0</t>
  </si>
  <si>
    <t>C1(O)=C(OC)C2OC(C3C=C(OC)C(O)=CC=3)=C(O)C(=O)C=2C(O)=C1OC</t>
  </si>
  <si>
    <t>LCKHNFJHVWUHTR-UHFFFAOYSA-N</t>
  </si>
  <si>
    <t>C18H16O9</t>
  </si>
  <si>
    <t>3.73_612.1440m/z</t>
  </si>
  <si>
    <t>Cefcapene Pivoxil</t>
  </si>
  <si>
    <t>HMDB0249758</t>
  </si>
  <si>
    <t>CCC=C(C(=O)NC1C2SCC(COC(N)=O)=C(N2C1=O)C(=O)OCOC(=O)C(C)(C)C)C1=CSC(N)=N1</t>
  </si>
  <si>
    <t>WVPAABNYMHNFJG-UHFFFAOYSA-N</t>
  </si>
  <si>
    <t>C23H29N5O8S2</t>
  </si>
  <si>
    <t>5.85_403.2114m/z</t>
  </si>
  <si>
    <t>Cortisone Acetate</t>
  </si>
  <si>
    <t>HMDB0015459</t>
  </si>
  <si>
    <t>LMST02030120</t>
  </si>
  <si>
    <t>C08173</t>
  </si>
  <si>
    <t>50-04-4</t>
  </si>
  <si>
    <t>[C@]12(C)CC([C@]3([H])[C@@]4(C)CCC(=O)C=C4CC[C@@]3([H])[C@]1([H])CC[C@]2(O)C(=O)COC(=O)C)=O</t>
  </si>
  <si>
    <t>ITRJWOMZKQRYTA-RFZYENFJSA-N</t>
  </si>
  <si>
    <t>C23H30O6</t>
  </si>
  <si>
    <t>10.81_267.1589m/z</t>
  </si>
  <si>
    <t>Alpha-Dihydroartemisinin</t>
  </si>
  <si>
    <t>HMDB0060593</t>
  </si>
  <si>
    <t>81496-81-3</t>
  </si>
  <si>
    <t>C[C@@H]1CC[C@H]2[C@@H](C)[C@@H](O)O[C@@H]3OC4(C)CC[C@@H]1[C@@]23OO4</t>
  </si>
  <si>
    <t>BJDCWCLMFKKGEE-KXTPALSWSA-N</t>
  </si>
  <si>
    <t>C15H24O5</t>
  </si>
  <si>
    <t>6.57_232.2055m/z</t>
  </si>
  <si>
    <t>Phenylcyclohexyldiethylamine</t>
  </si>
  <si>
    <t>HMDB0256438</t>
  </si>
  <si>
    <t>CCN(C(C)C1=CC=CC=C1)C1CCCCC1</t>
  </si>
  <si>
    <t>MGHQRFFBZCQPGZ-UHFFFAOYSA-N</t>
  </si>
  <si>
    <t>C16H25N</t>
  </si>
  <si>
    <t>4.74_321.0614m/z</t>
  </si>
  <si>
    <t>O-Demethylfonsecin</t>
  </si>
  <si>
    <t>HMDB0033649</t>
  </si>
  <si>
    <t>CC1(O)CC(=O)C2=C(O)C3=C(O)C=C(O)C=C3C=C2O1</t>
  </si>
  <si>
    <t>RTYDQIKVNMHQMZ-UHFFFAOYSA-N</t>
  </si>
  <si>
    <t>C14H12O6</t>
  </si>
  <si>
    <t>4.99_356.1834n</t>
  </si>
  <si>
    <t>Pibutidine</t>
  </si>
  <si>
    <t>HMDB0041986</t>
  </si>
  <si>
    <t>103922-33-4</t>
  </si>
  <si>
    <t>[H]\C(CNC1=C(N)C(=O)C1=O)=C(/[H])COC1=NC=CC(CN2CCCCC2)=C1</t>
  </si>
  <si>
    <t>XMDYZASWLGWIPL-DJWKRKHSSA-N</t>
  </si>
  <si>
    <t>C19H24N4O3</t>
  </si>
  <si>
    <t>9.24_627.2827m/z</t>
  </si>
  <si>
    <t>N-Desmethyllevomepromazine</t>
  </si>
  <si>
    <t>HMDB0255124</t>
  </si>
  <si>
    <t>CNCC(C)CN1C2=CC=CC=C2SC2=C1C=C(OC)C=C2</t>
  </si>
  <si>
    <t>CIDGBRQEYYPJEM-UHFFFAOYSA-N</t>
  </si>
  <si>
    <t>C18H22N2OS</t>
  </si>
  <si>
    <t>11.46_283.1535m/z</t>
  </si>
  <si>
    <t>Cynaratriol</t>
  </si>
  <si>
    <t>HMDB0034983</t>
  </si>
  <si>
    <t>70894-20-1</t>
  </si>
  <si>
    <t>CC1C(O)CC2C1C1OC(=O)C(O)(CO)C1CCC2=C</t>
  </si>
  <si>
    <t>OHBHGGYGWZIWCX-UHFFFAOYSA-N</t>
  </si>
  <si>
    <t>4.52_585.1242m/z</t>
  </si>
  <si>
    <t>Prunin 6''-O-Gallate</t>
  </si>
  <si>
    <t>HMDB0037582</t>
  </si>
  <si>
    <t>54835-98-2</t>
  </si>
  <si>
    <t>OC1C(O)C(COC(=O)C2=CC(O)=C(O)C(O)=C2)OC(OC2=CC3=C(C(=O)CC(O3)C3=CC=C(O)C=C3)C(O)=C2)C1O</t>
  </si>
  <si>
    <t>UNTKZTADYPALEE-UHFFFAOYSA-N</t>
  </si>
  <si>
    <t>C28H26O14</t>
  </si>
  <si>
    <t>4.93_307.1650m/z</t>
  </si>
  <si>
    <t>Benzoyl Ecgonine</t>
  </si>
  <si>
    <t>HMDB0041836</t>
  </si>
  <si>
    <t>519-09-5</t>
  </si>
  <si>
    <t>[H][C@@]1(CC2CCC([C@@H]1C(O)=O)N2C)OC(=O)C1=CC=CC=C1</t>
  </si>
  <si>
    <t>GVGYEFKIHJTNQZ-HOAMVYINSA-N</t>
  </si>
  <si>
    <t>1.16_198.0373m/z</t>
  </si>
  <si>
    <t>N-Acetyl-L-Aspartic Acid</t>
  </si>
  <si>
    <t>HMDB0000812</t>
  </si>
  <si>
    <t>C01042</t>
  </si>
  <si>
    <t>ko00250</t>
  </si>
  <si>
    <t>Alanine, aspartate and glutamate metabolism</t>
  </si>
  <si>
    <t>997-55-7</t>
  </si>
  <si>
    <t>CC(=O)N[C@@H](CC(O)=O)C(O)=O</t>
  </si>
  <si>
    <t>OTCCIMWXFLJLIA-BYPYZUCNSA-N</t>
  </si>
  <si>
    <t>C6H9NO5</t>
  </si>
  <si>
    <t>9.98_492.2733n</t>
  </si>
  <si>
    <t>Sordarin</t>
  </si>
  <si>
    <t>HMDB0242737</t>
  </si>
  <si>
    <t>COC1C(C)OC(OCC23CC4C(C)CCC4C4(CC2C=C(C(C)C)C34C(O)=O)C=O)C(O)C1O</t>
  </si>
  <si>
    <t>OGGVRVMISBQNMQ-UHFFFAOYSA-N</t>
  </si>
  <si>
    <t>5.73_657.3851m/z</t>
  </si>
  <si>
    <t>Tralkoxydim</t>
  </si>
  <si>
    <t>C18769</t>
  </si>
  <si>
    <t>87820-88-0</t>
  </si>
  <si>
    <t>CCC(=NOCC)C1=C(CC(CC1=O)C2=C(C=C(C=C2C)C)C)O</t>
  </si>
  <si>
    <t>DQFPEYARZIQXRM-LTGZKZEYSA-N</t>
  </si>
  <si>
    <t>C20H27NO3</t>
  </si>
  <si>
    <t>1.06_202.1801m/z</t>
  </si>
  <si>
    <t>2-Ethyl-1,7-Dioxaspiro[5.5]Undecane</t>
  </si>
  <si>
    <t>LMPK09000020</t>
  </si>
  <si>
    <t>O1C2(CCCCO2)CCCC1CC</t>
  </si>
  <si>
    <t>XEIORBGGNNMWTB-UHFFFAOYSA-N</t>
  </si>
  <si>
    <t>C11H20O2</t>
  </si>
  <si>
    <t>11.69_447.3465m/z</t>
  </si>
  <si>
    <t>2-Deoxybrassinolide</t>
  </si>
  <si>
    <t>HMDB0041135</t>
  </si>
  <si>
    <t>144071-55-6</t>
  </si>
  <si>
    <t>CC(C)C(C)C(O)C(O)C(C)C1CCC2C3COC(=O)C4CC(O)CCC4(C)C3CCC12C</t>
  </si>
  <si>
    <t>LLFIMDUWAVPJEJ-UHFFFAOYSA-N</t>
  </si>
  <si>
    <t>C28H48O5</t>
  </si>
  <si>
    <t>1.20_174.0762m/z</t>
  </si>
  <si>
    <t>N-Carboxyethyl-G-Aminobutyric Acid</t>
  </si>
  <si>
    <t>HMDB0002201</t>
  </si>
  <si>
    <t>4386-03-2</t>
  </si>
  <si>
    <t>OC(=O)CCCNCCC(O)=O</t>
  </si>
  <si>
    <t>SRGQUICKDUQCKO-UHFFFAOYSA-N</t>
  </si>
  <si>
    <t>0.67_131.0814m/z</t>
  </si>
  <si>
    <t>2,5-Diaminopentanoic Acid</t>
  </si>
  <si>
    <t>LMFA01100057</t>
  </si>
  <si>
    <t>C01602</t>
  </si>
  <si>
    <t>70-26-8</t>
  </si>
  <si>
    <t>C(C(N)CCCN)(=O)O</t>
  </si>
  <si>
    <t>AHLPHDHHMVZTML-UHFFFAOYSA-N</t>
  </si>
  <si>
    <t>14.68_813.4912m/z</t>
  </si>
  <si>
    <t>PA(20:3(5Z,8Z,11Z)/6 keto-PGF1alpha)</t>
  </si>
  <si>
    <t>HMDB0264955</t>
  </si>
  <si>
    <t>CCCCCCCC\C=C/C\C=C/C\C=C/CCCC(=O)OC[C@H](COP(O)(O)=O)OC(=O)CCCCC(=O)C[C@H]1[C@@H](O)C[C@@H](O)[C@@H]1\C=C\[C@@H](O)CCCCC</t>
  </si>
  <si>
    <t>LZIQSGBMNMNLIU-WBNLFEPVSA-N</t>
  </si>
  <si>
    <t>C43H73O12P</t>
  </si>
  <si>
    <t>1.20_275.0161m/z</t>
  </si>
  <si>
    <t>Bis(4-Isothiocyanatobutyl) Disulfide</t>
  </si>
  <si>
    <t>HMDB0034890</t>
  </si>
  <si>
    <t>18729-71-0</t>
  </si>
  <si>
    <t>S=C=NCCCCSSCCCCN=C=S</t>
  </si>
  <si>
    <t>WRUFJWLVOQYPJF-UHFFFAOYSA-N</t>
  </si>
  <si>
    <t>Isothiocyanates</t>
  </si>
  <si>
    <t>C10H16N2S4</t>
  </si>
  <si>
    <t>5.06_217.0863m/z</t>
  </si>
  <si>
    <t>2-Ethoxynaphthalene</t>
  </si>
  <si>
    <t>HMDB0029688</t>
  </si>
  <si>
    <t>93-18-5</t>
  </si>
  <si>
    <t>CCOC1=CC2=C(C=CC=C2)C=C1</t>
  </si>
  <si>
    <t>GUMOJENFFHZAFP-UHFFFAOYSA-N</t>
  </si>
  <si>
    <t>C12H12O</t>
  </si>
  <si>
    <t>5.28_345.2280m/z</t>
  </si>
  <si>
    <t>2-Methyl-Hexadecanedioic Acid</t>
  </si>
  <si>
    <t>LMFA01170023</t>
  </si>
  <si>
    <t>C(C(C)CCCCCCCCCCCCCC(=O)O)(=O)O</t>
  </si>
  <si>
    <t>LCEXLICTPWSGLL-UHFFFAOYSA-N</t>
  </si>
  <si>
    <t>C17H32O4</t>
  </si>
  <si>
    <t>10.16_313.0784m/z</t>
  </si>
  <si>
    <t>Fructose Lactate</t>
  </si>
  <si>
    <t>HMDB0252491</t>
  </si>
  <si>
    <t>CC(O)C(=O)OC1OC(O)(CO)C(O)C(O)C1O</t>
  </si>
  <si>
    <t>ZMDXTLMYXHWJFS-UHFFFAOYSA-N</t>
  </si>
  <si>
    <t>8.01_720.2820m/z</t>
  </si>
  <si>
    <t>Trypanothione Disulfide</t>
  </si>
  <si>
    <t>HMDB0060521</t>
  </si>
  <si>
    <t>C03170</t>
  </si>
  <si>
    <t>ko00480</t>
  </si>
  <si>
    <t>Glutathione metabolism</t>
  </si>
  <si>
    <t>96304-42-6</t>
  </si>
  <si>
    <t>[H][C@](N)(CCC(O)=N[C@@]1([H])CSSC[C@]([H])(N=C(O)CC[C@]([H])(N)C(O)=O)C(O)=NCC(O)=NCCCNCCCCN=C(O)CN=C1O)C(O)=O</t>
  </si>
  <si>
    <t>LZMSXDHGHZKXJD-VJANTYMQSA-N</t>
  </si>
  <si>
    <t>C27H47N9O10S2</t>
  </si>
  <si>
    <t>14.06_720.5401m/z</t>
  </si>
  <si>
    <t>N-[(4e,8z)-1,3-Dihydroxyoctadeca-4,8-Dien-2-Yl]Hexadecanamide 1-Glucoside</t>
  </si>
  <si>
    <t>HMDB0034623</t>
  </si>
  <si>
    <t>127842-89-1</t>
  </si>
  <si>
    <t>CCCCCCCCCCCCCCCC(=O)NC(COC1OC(CO)C(O)C(O)C1O)C(O)\C=C\CC\C=C\CCCCCCCCC</t>
  </si>
  <si>
    <t>VCLOTRNDBUPTQD-ZNPGVSGMSA-N</t>
  </si>
  <si>
    <t>C40H75NO8</t>
  </si>
  <si>
    <t>4.04_311.0522m/z</t>
  </si>
  <si>
    <t>Arbutin</t>
  </si>
  <si>
    <t>HMDB0029943</t>
  </si>
  <si>
    <t>C06186</t>
  </si>
  <si>
    <t>ko00010,ko02060</t>
  </si>
  <si>
    <t>Glycolysis / Gluconeogenesis|Phosphotransferase system (PTS)</t>
  </si>
  <si>
    <t>497-76-7</t>
  </si>
  <si>
    <t>OC[C@H]1O[C@@H](OC2=CC=C(O)C=C2)[C@H](O)[C@@H](O)[C@@H]1O</t>
  </si>
  <si>
    <t>BJRNKVDFDLYUGJ-RMPHRYRLSA-N</t>
  </si>
  <si>
    <t>C12H16O7</t>
  </si>
  <si>
    <t>6.50_553.3585m/z</t>
  </si>
  <si>
    <t>Epoxomicin</t>
  </si>
  <si>
    <t>HMDB0251879</t>
  </si>
  <si>
    <t>CCC(C)C(NC(=O)C(C(C)CC)N(C)C(C)=O)C(=O)NC(C(C)O)C(=O)NC(CC(C)C)C(=O)C1(C)CO1</t>
  </si>
  <si>
    <t>DOGIDQKFVLKMLQ-UHFFFAOYSA-N</t>
  </si>
  <si>
    <t>C28H50N4O7</t>
  </si>
  <si>
    <t>3.42_276.1103m/z</t>
  </si>
  <si>
    <t>Ethacridine</t>
  </si>
  <si>
    <t>HMDB0251996</t>
  </si>
  <si>
    <t>CCOC1=CC2=C(NC3=C(C=CC(N)=C3)C2=N)C=C1</t>
  </si>
  <si>
    <t>CIKWKGFPFXJVGW-UHFFFAOYSA-N</t>
  </si>
  <si>
    <t>C15H15N3O</t>
  </si>
  <si>
    <t>14.99_383.3339m/z</t>
  </si>
  <si>
    <t>22r-Hydroxycholesterol</t>
  </si>
  <si>
    <t>HMDB0004035</t>
  </si>
  <si>
    <t>LMST01010086</t>
  </si>
  <si>
    <t>C05502</t>
  </si>
  <si>
    <t>22348-64-7</t>
  </si>
  <si>
    <t>C1[C@]2(C)[C@@]3([H])CC[C@]4(C)[C@@]([H])([C@]([H])(C)[C@H](O)CCC(C)C)CC[C@@]4([H])[C@]3([H])CC=C2C[C@@H](O)C1</t>
  </si>
  <si>
    <t>RZPAXNJLEKLXNO-GFKLAVDKSA-N</t>
  </si>
  <si>
    <t>C27H44O2</t>
  </si>
  <si>
    <t>0.62_143.0107m/z</t>
  </si>
  <si>
    <t>3r-Hydroxy-Butanoic Acid</t>
  </si>
  <si>
    <t>HMDB0000011</t>
  </si>
  <si>
    <t>LMFA01050243</t>
  </si>
  <si>
    <t>C01089</t>
  </si>
  <si>
    <t>ko00650,ko04024</t>
  </si>
  <si>
    <t>Butanoate metabolism|cAMP signaling pathway</t>
  </si>
  <si>
    <t>625-72-9</t>
  </si>
  <si>
    <t>C(C[C@H](O)C)(=O)O</t>
  </si>
  <si>
    <t>WHBMMWSBFZVSSR-GSVOUGTGSA-N</t>
  </si>
  <si>
    <t>C4H8O3</t>
  </si>
  <si>
    <t>3.70_249.1232m/z</t>
  </si>
  <si>
    <t>Altretamine</t>
  </si>
  <si>
    <t>HMDB0014631</t>
  </si>
  <si>
    <t>645-05-6</t>
  </si>
  <si>
    <t>CN(C)C1=NC(=NC(=N1)N(C)C)N(C)C</t>
  </si>
  <si>
    <t>UUVWYPNAQBNQJQ-UHFFFAOYSA-N</t>
  </si>
  <si>
    <t>C9H18N6</t>
  </si>
  <si>
    <t>1.38_376.1369n</t>
  </si>
  <si>
    <t>(1x,2x)-Guaiacylglycerol 2-Glucoside</t>
  </si>
  <si>
    <t>HMDB0033301</t>
  </si>
  <si>
    <t>COC1=C(O)C=CC(=C1)C(O)C(CO)OC1OC(CO)C(O)C(O)C1O</t>
  </si>
  <si>
    <t>UKYKCLFPJXHNON-UHFFFAOYSA-N</t>
  </si>
  <si>
    <t>3.73_419.0544m/z</t>
  </si>
  <si>
    <t>Iguratimod</t>
  </si>
  <si>
    <t>HMDB0253390</t>
  </si>
  <si>
    <t>CS(=O)(=O)NC1=C(OC2=CC=CC=C2)C=C2C(=O)C(=COC2=C1)N=CO</t>
  </si>
  <si>
    <t>ANMATWQYLIFGOK-UHFFFAOYSA-N</t>
  </si>
  <si>
    <t>C17H14N2O6S</t>
  </si>
  <si>
    <t>1.55_158.0706m/z</t>
  </si>
  <si>
    <t>1,2,3-Triazine, 4-Phenyl-</t>
  </si>
  <si>
    <t>HMDB0244107</t>
  </si>
  <si>
    <t>C1=CC=C(C=C1)C1=NN=NC=C1</t>
  </si>
  <si>
    <t>YUXBNNVWBUTOQZ-UHFFFAOYSA-N</t>
  </si>
  <si>
    <t>C9H7N3</t>
  </si>
  <si>
    <t>2.38_285.0743m/z</t>
  </si>
  <si>
    <t>Flobufen</t>
  </si>
  <si>
    <t>HMDB0252307</t>
  </si>
  <si>
    <t>CC(CC(=O)C1=CC=C(C=C1)C1=C(F)C=C(F)C=C1)C(O)=O</t>
  </si>
  <si>
    <t>FIKVYIRIUOFLLR-UHFFFAOYSA-N</t>
  </si>
  <si>
    <t>C17H14F2O3</t>
  </si>
  <si>
    <t>1.15_376.0647m/z</t>
  </si>
  <si>
    <t>Deoxyadenosine Monophosphate</t>
  </si>
  <si>
    <t>HMDB0000905</t>
  </si>
  <si>
    <t>C00360</t>
  </si>
  <si>
    <t>653-63-4</t>
  </si>
  <si>
    <t>NC1=NC=NC2=C1N=CN2[C@H]1C[C@H](O)[C@@H](COP(O)(O)=O)O1</t>
  </si>
  <si>
    <t>KHWCHTKSEGGWEX-RRKCRQDMSA-N</t>
  </si>
  <si>
    <t>C10H14N5O6P</t>
  </si>
  <si>
    <t>2.56_427.0232m/z</t>
  </si>
  <si>
    <t>Niridazole</t>
  </si>
  <si>
    <t>HMDB0255625</t>
  </si>
  <si>
    <t>C19268</t>
  </si>
  <si>
    <t>61-57-4</t>
  </si>
  <si>
    <t>OC1=NCCN1C1=NC=C(S1)N(=O)=O</t>
  </si>
  <si>
    <t>RDXLYGJSWZYTFJ-UHFFFAOYSA-N</t>
  </si>
  <si>
    <t>C6H6N4O3S</t>
  </si>
  <si>
    <t>1.06_145.0494m/z</t>
  </si>
  <si>
    <t>Monomethyl Glutaric Acid</t>
  </si>
  <si>
    <t>HMDB0000858</t>
  </si>
  <si>
    <t>C02930</t>
  </si>
  <si>
    <t>1501-27-5</t>
  </si>
  <si>
    <t>COC(=O)CCCC(O)=O</t>
  </si>
  <si>
    <t>IBMRTYCHDPMBFN-UHFFFAOYSA-N</t>
  </si>
  <si>
    <t>C6H10O4</t>
  </si>
  <si>
    <t>11.25_276.1602m/z</t>
  </si>
  <si>
    <t>Alpha-Pyrrolidinovalerophenone</t>
  </si>
  <si>
    <t>HMDB0244638</t>
  </si>
  <si>
    <t>CCCC(N1CCCC1)C(=O)C1=CC=CC=C1</t>
  </si>
  <si>
    <t>YDIIDRWHPFMLGR-UHFFFAOYSA-N</t>
  </si>
  <si>
    <t>C15H21NO</t>
  </si>
  <si>
    <t>10.11_705.4199m/z</t>
  </si>
  <si>
    <t>Cyclopassifloside Ii</t>
  </si>
  <si>
    <t>HMDB0038389</t>
  </si>
  <si>
    <t>292167-39-6</t>
  </si>
  <si>
    <t>CC(C)C(O)(CO)CCC(C)C1CCC2(C)C3CCC4C5(CC35CCC12C)C(O)CC(O)C4(C)C(=O)OC1OC(CO)C(O)C(O)C1O</t>
  </si>
  <si>
    <t>ZNQCKSPNGMMRRF-UHFFFAOYSA-N</t>
  </si>
  <si>
    <t>C37H62O11</t>
  </si>
  <si>
    <t>11.08_227.1277m/z</t>
  </si>
  <si>
    <t>Allixin</t>
  </si>
  <si>
    <t>HMDB0040705</t>
  </si>
  <si>
    <t>125263-70-9</t>
  </si>
  <si>
    <t>CCCCCC1=C(O)C(=O)C(OC)=C(C)O1</t>
  </si>
  <si>
    <t>OHRPDNHRQKOLGN-UHFFFAOYSA-N</t>
  </si>
  <si>
    <t>4.12_153.0910m/z</t>
  </si>
  <si>
    <t>1,4-Ipomeadiol</t>
  </si>
  <si>
    <t>HMDB0030471</t>
  </si>
  <si>
    <t>53011-73-7</t>
  </si>
  <si>
    <t>CC(O)CCC(O)C1=COC=C1</t>
  </si>
  <si>
    <t>AORCXYMSPVAQIZ-UHFFFAOYSA-N</t>
  </si>
  <si>
    <t>C9H14O3</t>
  </si>
  <si>
    <t>10.13_833.4663m/z</t>
  </si>
  <si>
    <t>Goyaglycoside G</t>
  </si>
  <si>
    <t>HMDB0038350</t>
  </si>
  <si>
    <t>333333-14-5</t>
  </si>
  <si>
    <t>COC1OC23C=CC4C5(C)CCC(C(C)C\C=C\C(C)(C)OC6OC(CO)C(O)C(O)C6O)C5(C)CCC14C2CCC(OC1OC(CO)C(O)C(O)C1O)C3(C)C</t>
  </si>
  <si>
    <t>NKVQKVICRWILPJ-OQLLNIDSSA-N</t>
  </si>
  <si>
    <t>C43H70O14</t>
  </si>
  <si>
    <t>9.71_328.2845m/z</t>
  </si>
  <si>
    <t>Methoprene (S)</t>
  </si>
  <si>
    <t>C14308</t>
  </si>
  <si>
    <t>40596-69-8</t>
  </si>
  <si>
    <t>CC(C)OC(=O)C=C(C)C=CCC(C)CCCC(C)(C)OC</t>
  </si>
  <si>
    <t>NFGXHKASABOEEW-GYMWBFJFSA-N</t>
  </si>
  <si>
    <t>C19H34O3</t>
  </si>
  <si>
    <t>11.25_451.1791m/z</t>
  </si>
  <si>
    <t>Benzyloxycarbonylphenylalanylphenylalanine Diazomethyl Ketone</t>
  </si>
  <si>
    <t>HMDB0250005</t>
  </si>
  <si>
    <t>[N-]=[N+]=CC(=O)C(CC1=CC=CC=C1)NC(=O)C(CC1=CC=CC=C1)NC(=O)OCC1=CC=CC=C1</t>
  </si>
  <si>
    <t>JIFSOVRQDDYNAH-UHFFFAOYSA-N</t>
  </si>
  <si>
    <t>C27H26N4O4</t>
  </si>
  <si>
    <t>5.21_478.2291m/z</t>
  </si>
  <si>
    <t>Rctr3</t>
  </si>
  <si>
    <t>LMFA04030016</t>
  </si>
  <si>
    <t>C(CC/C=C\C[C@H](O)[C@H](SC[C@@H](C(=O)O)N)/C=C/C=C/C=C\C=C\[C@@H](O)C/C=C\CC)(=O)O</t>
  </si>
  <si>
    <t>XNFVDGDQGGSJGD-MSOKZUNSSA-N</t>
  </si>
  <si>
    <t>C25H37NO6S</t>
  </si>
  <si>
    <t>12.12_853.4736m/z</t>
  </si>
  <si>
    <t>PG(i-14:0/6 keto-PGF1alpha)</t>
  </si>
  <si>
    <t>HMDB0271285</t>
  </si>
  <si>
    <t>CCCCC[C@H](O)\C=C\[C@H]1[C@H](O)C[C@H](O)[C@@H]1CC(=O)CCCCC(=O)O[C@H](COC(=O)CCCCCCCCCCC(C)C)COP(O)(=O)OC[C@@H](O)CO</t>
  </si>
  <si>
    <t>HKOKFNGFQOYLPL-OJSUGNCISA-N</t>
  </si>
  <si>
    <t>C40H73O14P</t>
  </si>
  <si>
    <t>5.12_301.1073m/z</t>
  </si>
  <si>
    <t>Indole-3-Acetyl-Glutamine</t>
  </si>
  <si>
    <t>HMDB0304380</t>
  </si>
  <si>
    <t>NC(=O)CCC(NC(=O)CC1=CNC2=C1C=CC=C2)C([O-])=O</t>
  </si>
  <si>
    <t>DVJIJAYHBZALOJ-UHFFFAOYSA-M</t>
  </si>
  <si>
    <t>C15H16N3O4-</t>
  </si>
  <si>
    <t>4.83_583.2150m/z</t>
  </si>
  <si>
    <t>4-Methyl-Umbelliferyl-N-Acetyl-Chitobiose</t>
  </si>
  <si>
    <t>HMDB0246931</t>
  </si>
  <si>
    <t>CC(=O)NC1C(O)C(O)C(CO)OC1OC1C(O)C(NC(C)=O)C(OC2=CC3=C(C=C2)C(C)=CC(=O)O3)OC1CO</t>
  </si>
  <si>
    <t>UPSFMJHZUCSEHU-UHFFFAOYSA-N</t>
  </si>
  <si>
    <t>C26H34N2O13</t>
  </si>
  <si>
    <t>1.48_182.0450m/z</t>
  </si>
  <si>
    <t>4-Pyridoxic Acid</t>
  </si>
  <si>
    <t>HMDB0000017</t>
  </si>
  <si>
    <t>C00847</t>
  </si>
  <si>
    <t>ko00750</t>
  </si>
  <si>
    <t>Vitamin B6 metabolism</t>
  </si>
  <si>
    <t>82-82-6</t>
  </si>
  <si>
    <t>CC1=NC=C(CO)C(C(O)=O)=C1O</t>
  </si>
  <si>
    <t>HXACOUQIXZGNBF-UHFFFAOYSA-N</t>
  </si>
  <si>
    <t>C8H9NO4</t>
  </si>
  <si>
    <t>8.58_669.3490m/z</t>
  </si>
  <si>
    <t>Brainesteroside A</t>
  </si>
  <si>
    <t>LMST01010432</t>
  </si>
  <si>
    <t>C1[C@H](O)[C@H](O[C@H]2[C@H](O)[C@@H](O)[C@H](O)[C@@H](CO)O2)C[C@@]2([H])C(=O)C=C3[C@@](CC[C@]4([C@@]53O[C@H]5C[C@]4([H])[C@](O)(C)[C@H](O)CCC(C)C)C)([H])[C@]21C</t>
  </si>
  <si>
    <t>DXNDVPXPNDDWTO-IEAOMMROSA-N</t>
  </si>
  <si>
    <t>4.58_493.1712m/z</t>
  </si>
  <si>
    <t>Ethyl [3,4,5-Trihydroxy-6-[2-[(4-Methoxyphenyl)Methyl]Phenoxy]Oxan-2-Yl]Methyl Carbonate</t>
  </si>
  <si>
    <t>HMDB0250016</t>
  </si>
  <si>
    <t>CCOC(=O)OCC1OC(OC2=CC=CC=C2CC2=CC=C(OC)C=C2)C(O)C(O)C1O</t>
  </si>
  <si>
    <t>QLXKHBNJTPICNF-UHFFFAOYSA-N</t>
  </si>
  <si>
    <t>C23H28O9</t>
  </si>
  <si>
    <t>1.70_146.9613m/z</t>
  </si>
  <si>
    <t>Vinylphosphonic Acid</t>
  </si>
  <si>
    <t>HMDB0259829</t>
  </si>
  <si>
    <t>OP(O)(=O)C=C</t>
  </si>
  <si>
    <t>ZTWTYVWXUKTLCP-UHFFFAOYSA-N</t>
  </si>
  <si>
    <t>C2H5O3P</t>
  </si>
  <si>
    <t>10.06_340.1907m/z</t>
  </si>
  <si>
    <t>Dehydropipernonaline</t>
  </si>
  <si>
    <t>HMDB0040811</t>
  </si>
  <si>
    <t>107584-38-3</t>
  </si>
  <si>
    <t>O=C(\C=C\C=C\CC\C=C\C1=CC=C2OCOC2=C1)N1CCCCC1</t>
  </si>
  <si>
    <t>KAYVDASZRFLFRZ-PQECNABGSA-N</t>
  </si>
  <si>
    <t>C21H25NO3</t>
  </si>
  <si>
    <t>4.97_373.1290m/z</t>
  </si>
  <si>
    <t>Deoxysappanone B Trimethyl Ether</t>
  </si>
  <si>
    <t>COC1=CC2=C(C=C1)C(=O)C(CO2)CC3=CC(=C(C=C3)OC)OC</t>
  </si>
  <si>
    <t>ZRSCGBGNKZDPOF-UHFFFAOYSA-N</t>
  </si>
  <si>
    <t>C19H20O5</t>
  </si>
  <si>
    <t>1.22_206.9880m/z</t>
  </si>
  <si>
    <t>Hexafluoroacetylacetone</t>
  </si>
  <si>
    <t>HMDB0253132</t>
  </si>
  <si>
    <t>FC(F)(F)C(=O)CC(=O)C(F)(F)F</t>
  </si>
  <si>
    <t>QAMFBRUWYYMMGJ-UHFFFAOYSA-N</t>
  </si>
  <si>
    <t>C5H2F6O2</t>
  </si>
  <si>
    <t>10.12_475.2828m/z</t>
  </si>
  <si>
    <t>PA(8:0/13:0)</t>
  </si>
  <si>
    <t>HMDB0115484</t>
  </si>
  <si>
    <t>[H][C@@](COC(=O)CCCCCCC)(COP(O)(O)=O)OC(=O)CCCCCCCCCCCC</t>
  </si>
  <si>
    <t>REQRISOJSILKKG-JOCHJYFZSA-N</t>
  </si>
  <si>
    <t>C24H47O8P</t>
  </si>
  <si>
    <t>4.90_501.2339m/z</t>
  </si>
  <si>
    <t>7,8-Dihydrovomifoliol 9-[Apiosyl-(1-&gt;6)-Glucoside]</t>
  </si>
  <si>
    <t>HMDB0029771</t>
  </si>
  <si>
    <t>177261-70-0</t>
  </si>
  <si>
    <t>CC(CCC1(O)C(C)=CC(=O)CC1(C)C)OC1OC(COC2OCC(O)(CO)C2O)C(O)C(O)C1O</t>
  </si>
  <si>
    <t>VXZUZURNJDKPBW-UHFFFAOYSA-N</t>
  </si>
  <si>
    <t>C24H40O12</t>
  </si>
  <si>
    <t>1.06_141.0182m/z</t>
  </si>
  <si>
    <t>Zymonic Acid</t>
  </si>
  <si>
    <t>HMDB0031210</t>
  </si>
  <si>
    <t>24891-71-2</t>
  </si>
  <si>
    <t>CC1(OC(=O)C(O)=C1)C(O)=O</t>
  </si>
  <si>
    <t>FMOWGHRAYUFXIG-UHFFFAOYSA-N</t>
  </si>
  <si>
    <t>C6H6O5</t>
  </si>
  <si>
    <t>10.28_619.3474m/z</t>
  </si>
  <si>
    <t>Stercobilinogen</t>
  </si>
  <si>
    <t>HMDB0004157</t>
  </si>
  <si>
    <t>C05789</t>
  </si>
  <si>
    <t>17095-63-5</t>
  </si>
  <si>
    <t>[H][C@@]1(CC2=C(C)C(CCC(O)=O)=C(CC3=C(CCC(O)=O)C(C)=C(C[C@]4([H])NC(=O)[C@H](C)[C@H]4CC)N3)N2)NC(=O)[C@H](CC)[C@H]1C</t>
  </si>
  <si>
    <t>VKGRRZVYCXLHII-OLFWPHQKSA-N</t>
  </si>
  <si>
    <t>C33H48N4O6</t>
  </si>
  <si>
    <t>1.48_349.0776m/z</t>
  </si>
  <si>
    <t>Lactate Carbon</t>
  </si>
  <si>
    <t>HMDB0253943</t>
  </si>
  <si>
    <t>CC(O)C(=O)OC(OC(=O)C(C)O)(OC(=O)C(C)O)OC(=O)C(C)O</t>
  </si>
  <si>
    <t>CWIQNOUWIIHTHF-UHFFFAOYSA-N</t>
  </si>
  <si>
    <t>C13H20O12</t>
  </si>
  <si>
    <t>7.17_427.1517m/z</t>
  </si>
  <si>
    <t>Quassin</t>
  </si>
  <si>
    <t>LMPR0106110002</t>
  </si>
  <si>
    <t>C08778</t>
  </si>
  <si>
    <t>[C@@]12(C)[C@@]3([H])CC(=O)O[C@]1([H])C[C@@]1([H])[C@H](C)C=C(OC)C(=O)[C@]1(C)[C@@]2([H])C(=O)C(=C3C)OC</t>
  </si>
  <si>
    <t>IOSXSVZRTUWBHC-LBTVDEKVSA-N</t>
  </si>
  <si>
    <t>10.29_665.0434m/z</t>
  </si>
  <si>
    <t>Beta-Nicotinate D-Ribonucleotide</t>
  </si>
  <si>
    <t>HMDB0304543</t>
  </si>
  <si>
    <t>OC1C(O)C(OC1COP([O-])([O-])=O)[N+]1=CC(=CC=C1)C([O-])=O</t>
  </si>
  <si>
    <t>JOUIQRNQJGXQDC-UHFFFAOYSA-L</t>
  </si>
  <si>
    <t>Nicotinic acid nucleotides</t>
  </si>
  <si>
    <t>C11H12NO9P-2</t>
  </si>
  <si>
    <t>10.51_452.2779m/z</t>
  </si>
  <si>
    <t>PE(16:0/0:0)</t>
  </si>
  <si>
    <t>HMDB0011503</t>
  </si>
  <si>
    <t>LMGP02050002</t>
  </si>
  <si>
    <t>53862-35-4</t>
  </si>
  <si>
    <t>[C@](COP(=O)(O)OCCN)([H])(O)COC(CCCCCCCCCCCCCCC)=O</t>
  </si>
  <si>
    <t>YVYMBNSKXOXSKW-HXUWFJFHSA-N</t>
  </si>
  <si>
    <t>C21H44NO7P</t>
  </si>
  <si>
    <t>10.09_863.5112m/z</t>
  </si>
  <si>
    <t>Thrombin Receptor Peptide Sfllrnp</t>
  </si>
  <si>
    <t>HMDB0259047</t>
  </si>
  <si>
    <t>CC(C)CC(NC(=O)C(CC(C)C)NC(=O)C(CC1=CC=CC=C1)NC(=O)C(N)CO)C(=O)NC(CCCN=C(N)N)C(=O)NC(CC(N)=O)C(=O)N1CCCC1C(O)=O</t>
  </si>
  <si>
    <t>FHZSIZRTNHGLSX-UHFFFAOYSA-N</t>
  </si>
  <si>
    <t>C39H63N11O10</t>
  </si>
  <si>
    <t>9.33_749.4091m/z</t>
  </si>
  <si>
    <t>Torvoside D</t>
  </si>
  <si>
    <t>HMDB0029624</t>
  </si>
  <si>
    <t>CC1C2C(CC3C4CC(OC5OC(C)C(O)C(OC6OCC(O)C(O)C6O)C5O)C5CC(O)CCC5(C)C4CCC23C)OC11OCC(C)CC1O</t>
  </si>
  <si>
    <t>FOCICMJCJFCWOL-UHFFFAOYSA-N</t>
  </si>
  <si>
    <t>C38H62O13</t>
  </si>
  <si>
    <t>4.19_195.0652m/z</t>
  </si>
  <si>
    <t>Scytalone</t>
  </si>
  <si>
    <t>C00779</t>
  </si>
  <si>
    <t>49598-85-8</t>
  </si>
  <si>
    <t>C1C(CC(=O)C2=C1C=C(C=C2O)O)O</t>
  </si>
  <si>
    <t>RTWVXIIKUFSDJB-UHFFFAOYSA-N</t>
  </si>
  <si>
    <t>9.80_581.0420m/z</t>
  </si>
  <si>
    <t>Udp-D-Xylose</t>
  </si>
  <si>
    <t>HMDB0001018</t>
  </si>
  <si>
    <t>C00190</t>
  </si>
  <si>
    <t>ko00520,ko00908</t>
  </si>
  <si>
    <t>Amino sugar and nucleotide sugar metabolism|Zeatin biosynthesis</t>
  </si>
  <si>
    <t>3616-06-6</t>
  </si>
  <si>
    <t>O[C@@H]1[C@@H](COP(O)(=O)OP(O)(=O)O[C@H]2OC[C@@H](O)[C@H](O)[C@H]2O)O[C@H]([C@@H]1O)N1C=CC(=O)NC1=O</t>
  </si>
  <si>
    <t>DQQDLYVHOTZLOR-OCIMBMBZSA-N</t>
  </si>
  <si>
    <t>C14H22N2O16P2</t>
  </si>
  <si>
    <t>4.79_227.0343m/z</t>
  </si>
  <si>
    <t>Isopimpinellin</t>
  </si>
  <si>
    <t>HMDB0034312</t>
  </si>
  <si>
    <t>C02162</t>
  </si>
  <si>
    <t>482-27-9</t>
  </si>
  <si>
    <t>COC1=C2OC=CC2=C(OC)C2=C1OC(=O)C=C2</t>
  </si>
  <si>
    <t>DFMAXQKDIGCMTL-UHFFFAOYSA-N</t>
  </si>
  <si>
    <t>C13H10O5</t>
  </si>
  <si>
    <t>4.08_573.1250m/z</t>
  </si>
  <si>
    <t>15(Rs) Ent-2,3-Dinor-5,6-Dihydro 15-Epi-15-F2t Isop</t>
  </si>
  <si>
    <t>CCCCCC(C=CC1C(CC(C1CCCCC(=O)O)O)O)O</t>
  </si>
  <si>
    <t>XHHYJZGDOMKLEE-WHXLKVEFSA-N</t>
  </si>
  <si>
    <t>C26H24O12</t>
  </si>
  <si>
    <t>3.99_545.1494m/z</t>
  </si>
  <si>
    <t>Quinophthalone</t>
  </si>
  <si>
    <t>C1=CC=C2C(=C1)C=CC(=N2)C3C(=O)C4=CC=CC=C4C3=O</t>
  </si>
  <si>
    <t>IZMJMCDDWKSTTK-UHFFFAOYSA-N</t>
  </si>
  <si>
    <t>C18H11NO2</t>
  </si>
  <si>
    <t>6.29_570.3275m/z</t>
  </si>
  <si>
    <t>Pikromycin</t>
  </si>
  <si>
    <t>LMPK04000038</t>
  </si>
  <si>
    <t>C11999</t>
  </si>
  <si>
    <t>[C@H]1(O[C@@H]2[C@H](C(=O)[C@@H](C)C(=O)O[C@H](CC)[C@](O)(C)C=CC(=O)[C@H](C)C[C@@H]2C)C)[C@H](O)[C@H](C[C@@H](C)O1)N(C)C</t>
  </si>
  <si>
    <t>UZQBOFAUUTZOQE-VSLWXVDYSA-N</t>
  </si>
  <si>
    <t>C28H47NO8</t>
  </si>
  <si>
    <t>2.01_355.0112m/z</t>
  </si>
  <si>
    <t>Isatoribine</t>
  </si>
  <si>
    <t>HMDB0253592</t>
  </si>
  <si>
    <t>NC1=NC2=C(SC(=O)N2C2OC(CO)C(O)C2O)C(=O)N1</t>
  </si>
  <si>
    <t>TZYVRXZQAWPIAB-UHFFFAOYSA-N</t>
  </si>
  <si>
    <t>C10H12N4O6S</t>
  </si>
  <si>
    <t>4.18_265.1543m/z</t>
  </si>
  <si>
    <t>S-4-Benzyl-3-Isobutyryloxazolidin-2-One</t>
  </si>
  <si>
    <t>CC(C)C(=O)N1C(COC1=O)CC2=CC=CC=C2</t>
  </si>
  <si>
    <t>MUIYUSOHHCEUTC-LBPRGKRZSA-N</t>
  </si>
  <si>
    <t>C14H17NO3</t>
  </si>
  <si>
    <t>4.86_287.1287m/z</t>
  </si>
  <si>
    <t>3-Aminoquinoline</t>
  </si>
  <si>
    <t>580-17-6</t>
  </si>
  <si>
    <t>C1=CC=C2C(=C1)C=C(C=N2)N</t>
  </si>
  <si>
    <t>SVNCRRZKBNSMIV-UHFFFAOYSA-N</t>
  </si>
  <si>
    <t>C9H8N2</t>
  </si>
  <si>
    <t>8.45_1000.3433m/z</t>
  </si>
  <si>
    <t>10z-Heptadecenoyl-Coa</t>
  </si>
  <si>
    <t>HMDB0062213</t>
  </si>
  <si>
    <t>CCCCCCC=CCCCCCCCCC(=O)SCCN=C(O)CCN=C(O)C(O)C(C)(C)COP(O)(=O)OP(O)(=O)OCC1OC(C(O)C1OP(O)(O)=O)N1C=NC2=C(N)N=CN=C12</t>
  </si>
  <si>
    <t>KFMWWNZRDBMYES-UHFFFAOYSA-N</t>
  </si>
  <si>
    <t>C38H66N7O17P3S</t>
  </si>
  <si>
    <t>1.06_160.0968m/z</t>
  </si>
  <si>
    <t>Acetyl-Dl-Valine</t>
  </si>
  <si>
    <t>HMDB0011757</t>
  </si>
  <si>
    <t>3067-19-4</t>
  </si>
  <si>
    <t>CC(C)C(C(=O)O)NC(=O)C</t>
  </si>
  <si>
    <t>IHYJTAOFMMMOPX-UHFFFAOYSA-N</t>
  </si>
  <si>
    <t>10.26_508.3401m/z</t>
  </si>
  <si>
    <t>PA(22:2(13Z,16Z)/0:0)</t>
  </si>
  <si>
    <t>HMDB0062306</t>
  </si>
  <si>
    <t>LMGP10050030</t>
  </si>
  <si>
    <t>[C@](COP(=O)(O)O)([H])(O)COC(CCCCCCCCCCC/C=C\C/C=C\CCCCC)=O</t>
  </si>
  <si>
    <t>GFXKNONHFFXXOL-XBJNFHHOSA-N</t>
  </si>
  <si>
    <t>C25H47O7P</t>
  </si>
  <si>
    <t>3.46_496.1422m/z</t>
  </si>
  <si>
    <t>Dhurrin 6'-Glucoside</t>
  </si>
  <si>
    <t>HMDB0029776</t>
  </si>
  <si>
    <t>OCC1OC(OCC2OC(OC(C#N)C3=CC=C(O)C=C3)C(O)C(O)C2O)C(O)C(O)C1O</t>
  </si>
  <si>
    <t>FPYKJQSRWXKDRY-UHFFFAOYSA-N</t>
  </si>
  <si>
    <t>C20H27NO12</t>
  </si>
  <si>
    <t>6.11_572.3232m/z</t>
  </si>
  <si>
    <t>Veratrine</t>
  </si>
  <si>
    <t>HMDB0259783</t>
  </si>
  <si>
    <t>CC=C(C)C(=O)OC1CCC2(C)C3CCC4C5(O)CC(O)C6(O)C(CN7CC(C)CCC7C6(C)O)C5(O)CC24OC13O</t>
  </si>
  <si>
    <t>DBUCFOVFALNEOO-UHFFFAOYSA-N</t>
  </si>
  <si>
    <t>C32H49NO9</t>
  </si>
  <si>
    <t>9.45_381.0162m/z</t>
  </si>
  <si>
    <t>2,3-Dioxo-6-Nitro-7-Sulfamoylbenzo(F)Quinoxaline</t>
  </si>
  <si>
    <t>HMDB0255485</t>
  </si>
  <si>
    <t>C13667</t>
  </si>
  <si>
    <t>118876-58-7</t>
  </si>
  <si>
    <t>NS(=O)(=O)C1=CC=CC2=C3NC(=O)C(=O)NC3=CC(=C12)[N+]([O-])=O</t>
  </si>
  <si>
    <t>UQNAFPHGVPVTAL-UHFFFAOYSA-N</t>
  </si>
  <si>
    <t>C12H8N4O6S</t>
  </si>
  <si>
    <t>1.39_571.1278m/z</t>
  </si>
  <si>
    <t>Uralenneoside</t>
  </si>
  <si>
    <t>HMDB0041272</t>
  </si>
  <si>
    <t>143986-30-5</t>
  </si>
  <si>
    <t>OC1COC(OC(=O)C2=CC(O)=C(O)C=C2)C(O)C1O</t>
  </si>
  <si>
    <t>VWQASRWQZBVNEI-UHFFFAOYSA-N</t>
  </si>
  <si>
    <t>1.71_298.0001m/z</t>
  </si>
  <si>
    <t>4-Amino-5-Hydroxymethyl-2-Methylpyrimidine Diphosphate</t>
  </si>
  <si>
    <t>HMDB0301920</t>
  </si>
  <si>
    <t>OP(O)(=O)OP(O)(O)=O.CC1=NC=C(CO)C(N)=N1</t>
  </si>
  <si>
    <t>PCFPIDTUHTVMCO-UHFFFAOYSA-N</t>
  </si>
  <si>
    <t>C6H13N3O8P2</t>
  </si>
  <si>
    <t>9.12_441.2267m/z</t>
  </si>
  <si>
    <t>Palosuran</t>
  </si>
  <si>
    <t>HMDB0256094</t>
  </si>
  <si>
    <t>CC1=NC2=CC=CC=C2C(NC(=O)NCCN2CCC(O)(CC3=CC=CC=C3)CC2)=C1</t>
  </si>
  <si>
    <t>WYJCYXOCHXWTHG-UHFFFAOYSA-N</t>
  </si>
  <si>
    <t>C25H30N4O2</t>
  </si>
  <si>
    <t>13.38_409.3313m/z</t>
  </si>
  <si>
    <t>Stearoylcholine</t>
  </si>
  <si>
    <t>HMDB0240648</t>
  </si>
  <si>
    <t>23464-76-8</t>
  </si>
  <si>
    <t>CCCCCCCCCCCCCCCCCC(=O)OCC[N+](C)(C)C</t>
  </si>
  <si>
    <t>SGFBLYBOTWZDDE-UHFFFAOYSA-N</t>
  </si>
  <si>
    <t>C23H48NO2+</t>
  </si>
  <si>
    <t>4.58_1010.4214m/z</t>
  </si>
  <si>
    <t>PGP(a-15:0/LTE4)</t>
  </si>
  <si>
    <t>HMDB0274403</t>
  </si>
  <si>
    <t>CCCCC\C=C/C\C=C/C=C/C=C/[C@@H](SC[C@H](N)C(=O)O[C@H](COC(=O)CCCCCCCCCCC(C)CC)COP(O)(=O)OC[C@@H](O)COP(O)(O)=O)[C@@H](O)CCCC(O)=O</t>
  </si>
  <si>
    <t>QZQQVERAFYVXBU-GVDAFTFKSA-N</t>
  </si>
  <si>
    <t>C44H79NO16P2S</t>
  </si>
  <si>
    <t>3.73_625.1572n</t>
  </si>
  <si>
    <t>Malvidin 3-Glucoside-4-Vinylcatechol</t>
  </si>
  <si>
    <t>HMDB0029240</t>
  </si>
  <si>
    <t>LMPK12010436</t>
  </si>
  <si>
    <t>663910-41-6</t>
  </si>
  <si>
    <t>C1(C2C=C(O)C(O)=CC=2)OC2C=C(O)C=C3[O+]=C(C4C=C(OC)C(O)=C(OC)C=4)C(O[C@H]4[C@H](O)[C@@H](O)[C@H](O)[C@@H](CO)O4)=C(C=23)C=1</t>
  </si>
  <si>
    <t>RFTHDRVOYDHSOC-BGXVWEPQSA-O</t>
  </si>
  <si>
    <t>C31H29O14+</t>
  </si>
  <si>
    <t>2.39_311.0772m/z</t>
  </si>
  <si>
    <t>Ascladiol</t>
  </si>
  <si>
    <t>HMDB0029610</t>
  </si>
  <si>
    <t>32013-85-7</t>
  </si>
  <si>
    <t>OC\C=C1\OC(=O)C(CO)=C1</t>
  </si>
  <si>
    <t>LYJDVGNTDYPSTE-LZCJLJQNSA-N</t>
  </si>
  <si>
    <t>C7H8O4</t>
  </si>
  <si>
    <t>9.29_305.1724m/z</t>
  </si>
  <si>
    <t>Gelcohol</t>
  </si>
  <si>
    <t>108102-51-8</t>
  </si>
  <si>
    <t>CC(=CCC1C(O1)(C)C2C(C(CCC23CO3)O)OC)C</t>
  </si>
  <si>
    <t>CEVCTNCUIVEQOY-JQOWZUPLSA-N</t>
  </si>
  <si>
    <t>C16H26O4</t>
  </si>
  <si>
    <t>8.71_577.2521m/z</t>
  </si>
  <si>
    <t>4-(2,2,6,6-Tetramethyl-1-Oxylpiperidin-4-Ylamino)-4'-Demethylepipodophyllotoxin</t>
  </si>
  <si>
    <t>HMDB0252920</t>
  </si>
  <si>
    <t>COC1=CC(=CC(OC)=C1O)C1C2C(COC2=O)C(NC2CC(C)(C)N([O])C(C)(C)C2)C2=CC3=C(OCO3)C=C12</t>
  </si>
  <si>
    <t>MNYFRPDQBQTHSV-UHFFFAOYSA-N</t>
  </si>
  <si>
    <t>C30H38N2O8</t>
  </si>
  <si>
    <t>3.73_255.9911m/z</t>
  </si>
  <si>
    <t>Stattic</t>
  </si>
  <si>
    <t>HMDB0258488</t>
  </si>
  <si>
    <t>[O-][N+](=O)C1=CC2=C(C=CS2(=O)=O)C=C1</t>
  </si>
  <si>
    <t>ZRRGOUHITGRLBA-UHFFFAOYSA-N</t>
  </si>
  <si>
    <t>C8H5NO4S</t>
  </si>
  <si>
    <t>9.71_435.1287m/z</t>
  </si>
  <si>
    <t>4,5-Dihydroxy-2-(Hydroxymethyl)-10-Oxo-9,10-Dihydro-9-Anthracenyl Hexopyranoside</t>
  </si>
  <si>
    <t>C1=CC2=C(C(=C1)O)C(=O)C3=C(C2OC4C(C(C(C(O4)CO)O)O)O)C=C(C=C3O)CO</t>
  </si>
  <si>
    <t>CPUHNROBVJNNPW-UHFFFAOYSA-N</t>
  </si>
  <si>
    <t>3.42_185.0572m/z</t>
  </si>
  <si>
    <t>3-Hydroxyisoheptanoic Acid</t>
  </si>
  <si>
    <t>HMDB0002207</t>
  </si>
  <si>
    <t>40309-49-7</t>
  </si>
  <si>
    <t>CC(C)CC(O)CC(O)=O</t>
  </si>
  <si>
    <t>SCAWECGFPWPHAR-UHFFFAOYSA-N</t>
  </si>
  <si>
    <t>C7H14O3</t>
  </si>
  <si>
    <t>4.87_482.2601m/z</t>
  </si>
  <si>
    <t>Dynorphin A (6-8)</t>
  </si>
  <si>
    <t>HMDB0012932</t>
  </si>
  <si>
    <t>CC[C@@H](C)[C@@H](NC(=O)[C@H](CCCNC(N)=N)NC(=O)[C@H](N)CCCNC(N)=N)C(O)=O</t>
  </si>
  <si>
    <t>BHSYMWWMVRPCPA-FVCCEPFGSA-N</t>
  </si>
  <si>
    <t>C18H37N9O4</t>
  </si>
  <si>
    <t>10.15_267.1953m/z</t>
  </si>
  <si>
    <t>Tetranor-12(R)-Hete</t>
  </si>
  <si>
    <t>135271-51-1</t>
  </si>
  <si>
    <t>CCCCCC=CCC(C=CC=CCCC(=O)O)O</t>
  </si>
  <si>
    <t>KBOVKDIBOBQLRS-UHFFFAOYSA-N</t>
  </si>
  <si>
    <t>4.50_275.1850m/z</t>
  </si>
  <si>
    <t>3-Hydroxy-Tetradecanedioic Acid</t>
  </si>
  <si>
    <t>HMDB0000394</t>
  </si>
  <si>
    <t>LMFA01170094</t>
  </si>
  <si>
    <t>73179-89-2</t>
  </si>
  <si>
    <t>C(=O)(O)CC(O)CCCCCCCCCCC(=O)O</t>
  </si>
  <si>
    <t>CEDZIURHISELSQ-UHFFFAOYSA-N</t>
  </si>
  <si>
    <t>C14H26O5</t>
  </si>
  <si>
    <t>1.11_441.1579m/z</t>
  </si>
  <si>
    <t>Kuguacin B</t>
  </si>
  <si>
    <t>HMDB0302097</t>
  </si>
  <si>
    <t>CC1(C)CC(=O)C2=C(C1)OC(N)=C(C#N)[C@H]2C1=CC=CC=C1OCC1=CC=C(F)C=C1</t>
  </si>
  <si>
    <t>IZWGYTYFDIKNKH-JOCHJYFZSA-N</t>
  </si>
  <si>
    <t>C25H23FN2O3</t>
  </si>
  <si>
    <t>5.52_325.1431m/z</t>
  </si>
  <si>
    <t>Thonzylamine</t>
  </si>
  <si>
    <t>HMDB0240222</t>
  </si>
  <si>
    <t>91-85-0</t>
  </si>
  <si>
    <t>COC1=CC=C(CN(CCN(C)C)C2=NC=CC=N2)C=C1</t>
  </si>
  <si>
    <t>GULNIHOSWFYMRN-UHFFFAOYSA-N</t>
  </si>
  <si>
    <t>C16H22N4O</t>
  </si>
  <si>
    <t>2.03_521.0591m/z</t>
  </si>
  <si>
    <t>Ellagic Acid Acetyl-Xyloside</t>
  </si>
  <si>
    <t>HMDB0301705</t>
  </si>
  <si>
    <t>476-66-4</t>
  </si>
  <si>
    <t>[H][C@]1(CO[C@@]([H])(OC2=CC3=C4C(OC(=O)C5=CC(O)=C(O)C(OC3=O)=C45)=C2O)[C@]([H])(O)[C@@]1([H])O)OC(C)=O</t>
  </si>
  <si>
    <t>HRUPKKAITRRGMV-ZMMKYTMGSA-N</t>
  </si>
  <si>
    <t>C21H16O13</t>
  </si>
  <si>
    <t>9.43_234.1488m/z</t>
  </si>
  <si>
    <t>7e,11e-Tetradecadiene-5,9-Diynoic Acid</t>
  </si>
  <si>
    <t>LMFA01031235</t>
  </si>
  <si>
    <t>C(CCCC#C/C=C/C#C/C=C/CC)(=O)O</t>
  </si>
  <si>
    <t>IHXAUHSVYVDJQO-DYWGDJMRSA-N</t>
  </si>
  <si>
    <t>C14H16O2</t>
  </si>
  <si>
    <t>9.84_269.1746m/z</t>
  </si>
  <si>
    <t>Corey Pg-Lactone Diol</t>
  </si>
  <si>
    <t>CCCCCC(C=CC1C(CC2C1CC(=O)O2)O)O</t>
  </si>
  <si>
    <t>UMDQPEMZJHAFNL-VOTSOKGWSA-N</t>
  </si>
  <si>
    <t>C15H24O4</t>
  </si>
  <si>
    <t>1.11_228.0753m/z</t>
  </si>
  <si>
    <t>N6-Carbamoyl-Dl-Lysine</t>
  </si>
  <si>
    <t>C(CCNC(=O)N)CC(C(=O)O)N</t>
  </si>
  <si>
    <t>XIGSAGMEBXLVJJ-UHFFFAOYSA-N</t>
  </si>
  <si>
    <t>C7H15N3O3</t>
  </si>
  <si>
    <t>10.49_999.4773m/z</t>
  </si>
  <si>
    <t>Chiisanoside</t>
  </si>
  <si>
    <t>HMDB0250077</t>
  </si>
  <si>
    <t>CC1OC(OC2C(O)C(O)C(OCC3OC(OC(=O)C45CCC(C4C4CC6OC(=O)CC(O)C7(C)C(CCC(C)(C67)C4(C)CC5)C(C)=C)C(C)=C)C(O)C(O)C3O)OC2CO)C(O)C(O)C1O</t>
  </si>
  <si>
    <t>JVLBOZIUMGNKQW-UHFFFAOYSA-N</t>
  </si>
  <si>
    <t>C48H74O19</t>
  </si>
  <si>
    <t>3.05_655.1866m/z</t>
  </si>
  <si>
    <t>Calceolarioside E</t>
  </si>
  <si>
    <t>HMDB0302773</t>
  </si>
  <si>
    <t>OCC1OC(OCCC2=CC(O)=C(O)C=C2)C(O)C(OC2OCC(O)(CO)C2O)C1OC(=O)\C=C/C1=CC(O)=C(O)C=C1</t>
  </si>
  <si>
    <t>MOOYCEWTRITIQB-UTCJRWHESA-N</t>
  </si>
  <si>
    <t>C28H34O15</t>
  </si>
  <si>
    <t>7.60_727.2584m/z</t>
  </si>
  <si>
    <t>Alpinumisoflavone Dimethyl Ether</t>
  </si>
  <si>
    <t>LMPK12050340</t>
  </si>
  <si>
    <t>C12OC(C)(C)C=CC1=C(OC)C1C(=O)C(C3C=CC(OC)=CC=3)=COC=1C=2</t>
  </si>
  <si>
    <t>WRINUBCCCQLTPU-UHFFFAOYSA-N</t>
  </si>
  <si>
    <t>C22H20O5</t>
  </si>
  <si>
    <t>11.53_269.2261m/z</t>
  </si>
  <si>
    <t>(+)-Totarol</t>
  </si>
  <si>
    <t>LMPR0104070001</t>
  </si>
  <si>
    <t>511-15-9</t>
  </si>
  <si>
    <t>C1CC[C@]2(C)C3C=CC(O)=C(C(C)C)C=3CC[C@@]2([H])C1(C)C</t>
  </si>
  <si>
    <t>ZRVDANDJSTYELM-FXAWDEMLSA-N</t>
  </si>
  <si>
    <t>10.16_255.1599m/z</t>
  </si>
  <si>
    <t>Cepanone</t>
  </si>
  <si>
    <t>HMDB0032098</t>
  </si>
  <si>
    <t>57877-72-2</t>
  </si>
  <si>
    <t>CCCCCCCCC1OC(C)=CC1=O</t>
  </si>
  <si>
    <t>ZLLDSWALGJWTSW-UHFFFAOYSA-N</t>
  </si>
  <si>
    <t>1.70_239.1024m/z</t>
  </si>
  <si>
    <t>Glycyltyrosine</t>
  </si>
  <si>
    <t>HMDB0028853</t>
  </si>
  <si>
    <t>658-79-7</t>
  </si>
  <si>
    <t>NCC(=O)N[C@@H](CC1=CC=C(O)C=C1)C(O)=O</t>
  </si>
  <si>
    <t>XBGGUPMXALFZOT-VIFPVBQESA-N</t>
  </si>
  <si>
    <t>3.88_254.0396m/z</t>
  </si>
  <si>
    <t>Methazolamide</t>
  </si>
  <si>
    <t>C07764</t>
  </si>
  <si>
    <t>CC(=O)N=C1N(N=C(S1)S(=O)(=O)N)C</t>
  </si>
  <si>
    <t>FLOSMHQXBMRNHR-UHFFFAOYSA-N</t>
  </si>
  <si>
    <t>Thiadiazoles</t>
  </si>
  <si>
    <t>C5H8N4O3S2</t>
  </si>
  <si>
    <t>12.04_892.5375n</t>
  </si>
  <si>
    <t>Zeaxanthin Diglucoside/ Zeaxanthin Beta-D-Diglucoside</t>
  </si>
  <si>
    <t>LMPR01070099</t>
  </si>
  <si>
    <t>C15969</t>
  </si>
  <si>
    <t>[C@@H]1(O[C@@H]2O[C@@H]([C@H]([C@@H]([C@H]2O)O)O)CO)CC(=C(/C=C/C(/C)=C/C=C/C(/C)=C/C=C/C=C(\C)/C=C/C=C(\C)/C=C/C2=C(C[C@H](CC2(C)C)O[C@H]2[C@H](O)[C@@H](O)[C@H](O)[C@@H](CO)O2)C)C(C)(C)C1)C</t>
  </si>
  <si>
    <t>DHNSFMNURMJEQV-OIBMWOCGSA-N</t>
  </si>
  <si>
    <t>C52H76O12</t>
  </si>
  <si>
    <t>0.79_260.0228m/z</t>
  </si>
  <si>
    <t>2-Methoxyacetaminophen Sulfate</t>
  </si>
  <si>
    <t>HMDB0062550</t>
  </si>
  <si>
    <t>53446-13-2</t>
  </si>
  <si>
    <t>COC1=CC(OS(O)(=O)=O)=CC=C1NC(C)=O</t>
  </si>
  <si>
    <t>NZKKXAGORRATJB-UHFFFAOYSA-N</t>
  </si>
  <si>
    <t>C9H11NO6S</t>
  </si>
  <si>
    <t>11.67_142.1225m/z</t>
  </si>
  <si>
    <t>Pregabalin</t>
  </si>
  <si>
    <t>HMDB0014375</t>
  </si>
  <si>
    <t>148553-50-8</t>
  </si>
  <si>
    <t>CC(C)C[C@H](CN)CC(O)=O</t>
  </si>
  <si>
    <t>AYXYPKUFHZROOJ-ZETCQYMHSA-N</t>
  </si>
  <si>
    <t>C8H17NO2</t>
  </si>
  <si>
    <t>12.61_354.3363m/z</t>
  </si>
  <si>
    <t>13z,16z-Docosadienoic Acid</t>
  </si>
  <si>
    <t>HMDB0061714</t>
  </si>
  <si>
    <t>LMFA01030405</t>
  </si>
  <si>
    <t>C16533</t>
  </si>
  <si>
    <t>ko01040</t>
  </si>
  <si>
    <t>Biosynthesis of unsaturated fatty acids</t>
  </si>
  <si>
    <t>17735-98-7</t>
  </si>
  <si>
    <t>C(CCCCCCCCCCC/C=C\C/C=C\CCCCC)(=O)O</t>
  </si>
  <si>
    <t>HVGRZDASOHMCSK-HZJYTTRNSA-N</t>
  </si>
  <si>
    <t>C22H40O2</t>
  </si>
  <si>
    <t>5.09_487.2529m/z</t>
  </si>
  <si>
    <t>(3s,7e,9r)-4,7-Megastigmadiene-3,9-Diol 9-[Apiosyl-(1-&gt;6)-Glucoside]</t>
  </si>
  <si>
    <t>HMDB0029766</t>
  </si>
  <si>
    <t>CC(OC1OC(COC2OCC(O)(CO)C2O)C(O)C(O)C1O)\C=C\C1C(C)=CC(O)CC1(C)C</t>
  </si>
  <si>
    <t>NQBMFFMRSAECDY-AATRIKPKSA-N</t>
  </si>
  <si>
    <t>7.51_619.3307m/z</t>
  </si>
  <si>
    <t>O-Desmethylquinidine</t>
  </si>
  <si>
    <t>HMDB0247073</t>
  </si>
  <si>
    <t>OC(C1CC2CCN1CC2C=C)C1=C2C=C(O)C=CC2=NC=C1</t>
  </si>
  <si>
    <t>VJFMSYZSFUWQPZ-UHFFFAOYSA-N</t>
  </si>
  <si>
    <t>C19H22N2O2</t>
  </si>
  <si>
    <t>3.64_297.0618m/z</t>
  </si>
  <si>
    <t>Mono-(3-Carboxypropyl) Phthalate</t>
  </si>
  <si>
    <t>HMDB0061748</t>
  </si>
  <si>
    <t>OC(=O)CCCOC(=O)C1=CC=CC=C1C(O)=O</t>
  </si>
  <si>
    <t>IYTPMLIWBZMBSL-UHFFFAOYSA-N</t>
  </si>
  <si>
    <t>C12H12O6</t>
  </si>
  <si>
    <t>4.41_349.2006m/z</t>
  </si>
  <si>
    <t>11-Dehydro-Txb3</t>
  </si>
  <si>
    <t>LMFA03030009</t>
  </si>
  <si>
    <t>129228-55-3</t>
  </si>
  <si>
    <t>C(CCC/C=C\C[C@@H]1[C@@H](/C=C/[C@@H](O)C/C=C\CC)OC(=O)C[C@@H]1O)(=O)O</t>
  </si>
  <si>
    <t>OAHMLWQISGEXBB-XMEKLSCHSA-N</t>
  </si>
  <si>
    <t>12.28_515.2386m/z</t>
  </si>
  <si>
    <t>Antimycin A (A1 Shown)</t>
  </si>
  <si>
    <t>CCCCCC1C(C(OC(=O)C(C(OC1=O)C)NC(=O)C2=C(C(=CC=C2)NC=O)O)C)OC(=O)CC(C)C</t>
  </si>
  <si>
    <t>ZVYMCLIDNNTNCL-GFRRLMGDSA-N</t>
  </si>
  <si>
    <t>C27H38N2O9</t>
  </si>
  <si>
    <t>7.90_723.3939m/z</t>
  </si>
  <si>
    <t>23r,Acetoxy-3beta,15alpha,24r,25-Tetrahydroxy-Cycloart-7-En-16-One-3-O-Beta-D-Xylopyranoside</t>
  </si>
  <si>
    <t>LMST01100018</t>
  </si>
  <si>
    <t>C1C[C@H](O[C@H]2[C@H](O)[C@@H](O)[C@H](O)CO2)C(C)(C)[C@]2([H])CC=C3[C@]4(C)[C@@H](O)C(=O)[C@@]([C@H](C)C[C@@H](OC(=O)C)[C@@H](O)C(O)(C)C)([H])[C@@]4(C)CC[C@@]43C[C@]124</t>
  </si>
  <si>
    <t>HMBXWIISEWSWQK-QMIZWMDOSA-N</t>
  </si>
  <si>
    <t>C37H58O11</t>
  </si>
  <si>
    <t>3.69_555.1526m/z</t>
  </si>
  <si>
    <t>3-(5,7-Dimethoxy-4-Oxo-4h-Chromen-2-Yl)Propanoic Acid</t>
  </si>
  <si>
    <t>COC1=CC2=C(C(=C1)OC)C(=O)C=C(O2)CCC(=O)O</t>
  </si>
  <si>
    <t>AKJIPZYHXYQVJT-UHFFFAOYSA-N</t>
  </si>
  <si>
    <t>C14H14O6</t>
  </si>
  <si>
    <t>7.63_691.3543m/z</t>
  </si>
  <si>
    <t>Pf-622</t>
  </si>
  <si>
    <t>898235-65-9</t>
  </si>
  <si>
    <t>C1CN(CCN1CC2=NC3=CC=CC=C3C=C2)C(=O)NC4=CC=CC=C4</t>
  </si>
  <si>
    <t>SNTCRRMCALVGNL-UHFFFAOYSA-N</t>
  </si>
  <si>
    <t>C21H22N4O</t>
  </si>
  <si>
    <t>9.39_721.4136m/z</t>
  </si>
  <si>
    <t>Cyclopassifloside I</t>
  </si>
  <si>
    <t>HMDB0035944</t>
  </si>
  <si>
    <t>292167-38-5</t>
  </si>
  <si>
    <t>CC(C)C(O)(CO)CC(O)C(C)C1CCC2(C)C3CCC4C5(CC35CCC12C)C(O)CC(O)C4(C)C(=O)OC1OC(CO)C(O)C(O)C1O</t>
  </si>
  <si>
    <t>JAWKFBIRZLWWEU-UHFFFAOYSA-N</t>
  </si>
  <si>
    <t>C37H62O12</t>
  </si>
  <si>
    <t>1.31_247.1287m/z</t>
  </si>
  <si>
    <t>Aspartyl-Leucine</t>
  </si>
  <si>
    <t>HMDB0028757</t>
  </si>
  <si>
    <t>CC(C)CC(NC(=O)C(N)CC(O)=O)C(O)=O</t>
  </si>
  <si>
    <t>ZVDPYSVOZFINEE-UHFFFAOYSA-N</t>
  </si>
  <si>
    <t>C10H18N2O5</t>
  </si>
  <si>
    <t>8.91_323.1828m/z</t>
  </si>
  <si>
    <t>Tetranor-Pgf1alpha</t>
  </si>
  <si>
    <t>LMFA03010213</t>
  </si>
  <si>
    <t>[C@H]1(/C=C/[C@@H](O)CCCCC)[C@H](O)C[C@H](O)[C@@H]1CCC(=O)O</t>
  </si>
  <si>
    <t>NPXVWXIFJJRRLX-BFBQWKKPSA-N</t>
  </si>
  <si>
    <t>C16H28O5</t>
  </si>
  <si>
    <t>5.01_529.2940m/z</t>
  </si>
  <si>
    <t>Gallopamil</t>
  </si>
  <si>
    <t>HMDB0252599</t>
  </si>
  <si>
    <t>C13764</t>
  </si>
  <si>
    <t>16662-47-8</t>
  </si>
  <si>
    <t>COC1=CC(=CC(OC)=C1OC)C(CCCN(C)CCC1=CC(OC)=C(OC)C=C1)(C#N)C(C)C</t>
  </si>
  <si>
    <t>XQLWNAFCTODIRK-UHFFFAOYSA-N</t>
  </si>
  <si>
    <t>C28H40N2O5</t>
  </si>
  <si>
    <t>4.67_249.1095m/z</t>
  </si>
  <si>
    <t>5'-Amino-5'-Deoxyadenosine</t>
  </si>
  <si>
    <t>HMDB0246876</t>
  </si>
  <si>
    <t>NCC1OC(C(O)C1O)N1C=NC2=C(N)N=CN=C12</t>
  </si>
  <si>
    <t>GVSGUDGNTHCZHI-UHFFFAOYSA-N</t>
  </si>
  <si>
    <t>C10H14N6O3</t>
  </si>
  <si>
    <t>4.51_741.1819m/z</t>
  </si>
  <si>
    <t>Abt-751</t>
  </si>
  <si>
    <t>HMDB0247766</t>
  </si>
  <si>
    <t>COC1=CC=C(C=C1)S(=O)(=O)NC1=C(NC2=CC=C(O)C=C2)N=CC=C1</t>
  </si>
  <si>
    <t>URCVCIZFVQDVPM-UHFFFAOYSA-N</t>
  </si>
  <si>
    <t>C18H17N3O4S</t>
  </si>
  <si>
    <t>1.06_365.1417m/z</t>
  </si>
  <si>
    <t>Profluralin</t>
  </si>
  <si>
    <t>C19065</t>
  </si>
  <si>
    <t>26399-36-0</t>
  </si>
  <si>
    <t>CCCN(CC1CC1)C2=C(C=C(C=C2[N+](=O)[O-])C(F)(F)F)[N+](=O)[O-]</t>
  </si>
  <si>
    <t>ITVQAKZNYJEWKS-UHFFFAOYSA-N</t>
  </si>
  <si>
    <t>C14H16F3N3O4</t>
  </si>
  <si>
    <t>4.03_455.0969m/z</t>
  </si>
  <si>
    <t>L-2-Aminoethyl Seryl Phosphate</t>
  </si>
  <si>
    <t>HMDB0031950</t>
  </si>
  <si>
    <t>C03872</t>
  </si>
  <si>
    <t>1186-34-1</t>
  </si>
  <si>
    <t>NCCOP(O)(=O)OCC(N)C(O)=O</t>
  </si>
  <si>
    <t>UQDJGEHQDNVPGU-UHFFFAOYSA-N</t>
  </si>
  <si>
    <t>C5H13N2O6P</t>
  </si>
  <si>
    <t>4.24_281.1006m/z</t>
  </si>
  <si>
    <t>6-Nitroquipazine</t>
  </si>
  <si>
    <t>HMDB0247098</t>
  </si>
  <si>
    <t>[O-][N+](=O)C1=CC2=C(C=C1)N=C(C=C2)N1CCNCC1</t>
  </si>
  <si>
    <t>GGDBEAVVGFNWIA-UHFFFAOYSA-N</t>
  </si>
  <si>
    <t>Nitroquinolines and derivatives</t>
  </si>
  <si>
    <t>C13H14N4O2</t>
  </si>
  <si>
    <t>10.19_418.3888m/z</t>
  </si>
  <si>
    <t>Mg(A-21:0/0:0/0:0)[Rac]</t>
  </si>
  <si>
    <t>HMDB0072855</t>
  </si>
  <si>
    <t>[H][C@@](O)(CO)COC(=O)CCCCCCCCCCCCCCCCC(C)CC</t>
  </si>
  <si>
    <t>YTEYDCRHTOEYAS-OZAIVSQSSA-N</t>
  </si>
  <si>
    <t>C24H48O4</t>
  </si>
  <si>
    <t>3.54_495.0776m/z</t>
  </si>
  <si>
    <t>Furylfuramide</t>
  </si>
  <si>
    <t>HMDB0252550</t>
  </si>
  <si>
    <t>NC(=O)C(=CC1=CC=C(O1)[N+]([O-])=O)C1=CC=CO1</t>
  </si>
  <si>
    <t>LYAHJFZLDZDIOH-UHFFFAOYSA-N</t>
  </si>
  <si>
    <t>C11H8N2O5</t>
  </si>
  <si>
    <t>3.28_335.0863m/z</t>
  </si>
  <si>
    <t>St638</t>
  </si>
  <si>
    <t>107761-24-0</t>
  </si>
  <si>
    <t>CCOC1=CC(=CC(=C1O)CSC2=CC=CC=C2)C=C(C#N)C(=O)N</t>
  </si>
  <si>
    <t>YKLMGKWXBLSKPK-ZSOIEALJSA-N</t>
  </si>
  <si>
    <t>C19H18N2O3S</t>
  </si>
  <si>
    <t>3.62_275.0560m/z</t>
  </si>
  <si>
    <t>Coriandrin</t>
  </si>
  <si>
    <t>HMDB0033329</t>
  </si>
  <si>
    <t>116408-80-1</t>
  </si>
  <si>
    <t>COC1=C2C(=O)OC(C)=CC2=CC2=C1C=CO2</t>
  </si>
  <si>
    <t>BUZQIMYNOWPYHH-UHFFFAOYSA-N</t>
  </si>
  <si>
    <t>Isocoumarins and derivatives</t>
  </si>
  <si>
    <t>4.60_376.0999m/z</t>
  </si>
  <si>
    <t>4-O-Alpha-D-Galactopyranosylcalystegine B2</t>
  </si>
  <si>
    <t>HMDB0038228</t>
  </si>
  <si>
    <t>OCC1OC(OC2C3CCC(O)(N3)C(O)C2O)C(O)C(O)C1O</t>
  </si>
  <si>
    <t>IWKGAFMTKIYREN-UHFFFAOYSA-N</t>
  </si>
  <si>
    <t>C13H23NO9</t>
  </si>
  <si>
    <t>5.43_707.1768m/z</t>
  </si>
  <si>
    <t>Prunin 3'',6''-Di-P-Coumarate</t>
  </si>
  <si>
    <t>LMPK12140247</t>
  </si>
  <si>
    <t>C1(O[C@H]2[C@H](O)[C@@H](OC(/C=C/C3C=CC(O)=CC=3)=O)[C@H](O)[C@@H](COC(/C=C/C3C=CC(O)=CC=3)=O)O2)=CC2OC(C3C=CC(O)=CC=3)CC(=O)C=2C(O)=C1</t>
  </si>
  <si>
    <t>YHSNRKOEKHUGSK-MNTHYFCQSA-N</t>
  </si>
  <si>
    <t>C39H34O14</t>
  </si>
  <si>
    <t>11.21_369.2523m/z</t>
  </si>
  <si>
    <t>N-Lauroyl Tryptophan</t>
  </si>
  <si>
    <t>HMDB0242042</t>
  </si>
  <si>
    <t>CCCCCCCCCCCC(=O)NC(CC1=CNC2=C1C=CC=C2)C(O)=O</t>
  </si>
  <si>
    <t>MTYLJFSVEPZMIY-UHFFFAOYSA-N</t>
  </si>
  <si>
    <t>C23H34N2O3</t>
  </si>
  <si>
    <t>10.80_821.4325m/z</t>
  </si>
  <si>
    <t>1-(2-(4-(3-Phenyl-2h-1-Benzopyran-2-Yl)Phenoxy)Ethyl)Piperidine</t>
  </si>
  <si>
    <t>HMDB0249745</t>
  </si>
  <si>
    <t>C(CN1CCCCC1)OC1=CC=C(C=C1)C1OC2=CC=CC=C2C=C1C1=CC=CC=C1</t>
  </si>
  <si>
    <t>DBHGMZQRJDUFGS-UHFFFAOYSA-N</t>
  </si>
  <si>
    <t>Flav-3-enes</t>
  </si>
  <si>
    <t>C28H29NO2</t>
  </si>
  <si>
    <t>3.61_383.0949m/z</t>
  </si>
  <si>
    <t>Maltitol</t>
  </si>
  <si>
    <t>HMDB0002928</t>
  </si>
  <si>
    <t>585-88-6</t>
  </si>
  <si>
    <t>OC[C@H](O)[C@@H](O)[C@H](O[C@H]1O[C@H](CO)[C@@H](O)[C@H](O)[C@H]1O)[C@H](O)CO</t>
  </si>
  <si>
    <t>VQHSOMBJVWLPSR-WUJBLJFYSA-N</t>
  </si>
  <si>
    <t>3.84_350.1089m/z</t>
  </si>
  <si>
    <t>N-Acetyl-7-O-Acetylneuraminic Acid</t>
  </si>
  <si>
    <t>HMDB0000785</t>
  </si>
  <si>
    <t>C04016</t>
  </si>
  <si>
    <t>18529-63-0</t>
  </si>
  <si>
    <t>CC(=O)N[C@@H]1[C@@H](O)C[C@](O)(O[C@H]1[C@H](OC(C)=O)[C@H](O)CO)C(O)=O</t>
  </si>
  <si>
    <t>DUOKWMWKFGDUDQ-GRRZBWEESA-N</t>
  </si>
  <si>
    <t>C13H21NO10</t>
  </si>
  <si>
    <t>3.69_487.1663m/z</t>
  </si>
  <si>
    <t>Biotin</t>
  </si>
  <si>
    <t>HMDB0000030</t>
  </si>
  <si>
    <t>C00120</t>
  </si>
  <si>
    <t>ko00780,ko02010,ko04977</t>
  </si>
  <si>
    <t>Biotin metabolism|ABC transporters|Vitamin digestion and absorption</t>
  </si>
  <si>
    <t>58-85-5</t>
  </si>
  <si>
    <t>[H][C@]12CS[C@@H](CCCCC(O)=O)[C@@]1([H])NC(=O)N2</t>
  </si>
  <si>
    <t>YBJHBAHKTGYVGT-ZKWXMUAHSA-N</t>
  </si>
  <si>
    <t>Biotin and derivatives</t>
  </si>
  <si>
    <t>C10H16N2O3S</t>
  </si>
  <si>
    <t>5.79_392.1833n</t>
  </si>
  <si>
    <t>Vernolide A</t>
  </si>
  <si>
    <t>HMDB0259793</t>
  </si>
  <si>
    <t>COC12CCC(C)(O1)C=C1OC(=O)C(CO)=C1C(CC2C)OC(=O)C(C)=CC</t>
  </si>
  <si>
    <t>KZMMOGWSMBTTFY-UHFFFAOYSA-N</t>
  </si>
  <si>
    <t>C21H28O7</t>
  </si>
  <si>
    <t>4.88_219.1384m/z</t>
  </si>
  <si>
    <t>2,3,5-Trimethylfuran</t>
  </si>
  <si>
    <t>HMDB0029721</t>
  </si>
  <si>
    <t>10504-04-8</t>
  </si>
  <si>
    <t>CC1=CC(C)=C(C)O1</t>
  </si>
  <si>
    <t>NJXZFRUNHWKHEC-UHFFFAOYSA-N</t>
  </si>
  <si>
    <t>C7H10O</t>
  </si>
  <si>
    <t>3.53_188.0918m/z</t>
  </si>
  <si>
    <t>Herierin Iv</t>
  </si>
  <si>
    <t>HMDB0038761</t>
  </si>
  <si>
    <t>131123-57-4</t>
  </si>
  <si>
    <t>CC(O)C1=COC(CO)=CC1=O</t>
  </si>
  <si>
    <t>QWSHNEPQDNJHHB-UHFFFAOYSA-N</t>
  </si>
  <si>
    <t>C8H10O4</t>
  </si>
  <si>
    <t>2.46_221.0037m/z</t>
  </si>
  <si>
    <t>Methacrifos</t>
  </si>
  <si>
    <t>C18745</t>
  </si>
  <si>
    <t>62610-77-9</t>
  </si>
  <si>
    <t>CC(=COP(=S)(OC)OC)C(=O)OC</t>
  </si>
  <si>
    <t>NTAHCMPOMKHKEU-AATRIKPKSA-N</t>
  </si>
  <si>
    <t>C7H13O5PS</t>
  </si>
  <si>
    <t>4.95_575.1734m/z</t>
  </si>
  <si>
    <t>Macrocycle</t>
  </si>
  <si>
    <t>HMDB0254291</t>
  </si>
  <si>
    <t>CCC(C)C1NC(=O)C2=CSC(=N2)C(NC(=O)C2=CSC(CNC(=O)C3=C(C)OC1=N3)=N2)C(C)CC</t>
  </si>
  <si>
    <t>LGAILEFNHXWAJP-UHFFFAOYSA-N</t>
  </si>
  <si>
    <t>C24H30N6O4S2</t>
  </si>
  <si>
    <t>11.47_691.2589m/z</t>
  </si>
  <si>
    <t>Dihydrorhodamine 123</t>
  </si>
  <si>
    <t>HMDB0251329</t>
  </si>
  <si>
    <t>109244-58-8</t>
  </si>
  <si>
    <t>COC(=O)C1=CC=CC=C1C1C2=C(OC3=C1C=CC(N)=C3)C=C(N)C=C2</t>
  </si>
  <si>
    <t>FNEZBBILNYNQGC-UHFFFAOYSA-N</t>
  </si>
  <si>
    <t>C21H18N2O3</t>
  </si>
  <si>
    <t>8.01_1088.5563m/z</t>
  </si>
  <si>
    <t>CDP-DG(20:1(11Z)/18:1(12Z)-2OH(9,10))</t>
  </si>
  <si>
    <t>HMDB0291753</t>
  </si>
  <si>
    <t>[H][C@@](COC(=O)CCCCCCCCC\C=C/CCCCCCCC)(COP(O)(=O)OP(O)(=O)OC[C@H]1O[C@H]([C@H](O)[C@@H]1O)N1C=CC(N)=NC1=O)OC(=O)CCCCCCC[C@H](O)[C@@H](O)C\C=C/CCCCC</t>
  </si>
  <si>
    <t>ZHARKLIFOBOIBI-UFFOOGDHSA-N</t>
  </si>
  <si>
    <t>C50H89N3O17P2</t>
  </si>
  <si>
    <t>11.84_172.0941m/z</t>
  </si>
  <si>
    <t>Triethanolamine</t>
  </si>
  <si>
    <t>HMDB0032538</t>
  </si>
  <si>
    <t>C06771</t>
  </si>
  <si>
    <t>102-71-6</t>
  </si>
  <si>
    <t>OCCN(CCO)CCO</t>
  </si>
  <si>
    <t>GSEJCLTVZPLZKY-UHFFFAOYSA-N</t>
  </si>
  <si>
    <t>C6H15NO3</t>
  </si>
  <si>
    <t>12.72_921.4311m/z</t>
  </si>
  <si>
    <t>Bitolterol</t>
  </si>
  <si>
    <t>HMDB0249279</t>
  </si>
  <si>
    <t>C06853</t>
  </si>
  <si>
    <t>30392-40-6</t>
  </si>
  <si>
    <t>CC1=CC=C(C=C1)C(=O)OC1=C(OC(=O)C2=CC=C(C)C=C2)C=C(C=C1)C(O)CNC(C)(C)C</t>
  </si>
  <si>
    <t>FZGVEKPRDOIXJY-UHFFFAOYSA-N</t>
  </si>
  <si>
    <t>C28H31NO5</t>
  </si>
  <si>
    <t>11.32_325.2745m/z</t>
  </si>
  <si>
    <t>6,10,14-Trimethyl-2-Methylenepentadecanal</t>
  </si>
  <si>
    <t>HMDB0034496</t>
  </si>
  <si>
    <t>83725-57-9</t>
  </si>
  <si>
    <t>CC(C)CCCC(C)CCCC(C)CCCC(=C)C=O</t>
  </si>
  <si>
    <t>PTFJEDBJXCZCDO-UHFFFAOYSA-N</t>
  </si>
  <si>
    <t>C19H36O</t>
  </si>
  <si>
    <t>5.54_1028.4637m/z</t>
  </si>
  <si>
    <t>CDP-DG(16:0/20:5(7Z,9Z,11E,13E,17Z)-3OH(5,6,15))</t>
  </si>
  <si>
    <t>HMDB0290833</t>
  </si>
  <si>
    <t>[H][C@@](COC(=O)CCCCCCCCCCCCCCC)(COP(O)(=O)OP(O)(=O)OC[C@H]1O[C@H]([C@H](O)[C@@H]1O)N1C=CC(N)=NC1=O)OC(=O)CCC[C@@H](O)[C@H](O)\C=C/C=C\C=C\C=C\[C@@H](O)C\C=C/CC</t>
  </si>
  <si>
    <t>ZVFRDDCZCWFSKQ-TULLCWABSA-N</t>
  </si>
  <si>
    <t>C48H79N3O18P2</t>
  </si>
  <si>
    <t>0.92_283.0013m/z</t>
  </si>
  <si>
    <t>5-Methylthioribose 1-Phosphate</t>
  </si>
  <si>
    <t>HMDB0000963</t>
  </si>
  <si>
    <t>C04188</t>
  </si>
  <si>
    <t>68134-74-7</t>
  </si>
  <si>
    <t>CSC[C@H]1O[C@H](OP(O)(O)=O)[C@H](O)[C@@H]1O</t>
  </si>
  <si>
    <t>JTFITTQBRJDSTL-KVTDHHQDSA-N</t>
  </si>
  <si>
    <t>C6H13O7PS</t>
  </si>
  <si>
    <t>4.90_288.1384n</t>
  </si>
  <si>
    <t>Sodium Lauryl Sulfate</t>
  </si>
  <si>
    <t>HMDB0005004</t>
  </si>
  <si>
    <t>C11166</t>
  </si>
  <si>
    <t>151-21-3</t>
  </si>
  <si>
    <t>CCCCCCCCCCCCOS(=O)(=O)[O-].[Na+]</t>
  </si>
  <si>
    <t>DBMJMQXJHONAFJ-UHFFFAOYSA-M</t>
  </si>
  <si>
    <t>C12H25NaO4S</t>
  </si>
  <si>
    <t>4.10_391.1613m/z</t>
  </si>
  <si>
    <t>2-(Ethylamino)-4,5-Dihydroxybenzamide</t>
  </si>
  <si>
    <t>HMDB0032852</t>
  </si>
  <si>
    <t>127793-87-7</t>
  </si>
  <si>
    <t>CCNC1=CC(O)=C(O)C=C1C(N)=O</t>
  </si>
  <si>
    <t>VAWDXOCBSZJIEL-UHFFFAOYSA-N</t>
  </si>
  <si>
    <t>C9H12N2O3</t>
  </si>
  <si>
    <t>4.01_175.0965m/z</t>
  </si>
  <si>
    <t>Isobutyric Acid</t>
  </si>
  <si>
    <t>HMDB0001873</t>
  </si>
  <si>
    <t>LMFA01020071</t>
  </si>
  <si>
    <t>C02632</t>
  </si>
  <si>
    <t>ko04974</t>
  </si>
  <si>
    <t>Protein digestion and absorption</t>
  </si>
  <si>
    <t>79-31-2</t>
  </si>
  <si>
    <t>CC(C)C(=O)O</t>
  </si>
  <si>
    <t>KQNPFQTWMSNSAP-UHFFFAOYSA-N</t>
  </si>
  <si>
    <t>C4H8O2</t>
  </si>
  <si>
    <t>10.17_393.2281m/z</t>
  </si>
  <si>
    <t>15(R)-15-Methyl Prostaglandin A2</t>
  </si>
  <si>
    <t>CCCCCC(C)(C=CC1C=CC(=O)C1CC=CCCCC(=O)O)O</t>
  </si>
  <si>
    <t>UEBXYYKXJUBAJX-ULDSDQABSA-N</t>
  </si>
  <si>
    <t>4.74_765.2964m/z</t>
  </si>
  <si>
    <t>Meropenem</t>
  </si>
  <si>
    <t>HMDB0014898</t>
  </si>
  <si>
    <t>C06666</t>
  </si>
  <si>
    <t>119478-56-7</t>
  </si>
  <si>
    <t>[H][C@]1([C@@H](C)O)C(=O)N2C(C(O)=O)=C(S[C@@H]3CN[C@@H](C3)C(=O)N(C)C)[C@H](C)[C@]12[H]</t>
  </si>
  <si>
    <t>DMJNNHOOLUXYBV-PQTSNVLCSA-N</t>
  </si>
  <si>
    <t>C17H25N3O5S</t>
  </si>
  <si>
    <t>4.00_338.0866m/z</t>
  </si>
  <si>
    <t>2,8-Dihydroxyquinoline-Beta-D-Glucuronide</t>
  </si>
  <si>
    <t>HMDB0011658</t>
  </si>
  <si>
    <t>O[C@H]1[C@H](OC2=NC3=C(C=CC=C3O)C=C2)O[C@@H]([C@@H](O)[C@@H]1O)C(O)=O</t>
  </si>
  <si>
    <t>YQBCNQXCTHWJOK-DKBOKBLXSA-N</t>
  </si>
  <si>
    <t>C15H15NO8</t>
  </si>
  <si>
    <t>6.39_603.2091m/z</t>
  </si>
  <si>
    <t>Dibenzo[A,L]Pyrene</t>
  </si>
  <si>
    <t>HMDB0060116</t>
  </si>
  <si>
    <t>C19174</t>
  </si>
  <si>
    <t>191-30-0</t>
  </si>
  <si>
    <t>C1=CC=C2C(=C1)C=C1C=CC3=C4C(=CC=C3)C3=CC=CC=C3C2=C14</t>
  </si>
  <si>
    <t>JNTHRSHGARDABO-UHFFFAOYSA-N</t>
  </si>
  <si>
    <t>C24H14</t>
  </si>
  <si>
    <t>12.38_377.1635m/z</t>
  </si>
  <si>
    <t>Finerenone</t>
  </si>
  <si>
    <t>HMDB0252261</t>
  </si>
  <si>
    <t>CCOC1=NC=C(C)C2=C1C(C1=C(OC)C=C(C=C1)C#N)C(C(N)=O)=C(C)N2</t>
  </si>
  <si>
    <t>BTBHLEZXCOBLCY-UHFFFAOYSA-N</t>
  </si>
  <si>
    <t>C21H22N4O3</t>
  </si>
  <si>
    <t>5.65_819.2696m/z</t>
  </si>
  <si>
    <t>(-)-Cis-Rotenolone</t>
  </si>
  <si>
    <t>HMDB0034145</t>
  </si>
  <si>
    <t>C10464</t>
  </si>
  <si>
    <t>509-96-6</t>
  </si>
  <si>
    <t>[H][C@@]12COC3=C(C=C(OC)C(OC)=C3)[C@]1(O)C(=O)C1=CC=C3O[C@H](CC3=C1O2)C(C)=C</t>
  </si>
  <si>
    <t>JFVKWCYZKMUTLH-AYPBNUJASA-N</t>
  </si>
  <si>
    <t>C23H22O7</t>
  </si>
  <si>
    <t>3.75_989.3496m/z</t>
  </si>
  <si>
    <t>Kt 5823</t>
  </si>
  <si>
    <t>126643-37-6</t>
  </si>
  <si>
    <t>CC12C(CC(O1)N3C4=CC=CC=C4C5=C6C(=C7C8=CC=CC=C8N2C7=C53)CN(C6=O)C)(C(=O)OC)OC</t>
  </si>
  <si>
    <t>QTYMDECKVKSGSM-YMUMJAELSA-N</t>
  </si>
  <si>
    <t>C29H25N3O5</t>
  </si>
  <si>
    <t>1.09_151.0866m/z</t>
  </si>
  <si>
    <t>4-Hydroxybenzeneacetonitrile</t>
  </si>
  <si>
    <t>HMDB0029757</t>
  </si>
  <si>
    <t>C03766</t>
  </si>
  <si>
    <t>14191-95-8</t>
  </si>
  <si>
    <t>OC1=CC=C(CC#N)C=C1</t>
  </si>
  <si>
    <t>AYKYOOPFBCOXSL-UHFFFAOYSA-N</t>
  </si>
  <si>
    <t>Benzyl cyanides</t>
  </si>
  <si>
    <t>C8H7NO</t>
  </si>
  <si>
    <t>7.21_620.3214m/z</t>
  </si>
  <si>
    <t>Revefenacin</t>
  </si>
  <si>
    <t>HMDB0304897</t>
  </si>
  <si>
    <t>CN(CCN1CCC(CC1)OC(=O)NC1=CC=CC=C1C1=CC=CC=C1)C(=O)C1=CC=C(CN2CCC(CC2)C(N)=O)C=C1</t>
  </si>
  <si>
    <t>FYDWDCIFZSGNBU-UHFFFAOYSA-N</t>
  </si>
  <si>
    <t>C35H43N5O4</t>
  </si>
  <si>
    <t>1.20_206.0213m/z</t>
  </si>
  <si>
    <t>Furazolidone</t>
  </si>
  <si>
    <t>HMDB0014752</t>
  </si>
  <si>
    <t>C07999</t>
  </si>
  <si>
    <t>67-45-8</t>
  </si>
  <si>
    <t>[O-][N+](=O)C1=CC=C(O1)\C=N\N1CCOC1=O</t>
  </si>
  <si>
    <t>PLHJDBGFXBMTGZ-WEVVVXLNSA-N</t>
  </si>
  <si>
    <t>Nitrofurans</t>
  </si>
  <si>
    <t>C8H7N3O5</t>
  </si>
  <si>
    <t>4.63_329.1382m/z</t>
  </si>
  <si>
    <t>Gibberellin A126</t>
  </si>
  <si>
    <t>HMDB0038314</t>
  </si>
  <si>
    <t>357401-45-7</t>
  </si>
  <si>
    <t>[H][C@@]12C[C@H](O)[C@]3(O)C[C@]1(CC3=C)[C@@H](C(O)=O)[C@]1([H])[C@@]3(C)CC=C[C@@]21OC3=O</t>
  </si>
  <si>
    <t>KGTGZKSZLCTQNX-OBDJNFEBSA-N</t>
  </si>
  <si>
    <t>5.42_355.1541m/z</t>
  </si>
  <si>
    <t>Epoxybergamottin</t>
  </si>
  <si>
    <t>LMPK12160610</t>
  </si>
  <si>
    <t>206978-14-5</t>
  </si>
  <si>
    <t>C1(OC/C=C(/CCC2OC2(C)C)\C)=C2C(OC(=O)C=C2)=CC2=C1C=CO2</t>
  </si>
  <si>
    <t>OOKSPQLCQUBEKU-MDWZMJQESA-N</t>
  </si>
  <si>
    <t>C21H22O5</t>
  </si>
  <si>
    <t>1.17_363.0910m/z</t>
  </si>
  <si>
    <t>Enterodiol Sulfate</t>
  </si>
  <si>
    <t>HMDB0240504</t>
  </si>
  <si>
    <t>[H][C@@](CO)(CC1=CC(O)=CC=C1)[C@]([H])(CO)CC1=CC(OS(O)(=O)=O)=CC=C1</t>
  </si>
  <si>
    <t>QFWYXPNNPTWNSP-HOTGVXAUSA-N</t>
  </si>
  <si>
    <t>C18H22O7S</t>
  </si>
  <si>
    <t>9.16_214.1357n</t>
  </si>
  <si>
    <t>Farfugin A</t>
  </si>
  <si>
    <t>LMPR0103220001</t>
  </si>
  <si>
    <t>C1CC2C(C)=CC3OC=C(C)C=3C=2[C@@H](C)C1</t>
  </si>
  <si>
    <t>QUNSESJRLJEVEV-VIFPVBQESA-N</t>
  </si>
  <si>
    <t>C15H18O</t>
  </si>
  <si>
    <t>10.34_343.1880m/z</t>
  </si>
  <si>
    <t>Oryzalide B</t>
  </si>
  <si>
    <t>HMDB0037592</t>
  </si>
  <si>
    <t>134885-94-2</t>
  </si>
  <si>
    <t>CC1(C)C2CCC34CC(CCC3C2(C)C(O)OC1=O)C(=C)C4O</t>
  </si>
  <si>
    <t>QINXJSIKYUBGSE-UHFFFAOYSA-N</t>
  </si>
  <si>
    <t>C19H28O4</t>
  </si>
  <si>
    <t>5.10_550.3250m/z</t>
  </si>
  <si>
    <t>1-O-(2-Methoxyhexadecyl)-Sn-Glycerol-3-Phosphocholine</t>
  </si>
  <si>
    <t>LMGP01060042</t>
  </si>
  <si>
    <t>[C@](COP(=O)([O-])OCC[N+](C)(C)C)([H])(O)COCC(OC)CCCCCCCCCCCCCC</t>
  </si>
  <si>
    <t>BRRAOCFWJYNWFK-IKOFQBKESA-N</t>
  </si>
  <si>
    <t>C25H54NO7P</t>
  </si>
  <si>
    <t>1.55_293.1017m/z</t>
  </si>
  <si>
    <t>Pimonidazole</t>
  </si>
  <si>
    <t>HMDB0256554</t>
  </si>
  <si>
    <t>70132-50-2</t>
  </si>
  <si>
    <t>OC(CN1C=CN=C1[N+]([O-])=O)CN1CCCCC1</t>
  </si>
  <si>
    <t>WVWOOAYQYLJEFD-UHFFFAOYSA-N</t>
  </si>
  <si>
    <t>C11H18N4O3</t>
  </si>
  <si>
    <t>7.53_320.1502m/z</t>
  </si>
  <si>
    <t>4'-Hydroxypropanolol</t>
  </si>
  <si>
    <t>HMDB0060989</t>
  </si>
  <si>
    <t>10476-53-6</t>
  </si>
  <si>
    <t>CC(C)NCC(O)COC1=CC=C(O)C2=CC=CC=C12</t>
  </si>
  <si>
    <t>CWEPACWBWIOYID-UHFFFAOYSA-N</t>
  </si>
  <si>
    <t>C16H21NO3</t>
  </si>
  <si>
    <t>11.74_364.3417m/z</t>
  </si>
  <si>
    <t>1-O-(2-Methoxy-Hexadecyl)-Sn-Glycerol</t>
  </si>
  <si>
    <t>LMGL01020037</t>
  </si>
  <si>
    <t>C(CCCCCC(OC)COC[C@@](O)(CO)[H])CCCCCCCC</t>
  </si>
  <si>
    <t>LMVRXHKEYGPTCX-XJDOXCRVSA-N</t>
  </si>
  <si>
    <t>C20H42O4</t>
  </si>
  <si>
    <t>11.22_419.2437m/z</t>
  </si>
  <si>
    <t>Rostafuroxin</t>
  </si>
  <si>
    <t>HMDB0257312</t>
  </si>
  <si>
    <t>CC12CCC3C(CCC4CC(O)CCC34C)C1(O)CCC2(O)C1=COC=C1</t>
  </si>
  <si>
    <t>AEAPORIZZWBIEX-UHFFFAOYSA-N</t>
  </si>
  <si>
    <t>17-furanylsteroids and derivatives</t>
  </si>
  <si>
    <t>10.98_447.2510m/z</t>
  </si>
  <si>
    <t>3alpha,11alpha,12alpha-Trihydroxy-5beta-Cholan-24-Oic Acid</t>
  </si>
  <si>
    <t>LMST04010370</t>
  </si>
  <si>
    <t>C1[C@]2(C)[C@@]3([H])[C@H](O)[C@H](O)[C@]4(C)[C@@]([H])([C@]([H])(C)CCC(O)=O)CC[C@@]4([H])[C@]3([H])CC[C@]2([H])C[C@H](O)C1</t>
  </si>
  <si>
    <t>ASTJGIPTRWBWLM-AATNWSJTSA-N</t>
  </si>
  <si>
    <t>C24H40O5</t>
  </si>
  <si>
    <t>9.71_687.3338m/z</t>
  </si>
  <si>
    <t>Pg-Pi</t>
  </si>
  <si>
    <t>LMGP20050015</t>
  </si>
  <si>
    <t>[C@]([H])(OC(CCCC(=O)O)=O)(COP(=O)(O)O[C@H]1[C@H](O)[C@@H](O)[C@H](O)[C@@H](O)[C@H]1O)COC(CCCCCCCCCCCCCCC)=O</t>
  </si>
  <si>
    <t>YOUHQNZTUOGGPJ-VJWWDYSNSA-N</t>
  </si>
  <si>
    <t>C30H55O15P</t>
  </si>
  <si>
    <t>0.75_296.0433m/z</t>
  </si>
  <si>
    <t>3,5-Dimethoxy-4-(Sulfooxy)Benzoic Acid</t>
  </si>
  <si>
    <t>HMDB0131461</t>
  </si>
  <si>
    <t>COC1=CC(=CC(OC)=C1OS(O)(=O)=O)C(O)=O</t>
  </si>
  <si>
    <t>RUXRRHGJTRVOSL-UHFFFAOYSA-N</t>
  </si>
  <si>
    <t>C9H10O8S</t>
  </si>
  <si>
    <t>3.99_393.1555m/z</t>
  </si>
  <si>
    <t>8-Angeloylegelolide</t>
  </si>
  <si>
    <t>HMDB0037773</t>
  </si>
  <si>
    <t>142449-63-6</t>
  </si>
  <si>
    <t>C\C=C(/C)C(=O)OC1CC(C)(O)C2=COC(C)=C2C2OC(=O)C(C)C12</t>
  </si>
  <si>
    <t>UUYOHEAYCPQMKY-RMKNXTFCSA-N</t>
  </si>
  <si>
    <t>9.31_664.4206m/z</t>
  </si>
  <si>
    <t>PS(12:0/15:1(9Z))</t>
  </si>
  <si>
    <t>LMGP03010048</t>
  </si>
  <si>
    <t>C(O)(=O)[C@@]([H])(N)COP(OC[C@]([H])(OC(CCCCCCC/C=C\CCCCC)=O)COC(CCCCCCCCCCC)=O)(=O)O</t>
  </si>
  <si>
    <t>AYZDMTSBLFKJKV-SGLFAEFCSA-N</t>
  </si>
  <si>
    <t>C33H62NO10P</t>
  </si>
  <si>
    <t>11.23_947.5205m/z</t>
  </si>
  <si>
    <t>Gitoxigenin Diacetate</t>
  </si>
  <si>
    <t>5996-03-2</t>
  </si>
  <si>
    <t>CC(=O)OC1CCC2(C(C1)CCC3C2CCC4(C3(CC(C4C5=CC(=O)OC5)OC(=O)C)O)C)C</t>
  </si>
  <si>
    <t>ANNNOIZFDGPVNC-UHFFFAOYSA-N</t>
  </si>
  <si>
    <t>C27H38O7</t>
  </si>
  <si>
    <t>0.75_653.2139m/z</t>
  </si>
  <si>
    <t>Tranilast</t>
  </si>
  <si>
    <t>53902-12-8</t>
  </si>
  <si>
    <t>COC1=C(C=C(C=C1)C=CC(=O)NC2=CC=CC=C2C(=O)O)OC</t>
  </si>
  <si>
    <t>NZHGWWWHIYHZNX-CSKARUKUSA-N</t>
  </si>
  <si>
    <t>C18H17NO5</t>
  </si>
  <si>
    <t>0.78_128.0705m/z</t>
  </si>
  <si>
    <t>Pyrocatechol</t>
  </si>
  <si>
    <t>HMDB0000957</t>
  </si>
  <si>
    <t>C15571</t>
  </si>
  <si>
    <t>120-80-9</t>
  </si>
  <si>
    <t>OC1=CC=CC=C1O</t>
  </si>
  <si>
    <t>YCIMNLLNPGFGHC-UHFFFAOYSA-N</t>
  </si>
  <si>
    <t>C6H6O2</t>
  </si>
  <si>
    <t>4.21_339.1659m/z</t>
  </si>
  <si>
    <t>Carboquone</t>
  </si>
  <si>
    <t>HMDB0249646</t>
  </si>
  <si>
    <t>COC(COC(O)=N)C1=C(N2CC2)C(=O)C(C)=C(N2CC2)C1=O</t>
  </si>
  <si>
    <t>SHHKQEUPHAENFK-UHFFFAOYSA-N</t>
  </si>
  <si>
    <t>C15H19N3O5</t>
  </si>
  <si>
    <t>4.05_720.3063m/z</t>
  </si>
  <si>
    <t>Bz-Ile-Glu-Gly-Arg-Pna</t>
  </si>
  <si>
    <t>HMDB0249496</t>
  </si>
  <si>
    <t>CCC(C)C(NC(=O)C1=CC=CC=C1)C(=O)NC(CCC(O)=O)C(=O)NCC(=O)NC(CCCN=C(N)N)C(=O)NC1=CC=C(C=C1)[N+]([O-])=O</t>
  </si>
  <si>
    <t>ZYECEUZMVSGTMR-UHFFFAOYSA-N</t>
  </si>
  <si>
    <t>C32H43N9O9</t>
  </si>
  <si>
    <t>9.14_745.3432m/z</t>
  </si>
  <si>
    <t>Tyr-D-Thr-Gly-Phe-Leu-Thr</t>
  </si>
  <si>
    <t>HMDB0251632</t>
  </si>
  <si>
    <t>CC(C)CC(NC(=O)C(CC1=CC=CC=C1)NC(=O)CNC(=O)C(NC(=O)C(N)CC1=CC=C(O)C=C1)C(C)O)C(=O)NC(C(C)O)C(O)=O</t>
  </si>
  <si>
    <t>WJEFCEUSQYDJIF-UHFFFAOYSA-N</t>
  </si>
  <si>
    <t>C34H48N6O10</t>
  </si>
  <si>
    <t>4.81_199.0967m/z</t>
  </si>
  <si>
    <t>Beta,Beta-Dimethyl Acrylic Acid</t>
  </si>
  <si>
    <t>HMDB0000509</t>
  </si>
  <si>
    <t>LMFA01020097</t>
  </si>
  <si>
    <t>541-47-9</t>
  </si>
  <si>
    <t>C(=C(/C)\C)\C(=O)O</t>
  </si>
  <si>
    <t>YYPNJNDODFVZLE-UHFFFAOYSA-N</t>
  </si>
  <si>
    <t>11.75_453.1950m/z</t>
  </si>
  <si>
    <t>6-Beta-Hydroxydexamethasone</t>
  </si>
  <si>
    <t>HMDB0061022</t>
  </si>
  <si>
    <t>C[C@@H]1CC2C3C[C@@H](O)C4=CC(=O)C=C[C@]4(C)[C@@]3(F)[C@@H](O)C[C@]2(C)[C@@]1(O)C(=O)CO</t>
  </si>
  <si>
    <t>RVBSTEHLLHXILB-NFERVAMVSA-N</t>
  </si>
  <si>
    <t>C22H29FO6</t>
  </si>
  <si>
    <t>5.62_536.3193n</t>
  </si>
  <si>
    <t>Glas#24</t>
  </si>
  <si>
    <t>LMFA13040099</t>
  </si>
  <si>
    <t>O([C@H](C)CCCCCCCCCCCC(=O)O[C@H]1[C@H](O)[C@@H](O)[C@H](O)[C@@H](CO)O1)[C@H]1[C@H](O)C[C@@H](O)[C@H](C)O1</t>
  </si>
  <si>
    <t>ZZMOUVIMWCRXAF-UXOPZYHUSA-N</t>
  </si>
  <si>
    <t>C26H48O11</t>
  </si>
  <si>
    <t>7.19_224.0913m/z</t>
  </si>
  <si>
    <t>Methocarbamol</t>
  </si>
  <si>
    <t>HMDB0014567</t>
  </si>
  <si>
    <t>532-03-6</t>
  </si>
  <si>
    <t>COC1=CC=CC=C1OCC(O)COC(N)=O</t>
  </si>
  <si>
    <t>GNXFOGHNGIVQEH-UHFFFAOYSA-N</t>
  </si>
  <si>
    <t>C11H15NO5</t>
  </si>
  <si>
    <t>12.28_989.5670m/z</t>
  </si>
  <si>
    <t>Mibefradil</t>
  </si>
  <si>
    <t>C07222</t>
  </si>
  <si>
    <t>116644-53-2</t>
  </si>
  <si>
    <t>CC(C)C1C2=C(CCC1(CCN(C)CCCC3=NC4=CC=CC=C4N3)OC(=O)COC)C=C(C=C2)F</t>
  </si>
  <si>
    <t>HBNPJJILLOYFJU-VMPREFPWSA-N</t>
  </si>
  <si>
    <t>C29H38FN3O3</t>
  </si>
  <si>
    <t>4.65_404.1130n</t>
  </si>
  <si>
    <t>Cassiaside</t>
  </si>
  <si>
    <t>HMDB0033913</t>
  </si>
  <si>
    <t>123914-49-8</t>
  </si>
  <si>
    <t>CC1=CC(=O)C2=C(O1)C=C1C=CC=C(OC3OC(CO)C(O)C(O)C3O)C1=C2O</t>
  </si>
  <si>
    <t>SBVZTBIAKFTNIJ-UHFFFAOYSA-N</t>
  </si>
  <si>
    <t>C20H20O9</t>
  </si>
  <si>
    <t>9.21_532.2340m/z</t>
  </si>
  <si>
    <t>Endoxifen O-Glucuronide</t>
  </si>
  <si>
    <t>HMDB0060622</t>
  </si>
  <si>
    <t>CCC(C(C1=CC=C(OCCNC)C=C1)C1=CC=C(OC2OC(C(O)C(O)C2O)C(O)=O)C=C1)C1=CC=CC=C1</t>
  </si>
  <si>
    <t>PWUOWFLVEJOLMS-UHFFFAOYSA-N</t>
  </si>
  <si>
    <t>C31H37NO8</t>
  </si>
  <si>
    <t>3.90_475.0830m/z</t>
  </si>
  <si>
    <t>Belinostat Glucuronide</t>
  </si>
  <si>
    <t>HMDB0259509</t>
  </si>
  <si>
    <t>OC1C(O)C(ONC(=O)C=CC2=CC(=CC=C2)S(=O)(=O)NC2=CC=CC=C2)OC(C1O)C(O)=O</t>
  </si>
  <si>
    <t>FZFPHALYAMPZAH-UHFFFAOYSA-N</t>
  </si>
  <si>
    <t>C21H22N2O10S</t>
  </si>
  <si>
    <t>5.88_465.2126m/z</t>
  </si>
  <si>
    <t>Armillane</t>
  </si>
  <si>
    <t>HMDB0035779</t>
  </si>
  <si>
    <t>126006-69-7</t>
  </si>
  <si>
    <t>CC1=CC(C(=O)OC2CC3(C)C4CC(C)(C)CC4C(O)C(CO)C23O)=C(O)C=C1O</t>
  </si>
  <si>
    <t>XAJFXYLALLZDAD-UHFFFAOYSA-N</t>
  </si>
  <si>
    <t>C23H32O7</t>
  </si>
  <si>
    <t>4.85_406.0218m/z</t>
  </si>
  <si>
    <t>Tetraphyllin B Sulfate</t>
  </si>
  <si>
    <t>HMDB0038486</t>
  </si>
  <si>
    <t>85758-30-1</t>
  </si>
  <si>
    <t>OCC1OC(OC2(CC(OS(O)(=O)=O)C=C2)C#N)C(O)C(O)C1O</t>
  </si>
  <si>
    <t>OXUIYNFEUWRHJJ-UHFFFAOYSA-N</t>
  </si>
  <si>
    <t>C12H17NO10S</t>
  </si>
  <si>
    <t>14.42_395.3627m/z</t>
  </si>
  <si>
    <t>N-Stearoyl Lysine</t>
  </si>
  <si>
    <t>HMDB0241946</t>
  </si>
  <si>
    <t>CCCCCCCCCCCCCCCCCC(=O)NC(CCCCN)C(O)=O</t>
  </si>
  <si>
    <t>VWYVABSAUVXYNS-UHFFFAOYSA-N</t>
  </si>
  <si>
    <t>C24H48N2O3</t>
  </si>
  <si>
    <t>3.51_226.0710m/z</t>
  </si>
  <si>
    <t>Vanilloylglycine</t>
  </si>
  <si>
    <t>HMDB0060026</t>
  </si>
  <si>
    <t>COC1=C(O)C=CC(=C1)C(O)=NCC(O)=O</t>
  </si>
  <si>
    <t>LOODYTDRRBLQNH-UHFFFAOYSA-N</t>
  </si>
  <si>
    <t>C10H11NO5</t>
  </si>
  <si>
    <t>14.82_553.5294m/z</t>
  </si>
  <si>
    <t>N-[(4e,8e)-1,3-Dihydroxyoctadeca-4,8-Dien-2-Yl]Hexadecanamide</t>
  </si>
  <si>
    <t>HMDB0035480</t>
  </si>
  <si>
    <t>141980-53-2</t>
  </si>
  <si>
    <t>CCCCCCCCCCCCCCCC(=O)NC(CO)C(O)\C=C/CC\C=C/CCCCCCCCC</t>
  </si>
  <si>
    <t>GMWIWVUTMCBDSP-RTXSCNSFSA-N</t>
  </si>
  <si>
    <t>C34H65NO3</t>
  </si>
  <si>
    <t>4.61_283.0821m/z</t>
  </si>
  <si>
    <t>3,4,5-Trimethoxycinnamic Acid</t>
  </si>
  <si>
    <t>HMDB0002511</t>
  </si>
  <si>
    <t>90-50-6</t>
  </si>
  <si>
    <t>COC1=CC(\C=C\C(O)=O)=CC(OC)=C1OC</t>
  </si>
  <si>
    <t>YTFVRYKNXDADBI-SNAWJCMRSA-N</t>
  </si>
  <si>
    <t>C12H14O5</t>
  </si>
  <si>
    <t>1.81_559.9841m/z</t>
  </si>
  <si>
    <t>5-Iodoacetamidofluorescein</t>
  </si>
  <si>
    <t>HMDB0246814</t>
  </si>
  <si>
    <t>OC1=CC2=C(C=C1)C1(OC(=O)C3=C1C=CC(NC(=O)CI)=C3)C1=C(O2)C=C(O)C=C1</t>
  </si>
  <si>
    <t>UATCLPJEZJKNHE-UHFFFAOYSA-N</t>
  </si>
  <si>
    <t>C22H14INO6</t>
  </si>
  <si>
    <t>9.96_469.2953m/z</t>
  </si>
  <si>
    <t>(17alpha,23s)-17,23-Epoxy-29-Hydroxy-27-Norlanosta-1,8-Diene-3,15,24-Trione</t>
  </si>
  <si>
    <t>HMDB0035971</t>
  </si>
  <si>
    <t>CCC(=O)C1CC(C)C2(CC(=O)C3(C)C4=C(CCC23C)C2(C)C=CC(=O)C(C)(CO)C2CC4)O1</t>
  </si>
  <si>
    <t>BQWYLPVWSPZWPN-UHFFFAOYSA-N</t>
  </si>
  <si>
    <t>C29H40O5</t>
  </si>
  <si>
    <t>2.58_208.0381m/z</t>
  </si>
  <si>
    <t>6-Fluoropyridoxal</t>
  </si>
  <si>
    <t>HMDB0247064</t>
  </si>
  <si>
    <t>CC1=C(O)C(C=O)=C(CO)C(F)=N1</t>
  </si>
  <si>
    <t>NTOKCJHDRACAJH-UHFFFAOYSA-N</t>
  </si>
  <si>
    <t>C8H8FNO3</t>
  </si>
  <si>
    <t>10.57_404.1764m/z</t>
  </si>
  <si>
    <t>Zolantidine</t>
  </si>
  <si>
    <t>HMDB0260039</t>
  </si>
  <si>
    <t>C(CNC1=NC2=CC=CC=C2S1)COC1=CC=CC(CN2CCCCC2)=C1</t>
  </si>
  <si>
    <t>KUBONGDXTUOOLM-UHFFFAOYSA-N</t>
  </si>
  <si>
    <t>C22H27N3OS</t>
  </si>
  <si>
    <t>4.28_345.1449m/z</t>
  </si>
  <si>
    <t>N-(4-Amino-2,5-Diethoxyphenyl)Benzamide</t>
  </si>
  <si>
    <t>HMDB0244456</t>
  </si>
  <si>
    <t>CCOC1=CC(N=C(O)C2=CC=CC=C2)=C(OCC)C=C1N</t>
  </si>
  <si>
    <t>CNXZLZNEIYFZGU-UHFFFAOYSA-N</t>
  </si>
  <si>
    <t>4.41_288.0743n</t>
  </si>
  <si>
    <t>9-(2-Phosphonylmethoxyethyl)-2,6-Diaminopurine</t>
  </si>
  <si>
    <t>HMDB0256651</t>
  </si>
  <si>
    <t>NC1=NC(N)=C2N=CN(CCOCP(O)(O)=O)C2=N1</t>
  </si>
  <si>
    <t>XHXFQGAZAVKMFF-UHFFFAOYSA-N</t>
  </si>
  <si>
    <t>C8H13N6O4P</t>
  </si>
  <si>
    <t>1.31_470.1773m/z</t>
  </si>
  <si>
    <t>Ethanol And Folate</t>
  </si>
  <si>
    <t>HMDB0252006</t>
  </si>
  <si>
    <t>CCOC(=O)CCC(NC(=O)C1=CC=C(NCC2=CN=C3N=C(N)NC(=O)C3=N2)C=C1)C(O)=O</t>
  </si>
  <si>
    <t>MRPSQXGBPTZNAY-UHFFFAOYSA-N</t>
  </si>
  <si>
    <t>C21H23N7O6</t>
  </si>
  <si>
    <t>10.51_533.3080m/z</t>
  </si>
  <si>
    <t>25-Hydroxy-Atrotosterone A</t>
  </si>
  <si>
    <t>LMST01010426</t>
  </si>
  <si>
    <t>C1[C@H](O)[C@H](O)C[C@@]2([H])C(=O)C=C3[C@@]([C@H](O)C[C@]4([C@@]3(O)CC[C@]4([H])[C@](O)(C)[C@H](O)C[C@@H](C)C(O)(C)C)C)([H])[C@]21C</t>
  </si>
  <si>
    <t>FSNRQNKYLJDXMZ-PAVCVWLKSA-N</t>
  </si>
  <si>
    <t>C28H46O8</t>
  </si>
  <si>
    <t>7.53_549.2705m/z</t>
  </si>
  <si>
    <t>[(1s,2s,4s,5s)-2-(6-Aminopurin-9-Yl)-5-(Hydroxymethyl)-4-Bicyclo[3.1.0]Hexanyl]Methanol</t>
  </si>
  <si>
    <t>HMDB0260215</t>
  </si>
  <si>
    <t>NC1=NC=NC2=C1N=CN2C1CC(CO)C2(CO)CC12</t>
  </si>
  <si>
    <t>OZHVLGSYPOGCRG-UHFFFAOYSA-N</t>
  </si>
  <si>
    <t>C13H17N5O2</t>
  </si>
  <si>
    <t>4.65_587.1939m/z</t>
  </si>
  <si>
    <t>Ag-490</t>
  </si>
  <si>
    <t>133550-30-8</t>
  </si>
  <si>
    <t>C1=CC=C(C=C1)CNC(=O)C(=CC2=CC(=C(C=C2)O)O)C#N</t>
  </si>
  <si>
    <t>TUCIOBMMDDOEMM-RIYZIHGNSA-N</t>
  </si>
  <si>
    <t>C17H14N2O3</t>
  </si>
  <si>
    <t>4.79_285.0401m/z</t>
  </si>
  <si>
    <t>Dantron</t>
  </si>
  <si>
    <t>HMDB0029752</t>
  </si>
  <si>
    <t>C10312</t>
  </si>
  <si>
    <t>117-10-2</t>
  </si>
  <si>
    <t>OC1=CC=CC2=C1C(=O)C1=C(C=CC=C1O)C2=O</t>
  </si>
  <si>
    <t>QBPFLULOKWLNNW-UHFFFAOYSA-N</t>
  </si>
  <si>
    <t>C14H8O4</t>
  </si>
  <si>
    <t>4.60_454.0989m/z</t>
  </si>
  <si>
    <t>Verubecestat</t>
  </si>
  <si>
    <t>HMDB0259799</t>
  </si>
  <si>
    <t>CN1C(N)=NC(C)(CS1(=O)=O)C1=C(F)C=CC(NC(=O)C2=NC=C(F)C=C2)=C1</t>
  </si>
  <si>
    <t>YHYKUSGACIYRML-UHFFFAOYSA-N</t>
  </si>
  <si>
    <t>C17H17F2N5O3S</t>
  </si>
  <si>
    <t>0.62_189.0538m/z</t>
  </si>
  <si>
    <t>Eugenitol</t>
  </si>
  <si>
    <t>HMDB0029466</t>
  </si>
  <si>
    <t>491-48-5</t>
  </si>
  <si>
    <t>CC1=CC(=O)C2=C(O1)C=C(O)C(C)=C2O</t>
  </si>
  <si>
    <t>HMAUJNAGOIPKDG-UHFFFAOYSA-N</t>
  </si>
  <si>
    <t>C11H10O4</t>
  </si>
  <si>
    <t>11.80_185.1647m/z</t>
  </si>
  <si>
    <t>3-Pinanone Oxime</t>
  </si>
  <si>
    <t>CC1C2CC(C2(C)C)CC1=NO</t>
  </si>
  <si>
    <t>PLKZJFBLYSCGKF-IUJJKOSZSA-N</t>
  </si>
  <si>
    <t>C10H17NO</t>
  </si>
  <si>
    <t>9.23_773.4872n</t>
  </si>
  <si>
    <t>PC(14:1(9Z)/5-iso PGF2VI)</t>
  </si>
  <si>
    <t>HMDB0285732</t>
  </si>
  <si>
    <t>CCCCC[C@@H](O)\C=C\[C@H]1[C@H](O)C[C@H](O)[C@H]1C\C=C/CC(=O)O[C@H](COC(=O)CCCCCCC\C=C/CCCC)COP([O-])(=O)OCC[N+](C)(C)C</t>
  </si>
  <si>
    <t>JCUKSQIWVDTXER-SVILLIDMSA-N</t>
  </si>
  <si>
    <t>C40H72NO11P</t>
  </si>
  <si>
    <t>12.36_149.1323m/z</t>
  </si>
  <si>
    <t>2,6,6-Trimethyl-1-Cyclohexen-1-Acetaldehyde</t>
  </si>
  <si>
    <t>HMDB0032540</t>
  </si>
  <si>
    <t>472-66-2</t>
  </si>
  <si>
    <t>CC1=C(CC=O)C(C)(C)CCC1</t>
  </si>
  <si>
    <t>VHTFHZGAMYUZEP-UHFFFAOYSA-N</t>
  </si>
  <si>
    <t>11.06_261.1637m/z</t>
  </si>
  <si>
    <t>Longistylin C</t>
  </si>
  <si>
    <t>HMDB0038544</t>
  </si>
  <si>
    <t>64125-60-6</t>
  </si>
  <si>
    <t>COC1=C(CC=C(C)C)C=CC(\C=C/C2=CC=CC=C2)=C1</t>
  </si>
  <si>
    <t>HPQIYBHUJSJOMV-KHPPLWFESA-N</t>
  </si>
  <si>
    <t>C20H22O</t>
  </si>
  <si>
    <t>3.82_695.2499m/z</t>
  </si>
  <si>
    <t>Diphenyl(2,4,6-Trimethylbenzoyl)Phosphine Oxide</t>
  </si>
  <si>
    <t>HMDB0247372</t>
  </si>
  <si>
    <t>CC1=CC(C)=C(C(=O)P(=O)(C2=CC=CC=C2)C2=CC=CC=C2)C(C)=C1</t>
  </si>
  <si>
    <t>VFHVQBAGLAREND-UHFFFAOYSA-N</t>
  </si>
  <si>
    <t>C22H21O2P</t>
  </si>
  <si>
    <t>5.33_361.1644m/z</t>
  </si>
  <si>
    <t>Duartin, Dimethyl Ether</t>
  </si>
  <si>
    <t>COC1=C(C2=C(CC(CO2)C3=C(C(=C(C=C3)OC)OC)OC)C=C1)OC</t>
  </si>
  <si>
    <t>AXXBADPZGFAAHF-ZDUSSCGKSA-N</t>
  </si>
  <si>
    <t>6.34_359.1484m/z</t>
  </si>
  <si>
    <t>Denbufylline</t>
  </si>
  <si>
    <t>HMDB0250997</t>
  </si>
  <si>
    <t>CCCCN1C2=C(N(CC(C)=O)C=N2)C(=O)N(CCCC)C1=O</t>
  </si>
  <si>
    <t>HJPRDDKCXVCFOH-UHFFFAOYSA-N</t>
  </si>
  <si>
    <t>C16H24N4O3</t>
  </si>
  <si>
    <t>9.16_417.2167m/z</t>
  </si>
  <si>
    <t>Lenapenem</t>
  </si>
  <si>
    <t>HMDB0254007</t>
  </si>
  <si>
    <t>CNCCC(O)C1CC(CN1)SC1=C(N2C(C(C(C)O)C2=O)C1C)C(O)=O</t>
  </si>
  <si>
    <t>PZLOCBSBEUDCPF-UHFFFAOYSA-N</t>
  </si>
  <si>
    <t>C18H29N3O5S</t>
  </si>
  <si>
    <t>8.49_288.1132m/z</t>
  </si>
  <si>
    <t>7h-Benzimidazo(2,1-A)Benz(De)Isoquinolin-7-One</t>
  </si>
  <si>
    <t>HMDB0254203</t>
  </si>
  <si>
    <t>O=C1N2C3=CC=CC=C3N=C2C2=CC=CC3=C2C1=CC=C3</t>
  </si>
  <si>
    <t>NZBSAAMEZYOGBA-UHFFFAOYSA-N</t>
  </si>
  <si>
    <t>C18H10N2O</t>
  </si>
  <si>
    <t>5.60_769.2906m/z</t>
  </si>
  <si>
    <t>4-(Methylnitrosamino)-1-(3-Pyridyl)-1-Butanol Glucuronide</t>
  </si>
  <si>
    <t>HMDB0060383</t>
  </si>
  <si>
    <t>C19605</t>
  </si>
  <si>
    <t>131119-04-5</t>
  </si>
  <si>
    <t>CN(CCCC(O[C@@H]1O[C@@H]([C@@H](O)[C@H](O)[C@H]1O)C(O)=O)C1=CN=CC=C1)N=O</t>
  </si>
  <si>
    <t>KNPUXTWHFSLCDT-BBYIEOQPSA-N</t>
  </si>
  <si>
    <t>C16H23N3O8</t>
  </si>
  <si>
    <t>14.61_748.5136m/z</t>
  </si>
  <si>
    <t>PC(14:0/16:1(9Z))</t>
  </si>
  <si>
    <t>HMDB0007870</t>
  </si>
  <si>
    <t>LMGP01010485</t>
  </si>
  <si>
    <t>[C@](COP(=O)([O-])OCC[N+](C)(C)C)([H])(OC(CCCCCCC/C=C\CCCCCC)=O)COC(CCCCCCCCCCCCC)=O</t>
  </si>
  <si>
    <t>XGGMHQYOVYWRLV-IZNHTBNISA-N</t>
  </si>
  <si>
    <t>C38H74NO8P</t>
  </si>
  <si>
    <t>3.98_335.1570m/z</t>
  </si>
  <si>
    <t>N-(1-Deoxy-1-Fructosyl)Histidine</t>
  </si>
  <si>
    <t>HMDB0037839</t>
  </si>
  <si>
    <t>25020-13-7</t>
  </si>
  <si>
    <t>OC[C@H]1OC(O)(CN[C@@H](CC2=CNC=N2)C(O)=O)[C@@H](O)[C@@H]1O</t>
  </si>
  <si>
    <t>UCRYORFHYVRBIO-PPNLDZOPSA-N</t>
  </si>
  <si>
    <t>C12H19N3O7</t>
  </si>
  <si>
    <t>9.43_501.2461m/z</t>
  </si>
  <si>
    <t>Melianthusigenin</t>
  </si>
  <si>
    <t>LMST01130052</t>
  </si>
  <si>
    <t>[C@H]12O[C@]3(C)O[C@@]4(CC[C@]5([H])[C@]([H])(CC[C@]6(C)[C@@]([H])(C7C=CC(=O)OC=7)CC[C@]56O)[C@@]14COC(=O)C)C[C@@H](O3)C2</t>
  </si>
  <si>
    <t>RRDZJCCZVWCHID-NSRWUMAOSA-N</t>
  </si>
  <si>
    <t>8.90_279.1930m/z</t>
  </si>
  <si>
    <t>Pinacidil Pyridine N-Oxide</t>
  </si>
  <si>
    <t>HMDB0256557</t>
  </si>
  <si>
    <t>CC(N=C(NC#N)N=C1C=CN(O)C=C1)C(C)(C)C</t>
  </si>
  <si>
    <t>DQRXZTGBHIYUGA-UHFFFAOYSA-N</t>
  </si>
  <si>
    <t>C13H19N5O</t>
  </si>
  <si>
    <t>10.80_549.3274m/z</t>
  </si>
  <si>
    <t>Cyclobenzaprine</t>
  </si>
  <si>
    <t>HMDB0015060</t>
  </si>
  <si>
    <t>C06931</t>
  </si>
  <si>
    <t>303-53-7</t>
  </si>
  <si>
    <t>CN(C)CCC=C1C2=CC=CC=C2C=CC2=CC=CC=C12</t>
  </si>
  <si>
    <t>JURKNVYFZMSNLP-UHFFFAOYSA-N</t>
  </si>
  <si>
    <t>C20H21N</t>
  </si>
  <si>
    <t>5.04_395.1711m/z</t>
  </si>
  <si>
    <t>Calonectrin</t>
  </si>
  <si>
    <t>HMDB0034915</t>
  </si>
  <si>
    <t>CC(=O)OCC12CCC(C)=CC1OC1C(CC2(C)C11CO1)OC(C)=O</t>
  </si>
  <si>
    <t>IGDIDZAQDRAJRB-UHFFFAOYSA-N</t>
  </si>
  <si>
    <t>9.65_446.2533m/z</t>
  </si>
  <si>
    <t>Austalide L</t>
  </si>
  <si>
    <t>HMDB0030158</t>
  </si>
  <si>
    <t>87833-52-1</t>
  </si>
  <si>
    <t>COC1=C2C(=O)OCC2=C(C)C2=C1CC1C(C)(CCC3(O)C(C)(C)C(=O)CCC13C)O2</t>
  </si>
  <si>
    <t>XTSSAALSNSPVIH-UHFFFAOYSA-N</t>
  </si>
  <si>
    <t>C25H32O6</t>
  </si>
  <si>
    <t>1.11_443.0769m/z</t>
  </si>
  <si>
    <t>5-Carboxyfluorescein Diacetate</t>
  </si>
  <si>
    <t>HMDB0246763</t>
  </si>
  <si>
    <t>CC(=O)OC1=CC2=C(C=C1)C1(OC(=O)C3=C1C=CC(=C3)C(O)=O)C1=C(O2)C=C(OC(C)=O)C=C1</t>
  </si>
  <si>
    <t>WPUZGNPQMIWOHE-UHFFFAOYSA-N</t>
  </si>
  <si>
    <t>C25H16O9</t>
  </si>
  <si>
    <t>4.82_395.2419m/z</t>
  </si>
  <si>
    <t>N-Lauroyl Arginine</t>
  </si>
  <si>
    <t>HMDB0242027</t>
  </si>
  <si>
    <t>CCCCCCCCCCCC(=O)NC(CCCN=C(N)N)C(O)=O</t>
  </si>
  <si>
    <t>XTJKNGLLPGBHHO-UHFFFAOYSA-N</t>
  </si>
  <si>
    <t>C18H36N4O3</t>
  </si>
  <si>
    <t>8.69_1143.5384m/z</t>
  </si>
  <si>
    <t>Araliasaponin V</t>
  </si>
  <si>
    <t>HMDB0039412</t>
  </si>
  <si>
    <t>340963-86-2</t>
  </si>
  <si>
    <t>CC1(C)CCC2(CCC3(C)C(=CCC4C5(C)CCC(OC6OC(CO)C(O)C(OC7OC(CO)C(O)C(O)C7O)C6OC6OC(CO)C(O)C(O)C6O)C(C)(C)C5CCC34C)C2C1)C(=O)OC1OC(CO)C(O)C(O)C1O</t>
  </si>
  <si>
    <t>MROYUZKXUGPCPD-UHFFFAOYSA-N</t>
  </si>
  <si>
    <t>C54H88O23</t>
  </si>
  <si>
    <t>10.68_258.2426m/z</t>
  </si>
  <si>
    <t>D-Erythro-Sphingosine C-15</t>
  </si>
  <si>
    <t>86555-28-4</t>
  </si>
  <si>
    <t>CCCCCCCCCCC=CC(C(CO)N)O</t>
  </si>
  <si>
    <t>KWQIYZIHZCLRSR-BVEOJVQKSA-N</t>
  </si>
  <si>
    <t>C15H31NO2</t>
  </si>
  <si>
    <t>4.44_836.4189n</t>
  </si>
  <si>
    <t>Abrusoside B</t>
  </si>
  <si>
    <t>LMST01100026</t>
  </si>
  <si>
    <t>C1C[C@H](O[C@@H]2O[C@H](CO)[C@@H](O)[C@H](O)[C@H]2O[C@@H]2O[C@H](C(=O)OC)[C@@H](O)[C@H](O)[C@H]2O)[C@@](C)(C(=O)O)[C@]2([H])CC[C@]3([H])[C@@]4(C[C@]124)CC[C@]1(C)[C@]([H])(CC[C@]13C)[C@H](C)[C@]1(OC(=O)C(C)=CC1)[H]</t>
  </si>
  <si>
    <t>INCULGNJNLRUCH-IVXQMWAOSA-N</t>
  </si>
  <si>
    <t>C43H64O16</t>
  </si>
  <si>
    <t>10.16_471.3263m/z</t>
  </si>
  <si>
    <t>Methyl (7z,9z,9'Z)-6'-Apo-Y-Caroten-6'-Oate</t>
  </si>
  <si>
    <t>HMDB0031381</t>
  </si>
  <si>
    <t>174206-07-6</t>
  </si>
  <si>
    <t>COC(=O)\C=C\C(\C)=C\C=C\C(\C)=C\C=C\C=C(/C)\C=C\C=C(/C)\C=C\C=C(/C)CCC=C(C)C</t>
  </si>
  <si>
    <t>SLFLEAITCHGGJK-VCZKBJCCSA-N</t>
  </si>
  <si>
    <t>C33H44O2</t>
  </si>
  <si>
    <t>1.53_232.0055m/z</t>
  </si>
  <si>
    <t>As-041164</t>
  </si>
  <si>
    <t>1146702-72-8</t>
  </si>
  <si>
    <t>C1OC2=C(O1)C=C(C=C2)C=C3C(=O)NC(=O)S3</t>
  </si>
  <si>
    <t>SDGWAUUPHUBJNQ-WTKPLQERSA-N</t>
  </si>
  <si>
    <t>C11H7NO4S</t>
  </si>
  <si>
    <t>4.49_121.0656m/z</t>
  </si>
  <si>
    <t>2,4-Dimethylphenol</t>
  </si>
  <si>
    <t>HMDB0245456</t>
  </si>
  <si>
    <t>C14582</t>
  </si>
  <si>
    <t>105-67-9</t>
  </si>
  <si>
    <t>CC1=CC=C(O)C(C)=C1</t>
  </si>
  <si>
    <t>KUFFULVDNCHOFZ-UHFFFAOYSA-N</t>
  </si>
  <si>
    <t>C8H10O</t>
  </si>
  <si>
    <t>14.91_861.5330m/z</t>
  </si>
  <si>
    <t>PG(20:1(11Z)/22:6(5Z,8E,10Z,13Z,15E,19Z)-2OH(7S, 17S))</t>
  </si>
  <si>
    <t>HMDB0269559</t>
  </si>
  <si>
    <t>[H][C@](O)(CO)COP(O)(=O)OC[C@@]([H])(COC(=O)CCCCCCCCC\C=C/CCCCCCCC)OC(=O)CCC\C=C/[C@@H](O)\C=C\C=C/C\C=C/C=C/[C@@H](O)C\C=C/CC</t>
  </si>
  <si>
    <t>ZMZXTQDAIIBKGE-ATUVEOMZSA-N</t>
  </si>
  <si>
    <t>C48H81O12P</t>
  </si>
  <si>
    <t>4.28_505.1319m/z</t>
  </si>
  <si>
    <t>Irigenin 7-O-Glucoside</t>
  </si>
  <si>
    <t>LMPK12050415</t>
  </si>
  <si>
    <t>C10465</t>
  </si>
  <si>
    <t>O([C@H]1[C@H](O)[C@@H](O)[C@H](O)[C@@H](CO)O1)C1C(OC)=C(O)C2C(=O)C(C3C=C(O)C(OC)=C(OC)C=3)=COC=2C=1</t>
  </si>
  <si>
    <t>LNQCUTNLHUQZLR-OZJWLQQPSA-N</t>
  </si>
  <si>
    <t>C24H26O13</t>
  </si>
  <si>
    <t>4.16_787.2278m/z</t>
  </si>
  <si>
    <t>Isorhamnetin 3-O-[B-D-Glucopyranosyl-(1-&gt;2)-[A-L-Rhamnopyranosyl-(1-&gt;6)]-B-D-Glucopyranoside]</t>
  </si>
  <si>
    <t>HMDB0038254</t>
  </si>
  <si>
    <t>COC1=C(O)C=CC(=C1)C1=C(OC2OC(COC3OC(C)C(O)C(O)C3O)C(O)C(O)C2OC2OC(CO)C(O)C(O)C2O)C(=O)C2=C(O)C=C(O)C=C2O1</t>
  </si>
  <si>
    <t>IPNYNJAPZARORI-UHFFFAOYSA-N</t>
  </si>
  <si>
    <t>C34H42O21</t>
  </si>
  <si>
    <t>10.66_706.2637m/z</t>
  </si>
  <si>
    <t>Pbd Dimer</t>
  </si>
  <si>
    <t>HMDB0256148</t>
  </si>
  <si>
    <t>COC1=CC=C(C=C1)C1=CN2C(C1)C=NC1=CC(OCCCOC3=C(OC)C=C4C(=C3)N=CC3CC(=CN3C4=O)C3=CC=C(N)C=C3)=C(OC)C=C1C2=O</t>
  </si>
  <si>
    <t>OMRPLUKQNWNZAV-UHFFFAOYSA-N</t>
  </si>
  <si>
    <t>C42H39N5O7</t>
  </si>
  <si>
    <t>1.45_287.0901m/z</t>
  </si>
  <si>
    <t>Thymidine</t>
  </si>
  <si>
    <t>HMDB0000273</t>
  </si>
  <si>
    <t>C00214</t>
  </si>
  <si>
    <t>50-89-5</t>
  </si>
  <si>
    <t>CC1=CN([C@H]2C[C@H](O)[C@@H](CO)O2)C(=O)NC1=O</t>
  </si>
  <si>
    <t>IQFYYKKMVGJFEH-XLPZGREQSA-N</t>
  </si>
  <si>
    <t>C10H14N2O5</t>
  </si>
  <si>
    <t>10.66_437.2545m/z</t>
  </si>
  <si>
    <t>Cay10408</t>
  </si>
  <si>
    <t>212310-16-2</t>
  </si>
  <si>
    <t>CCCC1(CCC1)C(CC=CC2C(CC(=O)C2CC=CCCCC(=O)O)O)O</t>
  </si>
  <si>
    <t>HJVBXPOYFHMZAS-UHFFFAOYSA-N</t>
  </si>
  <si>
    <t>C23H36O5</t>
  </si>
  <si>
    <t>4.38_937.4382m/z</t>
  </si>
  <si>
    <t>PGP(18:2(9Z,12Z)/22:6(4Z,7Z,10Z,13Z,16Z,19Z))</t>
  </si>
  <si>
    <t>HMDB0013561</t>
  </si>
  <si>
    <t>CCCCC\C=C/C\C=C/CCCCCCCC(=O)OC[C@]([H])(COP(=O)(O)OC[C@@]([H])(O)COP(=O)(O)O)OC(=O)CC\C=C/C\C=C/C\C=C/C\C=C/C\C=C/C\C=C/CC</t>
  </si>
  <si>
    <t>CGRGXPKCDUKBCL-KNVYJNGISA-N</t>
  </si>
  <si>
    <t>C46H76O13P2</t>
  </si>
  <si>
    <t>4.40_422.0821n</t>
  </si>
  <si>
    <t>Trehalose 6-Phosphate</t>
  </si>
  <si>
    <t>HMDB0001124</t>
  </si>
  <si>
    <t>C00689</t>
  </si>
  <si>
    <t>ko00500,ko02060,ko04723</t>
  </si>
  <si>
    <t>Starch and sucrose metabolism|Phosphotransferase system (PTS)|Retrograde endocannabinoid signaling</t>
  </si>
  <si>
    <t>4484-88-2</t>
  </si>
  <si>
    <t>OC[C@H]1O[C@H](O[C@H]2O[C@H](COP(O)(O)=O)[C@@H](O)[C@H](O)[C@H]2O)[C@H](O)[C@@H](O)[C@@H]1O</t>
  </si>
  <si>
    <t>LABSPYBHMPDTEL-LIZSDCNHSA-N</t>
  </si>
  <si>
    <t>C12H23O14P</t>
  </si>
  <si>
    <t>4.13_897.2087m/z</t>
  </si>
  <si>
    <t>Chrysanthemin</t>
  </si>
  <si>
    <t>HMDB0030684</t>
  </si>
  <si>
    <t>LMPK12010110</t>
  </si>
  <si>
    <t>C08604</t>
  </si>
  <si>
    <t>47705-70-4</t>
  </si>
  <si>
    <t>C1(O)C=C2[O+]=C(C3C=CC(O)=C(O)C=3)C(O[C@H]3[C@H](O)[C@@H](O)[C@H](O)[C@@H](CO)O3)=CC2=C(O)C=1</t>
  </si>
  <si>
    <t>RKWHWFONKJEUEF-GQUPQBGVSA-O</t>
  </si>
  <si>
    <t>C21H21O11+</t>
  </si>
  <si>
    <t>4.82_317.2684m/z</t>
  </si>
  <si>
    <t>MG(0:0/15:0/0:0)</t>
  </si>
  <si>
    <t>HMDB0011532</t>
  </si>
  <si>
    <t>[H]C(CO)(CO)OC(=O)CCCCCCCCCCCCCC</t>
  </si>
  <si>
    <t>SJUYTIGRIZBTCI-UHFFFAOYSA-N</t>
  </si>
  <si>
    <t>4.85_185.0709m/z</t>
  </si>
  <si>
    <t>Vasicinone</t>
  </si>
  <si>
    <t>HMDB0259770</t>
  </si>
  <si>
    <t>OC1CCN2C1=NC1=CC=CC=C1C2=O</t>
  </si>
  <si>
    <t>SDIVYZXRQHWCKF-UHFFFAOYSA-N</t>
  </si>
  <si>
    <t>C11H10N2O2</t>
  </si>
  <si>
    <t>3.95_421.1094m/z</t>
  </si>
  <si>
    <t>5-(3',4'-Dihydroxyphenyl)-Gamma-Valerolactone-3'-O-Glucuronide</t>
  </si>
  <si>
    <t>HMDB0029190</t>
  </si>
  <si>
    <t>OC1C(O)C(O)C(C(OC2=C(O)C=CC(CC3CCC(=O)O3)=C2)C1O)C(O)=O</t>
  </si>
  <si>
    <t>RALBOGKBFZBDKY-UHFFFAOYSA-N</t>
  </si>
  <si>
    <t>C18H22O10</t>
  </si>
  <si>
    <t>4.65_637.3199m/z</t>
  </si>
  <si>
    <t>(2s)-2-Hydroxy-2-(Propan-2-Yl)Butanedioylcarnitine</t>
  </si>
  <si>
    <t>HMDB0241792</t>
  </si>
  <si>
    <t>CC(C)C(O)(CC(=O)OC(CC([O-])=O)C[N+](C)(C)C)C(O)=O</t>
  </si>
  <si>
    <t>AHQTXEXTPHZXTB-UHFFFAOYSA-N</t>
  </si>
  <si>
    <t>C14H25NO7</t>
  </si>
  <si>
    <t>0.96_326.0108m/z</t>
  </si>
  <si>
    <t>Cyclic Apt</t>
  </si>
  <si>
    <t>HMDB0250624</t>
  </si>
  <si>
    <t>NC1=NC=NC2=C1N=CN2C1OC2COP(O)(=S)OC2C1O</t>
  </si>
  <si>
    <t>SMPNJFHAPJOHPP-UHFFFAOYSA-N</t>
  </si>
  <si>
    <t>3',5'-cyclic purine nucleoside phosphorothioates</t>
  </si>
  <si>
    <t>C10H12N5O5PS</t>
  </si>
  <si>
    <t>5.47_312.1577m/z</t>
  </si>
  <si>
    <t>Heptanoylcarnitine</t>
  </si>
  <si>
    <t>HMDB0013238</t>
  </si>
  <si>
    <t>LMFA07070068</t>
  </si>
  <si>
    <t>C(C[N+](C)(C)C)(OC(=O)CCCCCC)CC(=O)[O-]</t>
  </si>
  <si>
    <t>VDPCTFWULDLKHT-UHFFFAOYSA-N</t>
  </si>
  <si>
    <t>C14H27NO4</t>
  </si>
  <si>
    <t>2.18_312.2017m/z</t>
  </si>
  <si>
    <t>Tiadenol</t>
  </si>
  <si>
    <t>HMDB0259066</t>
  </si>
  <si>
    <t>OCCSCCCCCCCCCCSCCO</t>
  </si>
  <si>
    <t>WRCITXQNXAIKLR-UHFFFAOYSA-N</t>
  </si>
  <si>
    <t>C14H30O2S2</t>
  </si>
  <si>
    <t>4.86_325.0859m/z</t>
  </si>
  <si>
    <t>1,1,1,2,2-Pentafluoro-7-Phenylheptan-3-One</t>
  </si>
  <si>
    <t>HMDB0252282</t>
  </si>
  <si>
    <t>1071000-98-0</t>
  </si>
  <si>
    <t>FC(F)(F)C(F)(F)C(=O)CCCCC1=CC=CC=C1</t>
  </si>
  <si>
    <t>ROPVXAWEVYWEQY-UHFFFAOYSA-N</t>
  </si>
  <si>
    <t>C13H13F5O</t>
  </si>
  <si>
    <t>2.26_171.0628m/z</t>
  </si>
  <si>
    <t>Mevalonic Acid</t>
  </si>
  <si>
    <t>HMDB0000227</t>
  </si>
  <si>
    <t>LMFA01050352</t>
  </si>
  <si>
    <t>C00418</t>
  </si>
  <si>
    <t>ko00900,ko04216</t>
  </si>
  <si>
    <t>Terpenoid backbone biosynthesis|Ferroptosis</t>
  </si>
  <si>
    <t>17817-88-8</t>
  </si>
  <si>
    <t>C(C[C@](C)(O)CCO)(=O)O</t>
  </si>
  <si>
    <t>KJTLQQUUPVSXIM-ZCFIWIBFSA-N</t>
  </si>
  <si>
    <t>C6H12O4</t>
  </si>
  <si>
    <t>5.88_409.2228m/z</t>
  </si>
  <si>
    <t>Forskolin</t>
  </si>
  <si>
    <t>LMPR0104030004</t>
  </si>
  <si>
    <t>C09076</t>
  </si>
  <si>
    <t>66575-29-9</t>
  </si>
  <si>
    <t>C1C([C@]2([C@]([C@@]3(O)C(=O)C[C@@](C)(O[C@]3(C)[C@H]([C@H]2O)OC(C)=O)C=C)(C)[C@@H](O)C1)[H])(C)C</t>
  </si>
  <si>
    <t>OHCQJHSOBUTRHG-KGGHGJDLSA-N</t>
  </si>
  <si>
    <t>7.17_165.0697m/z</t>
  </si>
  <si>
    <t>2-Hydroxyfluorene</t>
  </si>
  <si>
    <t>HMDB0013163</t>
  </si>
  <si>
    <t>C14460</t>
  </si>
  <si>
    <t>2443-58-5</t>
  </si>
  <si>
    <t>OC1=CC2=C(C=C1)C1=CC=CC=C1C2</t>
  </si>
  <si>
    <t>ZDOIAPGLORMKTR-UHFFFAOYSA-N</t>
  </si>
  <si>
    <t>11.33_634.4520m/z</t>
  </si>
  <si>
    <t>Nonoxynol-9</t>
  </si>
  <si>
    <t>HMDB0015680</t>
  </si>
  <si>
    <t>26571-11-9</t>
  </si>
  <si>
    <t>CCCCCCCCCC1=CC=C(OCCOCCOCCOCCOCCOCCOCCOCCOCCO)C=C1</t>
  </si>
  <si>
    <t>FBWNMEQMRUMQSO-UHFFFAOYSA-N</t>
  </si>
  <si>
    <t>C33H60O10</t>
  </si>
  <si>
    <t>4.42_482.1457m/z</t>
  </si>
  <si>
    <t>Amrubicin</t>
  </si>
  <si>
    <t>HMDB0248364</t>
  </si>
  <si>
    <t>CC(=O)C1(N)CC(OC2CC(O)C(O)CO2)C2=C(O)C3=C(C(O)=C2C1)C(=O)C1=CC=CC=C1C3=O</t>
  </si>
  <si>
    <t>VJZITPJGSQKZMX-UHFFFAOYSA-N</t>
  </si>
  <si>
    <t>C25H25NO9</t>
  </si>
  <si>
    <t>9.35_615.1498m/z</t>
  </si>
  <si>
    <t>Negletein 6-[Rhamnosyl-(1-&gt;2)-Fucoside]</t>
  </si>
  <si>
    <t>HMDB0031991</t>
  </si>
  <si>
    <t>C10023</t>
  </si>
  <si>
    <t>192224-98-9</t>
  </si>
  <si>
    <t>COC1=C(OC2OC(C)C(O)C(O)C2OC2OC(C)C(O)C(O)C2O)C(O)=C2C(=O)C=C(OC2=C1)C1=CC=CC=C1</t>
  </si>
  <si>
    <t>HKKXKZVCSZYRHK-UHFFFAOYSA-N</t>
  </si>
  <si>
    <t>C28H32O13</t>
  </si>
  <si>
    <t>4.43_159.1167m/z</t>
  </si>
  <si>
    <t>4-Methyl-1-Phenyl-2-Pentanone</t>
  </si>
  <si>
    <t>HMDB0031569</t>
  </si>
  <si>
    <t>5349-62-2</t>
  </si>
  <si>
    <t>CC(C)CC(=O)CC1=CC=CC=C1</t>
  </si>
  <si>
    <t>DTYGTEGDVPAKDA-UHFFFAOYSA-N</t>
  </si>
  <si>
    <t>3.75_669.2573m/z</t>
  </si>
  <si>
    <t>Aspartylglycosamine</t>
  </si>
  <si>
    <t>HMDB0000489</t>
  </si>
  <si>
    <t>C04540</t>
  </si>
  <si>
    <t>2776-93-4</t>
  </si>
  <si>
    <t>CC(=O)N[C@@H]1[C@@H](O)[C@H](O)[C@@H](CO)O[C@H]1NC(=O)C[C@H](N)C(O)=O</t>
  </si>
  <si>
    <t>YTTRPBWEMMPYSW-HRRFRDKFSA-N</t>
  </si>
  <si>
    <t>C12H21N3O8</t>
  </si>
  <si>
    <t>9.37_195.1383m/z</t>
  </si>
  <si>
    <t>(3r,3ar,7as)-3-Butylhexahydro-1(3h)-Isobenzofuranone</t>
  </si>
  <si>
    <t>HMDB0034903</t>
  </si>
  <si>
    <t>189504-31-2</t>
  </si>
  <si>
    <t>CCCCC1OC(=O)C2CCCCC12</t>
  </si>
  <si>
    <t>TZRMFZSOOVBPPN-UHFFFAOYSA-N</t>
  </si>
  <si>
    <t>Isobenzofurans</t>
  </si>
  <si>
    <t>1.37_295.0237m/z</t>
  </si>
  <si>
    <t>5-(Hydroxyphenyl)-Gamma-Valerolactone-O-Sulphate</t>
  </si>
  <si>
    <t>HMDB0059993</t>
  </si>
  <si>
    <t>OS(=O)(=O)OC1=CC=CC(CC2CCC(=O)O2)=C1</t>
  </si>
  <si>
    <t>DPRDYFJWDRNYAZ-UHFFFAOYSA-N</t>
  </si>
  <si>
    <t>C11H12O6S</t>
  </si>
  <si>
    <t>4.84_424.1460m/z</t>
  </si>
  <si>
    <t>Filgotinib</t>
  </si>
  <si>
    <t>HMDB0252256</t>
  </si>
  <si>
    <t>O=C(NC1=NN2C(C=CC=C2C2=CC=C(CN3CCS(=O)(=O)CC3)C=C2)=N1)C1CC1</t>
  </si>
  <si>
    <t>RIJLVEAXPNLDTC-UHFFFAOYSA-N</t>
  </si>
  <si>
    <t>C21H23N5O3S</t>
  </si>
  <si>
    <t>1.48_400.1455m/z</t>
  </si>
  <si>
    <t>Difloxacin</t>
  </si>
  <si>
    <t>HMDB0251259</t>
  </si>
  <si>
    <t>C11234</t>
  </si>
  <si>
    <t>98106-17-3</t>
  </si>
  <si>
    <t>CN1CCN(CC1)C1=C(F)C=C2C(=C1)N(C=C(C(O)=O)C2=O)C1=CC=C(F)C=C1</t>
  </si>
  <si>
    <t>NOCJXYPHIIZEHN-UHFFFAOYSA-N</t>
  </si>
  <si>
    <t>C21H19F2N3O3</t>
  </si>
  <si>
    <t>10.84_421.2594m/z</t>
  </si>
  <si>
    <t>MG(0:0/20:5(5Z,8Z,11Z,14Z,17Z)/0:0)</t>
  </si>
  <si>
    <t>HMDB0011550</t>
  </si>
  <si>
    <t>LMGL01010026</t>
  </si>
  <si>
    <t>OC[C@]([H])(OC(CCC/C=C\C/C=C\C/C=C\C/C=C\C/C=C\CC)=O)CO</t>
  </si>
  <si>
    <t>IXSYVBCFIGEECR-JLNKQSITSA-N</t>
  </si>
  <si>
    <t>C23H36O4</t>
  </si>
  <si>
    <t>7.22_586.2986n</t>
  </si>
  <si>
    <t>Dihydroouabain</t>
  </si>
  <si>
    <t>HMDB0251322</t>
  </si>
  <si>
    <t>CC1OC(OC2CC(O)C3(CO)C4C(O)CC5(C)C(CCC5(O)C4CCC3(O)C2)C2COC(=O)C2)C(O)C(O)C1O</t>
  </si>
  <si>
    <t>ZTFGOPUOTATSAL-UHFFFAOYSA-N</t>
  </si>
  <si>
    <t>C29H46O12</t>
  </si>
  <si>
    <t>4.12_169.0495m/z</t>
  </si>
  <si>
    <t>N-Dimethylethanolamine Phosphate</t>
  </si>
  <si>
    <t>HMDB0304425</t>
  </si>
  <si>
    <t>C[N+](C)CCOP([O-])([O-])=O</t>
  </si>
  <si>
    <t>XNORYOIOVQAIQB-UHFFFAOYSA-L</t>
  </si>
  <si>
    <t>C4H11NO4P-</t>
  </si>
  <si>
    <t>0.73_235.0463m/z</t>
  </si>
  <si>
    <t>Tretazicar</t>
  </si>
  <si>
    <t>HMDB0259127</t>
  </si>
  <si>
    <t>NC(=O)C1=CC(N2CC2)=C(C=C1[N+]([O-])=O)[N+]([O-])=O</t>
  </si>
  <si>
    <t>WOCXQMCIOTUMJV-UHFFFAOYSA-N</t>
  </si>
  <si>
    <t>C9H8N4O5</t>
  </si>
  <si>
    <t>0.68_213.0487m/z</t>
  </si>
  <si>
    <t>1-Methyl-3-(2-Thiazolyl)-1h-Indole</t>
  </si>
  <si>
    <t>HMDB0034965</t>
  </si>
  <si>
    <t>194155-86-7</t>
  </si>
  <si>
    <t>CN1C=C(C2=NC=CS2)C2=CC=CC=C12</t>
  </si>
  <si>
    <t>UZRNJZSSOYHALG-UHFFFAOYSA-N</t>
  </si>
  <si>
    <t>C12H10N2S</t>
  </si>
  <si>
    <t>1.06_605.1929m/z</t>
  </si>
  <si>
    <t>Flumazenil</t>
  </si>
  <si>
    <t>HMDB0015336</t>
  </si>
  <si>
    <t>C07825</t>
  </si>
  <si>
    <t>78755-81-4</t>
  </si>
  <si>
    <t>CCOC(=O)C1=C2CN(C)C(=O)C3=C(C=CC(F)=C3)N2C=N1</t>
  </si>
  <si>
    <t>OFBIFZUFASYYRE-UHFFFAOYSA-N</t>
  </si>
  <si>
    <t>C15H14FN3O3</t>
  </si>
  <si>
    <t>12.79_228.1957m/z</t>
  </si>
  <si>
    <t>9-Tridecynoic Acid</t>
  </si>
  <si>
    <t>LMFA01030602</t>
  </si>
  <si>
    <t>C(CCCCCCCC#CCCC)(=O)O</t>
  </si>
  <si>
    <t>IRTOCVRQBHTLDD-UHFFFAOYSA-N</t>
  </si>
  <si>
    <t>11.39_254.2475m/z</t>
  </si>
  <si>
    <t>4e,6e,10z-Hexadecatrien-1-Ol</t>
  </si>
  <si>
    <t>LMFA05000198</t>
  </si>
  <si>
    <t>OCCC/C=C/C=C/CC/C=C\CCCCC</t>
  </si>
  <si>
    <t>AHUWGXXXQILFPZ-AYDIKMHNSA-N</t>
  </si>
  <si>
    <t>C16H28O</t>
  </si>
  <si>
    <t>12.36_170.1536m/z</t>
  </si>
  <si>
    <t>(R)-Carvotanacetone</t>
  </si>
  <si>
    <t>HMDB0034974</t>
  </si>
  <si>
    <t>33375-08-5</t>
  </si>
  <si>
    <t>CC(C)C1CC=C(C)C(=O)C1</t>
  </si>
  <si>
    <t>WPGPCDVQHXOMQP-UHFFFAOYSA-N</t>
  </si>
  <si>
    <t>4.35_301.0924m/z</t>
  </si>
  <si>
    <t>Aryl Beta-D-Glucoside</t>
  </si>
  <si>
    <t>C03097</t>
  </si>
  <si>
    <t>C1=CC=C(C=C1)OC2C(C(C(C(O2)CO)O)O)O</t>
  </si>
  <si>
    <t>NEZJDVYDSZTRFS-RMPHRYRLSA-N</t>
  </si>
  <si>
    <t>7.55_267.2103m/z</t>
  </si>
  <si>
    <t>Retinal</t>
  </si>
  <si>
    <t>HMDB0001358</t>
  </si>
  <si>
    <t>LMPR01090002</t>
  </si>
  <si>
    <t>C00376</t>
  </si>
  <si>
    <t>ko00830,ko04744,ko04977</t>
  </si>
  <si>
    <t>Retinol metabolism|Phototransduction|Vitamin digestion and absorption</t>
  </si>
  <si>
    <t>116-31-4</t>
  </si>
  <si>
    <t>C1C(C)(C)C(/C=C/C(/C)=C/C=C/C(/C)=C/C=O)=C(C)CC1</t>
  </si>
  <si>
    <t>NCYCYZXNIZJOKI-OVSJKPMPSA-N</t>
  </si>
  <si>
    <t>9.04_477.2492m/z</t>
  </si>
  <si>
    <t>Erinacine E</t>
  </si>
  <si>
    <t>HMDB0029656</t>
  </si>
  <si>
    <t>178120-47-3</t>
  </si>
  <si>
    <t>CC(C)C1=C2C3CC=C4C5C(OC6OCC(O)(C4O)C(O)C56O)C3(C)CCC2(C)CC1</t>
  </si>
  <si>
    <t>YUCYEVHMFBEBSC-UHFFFAOYSA-N</t>
  </si>
  <si>
    <t>0.73_153.0756m/z</t>
  </si>
  <si>
    <t>L-Arabitol</t>
  </si>
  <si>
    <t>HMDB0001851</t>
  </si>
  <si>
    <t>C00532</t>
  </si>
  <si>
    <t>7643-75-6</t>
  </si>
  <si>
    <t>OC[C@H](O)C(O)[C@@H](O)CO</t>
  </si>
  <si>
    <t>HEBKCHPVOIAQTA-IMJSIDKUSA-N</t>
  </si>
  <si>
    <t>C5H12O5</t>
  </si>
  <si>
    <t>4.57_447.2721m/z</t>
  </si>
  <si>
    <t>1beta,3alpha,7alpha,12alpha-Tetrahydroxy-5beta-Cholan-24-Oic Acid</t>
  </si>
  <si>
    <t>HMDB0000307</t>
  </si>
  <si>
    <t>LMST04010114</t>
  </si>
  <si>
    <t>80875-94-1</t>
  </si>
  <si>
    <t>[C@H]1(O)[C@]2(C)[C@@]3([H])C[C@H](O)[C@]4(C)[C@@]([H])([C@]([H])(C)CCC(O)=O)CC[C@@]4([H])[C@]3([H])[C@H](O)C[C@]2([H])C[C@H](O)C1</t>
  </si>
  <si>
    <t>UYVVLXVBEQAATF-WAIVXGPNSA-N</t>
  </si>
  <si>
    <t>C24H40O6</t>
  </si>
  <si>
    <t>1.57_313.0892m/z</t>
  </si>
  <si>
    <t>Osmundalin</t>
  </si>
  <si>
    <t>HMDB0031304</t>
  </si>
  <si>
    <t>54835-71-1</t>
  </si>
  <si>
    <t>CC1OC(=O)C=CC1OC1OC(CO)C(O)C(O)C1O</t>
  </si>
  <si>
    <t>KZOPXYPPFZYEHT-UHFFFAOYSA-N</t>
  </si>
  <si>
    <t>C12H18O8</t>
  </si>
  <si>
    <t>11.18_681.2521m/z</t>
  </si>
  <si>
    <t>Dihydrotestosterone Diglucuronide</t>
  </si>
  <si>
    <t>HMDB0251334</t>
  </si>
  <si>
    <t>CC12CCC3C(CCC4CC(=O)CCC34C)C1CCC2OC1OC(C(O)C(O)C1OC1OC(C(O)C(O)C1O)C(O)=O)C(O)=O</t>
  </si>
  <si>
    <t>HCBFNYJWBTZVOD-UHFFFAOYSA-N</t>
  </si>
  <si>
    <t>C31H46O14</t>
  </si>
  <si>
    <t>0.75_113.0596m/z</t>
  </si>
  <si>
    <t>Mevalonolactone</t>
  </si>
  <si>
    <t>HMDB0006024</t>
  </si>
  <si>
    <t>503-48-0</t>
  </si>
  <si>
    <t>C[C@]1(O)CCOC(=O)C1</t>
  </si>
  <si>
    <t>JYVXNLLUYHCIIH-LURJTMIESA-N</t>
  </si>
  <si>
    <t>C6H10O3</t>
  </si>
  <si>
    <t>4.61_271.0245m/z</t>
  </si>
  <si>
    <t>Furo[3,2-C]Pyran-4-One</t>
  </si>
  <si>
    <t>HMDB0252541</t>
  </si>
  <si>
    <t>O=C1OC=CC2=C1C=CO2</t>
  </si>
  <si>
    <t>VZBPUYZYDRLZHE-UHFFFAOYSA-N</t>
  </si>
  <si>
    <t>C7H4O3</t>
  </si>
  <si>
    <t>1.06_227.1753m/z</t>
  </si>
  <si>
    <t>2,5-Dimethoxy-4-Ethylphenethylamine</t>
  </si>
  <si>
    <t>HMDB0245500</t>
  </si>
  <si>
    <t>CCC1=CC(OC)=C(CCN)C=C1OC</t>
  </si>
  <si>
    <t>VDRGNAMREYBIHA-UHFFFAOYSA-N</t>
  </si>
  <si>
    <t>C12H19NO2</t>
  </si>
  <si>
    <t>7.52_265.1946m/z</t>
  </si>
  <si>
    <t>8-18 Bonded Retinal</t>
  </si>
  <si>
    <t>LMPR01090037</t>
  </si>
  <si>
    <t>C1C(C)(C)C2C=C(CC=2CC1)/C(=C\C=C\C(\C)=C\C=O)/C</t>
  </si>
  <si>
    <t>IFPIFYXTWQFSRF-SJJLUNSHSA-N</t>
  </si>
  <si>
    <t>12.11_389.2656m/z</t>
  </si>
  <si>
    <t>Dodec-9-Enedioylcarnitine</t>
  </si>
  <si>
    <t>HMDB0241226</t>
  </si>
  <si>
    <t>C[N+](C)(C)CC(CC([O-])=O)OC(=O)CCCCCCCC=CCC(O)=O</t>
  </si>
  <si>
    <t>LXEOXAHWVKEMEB-UHFFFAOYSA-N</t>
  </si>
  <si>
    <t>C19H33NO6</t>
  </si>
  <si>
    <t>5.21_584.3283m/z</t>
  </si>
  <si>
    <t>Cholylmethionine</t>
  </si>
  <si>
    <t>HMDB0242382</t>
  </si>
  <si>
    <t>CSCCC(NC(=O)CCC(C)C1CCC2C3C(O)CC4CC(O)CCC4(C)C3CC(O)C12C)C(O)=O</t>
  </si>
  <si>
    <t>VNBNDOGLQFEJKP-UHFFFAOYSA-N</t>
  </si>
  <si>
    <t>C29H49NO6S</t>
  </si>
  <si>
    <t>5.22_199.1480m/z</t>
  </si>
  <si>
    <t>(R)-Ar-Turmerone</t>
  </si>
  <si>
    <t>HMDB0035612</t>
  </si>
  <si>
    <t>532-65-0</t>
  </si>
  <si>
    <t>CC(CC(=O)C=C(C)C)C1=CC=C(C)C=C1</t>
  </si>
  <si>
    <t>NAAJVHHFAXWBOK-UHFFFAOYSA-N</t>
  </si>
  <si>
    <t>4.12_211.0939m/z</t>
  </si>
  <si>
    <t>6-Hydroxymethylpterin</t>
  </si>
  <si>
    <t>HMDB0247079</t>
  </si>
  <si>
    <t>NC1=NC2=NC=C(CO)N=C2C(=O)N1</t>
  </si>
  <si>
    <t>XGWIBNWDLMIPNF-UHFFFAOYSA-N</t>
  </si>
  <si>
    <t>C7H7N5O2</t>
  </si>
  <si>
    <t>0.69_181.9616m/z</t>
  </si>
  <si>
    <t>3-Phospho-Hydroxypyruvate</t>
  </si>
  <si>
    <t>HMDB0304153</t>
  </si>
  <si>
    <t>[O-]C(=O)C(=O)COP([O-])([O-])=O</t>
  </si>
  <si>
    <t>LFLUCDOSQPJJBE-UHFFFAOYSA-K</t>
  </si>
  <si>
    <t>C3H2O7P-3</t>
  </si>
  <si>
    <t>1.22_339.0245m/z</t>
  </si>
  <si>
    <t>Diethylthiophosphate</t>
  </si>
  <si>
    <t>HMDB0001460</t>
  </si>
  <si>
    <t>C06607</t>
  </si>
  <si>
    <t>5871-17-0</t>
  </si>
  <si>
    <t>CCOP(O)(=S)OCC</t>
  </si>
  <si>
    <t>PKUWKAXTAVNIJR-UHFFFAOYSA-N</t>
  </si>
  <si>
    <t>C4H11O3PS</t>
  </si>
  <si>
    <t>5.23_197.1324m/z</t>
  </si>
  <si>
    <t>1,3-Diphenylpropane</t>
  </si>
  <si>
    <t>HMDB0032564</t>
  </si>
  <si>
    <t>C14581</t>
  </si>
  <si>
    <t>1081-75-0</t>
  </si>
  <si>
    <t>C(CC1=CC=CC=C1)CC1=CC=CC=C1</t>
  </si>
  <si>
    <t>VEAFKIYNHVBNIP-UHFFFAOYSA-N</t>
  </si>
  <si>
    <t>C15H16</t>
  </si>
  <si>
    <t>0.78_416.2123m/z</t>
  </si>
  <si>
    <t>Lumateperone</t>
  </si>
  <si>
    <t>HMDB0253721</t>
  </si>
  <si>
    <t>CN1CCN2C3CCN(CCCC(=O)C4=CC=C(F)C=C4)CC3C3=C2C1=CC=C3</t>
  </si>
  <si>
    <t>HOIIHACBCFLJET-UHFFFAOYSA-N</t>
  </si>
  <si>
    <t>C24H28FN3O</t>
  </si>
  <si>
    <t>6.99_477.2128m/z</t>
  </si>
  <si>
    <t>Niranthin</t>
  </si>
  <si>
    <t>COCC(CC1=CC(=C(C=C1)OC)OC)C(CC2=CC3=C(C(=C2)OC)OCO3)COC</t>
  </si>
  <si>
    <t>RCFGIEPQSDGMJJ-OALUTQOASA-N</t>
  </si>
  <si>
    <t>11.39_486.3785m/z</t>
  </si>
  <si>
    <t>Herbasterol</t>
  </si>
  <si>
    <t>LMST01010292</t>
  </si>
  <si>
    <t>[C@@]1(C)([C@@]([H])([C@@](C)([H])CCCC(C)C)CC[C@@]1([H])[C@]1([H])C[C@@H](O)[C@]2([H])C[C@H](O)[C@@H](O)C[C@]2(CO)C1=O)CCO</t>
  </si>
  <si>
    <t>UWPWCNUBZQKCGV-YJJKLKRJSA-N</t>
  </si>
  <si>
    <t>C27H48O6</t>
  </si>
  <si>
    <t>11.84_345.2044m/z</t>
  </si>
  <si>
    <t>N-Acetylleucine</t>
  </si>
  <si>
    <t>HMDB0011756</t>
  </si>
  <si>
    <t>C02710</t>
  </si>
  <si>
    <t>1188-21-2</t>
  </si>
  <si>
    <t>CC(C)C[C@H](NC(C)=O)C(O)=O</t>
  </si>
  <si>
    <t>WXNXCEHXYPACJF-ZETCQYMHSA-N</t>
  </si>
  <si>
    <t>C8H15NO3</t>
  </si>
  <si>
    <t>1.45_395.1108m/z</t>
  </si>
  <si>
    <t>Felamidin</t>
  </si>
  <si>
    <t>CC(C)(C1CC2=C(O1)C=C3C(=C2)C=CC(=O)O3)OC(=O)C4=CC=CC=C4</t>
  </si>
  <si>
    <t>VIPXLQMQEIDXMH-SFHVURJKSA-N</t>
  </si>
  <si>
    <t>C21H18O5</t>
  </si>
  <si>
    <t>0.66_606.0741m/z</t>
  </si>
  <si>
    <t>Uridine Diphosphate-N-Acetylglucosamine</t>
  </si>
  <si>
    <t>HMDB0000290</t>
  </si>
  <si>
    <t>C00043</t>
  </si>
  <si>
    <t>ko00520,ko00524,ko00540,ko00541,ko00550,ko01502,ko04931,ko05415</t>
  </si>
  <si>
    <t>Amino sugar and nucleotide sugar metabolism|Neomycin, kanamycin and gentamicin biosynthesis|Lipopolysaccharide biosynthesis|O-Antigen nucleotide sugar biosynthesis|Peptidoglycan biosynthesis|Vancomycin resistance|Insulin resistance|Diabetic cardiomyopathy</t>
  </si>
  <si>
    <t>528-04-1</t>
  </si>
  <si>
    <t>CC(=O)NC1C(C(C(OC1OP(=O)(O)OP(=O)(O)OCC2C(C(C(O2)N3C=CC(=O)NC3=O)O)O)CO)O)O</t>
  </si>
  <si>
    <t>LFTYTUAZOPRMMI-UBDZBXRQSA-N</t>
  </si>
  <si>
    <t>C17H27N3O17P2</t>
  </si>
  <si>
    <t>6.63_591.2991m/z</t>
  </si>
  <si>
    <t>6-Allyl-8b-Carboxy-Ergoline</t>
  </si>
  <si>
    <t>HMDB0060782</t>
  </si>
  <si>
    <t>OC(=O)C1C[C@@H]2[C@H](CC3=CNC4=CC=CC2=C34)N(CC=C)C1</t>
  </si>
  <si>
    <t>YAICYXFUKKMAKO-DBQWNMKUSA-N</t>
  </si>
  <si>
    <t>C18H20N2O2</t>
  </si>
  <si>
    <t>5.67_284.0926m/z</t>
  </si>
  <si>
    <t>2,3-Bis(4-Hydroxyphenyl)Propionitrile</t>
  </si>
  <si>
    <t>HMDB0244616</t>
  </si>
  <si>
    <t>OC1=CC=C(CC(C#N)C2=CC=C(O)C=C2)C=C1</t>
  </si>
  <si>
    <t>GHZHWDWADLAOIQ-UHFFFAOYSA-N</t>
  </si>
  <si>
    <t>2.43_230.0124m/z</t>
  </si>
  <si>
    <t>Paracetamol Sulfate</t>
  </si>
  <si>
    <t>HMDB0059911</t>
  </si>
  <si>
    <t>10066-90-7</t>
  </si>
  <si>
    <t>CC(=O)NC1=CC=C(OS(O)(=O)=O)C=C1</t>
  </si>
  <si>
    <t>IGTYILLPRJOVFY-UHFFFAOYSA-N</t>
  </si>
  <si>
    <t>9.71_496.1667m/z</t>
  </si>
  <si>
    <t>Q-Vd-Oph</t>
  </si>
  <si>
    <t>HMDB0257014</t>
  </si>
  <si>
    <t>CC(C)C(NC(=O)C1=NC2=CC=CC=C2C=C1)C(=O)NC(CC(O)=O)C(=O)COC1=C(F)C=CC=C1F</t>
  </si>
  <si>
    <t>OOBJCYKITXPCNS-UHFFFAOYSA-N</t>
  </si>
  <si>
    <t>C26H25F2N3O6</t>
  </si>
  <si>
    <t>4.40_293.0665m/z</t>
  </si>
  <si>
    <t>Coriandrone E</t>
  </si>
  <si>
    <t>HMDB0029971</t>
  </si>
  <si>
    <t>177795-34-5</t>
  </si>
  <si>
    <t>COC1=C2C=COC2=CC2=C1C(=O)OC(C)C2O</t>
  </si>
  <si>
    <t>FDLXWTAXBWPMFB-UHFFFAOYSA-N</t>
  </si>
  <si>
    <t>C13H12O5</t>
  </si>
  <si>
    <t>5.61_347.1850m/z</t>
  </si>
  <si>
    <t>2,2'-Azobis(4-Methoxy-2,4-Dimethylvaleronitrile)</t>
  </si>
  <si>
    <t>HMDB0244704</t>
  </si>
  <si>
    <t>COC(C)(C)CC(C)(N=NC(C)(CC(C)(C)OC)C#N)C#N</t>
  </si>
  <si>
    <t>PFHOSZAOXCYAGJ-UHFFFAOYSA-N</t>
  </si>
  <si>
    <t>C16H28N4O2</t>
  </si>
  <si>
    <t>6.11_243.1377m/z</t>
  </si>
  <si>
    <t>14-Methoxy-4,4-Bisnor-4,8,11,13-Podocarpatetraen-3-One</t>
  </si>
  <si>
    <t>CC12CCC(=O)C=C1CCC3=C2C=CC=C3OC</t>
  </si>
  <si>
    <t>VSZUGNOVOOTAQU-INIZCTEOSA-N</t>
  </si>
  <si>
    <t>Hydrophenanthrenes</t>
  </si>
  <si>
    <t>C16H18O2</t>
  </si>
  <si>
    <t>11.69_375.2676m/z</t>
  </si>
  <si>
    <t>3-Hydroxy-10'-Apo-B,Y-Carotenal</t>
  </si>
  <si>
    <t>HMDB0039019</t>
  </si>
  <si>
    <t>79709-31-2</t>
  </si>
  <si>
    <t>C\C(\C=C\C=O)=C/C=C/C=C(\C)/C=C/C=C(\C)/C=C/C1=C(C)CC(O)CC1(C)C</t>
  </si>
  <si>
    <t>HQPQTQQUHPFUOA-JNOJMRGUSA-N</t>
  </si>
  <si>
    <t>C27H36O2</t>
  </si>
  <si>
    <t>4.74_575.1748m/z</t>
  </si>
  <si>
    <t>Icariside I</t>
  </si>
  <si>
    <t>HMDB0253343</t>
  </si>
  <si>
    <t>COC1=CC=C(C=C1)C1=C(O)C(=O)C2=C(O1)C(CC=C(C)C)=C(OC1OC(CO)C(O)C(O)C1O)C=C2O</t>
  </si>
  <si>
    <t>IYCPMVXIUPYNHI-UHFFFAOYSA-N</t>
  </si>
  <si>
    <t>8.20_545.2364m/z</t>
  </si>
  <si>
    <t>Glutaconylcarnitine</t>
  </si>
  <si>
    <t>HMDB0013129</t>
  </si>
  <si>
    <t>LMFA07070065</t>
  </si>
  <si>
    <t>[C@H](C[N+](C)(C)C)(OC(=O)/C=C/CC(=O)O)CC(=O)[O-]</t>
  </si>
  <si>
    <t>JXVUHLILXGZLFR-DNQSNQRASA-N</t>
  </si>
  <si>
    <t>C12H19NO6</t>
  </si>
  <si>
    <t>2.13_376.0691m/z</t>
  </si>
  <si>
    <t>Edetate Trisodium</t>
  </si>
  <si>
    <t>HMDB0301767</t>
  </si>
  <si>
    <t>150-38-9</t>
  </si>
  <si>
    <t>[Na+].[Na+].[Na+].OC(=O)CN(CCN(CC([O-])=O)CC([O-])=O)CC([O-])=O</t>
  </si>
  <si>
    <t>QZKRHPLGUJDVAR-UHFFFAOYSA-K</t>
  </si>
  <si>
    <t>C10H13N2Na3O8</t>
  </si>
  <si>
    <t>11.67_165.1636m/z</t>
  </si>
  <si>
    <t>5,7-Dodecadien-1-Ol</t>
  </si>
  <si>
    <t>LMFA05000020</t>
  </si>
  <si>
    <t>C(CC)C/C=C/C=C/CCCCO</t>
  </si>
  <si>
    <t>JUDKGQZMLJXRJX-BSWSSELBSA-N</t>
  </si>
  <si>
    <t>C12H22O</t>
  </si>
  <si>
    <t>9.75_483.2340m/z</t>
  </si>
  <si>
    <t>MG(6 keto-PGF1alpha/0:0/0:0)</t>
  </si>
  <si>
    <t>HMDB0260477</t>
  </si>
  <si>
    <t>CCCCC[C@H](O)\C=C\[C@H]1[C@H](O)C[C@H](O)[C@@H]1CC(=O)CCCCC(=O)OC[C@@H](O)CO</t>
  </si>
  <si>
    <t>MPSATYYKSWVJNQ-DCBGHZSBSA-N</t>
  </si>
  <si>
    <t>C23H40O8</t>
  </si>
  <si>
    <t>5.93_507.1491m/z</t>
  </si>
  <si>
    <t>Citicoline</t>
  </si>
  <si>
    <t>HMDB0001413</t>
  </si>
  <si>
    <t>C00307</t>
  </si>
  <si>
    <t>987-78-0</t>
  </si>
  <si>
    <t>C[N+](C)(C)CCOP(O)(=O)OP(O)(=O)OC[C@H]1O[C@H]([C@H](O)[C@@H]1O)N1C=CC(N)=NC1=O</t>
  </si>
  <si>
    <t>RZZPDXZPRHQOCG-OJAKKHQRSA-O</t>
  </si>
  <si>
    <t>C14H27N4O11P2+</t>
  </si>
  <si>
    <t>3.84_555.2440m/z</t>
  </si>
  <si>
    <t>Oxadixyl</t>
  </si>
  <si>
    <t>C18753</t>
  </si>
  <si>
    <t>77732-09-3</t>
  </si>
  <si>
    <t>CC1=C(C(=CC=C1)C)N(C(=O)COC)N2CCOC2=O</t>
  </si>
  <si>
    <t>UWVQIROCRJWDKL-UHFFFAOYSA-N</t>
  </si>
  <si>
    <t>10.65_225.1854m/z</t>
  </si>
  <si>
    <t>3r-Hydroxy-Tetradecanoic Acid</t>
  </si>
  <si>
    <t>HMDB0010731</t>
  </si>
  <si>
    <t>LMFA01050322</t>
  </si>
  <si>
    <t>C(C[C@H](O)CCCCCCCCCCC)(=O)O</t>
  </si>
  <si>
    <t>ATRNZOYKSNPPBF-CYBMUJFWSA-N</t>
  </si>
  <si>
    <t>3.88_318.0840n</t>
  </si>
  <si>
    <t>Atreleuton</t>
  </si>
  <si>
    <t>HMDB0248714</t>
  </si>
  <si>
    <t>CC(C#CC1=CC=C(CC2=CC=C(F)C=C2)S1)N(O)C(N)=O</t>
  </si>
  <si>
    <t>MMSNEKOTSJRTRI-UHFFFAOYSA-N</t>
  </si>
  <si>
    <t>C16H15FN2O2S</t>
  </si>
  <si>
    <t>13.64_584.4516m/z</t>
  </si>
  <si>
    <t>Antibiotic X 14889d</t>
  </si>
  <si>
    <t>HMDB0033334</t>
  </si>
  <si>
    <t>97671-94-8</t>
  </si>
  <si>
    <t>CCC(C1OC(C)(CC1C)C12OC(C)C(CC)(CC1C)O2)C(=O)C(C)C(O)C(C)C1OC(O)(CC)C(C)CC1C</t>
  </si>
  <si>
    <t>HTVYQCLJTJPTPF-UHFFFAOYSA-N</t>
  </si>
  <si>
    <t>C33H58O7</t>
  </si>
  <si>
    <t>4.12_256.1155m/z</t>
  </si>
  <si>
    <t>N-Despropyl-Rotigotine</t>
  </si>
  <si>
    <t>HMDB0060841</t>
  </si>
  <si>
    <t>OC1=CC=CC2=C1CCC(C2)NCCC1=CC=CS1</t>
  </si>
  <si>
    <t>RDMWWGLKUMLLTG-UHFFFAOYSA-N</t>
  </si>
  <si>
    <t>C16H19NOS</t>
  </si>
  <si>
    <t>6.18_437.2178m/z</t>
  </si>
  <si>
    <t>Zeatin</t>
  </si>
  <si>
    <t>HMDB0012204</t>
  </si>
  <si>
    <t>C00371</t>
  </si>
  <si>
    <t>ko00908,ko04075</t>
  </si>
  <si>
    <t>Zeatin biosynthesis|Plant hormone signal transduction</t>
  </si>
  <si>
    <t>1637-39-4</t>
  </si>
  <si>
    <t>C\C(CO)=C/CNC1=C2N=CN=C2N=CN1</t>
  </si>
  <si>
    <t>UZKQTCBAMSWPJD-FARCUNLSSA-N</t>
  </si>
  <si>
    <t>C10H13N5O</t>
  </si>
  <si>
    <t>4.70_257.2261m/z</t>
  </si>
  <si>
    <t>5alpha-Androsta-16-Ene-3-Ol</t>
  </si>
  <si>
    <t>HMDB0247010</t>
  </si>
  <si>
    <t>CC12CCC3C(CCC4CC(O)CCC34C)C1CC=C2</t>
  </si>
  <si>
    <t>KRVXMNNRSSQZJP-UHFFFAOYSA-N</t>
  </si>
  <si>
    <t>4.22_455.1918m/z</t>
  </si>
  <si>
    <t>Scorzoside</t>
  </si>
  <si>
    <t>HMDB0040713</t>
  </si>
  <si>
    <t>106009-45-4</t>
  </si>
  <si>
    <t>CC1C2CC(OC3OC(CO)C(O)C(O)C3O)C(=C)C3CCC(=C)C3C2OC1=O</t>
  </si>
  <si>
    <t>RCMFOCNCKTYXQN-UHFFFAOYSA-N</t>
  </si>
  <si>
    <t>7.16_729.1881m/z</t>
  </si>
  <si>
    <t>5,2',4'-Trihydroxy-3,7,5'-Trimethoxyflavone 2'-Galactosyl-(1-&gt;4)-Glucoside</t>
  </si>
  <si>
    <t>LMPK12112737</t>
  </si>
  <si>
    <t>C1(O[C@H]2[C@H](O)[C@@H](O)[C@H](O[C@H]3[C@H](O)[C@@H](O)[C@@H](O)[C@@H](CO)O3)[C@@H](CO)O2)C=C(O)C(OC)=CC=1C1=C(OC)C(=O)C2C(O)=CC(OC)=CC=2O1</t>
  </si>
  <si>
    <t>SFBFBTDIDWLYBW-NMMFRIIKSA-N</t>
  </si>
  <si>
    <t>C30H36O18</t>
  </si>
  <si>
    <t>6.59_677.3300m/z</t>
  </si>
  <si>
    <t>(3e,5e,8z)-Deca-3,5,8-Trienedioylcarnitine</t>
  </si>
  <si>
    <t>HMDB0241127</t>
  </si>
  <si>
    <t>C[N+](C)(C)CC(CC([O-])=O)OC(=O)CC=CC=CCC=CC(O)=O</t>
  </si>
  <si>
    <t>AHIUIYMBNXSIQH-UHFFFAOYSA-N</t>
  </si>
  <si>
    <t>C17H25NO6</t>
  </si>
  <si>
    <t>0.69_158.9220m/z</t>
  </si>
  <si>
    <t>Sodium Phosphate (Na(H2po4))</t>
  </si>
  <si>
    <t>HMDB0303430</t>
  </si>
  <si>
    <t>[Na+].OP(O)([O-])=O</t>
  </si>
  <si>
    <t>AJPJDKMHJJGVTQ-UHFFFAOYSA-M</t>
  </si>
  <si>
    <t>H2NaO4P</t>
  </si>
  <si>
    <t>6.59_368.9989m/z</t>
  </si>
  <si>
    <t>Sedoheptulose 1,7-Bisphosphate</t>
  </si>
  <si>
    <t>HMDB0060274</t>
  </si>
  <si>
    <t>C00447</t>
  </si>
  <si>
    <t>ko00710</t>
  </si>
  <si>
    <t>Carbon fixation in photosynthetic organisms</t>
  </si>
  <si>
    <t>815-91-8</t>
  </si>
  <si>
    <t>O[C@H](COP(O)(O)=O)[C@@H](O)[C@@H](O)[C@H](O)C(=O)COP(O)(O)=O</t>
  </si>
  <si>
    <t>OKHXOUGRECCASI-SHUUEZRQSA-N</t>
  </si>
  <si>
    <t>C7H16O13P2</t>
  </si>
  <si>
    <t>3.51_159.0653m/z</t>
  </si>
  <si>
    <t>Succinylacetone</t>
  </si>
  <si>
    <t>HMDB0000635</t>
  </si>
  <si>
    <t>51568-18-4</t>
  </si>
  <si>
    <t>CC(=O)CC(=O)CCC(O)=O</t>
  </si>
  <si>
    <t>WYEPBHZLDUPIOD-UHFFFAOYSA-N</t>
  </si>
  <si>
    <t>4.65_317.1506m/z</t>
  </si>
  <si>
    <t>2-Propenamide, 2-Cyano-3-(4-Hydroxy-3,5-Bis(1-Methylethyl)Phenyl)-</t>
  </si>
  <si>
    <t>HMDB0258470</t>
  </si>
  <si>
    <t>CC(C)C1=CC(C=C(C#N)C(N)=O)=CC(C(C)C)=C1O</t>
  </si>
  <si>
    <t>HMLQHJRJKQDTKW-UHFFFAOYSA-N</t>
  </si>
  <si>
    <t>C16H20N2O2</t>
  </si>
  <si>
    <t>4.42_355.0544m/z</t>
  </si>
  <si>
    <t>1-Phenyl-5-Mercaptotetrazole</t>
  </si>
  <si>
    <t>C15415</t>
  </si>
  <si>
    <t>86-93-1</t>
  </si>
  <si>
    <t>C1=CC=C(C=C1)N2C(=S)N=NN2</t>
  </si>
  <si>
    <t>GGZHVNZHFYCSEV-UHFFFAOYSA-N</t>
  </si>
  <si>
    <t>Tetrazoles</t>
  </si>
  <si>
    <t>C7H6N4S</t>
  </si>
  <si>
    <t>10.00_330.3001m/z</t>
  </si>
  <si>
    <t>Palmitoyl Serinol</t>
  </si>
  <si>
    <t>HMDB0013654</t>
  </si>
  <si>
    <t>LMFA08020197</t>
  </si>
  <si>
    <t>126127-31-9</t>
  </si>
  <si>
    <t>CCCCCCCCCCCCCCCC(NC(CO)CO)=O</t>
  </si>
  <si>
    <t>MZUNFYMZKTWADX-UHFFFAOYSA-N</t>
  </si>
  <si>
    <t>C19H39NO3</t>
  </si>
  <si>
    <t>4.84_421.0384m/z</t>
  </si>
  <si>
    <t>3,5-Dinitrobenzamide</t>
  </si>
  <si>
    <t>HMDB0246066</t>
  </si>
  <si>
    <t>121-81-3</t>
  </si>
  <si>
    <t>OC(=N)C1=CC(=CC(=C1)N(=O)=O)N(=O)=O</t>
  </si>
  <si>
    <t>UUKWKUSGGZNXGA-UHFFFAOYSA-N</t>
  </si>
  <si>
    <t>C7H5N3O5</t>
  </si>
  <si>
    <t>8.83_283.1338m/z</t>
  </si>
  <si>
    <t>16-Oxoestrone</t>
  </si>
  <si>
    <t>HMDB0000372</t>
  </si>
  <si>
    <t>C14441</t>
  </si>
  <si>
    <t>1228-73-5</t>
  </si>
  <si>
    <t>C[C@]12CCC3C(CCC4=C3C=CC(O)=C4)C1CC(=O)C2=O</t>
  </si>
  <si>
    <t>ANPHVANSJXDRTP-VLVBFLKRSA-N</t>
  </si>
  <si>
    <t>C18H20O3</t>
  </si>
  <si>
    <t>2.16_415.0833m/z</t>
  </si>
  <si>
    <t>Sinaticin</t>
  </si>
  <si>
    <t>LMPK12110729</t>
  </si>
  <si>
    <t>C1(O)C=C2OC(C3C=CC4O[C@@H](C5C=CC(O)=CC=5)[C@H](CO)OC=4C=3)=CC(=O)C2=C(O)C=1</t>
  </si>
  <si>
    <t>QGMULYBZWIWTIF-UPVQGACJSA-N</t>
  </si>
  <si>
    <t>Flavonolignans</t>
  </si>
  <si>
    <t>C24H18O8</t>
  </si>
  <si>
    <t>1.22_283.0347m/z</t>
  </si>
  <si>
    <t>D-Erythro-Imidazole-Glycerol-Phosphate</t>
  </si>
  <si>
    <t>HMDB0012208</t>
  </si>
  <si>
    <t>C04666</t>
  </si>
  <si>
    <t>36244-87-8</t>
  </si>
  <si>
    <t>O[C@H](COP(O)(O)=O)[C@@H](O)C1=CNC=N1</t>
  </si>
  <si>
    <t>HFYBTHCYPKEDQQ-RITPCOANSA-N</t>
  </si>
  <si>
    <t>C6H11N2O6P</t>
  </si>
  <si>
    <t>9.37_307.1163m/z</t>
  </si>
  <si>
    <t>Phosphatidylglycerol</t>
  </si>
  <si>
    <t>HMDB0302468</t>
  </si>
  <si>
    <t>CCC.CCO.OCC(O)COP(O)(O)=O</t>
  </si>
  <si>
    <t>GDQGIGPGALPYCN-UHFFFAOYSA-N</t>
  </si>
  <si>
    <t>C8H23O7P</t>
  </si>
  <si>
    <t>1.08_196.0578m/z</t>
  </si>
  <si>
    <t>N-Acetyl-L-Glutamate 5-Semialdehyde</t>
  </si>
  <si>
    <t>HMDB0006488</t>
  </si>
  <si>
    <t>C01250</t>
  </si>
  <si>
    <t>ko00220,ko00330</t>
  </si>
  <si>
    <t>Arginine biosynthesis|Arginine and proline metabolism</t>
  </si>
  <si>
    <t>13074-21-0</t>
  </si>
  <si>
    <t>CC(=O)N[C@@H](CCC=O)C(O)=O</t>
  </si>
  <si>
    <t>BCPSFKBPHHBDAI-LURJTMIESA-N</t>
  </si>
  <si>
    <t>8.60_199.1332m/z</t>
  </si>
  <si>
    <t>2,3-Dihydroxypropyl Octanoate</t>
  </si>
  <si>
    <t>HMDB0254850</t>
  </si>
  <si>
    <t>CCCCCCCC(=O)OCC(O)CO</t>
  </si>
  <si>
    <t>GHBFNMLVSPCDGN-UHFFFAOYSA-N</t>
  </si>
  <si>
    <t>C11H22O4</t>
  </si>
  <si>
    <t>11.98_223.0277m/z</t>
  </si>
  <si>
    <t>[(2s,3s,4s,5s,6r)-4,5-Dihydroxy-2,6-Dimethyloxan-3-Yl] Hydrogen Sulfate</t>
  </si>
  <si>
    <t>HMDB0252508</t>
  </si>
  <si>
    <t>CC1OC(C)C(OS(O)(=O)=O)C(O)C1O</t>
  </si>
  <si>
    <t>NLMDZXKCTWKRSQ-UHFFFAOYSA-N</t>
  </si>
  <si>
    <t>C7H14O7S</t>
  </si>
  <si>
    <t>7.16_677.2431m/z</t>
  </si>
  <si>
    <t>7-Hydroxygliclazide</t>
  </si>
  <si>
    <t>HMDB0014027</t>
  </si>
  <si>
    <t>CC1=CC=C(C=C1)S(=O)(=O)NC(=O)NN1CC2CC(O)CC2C1</t>
  </si>
  <si>
    <t>JMHDCYDSYHLATB-UHFFFAOYSA-N</t>
  </si>
  <si>
    <t>C15H21N3O4S</t>
  </si>
  <si>
    <t>5.51_395.2941m/z</t>
  </si>
  <si>
    <t>N-Margaroyl Taurine</t>
  </si>
  <si>
    <t>LMFA08020247</t>
  </si>
  <si>
    <t>C(CNC(CCCCCCCCCCCCCCCC)=O)S(O)(=O)=O</t>
  </si>
  <si>
    <t>NKUBJVWCFAYGAD-UHFFFAOYSA-N</t>
  </si>
  <si>
    <t>C19H39NO4S</t>
  </si>
  <si>
    <t>4.49_123.0347m/z</t>
  </si>
  <si>
    <t>4-Cyanoindole</t>
  </si>
  <si>
    <t>16136-52-0</t>
  </si>
  <si>
    <t>C1=CC(=C2C=CNC2=C1)C#N</t>
  </si>
  <si>
    <t>CEUFGDDOMXCXFW-UHFFFAOYSA-N</t>
  </si>
  <si>
    <t>C9H6N2</t>
  </si>
  <si>
    <t>5.01_1007.2237m/z</t>
  </si>
  <si>
    <t>3-O-Beta-D-Galactopyranosylcinnamtannin B1</t>
  </si>
  <si>
    <t>HMDB0039864</t>
  </si>
  <si>
    <t>OCC1OC(OC2C3C4=C(OC2(OC2=C3C3=C(C(C(O)C(O3)C3=CC=C(O)C(O)=C3)C3=C(O)C=C(O)C5=C3OC(C(O)C5)C3=CC=C(O)C(O)=C3)C(O)=C2)C2=CC=C(O)C(O)=C2)C=C(O)C=C4O)C(O)C(O)C1O</t>
  </si>
  <si>
    <t>XIFRPUIQXADIQI-UHFFFAOYSA-N</t>
  </si>
  <si>
    <t>C51H46O23</t>
  </si>
  <si>
    <t>3.97_259.0598m/z</t>
  </si>
  <si>
    <t>Demeton-S</t>
  </si>
  <si>
    <t>C18978</t>
  </si>
  <si>
    <t>126-75-0</t>
  </si>
  <si>
    <t>CCOP(=O)(OCC)SCCSCC</t>
  </si>
  <si>
    <t>GRPRVIYRYGLIJU-UHFFFAOYSA-N</t>
  </si>
  <si>
    <t>C8H19O3PS2</t>
  </si>
  <si>
    <t>2.24_215.1391m/z</t>
  </si>
  <si>
    <t>Dethiobiotin</t>
  </si>
  <si>
    <t>HMDB0003581</t>
  </si>
  <si>
    <t>C01909</t>
  </si>
  <si>
    <t>ko00780</t>
  </si>
  <si>
    <t>Biotin metabolism</t>
  </si>
  <si>
    <t>533-48-2</t>
  </si>
  <si>
    <t>C[C@@H]1NC(=O)N[C@@H]1CCCCCC(O)=O</t>
  </si>
  <si>
    <t>AUTOLBMXDDTRRT-JGVFFNPUSA-N</t>
  </si>
  <si>
    <t>C10H18N2O3</t>
  </si>
  <si>
    <t>4.12_147.1048n</t>
  </si>
  <si>
    <t>1,2,3,4-Tetrahydro-1-Naphthylamine</t>
  </si>
  <si>
    <t>HMDB0244116</t>
  </si>
  <si>
    <t>NC1CCCC2=CC=CC=C12</t>
  </si>
  <si>
    <t>JRZGPXSSNPTNMA-UHFFFAOYSA-N</t>
  </si>
  <si>
    <t>C10H13N</t>
  </si>
  <si>
    <t>4.68_392.1675m/z</t>
  </si>
  <si>
    <t>N-[(5-Hydroxy-2-Pyridinyl)Methyl]Adenosine</t>
  </si>
  <si>
    <t>HMDB0040912</t>
  </si>
  <si>
    <t>123369-41-5</t>
  </si>
  <si>
    <t>OCC1OC(C(O)C1O)N1C=NC2=C(NCC3=NC=C(O)C=C3)N=CN=C12</t>
  </si>
  <si>
    <t>IRZNDKKKFMEHTG-UHFFFAOYSA-N</t>
  </si>
  <si>
    <t>C16H18N6O5</t>
  </si>
  <si>
    <t>2.03_150.0311m/z</t>
  </si>
  <si>
    <t>2-Cyanopyrimidine</t>
  </si>
  <si>
    <t>HMDB0245088</t>
  </si>
  <si>
    <t>14080-23-0</t>
  </si>
  <si>
    <t>N#CC1=NC=CC=N1</t>
  </si>
  <si>
    <t>IIHQNAXFIODVDU-UHFFFAOYSA-N</t>
  </si>
  <si>
    <t>C5H3N3</t>
  </si>
  <si>
    <t>3.93_337.1619m/z</t>
  </si>
  <si>
    <t>Valganciclovir</t>
  </si>
  <si>
    <t>HMDB0015548</t>
  </si>
  <si>
    <t>175865-60-8</t>
  </si>
  <si>
    <t>CC(C)[C@H](N)C(=O)OCC(CO)OCN1C=NC2=C1NC(N)=NC2=O</t>
  </si>
  <si>
    <t>WPVFJKSGQUFQAP-GKAPJAKFSA-N</t>
  </si>
  <si>
    <t>C14H22N6O5</t>
  </si>
  <si>
    <t>5.83_333.2633m/z</t>
  </si>
  <si>
    <t>9,10,13-Trihydroxy-Octadecanoic Acid</t>
  </si>
  <si>
    <t>HMDB0030935</t>
  </si>
  <si>
    <t>LMFA01050537</t>
  </si>
  <si>
    <t>50439-74-2</t>
  </si>
  <si>
    <t>C(CCCCCCCC(O)C(O)CCC(O)CCCCC)(=O)O</t>
  </si>
  <si>
    <t>CDWBHGXGXFTKRD-UHFFFAOYSA-N</t>
  </si>
  <si>
    <t>C18H36O5</t>
  </si>
  <si>
    <t>5.40_203.1430m/z</t>
  </si>
  <si>
    <t>2,6-Di-Tert-Butylbenzoquinone</t>
  </si>
  <si>
    <t>HMDB0013817</t>
  </si>
  <si>
    <t>719-22-2</t>
  </si>
  <si>
    <t>CC(C)(C)C1=CC(=O)C=C(C1=O)C(C)(C)C</t>
  </si>
  <si>
    <t>RDQSIADLBQFVMY-UHFFFAOYSA-N</t>
  </si>
  <si>
    <t>0.92_301.9957m/z</t>
  </si>
  <si>
    <t>Olpadronic Acid</t>
  </si>
  <si>
    <t>HMDB0255958</t>
  </si>
  <si>
    <t>CN(C)CCC(O)(P(O)(O)=O)P(O)(O)=O</t>
  </si>
  <si>
    <t>UGEPSJNLORCRBO-UHFFFAOYSA-N</t>
  </si>
  <si>
    <t>C5H15NO7P2</t>
  </si>
  <si>
    <t>11.37_530.4062m/z</t>
  </si>
  <si>
    <t>Rocuronium</t>
  </si>
  <si>
    <t>HMDB0014866</t>
  </si>
  <si>
    <t>C07556</t>
  </si>
  <si>
    <t>119302-91-9</t>
  </si>
  <si>
    <t>[H][C@@]12C[C@@H]([C@H](OC(C)=O)[C@@]1(C)CC[C@@]1([H])[C@@]2([H])CC[C@@]2([H])C[C@H](O)[C@H](C[C@]12C)N1CCOCC1)[N+]1(CC=C)CCCC1</t>
  </si>
  <si>
    <t>YXRDKMPIGHSVRX-OOJCLDBCSA-N</t>
  </si>
  <si>
    <t>C32H53N2O4+</t>
  </si>
  <si>
    <t>9.46_358.9947m/z</t>
  </si>
  <si>
    <t>Fluoromethyl 2,2-Difluoro-1-(Trifluoromethyl)Vinyl Ether</t>
  </si>
  <si>
    <t>HMDB0246988</t>
  </si>
  <si>
    <t>58109-34-5</t>
  </si>
  <si>
    <t>FCOC(=C(F)F)C(F)(F)F</t>
  </si>
  <si>
    <t>VMCHRPIQINOPJR-UHFFFAOYSA-N</t>
  </si>
  <si>
    <t>C4H2F6O</t>
  </si>
  <si>
    <t>10.46_780.3578m/z</t>
  </si>
  <si>
    <t>Vaniprevir</t>
  </si>
  <si>
    <t>HMDB0259762</t>
  </si>
  <si>
    <t>CCC1CC1(NC(=O)C1CC2CN1C(=O)C(NC(=O)OCC(C)(C)CCCCC1=C3CN(CC3=CC=C1)C(=O)O2)C(C)(C)C)C(=O)NS(=O)(=O)C1CC1</t>
  </si>
  <si>
    <t>KUQWGLQLLVFLSM-UHFFFAOYSA-N</t>
  </si>
  <si>
    <t>C38H55N5O9S</t>
  </si>
  <si>
    <t>4.05_254.1151n</t>
  </si>
  <si>
    <t>3,4-Dimethyl-5-Carboxyethyl-2-Furanbutanoic Acid</t>
  </si>
  <si>
    <t>LMFA01150053</t>
  </si>
  <si>
    <t>C(C(O)=O)CC1=C(C)C(C)=C(CCCC(=O)O)O1</t>
  </si>
  <si>
    <t>ZRPKUEWUJNRCRJ-UHFFFAOYSA-N</t>
  </si>
  <si>
    <t>9.92_343.1879m/z</t>
  </si>
  <si>
    <t>Aleuritic Acid</t>
  </si>
  <si>
    <t>LMFA01050101</t>
  </si>
  <si>
    <t>C(O)(CCCCCCO)C(O)CCCCCCCC(=O)O</t>
  </si>
  <si>
    <t>MEHUJCGAYMDLEL-UHFFFAOYSA-N</t>
  </si>
  <si>
    <t>C16H32O5</t>
  </si>
  <si>
    <t>3.43_250.1079m/z</t>
  </si>
  <si>
    <t>1-(2,3-Dihydro-1h-Pyrrolizin-5-Yl)-1,4-Pentanedione</t>
  </si>
  <si>
    <t>HMDB0040046</t>
  </si>
  <si>
    <t>97073-10-4</t>
  </si>
  <si>
    <t>CC(=O)CCC(=O)C1=CC=C2CCCN12</t>
  </si>
  <si>
    <t>BDWPPPWPSZSWII-UHFFFAOYSA-N</t>
  </si>
  <si>
    <t>Pyrrolizines</t>
  </si>
  <si>
    <t>C12H15NO2</t>
  </si>
  <si>
    <t>3.99_421.1714m/z</t>
  </si>
  <si>
    <t>{1-[2-(4-Carbamimidoyl-Benzoylamino)-Propionyl]-Piperidin-4-Yloxy}-Acetic Acid</t>
  </si>
  <si>
    <t>HMDB0257277</t>
  </si>
  <si>
    <t>CC(NC(=O)C1=CC=C(C=C1)C(N)=N)C(=O)N1CCC(CC1)OCC(O)=O</t>
  </si>
  <si>
    <t>BHOGTSLQMNCJHA-UHFFFAOYSA-N</t>
  </si>
  <si>
    <t>C18H24N4O5</t>
  </si>
  <si>
    <t>4.04_357.1183m/z</t>
  </si>
  <si>
    <t>3-Hydroxychavicol 1-Glucoside</t>
  </si>
  <si>
    <t>HMDB0034861</t>
  </si>
  <si>
    <t>OCC1OC(OC2=C(O)C=C(CC=C)C=C2)C(O)C(O)C1O</t>
  </si>
  <si>
    <t>SUXVWSIPTXXPOZ-UHFFFAOYSA-N</t>
  </si>
  <si>
    <t>12.36_118.0649m/z</t>
  </si>
  <si>
    <t>2-Acetyl-4-Methylpyridine</t>
  </si>
  <si>
    <t>HMDB0037071</t>
  </si>
  <si>
    <t>59576-26-0</t>
  </si>
  <si>
    <t>CC(=O)C1=NC=CC(C)=C1</t>
  </si>
  <si>
    <t>HRVQMQWVGKYDCF-UHFFFAOYSA-N</t>
  </si>
  <si>
    <t>8.05_237.0997n</t>
  </si>
  <si>
    <t>2,3-Dihydro-1,4-Benzodioxin-2-Ylmethyl Dimethylcarbamate</t>
  </si>
  <si>
    <t>CN(C)C(=O)OCC1COC2=CC=CC=C2O1</t>
  </si>
  <si>
    <t>WSCKMRCIWCXCBS-UHFFFAOYSA-N</t>
  </si>
  <si>
    <t>Benzodioxanes</t>
  </si>
  <si>
    <t>Benzo-1,4-dioxanes</t>
  </si>
  <si>
    <t>C12H15NO4</t>
  </si>
  <si>
    <t>1.01_148.1081m/z</t>
  </si>
  <si>
    <t>L-Cis-3-Amino-2-Pyrrolidinecarboxylic Acid</t>
  </si>
  <si>
    <t>HMDB0029396</t>
  </si>
  <si>
    <t>25876-88-4</t>
  </si>
  <si>
    <t>NC1CCNC1C(O)=O</t>
  </si>
  <si>
    <t>VJLXSTXGGXYQCT-UHFFFAOYSA-N</t>
  </si>
  <si>
    <t>C5H10N2O2</t>
  </si>
  <si>
    <t>4.41_376.2478m/z</t>
  </si>
  <si>
    <t>Cafestol Acetate</t>
  </si>
  <si>
    <t>81760-48-7</t>
  </si>
  <si>
    <t>CC(=O)OCC1(CC23CCC4C5=C(CCC4(C2CCC1C3)C)OC=C5)O</t>
  </si>
  <si>
    <t>PTGGVIKFNQSFBY-UHFFFAOYSA-N</t>
  </si>
  <si>
    <t>4.67_449.1995m/z</t>
  </si>
  <si>
    <t>2-Dicyclohexylphosphino-2',6'-Dimethoxybiphenyl</t>
  </si>
  <si>
    <t>HMDB0247173</t>
  </si>
  <si>
    <t>COC1=CC=CC(OC)=C1C1=CC=CC=C1P(C1CCCCC1)C1CCCCC1</t>
  </si>
  <si>
    <t>VNFWTIYUKDMAOP-UHFFFAOYSA-N</t>
  </si>
  <si>
    <t>C26H35O2P</t>
  </si>
  <si>
    <t>12.47_346.8153m/z</t>
  </si>
  <si>
    <t>Diphosphate</t>
  </si>
  <si>
    <t>HMDB0304340</t>
  </si>
  <si>
    <t>[O-]P([O-])(=O)OP([O-])([O-])=O</t>
  </si>
  <si>
    <t>XPPKVPWEQAFLFU-UHFFFAOYSA-J</t>
  </si>
  <si>
    <t>Homogeneous non-metal compounds</t>
  </si>
  <si>
    <t>Non-metal oxoanionic compounds</t>
  </si>
  <si>
    <t>Non-metal pyrophosphates</t>
  </si>
  <si>
    <t>O7P2-4</t>
  </si>
  <si>
    <t>3.86_331.1363m/z</t>
  </si>
  <si>
    <t>Thioperamide</t>
  </si>
  <si>
    <t>HMDB0259023</t>
  </si>
  <si>
    <t>C17933</t>
  </si>
  <si>
    <t>148440-81-7</t>
  </si>
  <si>
    <t>SC(=NC1CCCCC1)N1CCC(CC1)C1=CN=CN1</t>
  </si>
  <si>
    <t>QKDDJDBFONZGBW-UHFFFAOYSA-N</t>
  </si>
  <si>
    <t>C15H24N4S</t>
  </si>
  <si>
    <t>11.22_1045.4805m/z</t>
  </si>
  <si>
    <t>PIP2(16:0/22:4(10Z,13Z,16Z,19Z))</t>
  </si>
  <si>
    <t>HMDB0010047</t>
  </si>
  <si>
    <t>CCCCCCCCCCCCCCCC(=O)OC[C@]([H])(COP(O)(=O)O[C@H]1C(O)C(O)C(OP(=O)(O)O)[C@@H](OP(=O)(O)O)C1O)OC(=O)CCCCCCCC\C=C/C\C=C/C\C=C/C\C=C/CC</t>
  </si>
  <si>
    <t>UMIWHGZMBAYHGH-KPBDWNDJSA-N</t>
  </si>
  <si>
    <t>C47H85O19P3</t>
  </si>
  <si>
    <t>7.89_758.1846n</t>
  </si>
  <si>
    <t>Okanin 4'-O-(2''-O-Caffeoyl-6''-O-P-Coumaroylglucoside)</t>
  </si>
  <si>
    <t>LMPK12120177</t>
  </si>
  <si>
    <t>C(OC[C@@H]1[C@@H](O)[C@H](O)[C@@H](OC(/C=C/C2C=CC(O)=C(O)C=2)=O)[C@H](OC2C=CC(C(=O)/C=C/C3C=C(O)C(O)=CC=3)=C(O)C=2O)O1)(/C=C/C1C=CC(O)=CC=1)=O</t>
  </si>
  <si>
    <t>VZXQHTJVWMHMSB-STAAEYCOSA-N</t>
  </si>
  <si>
    <t>C39H34O16</t>
  </si>
  <si>
    <t>5.64_245.0919m/z</t>
  </si>
  <si>
    <t>Lansine</t>
  </si>
  <si>
    <t>HMDB0030218</t>
  </si>
  <si>
    <t>74606-99-8</t>
  </si>
  <si>
    <t>OC1=CC2=C(NC3=CC(O)=C(C=O)C=C23)C=C1</t>
  </si>
  <si>
    <t>RCFXXMDGOAHNQH-UHFFFAOYSA-N</t>
  </si>
  <si>
    <t>C13H9NO3</t>
  </si>
  <si>
    <t>6.28_207.1166m/z</t>
  </si>
  <si>
    <t>S-Prenyl-L-Cysteine</t>
  </si>
  <si>
    <t>HMDB0012286</t>
  </si>
  <si>
    <t>C06751</t>
  </si>
  <si>
    <t>5287-46-7</t>
  </si>
  <si>
    <t>CC(C)=CCSCC(N)C(O)=O</t>
  </si>
  <si>
    <t>ULHWZNASVJIOEM-UHFFFAOYSA-N</t>
  </si>
  <si>
    <t>C8H15NO2S</t>
  </si>
  <si>
    <t>4.43_105.0697m/z</t>
  </si>
  <si>
    <t>2-Phenylethanol</t>
  </si>
  <si>
    <t>HMDB0033944</t>
  </si>
  <si>
    <t>C05853</t>
  </si>
  <si>
    <t>60-12-8</t>
  </si>
  <si>
    <t>OCCC1=CC=CC=C1</t>
  </si>
  <si>
    <t>WRMNZCZEMHIOCP-UHFFFAOYSA-N</t>
  </si>
  <si>
    <t>9.98_779.4171m/z</t>
  </si>
  <si>
    <t>Tuberoside J</t>
  </si>
  <si>
    <t>HMDB0039396</t>
  </si>
  <si>
    <t>373647-08-6</t>
  </si>
  <si>
    <t>CC1C2C(CC3C4CCC5CC(OC6OC(CO)C(O)C(O)C6OC6OC(C)C(O)C(O)C6O)C(O)CC5(C)C4CCC23C)OC11CCC(CO)CO1</t>
  </si>
  <si>
    <t>KWJJIZPJGGHBBX-UHFFFAOYSA-N</t>
  </si>
  <si>
    <t>11.84_413.1918m/z</t>
  </si>
  <si>
    <t>4-(Methylnitrosamino)-1-(3-Pyridyl)-1-Butanone</t>
  </si>
  <si>
    <t>HMDB0011603</t>
  </si>
  <si>
    <t>C16453</t>
  </si>
  <si>
    <t>ko00980,ko05204,ko05207,ko05208</t>
  </si>
  <si>
    <t>Metabolism of xenobiotics by cytochrome P450|Chemical carcinogenesis - DNA adducts|Chemical carcinogenesis - receptor activation|Chemical carcinogenesis - reactive oxygen species</t>
  </si>
  <si>
    <t>64091-91-4</t>
  </si>
  <si>
    <t>CN(CCCC(=O)C1=CN=CC=C1)N=O</t>
  </si>
  <si>
    <t>FLAQQSHRLBFIEZ-UHFFFAOYSA-N</t>
  </si>
  <si>
    <t>C10H13N3O2</t>
  </si>
  <si>
    <t>9.27_237.2325m/z</t>
  </si>
  <si>
    <t>1-Dodecylimidazole</t>
  </si>
  <si>
    <t>HMDB0243870</t>
  </si>
  <si>
    <t>CCCCCCCCCCCCN1C=CN=C1</t>
  </si>
  <si>
    <t>JMTFLSQHQSFNTE-UHFFFAOYSA-N</t>
  </si>
  <si>
    <t>C15H28N2</t>
  </si>
  <si>
    <t>4.79_707.1755m/z</t>
  </si>
  <si>
    <t>Leucine-Betaxanthin</t>
  </si>
  <si>
    <t>HMDB0304697</t>
  </si>
  <si>
    <t>C08552</t>
  </si>
  <si>
    <t>ko00965</t>
  </si>
  <si>
    <t>Betalain biosynthesis</t>
  </si>
  <si>
    <t>32074-65-0</t>
  </si>
  <si>
    <t>COC1=C([O-])C=CC(C=CC(=O)OC[C@H]2O[C@@H](OC3=C(O)C=C4C(C[C@@H](C(O)=O)[N+]4=CC=C4C[C@H](NC(=C4)C(O)=O)C(O)=O)=C3)[C@H](O)[C@@H](O)[C@@H]2O)=C1</t>
  </si>
  <si>
    <t>BRMDRKOAVZEJCS-WPUGSIMNSA-N</t>
  </si>
  <si>
    <t>C34H34N2O16</t>
  </si>
  <si>
    <t>1.06_298.0263m/z</t>
  </si>
  <si>
    <t>Arasc</t>
  </si>
  <si>
    <t>HMDB0248564</t>
  </si>
  <si>
    <t>NC1=NC(=S)N(C=C1)C1OC(CO)C(O)C1O</t>
  </si>
  <si>
    <t>RHFUOMFWUGWKKO-UHFFFAOYSA-N</t>
  </si>
  <si>
    <t>C9H13N3O4S</t>
  </si>
  <si>
    <t>4.80_345.1878m/z</t>
  </si>
  <si>
    <t>N-(4-Fluorophenyl)-4,5-Dimethyl-6-[(1s)-1-Methyl-3,4-Dihydro-1h-Isoquinolin-2-Yl]Pyrimidin-2-Amine</t>
  </si>
  <si>
    <t>HMDB0244857</t>
  </si>
  <si>
    <t>CC1N(CCC2=CC=CC=C12)C1=NC(NC2=CC=C(F)C=C2)=NC(C)=C1C</t>
  </si>
  <si>
    <t>LECZXZOBEZITCL-UHFFFAOYSA-N</t>
  </si>
  <si>
    <t>C22H23FN4</t>
  </si>
  <si>
    <t>0.67_249.0340m/z</t>
  </si>
  <si>
    <t>Sinalexin</t>
  </si>
  <si>
    <t>HMDB0032026</t>
  </si>
  <si>
    <t>CON1C2=C(C=NS2)C2=CC=CC=C12</t>
  </si>
  <si>
    <t>MCKJZUFMGOTAKT-UHFFFAOYSA-N</t>
  </si>
  <si>
    <t>C10H8N2OS</t>
  </si>
  <si>
    <t>3.68_181.0495m/z</t>
  </si>
  <si>
    <t>4-Hydroxyphenylpyruvic Acid</t>
  </si>
  <si>
    <t>HMDB0000707</t>
  </si>
  <si>
    <t>C01179</t>
  </si>
  <si>
    <t>ko00130,ko00261,ko00350,ko00400,ko00401,ko00950,ko00998,ko01055</t>
  </si>
  <si>
    <t>Ubiquinone and other terpenoid-quinone biosynthesis|Monobactam biosynthesis|Tyrosine metabolism|Phenylalanine, tyrosine and tryptophan biosynthesis|Novobiocin biosynthesis|Isoquinoline alkaloid biosynthesis|Biosynthesis of various secondary metabolites - part 2|Biosynthesis of vancomycin group antibiotics</t>
  </si>
  <si>
    <t>156-39-8</t>
  </si>
  <si>
    <t>OC(=O)C(=O)CC1=CC=C(O)C=C1</t>
  </si>
  <si>
    <t>KKADPXVIOXHVKN-UHFFFAOYSA-N</t>
  </si>
  <si>
    <t>Phenylpyruvic acid derivatives</t>
  </si>
  <si>
    <t>5.85_495.2387m/z</t>
  </si>
  <si>
    <t>Chenodeoxycholic Acid Sulfate</t>
  </si>
  <si>
    <t>HMDB0002522</t>
  </si>
  <si>
    <t>59132-31-9</t>
  </si>
  <si>
    <t>[H][C@@]1(CC[C@@]2([H])[C@]3([H])C(C[C@]4([H])C[C@H](O)CC[C@]4(C)[C@@]3([H])CC[C@]12C)OS(O)(=O)=O)[C@H](C)CCC(O)=O</t>
  </si>
  <si>
    <t>DPVCTIYTPXYDMQ-HEGLNSLBSA-N</t>
  </si>
  <si>
    <t>4.47_427.0692m/z</t>
  </si>
  <si>
    <t>Baicalin</t>
  </si>
  <si>
    <t>LMPK12111081</t>
  </si>
  <si>
    <t>C10025</t>
  </si>
  <si>
    <t>21967-41-9</t>
  </si>
  <si>
    <t>C1(O[C@H]2[C@H](O)[C@@H](O)[C@H](O)[C@@H](C(=O)O)O2)=CC2OC(C3C=CC=CC=3)=CC(=O)C=2C(O)=C1O</t>
  </si>
  <si>
    <t>IKIIZLYTISPENI-ZFORQUDYSA-N</t>
  </si>
  <si>
    <t>C21H18O11</t>
  </si>
  <si>
    <t>5.94_383.2436m/z</t>
  </si>
  <si>
    <t>Tocainide</t>
  </si>
  <si>
    <t>HMDB0015189</t>
  </si>
  <si>
    <t>C07142</t>
  </si>
  <si>
    <t>41708-72-9</t>
  </si>
  <si>
    <t>CC(N)C(=O)NC1=C(C)C=CC=C1C</t>
  </si>
  <si>
    <t>BUJAGSGYPOAWEI-UHFFFAOYSA-N</t>
  </si>
  <si>
    <t>C11H16N2O</t>
  </si>
  <si>
    <t>0.67_234.8337m/z</t>
  </si>
  <si>
    <t>Potassium Phosphate (K3po4)</t>
  </si>
  <si>
    <t>HMDB0303431</t>
  </si>
  <si>
    <t>[K+].[K+].[K+].[O-]P([O-])([O-])=O</t>
  </si>
  <si>
    <t>LWIHDJKSTIGBAC-UHFFFAOYSA-K</t>
  </si>
  <si>
    <t>K3O4P</t>
  </si>
  <si>
    <t>3.97_349.1865m/z</t>
  </si>
  <si>
    <t>Ascr#10</t>
  </si>
  <si>
    <t>LMFA13040008</t>
  </si>
  <si>
    <t>O([C@@H](CCCCCCC(=O)O)C)[C@H]1[C@H](O)C[C@@H](O)[C@H](C)O1</t>
  </si>
  <si>
    <t>MILZHQPVNOSJIP-WPLOAARJSA-N</t>
  </si>
  <si>
    <t>C15H28O6</t>
  </si>
  <si>
    <t>4.35_230.1538m/z</t>
  </si>
  <si>
    <t>Pronetalol</t>
  </si>
  <si>
    <t>HMDB0256806</t>
  </si>
  <si>
    <t>C11707</t>
  </si>
  <si>
    <t>54-80-8</t>
  </si>
  <si>
    <t>CC(C)NCC(O)C1=CC2=CC=CC=C2C=C1</t>
  </si>
  <si>
    <t>HRSANNODOVBCST-UHFFFAOYSA-N</t>
  </si>
  <si>
    <t>C15H19NO</t>
  </si>
  <si>
    <t>3.98_627.1549m/z</t>
  </si>
  <si>
    <t>Quercetin 4',7-Diglucoside</t>
  </si>
  <si>
    <t>HMDB0037356</t>
  </si>
  <si>
    <t>42900-82-3</t>
  </si>
  <si>
    <t>OCC1OC(OC2=CC(O)=C3C(=O)C(O)=C(OC3=C2)C2=CC(O)=C(OC3OC(CO)C(O)C(O)C3O)C=C2)C(O)C(O)C1O</t>
  </si>
  <si>
    <t>QZXHFNCQMMUANB-UHFFFAOYSA-N</t>
  </si>
  <si>
    <t>9.08_632.3644m/z</t>
  </si>
  <si>
    <t>Hydroxydestruxin B</t>
  </si>
  <si>
    <t>HMDB0040135</t>
  </si>
  <si>
    <t>CCC(C)C1NC(=O)C2CCCN2C(=O)C(CC(C)(C)O)OC(=O)CCNC(=O)C(C)N(C)C(=O)C(C(C)C)N(C)C1=O</t>
  </si>
  <si>
    <t>COCZASXGUADHMT-UHFFFAOYSA-N</t>
  </si>
  <si>
    <t>C30H51N5O8</t>
  </si>
  <si>
    <t>5.84_171.1016m/z</t>
  </si>
  <si>
    <t>N(Tele)-Methylhistaminium</t>
  </si>
  <si>
    <t>HMDB0062574</t>
  </si>
  <si>
    <t>CN1C=NC(CC[NH3+])=C1</t>
  </si>
  <si>
    <t>FHQDWPCFSJMNCT-UHFFFAOYSA-O</t>
  </si>
  <si>
    <t>C6H12N3+</t>
  </si>
  <si>
    <t>1.44_308.0739m/z</t>
  </si>
  <si>
    <t>Sedoheptulose 7-Phosphate</t>
  </si>
  <si>
    <t>2646-35-7</t>
  </si>
  <si>
    <t>C(C(C(C(C(C(=O)CO)O)O)O)O)OP(=O)(O)O</t>
  </si>
  <si>
    <t>JDTUMPKOJBQPKX-GBNDHIKLSA-N</t>
  </si>
  <si>
    <t>13.78_591.4979m/z</t>
  </si>
  <si>
    <t>DG(14:0/20:3(5Z,8Z,11Z)/0:0)</t>
  </si>
  <si>
    <t>HMDB0007023</t>
  </si>
  <si>
    <t>[H][C@](CO)(COC(=O)CCCCCCCCCCCCC)OC(=O)CCC\C=C/C\C=C/C\C=C/CCCCCCCC</t>
  </si>
  <si>
    <t>LOWZJYQDLAZBBH-CJLHORADSA-N</t>
  </si>
  <si>
    <t>C37H66O5</t>
  </si>
  <si>
    <t>7.62_667.3331m/z</t>
  </si>
  <si>
    <t>4-Chloromethandienone</t>
  </si>
  <si>
    <t>HMDB0004634</t>
  </si>
  <si>
    <t>2446-23-3</t>
  </si>
  <si>
    <t>[H][C@@]12CC[C@](C)(O)[C@@]1(C)CC[C@@]1([H])[C@@]2([H])CCC2=C(Cl)C(=O)C=C[C@]12C</t>
  </si>
  <si>
    <t>AGUNEISBPXQOPA-XMUHMHRVSA-N</t>
  </si>
  <si>
    <t>C20H27ClO2</t>
  </si>
  <si>
    <t>4.81_459.1298m/z</t>
  </si>
  <si>
    <t>Apigenin 5,7-Dimethyl Ether 4'-Galactoside</t>
  </si>
  <si>
    <t>LMPK12111013</t>
  </si>
  <si>
    <t>C1(OC)=CC2OC(C3C=CC(O[C@H]4[C@H](O)[C@@H](O)[C@@H](O)[C@@H](CO)O4)=CC=3)=CC(=O)C=2C(OC)=C1</t>
  </si>
  <si>
    <t>UNGVNKDKEMZSGJ-YDXQKAQTSA-N</t>
  </si>
  <si>
    <t>10.42_297.1483m/z</t>
  </si>
  <si>
    <t>Cryptotanshinone</t>
  </si>
  <si>
    <t>HMDB0035220</t>
  </si>
  <si>
    <t>35825-57-1</t>
  </si>
  <si>
    <t>CC1COC2=C1C(=O)C(=O)C1=C2C=CC2=C1CCCC2(C)C</t>
  </si>
  <si>
    <t>GVKKJJOMQCNPGB-UHFFFAOYSA-N</t>
  </si>
  <si>
    <t>C19H20O3</t>
  </si>
  <si>
    <t>7.78_399.0095m/z</t>
  </si>
  <si>
    <t>D-Erythrose 4-Phosphate</t>
  </si>
  <si>
    <t>HMDB0001321</t>
  </si>
  <si>
    <t>C00279</t>
  </si>
  <si>
    <t>ko00030,ko00400,ko00710,ko00750,ko00998</t>
  </si>
  <si>
    <t>Pentose phosphate pathway|Phenylalanine, tyrosine and tryptophan biosynthesis|Carbon fixation in photosynthetic organisms|Vitamin B6 metabolism|Biosynthesis of various secondary metabolites - part 2</t>
  </si>
  <si>
    <t>585-18-2</t>
  </si>
  <si>
    <t>O[C@H](COP(O)(O)=O)[C@@H](O)C=O</t>
  </si>
  <si>
    <t>NGHMDNPXVRFFGS-IUYQGCFVSA-N</t>
  </si>
  <si>
    <t>C4H9O7P</t>
  </si>
  <si>
    <t>3.82_313.0823m/z</t>
  </si>
  <si>
    <t>4-Hydroxyphenytoin</t>
  </si>
  <si>
    <t>HMDB0041905</t>
  </si>
  <si>
    <t>2784-27-2</t>
  </si>
  <si>
    <t>OC1=NC(C(O)=N1)(C1=CC=CC=C1)C1=CC=C(O)C=C1</t>
  </si>
  <si>
    <t>XEEDURHPFVXALT-UHFFFAOYSA-N</t>
  </si>
  <si>
    <t>C15H12N2O3</t>
  </si>
  <si>
    <t>5.79_809.3557m/z</t>
  </si>
  <si>
    <t>1-Tauro-Tetranor-Pge1</t>
  </si>
  <si>
    <t>LMFA08020299</t>
  </si>
  <si>
    <t>C(CC[C@@H]1[C@@H](/C=C/[C@@H](O)CCCCC)[C@H](O)CC1=O)(=O)NCCS(O)(=O)=O</t>
  </si>
  <si>
    <t>OPVIGBXAMWSXCD-BRDXMMLSSA-N</t>
  </si>
  <si>
    <t>C18H31NO7S</t>
  </si>
  <si>
    <t>8.49_481.2217m/z</t>
  </si>
  <si>
    <t>Hydroxystrobilurin D</t>
  </si>
  <si>
    <t>HMDB0034760</t>
  </si>
  <si>
    <t>113489-65-9</t>
  </si>
  <si>
    <t>CO\C=C(/C(=O)OC)\C(\CO)=C/C=C\C1=CC2=C(OCC(OCC=C(C)C)C(C)(C)O2)C=C1</t>
  </si>
  <si>
    <t>NONWIHHDNSSAAO-HUGQQNFDSA-N</t>
  </si>
  <si>
    <t>0.67_342.1062m/z</t>
  </si>
  <si>
    <t>Aspartyl-Tryptophan</t>
  </si>
  <si>
    <t>HMDB0028764</t>
  </si>
  <si>
    <t>NC(CC(O)=O)C(=O)NC(CC1=CNC2=CC=CC=C12)C(O)=O</t>
  </si>
  <si>
    <t>ZARXTZFGQZBYFO-UHFFFAOYSA-N</t>
  </si>
  <si>
    <t>C15H17N3O5</t>
  </si>
  <si>
    <t>4.83_371.1487m/z</t>
  </si>
  <si>
    <t>Lysyltryptophan</t>
  </si>
  <si>
    <t>HMDB0028962</t>
  </si>
  <si>
    <t>50674-18-5</t>
  </si>
  <si>
    <t>NCCCC[C@H](N)C(=O)N[C@@H](CC1=CNC2=CC=CC=C12)C(O)=O</t>
  </si>
  <si>
    <t>RVKIPWVMZANZLI-ZFWWWQNUSA-N</t>
  </si>
  <si>
    <t>C17H24N4O3</t>
  </si>
  <si>
    <t>5.03_544.3094n</t>
  </si>
  <si>
    <t>Gracilosulfate B</t>
  </si>
  <si>
    <t>LMST05020053</t>
  </si>
  <si>
    <t>C1C[C@H](OS(O)(=O)=O)[C@H](O)[C@@]23O[C@@H]2C[C@@]2([H])[C@]4([H])CC[C@H]([C@H](C)C[C@@H](O)[C@@H](C)C(C)C)[C@@]4(C)C[C@H](O)[C@]2([H])[C@@]13C</t>
  </si>
  <si>
    <t>VIBNKBPPUBJECE-LFPHYDSPSA-N</t>
  </si>
  <si>
    <t>C28H48O8S</t>
  </si>
  <si>
    <t>10.82_795.4168m/z</t>
  </si>
  <si>
    <t>Pandaroside A</t>
  </si>
  <si>
    <t>LMST05050003</t>
  </si>
  <si>
    <t>C1[C@]2(C)[C@@]3([H])CC[C@]4(C)C([C@]([H])(C)CC(=O)[C@H](CC)C(C)C)=C(O)C(=O)[C@]4([H])[C@]3([H])CC[C@@]2([H])C[C@@H](O[C@H]2[C@H](O[C@H]3[C@H](O)[C@@H](O)[C@H](O)[C@@H](CO)O3)[C@@H](O)[C@H](O)[C@@H](C(=O)O)O2)C1</t>
  </si>
  <si>
    <t>QPUIFPMHOWTNLK-UVKPFFOZSA-N</t>
  </si>
  <si>
    <t>C41H64O15</t>
  </si>
  <si>
    <t>0.67_231.0626m/z</t>
  </si>
  <si>
    <t>Glutamine Pyruvate</t>
  </si>
  <si>
    <t>HMDB0252812</t>
  </si>
  <si>
    <t>CC(=O)C(=O)OOC(=O)C(N)CCC(N)=O</t>
  </si>
  <si>
    <t>QIQFLMKYOPAMLL-UHFFFAOYSA-N</t>
  </si>
  <si>
    <t>C8H12N2O6</t>
  </si>
  <si>
    <t>5.71_487.1009m/z</t>
  </si>
  <si>
    <t>Metaflumizone</t>
  </si>
  <si>
    <t>C18523</t>
  </si>
  <si>
    <t>139968-49-3</t>
  </si>
  <si>
    <t>C1=CC(=CC(=C1)C(F)(F)F)C(=NNC(=O)NC2=CC=C(C=C2)OC(F)(F)F)CC3=CC=C(C=C3)C#N</t>
  </si>
  <si>
    <t>MIFOMMKAVSCNKQ-QNKGDIEWSA-N</t>
  </si>
  <si>
    <t>C24H16F6N4O2</t>
  </si>
  <si>
    <t>7.41_535.2546m/z</t>
  </si>
  <si>
    <t>Involucrin</t>
  </si>
  <si>
    <t>HMDB0253506</t>
  </si>
  <si>
    <t>COC1=CC(=CC(OC)=C1OC)C(=O)OC1C2OC2(C)CCC=C(C)CC(OC(C)=O)C1C(C)C</t>
  </si>
  <si>
    <t>FSBLXTAIINGBJY-UHFFFAOYSA-N</t>
  </si>
  <si>
    <t>C27H38O8</t>
  </si>
  <si>
    <t>5.36_475.2183m/z</t>
  </si>
  <si>
    <t>Ustiloxin D</t>
  </si>
  <si>
    <t>HMDB0041054</t>
  </si>
  <si>
    <t>158243-18-6</t>
  </si>
  <si>
    <t>CCC1(C)OC2=CC(=CC=C2O)C(O)C(NC)C(=O)NC(C(C)C)C(=O)NC1C(=O)NCC(O)=O</t>
  </si>
  <si>
    <t>GDXLZSYACWZHOC-UHFFFAOYSA-N</t>
  </si>
  <si>
    <t>C23H34N4O8</t>
  </si>
  <si>
    <t>5.45_469.1256m/z</t>
  </si>
  <si>
    <t>Carboxin</t>
  </si>
  <si>
    <t>HMDB0249648</t>
  </si>
  <si>
    <t>C11255</t>
  </si>
  <si>
    <t>5234-68-4</t>
  </si>
  <si>
    <t>CC1=C(SCCO1)C(=O)NC1=CC=CC=C1</t>
  </si>
  <si>
    <t>GYSSRZJIHXQEHQ-UHFFFAOYSA-N</t>
  </si>
  <si>
    <t>C12H13NO2S</t>
  </si>
  <si>
    <t>1.24_225.0848m/z</t>
  </si>
  <si>
    <t>Alanylhydroxyproline</t>
  </si>
  <si>
    <t>HMDB0028688</t>
  </si>
  <si>
    <t>76400-25-4</t>
  </si>
  <si>
    <t>C[C@H](N)C(=O)N1C[C@H](O)C[C@H]1C(O)=O</t>
  </si>
  <si>
    <t>KYHSUPXEBSYFGK-JKUQZMGJSA-N</t>
  </si>
  <si>
    <t>C8H14N2O4</t>
  </si>
  <si>
    <t>11.18_354.2769n</t>
  </si>
  <si>
    <t>2-Linoleoyl-Sn-Glycerol</t>
  </si>
  <si>
    <t>HMDB0011538</t>
  </si>
  <si>
    <t>LMGL01010033</t>
  </si>
  <si>
    <t>OC[C@]([H])(OC(CCCCCCC/C=C\C/C=C\CCCCC)=O)CO</t>
  </si>
  <si>
    <t>IEPGNWMPIFDNSD-HZJYTTRNSA-N</t>
  </si>
  <si>
    <t>0.62_214.0045m/z</t>
  </si>
  <si>
    <t>Tetranitromethane</t>
  </si>
  <si>
    <t>HMDB0258923</t>
  </si>
  <si>
    <t>C19300</t>
  </si>
  <si>
    <t>509-14-8</t>
  </si>
  <si>
    <t>O=N(=O)C(N(=O)=O)(N(=O)=O)N(=O)=O</t>
  </si>
  <si>
    <t>NYTOUQBROMCLBJ-UHFFFAOYSA-N</t>
  </si>
  <si>
    <t>Ortho amides</t>
  </si>
  <si>
    <t>CN4O8</t>
  </si>
  <si>
    <t>3.60_439.1213m/z</t>
  </si>
  <si>
    <t>1-Fluoro-3-(2-Methylphenyl)Uracil</t>
  </si>
  <si>
    <t>HMDB0243881</t>
  </si>
  <si>
    <t>CC1=CC=CC=C1N1C(=O)C=CN(F)C1=O</t>
  </si>
  <si>
    <t>HKBFTCFCGDNRGH-UHFFFAOYSA-N</t>
  </si>
  <si>
    <t>C11H9FN2O2</t>
  </si>
  <si>
    <t>4.97_297.1126m/z</t>
  </si>
  <si>
    <t>2-Phenylethyl 3-Phenyl-2-Propenoate</t>
  </si>
  <si>
    <t>HMDB0035018</t>
  </si>
  <si>
    <t>103-53-7</t>
  </si>
  <si>
    <t>O=C(OCCC1=CC=CC=C1)\C=C\C1=CC=CC=C1</t>
  </si>
  <si>
    <t>MJQVZIANGRDJBT-VAWYXSNFSA-N</t>
  </si>
  <si>
    <t>C17H16O2</t>
  </si>
  <si>
    <t>8.80_190.0498m/z</t>
  </si>
  <si>
    <t>3-Indoleglyoxylic Acid</t>
  </si>
  <si>
    <t>HMDB0242143</t>
  </si>
  <si>
    <t>OC(=O)C(=O)C1=CNC2=CC=CC=C12</t>
  </si>
  <si>
    <t>DWLVFWDCSFTDOD-UHFFFAOYSA-N</t>
  </si>
  <si>
    <t>C10H7NO3</t>
  </si>
  <si>
    <t>9.82_427.0013m/z</t>
  </si>
  <si>
    <t>2-(6-Hydroxy-4-Oxo-2-Sulfanylidene-1h-Pyrimidin-5-Yl)Propanedial</t>
  </si>
  <si>
    <t>HMDB0255358</t>
  </si>
  <si>
    <t>OC1=C(C(C=O)C=O)C(=O)NC(=S)N1</t>
  </si>
  <si>
    <t>SNFKLBVOWQMGDH-UHFFFAOYSA-N</t>
  </si>
  <si>
    <t>C7H6N2O4S</t>
  </si>
  <si>
    <t>9.98_291.1964m/z</t>
  </si>
  <si>
    <t>Avocadienofuran</t>
  </si>
  <si>
    <t>HMDB0030926</t>
  </si>
  <si>
    <t>34227-08-2</t>
  </si>
  <si>
    <t>C=CCCCCCCCCC\C=C/C1=CC=CO1</t>
  </si>
  <si>
    <t>MGNABOKOTWYILU-OWBHPGMISA-N</t>
  </si>
  <si>
    <t>C17H26O</t>
  </si>
  <si>
    <t>7.80_289.1055m/z</t>
  </si>
  <si>
    <t>5'-N-Ethylcarboxamidoadenosine</t>
  </si>
  <si>
    <t>HMDB0255498</t>
  </si>
  <si>
    <t>CCNC(=O)C1OC(C(O)C1O)N1C=NC2=C1N=CN=C2N</t>
  </si>
  <si>
    <t>JADDQZYHOWSFJD-UHFFFAOYSA-N</t>
  </si>
  <si>
    <t>C12H16N6O4</t>
  </si>
  <si>
    <t>10.47_729.3753m/z</t>
  </si>
  <si>
    <t>PA(12:0/PGF2alpha)</t>
  </si>
  <si>
    <t>HMDB0262776</t>
  </si>
  <si>
    <t>CCCCCCCCCCCC(=O)OC[C@H](COP(O)(O)=O)OC(=O)CCC\C=C\C[C@H]1[C@@H](O)C[C@@H](O)[C@@H]1\C=C\[C@@H](O)CCCCC</t>
  </si>
  <si>
    <t>OGILYXDULLMFBD-WEQBBHSSSA-N</t>
  </si>
  <si>
    <t>C35H63O11P</t>
  </si>
  <si>
    <t>7.30_463.3061m/z</t>
  </si>
  <si>
    <t>Siduron</t>
  </si>
  <si>
    <t>C18435</t>
  </si>
  <si>
    <t>1982-49-6</t>
  </si>
  <si>
    <t>CC1CCCCC1NC(=O)NC2=CC=CC=C2</t>
  </si>
  <si>
    <t>JXVIIQLNUPXOII-UHFFFAOYSA-N</t>
  </si>
  <si>
    <t>C14H20N2O</t>
  </si>
  <si>
    <t>12.79_174.1277m/z</t>
  </si>
  <si>
    <t>2,6-Dimethyl-Naphtalene</t>
  </si>
  <si>
    <t>HMDB0059764</t>
  </si>
  <si>
    <t>C14330</t>
  </si>
  <si>
    <t>581-42-0</t>
  </si>
  <si>
    <t>CC1=CC2=C(C=C1)C=C(C)C=C2</t>
  </si>
  <si>
    <t>YGYNBBAUIYTWBF-UHFFFAOYSA-N</t>
  </si>
  <si>
    <t>C12H12</t>
  </si>
  <si>
    <t>12.80_423.2867m/z</t>
  </si>
  <si>
    <t>(5z,7e)-(3s)-26,26,26-Trifluoro-27-Nor-9,10-Seco-5,7,10(19)-Cholestatriene-3,25-Diol</t>
  </si>
  <si>
    <t>HMDB0243623</t>
  </si>
  <si>
    <t>CC(CCCC(O)C(F)(F)F)C1CCC2C(CCCC12C)=CC=C1CC(O)CCC1=C</t>
  </si>
  <si>
    <t>QZGLVEKNRHZOIB-UHFFFAOYSA-N</t>
  </si>
  <si>
    <t>C26H39F3O2</t>
  </si>
  <si>
    <t>5.23_443.1536m/z</t>
  </si>
  <si>
    <t>6-Fluoro-Dl-Tryptophan</t>
  </si>
  <si>
    <t>HMDB0247058</t>
  </si>
  <si>
    <t>NC(CC1=CNC2=C1C=CC(F)=C2)C(O)=O</t>
  </si>
  <si>
    <t>YMEXGEAJNZRQEH-UHFFFAOYSA-N</t>
  </si>
  <si>
    <t>C11H11FN2O2</t>
  </si>
  <si>
    <t>1.20_346.9893m/z</t>
  </si>
  <si>
    <t>4-Hydroxybenzenesulfonic Acid</t>
  </si>
  <si>
    <t>C12849</t>
  </si>
  <si>
    <t>98-67-9</t>
  </si>
  <si>
    <t>C1=CC(=CC=C1O)S(=O)(=O)O</t>
  </si>
  <si>
    <t>FEPBITJSIHRMRT-UHFFFAOYSA-N</t>
  </si>
  <si>
    <t>C6H6O4S</t>
  </si>
  <si>
    <t>5.87_425.3046m/z</t>
  </si>
  <si>
    <t>(3beta,5alpha,9alpha,22e,24r)-5,9-Epidioxy-3-Hydroxyergosta-7,22-Dien-6-One</t>
  </si>
  <si>
    <t>HMDB0032666</t>
  </si>
  <si>
    <t>211486-16-7</t>
  </si>
  <si>
    <t>CC(C)C(C)\C=C\C(C)C1CCC2C3=CC(=O)C45CC(O)CCC4(C)C3(CCC12C)OO5</t>
  </si>
  <si>
    <t>VXKGRYVCJKAYFC-BQYQJAHWSA-N</t>
  </si>
  <si>
    <t>C28H42O4</t>
  </si>
  <si>
    <t>2.16_364.0862m/z</t>
  </si>
  <si>
    <t>N-(P-Toluenesulfonyl)-L-Phenylalanine</t>
  </si>
  <si>
    <t>HMDB0244558</t>
  </si>
  <si>
    <t>CC1=CC=C(C=C1)S(=O)(=O)NC(CC1=CC=CC=C1)C(O)=O</t>
  </si>
  <si>
    <t>CGRCVIZBNRUWLY-UHFFFAOYSA-N</t>
  </si>
  <si>
    <t>C16H17NO4S</t>
  </si>
  <si>
    <t>4.86_715.2671m/z</t>
  </si>
  <si>
    <t>Starch, Acetate</t>
  </si>
  <si>
    <t>HMDB0258484</t>
  </si>
  <si>
    <t>COC1C(O)C(O)C(OCC2OC(OC3C(O)C(O)C(C)OC3CO)C(O)C(O)C2OC2OC(CO)C(OC)C(O)C2OC(C)=O)OC1CO</t>
  </si>
  <si>
    <t>MKRNVBXERAPZOP-UHFFFAOYSA-N</t>
  </si>
  <si>
    <t>C29H50O21</t>
  </si>
  <si>
    <t>7.62_735.3450m/z</t>
  </si>
  <si>
    <t>1-Naphthalenyl[4-(Pentyloxy)-1-Naphthalenyl]Methanone</t>
  </si>
  <si>
    <t>HMDB0246670</t>
  </si>
  <si>
    <t>432047-72-8</t>
  </si>
  <si>
    <t>CCCCCOC1=CC=C(C(=O)C2=CC=CC3=CC=CC=C23)C2=CC=CC=C12</t>
  </si>
  <si>
    <t>RSUMDJRTAFBISX-UHFFFAOYSA-N</t>
  </si>
  <si>
    <t>C26H24O2</t>
  </si>
  <si>
    <t>9.86_300.1675m/z</t>
  </si>
  <si>
    <t>N-Acetylprocainamide</t>
  </si>
  <si>
    <t>HMDB0041944</t>
  </si>
  <si>
    <t>32795-44-1</t>
  </si>
  <si>
    <t>CCN(CC)CCNC(=O)C1=CC=C(C=C1)N=C(C)O</t>
  </si>
  <si>
    <t>KEECCEWTUVWFCV-UHFFFAOYSA-N</t>
  </si>
  <si>
    <t>C15H23N3O2</t>
  </si>
  <si>
    <t>3.88_190.0497m/z</t>
  </si>
  <si>
    <t>4-(2-Aminophenyl)-2,4-Dioxobutanoic Acid</t>
  </si>
  <si>
    <t>HMDB0000978</t>
  </si>
  <si>
    <t>C01252</t>
  </si>
  <si>
    <t>90924-76-8</t>
  </si>
  <si>
    <t>NC1=C(C=CC=C1)C(=O)CC(=O)C(O)=O</t>
  </si>
  <si>
    <t>CAOVWYZQMPNAFJ-UHFFFAOYSA-N</t>
  </si>
  <si>
    <t>4.88_417.1190m/z</t>
  </si>
  <si>
    <t>3,4',5,6,7-Pentamethoxyflavone</t>
  </si>
  <si>
    <t>COC1=CC=C(C=C1)C2=C(C(=O)C3=C(C(=C(C=C3O2)OC)OC)OC)OC</t>
  </si>
  <si>
    <t>OWNRDLYPIYHOQK-UHFFFAOYSA-N</t>
  </si>
  <si>
    <t>C20H20O7</t>
  </si>
  <si>
    <t>1.43_124.9997m/z</t>
  </si>
  <si>
    <t>5,6-Dihydroxyuracil</t>
  </si>
  <si>
    <t>HMDB0246862</t>
  </si>
  <si>
    <t>OC1=C(O)C(=O)NC(=O)N1</t>
  </si>
  <si>
    <t>YFQOVSGFCVQZSW-UHFFFAOYSA-N</t>
  </si>
  <si>
    <t>C4H4N2O4</t>
  </si>
  <si>
    <t>8.36_349.0796m/z</t>
  </si>
  <si>
    <t>2-Oxo-6-Methylthiohexanoate</t>
  </si>
  <si>
    <t>HMDB0304083</t>
  </si>
  <si>
    <t>CSCCCCC(=O)C([O-])=O</t>
  </si>
  <si>
    <t>GRUGZHAOXOPASC-UHFFFAOYSA-M</t>
  </si>
  <si>
    <t>C7H11O3S-</t>
  </si>
  <si>
    <t>4.40_187.1481m/z</t>
  </si>
  <si>
    <t>7-Ethyl-5,6-Dihydro-1,4-Dimethylazulene</t>
  </si>
  <si>
    <t>HMDB0035759</t>
  </si>
  <si>
    <t>18454-89-2</t>
  </si>
  <si>
    <t>CCC1=CCC(C)C2=CC=C(C)C2=C1</t>
  </si>
  <si>
    <t>WSGOYZPQRKZDIY-UHFFFAOYSA-N</t>
  </si>
  <si>
    <t>C14H18</t>
  </si>
  <si>
    <t>4.50_342.2426m/z</t>
  </si>
  <si>
    <t>Pregnenolone Carbonitrile</t>
  </si>
  <si>
    <t>C15637</t>
  </si>
  <si>
    <t>1434-54-4</t>
  </si>
  <si>
    <t>CC(=O)C1C(CC2C1(CCC3C2CC=C4C3(CCC(C4)O)C)C)C#N</t>
  </si>
  <si>
    <t>VSBHRRMYCDQLJF-ZDNYCOCVSA-N</t>
  </si>
  <si>
    <t>C22H31NO2</t>
  </si>
  <si>
    <t>5.25_377.1859m/z</t>
  </si>
  <si>
    <t>Brucine</t>
  </si>
  <si>
    <t>C09084</t>
  </si>
  <si>
    <t>4845-99-2</t>
  </si>
  <si>
    <t>COC1=C(C=C2C(=C1)C34CCN5C3CC6C7C4N2C(=O)CC7OCC=C6C5)OC</t>
  </si>
  <si>
    <t>RRKTZKIUPZVBMF-IBTVXLQLSA-N</t>
  </si>
  <si>
    <t>Strychnos alkaloids</t>
  </si>
  <si>
    <t>C23H26N2O4</t>
  </si>
  <si>
    <t>10.56_863.4042m/z</t>
  </si>
  <si>
    <t>Mizolastine</t>
  </si>
  <si>
    <t>HMDB0240233</t>
  </si>
  <si>
    <t>108612-45-9</t>
  </si>
  <si>
    <t>CN(C1CCN(CC1)C1=NC2=CC=CC=C2N1CC1=CC=C(F)C=C1)C1=NC=CC(O)=N1</t>
  </si>
  <si>
    <t>PVLJETXTTWAYEW-UHFFFAOYSA-N</t>
  </si>
  <si>
    <t>C24H25FN6O</t>
  </si>
  <si>
    <t>12.47_931.5261m/z</t>
  </si>
  <si>
    <t>Notoginsenoside R1</t>
  </si>
  <si>
    <t>HMDB0035363</t>
  </si>
  <si>
    <t>80418-24-2</t>
  </si>
  <si>
    <t>CC(C)=CCCC(C)(OC1OC(CO)C(O)C(O)C1O)C1CCC2(C)C1C(O)CC1C3(C)CCC(O)C(C)(C)C3C(CC21C)OC1OC(CO)C(O)C(O)C1OC1OCC(O)C(O)C1O</t>
  </si>
  <si>
    <t>LLPWNQMSUYAGQI-UHFFFAOYSA-N</t>
  </si>
  <si>
    <t>C47H80O18</t>
  </si>
  <si>
    <t>1.15_321.0268m/z</t>
  </si>
  <si>
    <t>Toluene-2,4-Dimaleimide</t>
  </si>
  <si>
    <t>CC1=C(C=C(C=C1)N2C(=O)C=CC2=O)N3C(=O)C=CC3=O</t>
  </si>
  <si>
    <t>FJKKJQRXSPFNPM-UHFFFAOYSA-N</t>
  </si>
  <si>
    <t>C15H10N2O4</t>
  </si>
  <si>
    <t>5.04_325.2735m/z</t>
  </si>
  <si>
    <t>11r-Hede</t>
  </si>
  <si>
    <t>LMFA03000005</t>
  </si>
  <si>
    <t>OC(=O)CCCCCCCCC[C@@H](O)/C=C/C=C\CCCCC</t>
  </si>
  <si>
    <t>HDMIRVFIVOGVIC-VOYJXKAKSA-N</t>
  </si>
  <si>
    <t>8.96_437.2542m/z</t>
  </si>
  <si>
    <t>Viprostol</t>
  </si>
  <si>
    <t>HMDB0259834</t>
  </si>
  <si>
    <t>CCCCC(O)(CC=CC1C(O)CC(=O)C1CC=CCCCC(=O)OC)C=C</t>
  </si>
  <si>
    <t>TWCQWABAGCMHLL-UHFFFAOYSA-N</t>
  </si>
  <si>
    <t>3.86_209.0448m/z</t>
  </si>
  <si>
    <t>2,4-Diacetylphloroglucinol</t>
  </si>
  <si>
    <t>CC(=O)C1=C(C(=C(C=C1O)O)C(=O)C)O</t>
  </si>
  <si>
    <t>PIFFQYJYNWXNGE-UHFFFAOYSA-N</t>
  </si>
  <si>
    <t>C10H10O5</t>
  </si>
  <si>
    <t>4.35_145.1011m/z</t>
  </si>
  <si>
    <t>4,4alpha,5,6-Tetrahydro-7-Methyl-2(3h)-Naphthalenone</t>
  </si>
  <si>
    <t>HMDB0039803</t>
  </si>
  <si>
    <t>34545-88-5</t>
  </si>
  <si>
    <t>CC1=CC2=CC(=O)CCC2CC1</t>
  </si>
  <si>
    <t>NGSXTBFUMNXJDK-UHFFFAOYSA-N</t>
  </si>
  <si>
    <t>C11H14O</t>
  </si>
  <si>
    <t>6.27_993.4325m/z</t>
  </si>
  <si>
    <t>Dexamethasone Isonicotinate</t>
  </si>
  <si>
    <t>HMDB0251081</t>
  </si>
  <si>
    <t>CC1CC2C3CCC4=CC(=O)C=CC4(C)C3(F)C(O)CC2(C)C1(O)C(=O)COC(=O)C1=CC=NC=C1</t>
  </si>
  <si>
    <t>BQTXJHAJMDGOFI-UHFFFAOYSA-N</t>
  </si>
  <si>
    <t>C28H32FNO6</t>
  </si>
  <si>
    <t>5.25_793.2523m/z</t>
  </si>
  <si>
    <t>Epimedoside D</t>
  </si>
  <si>
    <t>LMPK12111717</t>
  </si>
  <si>
    <t>C1(O[C@H]2[C@H](O)[C@@H](O)[C@H](O)[C@@H](CO)O2)=C(C/C=C(/C)\C)C2OC(C3C=CC(O)=CC=3)=C(O[C@H]3[C@H](O[C@H]4[C@H](O)[C@H](O)[C@@H](O)[C@H](C)O4)[C@@H](O)[C@H](O)CO3)C(=O)C=2C(O)=C1</t>
  </si>
  <si>
    <t>FZHKFLMLBFFDJD-DSYGWBIESA-N</t>
  </si>
  <si>
    <t>C37H46O19</t>
  </si>
  <si>
    <t>4.24_417.2493m/z</t>
  </si>
  <si>
    <t>Minoxidil</t>
  </si>
  <si>
    <t>C07226</t>
  </si>
  <si>
    <t>38304-91-5</t>
  </si>
  <si>
    <t>C1CCN(CC1)C2=NC(=N)N(C(=C2)N)O</t>
  </si>
  <si>
    <t>ZIMGGGWCDYVHOY-UHFFFAOYSA-N</t>
  </si>
  <si>
    <t>C9H15N5O</t>
  </si>
  <si>
    <t>1.68_163.0865m/z</t>
  </si>
  <si>
    <t>5-Hydroxykynurenamine</t>
  </si>
  <si>
    <t>HMDB0004076</t>
  </si>
  <si>
    <t>C05638</t>
  </si>
  <si>
    <t>708-23-6</t>
  </si>
  <si>
    <t>NCCC(=O)C1=C(N)C=CC(O)=C1</t>
  </si>
  <si>
    <t>JANBBPTXDKFOQR-UHFFFAOYSA-N</t>
  </si>
  <si>
    <t>C9H12N2O2</t>
  </si>
  <si>
    <t>4.70_530.1301m/z</t>
  </si>
  <si>
    <t>Dibutyryl Cyclic Gmp</t>
  </si>
  <si>
    <t>HMDB0251179</t>
  </si>
  <si>
    <t>CCCC(=O)NC1=NC2=C(N=CN2C2OC(COC(=O)CCC)C3OP(O)(=O)OC23)C(=O)N1</t>
  </si>
  <si>
    <t>QYBMFOHWPCKWQB-UHFFFAOYSA-N</t>
  </si>
  <si>
    <t>C18H24N5O9P</t>
  </si>
  <si>
    <t>1.37_253.9970m/z</t>
  </si>
  <si>
    <t>Tyrphostin Ag 126</t>
  </si>
  <si>
    <t>HMDB0248049</t>
  </si>
  <si>
    <t>118409-62-4</t>
  </si>
  <si>
    <t>OC1=C(C=CC(C=C(C#N)C#N)=C1)[N+]([O-])=O</t>
  </si>
  <si>
    <t>DUQADSPERJRQBW-UHFFFAOYSA-N</t>
  </si>
  <si>
    <t>C10H5N3O3</t>
  </si>
  <si>
    <t>12.79_431.3841m/z</t>
  </si>
  <si>
    <t>(-)-Alpha-Tocopherol</t>
  </si>
  <si>
    <t>HMDB0242201</t>
  </si>
  <si>
    <t>10191-41-0</t>
  </si>
  <si>
    <t>CC(C)CCCC(C)CCCC(C)CCCC1(C)CCC2=C(C)C(O)=C(C)C(C)=C2O1</t>
  </si>
  <si>
    <t>GVJHHUAWPYXKBD-UHFFFAOYSA-N</t>
  </si>
  <si>
    <t>C29H50O2</t>
  </si>
  <si>
    <t>10.55_947.4841m/z</t>
  </si>
  <si>
    <t>PGP(22:5(4Z,7Z,10Z,13Z,16Z)/22:6(4Z,7Z,10Z,13Z,16Z,19Z))</t>
  </si>
  <si>
    <t>HMDB0116495</t>
  </si>
  <si>
    <t>[H][C@](O)(COP(O)(O)=O)COP(O)(=O)OC[C@@]([H])(COC(=O)CC\C=C/C\C=C/C\C=C/C\C=C/C\C=C/CCCCC)OC(=O)CC\C=C/C\C=C/C\C=C/C\C=C/C\C=C/C\C=C/CC</t>
  </si>
  <si>
    <t>UNTDEQDGICZMQT-PALVNQMRSA-N</t>
  </si>
  <si>
    <t>C50H78O13P2</t>
  </si>
  <si>
    <t>1.11_298.9979m/z</t>
  </si>
  <si>
    <t>N-Palmitoyl Asparagine</t>
  </si>
  <si>
    <t>HMDB0241921</t>
  </si>
  <si>
    <t>CCCCCCCCCCCCCCCC(=O)NC(CC(N)=O)C(O)=O</t>
  </si>
  <si>
    <t>FTMCGBHTBKAWHW-UHFFFAOYSA-N</t>
  </si>
  <si>
    <t>C10H12O6S</t>
  </si>
  <si>
    <t>0.75_138.0549m/z</t>
  </si>
  <si>
    <t>2-Pyridylacetic Acid</t>
  </si>
  <si>
    <t>HMDB0060722</t>
  </si>
  <si>
    <t>13115-43-0</t>
  </si>
  <si>
    <t>OC(=O)CC1=CC=CC=N1</t>
  </si>
  <si>
    <t>BPSNETAIJADFTO-UHFFFAOYSA-N</t>
  </si>
  <si>
    <t>C7H7NO2</t>
  </si>
  <si>
    <t>9.58_214.2528m/z</t>
  </si>
  <si>
    <t>Cyclotetradecane</t>
  </si>
  <si>
    <t>HMDB0033567</t>
  </si>
  <si>
    <t>295-17-0</t>
  </si>
  <si>
    <t>C1CCCCCCCCCCCCC1</t>
  </si>
  <si>
    <t>KATXJJSCAPBIOB-UHFFFAOYSA-N</t>
  </si>
  <si>
    <t>Saturated hydrocarbons</t>
  </si>
  <si>
    <t>Cycloalkanes</t>
  </si>
  <si>
    <t>C14H28</t>
  </si>
  <si>
    <t>9.60_293.1757m/z</t>
  </si>
  <si>
    <t>Dimethylbenzyl Carbinyl Hexanoate</t>
  </si>
  <si>
    <t>HMDB0032228</t>
  </si>
  <si>
    <t>891781-90-1</t>
  </si>
  <si>
    <t>CCCCCC(=O)OC(C)(C)CC1=CC=CC=C1</t>
  </si>
  <si>
    <t>IRKDZQZMTAKZKQ-UHFFFAOYSA-N</t>
  </si>
  <si>
    <t>C16H24O2</t>
  </si>
  <si>
    <t>11.20_553.3146m/z</t>
  </si>
  <si>
    <t>PA(8:0/14:0)</t>
  </si>
  <si>
    <t>HMDB0115485</t>
  </si>
  <si>
    <t>[H][C@@](COC(=O)CCCCCCC)(COP(O)(O)=O)OC(=O)CCCCCCCCCCCCC</t>
  </si>
  <si>
    <t>FXSMFGRXJAZPDW-HSZRJFAPSA-N</t>
  </si>
  <si>
    <t>C25H49O8P</t>
  </si>
  <si>
    <t>11.64_228.2318m/z</t>
  </si>
  <si>
    <t>9s-(2-Cyclopentenyl)-1-Nonanol</t>
  </si>
  <si>
    <t>LMFA05000039</t>
  </si>
  <si>
    <t>C([C@H]1CCC=C1)CCCCCCCCO</t>
  </si>
  <si>
    <t>RZJXLULHYCLGII-CQSZACIVSA-N</t>
  </si>
  <si>
    <t>C14H26O</t>
  </si>
  <si>
    <t>4.99_527.1932m/z</t>
  </si>
  <si>
    <t>7-Hydroxystaurosporine</t>
  </si>
  <si>
    <t>HMDB0247264</t>
  </si>
  <si>
    <t>CNC1CC2OC(C)(C1OC)N1C3=C(C=CC=C3)C3=C1C1=C(C4=CC=CC=C4N21)C1=C3C(O)NC1=O</t>
  </si>
  <si>
    <t>PBCZSGKMGDDXIJ-UHFFFAOYSA-N</t>
  </si>
  <si>
    <t>C28H26N4O4</t>
  </si>
  <si>
    <t>4.93_298.1082m/z</t>
  </si>
  <si>
    <t>Piplartine</t>
  </si>
  <si>
    <t>HMDB0030341</t>
  </si>
  <si>
    <t>C10166</t>
  </si>
  <si>
    <t>20069-09-4</t>
  </si>
  <si>
    <t>COC1=CC(\C=C\C(=O)N2CCC=CC2=O)=CC(OC)=C1OC</t>
  </si>
  <si>
    <t>VABYUUZNAVQNPG-BQYQJAHWSA-N</t>
  </si>
  <si>
    <t>C17H19NO5</t>
  </si>
  <si>
    <t>1.71_323.0716m/z</t>
  </si>
  <si>
    <t>5-Amino-2-P-Toluidinobenzenesulfonic Acid</t>
  </si>
  <si>
    <t>CC1=CC=C(C=C1)NC2=C(C=C(C=C2)N)S(=O)(=O)O</t>
  </si>
  <si>
    <t>SFRJKPJFXZQVIA-UHFFFAOYSA-N</t>
  </si>
  <si>
    <t>C13H14N2O3S</t>
  </si>
  <si>
    <t>5.28_493.1681m/z</t>
  </si>
  <si>
    <t>Butyl (S)-3-Hydroxybutyrate [Arabinosyl-(1-&gt;6)-Glucoside]</t>
  </si>
  <si>
    <t>HMDB0039214</t>
  </si>
  <si>
    <t>CCCCOC(=O)CC(C)OC1OC(COC2OCC(O)C(O)C2O)C(O)C(O)C1O</t>
  </si>
  <si>
    <t>MLIAQAVEASULJH-UHFFFAOYSA-N</t>
  </si>
  <si>
    <t>5.21_767.3264m/z</t>
  </si>
  <si>
    <t>Beta-Alanine, N-(N-(1-Carboxy-2-Phenylethyl)-L-Phenylalanyl)-, (S)-</t>
  </si>
  <si>
    <t>HMDB0257548</t>
  </si>
  <si>
    <t>OC(=O)CCNC(=O)C(CC1=CC=CC=C1)NC(CC1=CC=CC=C1)C(O)=O</t>
  </si>
  <si>
    <t>WOVRTBFSWOVRST-UHFFFAOYSA-N</t>
  </si>
  <si>
    <t>C21H24N2O5</t>
  </si>
  <si>
    <t>2.22_437.0648m/z</t>
  </si>
  <si>
    <t>Oxathiin Carboxanilide</t>
  </si>
  <si>
    <t>HMDB0255968</t>
  </si>
  <si>
    <t>O=C(NC1=CC=CC=C1)C1=CC=COS1</t>
  </si>
  <si>
    <t>ZSUMCRSGZQLTDK-UHFFFAOYSA-N</t>
  </si>
  <si>
    <t>C11H9NO2S</t>
  </si>
  <si>
    <t>5.01_311.2004m/z</t>
  </si>
  <si>
    <t>Mestranol</t>
  </si>
  <si>
    <t>HMDB0015446</t>
  </si>
  <si>
    <t>C07618</t>
  </si>
  <si>
    <t>72-33-3</t>
  </si>
  <si>
    <t>[H][C@@]12CC[C@@](O)(C#C)[C@@]1(C)CC[C@]1([H])C3=C(CC[C@@]21[H])C=C(OC)C=C3</t>
  </si>
  <si>
    <t>IMSSROKUHAOUJS-MJCUULBUSA-N</t>
  </si>
  <si>
    <t>C21H26O2</t>
  </si>
  <si>
    <t>2.09_147.0651m/z</t>
  </si>
  <si>
    <t>Propionic Acid</t>
  </si>
  <si>
    <t>HMDB0000237</t>
  </si>
  <si>
    <t>LMFA01010003</t>
  </si>
  <si>
    <t>C00163</t>
  </si>
  <si>
    <t>ko00640,ko00642,ko00760,ko04973,ko04974</t>
  </si>
  <si>
    <t>Propanoate metabolism|Ethylbenzene degradation|Nicotinate and nicotinamide metabolism|Carbohydrate digestion and absorption|Protein digestion and absorption</t>
  </si>
  <si>
    <t>79-09-4</t>
  </si>
  <si>
    <t>CCC(=O)O</t>
  </si>
  <si>
    <t>XBDQKXXYIPTUBI-UHFFFAOYSA-N</t>
  </si>
  <si>
    <t>C3H6O2</t>
  </si>
  <si>
    <t>6.34_537.2113m/z</t>
  </si>
  <si>
    <t>Aminodextran</t>
  </si>
  <si>
    <t>HMDB0248312</t>
  </si>
  <si>
    <t>NC(=O)C(O)C(O)C(O)C(O)COC1OC(COC2OC(CO)C(O)C(O)C2O)C(O)C(O)C1O</t>
  </si>
  <si>
    <t>UMMSZBZOTORKSZ-UHFFFAOYSA-N</t>
  </si>
  <si>
    <t>C18H33NO16</t>
  </si>
  <si>
    <t>3.97_625.1394m/z</t>
  </si>
  <si>
    <t>Isocarlinoside</t>
  </si>
  <si>
    <t>HMDB0030721</t>
  </si>
  <si>
    <t>83151-90-0</t>
  </si>
  <si>
    <t>OCC1OC(C(O)C(O)C1O)C1=C2OC(=CC(=O)C2=C(O)C(C2OCC(O)C(O)C2O)=C1O)C1=CC(O)=C(O)C=C1</t>
  </si>
  <si>
    <t>WYYFCTVKFALPQV-UHFFFAOYSA-N</t>
  </si>
  <si>
    <t>10.32_343.3317m/z</t>
  </si>
  <si>
    <t>N-Oleoyl Ethanolamine</t>
  </si>
  <si>
    <t>HMDB0002088</t>
  </si>
  <si>
    <t>LMFA08040015</t>
  </si>
  <si>
    <t>111-58-0</t>
  </si>
  <si>
    <t>C(CCCCCCC/C=C\CCCCCCCC)(=O)NCCO</t>
  </si>
  <si>
    <t>BOWVQLFMWHZBEF-KTKRTIGZSA-N</t>
  </si>
  <si>
    <t>6.43_417.1901m/z</t>
  </si>
  <si>
    <t>Trans-4-[4-(4-Amino-7,7-Dimethyl-7h-Pyrimido[4,5-B][1,4]Oxazin-6-Yl)Phenyl]Cyclohexaneacetic Acid</t>
  </si>
  <si>
    <t>HMDB0247300</t>
  </si>
  <si>
    <t>CC1(C)OC2=NC=NC(N)=C2N=C1C1=CC=C(C=C1)C1CCC(CC(O)=O)CC1</t>
  </si>
  <si>
    <t>FUIYMYNYUHVDPT-UHFFFAOYSA-N</t>
  </si>
  <si>
    <t>C22H26N4O3</t>
  </si>
  <si>
    <t>12.36_156.1381m/z</t>
  </si>
  <si>
    <t>3,5,5-Trimethyl-3-Cyclohexen-1-One</t>
  </si>
  <si>
    <t>HMDB0040338</t>
  </si>
  <si>
    <t>471-01-2</t>
  </si>
  <si>
    <t>CC1=CC(C)(C)CC(=O)C1</t>
  </si>
  <si>
    <t>LKOKKQDYMZUSCG-UHFFFAOYSA-N</t>
  </si>
  <si>
    <t>C9H14O</t>
  </si>
  <si>
    <t>11.39_363.1926m/z</t>
  </si>
  <si>
    <t>Tofa</t>
  </si>
  <si>
    <t>54857-86-2</t>
  </si>
  <si>
    <t>CCCCCCCCCCCCCCOC1=CC=C(O1)C(=O)O</t>
  </si>
  <si>
    <t>CZRCFAOMWRAFIC-UHFFFAOYSA-N</t>
  </si>
  <si>
    <t>14.77_101.0709m/z</t>
  </si>
  <si>
    <t>N-Nitroso-Pyrrolidine</t>
  </si>
  <si>
    <t>HMDB0031642</t>
  </si>
  <si>
    <t>C19285</t>
  </si>
  <si>
    <t>930-55-2</t>
  </si>
  <si>
    <t>O=NN1CCCC1</t>
  </si>
  <si>
    <t>WNYADZVDBIBLJJ-UHFFFAOYSA-N</t>
  </si>
  <si>
    <t>C4H8N2O</t>
  </si>
  <si>
    <t>3.75_273.0979m/z</t>
  </si>
  <si>
    <t>Chlamydospordiol</t>
  </si>
  <si>
    <t>CC(C1=C(C(=CC(=O)O1)OC)CO)C(C)O</t>
  </si>
  <si>
    <t>BSXCHPRMOOSCRM-UHFFFAOYSA-N</t>
  </si>
  <si>
    <t>0.73_295.1285m/z</t>
  </si>
  <si>
    <t>Aspartame</t>
  </si>
  <si>
    <t>HMDB0001894</t>
  </si>
  <si>
    <t>C11045</t>
  </si>
  <si>
    <t>ko04742</t>
  </si>
  <si>
    <t>Taste transduction</t>
  </si>
  <si>
    <t>22839-47-0</t>
  </si>
  <si>
    <t>COC(=O)[C@H](CC1=CC=CC=C1)NC(=O)[C@@H](N)CC(O)=O</t>
  </si>
  <si>
    <t>IAOZJIPTCAWIRG-QWRGUYRKSA-N</t>
  </si>
  <si>
    <t>10.13_745.3763m/z</t>
  </si>
  <si>
    <t>LPIM1(18:0/0:0)</t>
  </si>
  <si>
    <t>LMGP15040003</t>
  </si>
  <si>
    <t>[C@](COP(O[C@H]1[C@@H](O)[C@@H](O)[C@H](O)[C@@H](O)[C@@H]1O[C@@H]1[C@@H](O)[C@@H](O)[C@H](O)[C@@H](CO)O1)(=O)O)([H])(O)COC(CCCCCCCCCCCCCCCCC)=O</t>
  </si>
  <si>
    <t>HVOSTPTUGSYCPY-FGRRABDYSA-N</t>
  </si>
  <si>
    <t>C33H63O17P</t>
  </si>
  <si>
    <t>2.20_483.0707m/z</t>
  </si>
  <si>
    <t>Garciduol B</t>
  </si>
  <si>
    <t>HMDB0041381</t>
  </si>
  <si>
    <t>176257-86-6</t>
  </si>
  <si>
    <t>COC1=C(C(O)=C(C(=O)C2=CC(O)=CC=C2)C(O)=C1)C1=CC(O)=C2OC3=C(C=CC=C3O)C(=O)C2=C1O</t>
  </si>
  <si>
    <t>XKZFGJPNYONQOM-UHFFFAOYSA-N</t>
  </si>
  <si>
    <t>C27H18O10</t>
  </si>
  <si>
    <t>4.67_489.1975m/z</t>
  </si>
  <si>
    <t>Asparaginylhydroxyproline</t>
  </si>
  <si>
    <t>HMDB0028732</t>
  </si>
  <si>
    <t>844640-50-2</t>
  </si>
  <si>
    <t>N[C@@H](CC(N)=O)C(=O)N1C[C@H](O)C[C@H]1C(O)=O</t>
  </si>
  <si>
    <t>LMVFAFXAMGAFOO-SRQIZXRXSA-N</t>
  </si>
  <si>
    <t>C9H15N3O5</t>
  </si>
  <si>
    <t>5.41_751.2959m/z</t>
  </si>
  <si>
    <t>5alpha-Hydroxytriptolide</t>
  </si>
  <si>
    <t>HMDB0247016</t>
  </si>
  <si>
    <t>CC(C)C12OC1C1OC11C3(OC3CC3(O)C4=C(CCC13C)C(=O)OC4)C2O</t>
  </si>
  <si>
    <t>OKRSVUYYCJPECG-UHFFFAOYSA-N</t>
  </si>
  <si>
    <t>C20H24O7</t>
  </si>
  <si>
    <t>0.77_145.0607m/z</t>
  </si>
  <si>
    <t>Hydroxyminaline</t>
  </si>
  <si>
    <t>HMDB0034368</t>
  </si>
  <si>
    <t>OC(=O)C1=CC(O)=CN1</t>
  </si>
  <si>
    <t>FCGOBISRCUOUQH-UHFFFAOYSA-N</t>
  </si>
  <si>
    <t>Pyrrole carboxylic acids and derivatives</t>
  </si>
  <si>
    <t>C5H5NO3</t>
  </si>
  <si>
    <t>6.88_351.0083m/z</t>
  </si>
  <si>
    <t>3,4,5-Trifluorobenzoic Acid</t>
  </si>
  <si>
    <t>C1=C(C=C(C(=C1F)F)F)C(=O)O</t>
  </si>
  <si>
    <t>VJMYKESYFHYUEQ-UHFFFAOYSA-N</t>
  </si>
  <si>
    <t>C7H3F3O2</t>
  </si>
  <si>
    <t>4.36_113.0596m/z</t>
  </si>
  <si>
    <t>Ketoleucine</t>
  </si>
  <si>
    <t>HMDB0000695</t>
  </si>
  <si>
    <t>C00233</t>
  </si>
  <si>
    <t>ko00280,ko00290,ko00966</t>
  </si>
  <si>
    <t>Valine, leucine and isoleucine degradation|Valine, leucine and isoleucine biosynthesis|Glucosinolate biosynthesis</t>
  </si>
  <si>
    <t>816-66-0</t>
  </si>
  <si>
    <t>CC(C)CC(=O)C(O)=O</t>
  </si>
  <si>
    <t>BKAJNAXTPSGJCU-UHFFFAOYSA-N</t>
  </si>
  <si>
    <t>10.51_284.3308m/z</t>
  </si>
  <si>
    <t>14s-Methyl-1-Octadecene</t>
  </si>
  <si>
    <t>LMFA11000019</t>
  </si>
  <si>
    <t>C=CCCCCCCCCCCC[C@@H](C)CCCC</t>
  </si>
  <si>
    <t>NAEZQVWAWSVOSD-IBGZPJMESA-N</t>
  </si>
  <si>
    <t>C19H38</t>
  </si>
  <si>
    <t>9.96_361.1479m/z</t>
  </si>
  <si>
    <t>Neamine</t>
  </si>
  <si>
    <t>HMDB0255495</t>
  </si>
  <si>
    <t>NCC1OC(OC2C(N)CC(N)C(O)C2O)C(N)C(O)C1O</t>
  </si>
  <si>
    <t>SYJXFKPQNSDJLI-UHFFFAOYSA-N</t>
  </si>
  <si>
    <t>C12H26N4O6</t>
  </si>
  <si>
    <t>4.93_461.1815m/z</t>
  </si>
  <si>
    <t>4-Hydroxy-2-Nonenal-Glutathione Conjugate</t>
  </si>
  <si>
    <t>HMDB0304177</t>
  </si>
  <si>
    <t>CCCCCC(O)C(CC=O)SCC(NC(=O)CCC([N+])C([O-])=O)C(=O)NCC([O-])=O</t>
  </si>
  <si>
    <t>VEBHIQDMOXSWEA-UHFFFAOYSA-L</t>
  </si>
  <si>
    <t>C19H32N3O8S-</t>
  </si>
  <si>
    <t>1.52_235.0220m/z</t>
  </si>
  <si>
    <t>4-(Trifluoromethyl)Benzoic Acid</t>
  </si>
  <si>
    <t>HMDB0246315</t>
  </si>
  <si>
    <t>OC(=O)C1=CC=C(C=C1)C(F)(F)F</t>
  </si>
  <si>
    <t>SWKPKONEIZGROQ-UHFFFAOYSA-N</t>
  </si>
  <si>
    <t>C8H5F3O2</t>
  </si>
  <si>
    <t>5.97_435.2026m/z</t>
  </si>
  <si>
    <t>Primidone</t>
  </si>
  <si>
    <t>HMDB0014932</t>
  </si>
  <si>
    <t>C07371</t>
  </si>
  <si>
    <t>125-33-7</t>
  </si>
  <si>
    <t>CCC1(C(=O)NCNC1=O)C1=CC=CC=C1</t>
  </si>
  <si>
    <t>DQMZLTXERSFNPB-UHFFFAOYSA-N</t>
  </si>
  <si>
    <t>C12H14N2O2</t>
  </si>
  <si>
    <t>9.25_537.3093n</t>
  </si>
  <si>
    <t>PS(19:1(9Z)/0:0)</t>
  </si>
  <si>
    <t>LMGP03050019</t>
  </si>
  <si>
    <t>C(O)(=O)[C@@]([H])(N)COP(OC[C@]([H])(O)COC(CCCCCCC/C=C\CCCCCCCCC)=O)(=O)O</t>
  </si>
  <si>
    <t>KDKUPWGASYOIMK-MCNIBRDVSA-N</t>
  </si>
  <si>
    <t>C25H48NO9P</t>
  </si>
  <si>
    <t>1.35_281.1131m/z</t>
  </si>
  <si>
    <t>Bolton-Hunter Reagent</t>
  </si>
  <si>
    <t>HMDB0246176</t>
  </si>
  <si>
    <t>OC1=CC=C(CCC(=O)ON2C(=O)CCC2=O)C=C1</t>
  </si>
  <si>
    <t>KYRUKRFVOACELK-UHFFFAOYSA-N</t>
  </si>
  <si>
    <t>C13H13NO5</t>
  </si>
  <si>
    <t>4.93_423.2020m/z</t>
  </si>
  <si>
    <t>4-Methyl-5-Oxo-2-Pentyl-2,5-Dihydro-3-Furancarboxylic Acid</t>
  </si>
  <si>
    <t>CCCCCC1C(=C(C(=O)O1)C)C(=O)O</t>
  </si>
  <si>
    <t>OIUPBOONLQPLQI-UHFFFAOYSA-N</t>
  </si>
  <si>
    <t>C11H16O4</t>
  </si>
  <si>
    <t>5.90_385.1277m/z</t>
  </si>
  <si>
    <t>Marbofloxacin</t>
  </si>
  <si>
    <t>HMDB0254332</t>
  </si>
  <si>
    <t>CN1CCN(CC1)C1=C(F)C=C2C(=O)C(=CN3N(C)COC1=C23)C(O)=O</t>
  </si>
  <si>
    <t>BPFYOAJNDMUVBL-UHFFFAOYSA-N</t>
  </si>
  <si>
    <t>C17H19FN4O4</t>
  </si>
  <si>
    <t>1.71_734.8275m/z</t>
  </si>
  <si>
    <t>[(2s,3r,5s,6s)-2,3,4,5,6-Pentaphosphonooxycyclohexyl] Phosphanyl Hydrogen Phosphate</t>
  </si>
  <si>
    <t>HMDB0257969</t>
  </si>
  <si>
    <t>OP(O)(=O)OC1C(OP(O)(O)=O)C(OP(O)(O)=O)C(OP(O)(=O)OP)C(OP(O)(O)=O)C1OP(O)(O)=O</t>
  </si>
  <si>
    <t>QQASWOALRVFBID-UHFFFAOYSA-N</t>
  </si>
  <si>
    <t>C6H17O24P7</t>
  </si>
  <si>
    <t>10.38_959.4775m/z</t>
  </si>
  <si>
    <t>Hebevinoside Xiii</t>
  </si>
  <si>
    <t>HMDB0034603</t>
  </si>
  <si>
    <t>138995-52-5</t>
  </si>
  <si>
    <t>CC(CCC=C(C)C)C1C(CC2(C)C3C(O)C=C4C(CCC(OC5OCC(OC(C)=O)C(OC(C)=O)C5O)C4(C)C)C3(C)CCC12C)OC1OC(COC(C)=O)C(OC(C)=O)C(O)C1O</t>
  </si>
  <si>
    <t>UXLRAUFZYMHXTO-UHFFFAOYSA-N</t>
  </si>
  <si>
    <t>C49H76O16</t>
  </si>
  <si>
    <t>9.17_725.2833m/z</t>
  </si>
  <si>
    <t>Cay10581</t>
  </si>
  <si>
    <t>1018340-07-2</t>
  </si>
  <si>
    <t>CC1(C(C(C2=C(O1)C(=O)C3=CC=CC=C3C2=O)NCC4=CC=CC=C4)O)C</t>
  </si>
  <si>
    <t>WKHJQIQDQXGUOD-UHFFFAOYSA-N</t>
  </si>
  <si>
    <t>C22H21NO4</t>
  </si>
  <si>
    <t>2.26_240.0655m/z</t>
  </si>
  <si>
    <t>10-Acetyl-3,7-Dihydroxyphenoxazine</t>
  </si>
  <si>
    <t>HMDB0244436</t>
  </si>
  <si>
    <t>119171-73-2</t>
  </si>
  <si>
    <t>CC(=O)N1C2=C(OC3=C1C=CC(O)=C3)C=C(O)C=C2</t>
  </si>
  <si>
    <t>PKYCWFICOKSIHZ-UHFFFAOYSA-N</t>
  </si>
  <si>
    <t>Phenoxazines</t>
  </si>
  <si>
    <t>C14H11NO4</t>
  </si>
  <si>
    <t>11.74_385.2919m/z</t>
  </si>
  <si>
    <t>L-Lysyl-L-Lysyl-L-Lysine</t>
  </si>
  <si>
    <t>HMDB0253899</t>
  </si>
  <si>
    <t>NCCCCC(N)C(=O)NC(CCCCN)C(=O)NC(CCCCN)C(O)=O</t>
  </si>
  <si>
    <t>WBSCNDJQPKSPII-UHFFFAOYSA-N</t>
  </si>
  <si>
    <t>C18H38N6O4</t>
  </si>
  <si>
    <t>6.12_601.3228m/z</t>
  </si>
  <si>
    <t>Dihydrocodeine</t>
  </si>
  <si>
    <t>125-28-0</t>
  </si>
  <si>
    <t>CN1CCC23C4C1CC5=C2C(=C(C=C5)OC)OC3C(CC4)O</t>
  </si>
  <si>
    <t>RBOXVHNMENFORY-DNJOTXNNSA-N</t>
  </si>
  <si>
    <t>C18H23NO3</t>
  </si>
  <si>
    <t>1.19_314.9500m/z</t>
  </si>
  <si>
    <t>Chymopapain</t>
  </si>
  <si>
    <t>HMDB0029845</t>
  </si>
  <si>
    <t>C11159</t>
  </si>
  <si>
    <t>9001-09-6</t>
  </si>
  <si>
    <t>OC1=CC(=CC(=C1O)S(O)(=O)=O)S(O)(=O)=O</t>
  </si>
  <si>
    <t>XXAXVMUWHZHZMJ-UHFFFAOYSA-N</t>
  </si>
  <si>
    <t>C6H6O8S2</t>
  </si>
  <si>
    <t>4.28_707.2509m/z</t>
  </si>
  <si>
    <t>Cryptophycin 52</t>
  </si>
  <si>
    <t>HMDB0250550</t>
  </si>
  <si>
    <t>COC1=C(Cl)C=C(CC2NC(=O)C=CCC(OC(=O)C(CC(C)C)OC(=O)C(C)(C)CNC2=O)C(C)C2OC2C2=CC=CC=C2)C=C1</t>
  </si>
  <si>
    <t>LSXOBYNBRKOTIQ-UHFFFAOYSA-N</t>
  </si>
  <si>
    <t>C36H45ClN2O8</t>
  </si>
  <si>
    <t>6.07_481.2802m/z</t>
  </si>
  <si>
    <t>Simvastatin Hydroxy Acid</t>
  </si>
  <si>
    <t>HMDB0061047</t>
  </si>
  <si>
    <t>121009-77-6</t>
  </si>
  <si>
    <t>CCC(C)(C)C(=O)O[C@H]1C[C@@H](C)C=C2C=C[C@H](C)[C@H](CC[C@@H](O)C[C@@H](O)CC(O)=O)[C@@H]12</t>
  </si>
  <si>
    <t>XWLXKKNPFMNSFA-HGQWONQESA-N</t>
  </si>
  <si>
    <t>C25H40O6</t>
  </si>
  <si>
    <t>3.65_1091.2932m/z</t>
  </si>
  <si>
    <t>Chaetochromin</t>
  </si>
  <si>
    <t>CC1C(OC2=C(C1=O)C(=C3C(=C2)C(=C(C=C3O)O)C4=C(C=C(C5=C(C6=C(C=C54)OC(C(C6=O)C)C)O)O)O)O)C</t>
  </si>
  <si>
    <t>RHNVLFNWDGWACV-UHFFFAOYSA-N</t>
  </si>
  <si>
    <t>2.48_361.0696m/z</t>
  </si>
  <si>
    <t>2-S-Cysteinyl-Dopa</t>
  </si>
  <si>
    <t>HMDB0062734</t>
  </si>
  <si>
    <t>25565-17-7</t>
  </si>
  <si>
    <t>[H][C@](N)(CSC1=C(C[C@]([H])(N)C(O)=O)C=CC(O)=C1O)C(O)=O</t>
  </si>
  <si>
    <t>IAGPESOLVJAEAG-BQBZGAKWSA-N</t>
  </si>
  <si>
    <t>C12H16N2O6S</t>
  </si>
  <si>
    <t>1.65_181.0861m/z</t>
  </si>
  <si>
    <t>10-Hydroxy-(2e,8e)-Decadien-4-Ynoic Acid</t>
  </si>
  <si>
    <t>HMDB0062773</t>
  </si>
  <si>
    <t>[H]\C(CO)=C(\[H])CCC#C\C([H])=C(/[H])C(O)=O</t>
  </si>
  <si>
    <t>YKLIFQPPZZVFPR-KQQUZDAGSA-N</t>
  </si>
  <si>
    <t>5.06_469.1503m/z</t>
  </si>
  <si>
    <t>Erythynone</t>
  </si>
  <si>
    <t>LMPK12060022</t>
  </si>
  <si>
    <t>C12OC(C)(C)C=CC=1C1OC3COC4C(=CC(OC)=C(OC)C=4)C3C(=O)C=1C=C2OC</t>
  </si>
  <si>
    <t>MFTMKRIDUBXOMI-UHFFFAOYSA-N</t>
  </si>
  <si>
    <t>C24H24O7</t>
  </si>
  <si>
    <t>9.88_351.1935m/z</t>
  </si>
  <si>
    <t>LysoPA(a-13:0/0:0)</t>
  </si>
  <si>
    <t>HMDB0114760</t>
  </si>
  <si>
    <t>CCC(C)CCCCCCCCC(=O)OCC(O)COP(O)(O)=O</t>
  </si>
  <si>
    <t>JKRXHZXDGVADEJ-UHFFFAOYSA-N</t>
  </si>
  <si>
    <t>C16H33O7P</t>
  </si>
  <si>
    <t>10.35_913.4420m/z</t>
  </si>
  <si>
    <t>Acolbifene</t>
  </si>
  <si>
    <t>HMDB0247955</t>
  </si>
  <si>
    <t>CC1=C(C(OC2=C1C=CC(O)=C2)C1=CC=C(OCCN2CCCCC2)C=C1)C1=CC=C(O)C=C1</t>
  </si>
  <si>
    <t>DUYNJNWVGIWJRI-UHFFFAOYSA-N</t>
  </si>
  <si>
    <t>C29H31NO4</t>
  </si>
  <si>
    <t>2.16_432.0733m/z</t>
  </si>
  <si>
    <t>Bz-Camp</t>
  </si>
  <si>
    <t>HMDB0247038</t>
  </si>
  <si>
    <t>OC1C(OC2COP(O)(=O)OC12)N1C=NC2=C1N=CN=C2NC(=O)C1=CC=CC=C1</t>
  </si>
  <si>
    <t>NXYCBMGKNCJXIC-UHFFFAOYSA-N</t>
  </si>
  <si>
    <t>C17H16N5O7P</t>
  </si>
  <si>
    <t>3.64_309.1445m/z</t>
  </si>
  <si>
    <t>2-Carboxy-1-[5-(2-Carboxy-1-Pyrrolidinyl)-2-Hydroxy-2,4-Pentadienylidene]Pyrrolidinium</t>
  </si>
  <si>
    <t>HMDB0035173</t>
  </si>
  <si>
    <t>214150-43-3</t>
  </si>
  <si>
    <t>OC(=O)C1CCC\[N+]1=C/C=C/C(/O)=C\N1CCCC1C([O-])=O</t>
  </si>
  <si>
    <t>DJTFHMOANYEGKP-UHFFFAOYSA-N</t>
  </si>
  <si>
    <t>C15H20N2O5</t>
  </si>
  <si>
    <t>1.50_465.0624m/z</t>
  </si>
  <si>
    <t>Sulbactam</t>
  </si>
  <si>
    <t>HMDB0258566</t>
  </si>
  <si>
    <t>CC1(C)C(N2C(CC2=O)S1(=O)=O)C(O)=O</t>
  </si>
  <si>
    <t>FKENQMMABCRJMK-UHFFFAOYSA-N</t>
  </si>
  <si>
    <t>C8H11NO5S</t>
  </si>
  <si>
    <t>1.59_290.1180m/z</t>
  </si>
  <si>
    <t>2-(4-Morpholinyl)-8-Phenyl-4h-1-Benzopyran-4-One</t>
  </si>
  <si>
    <t>HMDB0244699</t>
  </si>
  <si>
    <t>C15195</t>
  </si>
  <si>
    <t>154447-36-6</t>
  </si>
  <si>
    <t>O=C1C=C(OC2=C1C=CC=C2C1=CC=CC=C1)N1CCOCC1</t>
  </si>
  <si>
    <t>CZQHHVNHHHRRDU-UHFFFAOYSA-N</t>
  </si>
  <si>
    <t>C19H17NO3</t>
  </si>
  <si>
    <t>0.78_502.2728m/z</t>
  </si>
  <si>
    <t>Kanamycin</t>
  </si>
  <si>
    <t>HMDB0015303</t>
  </si>
  <si>
    <t>C01822</t>
  </si>
  <si>
    <t>8063-07-8</t>
  </si>
  <si>
    <t>NC[C@H]1O[C@H](O[C@@H]2[C@@H](N)C[C@@H](N)[C@H](O[C@H]3O[C@H](CO)[C@@H](O)[C@H](N)[C@H]3O)[C@H]2O)[C@H](O)[C@@H](O)[C@@H]1O</t>
  </si>
  <si>
    <t>SBUJHOSQTJFQJX-NOAMYHISSA-N</t>
  </si>
  <si>
    <t>C18H36N4O11</t>
  </si>
  <si>
    <t>6.11_583.2382m/z</t>
  </si>
  <si>
    <t>1,3-Bis(4-Aminophenoxy)Benzene</t>
  </si>
  <si>
    <t>C1=CC(=CC(=C1)OC2=CC=C(C=C2)N)OC3=CC=C(C=C3)N</t>
  </si>
  <si>
    <t>WUPRYUDHUFLKFL-UHFFFAOYSA-N</t>
  </si>
  <si>
    <t>C18H16N2O2</t>
  </si>
  <si>
    <t>12.18_755.4150m/z</t>
  </si>
  <si>
    <t>PA(13:0/22:6(5Z,8E,10Z,13Z,15E,19Z)-2OH(7S, 17S))</t>
  </si>
  <si>
    <t>HMDB0262918</t>
  </si>
  <si>
    <t>[H][C@@](COC(=O)CCCCCCCCCCCC)(COP(O)(O)=O)OC(=O)CCC\C=C/[C@@H](O)\C=C\C=C/C\C=C/C=C/[C@@H](O)C\C=C/CC</t>
  </si>
  <si>
    <t>BOHPHXVBVGBQHW-XQCMTBMASA-N</t>
  </si>
  <si>
    <t>C38H63O10P</t>
  </si>
  <si>
    <t>5.90_285.0403m/z</t>
  </si>
  <si>
    <t>Luteolin</t>
  </si>
  <si>
    <t>HMDB0005800</t>
  </si>
  <si>
    <t>LMPK12110006</t>
  </si>
  <si>
    <t>C01514</t>
  </si>
  <si>
    <t>491-70-3</t>
  </si>
  <si>
    <t>C1(O)C=C2OC(C3=CC(O)=C(O)C=C3)=CC(=O)C2=C(O)C=1</t>
  </si>
  <si>
    <t>IQPNAANSBPBGFQ-UHFFFAOYSA-N</t>
  </si>
  <si>
    <t>4.84_223.0606m/z</t>
  </si>
  <si>
    <t>Sinapic Acid</t>
  </si>
  <si>
    <t>HMDB0032616</t>
  </si>
  <si>
    <t>C00482</t>
  </si>
  <si>
    <t>7362-37-0</t>
  </si>
  <si>
    <t>COC1=CC(\C=C\C(O)=O)=CC(OC)=C1O</t>
  </si>
  <si>
    <t>PCMORTLOPMLEFB-ONEGZZNKSA-N</t>
  </si>
  <si>
    <t>1.31_412.0358m/z</t>
  </si>
  <si>
    <t>Progoitrin</t>
  </si>
  <si>
    <t>HMDB0034071</t>
  </si>
  <si>
    <t>C08425</t>
  </si>
  <si>
    <t>585-95-5</t>
  </si>
  <si>
    <t>OCC1OC(S\C(CC(O)C=C)=N\OS(O)(=O)=O)C(O)C(O)C1O</t>
  </si>
  <si>
    <t>MYHSVHWQEVDFQT-KPKJPENVSA-N</t>
  </si>
  <si>
    <t>C11H19NO10S2</t>
  </si>
  <si>
    <t>5.90_581.1978m/z</t>
  </si>
  <si>
    <t>Desethylenenorfloxacin</t>
  </si>
  <si>
    <t>HMDB0251038</t>
  </si>
  <si>
    <t>OC(=O)C1=CNC2=CC(N3CCNCC3)=C(F)C=C2C1=O</t>
  </si>
  <si>
    <t>UJWJPWVJLPLLEZ-UHFFFAOYSA-N</t>
  </si>
  <si>
    <t>C14H14FN3O3</t>
  </si>
  <si>
    <t>4.52_427.1241m/z</t>
  </si>
  <si>
    <t>Ethyl 3-[(2-Furanylmethyl)Thio]Propanoate</t>
  </si>
  <si>
    <t>HMDB0040055</t>
  </si>
  <si>
    <t>94278-27-0</t>
  </si>
  <si>
    <t>CCOC(=O)CCSCC1=CC=CO1</t>
  </si>
  <si>
    <t>ZKCVVCLCYIXCOD-UHFFFAOYSA-N</t>
  </si>
  <si>
    <t>C10H14O3S</t>
  </si>
  <si>
    <t>5.83_145.1011m/z</t>
  </si>
  <si>
    <t>1-Phenyl-1-Pentanone</t>
  </si>
  <si>
    <t>HMDB0031208</t>
  </si>
  <si>
    <t>1009-14-9</t>
  </si>
  <si>
    <t>CCCCC(=O)C1=CC=CC=C1</t>
  </si>
  <si>
    <t>XKGLSKVNOSHTAD-UHFFFAOYSA-N</t>
  </si>
  <si>
    <t>10.58_193.1586m/z</t>
  </si>
  <si>
    <t>2,4,5,7alpha-Tetrahydro-1,4,4,7a-Tetramethyl-1h-Inden-2-Ol</t>
  </si>
  <si>
    <t>HMDB0036684</t>
  </si>
  <si>
    <t>99901-23-2</t>
  </si>
  <si>
    <t>CC1C(O)C=C2C1(C)C=CCC2(C)C</t>
  </si>
  <si>
    <t>MHUYBIUXLMLCJM-UHFFFAOYSA-N</t>
  </si>
  <si>
    <t>3.63_282.0957m/z</t>
  </si>
  <si>
    <t>7-Methylxanthosine</t>
  </si>
  <si>
    <t>HMDB0301918</t>
  </si>
  <si>
    <t>C16352</t>
  </si>
  <si>
    <t>ko00232</t>
  </si>
  <si>
    <t>Caffeine metabolism</t>
  </si>
  <si>
    <t>CN1C=[N+]([C@@H]2O[C@H](CO)[C@@H](O)[C@H]2O)C2=C1C(=O)NC(=O)N2</t>
  </si>
  <si>
    <t>SYPRQIWERSQQNL-KQYNXXCUSA-O</t>
  </si>
  <si>
    <t>C11H15N4O6+</t>
  </si>
  <si>
    <t>5.58_402.1311n</t>
  </si>
  <si>
    <t>4,2'-Dihydroxychalcone 4-Glucoside</t>
  </si>
  <si>
    <t>LMPK12120190</t>
  </si>
  <si>
    <t>C1C=CC(C(=O)/C=C/C2C=CC(O[C@@H]3O[C@H](CO)[C@@H](O)[C@H](O)[C@H]3O)=CC=2)=C(O)C=1</t>
  </si>
  <si>
    <t>HKSOEGFPZGFKTM-WXHGGZEVSA-N</t>
  </si>
  <si>
    <t>0.78_147.0956m/z</t>
  </si>
  <si>
    <t>Isoamyl Isothiocyanate</t>
  </si>
  <si>
    <t>HMDB0032341</t>
  </si>
  <si>
    <t>628-03-5</t>
  </si>
  <si>
    <t>CC(C)CCN=C=S</t>
  </si>
  <si>
    <t>JATNWMBUDXLMEO-UHFFFAOYSA-N</t>
  </si>
  <si>
    <t>C6H11NS</t>
  </si>
  <si>
    <t>5.79_675.2251m/z</t>
  </si>
  <si>
    <t>Demethoxycurcumin</t>
  </si>
  <si>
    <t>HMDB0033801</t>
  </si>
  <si>
    <t>C17742</t>
  </si>
  <si>
    <t>22608-11-3</t>
  </si>
  <si>
    <t>COC1=CC(\C=C\C(=O)CC(=O)\C=C\C2=CC=C(O)C=C2)=CC=C1O</t>
  </si>
  <si>
    <t>HJTVQHVGMGKONQ-LUZURFALSA-N</t>
  </si>
  <si>
    <t>C20H18O5</t>
  </si>
  <si>
    <t>5.41_837.3309m/z</t>
  </si>
  <si>
    <t>Phosphine-Biotin</t>
  </si>
  <si>
    <t>COC(=O)C1=C(C=C(C=C1)C(=O)NCCCOCCOCCOCCCNC(=O)CCCCC2C3C(CS2)NC(=O)N3)P(C4=CC=CC=C4)C5=CC=CC=C5</t>
  </si>
  <si>
    <t>ABJATKZPSPFIQY-CELQPYBTSA-N</t>
  </si>
  <si>
    <t>C41H53N4O8PS</t>
  </si>
  <si>
    <t>5.04_401.1439m/z</t>
  </si>
  <si>
    <t>Creatinine Lactate</t>
  </si>
  <si>
    <t>HMDB0250531</t>
  </si>
  <si>
    <t>CC(O)C(=O)OC1N(C)C(N)=NC1=O</t>
  </si>
  <si>
    <t>UGYSVGODSJUOFI-UHFFFAOYSA-N</t>
  </si>
  <si>
    <t>C7H11N3O4</t>
  </si>
  <si>
    <t>2.01_439.1846m/z</t>
  </si>
  <si>
    <t>2,4-Diamino-6,7-Dimethoxyquinazoline</t>
  </si>
  <si>
    <t>HMDB0060724</t>
  </si>
  <si>
    <t>60547-96-8</t>
  </si>
  <si>
    <t>COC1=C(OC)C=C2C(=N)NC(=N)NC2=C1</t>
  </si>
  <si>
    <t>ZCIPYVXKMWNKLZ-UHFFFAOYSA-N</t>
  </si>
  <si>
    <t>C10H12N4O2</t>
  </si>
  <si>
    <t>11.19_252.1501m/z</t>
  </si>
  <si>
    <t>Anabasamine</t>
  </si>
  <si>
    <t>20410-87-1</t>
  </si>
  <si>
    <t>CN1CCCCC1C2=CN=C(C=C2)C3=CN=CC=C3</t>
  </si>
  <si>
    <t>TZRDBHMKTWECOV-UHFFFAOYSA-N</t>
  </si>
  <si>
    <t>C16H19N3</t>
  </si>
  <si>
    <t>3.63_399.1630m/z</t>
  </si>
  <si>
    <t>Pleconaril</t>
  </si>
  <si>
    <t>HMDB0256637</t>
  </si>
  <si>
    <t>CC1=NOC(CCCOC2=C(C)C=C(C=C2C)C2=NOC(=N2)C(F)(F)F)=C1</t>
  </si>
  <si>
    <t>KQOXLKOJHVFTRN-UHFFFAOYSA-N</t>
  </si>
  <si>
    <t>Oxadiazoles</t>
  </si>
  <si>
    <t>C18H18F3N3O3</t>
  </si>
  <si>
    <t>7.69_459.0261m/z</t>
  </si>
  <si>
    <t>Pancrelipase</t>
  </si>
  <si>
    <t>HMDB0304827</t>
  </si>
  <si>
    <t>C18724</t>
  </si>
  <si>
    <t>129-67-9</t>
  </si>
  <si>
    <t>[Na+].[Na+].[O-]C(=O)C1C2CCC(O2)C1C([O-])=O</t>
  </si>
  <si>
    <t>XRHVZWWRFMCBAZ-UHFFFAOYSA-L</t>
  </si>
  <si>
    <t>C8H8Na2O5</t>
  </si>
  <si>
    <t>2.16_547.1667m/z</t>
  </si>
  <si>
    <t>Sibiricose A6</t>
  </si>
  <si>
    <t>COC1=CC(=CC(=C1O)OC)C=CC(=O)OC2C(C(OC2(CO)OC3C(C(C(C(O3)CO)O)O)O)CO)O</t>
  </si>
  <si>
    <t>WTCVROXOIQEIRC-IBVGEFGBSA-N</t>
  </si>
  <si>
    <t>C23H32O15</t>
  </si>
  <si>
    <t>4.33_459.1743n</t>
  </si>
  <si>
    <t>Diacylglycerol Kinase Inhibitor I</t>
  </si>
  <si>
    <t>HMDB0251123</t>
  </si>
  <si>
    <t>93076-89-2</t>
  </si>
  <si>
    <t>CC1=C(CCN2CCC(CC2)=C(C2=CC=CC=C2)C2=CC=C(F)C=C2)C(=O)N2C=CSC2=N1</t>
  </si>
  <si>
    <t>MFVJXLPANKSLLD-UHFFFAOYSA-N</t>
  </si>
  <si>
    <t>C27H26FN3OS</t>
  </si>
  <si>
    <t>1.69_198.0524n</t>
  </si>
  <si>
    <t>Vanillylmandelic Acid</t>
  </si>
  <si>
    <t>HMDB0000291</t>
  </si>
  <si>
    <t>C05584</t>
  </si>
  <si>
    <t>55-10-7</t>
  </si>
  <si>
    <t>COC1=C(C=CC(=C1)C(C(=O)O)O)O</t>
  </si>
  <si>
    <t>CGQCWMIAEPEHNQ-UHFFFAOYSA-N</t>
  </si>
  <si>
    <t>14.90_809.4977m/z</t>
  </si>
  <si>
    <t>PG(18:0/PGJ2)</t>
  </si>
  <si>
    <t>HMDB0268795</t>
  </si>
  <si>
    <t>CCCCCCCCCCCCCCCCCC(=O)OC[C@H](COP(O)(=O)OC[C@@H](O)CO)OC(=O)CCC\C=C/C[C@H]1C=CC(=O)[C@@H]1\C=C\[C@@H](O)CCCCC</t>
  </si>
  <si>
    <t>IQJKHJQYMGGBKY-VJYVCUOTSA-N</t>
  </si>
  <si>
    <t>C44H77O12P</t>
  </si>
  <si>
    <t>10.13_365.2472m/z</t>
  </si>
  <si>
    <t>Quinestrol</t>
  </si>
  <si>
    <t>HMDB0015579</t>
  </si>
  <si>
    <t>LMST02010037</t>
  </si>
  <si>
    <t>C07619</t>
  </si>
  <si>
    <t>152-43-2</t>
  </si>
  <si>
    <t>[C@@]12([H])CC[C@@](O)(C#C)[C@@]1(C)CC[C@]1([H])C3C=CC(OC4CCCC4)=CC=3CC[C@@]21[H]</t>
  </si>
  <si>
    <t>PWZUUYSISTUNDW-VAFBSOEGSA-N</t>
  </si>
  <si>
    <t>C25H32O2</t>
  </si>
  <si>
    <t>2.83_281.0243m/z</t>
  </si>
  <si>
    <t>Endothion</t>
  </si>
  <si>
    <t>HMDB0251802</t>
  </si>
  <si>
    <t>C18982</t>
  </si>
  <si>
    <t>2778-04-3</t>
  </si>
  <si>
    <t>COC1=COC(CSP(=O)(OC)OC)=CC1=O</t>
  </si>
  <si>
    <t>YCAGGFXSFQFVQL-UHFFFAOYSA-N</t>
  </si>
  <si>
    <t>C9H13O6PS</t>
  </si>
  <si>
    <t>11.09_278.1730n</t>
  </si>
  <si>
    <t>(X)-2-Heptanol Glucoside</t>
  </si>
  <si>
    <t>HMDB0035028</t>
  </si>
  <si>
    <t>CCCCCC(C)OC1OC(CO)C(O)C(O)C1O</t>
  </si>
  <si>
    <t>NZLSMMMVSHTELV-UHFFFAOYSA-N</t>
  </si>
  <si>
    <t>C13H26O6</t>
  </si>
  <si>
    <t>0.67_320.9749m/z</t>
  </si>
  <si>
    <t>Perflexane</t>
  </si>
  <si>
    <t>HMDB0256323</t>
  </si>
  <si>
    <t>FC(F)(F)C(F)(F)C(F)(F)C(F)(F)C(F)(F)C(F)(F)F</t>
  </si>
  <si>
    <t>ZJIJAJXFLBMLCK-UHFFFAOYSA-N</t>
  </si>
  <si>
    <t>C6F14</t>
  </si>
  <si>
    <t>4.28_615.0893m/z</t>
  </si>
  <si>
    <t>Nimesulide</t>
  </si>
  <si>
    <t>HMDB0255611</t>
  </si>
  <si>
    <t>51803-78-2</t>
  </si>
  <si>
    <t>CS(=O)(=O)NC1=C(OC2=CC=CC=C2)C=C(C=C1)[N+]([O-])=O</t>
  </si>
  <si>
    <t>HYWYRSMBCFDLJT-UHFFFAOYSA-N</t>
  </si>
  <si>
    <t>C13H12N2O5S</t>
  </si>
  <si>
    <t>5.13_345.2280m/z</t>
  </si>
  <si>
    <t>Roccellic Acid</t>
  </si>
  <si>
    <t>22139-54-4</t>
  </si>
  <si>
    <t>CCCCCCCCCCCCC(C(C)C(=O)O)C(=O)O</t>
  </si>
  <si>
    <t>CADNMISJDLVPCK-LSDHHAIUSA-N</t>
  </si>
  <si>
    <t>4.41_309.1436m/z</t>
  </si>
  <si>
    <t>Acepromazine</t>
  </si>
  <si>
    <t>HMDB0015552</t>
  </si>
  <si>
    <t>61-00-7</t>
  </si>
  <si>
    <t>CN(C)CCCN1C2=CC=CC=C2SC2=C1C=C(C=C2)C(C)=O</t>
  </si>
  <si>
    <t>NOSIYYJFMPDDSA-UHFFFAOYSA-N</t>
  </si>
  <si>
    <t>C19H22N2OS</t>
  </si>
  <si>
    <t>9.17_418.9961m/z</t>
  </si>
  <si>
    <t>Dimethyl 2,3-Bis(Sulfanyl)Butanedioate</t>
  </si>
  <si>
    <t>HMDB0245398</t>
  </si>
  <si>
    <t>COC(=O)C(S)C(S)C(=O)OC</t>
  </si>
  <si>
    <t>VVOFTOVXFWLOAY-UHFFFAOYSA-N</t>
  </si>
  <si>
    <t>C6H10O4S2</t>
  </si>
  <si>
    <t>2.23_164.0707m/z</t>
  </si>
  <si>
    <t>Methylnoradrenaline</t>
  </si>
  <si>
    <t>HMDB0002832</t>
  </si>
  <si>
    <t>C17925</t>
  </si>
  <si>
    <t>6539-57-7</t>
  </si>
  <si>
    <t>CC(N)C(O)C1=CC(O)=C(O)C=C1</t>
  </si>
  <si>
    <t>GEFQWZLICWMTKF-UHFFFAOYSA-N</t>
  </si>
  <si>
    <t>C9H13NO3</t>
  </si>
  <si>
    <t>10.32_435.2739m/z</t>
  </si>
  <si>
    <t>DG(2:0/20:5(5Z,8Z,11Z,14Z,16E)-OH(18R)/0:0)</t>
  </si>
  <si>
    <t>HMDB0296975</t>
  </si>
  <si>
    <t>CC[C@@H](O)\C=C\C=C/C\C=C/C\C=C/C\C=C/CCCC(=O)O[C@@H](CO)COC(C)=O</t>
  </si>
  <si>
    <t>VIYCYCCKVULNIC-BUYDIBJCSA-N</t>
  </si>
  <si>
    <t>2.79_260.1605m/z</t>
  </si>
  <si>
    <t>3'-Hydroxyamobarbital</t>
  </si>
  <si>
    <t>HMDB0246097</t>
  </si>
  <si>
    <t>1421-07-4</t>
  </si>
  <si>
    <t>CCC1(CCC(C)(C)O)C(=O)NC(=O)NC1=O</t>
  </si>
  <si>
    <t>PUVZPWLDMBLALZ-UHFFFAOYSA-N</t>
  </si>
  <si>
    <t>C11H18N2O4</t>
  </si>
  <si>
    <t>5.39_361.2370m/z</t>
  </si>
  <si>
    <t>Butylated Hydroxyanisole</t>
  </si>
  <si>
    <t>HMDB0031848</t>
  </si>
  <si>
    <t>25013-16-5</t>
  </si>
  <si>
    <t>CC(C)(C)C1=C(C=CC(=C1)O)OC.CC(C)(C)C1=C(C=CC(=C1)OC)O</t>
  </si>
  <si>
    <t>CZBZUDVBLSSABA-UHFFFAOYSA-N</t>
  </si>
  <si>
    <t>12.95_620.2627n</t>
  </si>
  <si>
    <t>Methyl Phaeophorbide B</t>
  </si>
  <si>
    <t>HMDB0302162</t>
  </si>
  <si>
    <t>CCC1=C(C=O)C2=N\C\1=C/C1=C(C)C3=C(N1)\C(C(C(=O)OC)C3=O)=C1/N=C(/C=C3\N/C(=C\2)C(C=C)=C3C)C(C)C1CCC(=O)OC</t>
  </si>
  <si>
    <t>NUQASTRTTSQPAJ-GLLTXCFPSA-N</t>
  </si>
  <si>
    <t>C36H36N4O6</t>
  </si>
  <si>
    <t>1.08_200.0553m/z</t>
  </si>
  <si>
    <t>2-Hydroxyterephthalic Acid</t>
  </si>
  <si>
    <t>HMDB0245171</t>
  </si>
  <si>
    <t>OC(=O)C1=CC=C(C(O)=O)C(O)=C1</t>
  </si>
  <si>
    <t>CDOWNLMZVKJRSC-UHFFFAOYSA-N</t>
  </si>
  <si>
    <t>C8H6O5</t>
  </si>
  <si>
    <t>3.20_161.0961m/z</t>
  </si>
  <si>
    <t>Methyl Isoeugenol</t>
  </si>
  <si>
    <t>HMDB0254595</t>
  </si>
  <si>
    <t>COC1=CC=C(C=CC)C=C1OC</t>
  </si>
  <si>
    <t>NNWHUJCUHAELCL-UHFFFAOYSA-N</t>
  </si>
  <si>
    <t>4.95_486.2099n</t>
  </si>
  <si>
    <t>15-Acetoxyscirpene-3,4-Diol 4-O-A-D-Glucopyranoside</t>
  </si>
  <si>
    <t>HMDB0035590</t>
  </si>
  <si>
    <t>99124-45-5</t>
  </si>
  <si>
    <t>CC(=O)OCC12CCC(C)=CC1OC1C(O)C(OC3OC(CO)C(O)C(O)C3O)C2(C)C11CO1</t>
  </si>
  <si>
    <t>HUIYHYRPRGTYKA-UHFFFAOYSA-N</t>
  </si>
  <si>
    <t>C23H34O11</t>
  </si>
  <si>
    <t>15.13_823.5319m/z</t>
  </si>
  <si>
    <t>PG(16:0/PGF1alpha)</t>
  </si>
  <si>
    <t>HMDB0268651</t>
  </si>
  <si>
    <t>CCCCCCCCCCCCCCCC(=O)OC[C@H](COP(O)(=O)OC[C@@H](O)CO)OC(=O)CCCCCC[C@H]1[C@@H](O)C[C@@H](O)[C@@H]1\C=C\[C@@H](O)CCCCC</t>
  </si>
  <si>
    <t>VAXXRCCULOUJED-VDVVCSAYSA-N</t>
  </si>
  <si>
    <t>C42H79O13P</t>
  </si>
  <si>
    <t>14.96_435.3819m/z</t>
  </si>
  <si>
    <t>Mycolipanolic Acid (C26)</t>
  </si>
  <si>
    <t>LMFA01020333</t>
  </si>
  <si>
    <t>C([C@@H](C)[C@@H](O)[C@@H](C)C[C@@H](C)CCCCCCCCCCCCCCCCC)(=O)O</t>
  </si>
  <si>
    <t>ZIJNQYNXSXJLDW-QORCZRPOSA-N</t>
  </si>
  <si>
    <t>C26H52O3</t>
  </si>
  <si>
    <t>10.11_575.0511m/z</t>
  </si>
  <si>
    <t>5'-(3',4'-Dihydroxyphenyl)-Gamma-Valerolactone Sulfate</t>
  </si>
  <si>
    <t>HMDB0029191</t>
  </si>
  <si>
    <t>OC1=CC=C(CC2CCC(=O)O2)C=C1OS(O)(=O)=O</t>
  </si>
  <si>
    <t>YAXFVDUJDAQPTJ-UHFFFAOYSA-N</t>
  </si>
  <si>
    <t>C11H12O7S</t>
  </si>
  <si>
    <t>3.24_361.1114m/z</t>
  </si>
  <si>
    <t>Pentaerythritol Mononitrate</t>
  </si>
  <si>
    <t>HMDB0256252</t>
  </si>
  <si>
    <t>OCC(CO)(CO)CO[N+]([O-])=O</t>
  </si>
  <si>
    <t>RHVYBZNTBGYKKV-UHFFFAOYSA-N</t>
  </si>
  <si>
    <t>C5H11NO6</t>
  </si>
  <si>
    <t>9.76_657.4224m/z</t>
  </si>
  <si>
    <t>Prenylamine</t>
  </si>
  <si>
    <t>HMDB0256763</t>
  </si>
  <si>
    <t>CC(CC1=CC=CC=C1)NCCC(C1=CC=CC=C1)C1=CC=CC=C1</t>
  </si>
  <si>
    <t>IFFPICMESYHZPQ-UHFFFAOYSA-N</t>
  </si>
  <si>
    <t>C24H27N</t>
  </si>
  <si>
    <t>1.71_367.1242m/z</t>
  </si>
  <si>
    <t>Isoflurophate</t>
  </si>
  <si>
    <t>HMDB0014815</t>
  </si>
  <si>
    <t>C00202</t>
  </si>
  <si>
    <t>55-91-4</t>
  </si>
  <si>
    <t>CC(C)OP(F)(=O)OC(C)C</t>
  </si>
  <si>
    <t>MUCZHBLJLSDCSD-UHFFFAOYSA-N</t>
  </si>
  <si>
    <t>C6H14FO3P</t>
  </si>
  <si>
    <t>0.86_291.0196m/z</t>
  </si>
  <si>
    <t>Hydroxyzileuton</t>
  </si>
  <si>
    <t>HMDB0013968</t>
  </si>
  <si>
    <t>CC(N(O)C(N)=O)C1=CC2=CC=C(O)C=C2S1</t>
  </si>
  <si>
    <t>ZQQVPNNYZLDMMO-UHFFFAOYSA-N</t>
  </si>
  <si>
    <t>Benzothiophenes</t>
  </si>
  <si>
    <t>1-benzothiophenes</t>
  </si>
  <si>
    <t>C11H12N2O3S</t>
  </si>
  <si>
    <t>4.43_222.0716m/z</t>
  </si>
  <si>
    <t>4-Butyl-5-Propylthiazole</t>
  </si>
  <si>
    <t>HMDB0040067</t>
  </si>
  <si>
    <t>57246-59-0</t>
  </si>
  <si>
    <t>CCCCC1=C(CCC)SC=N1</t>
  </si>
  <si>
    <t>AHPGPUJQEGRVBS-UHFFFAOYSA-N</t>
  </si>
  <si>
    <t>C10H17NS</t>
  </si>
  <si>
    <t>8.96_361.1632m/z</t>
  </si>
  <si>
    <t>Thyrotropin Releasing Hormone</t>
  </si>
  <si>
    <t>HMDB0060080</t>
  </si>
  <si>
    <t>C03958</t>
  </si>
  <si>
    <t>24305-27-9</t>
  </si>
  <si>
    <t>[H][C@@](CC1=CN=CN1)(NC(=O)[C@]1([H])CCC(=O)N1)C(=O)N1CCC[C@@]1([H])C(N)=O</t>
  </si>
  <si>
    <t>XNSAINXGIQZQOO-SRVKXCTJSA-N</t>
  </si>
  <si>
    <t>C16H22N6O4</t>
  </si>
  <si>
    <t>5.52_191.1065m/z</t>
  </si>
  <si>
    <t>Triethylenephosphoramide</t>
  </si>
  <si>
    <t>HMDB0258822</t>
  </si>
  <si>
    <t>C19543</t>
  </si>
  <si>
    <t>545-55-1</t>
  </si>
  <si>
    <t>O=P(N1CC1)(N1CC1)N1CC1</t>
  </si>
  <si>
    <t>FYAMXEPQQLNQDM-UHFFFAOYSA-N</t>
  </si>
  <si>
    <t>Organic phosphoramides</t>
  </si>
  <si>
    <t>C6H12N3OP</t>
  </si>
  <si>
    <t>6.45_550.3134m/z</t>
  </si>
  <si>
    <t>PG(20:4(5Z,8Z,11Z,14Z)/0:0)</t>
  </si>
  <si>
    <t>LMGP04050010</t>
  </si>
  <si>
    <t>[H][C@](O)(CO)COP(OC[C@]([H])(O)COC(CCC/C=C\C/C=C\C/C=C\C/C=C\CCCCC)=O)(=O)O</t>
  </si>
  <si>
    <t>GXPOZJZFGYCEMT-VEKMRQFKSA-N</t>
  </si>
  <si>
    <t>C26H45O9P</t>
  </si>
  <si>
    <t>9.04_284.0921m/z</t>
  </si>
  <si>
    <t>N-Ornithyl-L-Taurine</t>
  </si>
  <si>
    <t>HMDB0033519</t>
  </si>
  <si>
    <t>98349-67-8</t>
  </si>
  <si>
    <t>NCCCC(N)C(=O)NCCS(O)(=O)=O</t>
  </si>
  <si>
    <t>JALOHEZOHSEEMS-UHFFFAOYSA-N</t>
  </si>
  <si>
    <t>C7H17N3O4S</t>
  </si>
  <si>
    <t>9.05_381.0529m/z</t>
  </si>
  <si>
    <t>Calmagite</t>
  </si>
  <si>
    <t>HMDB0249561</t>
  </si>
  <si>
    <t>CC1=CC(N=NC2=C(O)C=C(C3=CC=CC=C23)S(O)(=O)=O)=C(O)C=C1</t>
  </si>
  <si>
    <t>VBRNLOQCBCPPHL-UHFFFAOYSA-N</t>
  </si>
  <si>
    <t>C17H14N2O5S</t>
  </si>
  <si>
    <t>11.69_393.2785m/z</t>
  </si>
  <si>
    <t>5,8-Epoxy-5,8-Dihydro-10'-Apo-B,Y-Carotene-3,10'-Diol</t>
  </si>
  <si>
    <t>HMDB0039020</t>
  </si>
  <si>
    <t>53905-15-0</t>
  </si>
  <si>
    <t>C\C(\C=C\CO)=C/C=C/C=C(\C)/C=C/C=C(/C)C1OC2(C)CC(O)CC(C)(C)C2=C1</t>
  </si>
  <si>
    <t>OOJOUQLXWXASLN-TVICGMDOSA-N</t>
  </si>
  <si>
    <t>C27H38O3</t>
  </si>
  <si>
    <t>9.29_489.2849m/z</t>
  </si>
  <si>
    <t>(5alpha,6beta,14alpha,20r,22r)-5,6,14,20,27-Pentahydroxy-1-Oxowith-24-Enolide</t>
  </si>
  <si>
    <t>HMDB0033198</t>
  </si>
  <si>
    <t>222609-97-4</t>
  </si>
  <si>
    <t>CC1=C(CO)C(=O)OC(C1)C(C)(O)C1CCC2(O)C3CC(O)C4(O)CCCC(=O)C4(C)C3CCC12C</t>
  </si>
  <si>
    <t>AYSGOPOJGPEGSU-UHFFFAOYSA-N</t>
  </si>
  <si>
    <t>C28H42O8</t>
  </si>
  <si>
    <t>6.13_807.4411m/z</t>
  </si>
  <si>
    <t>PI(12:0/17:0)</t>
  </si>
  <si>
    <t>LMGP06010018</t>
  </si>
  <si>
    <t>[C@]([H])(OC(CCCCCCCCCCCCCCCC)=O)(COP(=O)(O)O[C@H]1[C@H](O)[C@@H](O)[C@H](O)[C@@H](O)[C@H]1O)COC(CCCCCCCCCCC)=O</t>
  </si>
  <si>
    <t>QQRNSFRKZVPAEU-HWYPCZLXSA-N</t>
  </si>
  <si>
    <t>C38H73O13P</t>
  </si>
  <si>
    <t>14.11_309.2797m/z</t>
  </si>
  <si>
    <t>2-Methyl-7z,9e-Octadecadiene</t>
  </si>
  <si>
    <t>LMFA11000119</t>
  </si>
  <si>
    <t>CC(C)CCCC/C=C\C=C\CCCCCCCC</t>
  </si>
  <si>
    <t>RFMGIWIKGFYQFJ-WCYNZMGESA-N</t>
  </si>
  <si>
    <t>C19H36</t>
  </si>
  <si>
    <t>2.75_135.1168m/z</t>
  </si>
  <si>
    <t>P-Cymene</t>
  </si>
  <si>
    <t>HMDB0005805</t>
  </si>
  <si>
    <t>LMPR0102090014</t>
  </si>
  <si>
    <t>C06575</t>
  </si>
  <si>
    <t>99-87-6</t>
  </si>
  <si>
    <t>C1(=CC=C(C)C=C1)C(C)C</t>
  </si>
  <si>
    <t>HFPZCAJZSCWRBC-UHFFFAOYSA-N</t>
  </si>
  <si>
    <t>C10H14</t>
  </si>
  <si>
    <t>1.06_337.0774m/z</t>
  </si>
  <si>
    <t>Acaciabiuronic Acid</t>
  </si>
  <si>
    <t>HMDB0029938</t>
  </si>
  <si>
    <t>7264-19-9</t>
  </si>
  <si>
    <t>OC1OC(COC2OC(C(O)C(O)C2O)C(O)=O)C(O)C(O)C1O</t>
  </si>
  <si>
    <t>YOOPHLDCWPOWDX-UHFFFAOYSA-N</t>
  </si>
  <si>
    <t>C12H20O12</t>
  </si>
  <si>
    <t>9.25_228.2686m/z</t>
  </si>
  <si>
    <t>Pentadecylamine</t>
  </si>
  <si>
    <t>HMDB0243828</t>
  </si>
  <si>
    <t>2570-26-5</t>
  </si>
  <si>
    <t>CCCCCCCCCCCCCCCN</t>
  </si>
  <si>
    <t>JPZYXGPCHFZBHO-UHFFFAOYSA-N</t>
  </si>
  <si>
    <t>C15H33N</t>
  </si>
  <si>
    <t>1.45_283.0045m/z</t>
  </si>
  <si>
    <t>Disodium Hydrogen Citrate</t>
  </si>
  <si>
    <t>HMDB0303751</t>
  </si>
  <si>
    <t>[Na+].[Na+].OC(=O)CC(O)(CC(O)=O)C(O)=O</t>
  </si>
  <si>
    <t>CEYULKASIQJZGP-UHFFFAOYSA-N</t>
  </si>
  <si>
    <t>C6H8Na2O7+2</t>
  </si>
  <si>
    <t>1.48_316.1367m/z</t>
  </si>
  <si>
    <t>N-(1-Deoxy-1-Fructosyl)Leucine</t>
  </si>
  <si>
    <t>HMDB0037840</t>
  </si>
  <si>
    <t>34393-18-5</t>
  </si>
  <si>
    <t>CC(C)C[C@H](NCC1(O)O[C@H](CO)[C@@H](O)[C@@H]1O)C(O)=O</t>
  </si>
  <si>
    <t>KGTRBDVOUPALMB-PPNLDZOPSA-N</t>
  </si>
  <si>
    <t>C12H23NO7</t>
  </si>
  <si>
    <t>4.76_323.1366n</t>
  </si>
  <si>
    <t>Dehydromonocrotaline</t>
  </si>
  <si>
    <t>HMDB0250956</t>
  </si>
  <si>
    <t>CC1C(=O)OC2CCN3C=CC(COC(=O)C(C)(O)C1(C)O)=C23</t>
  </si>
  <si>
    <t>ZONSVLURFASOJK-UHFFFAOYSA-N</t>
  </si>
  <si>
    <t>C16H21NO6</t>
  </si>
  <si>
    <t>4.60_682.2467n</t>
  </si>
  <si>
    <t>Pinoresinol Diglucoside</t>
  </si>
  <si>
    <t>COC1=C(C=CC(=C1)C2C3COC(C3CO2)C4=CC(=C(C=C4)OC5C(C(C(C(O5)CO)O)O)O)OC)OC6C(C(C(C(O6)CO)O)O)O</t>
  </si>
  <si>
    <t>ZJSJQWDXAYNLNS-FUPWJLLWSA-N</t>
  </si>
  <si>
    <t>C32H42O16</t>
  </si>
  <si>
    <t>6.18_671.2345m/z</t>
  </si>
  <si>
    <t>Amidoxime</t>
  </si>
  <si>
    <t>HMDB0248300</t>
  </si>
  <si>
    <t>NC(=NO)C1=CC=C(C=C1)C1=CC=C(O1)C1=CC=C(C=C1)C(N)=NO</t>
  </si>
  <si>
    <t>SFZULDYEOVSIKM-UHFFFAOYSA-N</t>
  </si>
  <si>
    <t>Diphenylfurans</t>
  </si>
  <si>
    <t>C18H16N4O3</t>
  </si>
  <si>
    <t>7.90_371.0144m/z</t>
  </si>
  <si>
    <t>8-Nitro-Cgmp</t>
  </si>
  <si>
    <t>HMDB0247452</t>
  </si>
  <si>
    <t>NC1=NC2=C(N=C(N2C2OC3COP(O)(=O)OC3C2O)[N+]([O-])=O)C(=O)N1</t>
  </si>
  <si>
    <t>XRKODJJSPSPDGM-UHFFFAOYSA-N</t>
  </si>
  <si>
    <t>C10H11N6O9P</t>
  </si>
  <si>
    <t>1.33_443.1524m/z</t>
  </si>
  <si>
    <t>Lamioside</t>
  </si>
  <si>
    <t>LMPR0102070018</t>
  </si>
  <si>
    <t>C11645</t>
  </si>
  <si>
    <t>C(=O)(O[C@@]1(C)C[C@@H](O)[C@]2(O)C(C)=CO[C@@H](O[C@H]3[C@H](O)[C@H]([C@H](O)[C@H](O3)CO)O)[C@@]21[H])C</t>
  </si>
  <si>
    <t>KPUSIQDGYABESP-CJHMEAONSA-N</t>
  </si>
  <si>
    <t>C18H28O11</t>
  </si>
  <si>
    <t>1.40_245.1860m/z</t>
  </si>
  <si>
    <t>N-Octanoyl-Homoserine Lactone</t>
  </si>
  <si>
    <t>LMFA08030035</t>
  </si>
  <si>
    <t>147852-84-4</t>
  </si>
  <si>
    <t>[C@@H]1(CCOC1=O)NC(=O)CCCCCCC</t>
  </si>
  <si>
    <t>JKEJEOJPJVRHMQ-JTQLQIEISA-N</t>
  </si>
  <si>
    <t>C12H21NO3</t>
  </si>
  <si>
    <t>9.98_309.2421m/z</t>
  </si>
  <si>
    <t>Avocadyne 1-Acetate</t>
  </si>
  <si>
    <t>HMDB0031048</t>
  </si>
  <si>
    <t>LMFA05000644</t>
  </si>
  <si>
    <t>24607-06-5</t>
  </si>
  <si>
    <t>C#CCCCCCCCCCCCC(O)CC(O)COC(C)=O</t>
  </si>
  <si>
    <t>JAKAZHIACKJNNB-UHFFFAOYSA-N</t>
  </si>
  <si>
    <t>C19H34O4</t>
  </si>
  <si>
    <t>4.19_429.1037m/z</t>
  </si>
  <si>
    <t>5-(3',5'-Dihydroxyphenyl)-Gamma-Valerolactone 3-O-Glucuronide</t>
  </si>
  <si>
    <t>HMDB0041693</t>
  </si>
  <si>
    <t>O[C@@H]1[C@@H](O)[C@H](OC2=CC(O)=CC(CC3CCC(=O)O3)=C2)O[C@@H]([C@H]1O)C(O)=O</t>
  </si>
  <si>
    <t>RUSMDDXSDLDLKU-PHPHFFAHSA-N</t>
  </si>
  <si>
    <t>4.68_120.0807m/z</t>
  </si>
  <si>
    <t>Alpha-Hydroxy-Beta-Phenylethylamine</t>
  </si>
  <si>
    <t>HMDB0248220</t>
  </si>
  <si>
    <t>NC(O)CC1=CC=CC=C1</t>
  </si>
  <si>
    <t>DVPHFCAEZWKFDG-UHFFFAOYSA-N</t>
  </si>
  <si>
    <t>0.55_298.8349m/z</t>
  </si>
  <si>
    <t>Calcium Diphosphate</t>
  </si>
  <si>
    <t>HMDB0303420</t>
  </si>
  <si>
    <t>[Ca++].[Ca++].[O-]P([O-])(=O)OP([O-])([O-])=O</t>
  </si>
  <si>
    <t>JUNWLZAGQLJVLR-UHFFFAOYSA-J</t>
  </si>
  <si>
    <t>Alkaline earth metal oxoanionic compounds</t>
  </si>
  <si>
    <t>Alkaline earth metal pyrophosphates</t>
  </si>
  <si>
    <t>Ca2O7P2</t>
  </si>
  <si>
    <t>12.59_376.3182m/z</t>
  </si>
  <si>
    <t>Anandamide (20:1, n-9)</t>
  </si>
  <si>
    <t>LMFA08040010</t>
  </si>
  <si>
    <t>C(C/C=C\CCCCCCCC)CCCCCCCC(=O)NCCO</t>
  </si>
  <si>
    <t>YDKRGMXLBRWZJR-KTKRTIGZSA-N</t>
  </si>
  <si>
    <t>C22H43NO2</t>
  </si>
  <si>
    <t>4.90_364.9952m/z</t>
  </si>
  <si>
    <t>5-Fluorodeoxyuridine Monophosphate</t>
  </si>
  <si>
    <t>HMDB0060394</t>
  </si>
  <si>
    <t>C04242</t>
  </si>
  <si>
    <t>O[C@H]1C[C@@H](O[C@@H]1COP(O)(O)=O)N1C=C(F)C(O)=NC1=O</t>
  </si>
  <si>
    <t>HFEKDTCAMMOLQP-RRKCRQDMSA-N</t>
  </si>
  <si>
    <t>C9H12FN2O8P</t>
  </si>
  <si>
    <t>3.66_213.0758m/z</t>
  </si>
  <si>
    <t>Valtrate</t>
  </si>
  <si>
    <t>HMDB0034493</t>
  </si>
  <si>
    <t>C09801</t>
  </si>
  <si>
    <t>18296-44-1</t>
  </si>
  <si>
    <t>OCC1=COC(O)C2C1=CC(O)C21CO1</t>
  </si>
  <si>
    <t>OHFUJVGMWXATSG-UHFFFAOYSA-N</t>
  </si>
  <si>
    <t>C10H12O5</t>
  </si>
  <si>
    <t>1.45_227.0538m/z</t>
  </si>
  <si>
    <t>Hydrazinecarbothioamide,2-[2-[2-(Aminothioxomethyl)-2-Methylhydrazinylidene]Propylidene]-N-Methyl-</t>
  </si>
  <si>
    <t>HMDB0247878</t>
  </si>
  <si>
    <t>CNC(=S)NN=CC(C)=NNC(=S)NC</t>
  </si>
  <si>
    <t>VEXRMMJOMMTPKJ-UHFFFAOYSA-N</t>
  </si>
  <si>
    <t>C7H14N6S2</t>
  </si>
  <si>
    <t>6.01_489.2261m/z</t>
  </si>
  <si>
    <t>Acetyltryptophanamide</t>
  </si>
  <si>
    <t>2382-79-8</t>
  </si>
  <si>
    <t>CC(=O)NC(CC1=CNC2=CC=CC=C21)C(=O)N</t>
  </si>
  <si>
    <t>HNGIZKAMDMBRKJ-LBPRGKRZSA-N</t>
  </si>
  <si>
    <t>C13H15N3O2</t>
  </si>
  <si>
    <t>9.50_1051.5728m/z</t>
  </si>
  <si>
    <t>PIM1(17:0/18:1(9Z))</t>
  </si>
  <si>
    <t>LMGP15010013</t>
  </si>
  <si>
    <t>[C@](COP(O[C@H]1[C@@H](O)[C@@H](O)[C@H](O)[C@@H](O)[C@@H]1O[C@@H]1[C@@H](O)[C@@H](O)[C@H](O)[C@@H](CO)O1)(=O)O)([H])(OC(CCCCCCC/C=C\CCCCCCCC)=O)COC(CCCCCCCCCCCCCCCC)=O</t>
  </si>
  <si>
    <t>YBWZKQNCOYMCMO-HBRZTCRCSA-N</t>
  </si>
  <si>
    <t>C50H93O18P</t>
  </si>
  <si>
    <t>5.19_465.1518m/z</t>
  </si>
  <si>
    <t>4-(3-Pyridin-2-Yl-[1,2,4]Oxadiazol-5-Yl)-Butyric Acid</t>
  </si>
  <si>
    <t>HMDB0246289</t>
  </si>
  <si>
    <t>OC(=O)CCCC1=NC(=NO1)C1=CC=CC=N1</t>
  </si>
  <si>
    <t>BWRRWBIBNBVHQF-UHFFFAOYSA-N</t>
  </si>
  <si>
    <t>C11H11N3O3</t>
  </si>
  <si>
    <t>4.19_279.1953m/z</t>
  </si>
  <si>
    <t>1-(4-Hydroxy-3-Methoxyphenyl)-3-Decanone</t>
  </si>
  <si>
    <t>HMDB0030801</t>
  </si>
  <si>
    <t>C10482</t>
  </si>
  <si>
    <t>27113-22-0</t>
  </si>
  <si>
    <t>CCCCCCCC(=O)CCC1=CC(OC)=C(O)C=C1</t>
  </si>
  <si>
    <t>CZNLTCTYLMYLHL-UHFFFAOYSA-N</t>
  </si>
  <si>
    <t>C17H26O3</t>
  </si>
  <si>
    <t>9.60_418.9153m/z</t>
  </si>
  <si>
    <t>Calcium Glycerophosphate</t>
  </si>
  <si>
    <t>HMDB0303198</t>
  </si>
  <si>
    <t>C12935</t>
  </si>
  <si>
    <t>27214-00-2</t>
  </si>
  <si>
    <t>[Ca++].OCC(O)COP([O-])([O-])=O</t>
  </si>
  <si>
    <t>IWIRHXNCFWGFJE-UHFFFAOYSA-L</t>
  </si>
  <si>
    <t>C3H7CaO6P</t>
  </si>
  <si>
    <t>10.30_365.1401m/z</t>
  </si>
  <si>
    <t>Sodium Decylbenzenesulfonate</t>
  </si>
  <si>
    <t>HMDB0303294</t>
  </si>
  <si>
    <t>[Na+].CCCCCCCCCCC1=CC=C(C=C1)S([O-])(=O)=O</t>
  </si>
  <si>
    <t>RLJSXMVTLMHXJS-UHFFFAOYSA-M</t>
  </si>
  <si>
    <t>C16H25NaO3S</t>
  </si>
  <si>
    <t>10.26_913.4795m/z</t>
  </si>
  <si>
    <t>Dioscin</t>
  </si>
  <si>
    <t>LMST01080053</t>
  </si>
  <si>
    <t>C08897</t>
  </si>
  <si>
    <t>19057-60-4</t>
  </si>
  <si>
    <t>[C@]12(CC=C3C[C@@H](O[C@H]4[C@H](O[C@H]5[C@H](O)[C@H](O)[C@@H](O)[C@H](C)O5)[C@@H](O)[C@H](O[C@H]5[C@H](O)[C@H](O)[C@@H](O)[C@H](C)O5)[C@@H](CO)O4)CC[C@]3(C)[C@@]1([H])CC[C@]1(C)[C@H]3[C@@H]([C@]4(OC[C@H](C)CC4)O[C@H]3C[C@@]21[H])C)[H]</t>
  </si>
  <si>
    <t>VNONINPVFQTJOC-ZGXDEBHDSA-N</t>
  </si>
  <si>
    <t>C45H72O16</t>
  </si>
  <si>
    <t>4.36_755.3841m/z</t>
  </si>
  <si>
    <t>PGP(a-13:0/i-14:0)</t>
  </si>
  <si>
    <t>HMDB0116520</t>
  </si>
  <si>
    <t>[H][C@](O)(COP(O)(O)=O)COP(O)(=O)OC[C@@]([H])(COC(=O)CCCCCCCCC(C)CC)OC(=O)CCCCCCCCCCC(C)C</t>
  </si>
  <si>
    <t>ILIZUXBPWDAZRQ-CJZYSFCQSA-N</t>
  </si>
  <si>
    <t>C33H66O13P2</t>
  </si>
  <si>
    <t>9.59_409.0109m/z</t>
  </si>
  <si>
    <t>3,3,4,4,5,5,6,6,7,7,8,8,8-Tridecafluorooctan-1-Ol</t>
  </si>
  <si>
    <t>HMDB0260260</t>
  </si>
  <si>
    <t>OCCC(F)(F)C(F)(F)C(F)(F)C(F)(F)C(F)(F)C(F)(F)F</t>
  </si>
  <si>
    <t>GRJRKPMIRMSBNK-UHFFFAOYSA-N</t>
  </si>
  <si>
    <t>C8H5F13O</t>
  </si>
  <si>
    <t>1.31_281.0743m/z</t>
  </si>
  <si>
    <t>Ribothymidine</t>
  </si>
  <si>
    <t>HMDB0000884</t>
  </si>
  <si>
    <t>1463-10-1</t>
  </si>
  <si>
    <t>CC1=CN([C@@H]2O[C@H](CO)[C@@H](O)[C@H]2O)C(=O)NC1=O</t>
  </si>
  <si>
    <t>DWRXFEITVBNRMK-JXOAFFINSA-N</t>
  </si>
  <si>
    <t>C10H14N2O6</t>
  </si>
  <si>
    <t>4.78_477.1038m/z</t>
  </si>
  <si>
    <t>Emodin 8-Glucoside</t>
  </si>
  <si>
    <t>HMDB0302437</t>
  </si>
  <si>
    <t>LMPK13040009</t>
  </si>
  <si>
    <t>C10345</t>
  </si>
  <si>
    <t>C12C(=O)C3=C(C=C(C=C3O)C)C(=O)C=1C=C(C=C2O[C@H]1[C@H](O)[C@H]([C@H](O)[C@@H](CO)O1)O)O</t>
  </si>
  <si>
    <t>HSWIRQIYASIOBE-JNHRPPPUSA-N</t>
  </si>
  <si>
    <t>7.84_309.2069m/z</t>
  </si>
  <si>
    <t>3,7,11-Trimethyl-2,6,10-Dodecatrienyl Acetate</t>
  </si>
  <si>
    <t>HMDB0240268</t>
  </si>
  <si>
    <t>LMFA07010230</t>
  </si>
  <si>
    <t>4128-17-0</t>
  </si>
  <si>
    <t>O(C(=O)C)C/C=C(\C)/CC/C=C(\C)/CC/C=C(\C)/C</t>
  </si>
  <si>
    <t>ZGIGZINMAOQWLX-NCZFFCEISA-N</t>
  </si>
  <si>
    <t>C17H28O2</t>
  </si>
  <si>
    <t>9.98_235.2056m/z</t>
  </si>
  <si>
    <t>2,6-Di-Tert-Butyl-4-Ethylphenol</t>
  </si>
  <si>
    <t>HMDB0040179</t>
  </si>
  <si>
    <t>4130-42-1</t>
  </si>
  <si>
    <t>CCC1=CC(=C(O)C(=C1)C(C)(C)C)C(C)(C)C</t>
  </si>
  <si>
    <t>BVUXDWXKPROUDO-UHFFFAOYSA-N</t>
  </si>
  <si>
    <t>C16H26O</t>
  </si>
  <si>
    <t>8.45_451.2320m/z</t>
  </si>
  <si>
    <t>8-((4-Amino-1-Methylbutyl)Amino)-6-Methoxy-4-Methyl-5-(3-Trifluoromethylphenoxy)Quinoline</t>
  </si>
  <si>
    <t>HMDB0259905</t>
  </si>
  <si>
    <t>COC1=C(OC2=CC=CC(=C2)C(F)(F)F)C2=C(C)C=CN=C2C(NC(C)CCCN)=C1</t>
  </si>
  <si>
    <t>NFJRZYIWFZYFNU-UHFFFAOYSA-N</t>
  </si>
  <si>
    <t>C23H26F3N3O2</t>
  </si>
  <si>
    <t>3.54_327.0509m/z</t>
  </si>
  <si>
    <t>3-O-Methylcoumestrol</t>
  </si>
  <si>
    <t>HMDB0029584</t>
  </si>
  <si>
    <t>COC1=CC2=C(C=C1)C1=C(C3=C(O1)C=C(O)C=C3)C(=O)O2</t>
  </si>
  <si>
    <t>YQBVKPREVBFWSA-UHFFFAOYSA-N</t>
  </si>
  <si>
    <t>C16H10O5</t>
  </si>
  <si>
    <t>0.83_455.1009m/z</t>
  </si>
  <si>
    <t>1-(Perfluorohexyl)Octane</t>
  </si>
  <si>
    <t>HMDB0243805</t>
  </si>
  <si>
    <t>CCCCCCCCC(F)(F)C(F)(F)C(F)(F)C(F)(F)C(F)(F)C(F)(F)F</t>
  </si>
  <si>
    <t>WRYIIOKOQSICTB-UHFFFAOYSA-N</t>
  </si>
  <si>
    <t>C14H17F13</t>
  </si>
  <si>
    <t>10.52_603.1264m/z</t>
  </si>
  <si>
    <t>Calcein</t>
  </si>
  <si>
    <t>HMDB0249537</t>
  </si>
  <si>
    <t>1461-15-0</t>
  </si>
  <si>
    <t>OC(=O)CN(CC(O)=O)CC1=CC2=C(OC3=CC(O)=C(CN(CC(O)=O)CC(O)=O)C=C3C22OC(=O)C3=CC=CC=C23)C=C1O</t>
  </si>
  <si>
    <t>DEGAKNSWVGKMLS-UHFFFAOYSA-N</t>
  </si>
  <si>
    <t>C30H26N2O13</t>
  </si>
  <si>
    <t>1.43_356.1352m/z</t>
  </si>
  <si>
    <t>Domoic Acid</t>
  </si>
  <si>
    <t>C13732</t>
  </si>
  <si>
    <t>14277-97-5</t>
  </si>
  <si>
    <t>CC(C=CC=C(C)C1CNC(C1CC(=O)O)C(=O)O)C(=O)O</t>
  </si>
  <si>
    <t>VZFRNCSOCOPNDB-AOKDLOFSSA-N</t>
  </si>
  <si>
    <t>C15H21NO6</t>
  </si>
  <si>
    <t>6.29_649.1319m/z</t>
  </si>
  <si>
    <t>Etoposide Phosphate</t>
  </si>
  <si>
    <t>HMDB0252115</t>
  </si>
  <si>
    <t>COC1=CC(=CC(OC)=C1OP(O)(O)=O)C1C2C(COC2=O)C(OC2OC3COC(C)OC3C(O)C2O)C2=CC3=C(OCO3)C=C12</t>
  </si>
  <si>
    <t>LIQODXNTTZAGID-UHFFFAOYSA-N</t>
  </si>
  <si>
    <t>C29H33O16P</t>
  </si>
  <si>
    <t>4.43_375.1434m/z</t>
  </si>
  <si>
    <t>Arphamenine B</t>
  </si>
  <si>
    <t>HMDB0248615</t>
  </si>
  <si>
    <t>NC(CCCNC(N)=N)C(=O)CC(CC1=CC=C(O)C=C1)C(O)=O</t>
  </si>
  <si>
    <t>RRJCLYMGCZJLBQ-UHFFFAOYSA-N</t>
  </si>
  <si>
    <t>C16H24N4O4</t>
  </si>
  <si>
    <t>7.99_268.0965m/z</t>
  </si>
  <si>
    <t>Gamma-Glutamylcysteine</t>
  </si>
  <si>
    <t>HMDB0001049</t>
  </si>
  <si>
    <t>C00669</t>
  </si>
  <si>
    <t>ko00480,ko04216</t>
  </si>
  <si>
    <t>Glutathione metabolism|Ferroptosis</t>
  </si>
  <si>
    <t>636-58-8</t>
  </si>
  <si>
    <t>N[C@@H](CCC(=O)N[C@@H](CS)C(O)=O)C(O)=O</t>
  </si>
  <si>
    <t>RITKHVBHSGLULN-WHFBIAKZSA-N</t>
  </si>
  <si>
    <t>C8H14N2O5S</t>
  </si>
  <si>
    <t>4.36_149.0960m/z</t>
  </si>
  <si>
    <t>2-Hydroxy-P-Mentha-1,8-Dien-6-One</t>
  </si>
  <si>
    <t>HMDB0037012</t>
  </si>
  <si>
    <t>51200-86-3</t>
  </si>
  <si>
    <t>CC(=C)C1CC(O)=C(C)C(=O)C1</t>
  </si>
  <si>
    <t>XPEAPCMHDFIXFL-UHFFFAOYSA-N</t>
  </si>
  <si>
    <t>6.39_257.1755m/z</t>
  </si>
  <si>
    <t>Heptanoate</t>
  </si>
  <si>
    <t>HMDB0304376</t>
  </si>
  <si>
    <t>CCCCCCC([O-])=O</t>
  </si>
  <si>
    <t>MNWFXJYAOYHMED-UHFFFAOYSA-M</t>
  </si>
  <si>
    <t>C7H13O2-</t>
  </si>
  <si>
    <t>4.10_731.2757m/z</t>
  </si>
  <si>
    <t>2-Iodopalmitaldehyde</t>
  </si>
  <si>
    <t>LMFA06000281</t>
  </si>
  <si>
    <t>C(C(I)CCCCCCCCCCCCCC)(=O)[H]</t>
  </si>
  <si>
    <t>HMBUZXLDGPYXCY-UHFFFAOYSA-N</t>
  </si>
  <si>
    <t>C16H31IO</t>
  </si>
  <si>
    <t>4.23_251.0546m/z</t>
  </si>
  <si>
    <t>Diacetyl Benzene-1,2-Dicarboxylate</t>
  </si>
  <si>
    <t>HMDB0257835</t>
  </si>
  <si>
    <t>CC(=O)OC(=O)C1=CC=CC=C1C(=O)OC(C)=O</t>
  </si>
  <si>
    <t>HCGVMMGWYCBDDX-UHFFFAOYSA-N</t>
  </si>
  <si>
    <t>C12H10O6</t>
  </si>
  <si>
    <t>4.52_619.2406m/z</t>
  </si>
  <si>
    <t>Austalide C</t>
  </si>
  <si>
    <t>HMDB0034075</t>
  </si>
  <si>
    <t>81543-03-5</t>
  </si>
  <si>
    <t>COC1=C2C(=O)OCC2=C(C)C2=C1CC1C(C)(CC(OC(C)=O)C34OC(CC(OC(C)=O)C13C)(OC)OC4(C)C)O2</t>
  </si>
  <si>
    <t>CSYWTGORJHMPOT-UHFFFAOYSA-N</t>
  </si>
  <si>
    <t>4.38_321.1326m/z</t>
  </si>
  <si>
    <t>Nialamide</t>
  </si>
  <si>
    <t>HMDB0255576</t>
  </si>
  <si>
    <t>O=C(CCNNC(=O)C1=CC=NC=C1)NCC1=CC=CC=C1</t>
  </si>
  <si>
    <t>NOIIUHRQUVNIDD-UHFFFAOYSA-N</t>
  </si>
  <si>
    <t>C16H18N4O2</t>
  </si>
  <si>
    <t>0.73_221.0898n</t>
  </si>
  <si>
    <t>(2r,5s)-5-Amino-1,2,6,7-Tetrahydroxyoctane-3,4-Dione</t>
  </si>
  <si>
    <t>HMDB0255319</t>
  </si>
  <si>
    <t>CC(O)C(O)C(N)C(=O)C(=O)C(O)CO</t>
  </si>
  <si>
    <t>KFTDHDXFEXLYOC-UHFFFAOYSA-N</t>
  </si>
  <si>
    <t>3.97_487.0859m/z</t>
  </si>
  <si>
    <t>Ent-Catechin 3-O-Gallate</t>
  </si>
  <si>
    <t>HMDB0029255</t>
  </si>
  <si>
    <t>LMPK12020091</t>
  </si>
  <si>
    <t>130405-40-2</t>
  </si>
  <si>
    <t>C1(O)C=C2O[C@@H](C3C=C(O)C(O)=CC=3)[C@H](OC(C3C=C(O)C(O)=C(O)C=3)=O)CC2=C(O)C=1</t>
  </si>
  <si>
    <t>LSHVYAFMTMFKBA-CTNGQTDRSA-N</t>
  </si>
  <si>
    <t>C22H18O10</t>
  </si>
  <si>
    <t>4.00_269.1898m/z</t>
  </si>
  <si>
    <t>14-Fluoro-Myristic Acid</t>
  </si>
  <si>
    <t>LMFA01090048</t>
  </si>
  <si>
    <t>C(CCCCCCCCCCCCCF)(=O)O</t>
  </si>
  <si>
    <t>MFWHHTJGSBBVFN-UHFFFAOYSA-N</t>
  </si>
  <si>
    <t>C14H27FO2</t>
  </si>
  <si>
    <t>5.88_223.0945m/z</t>
  </si>
  <si>
    <t>2,6-Diamino-9-(2-Hydroxyethoxymethyl)Purine</t>
  </si>
  <si>
    <t>HMDB0246998</t>
  </si>
  <si>
    <t>NC1=NC2=C(N=CN2COCCO)C(N)=N1</t>
  </si>
  <si>
    <t>CSMCRCLIPQDIKB-UHFFFAOYSA-N</t>
  </si>
  <si>
    <t>C8H12N6O2</t>
  </si>
  <si>
    <t>14.22_805.5051m/z</t>
  </si>
  <si>
    <t>PA(20:2(11Z,14Z)/22:6(5Z,8E,10Z,13Z,15E,19Z)-2OH(7S, 17S))</t>
  </si>
  <si>
    <t>HMDB0264892</t>
  </si>
  <si>
    <t>[H][C@@](COC(=O)CCCCCCCCC\C=C/C\C=C/CCCCC)(COP(O)(O)=O)OC(=O)CCC\C=C/[C@@H](O)\C=C\C=C/C\C=C/C=C/[C@@H](O)C\C=C/CC</t>
  </si>
  <si>
    <t>ZQWPVJKRGJOSIV-CXAWXECUSA-N</t>
  </si>
  <si>
    <t>C45H73O10P</t>
  </si>
  <si>
    <t>8.80_431.1709m/z</t>
  </si>
  <si>
    <t>Bis(P-Methylbenzylidene)Sorbitol</t>
  </si>
  <si>
    <t>CC1=CC=C(C=C1)C2OCC3C(O2)C(OC(O3)C4=CC=C(C=C4)C)C(CO)O</t>
  </si>
  <si>
    <t>LQAFKEDMOAMGAK-UHFFFAOYSA-N</t>
  </si>
  <si>
    <t>3.57_171.0654m/z</t>
  </si>
  <si>
    <t>1-Nitrohexane</t>
  </si>
  <si>
    <t>HMDB0013812</t>
  </si>
  <si>
    <t>646-14-0</t>
  </si>
  <si>
    <t>CCCCCC[N+](O)=O</t>
  </si>
  <si>
    <t>RPBWECFHDHMPJN-UHFFFAOYSA-N</t>
  </si>
  <si>
    <t>C6H14NO2+</t>
  </si>
  <si>
    <t>4.72_303.1224m/z</t>
  </si>
  <si>
    <t>Isomucronulatol</t>
  </si>
  <si>
    <t>HMDB0033189</t>
  </si>
  <si>
    <t>LMPK12080033</t>
  </si>
  <si>
    <t>64474-51-7</t>
  </si>
  <si>
    <t>C1(O)C=CC2CC(C3C=CC(OC)=C(OC)C=3O)COC=2C=1</t>
  </si>
  <si>
    <t>NQRBAPDEZYMKFL-UHFFFAOYSA-N</t>
  </si>
  <si>
    <t>C17H18O5</t>
  </si>
  <si>
    <t>8.71_905.5726m/z</t>
  </si>
  <si>
    <t>PI(20:1(11Z)/18:1(12Z)-2OH(9,10))</t>
  </si>
  <si>
    <t>HMDB0277121</t>
  </si>
  <si>
    <t>[H][C@@](COC(=O)CCCCCCCCC\C=C/CCCCCCCC)(COP(O)(=O)O[C@H]1[C@H](O)[C@@H](O)[C@H](O)[C@@H](O)[C@H]1O)OC(=O)CCCCCCC[C@H](O)[C@@H](O)C\C=C/CCCCC</t>
  </si>
  <si>
    <t>LJQHEAQISJEVNR-OBOUTCTOSA-N</t>
  </si>
  <si>
    <t>C47H87O15P</t>
  </si>
  <si>
    <t>2.25_255.0039m/z</t>
  </si>
  <si>
    <t>2-Thiouracil</t>
  </si>
  <si>
    <t>HMDB0245323</t>
  </si>
  <si>
    <t>C19304</t>
  </si>
  <si>
    <t>141-90-2</t>
  </si>
  <si>
    <t>OC1=NC(S)=NC=C1</t>
  </si>
  <si>
    <t>ZEMGGZBWXRYJHK-UHFFFAOYSA-N</t>
  </si>
  <si>
    <t>C4H4N2OS</t>
  </si>
  <si>
    <t>3.07_205.0309m/z</t>
  </si>
  <si>
    <t>Cyclonite</t>
  </si>
  <si>
    <t>HMDB0253161</t>
  </si>
  <si>
    <t>[O-][N+](=O)N1CN(CN(C1)[N+]([O-])=O)[N+]([O-])=O</t>
  </si>
  <si>
    <t>XTFIVUDBNACUBN-UHFFFAOYSA-N</t>
  </si>
  <si>
    <t>C3H6N6O6</t>
  </si>
  <si>
    <t>3.63_177.0546m/z</t>
  </si>
  <si>
    <t>4-Methylumbelliferone</t>
  </si>
  <si>
    <t>HMDB0059622</t>
  </si>
  <si>
    <t>C03081</t>
  </si>
  <si>
    <t>90-33-5</t>
  </si>
  <si>
    <t>CC1=CC(=O)OC2=C1C=CC(O)=C2</t>
  </si>
  <si>
    <t>HSHNITRMYYLLCV-UHFFFAOYSA-N</t>
  </si>
  <si>
    <t>4.63_319.1443m/z</t>
  </si>
  <si>
    <t>Nile Red</t>
  </si>
  <si>
    <t>HMDB0255607</t>
  </si>
  <si>
    <t>CCN(CC)C1=CC2=C(C=C1)N=C1C(O2)=CC(=O)C2=CC=CC=C12</t>
  </si>
  <si>
    <t>VOFUROIFQGPCGE-UHFFFAOYSA-N</t>
  </si>
  <si>
    <t>C20H18N2O2</t>
  </si>
  <si>
    <t>8.27_263.1613m/z</t>
  </si>
  <si>
    <t>[(1r,5r)-5-(6-Aminopurin-9-Yl)Cyclohex-3-En-1-Yl]Methanol</t>
  </si>
  <si>
    <t>HMDB0243753</t>
  </si>
  <si>
    <t>NC1=NC=NC2=C1N=CN2C1CC(CO)CC=C1</t>
  </si>
  <si>
    <t>SFLSLPRBWQYPGY-UHFFFAOYSA-N</t>
  </si>
  <si>
    <t>C12H15N5O</t>
  </si>
  <si>
    <t>5.06_443.0880m/z</t>
  </si>
  <si>
    <t>Tert-Butylbicyclophosphorothionate</t>
  </si>
  <si>
    <t>HMDB0258754</t>
  </si>
  <si>
    <t>C19930</t>
  </si>
  <si>
    <t>70636-86-1</t>
  </si>
  <si>
    <t>CC(C)(C)C12COP(=S)(OC1)OC2</t>
  </si>
  <si>
    <t>VTBHBNXGFPTBJL-UHFFFAOYSA-N</t>
  </si>
  <si>
    <t>C8H15O3PS</t>
  </si>
  <si>
    <t>1.06_406.1453m/z</t>
  </si>
  <si>
    <t>Prazosin</t>
  </si>
  <si>
    <t>HMDB0014600</t>
  </si>
  <si>
    <t>C07368</t>
  </si>
  <si>
    <t>19216-56-9</t>
  </si>
  <si>
    <t>COC1=C(OC)C=C2C(N)=NC(=NC2=C1)N1CCN(CC1)C(=O)C1=CC=CO1</t>
  </si>
  <si>
    <t>IENZQIKPVFGBNW-UHFFFAOYSA-N</t>
  </si>
  <si>
    <t>C19H21N5O4</t>
  </si>
  <si>
    <t>2.39_205.1589m/z</t>
  </si>
  <si>
    <t>4'-Tert-Butyl-2',6'-Dimethylacetophenone</t>
  </si>
  <si>
    <t>CC1=CC(=CC(=C1C(=O)C)C)C(C)(C)C</t>
  </si>
  <si>
    <t>JNHLHPMTMTYLCP-UHFFFAOYSA-N</t>
  </si>
  <si>
    <t>C14H20O</t>
  </si>
  <si>
    <t>4.29_110.0963m/z</t>
  </si>
  <si>
    <t>1,2,5-Trimethyl-1h-Pyrrole</t>
  </si>
  <si>
    <t>HMDB0029722</t>
  </si>
  <si>
    <t>930-87-0</t>
  </si>
  <si>
    <t>CN1C(C)=CC=C1C</t>
  </si>
  <si>
    <t>YRABRACUKBOTKB-UHFFFAOYSA-N</t>
  </si>
  <si>
    <t>C7H11N</t>
  </si>
  <si>
    <t>9.24_613.1348m/z</t>
  </si>
  <si>
    <t>Cytidine 5'-Monophosphate-N-Acetylneuraminic Acid</t>
  </si>
  <si>
    <t>HMDB0001176</t>
  </si>
  <si>
    <t>C00128</t>
  </si>
  <si>
    <t>3063-71-6</t>
  </si>
  <si>
    <t>[H][C@]1(O[C@](C[C@H](O)[C@H]1NC(C)=O)(OP(O)(=O)OC[C@H]1O[C@H]([C@H](O)[C@@H]1O)N1C=CC(N)=NC1=O)C(O)=O)[C@H](O)[C@H](O)CO</t>
  </si>
  <si>
    <t>TXCIAUNLDRJGJZ-BILDWYJOSA-N</t>
  </si>
  <si>
    <t>C20H31N4O16P</t>
  </si>
  <si>
    <t>9.73_316.3208m/z</t>
  </si>
  <si>
    <t>Nonadecylic Acid</t>
  </si>
  <si>
    <t>HMDB0000772</t>
  </si>
  <si>
    <t>LMFA01010019</t>
  </si>
  <si>
    <t>C16535</t>
  </si>
  <si>
    <t>646-30-0</t>
  </si>
  <si>
    <t>C(CCCCCCCCC)CCCCCCCCC(=O)O</t>
  </si>
  <si>
    <t>ISYWECDDZWTKFF-UHFFFAOYSA-N</t>
  </si>
  <si>
    <t>C19H38O2</t>
  </si>
  <si>
    <t>5.04_493.1864m/z</t>
  </si>
  <si>
    <t>Ts-943</t>
  </si>
  <si>
    <t>HMDB0259310</t>
  </si>
  <si>
    <t>CN1C(C)=C(SC1=NC(=O)C1=CC=C(C=C1)C(N)=NCCCC(O)=O)C(=O)NCCC(O)=O</t>
  </si>
  <si>
    <t>RMRWASUVMKDLIG-UHFFFAOYSA-N</t>
  </si>
  <si>
    <t>C21H25N5O6S</t>
  </si>
  <si>
    <t>8.69_507.2008m/z</t>
  </si>
  <si>
    <t>Piperaduncin B</t>
  </si>
  <si>
    <t>LMPK12120468</t>
  </si>
  <si>
    <t>C09829</t>
  </si>
  <si>
    <t>C1C=C(O)C([C@]2([H])[C@@]([H])(C(C)(O)C)OC3=C(C(CCC4C=CC=CC=4)=O)C(O)=CC(OC)=C23)=CC=1C(OC)=O</t>
  </si>
  <si>
    <t>KGNWKZGVYSTAOX-HOFKKMOUSA-N</t>
  </si>
  <si>
    <t>15.16_123.0916m/z</t>
  </si>
  <si>
    <t>2,5-Diaminotoluene</t>
  </si>
  <si>
    <t>C19386</t>
  </si>
  <si>
    <t>95-70-5</t>
  </si>
  <si>
    <t>CC1=C(C=CC(=C1)N)N</t>
  </si>
  <si>
    <t>OBCSAIDCZQSFQH-UHFFFAOYSA-N</t>
  </si>
  <si>
    <t>C7H10N2</t>
  </si>
  <si>
    <t>5.52_343.1537m/z</t>
  </si>
  <si>
    <t>8-Cyclopentyl-1,3-Dipropylxanthine</t>
  </si>
  <si>
    <t>HMDB0247432</t>
  </si>
  <si>
    <t>C13709</t>
  </si>
  <si>
    <t>102146-07-6</t>
  </si>
  <si>
    <t>CCCN1C2=C(N=C(N2)C2CCCC2)C(=O)N(CCC)C1=O</t>
  </si>
  <si>
    <t>FFBDFADSZUINTG-UHFFFAOYSA-N</t>
  </si>
  <si>
    <t>C16H24N4O2</t>
  </si>
  <si>
    <t>5.95_483.0908m/z</t>
  </si>
  <si>
    <t>Riboflavin Cyclic-4',5'-Phosphate</t>
  </si>
  <si>
    <t>HMDB0059614</t>
  </si>
  <si>
    <t>C16071</t>
  </si>
  <si>
    <t>[H][C@](O)(CN1C2=C(C=C(C)C(C)=C2)N=C2C(O)=NC(=O)N=C12)[C@]([H])(O)[C@@]1([H])COP(O)(=O)O1</t>
  </si>
  <si>
    <t>CVZKYDYRJQYYDJ-SCRDCRAPSA-N</t>
  </si>
  <si>
    <t>C17H19N4O8P</t>
  </si>
  <si>
    <t>5.36_367.2123m/z</t>
  </si>
  <si>
    <t>(1'R)-Nepetalic Acid</t>
  </si>
  <si>
    <t>HMDB0036117</t>
  </si>
  <si>
    <t>21651-54-7</t>
  </si>
  <si>
    <t>CC(C=O)C1CCC(C)C1C(O)=O</t>
  </si>
  <si>
    <t>RGTMAXSVLBZNEL-UHFFFAOYSA-N</t>
  </si>
  <si>
    <t>C10H16O3</t>
  </si>
  <si>
    <t>4.31_577.1336m/z</t>
  </si>
  <si>
    <t>Lippioside I</t>
  </si>
  <si>
    <t>HMDB0034265</t>
  </si>
  <si>
    <t>220271-93-2</t>
  </si>
  <si>
    <t>CC1(O)C(O)CC2C1C(OC1OC(COC(=O)\C=C\C3=CC=C(O)C=C3)C(O)C(O)C1O)OC=C2C(O)=O</t>
  </si>
  <si>
    <t>QCPZTWAULZJVIK-QPJJXVBHSA-N</t>
  </si>
  <si>
    <t>C25H30O13</t>
  </si>
  <si>
    <t>5.28_437.1144m/z</t>
  </si>
  <si>
    <t>1,3-Dipropyl-8-P-Sulfophenylxanthine</t>
  </si>
  <si>
    <t>HMDB0244176</t>
  </si>
  <si>
    <t>CCCN1C2=C(NC(=N2)C2=CC=C(C=C2)S(O)(=O)=O)C(=O)N(CCC)C1=O</t>
  </si>
  <si>
    <t>IWALGNIFYOBRKC-UHFFFAOYSA-N</t>
  </si>
  <si>
    <t>C17H20N4O5S</t>
  </si>
  <si>
    <t>1.33_159.1259n</t>
  </si>
  <si>
    <t>Dl-2-Amino-Octanoic Acid</t>
  </si>
  <si>
    <t>HMDB0000991</t>
  </si>
  <si>
    <t>LMFA01100056</t>
  </si>
  <si>
    <t>644-90-6</t>
  </si>
  <si>
    <t>C(=O)(O)C(N)CCCCCC</t>
  </si>
  <si>
    <t>AKVBCGQVQXPRLD-UHFFFAOYSA-N</t>
  </si>
  <si>
    <t>3.86_409.1860m/z</t>
  </si>
  <si>
    <t>Dihydro-2,4-Dimethyl-6-(2-Methylpropyl)-4h-1,3,5-Dithiazine</t>
  </si>
  <si>
    <t>HMDB0040334</t>
  </si>
  <si>
    <t>101517-86-6</t>
  </si>
  <si>
    <t>CC(C)CC1NC(C)SC(C)S1</t>
  </si>
  <si>
    <t>TWYULKMKVIUSSQ-UHFFFAOYSA-N</t>
  </si>
  <si>
    <t>Azacyclic compounds</t>
  </si>
  <si>
    <t>Dithiazinanes</t>
  </si>
  <si>
    <t>C9H19NS2</t>
  </si>
  <si>
    <t>5.99_523.1610m/z</t>
  </si>
  <si>
    <t>(S)-Rutaretin</t>
  </si>
  <si>
    <t>HMDB0030882</t>
  </si>
  <si>
    <t>CC(C)(O)C1CC2=C(O1)C(O)=C1OC(=O)C=CC1=C2</t>
  </si>
  <si>
    <t>FVFQELHSZVFPDZ-UHFFFAOYSA-N</t>
  </si>
  <si>
    <t>2.18_541.0295m/z</t>
  </si>
  <si>
    <t>Gossypetin 8-Glucoside 3-Sulfate</t>
  </si>
  <si>
    <t>HMDB0037751</t>
  </si>
  <si>
    <t>OCC1OC(OC2=C(O)C=C(O)C3=C2OC(C2=CC(O)=C(O)C=C2)=C(OS(O)(=O)=O)C3=O)C(O)C(O)C1O</t>
  </si>
  <si>
    <t>DMAOYRIREVHKFQ-UHFFFAOYSA-N</t>
  </si>
  <si>
    <t>C21H20O16S</t>
  </si>
  <si>
    <t>5.17_346.1777n</t>
  </si>
  <si>
    <t>19-Noraldosterone</t>
  </si>
  <si>
    <t>HMDB0041795</t>
  </si>
  <si>
    <t>76025-75-7</t>
  </si>
  <si>
    <t>[H][C@@]1(CC[C@@]2([H])[C@]3([H])CCC4=CC(=O)CC[C@]4([H])[C@@]3([H])[C@@]([H])(O)C[C@]12C=O)C(=O)CO</t>
  </si>
  <si>
    <t>BIDXSZCVYXAGCG-CRGXURCLSA-N</t>
  </si>
  <si>
    <t>10.13_909.4817m/z</t>
  </si>
  <si>
    <t>Tuberoside D</t>
  </si>
  <si>
    <t>HMDB0034304</t>
  </si>
  <si>
    <t>234771-06-3</t>
  </si>
  <si>
    <t>CC1C2C(CC3C4CCC5CC(OC6OC(CO)C(OC7OC(C)C(O)C(O)C7O)C(O)C6OC6OC(C)C(O)C(O)C6O)C(O)CC5(C)C4CCC23C)OC11CCC(C)CO1</t>
  </si>
  <si>
    <t>PTMUTMGEBGQTEJ-UHFFFAOYSA-N</t>
  </si>
  <si>
    <t>10.33_533.2885m/z</t>
  </si>
  <si>
    <t>PG(20:3(8Z,11Z,14Z)/0:0)</t>
  </si>
  <si>
    <t>LMGP04050025</t>
  </si>
  <si>
    <t>[H][C@](O)(CO)COP(OC[C@]([H])(O)COC(CCCCCC/C=C\C/C=C\C/C=C\CCCCC)=O)(=O)O</t>
  </si>
  <si>
    <t>GFITYTHFAFYLIJ-NJVHEHRCSA-N</t>
  </si>
  <si>
    <t>C26H47O9P</t>
  </si>
  <si>
    <t>5.27_242.0941n</t>
  </si>
  <si>
    <t>Fenoprofen</t>
  </si>
  <si>
    <t>HMDB0014713</t>
  </si>
  <si>
    <t>C06997</t>
  </si>
  <si>
    <t>34597-40-5</t>
  </si>
  <si>
    <t>CC(C(O)=O)C1=CC(OC2=CC=CC=C2)=CC=C1</t>
  </si>
  <si>
    <t>RDJGLLICXDHJDY-UHFFFAOYSA-N</t>
  </si>
  <si>
    <t>C15H14O3</t>
  </si>
  <si>
    <t>5.93_427.3203m/z</t>
  </si>
  <si>
    <t>(24r)-1alpha,24,25-Trihydroxyvitamin D2 / (24r)-1alpha,24,25-Trihydroxyergocalciferol</t>
  </si>
  <si>
    <t>HMDB0006227</t>
  </si>
  <si>
    <t>LMST03010051</t>
  </si>
  <si>
    <t>[C@@H]1(O)C(=C)/C(=C\C=C2\[C@]3([H])CC[C@@]([C@@](C)([H])/C=C/[C@@](C)(O)C(O)(C)C)([H])[C@@]3(C)CCC\2)/C[C@@H](O)C1</t>
  </si>
  <si>
    <t>KRGCLKZOZQUAFK-ABEKVIRTSA-N</t>
  </si>
  <si>
    <t>C28H44O4</t>
  </si>
  <si>
    <t>3.88_178.0862m/z</t>
  </si>
  <si>
    <t>Tyrosine Methylester</t>
  </si>
  <si>
    <t>HMDB0029217</t>
  </si>
  <si>
    <t>C03404</t>
  </si>
  <si>
    <t>1080-06-4</t>
  </si>
  <si>
    <t>COC(=O)[C@@H](N)CC1=CC=C(O)C=C1</t>
  </si>
  <si>
    <t>MWZPENIJLUWBSY-VIFPVBQESA-N</t>
  </si>
  <si>
    <t>8.71_981.5734m/z</t>
  </si>
  <si>
    <t>PI(22:3(10Z,13Z,16Z)/PGF2alpha)</t>
  </si>
  <si>
    <t>HMDB0277825</t>
  </si>
  <si>
    <t>CCCCCC\C=C/C\C=C/C\C=C/CCCCCCCCC(=O)OC[C@@H]1COP(O)(=O)O[C@H]2[C@H](O)[C@@H](O)[C@H](O)[C@@H](CC=CCCCC(=O)O1)[C@@H](O)C[C@@H](O)[C@H](\C=C\[C@@H](O)CCCCC)[C@@H](O)[C@H]2O</t>
  </si>
  <si>
    <t>FOZXXVLKBVQIPD-JNQKIRQWSA-N</t>
  </si>
  <si>
    <t>C52H89O16P</t>
  </si>
  <si>
    <t>1.33_353.1204m/z</t>
  </si>
  <si>
    <t>(±)-Threo-1-(P-Hydroxyphenyl)Propylene Glycol 4'-Glucoside</t>
  </si>
  <si>
    <t>HMDB0033068</t>
  </si>
  <si>
    <t>CC(O)C(O)C1=CC=C(OC2OC(CO)C(O)C(O)C2O)C=C1</t>
  </si>
  <si>
    <t>IVGOVXXPQSIWEF-UHFFFAOYSA-N</t>
  </si>
  <si>
    <t>5.41_511.1246m/z</t>
  </si>
  <si>
    <t>2-(4-(Methylamino)Phenyl)Benzo[D]Thiazol-6-Ol</t>
  </si>
  <si>
    <t>HMDB0244929</t>
  </si>
  <si>
    <t>CNC1=CC=C(C=C1)C1=NC2=C(S1)C=C(O)C=C2</t>
  </si>
  <si>
    <t>ZQAQXZBSGZUUNL-UHFFFAOYSA-N</t>
  </si>
  <si>
    <t>C14H12N2OS</t>
  </si>
  <si>
    <t>3.79_711.2139m/z</t>
  </si>
  <si>
    <t>Isoliquiritigenin 4'-O-Glucoside 4-O-Apiofuranosyl-(1'''-&gt;2''')-Glucoside</t>
  </si>
  <si>
    <t>LMPK12120027</t>
  </si>
  <si>
    <t>C1(O[C@H]2[C@H](O)[C@@H](O)[C@H](O)[C@@H](CO)O2)C=CC(C(=O)/C=C/C2C=CC(O[C@H]3[C@H](O[C@H]4[C@H](O)[C@](CO)(O)CO4)[C@@H](O)[C@H](O)[C@@H](CO)O3)=CC=2)=C(O)C=1</t>
  </si>
  <si>
    <t>FYJCXNYYSACEJK-MRYIOYKESA-N</t>
  </si>
  <si>
    <t>4.20_193.0495m/z</t>
  </si>
  <si>
    <t>Temozolomide</t>
  </si>
  <si>
    <t>HMDB0014991</t>
  </si>
  <si>
    <t>85622-93-1</t>
  </si>
  <si>
    <t>CN1N=NC2=C(N=CN2C1=O)C(N)=O</t>
  </si>
  <si>
    <t>BPEGJWRSRHCHSN-UHFFFAOYSA-N</t>
  </si>
  <si>
    <t>Imidazotetrazines</t>
  </si>
  <si>
    <t>C6H6N6O2</t>
  </si>
  <si>
    <t>5.51_505.1713m/z</t>
  </si>
  <si>
    <t>Teucryeminone</t>
  </si>
  <si>
    <t>CC1CC(=O)C2(C(C13CC(OC3=O)C4=COC=C4)CCC(C25CO5)OC(=O)C)COC(=O)C</t>
  </si>
  <si>
    <t>UWRDCNVTKORVMI-VIQHRTCFSA-N</t>
  </si>
  <si>
    <t>4.06_469.1326m/z</t>
  </si>
  <si>
    <t>6-Succinoaminopurine</t>
  </si>
  <si>
    <t>HMDB0013204</t>
  </si>
  <si>
    <t>OC(=O)CCC(=O)NC1=C2NC=NC2=NC=N1</t>
  </si>
  <si>
    <t>PQBHLXAMWLYHTB-UHFFFAOYSA-N</t>
  </si>
  <si>
    <t>C9H9N5O3</t>
  </si>
  <si>
    <t>4.51_1135.3493m/z</t>
  </si>
  <si>
    <t>Eleuthoside B</t>
  </si>
  <si>
    <t>CC1C2=C(C=C3C=CC=C(C3=C2OC4C(C(C(C(O4)COC5C(C(C(C(O5)CO)O)O)O)O)O)O)OC)C(=O)O1</t>
  </si>
  <si>
    <t>PAEOIXITAYMQRF-ZAEQARNUSA-N</t>
  </si>
  <si>
    <t>C26H32O14</t>
  </si>
  <si>
    <t>3.84_383.1920m/z</t>
  </si>
  <si>
    <t>(5s,6r)-Methyl 5,6,7-Trihydroxyheptanoate</t>
  </si>
  <si>
    <t>HMDB0247393</t>
  </si>
  <si>
    <t>COC(=O)CCCC(O)C(O)CO</t>
  </si>
  <si>
    <t>RNMFWAFZUNVQOR-UHFFFAOYSA-N</t>
  </si>
  <si>
    <t>C8H16O5</t>
  </si>
  <si>
    <t>14.17_148.1119m/z</t>
  </si>
  <si>
    <t>6-Methyl-1,2,3,4-Tetrahydroquinoline</t>
  </si>
  <si>
    <t>CC1=CC2=C(C=C1)NCCC2</t>
  </si>
  <si>
    <t>XOKMRXSMOHCNIX-UHFFFAOYSA-N</t>
  </si>
  <si>
    <t>9.98_515.2623m/z</t>
  </si>
  <si>
    <t>12-[Methyl-(4-Nitro-2,1,3-Benzoxadiazol-7-Yl)Amino]Octadecanoic Acid</t>
  </si>
  <si>
    <t>HMDB0255480</t>
  </si>
  <si>
    <t>CCCCCCC(CCCCCCCCCCC(O)=O)N(C)C1=CC=C(C2=NON=C12)[N+]([O-])=O</t>
  </si>
  <si>
    <t>SAAVELCIPHKGJE-UHFFFAOYSA-N</t>
  </si>
  <si>
    <t>C25H40N4O5</t>
  </si>
  <si>
    <t>1.06_256.0426m/z</t>
  </si>
  <si>
    <t>(2s)-2-[(2-Carboxy-2-Oxoethyl)Amino]Pentanedioic Acid</t>
  </si>
  <si>
    <t>HMDB0257920</t>
  </si>
  <si>
    <t>OC(=O)CCC(NCC(=O)C(O)=O)C(O)=O</t>
  </si>
  <si>
    <t>XREHQPOYORRYEU-UHFFFAOYSA-N</t>
  </si>
  <si>
    <t>C8H11NO7</t>
  </si>
  <si>
    <t>9.44_334.9941m/z</t>
  </si>
  <si>
    <t>Desflurane</t>
  </si>
  <si>
    <t>HMDB0015320</t>
  </si>
  <si>
    <t>C07519</t>
  </si>
  <si>
    <t>57041-67-5</t>
  </si>
  <si>
    <t>FC(F)OC(F)C(F)(F)F</t>
  </si>
  <si>
    <t>DPYMFVXJLLWWEU-UHFFFAOYSA-N</t>
  </si>
  <si>
    <t>C3H2F6O</t>
  </si>
  <si>
    <t>2.66_242.0845m/z</t>
  </si>
  <si>
    <t>2-(Ethylsulfinylmethyl)Phenyl Methylcarbamate</t>
  </si>
  <si>
    <t>HMDB0040289</t>
  </si>
  <si>
    <t>53380-22-6</t>
  </si>
  <si>
    <t>CCS(=O)CC1=C(OC(=O)NC)C=CC=C1</t>
  </si>
  <si>
    <t>OMOLDRXZKFFGJI-UHFFFAOYSA-N</t>
  </si>
  <si>
    <t>C11H15NO3S</t>
  </si>
  <si>
    <t>3.95_291.1433m/z</t>
  </si>
  <si>
    <t>Histidylisoleucine</t>
  </si>
  <si>
    <t>HMDB0028888</t>
  </si>
  <si>
    <t>129050-48-2</t>
  </si>
  <si>
    <t>CC[C@H](C)[C@H](NC(=O)[C@@H](N)CC1=CNC=N1)C(O)=O</t>
  </si>
  <si>
    <t>IDXZDKMBEXLFMB-HGNGGELXSA-N</t>
  </si>
  <si>
    <t>C12H20N4O3</t>
  </si>
  <si>
    <t>3.73_181.0053m/z</t>
  </si>
  <si>
    <t>S-Oxocysteine</t>
  </si>
  <si>
    <t>HMDB0257422</t>
  </si>
  <si>
    <t>NC(CS=O)C(O)=O</t>
  </si>
  <si>
    <t>BHLMCOCHAVMHLD-UHFFFAOYSA-N</t>
  </si>
  <si>
    <t>C3H6NO3S</t>
  </si>
  <si>
    <t>11.23_269.2836m/z</t>
  </si>
  <si>
    <t>Stearaldehyde</t>
  </si>
  <si>
    <t>HMDB0002384</t>
  </si>
  <si>
    <t>LMFA06000098</t>
  </si>
  <si>
    <t>C01838</t>
  </si>
  <si>
    <t>638-66-4</t>
  </si>
  <si>
    <t>C(CCCCCCCC)CCCCCCCCC([H])=O</t>
  </si>
  <si>
    <t>FWWQKRXKHIRPJY-UHFFFAOYSA-N</t>
  </si>
  <si>
    <t>6.10_239.1638m/z</t>
  </si>
  <si>
    <t>1,4,8,11-Tetraazacyclotetradecane</t>
  </si>
  <si>
    <t>HMDB0244225</t>
  </si>
  <si>
    <t>C1CNCCNCCCNCCNC1</t>
  </si>
  <si>
    <t>MDAXKAUIABOHTD-UHFFFAOYSA-N</t>
  </si>
  <si>
    <t>C10H24N4</t>
  </si>
  <si>
    <t>12.58_651.4247m/z</t>
  </si>
  <si>
    <t>PA(12:0/18:1(12Z)-2OH(9,10))</t>
  </si>
  <si>
    <t>HMDB0262800</t>
  </si>
  <si>
    <t>[H][C@@](COC(=O)CCCCCCCCCCC)(COP(O)(O)=O)OC(=O)CCCCCCC[C@H](O)[C@@H](O)C\C=C/CCCCC</t>
  </si>
  <si>
    <t>MFKKVSNPDJBZEX-SXDQAOLLSA-N</t>
  </si>
  <si>
    <t>C33H63O10P</t>
  </si>
  <si>
    <t>8.41_300.9914m/z</t>
  </si>
  <si>
    <t>Erythrityl Tetranitrate</t>
  </si>
  <si>
    <t>HMDB0015551</t>
  </si>
  <si>
    <t>7297-25-8</t>
  </si>
  <si>
    <t>[O-][N+](=O)OC[C@@H](O[N+]([O-])=O)[C@H](CO[N+]([O-])=O)O[N+]([O-])=O</t>
  </si>
  <si>
    <t>SNFOERUNNSHUGP-ZXZARUISSA-N</t>
  </si>
  <si>
    <t>C4H6N4O12</t>
  </si>
  <si>
    <t>4.47_331.1396m/z</t>
  </si>
  <si>
    <t>Triethylene Glycol Dimethacrylate</t>
  </si>
  <si>
    <t>HMDB0244334</t>
  </si>
  <si>
    <t>CC(=C)C(=O)OCCOCCOCCOC(=O)C(C)=C</t>
  </si>
  <si>
    <t>HWSSEYVMGDIFMH-UHFFFAOYSA-N</t>
  </si>
  <si>
    <t>9.84_357.2059m/z</t>
  </si>
  <si>
    <t>Gamma-Crocetin</t>
  </si>
  <si>
    <t>HMDB0035099</t>
  </si>
  <si>
    <t>5892-54-6</t>
  </si>
  <si>
    <t>COC(=O)C(\C)=C/C=C/C(/C)=C/C=C/C=C(/C)\C=C\C=C(/C)C(=O)OC</t>
  </si>
  <si>
    <t>OXNHRKGZZFWUQZ-KYBHHSLLSA-N</t>
  </si>
  <si>
    <t>3.69_384.1505m/z</t>
  </si>
  <si>
    <t>Alpha-Carboxyethylhydroxychroman Taurine</t>
  </si>
  <si>
    <t>LMPR02020081</t>
  </si>
  <si>
    <t>C1(C)=C(C)C2O[C@@](CCC(=O)NCCS(O)(=O)=O)(C)CCC=2C(C)=C1O</t>
  </si>
  <si>
    <t>NUOXYTRMTRCUAT-SFHVURJKSA-N</t>
  </si>
  <si>
    <t>C18H27NO6S</t>
  </si>
  <si>
    <t>5.74_303.2428m/z</t>
  </si>
  <si>
    <t>Pentazocine</t>
  </si>
  <si>
    <t>HMDB0014790</t>
  </si>
  <si>
    <t>C07421</t>
  </si>
  <si>
    <t>359-83-1</t>
  </si>
  <si>
    <t>C[C@H]1[C@H]2CC3=CC=C(O)C=C3[C@]1(C)CCN2CC=C(C)C</t>
  </si>
  <si>
    <t>VOKSWYLNZZRQPF-GDIGMMSISA-N</t>
  </si>
  <si>
    <t>6,7-benzomorphans</t>
  </si>
  <si>
    <t>2,6-dimethyl-3-benzazocines</t>
  </si>
  <si>
    <t>C19H27NO</t>
  </si>
  <si>
    <t>6.24_739.1880m/z</t>
  </si>
  <si>
    <t>Parecoxib</t>
  </si>
  <si>
    <t>HMDB0256127</t>
  </si>
  <si>
    <t>CCC(=O)NS(=O)(=O)C1=CC=C(C=C1)C1=C(C)ON=C1C1=CC=CC=C1</t>
  </si>
  <si>
    <t>TZRHLKRLEZJVIJ-UHFFFAOYSA-N</t>
  </si>
  <si>
    <t>C19H18N2O4S</t>
  </si>
  <si>
    <t>1.54_512.9820m/z</t>
  </si>
  <si>
    <t>Formothion</t>
  </si>
  <si>
    <t>HMDB0252447</t>
  </si>
  <si>
    <t>C18988</t>
  </si>
  <si>
    <t>2540-82-1</t>
  </si>
  <si>
    <t>COP(=S)(OC)SCC(=O)N(C)C=O</t>
  </si>
  <si>
    <t>AIKKULXCBHRFOS-UHFFFAOYSA-N</t>
  </si>
  <si>
    <t>C6H12NO4PS2</t>
  </si>
  <si>
    <t>4.52_431.0571m/z</t>
  </si>
  <si>
    <t>Benzenebutanesulfonic Acid, 3-Phenoxy-Alpha-Phosphono-, (Alphas)-</t>
  </si>
  <si>
    <t>HMDB0244709</t>
  </si>
  <si>
    <t>OP(O)(=O)C(CCCC1=CC(OC2=CC=CC=C2)=CC=C1)S(O)(=O)=O</t>
  </si>
  <si>
    <t>RCGCZPXSRLLKCK-UHFFFAOYSA-N</t>
  </si>
  <si>
    <t>C16H19O7PS</t>
  </si>
  <si>
    <t>10.91_291.1946m/z</t>
  </si>
  <si>
    <t>Ecklonialactone A</t>
  </si>
  <si>
    <t>CCC1C2CC3C(C2C=CCC=CCCCCC(=O)O1)O3</t>
  </si>
  <si>
    <t>GZNRNQVZDUCYFB-SOVGUPCDSA-N</t>
  </si>
  <si>
    <t>C18H26O3</t>
  </si>
  <si>
    <t>1.15_260.0231m/z</t>
  </si>
  <si>
    <t>O-Sulfotyrosine</t>
  </si>
  <si>
    <t>HMDB0155722</t>
  </si>
  <si>
    <t>956-46-7</t>
  </si>
  <si>
    <t>N[C@@H](CC1=CC=C(OS(O)(=O)=O)C=C1)C(O)=O</t>
  </si>
  <si>
    <t>CIQHWLTYGMYQQR-QMMMGPOBSA-N</t>
  </si>
  <si>
    <t>0.71_351.0871m/z</t>
  </si>
  <si>
    <t>Gamma-Glutamyl-S-(1-Propenyl)Cysteine Sulfoxide</t>
  </si>
  <si>
    <t>HMDB0031870</t>
  </si>
  <si>
    <t>C\C=C\S(=O)CC(NC(=O)CCC(N)C(O)=O)C(O)=O</t>
  </si>
  <si>
    <t>LMNDKWXDMBGGAL-GORDUTHDSA-N</t>
  </si>
  <si>
    <t>C11H18N2O6S</t>
  </si>
  <si>
    <t>0.78_201.1000n</t>
  </si>
  <si>
    <t>N-(3-Hydroxy-Pentanoyl)-Homoserine Lactone</t>
  </si>
  <si>
    <t>LMFA08030032</t>
  </si>
  <si>
    <t>[C@@H]1(CCOC1=O)NC(=O)CC(O)CC</t>
  </si>
  <si>
    <t>IZXCXPQWOXJOPE-MLWJPKLSSA-N</t>
  </si>
  <si>
    <t>C9H15NO4</t>
  </si>
  <si>
    <t>9.48_435.2386m/z</t>
  </si>
  <si>
    <t>Gitoxigenin</t>
  </si>
  <si>
    <t>HMDB0252730</t>
  </si>
  <si>
    <t>CC12CCC3C(CCC4CC(O)CCC34C)C1(O)CC(O)C2C1=CC(=O)OC1</t>
  </si>
  <si>
    <t>PVAMXWLZJKTXFW-UHFFFAOYSA-N</t>
  </si>
  <si>
    <t>C23H34O5</t>
  </si>
  <si>
    <t>4.85_184.0757m/z</t>
  </si>
  <si>
    <t>Carbaryl</t>
  </si>
  <si>
    <t>HMDB0249612</t>
  </si>
  <si>
    <t>C07491</t>
  </si>
  <si>
    <t>63-25-2</t>
  </si>
  <si>
    <t>CNC(=O)OC1=C2C=CC=CC2=CC=C1</t>
  </si>
  <si>
    <t>CVXBEEMKQHEXEN-UHFFFAOYSA-N</t>
  </si>
  <si>
    <t>C12H11NO2</t>
  </si>
  <si>
    <t>0.79_145.0130m/z</t>
  </si>
  <si>
    <t>Oxoglutaric Acid</t>
  </si>
  <si>
    <t>HMDB0000208</t>
  </si>
  <si>
    <t>C00026</t>
  </si>
  <si>
    <t>ko00020,ko00040,ko00053,ko00220,ko00250,ko00300,ko00310,ko00340,ko00365,ko00430,ko00470,ko00630,ko00650,ko00660,ko00720,ko00997,ko04066,ko04727,ko04922,ko04964,ko04976,ko05230</t>
  </si>
  <si>
    <t>Citrate cycle (TCA cycle)|Pentose and glucuronate interconversions|Ascorbate and aldarate metabolism|Arginine biosynthesis|Alanine, aspartate and glutamate metabolism|Lysine biosynthesis|Lysine degradation|Histidine metabolism|Furfural degradation|Taurine and hypotaurine metabolism|D-Amino acid metabolism|Glyoxylate and dicarboxylate metabolism|Butanoate metabolism|C5-Branched dibasic acid metabolism|Carbon fixation pathways in prokaryotes|Biosynthesis of various secondary metabolites - part 3|HIF-1 signaling pathway|GABAergic synapse|Glucagon signaling pathway|Proximal tubule bicarbonate reclamation|Bile secretion|Central carbon metabolism in cancer</t>
  </si>
  <si>
    <t>328-50-7</t>
  </si>
  <si>
    <t>OC(=O)CCC(=O)C(O)=O</t>
  </si>
  <si>
    <t>KPGXRSRHYNQIFN-UHFFFAOYSA-N</t>
  </si>
  <si>
    <t>C5H6O5</t>
  </si>
  <si>
    <t>6.50_369.1340m/z</t>
  </si>
  <si>
    <t>Licoagrochalcone A</t>
  </si>
  <si>
    <t>HMDB0032671</t>
  </si>
  <si>
    <t>LMPK12120068</t>
  </si>
  <si>
    <t>202815-28-9</t>
  </si>
  <si>
    <t>C1C(O)=C(C(/C=C/C2C=CC(O)=C(C/C=C(/C)\C)C=2)=O)C=CC=1O</t>
  </si>
  <si>
    <t>TVUGLERLRIQATC-BJMVGYQFSA-N</t>
  </si>
  <si>
    <t>1.35_557.1476m/z</t>
  </si>
  <si>
    <t>Ciceritol</t>
  </si>
  <si>
    <t>HMDB0032777</t>
  </si>
  <si>
    <t>88167-26-4</t>
  </si>
  <si>
    <t>CO[C@@H]1[C@@H](O)[C@@H](O)[C@H](O)[C@H](O[C@H]2O[C@H](CO[C@H]3O[C@H](CO)[C@H](O)[C@H](O)[C@H]3O)[C@H](O)[C@H](O)[C@H]2O)[C@H]1O</t>
  </si>
  <si>
    <t>ATDWJHOSZLOQDJ-LMKXGGCJSA-N</t>
  </si>
  <si>
    <t>C19H34O16</t>
  </si>
  <si>
    <t>4.63_206.0943n</t>
  </si>
  <si>
    <t>(2rs,5rs)-(E)-2-(2-Phenylethenyl)-1,3-Dioxan-5-Ol</t>
  </si>
  <si>
    <t>HMDB0031973</t>
  </si>
  <si>
    <t>87562-73-0</t>
  </si>
  <si>
    <t>OC1COC(OC1)\C=C\C1=CC=CC=C1</t>
  </si>
  <si>
    <t>AWGIRTJPUGDYCN-VOTSOKGWSA-N</t>
  </si>
  <si>
    <t>10.60_260.2007m/z</t>
  </si>
  <si>
    <t>Venlafaxine</t>
  </si>
  <si>
    <t>HMDB0005016</t>
  </si>
  <si>
    <t>C07187</t>
  </si>
  <si>
    <t>93413-69-5</t>
  </si>
  <si>
    <t>COC1=CC=C(C=C1)C(CN(C)C)C1(O)CCCCC1</t>
  </si>
  <si>
    <t>PNVNVHUZROJLTJ-UHFFFAOYSA-N</t>
  </si>
  <si>
    <t>C17H27NO2</t>
  </si>
  <si>
    <t>5.22_231.1378m/z</t>
  </si>
  <si>
    <t>Dehydrocostus Lactone</t>
  </si>
  <si>
    <t>C09387</t>
  </si>
  <si>
    <t>477-43-0</t>
  </si>
  <si>
    <t>C=C1CCC2C(C3C1CCC3=C)OC(=O)C2=C</t>
  </si>
  <si>
    <t>NETSQGRTUNRXEO-XUXIUFHCSA-N</t>
  </si>
  <si>
    <t>3.86_280.0355m/z</t>
  </si>
  <si>
    <t>Phosphocreatine Lactate</t>
  </si>
  <si>
    <t>HMDB0256473</t>
  </si>
  <si>
    <t>CC(O)C(=O)OOC(=O)CN(C)C(N)=NP(O)(O)=O</t>
  </si>
  <si>
    <t>WORFGIDBKYRPEB-UHFFFAOYSA-N</t>
  </si>
  <si>
    <t>C7H14N3O8P</t>
  </si>
  <si>
    <t>10.66_373.2957m/z</t>
  </si>
  <si>
    <t>Polyoxyethylene 40 Monostearate</t>
  </si>
  <si>
    <t>HMDB0032477</t>
  </si>
  <si>
    <t>9004-99-3</t>
  </si>
  <si>
    <t>CCCCCCCCCCCCCCCCCC(=O)OCCO</t>
  </si>
  <si>
    <t>RFVNOJDQRGSOEL-UHFFFAOYSA-N</t>
  </si>
  <si>
    <t>4.06_461.0676m/z</t>
  </si>
  <si>
    <t>Cefamandole</t>
  </si>
  <si>
    <t>HMDB0015421</t>
  </si>
  <si>
    <t>C06879</t>
  </si>
  <si>
    <t>34444-01-4</t>
  </si>
  <si>
    <t>[H][C@]12SCC(CSC3=NN=NN3C)=C(N1C(=O)[C@H]2NC(=O)[C@H](O)C1=CC=CC=C1)C(O)=O</t>
  </si>
  <si>
    <t>OLVCFLKTBJRLHI-AXAPSJFSSA-N</t>
  </si>
  <si>
    <t>C18H18N6O5S2</t>
  </si>
  <si>
    <t>3.52_441.1613m/z</t>
  </si>
  <si>
    <t>2,5-Diphenyloxazole</t>
  </si>
  <si>
    <t>HMDB0245505</t>
  </si>
  <si>
    <t>O1C(=CN=C1C1=CC=CC=C1)C1=CC=CC=C1</t>
  </si>
  <si>
    <t>CNRNYORZJGVOSY-UHFFFAOYSA-N</t>
  </si>
  <si>
    <t>C15H11NO</t>
  </si>
  <si>
    <t>7.26_285.0164m/z</t>
  </si>
  <si>
    <t>Ethyl 2-Amino-4-(Trifluoromethyl)-1,3-Thiazole-5-Carboxylate</t>
  </si>
  <si>
    <t>CCOC(=O)C1=C(N=C(S1)N)C(F)(F)F</t>
  </si>
  <si>
    <t>XJRPTMORGOIMMI-UHFFFAOYSA-N</t>
  </si>
  <si>
    <t>C7H7F3N2O2S</t>
  </si>
  <si>
    <t>2.33_242.0657m/z</t>
  </si>
  <si>
    <t>Dehydrochorismic Acid</t>
  </si>
  <si>
    <t>HMDB0036314</t>
  </si>
  <si>
    <t>81757-66-6</t>
  </si>
  <si>
    <t>OC(=O)C(=C)OC1=C(O)C=CC(=C1)C(O)=O</t>
  </si>
  <si>
    <t>LKNPFOZIOWXDQS-UHFFFAOYSA-N</t>
  </si>
  <si>
    <t>C10H8O6</t>
  </si>
  <si>
    <t>11.10_733.2792m/z</t>
  </si>
  <si>
    <t>Corynoline</t>
  </si>
  <si>
    <t>18797-79-0</t>
  </si>
  <si>
    <t>CC12C(CC3=CC4=C(C=C3C1N(CC5=C2C=CC6=C5OCO6)C)OCO4)O</t>
  </si>
  <si>
    <t>IQUGPRHKZNCHGC-TYPHKJRUSA-N</t>
  </si>
  <si>
    <t>Benzophenanthridine alkaloids</t>
  </si>
  <si>
    <t>Hexahydrobenzophenanthridine alkaloids</t>
  </si>
  <si>
    <t>C21H21NO5</t>
  </si>
  <si>
    <t>9.16_202.1357n</t>
  </si>
  <si>
    <t>2-Pentyl-3-Phenyl-2-Propenal</t>
  </si>
  <si>
    <t>HMDB0031313</t>
  </si>
  <si>
    <t>C12288</t>
  </si>
  <si>
    <t>122-40-7</t>
  </si>
  <si>
    <t>CCCCC\C(C=O)=C\C1=CC=CC=C1</t>
  </si>
  <si>
    <t>HMKKIXGYKWDQSV-KAMYIIQDSA-N</t>
  </si>
  <si>
    <t>Cinnamaldehydes</t>
  </si>
  <si>
    <t>C14H18O</t>
  </si>
  <si>
    <t>8.38_362.3069m/z</t>
  </si>
  <si>
    <t>N-(1r-Methyl-2-Hydroxy-Ethyl) Arachidonoyl Amine</t>
  </si>
  <si>
    <t>LMFA08020040</t>
  </si>
  <si>
    <t>157182-49-5</t>
  </si>
  <si>
    <t>C(/C/C=C\C/C=C\CCCCC)=C/C/C=C\CCCC(=O)N[C@H](C)CO</t>
  </si>
  <si>
    <t>SQKRUBZPTNJQEM-FQPARAGTSA-N</t>
  </si>
  <si>
    <t>C23H39NO2</t>
  </si>
  <si>
    <t>2.39_188.0377m/z</t>
  </si>
  <si>
    <t>2-Mercapto-3-Furan-2-Ylpropenoic Acid</t>
  </si>
  <si>
    <t>HMDB0248229</t>
  </si>
  <si>
    <t>OC(=O)C(S)=CC1=CC=CO1</t>
  </si>
  <si>
    <t>UTSNNYDOCFFEBQ-UHFFFAOYSA-N</t>
  </si>
  <si>
    <t>C7H6O3S</t>
  </si>
  <si>
    <t>5.97_334.0687n</t>
  </si>
  <si>
    <t>Xanthotoxol Arabinoside</t>
  </si>
  <si>
    <t>HMDB0031971</t>
  </si>
  <si>
    <t>160845-06-7</t>
  </si>
  <si>
    <t>OC1COC(OC2=C3OC(=O)C=CC3=CC3=C2OC=C3)C(O)C1O</t>
  </si>
  <si>
    <t>HBYXUKYDTXEALZ-UHFFFAOYSA-N</t>
  </si>
  <si>
    <t>C16H14O8</t>
  </si>
  <si>
    <t>3.82_800.2184m/z</t>
  </si>
  <si>
    <t>Malvidin 3-(6-Coumaroylglucoside) 5-Glucoside</t>
  </si>
  <si>
    <t>HMDB0038011</t>
  </si>
  <si>
    <t>51939-51-6</t>
  </si>
  <si>
    <t>COC1=CC(=CC(OC)=C1O)C1=C(OC2OC(COC(=O)\C=C\C3=CC=C(O)C=C3)C(O)C(O)C2O)C=C2C(OC3OC(CO)C(O)C(O)C3O)=CC(O)=CC2=[O+]1</t>
  </si>
  <si>
    <t>KGEHZUCHEKVXEU-UHFFFAOYSA-O</t>
  </si>
  <si>
    <t>C38H41O19+</t>
  </si>
  <si>
    <t>2.22_379.1226m/z</t>
  </si>
  <si>
    <t>Idalopirdine</t>
  </si>
  <si>
    <t>HMDB0253371</t>
  </si>
  <si>
    <t>FC(F)C(F)(F)COC1=CC=CC(CNCCC2=CNC3=CC(F)=CC=C23)=C1</t>
  </si>
  <si>
    <t>YBAWYTYNMZWMMJ-UHFFFAOYSA-N</t>
  </si>
  <si>
    <t>C20H19F5N2O</t>
  </si>
  <si>
    <t>10.04_655.2774m/z</t>
  </si>
  <si>
    <t>Phenylalanyltyrosine</t>
  </si>
  <si>
    <t>HMDB0029007</t>
  </si>
  <si>
    <t>17355-18-9</t>
  </si>
  <si>
    <t>N[C@@H](CC1=CC=CC=C1)C(=O)N[C@@H](CC1=CC=C(O)C=C1)C(O)=O</t>
  </si>
  <si>
    <t>FSXRLASFHBWESK-HOTGVXAUSA-N</t>
  </si>
  <si>
    <t>C18H20N2O4</t>
  </si>
  <si>
    <t>5.37_363.1796m/z</t>
  </si>
  <si>
    <t>Tetraisopropylpyrophosphoric Acid Amide</t>
  </si>
  <si>
    <t>HMDB0257971</t>
  </si>
  <si>
    <t>CC(C)OP(O)(=O)OP(=O)(OC(C)C)N(C(C)C)C(C)C</t>
  </si>
  <si>
    <t>FEOZJNALVSCKHP-UHFFFAOYSA-N</t>
  </si>
  <si>
    <t>C12H29NO6P2</t>
  </si>
  <si>
    <t>3.97_337.0926m/z</t>
  </si>
  <si>
    <t>Phosphodimethylethanolamine</t>
  </si>
  <si>
    <t>HMDB0060244</t>
  </si>
  <si>
    <t>C13482</t>
  </si>
  <si>
    <t>CN(C)CCOP(O)(O)=O</t>
  </si>
  <si>
    <t>BLHVJAAEHMLMOI-UHFFFAOYSA-N</t>
  </si>
  <si>
    <t>C4H12NO4P</t>
  </si>
  <si>
    <t>1.22_237.0344m/z</t>
  </si>
  <si>
    <t>Isosorbide Dinitrate</t>
  </si>
  <si>
    <t>HMDB0015021</t>
  </si>
  <si>
    <t>C07456</t>
  </si>
  <si>
    <t>87-33-2</t>
  </si>
  <si>
    <t>[H][C@]12OC[C@H](O[N+]([O-])=O)[C@@]1([H])OC[C@H]2O[N+]([O-])=O</t>
  </si>
  <si>
    <t>MOYKHGMNXAOIAT-JGWLITMVSA-N</t>
  </si>
  <si>
    <t>C6H8N2O8</t>
  </si>
  <si>
    <t>7.70_369.1341m/z</t>
  </si>
  <si>
    <t>Trachelogenin</t>
  </si>
  <si>
    <t>HMDB0303743</t>
  </si>
  <si>
    <t>COC1=CC(CC2(O)C(CC3=CC(OC)=C(OC)C=C3)COC2=O)=CC=C1O</t>
  </si>
  <si>
    <t>YFVZKLQNMNKWSB-UHFFFAOYSA-N</t>
  </si>
  <si>
    <t>8.56_561.0365m/z</t>
  </si>
  <si>
    <t>Ajocysteine</t>
  </si>
  <si>
    <t>HMDB0041052</t>
  </si>
  <si>
    <t>NC(CSS\C=C\CS(=O)CC=C)C(O)=O</t>
  </si>
  <si>
    <t>URBPKPSYQPHFAT-ONEGZZNKSA-N</t>
  </si>
  <si>
    <t>C9H15NO3S3</t>
  </si>
  <si>
    <t>8.92_619.0851m/z</t>
  </si>
  <si>
    <t>Aurantricholide B</t>
  </si>
  <si>
    <t>HMDB0035230</t>
  </si>
  <si>
    <t>264923-56-0</t>
  </si>
  <si>
    <t>OC1=CC=C(C=C1)C1=C2OC3=C(C=C2OC1=O)C=C(O)C(O)=C3</t>
  </si>
  <si>
    <t>QIZCPKIKTOBRLA-UHFFFAOYSA-N</t>
  </si>
  <si>
    <t>C17H10O6</t>
  </si>
  <si>
    <t>4.56_561.1955m/z</t>
  </si>
  <si>
    <t>N2-(Gamma-Glutamyl)-4-Carboxyphenylhydrazine</t>
  </si>
  <si>
    <t>HMDB0040693</t>
  </si>
  <si>
    <t>69644-85-5</t>
  </si>
  <si>
    <t>N[C@@H](CCC(=O)NNC1=CC=C(C=C1)C(O)=O)C(O)=O</t>
  </si>
  <si>
    <t>GCENCHHONAGMNP-VIFPVBQESA-N</t>
  </si>
  <si>
    <t>C12H15N3O5</t>
  </si>
  <si>
    <t>5.39_465.1759m/z</t>
  </si>
  <si>
    <t>Hirsutin</t>
  </si>
  <si>
    <t>HMDB0035923</t>
  </si>
  <si>
    <t>31456-68-5</t>
  </si>
  <si>
    <t>CS(=O)CCCCCCCCN=C=S</t>
  </si>
  <si>
    <t>BCRXKWOQVFKZAG-UHFFFAOYSA-N</t>
  </si>
  <si>
    <t>C10H19NOS2</t>
  </si>
  <si>
    <t>1.13_329.1099m/z</t>
  </si>
  <si>
    <t>Glutamylhistidine</t>
  </si>
  <si>
    <t>HMDB0028821</t>
  </si>
  <si>
    <t>21435-29-0</t>
  </si>
  <si>
    <t>N[C@@H](CCC(O)=O)C(=O)N[C@@H](CC1=CNC=N1)C(O)=O</t>
  </si>
  <si>
    <t>HKTRDWYCAUTRRL-YUMQZZPRSA-N</t>
  </si>
  <si>
    <t>C11H16N4O5</t>
  </si>
  <si>
    <t>1.35_128.9766m/z</t>
  </si>
  <si>
    <t>5-Nitrothiazole</t>
  </si>
  <si>
    <t>HMDB0246829</t>
  </si>
  <si>
    <t>[O-][N+](=O)C1=CN=CS1</t>
  </si>
  <si>
    <t>VVVCJCRUFSIVHI-UHFFFAOYSA-N</t>
  </si>
  <si>
    <t>C3H2N2O2S</t>
  </si>
  <si>
    <t>0.72_112.9996m/z</t>
  </si>
  <si>
    <t>Methylphosphate</t>
  </si>
  <si>
    <t>HMDB0061711</t>
  </si>
  <si>
    <t>812-00-0</t>
  </si>
  <si>
    <t>COP(O)(O)=O</t>
  </si>
  <si>
    <t>CAAULPUQFIIOTL-UHFFFAOYSA-N</t>
  </si>
  <si>
    <t>CH5O4P</t>
  </si>
  <si>
    <t>4.03_137.0231m/z</t>
  </si>
  <si>
    <t>Gentisate Aldehyde</t>
  </si>
  <si>
    <t>HMDB0004062</t>
  </si>
  <si>
    <t>C05585</t>
  </si>
  <si>
    <t>1194-98-5</t>
  </si>
  <si>
    <t>OC1=CC(C=O)=C(O)C=C1</t>
  </si>
  <si>
    <t>CLFRCXCBWIQVRN-UHFFFAOYSA-N</t>
  </si>
  <si>
    <t>10.92_359.2196m/z</t>
  </si>
  <si>
    <t>15-Epi-Pga1</t>
  </si>
  <si>
    <t>LMFA03010047</t>
  </si>
  <si>
    <t>20897-92-1</t>
  </si>
  <si>
    <t>[C@H]1(/C=C/[C@H](O)CCCCC)C=CC(=O)[C@@H]1CCCCCCC(=O)O</t>
  </si>
  <si>
    <t>BGKHCLZFGPIKKU-AHUSATQRSA-N</t>
  </si>
  <si>
    <t>C20H32O4</t>
  </si>
  <si>
    <t>9.22_671.3284m/z</t>
  </si>
  <si>
    <t>DGMG(18:5(3Z,6Z,9Z,12Z,15Z)/0:0)</t>
  </si>
  <si>
    <t>LMGL04010014</t>
  </si>
  <si>
    <t>O[C@@H]1[C@@H](O)[C@@H](O)[C@@H](CO[C@@H]2[C@H](O)[C@@H](O)[C@@H](O)[C@@H](CO)O2)O[C@H]1OC[C@]([H])(O)COC(C/C=C\C/C=C\C/C=C\C/C=C\C/C=C\CC)=O</t>
  </si>
  <si>
    <t>DAFIPQDMWOZAJW-ZNISSXSSSA-N</t>
  </si>
  <si>
    <t>C33H52O14</t>
  </si>
  <si>
    <t>8.80_716.3792m/z</t>
  </si>
  <si>
    <t>Saquinavir-No</t>
  </si>
  <si>
    <t>HMDB0257486</t>
  </si>
  <si>
    <t>CC(C)(C)NC(=O)C1CC2CCCCC2CN1CC(O[N+]([O-])=O)C(CC1=CC=CC=C1)NC(=O)C(CC(N)=O)NC(=O)C1=NC2=CC=CC=C2C=C1</t>
  </si>
  <si>
    <t>SPHXNRBWPVEVAS-UHFFFAOYSA-N</t>
  </si>
  <si>
    <t>C38H49N7O7</t>
  </si>
  <si>
    <t>5.07_205.1699m/z</t>
  </si>
  <si>
    <t>Selegiline</t>
  </si>
  <si>
    <t>C07245</t>
  </si>
  <si>
    <t>14611-51-9</t>
  </si>
  <si>
    <t>CC(CC1=CC=CC=C1)N(C)CC#C</t>
  </si>
  <si>
    <t>MEZLKOACVSPNER-GFCCVEGCSA-N</t>
  </si>
  <si>
    <t>C13H17N</t>
  </si>
  <si>
    <t>1.63_171.0629m/z</t>
  </si>
  <si>
    <t>(Z)-1-(Methylthio)-5-Phenyl-1-Penten-3-Yne</t>
  </si>
  <si>
    <t>HMDB0032688</t>
  </si>
  <si>
    <t>CS\C=C/C#CCC1=CC=CC=C1</t>
  </si>
  <si>
    <t>BQJDNQQWNLQSGB-XFFZJAGNSA-N</t>
  </si>
  <si>
    <t>C12H12S</t>
  </si>
  <si>
    <t>4.04_705.1405m/z</t>
  </si>
  <si>
    <t>2,5-Diamino-6-(5-Phospho-D-Ribosylamino)Pyrimidin-4(3h)-One</t>
  </si>
  <si>
    <t>HMDB0304044</t>
  </si>
  <si>
    <t>C01304</t>
  </si>
  <si>
    <t>ko00740,ko00790</t>
  </si>
  <si>
    <t>Riboflavin metabolism|Folate biosynthesis</t>
  </si>
  <si>
    <t>73477-63-1</t>
  </si>
  <si>
    <t>NC1=NC(N[C@@H]2O[C@H](COP(O)(O)=O)[C@@H](O)[C@H]2O)=C(N)C(=O)N1</t>
  </si>
  <si>
    <t>OCLCLRXKNJCOJD-UMMCILCDSA-N</t>
  </si>
  <si>
    <t>C9H16N5O8P</t>
  </si>
  <si>
    <t>11.42_777.4387m/z</t>
  </si>
  <si>
    <t>Calendulaglycoside E</t>
  </si>
  <si>
    <t>HMDB0033174</t>
  </si>
  <si>
    <t>38424-95-2</t>
  </si>
  <si>
    <t>CC1(C)CCC2(CCC3(C)C(=CCC4C5(C)CCC(OC6OC(C(OC7OC(CO)C(O)C(O)C7O)C(O)C6O)C(O)=O)C(C)(C)C5CCC34C)C2C1)C(O)=O</t>
  </si>
  <si>
    <t>OFLDMHFCMNKHGN-UHFFFAOYSA-N</t>
  </si>
  <si>
    <t>C42H66O14</t>
  </si>
  <si>
    <t>6.28_492.2730m/z</t>
  </si>
  <si>
    <t>Artefenomel</t>
  </si>
  <si>
    <t>HMDB0248617</t>
  </si>
  <si>
    <t>C(CN1CCOCC1)OC1=CC=C(C=C1)C1CCC2(CC1)OOC1(O2)C2CC3CC(C2)CC1C3</t>
  </si>
  <si>
    <t>XLCNVWUKICLURR-UHFFFAOYSA-N</t>
  </si>
  <si>
    <t>C28H39NO5</t>
  </si>
  <si>
    <t>8.53_479.2424m/z</t>
  </si>
  <si>
    <t>Lucidenolactone</t>
  </si>
  <si>
    <t>HMDB0030897</t>
  </si>
  <si>
    <t>CC1(CCC(=O)O1)C1CC(=O)C2(C)C3=C(C(=O)CC12C)C1(C)CCC(=O)C(C)(C)C1CC3O</t>
  </si>
  <si>
    <t>NEYFZTSOEPMHGQ-UHFFFAOYSA-N</t>
  </si>
  <si>
    <t>C27H36O6</t>
  </si>
  <si>
    <t>2.70_407.0594m/z</t>
  </si>
  <si>
    <t>Polyribophosphate</t>
  </si>
  <si>
    <t>HMDB0256690</t>
  </si>
  <si>
    <t>OCC1OC(OC2OC(COP(O)(O)=O)C(O)C2O)C(O)C1O</t>
  </si>
  <si>
    <t>OLXOHDAJTUPVIO-UHFFFAOYSA-N</t>
  </si>
  <si>
    <t>C10H19O12P</t>
  </si>
  <si>
    <t>4.46_339.1414m/z</t>
  </si>
  <si>
    <t>10-Hydroxy-8-Nor-2-Fenchanone Glucoside</t>
  </si>
  <si>
    <t>HMDB0033643</t>
  </si>
  <si>
    <t>240495-82-3</t>
  </si>
  <si>
    <t>CC1C2CCC(COC3OC(CO)C(O)C(O)C3O)(C2)C1=O</t>
  </si>
  <si>
    <t>PDFITCQLYDDVKZ-UHFFFAOYSA-N</t>
  </si>
  <si>
    <t>4.69_399.1295m/z</t>
  </si>
  <si>
    <t>Methyl Helianthenoate F Glucoside</t>
  </si>
  <si>
    <t>HMDB0040797</t>
  </si>
  <si>
    <t>COC(=O)CCC#CC#C\C=C/COC1OC(CO)C(O)C(O)C1O</t>
  </si>
  <si>
    <t>KMCLOJYUKASTFN-VURMDHGXSA-N</t>
  </si>
  <si>
    <t>3.58_315.1214m/z</t>
  </si>
  <si>
    <t>Voxtalisib</t>
  </si>
  <si>
    <t>HMDB0259876</t>
  </si>
  <si>
    <t>CCN1C(=O)C(=CC2=C(C)N=C(N)N=C12)C1=CC=NN1</t>
  </si>
  <si>
    <t>RGHYDLZMTYDBDT-UHFFFAOYSA-N</t>
  </si>
  <si>
    <t>C13H14N6O</t>
  </si>
  <si>
    <t>2.00_345.1153m/z</t>
  </si>
  <si>
    <t>3-Methylthiopropyl-Desulfoglucosinolate</t>
  </si>
  <si>
    <t>HMDB0304142</t>
  </si>
  <si>
    <t>CSCCCC(SC1OC(CO)C(O)C(O)C1O)=NO</t>
  </si>
  <si>
    <t>OYTRJEKRRFSKHF-UHFFFAOYSA-N</t>
  </si>
  <si>
    <t>C11H21NO6S2</t>
  </si>
  <si>
    <t>9.23_299.0120m/z</t>
  </si>
  <si>
    <t>1,2,3,4-Tetrafluorobenzene</t>
  </si>
  <si>
    <t>HMDB0244115</t>
  </si>
  <si>
    <t>FC1=C(F)C(F)=C(F)C=C1</t>
  </si>
  <si>
    <t>SOZFIIXUNAKEJP-UHFFFAOYSA-N</t>
  </si>
  <si>
    <t>C6H2F4</t>
  </si>
  <si>
    <t>5.23_270.1931m/z</t>
  </si>
  <si>
    <t>Hexazinone</t>
  </si>
  <si>
    <t>HMDB0253153</t>
  </si>
  <si>
    <t>C10926</t>
  </si>
  <si>
    <t>51235-04-2</t>
  </si>
  <si>
    <t>CN(C)C1=NC(=O)N(C2CCCCC2)C(=O)N1C</t>
  </si>
  <si>
    <t>CAWXEEYDBZRFPE-UHFFFAOYSA-N</t>
  </si>
  <si>
    <t>C12H20N4O2</t>
  </si>
  <si>
    <t>10.00_201.1638m/z</t>
  </si>
  <si>
    <t>(S)-Gamma-Calacorene</t>
  </si>
  <si>
    <t>HMDB0036451</t>
  </si>
  <si>
    <t>CC(C)C1=CCC(C)C2=C1C=C(C)C=C2</t>
  </si>
  <si>
    <t>YLIAZCIBLKJTKN-UHFFFAOYSA-N</t>
  </si>
  <si>
    <t>C15H20</t>
  </si>
  <si>
    <t>10.83_417.2781m/z</t>
  </si>
  <si>
    <t>Oleoyl 3-Carbacyclic Phosphatidic Acid</t>
  </si>
  <si>
    <t>CCCCCCCCC=CCCCCCCCC(=O)OCC1CCP(=O)(O1)O</t>
  </si>
  <si>
    <t>IJSTZKWSILWQEC-KTKRTIGZSA-N</t>
  </si>
  <si>
    <t>C22H41O5P</t>
  </si>
  <si>
    <t>0.97_284.0614m/z</t>
  </si>
  <si>
    <t>Resorcinol Sulfoxide</t>
  </si>
  <si>
    <t>C1=CC(=C(C=C1O)O)S(=O)C2=C(C=C(C=C2)O)O</t>
  </si>
  <si>
    <t>YNHHSHCJKICJLU-UHFFFAOYSA-N</t>
  </si>
  <si>
    <t>Phenyl sulfoxides</t>
  </si>
  <si>
    <t>C12H10O5S</t>
  </si>
  <si>
    <t>1.09_284.0740m/z</t>
  </si>
  <si>
    <t>Dihydromaleimide Beta-D-Glucoside</t>
  </si>
  <si>
    <t>HMDB0030277</t>
  </si>
  <si>
    <t>26696-59-3</t>
  </si>
  <si>
    <t>OCC1OC(OC2NC(=O)C=C2)C(O)C(O)C1O</t>
  </si>
  <si>
    <t>CAXBOXWWAIDBMS-UHFFFAOYSA-N</t>
  </si>
  <si>
    <t>C10H15NO7</t>
  </si>
  <si>
    <t>14.70_183.0037m/z</t>
  </si>
  <si>
    <t>2,4-Dinitrophenol</t>
  </si>
  <si>
    <t>HMDB0245462</t>
  </si>
  <si>
    <t>C02496</t>
  </si>
  <si>
    <t>51-28-5</t>
  </si>
  <si>
    <t>OC1=CC=C(C=C1[N+]([O-])=O)[N+]([O-])=O</t>
  </si>
  <si>
    <t>UFBJCMHMOXMLKC-UHFFFAOYSA-N</t>
  </si>
  <si>
    <t>C6H4N2O5</t>
  </si>
  <si>
    <t>1.39_229.0324m/z</t>
  </si>
  <si>
    <t>Dibenzothiophene</t>
  </si>
  <si>
    <t>HMDB0251165</t>
  </si>
  <si>
    <t>C20125</t>
  </si>
  <si>
    <t>132-65-0</t>
  </si>
  <si>
    <t>S1C2=C(C=CC=C2)C2=C1C=CC=C2</t>
  </si>
  <si>
    <t>IYYZUPMFVPLQIF-UHFFFAOYSA-N</t>
  </si>
  <si>
    <t>Dibenzothiophenes</t>
  </si>
  <si>
    <t>C12H8S</t>
  </si>
  <si>
    <t>4.58_587.1713m/z</t>
  </si>
  <si>
    <t>Cascaroside C</t>
  </si>
  <si>
    <t>HMDB0035757</t>
  </si>
  <si>
    <t>53823-09-9</t>
  </si>
  <si>
    <t>CC1=CC2=C(C(O)=C1)C(=O)C1=C(C=CC=C1OC1OC(CO)C(O)C(O)C1O)C2C1OC(CO)C(O)C(O)C1O</t>
  </si>
  <si>
    <t>GQPFUOPPYJYZHE-UHFFFAOYSA-N</t>
  </si>
  <si>
    <t>C27H32O13</t>
  </si>
  <si>
    <t>5.61_253.1584m/z</t>
  </si>
  <si>
    <t>Estrone</t>
  </si>
  <si>
    <t>HMDB0000145</t>
  </si>
  <si>
    <t>LMST02010004</t>
  </si>
  <si>
    <t>C00468</t>
  </si>
  <si>
    <t>ko00140,ko04913,ko04917</t>
  </si>
  <si>
    <t>Steroid hormone biosynthesis|Ovarian steroidogenesis|Prolactin signaling pathway</t>
  </si>
  <si>
    <t>53-16-7</t>
  </si>
  <si>
    <t>C1C2[C@@]3([H])CC[C@]4(C)C(=O)CC[C@@]4([H])[C@]3([H])CCC=2C=C(O)C=1</t>
  </si>
  <si>
    <t>DNXHEGUUPJUMQT-CBZIJGRNSA-N</t>
  </si>
  <si>
    <t>C18H22O2</t>
  </si>
  <si>
    <t>4.51_515.1919m/z</t>
  </si>
  <si>
    <t>Zapoterin</t>
  </si>
  <si>
    <t>HMDB0035984</t>
  </si>
  <si>
    <t>C08788</t>
  </si>
  <si>
    <t>35796-71-5</t>
  </si>
  <si>
    <t>CC12CC(O)C3C4(C)C=CC(=O)OC(C)(C)C4CC(=O)C3(C)C11OC1C(=O)OC2C1=COC=C1</t>
  </si>
  <si>
    <t>OZGKITZRRFNYRV-UHFFFAOYSA-N</t>
  </si>
  <si>
    <t>3.97_175.0602m/z</t>
  </si>
  <si>
    <t>2-Isopropylmalic Acid</t>
  </si>
  <si>
    <t>3237-44-3</t>
  </si>
  <si>
    <t>CC(C)C(CC(=O)O)(C(=O)O)O</t>
  </si>
  <si>
    <t>BITYXLXUCSKTJS-UHFFFAOYSA-N</t>
  </si>
  <si>
    <t>5.13_441.1188m/z</t>
  </si>
  <si>
    <t>Methabenzthiazuron</t>
  </si>
  <si>
    <t>C10909</t>
  </si>
  <si>
    <t>18691-97-9</t>
  </si>
  <si>
    <t>CNC(=O)N(C)C1=NC2=CC=CC=C2S1</t>
  </si>
  <si>
    <t>RRVIAQKBTUQODI-UHFFFAOYSA-N</t>
  </si>
  <si>
    <t>C10H11N3OS</t>
  </si>
  <si>
    <t>5.60_691.2741m/z</t>
  </si>
  <si>
    <t>Dihydrokanakugiol</t>
  </si>
  <si>
    <t>LMPK12120563</t>
  </si>
  <si>
    <t>C1(OC)C(OC)=C(OC)C(C(=O)CCC2C=CC=CC=2)=C(O)C=1OC</t>
  </si>
  <si>
    <t>NTAJFHWMQLZQMI-UHFFFAOYSA-N</t>
  </si>
  <si>
    <t>10.52_481.0274m/z</t>
  </si>
  <si>
    <t>Pentafluorobenzyl Carbamate</t>
  </si>
  <si>
    <t>HMDB0256263</t>
  </si>
  <si>
    <t>NC(=O)OCC1=C(F)C(F)=C(F)C(F)=C1F</t>
  </si>
  <si>
    <t>LKLCRHLGUDJFCI-UHFFFAOYSA-N</t>
  </si>
  <si>
    <t>C8H4F5NO2</t>
  </si>
  <si>
    <t>7.37_343.0722m/z</t>
  </si>
  <si>
    <t>4,5-Diaminofluorescein</t>
  </si>
  <si>
    <t>HMDB0250826</t>
  </si>
  <si>
    <t>205391-01-1</t>
  </si>
  <si>
    <t>NC1=C(N)C=C2C(=C1)C(=O)OC21C2=C(OC3=C1C=CC(O)=C3)C=C(O)C=C2</t>
  </si>
  <si>
    <t>LTYUPYUWXRTNFQ-UHFFFAOYSA-N</t>
  </si>
  <si>
    <t>C20H14N2O5</t>
  </si>
  <si>
    <t>7.80_581.2599m/z</t>
  </si>
  <si>
    <t>Desacetyl (7)Khivorinic Acid, Methyl Ester</t>
  </si>
  <si>
    <t>CC(=O)OC1CC(C2(C3CCC4(C(OC(=O)C5C4(C3(C(CC2C1(C)C)O)C)O5)C(=O)OC)C)C)OC(=O)C</t>
  </si>
  <si>
    <t>HJESSLHNQMBHEX-LSIGHCQTSA-N</t>
  </si>
  <si>
    <t>C28H40O10</t>
  </si>
  <si>
    <t>1.52_333.1191m/z</t>
  </si>
  <si>
    <t>2,3-Dimercapto-1-Propanol Tributyrate</t>
  </si>
  <si>
    <t>HMDB0245388</t>
  </si>
  <si>
    <t>CCCC(=O)OCC(CSC(=O)CCC)SC(=O)CCC</t>
  </si>
  <si>
    <t>NHBKXEKEPDILRR-UHFFFAOYSA-N</t>
  </si>
  <si>
    <t>C15H26O4S2</t>
  </si>
  <si>
    <t>5.17_236.1405n</t>
  </si>
  <si>
    <t>Eremopetasidione</t>
  </si>
  <si>
    <t>HMDB0040778</t>
  </si>
  <si>
    <t>163135-94-2</t>
  </si>
  <si>
    <t>CC1C(O)CCC2CC(=O)C(=CC12C)C(C)=O</t>
  </si>
  <si>
    <t>ZKOZDFWTXYIUDZ-UHFFFAOYSA-N</t>
  </si>
  <si>
    <t>C14H20O3</t>
  </si>
  <si>
    <t>9.12_307.2053m/z</t>
  </si>
  <si>
    <t>2,8-Dibenzylcyclooctanone</t>
  </si>
  <si>
    <t>HMDB0245525</t>
  </si>
  <si>
    <t>O=C1C(CC2=CC=CC=C2)CCCCCC1CC1=CC=CC=C1</t>
  </si>
  <si>
    <t>QRZUPJILJVGUFF-UHFFFAOYSA-N</t>
  </si>
  <si>
    <t>C22H26O</t>
  </si>
  <si>
    <t>1.33_297.0582m/z</t>
  </si>
  <si>
    <t>5-Amino-1-[(2r,4s,5r)-3,4-Dihydroxy-5-(Hydroxymethyl)Oxolan-2-Yl]Imidazole-4-Carboxamide</t>
  </si>
  <si>
    <t>HMDB0248904</t>
  </si>
  <si>
    <t>2627-69-2</t>
  </si>
  <si>
    <t>NC(=O)C1=C(N)N(C=N1)C1OC(CO)C(O)C1O</t>
  </si>
  <si>
    <t>RTRQQBHATOEIAF-UHFFFAOYSA-N</t>
  </si>
  <si>
    <t>C9H14N4O5</t>
  </si>
  <si>
    <t>1.44_337.0806m/z</t>
  </si>
  <si>
    <t>S-Nitrosoglutathione</t>
  </si>
  <si>
    <t>HMDB0004645</t>
  </si>
  <si>
    <t>57564-91-7</t>
  </si>
  <si>
    <t>N[C@@H](CCC(=O)N[C@@H](CSN=O)C(=O)NCC(O)=O)C(O)=O</t>
  </si>
  <si>
    <t>HYHSBSXUHZOYLX-WDSKDSINSA-N</t>
  </si>
  <si>
    <t>C10H16N4O7S</t>
  </si>
  <si>
    <t>8.36_411.0092m/z</t>
  </si>
  <si>
    <t>Didp</t>
  </si>
  <si>
    <t>HMDB0003536</t>
  </si>
  <si>
    <t>C01344</t>
  </si>
  <si>
    <t>26575-15-5</t>
  </si>
  <si>
    <t>O[C@H]1C[C@@H](O[C@@H]1CO[P@@](O)(=O)OP(O)(O)=O)N1C=NC2=C1NC=NC2=O</t>
  </si>
  <si>
    <t>BKUSIKGSPSFQAC-RRKCRQDMSA-N</t>
  </si>
  <si>
    <t>C10H14N4O10P2</t>
  </si>
  <si>
    <t>5.41_228.1107n</t>
  </si>
  <si>
    <t>Prolylhydroxyproline</t>
  </si>
  <si>
    <t>HMDB0006695</t>
  </si>
  <si>
    <t>18684-24-7</t>
  </si>
  <si>
    <t>O[C@@H]1C[C@H](N(C1)C(=O)[C@@H]1CCCN1)C(O)=O</t>
  </si>
  <si>
    <t>ONPXCLZMBSJLSP-CSMHCCOUSA-N</t>
  </si>
  <si>
    <t>C10H16N2O4</t>
  </si>
  <si>
    <t>9.69_476.2772m/z</t>
  </si>
  <si>
    <t>Sambutoxin</t>
  </si>
  <si>
    <t>HMDB0041085</t>
  </si>
  <si>
    <t>160047-56-3</t>
  </si>
  <si>
    <t>CCC(C)CC(C)\C=C(/C)C1OC(CCC1C)C1=C(O)C(=CN(C)C1=O)C1=CC=C(O)C=C1</t>
  </si>
  <si>
    <t>FVYDVAOTXPELMH-HMMYKYKNSA-N</t>
  </si>
  <si>
    <t>C28H39NO4</t>
  </si>
  <si>
    <t>4.67_385.1502m/z</t>
  </si>
  <si>
    <t>15-Deacetylneosolaniol</t>
  </si>
  <si>
    <t>HMDB0036157</t>
  </si>
  <si>
    <t>C02951</t>
  </si>
  <si>
    <t>76348-84-0</t>
  </si>
  <si>
    <t>CC(=O)OC1C(O)C2OC3C=C(C)C(O)CC3(CO)C1(C)C21CO1</t>
  </si>
  <si>
    <t>CSYVMZMEBKUDRQ-UHFFFAOYSA-N</t>
  </si>
  <si>
    <t>C17H24O7</t>
  </si>
  <si>
    <t>5.25_409.1257m/z</t>
  </si>
  <si>
    <t>Nicarbazin</t>
  </si>
  <si>
    <t>C18389</t>
  </si>
  <si>
    <t>330-95-0</t>
  </si>
  <si>
    <t>CC1=CC(=NC(=O)N1)C.C1=CC(=CC=C1NC(=O)NC2=CC=C(C=C2)[N+](=O)[O-])[N+](=O)[O-]</t>
  </si>
  <si>
    <t>UKHWDRMMMYWSFL-UHFFFAOYSA-N</t>
  </si>
  <si>
    <t>C19H18N6O6</t>
  </si>
  <si>
    <t>8.54_881.2811m/z</t>
  </si>
  <si>
    <t>Alpelisib</t>
  </si>
  <si>
    <t>HMDB0304878</t>
  </si>
  <si>
    <t>[H][C@]1(CCCN1C(O)=NC1=NC(C)=C(S1)C1=CC(=NC=C1)C(C)(C)C(F)(F)F)C(O)=N</t>
  </si>
  <si>
    <t>STUWGJZDJHPWGZ-LBPRGKRZSA-N</t>
  </si>
  <si>
    <t>C19H22F3N5O2S</t>
  </si>
  <si>
    <t>1.19_334.1142m/z</t>
  </si>
  <si>
    <t>L-Arginino-Succinate</t>
  </si>
  <si>
    <t>HMDB0304399</t>
  </si>
  <si>
    <t>[N+]C(CCCNC(=[N+])NC(CC([O-])=O)C([O-])=O)C([O-])=O</t>
  </si>
  <si>
    <t>KRGUQRPULONCQB-UHFFFAOYSA-K</t>
  </si>
  <si>
    <t>C10H17N4O6-</t>
  </si>
  <si>
    <t>4.53_277.1072m/z</t>
  </si>
  <si>
    <t>(-)-Minumicrolin</t>
  </si>
  <si>
    <t>CC(=C)C(C(C1=C(C=CC2=C1OC(=O)C=C2)OC)O)O</t>
  </si>
  <si>
    <t>DKEANOQWICTXTP-ZIAGYGMSSA-N</t>
  </si>
  <si>
    <t>C15H16O5</t>
  </si>
  <si>
    <t>4.24_283.0821m/z</t>
  </si>
  <si>
    <t>P-Cresol Glucuronide</t>
  </si>
  <si>
    <t>HMDB0011686</t>
  </si>
  <si>
    <t>CC1=CC=C(O[C@@H]2O[C@@H]([C@@H](O)[C@H](O)[C@H]2O)C(O)=O)C=C1</t>
  </si>
  <si>
    <t>JPAUCQAJHLSMQW-XPORZQOISA-N</t>
  </si>
  <si>
    <t>0.78_202.1801m/z</t>
  </si>
  <si>
    <t>6-Hexyltetrahydro-2h-Pyran-2-One</t>
  </si>
  <si>
    <t>HMDB0036784</t>
  </si>
  <si>
    <t>710-04-3</t>
  </si>
  <si>
    <t>CCCCCCC1CCCC(=O)O1</t>
  </si>
  <si>
    <t>YZRXRLLRSPQHDK-UHFFFAOYSA-N</t>
  </si>
  <si>
    <t>11.42_367.2628m/z</t>
  </si>
  <si>
    <t>Quingestanol</t>
  </si>
  <si>
    <t>HMDB0257039</t>
  </si>
  <si>
    <t>CC12CCC3C(CC=C4C=C(CCC34)OC3CCCC3)C1CCC2(O)C#C</t>
  </si>
  <si>
    <t>PCJFRMOEZQQSAX-UHFFFAOYSA-N</t>
  </si>
  <si>
    <t>C25H34O2</t>
  </si>
  <si>
    <t>4.11_217.0970m/z</t>
  </si>
  <si>
    <t>Dictamnine</t>
  </si>
  <si>
    <t>HMDB0251209</t>
  </si>
  <si>
    <t>C10660</t>
  </si>
  <si>
    <t>484-29-7</t>
  </si>
  <si>
    <t>COC1=C2C=COC2=NC2=CC=CC=C12</t>
  </si>
  <si>
    <t>WIONIXOBNMDJFJ-UHFFFAOYSA-N</t>
  </si>
  <si>
    <t>Furanoquinolines</t>
  </si>
  <si>
    <t>C12H9NO2</t>
  </si>
  <si>
    <t>5.09_493.1337m/z</t>
  </si>
  <si>
    <t>Methotrexate</t>
  </si>
  <si>
    <t>HMDB0014703</t>
  </si>
  <si>
    <t>C01937</t>
  </si>
  <si>
    <t>59-05-2</t>
  </si>
  <si>
    <t>CN(CC1=CN=C2N=C(N)N=C(N)C2=N1)C1=CC=C(C=C1)C(=O)N[C@@H](CCC(O)=O)C(O)=O</t>
  </si>
  <si>
    <t>FBOZXECLQNJBKD-ZDUSSCGKSA-N</t>
  </si>
  <si>
    <t>C20H22N8O5</t>
  </si>
  <si>
    <t>0.67_174.1068m/z</t>
  </si>
  <si>
    <t>4-(Dimethylamino)Butyl Carbamimidothioate</t>
  </si>
  <si>
    <t>HMDB0246305</t>
  </si>
  <si>
    <t>CN(C)CCCCSC(N)=N</t>
  </si>
  <si>
    <t>UFYJLJINUGVUHO-UHFFFAOYSA-N</t>
  </si>
  <si>
    <t>Isothioureas</t>
  </si>
  <si>
    <t>C7H17N3S</t>
  </si>
  <si>
    <t>1.22_331.0653m/z</t>
  </si>
  <si>
    <t>N-(6-Aminopyridin-2-Yl)-4'-Cyanobiphenyl-4-Sulfonamide</t>
  </si>
  <si>
    <t>HMDB0256368</t>
  </si>
  <si>
    <t>NC1=NC(NS(=O)(=O)C2=CC=C(C=C2)C2=CC=C(C=C2)C#N)=CC=C1</t>
  </si>
  <si>
    <t>ZESFDAKNYJQYKO-UHFFFAOYSA-N</t>
  </si>
  <si>
    <t>C18H14N4O2S</t>
  </si>
  <si>
    <t>4.26_563.2465m/z</t>
  </si>
  <si>
    <t>Sucrose Laurate</t>
  </si>
  <si>
    <t>HMDB0258550</t>
  </si>
  <si>
    <t>CCCCCCCCCCCC(=O)OC1(OC(CO)C(O)C(O)C1O)C1(CO)OC(CO)C(O)C1O</t>
  </si>
  <si>
    <t>GCSPRLPXTPMSTL-UHFFFAOYSA-N</t>
  </si>
  <si>
    <t>C24H44O12</t>
  </si>
  <si>
    <t>9.10_583.1228m/z</t>
  </si>
  <si>
    <t>Prunus Inhibitor B</t>
  </si>
  <si>
    <t>HMDB0037687</t>
  </si>
  <si>
    <t>83889-81-0</t>
  </si>
  <si>
    <t>OC1CC2=C(OC1C1=CC(O)=C(O)C=C1)C1=C(OC3(OC4=CC(O)=CC(O)=C4C1C3O)C1=CC=C(O)C=C1)C=C2O</t>
  </si>
  <si>
    <t>MXKKFADFYXJREN-UHFFFAOYSA-N</t>
  </si>
  <si>
    <t>C30H24O11</t>
  </si>
  <si>
    <t>4.83_295.2056m/z</t>
  </si>
  <si>
    <t>Ethisterone</t>
  </si>
  <si>
    <t>HMDB0060580</t>
  </si>
  <si>
    <t>C14487</t>
  </si>
  <si>
    <t>434-03-7</t>
  </si>
  <si>
    <t>C[C@]12CC[C@H]3[C@@H](CCC4=CC(=O)CC[C@]34C)[C@@H]1CC[C@@]2(O)C#C</t>
  </si>
  <si>
    <t>CHNXZKVNWQUJIB-CEGNMAFCSA-N</t>
  </si>
  <si>
    <t>C21H28O2</t>
  </si>
  <si>
    <t>10.04_423.2165m/z</t>
  </si>
  <si>
    <t>4,4'-Bis(2-Hydroxyethylethylamino)-2,2'-Dimethylazobenzene</t>
  </si>
  <si>
    <t>HMDB0248812</t>
  </si>
  <si>
    <t>CCN(CCO)C1=CC(C)=C(C=C1)N=NC1=C(C)C=C(C=C1)N(CC)CCO</t>
  </si>
  <si>
    <t>UQACKAULSXYLJH-UHFFFAOYSA-N</t>
  </si>
  <si>
    <t>C22H32N4O2</t>
  </si>
  <si>
    <t>4.04_289.2105m/z</t>
  </si>
  <si>
    <t>N-Methylisoleucine</t>
  </si>
  <si>
    <t>5125-98-8</t>
  </si>
  <si>
    <t>CCC(C)C(C(=O)O)NC</t>
  </si>
  <si>
    <t>KSPIYJQBLVDRRI-UHFFFAOYSA-N</t>
  </si>
  <si>
    <t>9.18_252.1512n</t>
  </si>
  <si>
    <t>2e,4e,6e,8e,10e,12e,14e,16e-Octadecaoctaenal</t>
  </si>
  <si>
    <t>LMFA06000270</t>
  </si>
  <si>
    <t>C/C=C/C=C/C=C/C=C/C=C/C=C/C=C/C=C/C=O</t>
  </si>
  <si>
    <t>GSUNCNFQKZBVCL-NZOYRFRLSA-N</t>
  </si>
  <si>
    <t>C18H20O</t>
  </si>
  <si>
    <t>1.06_375.2123m/z</t>
  </si>
  <si>
    <t>Trospectomycin</t>
  </si>
  <si>
    <t>HMDB0259301</t>
  </si>
  <si>
    <t>CCCCC1CC(=O)C2(O)OC3C(NC)C(O)C(NC)C(O)C3OC2O1</t>
  </si>
  <si>
    <t>KHAUBYTYGDOYRU-UHFFFAOYSA-N</t>
  </si>
  <si>
    <t>Dioxanes</t>
  </si>
  <si>
    <t>1,4-dioxanes</t>
  </si>
  <si>
    <t>C17H30N2O7</t>
  </si>
  <si>
    <t>0.73_146.0811m/z</t>
  </si>
  <si>
    <t>Osmundalactone</t>
  </si>
  <si>
    <t>HMDB0031303</t>
  </si>
  <si>
    <t>69308-39-0</t>
  </si>
  <si>
    <t>CC1OC(=O)C=CC1O</t>
  </si>
  <si>
    <t>TVDPVFPVOHCHQM-UHFFFAOYSA-N</t>
  </si>
  <si>
    <t>C6H8O3</t>
  </si>
  <si>
    <t>11.62_321.2197m/z</t>
  </si>
  <si>
    <t>Bis(2-Ethylhexyl) Hydrogen Phosphate</t>
  </si>
  <si>
    <t>HMDB0249242</t>
  </si>
  <si>
    <t>CCCCC(CC)COP(O)(=O)OCC(CC)CCCC</t>
  </si>
  <si>
    <t>SEGLCEQVOFDUPX-UHFFFAOYSA-N</t>
  </si>
  <si>
    <t>C16H35O4P</t>
  </si>
  <si>
    <t>1.58_134.0360m/z</t>
  </si>
  <si>
    <t>1-Hydroxybenzotriazole</t>
  </si>
  <si>
    <t>HMDB0243899</t>
  </si>
  <si>
    <t>ON1N=NC2=CC=CC=C12</t>
  </si>
  <si>
    <t>ASOKPJOREAFHNY-UHFFFAOYSA-N</t>
  </si>
  <si>
    <t>C6H5N3O</t>
  </si>
  <si>
    <t>4.01_501.1074m/z</t>
  </si>
  <si>
    <t>3-(2-Furoyl)Quinoline-2-Carboxaldehyde</t>
  </si>
  <si>
    <t>HMDB0245772</t>
  </si>
  <si>
    <t>O=CC1=NC2=CC=CC=C2C=C1C(=O)C1=CC=CO1</t>
  </si>
  <si>
    <t>PNCHURHVMDRFTR-UHFFFAOYSA-N</t>
  </si>
  <si>
    <t>C15H9NO3</t>
  </si>
  <si>
    <t>9.89_853.4198m/z</t>
  </si>
  <si>
    <t>Licoricesaponin B2</t>
  </si>
  <si>
    <t>HMDB0038739</t>
  </si>
  <si>
    <t>118536-86-0</t>
  </si>
  <si>
    <t>CC1(C)C(CCC2(C)C1CCC1(C)C2CC=C2C3CC(C)(CCC3(C)CCC12C)C(O)=O)OC1OC(C(O)C(O)C1OC1OC(C(O)C(O)C1O)C(O)=O)C(O)=O</t>
  </si>
  <si>
    <t>BCNKILSUUHWRTG-UHFFFAOYSA-N</t>
  </si>
  <si>
    <t>C42H64O15</t>
  </si>
  <si>
    <t>3.95_424.1059m/z</t>
  </si>
  <si>
    <t>Voreloxin</t>
  </si>
  <si>
    <t>HMDB0259874</t>
  </si>
  <si>
    <t>CNC1CN(CC1OC)C1=NC2=C(C=C1)C(=O)C(=CN2C1=NC=CS1)C(O)=O</t>
  </si>
  <si>
    <t>XZAFZXJXZHRNAQ-UHFFFAOYSA-N</t>
  </si>
  <si>
    <t>C18H19N5O4S</t>
  </si>
  <si>
    <t>4.47_344.0985m/z</t>
  </si>
  <si>
    <t>Beta-D-Glucopyranosyl Anthranilate</t>
  </si>
  <si>
    <t>HMDB0041517</t>
  </si>
  <si>
    <t>NC1=CC=CC=C1C(=O)OC1OC(CO)C(O)C(O)C1O</t>
  </si>
  <si>
    <t>GTQKOJVFDJDUGN-UHFFFAOYSA-N</t>
  </si>
  <si>
    <t>C13H17NO7</t>
  </si>
  <si>
    <t>6.83_483.2946m/z</t>
  </si>
  <si>
    <t>1-Dimethylarsinoyl-Tricosane</t>
  </si>
  <si>
    <t>LMFA00000033</t>
  </si>
  <si>
    <t>C(CCCCCCCCCCCCCCCCCCCCCC)[As](C)(=O)C</t>
  </si>
  <si>
    <t>ZCBSGSPABPUWKY-UHFFFAOYSA-N</t>
  </si>
  <si>
    <t>C25H53AsO</t>
  </si>
  <si>
    <t>5.58_531.1808m/z</t>
  </si>
  <si>
    <t>Methoxyvone</t>
  </si>
  <si>
    <t>CC1=CC(=CC2=C1C(=O)C=C(O2)C3=CC=CC=C3)OC</t>
  </si>
  <si>
    <t>JETSDIPTVSZMLI-UHFFFAOYSA-N</t>
  </si>
  <si>
    <t>C17H14O3</t>
  </si>
  <si>
    <t>1.33_326.0801m/z</t>
  </si>
  <si>
    <t>Repsox</t>
  </si>
  <si>
    <t>HMDB0257156</t>
  </si>
  <si>
    <t>CC1=CC=CC(=N1)C1=C(C=NN1)C1=NC2=C(C=C1)N=CC=C2</t>
  </si>
  <si>
    <t>LBPKYPYHDKKRFS-UHFFFAOYSA-N</t>
  </si>
  <si>
    <t>C17H13N5</t>
  </si>
  <si>
    <t>1.57_307.1224m/z</t>
  </si>
  <si>
    <t>Metioprim</t>
  </si>
  <si>
    <t>HMDB0254675</t>
  </si>
  <si>
    <t>COC1=CC(CC2=CN=C(N)N=C2N)=CC(OC)=C1SC</t>
  </si>
  <si>
    <t>HRZQMMXCASMDBP-UHFFFAOYSA-N</t>
  </si>
  <si>
    <t>C14H18N4O2S</t>
  </si>
  <si>
    <t>3.72_463.0793m/z</t>
  </si>
  <si>
    <t>6-Hydroxy-6a,12a-Dehydro-Alpha-Toxicarol</t>
  </si>
  <si>
    <t>LMPK12060075</t>
  </si>
  <si>
    <t>C12OC(C)(C)C=CC=1C1OC3C(O)OC4C(=CC(OC)=C(OC)C=4)C=3C(=O)C=1C(O)=C2</t>
  </si>
  <si>
    <t>NVIZHSSHHRHDLE-UHFFFAOYSA-N</t>
  </si>
  <si>
    <t>C23H20O8</t>
  </si>
  <si>
    <t>14.38_584.4877m/z</t>
  </si>
  <si>
    <t>DG(13:0/18:1(12Z)-O(9S,10R)/0:0)</t>
  </si>
  <si>
    <t>HMDB0294933</t>
  </si>
  <si>
    <t>CCCCCCCCCCCCC(=O)OC[C@H](CO)OC(=O)CCCCCCCC1OC1C\C=C/CCCCC</t>
  </si>
  <si>
    <t>RTXRWNXCFCHXJP-VSVMOUFSSA-N</t>
  </si>
  <si>
    <t>C34H62O6</t>
  </si>
  <si>
    <t>5.30_605.2178m/z</t>
  </si>
  <si>
    <t>Quizartinib</t>
  </si>
  <si>
    <t>HMDB0257064</t>
  </si>
  <si>
    <t>CC(C)(C)C1=CC(NC(=O)NC2=CC=C(C=C2)C2=CN3C(SC4=C3C=CC(OCCN3CCOCC3)=C4)=N2)=NO1</t>
  </si>
  <si>
    <t>CVWXJKQAOSCOAB-UHFFFAOYSA-N</t>
  </si>
  <si>
    <t>C29H32N6O4S</t>
  </si>
  <si>
    <t>5.49_511.1853m/z</t>
  </si>
  <si>
    <t>8-Phenyltheophylline</t>
  </si>
  <si>
    <t>HMDB0247463</t>
  </si>
  <si>
    <t>CN1C2=C(NC(=N2)C2=CC=CC=C2)C(=O)N(C)C1=O</t>
  </si>
  <si>
    <t>PJFMAVHETLRJHJ-UHFFFAOYSA-N</t>
  </si>
  <si>
    <t>C13H12N4O2</t>
  </si>
  <si>
    <t>2.28_103.0390m/z</t>
  </si>
  <si>
    <t>L-Erythrulose</t>
  </si>
  <si>
    <t>HMDB0006293</t>
  </si>
  <si>
    <t>C02045</t>
  </si>
  <si>
    <t>533-50-6</t>
  </si>
  <si>
    <t>OC[C@H](O)C(=O)CO</t>
  </si>
  <si>
    <t>UQPHVQVXLPRNCX-VKHMYHEASA-N</t>
  </si>
  <si>
    <t>4.14_1191.2937m/z</t>
  </si>
  <si>
    <t>16(S)-Hydroxy-18-Oxo-18-Coa-Lte4</t>
  </si>
  <si>
    <t>HMDB0012593</t>
  </si>
  <si>
    <t>CC(C)(COP(O)(=O)OP(O)(=O)OCC1OC(C(O)C1OP(O)(O)=O)N1C=NC2=C1N=CN=C2N)C(O)C(=O)NCCC(=O)NCCSC(=O)CC(O)CCCC=CC=CC=CC(SCC(N)C(O)=O)C(O)CCCC(O)=O</t>
  </si>
  <si>
    <t>APLMMNVXTIRDHJ-UHFFFAOYSA-N</t>
  </si>
  <si>
    <t>C42H67N8O23P3S2</t>
  </si>
  <si>
    <t>5.36_443.1924m/z</t>
  </si>
  <si>
    <t>Glycyl-Phenylalanine</t>
  </si>
  <si>
    <t>HMDB0028848</t>
  </si>
  <si>
    <t>NCC(O)=NC(CC1=CC=CC=C1)C(O)=O</t>
  </si>
  <si>
    <t>JBCLFWXMTIKCCB-UHFFFAOYSA-N</t>
  </si>
  <si>
    <t>C11H14N2O3</t>
  </si>
  <si>
    <t>10.10_544.2680m/z</t>
  </si>
  <si>
    <t>PS(20:4(5Z,8Z,11Z,14Z)/0:0)</t>
  </si>
  <si>
    <t>LMGP03050007</t>
  </si>
  <si>
    <t>C(O)(=O)[C@@]([H])(N)COP(OC[C@]([H])(O)COC(CCC/C=C\C/C=C\C/C=C\C/C=C\CCCCC)=O)(=O)O</t>
  </si>
  <si>
    <t>XHWSRRGLFMDBOB-RRJHOXOUSA-N</t>
  </si>
  <si>
    <t>C26H44NO9P</t>
  </si>
  <si>
    <t>1.62_313.0695m/z</t>
  </si>
  <si>
    <t>(1s,2r)-N-Methyl-1-Oxo-2-Pyridin-3-Ylthiane-2-Carbothioamide</t>
  </si>
  <si>
    <t>HMDB0242446</t>
  </si>
  <si>
    <t>CNC(=S)C1(CCCCS1=O)C1=CN=CC=C1</t>
  </si>
  <si>
    <t>GKEMHVLBZNVZOI-UHFFFAOYSA-N</t>
  </si>
  <si>
    <t>Thianes</t>
  </si>
  <si>
    <t>C12H16N2OS2</t>
  </si>
  <si>
    <t>8.27_629.3172m/z</t>
  </si>
  <si>
    <t>Cholic Acid Glucuronide</t>
  </si>
  <si>
    <t>HMDB0002577</t>
  </si>
  <si>
    <t>LMST05010044</t>
  </si>
  <si>
    <t>76060-22-5</t>
  </si>
  <si>
    <t>O([C@H]1C[C@@]2([H])C[C@@H](O)[C@@]3([H])[C@]4([H])CC[C@]([H])([C@@](C)([H])CCC(=O)O)[C@@]4(C)[C@@H](O)C[C@]3([H])[C@@]2(C)CC1)[C@H]1[C@H](O)[C@H]([C@H](O)[C@@H](C(=O)O)O1)O</t>
  </si>
  <si>
    <t>RBLDVEUUCHVWMW-SXYQVCRBSA-N</t>
  </si>
  <si>
    <t>C30H48O11</t>
  </si>
  <si>
    <t>4.23_187.0754m/z</t>
  </si>
  <si>
    <t>Levulinic Acid,  3-Benzylidenyl-</t>
  </si>
  <si>
    <t>CC(=O)C(=CC1=CC=CC=C1)CC(=O)O</t>
  </si>
  <si>
    <t>BNQYXFAVUMPZFG-XFFZJAGNSA-N</t>
  </si>
  <si>
    <t>3.99_432.1624n</t>
  </si>
  <si>
    <t>Zizybeoside I</t>
  </si>
  <si>
    <t>HMDB0034954</t>
  </si>
  <si>
    <t>76819-28-8</t>
  </si>
  <si>
    <t>OCC1OC(OC2C(O)C(O)C(CO)OC2OCC2=CC=CC=C2)C(O)C(O)C1O</t>
  </si>
  <si>
    <t>WKXRKKUZTXIFJY-UHFFFAOYSA-N</t>
  </si>
  <si>
    <t>7.10_179.0704m/z</t>
  </si>
  <si>
    <t>Modiolide A</t>
  </si>
  <si>
    <t>LMFA07040142</t>
  </si>
  <si>
    <t>C1(=O)C=C[C@H](O)C=C[C@@H](O)C[C@@H](C)O1</t>
  </si>
  <si>
    <t>MKPZLFSGCUYQEY-JKPBTABPSA-N</t>
  </si>
  <si>
    <t>C10H14O4</t>
  </si>
  <si>
    <t>1.31_238.0321m/z</t>
  </si>
  <si>
    <t>Flosequinoxan</t>
  </si>
  <si>
    <t>HMDB0252317</t>
  </si>
  <si>
    <t>CN1C=C(C(=O)C2=C1C=C(F)C=C2)S(C)(=O)=O</t>
  </si>
  <si>
    <t>ZUMVHPMHCIKNFT-UHFFFAOYSA-N</t>
  </si>
  <si>
    <t>C11H10FNO3S</t>
  </si>
  <si>
    <t>6.33_635.3255m/z</t>
  </si>
  <si>
    <t>Ly171883</t>
  </si>
  <si>
    <t>88107-10-2</t>
  </si>
  <si>
    <t>CCCC1=C(C=CC(=C1O)C(=O)C)OCCCCC2=NNN=N2</t>
  </si>
  <si>
    <t>MWYHLEQJTQJHSS-UHFFFAOYSA-N</t>
  </si>
  <si>
    <t>3.49_243.0864m/z</t>
  </si>
  <si>
    <t>Acetyl-L-Carnitine</t>
  </si>
  <si>
    <t>LMFA07070050</t>
  </si>
  <si>
    <t>C02571</t>
  </si>
  <si>
    <t>ko04931</t>
  </si>
  <si>
    <t>Insulin resistance</t>
  </si>
  <si>
    <t>5080-50-2</t>
  </si>
  <si>
    <t>O(C(C)=O)[C@H](CC(=O)[O-])C[N+](C)(C)C</t>
  </si>
  <si>
    <t>RDHQFKQIGNGIED-MRVPVSSYSA-N</t>
  </si>
  <si>
    <t>C9H18NO4+</t>
  </si>
  <si>
    <t>5.90_595.3491m/z</t>
  </si>
  <si>
    <t>DG(8:0/20:5(7Z,9Z,11E,13E,17Z)-3OH(5,6,15)/0:0)</t>
  </si>
  <si>
    <t>HMDB0297203</t>
  </si>
  <si>
    <t>CCCCCCCC(=O)OC[C@H](CO)OC(=O)CCC[C@@H](O)[C@H](O)\C=C/C=C\C=C\C=C\[C@@H](O)C\C=C/CC</t>
  </si>
  <si>
    <t>REIHIDHUAPJLKE-SIJPLHDOSA-N</t>
  </si>
  <si>
    <t>C31H50O8</t>
  </si>
  <si>
    <t>4.33_483.1276m/z</t>
  </si>
  <si>
    <t>Silidianin</t>
  </si>
  <si>
    <t>HMDB0030584</t>
  </si>
  <si>
    <t>29782-68-1</t>
  </si>
  <si>
    <t>COC1=C(O)C=CC(=C1)C1C2COC3(O)C2C(CC1C3=O)C1OC2=CC(O)=CC(O)=C2C(=O)C1O</t>
  </si>
  <si>
    <t>RYFSLTQGWPBSRH-UHFFFAOYSA-N</t>
  </si>
  <si>
    <t>C25H24O10</t>
  </si>
  <si>
    <t>4.06_193.0497m/z</t>
  </si>
  <si>
    <t>Eudesmic Acid</t>
  </si>
  <si>
    <t>HMDB0033839</t>
  </si>
  <si>
    <t>118-41-2</t>
  </si>
  <si>
    <t>COC1=CC(=CC(OC)=C1OC)C(O)=O</t>
  </si>
  <si>
    <t>SJSOFNCYXJUNBT-UHFFFAOYSA-N</t>
  </si>
  <si>
    <t>5.64_431.2645m/z</t>
  </si>
  <si>
    <t>Butyl Butyryllactate</t>
  </si>
  <si>
    <t>HMDB0037137</t>
  </si>
  <si>
    <t>LMFA07010792</t>
  </si>
  <si>
    <t>7492-70-8</t>
  </si>
  <si>
    <t>CCCC(=O)OC(C)C(=O)OCCCC</t>
  </si>
  <si>
    <t>NORZZKKLCYMBBF-UHFFFAOYSA-N</t>
  </si>
  <si>
    <t>C11H20O4</t>
  </si>
  <si>
    <t>10.25_375.1558m/z</t>
  </si>
  <si>
    <t>Candidone</t>
  </si>
  <si>
    <t>CC(=CCC1=C2C(=C(C=C1OC)OC)C(=O)CC(O2)C3=CC=CC=C3)C</t>
  </si>
  <si>
    <t>JYESOAFLKFHYHP-SFHVURJKSA-N</t>
  </si>
  <si>
    <t>C22H24O4</t>
  </si>
  <si>
    <t>9.75_617.4200m/z</t>
  </si>
  <si>
    <t>PA(16:1(9Z)/14:1(9Z))</t>
  </si>
  <si>
    <t>HMDB0114853</t>
  </si>
  <si>
    <t>LMGP10010202</t>
  </si>
  <si>
    <t>[C@](COP(=O)(O)O)([H])(OC(CCCCCCC/C=C\CCCC)=O)COC(CCCCCCC/C=C\CCCCCC)=O</t>
  </si>
  <si>
    <t>QKJBYEDABOQTKS-XCVQYDNVSA-N</t>
  </si>
  <si>
    <t>C33H61O8P</t>
  </si>
  <si>
    <t>3.62_433.1350m/z</t>
  </si>
  <si>
    <t>Secologanin</t>
  </si>
  <si>
    <t>HMDB0304482</t>
  </si>
  <si>
    <t>LMPR0102070002</t>
  </si>
  <si>
    <t>C01852</t>
  </si>
  <si>
    <t>ko00901,ko00902,ko00950</t>
  </si>
  <si>
    <t>Indole alkaloid biosynthesis|Monoterpenoid biosynthesis|Isoquinoline alkaloid biosynthesis</t>
  </si>
  <si>
    <t>[C@@]1([H])(C=C)[C@@H](OC=C(C(=O)OC)[C@@]1([H])CC=O)O[C@H]1[C@H](O)[C@H]([C@H](O)[C@@H](CO)O1)O</t>
  </si>
  <si>
    <t>CSKKDSFETGLMSB-NRZPKYKESA-N</t>
  </si>
  <si>
    <t>10.09_546.2827m/z</t>
  </si>
  <si>
    <t>Chenodeoxycholylaspartic Acid</t>
  </si>
  <si>
    <t>HMDB0242402</t>
  </si>
  <si>
    <t>CC(CCC(=O)NC(CC(O)=O)C(O)=O)C1CCC2C3C(O)CC4CC(O)CCC4(C)C3CCC12C</t>
  </si>
  <si>
    <t>TZJSDNVVGFIRIY-UHFFFAOYSA-N</t>
  </si>
  <si>
    <t>C28H45NO7</t>
  </si>
  <si>
    <t>0.78_166.0631n</t>
  </si>
  <si>
    <t>Tropate</t>
  </si>
  <si>
    <t>HMDB0062590</t>
  </si>
  <si>
    <t>C01456</t>
  </si>
  <si>
    <t>552-63-6</t>
  </si>
  <si>
    <t>OCC(C(O)=O)C1=CC=CC=C1</t>
  </si>
  <si>
    <t>JACRWUWPXAESPB-UHFFFAOYSA-N</t>
  </si>
  <si>
    <t>3.51_319.0924m/z</t>
  </si>
  <si>
    <t>DHAP(8:0)</t>
  </si>
  <si>
    <t>HMDB0011685</t>
  </si>
  <si>
    <t>CCCCCCCC(=O)OCC(=O)COP(O)(O)=O</t>
  </si>
  <si>
    <t>PQQGELFARUCGEM-UHFFFAOYSA-N</t>
  </si>
  <si>
    <t>C11H21O7P</t>
  </si>
  <si>
    <t>4.95_477.1721m/z</t>
  </si>
  <si>
    <t>2'-Deoxy-2'-Methylenecytidine</t>
  </si>
  <si>
    <t>HMDB0245533</t>
  </si>
  <si>
    <t>NC1=NC(=O)N(C=C1)C1OC(CO)C(O)C1=C</t>
  </si>
  <si>
    <t>PULHLIOPJXPGJN-UHFFFAOYSA-N</t>
  </si>
  <si>
    <t>C10H13N3O4</t>
  </si>
  <si>
    <t>11.18_264.2452n</t>
  </si>
  <si>
    <t>9,12,15-Octadecatrien-1-Ol</t>
  </si>
  <si>
    <t>LMFA05000216</t>
  </si>
  <si>
    <t>OCCCCCCCC/C=C/C/C=C/C/C=C/CC</t>
  </si>
  <si>
    <t>IKYKEVDKGZYRMQ-IUQGRGSQSA-N</t>
  </si>
  <si>
    <t>4.67_408.2507m/z</t>
  </si>
  <si>
    <t>PE(14:0/0:0)</t>
  </si>
  <si>
    <t>HMDB0011500</t>
  </si>
  <si>
    <t>LMGP02050003</t>
  </si>
  <si>
    <t>[C@](COP(=O)(O)OCCN)([H])(O)COC(CCCCCCCCCCCCC)=O</t>
  </si>
  <si>
    <t>RPXHXZNGZBHSMJ-GOSISDBHSA-N</t>
  </si>
  <si>
    <t>C19H40NO7P</t>
  </si>
  <si>
    <t>1.52_333.0808m/z</t>
  </si>
  <si>
    <t>2,8-Dihydroxyadenine</t>
  </si>
  <si>
    <t>HMDB0000401</t>
  </si>
  <si>
    <t>30377-37-8</t>
  </si>
  <si>
    <t>NC1=NC(O)=NC2=C1NC(O)=N2</t>
  </si>
  <si>
    <t>XFBOJHLYDJZYSP-UHFFFAOYSA-N</t>
  </si>
  <si>
    <t>C5H5N5O2</t>
  </si>
  <si>
    <t>5.43_469.1711m/z</t>
  </si>
  <si>
    <t>Taraxinic Acid Glucosyl Ester</t>
  </si>
  <si>
    <t>HMDB0035249</t>
  </si>
  <si>
    <t>75911-14-7</t>
  </si>
  <si>
    <t>C\C1=C\C2OC(=O)C(=C)C2CC\C(=C/CC1)C(=O)OC1OC(CO)C(O)C(O)C1O</t>
  </si>
  <si>
    <t>SIOXYUXOHTZOOM-INAGUISBSA-N</t>
  </si>
  <si>
    <t>C21H28O9</t>
  </si>
  <si>
    <t>3.79_731.2286m/z</t>
  </si>
  <si>
    <t>Ridogrel</t>
  </si>
  <si>
    <t>HMDB0015338</t>
  </si>
  <si>
    <t>110140-89-1</t>
  </si>
  <si>
    <t>OC(=O)CCCCO\N=C(\C1=CN=CC=C1)C1=CC(=CC=C1)C(F)(F)F</t>
  </si>
  <si>
    <t>GLLPUTYLZIKEGF-HAVVHWLPSA-N</t>
  </si>
  <si>
    <t>C18H17F3N2O3</t>
  </si>
  <si>
    <t>9.92_295.2511n</t>
  </si>
  <si>
    <t>(4e,8e,10e-D18:3)Sphingosine</t>
  </si>
  <si>
    <t>LMSP01080013</t>
  </si>
  <si>
    <t>C([C@H](N)[C@H](O)/C=C/CC/C=C/C=C/CCCCCCC)O</t>
  </si>
  <si>
    <t>PZVYDNWEQXJZPQ-IYAOGOEGSA-N</t>
  </si>
  <si>
    <t>C18H33NO2</t>
  </si>
  <si>
    <t>3.88_579.2032m/z</t>
  </si>
  <si>
    <t>Glaucarubolone 15-O-Beta-D-Glucopyranoside</t>
  </si>
  <si>
    <t>HMDB0035036</t>
  </si>
  <si>
    <t>89202-76-6</t>
  </si>
  <si>
    <t>CC1C(O)C2(O)OCC34C2C2(C)C(O)C(=O)C=C(C)C2CC3OC(=O)C(OC2OC(CO)C(O)C(O)C2O)C14</t>
  </si>
  <si>
    <t>JHMBJTQGIQFIOP-UHFFFAOYSA-N</t>
  </si>
  <si>
    <t>4.67_228.0637m/z</t>
  </si>
  <si>
    <t>Asparaginylaspartic Acid</t>
  </si>
  <si>
    <t>HMDB0028727</t>
  </si>
  <si>
    <t>61365-15-9</t>
  </si>
  <si>
    <t>N[C@@H](CC(N)=O)C(=O)N[C@@H](CC(O)=O)C(O)=O</t>
  </si>
  <si>
    <t>HZYFHQOWCFUSOV-IMJSIDKUSA-N</t>
  </si>
  <si>
    <t>C8H13N3O6</t>
  </si>
  <si>
    <t>10.14_989.2763n</t>
  </si>
  <si>
    <t>6-Hydroxytrtradeca-8,11-Dienoyl-Coa</t>
  </si>
  <si>
    <t>HMDB0301166</t>
  </si>
  <si>
    <t>CCC=CCC=CCC(O)CCCCC(=O)SCCNC(=O)CCNC(=O)C(O)C(C)(C)COP(O)(=O)OP(O)(=O)OCC1OC(C(O)C1OP(O)(O)=O)N1C=NC2=C1N=CN=C2N</t>
  </si>
  <si>
    <t>LRTWEIQRSQALDP-UHFFFAOYSA-N</t>
  </si>
  <si>
    <t>C35H58N7O18P3S</t>
  </si>
  <si>
    <t>11.95_293.1790m/z</t>
  </si>
  <si>
    <t>Sodium Tetradecyl Sulfate</t>
  </si>
  <si>
    <t>HMDB0014607</t>
  </si>
  <si>
    <t>1191-50-0</t>
  </si>
  <si>
    <t>[H]OS(=O)(=O)OC([H])([H])C([H])([H])C([H])([H])C([H])([H])C([H])([H])C([H])([H])C([H])([H])C([H])([H])C([H])([H])C([H])([H])C([H])([H])C([H])([H])C([H])([H])C([H])([H])[H]</t>
  </si>
  <si>
    <t>URLJMZWTXZTZRR-UHFFFAOYSA-N</t>
  </si>
  <si>
    <t>C14H30O4S</t>
  </si>
  <si>
    <t>5.01_509.2970m/z</t>
  </si>
  <si>
    <t>Dimethametryn</t>
  </si>
  <si>
    <t>C18537</t>
  </si>
  <si>
    <t>22936-75-0</t>
  </si>
  <si>
    <t>CCNC1=NC(=NC(=N1)SC)NC(C)C(C)C</t>
  </si>
  <si>
    <t>IKYICRRUVNIHPP-UHFFFAOYSA-N</t>
  </si>
  <si>
    <t>C11H21N5S</t>
  </si>
  <si>
    <t>5.23_209.0787m/z</t>
  </si>
  <si>
    <t>L-Serine</t>
  </si>
  <si>
    <t>HMDB0000187</t>
  </si>
  <si>
    <t>C00065</t>
  </si>
  <si>
    <t>ko00260,ko00261,ko00270,ko00460,ko00470,ko00564,ko00600,ko00630,ko00680,ko00920,ko00970,ko00997,ko01502,ko02010,ko04071,ko04974,ko04978,ko05230</t>
  </si>
  <si>
    <t>Glycine, serine and threonine metabolism|Monobactam biosynthesis|Cysteine and methionine metabolism|Cyanoamino acid metabolism|D-Amino acid metabolism|Glycerophospholipid metabolism|Sphingolipid metabolism|Glyoxylate and dicarboxylate metabolism|Methane metabolism|Sulfur metabolism|Aminoacyl-tRNA biosynthesis|Biosynthesis of various secondary metabolites - part 3|Vancomycin resistance|ABC transporters|Sphingolipid signaling pathway|Protein digestion and absorption|Mineral absorption|Central carbon metabolism in cancer</t>
  </si>
  <si>
    <t>56-45-1</t>
  </si>
  <si>
    <t>N[C@@H](CO)C(O)=O</t>
  </si>
  <si>
    <t>MTCFGRXMJLQNBG-REOHCLBHSA-N</t>
  </si>
  <si>
    <t>C3H7NO3</t>
  </si>
  <si>
    <t>0.69_180.9039m/z</t>
  </si>
  <si>
    <t>Disodium Phosphate</t>
  </si>
  <si>
    <t>HMDB0303425</t>
  </si>
  <si>
    <t>C13558</t>
  </si>
  <si>
    <t>[Na+].[Na+].OP([O-])([O-])=O</t>
  </si>
  <si>
    <t>BNIILDVGGAEEIG-UHFFFAOYSA-L</t>
  </si>
  <si>
    <t>HNa2O4P</t>
  </si>
  <si>
    <t>10.54_259.0006m/z</t>
  </si>
  <si>
    <t>2-Mercapto-3-Phenylthieno[3,2-D]Pyrimidin-4(3h)-One</t>
  </si>
  <si>
    <t>HMDB0246169</t>
  </si>
  <si>
    <t>O=C1N(C(=S)NC2=C1SC=C2)C1=CC=CC=C1</t>
  </si>
  <si>
    <t>HTRUBLMPPVBOHG-UHFFFAOYSA-N</t>
  </si>
  <si>
    <t>C12H8N2OS2</t>
  </si>
  <si>
    <t>4.41_404.1658n</t>
  </si>
  <si>
    <t>Osajin</t>
  </si>
  <si>
    <t>LMPK12050201</t>
  </si>
  <si>
    <t>C10511</t>
  </si>
  <si>
    <t>482-53-1</t>
  </si>
  <si>
    <t>C12OC(C)(C)C=CC=1C1OC=C(C3=CC=C(O)C=C3)C(=O)C=1C(O)=C2C/C=C(/C)\C</t>
  </si>
  <si>
    <t>DCTLJGWMHPGCOS-UHFFFAOYSA-N</t>
  </si>
  <si>
    <t>C25H24O5</t>
  </si>
  <si>
    <t>3.68_268.1182n</t>
  </si>
  <si>
    <t>Pentostatin</t>
  </si>
  <si>
    <t>HMDB0014692</t>
  </si>
  <si>
    <t>C02267</t>
  </si>
  <si>
    <t>53910-25-1</t>
  </si>
  <si>
    <t>OC[C@H]1O[C@H](C[C@@H]1O)N1C=NC2=C1N=CNC[C@H]2O</t>
  </si>
  <si>
    <t>FPVKHBSQESCIEP-JQCXWYLXSA-N</t>
  </si>
  <si>
    <t>Imidazodiazepines</t>
  </si>
  <si>
    <t>C11H16N4O4</t>
  </si>
  <si>
    <t>4.79_771.2499m/z</t>
  </si>
  <si>
    <t>Methyl 6-Methyl-3-(2-Methylpropyl)-4-(3-Nitrophenyl)-4,7-Dihydrothieno[2,3-B]Pyridine-5-Carboxylate</t>
  </si>
  <si>
    <t>HMDB0244458</t>
  </si>
  <si>
    <t>COC(=O)C1=C(C)NC2=C(C1C1=CC(=CC=C1)[N+]([O-])=O)C(CC(C)C)=CS2</t>
  </si>
  <si>
    <t>UTLPUICHKZBRCI-UHFFFAOYSA-N</t>
  </si>
  <si>
    <t>C20H22N2O4S</t>
  </si>
  <si>
    <t>7.30_253.0926m/z</t>
  </si>
  <si>
    <t>Ammeline</t>
  </si>
  <si>
    <t>C08733</t>
  </si>
  <si>
    <t>645-92-1</t>
  </si>
  <si>
    <t>C1(=NC(=O)N=C(N1)N)N</t>
  </si>
  <si>
    <t>MASBWURJQFFLOO-UHFFFAOYSA-N</t>
  </si>
  <si>
    <t>Triazinones</t>
  </si>
  <si>
    <t>C3H5N5O</t>
  </si>
  <si>
    <t>11.04_853.5085m/z</t>
  </si>
  <si>
    <t>PI(16:0/16:1(9Z))</t>
  </si>
  <si>
    <t>HMDB0009779</t>
  </si>
  <si>
    <t>[H][C@@](COC(=O)CCCCCCCCCCCCCCC)(COP(O)(=O)O[C@H]1C(O)C(O)C(O)[C@@H](O)C1O)OC(=O)CCCCCCC\C=C/CCCCCC</t>
  </si>
  <si>
    <t>QAWXBJDYTIBLRK-KHSFEHQMSA-N</t>
  </si>
  <si>
    <t>4.40_323.0759m/z</t>
  </si>
  <si>
    <t>Cytidine 2',3'-Cyclic Phosphate</t>
  </si>
  <si>
    <t>HMDB0011691</t>
  </si>
  <si>
    <t>C00127</t>
  </si>
  <si>
    <t>ko00480,ko04216,ko04918,ko05208,ko05415</t>
  </si>
  <si>
    <t>Glutathione metabolism|Ferroptosis|Thyroid hormone synthesis|Chemical carcinogenesis - reactive oxygen species|Diabetic cardiomyopathy</t>
  </si>
  <si>
    <t>15718-51-1</t>
  </si>
  <si>
    <t>NC1=NC(=O)N(C=C1)C1O[C@H](CO)[C@H]2OP(O)(=O)O[C@@H]12</t>
  </si>
  <si>
    <t>NMPZCCZXCOMSDQ-ZRTZXPPTSA-N</t>
  </si>
  <si>
    <t>Cyclic pyrimidine nucleotides</t>
  </si>
  <si>
    <t>C9H12N3O7P</t>
  </si>
  <si>
    <t>9.55_753.3314m/z</t>
  </si>
  <si>
    <t>Scillipheosidin 3-[Glucosyl-(1-&gt;2)-Rhamnoside]</t>
  </si>
  <si>
    <t>HMDB0036946</t>
  </si>
  <si>
    <t>261158-68-3</t>
  </si>
  <si>
    <t>CC1OC(OC2CCC3(C)C4CC(O)C5(C)C(CCC5(O)C4CCC3=C2)C2=COC(=O)C=C2)C(OC2OC(CO)C(O)C(O)C2O)C(O)C1O</t>
  </si>
  <si>
    <t>AZXOOWUNELCFPH-UHFFFAOYSA-N</t>
  </si>
  <si>
    <t>C36H52O14</t>
  </si>
  <si>
    <t>4.28_486.0462m/z</t>
  </si>
  <si>
    <t>Tizoxanide Glucuronide</t>
  </si>
  <si>
    <t>HMDB0060643</t>
  </si>
  <si>
    <t>O[C@H]1C(OC2=CC=CC=C2C(=O)NC2=NC=C(S2)[N+]([O-])=O)O[C@@H]([C@@H](O)[C@@H]1O)C(O)=O</t>
  </si>
  <si>
    <t>UJTOVSZPBVTOMC-VDQYPUQXSA-N</t>
  </si>
  <si>
    <t>C16H15N3O10S</t>
  </si>
  <si>
    <t>5.07_191.1066m/z</t>
  </si>
  <si>
    <t>1-(4-Methoxyphenyl)-1-Penten-3-One</t>
  </si>
  <si>
    <t>HMDB0030905</t>
  </si>
  <si>
    <t>104-27-8</t>
  </si>
  <si>
    <t>CCC(=O)\C=C\C1=CC=C(OC)C=C1</t>
  </si>
  <si>
    <t>SLDQOBRACOQXGE-QPJJXVBHSA-N</t>
  </si>
  <si>
    <t>C12H14O2</t>
  </si>
  <si>
    <t>5.86_703.2381m/z</t>
  </si>
  <si>
    <t>Triflupromazine</t>
  </si>
  <si>
    <t>HMDB0014650</t>
  </si>
  <si>
    <t>146-54-3</t>
  </si>
  <si>
    <t>CN(C)CCCN1C2=CC=CC=C2SC2=C1C=C(C=C2)C(F)(F)F</t>
  </si>
  <si>
    <t>XSCGXQMFQXDFCW-UHFFFAOYSA-N</t>
  </si>
  <si>
    <t>C18H19F3N2S</t>
  </si>
  <si>
    <t>1.06_385.0379m/z</t>
  </si>
  <si>
    <t>S-(Allylthio)-L-Cysteine</t>
  </si>
  <si>
    <t>HMDB0038669</t>
  </si>
  <si>
    <t>2281-22-3</t>
  </si>
  <si>
    <t>NC(CSSCC=C)C(O)=O</t>
  </si>
  <si>
    <t>WYQZZUUUOXNSCS-UHFFFAOYSA-N</t>
  </si>
  <si>
    <t>C6H11NO2S2</t>
  </si>
  <si>
    <t>9.65_439.1992m/z</t>
  </si>
  <si>
    <t>Jp83</t>
  </si>
  <si>
    <t>C1=CC=C(C=C1)CCCCCCNC(=O)OC2=CC=CC(=C2)C3=CC(=CC=C3)C(=O)N</t>
  </si>
  <si>
    <t>JMLPLSJWSHVJLP-UHFFFAOYSA-N</t>
  </si>
  <si>
    <t>C26H28N2O3</t>
  </si>
  <si>
    <t>5.23_183.1167m/z</t>
  </si>
  <si>
    <t>2-(2-Methylpropoxy)Naphthalene</t>
  </si>
  <si>
    <t>HMDB0035076</t>
  </si>
  <si>
    <t>2173-57-1</t>
  </si>
  <si>
    <t>CC(C)COC1=CC2=CC=CC=C2C=C1</t>
  </si>
  <si>
    <t>XOHIHZHSDMWWMS-UHFFFAOYSA-N</t>
  </si>
  <si>
    <t>C14H16O</t>
  </si>
  <si>
    <t>4.08_316.0824m/z</t>
  </si>
  <si>
    <t>Acetaminosalol</t>
  </si>
  <si>
    <t>118-57-0</t>
  </si>
  <si>
    <t>CC(=O)NC1=CC=C(C=C1)OC(=O)C2=CC=CC=C2O</t>
  </si>
  <si>
    <t>TWIIVLKQFJBFPW-UHFFFAOYSA-N</t>
  </si>
  <si>
    <t>C15H13NO4</t>
  </si>
  <si>
    <t>0.69_225.0999m/z</t>
  </si>
  <si>
    <t xml:space="preserve"> Pentamethylene Bisacetamide</t>
  </si>
  <si>
    <t>CC(=O)NCCCCCNC(=O)C</t>
  </si>
  <si>
    <t>FQKKPLXFGDCBJT-UHFFFAOYSA-N</t>
  </si>
  <si>
    <t>C9H18N2O2</t>
  </si>
  <si>
    <t>9.96_826.4934m/z</t>
  </si>
  <si>
    <t>Calenduloside G Methyl Ester</t>
  </si>
  <si>
    <t>HMDB0041018</t>
  </si>
  <si>
    <t>155740-15-1</t>
  </si>
  <si>
    <t>COC(=O)C1OC(OC2CCC3(C)C(CCC4(C)C3CC=C3C5CC(C)(C)CCC5(CCC43C)C(O)=O)C2(C)C)C(O)C(OC2OC(CO)C(O)C(O)C2O)C1O</t>
  </si>
  <si>
    <t>LZWQMJKDWBMYDJ-UHFFFAOYSA-N</t>
  </si>
  <si>
    <t>C43H68O14</t>
  </si>
  <si>
    <t>11.35_590.4260m/z</t>
  </si>
  <si>
    <t>Ic202a</t>
  </si>
  <si>
    <t>LMFA08020182</t>
  </si>
  <si>
    <t>C(N)CCCCN(O)C(CCC(=O)NCCCCCN(C(=O)CCC(=O)NCCCC[N+]([O-])=C([H])CCCC)O)=O</t>
  </si>
  <si>
    <t>BVRULQCEMCYBAM-UHFFFAOYSA-N</t>
  </si>
  <si>
    <t>C27H52N6O7</t>
  </si>
  <si>
    <t>9.97_523.0231m/z</t>
  </si>
  <si>
    <t>Homovanillic Acid Sulfate</t>
  </si>
  <si>
    <t>HMDB0011719</t>
  </si>
  <si>
    <t>38339-06-9</t>
  </si>
  <si>
    <t>COC1=C(OS(O)(=O)=O)C=CC(CC(O)=O)=C1</t>
  </si>
  <si>
    <t>IACOAKYXFIWAQN-UHFFFAOYSA-N</t>
  </si>
  <si>
    <t>C9H10O7S</t>
  </si>
  <si>
    <t>9.13_961.4645m/z</t>
  </si>
  <si>
    <t>Dofequidar</t>
  </si>
  <si>
    <t>HMDB0251575</t>
  </si>
  <si>
    <t>OC(COC1=CC=CC2=C1C=CC=N2)CN1CCN(CC1)C(=O)C(C1=CC=CC=C1)C1=CC=CC=C1</t>
  </si>
  <si>
    <t>KLWUUPVJTLHYIM-UHFFFAOYSA-N</t>
  </si>
  <si>
    <t>C30H31N3O3</t>
  </si>
  <si>
    <t>3.43_688.1829m/z</t>
  </si>
  <si>
    <t>N-Acetyl-N-[1-(1,1'-Biphenyl-4-Ylmethyl)-2-Oxoazepan-3-Yl]-3,4-Diphosphonophenylalaninamide</t>
  </si>
  <si>
    <t>HMDB0257351</t>
  </si>
  <si>
    <t>CC(=O)NC(CC1=CC(=C(C=C1)P(O)(O)=O)P(O)(O)=O)C(=O)NC1CCCCN(CC2=CC=C(C=C2)C2=CC=CC=C2)C1=O</t>
  </si>
  <si>
    <t>WCMLXBUNHNAMNH-UHFFFAOYSA-N</t>
  </si>
  <si>
    <t>C30H35N3O9P2</t>
  </si>
  <si>
    <t>8.36_785.2580m/z</t>
  </si>
  <si>
    <t>Tifluadom</t>
  </si>
  <si>
    <t>HMDB0259086</t>
  </si>
  <si>
    <t>C11797</t>
  </si>
  <si>
    <t>83386-35-0</t>
  </si>
  <si>
    <t>CN1C(CNC(=O)C2=CSC=C2)CN=C(C2=CC=CC=C2F)C2=CC=CC=C12</t>
  </si>
  <si>
    <t>NPGABYHTDVGGJK-UHFFFAOYSA-N</t>
  </si>
  <si>
    <t>C22H20FN3OS</t>
  </si>
  <si>
    <t>0.72_106.0497m/z</t>
  </si>
  <si>
    <t>D-Serine</t>
  </si>
  <si>
    <t>HMDB0003406</t>
  </si>
  <si>
    <t>C00740</t>
  </si>
  <si>
    <t>ko00260,ko00470,ko01502,ko04742</t>
  </si>
  <si>
    <t>Glycine, serine and threonine metabolism|D-Amino acid metabolism|Vancomycin resistance|Taste transduction</t>
  </si>
  <si>
    <t>312-84-5</t>
  </si>
  <si>
    <t>N[C@H](CO)C(O)=O</t>
  </si>
  <si>
    <t>MTCFGRXMJLQNBG-UWTATZPHSA-N</t>
  </si>
  <si>
    <t>10.38_131.0467m/z</t>
  </si>
  <si>
    <t>P-Cresol</t>
  </si>
  <si>
    <t>HMDB0001858</t>
  </si>
  <si>
    <t>C01468</t>
  </si>
  <si>
    <t>ko00623,ko00633,ko04974</t>
  </si>
  <si>
    <t>Toluene degradation|Nitrotoluene degradation|Protein digestion and absorption</t>
  </si>
  <si>
    <t>106-44-5</t>
  </si>
  <si>
    <t>CC1=CC=C(O)C=C1</t>
  </si>
  <si>
    <t>IWDCLRJOBJJRNH-UHFFFAOYSA-N</t>
  </si>
  <si>
    <t>C7H8O</t>
  </si>
  <si>
    <t>4.13_581.1462m/z</t>
  </si>
  <si>
    <t>Vaccinoside</t>
  </si>
  <si>
    <t>HMDB0034733</t>
  </si>
  <si>
    <t>36138-58-6</t>
  </si>
  <si>
    <t>C1=CC(C2C1C(=COC2OC3C(C(C(C(O3)CO)O)O)O)C(=O)O)(COC(=O)C=CC4=CC=C(C=C4)O)O</t>
  </si>
  <si>
    <t>WJPRKOJNQIZCGY-OZOLURDPSA-N</t>
  </si>
  <si>
    <t>4.10_789.3158m/z</t>
  </si>
  <si>
    <t>Ketanserin</t>
  </si>
  <si>
    <t>HMDB0253783</t>
  </si>
  <si>
    <t>C07464</t>
  </si>
  <si>
    <t>74050-98-9</t>
  </si>
  <si>
    <t>FC1=CC=C(C=C1)C(=O)C1CCN(CCN2C(=O)NC3=CC=CC=C3C2=O)CC1</t>
  </si>
  <si>
    <t>FPCCSQOGAWCVBH-UHFFFAOYSA-N</t>
  </si>
  <si>
    <t>C22H22FN3O3</t>
  </si>
  <si>
    <t>0.83_353.0139m/z</t>
  </si>
  <si>
    <t>5'-Phosphoribosyl-N-Formylglycinamide</t>
  </si>
  <si>
    <t>HMDB0001308</t>
  </si>
  <si>
    <t>C04376</t>
  </si>
  <si>
    <t>349-34-8</t>
  </si>
  <si>
    <t>O[C@H]1[C@@H](O)[C@H](NC(=O)CNC=O)O[C@@H]1COP(O)(O)=O</t>
  </si>
  <si>
    <t>VDXLUNDMVKSKHO-XVFCMESISA-N</t>
  </si>
  <si>
    <t>Glycinamide ribonucleotides</t>
  </si>
  <si>
    <t>C8H15N2O9P</t>
  </si>
  <si>
    <t>8.43_1024.3089m/z</t>
  </si>
  <si>
    <t>Trans-2-Enoyl-Opc8-Coa</t>
  </si>
  <si>
    <t>HMDB0011122</t>
  </si>
  <si>
    <t>C16328</t>
  </si>
  <si>
    <t>CC\C=C/C[C@@H]1C(=O)CCC1CCCCC\C=C\C(=O)SCCNC(=O)CCNC(=O)[C@@](O)([H])C(C)(C)COP(=O)(O)OP(=O)(O)OC[C@H]1O[C@H](C(O)[C@H]1OP(=O)(O)O)N1C=NC2=C1N=CN=C2N</t>
  </si>
  <si>
    <t>WDBPMRZYBZCIQE-GQHYLMBESA-N</t>
  </si>
  <si>
    <t>C39H62N7O18P3S</t>
  </si>
  <si>
    <t>3.84_655.1874m/z</t>
  </si>
  <si>
    <t>Hesperidin</t>
  </si>
  <si>
    <t>HMDB03265</t>
  </si>
  <si>
    <t>LMPK12140451</t>
  </si>
  <si>
    <t>C09755</t>
  </si>
  <si>
    <t>520-26-3</t>
  </si>
  <si>
    <t>C1(O[C@H]2[C@H](O)[C@@H](O)[C@H](O)[C@@H](CO[C@H]3[C@H](O)[C@H](O)[C@@H](O)[C@H](C)O3)O2)C=C2O[C@]([H])(C3C=CC(OC)=C(O)C=3)CC(=O)C2=C(O)C=1</t>
  </si>
  <si>
    <t>QUQPHWDTPGMPEX-QJBIFVCTSA-N</t>
  </si>
  <si>
    <t>4.56_711.2862m/z</t>
  </si>
  <si>
    <t>Xi-3-Hydroxy-5-Phenylpentanoic Acid O-Beta-D-Glucopyranoside</t>
  </si>
  <si>
    <t>HMDB0031695</t>
  </si>
  <si>
    <t>OCC1OC(OC(CCC2=CC=CC=C2)CC(O)=O)C(O)C(O)C1O</t>
  </si>
  <si>
    <t>HRYIDVZLDQBLFF-UHFFFAOYSA-N</t>
  </si>
  <si>
    <t>C17H24O8</t>
  </si>
  <si>
    <t>3.83_121.0283m/z</t>
  </si>
  <si>
    <t>3,6-Dihydroxycyclohepta-2,4,6-Trien-1-One</t>
  </si>
  <si>
    <t>HMDB0260262</t>
  </si>
  <si>
    <t>OC1=CC(=O)C=C(O)C=C1</t>
  </si>
  <si>
    <t>CPXFBGBTVDGTBZ-UHFFFAOYSA-N</t>
  </si>
  <si>
    <t>9.28_915.4584m/z</t>
  </si>
  <si>
    <t>Capsicoside C3</t>
  </si>
  <si>
    <t>HMDB0040950</t>
  </si>
  <si>
    <t>125456-10-2</t>
  </si>
  <si>
    <t>CC1C2C(CC3C4CC=C5CC(CCC5(C)C4CCC23C)OC2OC(CO)C(OC3OC(CO)C(O)C(OC4OCC(O)C(O)C4O)C3O)C(O)C2O)OC11CCC(C)CO1</t>
  </si>
  <si>
    <t>OKFUWWZDPLSBLG-UHFFFAOYSA-N</t>
  </si>
  <si>
    <t>C44H70O17</t>
  </si>
  <si>
    <t>8.76_291.1933m/z</t>
  </si>
  <si>
    <t>(1r,2r)-3-Oxo-2-Pentyl-Cyclopentanehexanoic Acid</t>
  </si>
  <si>
    <t>LMFA02010014</t>
  </si>
  <si>
    <t>C(O)(=O)CCCCC[C@H]1[C@@H](CCCCC)C(=O)CC1</t>
  </si>
  <si>
    <t>MTWJEFNRVOYKJI-ZIAGYGMSSA-N</t>
  </si>
  <si>
    <t>14.36_195.9990m/z</t>
  </si>
  <si>
    <t>Sodium Dihydrogen Citrate</t>
  </si>
  <si>
    <t>HMDB0303750</t>
  </si>
  <si>
    <t>[Na+].OC(=O)CC(O)(CC(O)=O)C(O)=O</t>
  </si>
  <si>
    <t>HWPKGOGLCKPRLZ-UHFFFAOYSA-N</t>
  </si>
  <si>
    <t>C6H8NaO7+</t>
  </si>
  <si>
    <t>11.48_558.3020m/z</t>
  </si>
  <si>
    <t>6,19-Epidioxy-26,26,26,27,27,27-Hexafluoro-25-Hydroxy-6,19-Dihydrovitamin D3</t>
  </si>
  <si>
    <t>LMST03020087</t>
  </si>
  <si>
    <t>[C@@H]1(O)CC2C(OOCC=2CC1)/C=C1/[C@]2([H])CC[C@@]([C@@](C)([H])CCCC(O)(C(F)(F)F)C(F)(F)F)([H])[C@@]2(C)CCC/1</t>
  </si>
  <si>
    <t>PZXHPUCNJAGWRH-YVUUEZKQSA-N</t>
  </si>
  <si>
    <t>C27H38F6O4</t>
  </si>
  <si>
    <t>5.47_432.1417n</t>
  </si>
  <si>
    <t>5,6,7,8,3',4',5'-Heptamethoxyflavone</t>
  </si>
  <si>
    <t>LMPK12111494</t>
  </si>
  <si>
    <t>C14953</t>
  </si>
  <si>
    <t>C1(OC)=C(OC)C2OC(C3C=C(OC)C(OC)=C(OC)C=3)=CC(=O)C=2C(OC)=C1OC</t>
  </si>
  <si>
    <t>UAELIRBOLQZEAT-UHFFFAOYSA-N</t>
  </si>
  <si>
    <t>C22H24O9</t>
  </si>
  <si>
    <t>4.63_599.1166m/z</t>
  </si>
  <si>
    <t>C.i. Acid Green 50</t>
  </si>
  <si>
    <t>HMDB0033390</t>
  </si>
  <si>
    <t>25317-10-6</t>
  </si>
  <si>
    <t>CN(C)C1=CC=C(C=C1)C(=C1C=CC(C=C1)=[N+](C)C)C1=C(O)C(=CC2=C1C=CC(=C2)S(O)(=O)=O)S([O-])(=O)=O</t>
  </si>
  <si>
    <t>QEFJYMFUMVHTBR-UHFFFAOYSA-N</t>
  </si>
  <si>
    <t>Sulfonated stilbenes</t>
  </si>
  <si>
    <t>C27H26N2O7S2</t>
  </si>
  <si>
    <t>10.09_444.3619m/z</t>
  </si>
  <si>
    <t>Perifosine</t>
  </si>
  <si>
    <t>HMDB0256342</t>
  </si>
  <si>
    <t>CCCCCCCCCCCCCCCCCCOP([O-])(=O)OC1CC[N+](C)(C)CC1</t>
  </si>
  <si>
    <t>SZFPYBIJACMNJV-UHFFFAOYSA-N</t>
  </si>
  <si>
    <t>C25H52NO4P</t>
  </si>
  <si>
    <t>1.20_196.9801m/z</t>
  </si>
  <si>
    <t>Phenyl Phosphonothioate</t>
  </si>
  <si>
    <t>HMDB0256424</t>
  </si>
  <si>
    <t>OP(O)(=S)C1=CC=CC=C1</t>
  </si>
  <si>
    <t>NAKDJXIEBCHXIZ-UHFFFAOYSA-N</t>
  </si>
  <si>
    <t>C6H7O2PS</t>
  </si>
  <si>
    <t>7.57_221.0814m/z</t>
  </si>
  <si>
    <t>Tert-Butyl Hydrogen Phthalate</t>
  </si>
  <si>
    <t>CC(C)(C)OC(=O)C1=CC=CC=C1C(=O)O</t>
  </si>
  <si>
    <t>PBUQZKXKYSAJDO-UHFFFAOYSA-N</t>
  </si>
  <si>
    <t>3.98_316.0949n</t>
  </si>
  <si>
    <t>Neobyakangelicol</t>
  </si>
  <si>
    <t>HMDB0302539</t>
  </si>
  <si>
    <t>C17126</t>
  </si>
  <si>
    <t>COC1=C2C=COC2=C(OCC(O)C(C)=C)C2=C1C=CC(=O)O2</t>
  </si>
  <si>
    <t>UBAMGTKSOKGECF-UHFFFAOYSA-N</t>
  </si>
  <si>
    <t>C17H16O6</t>
  </si>
  <si>
    <t>1.74_207.1104m/z</t>
  </si>
  <si>
    <t>(3s,6s)-3-Methyl-6-(2-Methylpropyl)Piperazine-2,5-Dione</t>
  </si>
  <si>
    <t>CC1C(=O)NC(C(=O)N1)CC(C)C</t>
  </si>
  <si>
    <t>DBJPZCJQDRPOME-BQBZGAKWSA-N</t>
  </si>
  <si>
    <t>C9H16N2O2</t>
  </si>
  <si>
    <t>5.01_602.2358n</t>
  </si>
  <si>
    <t>5,4'-Dihydroxy-6-C-Prenylflavanone 4'-Xylosyl-(1-&gt;2)-Rhamnoside</t>
  </si>
  <si>
    <t>LMPK12140101</t>
  </si>
  <si>
    <t>C1C(C/C=C(\C)/C)=C(O)C2C(=O)CC(C3C=CC(O[C@H]4[C@H](O[C@H]5[C@H](O)[C@@H](O)[C@H](O)CO5)[C@H](O)[C@@H](O)[C@H](C)O4)=CC=3)OC=2C=1</t>
  </si>
  <si>
    <t>ZJJKXIQHONOIPV-CQKPLMTESA-N</t>
  </si>
  <si>
    <t>C31H38O12</t>
  </si>
  <si>
    <t>9.34_338.9884m/z</t>
  </si>
  <si>
    <t>(1-Hydroxy-3-Oxopropan-2-Yl) Dihydrogen Phosphate</t>
  </si>
  <si>
    <t>HMDB0242284</t>
  </si>
  <si>
    <t>130998-65-1</t>
  </si>
  <si>
    <t>OCC(OP(O)(O)=O)C=O</t>
  </si>
  <si>
    <t>XWNOCINUJAJTTH-UHFFFAOYSA-N</t>
  </si>
  <si>
    <t>C3H7O6P</t>
  </si>
  <si>
    <t>1.08_202.1436m/z</t>
  </si>
  <si>
    <t>Capryloylglycine</t>
  </si>
  <si>
    <t>HMDB0000832</t>
  </si>
  <si>
    <t>14246-53-8</t>
  </si>
  <si>
    <t>CCCCCCCC(=O)NCC(O)=O</t>
  </si>
  <si>
    <t>SAVLIIGUQOSOEP-UHFFFAOYSA-N</t>
  </si>
  <si>
    <t>C10H19NO3</t>
  </si>
  <si>
    <t>3.50_639.1152m/z</t>
  </si>
  <si>
    <t>2-[1-(2-Fluorophenyl)Ethylamino]-5-Methyl-5-(Trifluoromethyl)-1,3-Thiazol-4-One</t>
  </si>
  <si>
    <t>HMDB0257685</t>
  </si>
  <si>
    <t>CC(N=C1NC(=O)C(C)(S1)C(F)(F)F)C1=CC=CC=C1F</t>
  </si>
  <si>
    <t>KNHNFKZUNFPPQE-UHFFFAOYSA-N</t>
  </si>
  <si>
    <t>C13H12F4N2OS</t>
  </si>
  <si>
    <t>4.63_333.0600m/z</t>
  </si>
  <si>
    <t>Patuletin</t>
  </si>
  <si>
    <t>HMDB0030802</t>
  </si>
  <si>
    <t>LMPK12112986</t>
  </si>
  <si>
    <t>C10118</t>
  </si>
  <si>
    <t>519-96-0</t>
  </si>
  <si>
    <t>C1(O)=CC2OC(C3C=C(O)C(O)=CC=3)=C(O)C(=O)C=2C(O)=C1OC</t>
  </si>
  <si>
    <t>JMIFIYIEXODVTO-UHFFFAOYSA-N</t>
  </si>
  <si>
    <t>C16H12O8</t>
  </si>
  <si>
    <t>11.23_981.4345m/z</t>
  </si>
  <si>
    <t>PIP(16:1(9Z)/20:5(7Z,9Z,11E,13E,17Z)-3OH(5,6,15))</t>
  </si>
  <si>
    <t>HMDB0278589</t>
  </si>
  <si>
    <t>[H][C@@](COC(=O)CCCCCCC\C=C/CCCCCC)(COP(O)(=O)O[C@H]1C(O)C(O)C(O)[C@@H](OP(O)(O)=O)C1O)OC(=O)CCC[C@@H](O)[C@H](O)\C=C/C=C\C=C\C=C\[C@@H](O)C\C=C/CC</t>
  </si>
  <si>
    <t>MBGBWNKLLZUOKC-GZFZYNMNSA-N</t>
  </si>
  <si>
    <t>C45H76O19P2</t>
  </si>
  <si>
    <t>11.56_402.2248n</t>
  </si>
  <si>
    <t>5s-Hete Di-Endoperoxide</t>
  </si>
  <si>
    <t>LMFA03000011</t>
  </si>
  <si>
    <t>[C@@H]12OO[C@@H]([C@H](CC[C@@H](O)CCCCC)OO[C@H]1/C=C/[C@@H](O)CCCC(=O)O)C2</t>
  </si>
  <si>
    <t>DOXGUXRZAOCYPM-IPIAXWAYSA-N</t>
  </si>
  <si>
    <t>C20H34O8</t>
  </si>
  <si>
    <t>13.90_835.0389m/z</t>
  </si>
  <si>
    <t>Guanosine Tetraphosphate Adenosine</t>
  </si>
  <si>
    <t>HMDB0001454</t>
  </si>
  <si>
    <t>100849-67-0</t>
  </si>
  <si>
    <t>NC1=NC(=O)C2=C(N1)N(C=N2)[C@@H]1O[C@H](COP(O)(=O)OP(O)(=O)OP(O)(=O)OP(O)(=O)OC[C@H]2O[C@H]([C@H](O)[C@@H]2O)N2C=NC3=C(N)N=CN=C23)[C@@H](O)[C@H]1O</t>
  </si>
  <si>
    <t>SJXJAXXRDJWRCR-INFSMZHSSA-N</t>
  </si>
  <si>
    <t>C20H28N10O20P4</t>
  </si>
  <si>
    <t>4.33_339.0833m/z</t>
  </si>
  <si>
    <t>Vulgaxanthin Ii</t>
  </si>
  <si>
    <t>HMDB0029841</t>
  </si>
  <si>
    <t>C08569</t>
  </si>
  <si>
    <t>1047-87-6</t>
  </si>
  <si>
    <t>OC(=O)CCC(\N=C\C=C1\CC(NC(=C1)C(O)=O)C(O)=O)C(O)=O</t>
  </si>
  <si>
    <t>POYIZOSTYKKRNT-XWKOYBCNSA-N</t>
  </si>
  <si>
    <t>C14H16N2O8</t>
  </si>
  <si>
    <t>5.71_453.1553m/z</t>
  </si>
  <si>
    <t>9-Hydroxycalabaxanthone</t>
  </si>
  <si>
    <t>HMDB0031920</t>
  </si>
  <si>
    <t>35349-68-9</t>
  </si>
  <si>
    <t>COC1=C(O)C=C2OC3=C(C(O)=C4C=CC(C)(C)OC4=C3)C(=O)C2=C1CC=C(C)C</t>
  </si>
  <si>
    <t>HQWHKELJHUFLGD-UHFFFAOYSA-N</t>
  </si>
  <si>
    <t>C24H24O6</t>
  </si>
  <si>
    <t>4.58_247.0963m/z</t>
  </si>
  <si>
    <t>1'-Acetoxyeugenol Acetate</t>
  </si>
  <si>
    <t>HMDB0036544</t>
  </si>
  <si>
    <t>C10427</t>
  </si>
  <si>
    <t>52946-23-3</t>
  </si>
  <si>
    <t>COC1=C(OC(C)=O)C=CC(=C1)C(OC(C)=O)C=C</t>
  </si>
  <si>
    <t>NKRBAUXTIWONOV-UHFFFAOYSA-N</t>
  </si>
  <si>
    <t>C14H16O5</t>
  </si>
  <si>
    <t>4.04_351.1179m/z</t>
  </si>
  <si>
    <t>Disuccinimidyl Suberate</t>
  </si>
  <si>
    <t>HMDB0251485</t>
  </si>
  <si>
    <t>68528-80-3</t>
  </si>
  <si>
    <t>O=C(CCCCCCC(=O)ON1C(=O)CCC1=O)ON1C(=O)CCC1=O</t>
  </si>
  <si>
    <t>ZWIBGKZDAWNIFC-UHFFFAOYSA-N</t>
  </si>
  <si>
    <t>C16H20N2O8</t>
  </si>
  <si>
    <t>9.18_279.0059m/z</t>
  </si>
  <si>
    <t>Riluzole</t>
  </si>
  <si>
    <t>HMDB0014878</t>
  </si>
  <si>
    <t>C07937</t>
  </si>
  <si>
    <t>1744-22-5</t>
  </si>
  <si>
    <t>NC1=NC2=C(S1)C=C(OC(F)(F)F)C=C2</t>
  </si>
  <si>
    <t>FTALBRSUTCGOEG-UHFFFAOYSA-N</t>
  </si>
  <si>
    <t>C8H5F3N2OS</t>
  </si>
  <si>
    <t>1.52_219.0770m/z</t>
  </si>
  <si>
    <t>5-Hydroxy-L-Tryptophan</t>
  </si>
  <si>
    <t>HMDB0000472</t>
  </si>
  <si>
    <t>C00643</t>
  </si>
  <si>
    <t>ko00380,ko04361,ko04726</t>
  </si>
  <si>
    <t>Tryptophan metabolism|Axon regeneration|Serotonergic synapse</t>
  </si>
  <si>
    <t>4350-09-8</t>
  </si>
  <si>
    <t>N[C@@H](CC1=CNC2=C1C=C(O)C=C2)C(O)=O</t>
  </si>
  <si>
    <t>LDCYZAJDBXYCGN-VIFPVBQESA-N</t>
  </si>
  <si>
    <t>C11H12N2O3</t>
  </si>
  <si>
    <t>5.79_227.1428m/z</t>
  </si>
  <si>
    <t>Bis(Ethylphenyl)Ether</t>
  </si>
  <si>
    <t>HMDB0249257</t>
  </si>
  <si>
    <t>C(CC1=CC=CC=C1)OCCC1=CC=CC=C1</t>
  </si>
  <si>
    <t>AMOYMEBHYUTMKJ-UHFFFAOYSA-N</t>
  </si>
  <si>
    <t>C16H18O</t>
  </si>
  <si>
    <t>11.66_600.4667m/z</t>
  </si>
  <si>
    <t>Polidocanol</t>
  </si>
  <si>
    <t>HMDB0256665</t>
  </si>
  <si>
    <t>C13493</t>
  </si>
  <si>
    <t>3055-99-0</t>
  </si>
  <si>
    <t>CCCCCCCCCCCCOCCOCCOCCOCCOCCOCCOCCOCCOCCO</t>
  </si>
  <si>
    <t>ONJQDTZCDSESIW-UHFFFAOYSA-N</t>
  </si>
  <si>
    <t>C30H62O10</t>
  </si>
  <si>
    <t>3.67_329.0285m/z</t>
  </si>
  <si>
    <t>Nitroimidazopyran</t>
  </si>
  <si>
    <t>HMDB0255652</t>
  </si>
  <si>
    <t>[O-][N+](=O)C1=NC2=CC=COC2=N1</t>
  </si>
  <si>
    <t>KDBDODKQLZKLIU-UHFFFAOYSA-N</t>
  </si>
  <si>
    <t>C6H3N3O3</t>
  </si>
  <si>
    <t>1.54_258.0229m/z</t>
  </si>
  <si>
    <t>Azathioprine</t>
  </si>
  <si>
    <t>HMDB0015128</t>
  </si>
  <si>
    <t>C06837</t>
  </si>
  <si>
    <t>446-86-6</t>
  </si>
  <si>
    <t>CN1C=NC(=C1SC1=NC=NC2=C1NC=N2)[N+]([O-])=O</t>
  </si>
  <si>
    <t>LMEKQMALGUDUQG-UHFFFAOYSA-N</t>
  </si>
  <si>
    <t>C9H7N7O2S</t>
  </si>
  <si>
    <t>0.67_646.6229m/z</t>
  </si>
  <si>
    <t>3,3-Diiodoacrylic Acid</t>
  </si>
  <si>
    <t>LMFA01090140</t>
  </si>
  <si>
    <t>C(/C=C(\I)/I)(=O)O</t>
  </si>
  <si>
    <t>PMILBWLQIZVIJU-UHFFFAOYSA-N</t>
  </si>
  <si>
    <t>C3H2I2O2</t>
  </si>
  <si>
    <t>4.12_133.0647m/z</t>
  </si>
  <si>
    <t>Cinnamaldehyde</t>
  </si>
  <si>
    <t>HMDB0003441</t>
  </si>
  <si>
    <t>C00903</t>
  </si>
  <si>
    <t>ko00940,ko04750</t>
  </si>
  <si>
    <t>Phenylpropanoid biosynthesis|Inflammatory mediator regulation of TRP channels</t>
  </si>
  <si>
    <t>104-55-2</t>
  </si>
  <si>
    <t>O=C\C=C\C1=CC=CC=C1</t>
  </si>
  <si>
    <t>KJPRLNWUNMBNBZ-QPJJXVBHSA-N</t>
  </si>
  <si>
    <t>C9H8O</t>
  </si>
  <si>
    <t>7.81_512.2975m/z</t>
  </si>
  <si>
    <t>(9s,10e,12s,13s)-9,12,13-Trihydroxyoctadec-10-Enoylcarnitine</t>
  </si>
  <si>
    <t>HMDB0241532</t>
  </si>
  <si>
    <t>CCCCCC(O)C(O)C=CC(O)CCCCCCCC(=O)OC(CC([O-])=O)C[N+](C)(C)C</t>
  </si>
  <si>
    <t>JDXAKTPKOTZICL-UHFFFAOYSA-N</t>
  </si>
  <si>
    <t>C25H47NO7</t>
  </si>
  <si>
    <t>0.54_151.0390m/z</t>
  </si>
  <si>
    <t>Vanillin</t>
  </si>
  <si>
    <t>HMDB0012308</t>
  </si>
  <si>
    <t>C00755</t>
  </si>
  <si>
    <t>ko00627,ko00998</t>
  </si>
  <si>
    <t>Aminobenzoate degradation|Biosynthesis of various secondary metabolites - part 2</t>
  </si>
  <si>
    <t>121-33-5</t>
  </si>
  <si>
    <t>COC1=CC(C=O)=CC=C1O</t>
  </si>
  <si>
    <t>MWOOGOJBHIARFG-UHFFFAOYSA-N</t>
  </si>
  <si>
    <t>5.87_349.1643m/z</t>
  </si>
  <si>
    <t>Onopordopicrin</t>
  </si>
  <si>
    <t>C09520</t>
  </si>
  <si>
    <t>19889-00-0</t>
  </si>
  <si>
    <t>CC1=CCCC(=CC2C(C(C1)OC(=O)C(=C)CO)C(=C)C(=O)O2)CO</t>
  </si>
  <si>
    <t>NOZAJYKZMCFNFG-DGKKXOEVSA-N</t>
  </si>
  <si>
    <t>4.50_245.1898m/z</t>
  </si>
  <si>
    <t>4-Acetyl-6-Tert-Butyl-1,1-Dimethylindane</t>
  </si>
  <si>
    <t>HMDB0031867</t>
  </si>
  <si>
    <t>13171-00-1</t>
  </si>
  <si>
    <t>CC(=O)C1=C2CCC(C)(C)C2=CC(=C1)C(C)(C)C</t>
  </si>
  <si>
    <t>IKTHMQYJOWTSJO-UHFFFAOYSA-N</t>
  </si>
  <si>
    <t>C17H24O</t>
  </si>
  <si>
    <t>4.85_362.0317m/z</t>
  </si>
  <si>
    <t>6-Thioguanosine Monophosphate</t>
  </si>
  <si>
    <t>HMDB0060415</t>
  </si>
  <si>
    <t>C16619</t>
  </si>
  <si>
    <t>15867-02-4</t>
  </si>
  <si>
    <t>NC1=NC(=S)C2=C(N1)N(C=N2)[C@@H]1O[C@H](COP(O)(O)=O)[C@@H](O)[C@H]1O</t>
  </si>
  <si>
    <t>BPZXYEUJBFHASJ-UUOKFMHZSA-N</t>
  </si>
  <si>
    <t>C10H14N5O7PS</t>
  </si>
  <si>
    <t>7.79_220.0966m/z</t>
  </si>
  <si>
    <t>(2-Naphthalenyloxy)Acetic Acid</t>
  </si>
  <si>
    <t>HMDB0032706</t>
  </si>
  <si>
    <t>C18750</t>
  </si>
  <si>
    <t>120-23-0</t>
  </si>
  <si>
    <t>OC(=O)COC1=CC2=CC=CC=C2C=C1</t>
  </si>
  <si>
    <t>RZCJYMOBWVJQGV-UHFFFAOYSA-N</t>
  </si>
  <si>
    <t>C12H10O3</t>
  </si>
  <si>
    <t>3.53_178.1227m/z</t>
  </si>
  <si>
    <t>[3-(2-Aminopropyl)-6-Methylidenecyclohexa-1,3-Dien-1-Yl]Methanediol</t>
  </si>
  <si>
    <t>HMDB0257571</t>
  </si>
  <si>
    <t>CC(N)CC1=CCC(=C)C(=C1)C(O)O</t>
  </si>
  <si>
    <t>LKRVDGINSUYKBV-UHFFFAOYSA-N</t>
  </si>
  <si>
    <t>4.67_389.2181m/z</t>
  </si>
  <si>
    <t>2,3-Dinor Thromboxane B1</t>
  </si>
  <si>
    <t>CCCCCC(C=CC1C(C(CC(O1)O)O)CCCCC(=O)O)O</t>
  </si>
  <si>
    <t>LGWCOUWMTAQMQT-QCBHMXSDSA-N</t>
  </si>
  <si>
    <t>4.65_375.1084m/z</t>
  </si>
  <si>
    <t>(-)-3-Cyanomethyl-3-Hydroxy-1h-Indol-2(3h)-One</t>
  </si>
  <si>
    <t>HMDB0038633</t>
  </si>
  <si>
    <t>137761-24-1</t>
  </si>
  <si>
    <t>OC1(CC#N)C(=O)NC2=C1C=CC=C2</t>
  </si>
  <si>
    <t>IXOBWMNTICTXOJ-UHFFFAOYSA-N</t>
  </si>
  <si>
    <t>C10H8N2O2</t>
  </si>
  <si>
    <t>2.16_323.0871m/z</t>
  </si>
  <si>
    <t>Acyclovir Monophosphate</t>
  </si>
  <si>
    <t>HMDB0247991</t>
  </si>
  <si>
    <t>OC1=NC(=N)NC2=C1N=CN2COCCOP(O)(O)=O</t>
  </si>
  <si>
    <t>KUOAJOVOKFATQE-UHFFFAOYSA-N</t>
  </si>
  <si>
    <t>C8H12N5O6P</t>
  </si>
  <si>
    <t>10.66_310.1542m/z</t>
  </si>
  <si>
    <t>N1-(2-Methoxy-4-Methylbenzyl)-N2-(2-(Pyridin-2-Yl) Ethyl)Oxalamide</t>
  </si>
  <si>
    <t>HMDB0032383</t>
  </si>
  <si>
    <t>745047-97-6</t>
  </si>
  <si>
    <t>COC1=C(CNC(=O)C(=O)NCCC2=CC=CC=N2)C=CC(C)=C1</t>
  </si>
  <si>
    <t>DWXUCYSOIKPLJM-UHFFFAOYSA-N</t>
  </si>
  <si>
    <t>C18H21N3O3</t>
  </si>
  <si>
    <t>7.64_141.0696m/z</t>
  </si>
  <si>
    <t>2-Methoxynaphthalene</t>
  </si>
  <si>
    <t>HMDB0032861</t>
  </si>
  <si>
    <t>93-04-9</t>
  </si>
  <si>
    <t>COC1=CC2=C(C=CC=C2)C=C1</t>
  </si>
  <si>
    <t>LUZDYPLAQQGJEA-UHFFFAOYSA-N</t>
  </si>
  <si>
    <t>C11H10O</t>
  </si>
  <si>
    <t>4.36_607.2572m/z</t>
  </si>
  <si>
    <t>Phaeophorbide B</t>
  </si>
  <si>
    <t>HMDB0031149</t>
  </si>
  <si>
    <t>20239-99-0</t>
  </si>
  <si>
    <t>CCC1=C(C=O)C2=N\C\1=C/C1=C(C)C3=C(N1)\C(C(C(=O)OC)C3=O)=C1/N=C(/C=C3\N/C(=C\2)C(C=C)=C3C)C(C)C1CCC(O)=O</t>
  </si>
  <si>
    <t>PROPHBCDMQAJMH-DZJPEQLASA-N</t>
  </si>
  <si>
    <t>C35H34N4O6</t>
  </si>
  <si>
    <t>9.38_359.0134m/z</t>
  </si>
  <si>
    <t>2,4,6-Trimethyl-1,3,5-Trithiane</t>
  </si>
  <si>
    <t>HMDB0031671</t>
  </si>
  <si>
    <t>2765-04-0</t>
  </si>
  <si>
    <t>CC1SC(C)SC(C)S1</t>
  </si>
  <si>
    <t>XQVYLDFSPBXACS-UHFFFAOYSA-N</t>
  </si>
  <si>
    <t>Trithianes</t>
  </si>
  <si>
    <t>C6H12S3</t>
  </si>
  <si>
    <t>0.84_675.0958m/z</t>
  </si>
  <si>
    <t>Imidazoleacetic Acid Ribotide</t>
  </si>
  <si>
    <t>HMDB0006032</t>
  </si>
  <si>
    <t>C04437</t>
  </si>
  <si>
    <t>2888-19-9</t>
  </si>
  <si>
    <t>O[C@@H]1[C@@H](COP(O)(O)=O)OC([C@@H]1O)N1C=NC(CC(O)=O)=C1</t>
  </si>
  <si>
    <t>RDQUQBHPMYFYMX-XIWVQZPPSA-N</t>
  </si>
  <si>
    <t>C10H15N2O9P</t>
  </si>
  <si>
    <t>0.66_342.9836m/z</t>
  </si>
  <si>
    <t>Dihydroxy-(2-Methoxyethoxy)-Sulfanylidene-$L^{5}-Phosphane</t>
  </si>
  <si>
    <t>HMDB0258062</t>
  </si>
  <si>
    <t>COCCOP(O)(O)=S</t>
  </si>
  <si>
    <t>IBYZHOSMLJYFCH-UHFFFAOYSA-N</t>
  </si>
  <si>
    <t>C3H9O4PS</t>
  </si>
  <si>
    <t>3.81_374.1242m/z</t>
  </si>
  <si>
    <t>Isokanugin</t>
  </si>
  <si>
    <t>LMPK12112733</t>
  </si>
  <si>
    <t>C1(OC)=CC2OC(C3C=CC4OCOC=4C=3)=C(OC)C(=O)C=2C(OC)=C1</t>
  </si>
  <si>
    <t>GDROEPRRAVOAOE-UHFFFAOYSA-N</t>
  </si>
  <si>
    <t>C19H16O7</t>
  </si>
  <si>
    <t>4.14_327.1051m/z</t>
  </si>
  <si>
    <t>Histamine-Betaxanthin</t>
  </si>
  <si>
    <t>HMDB0304688</t>
  </si>
  <si>
    <t>[H][C@]1(C\C(=C/C=N\CCC2=CN=CN2)C=C(N1)C(O)=O)C(O)=O</t>
  </si>
  <si>
    <t>NKVDSHYVFXEPFV-MSLONMJQSA-N</t>
  </si>
  <si>
    <t>C14H16N4O4</t>
  </si>
  <si>
    <t>11.21_461.2210m/z</t>
  </si>
  <si>
    <t>7,7-Diphenyl-2-(1-Imino-2-(2-Methoxyphenyl)Ethyl)Perhydroisoindol-4-One</t>
  </si>
  <si>
    <t>HMDB0257321</t>
  </si>
  <si>
    <t>COC1=CC=CC=C1CC(=N)N1CC2C(C1)C(CCC2=O)(C1=CC=CC=C1)C1=CC=CC=C1</t>
  </si>
  <si>
    <t>VWBOQFANCXZMAU-UHFFFAOYSA-N</t>
  </si>
  <si>
    <t>C29H30N2O2</t>
  </si>
  <si>
    <t>9.90_195.1380m/z</t>
  </si>
  <si>
    <t>4-Hexyloxyphenol</t>
  </si>
  <si>
    <t>C14305</t>
  </si>
  <si>
    <t>18979-55-0</t>
  </si>
  <si>
    <t>CCCCCCOC1=CC=C(C=C1)O</t>
  </si>
  <si>
    <t>XIIIHRLCKLSYNH-UHFFFAOYSA-N</t>
  </si>
  <si>
    <t>4-alkoxyphenols</t>
  </si>
  <si>
    <t>9.77_395.0131m/z</t>
  </si>
  <si>
    <t>7-Aminobenzo[D]Isothiazol-3(2h)-One 1,1-Dioxide</t>
  </si>
  <si>
    <t>HMDB0257745</t>
  </si>
  <si>
    <t>NC1=CC=CC2=C1S(=O)(=O)NC2=O</t>
  </si>
  <si>
    <t>TVTYWZAUGVDZKU-UHFFFAOYSA-N</t>
  </si>
  <si>
    <t>C7H6N2O3S</t>
  </si>
  <si>
    <t>5.10_592.2227m/z</t>
  </si>
  <si>
    <t>N-Palmitoyl Aspartic Acid</t>
  </si>
  <si>
    <t>HMDB0241922</t>
  </si>
  <si>
    <t>CCCCCCCCCCCCCCCC(=O)NC(CC(O)=O)C(O)=O</t>
  </si>
  <si>
    <t>ZYJZBFYRVKLOAA-UHFFFAOYSA-N</t>
  </si>
  <si>
    <t>C26H43NO10S2</t>
  </si>
  <si>
    <t>11.37_390.2974m/z</t>
  </si>
  <si>
    <t>N-(Octadecanoyl)-Homoserine Lactone</t>
  </si>
  <si>
    <t>LMFA08030010</t>
  </si>
  <si>
    <t>479050-96-9</t>
  </si>
  <si>
    <t>[C@@H]1(CCOC1=O)NC(=O)CCCCCCCCCCCCCCCCC</t>
  </si>
  <si>
    <t>HGMDJDYXARRSKB-FQEVSTJZSA-N</t>
  </si>
  <si>
    <t>C22H41NO3</t>
  </si>
  <si>
    <t>0.54_305.0820m/z</t>
  </si>
  <si>
    <t>2,3-Dihydro-2,3-Dihydroxy-4-(4-Hydroxyphenyl)-1h-Phenalen-1-One</t>
  </si>
  <si>
    <t>HMDB0032848</t>
  </si>
  <si>
    <t>OC1C(O)C2=C(C=CC3=C2C(=CC=C3)C1=O)C1=CC=C(O)C=C1</t>
  </si>
  <si>
    <t>OVOZGVQCKWVCQO-UHFFFAOYSA-N</t>
  </si>
  <si>
    <t>C19H14O4</t>
  </si>
  <si>
    <t>0.67_325.0532m/z</t>
  </si>
  <si>
    <t>Acetylcysteine</t>
  </si>
  <si>
    <t>HMDB0001890</t>
  </si>
  <si>
    <t>C06809</t>
  </si>
  <si>
    <t>616-91-1</t>
  </si>
  <si>
    <t>CC(=O)N[C@@H](CS)C(O)=O</t>
  </si>
  <si>
    <t>PWKSKIMOESPYIA-BYPYZUCNSA-N</t>
  </si>
  <si>
    <t>C5H9NO3S</t>
  </si>
  <si>
    <t>4.63_312.0999m/z</t>
  </si>
  <si>
    <t>4-(4-Guanidinobenzoyloxy)Phenylacetate</t>
  </si>
  <si>
    <t>HMDB0246292</t>
  </si>
  <si>
    <t>NC(N)=NC1=CC=C(C=C1)C(=O)OC1=CC=C(CC(O)=O)C=C1</t>
  </si>
  <si>
    <t>XTKGXPFBKPYFDW-UHFFFAOYSA-N</t>
  </si>
  <si>
    <t>C16H15N3O4</t>
  </si>
  <si>
    <t>4.74_333.0979m/z</t>
  </si>
  <si>
    <t>2,3-Dihydroxy-4-Methoxy-4'-Ethoxybenzophenone</t>
  </si>
  <si>
    <t>CCOC1=CC=C(C=C1)C(=O)C2=C(C(=C(C=C2)OC)O)O</t>
  </si>
  <si>
    <t>NTAHJPYHXKMYBL-UHFFFAOYSA-N</t>
  </si>
  <si>
    <t>C16H16O5</t>
  </si>
  <si>
    <t>5.32_441.1746m/z</t>
  </si>
  <si>
    <t>2'-Deoxysepiapterin</t>
  </si>
  <si>
    <t>HMDB0000389</t>
  </si>
  <si>
    <t>1797-87-1</t>
  </si>
  <si>
    <t>CCC(=O)C1=NC2=C(NC1)NC(N)=NC2=O</t>
  </si>
  <si>
    <t>MXQYRFPIGKAGPW-UHFFFAOYSA-N</t>
  </si>
  <si>
    <t>C9H11N5O2</t>
  </si>
  <si>
    <t>0.66_232.9220m/z</t>
  </si>
  <si>
    <t>4-Iodo-1-Methyl-1h-Pyrazole-3-Carboxylic Acid</t>
  </si>
  <si>
    <t>HMDB0246472</t>
  </si>
  <si>
    <t>CN1C=C(I)C(=N1)C(O)=O</t>
  </si>
  <si>
    <t>UQPXGRAYQOWZOD-UHFFFAOYSA-N</t>
  </si>
  <si>
    <t>C5H5IN2O2</t>
  </si>
  <si>
    <t>4.40_485.1996m/z</t>
  </si>
  <si>
    <t>Managlinat Dialanetil</t>
  </si>
  <si>
    <t>HMDB0254319</t>
  </si>
  <si>
    <t>CCOC(=O)C(C)NP(NC(C)C(=O)OCC)C1=CC=C(O1)C1=C(CC(C)C)SC(N)=N1</t>
  </si>
  <si>
    <t>JGCMEVUWRCNKKE-UHFFFAOYSA-N</t>
  </si>
  <si>
    <t>C21H33N4O5PS</t>
  </si>
  <si>
    <t>9.10_325.2402n</t>
  </si>
  <si>
    <t>2-(3-(Diisopropylamino)-1-Phenylpropyl)-4-Methylphenol</t>
  </si>
  <si>
    <t>HMDB0244482</t>
  </si>
  <si>
    <t>CC(C)N(CCC(C1=CC=CC=C1)C1=C(O)C=CC(C)=C1)C(C)C</t>
  </si>
  <si>
    <t>OOGJQPCLVADCPB-UHFFFAOYSA-N</t>
  </si>
  <si>
    <t>C22H31NO</t>
  </si>
  <si>
    <t>6.58_572.3208m/z</t>
  </si>
  <si>
    <t>Cevadine</t>
  </si>
  <si>
    <t>62-59-9</t>
  </si>
  <si>
    <t>CC=C(C)C(=O)OC1CCC2(C3C1(OC24CC5(C6CN7CC(CCC7C(C6(C(CC5(C4CC3)O)O)O)(C)O)C)O)O)C</t>
  </si>
  <si>
    <t>DBUCFOVFALNEOO-HWBIYQLFSA-N</t>
  </si>
  <si>
    <t>8.60_688.3895m/z</t>
  </si>
  <si>
    <t>Fumonisin B2</t>
  </si>
  <si>
    <t>HMDB0034703</t>
  </si>
  <si>
    <t>116355-84-1</t>
  </si>
  <si>
    <t>CCCCC(C)C(OC(=O)CC(CC(O)=O)C(O)=O)C(CC(C)CCCCCCC(O)CC(O)C(C)N)OC(=O)CC(CC(O)=O)C(O)=O</t>
  </si>
  <si>
    <t>UXDPXZQHTDAXOZ-UHFFFAOYSA-N</t>
  </si>
  <si>
    <t>C34H59NO14</t>
  </si>
  <si>
    <t>4.22_333.0250m/z</t>
  </si>
  <si>
    <t>5-Amino-6-(5-Phospho-D-Ribosylamino)Uracil</t>
  </si>
  <si>
    <t>HMDB0304211</t>
  </si>
  <si>
    <t>NC1=C(NC2OC(COP([O-])([O-])=O)C(O)C2O)NC(=O)NC1=O</t>
  </si>
  <si>
    <t>LZEXYCAGPMYXLX-UHFFFAOYSA-L</t>
  </si>
  <si>
    <t>C9H13N4O9P-2</t>
  </si>
  <si>
    <t>11.27_766.5303m/z</t>
  </si>
  <si>
    <t>DG(17:0/LTE4/0:0)</t>
  </si>
  <si>
    <t>HMDB0295675</t>
  </si>
  <si>
    <t>CCCCCCCCCCCCCCCCC(=O)OC[C@H](CO)OC(=O)[C@@H](N)CS[C@H](\C=C\C=C\C=C/C\C=C/CCCCC)[C@@H](O)CCCC(O)=O</t>
  </si>
  <si>
    <t>LDWAJYAZJQICRA-RZMXRPOJSA-N</t>
  </si>
  <si>
    <t>C43H75NO8S</t>
  </si>
  <si>
    <t>4.50_213.1273m/z</t>
  </si>
  <si>
    <t>11,12-Dihydrolactaroviolin</t>
  </si>
  <si>
    <t>HMDB0035736</t>
  </si>
  <si>
    <t>24687-70-5</t>
  </si>
  <si>
    <t>CC(C)C1=CC2=C(C=O)C=CC2=C(C)C=C1</t>
  </si>
  <si>
    <t>VAMFCHMEVQNLHP-UHFFFAOYSA-N</t>
  </si>
  <si>
    <t>C15H16O</t>
  </si>
  <si>
    <t>10.30_291.1601m/z</t>
  </si>
  <si>
    <t>Dimethylbenzimidazole</t>
  </si>
  <si>
    <t>HMDB0003701</t>
  </si>
  <si>
    <t>C03114</t>
  </si>
  <si>
    <t>ko00740,ko00860</t>
  </si>
  <si>
    <t>Riboflavin metabolism|Porphyrin metabolism</t>
  </si>
  <si>
    <t>582-60-5</t>
  </si>
  <si>
    <t>CC1=CC2=C(C=C1C)N=CN2</t>
  </si>
  <si>
    <t>LJUQGASMPRMWIW-UHFFFAOYSA-N</t>
  </si>
  <si>
    <t>C9H10N2</t>
  </si>
  <si>
    <t>4.04_302.2247n</t>
  </si>
  <si>
    <t>Isopimaric Acid</t>
  </si>
  <si>
    <t>HMDB0036811</t>
  </si>
  <si>
    <t>LMPR0104080010</t>
  </si>
  <si>
    <t>C09118</t>
  </si>
  <si>
    <t>5835-26-7</t>
  </si>
  <si>
    <t>[C@]12(CC=C3C[C@@](C=C)(CC[C@@]3([C@@]1(C)CCC[C@]2(C(O)=O)C)[H])C)[H]</t>
  </si>
  <si>
    <t>MXYATHGRPJZBNA-KRFUXDQASA-N</t>
  </si>
  <si>
    <t>3.69_389.1453m/z</t>
  </si>
  <si>
    <t>7-(2-Hydroxyethyl)Guanine</t>
  </si>
  <si>
    <t>HMDB0247221</t>
  </si>
  <si>
    <t>NC1=NC2=C(N(CCO)C=N2)C(=O)N1</t>
  </si>
  <si>
    <t>OCAWYYAMQRJCOY-UHFFFAOYSA-N</t>
  </si>
  <si>
    <t>C7H9N5O2</t>
  </si>
  <si>
    <t>10.72_898.5128n</t>
  </si>
  <si>
    <t>PE(18:2(9Z,12Z)/LTE4)</t>
  </si>
  <si>
    <t>HMDB0261436</t>
  </si>
  <si>
    <t>CCCCC\C=C/C\C=C/CCCCCCCC(=O)OC[C@H](COP(O)(=O)OCCN)OC(=O)[C@@H](N)CS[C@H](\C=C\C=C\C=C/C\C=C/CCCCC)[C@@H](O)CCCC(O)=O</t>
  </si>
  <si>
    <t>HDCYTONVBDBZMK-SSODIUFSSA-N</t>
  </si>
  <si>
    <t>C46H79N2O11PS</t>
  </si>
  <si>
    <t>4.90_229.1585m/z</t>
  </si>
  <si>
    <t>Alpha-Amylcinnamyl Acetate</t>
  </si>
  <si>
    <t>HMDB0036207</t>
  </si>
  <si>
    <t>7493-78-9</t>
  </si>
  <si>
    <t>CCCCC\C(COC(C)=O)=C\C1=CC=CC=C1</t>
  </si>
  <si>
    <t>CMJSVJIGLBDCME-VBKFSLOCSA-N</t>
  </si>
  <si>
    <t>C16H22O2</t>
  </si>
  <si>
    <t>9.23_497.2146m/z</t>
  </si>
  <si>
    <t>[6]-Gingerdiol 4'-O-Beta-D-Glucopyranoside</t>
  </si>
  <si>
    <t>HMDB0036122</t>
  </si>
  <si>
    <t>CCCCCC(O)CC(O)CCC1=CC(OC)=C(OC2OC(CO)C(O)C(O)C2O)C=C1</t>
  </si>
  <si>
    <t>NIZBVVCYJIIIMW-UHFFFAOYSA-N</t>
  </si>
  <si>
    <t>C23H38O9</t>
  </si>
  <si>
    <t>5.32_373.1865m/z</t>
  </si>
  <si>
    <t>7-Hydroxygranisetron</t>
  </si>
  <si>
    <t>HMDB0061062</t>
  </si>
  <si>
    <t>[H][C@]12CCC[C@@]([H])(CC(C1)N=C(O)C1=NN(C)C3=C1C=CC=C3O)N2C</t>
  </si>
  <si>
    <t>AJEBHUMZPBDLQF-STQMWFEESA-N</t>
  </si>
  <si>
    <t>C18H24N4O2</t>
  </si>
  <si>
    <t>2.67_289.0929m/z</t>
  </si>
  <si>
    <t>2-Aceto-2-Hydroxy-Butanoate</t>
  </si>
  <si>
    <t>HMDB0304056</t>
  </si>
  <si>
    <t>CCC(O)(C(C)=O)C([O-])=O</t>
  </si>
  <si>
    <t>VUQLHQFKACOHNZ-UHFFFAOYSA-M</t>
  </si>
  <si>
    <t>C6H9O4-</t>
  </si>
  <si>
    <t>5.28_525.0779m/z</t>
  </si>
  <si>
    <t>Miloxacin</t>
  </si>
  <si>
    <t>HMDB0254734</t>
  </si>
  <si>
    <t>CON1C=C(C(O)=O)C(=O)C2=CC3=C(OCO3)C=C12</t>
  </si>
  <si>
    <t>ABQYZRZVRIPTPI-UHFFFAOYSA-N</t>
  </si>
  <si>
    <t>C12H9NO6</t>
  </si>
  <si>
    <t>8.36_599.2845m/z</t>
  </si>
  <si>
    <t>Hematoporphyrin</t>
  </si>
  <si>
    <t>CC1=C(C2=CC3=NC(=CC4=NC(=CC5=C(C(=C(N5)C=C1N2)C(C)O)C)C(=C4CCC(=O)O)C)C(=C3C)CCC(=O)O)C(C)O</t>
  </si>
  <si>
    <t>KFKRXESVMDBTNQ-UHFFFAOYSA-N</t>
  </si>
  <si>
    <t>2.26_135.0804m/z</t>
  </si>
  <si>
    <t>Indan-5-Ol</t>
  </si>
  <si>
    <t>C1CC2=C(C1)C=C(C=C2)O</t>
  </si>
  <si>
    <t>PEHSSTUGJUBZBI-UHFFFAOYSA-N</t>
  </si>
  <si>
    <t>C9H10O</t>
  </si>
  <si>
    <t>3.81_645.2739m/z</t>
  </si>
  <si>
    <t>Murnac-Tripeptide</t>
  </si>
  <si>
    <t>HMDB0254953</t>
  </si>
  <si>
    <t>CC(NC(=O)C(C)OC(C(O)C(O)CO)C(NC(C)=O)C=O)C(=O)NC(CCC(=O)NC(CCCC(N)C(O)=O)C(O)=O)C(N)=O</t>
  </si>
  <si>
    <t>NMAKGCMEDYICRN-UHFFFAOYSA-N</t>
  </si>
  <si>
    <t>C26H44N6O14</t>
  </si>
  <si>
    <t>4.23_215.1067m/z</t>
  </si>
  <si>
    <t>(S,S)-(-)-Hydrobenzoin</t>
  </si>
  <si>
    <t>2325-10-2</t>
  </si>
  <si>
    <t>C1=CC=C(C=C1)C(C(C2=CC=CC=C2)O)O</t>
  </si>
  <si>
    <t>IHPDTPWNFBQHEB-KBPBESRZSA-N</t>
  </si>
  <si>
    <t>C14H14O2</t>
  </si>
  <si>
    <t>4.75_199.1480m/z</t>
  </si>
  <si>
    <t>Cadalene</t>
  </si>
  <si>
    <t>HMDB0059698</t>
  </si>
  <si>
    <t>LMPR0103330007</t>
  </si>
  <si>
    <t>C1C(C)=C2C=CC(C)=CC2=C(C(C)C)C=1</t>
  </si>
  <si>
    <t>VMOJIHDTVZTGDO-UHFFFAOYSA-N</t>
  </si>
  <si>
    <t>C15H18</t>
  </si>
  <si>
    <t>8.78_218.1174m/z</t>
  </si>
  <si>
    <t>Securinine</t>
  </si>
  <si>
    <t>C10614</t>
  </si>
  <si>
    <t>5610-40-2</t>
  </si>
  <si>
    <t>C1CCN2C(C1)C34CC2C=CC3=CC(=O)O4</t>
  </si>
  <si>
    <t>SWZMSZQQJRKFBP-WZRBSPASSA-N</t>
  </si>
  <si>
    <t>C13H15NO2</t>
  </si>
  <si>
    <t>14.45_784.5559m/z</t>
  </si>
  <si>
    <t>GlcADG(18:3((9Z,12Z,15Z)/16:0)</t>
  </si>
  <si>
    <t>LMGL05010029</t>
  </si>
  <si>
    <t>O([C@@H]1[C@H](O)[C@@H](O)[C@H](O)[C@@H](C(=O)O)O1)C[C@]([H])(OC(CCCCCCCCCCCCCCC)=O)COC(CCCCCCC/C=C\C/C=C\C/C=C\CC)=O</t>
  </si>
  <si>
    <t>GRQWEXRTFAUFIC-BCDAHGNSSA-N</t>
  </si>
  <si>
    <t>C43H74O11</t>
  </si>
  <si>
    <t>4.44_731.2767m/z</t>
  </si>
  <si>
    <t>1-(1,2,3,4,5-Pentahydroxypent-1-Yl)-1,2,3,4-Tetrahydro-Beta-Carboline-3-Carboxylate</t>
  </si>
  <si>
    <t>HMDB0012492</t>
  </si>
  <si>
    <t>154204-09-8</t>
  </si>
  <si>
    <t>OCC(O)C(O)C(O)C(O)C1NC(CC2=C1NC1=C2C=CC=C1)C(O)=O</t>
  </si>
  <si>
    <t>LCHFAYIGHOVWSA-UHFFFAOYSA-N</t>
  </si>
  <si>
    <t>C17H22N2O7</t>
  </si>
  <si>
    <t>1.03_209.0398m/z</t>
  </si>
  <si>
    <t>Pentaerythritol Dinitrate</t>
  </si>
  <si>
    <t>HMDB0256251</t>
  </si>
  <si>
    <t>OCC(CO)(CO[N+]([O-])=O)CO[N+]([O-])=O</t>
  </si>
  <si>
    <t>LHSHCLPXMPQXCS-UHFFFAOYSA-N</t>
  </si>
  <si>
    <t>C5H10N2O8</t>
  </si>
  <si>
    <t>5.62_446.2125n</t>
  </si>
  <si>
    <t>Tert-Butyl (4-(3-((7-(Hydroxyamino)-7-Oxoheptyl)Carbamoyl)Isoxazol-5-Yl)Phenyl)Carbamate</t>
  </si>
  <si>
    <t>HMDB0249709</t>
  </si>
  <si>
    <t>1045792-66-2</t>
  </si>
  <si>
    <t>CC(C)(C)OC(=O)NC1=CC=C(C=C1)C1=CC(=NO1)C(=O)NCCCCCCC(=O)NO</t>
  </si>
  <si>
    <t>WWGBHDIHIVGYLZ-UHFFFAOYSA-N</t>
  </si>
  <si>
    <t>C22H30N4O6</t>
  </si>
  <si>
    <t>4.74_387.2386m/z</t>
  </si>
  <si>
    <t>13-Hydroxy-9-Methoxy-10-Oxooctadec-11-Enoic Acid</t>
  </si>
  <si>
    <t>HMDB0040901</t>
  </si>
  <si>
    <t>LMFA02000288</t>
  </si>
  <si>
    <t>150147-08-3</t>
  </si>
  <si>
    <t>CCCCCC(O)/C=C/C(C(OC)CCCCCCCC(O)=O)=O</t>
  </si>
  <si>
    <t>VFSWPXFUIZSPGW-CCEZHUSRSA-N</t>
  </si>
  <si>
    <t>C19H34O5</t>
  </si>
  <si>
    <t>1.29_281.0992m/z</t>
  </si>
  <si>
    <t>8-Aminoguanosine</t>
  </si>
  <si>
    <t>HMDB0247416</t>
  </si>
  <si>
    <t>NC1=NC2=C(N=C(N)NC2=O)N1C1OC(CO)C(O)C1O</t>
  </si>
  <si>
    <t>FNXPTCITVCRFRK-UHFFFAOYSA-N</t>
  </si>
  <si>
    <t>C10H14N6O5</t>
  </si>
  <si>
    <t>4.81_533.1867m/z</t>
  </si>
  <si>
    <t>Isosyringinoside</t>
  </si>
  <si>
    <t>HMDB0040814</t>
  </si>
  <si>
    <t>152686-85-6</t>
  </si>
  <si>
    <t>COC1=CC(=CC(=C1OC2C(C(C(C(O2)CO)O)O)O)OC)C=CCOC3C(C(C(C(O3)CO)O)O)O</t>
  </si>
  <si>
    <t>RYVGCUJETSKZDU-NXJCARKOSA-N</t>
  </si>
  <si>
    <t>C23H34O14</t>
  </si>
  <si>
    <t>4.48_192.0429m/z</t>
  </si>
  <si>
    <t>2-Amino-4-Methyl-5-Phosphonopent-3-Enoic Acid</t>
  </si>
  <si>
    <t>HMDB0245966</t>
  </si>
  <si>
    <t>CC(CP(O)(O)=O)=CC(N)C(O)=O</t>
  </si>
  <si>
    <t>BDYHNCZIGYIOGJ-UHFFFAOYSA-N</t>
  </si>
  <si>
    <t>C6H12NO5P</t>
  </si>
  <si>
    <t>1.50_497.0001m/z</t>
  </si>
  <si>
    <t>Flavogallol</t>
  </si>
  <si>
    <t>HMDB0302901</t>
  </si>
  <si>
    <t>OC1=CC2=C(C(O)=C1O)C1=C(OC2=O)C(O)=C2OC(=O)C3=CC(O)=C(O)C4=C3C2=C1C(=O)O4</t>
  </si>
  <si>
    <t>JTFOBWXMEHITKZ-UHFFFAOYSA-N</t>
  </si>
  <si>
    <t>C21H8O12</t>
  </si>
  <si>
    <t>0.74_506.1840n</t>
  </si>
  <si>
    <t>Syrups, Hydrolyzed Starch, Hydrogenated</t>
  </si>
  <si>
    <t>HMDB0258656</t>
  </si>
  <si>
    <t>OCC(O)C(O)C(OC1OC(CO)C(OC2OC(CO)C(O)C(O)C2O)C(O)C1O)C(O)CO</t>
  </si>
  <si>
    <t>XJCCHWKNFMUJFE-UHFFFAOYSA-N</t>
  </si>
  <si>
    <t>C18H34O16</t>
  </si>
  <si>
    <t>7.67_437.1217m/z</t>
  </si>
  <si>
    <t>Cyclic N-Acetylserotonin Glucuronide</t>
  </si>
  <si>
    <t>HMDB0060812</t>
  </si>
  <si>
    <t>CC(=O)N1CCC2=C1NC1=C2C=C(OC2OC(C(O)C(O)C2O)C(O)=O)C=C1</t>
  </si>
  <si>
    <t>DHEUSGDHJNTOLK-UHFFFAOYSA-N</t>
  </si>
  <si>
    <t>C18H20N2O8</t>
  </si>
  <si>
    <t>7.49_556.3277m/z</t>
  </si>
  <si>
    <t>Scyphostatin A</t>
  </si>
  <si>
    <t>LMSP01080060</t>
  </si>
  <si>
    <t>[C@@H]12O[C@@H]1[C@@](O)(C[C@H](NC(/C=C/C=C/C=C/C=C/[C@H](C)C[C@H](C)C/C(/C)=C/[C@H](C)CC)=O)CO)C(=O)C=C2</t>
  </si>
  <si>
    <t>CCAHAWZXHIPJRB-NAKAOWIOSA-N</t>
  </si>
  <si>
    <t>C31H45NO5</t>
  </si>
  <si>
    <t>1.54_287.0648m/z</t>
  </si>
  <si>
    <t>5-Phosphonooxy-L-Lysine</t>
  </si>
  <si>
    <t>HMDB0059600</t>
  </si>
  <si>
    <t>C03366</t>
  </si>
  <si>
    <t>[H][C@](N)(CC[C@]([H])(CN)OP(O)(O)=O)C(O)=O</t>
  </si>
  <si>
    <t>WLPXLNNUXMDSPG-UHNVWZDZSA-N</t>
  </si>
  <si>
    <t>C6H15N2O6P</t>
  </si>
  <si>
    <t>4.57_197.1172m/z</t>
  </si>
  <si>
    <t>2,6-Dimethoxy-4-Propylphenol</t>
  </si>
  <si>
    <t>HMDB0036226</t>
  </si>
  <si>
    <t>6766-82-1</t>
  </si>
  <si>
    <t>CCCC1=CC(OC)=C(O)C(OC)=C1</t>
  </si>
  <si>
    <t>YHEWWEXPVKCVFY-UHFFFAOYSA-N</t>
  </si>
  <si>
    <t>4.41_579.1496m/z</t>
  </si>
  <si>
    <t>Procyanidin B3</t>
  </si>
  <si>
    <t>HMDB0033974</t>
  </si>
  <si>
    <t>LMPK12030003</t>
  </si>
  <si>
    <t>C10209</t>
  </si>
  <si>
    <t>23567-23-9</t>
  </si>
  <si>
    <t>C1(O)=CC2O[C@H](C3C=CC(O)=C(O)C=3)[C@@H](O)[C@H](C3=C(O)C=C(O)C4C[C@H](O)[C@@H](C5C=CC(O)=C(O)C=5)OC=43)C=2C(O)=C1</t>
  </si>
  <si>
    <t>XFZJEEAOWLFHDH-AVFWISQGSA-N</t>
  </si>
  <si>
    <t>4.09_285.1353m/z</t>
  </si>
  <si>
    <t>Prinomide</t>
  </si>
  <si>
    <t>HMDB0256775</t>
  </si>
  <si>
    <t>C10958</t>
  </si>
  <si>
    <t>77639-66-8</t>
  </si>
  <si>
    <t>CN1C=CC=C1C(=O)C(C#N)C(=O)NC1=CC=CC=C1</t>
  </si>
  <si>
    <t>KBQUAIAGRLAZGP-UHFFFAOYSA-N</t>
  </si>
  <si>
    <t>C15H13N3O2</t>
  </si>
  <si>
    <t>14.23_463.3791m/z</t>
  </si>
  <si>
    <t>(6alpha)-Hydroxycampestanol</t>
  </si>
  <si>
    <t>HMDB0303980</t>
  </si>
  <si>
    <t>CC(C)C(C)CCC(C)C1CCC2C3CC(O)C4CC(O)CCC4(C)C3CCC12C</t>
  </si>
  <si>
    <t>XOCKKQKIUYNBRG-UHFFFAOYSA-N</t>
  </si>
  <si>
    <t>C28H50O2</t>
  </si>
  <si>
    <t>8.80_377.1941m/z</t>
  </si>
  <si>
    <t>L-Allysine Ethylene Acetal</t>
  </si>
  <si>
    <t>215054-80-1</t>
  </si>
  <si>
    <t>C1COC(O1)CCCC(C(=O)O)N</t>
  </si>
  <si>
    <t>RQULWPSGQYZREI-LURJTMIESA-N</t>
  </si>
  <si>
    <t>C8H15NO4</t>
  </si>
  <si>
    <t>3.32_299.0767m/z</t>
  </si>
  <si>
    <t>4-Hydroxybenzoyl Glucose</t>
  </si>
  <si>
    <t>HMDB0303022</t>
  </si>
  <si>
    <t>[H][C@]1(CO)O[C@@]([H])(OC(=O)C2=CC=C(O)C=C2)[C@]([H])(O)[C@@]([H])(O)[C@]1([H])O</t>
  </si>
  <si>
    <t>XWTGDGASXRARSP-HMUNZLOLSA-N</t>
  </si>
  <si>
    <t>9.35_265.1414m/z</t>
  </si>
  <si>
    <t>2-Carboxy-4-Dodecanolide</t>
  </si>
  <si>
    <t>HMDB0030987</t>
  </si>
  <si>
    <t>CCCCCCCCC1CC(C(O)=O)C(=O)O1</t>
  </si>
  <si>
    <t>FMXVFWDIAZJILA-UHFFFAOYSA-N</t>
  </si>
  <si>
    <t>10.47_513.3034m/z</t>
  </si>
  <si>
    <t>Sapacitabine</t>
  </si>
  <si>
    <t>HMDB0257481</t>
  </si>
  <si>
    <t>CCCCCCCCCCCCCCCC(=O)NC1=NC(=O)N(C=C1)C1OC(CO)C(O)C1C#N</t>
  </si>
  <si>
    <t>LBGFKUUHOPIEMA-UHFFFAOYSA-N</t>
  </si>
  <si>
    <t>C26H42N4O5</t>
  </si>
  <si>
    <t>5.85_530.2522n</t>
  </si>
  <si>
    <t>Uscharidin</t>
  </si>
  <si>
    <t>LMST01120054</t>
  </si>
  <si>
    <t>C08883</t>
  </si>
  <si>
    <t>24321-47-9</t>
  </si>
  <si>
    <t>C1[C@@]2([H])O[C@@]3(O)C(=O)C[C@@H](C)O[C@@]3([H])O[C@]2([H])C[C@]2([H])CC[C@@]3([H])[C@]4(CC[C@H](C5=CC(=O)OC5)[C@@]4(C)CC[C@]3([H])[C@@]12C=O)O</t>
  </si>
  <si>
    <t>YOCULAYFPPWLRI-OLEQQPCLSA-N</t>
  </si>
  <si>
    <t>5.43_497.2958m/z</t>
  </si>
  <si>
    <t>Desmethylnortriptyline</t>
  </si>
  <si>
    <t>HMDB0060531</t>
  </si>
  <si>
    <t>4444-42-2</t>
  </si>
  <si>
    <t>NCCC=C1C2=CC=CC=C2CCC2=CC=CC=C12</t>
  </si>
  <si>
    <t>PTQFRALDEONNOA-UHFFFAOYSA-N</t>
  </si>
  <si>
    <t>C18H19N</t>
  </si>
  <si>
    <t>0.88_339.0010m/z</t>
  </si>
  <si>
    <t>Cinnavalininate</t>
  </si>
  <si>
    <t>HMDB0004078</t>
  </si>
  <si>
    <t>C05640</t>
  </si>
  <si>
    <t>NC1=C(C(O)=O)C2=NC3=C(C=CC=C3OC2=CC1=O)C(O)=O</t>
  </si>
  <si>
    <t>FSBKJYLVDRVPTK-UHFFFAOYSA-N</t>
  </si>
  <si>
    <t>C14H8N2O6</t>
  </si>
  <si>
    <t>4.70_279.0507m/z</t>
  </si>
  <si>
    <t>D-Malic Acid P-Coumarate</t>
  </si>
  <si>
    <t>HMDB0303755</t>
  </si>
  <si>
    <t>OC(=O)CC(OC(=O)\C=C\C1=CC=C(O)C=C1)C(O)=O</t>
  </si>
  <si>
    <t>QVPHNABUSKBIMG-ZZXKWVIFSA-N</t>
  </si>
  <si>
    <t>C13H12O7</t>
  </si>
  <si>
    <t>3.63_385.1566m/z</t>
  </si>
  <si>
    <t>Riodipine</t>
  </si>
  <si>
    <t>HMDB0257237</t>
  </si>
  <si>
    <t>COC(=O)C1=C(C)NC(C)=C(C1C1=CC=CC=C1OC(F)F)C(=O)OC</t>
  </si>
  <si>
    <t>AZVFIZVKGSPGPK-UHFFFAOYSA-N</t>
  </si>
  <si>
    <t>C18H19F2NO5</t>
  </si>
  <si>
    <t>4.97_317.1140m/z</t>
  </si>
  <si>
    <t>(2s,4r)-4-(9h-Pyrido[3,4-B]Indol-1-Yl)-1,2,4-Butanetriol</t>
  </si>
  <si>
    <t>HMDB0035191</t>
  </si>
  <si>
    <t>220345-69-7</t>
  </si>
  <si>
    <t>OCC(O)CC(O)C1=NC=CC2=C1NC1=C2C=CC=C1</t>
  </si>
  <si>
    <t>YPOORAFYDFLOBZ-UHFFFAOYSA-N</t>
  </si>
  <si>
    <t>C15H16N2O3</t>
  </si>
  <si>
    <t>5.43_333.1453m/z</t>
  </si>
  <si>
    <t>N-(3-Indolylacetyl)-L-Isoleucine</t>
  </si>
  <si>
    <t>57105-45-0</t>
  </si>
  <si>
    <t>CCC(C)C(C(=O)O)NC(=O)CC1=CNC2=CC=CC=C21</t>
  </si>
  <si>
    <t>WPTUQMUCTTVOFW-BONVTDFDSA-N</t>
  </si>
  <si>
    <t>C16H20N2O3</t>
  </si>
  <si>
    <t>14.25_744.4309m/z</t>
  </si>
  <si>
    <t>Gamma2-Solamarine</t>
  </si>
  <si>
    <t>HMDB0029371</t>
  </si>
  <si>
    <t>11034-34-7</t>
  </si>
  <si>
    <t>CC1C2C(CC3C4CC=C5CC(CCC5(C)C4CCC23C)OC2OC(CO)C(OC3OC(C)C(O)C(O)C3O)C(O)C2O)OC11CCC(C)CN1</t>
  </si>
  <si>
    <t>KRQDMAXNTWLTDZ-UHFFFAOYSA-N</t>
  </si>
  <si>
    <t>C39H63NO11</t>
  </si>
  <si>
    <t>5.32_821.3010m/z</t>
  </si>
  <si>
    <t>N-(2(S)-(Acetylthiomethyl)-3-(2-Methylphenyl)-1-Oxopropyl)-L-Methionine Ethyl Ester</t>
  </si>
  <si>
    <t>HMDB0257551</t>
  </si>
  <si>
    <t>CCOC(=O)C(CCSC)NC(=O)C(CSC(C)=O)CC1=CC=CC=C1C</t>
  </si>
  <si>
    <t>ZVQXPUMRSJGLSF-UHFFFAOYSA-N</t>
  </si>
  <si>
    <t>C20H29NO4S2</t>
  </si>
  <si>
    <t>9.65_281.1381m/z</t>
  </si>
  <si>
    <t>Psilostachyin</t>
  </si>
  <si>
    <t>HMDB0302335</t>
  </si>
  <si>
    <t>CC1CCC2C(OC(=O)C2=C)C(C)(O)C11CCC(=O)O1</t>
  </si>
  <si>
    <t>IRPFOXRBPHCCTG-UHFFFAOYSA-N</t>
  </si>
  <si>
    <t>5.88_661.2987m/z</t>
  </si>
  <si>
    <t>16alpha, 17-Epoxy Gibberellin A9</t>
  </si>
  <si>
    <t>HMDB0304030</t>
  </si>
  <si>
    <t>[H][C@@]12C[C@@]3(C[C@]11CO1)[C@@]([H])(CC2)C12CCC[C@](C)(C(=O)O1)[C@@]2([H])[C@]3([H])C([O-])=O</t>
  </si>
  <si>
    <t>PXYCXLNQKAEBRB-XAGBHBTISA-M</t>
  </si>
  <si>
    <t>C19H23O5-</t>
  </si>
  <si>
    <t>4.78_543.1752m/z</t>
  </si>
  <si>
    <t>Pyrinuron</t>
  </si>
  <si>
    <t>HMDB0256982</t>
  </si>
  <si>
    <t>OC(NC1=CC=C(C=C1)N(=O)=O)=NCC1=CN=CC=C1</t>
  </si>
  <si>
    <t>CLKZWXHKFXZIMA-UHFFFAOYSA-N</t>
  </si>
  <si>
    <t>C13H12N4O3</t>
  </si>
  <si>
    <t>8.85_195.1020m/z</t>
  </si>
  <si>
    <t>5-Hexyltetrahydro-2-Oxo-3-Furancarboxylic Acid</t>
  </si>
  <si>
    <t>HMDB0030984</t>
  </si>
  <si>
    <t>CCCCCCC1CC(C(O)=O)C(=O)O1</t>
  </si>
  <si>
    <t>ZHNHBUOFMLNZNN-UHFFFAOYSA-N</t>
  </si>
  <si>
    <t>C11H18O4</t>
  </si>
  <si>
    <t>4.97_369.1070m/z</t>
  </si>
  <si>
    <t>2',3',5'-Triacetyl-5-Azacytidine</t>
  </si>
  <si>
    <t>10302-78-0</t>
  </si>
  <si>
    <t>CC(=O)OCC1C(C(C(O1)N2C=NC(=NC2=O)N)OC(=O)C)OC(=O)C</t>
  </si>
  <si>
    <t>OTQJVHISAFFLMA-DDHJBXDOSA-N</t>
  </si>
  <si>
    <t>C14H18N4O8</t>
  </si>
  <si>
    <t>4.70_801.2610m/z</t>
  </si>
  <si>
    <t>8-Prenylkaempferol 4'-Methyl Ether 3-[4'''-,6'''-Diacetylglucosyl-(1-&gt;3)-4''-Acetylrhamnoside]</t>
  </si>
  <si>
    <t>LMPK12112027</t>
  </si>
  <si>
    <t>C1C=C(OC)C=CC=1C1=C(O[C@H]2[C@H](O)[C@H](O[C@H]3[C@H](O)[C@@H](O)[C@H](OC(C)=O)[C@@H](COC(C)=O)O3)[C@@H](OC(C)=O)[C@H](C)O2)C(=O)C2C(O)=CC(O)=C(C/C=C(/C)\C)C=2O1</t>
  </si>
  <si>
    <t>XZYBHCOHVDXMCQ-KWVKLVGYSA-N</t>
  </si>
  <si>
    <t>C39H46O18</t>
  </si>
  <si>
    <t>3.60_505.1556m/z</t>
  </si>
  <si>
    <t>D-(+)-Neopterin</t>
  </si>
  <si>
    <t>C05926</t>
  </si>
  <si>
    <t>2009-64-5</t>
  </si>
  <si>
    <t>C1=C(N=C2C(=O)NC(=NC2=N1)N)C(C(CO)O)O</t>
  </si>
  <si>
    <t>BMQYVXCPAOLZOK-XINAWCOVSA-N</t>
  </si>
  <si>
    <t>C9H11N5O4</t>
  </si>
  <si>
    <t>8.71_413.3194m/z</t>
  </si>
  <si>
    <t>19-Norcholestanol</t>
  </si>
  <si>
    <t>LMST01010291</t>
  </si>
  <si>
    <t>[C@]12(CC[C@@]3([H])C[C@@H](O)CC[C@]3([H])[C@@]1([H])CC[C@]1(C)[C@@]([H])([C@@](C)([H])CCCC(C)C)CC[C@@]21[H])[H]</t>
  </si>
  <si>
    <t>YPUSVPPKDFWEHB-PDCPANKYSA-N</t>
  </si>
  <si>
    <t>C26H46O</t>
  </si>
  <si>
    <t>13.59_623.1016m/z</t>
  </si>
  <si>
    <t>3,5,7,8-Tetrahydro-2-[4-(Trifluoromethyl)Phenyl]-4h-Thiopyrano[4,3-D]Pyrimidin-4-One</t>
  </si>
  <si>
    <t>HMDB0259924</t>
  </si>
  <si>
    <t>284028-89-3</t>
  </si>
  <si>
    <t>FC(F)(F)C1=CC=C(C=C1)C1=NC(=O)C2=C(CCSC2)N1</t>
  </si>
  <si>
    <t>KLGQSVMIPOVQAX-UHFFFAOYSA-N</t>
  </si>
  <si>
    <t>Pyranopyridines</t>
  </si>
  <si>
    <t>C14H11F3N2OS</t>
  </si>
  <si>
    <t>9.91_413.0213m/z</t>
  </si>
  <si>
    <t>4-Nitro-3-(Trifluoromethyl)Phenol</t>
  </si>
  <si>
    <t>HMDB0246527</t>
  </si>
  <si>
    <t>OC1=CC(=C(C=C1)N(=O)=O)C(F)(F)F</t>
  </si>
  <si>
    <t>ZEFMBAFMCSYJOO-UHFFFAOYSA-N</t>
  </si>
  <si>
    <t>C7H4F3NO3</t>
  </si>
  <si>
    <t>9.75_167.0702m/z</t>
  </si>
  <si>
    <t>Phosphorylcholine</t>
  </si>
  <si>
    <t>HMDB0001565</t>
  </si>
  <si>
    <t>C00588</t>
  </si>
  <si>
    <t>3616-04-4</t>
  </si>
  <si>
    <t>C[N+](C)(C)CCOP(O)(O)=O</t>
  </si>
  <si>
    <t>YHHSONZFOIEMCP-UHFFFAOYSA-O</t>
  </si>
  <si>
    <t>C5H15NO4P+</t>
  </si>
  <si>
    <t>10.09_850.3073m/z</t>
  </si>
  <si>
    <t>3'-P-Hydroxypaclitaxel</t>
  </si>
  <si>
    <t>HMDB0060753</t>
  </si>
  <si>
    <t>132160-32-8</t>
  </si>
  <si>
    <t>CC(=O)O[C@@H]1C2=C(C)[C@H](C[C@@](O)([C@@H](OC(=O)C3=CC=CC=C3)[C@@H]3[C@@]4(CO[C@@H]4C[C@H](O)[C@@]3(C)C1=O)OC(C)=O)C2(C)C)OC(=O)[C@H](O)[C@@H](N=C(O)C1=CC=CC=C1)C1=CC=C(O)C=C1</t>
  </si>
  <si>
    <t>XKSMHFPSILYEIA-MZXODVADSA-N</t>
  </si>
  <si>
    <t>7.14_465.2087m/z</t>
  </si>
  <si>
    <t>6alpha,9alpha-Difluoroprednisolone-17-Butyrate</t>
  </si>
  <si>
    <t>HMDB0060797</t>
  </si>
  <si>
    <t>CCCC(=O)O[C@@]1(CC[C@H]2[C@@H]3C[C@H](F)C4=CC(=O)C=C[C@]4(C)[C@@]3(F)[C@@H](O)C[C@]12C)C(=O)CO</t>
  </si>
  <si>
    <t>BQEJAAIPKDQEPV-MXHGPKCJSA-N</t>
  </si>
  <si>
    <t>C25H32F2O6</t>
  </si>
  <si>
    <t>7.62_175.0238m/z</t>
  </si>
  <si>
    <t>Pyruvic Acid</t>
  </si>
  <si>
    <t>HMDB0000243</t>
  </si>
  <si>
    <t>LMFA01060077</t>
  </si>
  <si>
    <t>C00022</t>
  </si>
  <si>
    <t>ko00010,ko00020,ko00030,ko00040,ko00053,ko00250,ko00260,ko00261,ko00270,ko00290,ko00330,ko00350,ko00360,ko00362,ko00430,ko00440,ko00470,ko00620,ko00621,ko00622,ko00630,ko00650,ko00660,ko00680,ko00710,ko00720,ko00730,ko00760,ko00770,ko00900,ko00997,ko00999,ko01502,ko02060,ko04066,ko04152,ko04911,ko04922,ko04930,ko04931,ko05230,ko05415</t>
  </si>
  <si>
    <t>Glycolysis / Gluconeogenesis|Citrate cycle (TCA cycle)|Pentose phosphate pathway|Pentose and glucuronate interconversions|Ascorbate and aldarate metabolism|Alanine, aspartate and glutamate metabolism|Glycine, serine and threonine metabolism|Monobactam biosynthesis|Cysteine and methionine metabolism|Valine, leucine and isoleucine biosynthesis|Arginine and proline metabolism|Tyrosine metabolism|Phenylalanine metabolism|Benzoate degradation|Taurine and hypotaurine metabolism|Phosphonate and phosphinate metabolism|D-Amino acid metabolism|Pyruvate metabolism|Dioxin degradation|Xylene degradation|Glyoxylate and dicarboxylate metabolism|Butanoate metabolism|C5-Branched dibasic acid metabolism|Methane metabolism|Carbon fixation in photosynthetic organisms|Carbon fixation pathways in prokaryotes|Thiamine metabolism|Nicotinate and nicotinamide metabolism|Pantothenate and CoA biosynthesis|Terpenoid backbone biosynthesis|Biosynthesis of various secondary metabolites - part 3|Biosynthesis of various secondary metabolites - part 1|Vancomycin resistance|Phosphotransferase system (PTS)|HIF-1 signaling pathway|AMPK signaling pathway|Insulin secretion|Glucagon signaling pathway|Type II diabetes mellitus|Insulin resistance|Central carbon metabolism in cancer|Diabetic cardiomyopathy</t>
  </si>
  <si>
    <t>127-17-3</t>
  </si>
  <si>
    <t>CC(=O)C(=O)O</t>
  </si>
  <si>
    <t>LCTONWCANYUPML-UHFFFAOYSA-N</t>
  </si>
  <si>
    <t>Alpha-keto acids and derivatives</t>
  </si>
  <si>
    <t>C3H4O3</t>
  </si>
  <si>
    <t>4.12_122.0964m/z</t>
  </si>
  <si>
    <t>5-Ethyl-2-Methylpyridine</t>
  </si>
  <si>
    <t>HMDB0029729</t>
  </si>
  <si>
    <t>104-90-5</t>
  </si>
  <si>
    <t>CCC1=CN=C(C)C=C1</t>
  </si>
  <si>
    <t>NTSLROIKFLNUIJ-UHFFFAOYSA-N</t>
  </si>
  <si>
    <t>C8H11N</t>
  </si>
  <si>
    <t>0.75_399.1136m/z</t>
  </si>
  <si>
    <t>2,4(1h,3h)-Pyrimidinedione, 5-Fluoro-1-(Tetrahydro-2-Furanyl)-, (R)-</t>
  </si>
  <si>
    <t>HMDB0246215</t>
  </si>
  <si>
    <t>C12673</t>
  </si>
  <si>
    <t>17902-23-7</t>
  </si>
  <si>
    <t>FC1=CN(C2CCCO2)C(=O)NC1=O</t>
  </si>
  <si>
    <t>WFWLQNSHRPWKFK-UHFFFAOYSA-N</t>
  </si>
  <si>
    <t>C8H9FN2O3</t>
  </si>
  <si>
    <t>7.53_165.0184m/z</t>
  </si>
  <si>
    <t>3,4-Methylenedioxybenzoic Acid</t>
  </si>
  <si>
    <t>HMDB0032613</t>
  </si>
  <si>
    <t>94-53-1</t>
  </si>
  <si>
    <t>OC(=O)C1=CC2=C(OCO2)C=C1</t>
  </si>
  <si>
    <t>VDVJGIYXDVPQLP-UHFFFAOYSA-N</t>
  </si>
  <si>
    <t>C8H6O4</t>
  </si>
  <si>
    <t>10.28_429.1908m/z</t>
  </si>
  <si>
    <t>Rhodomyrtoxin</t>
  </si>
  <si>
    <t>85967-06-2</t>
  </si>
  <si>
    <t>CC1=C(C2=C(C(=C1O)C(=O)CC(C)C)OC3=C2C(=C(C(=C3C(=O)CC(C)C)O)C)O)O</t>
  </si>
  <si>
    <t>DEUFHKWBUJBCRS-UHFFFAOYSA-N</t>
  </si>
  <si>
    <t>C24H28O7</t>
  </si>
  <si>
    <t>4.70_597.2174m/z</t>
  </si>
  <si>
    <t>Lysophosphatidylcholine</t>
  </si>
  <si>
    <t>HMDB0254271</t>
  </si>
  <si>
    <t>CC(=O)OCC(O)COP([O-])(=O)OCC[N+](C)(C)C</t>
  </si>
  <si>
    <t>RYCNUMLMNKHWPZ-UHFFFAOYSA-N</t>
  </si>
  <si>
    <t>C10H22NO7P</t>
  </si>
  <si>
    <t>3.73_510.2179m/z</t>
  </si>
  <si>
    <t>Ac-Ser-Asp-Lys-Pro-Oh</t>
  </si>
  <si>
    <t>HMDB0062552</t>
  </si>
  <si>
    <t>[H][C@@](CO)(N=C(C)O)C(O)=N[C@@]([H])(CC(O)=O)C(O)=N[C@@]([H])(CCCCN)C(=O)N1CCC[C@@]1([H])C(O)=O</t>
  </si>
  <si>
    <t>HJDRXEQUFWLOGJ-AJNGGQMLSA-N</t>
  </si>
  <si>
    <t>C20H33N5O9</t>
  </si>
  <si>
    <t>5.73_567.1671m/z</t>
  </si>
  <si>
    <t>Asticolorin C</t>
  </si>
  <si>
    <t>HMDB0030135</t>
  </si>
  <si>
    <t>93395-44-9</t>
  </si>
  <si>
    <t>CC1=CC2C3C(C)(C1)C1=C(OC4=CC(CO)=CC(O)=C14)C(=O)C3(O)OC1=CC3=C(C4=C(O)C=C(CO)C=C4O3)C(C)=C21</t>
  </si>
  <si>
    <t>XVQCWVVYGNETPD-UHFFFAOYSA-N</t>
  </si>
  <si>
    <t>C33H28O9</t>
  </si>
  <si>
    <t>5.28_369.2247m/z</t>
  </si>
  <si>
    <t>Sorbitan Laurate</t>
  </si>
  <si>
    <t>HMDB0029885</t>
  </si>
  <si>
    <t>LMFA07011017</t>
  </si>
  <si>
    <t>1338-39-2</t>
  </si>
  <si>
    <t>O(C(CCCCCCCCCCC)=O)CC(C1OCC(O)C1O)O</t>
  </si>
  <si>
    <t>LWZFANDGMFTDAV-UHFFFAOYSA-N</t>
  </si>
  <si>
    <t>C18H34O6</t>
  </si>
  <si>
    <t>3.26_459.1507m/z</t>
  </si>
  <si>
    <t>Galactitol, 1,2:5,6-Dianhydro-, Diacetate</t>
  </si>
  <si>
    <t>HMDB0246021</t>
  </si>
  <si>
    <t>CC(=O)OC(C(OC(C)=O)C1CO1)C1CO1</t>
  </si>
  <si>
    <t>MMAXAFOTGLVFQZ-UHFFFAOYSA-N</t>
  </si>
  <si>
    <t>C10H14O6</t>
  </si>
  <si>
    <t>10.01_287.1863m/z</t>
  </si>
  <si>
    <t>3-Oxo-Tetradecanoic Acid</t>
  </si>
  <si>
    <t>HMDB0010730</t>
  </si>
  <si>
    <t>LMFA01060099</t>
  </si>
  <si>
    <t>C(CC(=O)CCCCCCCCCCC)(=O)O</t>
  </si>
  <si>
    <t>XLKOZYOVXNPWGT-UHFFFAOYSA-N</t>
  </si>
  <si>
    <t>C14H26O3</t>
  </si>
  <si>
    <t>7.89_207.1020m/z</t>
  </si>
  <si>
    <t>Senkyunolide N</t>
  </si>
  <si>
    <t>HMDB0302272</t>
  </si>
  <si>
    <t>CCCCC1OC(=O)C2=C1CCC(O)C2O</t>
  </si>
  <si>
    <t>AXRIHSJZHOTGAE-UHFFFAOYSA-N</t>
  </si>
  <si>
    <t>1.17_417.0285m/z</t>
  </si>
  <si>
    <t>4-[1,1-Dioxo-3-(2,3,4-Trihydroxyphenyl)-2,1lambda6-Benzoxathiol-3-Yl]Benzene-1,2,3-Triol</t>
  </si>
  <si>
    <t>HMDB0257894</t>
  </si>
  <si>
    <t>OC1=C(O)C(O)=C(C=C1)C1(OS(=O)(=O)C2=CC=CC=C12)C1=C(O)C(O)=C(O)C=C1</t>
  </si>
  <si>
    <t>XUWIJETXVNZZFI-UHFFFAOYSA-N</t>
  </si>
  <si>
    <t>C19H14O9S</t>
  </si>
  <si>
    <t>5.79_789.2584m/z</t>
  </si>
  <si>
    <t>Epimedin B</t>
  </si>
  <si>
    <t>HMDB0251854</t>
  </si>
  <si>
    <t>COC1=CC=C(C=C1)C1=C(OC2OC(C)C(O)C(O)C2OC2OCC(O)C(O)C2O)C(=O)C2=C(O)C=C(OC3OC(CO)C(O)C(O)C3O)C(CC=C(C)C)=C2O1</t>
  </si>
  <si>
    <t>OCZZCFAOOWZSRX-UHFFFAOYSA-N</t>
  </si>
  <si>
    <t>C38H48O19</t>
  </si>
  <si>
    <t>4.54_571.2754m/z</t>
  </si>
  <si>
    <t>Val-Phe-Val-Tyr</t>
  </si>
  <si>
    <t>HMDB0304812</t>
  </si>
  <si>
    <t>CC(C)C(N)C(O)=NC(CC1=CC=CC=C1)C(O)=NC(C(C)C)C(O)=NC(CC1=CC=C(O)C=C1)C(O)=O</t>
  </si>
  <si>
    <t>HRJFPLCYTCOZOV-UHFFFAOYSA-N</t>
  </si>
  <si>
    <t>4.78_421.1138m/z</t>
  </si>
  <si>
    <t>5-F2t-Isop</t>
  </si>
  <si>
    <t>LMFA03110039</t>
  </si>
  <si>
    <t>C(CCC[C@H](O)/C=C/[C@@H]1[C@@H](O)C[C@@H](O)[C@@H]1C/C=C\CCCCC)(=O)O</t>
  </si>
  <si>
    <t>RZCPXIZGLPAGEV-VOMLHDSDSA-N</t>
  </si>
  <si>
    <t>C19H20O8</t>
  </si>
  <si>
    <t>9.44_333.2072m/z</t>
  </si>
  <si>
    <t>Geranate</t>
  </si>
  <si>
    <t>HMDB0304369</t>
  </si>
  <si>
    <t>CC(C)=CCCC(C)=CC([O-])=O</t>
  </si>
  <si>
    <t>ZHYZQXUYZJNEHD-UHFFFAOYSA-M</t>
  </si>
  <si>
    <t>C10H15O2-</t>
  </si>
  <si>
    <t>8.95_856.4098m/z</t>
  </si>
  <si>
    <t>CDP-DG(a-13:0/i-12:0)</t>
  </si>
  <si>
    <t>HMDB0116068</t>
  </si>
  <si>
    <t>[H][C@@](COC(=O)CCCCCCCCC(C)CC)(COP(O)(=O)OP(O)(=O)OC[C@H]1O[C@H](C(O)[C@H]1O)N1C=CC(N)=NC1=O)OC(=O)CCCCCCCCC(C)C</t>
  </si>
  <si>
    <t>URXLTEPIZQRTAV-WXBMFJRSSA-N</t>
  </si>
  <si>
    <t>C37H67N3O15P2</t>
  </si>
  <si>
    <t>4.67_389.0989m/z</t>
  </si>
  <si>
    <t>Dehydronifedipine</t>
  </si>
  <si>
    <t>HMDB0061041</t>
  </si>
  <si>
    <t>67035-22-7</t>
  </si>
  <si>
    <t>COC(=O)C1=C(C2=CC=CC=C2N(=O)=O)C(C(=O)OC)=C(C)N=C1C</t>
  </si>
  <si>
    <t>UMQHJQGNGLQJPF-UHFFFAOYSA-N</t>
  </si>
  <si>
    <t>C17H16N2O6</t>
  </si>
  <si>
    <t>4.57_196.1695m/z</t>
  </si>
  <si>
    <t>Propofol</t>
  </si>
  <si>
    <t>HMDB0014956</t>
  </si>
  <si>
    <t>C07523</t>
  </si>
  <si>
    <t>2078-54-8</t>
  </si>
  <si>
    <t>CC(C)C1=CC=CC(C(C)C)=C1O</t>
  </si>
  <si>
    <t>OLBCVFGFOZPWHH-UHFFFAOYSA-N</t>
  </si>
  <si>
    <t>2.05_213.0873m/z</t>
  </si>
  <si>
    <t>Pyridoxamine</t>
  </si>
  <si>
    <t>HMDB0001431</t>
  </si>
  <si>
    <t>C00534</t>
  </si>
  <si>
    <t>ko00750,ko04977</t>
  </si>
  <si>
    <t>Vitamin B6 metabolism|Vitamin digestion and absorption</t>
  </si>
  <si>
    <t>85-87-0</t>
  </si>
  <si>
    <t>CC1=C(O)C(CN)=C(CO)C=N1</t>
  </si>
  <si>
    <t>NHZMQXZHNVQTQA-UHFFFAOYSA-N</t>
  </si>
  <si>
    <t>Pyridoxamines</t>
  </si>
  <si>
    <t>C8H12N2O2</t>
  </si>
  <si>
    <t>11.61_392.3128m/z</t>
  </si>
  <si>
    <t>N-Stearoyl Gaba</t>
  </si>
  <si>
    <t>HMDB0062341</t>
  </si>
  <si>
    <t>LMFA08020106</t>
  </si>
  <si>
    <t>C(CCCCCCCCCCCCCCCCC)(=O)NCCCC(=O)O</t>
  </si>
  <si>
    <t>CCGXSETVBNBVKJ-UHFFFAOYSA-N</t>
  </si>
  <si>
    <t>1.79_278.0545m/z</t>
  </si>
  <si>
    <t>(E)-C-Hdmapp</t>
  </si>
  <si>
    <t>933030-60-5</t>
  </si>
  <si>
    <t>CC(=CCCP(=O)(O)OP(=O)(O)O)CO</t>
  </si>
  <si>
    <t>YYYUHBYKZCBOPY-ZZXKWVIFSA-N</t>
  </si>
  <si>
    <t>C6H14O7P2</t>
  </si>
  <si>
    <t>8.78_275.2003m/z</t>
  </si>
  <si>
    <t>Nandrolone</t>
  </si>
  <si>
    <t>HMDB0002725</t>
  </si>
  <si>
    <t>LMST02010044</t>
  </si>
  <si>
    <t>C07254</t>
  </si>
  <si>
    <t>434-22-0</t>
  </si>
  <si>
    <t>C1[C@@]2([H])C(CC[C@]3([H])[C@]2([H])CC[C@@]2([C@H](CC[C@@]32[H])O)C)=CC(=O)C1</t>
  </si>
  <si>
    <t>NPAGDVCDWIYMMC-IZPLOLCNSA-N</t>
  </si>
  <si>
    <t>4.48_389.1436m/z</t>
  </si>
  <si>
    <t>8-O-Acetylharpagide</t>
  </si>
  <si>
    <t>CC(=O)OC1(CC(C2(C1C(OC=C2)OC3C(C(C(C(O3)CO)O)O)O)O)O)C</t>
  </si>
  <si>
    <t>CAFTUQNGDROXEZ-XBDCZORHSA-N</t>
  </si>
  <si>
    <t>10.98_609.4332m/z</t>
  </si>
  <si>
    <t>DG(12:0/PGE2/0:0)</t>
  </si>
  <si>
    <t>HMDB0294661</t>
  </si>
  <si>
    <t>CCCCCCCCCCCC(=O)OC[C@H](CO)OC(=O)CCC\C=C/C[C@@H]1[C@@H](\C=C\[C@@H](O)CCCCC)[C@H](O)CC1=O</t>
  </si>
  <si>
    <t>DRKGKILLBNDTDW-UKPQPXGPSA-N</t>
  </si>
  <si>
    <t>C35H60O8</t>
  </si>
  <si>
    <t>2.13_105.0910m/z</t>
  </si>
  <si>
    <t>1,3-Pentanediol</t>
  </si>
  <si>
    <t>HMDB0244179</t>
  </si>
  <si>
    <t>CCC(O)CCO</t>
  </si>
  <si>
    <t>RUOPINZRYMFPBF-UHFFFAOYSA-N</t>
  </si>
  <si>
    <t>C5H12O2</t>
  </si>
  <si>
    <t>2.39_167.0340m/z</t>
  </si>
  <si>
    <t>5-Methoxysalicylic Acid</t>
  </si>
  <si>
    <t>HMDB0001868</t>
  </si>
  <si>
    <t>2612-02-4</t>
  </si>
  <si>
    <t>COC1=CC(C(O)=O)=C(O)C=C1</t>
  </si>
  <si>
    <t>IZZIWIAOVZOBLF-UHFFFAOYSA-N</t>
  </si>
  <si>
    <t>5.26_949.3848m/z</t>
  </si>
  <si>
    <t>Pipotiazine</t>
  </si>
  <si>
    <t>HMDB0015558</t>
  </si>
  <si>
    <t>39860-99-6</t>
  </si>
  <si>
    <t>CN(C)S(=O)(=O)C1=CC2=C(SC3=CC=CC=C3N2CCCN2CCC(CCO)CC2)C=C1</t>
  </si>
  <si>
    <t>JOMHSQGEWSNUKU-UHFFFAOYSA-N</t>
  </si>
  <si>
    <t>C24H33N3O3S2</t>
  </si>
  <si>
    <t>1.68_311.0384m/z</t>
  </si>
  <si>
    <t>1-Sulfooxymethylpyrene</t>
  </si>
  <si>
    <t>HMDB0244010</t>
  </si>
  <si>
    <t>OS(=O)(=O)OCC1=C2C=CC3=CC=CC4=C3C2=C(C=C1)C=C4</t>
  </si>
  <si>
    <t>JEHJDOIFMGNIQI-UHFFFAOYSA-N</t>
  </si>
  <si>
    <t>C17H12O4S</t>
  </si>
  <si>
    <t>8.66_665.2369m/z</t>
  </si>
  <si>
    <t>Ptdins-(5)-P1 (1,2-Dioctanoyl)</t>
  </si>
  <si>
    <t>CCCCCCCC(=O)OCC(COP(=O)(O)OC1C(C(C(C(C1O)OP(=O)(O)O)O)O)O)OC(=O)CCCCCCC</t>
  </si>
  <si>
    <t>LKXJHTKDXMQMDM-UHFFFAOYSA-N</t>
  </si>
  <si>
    <t>C25H48O16P2</t>
  </si>
  <si>
    <t>2.31_243.0483m/z</t>
  </si>
  <si>
    <t>Carboxymethyl Cellulose, Sodium Salt</t>
  </si>
  <si>
    <t>HMDB0303207</t>
  </si>
  <si>
    <t>[Na+].CC([O-])=O.OCC(O)C(O)C(O)C(O)C=O</t>
  </si>
  <si>
    <t>QMGYPNKICQJHLN-UHFFFAOYSA-M</t>
  </si>
  <si>
    <t>C8H15NaO8</t>
  </si>
  <si>
    <t>5.28_223.0970m/z</t>
  </si>
  <si>
    <t>1-Hydroxy-5-Phenyl-3-Pentanone</t>
  </si>
  <si>
    <t>LMFA05000603</t>
  </si>
  <si>
    <t>C1(CCC(=O)CCO)C=CC=CC=1</t>
  </si>
  <si>
    <t>VQTZONPDOFOTIF-UHFFFAOYSA-N</t>
  </si>
  <si>
    <t>7.47_353.1131m/z</t>
  </si>
  <si>
    <t>C.i. Solvent Red 80</t>
  </si>
  <si>
    <t>HMDB0037521</t>
  </si>
  <si>
    <t>C19214</t>
  </si>
  <si>
    <t>6358-53-8</t>
  </si>
  <si>
    <t>COC1=CC(\N=N\C2=C(O)C=CC3=CC=CC=C23)=C(OC)C=C1</t>
  </si>
  <si>
    <t>GJUABKCEXOMRPQ-FMQUCBEESA-N</t>
  </si>
  <si>
    <t>C18H16N2O3</t>
  </si>
  <si>
    <t>4.72_787.2594m/z</t>
  </si>
  <si>
    <t>5,10-Methylenetetrahydromethanopterin</t>
  </si>
  <si>
    <t>HMDB0060401</t>
  </si>
  <si>
    <t>C04377</t>
  </si>
  <si>
    <t>ko00680</t>
  </si>
  <si>
    <t>Methane metabolism</t>
  </si>
  <si>
    <t>C[C@@H]1[C@H]2[C@H](C)NC3=C(N2CN1C1=CC=C(C[C@H](O)[C@H](O)[C@H](O)CO[C@H]2O[C@H](COP(O)(=O)O[C@@H](CCC(O)=O)C(O)=O)[C@@H](O)[C@H]2O)C=C1)C(O)=NC(=N)N3</t>
  </si>
  <si>
    <t>GBMIGEWJAPFSQI-CAFBYHECSA-N</t>
  </si>
  <si>
    <t>C31H45N6O16P</t>
  </si>
  <si>
    <t>14.25_391.2838m/z</t>
  </si>
  <si>
    <t>Bis(2-Ethylhexyl) Phthalate</t>
  </si>
  <si>
    <t>HMDB0249243</t>
  </si>
  <si>
    <t>C03690</t>
  </si>
  <si>
    <t>117-81-7</t>
  </si>
  <si>
    <t>CCCCC(CC)COC(=O)C1=CC=CC=C1C(=O)OCC(CC)CCCC</t>
  </si>
  <si>
    <t>BJQHLKABXJIVAM-UHFFFAOYSA-N</t>
  </si>
  <si>
    <t>C24H38O4</t>
  </si>
  <si>
    <t>13.59_604.3945n</t>
  </si>
  <si>
    <t>3-Epipapyriferic Acid</t>
  </si>
  <si>
    <t>HMDB0040498</t>
  </si>
  <si>
    <t>151890-02-7</t>
  </si>
  <si>
    <t>CC(=O)OC1CC2C3(C)CCC(OC(=O)CC(O)=O)C(C)(C)C3CCC2(C)C2(C)CCC(C12)C1(C)CCC(O1)C(C)(C)O</t>
  </si>
  <si>
    <t>RLVAVWQAAQFUOP-UHFFFAOYSA-N</t>
  </si>
  <si>
    <t>C35H56O8</t>
  </si>
  <si>
    <t>0.64_190.9794m/z</t>
  </si>
  <si>
    <t>Mercaptopurine</t>
  </si>
  <si>
    <t>HMDB0015167</t>
  </si>
  <si>
    <t>C02380</t>
  </si>
  <si>
    <t>ko00983,ko04976</t>
  </si>
  <si>
    <t>Drug metabolism - other enzymes|Bile secretion</t>
  </si>
  <si>
    <t>50-44-2</t>
  </si>
  <si>
    <t>S=C1N=CNC2=C1NC=N2</t>
  </si>
  <si>
    <t>GLVAUDGFNGKCSF-UHFFFAOYSA-N</t>
  </si>
  <si>
    <t>C5H4N4S</t>
  </si>
  <si>
    <t>10.87_492.3090n</t>
  </si>
  <si>
    <t>24(28)-Dehydromakisterone</t>
  </si>
  <si>
    <t>HMDB0302988</t>
  </si>
  <si>
    <t>[H][C@@]1(CC[C@@]2(O)C3=CC(=O)[C@]4([H])C[C@@H](O)[C@@H](O)C[C@]4(C)C3CC[C@]12C)[C@@](C)(O)[C@H](O)CC(=C)C(C)(C)O</t>
  </si>
  <si>
    <t>XTSYLJLNVWBIFH-RPAREISOSA-N</t>
  </si>
  <si>
    <t>C28H44O7</t>
  </si>
  <si>
    <t>1.42_743.2730m/z</t>
  </si>
  <si>
    <t>As-PL(16:0/0:0)</t>
  </si>
  <si>
    <t>LMGP14040001</t>
  </si>
  <si>
    <t>[C@](COP(=O)(O)OCC(O)CO[C@H]1[C@H](O)[C@H](O)[C@@H](C[As](C)(=O)C)O1)([H])(O)COC(CCCCCCCCCCCCCCC)=O</t>
  </si>
  <si>
    <t>PNEIVAYPPKIEGN-BUUFUZTBSA-N</t>
  </si>
  <si>
    <t>C29H58AsO13P</t>
  </si>
  <si>
    <t>4.19_589.1207m/z</t>
  </si>
  <si>
    <t>Balanol</t>
  </si>
  <si>
    <t>C1CC(C(CNC1)NC(=O)C2=CC=C(C=C2)O)OC(=O)C3=CC(=C(C(=C3)O)C(=O)C4=C(C=CC=C4O)C(=O)O)O</t>
  </si>
  <si>
    <t>XYUFCXJZFZPEJD-XMSQKQJNSA-N</t>
  </si>
  <si>
    <t>C28H26N2O10</t>
  </si>
  <si>
    <t>4.11_257.1897m/z</t>
  </si>
  <si>
    <t>17-Deoxyestradiol</t>
  </si>
  <si>
    <t>HMDB0244763</t>
  </si>
  <si>
    <t>C02453</t>
  </si>
  <si>
    <t>CC12CCCC1C1CCC3=C(C=CC(O)=C3)C1CC2</t>
  </si>
  <si>
    <t>HJKVPZJVBHWFCQ-UHFFFAOYSA-N</t>
  </si>
  <si>
    <t>C18H24O</t>
  </si>
  <si>
    <t>8.05_609.2931n</t>
  </si>
  <si>
    <t>Ergocristine</t>
  </si>
  <si>
    <t>HMDB0251908</t>
  </si>
  <si>
    <t>CC(C)C1(NC(=O)C2CN(C)C3CC4=CNC5=CC=CC(=C45)C3=C2)OC2(O)C3CCCN3C(=O)C(CC3=CC=CC=C3)N2C1=O</t>
  </si>
  <si>
    <t>HEFIYUQVAZFDEE-UHFFFAOYSA-N</t>
  </si>
  <si>
    <t>C35H39N5O5</t>
  </si>
  <si>
    <t>6.01_217.1950m/z</t>
  </si>
  <si>
    <t>Cyperotundone</t>
  </si>
  <si>
    <t>HMDB0036578</t>
  </si>
  <si>
    <t>C17501</t>
  </si>
  <si>
    <t>3466-15-7</t>
  </si>
  <si>
    <t>C[C@@H]1CC[C@@H]2CC3=C(C)C(=C)C[C@]13C2(C)C</t>
  </si>
  <si>
    <t>CASPQMNSCBDWDR-KFNAQCHYSA-N</t>
  </si>
  <si>
    <t>C16H24</t>
  </si>
  <si>
    <t>11.39_733.4129m/z</t>
  </si>
  <si>
    <t>Methyl 13-Sophorosyloxydocosanoate</t>
  </si>
  <si>
    <t>LMFA13020002</t>
  </si>
  <si>
    <t>C(C(CCCCCCCCC)O[C@@H]1O[C@H](CO)[C@@H](O)[C@H](O)[C@H]1O[C@@H]1O[C@H](CO)[C@@H](O)[C@H](O)[C@H]1O)CCCCCCCCCCC(=O)OC</t>
  </si>
  <si>
    <t>NKQRPULMZRZDJA-IPORWCFUSA-N</t>
  </si>
  <si>
    <t>C35H66O13</t>
  </si>
  <si>
    <t>11.25_913.5127m/z</t>
  </si>
  <si>
    <t>Hoduloside Vii</t>
  </si>
  <si>
    <t>HMDB0040659</t>
  </si>
  <si>
    <t>154971-11-6</t>
  </si>
  <si>
    <t>CC1OC(OC2C(O)C(O)COC2OC2CCC3(C)C(CCC4(C)C3CCC3C(C(=O)CC43COC3OC(CO)C(O)C(O)C3O)C(C)(O)C\C=C\C(C)(C)O)C2(C)C)C(O)C(O)C1O</t>
  </si>
  <si>
    <t>YAFOSOWHFJFSLN-NTEUORMPSA-N</t>
  </si>
  <si>
    <t>C47H78O18</t>
  </si>
  <si>
    <t>5.51_577.2276m/z</t>
  </si>
  <si>
    <t>Austalide D</t>
  </si>
  <si>
    <t>HMDB0031140</t>
  </si>
  <si>
    <t>81543-04-6</t>
  </si>
  <si>
    <t>COC1=C2C(=O)OCC2=C(C)C2=C1CC1C(C)(CC(O)C34OC(CC(OC(C)=O)C13C)(OC)OC4(C)C)O2</t>
  </si>
  <si>
    <t>WDGSJYYXVXQQHP-UHFFFAOYSA-N</t>
  </si>
  <si>
    <t>6.46_561.2751m/z</t>
  </si>
  <si>
    <t>Floribundine</t>
  </si>
  <si>
    <t>HMDB0030312</t>
  </si>
  <si>
    <t>3153-55-7</t>
  </si>
  <si>
    <t>COC1=C(O)C=C2CCN(C)C3CC4=CC=CC=C4C1=C23</t>
  </si>
  <si>
    <t>AKXOIHNFHOEPHN-UHFFFAOYSA-N</t>
  </si>
  <si>
    <t>C18H19NO2</t>
  </si>
  <si>
    <t>11.27_266.2480m/z</t>
  </si>
  <si>
    <t>Avocadenofuran</t>
  </si>
  <si>
    <t>HMDB0030932</t>
  </si>
  <si>
    <t>25346-24-1</t>
  </si>
  <si>
    <t>C=CCCCCCCCCCCCC1=CC=CO1</t>
  </si>
  <si>
    <t>KNKVJBRMGKXDGO-UHFFFAOYSA-N</t>
  </si>
  <si>
    <t>C17H28O</t>
  </si>
  <si>
    <t>1.47_186.0763m/z</t>
  </si>
  <si>
    <t>(3r)-3-Hydroxy-N-[(3s)-2-Oxooxolan-3-Yl]Butanamide</t>
  </si>
  <si>
    <t>HMDB0243607</t>
  </si>
  <si>
    <t>CC(O)CC(=O)NC1CCOC1=O</t>
  </si>
  <si>
    <t>FIXDIFPJOFIIEC-UHFFFAOYSA-N</t>
  </si>
  <si>
    <t>1.47_195.0656m/z</t>
  </si>
  <si>
    <t>2-Furanmethanol</t>
  </si>
  <si>
    <t>HMDB0013742</t>
  </si>
  <si>
    <t>C20441</t>
  </si>
  <si>
    <t>98-00-0</t>
  </si>
  <si>
    <t>OCC1=CC=CO1</t>
  </si>
  <si>
    <t>XPFVYQJUAUNWIW-UHFFFAOYSA-N</t>
  </si>
  <si>
    <t>C5H6O2</t>
  </si>
  <si>
    <t>3.57_325.1258m/z</t>
  </si>
  <si>
    <t>Garcinia Lactone Dibutyl Ester</t>
  </si>
  <si>
    <t>HMDB0040462</t>
  </si>
  <si>
    <t>CCCCOC(=O)CC1(O)C(OC1=O)C(=O)OCCCC</t>
  </si>
  <si>
    <t>TYDSJOYVIREIOH-UHFFFAOYSA-N</t>
  </si>
  <si>
    <t>C14H22O7</t>
  </si>
  <si>
    <t>10.65_301.2018m/z</t>
  </si>
  <si>
    <t>Ipomeatetrahydrofuran</t>
  </si>
  <si>
    <t>HMDB0040904</t>
  </si>
  <si>
    <t>92448-62-9</t>
  </si>
  <si>
    <t>CC(C)CC(=O)CC1(C)CCC(O1)C(C)CCO</t>
  </si>
  <si>
    <t>NQUGBBCWSQRMST-UHFFFAOYSA-N</t>
  </si>
  <si>
    <t>4.41_249.0755m/z</t>
  </si>
  <si>
    <t>Etimizol</t>
  </si>
  <si>
    <t>HMDB0252102</t>
  </si>
  <si>
    <t>CCN1C=NC(C(=O)NC)=C1C(=O)NC</t>
  </si>
  <si>
    <t>RYRFAMRQBZNEPX-UHFFFAOYSA-N</t>
  </si>
  <si>
    <t>C9H14N4O2</t>
  </si>
  <si>
    <t>1.94_701.2294m/z</t>
  </si>
  <si>
    <t>Triphyllin A</t>
  </si>
  <si>
    <t>LMPK12020169</t>
  </si>
  <si>
    <t>C1(O[C@H]2[C@H](O)[C@@H](O)[C@H](O)[C@@H](CO)O2)=C(C)C2O[C@@H](C3C=CC(OC)=CC=3)C[C@H](O)C=2C(O[C@H]2[C@H](O)[C@@H](O)[C@H](O)[C@@H](CO)O2)=C1CO</t>
  </si>
  <si>
    <t>KIOGDCNEFKPDDB-KXKATYLASA-N</t>
  </si>
  <si>
    <t>C30H40O16</t>
  </si>
  <si>
    <t>1.73_315.0852m/z</t>
  </si>
  <si>
    <t>Cadusafos</t>
  </si>
  <si>
    <t>HMDB0249530</t>
  </si>
  <si>
    <t>C18395</t>
  </si>
  <si>
    <t>95465-99-9</t>
  </si>
  <si>
    <t>CCOP(=O)(SC(C)CC)SC(C)CC</t>
  </si>
  <si>
    <t>KXRPCFINVWWFHQ-UHFFFAOYSA-N</t>
  </si>
  <si>
    <t>C10H23O2PS2</t>
  </si>
  <si>
    <t>4.68_259.0965m/z</t>
  </si>
  <si>
    <t>Ptaeroxylin</t>
  </si>
  <si>
    <t>14729-11-4</t>
  </si>
  <si>
    <t>CC1=CCC2=C(C=C3C(=C2O)C(=O)C=C(O3)C)OC1</t>
  </si>
  <si>
    <t>IUIHYYSAVUBPQO-UHFFFAOYSA-N</t>
  </si>
  <si>
    <t>Benzoxepines</t>
  </si>
  <si>
    <t>C15H14O4</t>
  </si>
  <si>
    <t>4.40_339.1912m/z</t>
  </si>
  <si>
    <t>5-((1-Ethyl-4-Piperidinyl)Oxy)-9h-Pyrrolo(2,3-B:5,4-C')Dipyridine-6-Carbonitrile</t>
  </si>
  <si>
    <t>HMDB0252656</t>
  </si>
  <si>
    <t>CCN1CCC(CC1)OC1=C2C(NC3=C2C=CC=N3)=CN=C1C#N</t>
  </si>
  <si>
    <t>XEZLBMHDUXSICI-UHFFFAOYSA-N</t>
  </si>
  <si>
    <t>C18H19N5O</t>
  </si>
  <si>
    <t>3.84_232.1086m/z</t>
  </si>
  <si>
    <t>L-Leucine-P-Nitroanilide</t>
  </si>
  <si>
    <t>HMDB0246659</t>
  </si>
  <si>
    <t>CC(C)CC(N)C(=O)NC1=CC=C(C=C1)[N+]([O-])=O</t>
  </si>
  <si>
    <t>AXZJHDNQDSVIDR-UHFFFAOYSA-N</t>
  </si>
  <si>
    <t>C12H17N3O3</t>
  </si>
  <si>
    <t>9.69_431.1849m/z</t>
  </si>
  <si>
    <t>Pac-1</t>
  </si>
  <si>
    <t>315183-21-2</t>
  </si>
  <si>
    <t>C=CCC1=C(C(=CC=C1)C=NNC(=O)CN2CCN(CC2)CC3=CC=CC=C3)O</t>
  </si>
  <si>
    <t>YQNRVGJCPCNMKT-LFVJCYFKSA-N</t>
  </si>
  <si>
    <t>C23H28N4O2</t>
  </si>
  <si>
    <t>10.19_947.4850m/z</t>
  </si>
  <si>
    <t>PS(20:4(5Z,8Z,11Z,14Z)/LTE4)</t>
  </si>
  <si>
    <t>HMDB0282599</t>
  </si>
  <si>
    <t>CCCCC\C=C/C\C=C/C\C=C/C\C=C/CCCC(=O)OC[C@H](COP(O)(=O)OC[C@H](N)C(O)=O)OC(=O)[C@@H](N)CS[C@H](\C=C\C=C\C=C/C\C=C/CCCCC)[C@@H](O)CCCC(O)=O</t>
  </si>
  <si>
    <t>KVIKOBGVOICMQT-IKTAZFRPSA-N</t>
  </si>
  <si>
    <t>C49H79N2O13PS</t>
  </si>
  <si>
    <t>11.60_341.3045m/z</t>
  </si>
  <si>
    <t>1-Stearoylglycerol</t>
  </si>
  <si>
    <t>HMDB0244009</t>
  </si>
  <si>
    <t>CCCCCCCCCCCCCCCCCC(=O)C(O)C(O)CO</t>
  </si>
  <si>
    <t>HFPRYXALJSRPBC-UHFFFAOYSA-N</t>
  </si>
  <si>
    <t>4.36_489.1505m/z</t>
  </si>
  <si>
    <t>15-(4-Iodophenyl)Pentadecanoic Acid</t>
  </si>
  <si>
    <t>HMDB0244661</t>
  </si>
  <si>
    <t>OC(=O)CCCCCCCCCCCCCCC1=CC=C(I)C=C1</t>
  </si>
  <si>
    <t>YAONEUNUMVOKNQ-UHFFFAOYSA-N</t>
  </si>
  <si>
    <t>C21H33IO2</t>
  </si>
  <si>
    <t>6.46_569.2659m/z</t>
  </si>
  <si>
    <t>Hydromorphone</t>
  </si>
  <si>
    <t>HMDB0014472</t>
  </si>
  <si>
    <t>C07042</t>
  </si>
  <si>
    <t>466-99-9</t>
  </si>
  <si>
    <t>[H][C@@]12OC3=C(O)C=CC4=C3[C@@]11CCN(C)[C@]([H])(C4)[C@]1([H])CCC2=O</t>
  </si>
  <si>
    <t>WVLOADHCBXTIJK-YNHQPCIGSA-N</t>
  </si>
  <si>
    <t>C17H19NO3</t>
  </si>
  <si>
    <t>3.77_303.1212n</t>
  </si>
  <si>
    <t>Indoleacetyl Glutamine</t>
  </si>
  <si>
    <t>HMDB0013240</t>
  </si>
  <si>
    <t>6899-04-3</t>
  </si>
  <si>
    <t>NC(=O)CCC(NC(=O)CC1=CNC2=CC=CC=C12)C(O)=O</t>
  </si>
  <si>
    <t>DVJIJAYHBZALOJ-UHFFFAOYSA-N</t>
  </si>
  <si>
    <t>C15H17N3O4</t>
  </si>
  <si>
    <t>14.55_443.2474m/z</t>
  </si>
  <si>
    <t>Trichomonacid</t>
  </si>
  <si>
    <t>HMDB0252900</t>
  </si>
  <si>
    <t>CCN(CC)CCCC(C)NC1=CC(C=CC2=CC=C(C=C2)[N+]([O-])=O)=NC2=C1C=C(OC)C=C2</t>
  </si>
  <si>
    <t>XWBADQOPXPRKBX-UHFFFAOYSA-N</t>
  </si>
  <si>
    <t>C27H34N4O3</t>
  </si>
  <si>
    <t>4.74_509.1271m/z</t>
  </si>
  <si>
    <t>7-Hydroxymethotrexate</t>
  </si>
  <si>
    <t>HMDB0061104</t>
  </si>
  <si>
    <t>5939-37-7</t>
  </si>
  <si>
    <t>CN(CC1=NC2=C(N)NC(=N)NC2=NC1=O)C1=CC=C(C=C1)C(=O)N[C@@H](CCC(O)=O)C(O)=O</t>
  </si>
  <si>
    <t>HODZDDDNGRLGSI-NSHDSACASA-N</t>
  </si>
  <si>
    <t>C20H22N8O6</t>
  </si>
  <si>
    <t>7.94_1154.3453m/z</t>
  </si>
  <si>
    <t>3,24-Dioxocholest-4-En-26-Oyl-Coa</t>
  </si>
  <si>
    <t>HMDB0304098</t>
  </si>
  <si>
    <t>CC(CCC(=O)C(C)C(=O)SCCNC(=O)CCNC(=O)C(O)C(C)(C)COP([O-])(=O)OP([O-])(=O)OCC1OC(C(O)C1OP([O-])([O-])=O)N1C=NC2=C1N=CN=C2N)C1CCC2C3CCC4=CC(=O)CCC4(C)C3CCC12C</t>
  </si>
  <si>
    <t>ZVFUUGBGZMBUAN-UHFFFAOYSA-J</t>
  </si>
  <si>
    <t>C48H70N7O19P3S-4</t>
  </si>
  <si>
    <t>9.00_183.1381m/z</t>
  </si>
  <si>
    <t>3-Hydroxynonyl Acetate</t>
  </si>
  <si>
    <t>HMDB0032443</t>
  </si>
  <si>
    <t>LMFA07010753</t>
  </si>
  <si>
    <t>60826-15-5</t>
  </si>
  <si>
    <t>O=C(C)OCCC(CCCCCC)O</t>
  </si>
  <si>
    <t>RTYFAKSWXDNPPU-UHFFFAOYSA-N</t>
  </si>
  <si>
    <t>4.12_395.2403m/z</t>
  </si>
  <si>
    <t>Txb1</t>
  </si>
  <si>
    <t>LMFA03030008</t>
  </si>
  <si>
    <t>64626-32-0</t>
  </si>
  <si>
    <t>C(CCCCCC[C@@H]1C(/C=C/[C@@H](O)CCCCC)OC(O)C[C@@H]1O)(=O)O</t>
  </si>
  <si>
    <t>JSDWWNLTJCCSAV-RLBQWBRQSA-N</t>
  </si>
  <si>
    <t>4.69_395.0744m/z</t>
  </si>
  <si>
    <t>Apratastat</t>
  </si>
  <si>
    <t>HMDB0248530</t>
  </si>
  <si>
    <t>CC1(C)SCCN(C1C(=O)NO)S(=O)(=O)C1=CC=C(OCC#CCO)C=C1</t>
  </si>
  <si>
    <t>MAVDNGWEBZTACC-UHFFFAOYSA-N</t>
  </si>
  <si>
    <t>C17H22N2O6S2</t>
  </si>
  <si>
    <t>5.32_327.1225m/z</t>
  </si>
  <si>
    <t>Flupirtine</t>
  </si>
  <si>
    <t>HMDB0252403</t>
  </si>
  <si>
    <t>CCOC(=O)NC1=C(N)N=C(NCC2=CC=C(F)C=C2)C=C1</t>
  </si>
  <si>
    <t>JUUFBMODXQKSTD-UHFFFAOYSA-N</t>
  </si>
  <si>
    <t>Benzylamines</t>
  </si>
  <si>
    <t>C15H17FN4O2</t>
  </si>
  <si>
    <t>2.46_199.0216m/z</t>
  </si>
  <si>
    <t>Diphenyl Sulfone</t>
  </si>
  <si>
    <t>HMDB0251453</t>
  </si>
  <si>
    <t>O=S(=O)(C1=CC=CC=C1)C1=CC=CC=C1</t>
  </si>
  <si>
    <t>KZTYYGOKRVBIMI-UHFFFAOYSA-N</t>
  </si>
  <si>
    <t>C12H10O2S</t>
  </si>
  <si>
    <t>4.80_1097.4553m/z</t>
  </si>
  <si>
    <t>Trillfurostanoside B</t>
  </si>
  <si>
    <t>LMST01070023</t>
  </si>
  <si>
    <t>[C@]12(C(=O)C=C3C[C@@H](O[C@H]4[C@H](O[C@H]5[C@H](O)[C@H](O)[C@@H](O)[C@H](C)O5)[C@@H](O)[C@H](O[C@H]5[C@H](O)[C@H](O)[C@@H](O)[C@H](C)O5)[C@@H](CO)O4)CC[C@]3(C)[C@@]1([H])CC[C@]1(C)/C(=C(/C(CC[C@H](CO[C@H]3[C@H](O)[C@@H](O)[C@H](O)[C@@H](CO)O3)C)=O)\C)/C</t>
  </si>
  <si>
    <t>AFGWPJOZVNBZBA-AVGCZSJXSA-N</t>
  </si>
  <si>
    <t>C51H78O23</t>
  </si>
  <si>
    <t>1.33_306.0998m/z</t>
  </si>
  <si>
    <t>Lysergamide</t>
  </si>
  <si>
    <t>HMDB0254261</t>
  </si>
  <si>
    <t>CN1CC(C=C2C1CC1=CNC3=CC=CC2=C13)C(N)=O</t>
  </si>
  <si>
    <t>GENAHGKEFJLNJB-UHFFFAOYSA-N</t>
  </si>
  <si>
    <t>C16H17N3O</t>
  </si>
  <si>
    <t>7.80_213.1126m/z</t>
  </si>
  <si>
    <t>2,2'-(3-Methylcyclohexane-1,1-Diyl)Diacetic Acid</t>
  </si>
  <si>
    <t>CC1CCCC(C1)(CC(=O)O)CC(=O)O</t>
  </si>
  <si>
    <t>HJPDHTDUPWGUHP-UHFFFAOYSA-N</t>
  </si>
  <si>
    <t>2.03_625.1185m/z</t>
  </si>
  <si>
    <t>Triazophos</t>
  </si>
  <si>
    <t>HMDB0259159</t>
  </si>
  <si>
    <t>C18657</t>
  </si>
  <si>
    <t>24017-47-8</t>
  </si>
  <si>
    <t>CCOP(=S)(OCC)OC1=NN(C=N1)C1=CC=CC=C1</t>
  </si>
  <si>
    <t>AMFGTOFWMRQMEM-UHFFFAOYSA-N</t>
  </si>
  <si>
    <t>C12H16N3O3PS</t>
  </si>
  <si>
    <t>10.53_296.2582m/z</t>
  </si>
  <si>
    <t>13-(2-Cyclopentenyl)-9z-Tridecenoic Acid</t>
  </si>
  <si>
    <t>LMFA01140042</t>
  </si>
  <si>
    <t>C(CCCCCCC/C=C\CCCC1C=CCC1)(=O)O</t>
  </si>
  <si>
    <t>GVHVFTUIDJXBIS-HYXAFXHYSA-N</t>
  </si>
  <si>
    <t>5.19_361.1866m/z</t>
  </si>
  <si>
    <t>6-Methyltetrahydropterin</t>
  </si>
  <si>
    <t>HMDB0002249</t>
  </si>
  <si>
    <t>942-41-6</t>
  </si>
  <si>
    <t>CC1CNC2=C(N1)C(=O)N=C(N)N2</t>
  </si>
  <si>
    <t>HWOZEJJVUCALGB-UHFFFAOYSA-N</t>
  </si>
  <si>
    <t>C7H11N5O</t>
  </si>
  <si>
    <t>9.71_360.3466m/z</t>
  </si>
  <si>
    <t>21-Hydroxy-Heneicosanoic Acid</t>
  </si>
  <si>
    <t>LMFA01050076</t>
  </si>
  <si>
    <t>C(CCCCCCCCCCCCC(=O)O)CCCCCCCO</t>
  </si>
  <si>
    <t>NENJNFMRWQAPAC-UHFFFAOYSA-N</t>
  </si>
  <si>
    <t>C21H42O3</t>
  </si>
  <si>
    <t>6.07_219.0656m/z</t>
  </si>
  <si>
    <t>3-Propylidene-1(3h)-Isobenzofuranone</t>
  </si>
  <si>
    <t>HMDB0031845</t>
  </si>
  <si>
    <t>17369-59-4</t>
  </si>
  <si>
    <t>CC\C=C1\OC(=O)C2=CC=CC=C12</t>
  </si>
  <si>
    <t>NGSZDVVHIGAMOJ-BJMVGYQFSA-N</t>
  </si>
  <si>
    <t>9.82_638.2749m/z</t>
  </si>
  <si>
    <t>1,7-Bis(4-Hydroxyphenyl)-5-Hydroxy-4,6-Hepadien-3-One</t>
  </si>
  <si>
    <t>HMDB0303332</t>
  </si>
  <si>
    <t>O\C(\C=C\C1=CC=C(O)C=C1)=C/C(=O)CCC1=CC=C(O)C=C1.OC1=CC=C(CCC(=O)CC(=O)\C=C\C2=CC=C(O)C=C2)C=C1</t>
  </si>
  <si>
    <t>MVZDRCCZQFBTNS-VUNFZNKKSA-N</t>
  </si>
  <si>
    <t>C38H36O8</t>
  </si>
  <si>
    <t>13.90_672.5039m/z</t>
  </si>
  <si>
    <t>DG(14:0/6 keto-PGF1alpha/0:0)</t>
  </si>
  <si>
    <t>HMDB0295085</t>
  </si>
  <si>
    <t>CCCCCCCCCCCCCC(=O)OC[C@H](CO)OC(=O)CCCCC(=O)C[C@H]1[C@@H](O)C[C@@H](O)[C@@H]1\C=C\[C@@H](O)CCCCC</t>
  </si>
  <si>
    <t>CAYMGJXUHGNUNQ-JAZDTEIESA-N</t>
  </si>
  <si>
    <t>C37H66O9</t>
  </si>
  <si>
    <t>10.12_445.0305m/z</t>
  </si>
  <si>
    <t>Fr</t>
  </si>
  <si>
    <t>HMDB0303046</t>
  </si>
  <si>
    <t>[Fr]</t>
  </si>
  <si>
    <t>KLMCZVJOEAUDNE-UHFFFAOYSA-N</t>
  </si>
  <si>
    <t>Homogeneous metal compounds</t>
  </si>
  <si>
    <t>Homogeneous alkali metal compounds</t>
  </si>
  <si>
    <t>5.62_199.0968m/z</t>
  </si>
  <si>
    <t>Alpha-Carboxy-Delta-Nonalactone</t>
  </si>
  <si>
    <t>HMDB0030990</t>
  </si>
  <si>
    <t>CCCCC1CCC(C(O)=O)C(=O)O1</t>
  </si>
  <si>
    <t>AVHURGYCHVYRHG-UHFFFAOYSA-N</t>
  </si>
  <si>
    <t>4.43_353.1956m/z</t>
  </si>
  <si>
    <t>[4]-Gingerdiol 3,5-Diacetate</t>
  </si>
  <si>
    <t>HMDB0039132</t>
  </si>
  <si>
    <t>53254-50-5</t>
  </si>
  <si>
    <t>CCCC(CC(CCC1=CC(OC)=C(O)C=C1)OC(C)=O)OC(C)=O</t>
  </si>
  <si>
    <t>AUBPDZJRJKZQEX-UHFFFAOYSA-N</t>
  </si>
  <si>
    <t>C19H28O6</t>
  </si>
  <si>
    <t>2.28_286.0744m/z</t>
  </si>
  <si>
    <t>Faropenem</t>
  </si>
  <si>
    <t>HMDB0041892</t>
  </si>
  <si>
    <t>C13310</t>
  </si>
  <si>
    <t>106560-14-9</t>
  </si>
  <si>
    <t>[H][C@]12SC([C@H]3CCCO3)=C(N1C(=O)[C@@H]2[C@@H](C)O)C(O)=O</t>
  </si>
  <si>
    <t>HGGAKXAHAYOLDJ-FHZUQPTBSA-N</t>
  </si>
  <si>
    <t>C12H15NO5S</t>
  </si>
  <si>
    <t>3.42_140.0469m/z</t>
  </si>
  <si>
    <t>3-Aminopropylphosphonic Acid</t>
  </si>
  <si>
    <t>HMDB0245822</t>
  </si>
  <si>
    <t>NCCCP(O)(O)=O</t>
  </si>
  <si>
    <t>GSZQTIFGANBTNF-UHFFFAOYSA-N</t>
  </si>
  <si>
    <t>C3H10NO3P</t>
  </si>
  <si>
    <t>4.70_378.9757m/z</t>
  </si>
  <si>
    <t>Gossypetin 3-O-Sulfate</t>
  </si>
  <si>
    <t>LMPK12113267</t>
  </si>
  <si>
    <t>C1(O)=C(O)C2OC(C3C=C(O)C(O)=CC=3)=C(OS(O)(=O)=O)C(=O)C=2C(O)=C1</t>
  </si>
  <si>
    <t>DKWTYAUCZMJXTJ-UHFFFAOYSA-N</t>
  </si>
  <si>
    <t>C15H10O11S</t>
  </si>
  <si>
    <t>8.31_343.2952m/z</t>
  </si>
  <si>
    <t>N-Myristoyl Proline</t>
  </si>
  <si>
    <t>HMDB0242058</t>
  </si>
  <si>
    <t>CCCCCCCCCCCCCC(=O)N1CCCC1C(O)=O</t>
  </si>
  <si>
    <t>OFWGTRJQCVYFBE-UHFFFAOYSA-N</t>
  </si>
  <si>
    <t>C19H35NO3</t>
  </si>
  <si>
    <t>6.05_461.1091m/z</t>
  </si>
  <si>
    <t>Daidzin</t>
  </si>
  <si>
    <t>HMDB0033991</t>
  </si>
  <si>
    <t>LMPK12050013</t>
  </si>
  <si>
    <t>C10216</t>
  </si>
  <si>
    <t>552-66-9</t>
  </si>
  <si>
    <t>C1(O[C@H]2[C@H](O)[C@@H](O)[C@H](O)[C@@H](CO)O2)=CC2OC=C(C3=CC=C(O)C=C3)C(=O)C=2C=C1</t>
  </si>
  <si>
    <t>KYQZWONCHDNPDP-QNDFHXLGSA-N</t>
  </si>
  <si>
    <t>5.06_507.0669m/z</t>
  </si>
  <si>
    <t>N-Acetyl Zonisamide</t>
  </si>
  <si>
    <t>HMDB0060603</t>
  </si>
  <si>
    <t>68936-43-6</t>
  </si>
  <si>
    <t>CC(=O)NS(=O)(=O)CC1=NOC2=C1C=CC=C2</t>
  </si>
  <si>
    <t>HXFUTAFSEXINIW-UHFFFAOYSA-N</t>
  </si>
  <si>
    <t>C10H10N2O4S</t>
  </si>
  <si>
    <t>0.93_351.0306m/z</t>
  </si>
  <si>
    <t>2-Oxoquazepam</t>
  </si>
  <si>
    <t>HMDB0245286</t>
  </si>
  <si>
    <t>FC1=CC=CC=C1C1=NCC(=O)N(CC(F)(F)F)C2=C1C=C(Cl)C=C2</t>
  </si>
  <si>
    <t>YFSXBSRGIRSXAD-UHFFFAOYSA-N</t>
  </si>
  <si>
    <t>C17H11ClF4N2O</t>
  </si>
  <si>
    <t>10.58_104.1069m/z</t>
  </si>
  <si>
    <t>Isovaleraldehyde</t>
  </si>
  <si>
    <t>HMDB0006478</t>
  </si>
  <si>
    <t>C07329</t>
  </si>
  <si>
    <t>590-86-3</t>
  </si>
  <si>
    <t>CC(C)CC=O</t>
  </si>
  <si>
    <t>YGHRJJRRZDOVPD-UHFFFAOYSA-N</t>
  </si>
  <si>
    <t>5.32_472.2616m/z</t>
  </si>
  <si>
    <t>Ribostamycin</t>
  </si>
  <si>
    <t>HMDB0257216</t>
  </si>
  <si>
    <t>C17584</t>
  </si>
  <si>
    <t>50474-67-4</t>
  </si>
  <si>
    <t>NCC1OC(OC2C(N)CC(N)C(O)C2OC2OC(CO)C(O)C2O)C(N)C(O)C1O</t>
  </si>
  <si>
    <t>NSKGQURZWSPSBC-UHFFFAOYSA-N</t>
  </si>
  <si>
    <t>C17H34N4O10</t>
  </si>
  <si>
    <t>0.81_441.1563m/z</t>
  </si>
  <si>
    <t>Vatinoxan</t>
  </si>
  <si>
    <t>HMDB0259451</t>
  </si>
  <si>
    <t>CS(=O)(=O)NCCN1C(=O)NCC11CCN2CCC3=C(OC4=CC=CC=C34)C2C1</t>
  </si>
  <si>
    <t>GTBKISRCRQUFNL-UHFFFAOYSA-N</t>
  </si>
  <si>
    <t>C20H26N4O4S</t>
  </si>
  <si>
    <t>4.29_362.2085n</t>
  </si>
  <si>
    <t>Cortisol</t>
  </si>
  <si>
    <t>HMDB0000063</t>
  </si>
  <si>
    <t>LMST02030001</t>
  </si>
  <si>
    <t>C00735</t>
  </si>
  <si>
    <t>ko00140,ko04080,ko04927,ko04934,ko04960,ko04976,ko05200,ko05215</t>
  </si>
  <si>
    <t>Steroid hormone biosynthesis|Neuroactive ligand-receptor interaction|Cortisol synthesis and secretion|Cushing syndrome|Aldosterone-regulated sodium reabsorption|Bile secretion|Pathways in cancer|Prostate cancer</t>
  </si>
  <si>
    <t>50-23-7</t>
  </si>
  <si>
    <t>[C@]12(CCC3=CC(=O)CC[C@]3(C)[C@@]1([H])[C@@H](O)C[C@]1(C)[C@](C(=O)CO)(O)CC[C@@]21[H])[H]</t>
  </si>
  <si>
    <t>JYGXADMDTFJGBT-VWUMJDOOSA-N</t>
  </si>
  <si>
    <t>6.31_431.1345m/z</t>
  </si>
  <si>
    <t>Diphenylmethylphosphine Oxide</t>
  </si>
  <si>
    <t>2129-89-7</t>
  </si>
  <si>
    <t>CP(=O)(C1=CC=CC=C1)C2=CC=CC=C2</t>
  </si>
  <si>
    <t>PEGCITODQASXKH-UHFFFAOYSA-N</t>
  </si>
  <si>
    <t>C13H13OP</t>
  </si>
  <si>
    <t>4.74_449.1450m/z</t>
  </si>
  <si>
    <t>(+)-2-Amino-7-Phosphonoheptanoic Acid</t>
  </si>
  <si>
    <t>HMDB0242241</t>
  </si>
  <si>
    <t>NC(CCCCCP(O)(O)=O)C(O)=O</t>
  </si>
  <si>
    <t>MYDMWESTDPJANS-UHFFFAOYSA-N</t>
  </si>
  <si>
    <t>C7H16NO5P</t>
  </si>
  <si>
    <t>4.31_255.1589m/z</t>
  </si>
  <si>
    <t>Palitantin, (+)-</t>
  </si>
  <si>
    <t>CCCC=CC=CC1CC(C(C(=O)C1CO)O)O</t>
  </si>
  <si>
    <t>MPOXQBRZHHNMER-XZQMCIKJSA-N</t>
  </si>
  <si>
    <t>C14H22O4</t>
  </si>
  <si>
    <t>1.24_313.0176m/z</t>
  </si>
  <si>
    <t>Oxonic Acid</t>
  </si>
  <si>
    <t>HMDB0255998</t>
  </si>
  <si>
    <t>OC(=O)C1=NC(=O)NC(=O)N1</t>
  </si>
  <si>
    <t>RYYCJUAHISIHTL-UHFFFAOYSA-N</t>
  </si>
  <si>
    <t>C4H3N3O4</t>
  </si>
  <si>
    <t>4.47_493.2086m/z</t>
  </si>
  <si>
    <t>Semustine</t>
  </si>
  <si>
    <t>HMDB0258228</t>
  </si>
  <si>
    <t>C07640</t>
  </si>
  <si>
    <t>13909-09-6</t>
  </si>
  <si>
    <t>CC1CCC(CC1)NC(=O)N(CCCl)N=O</t>
  </si>
  <si>
    <t>FVLVBPDQNARYJU-UHFFFAOYSA-N</t>
  </si>
  <si>
    <t>Ureas</t>
  </si>
  <si>
    <t>C10H18ClN3O2</t>
  </si>
  <si>
    <t>4.95_355.2477m/z</t>
  </si>
  <si>
    <t>13,14-Dihydro-15-Keto-Pgf2alpha</t>
  </si>
  <si>
    <t>HMDB0004685</t>
  </si>
  <si>
    <t>LMFA03010027</t>
  </si>
  <si>
    <t>27376-76-7</t>
  </si>
  <si>
    <t>[C@H]1(CCC(=O)CCCCC)[C@H](O)C[C@H](O)[C@@H]1C/C=C\CCCC(=O)O</t>
  </si>
  <si>
    <t>VKTIONYPMSCHQI-XAGFEHLVSA-N</t>
  </si>
  <si>
    <t>C20H34O5</t>
  </si>
  <si>
    <t>5.09_306.1698m/z</t>
  </si>
  <si>
    <t>4-Methylumbelliferyl Heptanoate</t>
  </si>
  <si>
    <t>18319-92-1</t>
  </si>
  <si>
    <t>CCCCCCC(=O)OC1=CC2=C(C=C1)C(=CC(=O)O2)C</t>
  </si>
  <si>
    <t>FFNBFZWIBOIPIV-UHFFFAOYSA-N</t>
  </si>
  <si>
    <t>C17H20O4</t>
  </si>
  <si>
    <t>5.64_176.1432m/z</t>
  </si>
  <si>
    <t>N-Cyclopropyl-Trans-2-Cis-6-Nonadienamide</t>
  </si>
  <si>
    <t>HMDB0032210</t>
  </si>
  <si>
    <t>LMFA08020191</t>
  </si>
  <si>
    <t>608514-55-2</t>
  </si>
  <si>
    <t>O=C(NC1CC1)/C=C/CC/C=C\CC</t>
  </si>
  <si>
    <t>BTSTZWOTLKSKHV-ODYTWBPASA-N</t>
  </si>
  <si>
    <t>C12H19NO</t>
  </si>
  <si>
    <t>4.74_485.1414m/z</t>
  </si>
  <si>
    <t>1-[3,4-Dihydroxy-5-(Hydroxymethyl)Oxolan-2-Yl]-4-Hydroxyhydropyridin-2-One</t>
  </si>
  <si>
    <t>HMDB0243807</t>
  </si>
  <si>
    <t>OCC1OC(C(O)C1O)N1C=CC(O)=CC1=O</t>
  </si>
  <si>
    <t>CBOKZNLSFMZJJA-UHFFFAOYSA-N</t>
  </si>
  <si>
    <t>C10H13NO6</t>
  </si>
  <si>
    <t>10.62_391.2454m/z</t>
  </si>
  <si>
    <t>Bunazosin</t>
  </si>
  <si>
    <t>HMDB0249439</t>
  </si>
  <si>
    <t>52712-76-2</t>
  </si>
  <si>
    <t>CCCC(=O)N1CCCN(CC1)C1=NC2=CC(OC)=C(OC)C=C2C(=N)N1</t>
  </si>
  <si>
    <t>RHLJLALHBZGAFM-UHFFFAOYSA-N</t>
  </si>
  <si>
    <t>C19H27N5O3</t>
  </si>
  <si>
    <t>6.42_369.0354m/z</t>
  </si>
  <si>
    <t>Uridine 5'-Monophosphate</t>
  </si>
  <si>
    <t>HMDB0000288</t>
  </si>
  <si>
    <t>C00105</t>
  </si>
  <si>
    <t>58-97-9</t>
  </si>
  <si>
    <t>O[C@H]1[C@@H](O)[C@@H](O[C@@H]1COP(O)(O)=O)N1C=CC(=O)NC1=O</t>
  </si>
  <si>
    <t>DJJCXFVJDGTHFX-XVFCMESISA-N</t>
  </si>
  <si>
    <t>C9H13N2O9P</t>
  </si>
  <si>
    <t>9.36_635.2607m/z</t>
  </si>
  <si>
    <t>Pd-160725 2-Hydroxyethanesulfonate</t>
  </si>
  <si>
    <t>186268-11-1</t>
  </si>
  <si>
    <t>CC1=C(C=C2C(=C1CN3CCCCC3)NC(=O)C(=O)N2)[N+](=O)[O-]</t>
  </si>
  <si>
    <t>SUKSAXBKZZSCRI-UHFFFAOYSA-N</t>
  </si>
  <si>
    <t>C15H18N4O4</t>
  </si>
  <si>
    <t>3.88_401.2182m/z</t>
  </si>
  <si>
    <t>5,7-Megastigmadien-9-Ol Glucoside</t>
  </si>
  <si>
    <t>HMDB0041044</t>
  </si>
  <si>
    <t>146610-77-7</t>
  </si>
  <si>
    <t>CC(OC1OC(CO)C(O)C(O)C1O)\C=C\C1=C(C)CCCC1(C)C</t>
  </si>
  <si>
    <t>JGUNLOSHGIQYCT-BQYQJAHWSA-N</t>
  </si>
  <si>
    <t>C19H32O6</t>
  </si>
  <si>
    <t>0.78_197.0477m/z</t>
  </si>
  <si>
    <t>1-Benzylimidazole</t>
  </si>
  <si>
    <t>HMDB0243836</t>
  </si>
  <si>
    <t>4238-71-5</t>
  </si>
  <si>
    <t>C(N1C=CN=C1)C1=CC=CC=C1</t>
  </si>
  <si>
    <t>KKKDZZRICRFGSD-UHFFFAOYSA-N</t>
  </si>
  <si>
    <t>C10H10N2</t>
  </si>
  <si>
    <t>2.63_154.9974m/z</t>
  </si>
  <si>
    <t>P-Toluenesulfonyl Fluoride</t>
  </si>
  <si>
    <t>HMDB0256057</t>
  </si>
  <si>
    <t>CC1=CC=C(C=C1)S(F)(=O)=O</t>
  </si>
  <si>
    <t>IZZYABADQVQHLC-UHFFFAOYSA-N</t>
  </si>
  <si>
    <t>C7H7FO2S</t>
  </si>
  <si>
    <t>4.31_243.0651m/z</t>
  </si>
  <si>
    <t>3-Hydroxy-4-Methoxyxanthone</t>
  </si>
  <si>
    <t>COC1=C(C=CC2=C1OC3=CC=CC=C3C2=O)O</t>
  </si>
  <si>
    <t>WRPFBSLWEKZESU-UHFFFAOYSA-N</t>
  </si>
  <si>
    <t>C14H10O4</t>
  </si>
  <si>
    <t>4.24_337.1390m/z</t>
  </si>
  <si>
    <t>Semilepidinoside A</t>
  </si>
  <si>
    <t>HMDB0033107</t>
  </si>
  <si>
    <t>OCC1OC(OC2=CC=C(CC3=NC=CN3)C=C2)C(O)C(O)C1O</t>
  </si>
  <si>
    <t>PVXWBKJKWJZGQJ-UHFFFAOYSA-N</t>
  </si>
  <si>
    <t>C16H20N2O6</t>
  </si>
  <si>
    <t>4.11_397.1103m/z</t>
  </si>
  <si>
    <t>Griseolic Acid</t>
  </si>
  <si>
    <t>HMDB0242674</t>
  </si>
  <si>
    <t>NC1=C2N=CN(C3OC4=CC(OC4C3O)(C(O)C(O)=O)C(O)=O)C2=NC=N1</t>
  </si>
  <si>
    <t>IAPZXUKYTCQQFE-UHFFFAOYSA-N</t>
  </si>
  <si>
    <t>C14H13N5O8</t>
  </si>
  <si>
    <t>11.61_623.1901m/z</t>
  </si>
  <si>
    <t>Bisnafide</t>
  </si>
  <si>
    <t>HMDB0249271</t>
  </si>
  <si>
    <t>CC(CNCCNCC(C)N1C(=O)C2=CC=CC3=CC(=CC(C1=O)=C23)[N+]([O-])=O)N1C(=O)C2=CC=CC3=CC(=CC(C1=O)=C23)[N+]([O-])=O</t>
  </si>
  <si>
    <t>PXBZKHOQHTVCSQ-UHFFFAOYSA-N</t>
  </si>
  <si>
    <t>C32H28N6O8</t>
  </si>
  <si>
    <t>3.95_619.2014m/z</t>
  </si>
  <si>
    <t>Linoside B</t>
  </si>
  <si>
    <t>LMPK12111059</t>
  </si>
  <si>
    <t>C1(OC)=CC2OC(C3C=CC(OC)=C(OC)C=3)=CC(=O)C=2C(O)=C1[C@H]1[C@H](O[C@H]2[C@H](O)[C@H](O)[C@@H](O)[C@H](C)O2)[C@@H](O)[C@H](O)[C@@H](CO)O1</t>
  </si>
  <si>
    <t>SHCSQYSECQXBOS-FJNPZPDOSA-N</t>
  </si>
  <si>
    <t>C30H36O15</t>
  </si>
  <si>
    <t>2.64_268.0128m/z</t>
  </si>
  <si>
    <t>Piridronic Acid</t>
  </si>
  <si>
    <t>HMDB0256596</t>
  </si>
  <si>
    <t>OP(O)(=O)C(CC1=CC=CC=N1)P(O)(O)=O</t>
  </si>
  <si>
    <t>NGMZSXZBZNXBGX-UHFFFAOYSA-N</t>
  </si>
  <si>
    <t>C7H11NO6P2</t>
  </si>
  <si>
    <t>1.42_263.1366m/z</t>
  </si>
  <si>
    <t>Pirbuterol</t>
  </si>
  <si>
    <t>HMDB0015407</t>
  </si>
  <si>
    <t>C07807</t>
  </si>
  <si>
    <t>38677-81-5</t>
  </si>
  <si>
    <t>CC(C)(C)NCC(O)C1=NC(CO)=C(O)C=C1</t>
  </si>
  <si>
    <t>VQDBNKDJNJQRDG-UHFFFAOYSA-N</t>
  </si>
  <si>
    <t>C12H20N2O3</t>
  </si>
  <si>
    <t>6.39_592.2163n</t>
  </si>
  <si>
    <t>8-Acetoxy-4'-Methoxypinoresinol 4-Glucoside</t>
  </si>
  <si>
    <t>HMDB0033278</t>
  </si>
  <si>
    <t>COC1=C(OC)C=C(C=C1)C1OCC2(OC(C)=O)C1COC2C1=CC(OC)=C(OC2OC(CO)C(O)C(O)C2O)C=C1</t>
  </si>
  <si>
    <t>ZKCRENDTQNGLGO-UHFFFAOYSA-N</t>
  </si>
  <si>
    <t>15.09_699.5586m/z</t>
  </si>
  <si>
    <t>3-Octaprenyl-4-Hydroxybenzoate</t>
  </si>
  <si>
    <t>HMDB0304144</t>
  </si>
  <si>
    <t>CC(C)=CCCC(C)=CCCC(C)=CCCC(C)=CCCC(C)=CCCC(C)=CCCC(C)=CCCC(C)=CCC1=C(O)C=CC(=C1)C([O-])=O</t>
  </si>
  <si>
    <t>UTIBHEBNILDQKX-UHFFFAOYSA-M</t>
  </si>
  <si>
    <t>C47H69O3-</t>
  </si>
  <si>
    <t>7.20_469.1865m/z</t>
  </si>
  <si>
    <t>Dihydromunduletone</t>
  </si>
  <si>
    <t>CC1(C=CC2=C(O1)C=CC(=C2OC)CC(=O)C3=C(C=C4C(=C3)CC(C(O4)(C)C)O)O)C</t>
  </si>
  <si>
    <t>RMVZECFNOTWEKD-UHFFFAOYSA-N</t>
  </si>
  <si>
    <t>0.54_213.0552m/z</t>
  </si>
  <si>
    <t>Capillin</t>
  </si>
  <si>
    <t>HMDB0032867</t>
  </si>
  <si>
    <t>C08398</t>
  </si>
  <si>
    <t>495-74-9</t>
  </si>
  <si>
    <t>CC#CC#CC(=O)C1=CC=CC=C1</t>
  </si>
  <si>
    <t>RAZOKRUZEQERLH-UHFFFAOYSA-N</t>
  </si>
  <si>
    <t>C12H8O</t>
  </si>
  <si>
    <t>6.22_169.1009m/z</t>
  </si>
  <si>
    <t>2,4,6,8-Tridecatetrayne</t>
  </si>
  <si>
    <t>HMDB0030929</t>
  </si>
  <si>
    <t>CCCCC#CC#CC#CC#CC</t>
  </si>
  <si>
    <t>MMEHWMNDRAXORE-UHFFFAOYSA-N</t>
  </si>
  <si>
    <t>C13H12</t>
  </si>
  <si>
    <t>5.64_730.3427m/z</t>
  </si>
  <si>
    <t>Fumonisin C2</t>
  </si>
  <si>
    <t>LMSP01080028</t>
  </si>
  <si>
    <t>C(N)[C@@H](O)C[C@H](O)CCCCCC[C@H](C)C[C@H](OC(=O)C[C@H](C(O)=O)CC(=O)O)[C@H](OC(=O)C[C@H](C(O)=O)CC(=O)O)[C@H](C)CCCC</t>
  </si>
  <si>
    <t>QYKFBSMPFHDZBZ-SOBJHFRFSA-N</t>
  </si>
  <si>
    <t>C33H57NO14</t>
  </si>
  <si>
    <t>13.28_329.2871m/z</t>
  </si>
  <si>
    <t>Cis-4,10-13,16-Docosatetraenoic Acid Methyl Ester</t>
  </si>
  <si>
    <t>CCCCCC=CCC=CCCCC=CC=CCC(C)CCC(=O)O</t>
  </si>
  <si>
    <t>HVFQPDPGNKROPA-UWKXONKZSA-N</t>
  </si>
  <si>
    <t>C23H38O2</t>
  </si>
  <si>
    <t>5.64_517.2086m/z</t>
  </si>
  <si>
    <t>Deacetylnomilin</t>
  </si>
  <si>
    <t>HMDB0035684</t>
  </si>
  <si>
    <t>3264-90-2</t>
  </si>
  <si>
    <t>CC12CCC3C4(C)C(CC(=O)C3(C)C11OC1C(=O)OC2C1=COC=C1)C(C)(C)OC(=O)CC4O</t>
  </si>
  <si>
    <t>HWAJASVMTDEFJN-UHFFFAOYSA-N</t>
  </si>
  <si>
    <t>7.08_401.0875m/z</t>
  </si>
  <si>
    <t>Derrusnin</t>
  </si>
  <si>
    <t>LMPK12160032</t>
  </si>
  <si>
    <t>14736-62-0</t>
  </si>
  <si>
    <t>C1(OC)C=C(OC)C2C(OC)=C(C3=CC=C4OCOC4=C3)C(=O)OC=2C=1</t>
  </si>
  <si>
    <t>PZYZNVLXKYMURF-UHFFFAOYSA-N</t>
  </si>
  <si>
    <t>3.88_384.1223m/z</t>
  </si>
  <si>
    <t>Nitroflurbiprofen</t>
  </si>
  <si>
    <t>HMDB0255648</t>
  </si>
  <si>
    <t>CC(C(=O)OCCCCO[N+]([O-])=O)C1=CC(F)=C(C=C1)C1=CC=CC=C1</t>
  </si>
  <si>
    <t>DLWSRGHNJVLJAH-UHFFFAOYSA-N</t>
  </si>
  <si>
    <t>C19H20FNO5</t>
  </si>
  <si>
    <t>4.76_561.1567m/z</t>
  </si>
  <si>
    <t>Nitrazepam</t>
  </si>
  <si>
    <t>HMDB0015534</t>
  </si>
  <si>
    <t>C07487</t>
  </si>
  <si>
    <t>146-22-5</t>
  </si>
  <si>
    <t>[O-][N+](=O)C1=CC2=C(NC(=O)CN=C2C2=CC=CC=C2)C=C1</t>
  </si>
  <si>
    <t>KJONHKAYOJNZEC-UHFFFAOYSA-N</t>
  </si>
  <si>
    <t>C15H11N3O3</t>
  </si>
  <si>
    <t>0.64_138.9945n</t>
  </si>
  <si>
    <t>2-Sulfamoylacetic Acid</t>
  </si>
  <si>
    <t>HMDB0245317</t>
  </si>
  <si>
    <t>NS(=O)(=O)CC(O)=O</t>
  </si>
  <si>
    <t>FUYOZIVWKHUWQX-UHFFFAOYSA-N</t>
  </si>
  <si>
    <t>C2H5NO4S</t>
  </si>
  <si>
    <t>13.21_709.4486m/z</t>
  </si>
  <si>
    <t>1'-(Beta-D-Glucopyranosyloxy)-3,4,3',4'-Tetradehydro-1',2'-Dihydro-Beta,Psi-Caroten-2-One</t>
  </si>
  <si>
    <t>LMPR01070579</t>
  </si>
  <si>
    <t>C1(=O)C(C)(C)C(/C=C/C(/C)=C/C=C/C(/C)=C/C=C/C=C(\C)/C=C/C=C(\C)/C=C/C=C(\C)/C=C/CC(O[C@H]2[C@H](O)[C@@H](O)[C@H](O)[C@@H](CO)O2)(C)C)=C(C)C=C1</t>
  </si>
  <si>
    <t>WCJRTUFWFLRDJF-PHTQYGCTSA-N</t>
  </si>
  <si>
    <t>C46H62O7</t>
  </si>
  <si>
    <t>4.35_853.1957m/z</t>
  </si>
  <si>
    <t>Spinosin A</t>
  </si>
  <si>
    <t>HMDB0037465</t>
  </si>
  <si>
    <t>77690-91-6</t>
  </si>
  <si>
    <t>COC1=CC(\C=C\C(=O)OCC2OC(OC3C(O)C(O)C(CO)OC3C3=C(O)C4=C(OC(=CC4=O)C4=CC=C(O)C=C4)C=C3OC)C(O)C(O)C2O)=CC(OC)=C1O</t>
  </si>
  <si>
    <t>BFWPTYMTWQBGHH-RUDMXATFSA-N</t>
  </si>
  <si>
    <t>C39H42O19</t>
  </si>
  <si>
    <t>4.29_324.1609m/z</t>
  </si>
  <si>
    <t>Naltrexone</t>
  </si>
  <si>
    <t>HMDB0014842</t>
  </si>
  <si>
    <t>C07253</t>
  </si>
  <si>
    <t>16590-41-3</t>
  </si>
  <si>
    <t>[H][C@@]12OC3=C(O)C=CC4=C3[C@@]11CCN(CC3CC3)[C@]([H])(C4)[C@]1(O)CCC2=O</t>
  </si>
  <si>
    <t>DQCKKXVULJGBQN-XFWGSAIBSA-N</t>
  </si>
  <si>
    <t>C20H23NO4</t>
  </si>
  <si>
    <t>3.69_432.1849m/z</t>
  </si>
  <si>
    <t>Arg-Gly-Asp-Ser</t>
  </si>
  <si>
    <t>HMDB0248573</t>
  </si>
  <si>
    <t>NC(CCCN=C(N)N)C(=O)NCC(=O)NC(CC(O)=O)C(=O)NC(CO)C(O)=O</t>
  </si>
  <si>
    <t>NNRFRJQMBSBXGO-UHFFFAOYSA-N</t>
  </si>
  <si>
    <t>C15H27N7O8</t>
  </si>
  <si>
    <t>9.19_509.0432m/z</t>
  </si>
  <si>
    <t>Ib-Meca</t>
  </si>
  <si>
    <t>HMDB0253321</t>
  </si>
  <si>
    <t>CNC(=O)C1OC(C(O)C1O)N1C=NC2=C1N=CN=C2NCC1=CC(I)=CC=C1</t>
  </si>
  <si>
    <t>HUJXGQILHAUCCV-UHFFFAOYSA-N</t>
  </si>
  <si>
    <t>C18H19IN6O4</t>
  </si>
  <si>
    <t>4.69_664.1133m/z</t>
  </si>
  <si>
    <t>Nadh</t>
  </si>
  <si>
    <t>HMDB0001487</t>
  </si>
  <si>
    <t>C00004</t>
  </si>
  <si>
    <t>ko00190,ko04020,ko04714,ko04925</t>
  </si>
  <si>
    <t>Oxidative phosphorylation|Calcium signaling pathway|Thermogenesis|Aldosterone synthesis and secretion</t>
  </si>
  <si>
    <t>58-68-4</t>
  </si>
  <si>
    <t>NC(=O)C1=CN(C=CC1)[C@@H]1O[C@H](COP(O)(=O)OP(O)(=O)OC[C@H]2O[C@H]([C@H](O)[C@@H]2O)N2C=NC3=C2N=CN=C3N)[C@@H](O)[C@H]1O</t>
  </si>
  <si>
    <t>BOPGDPNILDQYTO-NNYOXOHSSA-N</t>
  </si>
  <si>
    <t>C21H29N7O14P2</t>
  </si>
  <si>
    <t>3.55_266.1192m/z</t>
  </si>
  <si>
    <t>Thiamine</t>
  </si>
  <si>
    <t>HMDB0000235</t>
  </si>
  <si>
    <t>C00378</t>
  </si>
  <si>
    <t>ko00730,ko02010,ko04122,ko04977</t>
  </si>
  <si>
    <t>Thiamine metabolism|ABC transporters|Sulfur relay system|Vitamin digestion and absorption</t>
  </si>
  <si>
    <t>70-16-6</t>
  </si>
  <si>
    <t>CC1=C(CCO)SC=[N+]1CC1=CN=C(C)N=C1N</t>
  </si>
  <si>
    <t>JZRWCGZRTZMZEH-UHFFFAOYSA-N</t>
  </si>
  <si>
    <t>C12H17N4OS+</t>
  </si>
  <si>
    <t>4.69_515.1171m/z</t>
  </si>
  <si>
    <t>4-(5-Fluoro-1,3-Benzothiazol-2-Yl)-2-Methylaniline</t>
  </si>
  <si>
    <t>HMDB0245710</t>
  </si>
  <si>
    <t>CC1=C(N)C=CC(=C1)C1=NC2=C(S1)C=CC(F)=C2</t>
  </si>
  <si>
    <t>IFWLHIIUGSEKKE-UHFFFAOYSA-N</t>
  </si>
  <si>
    <t>C14H11FN2S</t>
  </si>
  <si>
    <t>1.20_152.9949m/z</t>
  </si>
  <si>
    <t>Norfuraneol</t>
  </si>
  <si>
    <t>HMDB0031859</t>
  </si>
  <si>
    <t>19322-27-1</t>
  </si>
  <si>
    <t>CC1=C(O)C(=O)CO1</t>
  </si>
  <si>
    <t>DLVYTANECMRFGX-UHFFFAOYSA-N</t>
  </si>
  <si>
    <t>C5H6O3</t>
  </si>
  <si>
    <t>8.27_208.0391m/z</t>
  </si>
  <si>
    <t>3-Hydroxy-4-Aminopyridine Sulfate</t>
  </si>
  <si>
    <t>HMDB0061120</t>
  </si>
  <si>
    <t>NC1=C(OS(O)(=O)=O)C=NC=C1</t>
  </si>
  <si>
    <t>UHYGMFPQJLJNNE-UHFFFAOYSA-N</t>
  </si>
  <si>
    <t>C5H6N2O4S</t>
  </si>
  <si>
    <t>7.60_411.3052m/z</t>
  </si>
  <si>
    <t>Sintaxanthin</t>
  </si>
  <si>
    <t>HMDB0035640</t>
  </si>
  <si>
    <t>4586-97-4</t>
  </si>
  <si>
    <t>CC(=O)C(\C)=C\C=C\C(\C)=C\C=C/C=C(\C)/C=C/C=C(/C)\C=C\C1=C(C)CCCC1(C)C</t>
  </si>
  <si>
    <t>SLQHGWZKKZPZEK-ZQFWBWLTSA-N</t>
  </si>
  <si>
    <t>C31H42O</t>
  </si>
  <si>
    <t>4.63_285.1119m/z</t>
  </si>
  <si>
    <t>Flavokawin B</t>
  </si>
  <si>
    <t>HMDB0033691</t>
  </si>
  <si>
    <t>LMPK12120246</t>
  </si>
  <si>
    <t>1775-97-9</t>
  </si>
  <si>
    <t>C1(OC)=CC(OC)=C(C(=O)/C=C/C2C=CC=CC=2)C(O)=C1</t>
  </si>
  <si>
    <t>QKQLSQLKXBHUSO-CMDGGOBGSA-N</t>
  </si>
  <si>
    <t>C17H16O4</t>
  </si>
  <si>
    <t>6.01_396.0432m/z</t>
  </si>
  <si>
    <t>Cefetamet</t>
  </si>
  <si>
    <t>HMDB0249761</t>
  </si>
  <si>
    <t>CON=C(C(=O)NC1C2SCC(C)=C(N2C1=O)C(O)=O)C1=CSC(N)=N1</t>
  </si>
  <si>
    <t>MQLRYUCJDNBWMV-UHFFFAOYSA-N</t>
  </si>
  <si>
    <t>C14H15N5O5S2</t>
  </si>
  <si>
    <t>4.53_230.1517n</t>
  </si>
  <si>
    <t>Diisobutyl Succinate</t>
  </si>
  <si>
    <t>CC(C)COC(=O)CCC(=O)OCC(C)C</t>
  </si>
  <si>
    <t>QCOAPBRVQHMEPF-UHFFFAOYSA-N</t>
  </si>
  <si>
    <t>C12H22O4</t>
  </si>
  <si>
    <t>4.72_729.1670m/z</t>
  </si>
  <si>
    <t>Cosmosiin Hexaacetate</t>
  </si>
  <si>
    <t>CC(=O)OCC1C(C(C(C(O1)OC2=CC3=C(C(=C2)OC(=O)C)C(=O)C=C(O3)C4=CC=C(C=C4)OC(=O)C)OC(=O)C)OC(=O)C)OC(=O)C</t>
  </si>
  <si>
    <t>PLEXAABBVJNISH-STWUNAAISA-N</t>
  </si>
  <si>
    <t>C33H32O16</t>
  </si>
  <si>
    <t>4.67_291.0598m/z</t>
  </si>
  <si>
    <t>2-Hydroxyflutamide</t>
  </si>
  <si>
    <t>HMDB0060949</t>
  </si>
  <si>
    <t>C14204</t>
  </si>
  <si>
    <t>52806-53-8</t>
  </si>
  <si>
    <t>CC(C)(O)C(O)=NC1=CC(=C(C=C1)N(=O)=O)C(F)(F)F</t>
  </si>
  <si>
    <t>YPQLFJODEKMJEF-UHFFFAOYSA-N</t>
  </si>
  <si>
    <t>C11H11F3N2O4</t>
  </si>
  <si>
    <t>4.14_247.0598m/z</t>
  </si>
  <si>
    <t>8-Methylcaffeine</t>
  </si>
  <si>
    <t>832-66-6</t>
  </si>
  <si>
    <t>CC1=NC2=C(N1C)C(=O)N(C(=O)N2C)C</t>
  </si>
  <si>
    <t>LFHHOHMIVKIHMG-UHFFFAOYSA-N</t>
  </si>
  <si>
    <t>C9H12N4O2</t>
  </si>
  <si>
    <t>1.24_269.0277m/z</t>
  </si>
  <si>
    <t>Cysteinyl-Cysteine</t>
  </si>
  <si>
    <t>HMDB0028772</t>
  </si>
  <si>
    <t>NC(CS)C(=O)NC(CS)C(O)=O</t>
  </si>
  <si>
    <t>OABOXRPGTFRBFZ-UHFFFAOYSA-N</t>
  </si>
  <si>
    <t>C6H12N2O3S2</t>
  </si>
  <si>
    <t>3.53_281.1148m/z</t>
  </si>
  <si>
    <t>Flumecinol</t>
  </si>
  <si>
    <t>HMDB0252335</t>
  </si>
  <si>
    <t>CCC(O)(C1=CC=CC=C1)C1=CC(=CC=C1)C(F)(F)F</t>
  </si>
  <si>
    <t>DVASNQYQOZHAJN-UHFFFAOYSA-N</t>
  </si>
  <si>
    <t>C16H15F3O</t>
  </si>
  <si>
    <t>6.71_643.2966m/z</t>
  </si>
  <si>
    <t>Mequitazine</t>
  </si>
  <si>
    <t>HMDB0015204</t>
  </si>
  <si>
    <t>C12755</t>
  </si>
  <si>
    <t>29216-28-2</t>
  </si>
  <si>
    <t>C(C1CN2CCC1CC2)N1C2=CC=CC=C2SC2=CC=CC=C12</t>
  </si>
  <si>
    <t>HOKDBMAJZXIPGC-UHFFFAOYSA-N</t>
  </si>
  <si>
    <t>C20H22N2S</t>
  </si>
  <si>
    <t>10.87_349.2349m/z</t>
  </si>
  <si>
    <t>5(S),6(R)-Lipoxin A4 Methyl Ester</t>
  </si>
  <si>
    <t>97643-35-1</t>
  </si>
  <si>
    <t>CCCCCC(C=CC=CC=CC=CC(C(CCCC(=O)OC)O)O)O</t>
  </si>
  <si>
    <t>UBPCKDCSZPRQJP-APWRIOKISA-N</t>
  </si>
  <si>
    <t>2.09_354.1043m/z</t>
  </si>
  <si>
    <t>N-Acetylneuraminic Acid</t>
  </si>
  <si>
    <t>HMDB0000230</t>
  </si>
  <si>
    <t>C00270</t>
  </si>
  <si>
    <t>131-48-6</t>
  </si>
  <si>
    <t>CC(=O)NC1C(CC(OC1C(C(CO)O)O)(C(=O)O)O)O</t>
  </si>
  <si>
    <t>SQVRNKJHWKZAKO-LUWBGTNYSA-N</t>
  </si>
  <si>
    <t>C11H19NO9</t>
  </si>
  <si>
    <t>4.65_209.0448m/z</t>
  </si>
  <si>
    <t>5-Hydroxyferulic Acid</t>
  </si>
  <si>
    <t>HMDB0035484</t>
  </si>
  <si>
    <t>C05619</t>
  </si>
  <si>
    <t>110642-42-7</t>
  </si>
  <si>
    <t>COC1=C(O)C(O)=CC(\C=C\C(O)=O)=C1</t>
  </si>
  <si>
    <t>YFXWTVLDSKSYLW-NSCUHMNNSA-N</t>
  </si>
  <si>
    <t>9.97_463.0391m/z</t>
  </si>
  <si>
    <t>6-Cyano-7-Nitroquinoxaline-2,3-Dione</t>
  </si>
  <si>
    <t>HMDB0250384</t>
  </si>
  <si>
    <t>C13668</t>
  </si>
  <si>
    <t>115066-14-3</t>
  </si>
  <si>
    <t>[O-][N+](=O)C1=CC2=C(NC(=O)C(=O)N2)C=C1C#N</t>
  </si>
  <si>
    <t>RPXVIAFEQBNEAX-UHFFFAOYSA-N</t>
  </si>
  <si>
    <t>C9H4N4O4</t>
  </si>
  <si>
    <t>14.37_612.5185m/z</t>
  </si>
  <si>
    <t>DG(15:0/18:1(12Z)-O(9S,10R)/0:0)</t>
  </si>
  <si>
    <t>HMDB0295303</t>
  </si>
  <si>
    <t>CCCCCCCCCCCCCCC(=O)OC[C@H](CO)OC(=O)CCCCCCCC1OC1C\C=C/CCCCC</t>
  </si>
  <si>
    <t>IENVIZSZBZXRLN-JUCVLPFMSA-N</t>
  </si>
  <si>
    <t>C36H66O6</t>
  </si>
  <si>
    <t>1.70_267.0475m/z</t>
  </si>
  <si>
    <t>1-O-Galloylglycerol</t>
  </si>
  <si>
    <t>HMDB0039177</t>
  </si>
  <si>
    <t>87087-60-3</t>
  </si>
  <si>
    <t>OCC(O)COC(=O)C1=CC(O)=C(O)C(O)=C1</t>
  </si>
  <si>
    <t>PDEQYQCQYAQJPN-UHFFFAOYSA-N</t>
  </si>
  <si>
    <t>C10H12O7</t>
  </si>
  <si>
    <t>0.84_255.0449m/z</t>
  </si>
  <si>
    <t>(2e,11z)-5-[5-(Methylthio)-4-Penten-2-Ynyl]-2-Furanacrolein</t>
  </si>
  <si>
    <t>HMDB0031070</t>
  </si>
  <si>
    <t>24948-23-0</t>
  </si>
  <si>
    <t>CS\C=C/C#CCC1=CC=C(O1)\C=C/C=O</t>
  </si>
  <si>
    <t>UGVHOJSVUOERFS-QXOCYMRCSA-N</t>
  </si>
  <si>
    <t>C13H12O2S</t>
  </si>
  <si>
    <t>14.13_101.0708m/z</t>
  </si>
  <si>
    <t>2,4-Diamino-Butyric Acid</t>
  </si>
  <si>
    <t>HMDB0002362</t>
  </si>
  <si>
    <t>LMFA01100052</t>
  </si>
  <si>
    <t>305-62-4</t>
  </si>
  <si>
    <t>C(=O)(O)C(N)CCN</t>
  </si>
  <si>
    <t>OGNSCSPNOLGXSM-UHFFFAOYSA-N</t>
  </si>
  <si>
    <t>C4H10N2O2</t>
  </si>
  <si>
    <t>2.96_237.0280m/z</t>
  </si>
  <si>
    <t>4-Nitrophenyl Phosphate</t>
  </si>
  <si>
    <t>HMDB0060272</t>
  </si>
  <si>
    <t>C03360</t>
  </si>
  <si>
    <t>OP(O)(=O)OC1=CC=C(C=C1)[N+]([O-])=O</t>
  </si>
  <si>
    <t>XZKIHKMTEMTJQX-UHFFFAOYSA-N</t>
  </si>
  <si>
    <t>C6H6NO6P</t>
  </si>
  <si>
    <t>4.31_741.2969m/z</t>
  </si>
  <si>
    <t>Jwh 018 N-Pentanoic Acid Metabolite</t>
  </si>
  <si>
    <t>C1=CC=C2C(=C1)C=CC=C2C(=O)C3=CN(C4=CC=CC=C43)CCCCC(=O)O</t>
  </si>
  <si>
    <t>BYIVGHIYNFQIJX-UHFFFAOYSA-N</t>
  </si>
  <si>
    <t>8.51_406.3522m/z</t>
  </si>
  <si>
    <t>Aminopentol</t>
  </si>
  <si>
    <t>HMDB0248328</t>
  </si>
  <si>
    <t>CCCCC(C)C(O)C(O)CC(C)CC(O)CCCCC(O)CC(O)C(C)N</t>
  </si>
  <si>
    <t>UWWVLQOLROBFTD-UHFFFAOYSA-N</t>
  </si>
  <si>
    <t>C22H47NO5</t>
  </si>
  <si>
    <t>10.46_671.1127m/z</t>
  </si>
  <si>
    <t>Iododoxorubicin</t>
  </si>
  <si>
    <t>HMDB0253525</t>
  </si>
  <si>
    <t>COC1=CC=CC2=C1C(=O)C1=C(C(O)=C3CC(O)(CC(OC4CC(N)C(I)C(C)O4)C3=C1O)C(=O)CO)C2=O</t>
  </si>
  <si>
    <t>PDQGEKGUTOTUNV-UHFFFAOYSA-N</t>
  </si>
  <si>
    <t>C27H28INO10</t>
  </si>
  <si>
    <t>9.98_299.3056m/z</t>
  </si>
  <si>
    <t>Oleamide</t>
  </si>
  <si>
    <t>HMDB0002117</t>
  </si>
  <si>
    <t>LMFA08010004</t>
  </si>
  <si>
    <t>C19670</t>
  </si>
  <si>
    <t>301-02-0</t>
  </si>
  <si>
    <t>C(CCCCCCC(=O)N)/C=C\CCCCCCCC</t>
  </si>
  <si>
    <t>FATBGEAMYMYZAF-KTKRTIGZSA-N</t>
  </si>
  <si>
    <t>C18H35NO</t>
  </si>
  <si>
    <t>8.85_423.0079m/z</t>
  </si>
  <si>
    <t>3,5-Dinitrobenzoic Acid</t>
  </si>
  <si>
    <t>HMDB0246067</t>
  </si>
  <si>
    <t>OC(=O)C1=CC(=CC(=C1)N(=O)=O)N(=O)=O</t>
  </si>
  <si>
    <t>VYWYYJYRVSBHJQ-UHFFFAOYSA-N</t>
  </si>
  <si>
    <t>C7H4N2O6</t>
  </si>
  <si>
    <t>4.33_543.0883m/z</t>
  </si>
  <si>
    <t>7-Aminocephalosporanic Acid</t>
  </si>
  <si>
    <t>C07756</t>
  </si>
  <si>
    <t>ko00311</t>
  </si>
  <si>
    <t>Penicillin and cephalosporin biosynthesis</t>
  </si>
  <si>
    <t>957-68-6</t>
  </si>
  <si>
    <t>CC(=O)OCC1=C(N2C(C(C2=O)N)SC1)C(=O)O</t>
  </si>
  <si>
    <t>HSHGZXNAXBPPDL-HZGVNTEJSA-N</t>
  </si>
  <si>
    <t>C10H12N2O5S</t>
  </si>
  <si>
    <t>1.20_309.0418m/z</t>
  </si>
  <si>
    <t>2,3-Epoxyaflatoxin B1</t>
  </si>
  <si>
    <t>HMDB0006558</t>
  </si>
  <si>
    <t>C19586</t>
  </si>
  <si>
    <t>42583-46-0</t>
  </si>
  <si>
    <t>[H][C@]12O[C@@H]3O[C@@H]3[C@@]1([H])C1=C(O2)C=C(OC)C2=C1OC(=O)C1=C2CCC1=O</t>
  </si>
  <si>
    <t>KHBXRZGALJGBPA-IRWJRLHMSA-N</t>
  </si>
  <si>
    <t>C17H12O7</t>
  </si>
  <si>
    <t>1.31_299.1597m/z</t>
  </si>
  <si>
    <t>L-3-(3-Hydroxy-4-Pivaloyloxyphenyl)Alanine</t>
  </si>
  <si>
    <t>HMDB0255476</t>
  </si>
  <si>
    <t>CC(C)(C)C(=O)OC1=C(O)C=C(CC(N)C(O)=O)C=C1</t>
  </si>
  <si>
    <t>YEWQCSYEZLTGNS-UHFFFAOYSA-N</t>
  </si>
  <si>
    <t>C14H19NO5</t>
  </si>
  <si>
    <t>7.51_379.2121m/z</t>
  </si>
  <si>
    <t>Pgj2</t>
  </si>
  <si>
    <t>HMDB0002710</t>
  </si>
  <si>
    <t>LMFA03010019</t>
  </si>
  <si>
    <t>C05957</t>
  </si>
  <si>
    <t>ko00590,ko04726</t>
  </si>
  <si>
    <t>Arachidonic acid metabolism|Serotonergic synapse</t>
  </si>
  <si>
    <t>60203-57-8</t>
  </si>
  <si>
    <t>[C@H]1(/C=C/[C@@H](O)CCCCC)C(=O)C=C[C@@H]1C/C=C\CCCC(=O)O</t>
  </si>
  <si>
    <t>UQOQENZZLBSFKO-POPPZSFYSA-N</t>
  </si>
  <si>
    <t>1.33_198.0399m/z</t>
  </si>
  <si>
    <t>3-Hydroxy-2-Methylpyridine-4,5-Dicarboxylate</t>
  </si>
  <si>
    <t>HMDB0006955</t>
  </si>
  <si>
    <t>C04604</t>
  </si>
  <si>
    <t>CC1=NC=C(C(O)=O)C(C(O)=O)=C1O</t>
  </si>
  <si>
    <t>LVJJEIJOKPHQOU-UHFFFAOYSA-N</t>
  </si>
  <si>
    <t>C8H7NO5</t>
  </si>
  <si>
    <t>0.81_338.1136m/z</t>
  </si>
  <si>
    <t>4-Methylumbelliferylguanidinobenzoate</t>
  </si>
  <si>
    <t>HMDB0246524</t>
  </si>
  <si>
    <t>CC1=CC(=O)OC2=C1C=CC(OC(=O)C1=CC=C(C=C1)N=C(N)N)=C2</t>
  </si>
  <si>
    <t>AHAAYVQLZJYEOX-UHFFFAOYSA-N</t>
  </si>
  <si>
    <t>C18H15N3O4</t>
  </si>
  <si>
    <t>3.73_413.0851m/z</t>
  </si>
  <si>
    <t>6-Methyl-5-Pyridin-4-Yl-3,6-Dihydro-1,3,4-Thiadiazin-2-One</t>
  </si>
  <si>
    <t>HMDB0253351</t>
  </si>
  <si>
    <t>CC1SC(=O)NN=C1C1=CC=NC=C1</t>
  </si>
  <si>
    <t>PXZLHVGFLSUUIW-UHFFFAOYSA-N</t>
  </si>
  <si>
    <t>C9H9N3OS</t>
  </si>
  <si>
    <t>1.26_272.0073m/z</t>
  </si>
  <si>
    <t>Thiocyclam Oxalate</t>
  </si>
  <si>
    <t>CN(C)C1CSSSC1.C(=O)(C(=O)O)O</t>
  </si>
  <si>
    <t>ICTQUFQQEYSGGJ-UHFFFAOYSA-N</t>
  </si>
  <si>
    <t>C7H13NO4S3</t>
  </si>
  <si>
    <t>2.13_177.0301m/z</t>
  </si>
  <si>
    <t>Tyrosol</t>
  </si>
  <si>
    <t>HMDB0004284</t>
  </si>
  <si>
    <t>C06044</t>
  </si>
  <si>
    <t>501-94-0</t>
  </si>
  <si>
    <t>OCCC1=CC=C(O)C=C1</t>
  </si>
  <si>
    <t>YCCILVSKPBXVIP-UHFFFAOYSA-N</t>
  </si>
  <si>
    <t>C8H10O2</t>
  </si>
  <si>
    <t>10.14_619.2887m/z</t>
  </si>
  <si>
    <t>N-Desmethylcitalopram</t>
  </si>
  <si>
    <t>HMDB0014021</t>
  </si>
  <si>
    <t>C16608</t>
  </si>
  <si>
    <t>62498-67-3</t>
  </si>
  <si>
    <t>CNCCCC1(OCC2=C1C=CC(=C2)C#N)C1=CC=C(F)C=C1</t>
  </si>
  <si>
    <t>PTJADDMMFYXMMG-UHFFFAOYSA-N</t>
  </si>
  <si>
    <t>C19H19FN2O</t>
  </si>
  <si>
    <t>11.13_585.1535m/z</t>
  </si>
  <si>
    <t>N'-[(4-Oxo-4h-Chromen-3-Yl)Methylene]Nicotinohydrazide</t>
  </si>
  <si>
    <t>HMDB0258486</t>
  </si>
  <si>
    <t>O=C(NN=CC1=COC2=CC=CC=C2C1=O)C1=CN=CC=C1</t>
  </si>
  <si>
    <t>DAVIKTBRCQWOGT-UHFFFAOYSA-N</t>
  </si>
  <si>
    <t>C16H11N3O3</t>
  </si>
  <si>
    <t>4.65_236.1411n</t>
  </si>
  <si>
    <t>Heptyl 4-Hydroxybenzoate</t>
  </si>
  <si>
    <t>HMDB0034462</t>
  </si>
  <si>
    <t>C14718</t>
  </si>
  <si>
    <t>1085-12-7</t>
  </si>
  <si>
    <t>CCCCCCCOC(=O)C1=CC=C(O)C=C1</t>
  </si>
  <si>
    <t>ZTJORNVITHUQJA-UHFFFAOYSA-N</t>
  </si>
  <si>
    <t>7.94_284.0926m/z</t>
  </si>
  <si>
    <t>Arborinine</t>
  </si>
  <si>
    <t>HMDB0030177</t>
  </si>
  <si>
    <t>C10643</t>
  </si>
  <si>
    <t>5489-57-6</t>
  </si>
  <si>
    <t>COC1=C(OC)C(O)=C2C(=O)C3=CC=CC=C3N(C)C2=C1</t>
  </si>
  <si>
    <t>ATBZZQPALSPNMF-UHFFFAOYSA-N</t>
  </si>
  <si>
    <t>C16H15NO4</t>
  </si>
  <si>
    <t>4.28_433.1708m/z</t>
  </si>
  <si>
    <t>1-Aminopyrene</t>
  </si>
  <si>
    <t>HMDB0041793</t>
  </si>
  <si>
    <t>1606-67-3</t>
  </si>
  <si>
    <t>NC1=C2C=CC3=CC=CC4=C3C2=C(C=C1)C=C4</t>
  </si>
  <si>
    <t>YZVWKHVRBDQPMQ-UHFFFAOYSA-N</t>
  </si>
  <si>
    <t>C16H11N</t>
  </si>
  <si>
    <t>3.79_331.1292m/z</t>
  </si>
  <si>
    <t>Schradan</t>
  </si>
  <si>
    <t>HMDB0258179</t>
  </si>
  <si>
    <t>C19015</t>
  </si>
  <si>
    <t>152-16-9</t>
  </si>
  <si>
    <t>CN(C)P(=O)(OP(=O)(N(C)C)N(C)C)N(C)C</t>
  </si>
  <si>
    <t>SZKKRCSOSQAJDE-UHFFFAOYSA-N</t>
  </si>
  <si>
    <t>C8H24N4O3P2</t>
  </si>
  <si>
    <t>6.61_493.3168m/z</t>
  </si>
  <si>
    <t>Porrigenin A</t>
  </si>
  <si>
    <t>HMDB0032783</t>
  </si>
  <si>
    <t>196607-75-7</t>
  </si>
  <si>
    <t>CC1C2C(CC3C4CC(O)C5CC(O)C(O)CC5(C)C4CCC23C)OC11CCC(C)CO1</t>
  </si>
  <si>
    <t>FYRLHXNMINIDCB-UHFFFAOYSA-N</t>
  </si>
  <si>
    <t>4.79_257.0428m/z</t>
  </si>
  <si>
    <t>2-Acetyl-4,5-Dihydrothiazole</t>
  </si>
  <si>
    <t>HMDB0033561</t>
  </si>
  <si>
    <t>29926-41-8</t>
  </si>
  <si>
    <t>CC(=O)C1=NCCS1</t>
  </si>
  <si>
    <t>FZOZFDAMVVEZSJ-UHFFFAOYSA-N</t>
  </si>
  <si>
    <t>Thiazolines</t>
  </si>
  <si>
    <t>C5H7NOS</t>
  </si>
  <si>
    <t>1.44_461.0741m/z</t>
  </si>
  <si>
    <t>5-(2,4-Dioxo-Thiazolidin-5-Ylmethyl)-2-Methoxy-N-(4-Trifluoromethyl-Benzyl)-Benzamide(Krp297)</t>
  </si>
  <si>
    <t>HMDB0248911</t>
  </si>
  <si>
    <t>COC1=C(C=C(CC2=C(O)NC(=O)S2)C=C1)C(=O)NCC1=CC=C(C=C1)C(F)(F)F</t>
  </si>
  <si>
    <t>SUYNESVDWLCJSR-UHFFFAOYSA-N</t>
  </si>
  <si>
    <t>C20H17F3N2O4S</t>
  </si>
  <si>
    <t>1.06_336.0619n</t>
  </si>
  <si>
    <t>Dicumarol</t>
  </si>
  <si>
    <t>HMDB0014411</t>
  </si>
  <si>
    <t>C00796</t>
  </si>
  <si>
    <t>66-76-2</t>
  </si>
  <si>
    <t>OC1=C(CC2=C(O)C3=C(OC2=O)C=CC=C3)C(=O)OC2=C1C=CC=C2</t>
  </si>
  <si>
    <t>DOBMPNYZJYQDGZ-UHFFFAOYSA-N</t>
  </si>
  <si>
    <t>C19H12O6</t>
  </si>
  <si>
    <t>6.65_353.0240m/z</t>
  </si>
  <si>
    <t>3-Butenylglucosinolate</t>
  </si>
  <si>
    <t>HMDB0304115</t>
  </si>
  <si>
    <t>OCC1OC(SC(CCC=C)=NOS([O-])(=O)=O)C(O)C(O)C1O</t>
  </si>
  <si>
    <t>PLYQBXHVYUJNQB-UHFFFAOYSA-M</t>
  </si>
  <si>
    <t>C11H18NO9S2-</t>
  </si>
  <si>
    <t>2.16_581.2061m/z</t>
  </si>
  <si>
    <t>Glutamine-Glutamate</t>
  </si>
  <si>
    <t>HMDB0252813</t>
  </si>
  <si>
    <t>NC(CCC(N)=O)C(=O)OOC(=O)C(N)CCC(O)=O</t>
  </si>
  <si>
    <t>ZGCDPPJRJQLAMD-UHFFFAOYSA-N</t>
  </si>
  <si>
    <t>C10H17N3O7</t>
  </si>
  <si>
    <t>3.51_359.0850m/z</t>
  </si>
  <si>
    <t>Isomugineic Acid</t>
  </si>
  <si>
    <t>HMDB0033555</t>
  </si>
  <si>
    <t>74281-81-5</t>
  </si>
  <si>
    <t>OC(CN1CCC1C(O)=O)C(NCCC(O)C(O)=O)C(O)=O</t>
  </si>
  <si>
    <t>GJRGEVKCJPPZIT-UHFFFAOYSA-N</t>
  </si>
  <si>
    <t>0.67_325.1776m/z</t>
  </si>
  <si>
    <t>Dibutyl Suberate</t>
  </si>
  <si>
    <t>CCCCOC(=O)CCCCCCC(=O)OCCCC</t>
  </si>
  <si>
    <t>LBXQUCHUHCBNTC-UHFFFAOYSA-N</t>
  </si>
  <si>
    <t>C16H30O4</t>
  </si>
  <si>
    <t>7.96_721.3078m/z</t>
  </si>
  <si>
    <t>N-(4-(4-Amino-2-Ethyl-Imidazo(4,5-C)Quinolin-1-Yl)Butyl)Methanesulfonamide</t>
  </si>
  <si>
    <t>HMDB0259491</t>
  </si>
  <si>
    <t>CCC1=NC2=C(N1CCCCNS(C)(=O)=O)C1=CC=CC=C1N=C2N</t>
  </si>
  <si>
    <t>YZOQZEXYFLXNKA-UHFFFAOYSA-N</t>
  </si>
  <si>
    <t>C17H23N5O2S</t>
  </si>
  <si>
    <t>4.12_259.1432m/z</t>
  </si>
  <si>
    <t>Mefenamic Acid</t>
  </si>
  <si>
    <t>HMDB0014922</t>
  </si>
  <si>
    <t>C02168</t>
  </si>
  <si>
    <t>61-68-7</t>
  </si>
  <si>
    <t>CC1=C(C)C(NC2=CC=CC=C2C(O)=O)=CC=C1</t>
  </si>
  <si>
    <t>HYYBABOKPJLUIN-UHFFFAOYSA-N</t>
  </si>
  <si>
    <t>C15H15NO2</t>
  </si>
  <si>
    <t>8.17_347.0137m/z</t>
  </si>
  <si>
    <t>9-(6-Sulfanylidene-3h-Purin-9-Yl)-3h-Purine-6-Thione</t>
  </si>
  <si>
    <t>HMDB0257704</t>
  </si>
  <si>
    <t>S=C1N=CNC2=C1N=CN2N1C=NC2=C1NC=NC2=S</t>
  </si>
  <si>
    <t>JQOXUQIJWYPMOP-UHFFFAOYSA-N</t>
  </si>
  <si>
    <t>C10H6N8S2</t>
  </si>
  <si>
    <t>12.04_640.4778m/z</t>
  </si>
  <si>
    <t>Ginsenoside C-K</t>
  </si>
  <si>
    <t>HMDB0252724</t>
  </si>
  <si>
    <t>CC(C)=CCCC(C)(OC1OC(CO)C(O)C(O)C1O)C1CCC2(C)C1C(O)CC1C3(C)CCC(O)C(C)(C)C3CCC21C</t>
  </si>
  <si>
    <t>FVIZARNDLVOMSU-UHFFFAOYSA-N</t>
  </si>
  <si>
    <t>C36H62O8</t>
  </si>
  <si>
    <t>4.28_627.3528m/z</t>
  </si>
  <si>
    <t>PI(20:1(11Z)/0:0)</t>
  </si>
  <si>
    <t>LMGP06050019</t>
  </si>
  <si>
    <t>[C@]([H])(O)(COP(=O)(O)O[C@H]1[C@H](O)[C@@H](O)[C@H](O)[C@@H](O)[C@H]1O)COC(CCCCCCCCC/C=C\CCCCCCCC)=O</t>
  </si>
  <si>
    <t>ZKGGMMGBNKHRSC-PYLXUAFNSA-N</t>
  </si>
  <si>
    <t>C29H55O12P</t>
  </si>
  <si>
    <t>1.29_291.0363m/z</t>
  </si>
  <si>
    <t>Dump</t>
  </si>
  <si>
    <t>HMDB0001409</t>
  </si>
  <si>
    <t>C00365</t>
  </si>
  <si>
    <t>964-26-1</t>
  </si>
  <si>
    <t>O[C@H]1C[C@@H](O[C@@H]1COP(O)(O)=O)N1C=CC(=O)NC1=O</t>
  </si>
  <si>
    <t>JSRLJPSBLDHEIO-SHYZEUOFSA-N</t>
  </si>
  <si>
    <t>C9H13N2O8P</t>
  </si>
  <si>
    <t>11.14_491.2142m/z</t>
  </si>
  <si>
    <t>Quinoneimine</t>
  </si>
  <si>
    <t>HMDB0257052</t>
  </si>
  <si>
    <t>CN1N(C(=O)C(N=C2C=C(OC3OC(CO)C(O)C(O)C3O)C=CC2O)=C1C)C1=CC=CC=C1</t>
  </si>
  <si>
    <t>YZWKCAPMKIDCIB-UHFFFAOYSA-N</t>
  </si>
  <si>
    <t>C23H27N3O8</t>
  </si>
  <si>
    <t>14.58_570.4729m/z</t>
  </si>
  <si>
    <t>DG(12:0/18:1(12Z)-O(9S,10R)/0:0)</t>
  </si>
  <si>
    <t>HMDB0294725</t>
  </si>
  <si>
    <t>CCCCCCCCCCCC(=O)OC[C@H](CO)OC(=O)CCCCCCCC1OC1C\C=C/CCCCC</t>
  </si>
  <si>
    <t>LITIJTZLGLUHRG-FVGXFSABSA-N</t>
  </si>
  <si>
    <t>C33H60O6</t>
  </si>
  <si>
    <t>4.53_353.1384m/z</t>
  </si>
  <si>
    <t>5'-Prenylhomoeriodictyol</t>
  </si>
  <si>
    <t>LMPK12140439</t>
  </si>
  <si>
    <t>C09831</t>
  </si>
  <si>
    <t>C1(O)C=C2O[C@]([H])(C3C=C(OC)C(O)=C(C/C=C(\C)/C)C=3)CC(=O)C2=C(O)C=1</t>
  </si>
  <si>
    <t>UQFQODVSORPELA-KRWDZBQOSA-N</t>
  </si>
  <si>
    <t>C21H22O6</t>
  </si>
  <si>
    <t>1.57_161.0465m/z</t>
  </si>
  <si>
    <t>Melizame</t>
  </si>
  <si>
    <t>HMDB0029684</t>
  </si>
  <si>
    <t>26921-72-2</t>
  </si>
  <si>
    <t>OC1=CC=CC(OC2=NN=NN2)=C1</t>
  </si>
  <si>
    <t>DZHBTQHPZSGDOR-UHFFFAOYSA-N</t>
  </si>
  <si>
    <t>C7H6N4O2</t>
  </si>
  <si>
    <t>4.26_679.1444m/z</t>
  </si>
  <si>
    <t>Bps-Mpe4</t>
  </si>
  <si>
    <t>C1=CC=C(C=C1)COC2=CC=C(C=C2)S(=O)(=O)C3=CC=CC=C3O</t>
  </si>
  <si>
    <t>OAHRHEHKTRXORG-UHFFFAOYSA-N</t>
  </si>
  <si>
    <t>C19H16O4S</t>
  </si>
  <si>
    <t>5.38_605.3152m/z</t>
  </si>
  <si>
    <t>Tribenzylamine N-Oxide</t>
  </si>
  <si>
    <t>6852-46-6</t>
  </si>
  <si>
    <t>C1=CC=C(C=C1)C[N+](CC2=CC=CC=C2)(CC3=CC=CC=C3)[O-]</t>
  </si>
  <si>
    <t>KIAARAUZZLGXFK-UHFFFAOYSA-N</t>
  </si>
  <si>
    <t>C21H21NO</t>
  </si>
  <si>
    <t>9.21_206.1177m/z</t>
  </si>
  <si>
    <t>Trigoforin</t>
  </si>
  <si>
    <t>HMDB0029495</t>
  </si>
  <si>
    <t>14002-93-8</t>
  </si>
  <si>
    <t>CC1=CC2=C(C=C1)C(C)=C(C)C(=O)O2</t>
  </si>
  <si>
    <t>KAFSSZHADPCOBG-UHFFFAOYSA-N</t>
  </si>
  <si>
    <t>C12H12O2</t>
  </si>
  <si>
    <t>4.33_281.1898m/z</t>
  </si>
  <si>
    <t>17-Dihydroexemestane</t>
  </si>
  <si>
    <t>HMDB0244765</t>
  </si>
  <si>
    <t>CC12CCC3C(CC(=C)C4=CC(=O)C=CC34C)C1CCC2O</t>
  </si>
  <si>
    <t>NFDPYPMRHKQTDM-UHFFFAOYSA-N</t>
  </si>
  <si>
    <t>1.39_404.0832m/z</t>
  </si>
  <si>
    <t>Triglochinin</t>
  </si>
  <si>
    <t>HMDB0030934</t>
  </si>
  <si>
    <t>28876-11-1</t>
  </si>
  <si>
    <t>OCC1OC(O\C(C#N)=C(/CC(O)=O)\C=C\C(O)=O)C(O)C(O)C1O</t>
  </si>
  <si>
    <t>LABCALMTQNDOAI-RPRRTJJHSA-N</t>
  </si>
  <si>
    <t>C14H17NO10</t>
  </si>
  <si>
    <t>7.47_511.2547m/z</t>
  </si>
  <si>
    <t>Androsterone 3-Glucuronide</t>
  </si>
  <si>
    <t>HMDB0002829</t>
  </si>
  <si>
    <t>LMST05010013</t>
  </si>
  <si>
    <t>C11135</t>
  </si>
  <si>
    <t>1852-43-3</t>
  </si>
  <si>
    <t>[C@H]1([C@H]([C@H](O)[C@@H](O)[C@@H](O1)O[C@@H]1CC[C@@]2(C)[C@@]([H])(CC[C@@]3([H])[C@]4([H])CCC(=O)[C@]4(CC[C@@]32[H])C)C1)O)C(O)=O</t>
  </si>
  <si>
    <t>VFUIRAVTUVCQTF-BSOWLZGZSA-N</t>
  </si>
  <si>
    <t>5.27_445.2566m/z</t>
  </si>
  <si>
    <t>Lovastatin Acid</t>
  </si>
  <si>
    <t>HMDB0254177</t>
  </si>
  <si>
    <t>CCC(C)C(=O)OC1CC(C)C=C2C=CC(C)C(CCC(O)CC(O)CC(O)=O)C12</t>
  </si>
  <si>
    <t>QLJODMDSTUBWDW-UHFFFAOYSA-N</t>
  </si>
  <si>
    <t>C24H38O6</t>
  </si>
  <si>
    <t>5.08_735.1931m/z</t>
  </si>
  <si>
    <t>Spinosin C</t>
  </si>
  <si>
    <t>HMDB0037463</t>
  </si>
  <si>
    <t>77690-93-8</t>
  </si>
  <si>
    <t>COC1=CC2=C(C(=O)C=C(O2)C2=CC=C(O)C=C2)C(O)=C1C1OC(CO)C(O)C(O)C1OC1OC(COC(=O)\C=C\C2=CC=C(O)C=C2)C(O)C(O)C1O</t>
  </si>
  <si>
    <t>GIFDFLYIKYFTAD-NYYWCZLTSA-N</t>
  </si>
  <si>
    <t>C37H38O17</t>
  </si>
  <si>
    <t>9.76_279.1599m/z</t>
  </si>
  <si>
    <t>2e,4e-Hexadienyl Acetate</t>
  </si>
  <si>
    <t>HMDB0032311</t>
  </si>
  <si>
    <t>LMFA07010180</t>
  </si>
  <si>
    <t>1516-17-2</t>
  </si>
  <si>
    <t>O(C(=O)C)C/C=C/C=C/C</t>
  </si>
  <si>
    <t>PXVKYPFROMBALG-VNKDHWASSA-N</t>
  </si>
  <si>
    <t>15.43_764.5733m/z</t>
  </si>
  <si>
    <t>3-Dodecanoyl-Nbd Cholesterol</t>
  </si>
  <si>
    <t>CC(C)CCCC(C)C1CCC2C1(CCC3C2CC=C4C3(CCC(C4)OC(=O)CCCCCCCCCCCNC5=CC=C(C6=NON=C56)[N+](=O)[O-])C)C</t>
  </si>
  <si>
    <t>TXCIESALPKGCNM-QNKNOTAZSA-N</t>
  </si>
  <si>
    <t>C45H70N4O5</t>
  </si>
  <si>
    <t>4.84_380.0557m/z</t>
  </si>
  <si>
    <t>Isoxicam</t>
  </si>
  <si>
    <t>HMDB0253714</t>
  </si>
  <si>
    <t>34552-84-6</t>
  </si>
  <si>
    <t>CN1C(C(=O)N=C2NOC(C)=C2)=C(O)C2=CC=CC=C2S1(=O)=O</t>
  </si>
  <si>
    <t>YYUAYBYLJSNDCX-UHFFFAOYSA-N</t>
  </si>
  <si>
    <t>C14H13N3O5S</t>
  </si>
  <si>
    <t>4.20_485.1775m/z</t>
  </si>
  <si>
    <t>N-(3-Oxo-Heptanoyl)-Homoserine Thiolactone</t>
  </si>
  <si>
    <t>LMFA08020238</t>
  </si>
  <si>
    <t>[C@@H]1(CCSC1=O)NC(=O)CC(=O)CCCC</t>
  </si>
  <si>
    <t>NPRILBGCCQWVLH-VIFPVBQESA-N</t>
  </si>
  <si>
    <t>C11H17NO3S</t>
  </si>
  <si>
    <t>10.13_268.0967m/z</t>
  </si>
  <si>
    <t>N-Benzoyl-L-Tyrosine</t>
  </si>
  <si>
    <t>HMDB0255088</t>
  </si>
  <si>
    <t>OC(=O)C(CC1=CC=C(O)C=C1)NC(=O)C1=CC=CC=C1</t>
  </si>
  <si>
    <t>KUUUDPTUEOKITK-UHFFFAOYSA-N</t>
  </si>
  <si>
    <t>2.22_321.1191m/z</t>
  </si>
  <si>
    <t>Triethyl Citrate</t>
  </si>
  <si>
    <t>HMDB0034263</t>
  </si>
  <si>
    <t>77-93-0</t>
  </si>
  <si>
    <t>CCOC(=O)CC(O)(CC(=O)OCC)C(=O)OCC</t>
  </si>
  <si>
    <t>DOOTYTYQINUNNV-UHFFFAOYSA-N</t>
  </si>
  <si>
    <t>C12H20O7</t>
  </si>
  <si>
    <t>4.29_319.1394m/z</t>
  </si>
  <si>
    <t>Pimelic Acid</t>
  </si>
  <si>
    <t>HMDB0000857</t>
  </si>
  <si>
    <t>LMFA01170051</t>
  </si>
  <si>
    <t>C02656</t>
  </si>
  <si>
    <t>111-16-0</t>
  </si>
  <si>
    <t>C(CCCCCC(=O)O)(=O)O</t>
  </si>
  <si>
    <t>WLJVNTCWHIRURA-UHFFFAOYSA-N</t>
  </si>
  <si>
    <t>C7H12O4</t>
  </si>
  <si>
    <t>1.42_545.1840m/z</t>
  </si>
  <si>
    <t>Murametide</t>
  </si>
  <si>
    <t>HMDB0254950</t>
  </si>
  <si>
    <t>COC(=O)C(CCC(N)=O)NC(=O)C(C)NC(=O)C(C)OC1C(O)C(CO)OC(O)C1NC(C)=O</t>
  </si>
  <si>
    <t>OXSVRXKURHXDIV-UHFFFAOYSA-N</t>
  </si>
  <si>
    <t>C20H34N4O11</t>
  </si>
  <si>
    <t>4.48_397.1638m/z</t>
  </si>
  <si>
    <t>Dihydrorotenone</t>
  </si>
  <si>
    <t>6659-45-6</t>
  </si>
  <si>
    <t>CC(C)C1CC2=C(O1)C=CC3=C2OC4COC5=CC(=C(C=C5C4C3=O)OC)OC</t>
  </si>
  <si>
    <t>DTFARBHXORYQBF-ORYQWCPZSA-N</t>
  </si>
  <si>
    <t>5.41_702.2891n</t>
  </si>
  <si>
    <t>Hexapeptide Analogue</t>
  </si>
  <si>
    <t>HMDB0249946</t>
  </si>
  <si>
    <t>CCC(C)C(NC(=O)C(CC(O)=O)NC(=O)C(CC(O)=O)NC(C)=O)C(=O)NC(C(C)C)C(=O)N1CCCC1C(=O)NC(CS)C(O)=O</t>
  </si>
  <si>
    <t>JXDNUMOTWHZSCB-UHFFFAOYSA-N</t>
  </si>
  <si>
    <t>C29H46N6O12S</t>
  </si>
  <si>
    <t>1.39_329.0124m/z</t>
  </si>
  <si>
    <t>Formononetin 7-Sulfate</t>
  </si>
  <si>
    <t>HMDB0240518</t>
  </si>
  <si>
    <t>COC1=CC=C(C=C1)C1=COC2=C(C=CC(OS(O)(=O)=O)=C2)C1=O</t>
  </si>
  <si>
    <t>DSZBEWXQBVATQX-UHFFFAOYSA-N</t>
  </si>
  <si>
    <t>C16H12O7S</t>
  </si>
  <si>
    <t>15.16_607.4330m/z</t>
  </si>
  <si>
    <t>TG(10:0/13:0/8:0)</t>
  </si>
  <si>
    <t>HMDB0071165</t>
  </si>
  <si>
    <t>[H][C@@](COC(=O)CCCCCCC)(COC(=O)CCCCCCCCC)OC(=O)CCCCCCCCCCCC</t>
  </si>
  <si>
    <t>BHOBAXXVADYYDE-WJOKGBTCSA-N</t>
  </si>
  <si>
    <t>C34H64O6</t>
  </si>
  <si>
    <t>4.48_248.1412n</t>
  </si>
  <si>
    <t>Parthenolide</t>
  </si>
  <si>
    <t>C07609</t>
  </si>
  <si>
    <t>CC1=CCCC2(C(O2)C3C(CC1)C(=C)C(=O)O3)C</t>
  </si>
  <si>
    <t>KTEXNACQROZXEV-PVLRGYAZSA-N</t>
  </si>
  <si>
    <t>C15H20O3</t>
  </si>
  <si>
    <t>10.47_433.2561m/z</t>
  </si>
  <si>
    <t>MG(20:4(6Z,8E,10E,14Z)-2OH(5S,12R)/0:0/0:0)</t>
  </si>
  <si>
    <t>HMDB0260481</t>
  </si>
  <si>
    <t>CCCCC\C=C/C[C@@H](O)\C=C\C=C\C=C/[C@@H](O)CCCC(=O)OC[C@@H](O)CO</t>
  </si>
  <si>
    <t>AUMGKRBSNRJFAI-WAUKJLELSA-N</t>
  </si>
  <si>
    <t>C23H38O6</t>
  </si>
  <si>
    <t>5.39_403.1397m/z</t>
  </si>
  <si>
    <t>3-(1,1-Dimethylallyl)Scopoletin 7-Glucoside</t>
  </si>
  <si>
    <t>HMDB0032853</t>
  </si>
  <si>
    <t>208333-72-6</t>
  </si>
  <si>
    <t>COC1=CC2=C(OC(=O)C(=C2)C(C)(C)C=C)C=C1OC1OC(CO)C(O)C(O)C1O</t>
  </si>
  <si>
    <t>USJIZVPRNYRDEY-UHFFFAOYSA-N</t>
  </si>
  <si>
    <t>4.16_243.1015m/z</t>
  </si>
  <si>
    <t>2-Hydroxy-3-Morpholinopropanesulfonic Acid</t>
  </si>
  <si>
    <t>HMDB0254881</t>
  </si>
  <si>
    <t>OC(CN1CCOCC1)CS(O)(=O)=O</t>
  </si>
  <si>
    <t>NUFBIAUZAMHTSP-UHFFFAOYSA-N</t>
  </si>
  <si>
    <t>C7H15NO5S</t>
  </si>
  <si>
    <t>4.48_368.1195m/z</t>
  </si>
  <si>
    <t>Sarafloxacin</t>
  </si>
  <si>
    <t>HMDB0039526</t>
  </si>
  <si>
    <t>98105-99-8</t>
  </si>
  <si>
    <t>OC(=O)C1=CN(C2=CC=C(F)C=C2)C2=CC(N3CCNCC3)=C(F)C=C2C1=O</t>
  </si>
  <si>
    <t>XBHBWNFJWIASRO-UHFFFAOYSA-N</t>
  </si>
  <si>
    <t>C20H17F2N3O3</t>
  </si>
  <si>
    <t>3.49_203.0526m/z</t>
  </si>
  <si>
    <t>Alpha-D-Glucose</t>
  </si>
  <si>
    <t>HMDB0003345</t>
  </si>
  <si>
    <t>C00267</t>
  </si>
  <si>
    <t>ko00010,ko00051,ko00052,ko00520,ko04964</t>
  </si>
  <si>
    <t>Glycolysis / Gluconeogenesis|Fructose and mannose metabolism|Galactose metabolism|Amino sugar and nucleotide sugar metabolism|Proximal tubule bicarbonate reclamation</t>
  </si>
  <si>
    <t>492-62-6</t>
  </si>
  <si>
    <t>OC[C@H]1O[C@H](O)[C@H](O)[C@@H](O)[C@@H]1O</t>
  </si>
  <si>
    <t>WQZGKKKJIJFFOK-DVKNGEFBSA-N</t>
  </si>
  <si>
    <t>7.72_529.2441m/z</t>
  </si>
  <si>
    <t>Dilopetine</t>
  </si>
  <si>
    <t>HMDB0251366</t>
  </si>
  <si>
    <t>CN(C)CCOC(C1=CC=CS1)C1=CC=NN1C</t>
  </si>
  <si>
    <t>CIJATQMMNKXTJJ-UHFFFAOYSA-N</t>
  </si>
  <si>
    <t>C13H19N3OS</t>
  </si>
  <si>
    <t>3.99_255.0870m/z</t>
  </si>
  <si>
    <t>3-(2,5-Dimethoxyphenyl)Propanoic Acid</t>
  </si>
  <si>
    <t>COC1=CC(=C(C=C1)OC)CCC(=O)O</t>
  </si>
  <si>
    <t>JENQUCZZZGYHRW-UHFFFAOYSA-N</t>
  </si>
  <si>
    <t>C11H14O4</t>
  </si>
  <si>
    <t>11.67_556.4411m/z</t>
  </si>
  <si>
    <t>Octaethyleneglycol Monododecyl Ether</t>
  </si>
  <si>
    <t>HMDB0246126</t>
  </si>
  <si>
    <t>CCCCCCCCCCCCOCCOCCOCCOCCOCCOCCOCCOCCO</t>
  </si>
  <si>
    <t>YYELLDKEOUKVIQ-UHFFFAOYSA-N</t>
  </si>
  <si>
    <t>C28H58O9</t>
  </si>
  <si>
    <t>3.43_335.0875m/z</t>
  </si>
  <si>
    <t>L-N-(1h-Indol-3-Ylacetyl)Aspartic Acid</t>
  </si>
  <si>
    <t>HMDB0038666</t>
  </si>
  <si>
    <t>2456-73-7</t>
  </si>
  <si>
    <t>OC(=O)CC(NC(=O)CC1=CNC2=C1C=CC=C2)C(O)=O</t>
  </si>
  <si>
    <t>VAFNMNRKDDAKRM-UHFFFAOYSA-N</t>
  </si>
  <si>
    <t>4.26_349.1408m/z</t>
  </si>
  <si>
    <t>7-Hydroxy-5-Methoxy-4-Methyl-3-(4-Methylpiperazin-1-Yl)-2h-Chromen-2-One</t>
  </si>
  <si>
    <t>HMDB0244641</t>
  </si>
  <si>
    <t>COC1=C2C(C)=C(N3CCN(C)CC3)C(=O)OC2=CC(O)=C1</t>
  </si>
  <si>
    <t>PTCBGTIMLJUXAO-UHFFFAOYSA-N</t>
  </si>
  <si>
    <t>C16H20N2O4</t>
  </si>
  <si>
    <t>1.40_208.0490m/z</t>
  </si>
  <si>
    <t>N-Methyl-L-Histidine</t>
  </si>
  <si>
    <t>HMDB0255176</t>
  </si>
  <si>
    <t>CNC(CC1=CN=CN1)C(O)=O</t>
  </si>
  <si>
    <t>CYZKJBZEIFWZSR-UHFFFAOYSA-N</t>
  </si>
  <si>
    <t>4.40_471.1485m/z</t>
  </si>
  <si>
    <t>Chitobiose</t>
  </si>
  <si>
    <t>HMDB0003556</t>
  </si>
  <si>
    <t>577-76-4</t>
  </si>
  <si>
    <t>CC(=O)N[C@H]1[C@H](O)O[C@H](CO)[C@@H](O[C@@H]2O[C@H](CO)[C@@H](O)[C@H](O)[C@H]2NC(O)=O)[C@@H]1O</t>
  </si>
  <si>
    <t>HSRZMOSQMYFZBL-CGKOVJDHSA-N</t>
  </si>
  <si>
    <t>C15H26N2O12</t>
  </si>
  <si>
    <t>3.67_745.2556m/z</t>
  </si>
  <si>
    <t>Phome</t>
  </si>
  <si>
    <t>COC1=CC2=C(C=C1)C=C(C=C2)C(C#N)OC(=O)CC3C(O3)C4=CC=CC=C4</t>
  </si>
  <si>
    <t>NZOVBSWOWQLAJG-UHFFFAOYSA-N</t>
  </si>
  <si>
    <t>C23H19NO4</t>
  </si>
  <si>
    <t>10.08_740.2713m/z</t>
  </si>
  <si>
    <t>Elobixibat</t>
  </si>
  <si>
    <t>HMDB0251752</t>
  </si>
  <si>
    <t>CCCCC1(CCCC)CN(C2=CC=CC=C2)C2=CC(SC)=C(OCC(=O)NC(C(=O)NCC(O)=O)C3=CC=CC=C3)C=C2S(=O)(=O)C1</t>
  </si>
  <si>
    <t>XFLQIRAKKLNXRQ-UHFFFAOYSA-N</t>
  </si>
  <si>
    <t>C36H45N3O7S2</t>
  </si>
  <si>
    <t>3.73_154.0950m/z</t>
  </si>
  <si>
    <t>N-Carbamoylputrescine</t>
  </si>
  <si>
    <t>HMDB0033458</t>
  </si>
  <si>
    <t>C00436</t>
  </si>
  <si>
    <t>6851-51-0</t>
  </si>
  <si>
    <t>NCCCCNC(N)=O</t>
  </si>
  <si>
    <t>YANFYYGANIYHGI-UHFFFAOYSA-N</t>
  </si>
  <si>
    <t>C5H13N3O</t>
  </si>
  <si>
    <t>3.60_171.0111m/z</t>
  </si>
  <si>
    <t>P-Toluenesulfonic Acid</t>
  </si>
  <si>
    <t>HMDB0059933</t>
  </si>
  <si>
    <t>104-15-4</t>
  </si>
  <si>
    <t>CC1=CC=C(C=C1)S(O)(=O)=O</t>
  </si>
  <si>
    <t>JOXIMZWYDAKGHI-UHFFFAOYSA-N</t>
  </si>
  <si>
    <t>C7H8O3S</t>
  </si>
  <si>
    <t>2.58_268.9623m/z</t>
  </si>
  <si>
    <t>Dodecafluoropentane</t>
  </si>
  <si>
    <t>HMDB0251565</t>
  </si>
  <si>
    <t>FC(F)(F)C(F)(F)C(F)(F)C(F)(F)C(F)(F)F</t>
  </si>
  <si>
    <t>NJCBUSHGCBERSK-UHFFFAOYSA-N</t>
  </si>
  <si>
    <t>C5F12</t>
  </si>
  <si>
    <t>3.84_287.2002m/z</t>
  </si>
  <si>
    <t>Androstenedione</t>
  </si>
  <si>
    <t>HMDB0000053</t>
  </si>
  <si>
    <t>LMST02020007</t>
  </si>
  <si>
    <t>C00280</t>
  </si>
  <si>
    <t>ko00140,ko00984,ko01522,ko04913,ko04917,ko05200,ko05215</t>
  </si>
  <si>
    <t>Steroid hormone biosynthesis|Steroid degradation|Endocrine resistance|Ovarian steroidogenesis|Prolactin signaling pathway|Pathways in cancer|Prostate cancer</t>
  </si>
  <si>
    <t>63-05-8</t>
  </si>
  <si>
    <t>C1[C@]2(C)[C@@]3([H])CC[C@]4(C)C(=O)CC[C@@]4([H])[C@]3([H])CCC2=CC(=O)C1</t>
  </si>
  <si>
    <t>AEMFNILZOJDQLW-QAGGRKNESA-N</t>
  </si>
  <si>
    <t>C19H26O2</t>
  </si>
  <si>
    <t>1.43_624.8972m/z</t>
  </si>
  <si>
    <t>D-Myo-Inositol-1,3,4,5,6-Pentaphosphate</t>
  </si>
  <si>
    <t>C01284</t>
  </si>
  <si>
    <t>C1(C(C(C(C(C1OP(=O)(O)O)OP(=O)(O)O)OP(=O)(O)O)OP(=O)(O)O)OP(=O)(O)O)O</t>
  </si>
  <si>
    <t>CTPQAXVNYGZUAJ-OAVICHNKSA-N</t>
  </si>
  <si>
    <t>C6H17O21P5</t>
  </si>
  <si>
    <t>1.20_328.1004m/z</t>
  </si>
  <si>
    <t>Arginylaspartic Acid</t>
  </si>
  <si>
    <t>HMDB0028705</t>
  </si>
  <si>
    <t>15706-88-4</t>
  </si>
  <si>
    <t>N[C@@H](CCCNC(N)=N)C(=O)N[C@@H](CC(O)=O)C(O)=O</t>
  </si>
  <si>
    <t>SIFXMYAHXJGAFC-WDSKDSINSA-N</t>
  </si>
  <si>
    <t>C10H19N5O5</t>
  </si>
  <si>
    <t>4.91_348.1570n</t>
  </si>
  <si>
    <t>3-Hydroxy-5,9,17-Trioxo-4,5:9,10-Disecoandrosta-1(10),2-Dien-4-Oate</t>
  </si>
  <si>
    <t>LMST02020063</t>
  </si>
  <si>
    <t>C04844</t>
  </si>
  <si>
    <t>[C@]12(CCC([C@@]1(C)CCC([C@@]2([H])CCC(=O)/C(/C)=C\C=C(\C(=O)O)/O)=O)=O)[H]</t>
  </si>
  <si>
    <t>HRJXKKSJPNWKCP-OKISYMSLSA-N</t>
  </si>
  <si>
    <t>1.11_200.1030m/z</t>
  </si>
  <si>
    <t>3,4-Dephostatin, Ethyl-</t>
  </si>
  <si>
    <t>HMDB0246019</t>
  </si>
  <si>
    <t>CCN(N=O)C1=CC(O)=C(O)C=C1</t>
  </si>
  <si>
    <t>ZTXUSFPBLYQDDN-UHFFFAOYSA-N</t>
  </si>
  <si>
    <t>C8H10N2O3</t>
  </si>
  <si>
    <t>5.58_245.1390m/z</t>
  </si>
  <si>
    <t>Pelargonyl Acetic Acid</t>
  </si>
  <si>
    <t>LMFA01060034</t>
  </si>
  <si>
    <t>C(CCCCCC)CC(=O)CC(=O)O</t>
  </si>
  <si>
    <t>RYAXOIRSQGWHQD-UHFFFAOYSA-N</t>
  </si>
  <si>
    <t>C11H20O3</t>
  </si>
  <si>
    <t>5.45_257.0931m/z</t>
  </si>
  <si>
    <t>Harmine</t>
  </si>
  <si>
    <t>HMDB0030311</t>
  </si>
  <si>
    <t>C06538</t>
  </si>
  <si>
    <t>442-51-3</t>
  </si>
  <si>
    <t>COC1=CC=C2C(NC3=C2C=CN=C3C)=C1</t>
  </si>
  <si>
    <t>BXNJHAXVSOCGBA-UHFFFAOYSA-N</t>
  </si>
  <si>
    <t>C13H12N2O</t>
  </si>
  <si>
    <t>5.30_533.1085m/z</t>
  </si>
  <si>
    <t>Schizotenuin F</t>
  </si>
  <si>
    <t>HMDB0034585</t>
  </si>
  <si>
    <t>127498-36-6</t>
  </si>
  <si>
    <t>COC(=O)C(\OC1=C(O)C=C(\C=C\C(=O)OC(CC2=CC(O)=C(O)C=C2)C(O)=O)C=C1)=C\C1=CC(O)=C(O)C=C1</t>
  </si>
  <si>
    <t>JRSJLGASDWZQGF-ILWOKKNDSA-N</t>
  </si>
  <si>
    <t>C28H24O12</t>
  </si>
  <si>
    <t>1.75_337.0696m/z</t>
  </si>
  <si>
    <t>Didox</t>
  </si>
  <si>
    <t>HMDB0251226</t>
  </si>
  <si>
    <t>69839-83-4</t>
  </si>
  <si>
    <t>ONC(=O)C1=CC(O)=C(O)C=C1</t>
  </si>
  <si>
    <t>QJMCKEPOKRERLN-UHFFFAOYSA-N</t>
  </si>
  <si>
    <t>11.61_583.1977m/z</t>
  </si>
  <si>
    <t>8-Trans-[2-(6-Benzoyloxy-4-Hydroxy-2-Methoxy-3-Methylphenyl)Ethenyl]-5-Methoxyflavan-7-Ol</t>
  </si>
  <si>
    <t>LMPK12020254</t>
  </si>
  <si>
    <t>C1(OC)C=C(O)C(/C=C/C2C(OC(C3C=CC=CC=3)=O)=CC(O)=C(C)C=2OC)=C2O[C@H](C3C=CC=CC=3)CCC=12</t>
  </si>
  <si>
    <t>YKHFNHVQGRPOOZ-ZJYVBTJHSA-N</t>
  </si>
  <si>
    <t>C33H30O7</t>
  </si>
  <si>
    <t>8.91_151.0352m/z</t>
  </si>
  <si>
    <t>1-Isothiocyanato-2-(Methylthio)Ethane</t>
  </si>
  <si>
    <t>HMDB0038442</t>
  </si>
  <si>
    <t>4430-37-9</t>
  </si>
  <si>
    <t>CSCCN=C=S</t>
  </si>
  <si>
    <t>NRORKJAOHOBIMQ-UHFFFAOYSA-N</t>
  </si>
  <si>
    <t>C4H7NS2</t>
  </si>
  <si>
    <t>10.11_656.3178m/z</t>
  </si>
  <si>
    <t>Okooa-Ps</t>
  </si>
  <si>
    <t>LMGP20040029</t>
  </si>
  <si>
    <t>C(O)(=O)[C@@]([H])(N)COP(OC[C@]([H])(OC(CCCC(=O)/C=C/C=O)=O)COC(CCCCCCC/C=C\CCCCCCCC)=O)(=O)O</t>
  </si>
  <si>
    <t>JWSLONXEOIUDBS-RUNYOZRHSA-N</t>
  </si>
  <si>
    <t>C32H54NO12P</t>
  </si>
  <si>
    <t>9.12_175.0238m/z</t>
  </si>
  <si>
    <t>D-Glucuronic Acid</t>
  </si>
  <si>
    <t>HMDB0000127</t>
  </si>
  <si>
    <t>C00191</t>
  </si>
  <si>
    <t>ko00040,ko00053,ko00520,ko00562</t>
  </si>
  <si>
    <t>Pentose and glucuronate interconversions|Ascorbate and aldarate metabolism|Amino sugar and nucleotide sugar metabolism|Inositol phosphate metabolism</t>
  </si>
  <si>
    <t>70021-34-0</t>
  </si>
  <si>
    <t>O[C@H]1O[C@@H]([C@@H](O)[C@H](O)[C@H]1O)C(O)=O</t>
  </si>
  <si>
    <t>AEMOLEFTQBMNLQ-WAXACMCWSA-N</t>
  </si>
  <si>
    <t>4.56_259.1085m/z</t>
  </si>
  <si>
    <t>9-Amino-1,2,3,4-Tetrahydroacridin-4-Ol</t>
  </si>
  <si>
    <t>HMDB0247576</t>
  </si>
  <si>
    <t>130073-99-3</t>
  </si>
  <si>
    <t>NC1=C2CCCC(O)C2=NC2=CC=CC=C12</t>
  </si>
  <si>
    <t>BISIFJGUTDFVFR-UHFFFAOYSA-N</t>
  </si>
  <si>
    <t>C13H14N2O</t>
  </si>
  <si>
    <t>10.51_311.2576m/z</t>
  </si>
  <si>
    <t>9r-Hydroxy-10e,12e-Octadecadienoic Acid, Methyl Ester</t>
  </si>
  <si>
    <t>LMFA01050549</t>
  </si>
  <si>
    <t>C(CCCCCCC[C@@H](O)/C=C/C=C/CCCCC)(=O)OC</t>
  </si>
  <si>
    <t>WRXGTVUDZZBNPN-UGZMQUNVSA-N</t>
  </si>
  <si>
    <t>4.53_462.1883n</t>
  </si>
  <si>
    <t>Retrocalamin</t>
  </si>
  <si>
    <t>HMDB0038159</t>
  </si>
  <si>
    <t>74729-98-9</t>
  </si>
  <si>
    <t>COC(=O)C[C@H](O)[C@@]1(C)CC(=O)C(O)[C@]2(C)C1CC[C@@]1(C)[C@@H](OC(=O)[C@H]3O[C@@]213)C1=COC=C1</t>
  </si>
  <si>
    <t>HMNKPIJMXBZMJF-IHGWNHGOSA-N</t>
  </si>
  <si>
    <t>4.74_335.1124m/z</t>
  </si>
  <si>
    <t>Byakangelicin</t>
  </si>
  <si>
    <t>C09141</t>
  </si>
  <si>
    <t>482-25-7</t>
  </si>
  <si>
    <t>CC(C)(C(COC1=C2C(=C(C3=C1OC(=O)C=C3)OC)C=CO2)O)O</t>
  </si>
  <si>
    <t>PKRPFNXROFUNDE-LLVKDONJSA-N</t>
  </si>
  <si>
    <t>C17H18O7</t>
  </si>
  <si>
    <t>7.45_491.1851m/z</t>
  </si>
  <si>
    <t>Asparaginylasparagine</t>
  </si>
  <si>
    <t>HMDB0028726</t>
  </si>
  <si>
    <t>58471-52-6</t>
  </si>
  <si>
    <t>N[C@@H](CC(N)=O)C(=O)N[C@@H](CC(N)=O)C(O)=O</t>
  </si>
  <si>
    <t>RJUHZPRQRQLCFL-IMJSIDKUSA-N</t>
  </si>
  <si>
    <t>C8H14N4O5</t>
  </si>
  <si>
    <t>2.58_281.0768m/z</t>
  </si>
  <si>
    <t>Methoxybrassenin A</t>
  </si>
  <si>
    <t>HMDB0038635</t>
  </si>
  <si>
    <t>142449-74-9</t>
  </si>
  <si>
    <t>CON1C=C(CN=C(SC)SC)C2=CC=CC=C12</t>
  </si>
  <si>
    <t>GQIAOJZSWXEICD-UHFFFAOYSA-N</t>
  </si>
  <si>
    <t>C13H16N2OS2</t>
  </si>
  <si>
    <t>8.69_384.1568n</t>
  </si>
  <si>
    <t>Glicoisoflavanone</t>
  </si>
  <si>
    <t>HMDB0035427</t>
  </si>
  <si>
    <t>COC1=C(CC=C(C)C)C(OC)=C(C2CC(=O)C3=C(O2)C=C(O)C=C3)C(O)=C1</t>
  </si>
  <si>
    <t>CENDIAJZASJQBF-UHFFFAOYSA-N</t>
  </si>
  <si>
    <t>C22H24O6</t>
  </si>
  <si>
    <t>4.38_192.0786n</t>
  </si>
  <si>
    <t>Ethyl 3-Oxo-3-Phenylpropanoate</t>
  </si>
  <si>
    <t>HMDB0040268</t>
  </si>
  <si>
    <t>94-02-0</t>
  </si>
  <si>
    <t>CCOC(=O)CC(=O)C1=CC=CC=C1</t>
  </si>
  <si>
    <t>GKKZMYDNDDMXSE-UHFFFAOYSA-N</t>
  </si>
  <si>
    <t>10.28_220.0967m/z</t>
  </si>
  <si>
    <t>Aniracetam</t>
  </si>
  <si>
    <t>HMDB0248441</t>
  </si>
  <si>
    <t>C13355</t>
  </si>
  <si>
    <t>72432-10-1</t>
  </si>
  <si>
    <t>COC1=CC=C(C=C1)C(=O)N1CCCC1=O</t>
  </si>
  <si>
    <t>ZXNRTKGTQJPIJK-UHFFFAOYSA-N</t>
  </si>
  <si>
    <t>4.01_583.1621m/z</t>
  </si>
  <si>
    <t>Fluticasone Furoate</t>
  </si>
  <si>
    <t>HMDB0252417</t>
  </si>
  <si>
    <t>CC1CC2C3CC(F)C4=CC(=O)C=CC4(C)C3(F)C(O)CC2(C)C1(OC(=O)C1=CC=CO1)C(=O)SCF</t>
  </si>
  <si>
    <t>XTULMSXFIHGYFS-UHFFFAOYSA-N</t>
  </si>
  <si>
    <t>C27H29F3O6S</t>
  </si>
  <si>
    <t>10.00_541.2408m/z</t>
  </si>
  <si>
    <t>Pralnacasan</t>
  </si>
  <si>
    <t>HMDB0256732</t>
  </si>
  <si>
    <t>CCOC1OC(=O)CC1NC(=O)C1CCCN2N1C(=O)C(CCC2=O)NC(=O)C1=NC=CC2=CC=CC=C12</t>
  </si>
  <si>
    <t>CXAGHAZMQSCAKJ-UHFFFAOYSA-N</t>
  </si>
  <si>
    <t>C26H29N5O7</t>
  </si>
  <si>
    <t>6.27_588.2320m/z</t>
  </si>
  <si>
    <t>N-Acetyl-D-Glucosaminyldiphosphodolichol</t>
  </si>
  <si>
    <t>HMDB0001445</t>
  </si>
  <si>
    <t>C04500</t>
  </si>
  <si>
    <t>OC[C@H]1O[C@@H](OP(O)(=O)OP(O)(=O)OCCC(C)CC\C=C(/C)CCC=C(C)C)[C@H](NC(=O)C)[C@@H](O)[C@@H]1O</t>
  </si>
  <si>
    <t>OZGJPDIBINDRGZ-GKXPKBPWSA-N</t>
  </si>
  <si>
    <t>C23H43NO12P2</t>
  </si>
  <si>
    <t>0.82_363.0906m/z</t>
  </si>
  <si>
    <t>Lykurim</t>
  </si>
  <si>
    <t>HMDB0254257</t>
  </si>
  <si>
    <t>CS(=O)(=O)OCCNCC(O)C(O)CNCCOS(C)(=O)=O</t>
  </si>
  <si>
    <t>BYZJBHCTZJGJFV-UHFFFAOYSA-N</t>
  </si>
  <si>
    <t>C10H24N2O8S2</t>
  </si>
  <si>
    <t>6.27_681.2372m/z</t>
  </si>
  <si>
    <t>Styraxlignolide A</t>
  </si>
  <si>
    <t>HMDB0258519</t>
  </si>
  <si>
    <t>COC1=C2OC(=CC2=CC(CCCOC2OC(COC3OCC(O)C(O)C3O)C(O)C(O)C2O)=C1)C1=CC=C(OC)C(OC)=C1</t>
  </si>
  <si>
    <t>CHYBUERPLWTGCK-UHFFFAOYSA-N</t>
  </si>
  <si>
    <t>C31H40O14</t>
  </si>
  <si>
    <t>10.13_956.5507m/z</t>
  </si>
  <si>
    <t>PI(18:2(9Z,12Z)/22:6(5Z,8E,10Z,13Z,15E,19Z)-2OH(7S, 17S))</t>
  </si>
  <si>
    <t>HMDB0276719</t>
  </si>
  <si>
    <t>[H][C@@](COC(=O)CCCCCCC\C=C/C\C=C/CCCCC)(COP(O)(=O)O[C@H]1[C@H](O)[C@@H](O)[C@H](O)[C@@H](O)[C@H]1O)OC(=O)CCC\C=C/[C@@H](O)\C=C\C=C/C\C=C/C=C/[C@@H](O)C\C=C/CC</t>
  </si>
  <si>
    <t>ZYUUCJULUZAHEM-QHLOQXCSSA-N</t>
  </si>
  <si>
    <t>C49H79O15P</t>
  </si>
  <si>
    <t>3.51_527.1372m/z</t>
  </si>
  <si>
    <t>2-Fucosyllactose</t>
  </si>
  <si>
    <t>HMDB0002098</t>
  </si>
  <si>
    <t>41263-94-9</t>
  </si>
  <si>
    <t>C[C@@H]1O[C@@H](O[C@H]2[C@H](O[C@H]([C@H](O)CO)[C@H](O)[C@@H](O)C=O)O[C@H](CO)[C@H](O)[C@@H]2O)[C@@H](O)[C@H](O)[C@@H]1O</t>
  </si>
  <si>
    <t>HWHQUWQCBPAQQH-BWRPKUOHSA-N</t>
  </si>
  <si>
    <t>1.57_159.0804m/z</t>
  </si>
  <si>
    <t>1-Hydroxymethylnaphthalene</t>
  </si>
  <si>
    <t>HMDB0060322</t>
  </si>
  <si>
    <t>C14089</t>
  </si>
  <si>
    <t>4780-79-4</t>
  </si>
  <si>
    <t>OCC1=CC=CC2=CC=CC=C12</t>
  </si>
  <si>
    <t>PBLNHHSDYFYZNC-UHFFFAOYSA-N</t>
  </si>
  <si>
    <t>9.71_723.3918m/z</t>
  </si>
  <si>
    <t>Arvenin Ii</t>
  </si>
  <si>
    <t>LMST01010409</t>
  </si>
  <si>
    <t>[C@@]12(C)C[C@H]([C@]([H])([C@](O)(C)C(=O)CCC(C)(C)OC(=O)C)[C@@]1(C)CC([C@@]1(C)[C@]3([H])C[C@@H](C(=O)C(C)(C)C3=CC[C@@]21[H])O[C@H]1[C@H](O)[C@@H](O)[C@H](O)[C@@H](CO)O1)=O)O</t>
  </si>
  <si>
    <t>KSENPDOZJGRJHR-GPWVBDSWSA-N</t>
  </si>
  <si>
    <t>C38H58O13</t>
  </si>
  <si>
    <t>8.18_709.0554m/z</t>
  </si>
  <si>
    <t>Succinylsulfathiazole</t>
  </si>
  <si>
    <t>HMDB0258548</t>
  </si>
  <si>
    <t>C11745</t>
  </si>
  <si>
    <t>116-43-8</t>
  </si>
  <si>
    <t>OC(=O)CCC(=O)NC1=CC=C(C=C1)S(=O)(=O)NC1=NC=CS1</t>
  </si>
  <si>
    <t>SKVLYVHULOWXTD-UHFFFAOYSA-N</t>
  </si>
  <si>
    <t>C13H13N3O5S2</t>
  </si>
  <si>
    <t>5.62_221.0788m/z</t>
  </si>
  <si>
    <t>Cytosine</t>
  </si>
  <si>
    <t>HMDB0000630</t>
  </si>
  <si>
    <t>C00380</t>
  </si>
  <si>
    <t>71-30-7</t>
  </si>
  <si>
    <t>NC1=CC=NC(=O)N1</t>
  </si>
  <si>
    <t>OPTASPLRGRRNAP-UHFFFAOYSA-N</t>
  </si>
  <si>
    <t>C4H5N3O</t>
  </si>
  <si>
    <t>11.09_759.2461m/z</t>
  </si>
  <si>
    <t>Robustic Acid</t>
  </si>
  <si>
    <t>LMPK12160025</t>
  </si>
  <si>
    <t>5307-59-5</t>
  </si>
  <si>
    <t>C12OC(C)(C)C=CC1=C(OC)C1C(O)=C(C3=CC=C(OC)C=C3)C(=O)OC=1C=2</t>
  </si>
  <si>
    <t>MBZKDBQDALOSRP-UHFFFAOYSA-N</t>
  </si>
  <si>
    <t>C22H20O6</t>
  </si>
  <si>
    <t>5.64_1153.8288m/z</t>
  </si>
  <si>
    <t>Trihexosylceramide (d18:1/24:0)</t>
  </si>
  <si>
    <t>HMDB0004886</t>
  </si>
  <si>
    <t>CCCCCCCCCCCCCCCCCCCCCCCC(=O)NC(COC1OC(CO)C(OC2OC(CO)C(OC3OC(CO)C(O)C(O)C3O)C(O)C2O)C(O)C1O)C(O)\C=C\CCCCCCCCCCCCC</t>
  </si>
  <si>
    <t>MRVRZXMLIKCXOT-MHAUTQJVSA-N</t>
  </si>
  <si>
    <t>C60H113NO18</t>
  </si>
  <si>
    <t>10.79_165.0699m/z</t>
  </si>
  <si>
    <t>(E)-1,11-Tridecadiene-3,5,7,9-Tetrayne</t>
  </si>
  <si>
    <t>HMDB0033582</t>
  </si>
  <si>
    <t>26130-86-9</t>
  </si>
  <si>
    <t>C\C=C/C#CC#CC#CC#CC=C</t>
  </si>
  <si>
    <t>KBEMPFYJJCTZIG-XQRVVYSFSA-N</t>
  </si>
  <si>
    <t>Enynes</t>
  </si>
  <si>
    <t>C13H8</t>
  </si>
  <si>
    <t>6.27_535.2545m/z</t>
  </si>
  <si>
    <t>Lucidenic Acid J</t>
  </si>
  <si>
    <t>HMDB0035700</t>
  </si>
  <si>
    <t>CC(CCC(O)=O)C1CC(=O)C2(C)C3=C(C(=O)C(O)C12C)C1(C)CCC(O)C(C)(CO)C1CC3=O</t>
  </si>
  <si>
    <t>HAVMVUFJSIMVDG-UHFFFAOYSA-N</t>
  </si>
  <si>
    <t>10.76_445.2590m/z</t>
  </si>
  <si>
    <t>11'-Carboxy-Gamma-Tocotrienol</t>
  </si>
  <si>
    <t>HMDB0012518</t>
  </si>
  <si>
    <t>C\C(CC\C=C(/C)CCC(O)=O)=C/CC[C@]1(C)CCC2=C(O1)C(C)=C(C)C(O)=C2</t>
  </si>
  <si>
    <t>QRIWRFHSVDRBRJ-LNRRRGPJSA-N</t>
  </si>
  <si>
    <t>C25H36O4</t>
  </si>
  <si>
    <t>1.48_341.1451m/z</t>
  </si>
  <si>
    <t>2,9-Dimethyl-4,7-Diphenyl-1,10-Phenanthroline</t>
  </si>
  <si>
    <t>HMDB0245527</t>
  </si>
  <si>
    <t>CC1=NC2=C(C=CC3=C2N=C(C)C=C3C2=CC=CC=C2)C(=C1)C1=CC=CC=C1</t>
  </si>
  <si>
    <t>STTGYIUESPWXOW-UHFFFAOYSA-N</t>
  </si>
  <si>
    <t>C26H20N2</t>
  </si>
  <si>
    <t>0.97_423.0579m/z</t>
  </si>
  <si>
    <t>1-O-Caffeoyl-(B-D-Glucose 6-O-Sulfate)</t>
  </si>
  <si>
    <t>HMDB0041173</t>
  </si>
  <si>
    <t>OC1C(COS(O)(=O)=O)OC(OC(=O)\C=C\C2=CC(O)=C(O)C=C2)C(O)C1O</t>
  </si>
  <si>
    <t>GAIBMNYWJJJOQO-DUXPYHPUSA-N</t>
  </si>
  <si>
    <t>C15H18O12S</t>
  </si>
  <si>
    <t>6.78_341.1745m/z</t>
  </si>
  <si>
    <t>Emedastine</t>
  </si>
  <si>
    <t>HMDB0015216</t>
  </si>
  <si>
    <t>C07785</t>
  </si>
  <si>
    <t>87233-61-2</t>
  </si>
  <si>
    <t>CCOCCN1C(=NC2=CC=CC=C12)N1CCCN(C)CC1</t>
  </si>
  <si>
    <t>KBUZBQVCBVDWKX-UHFFFAOYSA-N</t>
  </si>
  <si>
    <t>C17H26N4O</t>
  </si>
  <si>
    <t>5.18_234.1255n</t>
  </si>
  <si>
    <t>(10s,11s)-Pterosin C</t>
  </si>
  <si>
    <t>HMDB0030763</t>
  </si>
  <si>
    <t>35938-43-3</t>
  </si>
  <si>
    <t>CC1C(O)C2=C(C1=O)C(C)=C(CCO)C(C)=C2</t>
  </si>
  <si>
    <t>QQPCNRKHGFIVLH-UHFFFAOYSA-N</t>
  </si>
  <si>
    <t>5.34_317.1027m/z</t>
  </si>
  <si>
    <t>Angolensin (R)</t>
  </si>
  <si>
    <t>4842-48-2</t>
  </si>
  <si>
    <t>CC(C1=CC=C(C=C1)OC)C(=O)C2=C(C=C(C=C2)O)O</t>
  </si>
  <si>
    <t>CCOJFDRSZSSKOG-SNVBAGLBSA-N</t>
  </si>
  <si>
    <t>Alpha-methyldeoxybenzoin flavonoids</t>
  </si>
  <si>
    <t>1.19_284.9597m/z</t>
  </si>
  <si>
    <t>Sodium Dimethyldithiocarbamate</t>
  </si>
  <si>
    <t>HMDB0303685</t>
  </si>
  <si>
    <t>CN(C)C(=S)S[Na]</t>
  </si>
  <si>
    <t>VMSRVIHUFHQIAL-UHFFFAOYSA-M</t>
  </si>
  <si>
    <t>Organic salts</t>
  </si>
  <si>
    <t>Organic metal salts</t>
  </si>
  <si>
    <t>Organic alkali metal salts</t>
  </si>
  <si>
    <t>C3H6NNaS2</t>
  </si>
  <si>
    <t>0.90_171.9774n</t>
  </si>
  <si>
    <t>O,S,S-Trimethyl Phosphorodithioate</t>
  </si>
  <si>
    <t>HMDB0255875</t>
  </si>
  <si>
    <t>COP(=O)(SC)SC</t>
  </si>
  <si>
    <t>NIJIQSOYZWDHAQ-UHFFFAOYSA-N</t>
  </si>
  <si>
    <t>C3H9O2PS2</t>
  </si>
  <si>
    <t>4.54_505.1328m/z</t>
  </si>
  <si>
    <t>6''-Acetylliquiritin</t>
  </si>
  <si>
    <t>HMDB0041385</t>
  </si>
  <si>
    <t>166531-17-5</t>
  </si>
  <si>
    <t>CC(=O)OCC1OC(OC2=CC=C(C=C2)C2CC(=O)C3=C(O2)C=C(O)C=C3)C(O)C(O)C1O</t>
  </si>
  <si>
    <t>HKUBLIRXXFRGKE-UHFFFAOYSA-N</t>
  </si>
  <si>
    <t>4.10_459.2236m/z</t>
  </si>
  <si>
    <t>Hydroxypestalotin</t>
  </si>
  <si>
    <t>CCCC(C(C1CC(=CC(=O)O1)OC)O)O</t>
  </si>
  <si>
    <t>YLHOHANRUSKHKO-IQJOONFLSA-N</t>
  </si>
  <si>
    <t>C11H18O5</t>
  </si>
  <si>
    <t>4.33_363.1805m/z</t>
  </si>
  <si>
    <t>3,4,17-Trihydroxy-9,10-Seco-Androsta-1,3,5(10)-Triene-9-One</t>
  </si>
  <si>
    <t>LMST02020116</t>
  </si>
  <si>
    <t>C1C(C)=C(CC[C@@]2([H])[C@]3([H])CC[C@H](O)[C@@]3(C)CCC2=O)C(O)=C(O)C=1</t>
  </si>
  <si>
    <t>XRMKFJVUFYGENU-IPQUUHLSSA-N</t>
  </si>
  <si>
    <t>C19H26O4</t>
  </si>
  <si>
    <t>9.44_1025.4726m/z</t>
  </si>
  <si>
    <t>Zm 447439</t>
  </si>
  <si>
    <t>331771-20-1</t>
  </si>
  <si>
    <t>COC1=C(C=C2C(=C1)C(=NC=N2)NC3=CC=C(C=C3)NC(=O)C4=CC=CC=C4)OCCCN5CCOCC5</t>
  </si>
  <si>
    <t>OGNYUTNQZVRGMN-UHFFFAOYSA-N</t>
  </si>
  <si>
    <t>C29H31N5O4</t>
  </si>
  <si>
    <t>4.16_226.0476n</t>
  </si>
  <si>
    <t>Chorismate</t>
  </si>
  <si>
    <t>HMDB0012199</t>
  </si>
  <si>
    <t>C00251</t>
  </si>
  <si>
    <t>ko00130,ko00400,ko00405,ko00790,ko00998,ko01053,ko01059</t>
  </si>
  <si>
    <t>Ubiquinone and other terpenoid-quinone biosynthesis|Phenylalanine, tyrosine and tryptophan biosynthesis|Phenazine biosynthesis|Folate biosynthesis|Biosynthesis of various secondary metabolites - part 2|Biosynthesis of siderophore group nonribosomal peptides|Biosynthesis of enediyne antibiotics</t>
  </si>
  <si>
    <t>617-12-9</t>
  </si>
  <si>
    <t>O[C@@H]1C=CC(=C[C@H]1OC(=C)C(O)=O)C(O)=O</t>
  </si>
  <si>
    <t>WTFXTQVDAKGDEY-HTQZYQBOSA-N</t>
  </si>
  <si>
    <t>4.00_181.0971m/z</t>
  </si>
  <si>
    <t>P-Acetaminobenzaldehyde</t>
  </si>
  <si>
    <t>122-85-0</t>
  </si>
  <si>
    <t>CC(=O)NC1=CC=C(C=C1)C=O</t>
  </si>
  <si>
    <t>SKLUWKYNZNXSLX-UHFFFAOYSA-N</t>
  </si>
  <si>
    <t>10.56_435.2386m/z</t>
  </si>
  <si>
    <t>Digoxigenin</t>
  </si>
  <si>
    <t>LMST01120008</t>
  </si>
  <si>
    <t>1672-46-4</t>
  </si>
  <si>
    <t>C1[C@@]2(C)[C@]([H])(CC[C@]3([H])[C@]2([H])C[C@@H](O)[C@@]2(C)[C@]3(O)CC[C@]2([H])C2=CC(=O)OC2)C[C@@H](O)C1</t>
  </si>
  <si>
    <t>SHIBSTMRCDJXLN-KCZCNTNESA-N</t>
  </si>
  <si>
    <t>1.39_161.0445m/z</t>
  </si>
  <si>
    <t>3-Hydroxymethylglutaric Acid</t>
  </si>
  <si>
    <t>HMDB0000355</t>
  </si>
  <si>
    <t>C03761</t>
  </si>
  <si>
    <t>503-49-1</t>
  </si>
  <si>
    <t>CC(O)(CC(O)=O)CC(O)=O</t>
  </si>
  <si>
    <t>NPOAOTPXWNWTSH-UHFFFAOYSA-N</t>
  </si>
  <si>
    <t>4.67_335.0496m/z</t>
  </si>
  <si>
    <t>Uric Acid</t>
  </si>
  <si>
    <t>HMDB0000289</t>
  </si>
  <si>
    <t>C00366</t>
  </si>
  <si>
    <t>ko00230,ko04976</t>
  </si>
  <si>
    <t>Purine metabolism|Bile secretion</t>
  </si>
  <si>
    <t>69-93-2</t>
  </si>
  <si>
    <t>O=C1NC2=C(N1)C(=O)NC(=O)N2</t>
  </si>
  <si>
    <t>LEHOTFFKMJEONL-UHFFFAOYSA-N</t>
  </si>
  <si>
    <t>C5H4N4O3</t>
  </si>
  <si>
    <t>6.65_805.2905m/z</t>
  </si>
  <si>
    <t>Bilirubin Glucuronide</t>
  </si>
  <si>
    <t>HMDB0010332</t>
  </si>
  <si>
    <t>CC1=C(C=C)\C(NC1=O)=C\C1=C(C)C(CCC(O)=O)=C(CC2=C(CCC(=O)O[C@H]3[C@H](O)O[C@@H]([C@@H](O)[C@@H]3O)C(O)=O)C(C)=C(N2)\C=C2/NC(=O)C(C=C)=C2C)N1</t>
  </si>
  <si>
    <t>NCZCFMOVDHRJII-VBORGTJOSA-N</t>
  </si>
  <si>
    <t>C39H44N4O12</t>
  </si>
  <si>
    <t>0.72_441.1000m/z</t>
  </si>
  <si>
    <t>Gluconasturtiin</t>
  </si>
  <si>
    <t>HMDB0038423</t>
  </si>
  <si>
    <t>C08417</t>
  </si>
  <si>
    <t>ko00966</t>
  </si>
  <si>
    <t>Glucosinolate biosynthesis</t>
  </si>
  <si>
    <t>499-30-9</t>
  </si>
  <si>
    <t>OCC1OC(S\C(CCC2=CC=CC=C2)=N\OS(O)(=O)=O)C(O)C(O)C1O</t>
  </si>
  <si>
    <t>CKIJIGYDFNXSET-LFIBNONCSA-N</t>
  </si>
  <si>
    <t>C15H21NO9S2</t>
  </si>
  <si>
    <t>8.84_1076.3734m/z</t>
  </si>
  <si>
    <t>8z,11z,14z,17z-Tricosatetraenoyl-Coa</t>
  </si>
  <si>
    <t>LMFA07050278</t>
  </si>
  <si>
    <t>C(SCCNC(=O)CCNC([C@H](O)C(C)(C)COP(O)(=O)OP(O)(=O)OC[C@@H]1[C@@H](OP(=O)(O)O)[C@@H](O)[C@@H](O1)N1C=NC2C(N)=NC=NC1=2)=O)(CCCCCC/C=C\C/C=C\C/C=C\C/C=C\CCCCC)=O</t>
  </si>
  <si>
    <t>VPDGJOHYVQUGHC-UHEKJCAYSA-N</t>
  </si>
  <si>
    <t>C44H72N7O17P3S</t>
  </si>
  <si>
    <t>2.81_164.0706m/z</t>
  </si>
  <si>
    <t>Coumarin</t>
  </si>
  <si>
    <t>HMDB0001218</t>
  </si>
  <si>
    <t>C05851</t>
  </si>
  <si>
    <t>91-64-5</t>
  </si>
  <si>
    <t>O=C1OC2=CC=CC=C2C=C1</t>
  </si>
  <si>
    <t>ZYGHJZDHTFUPRJ-UHFFFAOYSA-N</t>
  </si>
  <si>
    <t>C9H6O2</t>
  </si>
  <si>
    <t>8.80_475.2802m/z</t>
  </si>
  <si>
    <t>PA(19:0/0:0)</t>
  </si>
  <si>
    <t>HMDB0062322</t>
  </si>
  <si>
    <t>LMGP10050034</t>
  </si>
  <si>
    <t>[C@](COP(=O)(O)O)([H])(O)COC(CCCCCCCCCCCCCCCCCC)=O</t>
  </si>
  <si>
    <t>YAERNOYIELLICR-OAQYLSRUSA-N</t>
  </si>
  <si>
    <t>C22H45O7P</t>
  </si>
  <si>
    <t>5.20_299.1364m/z</t>
  </si>
  <si>
    <t>Carisoprodol</t>
  </si>
  <si>
    <t>HMDB0014539</t>
  </si>
  <si>
    <t>C07927</t>
  </si>
  <si>
    <t>78-44-4</t>
  </si>
  <si>
    <t>CCCC(C)(COC(N)=O)COC(=O)NC(C)C</t>
  </si>
  <si>
    <t>OFZCIYFFPZCNJE-UHFFFAOYSA-N</t>
  </si>
  <si>
    <t>C12H24N2O4</t>
  </si>
  <si>
    <t>9.56_444.2047n</t>
  </si>
  <si>
    <t>Nitromifene</t>
  </si>
  <si>
    <t>HMDB0255655</t>
  </si>
  <si>
    <t>COC1=CC=C(C=C1)C(=C(C1=CC=CC=C1)[N+]([O-])=O)C1=CC=C(OCCN2CCCC2)C=C1</t>
  </si>
  <si>
    <t>MFKMXUFMHOCZHP-UHFFFAOYSA-N</t>
  </si>
  <si>
    <t>C27H28N2O4</t>
  </si>
  <si>
    <t>0.78_259.1053n</t>
  </si>
  <si>
    <t>Fumarycarnitine</t>
  </si>
  <si>
    <t>HMDB0013134</t>
  </si>
  <si>
    <t>LMFA07070064</t>
  </si>
  <si>
    <t>[C@H](C[N+](C)(C)C)(OC(=O)/C=C/C(=O)O)CC(=O)[O-]</t>
  </si>
  <si>
    <t>QMRSJQVUNCCUCI-ZJELKQJVSA-N</t>
  </si>
  <si>
    <t>C11H17NO6</t>
  </si>
  <si>
    <t>6.95_565.3225m/z</t>
  </si>
  <si>
    <t>Histidyllysine</t>
  </si>
  <si>
    <t>HMDB0028890</t>
  </si>
  <si>
    <t>37700-85-9</t>
  </si>
  <si>
    <t>NCCCC[C@H](NC(=O)[C@@H](N)CC1=CNC=N1)C(O)=O</t>
  </si>
  <si>
    <t>CZVQSYNVUHAILZ-UWVGGRQHSA-N</t>
  </si>
  <si>
    <t>C12H21N5O3</t>
  </si>
  <si>
    <t>14.09_684.5395m/z</t>
  </si>
  <si>
    <t>GlcCer(d15:2(4E,6E)/18:0)</t>
  </si>
  <si>
    <t>LMSP0501AA58</t>
  </si>
  <si>
    <t>[C@](CO[C@H]1[C@H](O)[C@@H](O)[C@H](O)[C@@H](CO)O1)([H])(NC(CCCCCCCCCCCCCCCCC)=O)[C@]([H])(O)/C=C/C=C/CCCCCCCC</t>
  </si>
  <si>
    <t>GENIVXVVOFRUBC-BINHXFJZSA-N</t>
  </si>
  <si>
    <t>C39H73NO8</t>
  </si>
  <si>
    <t>1.20_187.0240m/z</t>
  </si>
  <si>
    <t>2-Methylcitric Acid</t>
  </si>
  <si>
    <t>HMDB0000379</t>
  </si>
  <si>
    <t>6061-96-7</t>
  </si>
  <si>
    <t>CC(C(O)=O)C(O)(CC(O)=O)C(O)=O</t>
  </si>
  <si>
    <t>YNOXCRMFGMSKIJ-UHFFFAOYSA-N</t>
  </si>
  <si>
    <t>1.48_144.0655m/z</t>
  </si>
  <si>
    <t>1-Deoxynojirimycin</t>
  </si>
  <si>
    <t>C16843</t>
  </si>
  <si>
    <t>73285-50-4</t>
  </si>
  <si>
    <t>C1C(C(C(C(N1)CO)O)O)O</t>
  </si>
  <si>
    <t>LXBIFEVIBLOUGU-JGWLITMVSA-N</t>
  </si>
  <si>
    <t>C6H13NO4</t>
  </si>
  <si>
    <t>7.87_187.1331m/z</t>
  </si>
  <si>
    <t>2-[2-(2-Butoxyethoxy)Ethoxy]Ethanol</t>
  </si>
  <si>
    <t>CCCCOCCOCCOCCO</t>
  </si>
  <si>
    <t>COBPKKZHLDDMTB-UHFFFAOYSA-N</t>
  </si>
  <si>
    <t>C10H22O4</t>
  </si>
  <si>
    <t>5.25_351.1224m/z</t>
  </si>
  <si>
    <t>Propamidine</t>
  </si>
  <si>
    <t>HMDB0256810</t>
  </si>
  <si>
    <t>NC(=N)C1=CC=C(OCCCOC2=CC=C(C=C2)C(N)=N)C=C1</t>
  </si>
  <si>
    <t>WTFXJFJYEJZMFO-UHFFFAOYSA-N</t>
  </si>
  <si>
    <t>C17H20N4O2</t>
  </si>
  <si>
    <t>5.49_315.1334m/z</t>
  </si>
  <si>
    <t>Methyl 6,7-Dimethoxy-4-Ethyl-Beta-Carboline-3-Carboxylate</t>
  </si>
  <si>
    <t>HMDB0251535</t>
  </si>
  <si>
    <t>CCC1=C2C(NC3=CC(OC)=C(OC)C=C23)=CN=C1C(=O)OC</t>
  </si>
  <si>
    <t>GADIKQPUNWAMEB-UHFFFAOYSA-N</t>
  </si>
  <si>
    <t>C17H18N2O4</t>
  </si>
  <si>
    <t>10.00_607.2398m/z</t>
  </si>
  <si>
    <t>Sampatrilat</t>
  </si>
  <si>
    <t>HMDB0257476</t>
  </si>
  <si>
    <t>CS(=O)(=O)NC(CCCCN)C(=O)NCC(CC1(CCCC1)C(=O)NC(CC1=CC=C(O)C=C1)C(O)=O)C(O)=O</t>
  </si>
  <si>
    <t>LPUDGHQMOAHMMF-UHFFFAOYSA-N</t>
  </si>
  <si>
    <t>C26H40N4O9S</t>
  </si>
  <si>
    <t>5.85_287.1639m/z</t>
  </si>
  <si>
    <t>2,2'-Azobis(2,4-Dimethylvaleronitrile)</t>
  </si>
  <si>
    <t>HMDB0245348</t>
  </si>
  <si>
    <t>CC(C)CC(C)(N=NC(C)(CC(C)C)C#N)C#N</t>
  </si>
  <si>
    <t>WYGWHHGCAGTUCH-UHFFFAOYSA-N</t>
  </si>
  <si>
    <t>C14H24N4</t>
  </si>
  <si>
    <t>11.25_329.2563n</t>
  </si>
  <si>
    <t>Commendamide</t>
  </si>
  <si>
    <t>LMFA08020331</t>
  </si>
  <si>
    <t>C(CC(O)CCCCCCCCCCCCC)(=O)NCC(=O)O</t>
  </si>
  <si>
    <t>MZUHHHSFDVDBCZ-UHFFFAOYSA-N</t>
  </si>
  <si>
    <t>C18H35NO4</t>
  </si>
  <si>
    <t>5.02_152.0705m/z</t>
  </si>
  <si>
    <t>N-[(3s)-2-Oxotetrahydrofuran-3-Yl]Butanamide</t>
  </si>
  <si>
    <t>HMDB0247190</t>
  </si>
  <si>
    <t>C11837</t>
  </si>
  <si>
    <t>ko02024,ko02025</t>
  </si>
  <si>
    <t>Quorum sensing|Biofilm formation - Pseudomonas aeruginosa</t>
  </si>
  <si>
    <t>67605-85-0</t>
  </si>
  <si>
    <t>CCCC(O)=NC1CCOC1=O</t>
  </si>
  <si>
    <t>VFFNZZXXTGXBOG-UHFFFAOYSA-N</t>
  </si>
  <si>
    <t>C8H13NO3</t>
  </si>
  <si>
    <t>2.31_158.9775m/z</t>
  </si>
  <si>
    <t>Allitridin</t>
  </si>
  <si>
    <t>HMDB0031154</t>
  </si>
  <si>
    <t>2050-87-5</t>
  </si>
  <si>
    <t>C=CCSSSCC=C</t>
  </si>
  <si>
    <t>UBAXRAHSPKWNCX-UHFFFAOYSA-N</t>
  </si>
  <si>
    <t>Organic trisulfides</t>
  </si>
  <si>
    <t>C6H10S3</t>
  </si>
  <si>
    <t>9.84_338.3028m/z</t>
  </si>
  <si>
    <t>N-Hexadecyl-L-Hydroxyproline</t>
  </si>
  <si>
    <t>76652-69-2</t>
  </si>
  <si>
    <t>CCCCCCCCCCCCCCCCN1CC(CC1C(=O)O)O</t>
  </si>
  <si>
    <t>FDSLJAYOPNMZIY-UXHICEINSA-N</t>
  </si>
  <si>
    <t>C21H41NO3</t>
  </si>
  <si>
    <t>15.18_508.4361m/z</t>
  </si>
  <si>
    <t>(13z,16z)-Tetracosa-13,16-Dienoylcarnitine</t>
  </si>
  <si>
    <t>HMDB0241633</t>
  </si>
  <si>
    <t>CCCCCCCC=CCC=CCCCCCCCCCCCC(=O)OC(CC([O-])=O)C[N+](C)(C)C</t>
  </si>
  <si>
    <t>RQTPQNXGVPRWNV-UHFFFAOYSA-N</t>
  </si>
  <si>
    <t>C31H57NO4</t>
  </si>
  <si>
    <t>7.19_178.0772m/z</t>
  </si>
  <si>
    <t>2-(3-Pyridyl)-Benzimidazole</t>
  </si>
  <si>
    <t>1137-67-3</t>
  </si>
  <si>
    <t>C1=CC=C2C(=C1)NC(=N2)C3=CN=CC=C3</t>
  </si>
  <si>
    <t>BOUOQESVDURNSB-UHFFFAOYSA-N</t>
  </si>
  <si>
    <t>C12H9N3</t>
  </si>
  <si>
    <t>9.65_434.2439m/z</t>
  </si>
  <si>
    <t>Sphingosine 1-phosphate (d19:1-P)</t>
  </si>
  <si>
    <t>HMDB0060062</t>
  </si>
  <si>
    <t>[H][C@](N)(COP(O)(O)=O)[C@]([H])(O)CCCCCCCCCCCCCCCC</t>
  </si>
  <si>
    <t>WVBBZEILYLXGFN-RBUKOAKNSA-N</t>
  </si>
  <si>
    <t>C19H42NO5P</t>
  </si>
  <si>
    <t>3.97_445.1584n</t>
  </si>
  <si>
    <t>Lucuminamide</t>
  </si>
  <si>
    <t>HMDB0031697</t>
  </si>
  <si>
    <t>OC1COC(OCC2OC(OC(C(O)=N)C3=CC=CC=C3)C(O)C(O)C2O)C(O)C1O</t>
  </si>
  <si>
    <t>YEFUVRSZAHTXCA-UHFFFAOYSA-N</t>
  </si>
  <si>
    <t>C19H27NO11</t>
  </si>
  <si>
    <t>6.44_681.3122m/z</t>
  </si>
  <si>
    <t>PC(0:0/5:0)</t>
  </si>
  <si>
    <t>LMGP01050091</t>
  </si>
  <si>
    <t>[C@](COP(=O)([O-])OCC[N+](C)(C)C)([H])(OC(CCCC)=O)CO</t>
  </si>
  <si>
    <t>FUNVSMBQMVEBQX-GFCCVEGCSA-N</t>
  </si>
  <si>
    <t>C13H28NO7P</t>
  </si>
  <si>
    <t>5.26_741.2570m/z</t>
  </si>
  <si>
    <t>2-[4-[(2,5-Difluorophenyl)Methoxy]Phenoxy]-5-Ethoxyaniline</t>
  </si>
  <si>
    <t>HMDB0258196</t>
  </si>
  <si>
    <t>CCOC1=CC(N)=C(OC2=CC=C(OCC3=C(F)C=CC(F)=C3)C=C2)C=C1</t>
  </si>
  <si>
    <t>YSUBLPUJDOWYDP-UHFFFAOYSA-N</t>
  </si>
  <si>
    <t>C21H19F2NO3</t>
  </si>
  <si>
    <t>3.54_545.0597m/z</t>
  </si>
  <si>
    <t>Dtdp-4-Oxo-6-Deoxy-D-Glucose</t>
  </si>
  <si>
    <t>HMDB0001399</t>
  </si>
  <si>
    <t>C11907</t>
  </si>
  <si>
    <t>16752-71-9</t>
  </si>
  <si>
    <t>C[C@H]1O[C@H](OP(O)(=O)OP(O)(=O)OC[C@H]2O[C@H](C[C@@H]2O)N2C=C(C)C(=O)NC2=O)[C@H](O)[C@@H](O)C1=O</t>
  </si>
  <si>
    <t>PSXWNITXWWECNY-UCBTUHGZSA-N</t>
  </si>
  <si>
    <t>C16H24N2O15P2</t>
  </si>
  <si>
    <t>4.67_523.1331m/z</t>
  </si>
  <si>
    <t>Carbadox</t>
  </si>
  <si>
    <t>HMDB0031762</t>
  </si>
  <si>
    <t>6804-07-5</t>
  </si>
  <si>
    <t>COC(=O)N\N=C\C1=N(=O)C2=C(C=CC=C2)N(=O)=C1</t>
  </si>
  <si>
    <t>OVGGLBAWFMIPPY-WUXMJOGZSA-N</t>
  </si>
  <si>
    <t>C11H10N4O4</t>
  </si>
  <si>
    <t>4.56_293.1393m/z</t>
  </si>
  <si>
    <t>Tocopheronic Acid</t>
  </si>
  <si>
    <t>HMDB0030555</t>
  </si>
  <si>
    <t>1948-76-1</t>
  </si>
  <si>
    <t>CC1=C(C)C(=O)C(CCC(C)(O)CCC(O)=O)=C(C)C1=O</t>
  </si>
  <si>
    <t>LRYFTDGIIUTFFA-UHFFFAOYSA-N</t>
  </si>
  <si>
    <t>C16H22O5</t>
  </si>
  <si>
    <t>1.57_432.1841n</t>
  </si>
  <si>
    <t>Dapt</t>
  </si>
  <si>
    <t>208255-80-5</t>
  </si>
  <si>
    <t>CC(C(=O)NC(C1=CC=CC=C1)C(=O)OC(C)(C)C)NC(=O)CC2=CC(=CC(=C2)F)F</t>
  </si>
  <si>
    <t>DWJXYEABWRJFSP-XOBRGWDASA-N</t>
  </si>
  <si>
    <t>C23H26F2N2O4</t>
  </si>
  <si>
    <t>4.88_339.1559m/z</t>
  </si>
  <si>
    <t>1-[6-(2-Carboxypyrrolidin-1-Yl)-6-Oxohexanoyl]Pyrrolidine-2-Carboxylic Acid</t>
  </si>
  <si>
    <t>HMDB0257669</t>
  </si>
  <si>
    <t>OC(=O)C1CCCN1C(=O)CCCCC(=O)N1CCCC1C(O)=O</t>
  </si>
  <si>
    <t>HZLAWYIBLZNRFZ-UHFFFAOYSA-N</t>
  </si>
  <si>
    <t>C16H24N2O6</t>
  </si>
  <si>
    <t>3.65_279.0484m/z</t>
  </si>
  <si>
    <t>4-Fluorobenzoic Acid</t>
  </si>
  <si>
    <t>HMDB0246425</t>
  </si>
  <si>
    <t>C02371</t>
  </si>
  <si>
    <t>ko00364</t>
  </si>
  <si>
    <t>Fluorobenzoate degradation</t>
  </si>
  <si>
    <t>OC(=O)C1=CC=C(F)C=C1</t>
  </si>
  <si>
    <t>BBYDXOIZLAWGSL-UHFFFAOYSA-N</t>
  </si>
  <si>
    <t>C7H5FO2</t>
  </si>
  <si>
    <t>8.60_407.0156m/z</t>
  </si>
  <si>
    <t>3,4-Bis(Trifluoromethyl)-1h-Pyrazole</t>
  </si>
  <si>
    <t>HMDB0246017</t>
  </si>
  <si>
    <t>FC(F)(F)C1=C(C=NN1)C(F)(F)F</t>
  </si>
  <si>
    <t>OERNNUCUUZXPBL-UHFFFAOYSA-N</t>
  </si>
  <si>
    <t>C5H2F6N2</t>
  </si>
  <si>
    <t>6.88_319.0383m/z</t>
  </si>
  <si>
    <t>Ensulizole</t>
  </si>
  <si>
    <t>27503-81-7</t>
  </si>
  <si>
    <t>C1=CC=C(C=C1)C2=NC3=C(N2)C=C(C=C3)S(=O)(=O)O</t>
  </si>
  <si>
    <t>UVCJGUGAGLDPAA-UHFFFAOYSA-N</t>
  </si>
  <si>
    <t>Phenylbenzimidazoles</t>
  </si>
  <si>
    <t>C13H10N2O3S</t>
  </si>
  <si>
    <t>1.06_286.0919m/z</t>
  </si>
  <si>
    <t>Pyran-3,4-Dicarboxylic Anhydride, Tetrahydro-2-Methyl-6-(Tetrahydro-2,5-Dioxo-3-Furyl)-, Polymer</t>
  </si>
  <si>
    <t>HMDB0255785</t>
  </si>
  <si>
    <t>CC1OC(CC2C1C(=O)OC2=O)C1CC(=O)OC1=O</t>
  </si>
  <si>
    <t>YAAJEAWMNSBEEG-UHFFFAOYSA-N</t>
  </si>
  <si>
    <t>C12H12O7</t>
  </si>
  <si>
    <t>2.30_457.1681m/z</t>
  </si>
  <si>
    <t>(S)-4-(4-((2-(3,5-Dimethylphenyl)Pyrrolidin-1-Yl)Methyl)Phenoxy)-3-Fluorobenzamide</t>
  </si>
  <si>
    <t>HMDB0244422</t>
  </si>
  <si>
    <t>CC1=CC(=CC(C)=C1)C1CCCN1CC1=CC=C(OC2=C(F)C=C(C=C2)C(N)=O)C=C1</t>
  </si>
  <si>
    <t>ZHPMYDSXGRRERG-UHFFFAOYSA-N</t>
  </si>
  <si>
    <t>C26H27FN2O2</t>
  </si>
  <si>
    <t>5.10_967.4173m/z</t>
  </si>
  <si>
    <t>LPIM2(18:1(9Z)/0:0)</t>
  </si>
  <si>
    <t>LMGP15040012</t>
  </si>
  <si>
    <t>[C@](COP(O[C@H]1[C@@H](O[C@@H]2[C@@H](O)[C@@H](O)[C@H](O)[C@@H](CO)O2)[C@@H](O)[C@H](O)[C@@H](O)[C@@H]1O[C@@H]1[C@@H](O)[C@@H](O)[C@H](O)[C@@H](CO)O1)(=O)O)([H])(O)COC(CCCCCCC/C=C\CCCCCCCC)=O</t>
  </si>
  <si>
    <t>IXUKOSLJFFQMEI-FQNRFCCYSA-N</t>
  </si>
  <si>
    <t>C39H71O22P</t>
  </si>
  <si>
    <t>14.81_787.6391m/z</t>
  </si>
  <si>
    <t>GlcCer(d18:2(4E,8Z)/20:0(2OH[R]))</t>
  </si>
  <si>
    <t>LMSP05010052</t>
  </si>
  <si>
    <t>[C@](CO[C@H]1[C@H](O)[C@@H](O)[C@H](O)[C@@H](CO)O1)([H])(NC([C@H](O)CCCCCCCCCCCCCCCCCC)=O)[C@]([H])(O)/C=C/CC/C=C\CCCCCCCCC</t>
  </si>
  <si>
    <t>DCBUKXJYPRDHOR-KHIUKKABSA-N</t>
  </si>
  <si>
    <t>C44H83NO9</t>
  </si>
  <si>
    <t>9.73_619.1207m/z</t>
  </si>
  <si>
    <t>Fodipir</t>
  </si>
  <si>
    <t>HMDB0252426</t>
  </si>
  <si>
    <t>CC1=C(O)C(CN(CCN(CC(O)=O)CC2=C(COP(O)(O)=O)C=NC(C)=C2O)CC(O)=O)=C(COP(O)(O)=O)C=N1</t>
  </si>
  <si>
    <t>SQKUFYLUXROIFM-UHFFFAOYSA-N</t>
  </si>
  <si>
    <t>C22H32N4O14P2</t>
  </si>
  <si>
    <t>5.23_535.1225m/z</t>
  </si>
  <si>
    <t>Alconil</t>
  </si>
  <si>
    <t>HMDB0248121</t>
  </si>
  <si>
    <t>FC1=CC2=C(C=C1)C1=CC=CC=C1C21NC(=O)NC1=O</t>
  </si>
  <si>
    <t>JRGBXEJDIMXJAP-UHFFFAOYSA-N</t>
  </si>
  <si>
    <t>C15H9FN2O2</t>
  </si>
  <si>
    <t>3.63_329.1643m/z</t>
  </si>
  <si>
    <t>Tolazamide</t>
  </si>
  <si>
    <t>HMDB0014977</t>
  </si>
  <si>
    <t>1156-19-0</t>
  </si>
  <si>
    <t>CC1=CC=C(C=C1)S(=O)(=O)NC(=O)NN1CCCCCC1</t>
  </si>
  <si>
    <t>OUDSBRTVNLOZBN-UHFFFAOYSA-N</t>
  </si>
  <si>
    <t>C14H21N3O3S</t>
  </si>
  <si>
    <t>9.65_119.0855m/z</t>
  </si>
  <si>
    <t>Indane</t>
  </si>
  <si>
    <t>HMDB0059837</t>
  </si>
  <si>
    <t>C1CC2=CC=CC=C2C1</t>
  </si>
  <si>
    <t>PQNFLJBBNBOBRQ-UHFFFAOYSA-N</t>
  </si>
  <si>
    <t>C9H10</t>
  </si>
  <si>
    <t>3.53_277.1547m/z</t>
  </si>
  <si>
    <t>Ilepcimide</t>
  </si>
  <si>
    <t>HMDB0248485</t>
  </si>
  <si>
    <t>O=C(C=CC1=CC=C2OCOC2=C1)N1CCCCC1</t>
  </si>
  <si>
    <t>BLPUOQGPBJPXRL-UHFFFAOYSA-N</t>
  </si>
  <si>
    <t>C15H17NO3</t>
  </si>
  <si>
    <t>4.54_467.1536m/z</t>
  </si>
  <si>
    <t>4,4'-Methanol-Bisbenzonitrile</t>
  </si>
  <si>
    <t>HMDB0061037</t>
  </si>
  <si>
    <t>OC(C1=CC=C(C=C1)C#N)C1=CC=C(C=C1)C#N</t>
  </si>
  <si>
    <t>JNJWXPZHWUOYRZ-UHFFFAOYSA-N</t>
  </si>
  <si>
    <t>C15H10N2O</t>
  </si>
  <si>
    <t>4.33_409.1116m/z</t>
  </si>
  <si>
    <t>Lipoamide</t>
  </si>
  <si>
    <t>HMDB0000962</t>
  </si>
  <si>
    <t>LMFA08010006</t>
  </si>
  <si>
    <t>C00248</t>
  </si>
  <si>
    <t>940-69-2</t>
  </si>
  <si>
    <t>C1CSSC1CCCCC(=O)N</t>
  </si>
  <si>
    <t>FCCDDURTIIUXBY-UHFFFAOYSA-N</t>
  </si>
  <si>
    <t>Dithiolanes</t>
  </si>
  <si>
    <t>Lipoamides</t>
  </si>
  <si>
    <t>C8H15NOS2</t>
  </si>
  <si>
    <t>4.05_381.0264m/z</t>
  </si>
  <si>
    <t>Edetate Sodium</t>
  </si>
  <si>
    <t>HMDB0304824</t>
  </si>
  <si>
    <t>[Na+].[Na+].[Na+].[Na+].[O-]C(=O)CN(CCN(CC([O-])=O)CC([O-])=O)CC([O-])=O</t>
  </si>
  <si>
    <t>UEUXEKPTXMALOB-UHFFFAOYSA-J</t>
  </si>
  <si>
    <t>C10H12N2Na4O8</t>
  </si>
  <si>
    <t>4.60_326.1959m/z</t>
  </si>
  <si>
    <t>Acrl Toxin Ii</t>
  </si>
  <si>
    <t>HMDB0030496</t>
  </si>
  <si>
    <t>101951-84-2</t>
  </si>
  <si>
    <t>C\C=C(/C)C(O)C(C)\C=C/C(O)C(C)C1=CC(O)=CC(=O)O1</t>
  </si>
  <si>
    <t>FDSYJSBLPXPUKP-JQEGGOPCSA-N</t>
  </si>
  <si>
    <t>C17H24O5</t>
  </si>
  <si>
    <t>4.55_199.1117m/z</t>
  </si>
  <si>
    <t>O-Methylbenzhydrol</t>
  </si>
  <si>
    <t>5472-13-9</t>
  </si>
  <si>
    <t>CC1=CC=CC=C1C(C2=CC=CC=C2)O</t>
  </si>
  <si>
    <t>MXHXXJOHFRHBFB-UHFFFAOYSA-N</t>
  </si>
  <si>
    <t>C14H14O</t>
  </si>
  <si>
    <t>1.06_252.1077m/z</t>
  </si>
  <si>
    <t>1-Isopropyl Citrate</t>
  </si>
  <si>
    <t>HMDB0032438</t>
  </si>
  <si>
    <t>1321-57-9</t>
  </si>
  <si>
    <t>CC(C)OC(=O)CC(O)(CC(O)=O)C(O)=O</t>
  </si>
  <si>
    <t>SKHXHUZZFVMERR-UHFFFAOYSA-N</t>
  </si>
  <si>
    <t>C9H14O7</t>
  </si>
  <si>
    <t>8.78_105.0679m/z</t>
  </si>
  <si>
    <t>3-Methylcyclopentene</t>
  </si>
  <si>
    <t>HMDB0031544</t>
  </si>
  <si>
    <t>1120-62-3</t>
  </si>
  <si>
    <t>CC1CCC=C1</t>
  </si>
  <si>
    <t>CXOZQHPXKPDQGT-UHFFFAOYSA-N</t>
  </si>
  <si>
    <t>C6H10</t>
  </si>
  <si>
    <t>5.10_151.1481m/z</t>
  </si>
  <si>
    <t>10-Undecenal</t>
  </si>
  <si>
    <t>HMDB0031128</t>
  </si>
  <si>
    <t>LMFA06000067</t>
  </si>
  <si>
    <t>112-45-8</t>
  </si>
  <si>
    <t>C(=C)CCCCCCCCC([H])=O</t>
  </si>
  <si>
    <t>OFHHDSQXFXLTKC-UHFFFAOYSA-N</t>
  </si>
  <si>
    <t>C11H20O</t>
  </si>
  <si>
    <t>8.69_392.1099m/z</t>
  </si>
  <si>
    <t>Taspine</t>
  </si>
  <si>
    <t>HMDB0258734</t>
  </si>
  <si>
    <t>602-07-3</t>
  </si>
  <si>
    <t>COC1=CC=C2C(=O)OC3=C(OC)C=C(CCN(C)C)C4=C3C2=C1OC4=O</t>
  </si>
  <si>
    <t>MTAWKURMWOXCEO-UHFFFAOYSA-N</t>
  </si>
  <si>
    <t>C20H19NO6</t>
  </si>
  <si>
    <t>3.88_165.0544m/z</t>
  </si>
  <si>
    <t>D-Phenyllactic Acid</t>
  </si>
  <si>
    <t>HMDB0000563</t>
  </si>
  <si>
    <t>C05607</t>
  </si>
  <si>
    <t>ko00360,ko00960</t>
  </si>
  <si>
    <t>Phenylalanine metabolism|Tropane, piperidine and pyridine alkaloid biosynthesis</t>
  </si>
  <si>
    <t>7326-19-4</t>
  </si>
  <si>
    <t>[H][C@](O)(CC1=CC=CC=C1)C(O)=O</t>
  </si>
  <si>
    <t>VOXXWSYKYCBWHO-QMMMGPOBSA-N</t>
  </si>
  <si>
    <t>2.82_319.1033m/z</t>
  </si>
  <si>
    <t>Dikegulac</t>
  </si>
  <si>
    <t>C18825</t>
  </si>
  <si>
    <t>18467-77-1</t>
  </si>
  <si>
    <t>CC1(OCC2C(O1)C3C(O2)(OC(O3)(C)C)C(=O)O)C</t>
  </si>
  <si>
    <t>FWCBATIDXGJRMF-FLNNQWSLSA-N</t>
  </si>
  <si>
    <t>12.79_408.3085m/z</t>
  </si>
  <si>
    <t>16-Nitroxystearate</t>
  </si>
  <si>
    <t>HMDB0246923</t>
  </si>
  <si>
    <t>CCC1(CCCCCCCCCCCCCCC(O)=O)OCC(C)(C)N1[O]</t>
  </si>
  <si>
    <t>RPAZYIOIDZRJOO-UHFFFAOYSA-N</t>
  </si>
  <si>
    <t>C22H43NO4</t>
  </si>
  <si>
    <t>4.00_223.1328m/z</t>
  </si>
  <si>
    <t>Dehydrovomifoliol</t>
  </si>
  <si>
    <t>HMDB0036819</t>
  </si>
  <si>
    <t>C04223</t>
  </si>
  <si>
    <t>15764-81-5</t>
  </si>
  <si>
    <t>CC(=O)\C=C\C1(O)C(C)=CC(=O)CC1(C)C</t>
  </si>
  <si>
    <t>JJRYPZMXNLLZFH-AATRIKPKSA-N</t>
  </si>
  <si>
    <t>C13H18O3</t>
  </si>
  <si>
    <t>4.43_194.1306n</t>
  </si>
  <si>
    <t>Cucujolide Ix</t>
  </si>
  <si>
    <t>LMFA07040037</t>
  </si>
  <si>
    <t>C1(OCCCCCC=CCC=CC1)=O</t>
  </si>
  <si>
    <t>IDCDKEUBOYQTFY-NGNAIVRQSA-N</t>
  </si>
  <si>
    <t>8.17_433.0927m/z</t>
  </si>
  <si>
    <t>Epigallocatechin 3-O-P-Coumarate</t>
  </si>
  <si>
    <t>HMDB0038362</t>
  </si>
  <si>
    <t>LMPK12020117</t>
  </si>
  <si>
    <t>89013-65-0</t>
  </si>
  <si>
    <t>C1(O)C=C2O[C@H](C3C=C(O)C(O)=C(O)C=3)[C@H](OC(/C=C/C3C=CC(O)=CC=3)=O)CC2=C(O)C=1</t>
  </si>
  <si>
    <t>HKPGWUPXXPIOAN-XMTAIGAMSA-N</t>
  </si>
  <si>
    <t>C24H20O9</t>
  </si>
  <si>
    <t>5.01_425.1946m/z</t>
  </si>
  <si>
    <t>Phenazopyridine</t>
  </si>
  <si>
    <t>C07429</t>
  </si>
  <si>
    <t>C1=CC=C(C=C1)N=NC2=C(N=C(C=C2)N)N</t>
  </si>
  <si>
    <t>QPFYXYFORQJZEC-UHFFFAOYSA-N</t>
  </si>
  <si>
    <t>C11H11N5</t>
  </si>
  <si>
    <t>4.13_397.2228m/z</t>
  </si>
  <si>
    <t>Delta-12-Pgd2</t>
  </si>
  <si>
    <t>LMFA03010101</t>
  </si>
  <si>
    <t>C1(=C/C[C@@H](O)CCCCC)\C(=O)C[C@H](O)[C@@H]\1C/C=C\CCCC(=O)O</t>
  </si>
  <si>
    <t>OBTVQKDILGZFPY-WBYUMCMISA-N</t>
  </si>
  <si>
    <t>5.40_311.1275m/z</t>
  </si>
  <si>
    <t>Artocarbene</t>
  </si>
  <si>
    <t>HMDB0031744</t>
  </si>
  <si>
    <t>194144-02-0</t>
  </si>
  <si>
    <t>CC1(C)OC2=CC(\C=C/C3=C(O)C=C(O)C=C3)=CC(O)=C2C=C1</t>
  </si>
  <si>
    <t>VPKBRABQIHPIEA-ARJAWSKDSA-N</t>
  </si>
  <si>
    <t>C19H18O4</t>
  </si>
  <si>
    <t>3.75_464.1523n</t>
  </si>
  <si>
    <t>Asulacrine</t>
  </si>
  <si>
    <t>HMDB0248679</t>
  </si>
  <si>
    <t>CNC(=O)C1=CC=CC2=C1N=C1C(C)=CC=CC1=C2NC1=C(OC)C=C(NS(C)(=O)=O)C=C1</t>
  </si>
  <si>
    <t>TWHSQQYCDVSBRK-UHFFFAOYSA-N</t>
  </si>
  <si>
    <t>C24H24N4O4S</t>
  </si>
  <si>
    <t>5.25_429.1157m/z</t>
  </si>
  <si>
    <t>Loganin</t>
  </si>
  <si>
    <t>LMPR0102070001</t>
  </si>
  <si>
    <t>C01433</t>
  </si>
  <si>
    <t>18524-94-2</t>
  </si>
  <si>
    <t>[C@@]12([H])[C@@H](C)[C@H](C[C@]1([H])C(C(=O)OC)=CO[C@H]2O[C@H]1[C@H](O)[C@H]([C@H](O)[C@@H](CO)O1)O)O</t>
  </si>
  <si>
    <t>AMBQHHVBBHTQBF-UOUCRYGSSA-N</t>
  </si>
  <si>
    <t>7.56_212.9976m/z</t>
  </si>
  <si>
    <t>Pentafluorobenzene</t>
  </si>
  <si>
    <t>HMDB0256258</t>
  </si>
  <si>
    <t>FC1=CC(F)=C(F)C(F)=C1F</t>
  </si>
  <si>
    <t>WACNXHCZHTVBJM-UHFFFAOYSA-N</t>
  </si>
  <si>
    <t>C6HF5</t>
  </si>
  <si>
    <t>10.34_697.3437m/z</t>
  </si>
  <si>
    <t>(3r,4s)-2-[6-(Cyclohexylamino)Purin-9-Yl]-5-(Hydroxymethyl)Oxolane-3,4-Diol</t>
  </si>
  <si>
    <t>HMDB0243620</t>
  </si>
  <si>
    <t>OCC1OC(C(O)C1O)N1C=NC2=C1N=CN=C2NC1CCCCC1</t>
  </si>
  <si>
    <t>SZBULDQSDUXAPJ-UHFFFAOYSA-N</t>
  </si>
  <si>
    <t>C16H23N5O4</t>
  </si>
  <si>
    <t>6.47_391.2109m/z</t>
  </si>
  <si>
    <t>Methyl 20-Dihydroprednisolonate</t>
  </si>
  <si>
    <t>HMDB0254566</t>
  </si>
  <si>
    <t>COC(=O)C(O)C1(O)CCC2C3CCC4=CC(=O)C=CC4(C)C3C(O)CC12C</t>
  </si>
  <si>
    <t>KGGJWTUYUOSWNH-UHFFFAOYSA-N</t>
  </si>
  <si>
    <t>4.72_579.2677m/z</t>
  </si>
  <si>
    <t>Trimethoprim</t>
  </si>
  <si>
    <t>HMDB0014583</t>
  </si>
  <si>
    <t>C01965</t>
  </si>
  <si>
    <t>738-70-5</t>
  </si>
  <si>
    <t>COC1=CC(CC2=CN=C(N)N=C2N)=CC(OC)=C1OC</t>
  </si>
  <si>
    <t>IEDVJHCEMCRBQM-UHFFFAOYSA-N</t>
  </si>
  <si>
    <t>C14H18N4O3</t>
  </si>
  <si>
    <t>10.68_919.6248m/z</t>
  </si>
  <si>
    <t>PG(a-25:0/5-iso PGF2VI)</t>
  </si>
  <si>
    <t>HMDB0270989</t>
  </si>
  <si>
    <t>CCCCC[C@@H](O)\C=C\[C@H]1[C@H](O)C[C@H](O)[C@H]1C\C=C/CC(=O)O[C@H](COC(=O)CCCCCCCCCCCCCCCCCCCCC(C)CC)COP(O)(=O)OC[C@@H](O)CO</t>
  </si>
  <si>
    <t>JOKPZITWNFNFNS-IHFZGHOWSA-N</t>
  </si>
  <si>
    <t>C49H91O13P</t>
  </si>
  <si>
    <t>3.79_336.0855m/z</t>
  </si>
  <si>
    <t>Naptalam</t>
  </si>
  <si>
    <t>C18869</t>
  </si>
  <si>
    <t>132-66-1</t>
  </si>
  <si>
    <t>C1=CC=C2C(=C1)C=CC=C2NC(=O)C3=CC=CC=C3C(=O)O</t>
  </si>
  <si>
    <t>JXTHEWSKYLZVJC-UHFFFAOYSA-N</t>
  </si>
  <si>
    <t>C18H13NO3</t>
  </si>
  <si>
    <t>4.70_231.0270m/z</t>
  </si>
  <si>
    <t>Polyribosylribitolphosphate</t>
  </si>
  <si>
    <t>HMDB0249913</t>
  </si>
  <si>
    <t>OCC(O)C(O)C(O)COP(O)(O)=O</t>
  </si>
  <si>
    <t>VJDOAZKNBQCAGE-UHFFFAOYSA-N</t>
  </si>
  <si>
    <t>C5H13O8P</t>
  </si>
  <si>
    <t>4.06_452.1893n</t>
  </si>
  <si>
    <t>Fumaryl Diketopiperazine</t>
  </si>
  <si>
    <t>HMDB0252520</t>
  </si>
  <si>
    <t>OC(=O)C=CC(=O)NCCCCC1NC(=O)C(CCCCNC(=O)C=CC(O)=O)NC1=O</t>
  </si>
  <si>
    <t>BBNKIRVUCQNAQR-UHFFFAOYSA-N</t>
  </si>
  <si>
    <t>C20H28N4O8</t>
  </si>
  <si>
    <t>9.49_346.3124m/z</t>
  </si>
  <si>
    <t>20-Fluoro-9z-Eicosenoic Acid</t>
  </si>
  <si>
    <t>LMFA01090052</t>
  </si>
  <si>
    <t>C(CCCCCCC/C=C\CCCCCCCCCCF)(=O)O</t>
  </si>
  <si>
    <t>VPTLBQZTVHYNKN-RQOWECAXSA-N</t>
  </si>
  <si>
    <t>C20H37FO2</t>
  </si>
  <si>
    <t>9.19_353.1792m/z</t>
  </si>
  <si>
    <t>Androstane-3,17-Diol 17-Sulfate</t>
  </si>
  <si>
    <t>HMDB0247995</t>
  </si>
  <si>
    <t>CC12CCC3C(CCC4CC(O)CCC34C)C1CCC2OS(O)(=O)=O</t>
  </si>
  <si>
    <t>KWYNDVHEQWYGIL-UHFFFAOYSA-N</t>
  </si>
  <si>
    <t>C19H32O5S</t>
  </si>
  <si>
    <t>9.31_412.1742m/z</t>
  </si>
  <si>
    <t>Roquefortine</t>
  </si>
  <si>
    <t>HMDB0030381</t>
  </si>
  <si>
    <t>58735-64-1</t>
  </si>
  <si>
    <t>CC(C)(C=C)C12CC3N(C1NC1=C2C=CC=C1)C(=O)\C(NC3=O)=C/C1=CNC=N1</t>
  </si>
  <si>
    <t>SPWSUFUPTSJWNG-CXUHLZMHSA-N</t>
  </si>
  <si>
    <t>C22H23N5O2</t>
  </si>
  <si>
    <t>15.23_590.4908n</t>
  </si>
  <si>
    <t>Dg(16:0/18:3(9z,12z,15z)/0:0)[Iso2]</t>
  </si>
  <si>
    <t>HMDB0007105</t>
  </si>
  <si>
    <t>LMGL02010032</t>
  </si>
  <si>
    <t>OC[C@]([H])(OC(CCCCCCC/C=C\C/C=C\C/C=C\CC)=O)COC(CCCCCCCCCCCCCCC)=O</t>
  </si>
  <si>
    <t>UHPKYXAUVQOHQL-DSZXWZEOSA-N</t>
  </si>
  <si>
    <t>5.54_356.1138m/z</t>
  </si>
  <si>
    <t>Launobine</t>
  </si>
  <si>
    <t>HMDB0030217</t>
  </si>
  <si>
    <t>20497-21-6</t>
  </si>
  <si>
    <t>COC1=C(O)C2=C(CC3NCCC4=CC5=C(OCO5)C2=C34)C=C1</t>
  </si>
  <si>
    <t>JIFBCUOVFPCZEW-UHFFFAOYSA-N</t>
  </si>
  <si>
    <t>C18H17NO4</t>
  </si>
  <si>
    <t>4.26_565.1887m/z</t>
  </si>
  <si>
    <t>Deoxyloganin Tetraacetate</t>
  </si>
  <si>
    <t>LMPR0102070019</t>
  </si>
  <si>
    <t>C11646</t>
  </si>
  <si>
    <t>C(=O)(OC[C@H]1O[C@H]([C@@H]([C@H]([C@@H]1OC(C)=O)OC(C)=O)OC(C)=O)O[C@@H]1OC=C(C(=O)OC)[C@@]2([H])CC[C@H](C)[C@]21[H])C</t>
  </si>
  <si>
    <t>YAAQITKFMRGHMP-JKYGLUIKSA-N</t>
  </si>
  <si>
    <t>C25H34O13</t>
  </si>
  <si>
    <t>8.82_256.2632m/z</t>
  </si>
  <si>
    <t>3-Methylcyclopentadecanone</t>
  </si>
  <si>
    <t>HMDB0034181</t>
  </si>
  <si>
    <t>541-91-3</t>
  </si>
  <si>
    <t>CC1CCCCCCCCCCCCC(=O)C1</t>
  </si>
  <si>
    <t>ALHUZKCOMYUFRB-UHFFFAOYSA-N</t>
  </si>
  <si>
    <t>11.00_496.3603m/z</t>
  </si>
  <si>
    <t>MGTS(16:0/0:0)</t>
  </si>
  <si>
    <t>LMGL06010002</t>
  </si>
  <si>
    <t>[C@](COCCC(C(=O)[O-])[N+](C)(C)C)([H])(O)COC(CCCCCCCCCCCCCCC)=O</t>
  </si>
  <si>
    <t>OLQBJTALXNGBNR-UXMRNZNESA-N</t>
  </si>
  <si>
    <t>C26H51NO6</t>
  </si>
  <si>
    <t>4.84_313.1289m/z</t>
  </si>
  <si>
    <t>Kamahine C</t>
  </si>
  <si>
    <t>HMDB0038935</t>
  </si>
  <si>
    <t>144841-11-2</t>
  </si>
  <si>
    <t>CC1CC2(OC1O)OC1C(=O)C=C(C)C2(O)C1(C)C</t>
  </si>
  <si>
    <t>NKEIHMMKFOXWAO-UHFFFAOYSA-N</t>
  </si>
  <si>
    <t>C14H20O5</t>
  </si>
  <si>
    <t>3.56_169.0496m/z</t>
  </si>
  <si>
    <t>Methyl (-)-Shikimate</t>
  </si>
  <si>
    <t>COC(=O)C1=CC(C(C(C1)O)O)O</t>
  </si>
  <si>
    <t>LSNUUAUXWJZSFD-FSDSQADBSA-N</t>
  </si>
  <si>
    <t>C8H12O5</t>
  </si>
  <si>
    <t>1.22_344.9552m/z</t>
  </si>
  <si>
    <t>Attophos</t>
  </si>
  <si>
    <t>HMDB0248719</t>
  </si>
  <si>
    <t>OP(O)(=O)OC1=CC2=C(C=C1)N=C(S2)C1=NC2=CC=CC=C2S1</t>
  </si>
  <si>
    <t>BTKMJKKKZATLBU-UHFFFAOYSA-N</t>
  </si>
  <si>
    <t>C14H9N2O4PS2</t>
  </si>
  <si>
    <t>2.64_357.1090m/z</t>
  </si>
  <si>
    <t>Hippuric Acid</t>
  </si>
  <si>
    <t>HMDB0000714</t>
  </si>
  <si>
    <t>C01586</t>
  </si>
  <si>
    <t>495-69-2</t>
  </si>
  <si>
    <t>OC(=O)CNC(=O)C1=CC=CC=C1</t>
  </si>
  <si>
    <t>QIAFMBKCNZACKA-UHFFFAOYSA-N</t>
  </si>
  <si>
    <t>C9H9NO3</t>
  </si>
  <si>
    <t>3.99_711.2454m/z</t>
  </si>
  <si>
    <t>Deoxysappanone B 7,3'-Dimethyl Ether Acetate</t>
  </si>
  <si>
    <t>CC(=O)OC1=C(C=CC(=C1)CC2COC3=C(C2=O)C=CC(=C3)OC)OC</t>
  </si>
  <si>
    <t>BXJAMTIXSSLKAH-UHFFFAOYSA-N</t>
  </si>
  <si>
    <t>6.03_775.3377m/z</t>
  </si>
  <si>
    <t>Trifluoroacetyl-L-Lysyl-L-Alaninanilide</t>
  </si>
  <si>
    <t>HMDB0259204</t>
  </si>
  <si>
    <t>CC(NC(=O)C(CCCCN)NC(=O)C(F)(F)F)C(=O)NC1=CC=CC=C1</t>
  </si>
  <si>
    <t>WYUUMMDDKBPWHY-UHFFFAOYSA-N</t>
  </si>
  <si>
    <t>C17H23F3N4O3</t>
  </si>
  <si>
    <t>4.63_688.2325m/z</t>
  </si>
  <si>
    <t>(A-D-Mannosyl)2-B-D-Mannosyl-N-Acetylglucosamine</t>
  </si>
  <si>
    <t>HMDB0006537</t>
  </si>
  <si>
    <t>CC(=O)N[C@H]1[C@H](O)O[C@H](CO)[C@@H](O[C@H]2O[C@@H](CO)[C@H](O)[C@@H](O[C@H]3O[C@@H](CO)[C@H](O)[C@@H](O[C@@H]4O[C@@H](CO)[C@H](O)[C@@H](O)[C@H]4O)[C@H]3O)[C@H]2O)[C@@H]1O</t>
  </si>
  <si>
    <t>ANPUOEHHKRCFGW-NRDBFSGKSA-N</t>
  </si>
  <si>
    <t>C26H45NO21</t>
  </si>
  <si>
    <t>9.17_463.2467m/z</t>
  </si>
  <si>
    <t>CPA(18:1(11Z)/0:0)</t>
  </si>
  <si>
    <t>HMDB0007005</t>
  </si>
  <si>
    <t>CCCCCC\C=C/CCCCCCCCCC(=O)OCC1COP(O)(=O)O1</t>
  </si>
  <si>
    <t>AXUULXHJKNFQON-FPLPWBNLSA-N</t>
  </si>
  <si>
    <t>C21H39O6P</t>
  </si>
  <si>
    <t>6.28_378.2062n</t>
  </si>
  <si>
    <t>3-(2-Aminoethyl)-5-Methoxy-N-[2-(5-Methoxy-1h-Indol-3-Yl)Ethyl]Indol-1-Amine</t>
  </si>
  <si>
    <t>HMDB0255401</t>
  </si>
  <si>
    <t>COC1=CC2=C(NC=C2CCNN2C=C(CCN)C3=C2C=CC(OC)=C3)C=C1</t>
  </si>
  <si>
    <t>GSXSMPBOEMKSBU-UHFFFAOYSA-N</t>
  </si>
  <si>
    <t>C22H26N4O2</t>
  </si>
  <si>
    <t>5.94_768.2748m/z</t>
  </si>
  <si>
    <t>Phyllanthusol A</t>
  </si>
  <si>
    <t>HMDB0035942</t>
  </si>
  <si>
    <t>294864-88-3</t>
  </si>
  <si>
    <t>CC1COC2(CC1OC(=O)C1=CC=C(O)C=C1)OC1CC(CC(O)C1(O)C2O)C(=O)OC1CC(O)C(O)C(O)C1OC1OC(CO)C(O)C(O)C1NC(C)=O</t>
  </si>
  <si>
    <t>SOPCBMVDCMSEPI-UHFFFAOYSA-N</t>
  </si>
  <si>
    <t>C35H49NO19</t>
  </si>
  <si>
    <t>4.48_104.0341m/z</t>
  </si>
  <si>
    <t>Serol</t>
  </si>
  <si>
    <t>HMDB0258256</t>
  </si>
  <si>
    <t>NC(O)(CO)C(O)=O</t>
  </si>
  <si>
    <t>UODJOCWJBOGODB-UHFFFAOYSA-N</t>
  </si>
  <si>
    <t>C3H7NO4</t>
  </si>
  <si>
    <t>0.93_615.0524m/z</t>
  </si>
  <si>
    <t>Fensulfothion</t>
  </si>
  <si>
    <t>C14510</t>
  </si>
  <si>
    <t>115-90-2</t>
  </si>
  <si>
    <t>CCOP(=S)(OCC)OC1=CC=C(C=C1)S(=O)C</t>
  </si>
  <si>
    <t>XDNBJTQLKCIJBV-UHFFFAOYSA-N</t>
  </si>
  <si>
    <t>C11H17O4PS2</t>
  </si>
  <si>
    <t>12.16_898.5715m/z</t>
  </si>
  <si>
    <t>PC(20:1(11Z)/22:6(4Z,7Z,10Z,13Z,16Z,19Z))</t>
  </si>
  <si>
    <t>HMDB0008321</t>
  </si>
  <si>
    <t>LMGP01011834</t>
  </si>
  <si>
    <t>[C@](COP(=O)([O-])OCC[N+](C)(C)C)([H])(OC(CC/C=C\C/C=C\C/C=C\C/C=C\C/C=C\C/C=C\CC)=O)COC(CCCCCCCCC/C=C\CCCCCCCC)=O</t>
  </si>
  <si>
    <t>FYVDGOCCFDKYOR-OEQCKVCZSA-N</t>
  </si>
  <si>
    <t>C50H86NO8P</t>
  </si>
  <si>
    <t>4.74_367.1759m/z</t>
  </si>
  <si>
    <t>Beta-Zearalanol</t>
  </si>
  <si>
    <t>C14753</t>
  </si>
  <si>
    <t>42422-68-4</t>
  </si>
  <si>
    <t>CC1CCCC(CCCCCC2=C(C(=CC(=C2)O)O)C(=O)O1)O</t>
  </si>
  <si>
    <t>DWTTZBARDOXEAM-JSGCOSHPSA-N</t>
  </si>
  <si>
    <t>C18H26O5</t>
  </si>
  <si>
    <t>1.48_121.0760m/z</t>
  </si>
  <si>
    <t>Benzamidine</t>
  </si>
  <si>
    <t>HMDB0248970</t>
  </si>
  <si>
    <t>C01784</t>
  </si>
  <si>
    <t>618-39-3</t>
  </si>
  <si>
    <t>NC(=N)C1=CC=CC=C1</t>
  </si>
  <si>
    <t>PXXJHWLDUBFPOL-UHFFFAOYSA-N</t>
  </si>
  <si>
    <t>C7H8N2</t>
  </si>
  <si>
    <t>1.40_185.0235m/z</t>
  </si>
  <si>
    <t>Bergaptol</t>
  </si>
  <si>
    <t>HMDB0013679</t>
  </si>
  <si>
    <t>C00758</t>
  </si>
  <si>
    <t>486-60-2</t>
  </si>
  <si>
    <t>OC1=C2C=CC(=O)OC2=CC2=C1C=CO2</t>
  </si>
  <si>
    <t>GIJHDGJRTUSBJR-UHFFFAOYSA-N</t>
  </si>
  <si>
    <t>C11H6O4</t>
  </si>
  <si>
    <t>14.25_716.3998m/z</t>
  </si>
  <si>
    <t>Heudelottin C</t>
  </si>
  <si>
    <t>CCC(C)C(C(=O)OC1C(C2C3(C=CC(=O)C(C3CC(C2(C45C1(C(CC4O5)C6=COC=C6)C)C)OC(=O)C(C(C)C)O)(C)C)C)O)OC(=O)C</t>
  </si>
  <si>
    <t>BYWKXGOBXNXUER-CBGLDROUSA-N</t>
  </si>
  <si>
    <t>C39H54O11</t>
  </si>
  <si>
    <t>5.07_393.1524m/z</t>
  </si>
  <si>
    <t>Lemborexant</t>
  </si>
  <si>
    <t>HMDB0254004</t>
  </si>
  <si>
    <t>CC1=NC=C(OCC2(CC2C(=O)NC2=NC=C(F)C=C2)C2=CC(F)=CC=C2)C(C)=N1</t>
  </si>
  <si>
    <t>MUGXRYIUWFITCP-UHFFFAOYSA-N</t>
  </si>
  <si>
    <t>C22H20F2N4O2</t>
  </si>
  <si>
    <t>9.69_341.1747m/z</t>
  </si>
  <si>
    <t>2,2-Bis[4-(2,3-Epoxypropoxy)Phenyl]Propane</t>
  </si>
  <si>
    <t>HMDB0032737</t>
  </si>
  <si>
    <t>C14348</t>
  </si>
  <si>
    <t>1675-54-3</t>
  </si>
  <si>
    <t>CC(C)(C1=CC=C(OCC2CO2)C=C1)C1=CC=C(OCC2CO2)C=C1</t>
  </si>
  <si>
    <t>LCFVJGUPQDGYKZ-UHFFFAOYSA-N</t>
  </si>
  <si>
    <t>C21H24O4</t>
  </si>
  <si>
    <t>13.62_687.4238m/z</t>
  </si>
  <si>
    <t>PA(13:0/PGF2alpha)</t>
  </si>
  <si>
    <t>HMDB0262880</t>
  </si>
  <si>
    <t>CCCCCCCCCCCCC(=O)OC[C@H](COP(O)(O)=O)OC(=O)CCC\C=C\C[C@H]1[C@@H](O)C[C@@H](O)[C@@H]1\C=C\[C@@H](O)CCCCC</t>
  </si>
  <si>
    <t>KMSORYPCXSFFQB-YENUPOCKSA-N</t>
  </si>
  <si>
    <t>C36H65O11P</t>
  </si>
  <si>
    <t>11.46_539.3939m/z</t>
  </si>
  <si>
    <t>DG(8:0/20:3(8Z,11Z,14Z)-2OH(5,6)/0:0)</t>
  </si>
  <si>
    <t>HMDB0297147</t>
  </si>
  <si>
    <t>CCCCCCCC(=O)OC[C@H](CO)OC(=O)CCCC(O)C(O)C\C=C/C\C=C/C\C=C/CCCCC</t>
  </si>
  <si>
    <t>VDFXJAOJQJXZTQ-KCVOUUNSSA-N</t>
  </si>
  <si>
    <t>C31H54O7</t>
  </si>
  <si>
    <t>2.16_345.0693m/z</t>
  </si>
  <si>
    <t>Propylenediamine Tetra-Acetic Acid</t>
  </si>
  <si>
    <t>HMDB0246676</t>
  </si>
  <si>
    <t>CC(CN(CC(O)=O)CC(O)=O)N(CC(O)=O)CC(O)=O</t>
  </si>
  <si>
    <t>XNCSCQSQSGDGES-UHFFFAOYSA-N</t>
  </si>
  <si>
    <t>C11H18N2O8</t>
  </si>
  <si>
    <t>9.96_285.2423m/z</t>
  </si>
  <si>
    <t>MG(0:0/14:0/0:0)</t>
  </si>
  <si>
    <t>HMDB0011530</t>
  </si>
  <si>
    <t>[H]C(CO)(CO)OC(=O)CCCCCCCCCCCCC</t>
  </si>
  <si>
    <t>TVIMZSOUQXNWHO-UHFFFAOYSA-N</t>
  </si>
  <si>
    <t>7.63_787.8448m/z</t>
  </si>
  <si>
    <t>Metrizamide</t>
  </si>
  <si>
    <t>HMDB0015518</t>
  </si>
  <si>
    <t>31112-62-6</t>
  </si>
  <si>
    <t>CN(C(C)=O)C1=C(I)C(C(=O)N[C@H]2C(O)O[C@H](CO)[C@@H](O)[C@@H]2O)=C(I)C(NC(C)=O)=C1I</t>
  </si>
  <si>
    <t>BAQCROVBDNBEEB-UBYUBLNFSA-N</t>
  </si>
  <si>
    <t>C18H22I3N3O8</t>
  </si>
  <si>
    <t>10.68_446.4201m/z</t>
  </si>
  <si>
    <t>1-O-(2r-Methoxy-4z-Docosenyl)-Sn-Glycerol</t>
  </si>
  <si>
    <t>LMGL01020051</t>
  </si>
  <si>
    <t>[C@](CO)([H])(O)COC[C@H](OC)C/C=C\CCCCCCCCCCCCCCCCC</t>
  </si>
  <si>
    <t>KDTIXNAEPNIZMH-JQDZGVMXSA-N</t>
  </si>
  <si>
    <t>C26H52O4</t>
  </si>
  <si>
    <t>9.13_829.3190m/z</t>
  </si>
  <si>
    <t>Margrapine B</t>
  </si>
  <si>
    <t>HMDB0031279</t>
  </si>
  <si>
    <t>185417-69-0</t>
  </si>
  <si>
    <t>COC1=C(OC)C2=C(C=C1)C(=O)C1=C(N2C)C(C(O)C2OC2(C)C)=C(OC)C=C1O</t>
  </si>
  <si>
    <t>IPKWOZPFADULKT-UHFFFAOYSA-N</t>
  </si>
  <si>
    <t>C22H25NO7</t>
  </si>
  <si>
    <t>3.55_397.1105m/z</t>
  </si>
  <si>
    <t>Geniposidic Acid</t>
  </si>
  <si>
    <t>HMDB0034942</t>
  </si>
  <si>
    <t>C11673</t>
  </si>
  <si>
    <t>27741-01-1</t>
  </si>
  <si>
    <t>OCC1OC(OC2OC=C(C3CC=C(CO)C23)C(O)=O)C(O)C(O)C1O</t>
  </si>
  <si>
    <t>ZJDOESGVOWAULF-UHFFFAOYSA-N</t>
  </si>
  <si>
    <t>3.27_226.1073m/z</t>
  </si>
  <si>
    <t>6-Benzylaminopurine</t>
  </si>
  <si>
    <t>HMDB0039238</t>
  </si>
  <si>
    <t>C11263</t>
  </si>
  <si>
    <t>1214-39-7</t>
  </si>
  <si>
    <t>C(NC1=C2N=CNC2=NC=N1)C1=CC=CC=C1</t>
  </si>
  <si>
    <t>NWBJYWHLCVSVIJ-UHFFFAOYSA-N</t>
  </si>
  <si>
    <t>C12H11N5</t>
  </si>
  <si>
    <t>3.86_495.1116m/z</t>
  </si>
  <si>
    <t>Indolo[2,1-B]Quinazoline-6,12-Dione</t>
  </si>
  <si>
    <t>HMDB0253473</t>
  </si>
  <si>
    <t>C10742</t>
  </si>
  <si>
    <t>13220-57-0</t>
  </si>
  <si>
    <t>O=C1C2=NC3=CC=CC=C3C(=O)N2C2=CC=CC=C12</t>
  </si>
  <si>
    <t>VQQVWGVXDIPORV-UHFFFAOYSA-N</t>
  </si>
  <si>
    <t>C15H8N2O2</t>
  </si>
  <si>
    <t>4.75_229.1222m/z</t>
  </si>
  <si>
    <t>Annuolide C</t>
  </si>
  <si>
    <t>HMDB0036488</t>
  </si>
  <si>
    <t>152442-49-4</t>
  </si>
  <si>
    <t>OC1CC2C(OC(=O)C2=C)C2C(CCC2=C)C1=C</t>
  </si>
  <si>
    <t>XYWIETPXXWYOFO-UHFFFAOYSA-N</t>
  </si>
  <si>
    <t>0.77_229.0816m/z</t>
  </si>
  <si>
    <t>Deoxyuridine</t>
  </si>
  <si>
    <t>HMDB0000012</t>
  </si>
  <si>
    <t>C00526</t>
  </si>
  <si>
    <t>ko00240,ko02010</t>
  </si>
  <si>
    <t>Pyrimidine metabolism|ABC transporters</t>
  </si>
  <si>
    <t>951-78-0</t>
  </si>
  <si>
    <t>OC[C@H]1O[C@H](C[C@@H]1O)N1C=CC(=O)NC1=O</t>
  </si>
  <si>
    <t>MXHRCPNRJAMMIM-SHYZEUOFSA-N</t>
  </si>
  <si>
    <t>C9H12N2O5</t>
  </si>
  <si>
    <t>10.04_509.0044m/z</t>
  </si>
  <si>
    <t>1,1,2,2-Tetrahydroperfluoro-1-Decanol</t>
  </si>
  <si>
    <t>HMDB0247193</t>
  </si>
  <si>
    <t>OCCC(F)(F)C(F)(F)C(F)(F)C(F)(F)C(F)(F)C(F)(F)C(F)(F)C(F)(F)F</t>
  </si>
  <si>
    <t>JJUBFBTUBACDHW-UHFFFAOYSA-N</t>
  </si>
  <si>
    <t>C10H5F17O</t>
  </si>
  <si>
    <t>4.43_249.1595m/z</t>
  </si>
  <si>
    <t>1-(M-Methoxycinnamoyl)Pyrrolidine</t>
  </si>
  <si>
    <t>HMDB0038839</t>
  </si>
  <si>
    <t>29647-01-6</t>
  </si>
  <si>
    <t>COC1=CC=CC(\C=C\C(=O)N2CCCC2)=C1</t>
  </si>
  <si>
    <t>LAPTWLCIZWFMJK-BQYQJAHWSA-N</t>
  </si>
  <si>
    <t>C14H17NO2</t>
  </si>
  <si>
    <t>4.90_551.3067m/z</t>
  </si>
  <si>
    <t>Daumone</t>
  </si>
  <si>
    <t>HMDB0250877</t>
  </si>
  <si>
    <t>CC(CCCCC(O)=O)OC1OC(C)C(O)CC1O</t>
  </si>
  <si>
    <t>KBTQMAFDKPKMEJ-UHFFFAOYSA-N</t>
  </si>
  <si>
    <t>C13H24O6</t>
  </si>
  <si>
    <t>9.49_781.5053m/z</t>
  </si>
  <si>
    <t>14-Hydroxyclarithromycin</t>
  </si>
  <si>
    <t>HMDB0061019</t>
  </si>
  <si>
    <t>CO[C@]1(C)C[C@H](O[C@H]2[C@H](C)[C@@H](O[C@@H]3O[C@H](C)C[C@@H]([C@H]3O)N(C)C)[C@@](C)(C[C@@H](C)C(=O)[C@H](C)[C@@H](O)[C@](C)(O)[C@H](OC(=O)[C@@H]2C)C(C)O)OC)O[C@@H](C)[C@@H]1O</t>
  </si>
  <si>
    <t>BLPFDXNVUDZBII-KNPZYKNQSA-N</t>
  </si>
  <si>
    <t>C38H69NO14</t>
  </si>
  <si>
    <t>4.95_189.1637m/z</t>
  </si>
  <si>
    <t>Congressane</t>
  </si>
  <si>
    <t>HMDB0251132</t>
  </si>
  <si>
    <t>C1C2CC3C4CC5CC(C14)C(C2)C3C5</t>
  </si>
  <si>
    <t>ZICQBHNGXDOVJF-UHFFFAOYSA-N</t>
  </si>
  <si>
    <t>Polycyclic hydrocarbons</t>
  </si>
  <si>
    <t>C14H20</t>
  </si>
  <si>
    <t>10.51_937.4924m/z</t>
  </si>
  <si>
    <t>Chondrillasterol 3-[Glucosyl-(1-&gt;2)-Glucosyl-(1-&gt;2)-Glucoside]</t>
  </si>
  <si>
    <t>HMDB0033887</t>
  </si>
  <si>
    <t>CCC(\C=C\C(C)C1CCC2C3=CCC4CC(CCC4(C)C3CCC12C)OC1OC(CO)C(O)C(O)C1OC1OC(CO)C(O)C(O)C1OC1OC(CO)C(O)C(O)C1O)C(C)C</t>
  </si>
  <si>
    <t>GKJMLOMZBLJNRX-CMDGGOBGSA-N</t>
  </si>
  <si>
    <t>C47H78O16</t>
  </si>
  <si>
    <t>8.72_955.2035m/z</t>
  </si>
  <si>
    <t>(R)-Carnitinyl-Coa Betaine</t>
  </si>
  <si>
    <t>LMFA07050150</t>
  </si>
  <si>
    <t>[C@@H]1([C@H](O)[C@H](OP(=O)(O)O)[C@@H](COP(O)(=O)OP([O-])(=O)OCC(C)([C@@H](O)C(=O)NCCC(=O)NCCSC(C[C@@H](O)C[N+](C)(C)C)=O)C)O1)N1C=NC2C(N)=NC=NC1=2</t>
  </si>
  <si>
    <t>BBRISSLDTUHWKG-PVMHLSDZSA-N</t>
  </si>
  <si>
    <t>C28H49N8O18P3S</t>
  </si>
  <si>
    <t>3.93_725.1719m/z</t>
  </si>
  <si>
    <t>Quercetin 3-Alpha-L-Arabinopyranosyl-(1-&gt;6)-(2''-(E)-P-Coumaroylglucoside)</t>
  </si>
  <si>
    <t>LMPK12110571</t>
  </si>
  <si>
    <t>C1C=C(O)C(O)=CC=1C1=C(O[C@H]2[C@H](OC(/C=C/C3C=CC(O)=CC=3)=O)[C@@H](O)[C@H](O)[C@@H](CO[C@H]3[C@H](O)[C@@H](O)[C@@H](O)CO3)O2)C(=O)C2C(O)=CC(O)=CC=2O1</t>
  </si>
  <si>
    <t>ATXVYGWDRPMCPT-RSSLJQOBSA-N</t>
  </si>
  <si>
    <t>C35H34O18</t>
  </si>
  <si>
    <t>11.56_619.2473m/z</t>
  </si>
  <si>
    <t>&lt;I&gt;Para&lt;/I&gt;-Hydroxyatorvastatin</t>
  </si>
  <si>
    <t>HMDB0061014</t>
  </si>
  <si>
    <t>CC(C)C1=C(C(=O)NC2=CC=C(O)C=C2)C(=C(N1CCC(O)CC(O)CC(O)=O)C1=CC=C(F)C=C1)C1=CC=CC=C1</t>
  </si>
  <si>
    <t>SOZOATLLFFVAPM-UHFFFAOYSA-N</t>
  </si>
  <si>
    <t>C33H35FN2O6</t>
  </si>
  <si>
    <t>7.50_290.2607n</t>
  </si>
  <si>
    <t>Geranylgeraniol</t>
  </si>
  <si>
    <t>LMPR0104010009</t>
  </si>
  <si>
    <t>C09094</t>
  </si>
  <si>
    <t>24034-73-9</t>
  </si>
  <si>
    <t>C(/C=C(\C)/CC/C=C(\C)/CC/C=C(\C)/CC/C=C(\C)/C)O</t>
  </si>
  <si>
    <t>OJISWRZIEWCUBN-QIRCYJPOSA-N</t>
  </si>
  <si>
    <t>9.41_650.3677m/z</t>
  </si>
  <si>
    <t>Oob-Pc</t>
  </si>
  <si>
    <t>LMGP20010025</t>
  </si>
  <si>
    <t>[C@](COP(=O)([O-])OCC[N+](C)(C)C)([H])(OC(CCC=O)=O)COC(CCCCCCC/C=C\CCCCCCCC)=O</t>
  </si>
  <si>
    <t>MJNUVNFSRSRQLY-FQGSIFQHSA-N</t>
  </si>
  <si>
    <t>C30H56NO9P</t>
  </si>
  <si>
    <t>3.75_406.1496m/z</t>
  </si>
  <si>
    <t>7-Bromo-2-Phenylimidazo[1,2-A]Pyridine</t>
  </si>
  <si>
    <t>C1=CC=C(C=C1)C2=CN3C=CC(=CC3=N2)Br</t>
  </si>
  <si>
    <t>PZVAJJGUHTVUKT-UHFFFAOYSA-N</t>
  </si>
  <si>
    <t>C20H20O8</t>
  </si>
  <si>
    <t>4.58_144.0808m/z</t>
  </si>
  <si>
    <t>2-Aminonaphthalene</t>
  </si>
  <si>
    <t>HMDB0041802</t>
  </si>
  <si>
    <t>C02227</t>
  </si>
  <si>
    <t>91-59-8</t>
  </si>
  <si>
    <t>NC1=CC2=CC=CC=C2C=C1</t>
  </si>
  <si>
    <t>JBIJLHTVPXGSAM-UHFFFAOYSA-N</t>
  </si>
  <si>
    <t>C10H9N</t>
  </si>
  <si>
    <t>1.20_219.0769m/z</t>
  </si>
  <si>
    <t>Indole-3-Acetamide</t>
  </si>
  <si>
    <t>HMDB0029739</t>
  </si>
  <si>
    <t>C02693</t>
  </si>
  <si>
    <t>879-37-8</t>
  </si>
  <si>
    <t>NC(=O)CC1=CNC2=C1C=CC=C2</t>
  </si>
  <si>
    <t>ZOAMBXDOGPRZLP-UHFFFAOYSA-N</t>
  </si>
  <si>
    <t>C10H10N2O</t>
  </si>
  <si>
    <t>4.75_161.0841n</t>
  </si>
  <si>
    <t>Tryptophol</t>
  </si>
  <si>
    <t>HMDB0003447</t>
  </si>
  <si>
    <t>C00955</t>
  </si>
  <si>
    <t>526-55-6</t>
  </si>
  <si>
    <t>OCCC1=CNC2=C1C=CC=C2</t>
  </si>
  <si>
    <t>MBBOMCVGYCRMEA-UHFFFAOYSA-N</t>
  </si>
  <si>
    <t>C10H11NO</t>
  </si>
  <si>
    <t>4.04_432.0372m/z</t>
  </si>
  <si>
    <t>Glucotropaeolin</t>
  </si>
  <si>
    <t>C02153</t>
  </si>
  <si>
    <t>499-26-3</t>
  </si>
  <si>
    <t>C1=CC=C(C=C1)CC(=NOS(=O)(=O)O)SC2C(C(C(C(O2)CO)O)O)O</t>
  </si>
  <si>
    <t>QQGLQYQXUKHWPX-LPUQOGTASA-N</t>
  </si>
  <si>
    <t>C14H19NO9S2</t>
  </si>
  <si>
    <t>10.41_270.2077m/z</t>
  </si>
  <si>
    <t>Xestoaminol B</t>
  </si>
  <si>
    <t>LMSP01080079</t>
  </si>
  <si>
    <t>C[C@H](N)[C@H](O)CCCCCCC/C=C/C=C</t>
  </si>
  <si>
    <t>PDPUNMLGRNINFK-OOPLNXAUSA-N</t>
  </si>
  <si>
    <t>C14H27NO</t>
  </si>
  <si>
    <t>3.75_415.1608m/z</t>
  </si>
  <si>
    <t>D-Kynurenine</t>
  </si>
  <si>
    <t>HMDB0250769</t>
  </si>
  <si>
    <t>C01718</t>
  </si>
  <si>
    <t>343-65-7</t>
  </si>
  <si>
    <t>NC(CC(=O)C1=CC=CC=C1N)C(O)=O</t>
  </si>
  <si>
    <t>YGPSJZOEDVAXAB-UHFFFAOYSA-N</t>
  </si>
  <si>
    <t>C10H12N2O3</t>
  </si>
  <si>
    <t>6.20_391.1523m/z</t>
  </si>
  <si>
    <t>Coumarin-Saha</t>
  </si>
  <si>
    <t>CC1=CC(=O)OC2=C1C=CC(=C2)NC(=O)CCCCCCC(=O)NO</t>
  </si>
  <si>
    <t>YSRCADVJNRJJAV-UHFFFAOYSA-N</t>
  </si>
  <si>
    <t>C18H22N2O5</t>
  </si>
  <si>
    <t>13.98_223.0632m/z</t>
  </si>
  <si>
    <t>1,2-Diphenylhydrazine</t>
  </si>
  <si>
    <t>122-66-7</t>
  </si>
  <si>
    <t>C1=CC=C(C=C1)NNC2=CC=CC=C2</t>
  </si>
  <si>
    <t>YBQZXXMEJHZYMB-UHFFFAOYSA-N</t>
  </si>
  <si>
    <t>C12H12N2</t>
  </si>
  <si>
    <t>4.40_583.1216m/z</t>
  </si>
  <si>
    <t>Etrimfos</t>
  </si>
  <si>
    <t>HMDB0031783</t>
  </si>
  <si>
    <t>C18985</t>
  </si>
  <si>
    <t>38260-54-7</t>
  </si>
  <si>
    <t>CCOC1=CC(OP(=S)(OC)OC)=NC(CC)=N1</t>
  </si>
  <si>
    <t>FGIWFCGDPUIBEZ-UHFFFAOYSA-N</t>
  </si>
  <si>
    <t>C10H17N2O4PS</t>
  </si>
  <si>
    <t>10.87_576.4113m/z</t>
  </si>
  <si>
    <t>3-O-Alpha-L-Rhamnopyranosyl-3-Hydroxy-5z-Tetradecenoyl-3-Hydroxydecanoic Acid</t>
  </si>
  <si>
    <t>LMFA13030018</t>
  </si>
  <si>
    <t>O([C@H]1[C@H](O)[C@H](O)[C@@H](O)[C@H](C)O1)C(CCC/C=C\CCCCCC)CC(=O)OC(CCCCCCC)CC(=O)O</t>
  </si>
  <si>
    <t>ACCQJSCHXCOXLT-IWAHUFCCSA-N</t>
  </si>
  <si>
    <t>C30H54O9</t>
  </si>
  <si>
    <t>9.90_332.3156m/z</t>
  </si>
  <si>
    <t>3-Hydroxypristanic Acid</t>
  </si>
  <si>
    <t>HMDB0061651</t>
  </si>
  <si>
    <t>CC(C)CCCC(C)CCCC(C)CCC(O)C(C)C(O)=O</t>
  </si>
  <si>
    <t>QYCJOLFDFWRUFH-UHFFFAOYSA-N</t>
  </si>
  <si>
    <t>C19H38O3</t>
  </si>
  <si>
    <t>8.71_903.5579m/z</t>
  </si>
  <si>
    <t>PI(18:0/20:3(6,8,11)-OH(5))</t>
  </si>
  <si>
    <t>HMDB0276438</t>
  </si>
  <si>
    <t>[H][C@@](COC(=O)CCCCCCCCCCCCCCCCC)(COP(O)(=O)O[C@H]1[C@H](O)[C@@H](O)[C@H](O)[C@@H](O)[C@H]1O)OC(=O)CCCC(O)\C=C\C=C\C\C=C\CCCCCCCC</t>
  </si>
  <si>
    <t>XYLJKGBPDMJJEY-YEGOUECZSA-N</t>
  </si>
  <si>
    <t>C47H85O14P</t>
  </si>
  <si>
    <t>4.49_453.2339m/z</t>
  </si>
  <si>
    <t>Ametryn</t>
  </si>
  <si>
    <t>HMDB0248288</t>
  </si>
  <si>
    <t>C18700</t>
  </si>
  <si>
    <t>834-12-8</t>
  </si>
  <si>
    <t>CCNC1=NC(NC(C)C)=NC(SC)=N1</t>
  </si>
  <si>
    <t>RQVYBGPQFYCBGX-UHFFFAOYSA-N</t>
  </si>
  <si>
    <t>C9H17N5S</t>
  </si>
  <si>
    <t>9.65_135.0802m/z</t>
  </si>
  <si>
    <t>4-Hydroxy Nonenal Alkyne</t>
  </si>
  <si>
    <t>1011268-23-7</t>
  </si>
  <si>
    <t>C#CCCCC(C=CC=O)O</t>
  </si>
  <si>
    <t>RXECVCDYORIBBT-UHFFFAOYSA-N</t>
  </si>
  <si>
    <t>C9H12O2</t>
  </si>
  <si>
    <t>1.06_171.1127m/z</t>
  </si>
  <si>
    <t>Dopamine</t>
  </si>
  <si>
    <t>HMDB0000073</t>
  </si>
  <si>
    <t>C03758</t>
  </si>
  <si>
    <t>ko00350,ko00950,ko00965,ko04024,ko04080,ko04540,ko04721,ko04728,ko04917,ko04976,ko05012,ko05030,ko05031,ko05032,ko05034</t>
  </si>
  <si>
    <t>Tyrosine metabolism|Isoquinoline alkaloid biosynthesis|Betalain biosynthesis|cAMP signaling pathway|Neuroactive ligand-receptor interaction|Gap junction|Synaptic vesicle cycle|Dopaminergic synapse|Prolactin signaling pathway|Bile secretion|Parkinson disease|Cocaine addiction|Amphetamine addiction|Morphine addiction|Alcoholism</t>
  </si>
  <si>
    <t>62-31-7</t>
  </si>
  <si>
    <t>NCCC1=CC(O)=C(O)C=C1</t>
  </si>
  <si>
    <t>VYFYYTLLBUKUHU-UHFFFAOYSA-N</t>
  </si>
  <si>
    <t>C8H11NO2</t>
  </si>
  <si>
    <t>4.10_503.1767m/z</t>
  </si>
  <si>
    <t>Gein</t>
  </si>
  <si>
    <t>HMDB0029909</t>
  </si>
  <si>
    <t>C17058</t>
  </si>
  <si>
    <t>585-90-0</t>
  </si>
  <si>
    <t>COC1=C(OC2OC(COC3OCC(O)C(O)C3O)C(O)C(O)C2O)C=CC(CC=C)=C1</t>
  </si>
  <si>
    <t>FSCNUJMKSQHQSY-UHFFFAOYSA-N</t>
  </si>
  <si>
    <t>3.65_665.2085m/z</t>
  </si>
  <si>
    <t>Tetramethylquercetin 3-Rutinoside</t>
  </si>
  <si>
    <t>HMDB0039337</t>
  </si>
  <si>
    <t>58528-03-3</t>
  </si>
  <si>
    <t>COC1=CC(OC)=C2C(=O)C(OC3OC(COC4OC(C)C(O)C(O)C4O)C(O)C(O)C3O)=C(OC2=C1)C1=CC(OC)=C(OC)C=C1</t>
  </si>
  <si>
    <t>MEJNXDYVXPUWEN-UHFFFAOYSA-N</t>
  </si>
  <si>
    <t>5.06_527.2134m/z</t>
  </si>
  <si>
    <t>Dutasteride</t>
  </si>
  <si>
    <t>HMDB0015258</t>
  </si>
  <si>
    <t>164656-23-9</t>
  </si>
  <si>
    <t>[H][C@@]1(CC[C@@]2([H])[C@]3([H])CC[C@@]4([H])NC(=O)C=C[C@]4(C)[C@@]3([H])CC[C@]12C)C(=O)NC1=CC(=CC=C1C(F)(F)F)C(F)(F)F</t>
  </si>
  <si>
    <t>JWJOTENAMICLJG-QWBYCMEYSA-N</t>
  </si>
  <si>
    <t>C27H30F6N2O2</t>
  </si>
  <si>
    <t>9.80_189.0910m/z</t>
  </si>
  <si>
    <t>Cuelure</t>
  </si>
  <si>
    <t>HMDB0033594</t>
  </si>
  <si>
    <t>3572-06-3</t>
  </si>
  <si>
    <t>CC(=O)CCC1=CC=C(OC(C)=O)C=C1</t>
  </si>
  <si>
    <t>UMIKWXDGXDJQJK-UHFFFAOYSA-N</t>
  </si>
  <si>
    <t>8.91_228.1957m/z</t>
  </si>
  <si>
    <t>Linalyl Propionate</t>
  </si>
  <si>
    <t>HMDB0030425</t>
  </si>
  <si>
    <t>144-39-8</t>
  </si>
  <si>
    <t>CCC(=O)OC(C)(CCC=C(C)C)C=C</t>
  </si>
  <si>
    <t>WAQIIHCCEMGYKP-UHFFFAOYSA-N</t>
  </si>
  <si>
    <t>10.89_303.1955m/z</t>
  </si>
  <si>
    <t>2-Methoxyestradiol-17beta</t>
  </si>
  <si>
    <t>HMDB0000405</t>
  </si>
  <si>
    <t>LMST02010035</t>
  </si>
  <si>
    <t>C05302</t>
  </si>
  <si>
    <t>362-07-2</t>
  </si>
  <si>
    <t>[C@]12([H])CC[C@]3(C)[C@H](CC[C@@]3([H])[C@]1([H])CCC1C=C(C(OC)=CC2=1)O)O</t>
  </si>
  <si>
    <t>CQOQDQWUFQDJMK-SSTWWWIQSA-N</t>
  </si>
  <si>
    <t>0.98_367.0255m/z</t>
  </si>
  <si>
    <t>Sulprofos</t>
  </si>
  <si>
    <t>HMDB0258619</t>
  </si>
  <si>
    <t>C19016</t>
  </si>
  <si>
    <t>35400-43-2</t>
  </si>
  <si>
    <t>CCCSP(=S)(OCC)OC1=CC=C(SC)C=C1</t>
  </si>
  <si>
    <t>JXHJNEJVUNHLKO-UHFFFAOYSA-N</t>
  </si>
  <si>
    <t>C12H19O2PS3</t>
  </si>
  <si>
    <t>9.47_175.1118m/z</t>
  </si>
  <si>
    <t>5,11-Dodecadiynoic Acid</t>
  </si>
  <si>
    <t>LMFA01030464</t>
  </si>
  <si>
    <t>C(CCCC#CCCCCC#C)(=O)O</t>
  </si>
  <si>
    <t>MZZDCNPISCZAJH-UHFFFAOYSA-N</t>
  </si>
  <si>
    <t>C12H16O2</t>
  </si>
  <si>
    <t>7.61_640.3478m/z</t>
  </si>
  <si>
    <t>Am-LPE(0:0/18:2(9Z,12Z))</t>
  </si>
  <si>
    <t>LMGP21050005</t>
  </si>
  <si>
    <t>[C@](COP(=O)(O)OCCNC[C@@]1(O)OC[C@@H](O)[C@@H](O)[C@@H]1O)([H])(OC(=O)CCCCCCC/C=C\C/C=C\CCCCC)CO</t>
  </si>
  <si>
    <t>KNRFKFMOXXUORD-RWFLJOILSA-N</t>
  </si>
  <si>
    <t>C29H54NO12P</t>
  </si>
  <si>
    <t>5.56_553.2085m/z</t>
  </si>
  <si>
    <t>5alpha-Ethoxy-6beta-Hydroxy-5,6-Dihydrophysalin B</t>
  </si>
  <si>
    <t>HMDB0029626</t>
  </si>
  <si>
    <t>CCOC12CC=CC(=O)C1(C)C1CCC3(O)C(=O)OC4(C)C5CC6(C)C7C(=O)C(OC347)(OCC6C(=O)O5)C1CC2O</t>
  </si>
  <si>
    <t>GCRPDPKXRPYCEV-UHFFFAOYSA-N</t>
  </si>
  <si>
    <t>C30H36O11</t>
  </si>
  <si>
    <t>1.13_263.1125m/z</t>
  </si>
  <si>
    <t>3-Deazaneplanocin A</t>
  </si>
  <si>
    <t>102052-95-9</t>
  </si>
  <si>
    <t>C1=CN=C(C2=C1N(C=N2)C3C=C(C(C3O)O)CO)N</t>
  </si>
  <si>
    <t>OMKHWTRUYNAGFG-IEBDPFPHSA-N</t>
  </si>
  <si>
    <t>Imidazo-[4,5-c]pyridines</t>
  </si>
  <si>
    <t>C12H14N4O3</t>
  </si>
  <si>
    <t>8.89_255.1600m/z</t>
  </si>
  <si>
    <t>1,3-Diacetylpropane</t>
  </si>
  <si>
    <t>HMDB0029165</t>
  </si>
  <si>
    <t>CC(=O)CCCC(C)=O</t>
  </si>
  <si>
    <t>VAIFYHGFLAPCON-UHFFFAOYSA-N</t>
  </si>
  <si>
    <t>C7H12O2</t>
  </si>
  <si>
    <t>4.14_427.1022m/z</t>
  </si>
  <si>
    <t>Methyl N-[6-[(3,4,5-Trimethoxyphenyl)Methoxy]Imidazo[1,2-B]Pyridazin-2-Yl]Carbamate</t>
  </si>
  <si>
    <t>HMDB0250002</t>
  </si>
  <si>
    <t>COC(=O)NC1=CN2N=C(OCC3=CC(OC)=C(OC)C(OC)=C3)C=CC2=N1</t>
  </si>
  <si>
    <t>UMSHZWFCVXIDEO-UHFFFAOYSA-N</t>
  </si>
  <si>
    <t>C18H20N4O6</t>
  </si>
  <si>
    <t>9.73_266.1031m/z</t>
  </si>
  <si>
    <t>Hydrocotarnine</t>
  </si>
  <si>
    <t>HMDB0033701</t>
  </si>
  <si>
    <t>C13534</t>
  </si>
  <si>
    <t>550-10-7</t>
  </si>
  <si>
    <t>COC1=C2CN(C)CCC2=CC2=C1OCO2</t>
  </si>
  <si>
    <t>XXANNZJIZQTCBP-UHFFFAOYSA-N</t>
  </si>
  <si>
    <t>C12H15NO3</t>
  </si>
  <si>
    <t>3.73_241.0738m/z</t>
  </si>
  <si>
    <t>Tetrahydroharmol</t>
  </si>
  <si>
    <t>HMDB0029835</t>
  </si>
  <si>
    <t>17952-75-9</t>
  </si>
  <si>
    <t>CC1NCCC2=C1NC1=C2C=CC(O)=C1</t>
  </si>
  <si>
    <t>AZTMWIPCEFFOJD-UHFFFAOYSA-N</t>
  </si>
  <si>
    <t>C12H14N2O</t>
  </si>
  <si>
    <t>3.84_343.1033m/z</t>
  </si>
  <si>
    <t>Domesticoside</t>
  </si>
  <si>
    <t>HMDB0029647</t>
  </si>
  <si>
    <t>24587-97-1</t>
  </si>
  <si>
    <t>COC1=CC(OC2OC(CO)C(O)C(O)C2O)=C(C(C)=O)C(O)=C1</t>
  </si>
  <si>
    <t>XERRGONJPVYTDB-UHFFFAOYSA-N</t>
  </si>
  <si>
    <t>C15H20O9</t>
  </si>
  <si>
    <t>1.68_185.1285m/z</t>
  </si>
  <si>
    <t>P-Synephrine</t>
  </si>
  <si>
    <t>HMDB0004826</t>
  </si>
  <si>
    <t>C04548</t>
  </si>
  <si>
    <t>94-07-5</t>
  </si>
  <si>
    <t>CNCC(O)C1=CC=C(O)C=C1</t>
  </si>
  <si>
    <t>YRCWQPVGYLYSOX-UHFFFAOYSA-N</t>
  </si>
  <si>
    <t>C9H13NO2</t>
  </si>
  <si>
    <t>10.04_696.2801m/z</t>
  </si>
  <si>
    <t>Kuwanon J</t>
  </si>
  <si>
    <t>HMDB0030112</t>
  </si>
  <si>
    <t>83709-26-6</t>
  </si>
  <si>
    <t>CC(C)=CCC1=C(O)C=CC(C(=O)C2C(CC(C)=CC2C2=C(O)C=CC(C(=O)\C=C\C3=C(O)C=C(O)C=C3)=C2O)C2=C(O)C=C(O)C=C2)=C1O</t>
  </si>
  <si>
    <t>KBAPHKOHTBBCTO-AWNIVKPZSA-N</t>
  </si>
  <si>
    <t>C40H38O10</t>
  </si>
  <si>
    <t>11.25_172.1331m/z</t>
  </si>
  <si>
    <t>8-Nonynoic Acid</t>
  </si>
  <si>
    <t>LMFA01030509</t>
  </si>
  <si>
    <t>C(CCCCCCC#C)(=O)O</t>
  </si>
  <si>
    <t>NLRIJHGYFNZMGB-UHFFFAOYSA-N</t>
  </si>
  <si>
    <t>C9H14O2</t>
  </si>
  <si>
    <t>3.18_198.0891n</t>
  </si>
  <si>
    <t>Guaifenesin</t>
  </si>
  <si>
    <t>HMDB0004998</t>
  </si>
  <si>
    <t>93-14-1</t>
  </si>
  <si>
    <t>COC1=CC=CC=C1OCC(O)CO</t>
  </si>
  <si>
    <t>HSRJKNPTNIJEKV-UHFFFAOYSA-N</t>
  </si>
  <si>
    <t>1.38_437.1291m/z</t>
  </si>
  <si>
    <t>Flecainide</t>
  </si>
  <si>
    <t>HMDB0015326</t>
  </si>
  <si>
    <t>C07001</t>
  </si>
  <si>
    <t>54143-55-4</t>
  </si>
  <si>
    <t>FC(F)(F)COC1=CC(C(=O)NCC2CCCCN2)=C(OCC(F)(F)F)C=C1</t>
  </si>
  <si>
    <t>DJBNUMBKLMJRSA-UHFFFAOYSA-N</t>
  </si>
  <si>
    <t>C17H20F6N2O3</t>
  </si>
  <si>
    <t>4.44_315.1447m/z</t>
  </si>
  <si>
    <t>S-Isopropyl 3-Methylbut-2-Enethioate</t>
  </si>
  <si>
    <t>HMDB0032354</t>
  </si>
  <si>
    <t>34365-79-2</t>
  </si>
  <si>
    <t>CC(C)SC(=O)C=C(C)C</t>
  </si>
  <si>
    <t>IZVXTRDVESJRTA-UHFFFAOYSA-N</t>
  </si>
  <si>
    <t>C8H14OS</t>
  </si>
  <si>
    <t>4.23_527.3064m/z</t>
  </si>
  <si>
    <t>Dipyridamole</t>
  </si>
  <si>
    <t>HMDB0015110</t>
  </si>
  <si>
    <t>C06964</t>
  </si>
  <si>
    <t>58-32-2</t>
  </si>
  <si>
    <t>OCCN(CCO)C1=NC2=C(N=C(N=C2N2CCCCC2)N(CCO)CCO)C(=N1)N1CCCCC1</t>
  </si>
  <si>
    <t>IZEKFCXSFNUWAM-UHFFFAOYSA-N</t>
  </si>
  <si>
    <t>C24H40N8O4</t>
  </si>
  <si>
    <t>13.83_384.2374m/z</t>
  </si>
  <si>
    <t>20-Carboxy-Ltb4</t>
  </si>
  <si>
    <t>HMDB0006059</t>
  </si>
  <si>
    <t>LMFA03020016</t>
  </si>
  <si>
    <t>C05950</t>
  </si>
  <si>
    <t>80434-82-8</t>
  </si>
  <si>
    <t>C([C@@H](O)/C=C/C=C/C=C\[C@@H](O)CCCC(O)=O)/C=C\CCCCC(=O)O</t>
  </si>
  <si>
    <t>SXWGPVJGNOLNHT-VFLUTPEKSA-N</t>
  </si>
  <si>
    <t>1.35_148.0154m/z</t>
  </si>
  <si>
    <t>Carbapenem</t>
  </si>
  <si>
    <t>HMDB0249611</t>
  </si>
  <si>
    <t>O=C1CC2CC=CN12</t>
  </si>
  <si>
    <t>YZBQHRLRFGPBSL-UHFFFAOYSA-N</t>
  </si>
  <si>
    <t>C6H7NO</t>
  </si>
  <si>
    <t>0.82_653.1156m/z</t>
  </si>
  <si>
    <t>Prodelphinidin A1</t>
  </si>
  <si>
    <t>HMDB0036336</t>
  </si>
  <si>
    <t>OC1CC2=C(O)C=C3OC4(OC5=CC(O)=CC(O)=C5C(C4O)C3=C2OC1C1=CC(O)=C(O)C(O)=C1)C1=CC(O)=C(O)C(O)=C1</t>
  </si>
  <si>
    <t>SJDDGZBVGOKCKT-UHFFFAOYSA-N</t>
  </si>
  <si>
    <t>C30H24O14</t>
  </si>
  <si>
    <t>14.54_187.1262m/z</t>
  </si>
  <si>
    <t>4-Butyl-5-Ethylthiazole</t>
  </si>
  <si>
    <t>HMDB0040065</t>
  </si>
  <si>
    <t>57246-62-5</t>
  </si>
  <si>
    <t>CCCCC1=C(CC)SC=N1</t>
  </si>
  <si>
    <t>VBXZROKMYYWPEZ-UHFFFAOYSA-N</t>
  </si>
  <si>
    <t>C9H15NS</t>
  </si>
  <si>
    <t>0.56_238.8914m/z</t>
  </si>
  <si>
    <t>Triphosphate</t>
  </si>
  <si>
    <t>HMDB0003379</t>
  </si>
  <si>
    <t>C02174</t>
  </si>
  <si>
    <t>14127-68-5</t>
  </si>
  <si>
    <t>OP(O)(=O)OP(O)(=O)OP(O)(O)=O</t>
  </si>
  <si>
    <t>UNXRWKVEANCORM-UHFFFAOYSA-N</t>
  </si>
  <si>
    <t>Non-metal phosphates</t>
  </si>
  <si>
    <t>H5O10P3</t>
  </si>
  <si>
    <t>2.28_571.1854m/z</t>
  </si>
  <si>
    <t>3',4'-Dihydrodiol</t>
  </si>
  <si>
    <t>HMDB0013895</t>
  </si>
  <si>
    <t>OC1C=CC(=CC1O)[C@]1(NC(=O)NC1=O)C1=CC=CC=C1</t>
  </si>
  <si>
    <t>FEEKFEKCXIDMIS-KOHJWAIASA-N</t>
  </si>
  <si>
    <t>C15H14N2O4</t>
  </si>
  <si>
    <t>8.01_197.0006m/z</t>
  </si>
  <si>
    <t>1,2-Naphthoquinone</t>
  </si>
  <si>
    <t>HMDB0244101</t>
  </si>
  <si>
    <t>C14783</t>
  </si>
  <si>
    <t>524-42-5</t>
  </si>
  <si>
    <t>O=C1C=CC2=CC=CC=C2C1=O</t>
  </si>
  <si>
    <t>KETQAJRQOHHATG-UHFFFAOYSA-N</t>
  </si>
  <si>
    <t>C10H6O2</t>
  </si>
  <si>
    <t>10.64_450.1482m/z</t>
  </si>
  <si>
    <t>Fluvastatin</t>
  </si>
  <si>
    <t>HMDB0015227</t>
  </si>
  <si>
    <t>C07014</t>
  </si>
  <si>
    <t>93957-54-1</t>
  </si>
  <si>
    <t>CC(C)N1C(\C=C\[C@H](O)C[C@H](O)CC(O)=O)=C(C2=CC=C(F)C=C2)C2=CC=CC=C12</t>
  </si>
  <si>
    <t>FJLGEFLZQAZZCD-JUFISIKESA-N</t>
  </si>
  <si>
    <t>C24H26FNO4</t>
  </si>
  <si>
    <t>0.96_298.9916m/z</t>
  </si>
  <si>
    <t>Thiodiacetic Acid</t>
  </si>
  <si>
    <t>HMDB0042032</t>
  </si>
  <si>
    <t>C14872</t>
  </si>
  <si>
    <t>123-93-3</t>
  </si>
  <si>
    <t>OC(=O)CSCC(O)=O</t>
  </si>
  <si>
    <t>UVZICZIVKIMRNE-UHFFFAOYSA-N</t>
  </si>
  <si>
    <t>C4H6O4S</t>
  </si>
  <si>
    <t>7.52_385.2370m/z</t>
  </si>
  <si>
    <t>Megestrol Acetate</t>
  </si>
  <si>
    <t>LMST02030118</t>
  </si>
  <si>
    <t>C08151</t>
  </si>
  <si>
    <t>595-33-5</t>
  </si>
  <si>
    <t>[C@]1(C(=O)C)(OC(=O)C)CC[C@@]2([H])[C@]3([H])C=C(C4=CC(CC[C@]4(C)[C@@]3([H])CC[C@]12C)=O)C</t>
  </si>
  <si>
    <t>RQZAXGRLVPAYTJ-GQFGMJRRSA-N</t>
  </si>
  <si>
    <t>C24H32O4</t>
  </si>
  <si>
    <t>3.61_227.1642m/z</t>
  </si>
  <si>
    <t>Dihydrojasmonic Acid, Methyl Ester</t>
  </si>
  <si>
    <t>24851-98-7</t>
  </si>
  <si>
    <t>CCCCCC1C(CCC1=O)CC(=O)OC</t>
  </si>
  <si>
    <t>KVWWIYGFBYDJQC-UHFFFAOYSA-N</t>
  </si>
  <si>
    <t>10.38_535.2181m/z</t>
  </si>
  <si>
    <t>Almorexant</t>
  </si>
  <si>
    <t>HMDB0248172</t>
  </si>
  <si>
    <t>CNC(=O)C(N1CCC2=CC(OC)=C(OC)C=C2C1CCC1=CC=C(C=C1)C(F)(F)F)C1=CC=CC=C1</t>
  </si>
  <si>
    <t>DKMACHNQISHMDN-UHFFFAOYSA-N</t>
  </si>
  <si>
    <t>C29H31F3N2O3</t>
  </si>
  <si>
    <t>10.94_504.3093m/z</t>
  </si>
  <si>
    <t>PE(0:0/20:2(11Z,14Z))</t>
  </si>
  <si>
    <t>HMDB0011483</t>
  </si>
  <si>
    <t>LMGP02050047</t>
  </si>
  <si>
    <t>C(OP(OCCN)(O)=O)[C@]([H])(OC(=O)CCCCCCCCC/C=C\C/C=C\CCCCC)CO</t>
  </si>
  <si>
    <t>NHBRVTKHMMOYTG-XBJNFHHOSA-N</t>
  </si>
  <si>
    <t>C25H48NO7P</t>
  </si>
  <si>
    <t>5.45_471.1420m/z</t>
  </si>
  <si>
    <t>Anhydrotetracycline</t>
  </si>
  <si>
    <t>13803-65-1</t>
  </si>
  <si>
    <t>CC1=C2C=CC=C(C2=C(C3=C1CC4C(C(=O)C(=C(C4(C3=O)O)O)C(=O)N)N(C)C)O)O</t>
  </si>
  <si>
    <t>KTTKGQINVKPHLY-DOCRCCHOSA-N</t>
  </si>
  <si>
    <t>C22H22N2O7</t>
  </si>
  <si>
    <t>1.50_429.2233m/z</t>
  </si>
  <si>
    <t>PG(12:0/0:0)</t>
  </si>
  <si>
    <t>LMGP04050011</t>
  </si>
  <si>
    <t>[H][C@](O)(CO)COP(OC[C@]([H])(O)COC(CCCCCCCCCCC)=O)(=O)O</t>
  </si>
  <si>
    <t>IACXMECMZISNLR-DLBZAZTESA-N</t>
  </si>
  <si>
    <t>C18H37O9P</t>
  </si>
  <si>
    <t>5.26_341.1239m/z</t>
  </si>
  <si>
    <t>Chavicol O-Beta-Glucopyranoside</t>
  </si>
  <si>
    <t>HMDB0041617</t>
  </si>
  <si>
    <t>64703-98-6</t>
  </si>
  <si>
    <t>OCC1OC(OC2=CC=C(CC=C)C=C2)C(O)C(O)C1O</t>
  </si>
  <si>
    <t>BGWWYZXBGAKMRB-UHFFFAOYSA-N</t>
  </si>
  <si>
    <t>C15H20O6</t>
  </si>
  <si>
    <t>1.16_696.2492m/z</t>
  </si>
  <si>
    <t>Linoside A</t>
  </si>
  <si>
    <t>LMPK12111060</t>
  </si>
  <si>
    <t>C1(OC)=CC2OC(C3C=CC(OC)=C(OC)C=3)=CC(=O)C=2C(O)=C1[C@H]1[C@H](O[C@H]2[C@H](O)[C@H](O)[C@@H](O)[C@H](C)O2)[C@@H](O)[C@H](O)[C@@H](COC(C)=O)O1</t>
  </si>
  <si>
    <t>QRFPSEZAOACTEJ-MYFGHTEQSA-N</t>
  </si>
  <si>
    <t>C32H38O16</t>
  </si>
  <si>
    <t>5.04_303.0872m/z</t>
  </si>
  <si>
    <t>P-Hydroxyphenylacetic Acid</t>
  </si>
  <si>
    <t>HMDB0000020</t>
  </si>
  <si>
    <t>C00642</t>
  </si>
  <si>
    <t>ko00350,ko00360</t>
  </si>
  <si>
    <t>Tyrosine metabolism|Phenylalanine metabolism</t>
  </si>
  <si>
    <t>156-38-7</t>
  </si>
  <si>
    <t>OC(=O)CC1=CC=C(O)C=C1</t>
  </si>
  <si>
    <t>XQXPVVBIMDBYFF-UHFFFAOYSA-N</t>
  </si>
  <si>
    <t>5.28_379.1971m/z</t>
  </si>
  <si>
    <t>(+/-)-Isobutyl 3-Methylthiobutyrate</t>
  </si>
  <si>
    <t>HMDB0032346</t>
  </si>
  <si>
    <t>LMFA07010696</t>
  </si>
  <si>
    <t>127931-21-9</t>
  </si>
  <si>
    <t>O=C(CC(SC)C)OCC(C)C</t>
  </si>
  <si>
    <t>RRGSLXQIRFOAEM-UHFFFAOYSA-N</t>
  </si>
  <si>
    <t>C9H18O2S</t>
  </si>
  <si>
    <t>4.35_391.1123m/z</t>
  </si>
  <si>
    <t>Meta-O-Dealkylated Flecainide Lactam</t>
  </si>
  <si>
    <t>HMDB0060832</t>
  </si>
  <si>
    <t>91933-52-7</t>
  </si>
  <si>
    <t>OC1=CC=C(OCC(F)(F)F)C(=C1)C(=O)NCC1CCCC(=O)N1</t>
  </si>
  <si>
    <t>OIOMUGZSHNAEMH-UHFFFAOYSA-N</t>
  </si>
  <si>
    <t>C15H17F3N2O4</t>
  </si>
  <si>
    <t>5.08_491.1194m/z</t>
  </si>
  <si>
    <t>6-Hydroxyluteolin 6,3'-Dimethyl Ether 7-Glucoside</t>
  </si>
  <si>
    <t>COC1=C(C=CC(=C1)C2=CC(=O)C3=C(C(=C(C=C3O2)OC4C(C(C(C(O4)CO)O)O)O)OC)O)O</t>
  </si>
  <si>
    <t>YFZSQPRYLBGYKE-SLYRBRRESA-N</t>
  </si>
  <si>
    <t>C23H24O12</t>
  </si>
  <si>
    <t>8.35_555.1291m/z</t>
  </si>
  <si>
    <t>Dehydroxymethylflazine</t>
  </si>
  <si>
    <t>HMDB0041200</t>
  </si>
  <si>
    <t>76135-36-9</t>
  </si>
  <si>
    <t>OC(=O)C1=NC(C2=CC=CO2)=C2NC3=CC=CC=C3C2=C1</t>
  </si>
  <si>
    <t>LTTIWDNLMMLJOI-UHFFFAOYSA-N</t>
  </si>
  <si>
    <t>C16H10N2O3</t>
  </si>
  <si>
    <t>3.86_331.0929m/z</t>
  </si>
  <si>
    <t>3-Methylxanthine</t>
  </si>
  <si>
    <t>HMDB0001886</t>
  </si>
  <si>
    <t>C16357</t>
  </si>
  <si>
    <t>1076-22-8</t>
  </si>
  <si>
    <t>CN1C2=C(NC=N2)C(=O)NC1=O</t>
  </si>
  <si>
    <t>GMSNIKWWOQHZGF-UHFFFAOYSA-N</t>
  </si>
  <si>
    <t>C6H6N4O2</t>
  </si>
  <si>
    <t>1.20_322.1059m/z</t>
  </si>
  <si>
    <t>L-L-Homoglutathione</t>
  </si>
  <si>
    <t>HMDB0029395</t>
  </si>
  <si>
    <t>18710-27-5</t>
  </si>
  <si>
    <t>NC(CC\C(O)=N\C(CS)C(\O)=N\CCC(O)=O)C(O)=O</t>
  </si>
  <si>
    <t>HKBNQXMLSMKLJV-UHFFFAOYSA-N</t>
  </si>
  <si>
    <t>C11H19N3O6S</t>
  </si>
  <si>
    <t>4.45_431.0922m/z</t>
  </si>
  <si>
    <t>4-(2-Hydroxy-3-(Tert-Butylamino)Propoxy)-3-Iodo-1h-Indole-2-Carbonitrile</t>
  </si>
  <si>
    <t>HMDB0244489</t>
  </si>
  <si>
    <t>CC(C)(C)NCC(O)COC1=CC=CC2=C1C(I)=C(N2)C#N</t>
  </si>
  <si>
    <t>JBLUMBNIBNHRSO-UHFFFAOYSA-N</t>
  </si>
  <si>
    <t>C16H20IN3O2</t>
  </si>
  <si>
    <t>9.82_111.1168m/z</t>
  </si>
  <si>
    <t>2,5-Diethyltetrahydrofuran</t>
  </si>
  <si>
    <t>HMDB0029574</t>
  </si>
  <si>
    <t>41239-48-9</t>
  </si>
  <si>
    <t>CCC1CCC(CC)O1</t>
  </si>
  <si>
    <t>YKWLEIXVUHRKEF-UHFFFAOYSA-N</t>
  </si>
  <si>
    <t>C8H16O</t>
  </si>
  <si>
    <t>10.70_374.3625m/z</t>
  </si>
  <si>
    <t>2-Hydroxy Behenic</t>
  </si>
  <si>
    <t>HMDB0061660</t>
  </si>
  <si>
    <t>LMFA01050077</t>
  </si>
  <si>
    <t>C(CCCCCCCCCCCC(O)C(=O)O)CCCCCCCC</t>
  </si>
  <si>
    <t>RPGJJWLCCOPDAZ-UHFFFAOYSA-N</t>
  </si>
  <si>
    <t>C22H44O3</t>
  </si>
  <si>
    <t>7.97_617.2602m/z</t>
  </si>
  <si>
    <t>Sapanisertib</t>
  </si>
  <si>
    <t>HMDB0244472</t>
  </si>
  <si>
    <t>CC(C)N1N=C(C2=C(N)N=CN=C12)C1=CC=C2OC(N)=NC2=C1</t>
  </si>
  <si>
    <t>GYLDXIAOMVERTK-UHFFFAOYSA-N</t>
  </si>
  <si>
    <t>Benzoxazoles</t>
  </si>
  <si>
    <t>C15H15N7O</t>
  </si>
  <si>
    <t>7.69_825.1642m/z</t>
  </si>
  <si>
    <t>3beta-(4-Iodophenyl)Tropan-2beta-Carboxylic Acid Isopropyl Ester</t>
  </si>
  <si>
    <t>HMDB0257343</t>
  </si>
  <si>
    <t>CC(C)OC(=O)C1C2CCC(CC1C1=CC=C(I)C=C1)N2C</t>
  </si>
  <si>
    <t>ZAQLTGAFVMGUMB-UHFFFAOYSA-N</t>
  </si>
  <si>
    <t>Phenyltropanes</t>
  </si>
  <si>
    <t>C18H24INO2</t>
  </si>
  <si>
    <t>6.05_609.3076m/z</t>
  </si>
  <si>
    <t>Wikstrocin A</t>
  </si>
  <si>
    <t>LMPR0104330005</t>
  </si>
  <si>
    <t>[C@H]1(O)C(CO)=C[C@]2(O)C(C(C)=C[C@@]2([H])[C@@]2(O)[C@@H]([C@@H](OC(=O)C3=CC=CC=C3)[C@@]3(OC(CCCCCCC)=O)C(C)(C)[C@@]3([H])[C@@]21[H])C)=O</t>
  </si>
  <si>
    <t>PHUYHZVUYBGTQF-PUZDGFOXSA-N</t>
  </si>
  <si>
    <t>C35H46O9</t>
  </si>
  <si>
    <t>4.42_399.2387m/z</t>
  </si>
  <si>
    <t>5-Trans-Pgf2alpha</t>
  </si>
  <si>
    <t>HMDB0001139</t>
  </si>
  <si>
    <t>LMFA03010077</t>
  </si>
  <si>
    <t>C00639</t>
  </si>
  <si>
    <t>ko00590,ko04072,ko04080,ko04726,ko04913,ko04921,ko04976</t>
  </si>
  <si>
    <t>Arachidonic acid metabolism|Phospholipase D signaling pathway|Neuroactive ligand-receptor interaction|Serotonergic synapse|Ovarian steroidogenesis|Oxytocin signaling pathway|Bile secretion</t>
  </si>
  <si>
    <t>551-11-1</t>
  </si>
  <si>
    <t>[C@H]1(/C=C/[C@@H](O)CCCCC)[C@H](O)C[C@H](O)[C@@H]1C/C=C/CCCC(=O)O</t>
  </si>
  <si>
    <t>PXGPLTODNUVGFL-UAAPODJFSA-N</t>
  </si>
  <si>
    <t>0.67_298.1875m/z</t>
  </si>
  <si>
    <t>Feruloylcholine</t>
  </si>
  <si>
    <t>HMDB0032800</t>
  </si>
  <si>
    <t>85927-25-9</t>
  </si>
  <si>
    <t>COC1=C(O)C=CC(\C=C\C(=O)OCC[N+](C)(C)C)=C1</t>
  </si>
  <si>
    <t>XHSNXOZZHHJDDX-UHFFFAOYSA-O</t>
  </si>
  <si>
    <t>C15H22NO4+</t>
  </si>
  <si>
    <t>3.57_541.1529m/z</t>
  </si>
  <si>
    <t>Isoglobotriaose</t>
  </si>
  <si>
    <t>HMDB0006598</t>
  </si>
  <si>
    <t>41744-59-6</t>
  </si>
  <si>
    <t>[H][C@@](O[C@@H]1O[C@H](CO)[C@H](O)[C@H](O[C@@]2([H])C[C@H](CO)[C@H](O)[C@H](O)[C@H]2O)[C@H]1O)([C@H](O)CO)[C@H](O)[C@@H](O)C=O</t>
  </si>
  <si>
    <t>DRRWNKCTTZUPPM-FBSSLUAZSA-N</t>
  </si>
  <si>
    <t>C19H34O15</t>
  </si>
  <si>
    <t>12.39_365.2459m/z</t>
  </si>
  <si>
    <t>Methyprylon</t>
  </si>
  <si>
    <t>HMDB0015239</t>
  </si>
  <si>
    <t>125-64-4</t>
  </si>
  <si>
    <t>CCC1(CC)C(=O)NCC(C)C1=O</t>
  </si>
  <si>
    <t>SIDLZWOQUZRBRU-UHFFFAOYSA-N</t>
  </si>
  <si>
    <t>C10H17NO2</t>
  </si>
  <si>
    <t>1.50_265.0927m/z</t>
  </si>
  <si>
    <t>1,2-O-Isopropylidene-D-Glucofuranose</t>
  </si>
  <si>
    <t>HMDB0242729</t>
  </si>
  <si>
    <t>CC1(C)OC2OC(C(O)CO)C(O)C2O1</t>
  </si>
  <si>
    <t>BGGCXQKYCBBHAH-UHFFFAOYSA-N</t>
  </si>
  <si>
    <t>11.10_697.2284m/z</t>
  </si>
  <si>
    <t>Voriconazole</t>
  </si>
  <si>
    <t>HMDB0014720</t>
  </si>
  <si>
    <t>C07622</t>
  </si>
  <si>
    <t>137234-62-9</t>
  </si>
  <si>
    <t>C[C@@H](C1=NC=NC=C1F)[C@](O)(CN1C=NC=N1)C1=C(F)C=C(F)C=C1</t>
  </si>
  <si>
    <t>BCEHBSKCWLPMDN-MGPLVRAMSA-N</t>
  </si>
  <si>
    <t>C16H14F3N5O</t>
  </si>
  <si>
    <t>4.74_335.2789m/z</t>
  </si>
  <si>
    <t>Arachidonic Acid (D8)</t>
  </si>
  <si>
    <t>HMDB01043</t>
  </si>
  <si>
    <t>LMFA01030003</t>
  </si>
  <si>
    <t>69254-37-1</t>
  </si>
  <si>
    <t>C(O)(=O)CCC/C(/[2H])=C(/[2H])\C/C(/[2H])=C(/[2H])\C/C(/[2H])=C(/[2H])\C/C(/[2H])=C(/[2H])\CCCCC</t>
  </si>
  <si>
    <t>YZXBAPSDXZZRGB-FBFLGLDDSA-N</t>
  </si>
  <si>
    <t>C20H24D8O2</t>
  </si>
  <si>
    <t>11.60_313.2733m/z</t>
  </si>
  <si>
    <t>18-Oxo-Nonadecanoic Acid</t>
  </si>
  <si>
    <t>LMFA01060129</t>
  </si>
  <si>
    <t>C(CCCCCCCCCCCCCCCCC(=O)C)(=O)O</t>
  </si>
  <si>
    <t>ZNFQHZMNVKPFIZ-UHFFFAOYSA-N</t>
  </si>
  <si>
    <t>9.21_286.2740m/z</t>
  </si>
  <si>
    <t>Methyl 7z-Hexadecenoate</t>
  </si>
  <si>
    <t>HMDB0061858</t>
  </si>
  <si>
    <t>LMFA07010496</t>
  </si>
  <si>
    <t>56875-67-3</t>
  </si>
  <si>
    <t>O=C(CCCCC/C=C\CCCCCCCC)OC</t>
  </si>
  <si>
    <t>FXCDESKKWMGGON-KHPPLWFESA-N</t>
  </si>
  <si>
    <t>10.79_523.3990m/z</t>
  </si>
  <si>
    <t>DG(10:0/18:3(9,11,15)-OH(13)/0:0)</t>
  </si>
  <si>
    <t>HMDB0294585</t>
  </si>
  <si>
    <t>CCCCCCCCCC(=O)OC[C@H](CO)OC(=O)CCCCCCC\C=C\C=C\C(O)C\C=C\CC</t>
  </si>
  <si>
    <t>UVCWDTCUIQGQAU-VSMWTVOLSA-N</t>
  </si>
  <si>
    <t>5.15_699.2660m/z</t>
  </si>
  <si>
    <t>N4-(1,3-Benzodioxol-5-Ylmethyl)-6-(3-Methoxyphenyl)Pyrimidine-2,4-Diamine</t>
  </si>
  <si>
    <t>HMDB0249307</t>
  </si>
  <si>
    <t>COC1=CC=CC(=C1)C1=CC(NCC2=CC3=C(OCO3)C=C2)=NC(N)=N1</t>
  </si>
  <si>
    <t>FABQUVYDAXWUQP-UHFFFAOYSA-N</t>
  </si>
  <si>
    <t>C19H18N4O3</t>
  </si>
  <si>
    <t>5.97_711.2354m/z</t>
  </si>
  <si>
    <t>Pioglitazone</t>
  </si>
  <si>
    <t>HMDB0015264</t>
  </si>
  <si>
    <t>C07675</t>
  </si>
  <si>
    <t>111025-46-8</t>
  </si>
  <si>
    <t>CCC1=CN=C(CCOC2=CC=C(CC3SC(=O)NC3=O)C=C2)C=C1</t>
  </si>
  <si>
    <t>HYAFETHFCAUJAY-UHFFFAOYSA-N</t>
  </si>
  <si>
    <t>C19H20N2O3S</t>
  </si>
  <si>
    <t>3.83_555.2774m/z</t>
  </si>
  <si>
    <t>Lamellosterol A</t>
  </si>
  <si>
    <t>LMST05020060</t>
  </si>
  <si>
    <t>C1C[C@@H](O)C[C@]2([H])C[C@@H](O)[C@@]3(O)[C@]4([H])CC[C@]([H])([C@H](C)CCCC(C)COS(=O)(O)=O)[C@@]4(C)CC[C@]3([H])[C@@]12C</t>
  </si>
  <si>
    <t>UHZPZECSBHKZCG-FVZADQOOSA-N</t>
  </si>
  <si>
    <t>C27H48O7S</t>
  </si>
  <si>
    <t>7.67_1064.3735m/z</t>
  </si>
  <si>
    <t>Cis,Cis,Cis-10,13,16-Docosatrienoyl-Coa</t>
  </si>
  <si>
    <t>HMDB0060213</t>
  </si>
  <si>
    <t>CCCCC\C=C/C\C=C/C\C=C/CCCCCCCCC(=O)SCCN=C(O)CCN=C(O)[C@H](O)C(C)(C)COP(O)(=O)OP(O)(=O)OC[C@@H]1O[C@@H]([C@H](O)[C@@H]1OP(O)(O)=O)N1C=NC2=C(N)N=CN=C12</t>
  </si>
  <si>
    <t>NRFSUEZXHDEQRO-YYOOZTOSSA-N</t>
  </si>
  <si>
    <t>C43H72N7O17P3S</t>
  </si>
  <si>
    <t>5.79_520.0861m/z</t>
  </si>
  <si>
    <t>Ophrysanin</t>
  </si>
  <si>
    <t>LMPK12010133</t>
  </si>
  <si>
    <t>C1(O)=CC2[O+]=C(C3C=C(O)C(O)=CC=3)C(O[C@H]3[C@H](O)[C@@H](O)[C@H](O)[C@@H](COC(C(O)=O)=O)O3)=CC=2C(O)=C1</t>
  </si>
  <si>
    <t>ADNURPZCKUPWPT-BYXWFHEMSA-O</t>
  </si>
  <si>
    <t>C23H21O14+</t>
  </si>
  <si>
    <t>8.71_971.5441m/z</t>
  </si>
  <si>
    <t>PE(20:2(11Z,14Z)/LTE4)</t>
  </si>
  <si>
    <t>HMDB0262060</t>
  </si>
  <si>
    <t>CCCCC\C=C/C\C=C/CCCCCCCCCC(=O)OC[C@H](COP(O)(=O)OCCN)OC(=O)[C@@H](N)CS[C@H](\C=C\C=C\C=C/C\C=C/CCCCC)[C@@H](O)CCCC(O)=O</t>
  </si>
  <si>
    <t>CTCDAGZULWMIFI-MERWYNNNSA-N</t>
  </si>
  <si>
    <t>C48H83N2O11PS</t>
  </si>
  <si>
    <t>0.99_140.0424m/z</t>
  </si>
  <si>
    <t>Guanidoacetic Acid</t>
  </si>
  <si>
    <t>HMDB0000128</t>
  </si>
  <si>
    <t>C00581</t>
  </si>
  <si>
    <t>ko00260,ko00330</t>
  </si>
  <si>
    <t>Glycine, serine and threonine metabolism|Arginine and proline metabolism</t>
  </si>
  <si>
    <t>352-97-6</t>
  </si>
  <si>
    <t>NC(=N)NCC(O)=O</t>
  </si>
  <si>
    <t>BPMFZUMJYQTVII-UHFFFAOYSA-N</t>
  </si>
  <si>
    <t>C3H7N3O2</t>
  </si>
  <si>
    <t>1.06_166.0723m/z</t>
  </si>
  <si>
    <t>1-Methylguanine</t>
  </si>
  <si>
    <t>HMDB0003282</t>
  </si>
  <si>
    <t>C04152</t>
  </si>
  <si>
    <t>938-85-2</t>
  </si>
  <si>
    <t>CN1C(N)=NC2=C(NC=N2)C1=O</t>
  </si>
  <si>
    <t>RFLVMTUMFYRZCB-UHFFFAOYSA-N</t>
  </si>
  <si>
    <t>C6H7N5O</t>
  </si>
  <si>
    <t>9.75_265.1572m/z</t>
  </si>
  <si>
    <t>Practolol</t>
  </si>
  <si>
    <t>C11696</t>
  </si>
  <si>
    <t>6673-35-4</t>
  </si>
  <si>
    <t>CC(C)NCC(COC1=CC=C(C=C1)NC(=O)C)O</t>
  </si>
  <si>
    <t>DURULFYMVIFBIR-ZDUSSCGKSA-N</t>
  </si>
  <si>
    <t>C14H22N2O3</t>
  </si>
  <si>
    <t>3.73_649.2346m/z</t>
  </si>
  <si>
    <t>Jnj-10198409</t>
  </si>
  <si>
    <t>627512-69-0</t>
  </si>
  <si>
    <t>COC1=C(C=C2C(=C1)CC3=C2NN=C3NC4=CC(=CC=C4)F)OC</t>
  </si>
  <si>
    <t>ZDNURMVOKAERHZ-UHFFFAOYSA-N</t>
  </si>
  <si>
    <t>C18H16FN3O2</t>
  </si>
  <si>
    <t>4.97_1089.5900m/z</t>
  </si>
  <si>
    <t>Ginsenoside Rb1</t>
  </si>
  <si>
    <t>HMDB0035892</t>
  </si>
  <si>
    <t>41753-43-9</t>
  </si>
  <si>
    <t>CC(C)=CCCC(C)(OC1OC(COC2OC(CO)C(O)C(O)C2O)C(O)C(O)C1O)C1CCC2(C)C1C(O)CC1C3(C)CCC(OC4OC(CO)C(O)C(O)C4OC4OC(CO)C(O)C(O)C4O)C(C)(C)C3CCC21C</t>
  </si>
  <si>
    <t>GZYPWOGIYAIIPV-UHFFFAOYSA-N</t>
  </si>
  <si>
    <t>C54H92O23</t>
  </si>
  <si>
    <t>4.88_483.1652m/z</t>
  </si>
  <si>
    <t>Kanzonol T</t>
  </si>
  <si>
    <t>HMDB0029904</t>
  </si>
  <si>
    <t>181476-22-2</t>
  </si>
  <si>
    <t>CC(C)(O)CCC1=C(O)C2=C(OC=C(C2=O)C2=CC=C3OC(C)(C)C=CC3=C2O)C=C1O</t>
  </si>
  <si>
    <t>SBSQRDFJISUOGV-UHFFFAOYSA-N</t>
  </si>
  <si>
    <t>C25H26O7</t>
  </si>
  <si>
    <t>2.07_348.1297m/z</t>
  </si>
  <si>
    <t>(2e)-4-Hydroxy-3-Methylpent-2-Enedioylcarnitine</t>
  </si>
  <si>
    <t>HMDB0241661</t>
  </si>
  <si>
    <t>CC(=CC(O)=O)C(O)C(=O)OC(CC([O-])=O)C[N+](C)(C)C</t>
  </si>
  <si>
    <t>JBMXEKVFHRDFCQ-UHFFFAOYSA-N</t>
  </si>
  <si>
    <t>C13H21NO7</t>
  </si>
  <si>
    <t>1.20_361.0066m/z</t>
  </si>
  <si>
    <t>Ascorbic Acid Citrate</t>
  </si>
  <si>
    <t>HMDB0248653</t>
  </si>
  <si>
    <t>OC1=C(O)C(=O)OC1C1(O)OC(=O)CC2(O)CC(=O)OC1(O)OC2=O</t>
  </si>
  <si>
    <t>RALJLUURQSMFJF-UHFFFAOYSA-N</t>
  </si>
  <si>
    <t>C12H10O13</t>
  </si>
  <si>
    <t>1.06_300.1075m/z</t>
  </si>
  <si>
    <t>Arginylserine</t>
  </si>
  <si>
    <t>HMDB0028718</t>
  </si>
  <si>
    <t>70921-62-9</t>
  </si>
  <si>
    <t>N[C@@H](CCCNC(N)=N)C(=O)N[C@@H](CO)C(O)=O</t>
  </si>
  <si>
    <t>IJYZHIOOBGIINM-WDSKDSINSA-N</t>
  </si>
  <si>
    <t>C9H19N5O4</t>
  </si>
  <si>
    <t>6.41_697.3796m/z</t>
  </si>
  <si>
    <t>Ao-080/43342692</t>
  </si>
  <si>
    <t>C[N+]12CCC34C1CC5C6C3N(C(=O)CC6OCC=C5C2)C7=CC=CC=C47</t>
  </si>
  <si>
    <t>CTCZKABHVPGYMK-UHFFFAOYSA-N</t>
  </si>
  <si>
    <t>C22H25N2O2+</t>
  </si>
  <si>
    <t>5.13_507.1142m/z</t>
  </si>
  <si>
    <t>Syringetin 3-Glucoside</t>
  </si>
  <si>
    <t>COC1=CC(=CC(=C1O)OC)C2=C(C(=O)C3=C(C=C(C=C3O2)O)O)OC4C(C(C(C(O4)CO)O)O)O</t>
  </si>
  <si>
    <t>JMFWYRWPJVEZPV-WKRUDVTBSA-N</t>
  </si>
  <si>
    <t>3.54_499.1435m/z</t>
  </si>
  <si>
    <t>(2r,4s)-6-Fluoro-2-Methylspiro[2,3-Dihydrochromene-4,5'-Imidazolidine]-2',4'-Dione</t>
  </si>
  <si>
    <t>HMDB0242550</t>
  </si>
  <si>
    <t>CC1CC2(NC(=O)NC2=O)C2=C(O1)C=CC(F)=C2</t>
  </si>
  <si>
    <t>SEAQTHCVAGBRFY-UHFFFAOYSA-N</t>
  </si>
  <si>
    <t>C12H11FN2O3</t>
  </si>
  <si>
    <t>1.52_564.9874m/z</t>
  </si>
  <si>
    <t>5-(3-Hydroxybenzoyl)-2-Thiophenesulfonamide</t>
  </si>
  <si>
    <t>HMDB0246719</t>
  </si>
  <si>
    <t>NS(=O)(=O)C1=CC=C(S1)C(=O)C1=CC(O)=CC=C1</t>
  </si>
  <si>
    <t>PTDJNLYHCHJVGJ-UHFFFAOYSA-N</t>
  </si>
  <si>
    <t>C11H9NO4S2</t>
  </si>
  <si>
    <t>5.28_248.1643m/z</t>
  </si>
  <si>
    <t>Oxprenolol</t>
  </si>
  <si>
    <t>HMDB0015520</t>
  </si>
  <si>
    <t>D08318</t>
  </si>
  <si>
    <t>6452-71-7</t>
  </si>
  <si>
    <t>CC(C)NCC(O)COC1=C(OCC=C)C=CC=C1</t>
  </si>
  <si>
    <t>CEMAWMOMDPGJMB-UHFFFAOYSA-N</t>
  </si>
  <si>
    <t>C15H23NO3</t>
  </si>
  <si>
    <t>5.28_515.1767m/z</t>
  </si>
  <si>
    <t>Cyclocalopin D</t>
  </si>
  <si>
    <t>HMDB0039813</t>
  </si>
  <si>
    <t>CC1COC(=O)C2OC3(C)OC4CC3(C12)C(O)C(OC1OC(CO)C(O)C(O)C1O)=C4COC(C)=O</t>
  </si>
  <si>
    <t>PDSOUSYYTLHECG-UHFFFAOYSA-N</t>
  </si>
  <si>
    <t>C23H32O13</t>
  </si>
  <si>
    <t>5.03_154.0861m/z</t>
  </si>
  <si>
    <t>Phenylacetic Acid</t>
  </si>
  <si>
    <t>HMDB0000209</t>
  </si>
  <si>
    <t>C07086</t>
  </si>
  <si>
    <t>103-82-2</t>
  </si>
  <si>
    <t>OC(=O)CC1=CC=CC=C1</t>
  </si>
  <si>
    <t>WLJVXDMOQOGPHL-UHFFFAOYSA-N</t>
  </si>
  <si>
    <t>0.62_777.3122m/z</t>
  </si>
  <si>
    <t>Bpd-Ma</t>
  </si>
  <si>
    <t>HMDB0249026</t>
  </si>
  <si>
    <t>CCOC(=O)C1C(=CC=C2\C3=C\C4=C(C)C(CCC(O)=O)=C(N4)\C=C4/N=C(/C=C5\N\C(=C/C(=N3)C12C)C(C=C)=C5C)C(C)=C4CCC(O)=O)C(=O)OCC</t>
  </si>
  <si>
    <t>UYFSAPNRJIQXGN-SSLAYHCESA-N</t>
  </si>
  <si>
    <t>C42H44N4O8</t>
  </si>
  <si>
    <t>10.64_209.0129m/z</t>
  </si>
  <si>
    <t>Propylthiouracil</t>
  </si>
  <si>
    <t>HMDB0014690</t>
  </si>
  <si>
    <t>C07569</t>
  </si>
  <si>
    <t>51-52-5</t>
  </si>
  <si>
    <t>CCCC1=CC(=O)NC(=S)N1</t>
  </si>
  <si>
    <t>KNAHARQHSZJURB-UHFFFAOYSA-N</t>
  </si>
  <si>
    <t>C7H10N2OS</t>
  </si>
  <si>
    <t>1.52_274.0977m/z</t>
  </si>
  <si>
    <t>2-Hydroxy-1-Naphthylaldehyde Isonicotinoyl Hydrazone</t>
  </si>
  <si>
    <t>HMDB0247401</t>
  </si>
  <si>
    <t>OC1=C(C=NNC(=O)C2=CC=NC=C2)C2=CC=CC=C2C=C1</t>
  </si>
  <si>
    <t>WQSHHAVECQJKLX-UHFFFAOYSA-N</t>
  </si>
  <si>
    <t>C17H13N3O2</t>
  </si>
  <si>
    <t>7.77_559.2911m/z</t>
  </si>
  <si>
    <t>(-)-Euphomine A</t>
  </si>
  <si>
    <t>LMPR0104300002</t>
  </si>
  <si>
    <t>[C@@]12([H])C=C(C)C(O)CC(OC(=O)C)C(C)(C)C=C[C@H](C)C(OC(=O)C)[C@@]1(O)C[C@H](C)[C@@H]2OC1C=CC=CC=1</t>
  </si>
  <si>
    <t>CUWPNVIPGKLCJJ-CYMHBGLUSA-N</t>
  </si>
  <si>
    <t>C30H42O7</t>
  </si>
  <si>
    <t>8.80_477.1495m/z</t>
  </si>
  <si>
    <t>Bapta</t>
  </si>
  <si>
    <t>HMDB0248863</t>
  </si>
  <si>
    <t>OC(=O)CN(CC(O)=O)C1=CC=CC=C1OCCOC1=CC=CC=C1N(CC(O)=O)CC(O)=O</t>
  </si>
  <si>
    <t>FTEDXVNDVHYDQW-UHFFFAOYSA-N</t>
  </si>
  <si>
    <t>C22H24N2O10</t>
  </si>
  <si>
    <t>9.77_269.1651m/z</t>
  </si>
  <si>
    <t>Didesmethyl Doxepin</t>
  </si>
  <si>
    <t>HMDB0060816</t>
  </si>
  <si>
    <t>NCC\C=C1/C2=CC=CC=C2COC2=CC=CC=C12</t>
  </si>
  <si>
    <t>HLUSHBJOSPBFOC-OQLLNIDSSA-N</t>
  </si>
  <si>
    <t>Dibenzoxepines</t>
  </si>
  <si>
    <t>C17H17NO</t>
  </si>
  <si>
    <t>7.17_373.1236m/z</t>
  </si>
  <si>
    <t>2,5-Diamino-6-(5-Phospho-D-Ribitylamino)Pyrimidin-4(3h)-One</t>
  </si>
  <si>
    <t>HMDB0304043</t>
  </si>
  <si>
    <t>C18910</t>
  </si>
  <si>
    <t>ko00740</t>
  </si>
  <si>
    <t>Riboflavin metabolism</t>
  </si>
  <si>
    <t>NC1=NC(NC[C@H](O)[C@H](O)[C@H](O)COP(O)(O)=O)=C(N)C(=O)N1</t>
  </si>
  <si>
    <t>ACIVVGBVOVHFPQ-RPDRRWSUSA-N</t>
  </si>
  <si>
    <t>C9H18N5O8P</t>
  </si>
  <si>
    <t>4.96_260.1411n</t>
  </si>
  <si>
    <t>10-Hydroxy-3-Methoxy-1,3,5,7-Cadinatetraen-9-One</t>
  </si>
  <si>
    <t>HMDB0036456</t>
  </si>
  <si>
    <t>C09695</t>
  </si>
  <si>
    <t>72843-51-7</t>
  </si>
  <si>
    <t>COC1=C(C)C=C2C(=CC(=O)C(C)(O)C2=C1)C(C)C</t>
  </si>
  <si>
    <t>VMEKKHYIQYOLHA-UHFFFAOYSA-N</t>
  </si>
  <si>
    <t>C16H20O3</t>
  </si>
  <si>
    <t>2.13_335.0423m/z</t>
  </si>
  <si>
    <t>5-(3',4',5'-Trihydroxyphenyl)-Gamma-Valerolactone-O-Methyl-O-Sulphate</t>
  </si>
  <si>
    <t>HMDB0060029</t>
  </si>
  <si>
    <t>OC1=CC(CC2CCC(=O)O2)=CC(OCOS(O)(=O)=O)=C1O</t>
  </si>
  <si>
    <t>KDFRMSXAKYPTNJ-UHFFFAOYSA-N</t>
  </si>
  <si>
    <t>C12H14O9S</t>
  </si>
  <si>
    <t>3.97_533.1854m/z</t>
  </si>
  <si>
    <t>Zidovudine</t>
  </si>
  <si>
    <t>HMDB0014638</t>
  </si>
  <si>
    <t>C07210</t>
  </si>
  <si>
    <t>30516-87-1</t>
  </si>
  <si>
    <t>CC1=CN([C@H]2C[C@H](N=[N+]=[N-])[C@@H](CO)O2)C(=O)NC1=O</t>
  </si>
  <si>
    <t>HBOMLICNUCNMMY-XLPZGREQSA-N</t>
  </si>
  <si>
    <t>5.44_598.3007m/z</t>
  </si>
  <si>
    <t>Ps-Ps</t>
  </si>
  <si>
    <t>LMGP20040018</t>
  </si>
  <si>
    <t>C(O)(=O)[C@@]([H])(N)COP(OC[C@]([H])(OC(CCC(=O)O)=O)COC(CCCCCCCCCCCCCCC)=O)(=O)O</t>
  </si>
  <si>
    <t>NVHKBSKYGPFWOE-YADHBBJMSA-N</t>
  </si>
  <si>
    <t>C26H48NO12P</t>
  </si>
  <si>
    <t>6.44_565.2213m/z</t>
  </si>
  <si>
    <t>Benzonitrile, 3-Amino-4-((2-((Dimethylamino)Methyl)Phenyl)Thio)-</t>
  </si>
  <si>
    <t>HMDB0259640</t>
  </si>
  <si>
    <t>CN(C)CC1=CC=CC=C1SC1=C(N)C=C(C=C1)C#N</t>
  </si>
  <si>
    <t>UVWLEPXXYOYDGR-UHFFFAOYSA-N</t>
  </si>
  <si>
    <t>C16H17N3S</t>
  </si>
  <si>
    <t>4.29_589.2290m/z</t>
  </si>
  <si>
    <t>2-Methacryloyloxyethyl Phosphorylcholine</t>
  </si>
  <si>
    <t>HMDB0247194</t>
  </si>
  <si>
    <t>CC(=C)C(=O)OCCOP([O-])(=O)OCC[N+](C)(C)C</t>
  </si>
  <si>
    <t>ZSZRUEAFVQITHH-UHFFFAOYSA-N</t>
  </si>
  <si>
    <t>C11H22NO6P</t>
  </si>
  <si>
    <t>14.19_231.0201m/z</t>
  </si>
  <si>
    <t>Diphenyl Phosphate</t>
  </si>
  <si>
    <t>HMDB0251449</t>
  </si>
  <si>
    <t>OP(=O)(OC1=CC=CC=C1)OC1=CC=CC=C1</t>
  </si>
  <si>
    <t>ASMQGLCHMVWBQR-UHFFFAOYSA-N</t>
  </si>
  <si>
    <t>C12H11O4P</t>
  </si>
  <si>
    <t>0.53_290.8539m/z</t>
  </si>
  <si>
    <t>1,4-Diiodobutane</t>
  </si>
  <si>
    <t>HMDB0244214</t>
  </si>
  <si>
    <t>ICCCCI</t>
  </si>
  <si>
    <t>ROUYUBHVBIKMQO-UHFFFAOYSA-N</t>
  </si>
  <si>
    <t>C4H8I2</t>
  </si>
  <si>
    <t>9.06_277.2159m/z</t>
  </si>
  <si>
    <t>9,12-Octadecadiynoic Acid</t>
  </si>
  <si>
    <t>HMDB0247623</t>
  </si>
  <si>
    <t>LMFA01030540</t>
  </si>
  <si>
    <t>2012-14-8</t>
  </si>
  <si>
    <t>C(CCCCCCCC#CCC#CCCCCC)(=O)O</t>
  </si>
  <si>
    <t>KDYILQLPKVZDGB-UHFFFAOYSA-N</t>
  </si>
  <si>
    <t>9.86_835.3359m/z</t>
  </si>
  <si>
    <t>3-Pyridinemethanamine, 5-(3-(4,6-Difluoro-1h-Benzimidazol-2-Yl)-1h-Indazol-5-Yl)-N-Ethyl-4-Methyl-</t>
  </si>
  <si>
    <t>HMDB0248052</t>
  </si>
  <si>
    <t>CCNCC1=CN=CC(=C1C)C1=CC=C2NN=C(C3=NC4=C(F)C=C(F)C=C4N3)C2=C1</t>
  </si>
  <si>
    <t>MEKASOQEXYKAKM-UHFFFAOYSA-N</t>
  </si>
  <si>
    <t>C23H20F2N6</t>
  </si>
  <si>
    <t>3.88_221.1173m/z</t>
  </si>
  <si>
    <t>2,3-Dihydroxypropyl 4-Phenylbutanoate</t>
  </si>
  <si>
    <t>HMDB0257749</t>
  </si>
  <si>
    <t>OCC(O)COC(=O)CCCC1=CC=CC=C1</t>
  </si>
  <si>
    <t>RWRPKKXFZWTXBP-UHFFFAOYSA-N</t>
  </si>
  <si>
    <t>9.58_377.2331m/z</t>
  </si>
  <si>
    <t>(20s)-17,20-Dihydroxypregn-4-En-3-One</t>
  </si>
  <si>
    <t>HMDB0011653</t>
  </si>
  <si>
    <t>LMST02030183</t>
  </si>
  <si>
    <t>C04518</t>
  </si>
  <si>
    <t>652-69-7</t>
  </si>
  <si>
    <t>C1CC2[C@@](C)([C@@]3([H])CC[C@@]4(C)[C@@]([H])(CC[C@@]4([C@H](C)O)O)[C@]13[H])CCC(=O)C=2</t>
  </si>
  <si>
    <t>MASCESDECGBIBB-HNXXTFFGSA-N</t>
  </si>
  <si>
    <t>C21H32O3</t>
  </si>
  <si>
    <t>5.64_425.0874m/z</t>
  </si>
  <si>
    <t>Tephcalostan C</t>
  </si>
  <si>
    <t>LMPK12090003</t>
  </si>
  <si>
    <t>C12CCC(C)(C)OC=1C=C1C3OC4C=C5OCOC5=CC=4C=3C(=O)OC1=C2O</t>
  </si>
  <si>
    <t>CRYRNGYGSBBFAR-UHFFFAOYSA-N</t>
  </si>
  <si>
    <t>C21H16O7</t>
  </si>
  <si>
    <t>3.64_319.1185m/z</t>
  </si>
  <si>
    <t>3-Methyl-2-Quinoxalinone</t>
  </si>
  <si>
    <t>14003-34-0</t>
  </si>
  <si>
    <t>CC1=NC2=CC=CC=C2NC1=O</t>
  </si>
  <si>
    <t>BMIMNRPAEPIYDN-UHFFFAOYSA-N</t>
  </si>
  <si>
    <t>C9H8N2O</t>
  </si>
  <si>
    <t>8.80_267.1225m/z</t>
  </si>
  <si>
    <t>2-Phenylethyl Beta-D-Glucopyranoside</t>
  </si>
  <si>
    <t>HMDB0029819</t>
  </si>
  <si>
    <t>18997-54-1</t>
  </si>
  <si>
    <t>OCC1OC(OCCC2=CC=CC=C2)C(O)C(O)C1O</t>
  </si>
  <si>
    <t>MLRIJUWUQTVDQE-UHFFFAOYSA-N</t>
  </si>
  <si>
    <t>3.81_603.1351m/z</t>
  </si>
  <si>
    <t>Piceatannol 4'-Galloylglucoside</t>
  </si>
  <si>
    <t>HMDB0040862</t>
  </si>
  <si>
    <t>116107-19-8</t>
  </si>
  <si>
    <t>OC1C(COC(=O)C2=CC(O)=C(O)C(O)=C2)OC(OC2=C(O)C=C(\C=C/C3=CC(O)=CC(O)=C3)C=C2)C(O)C1O</t>
  </si>
  <si>
    <t>WBKDRBRGYHZWCT-UPHRSURJSA-N</t>
  </si>
  <si>
    <t>C27H26O13</t>
  </si>
  <si>
    <t>8.93_703.3536m/z</t>
  </si>
  <si>
    <t>Ajmalicine</t>
  </si>
  <si>
    <t>C09024</t>
  </si>
  <si>
    <t>483-04-5</t>
  </si>
  <si>
    <t>CC1C2CN3CCC4=C(C3CC2C(=CO1)C(=O)OC)NC5=CC=CC=C45</t>
  </si>
  <si>
    <t>GRTOGORTSDXSFK-XJTZBENFSA-N</t>
  </si>
  <si>
    <t>Yohimbine alkaloids</t>
  </si>
  <si>
    <t>C21H24N2O3</t>
  </si>
  <si>
    <t>1.46_250.0591m/z</t>
  </si>
  <si>
    <t>Zalcitabine</t>
  </si>
  <si>
    <t>HMDB0015078</t>
  </si>
  <si>
    <t>C07207</t>
  </si>
  <si>
    <t>7481-89-2</t>
  </si>
  <si>
    <t>NC1=NC(=O)N(C=C1)[C@H]1CC[C@@H](CO)O1</t>
  </si>
  <si>
    <t>WREGKURFCTUGRC-POYBYMJQSA-N</t>
  </si>
  <si>
    <t>C9H13N3O3</t>
  </si>
  <si>
    <t>10.05_876.3451m/z</t>
  </si>
  <si>
    <t>Cephalomannine</t>
  </si>
  <si>
    <t>HMDB0249807</t>
  </si>
  <si>
    <t>CC=C(C)C(=O)NC(C(O)C(=O)OC1CC2(O)C(OC(=O)C3=CC=CC=C3)C3C4(COC4CC(O)C3(C)C(=O)C(OC(C)=O)C(=C1C)C2(C)C)OC(C)=O)C1=CC=CC=C1</t>
  </si>
  <si>
    <t>DBXFAPJCZABTDR-UHFFFAOYSA-N</t>
  </si>
  <si>
    <t>2.50_587.0218m/z</t>
  </si>
  <si>
    <t>Trans-Zeatin Riboside Triphosphate</t>
  </si>
  <si>
    <t>HMDB0304509</t>
  </si>
  <si>
    <t>CC(CO)=CCNC1=NC=NC2=C1N=CN2C1OC(COP([O-])(=O)OP([O-])(=O)OP(O)([O-])=O)C(O)C1O</t>
  </si>
  <si>
    <t>AOFQQLZNDSBFLN-UHFFFAOYSA-K</t>
  </si>
  <si>
    <t>C15H21N5O14P3-3</t>
  </si>
  <si>
    <t>3.31_201.0509m/z</t>
  </si>
  <si>
    <t>Malonylglycine</t>
  </si>
  <si>
    <t>HMDB0240730</t>
  </si>
  <si>
    <t>OC(=O)CNC(=O)CC(=O)NCC(O)=O</t>
  </si>
  <si>
    <t>UIDDUAFEZLMYMF-UHFFFAOYSA-N</t>
  </si>
  <si>
    <t>C7H10N2O6</t>
  </si>
  <si>
    <t>1.20_348.9797m/z</t>
  </si>
  <si>
    <t>3-Hydroxypyridine Sulfate</t>
  </si>
  <si>
    <t>HMDB0240652</t>
  </si>
  <si>
    <t>1955-23-3</t>
  </si>
  <si>
    <t>OS(=O)(=O)OC1=CN=CC=C1</t>
  </si>
  <si>
    <t>BDERIBJTVYFANV-UHFFFAOYSA-N</t>
  </si>
  <si>
    <t>C5H5NO4S</t>
  </si>
  <si>
    <t>1.41_313.0694m/z</t>
  </si>
  <si>
    <t>DHAP(6:0)</t>
  </si>
  <si>
    <t>HMDB0011679</t>
  </si>
  <si>
    <t>CCCCCC(=O)OCC(=O)COP(O)(O)=O</t>
  </si>
  <si>
    <t>DYGQOKMJJPXFMO-UHFFFAOYSA-N</t>
  </si>
  <si>
    <t>C9H17O7P</t>
  </si>
  <si>
    <t>14.20_144.9906m/z</t>
  </si>
  <si>
    <t>Methyl Isothiocyanate</t>
  </si>
  <si>
    <t>HMDB0034106</t>
  </si>
  <si>
    <t>C18587</t>
  </si>
  <si>
    <t>556-61-6</t>
  </si>
  <si>
    <t>CN=C=S</t>
  </si>
  <si>
    <t>LGDSHSYDSCRFAB-UHFFFAOYSA-N</t>
  </si>
  <si>
    <t>C2H3NS</t>
  </si>
  <si>
    <t>11.27_170.1175m/z</t>
  </si>
  <si>
    <t>7-Keto-8-Aminopelargonic Acid</t>
  </si>
  <si>
    <t>HMDB0240687</t>
  </si>
  <si>
    <t>LMFA01100065</t>
  </si>
  <si>
    <t>C01092</t>
  </si>
  <si>
    <t>682799-71-9</t>
  </si>
  <si>
    <t>C(CCCCCC(=O)[C@@H](N)C)(=O)O</t>
  </si>
  <si>
    <t>GUAHPAJOXVYFON-ZETCQYMHSA-N</t>
  </si>
  <si>
    <t>C9H17NO3</t>
  </si>
  <si>
    <t>5.62_579.2066m/z</t>
  </si>
  <si>
    <t>2-Hydroxynaphthaldehydebenzoylhydrazone</t>
  </si>
  <si>
    <t>HMDB0244678</t>
  </si>
  <si>
    <t>OC1=C(C=NNC(=O)C2=CC=CC=C2)C2=CC=CC=C2C=C1</t>
  </si>
  <si>
    <t>QQUWFXMXRVAVCX-UHFFFAOYSA-N</t>
  </si>
  <si>
    <t>C18H14N2O2</t>
  </si>
  <si>
    <t>3.84_224.0336m/z</t>
  </si>
  <si>
    <t>2,2,4,4-Tetrafluoro-6-Amino-1,3-Benzodioxene</t>
  </si>
  <si>
    <t>HMDB0245705</t>
  </si>
  <si>
    <t>NC1=CC2=C(OC(F)(F)OC2(F)F)C=C1</t>
  </si>
  <si>
    <t>ZENKESXKWBIZCV-UHFFFAOYSA-N</t>
  </si>
  <si>
    <t>C8H5F4NO2</t>
  </si>
  <si>
    <t>0.55_102.9474m/z</t>
  </si>
  <si>
    <t>Sodium Hydrogen Sulfite</t>
  </si>
  <si>
    <t>HMDB0303542</t>
  </si>
  <si>
    <t>[Na+].OS([O-])=O</t>
  </si>
  <si>
    <t>DWAQJAXMDSEUJJ-UHFFFAOYSA-M</t>
  </si>
  <si>
    <t>Alkali metal sulfites</t>
  </si>
  <si>
    <t>HNaO3S</t>
  </si>
  <si>
    <t>7.82_305.0816m/z</t>
  </si>
  <si>
    <t>Biotin Sulfoxide</t>
  </si>
  <si>
    <t>HMDB0249229</t>
  </si>
  <si>
    <t>OC(=O)CCCCC1C2NC(=O)NC2CS1=O</t>
  </si>
  <si>
    <t>KCSKCIQYNAOBNQ-UHFFFAOYSA-N</t>
  </si>
  <si>
    <t>C10H16N2O4S</t>
  </si>
  <si>
    <t>4.69_419.1103m/z</t>
  </si>
  <si>
    <t>Portulacaxanthin Ii</t>
  </si>
  <si>
    <t>HMDB0012281</t>
  </si>
  <si>
    <t>OC(=O)C(CC1=CC=C(O)C=C1)\N=C\C=C1/CC(NC(=C1)C(O)=O)C(O)=O</t>
  </si>
  <si>
    <t>MBFJCQLVRQZZOV-KRDOMJLVSA-N</t>
  </si>
  <si>
    <t>C18H18N2O7</t>
  </si>
  <si>
    <t>4.84_261.0375m/z</t>
  </si>
  <si>
    <t>Sodium Ferulate</t>
  </si>
  <si>
    <t>HMDB0303721</t>
  </si>
  <si>
    <t>[Na+].COC1=C(O)C=CC(\C=C/C([O-])=O)=C1</t>
  </si>
  <si>
    <t>NCTHNHPAQAVBEB-FBZPGIPVSA-M</t>
  </si>
  <si>
    <t>C10H9NaO4</t>
  </si>
  <si>
    <t>5.35_507.3304m/z</t>
  </si>
  <si>
    <t>N-Docosahexaenoyl Arginine</t>
  </si>
  <si>
    <t>HMDB0242008</t>
  </si>
  <si>
    <t>CCC=CCC=CCC=CCC=CCC=CCC=CCCC(=O)NC(CCCN=C(N)N)C(O)=O</t>
  </si>
  <si>
    <t>XAZNYOKLCQXNOJ-UHFFFAOYSA-N</t>
  </si>
  <si>
    <t>C28H44N4O3</t>
  </si>
  <si>
    <t>3.64_337.1140m/z</t>
  </si>
  <si>
    <t>2,6-Diamino-4-Hydroxy-5-Formamidopyrimidine</t>
  </si>
  <si>
    <t>HMDB0304046</t>
  </si>
  <si>
    <t>NC1=NC(=O)[C-](NC=O)C(N)=[N+]1</t>
  </si>
  <si>
    <t>BKXIMINDJGDBPF-UHFFFAOYSA-N</t>
  </si>
  <si>
    <t>C5H7N5O2</t>
  </si>
  <si>
    <t>2.28_138.0914m/z</t>
  </si>
  <si>
    <t>Acetophenone</t>
  </si>
  <si>
    <t>HMDB0033910</t>
  </si>
  <si>
    <t>C07113</t>
  </si>
  <si>
    <t>98-86-2</t>
  </si>
  <si>
    <t>CC(=O)C1=CC=CC=C1</t>
  </si>
  <si>
    <t>KWOLFJPFCHCOCG-UHFFFAOYSA-N</t>
  </si>
  <si>
    <t>C8H8O</t>
  </si>
  <si>
    <t>0.78_231.0972m/z</t>
  </si>
  <si>
    <t>Droxidopa</t>
  </si>
  <si>
    <t>HMDB0015627</t>
  </si>
  <si>
    <t>23651-95-8</t>
  </si>
  <si>
    <t>N[C@H]([C@@H](O)C1=CC(O)=C(O)C=C1)C(O)=O</t>
  </si>
  <si>
    <t>QXWYKJLNLSIPIN-SFYZADRCSA-N</t>
  </si>
  <si>
    <t>C9H11NO5</t>
  </si>
  <si>
    <t>4.52_438.1524n</t>
  </si>
  <si>
    <t>Cichorioside K</t>
  </si>
  <si>
    <t>HMDB0302057</t>
  </si>
  <si>
    <t>[H][C@]12CCC(=C)[C@@]1([H])[C@@]13OC(=O)C(CO[C@@H]4O[C@H](CO)[C@@H](O)[C@H](O)[C@H]4O)=C1C=C[C@]2(CO)O3</t>
  </si>
  <si>
    <t>SNIHMWOCIZLGDD-YTPJEGOPSA-N</t>
  </si>
  <si>
    <t>4.41_223.1415m/z</t>
  </si>
  <si>
    <t>Spermine Dialdehyde</t>
  </si>
  <si>
    <t>HMDB0013076</t>
  </si>
  <si>
    <t>2578-88-3</t>
  </si>
  <si>
    <t>O=CCCNCCCCNCCC=O</t>
  </si>
  <si>
    <t>WPBJCXUUUSDQJO-UHFFFAOYSA-N</t>
  </si>
  <si>
    <t>C10H20N2O2</t>
  </si>
  <si>
    <t>5.32_829.3065m/z</t>
  </si>
  <si>
    <t>Idelalisib</t>
  </si>
  <si>
    <t>HMDB0253377</t>
  </si>
  <si>
    <t>CCC(NC1=NC=NC2=C1NC=N2)C1=NC2=C(C(F)=CC=C2)C(=O)N1C1=CC=CC=C1</t>
  </si>
  <si>
    <t>IFSDAJWBUCMOAH-UHFFFAOYSA-N</t>
  </si>
  <si>
    <t>C22H18FN7O</t>
  </si>
  <si>
    <t>4.62_172.1695m/z</t>
  </si>
  <si>
    <t>1,8-Cineol</t>
  </si>
  <si>
    <t>HMDB0004472</t>
  </si>
  <si>
    <t>LMPR0102090019</t>
  </si>
  <si>
    <t>C09844</t>
  </si>
  <si>
    <t>470-82-6</t>
  </si>
  <si>
    <t>C12(C)CCC(CC1)C(C)(C)O2</t>
  </si>
  <si>
    <t>WEEGYLXZBRQIMU-UHFFFAOYSA-N</t>
  </si>
  <si>
    <t>6.65_290.9649m/z</t>
  </si>
  <si>
    <t>4-Mercapto-5-Methyl-3(2h)-Thiophenone</t>
  </si>
  <si>
    <t>HMDB0039828</t>
  </si>
  <si>
    <t>26486-09-9</t>
  </si>
  <si>
    <t>CC1=C(S)C(=O)CS1</t>
  </si>
  <si>
    <t>PQKQGARVVUSJKY-UHFFFAOYSA-N</t>
  </si>
  <si>
    <t>Vinylogous thioesters</t>
  </si>
  <si>
    <t>C5H6OS2</t>
  </si>
  <si>
    <t>4.36_399.1656m/z</t>
  </si>
  <si>
    <t>Propofol Glucuronide</t>
  </si>
  <si>
    <t>HMDB0060933</t>
  </si>
  <si>
    <t>114991-26-3</t>
  </si>
  <si>
    <t>CC(C)C1=CC=CC(C(C)C)=C1O[C@@H]1O[C@@H]([C@@H](O)[C@H](O)[C@H]1O)C(O)=O</t>
  </si>
  <si>
    <t>JZSJIASBMOIIKI-RUKPJNHUSA-N</t>
  </si>
  <si>
    <t>C18H26O7</t>
  </si>
  <si>
    <t>4.35_327.1084m/z</t>
  </si>
  <si>
    <t>Bis(2-Methoxyethyl) Phthalate</t>
  </si>
  <si>
    <t>HMDB0249246</t>
  </si>
  <si>
    <t>COCCOC(=O)C1=CC=CC=C1C(=O)OCCOC</t>
  </si>
  <si>
    <t>HSUIVCLOAAJSRE-UHFFFAOYSA-N</t>
  </si>
  <si>
    <t>C14H18O6</t>
  </si>
  <si>
    <t>3.98_126.1044n</t>
  </si>
  <si>
    <t>(E)-2-Octenal</t>
  </si>
  <si>
    <t>HMDB0013809</t>
  </si>
  <si>
    <t>2548-87-0</t>
  </si>
  <si>
    <t>[H]C(=O)C([H])=C([H])C([H])([H])C([H])([H])C([H])([H])C([H])([H])C([H])([H])[H]</t>
  </si>
  <si>
    <t>LVBXEMGDVWVTGY-UHFFFAOYSA-N</t>
  </si>
  <si>
    <t>C8H14O</t>
  </si>
  <si>
    <t>8.69_376.1348m/z</t>
  </si>
  <si>
    <t>Pentetic Acid</t>
  </si>
  <si>
    <t>HMDB0256284</t>
  </si>
  <si>
    <t>OC(=O)CN(CCN(CC(O)=O)CC(O)=O)CCN(CC(O)=O)CC(O)=O</t>
  </si>
  <si>
    <t>QPCDCPDFJACHGM-UHFFFAOYSA-N</t>
  </si>
  <si>
    <t>C14H23N3O10</t>
  </si>
  <si>
    <t>0.64_115.0115m/z</t>
  </si>
  <si>
    <t>Hydroperoxyurea</t>
  </si>
  <si>
    <t>HMDB0260341</t>
  </si>
  <si>
    <t>NC(=O)NOO</t>
  </si>
  <si>
    <t>DEPNJEZNWSVKCX-UHFFFAOYSA-N</t>
  </si>
  <si>
    <t>CH4N2O3</t>
  </si>
  <si>
    <t>1.33_226.0838m/z</t>
  </si>
  <si>
    <t>5-(2-Furanyl)-1,2,3,4,5,6-Hexahydro-7h-Cyclopenta[B]Pyridin-7-One</t>
  </si>
  <si>
    <t>HMDB0039656</t>
  </si>
  <si>
    <t>118355-71-8</t>
  </si>
  <si>
    <t>O=C1CC(C2=C1NCCC2)C1=CC=CO1</t>
  </si>
  <si>
    <t>ORZSZFCROJSVII-UHFFFAOYSA-N</t>
  </si>
  <si>
    <t>C12H13NO2</t>
  </si>
  <si>
    <t>5.87_228.1594m/z</t>
  </si>
  <si>
    <t>Sedanonic Acid</t>
  </si>
  <si>
    <t>HMDB0032871</t>
  </si>
  <si>
    <t>6697-07-0</t>
  </si>
  <si>
    <t>CCCCC(=O)C1CCCC=C1C(O)=O</t>
  </si>
  <si>
    <t>PHVSWPDOXIQPTN-UHFFFAOYSA-N</t>
  </si>
  <si>
    <t>12.54_923.4450m/z</t>
  </si>
  <si>
    <t>Schembl13960539</t>
  </si>
  <si>
    <t>HMDB0257632</t>
  </si>
  <si>
    <t>CN1CCN(CC1)C1=C2OC(=CC(=O)C2=C(C)C=C1)C(=O)NC1=CC=C(C=C1)N1CCOCC1</t>
  </si>
  <si>
    <t>JKPWOPNZKYPRPZ-UHFFFAOYSA-N</t>
  </si>
  <si>
    <t>C26H30N4O4</t>
  </si>
  <si>
    <t>4.42_613.1118m/z</t>
  </si>
  <si>
    <t>Fosaprepitant</t>
  </si>
  <si>
    <t>HMDB0015662</t>
  </si>
  <si>
    <t>172673-20-0</t>
  </si>
  <si>
    <t>C[C@@H](O[C@H]1OCCN(CC2=NC(=O)N(N2)P(O)(O)=O)[C@H]1C1=CC=C(F)C=C1)C1=CC(=CC(=C1)C(F)(F)F)C(F)(F)F</t>
  </si>
  <si>
    <t>BARDROPHSZEBKC-OITMNORJSA-N</t>
  </si>
  <si>
    <t>C23H22F7N4O6P</t>
  </si>
  <si>
    <t>1.06_107.0702m/z</t>
  </si>
  <si>
    <t>Di(Hydroxyethyl)Ether</t>
  </si>
  <si>
    <t>HMDB0251245</t>
  </si>
  <si>
    <t>C14689</t>
  </si>
  <si>
    <t>111-46-6</t>
  </si>
  <si>
    <t>OCCOCCO</t>
  </si>
  <si>
    <t>MTHSVFCYNBDYFN-UHFFFAOYSA-N</t>
  </si>
  <si>
    <t>C4H10O3</t>
  </si>
  <si>
    <t>8.69_554.2416m/z</t>
  </si>
  <si>
    <t>Taurodehydrocholic Acid</t>
  </si>
  <si>
    <t>HMDB0258743</t>
  </si>
  <si>
    <t>CC(CCC(=O)NCCS(O)(=O)=O)C1CCC2C3C(CC(=O)C12C)C1(C)CCC(=O)CC1CC3=O</t>
  </si>
  <si>
    <t>UBDJSBRKNHQFPD-UHFFFAOYSA-N</t>
  </si>
  <si>
    <t>C26H39NO7S</t>
  </si>
  <si>
    <t>10.05_461.0055m/z</t>
  </si>
  <si>
    <t>1h-1,4-Diazepine, Hexahydro-1-((5-Iodo-1-Naphthalenyl)Sulfonyl)-</t>
  </si>
  <si>
    <t>HMDB0254800</t>
  </si>
  <si>
    <t>IC1=CC=CC2=C1C=CC=C2S(=O)(=O)N1CCCNCC1</t>
  </si>
  <si>
    <t>GEHJIACZUFWBTK-UHFFFAOYSA-N</t>
  </si>
  <si>
    <t>C15H17IN2O2S</t>
  </si>
  <si>
    <t>3.61_192.0656m/z</t>
  </si>
  <si>
    <t>Juglone</t>
  </si>
  <si>
    <t>HMDB0030773</t>
  </si>
  <si>
    <t>C03840</t>
  </si>
  <si>
    <t>481-39-0</t>
  </si>
  <si>
    <t>OC1=CC=CC2=C1C(=O)C=CC2=O</t>
  </si>
  <si>
    <t>KQPYUDDGWXQXHS-UHFFFAOYSA-N</t>
  </si>
  <si>
    <t>C10H6O3</t>
  </si>
  <si>
    <t>14.14_158.0963m/z</t>
  </si>
  <si>
    <t>4-(Dimethylamino)Cinnamaldehyde</t>
  </si>
  <si>
    <t>6203-18-5</t>
  </si>
  <si>
    <t>CN(C)C1=CC=C(C=C1)C=CC=O</t>
  </si>
  <si>
    <t>RUKJCCIJLIMGEP-ONEGZZNKSA-N</t>
  </si>
  <si>
    <t>C11H13NO</t>
  </si>
  <si>
    <t>9.56_218.1175m/z</t>
  </si>
  <si>
    <t>Bisphenol F</t>
  </si>
  <si>
    <t>HMDB0240711</t>
  </si>
  <si>
    <t>C14298</t>
  </si>
  <si>
    <t>ko00363</t>
  </si>
  <si>
    <t>Bisphenol degradation</t>
  </si>
  <si>
    <t>620-92-8</t>
  </si>
  <si>
    <t>OC1=CC=C(CC2=CC=C(O)C=C2)C=C1</t>
  </si>
  <si>
    <t>PXKLMJQFEQBVLD-UHFFFAOYSA-N</t>
  </si>
  <si>
    <t>C13H12O2</t>
  </si>
  <si>
    <t>4.69_571.2196m/z</t>
  </si>
  <si>
    <t>1-[5-(Thiophen-2-Ylmethoxy)-1h-Indol-3-Yl]Propan-2-Amine</t>
  </si>
  <si>
    <t>HMDB0249491</t>
  </si>
  <si>
    <t>CC(N)CC1=CNC2=C1C=C(OCC1=CC=CS1)C=C2</t>
  </si>
  <si>
    <t>ALFGDCNSEBJYSP-UHFFFAOYSA-N</t>
  </si>
  <si>
    <t>C16H18N2OS</t>
  </si>
  <si>
    <t>3.88_188.0343m/z</t>
  </si>
  <si>
    <t>Kynurenic Acid</t>
  </si>
  <si>
    <t>HMDB0000715</t>
  </si>
  <si>
    <t>C01717</t>
  </si>
  <si>
    <t>492-27-3</t>
  </si>
  <si>
    <t>OC(=O)C1=CC(=O)C2=CC=CC=C2N1</t>
  </si>
  <si>
    <t>HCZHHEIFKROPDY-UHFFFAOYSA-N</t>
  </si>
  <si>
    <t>3.51_151.0390m/z</t>
  </si>
  <si>
    <t>3,4-Methylenedioxybenzaldehyde</t>
  </si>
  <si>
    <t>HMDB0032612</t>
  </si>
  <si>
    <t>C10812</t>
  </si>
  <si>
    <t>120-57-0</t>
  </si>
  <si>
    <t>[H]C(=O)C1=CC2=C(OCO2)C=C1</t>
  </si>
  <si>
    <t>SATCULPHIDQDRE-UHFFFAOYSA-N</t>
  </si>
  <si>
    <t>C8H6O3</t>
  </si>
  <si>
    <t>0.78_203.1390m/z</t>
  </si>
  <si>
    <t>Prima-1</t>
  </si>
  <si>
    <t>5608-24-2</t>
  </si>
  <si>
    <t>C1CN2CCC1C(=O)C2(CO)CO</t>
  </si>
  <si>
    <t>RFBVBRVVOPAAFS-UHFFFAOYSA-N</t>
  </si>
  <si>
    <t>Quinuclidines</t>
  </si>
  <si>
    <t>Quinuclidones</t>
  </si>
  <si>
    <t>C9H15NO3</t>
  </si>
  <si>
    <t>10.72_309.2419m/z</t>
  </si>
  <si>
    <t>Obtusilactone A</t>
  </si>
  <si>
    <t>HMDB0030960</t>
  </si>
  <si>
    <t>56522-15-7</t>
  </si>
  <si>
    <t>CCCCCCCCCCCCC\C=C1\C(O)C(=C)OC1=O</t>
  </si>
  <si>
    <t>FCLYKYQBTSMTJB-ICFOKQHNSA-N</t>
  </si>
  <si>
    <t>6.33_739.3164m/z</t>
  </si>
  <si>
    <t>3‘-O-Beta-D-Glucopyranosylcalactin</t>
  </si>
  <si>
    <t>LMST01120030</t>
  </si>
  <si>
    <t>C1[C@@]2([H])O[C@@]3(O)[C@H](O[C@H]4[C@H](O)[C@@H](O)[C@H](O)[C@@H](CO)O4)C[C@@H](C)O[C@@]3([H])O[C@]2([H])C[C@]2([H])CC[C@@]3([H])[C@]4(CC[C@H](C5=CC(=O)OC5)[C@@]4(C)CC[C@]3([H])[C@@]12C=O)O</t>
  </si>
  <si>
    <t>QHTLPWXBPOENQB-GVVIVVNYSA-N</t>
  </si>
  <si>
    <t>C35H50O14</t>
  </si>
  <si>
    <t>1.50_387.0455m/z</t>
  </si>
  <si>
    <t>Methyl 1-(1-Propenylthio)Propyl Disulfide</t>
  </si>
  <si>
    <t>HMDB0033043</t>
  </si>
  <si>
    <t>126876-23-1</t>
  </si>
  <si>
    <t>CCC(SSC)S\C=C\C</t>
  </si>
  <si>
    <t>MLJHEPZOIZWECP-GQCTYLIASA-N</t>
  </si>
  <si>
    <t>Organic disulfides</t>
  </si>
  <si>
    <t>Dialkyldisulfides</t>
  </si>
  <si>
    <t>C7H14S3</t>
  </si>
  <si>
    <t>5.97_495.2378m/z</t>
  </si>
  <si>
    <t>Fissinolide</t>
  </si>
  <si>
    <t>1915-69-1</t>
  </si>
  <si>
    <t>CC(=O)OC1C2CC3=C4CC(=O)OC(C4(CCC3C(C2=O)(C(C1(C)C)CC(=O)OC)C)C)C5=COC=C5</t>
  </si>
  <si>
    <t>YOTCKRFNSMJTGD-ZFZOQYKTSA-N</t>
  </si>
  <si>
    <t>5.41_491.2862m/z</t>
  </si>
  <si>
    <t>Dodecyl-Beta-D-Maltoside</t>
  </si>
  <si>
    <t>HMDB0247203</t>
  </si>
  <si>
    <t>CCCCCCCCCCCCOC1OC(CO)C(OC2OC(CO)C(O)C(O)C2O)C(O)C1O</t>
  </si>
  <si>
    <t>NLEBIOOXCVAHBD-UHFFFAOYSA-N</t>
  </si>
  <si>
    <t>C24H46O11</t>
  </si>
  <si>
    <t>5.30_301.0351m/z</t>
  </si>
  <si>
    <t>Ethyl Brevifolincarboxylate</t>
  </si>
  <si>
    <t>HMDB0303706</t>
  </si>
  <si>
    <t>CCOC(=O)C1CC(=O)C2=C1C1=C(O)C(O)=C(O)C=C1C(=O)O2</t>
  </si>
  <si>
    <t>JSEPSLOCPQODTM-UHFFFAOYSA-N</t>
  </si>
  <si>
    <t>5.17_778.4130n</t>
  </si>
  <si>
    <t>Periandrin V</t>
  </si>
  <si>
    <t>HMDB0039591</t>
  </si>
  <si>
    <t>CC1(C)C(CCC2(C=O)C1CCC1(C)C2CCC2C3=CC(C)(CCC3(C)CCC12C)C(O)=O)OC1OC(C(O)C(O)C1OC1OCC(O)C(O)C1O)C(O)=O</t>
  </si>
  <si>
    <t>OHGFKHHCPIGSKE-UHFFFAOYSA-N</t>
  </si>
  <si>
    <t>C41H62O14</t>
  </si>
  <si>
    <t>4.07_411.1626m/z</t>
  </si>
  <si>
    <t>Beta-D-Glucopyranosyl-11-Hydroxyjasmonic Acid</t>
  </si>
  <si>
    <t>HMDB0039964</t>
  </si>
  <si>
    <t>CC(OC1OC(CO)C(O)C(O)C1O)\C=C\CC1C(CC(O)=O)CCC1=O</t>
  </si>
  <si>
    <t>LAYQBSCEPAXXNJ-NSCUHMNNSA-N</t>
  </si>
  <si>
    <t>C18H28O9</t>
  </si>
  <si>
    <t>7.99_261.0766m/z</t>
  </si>
  <si>
    <t>Artemidinol</t>
  </si>
  <si>
    <t>HMDB0030647</t>
  </si>
  <si>
    <t>62268-43-3</t>
  </si>
  <si>
    <t>CC\C=C/C1=CC2=C(C=CC=C2O)C(=O)O1</t>
  </si>
  <si>
    <t>QBZHMYUXUVZDQT-HYXAFXHYSA-N</t>
  </si>
  <si>
    <t>3.63_208.1412m/z</t>
  </si>
  <si>
    <t>N(Omega)-Hydroxyarginine</t>
  </si>
  <si>
    <t>HMDB0004224</t>
  </si>
  <si>
    <t>C05933</t>
  </si>
  <si>
    <t>ko00330,ko00997</t>
  </si>
  <si>
    <t>Arginine and proline metabolism|Biosynthesis of various secondary metabolites - part 3</t>
  </si>
  <si>
    <t>53054-07-2</t>
  </si>
  <si>
    <t>N[C@@H](CCCNC(=N)NO)C(O)=O</t>
  </si>
  <si>
    <t>FQWRAVYMZULPNK-BYPYZUCNSA-N</t>
  </si>
  <si>
    <t>C6H14N4O3</t>
  </si>
  <si>
    <t>3.73_605.1690m/z</t>
  </si>
  <si>
    <t>Resorufin Benzyl Ether</t>
  </si>
  <si>
    <t>HMDB0257167</t>
  </si>
  <si>
    <t>O=C1C=CC2=NC3=C(OC2=C1)C=C(OCC1=CC=CC=C1)C=C3</t>
  </si>
  <si>
    <t>XNZRYTITWLGTJS-UHFFFAOYSA-N</t>
  </si>
  <si>
    <t>C19H13NO3</t>
  </si>
  <si>
    <t>4.00_263.1386m/z</t>
  </si>
  <si>
    <t>N-Phenylacetyl Pyroglutamic Acid</t>
  </si>
  <si>
    <t>HMDB0059782</t>
  </si>
  <si>
    <t>CC(=O)[C@@H]1CCC(=O)N1C(=O)CC1=CC=CC=C1</t>
  </si>
  <si>
    <t>ASNIYCYEXPHRFD-LBPRGKRZSA-N</t>
  </si>
  <si>
    <t>C14H15NO3</t>
  </si>
  <si>
    <t>4.11_355.1726m/z</t>
  </si>
  <si>
    <t>6-Oxo-Famciclovir</t>
  </si>
  <si>
    <t>HMDB0061100</t>
  </si>
  <si>
    <t>CC(=O)OCC(CCN1C=NC2=C1NC(=N)N=C2O)COC(C)=O</t>
  </si>
  <si>
    <t>KQURMIWGELPUHQ-UHFFFAOYSA-N</t>
  </si>
  <si>
    <t>8.58_174.0071n</t>
  </si>
  <si>
    <t>5-Fluoroorotic Acid</t>
  </si>
  <si>
    <t>HMDB0246795</t>
  </si>
  <si>
    <t>OC(=O)C1=C(F)C(O)=NC(O)=N1</t>
  </si>
  <si>
    <t>SEHFUALWMUWDKS-UHFFFAOYSA-N</t>
  </si>
  <si>
    <t>C5H3FN2O4</t>
  </si>
  <si>
    <t>13.49_472.3488m/z</t>
  </si>
  <si>
    <t>Ile-Ile-Ile-Pro</t>
  </si>
  <si>
    <t>HMDB0304800</t>
  </si>
  <si>
    <t>CCC(C)C(N)C(O)=NC(C(C)CC)C(O)=NC(C(C)CC)C(=O)N1CCCC1C(O)=O</t>
  </si>
  <si>
    <t>OCEZPDBEDULORM-UHFFFAOYSA-N</t>
  </si>
  <si>
    <t>C23H42N4O5</t>
  </si>
  <si>
    <t>8.71_881.5755m/z</t>
  </si>
  <si>
    <t>PG(i-20:0/18:1(12Z)-2OH(9,10))</t>
  </si>
  <si>
    <t>HMDB0271934</t>
  </si>
  <si>
    <t>[H][C@](O)(CO)COP(O)(=O)OC[C@@]([H])(COC(=O)CCCCCCCCCCCCCCCCC(C)C)OC(=O)CCCCCCC[C@H](O)[C@@H](O)C\C=C/CCCCC</t>
  </si>
  <si>
    <t>YOGBTQUQNMNJMX-ZMFGRUELSA-N</t>
  </si>
  <si>
    <t>C44H85O12P</t>
  </si>
  <si>
    <t>3.57_117.0910m/z</t>
  </si>
  <si>
    <t>Isocaproic Acid</t>
  </si>
  <si>
    <t>HMDB0000689</t>
  </si>
  <si>
    <t>LMFA01020076</t>
  </si>
  <si>
    <t>646-07-1</t>
  </si>
  <si>
    <t>CC(C)CCC(=O)O</t>
  </si>
  <si>
    <t>FGKJLKRYENPLQH-UHFFFAOYSA-N</t>
  </si>
  <si>
    <t>C6H12O2</t>
  </si>
  <si>
    <t>1.15_408.0018m/z</t>
  </si>
  <si>
    <t>Adenosine Phosphosulfate</t>
  </si>
  <si>
    <t>HMDB0001003</t>
  </si>
  <si>
    <t>C00224</t>
  </si>
  <si>
    <t>ko00230,ko00261,ko00920</t>
  </si>
  <si>
    <t>Purine metabolism|Monobactam biosynthesis|Sulfur metabolism</t>
  </si>
  <si>
    <t>485-84-7</t>
  </si>
  <si>
    <t>NC1=NC=NC2=C1N=CN2[C@@H]1O[C@H](COP(O)(=O)OS(O)(=O)=O)[C@@H](O)[C@H]1O</t>
  </si>
  <si>
    <t>IRLPACMLTUPBCL-KQYNXXCUSA-N</t>
  </si>
  <si>
    <t>C10H14N5O10PS</t>
  </si>
  <si>
    <t>1.45_214.0715m/z</t>
  </si>
  <si>
    <t>Norepinephrine</t>
  </si>
  <si>
    <t>HMDB0000216</t>
  </si>
  <si>
    <t>C00547</t>
  </si>
  <si>
    <t>ko00350,ko02020,ko02024,ko04024,ko04080,ko04261,ko04270,ko04540,ko04714,ko04721,ko04742,ko04923,ko04924,ko04970,ko05207</t>
  </si>
  <si>
    <t>Tyrosine metabolism|Two-component system|Quorum sensing|cAMP signaling pathway|Neuroactive ligand-receptor interaction|Adrenergic signaling in cardiomyocytes|Vascular smooth muscle contraction|Gap junction|Thermogenesis|Synaptic vesicle cycle|Taste transduction|Regulation of lipolysis in adipocytes|Renin secretion|Salivary secretion|Chemical carcinogenesis - receptor activation</t>
  </si>
  <si>
    <t>51-41-2</t>
  </si>
  <si>
    <t>NC[C@H](O)C1=CC(O)=C(O)C=C1</t>
  </si>
  <si>
    <t>SFLSHLFXELFNJZ-QMMMGPOBSA-N</t>
  </si>
  <si>
    <t>C8H11NO3</t>
  </si>
  <si>
    <t>8.71_511.2295m/z</t>
  </si>
  <si>
    <t>Dolichyl B-D-Glucosyl Phosphate</t>
  </si>
  <si>
    <t>HMDB0001054</t>
  </si>
  <si>
    <t>C01246</t>
  </si>
  <si>
    <t>ko00510</t>
  </si>
  <si>
    <t>N-Glycan biosynthesis</t>
  </si>
  <si>
    <t>220496-27-5</t>
  </si>
  <si>
    <t>OC[C@H]1O[C@@H](OP(=O)(O)OCCC(C)CC\C=C(\C)CCC=C(C)C)[C@H](O)[C@@H](O)[C@@H]1O</t>
  </si>
  <si>
    <t>RHJMCOLWMXJOGE-ZTZGTLKASA-N</t>
  </si>
  <si>
    <t>C21H39O9P</t>
  </si>
  <si>
    <t>0.93_397.0358m/z</t>
  </si>
  <si>
    <t>Sodium Erythorbate</t>
  </si>
  <si>
    <t>HMDB0303702</t>
  </si>
  <si>
    <t>[Na+].OCC(O)C1OC(=O)C(O)=C1O</t>
  </si>
  <si>
    <t>PPASLZSBLFJQEF-UHFFFAOYSA-N</t>
  </si>
  <si>
    <t>C6H8NaO6+</t>
  </si>
  <si>
    <t>8.44_553.1136m/z</t>
  </si>
  <si>
    <t>Rheidin B</t>
  </si>
  <si>
    <t>HMDB0038509</t>
  </si>
  <si>
    <t>CC1=CC2=C(C(O)=C1)C(=O)C1=C(C=CC=C1O)C2C1C2=C(C(O)=CC=C2)C(=O)C2=C1C=C(C=C2O)C(O)=O</t>
  </si>
  <si>
    <t>BYPYDHLERFKKKV-UHFFFAOYSA-N</t>
  </si>
  <si>
    <t>Anthracenecarboxylic acids and derivatives</t>
  </si>
  <si>
    <t>C30H20O8</t>
  </si>
  <si>
    <t>1.62_233.1026m/z</t>
  </si>
  <si>
    <t>Nonic Acid</t>
  </si>
  <si>
    <t>CCCCCC(CC(=O)O)C(=O)O</t>
  </si>
  <si>
    <t>FNZSVEHJZREFPF-SSDOTTSWSA-N</t>
  </si>
  <si>
    <t>4.61_391.1608m/z</t>
  </si>
  <si>
    <t>Glucosyl 6-Hydroxy-2,6-Dimethyl-2e,7-Octadienoate</t>
  </si>
  <si>
    <t>HMDB0035822</t>
  </si>
  <si>
    <t>191548-38-6</t>
  </si>
  <si>
    <t>C\C(=C\CCC(C)(O)C=C)C(=O)OC1OC(CO)C(O)C(O)C1O</t>
  </si>
  <si>
    <t>IVWJMPAYYVHQPT-TWGQIWQCSA-N</t>
  </si>
  <si>
    <t>4.11_353.1703m/z</t>
  </si>
  <si>
    <t>Carnosol</t>
  </si>
  <si>
    <t>HMDB0002121</t>
  </si>
  <si>
    <t>C09069</t>
  </si>
  <si>
    <t>5957-80-2</t>
  </si>
  <si>
    <t>CC(C)C1=CC2=C(C(O)=C1O)[C@@]13CCCC(C)(C)[C@@H]1C[C@@H]2OC3=O</t>
  </si>
  <si>
    <t>XUSYGBPHQBWGAD-PJSUUKDQSA-N</t>
  </si>
  <si>
    <t>3.93_382.1139m/z</t>
  </si>
  <si>
    <t>Indole-3-Acetyl-Myo-Inositol</t>
  </si>
  <si>
    <t>HMDB0031182</t>
  </si>
  <si>
    <t>C03868</t>
  </si>
  <si>
    <t>73925-84-5</t>
  </si>
  <si>
    <t>O[C@H]1[C@H](O)[C@@H](O)[C@H](OC(=O)CC2=CNC3=C2C=CC=C3)[C@H](O)[C@@H]1O</t>
  </si>
  <si>
    <t>XUACNUJFOIKYPQ-BKQXGZDCSA-N</t>
  </si>
  <si>
    <t>1.44_335.0588m/z</t>
  </si>
  <si>
    <t>3'-O-Methyl-(-)-Epicatechin-5-O-Sulphate</t>
  </si>
  <si>
    <t>HMDB0029176</t>
  </si>
  <si>
    <t>COC1=C(O)C=CC(=C1)C1OC2=C(CC1O)C(=CC(O)=C2)S(O)=O</t>
  </si>
  <si>
    <t>OMVRUQZBAZIVBR-UHFFFAOYSA-N</t>
  </si>
  <si>
    <t>C16H16O7S</t>
  </si>
  <si>
    <t>4.28_740.1965m/z</t>
  </si>
  <si>
    <t>Bisdemalonylmonardaein</t>
  </si>
  <si>
    <t>LMPK12010041</t>
  </si>
  <si>
    <t>C1(O)=CC2[O+]=C(C3C=CC(O)=CC=3)C(O[C@H]3[C@H](O)[C@@H](O)[C@H](O)[C@@H](COC(=O)/C=C/C4C=CC(O)=CC=4)O3)=CC=2C(O[C@H]2[C@H](O)[C@@H](O)[C@H](O)[C@@H](CO)O2)=C1</t>
  </si>
  <si>
    <t>HFGYRTHYZMEEPZ-AQAMAIGXSA-O</t>
  </si>
  <si>
    <t>C36H37O17+</t>
  </si>
  <si>
    <t>13.56_636.4593n</t>
  </si>
  <si>
    <t>9-Oxoasimicinone</t>
  </si>
  <si>
    <t>HMDB0032949</t>
  </si>
  <si>
    <t>CCCCCCCCCCC(O)C1CCC(O1)C1CCC(O1)C(O)CCCCCC(=O)CCCCC1CC(CC(C)=O)C(=O)O1</t>
  </si>
  <si>
    <t>RAOZBXBUMCJFNW-UHFFFAOYSA-N</t>
  </si>
  <si>
    <t>C37H64O8</t>
  </si>
  <si>
    <t>7.80_425.0807m/z</t>
  </si>
  <si>
    <t>Resorufin</t>
  </si>
  <si>
    <t>HMDB0257166</t>
  </si>
  <si>
    <t>OC1=CC2=C(C=C1)N=C1C=CC(=O)C=C1O2</t>
  </si>
  <si>
    <t>HSSLDCABUXLXKM-UHFFFAOYSA-N</t>
  </si>
  <si>
    <t>C12H7NO3</t>
  </si>
  <si>
    <t>10.37_1047.4717m/z</t>
  </si>
  <si>
    <t>PIP(16:1(9Z)/6 keto-PGF1alpha)</t>
  </si>
  <si>
    <t>HMDB0278547</t>
  </si>
  <si>
    <t>CCCCCC\C=C/CCCCCCCC(=O)OC[C@@H]1COP(O)(=O)O[C@H]2[C@H](O)[C@@H](O)[C@H](O)[C@@H](CC(=O)CCCCC(=O)O1)[C@@H](O)C[C@@H](O)[C@H](C=C[C@@H](O)CCCCC)[C@@H](O)[C@H]2OP(O)(O)=O</t>
  </si>
  <si>
    <t>MWCIYAUOGAVKMG-VDRVWJHHSA-N</t>
  </si>
  <si>
    <t>C45H80O20P2</t>
  </si>
  <si>
    <t>2.39_411.0019m/z</t>
  </si>
  <si>
    <t>Quercetagetin 3-Methyl Ether 7-O-Sulfate</t>
  </si>
  <si>
    <t>LMPK12113027</t>
  </si>
  <si>
    <t>C1(OS(O)(=O)=O)=CC2OC(C3C=C(O)C(O)=CC=3)=C(OC)C(=O)C=2C(O)=C1O</t>
  </si>
  <si>
    <t>QOBBVPZWFXTPBO-UHFFFAOYSA-N</t>
  </si>
  <si>
    <t>C16H12O11S</t>
  </si>
  <si>
    <t>6.56_491.2281m/z</t>
  </si>
  <si>
    <t>Prednisolone Butyrate</t>
  </si>
  <si>
    <t>HMDB0256746</t>
  </si>
  <si>
    <t>CCCC(=O)OC1=CC(=O)C=C2CCC3C4CCC(O)(C(=O)CO)C4(C)CC(O)C3C12C</t>
  </si>
  <si>
    <t>JPFAJILMLKRJFU-UHFFFAOYSA-N</t>
  </si>
  <si>
    <t>C25H34O7</t>
  </si>
  <si>
    <t>4.52_380.0596m/z</t>
  </si>
  <si>
    <t>Dihydroneopterin Phosphate</t>
  </si>
  <si>
    <t>HMDB0006824</t>
  </si>
  <si>
    <t>C05925</t>
  </si>
  <si>
    <t>19622-42-5</t>
  </si>
  <si>
    <t>NC1=NC(=O)C2=C(NCC(=N2)[C@H](O)[C@H](O)COP(O)(O)=O)N1</t>
  </si>
  <si>
    <t>PLSQMGZYOGSOCE-XINAWCOVSA-N</t>
  </si>
  <si>
    <t>C9H14N5O7P</t>
  </si>
  <si>
    <t>1.20_259.0432m/z</t>
  </si>
  <si>
    <t>Fluorobenzoylpropionic Acid</t>
  </si>
  <si>
    <t>HMDB0060951</t>
  </si>
  <si>
    <t>84313-94-0</t>
  </si>
  <si>
    <t>OC(=O)CCC(=O)C1=CC(F)=C(F)C=C1</t>
  </si>
  <si>
    <t>GYDFFFKCUNUZEL-UHFFFAOYSA-N</t>
  </si>
  <si>
    <t>C10H8F2O3</t>
  </si>
  <si>
    <t>5.73_799.2953m/z</t>
  </si>
  <si>
    <t>Aschantin</t>
  </si>
  <si>
    <t>COC1=CC(=CC(=C1OC)OC)C2C3COC(C3CO2)C4=CC5=C(C=C4)OCO5</t>
  </si>
  <si>
    <t>ONDWGDNAFRAXCN-VUEDXXQZSA-N</t>
  </si>
  <si>
    <t>C22H24O7</t>
  </si>
  <si>
    <t>10.00_435.1802m/z</t>
  </si>
  <si>
    <t>N-Acetyl Gemifloxacin</t>
  </si>
  <si>
    <t>HMDB0060633</t>
  </si>
  <si>
    <t>CO\N=C1/CN(CC1NC(C)=O)C1=NC2=C(C=C1F)C(=O)C(=CN2C1CC1)C(O)=O</t>
  </si>
  <si>
    <t>ZLRGFKRHAFQIIT-HZHRSRAPSA-N</t>
  </si>
  <si>
    <t>C19H20FN5O5</t>
  </si>
  <si>
    <t>3.90_469.1678m/z</t>
  </si>
  <si>
    <t>Crosatoside B</t>
  </si>
  <si>
    <t>HMDB0039253</t>
  </si>
  <si>
    <t>139742-28-2</t>
  </si>
  <si>
    <t>CC1OC(OC2C(O)C(O)C(CO)OC2OCCC2=CC=C(O)C=C2)C(O)C(O)C1O</t>
  </si>
  <si>
    <t>BMZAMCOQJLZXCY-UHFFFAOYSA-N</t>
  </si>
  <si>
    <t>C20H30O11</t>
  </si>
  <si>
    <t>1.59_136.0394m/z</t>
  </si>
  <si>
    <t>2-Benzoxazolol</t>
  </si>
  <si>
    <t>HMDB0032931</t>
  </si>
  <si>
    <t>59-49-4</t>
  </si>
  <si>
    <t>O=C1NC2=CC=CC=C2O1</t>
  </si>
  <si>
    <t>ASSKVPFEZFQQNQ-UHFFFAOYSA-N</t>
  </si>
  <si>
    <t>Benzoxazolones</t>
  </si>
  <si>
    <t>C7H5NO2</t>
  </si>
  <si>
    <t>4.11_220.0969m/z</t>
  </si>
  <si>
    <t>Nigellimine N-Oxide</t>
  </si>
  <si>
    <t>HMDB0033436</t>
  </si>
  <si>
    <t>96562-85-5</t>
  </si>
  <si>
    <t>COC1=C(OC)C=C2C(C)=N(=O)C=CC2=C1</t>
  </si>
  <si>
    <t>GVQWAJKTFATJEW-UHFFFAOYSA-N</t>
  </si>
  <si>
    <t>1.48_132.0410n</t>
  </si>
  <si>
    <t>Glutaric Acid</t>
  </si>
  <si>
    <t>HMDB0000661</t>
  </si>
  <si>
    <t>C00489</t>
  </si>
  <si>
    <t>ko00071,ko00310</t>
  </si>
  <si>
    <t>Fatty acid degradation|Lysine degradation</t>
  </si>
  <si>
    <t>110-94-1</t>
  </si>
  <si>
    <t>OC(=O)CCCC(O)=O</t>
  </si>
  <si>
    <t>JFCQEDHGNNZCLN-UHFFFAOYSA-N</t>
  </si>
  <si>
    <t>5.02_182.0086m/z</t>
  </si>
  <si>
    <t>5-Hydroxy-2-Oxo-4-Ureido-2,5-Dihydro-1h Imidazole-5-Carboxylate</t>
  </si>
  <si>
    <t>HMDB0304214</t>
  </si>
  <si>
    <t>OC(=N)N=C1N=C(O)NC1(O)C([O-])=O</t>
  </si>
  <si>
    <t>WHKYNCPIXMNTRQ-UHFFFAOYSA-M</t>
  </si>
  <si>
    <t>C5H5N4O5-</t>
  </si>
  <si>
    <t>14.28_477.3933m/z</t>
  </si>
  <si>
    <t>Ehrensteroid D</t>
  </si>
  <si>
    <t>LMST01031218</t>
  </si>
  <si>
    <t>C1C[C@H](O)C[C@]2(O)[C@H](O)C[C@@]3([H])[C@]4([H])C[C@@H](OC)/C(=C(/C)\C[C@@H](C)[C@H](C)C(C)C)/[C@@]4(C)CC[C@]3([H])[C@@]12C</t>
  </si>
  <si>
    <t>OTAXHEKGJGMOJG-ZGRGKABFSA-N</t>
  </si>
  <si>
    <t>5.41_547.1857m/z</t>
  </si>
  <si>
    <t>(1xi,3s)-1,2,3,4-Tetrahydro-1-Methyl-Beta-Carboline-1,3-Dicarboxylic Acid</t>
  </si>
  <si>
    <t>HMDB0035115</t>
  </si>
  <si>
    <t>CC1(NC(CC2=C1NC1=CC=CC=C21)C(O)=O)C(O)=O</t>
  </si>
  <si>
    <t>ZKGAKYZRRFOFGK-UHFFFAOYSA-N</t>
  </si>
  <si>
    <t>C14H14N2O4</t>
  </si>
  <si>
    <t>4.01_505.1456m/z</t>
  </si>
  <si>
    <t>(2-Mercaptomethyl-3-Phenyl-Propionyl)-Glycine</t>
  </si>
  <si>
    <t>HMDB0242473</t>
  </si>
  <si>
    <t>C01619</t>
  </si>
  <si>
    <t>76721-89-6</t>
  </si>
  <si>
    <t>OC(=O)CNC(=O)C(CS)CC1=CC=CC=C1</t>
  </si>
  <si>
    <t>LJJKNPQAGWVLDQ-UHFFFAOYSA-N</t>
  </si>
  <si>
    <t>C12H15NO3S</t>
  </si>
  <si>
    <t>5.82_699.1353m/z</t>
  </si>
  <si>
    <t>Theaflavate B</t>
  </si>
  <si>
    <t>HMDB0033038</t>
  </si>
  <si>
    <t>OC1CC2=C(O)C=C(O)C=C2OC1C1=CC(O)=C(O)C2=C1C=C(C=C(O)C2=O)C(=O)OC1CC2=C(OC1C1=CC(O)=C(O)C=C1)C=C(O)C(O)=C2</t>
  </si>
  <si>
    <t>SEDUYIBVUMLAFJ-UHFFFAOYSA-N</t>
  </si>
  <si>
    <t>C36H28O15</t>
  </si>
  <si>
    <t>9.49_451.0999m/z</t>
  </si>
  <si>
    <t>Catechin 3-O-(1-Hydroxy-6-Oxo-2-Cyclohexene-1-Carboxylate)</t>
  </si>
  <si>
    <t>LMPK12020108</t>
  </si>
  <si>
    <t>C1(O)C=C2O[C@H](C3C=C(O)C(O)=CC=3)[C@@H](OC(C3(O)C(=O)CCC=C3)=O)CC2=C(O)C=1</t>
  </si>
  <si>
    <t>GDLNMYMKZGPSKH-RUYIAYPLSA-N</t>
  </si>
  <si>
    <t>5.14_223.1116m/z</t>
  </si>
  <si>
    <t>Obtustyrene</t>
  </si>
  <si>
    <t>HMDB0030672</t>
  </si>
  <si>
    <t>21148-31-2</t>
  </si>
  <si>
    <t>COC1=C(C\C=C\C2=CC=CC=C2)C=CC(O)=C1</t>
  </si>
  <si>
    <t>ZAGLUIIUOWEVEN-VMPITWQZSA-N</t>
  </si>
  <si>
    <t>1.62_445.1350m/z</t>
  </si>
  <si>
    <t>Succinylaminoimidazole Carboxamide</t>
  </si>
  <si>
    <t>HMDB0258547</t>
  </si>
  <si>
    <t>NC(=O)C1=NC=CN1NN1C(=O)CCC1=O</t>
  </si>
  <si>
    <t>SEXVKBABCFHDTR-UHFFFAOYSA-N</t>
  </si>
  <si>
    <t>C8H9N5O3</t>
  </si>
  <si>
    <t>10.13_449.1957m/z</t>
  </si>
  <si>
    <t>Paliperidone</t>
  </si>
  <si>
    <t>HMDB0015396</t>
  </si>
  <si>
    <t>144598-75-4</t>
  </si>
  <si>
    <t>CC1=C(CCN2CCC(CC2)C2=NOC3=C2C=CC(F)=C3)C(=O)N2CCCC(O)C2=N1</t>
  </si>
  <si>
    <t>PMXMIIMHBWHSKN-UHFFFAOYSA-N</t>
  </si>
  <si>
    <t>C23H27FN4O3</t>
  </si>
  <si>
    <t>9.43_449.3485m/z</t>
  </si>
  <si>
    <t>Sphinganine-1-Phosphocholine</t>
  </si>
  <si>
    <t>HMDB0012082</t>
  </si>
  <si>
    <t>LMSP01060002</t>
  </si>
  <si>
    <t>[C@](COP(=O)([O-])OCC[N+](C)(C)C)([H])(N)[C@]([H])(O)CCCCCCCCCCCCCCC</t>
  </si>
  <si>
    <t>GSEOJHIBPQRSNH-XZOQPEGZSA-N</t>
  </si>
  <si>
    <t>C23H51N2O5P</t>
  </si>
  <si>
    <t>4.88_317.1018m/z</t>
  </si>
  <si>
    <t>Pentoxifylline</t>
  </si>
  <si>
    <t>HMDB0014944</t>
  </si>
  <si>
    <t>C07424</t>
  </si>
  <si>
    <t>6493-05-6</t>
  </si>
  <si>
    <t>CN1C=NC2=C1C(=O)N(CCCCC(C)=O)C(=O)N2C</t>
  </si>
  <si>
    <t>BYPFEZZEUUWMEJ-UHFFFAOYSA-N</t>
  </si>
  <si>
    <t>C13H18N4O3</t>
  </si>
  <si>
    <t>5.43_519.2960m/z</t>
  </si>
  <si>
    <t>Fenspiride</t>
  </si>
  <si>
    <t>HMDB0252224</t>
  </si>
  <si>
    <t>5053-08-7</t>
  </si>
  <si>
    <t>OC1=NCC2(CCN(CCC3=CC=CC=C3)CC2)O1</t>
  </si>
  <si>
    <t>FVNFBBAOMBJTST-UHFFFAOYSA-N</t>
  </si>
  <si>
    <t>C15H20N2O2</t>
  </si>
  <si>
    <t>3.72_373.1117m/z</t>
  </si>
  <si>
    <t>13-Dimethylarsinoyl-Tridecanoic Acid</t>
  </si>
  <si>
    <t>LMFA00000034</t>
  </si>
  <si>
    <t>C(CCCCCCCCCCCC(=O)O)[As](C)(=O)C</t>
  </si>
  <si>
    <t>ATYBQUGNOSSSRP-UHFFFAOYSA-N</t>
  </si>
  <si>
    <t>C15H31AsO3</t>
  </si>
  <si>
    <t>1.39_308.9718m/z</t>
  </si>
  <si>
    <t>2-(2-Carboxy-4-Methylthiazol-5-Yl)Ethyl Phosphate</t>
  </si>
  <si>
    <t>HMDB0304049</t>
  </si>
  <si>
    <t>CC1=C(CCOP([O-])([O-])=O)SC(=N1)C([O-])=O</t>
  </si>
  <si>
    <t>XWECMAHAKFWYNV-UHFFFAOYSA-K</t>
  </si>
  <si>
    <t>C7H7NO6PS-3</t>
  </si>
  <si>
    <t>8.93_154.1357n</t>
  </si>
  <si>
    <t>(-)-Borneol</t>
  </si>
  <si>
    <t>HMDB0034976</t>
  </si>
  <si>
    <t>C01411</t>
  </si>
  <si>
    <t>507-70-0</t>
  </si>
  <si>
    <t>CC1(C)[C@H]2CC[C@]1(C)[C@H](O)C2</t>
  </si>
  <si>
    <t>DTGKSKDOIYIVQL-QXFUBDJGSA-N</t>
  </si>
  <si>
    <t>5.32_553.2079m/z</t>
  </si>
  <si>
    <t>Decahydro-6-(Phosphonomethyl)-3-Isoquinolinecarboxylic Acid</t>
  </si>
  <si>
    <t>HMDB0254231</t>
  </si>
  <si>
    <t>OC(=O)C1CC2CC(CP(O)(O)=O)CCC2CN1</t>
  </si>
  <si>
    <t>STIRHCNEGQQBOY-UHFFFAOYSA-N</t>
  </si>
  <si>
    <t>C11H20NO5P</t>
  </si>
  <si>
    <t>14.59_637.4661m/z</t>
  </si>
  <si>
    <t>Donhexocin</t>
  </si>
  <si>
    <t>HMDB0033087</t>
  </si>
  <si>
    <t>CCCCCCCCCCCCC(O)C(O)CCC(O)C(O)CCCCC(O)CCCCCC(O)CC1=CC(C)OC1=O</t>
  </si>
  <si>
    <t>IRCFRVYGUCFTPA-UHFFFAOYSA-N</t>
  </si>
  <si>
    <t>C35H66O8</t>
  </si>
  <si>
    <t>4.12_237.0586m/z</t>
  </si>
  <si>
    <t>Creatinine Nitrite Nitrate</t>
  </si>
  <si>
    <t>HMDB0250532</t>
  </si>
  <si>
    <t>CN1C(N)=NC(=O)C1(ON=O)O[N+]([O-])=O</t>
  </si>
  <si>
    <t>BVMRJQKBFJDKEW-UHFFFAOYSA-N</t>
  </si>
  <si>
    <t>C4H5N5O6</t>
  </si>
  <si>
    <t>9.75_296.9966m/z</t>
  </si>
  <si>
    <t>Pentaerythritol Tetranitrate</t>
  </si>
  <si>
    <t>HMDB0256253</t>
  </si>
  <si>
    <t>[O-][N+](=O)OCC(CO[N+]([O-])=O)(CO[N+]([O-])=O)CO[N+]([O-])=O</t>
  </si>
  <si>
    <t>TZRXHJWUDPFEEY-UHFFFAOYSA-N</t>
  </si>
  <si>
    <t>C5H8N4O12</t>
  </si>
  <si>
    <t>4.08_595.1088m/z</t>
  </si>
  <si>
    <t>Bl Ii</t>
  </si>
  <si>
    <t>HMDB0039565</t>
  </si>
  <si>
    <t>CC(=O)OC1=C(OC(C)=O)C=C2C(OC3=C(OC(C)=O)C(C4=CC=C(O)C=C4)=C(OC(C)=O)C(OC(C)=O)=C23)=C1</t>
  </si>
  <si>
    <t>BKYOIMKDXAUYEQ-UHFFFAOYSA-N</t>
  </si>
  <si>
    <t>C28H22O12</t>
  </si>
  <si>
    <t>6.59_528.3309m/z</t>
  </si>
  <si>
    <t>Cholylproline</t>
  </si>
  <si>
    <t>HMDB0242385</t>
  </si>
  <si>
    <t>CC(CCC(=O)N1CCCC1C(O)=O)C1CCC2C3C(O)CC4CC(O)CCC4(C)C3CC(O)C12C</t>
  </si>
  <si>
    <t>JFAHLVMHOMALOB-UHFFFAOYSA-N</t>
  </si>
  <si>
    <t>C29H47NO6</t>
  </si>
  <si>
    <t>1.08_184.0578m/z</t>
  </si>
  <si>
    <t>Aminoadipic Acid</t>
  </si>
  <si>
    <t>HMDB0000510</t>
  </si>
  <si>
    <t>C00956</t>
  </si>
  <si>
    <t>ko00300,ko00310,ko00311</t>
  </si>
  <si>
    <t>Lysine biosynthesis|Lysine degradation|Penicillin and cephalosporin biosynthesis</t>
  </si>
  <si>
    <t>1118-90-7</t>
  </si>
  <si>
    <t>N[C@@H](CCCC(O)=O)C(O)=O</t>
  </si>
  <si>
    <t>OYIFNHCXNCRBQI-BYPYZUCNSA-N</t>
  </si>
  <si>
    <t>11.25_261.2212m/z</t>
  </si>
  <si>
    <t>17-Octadecen-9-Ynoic Acid</t>
  </si>
  <si>
    <t>LMFA01030562</t>
  </si>
  <si>
    <t>C(CCCCCCCC#CCCCCCCC=C)(=O)O</t>
  </si>
  <si>
    <t>JSDJDUFIGGRVBJ-UHFFFAOYSA-N</t>
  </si>
  <si>
    <t>14.01_283.2640m/z</t>
  </si>
  <si>
    <t>1-Heptadecene</t>
  </si>
  <si>
    <t>HMDB0302312</t>
  </si>
  <si>
    <t>LMFA11000318</t>
  </si>
  <si>
    <t>C=CCCCCCCCCCCCCCCC</t>
  </si>
  <si>
    <t>ADOBXTDBFNCOBN-UHFFFAOYSA-N</t>
  </si>
  <si>
    <t>C17H34</t>
  </si>
  <si>
    <t>5.94_836.2621m/z</t>
  </si>
  <si>
    <t>Udp-3-(3r-Hydroxy-Tetradecanoyl)-Alphad-Glucosamine</t>
  </si>
  <si>
    <t>LMSL01010001</t>
  </si>
  <si>
    <t>C11521</t>
  </si>
  <si>
    <t>ko00520,ko00561</t>
  </si>
  <si>
    <t>Amino sugar and nucleotide sugar metabolism|Glycerolipid metabolism</t>
  </si>
  <si>
    <t>O(P(O)(=O)OC[C@@H]1[C@@H](O)[C@@H](O)[C@H](N2C(=O)NC(=O)C=C2)O1)P(O[C@H]1O[C@@H]([C@H]([C@@H]([C@H]1N)OC(C[C@@H](CCCCCCCCCCC)O)=O)O)CO)(=O)O</t>
  </si>
  <si>
    <t>ZFPNNOXCEDQJQS-SSVOXRMNSA-N</t>
  </si>
  <si>
    <t>C29H51N3O18P2</t>
  </si>
  <si>
    <t>5.45_415.1033m/z</t>
  </si>
  <si>
    <t>Paulownin</t>
  </si>
  <si>
    <t>C1C2C(OCC2(C(O1)C3=CC4=C(C=C3)OCO4)O)C5=CC6=C(C=C5)OCO6</t>
  </si>
  <si>
    <t>CAQZFLPWHBKTTR-WNISUXOKSA-N</t>
  </si>
  <si>
    <t>C20H18O7</t>
  </si>
  <si>
    <t>4.23_335.0398m/z</t>
  </si>
  <si>
    <t>8-Hydroxyquercetagetin</t>
  </si>
  <si>
    <t>HMDB0030159</t>
  </si>
  <si>
    <t>LMPK12113327</t>
  </si>
  <si>
    <t>87926-83-8</t>
  </si>
  <si>
    <t>C1(O)=C(O)C2OC(C3C=C(O)C(O)=CC=3)=C(O)C(=O)C=2C(O)=C1O</t>
  </si>
  <si>
    <t>IVVIBMKOLWEERH-UHFFFAOYSA-N</t>
  </si>
  <si>
    <t>C15H10O9</t>
  </si>
  <si>
    <t>5.08_304.1553m/z</t>
  </si>
  <si>
    <t>Propranolol</t>
  </si>
  <si>
    <t>HMDB0001849</t>
  </si>
  <si>
    <t>C07407</t>
  </si>
  <si>
    <t>525-66-6</t>
  </si>
  <si>
    <t>CC(C)NCC(O)COC1=CC=CC2=CC=CC=C12</t>
  </si>
  <si>
    <t>AQHHHDLHHXJYJD-UHFFFAOYSA-N</t>
  </si>
  <si>
    <t>C16H21NO2</t>
  </si>
  <si>
    <t>5.94_301.0352m/z</t>
  </si>
  <si>
    <t>Purpurin</t>
  </si>
  <si>
    <t>HMDB0256928</t>
  </si>
  <si>
    <t>C10395</t>
  </si>
  <si>
    <t>81-54-9</t>
  </si>
  <si>
    <t>OC1=CC(O)=C2C(=O)C3=CC=CC=C3C(=O)C2=C1O</t>
  </si>
  <si>
    <t>BBNQQADTFFCFGB-UHFFFAOYSA-N</t>
  </si>
  <si>
    <t>C14H8O5</t>
  </si>
  <si>
    <t>1.39_278.9522m/z</t>
  </si>
  <si>
    <t>(Alpha-D-Mannosyl)7-Beta-D-Mannosyl-Diacetylchitobiosyl-L-Asparagine, Isoform B (Protein)</t>
  </si>
  <si>
    <t>HMDB0062252</t>
  </si>
  <si>
    <t>COC1=CC=C(I)C=C1</t>
  </si>
  <si>
    <t>SYSZENVIJHPFNL-UHFFFAOYSA-N</t>
  </si>
  <si>
    <t>C7H7IO</t>
  </si>
  <si>
    <t>1.37_256.0302m/z</t>
  </si>
  <si>
    <t>3,4-Dihydro-2h-Pyrimido[1,2-C][1,3]Benzothiazin-6-Imine</t>
  </si>
  <si>
    <t>HMDB0256178</t>
  </si>
  <si>
    <t>N=C1SC2=CC=CC=C2C2=NCCCN12</t>
  </si>
  <si>
    <t>JNENSSREQFBZGT-UHFFFAOYSA-N</t>
  </si>
  <si>
    <t>C11H11N3S</t>
  </si>
  <si>
    <t>9.08_332.3157m/z</t>
  </si>
  <si>
    <t>19-Hydroxy-Nonadecanoic Acid</t>
  </si>
  <si>
    <t>LMFA01050072</t>
  </si>
  <si>
    <t>C(CCCCCCCCCCCCCCCCO)CC(=O)O</t>
  </si>
  <si>
    <t>LSEAKSNIGVHVQY-UHFFFAOYSA-N</t>
  </si>
  <si>
    <t>4.26_381.1155m/z</t>
  </si>
  <si>
    <t>Phlorisobutyrophenone 2-Glucoside</t>
  </si>
  <si>
    <t>HMDB0029651</t>
  </si>
  <si>
    <t>17004-75-0</t>
  </si>
  <si>
    <t>CC(C)C(=O)C1=C(OC2OC(CO)C(O)C(O)C2O)C=C(O)C=C1O</t>
  </si>
  <si>
    <t>PSBKCHXAPMSDFN-UHFFFAOYSA-N</t>
  </si>
  <si>
    <t>5.15_571.2392m/z</t>
  </si>
  <si>
    <t>Zolazepam</t>
  </si>
  <si>
    <t>HMDB0260040</t>
  </si>
  <si>
    <t>CN1N=C(C)C2=C1N(C)C(=O)CN=C2C1=CC=CC=C1F</t>
  </si>
  <si>
    <t>GDSCFOSHSOWNDL-UHFFFAOYSA-N</t>
  </si>
  <si>
    <t>C15H15FN4O</t>
  </si>
  <si>
    <t>3.73_515.1734m/z</t>
  </si>
  <si>
    <t>Phthalocyanine</t>
  </si>
  <si>
    <t>HMDB0256504</t>
  </si>
  <si>
    <t>C14077</t>
  </si>
  <si>
    <t>574-93-6</t>
  </si>
  <si>
    <t>N1C2=C3C=CC=CC3=C1\N=C1/N=C(/N=C3\N=C(NC4=N\C(=N/2)C2=CC=CC=C42)C2=CC=CC=C32)C2=CC=CC=C12</t>
  </si>
  <si>
    <t>IEQIEDJGQAUEQZ-UHFFFAOYSA-N</t>
  </si>
  <si>
    <t>Phthalocyanines</t>
  </si>
  <si>
    <t>C32H18N8</t>
  </si>
  <si>
    <t>5.01_213.1637m/z</t>
  </si>
  <si>
    <t>2,6-Diisopropylnaphthalene</t>
  </si>
  <si>
    <t>HMDB0059902</t>
  </si>
  <si>
    <t>[H]C1=C([H])C(=C([H])C2=C1C([H])=C(C([H])=C2[H])C([H])(C([H])([H])[H])C([H])([H])[H])C([H])(C([H])([H])[H])C([H])([H])[H]</t>
  </si>
  <si>
    <t>GWLLTEXUIOFAFE-UHFFFAOYSA-N</t>
  </si>
  <si>
    <t>C16H20</t>
  </si>
  <si>
    <t>4.88_185.1324m/z</t>
  </si>
  <si>
    <t>Chamazulene</t>
  </si>
  <si>
    <t>HMDB0036470</t>
  </si>
  <si>
    <t>LMPR0103410002</t>
  </si>
  <si>
    <t>C09633</t>
  </si>
  <si>
    <t>529-05-5</t>
  </si>
  <si>
    <t>C12=C(C)C=CC1=C(C)C=CC(CC)=C2</t>
  </si>
  <si>
    <t>GXGJIOMUZAGVEH-UHFFFAOYSA-N</t>
  </si>
  <si>
    <t>C14H16</t>
  </si>
  <si>
    <t>12.97_1061.4974m/z</t>
  </si>
  <si>
    <t>PIP(22:4(10Z,13Z,16Z,19Z)/PGE2)</t>
  </si>
  <si>
    <t>HMDB0280411</t>
  </si>
  <si>
    <t>CCCCC[C@H](O)\C=C\[C@H]1[C@H](O)CC(=O)[C@@H]2C\C=C/CCCC(=O)O[C@H](COC(=O)CCCCCCCC\C=C/C\C=C/C\C=C/C\C=C/CC)COP(O)(=O)O[C@@H]([C@H](O)[C@@H](O)[C@@H]2O)[C@H](OP(O)(O)=O)[C@@H]1O</t>
  </si>
  <si>
    <t>COUXTSWKAYWAHC-KQCSHYLHSA-N</t>
  </si>
  <si>
    <t>C51H84O19P2</t>
  </si>
  <si>
    <t>5.37_183.1167m/z</t>
  </si>
  <si>
    <t>1,2-Dihydrostilbene</t>
  </si>
  <si>
    <t>HMDB0244093</t>
  </si>
  <si>
    <t>LMPK13090043</t>
  </si>
  <si>
    <t>C14685</t>
  </si>
  <si>
    <t>C1=CC=C(CCC2=CC=CC=C2)C=C1</t>
  </si>
  <si>
    <t>QWUWMCYKGHVNAV-UHFFFAOYSA-N</t>
  </si>
  <si>
    <t>C14H14</t>
  </si>
  <si>
    <t>5.34_369.1680m/z</t>
  </si>
  <si>
    <t>2-Hexynyl-5'-N-Ethylcarboxamidoadenosine</t>
  </si>
  <si>
    <t>HMDB0245138</t>
  </si>
  <si>
    <t>CCCCC#CC1=NC2=C(N=CN2C2OC(C(O)C2O)C(=O)NCC)C(N)=N1</t>
  </si>
  <si>
    <t>FDEACFAXFCKCHZ-UHFFFAOYSA-N</t>
  </si>
  <si>
    <t>C18H24N6O4</t>
  </si>
  <si>
    <t>5.52_766.2556m/z</t>
  </si>
  <si>
    <t>Aquifoliunine Eii</t>
  </si>
  <si>
    <t>HMDB0032859</t>
  </si>
  <si>
    <t>CC1C(C)C(=O)OC2C(O)C(OC(C)=O)C3(COC(C)=O)C(OC(C)=O)C(O)C4C(OC(C)=O)C3(OC4(C)COC(=O)C3=C1N=CC=C3)C2(C)O</t>
  </si>
  <si>
    <t>SHDBRMQJPSDFRT-UHFFFAOYSA-N</t>
  </si>
  <si>
    <t>C34H43NO16</t>
  </si>
  <si>
    <t>8.49_1100.3331m/z</t>
  </si>
  <si>
    <t>(6z,9z,12z,15z,18z,21z)-3-Oxotetracosahexaenoyl-Coa</t>
  </si>
  <si>
    <t>HMDB0060313</t>
  </si>
  <si>
    <t>LMFA07050126</t>
  </si>
  <si>
    <t>C16376</t>
  </si>
  <si>
    <t>C(C/C=C\C/C=C\C/C=C\C/C=C\C/C=C\C/C=C\CC)C(=O)CC(=O)SCCNC(=O)CCNC([C@H](O)C(C)(C)COP(O)(=O)OP(O)(=O)OC[C@@H]1[C@@H](OP(=O)(O)O)[C@@H](O)[C@@H](O1)N1C=NC2C(N)=NC=NC1=2)=O</t>
  </si>
  <si>
    <t>DNHDPAXPQGYGIJ-KWFBMMABSA-N</t>
  </si>
  <si>
    <t>C45H68N7O18P3S</t>
  </si>
  <si>
    <t>14.45_839.5517m/z</t>
  </si>
  <si>
    <t>2,4-Decadienamide,5-(4-Methoxyphenyl)-N-[(1r)-1-Methyl-4-(3-Pyridinyl)Butyl]-, (2e,4e)-</t>
  </si>
  <si>
    <t>HMDB0244461</t>
  </si>
  <si>
    <t>CCCCCC(=CC=CC(=O)NC(C)CCCC1=CN=CC=C1)C1=CC=C(OC)C=C1</t>
  </si>
  <si>
    <t>HLCHRSFXEXAMLU-UHFFFAOYSA-N</t>
  </si>
  <si>
    <t>C27H36N2O2</t>
  </si>
  <si>
    <t>5.87_430.2223m/z</t>
  </si>
  <si>
    <t>Guan-Fu Base A</t>
  </si>
  <si>
    <t>HMDB0252967</t>
  </si>
  <si>
    <t>CC(=O)OC1CC2(C)CN3C4CC56CC(=C)C7C(O)C5C(C1)(C24)C3C6(O)C7OC(C)=O</t>
  </si>
  <si>
    <t>OGNUSOJAYIHLNS-UHFFFAOYSA-N</t>
  </si>
  <si>
    <t>C24H31NO6</t>
  </si>
  <si>
    <t>10.38_1057.4726m/z</t>
  </si>
  <si>
    <t>1-Deamino-4-Val-8-Arg-Vasopressin</t>
  </si>
  <si>
    <t>HMDB0243854</t>
  </si>
  <si>
    <t>CCC(=O)NC(CC12SC1C1SC1(O)C=C2)C(=O)NC(CC1=CC=CC=C1)C(=O)NC(C(C)C)C(=O)NC(CC(N)=O)C(=O)NC(C)C(=O)N1CCCC1C(=O)NC(CC=CN=C(N)N)C(=O)NCC(N)=O</t>
  </si>
  <si>
    <t>KTPUTUVNZXFASQ-UHFFFAOYSA-N</t>
  </si>
  <si>
    <t>C46H65N13O11S2</t>
  </si>
  <si>
    <t>4.11_483.1834m/z</t>
  </si>
  <si>
    <t>Apiosylrhododendrin</t>
  </si>
  <si>
    <t>CC(CCC1=CC=C(C=C1)O)OC2C(C(C(C(O2)COC3C(C(CO3)(CO)O)O)O)O)O</t>
  </si>
  <si>
    <t>QJVVGCSWIOLQDG-KSJXXNTBSA-N</t>
  </si>
  <si>
    <t>C21H32O11</t>
  </si>
  <si>
    <t>15.13_836.6085m/z</t>
  </si>
  <si>
    <t>Alpha,Alpha'-Trehalose 6-Mycolate</t>
  </si>
  <si>
    <t>LMFA01160001</t>
  </si>
  <si>
    <t>C04218</t>
  </si>
  <si>
    <t>O(C[C@@H]1[C@@H](O)[C@H](O)[C@@H](O)[C@@H](O[C@@H]2[C@H](O)[C@@H](O)[C@H](O)[C@@H](CO)O2)O1)C(=O)C(CCCCCCCCCCCCCC)C(O)CCCCCCC/C=C/CCCCCC</t>
  </si>
  <si>
    <t>DIYJLQPZULMTGY-HNBCZZSGSA-N</t>
  </si>
  <si>
    <t>C44H82O13</t>
  </si>
  <si>
    <t>4.67_287.0912m/z</t>
  </si>
  <si>
    <t>Azvudine</t>
  </si>
  <si>
    <t>HMDB0248824</t>
  </si>
  <si>
    <t>NC1=NC(=O)N(C=C1)C1OC(CO)(N=[N+]=[N-])C(O)C1F</t>
  </si>
  <si>
    <t>KTOLOIKYVCHRJW-UHFFFAOYSA-N</t>
  </si>
  <si>
    <t>C9H11FN6O4</t>
  </si>
  <si>
    <t>5.01_533.1658m/z</t>
  </si>
  <si>
    <t>(S)-2-Amino-5-((4-Nitrophenyl)Amino)-5-Oxopentanoic Acid</t>
  </si>
  <si>
    <t>HMDB0247328</t>
  </si>
  <si>
    <t>NC(CCC(=O)NC1=CC=C(C=C1)[N+]([O-])=O)C(O)=O</t>
  </si>
  <si>
    <t>WMZTYIRRBCGARG-UHFFFAOYSA-N</t>
  </si>
  <si>
    <t>C11H13N3O5</t>
  </si>
  <si>
    <t>5.42_329.1381m/z</t>
  </si>
  <si>
    <t>N-(1-Deoxy-1-Fructosyl)Methionine</t>
  </si>
  <si>
    <t>HMDB0037841</t>
  </si>
  <si>
    <t>20638-92-0</t>
  </si>
  <si>
    <t>CSCC[C@H](NCC1(O)O[C@H](CO)[C@@H](O)[C@@H]1O)C(O)=O</t>
  </si>
  <si>
    <t>KEGDHFMPWJTRFP-ZVSNZSLMSA-N</t>
  </si>
  <si>
    <t>C11H21NO7S</t>
  </si>
  <si>
    <t>9.27_686.3730m/z</t>
  </si>
  <si>
    <t>Tfllr-Nh2</t>
  </si>
  <si>
    <t>HMDB0258946</t>
  </si>
  <si>
    <t>CC(C)CC(NC(=O)C(CC(C)C)NC(=O)C(CC1=CC=CC=C1)NC(=O)C(N)C(C)O)C(=O)NC(CCCN=C(N)N)C(N)=O</t>
  </si>
  <si>
    <t>ANAMCEKSRDPIPX-UHFFFAOYSA-N</t>
  </si>
  <si>
    <t>C31H53N9O6</t>
  </si>
  <si>
    <t>9.86_360.3470m/z</t>
  </si>
  <si>
    <t>MG(P-18:0/0:0/0:0)</t>
  </si>
  <si>
    <t>HMDB0011153</t>
  </si>
  <si>
    <t>18330-10-4</t>
  </si>
  <si>
    <t>[H][C@](O)(CO)CO\C=C/CCCCCCCCCCCCCCCC</t>
  </si>
  <si>
    <t>WXWPBUKRBCYIMR-OGLOHFSISA-N</t>
  </si>
  <si>
    <t>Glycerol vinyl ethers</t>
  </si>
  <si>
    <t>9.25_414.2042n</t>
  </si>
  <si>
    <t>4-O-Methylmelleolide</t>
  </si>
  <si>
    <t>HMDB0037039</t>
  </si>
  <si>
    <t>96627-13-3</t>
  </si>
  <si>
    <t>COC12C(CC1(C)C1CC(C)(C)CC1C=C2C=O)OC(=O)C1=C(O)C=C(O)C=C1C</t>
  </si>
  <si>
    <t>GYCBSZGIYPNYAB-UHFFFAOYSA-N</t>
  </si>
  <si>
    <t>0.75_237.0846n</t>
  </si>
  <si>
    <t>N-(1-Deoxy-1-Fructosyl)Glycine</t>
  </si>
  <si>
    <t>HMDB0037848</t>
  </si>
  <si>
    <t>60644-20-4</t>
  </si>
  <si>
    <t>OC[C@H]1OC(O)(CNCC(O)=O)[C@@H](O)[C@@H]1O</t>
  </si>
  <si>
    <t>UKKRCTOBKMVJGX-STUHELBRSA-N</t>
  </si>
  <si>
    <t>C8H15NO7</t>
  </si>
  <si>
    <t>4.70_581.0909m/z</t>
  </si>
  <si>
    <t>Quercetin 3-(2''-Galloylrhamnoside)</t>
  </si>
  <si>
    <t>LMPK12112215</t>
  </si>
  <si>
    <t>C1(O)=CC2OC(C3C=C(O)C(O)=CC=3)=C(O[C@H]3[C@H](OC(C4C=C(O)C(O)=C(O)C=4)=O)[C@H](O)[C@@H](O)[C@H](C)O3)C(=O)C=2C(O)=C1</t>
  </si>
  <si>
    <t>KTTNFIOZYNBKEY-YIOJSCHVSA-N</t>
  </si>
  <si>
    <t>C28H24O15</t>
  </si>
  <si>
    <t>1.48_194.0337m/z</t>
  </si>
  <si>
    <t>4-Hydroxy-5-Methyl-2-Propyl-3(2h)-Furanone</t>
  </si>
  <si>
    <t>HMDB0304179</t>
  </si>
  <si>
    <t>CCCC1OC(C)=C([O-])C1=O</t>
  </si>
  <si>
    <t>DBYQGTLFSQKPCA-UHFFFAOYSA-M</t>
  </si>
  <si>
    <t>C8H11O3-</t>
  </si>
  <si>
    <t>8.81_421.1424m/z</t>
  </si>
  <si>
    <t>Milrinone</t>
  </si>
  <si>
    <t>HMDB0014380</t>
  </si>
  <si>
    <t>C07224</t>
  </si>
  <si>
    <t>78415-72-2</t>
  </si>
  <si>
    <t>CC1=C(C=C(C#N)C(=O)N1)C1=CC=NC=C1</t>
  </si>
  <si>
    <t>PZRHRDRVRGEVNW-UHFFFAOYSA-N</t>
  </si>
  <si>
    <t>C12H9N3O</t>
  </si>
  <si>
    <t>8.22_262.1081m/z</t>
  </si>
  <si>
    <t>Sanfetrinem</t>
  </si>
  <si>
    <t>HMDB0257478</t>
  </si>
  <si>
    <t>COC1CCCC2C3C(C(C)O)C(=O)N3C(C(O)=O)=C12</t>
  </si>
  <si>
    <t>ICFDDEJRXZSWTA-UHFFFAOYSA-N</t>
  </si>
  <si>
    <t>2.33_173.0596m/z</t>
  </si>
  <si>
    <t>7-Ethoxycoumarin</t>
  </si>
  <si>
    <t>HMDB0247248</t>
  </si>
  <si>
    <t>C11052</t>
  </si>
  <si>
    <t>31005-02-4</t>
  </si>
  <si>
    <t>CCOC1=CC=C2C=CC(=O)OC2=C1</t>
  </si>
  <si>
    <t>LIFAQMGORKPVDH-UHFFFAOYSA-N</t>
  </si>
  <si>
    <t>C11H10O3</t>
  </si>
  <si>
    <t>5.03_297.1119m/z</t>
  </si>
  <si>
    <t>Deoxysappanone B 7,3'-Dimethyl Ether</t>
  </si>
  <si>
    <t>COC1=CC2=C(C=C1)C(=O)C(CO2)CC3=CC(=C(C=C3)O)OC</t>
  </si>
  <si>
    <t>OFAYBXSZQCUARK-UHFFFAOYSA-N</t>
  </si>
  <si>
    <t>C18H18O5</t>
  </si>
  <si>
    <t>1.24_552.9798m/z</t>
  </si>
  <si>
    <t>Inosine Triphosphate</t>
  </si>
  <si>
    <t>HMDB0000189</t>
  </si>
  <si>
    <t>C00081</t>
  </si>
  <si>
    <t>132-06-9</t>
  </si>
  <si>
    <t>O[C@@H]1[C@@H](COP(O)(=O)OP(O)(=O)OP(O)(O)=O)O[C@H]([C@@H]1O)N1C=NC2=C1N=CN=C2O</t>
  </si>
  <si>
    <t>HAEJPQIATWHALX-KQYNXXCUSA-N</t>
  </si>
  <si>
    <t>C10H15N4O14P3</t>
  </si>
  <si>
    <t>6.07_521.2390m/z</t>
  </si>
  <si>
    <t>Trillenogenin</t>
  </si>
  <si>
    <t>LMST01080047</t>
  </si>
  <si>
    <t>C1[C@H](O)CC2[C@@](C)([C@@]3([H])CCC4[C@H]5[C@@H]([C@]6(O[C@H]5C(=O)C=4[C@]3([H])CC=2)[C@@H](O)[C@H](O)[C@@H](C)CO6)CO)[C@@H]1O</t>
  </si>
  <si>
    <t>BIKUIZPELKRTDU-LIFKQPTISA-N</t>
  </si>
  <si>
    <t>7.67_661.2007m/z</t>
  </si>
  <si>
    <t>R-95913</t>
  </si>
  <si>
    <t>HMDB0013930</t>
  </si>
  <si>
    <t>OC1=CC2=C(CCN(C2)C(C(=O)C2CC2)C2=CC=CC=C2F)S1</t>
  </si>
  <si>
    <t>MPLQNQUWLWGOET-UHFFFAOYSA-N</t>
  </si>
  <si>
    <t>Thienopyridines</t>
  </si>
  <si>
    <t>C18H18FNO2S</t>
  </si>
  <si>
    <t>5.23_468.1418n</t>
  </si>
  <si>
    <t>Silymonin</t>
  </si>
  <si>
    <t>HMDB0030585</t>
  </si>
  <si>
    <t>70815-31-5</t>
  </si>
  <si>
    <t>COC1=C(O)C=CC(=C1)C1C2COC3(O)C2C(CC1C3=O)C1CC(=O)C2=C(O)C=C(O)C=C2O1</t>
  </si>
  <si>
    <t>PGVCJDNRHYVFET-UHFFFAOYSA-N</t>
  </si>
  <si>
    <t>Cyclohexylphenols</t>
  </si>
  <si>
    <t>C25H24O9</t>
  </si>
  <si>
    <t>3.90_497.1663m/z</t>
  </si>
  <si>
    <t>4-Nitro-7-Piperazinobenzofurazan</t>
  </si>
  <si>
    <t>HMDB0244572</t>
  </si>
  <si>
    <t>[O-][N+](=O)C1=CC=C(N2CCNCC2)C2=NON=C12</t>
  </si>
  <si>
    <t>MVLWYDGJBGPXOL-UHFFFAOYSA-N</t>
  </si>
  <si>
    <t>C10H11N5O3</t>
  </si>
  <si>
    <t>4.43_149.1324m/z</t>
  </si>
  <si>
    <t>Pentylbenzene</t>
  </si>
  <si>
    <t>HMDB0059834</t>
  </si>
  <si>
    <t>CCCCCC1=CC=CC=C1</t>
  </si>
  <si>
    <t>PWATWSYOIIXYMA-UHFFFAOYSA-N</t>
  </si>
  <si>
    <t>C11H16</t>
  </si>
  <si>
    <t>4.12_531.1694m/z</t>
  </si>
  <si>
    <t>Genipin 1-Gentiobioside</t>
  </si>
  <si>
    <t>HMDB0252678</t>
  </si>
  <si>
    <t>COC(=O)C1=COC(OC2OC(COC3OC(CO)C(O)C(O)C3O)C(O)C(O)C2O)C2C1CC=C2CO</t>
  </si>
  <si>
    <t>FYZYXYLPBWLLGI-UHFFFAOYSA-N</t>
  </si>
  <si>
    <t>C23H34O15</t>
  </si>
  <si>
    <t>12.95_733.4489m/z</t>
  </si>
  <si>
    <t>Alpha-Hederin</t>
  </si>
  <si>
    <t>C08954</t>
  </si>
  <si>
    <t>27013-91-8</t>
  </si>
  <si>
    <t>CC1C(C(C(C(O1)OC2C(C(COC2OC3CCC4(C(C3(C)CO)CCC5(C4CC=C6C5(CCC7(C6CC(CC7)(C)C)C(=O)O)C)C)C)O)O)O)O)O</t>
  </si>
  <si>
    <t>KEOITPILCOILGM-LLJOFIFVSA-N</t>
  </si>
  <si>
    <t>C41H66O12</t>
  </si>
  <si>
    <t>1.64_617.0299m/z</t>
  </si>
  <si>
    <t>Lamivudine-Monophosphate</t>
  </si>
  <si>
    <t>HMDB0060641</t>
  </si>
  <si>
    <t>NC1=NC(=O)N(C=C1)C1CSC(COP(O)(O)=O)O1</t>
  </si>
  <si>
    <t>WUMZLKDCOINBEA-UHFFFAOYSA-N</t>
  </si>
  <si>
    <t>C8H12N3O6PS</t>
  </si>
  <si>
    <t>4.24_697.2650m/z</t>
  </si>
  <si>
    <t>Emate</t>
  </si>
  <si>
    <t>HMDB0251981</t>
  </si>
  <si>
    <t>CC12CCC3C(CCC4=C3C=CC(OS(N)(=O)=O)=C4)C1CCC2=O</t>
  </si>
  <si>
    <t>RVKFQAJIXCZXQY-UHFFFAOYSA-N</t>
  </si>
  <si>
    <t>C18H23NO4S</t>
  </si>
  <si>
    <t>5.06_417.0826m/z</t>
  </si>
  <si>
    <t>Cay10602</t>
  </si>
  <si>
    <t>374922-43-7</t>
  </si>
  <si>
    <t>C1=CC=C(C=C1)S(=O)(=O)C2=C(N(C3=NC4=CC=CC=C4N=C23)C5=CC=C(C=C5)F)N</t>
  </si>
  <si>
    <t>CSFVFDHRYKBBPD-UHFFFAOYSA-N</t>
  </si>
  <si>
    <t>C22H15FN4O2S</t>
  </si>
  <si>
    <t>10.13_892.2930m/z</t>
  </si>
  <si>
    <t>Gailiapenta</t>
  </si>
  <si>
    <t>HMDB0252572</t>
  </si>
  <si>
    <t>CC(=O)NC1C(O)C(OC2OC(CO)C(O)C(OC3OC(CO)C(O)C(O)C3O)C2O)C(CO)OC1OC1C(O)C(CO)OC(OC2C(O)C(O)C(O)OC2CO)C1O</t>
  </si>
  <si>
    <t>WVVRPVLKZHACNJ-UHFFFAOYSA-N</t>
  </si>
  <si>
    <t>C32H55NO26</t>
  </si>
  <si>
    <t>6.29_627.1510m/z</t>
  </si>
  <si>
    <t>Koparin 2'-Methyl Ether</t>
  </si>
  <si>
    <t>COC1=C(C(=C(C=C1)C2=COC3=C(C2=O)C=CC(=C3)O)OC)O</t>
  </si>
  <si>
    <t>WDHLJEOPUWGKKG-UHFFFAOYSA-N</t>
  </si>
  <si>
    <t>C17H14O6</t>
  </si>
  <si>
    <t>5.35_233.1534m/z</t>
  </si>
  <si>
    <t>Tris(2-Methyl-1-Aziridinyl)Phosphine Oxide</t>
  </si>
  <si>
    <t>C19556</t>
  </si>
  <si>
    <t>57-39-6</t>
  </si>
  <si>
    <t>CC1CN1P(=O)(N2CC2C)N3CC3C</t>
  </si>
  <si>
    <t>AVUYXHYHTTVPRX-UHFFFAOYSA-N</t>
  </si>
  <si>
    <t>C9H18N3OP</t>
  </si>
  <si>
    <t>3.93_277.1069m/z</t>
  </si>
  <si>
    <t>Pirimicarb</t>
  </si>
  <si>
    <t>HMDB0256598</t>
  </si>
  <si>
    <t>C11079</t>
  </si>
  <si>
    <t>23103-98-2</t>
  </si>
  <si>
    <t>CN(C)C(=O)OC1=NC(=NC(C)=C1C)N(C)C</t>
  </si>
  <si>
    <t>YFGYUFNIOHWBOB-UHFFFAOYSA-N</t>
  </si>
  <si>
    <t>C11H18N4O2</t>
  </si>
  <si>
    <t>0.53_1027.5825m/z</t>
  </si>
  <si>
    <t>Eurysterol A Sulfonic Acid</t>
  </si>
  <si>
    <t>LMST05020034</t>
  </si>
  <si>
    <t>O=S(=O)(O)O[C@@H]1C[C@]2(O)[C@H](O)C[C@]34OC[C@]2([C@@]3([H])CC[C@]2([C@@]4([H])CC[C@]2([H])[C@H](C)CCCC(C)C)C)CC1</t>
  </si>
  <si>
    <t>MWTQCWZOXMULHF-QZSJCTLHSA-N</t>
  </si>
  <si>
    <t>C27H46O7S</t>
  </si>
  <si>
    <t>3.65_517.1533m/z</t>
  </si>
  <si>
    <t>Dexamethasone 21-Sulfate</t>
  </si>
  <si>
    <t>HMDB0251078</t>
  </si>
  <si>
    <t>CC1CC2C3CCC4=CC(=O)C=CC4(C)C3(F)C(O)CC2(C)C1(O)C(=O)COS(O)(=O)=O</t>
  </si>
  <si>
    <t>URGVZGFGWFYRGP-UHFFFAOYSA-N</t>
  </si>
  <si>
    <t>C22H29FO8S</t>
  </si>
  <si>
    <t>11.25_334.3102m/z</t>
  </si>
  <si>
    <t>2,4,12-Octadecatrienoic Acid Isobutylamide</t>
  </si>
  <si>
    <t>HMDB0032033</t>
  </si>
  <si>
    <t>151391-69-4</t>
  </si>
  <si>
    <t>CCCCC\C=C/CCCCCC\C=C\C=C\C(=O)NCC(C)C</t>
  </si>
  <si>
    <t>PCWWIOUZYOPZHT-VBUSEHTESA-N</t>
  </si>
  <si>
    <t>C22H39NO</t>
  </si>
  <si>
    <t>4.76_457.1513m/z</t>
  </si>
  <si>
    <t>Garcimangosone C</t>
  </si>
  <si>
    <t>HMDB0036984</t>
  </si>
  <si>
    <t>CC(C)=CCC1=C(O)C2=C(OC3=C(C2=O)C2=C(OC(C)(C)C(O)C2)C=C3O)C=C1O</t>
  </si>
  <si>
    <t>VPNBQMUAQMFCCW-UHFFFAOYSA-N</t>
  </si>
  <si>
    <t>C23H24O7</t>
  </si>
  <si>
    <t>7.93_242.9883m/z</t>
  </si>
  <si>
    <t>1-Iodopentane</t>
  </si>
  <si>
    <t>HMDB0243909</t>
  </si>
  <si>
    <t>CCCCCI</t>
  </si>
  <si>
    <t>BLXSFCHWMBESKV-UHFFFAOYSA-N</t>
  </si>
  <si>
    <t>C5H11I</t>
  </si>
  <si>
    <t>1.06_189.0357n</t>
  </si>
  <si>
    <t>Tricyclazole</t>
  </si>
  <si>
    <t>HMDB0031809</t>
  </si>
  <si>
    <t>C18492</t>
  </si>
  <si>
    <t>41814-78-2</t>
  </si>
  <si>
    <t>CC1=C2N3C=NN=C3SC2=CC=C1</t>
  </si>
  <si>
    <t>DQJCHOQLCLEDLL-UHFFFAOYSA-N</t>
  </si>
  <si>
    <t>Triazolobenzothiazoles</t>
  </si>
  <si>
    <t>C9H7N3S</t>
  </si>
  <si>
    <t>9.27_331.2489m/z</t>
  </si>
  <si>
    <t>12-Hydroxyheptadecanoic Acid</t>
  </si>
  <si>
    <t>HMDB0061663</t>
  </si>
  <si>
    <t>CCCCCC(O)CCCCCCCCCCC(O)=O</t>
  </si>
  <si>
    <t>UGNYDWLENCPIBP-UHFFFAOYSA-N</t>
  </si>
  <si>
    <t>C17H34O3</t>
  </si>
  <si>
    <t>8.25_318.2808m/z</t>
  </si>
  <si>
    <t>18-Fluoro-9z-Octadecenoic Acid</t>
  </si>
  <si>
    <t>LMFA01090035</t>
  </si>
  <si>
    <t>C(CCCCCCC/C=C\CCCCCCCCF)(=O)O</t>
  </si>
  <si>
    <t>XZCKFYWUUUBKNC-UPHRSURJSA-N</t>
  </si>
  <si>
    <t>C18H33FO2</t>
  </si>
  <si>
    <t>11.42_267.1589m/z</t>
  </si>
  <si>
    <t>Cumanin</t>
  </si>
  <si>
    <t>CC1CC2C(CC3(C1CC(C3O)O)C)C(=C)C(=O)O2</t>
  </si>
  <si>
    <t>ZFCRHGITKWEXDY-RKKSEIHCSA-N</t>
  </si>
  <si>
    <t>C15H22O4</t>
  </si>
  <si>
    <t>4.72_415.1732m/z</t>
  </si>
  <si>
    <t>Chalcone</t>
  </si>
  <si>
    <t>HMDB0003066</t>
  </si>
  <si>
    <t>C15589</t>
  </si>
  <si>
    <t>94-41-7</t>
  </si>
  <si>
    <t>O=C(\C=C\C1=CC=CC=C1)C1=CC=CC=C1</t>
  </si>
  <si>
    <t>DQFBYFPFKXHELB-VAWYXSNFSA-N</t>
  </si>
  <si>
    <t>7.66_155.0851m/z</t>
  </si>
  <si>
    <t>Biphenyl</t>
  </si>
  <si>
    <t>HMDB0034437</t>
  </si>
  <si>
    <t>C06588</t>
  </si>
  <si>
    <t>ko00621</t>
  </si>
  <si>
    <t>Dioxin degradation</t>
  </si>
  <si>
    <t>92-52-4</t>
  </si>
  <si>
    <t>C1=CC=C(C=C1)C1=CC=CC=C1</t>
  </si>
  <si>
    <t>ZUOUZKKEUPVFJK-UHFFFAOYSA-N</t>
  </si>
  <si>
    <t>C12H10</t>
  </si>
  <si>
    <t>8.80_105.0699m/z</t>
  </si>
  <si>
    <t>Styrene</t>
  </si>
  <si>
    <t>HMDB0034240</t>
  </si>
  <si>
    <t>C19506</t>
  </si>
  <si>
    <t>100-42-5</t>
  </si>
  <si>
    <t>C=CC1=CC=CC=C1</t>
  </si>
  <si>
    <t>PPBRXRYQALVLMV-UHFFFAOYSA-N</t>
  </si>
  <si>
    <t>C8H8</t>
  </si>
  <si>
    <t>11.12_303.1805m/z</t>
  </si>
  <si>
    <t>Glycerol Tributanoate</t>
  </si>
  <si>
    <t>HMDB0031094</t>
  </si>
  <si>
    <t>C13870</t>
  </si>
  <si>
    <t>60-01-5</t>
  </si>
  <si>
    <t>CCCC(=O)OCC(COC(=O)CCC)OC(=O)CCC</t>
  </si>
  <si>
    <t>UYXTWWCETRIEDR-UHFFFAOYSA-N</t>
  </si>
  <si>
    <t>3.63_123.1168m/z</t>
  </si>
  <si>
    <t>Santene</t>
  </si>
  <si>
    <t>HMDB0038140</t>
  </si>
  <si>
    <t>529-16-8</t>
  </si>
  <si>
    <t>CC1=C(C)C2CCC1C2</t>
  </si>
  <si>
    <t>LSIXBBPOJBJQHN-UHFFFAOYSA-N</t>
  </si>
  <si>
    <t>C9H14</t>
  </si>
  <si>
    <t>3.97_200.1645m/z</t>
  </si>
  <si>
    <t>2,2,7,7-Tetramethyl-1,6-Dioxaspiro[4.4]Non-3-Ene</t>
  </si>
  <si>
    <t>HMDB0030006</t>
  </si>
  <si>
    <t>15031-05-7</t>
  </si>
  <si>
    <t>CC1(C)CCC2(O1)OC(C)(C)C=C2</t>
  </si>
  <si>
    <t>AKLWIMZXBONTDH-UHFFFAOYSA-N</t>
  </si>
  <si>
    <t>C11H18O2</t>
  </si>
  <si>
    <t>1.26_230.9811m/z</t>
  </si>
  <si>
    <t>Calcium Galactarate</t>
  </si>
  <si>
    <t>HMDB0303726</t>
  </si>
  <si>
    <t>[Ca++].[H]C(O)(C([O-])=O)C([H])(O)C([H])(O)C([H])(O)C([O-])=O</t>
  </si>
  <si>
    <t>UGZVNIRNPPEDHM-UHFFFAOYSA-L</t>
  </si>
  <si>
    <t>C6H8CaO8</t>
  </si>
  <si>
    <t>2.11_389.0501m/z</t>
  </si>
  <si>
    <t>Repenol</t>
  </si>
  <si>
    <t>LMPK12060080</t>
  </si>
  <si>
    <t>C1(O)=CC2OC3C(OC(=O)OC)OC4C(=CC=C(O)C=4)C=3C(=O)C=2C(O)=C1O</t>
  </si>
  <si>
    <t>MQAHKRVNVQQRHE-UHFFFAOYSA-N</t>
  </si>
  <si>
    <t>C18H12O10</t>
  </si>
  <si>
    <t>3.79_437.0729m/z</t>
  </si>
  <si>
    <t>5,7,3',4',5'-Pentahydroxy-3,6,8-Trimethoxyflavone</t>
  </si>
  <si>
    <t>LMPK12113357</t>
  </si>
  <si>
    <t>C1(O)=C(OC)C2OC(C3C=C(O)C(O)=C(O)C=3)=C(OC)C(=O)C=2C(O)=C1OC</t>
  </si>
  <si>
    <t>STOZTZBHYTVXHP-UHFFFAOYSA-N</t>
  </si>
  <si>
    <t>C18H16O10</t>
  </si>
  <si>
    <t>4.58_127.1117m/z</t>
  </si>
  <si>
    <t>Caprylic Acid</t>
  </si>
  <si>
    <t>HMDB0000482</t>
  </si>
  <si>
    <t>LMFA01010008</t>
  </si>
  <si>
    <t>C06423</t>
  </si>
  <si>
    <t>ko00061,ko00785</t>
  </si>
  <si>
    <t>Fatty acid biosynthesis|Lipoic acid metabolism</t>
  </si>
  <si>
    <t>124-07-2</t>
  </si>
  <si>
    <t>CCCCCCCC(=O)O</t>
  </si>
  <si>
    <t>WWZKQHOCKIZLMA-UHFFFAOYSA-N</t>
  </si>
  <si>
    <t>8.21_266.1287m/z</t>
  </si>
  <si>
    <t>Sudan I</t>
  </si>
  <si>
    <t>HMDB0258557</t>
  </si>
  <si>
    <t>C19525</t>
  </si>
  <si>
    <t>ko05204</t>
  </si>
  <si>
    <t>Chemical carcinogenesis - DNA adducts</t>
  </si>
  <si>
    <t>842-07-9</t>
  </si>
  <si>
    <t>OC1=C(N=NC2=CC=CC=C2)C2=CC=CC=C2C=C1</t>
  </si>
  <si>
    <t>MRQIXHXHHPWVIL-UHFFFAOYSA-N</t>
  </si>
  <si>
    <t>C16H12N2O</t>
  </si>
  <si>
    <t>1.26_510.9693m/z</t>
  </si>
  <si>
    <t>Ascorbic Acid 2-Sulfate</t>
  </si>
  <si>
    <t>HMDB0060649</t>
  </si>
  <si>
    <t>C02812</t>
  </si>
  <si>
    <t>37627-95-5</t>
  </si>
  <si>
    <t>[H][C@@]1(OC(=O)C(OS(O)(=O)=O)=C1O)[C@@H](O)CO</t>
  </si>
  <si>
    <t>XDBMXUKHMOFBPJ-ZAFYKAAXSA-N</t>
  </si>
  <si>
    <t>C6H8O9S</t>
  </si>
  <si>
    <t>10.07_794.4065n</t>
  </si>
  <si>
    <t>Betavulgaroside Iv</t>
  </si>
  <si>
    <t>HMDB0031025</t>
  </si>
  <si>
    <t>168010-06-8</t>
  </si>
  <si>
    <t>CC1(C)CCC2(CCC3(C)C(=CCC4C5(C)CCC(OC6OC(C(O)C(OC(OCC(O)=O)C(O)C(O)=O)C6O)C(O)=O)C(C)(C)C5CCC34C)C2C1)C(O)=O</t>
  </si>
  <si>
    <t>FHMLSFRFOXEUGU-UHFFFAOYSA-N</t>
  </si>
  <si>
    <t>C41H62O15</t>
  </si>
  <si>
    <t>1.06_154.0742n</t>
  </si>
  <si>
    <t>Hexahydropyrrolo[1,2-A]Pyrazine-1,4-Dione</t>
  </si>
  <si>
    <t>HMDB0253141</t>
  </si>
  <si>
    <t>O=C1CNC(=O)C2CCCN12</t>
  </si>
  <si>
    <t>OWOHLURDBZHNGG-UHFFFAOYSA-N</t>
  </si>
  <si>
    <t>C7H10N2O2</t>
  </si>
  <si>
    <t>10.94_281.1736m/z</t>
  </si>
  <si>
    <t>Tetradecanedioic Acid</t>
  </si>
  <si>
    <t>HMDB0000872</t>
  </si>
  <si>
    <t>LMFA01170018</t>
  </si>
  <si>
    <t>C11002</t>
  </si>
  <si>
    <t>821-38-5</t>
  </si>
  <si>
    <t>C(CCCCCCCCCCCCC(=O)O)(=O)O</t>
  </si>
  <si>
    <t>HQHCYKULIHKCEB-UHFFFAOYSA-N</t>
  </si>
  <si>
    <t>C14H26O4</t>
  </si>
  <si>
    <t>5.10_175.1480m/z</t>
  </si>
  <si>
    <t>5,7alpha-Dihydro-1,4,4,7a-Tetramethyl-4h-Indene</t>
  </si>
  <si>
    <t>HMDB0036683</t>
  </si>
  <si>
    <t>99901-21-0</t>
  </si>
  <si>
    <t>CC1=CC=C2C1(C)C=CCC2(C)C</t>
  </si>
  <si>
    <t>XOFDOXJFXCEFDE-UHFFFAOYSA-N</t>
  </si>
  <si>
    <t>C13H18</t>
  </si>
  <si>
    <t>0.78_220.1179m/z</t>
  </si>
  <si>
    <t>Diethyl Oxalpropionate</t>
  </si>
  <si>
    <t>HMDB0032306</t>
  </si>
  <si>
    <t>C04067</t>
  </si>
  <si>
    <t>759-65-9</t>
  </si>
  <si>
    <t>CCOC(=O)C(C)C(=O)C(=O)OCC</t>
  </si>
  <si>
    <t>OQOCQBJWOCRPQY-UHFFFAOYSA-N</t>
  </si>
  <si>
    <t>C9H14O5</t>
  </si>
  <si>
    <t>10.16_855.3420m/z</t>
  </si>
  <si>
    <t>A 922500</t>
  </si>
  <si>
    <t>959122-11-3</t>
  </si>
  <si>
    <t>C1CC(C(C1)C(=O)O)C(=O)C2=CC=C(C=C2)C3=CC=C(C=C3)NC(=O)NC4=CC=CC=C4</t>
  </si>
  <si>
    <t>BOZRFEQDOFSZBV-DHIUTWEWSA-N</t>
  </si>
  <si>
    <t>C26H24N2O4</t>
  </si>
  <si>
    <t>7.89_341.0616m/z</t>
  </si>
  <si>
    <t>P-Toluenesulfonamide</t>
  </si>
  <si>
    <t>HMDB0246504</t>
  </si>
  <si>
    <t>C14412</t>
  </si>
  <si>
    <t>70-55-3</t>
  </si>
  <si>
    <t>CC1=CC=C(C=C1)S(N)(=O)=O</t>
  </si>
  <si>
    <t>LMYRWZFENFIFIT-UHFFFAOYSA-N</t>
  </si>
  <si>
    <t>C7H9NO2S</t>
  </si>
  <si>
    <t>0.75_401.0934m/z</t>
  </si>
  <si>
    <t>Tricyanmelamin</t>
  </si>
  <si>
    <t>HMDB0259188</t>
  </si>
  <si>
    <t>N#CNC1=NC(NC#N)=NC(NC#N)=N1</t>
  </si>
  <si>
    <t>FJJCIZWZNKZHII-UHFFFAOYSA-N</t>
  </si>
  <si>
    <t>C6H3N9</t>
  </si>
  <si>
    <t>10.72_314.3414m/z</t>
  </si>
  <si>
    <t>Phytol</t>
  </si>
  <si>
    <t>HMDB0002019</t>
  </si>
  <si>
    <t>LMPR0104010002</t>
  </si>
  <si>
    <t>C01389</t>
  </si>
  <si>
    <t>150-86-7</t>
  </si>
  <si>
    <t>[C@H](C)(CCC/C(/C)=C/CO)CCC[C@H](C)CCCC(C)C</t>
  </si>
  <si>
    <t>BOTWFXYSPFMFNR-PYDDKJGSSA-N</t>
  </si>
  <si>
    <t>4.99_467.1344m/z</t>
  </si>
  <si>
    <t>Lepidissipyrone</t>
  </si>
  <si>
    <t>LMPK12140212</t>
  </si>
  <si>
    <t>C1(CC2C(=O)OC(CC)=C(C)C=2O)C(O)=CC2OC(C3C=CC=CC=3)CC(=O)C=2C=1O</t>
  </si>
  <si>
    <t>OOCUGTZJHIRSOO-UHFFFAOYSA-N</t>
  </si>
  <si>
    <t>C24H22O7</t>
  </si>
  <si>
    <t>5.67_831.4856m/z</t>
  </si>
  <si>
    <t>Midecamycin</t>
  </si>
  <si>
    <t>HMDB0254710</t>
  </si>
  <si>
    <t>CCC(=O)OC1C(C)OC(CC1(C)O)OC1C(C)OC(OC2C(CC=O)CC(C)C(O)C=CC=CCC(C)OC(=O)CC(OC(=O)CC)C2OC)C(O)C1N(C)C</t>
  </si>
  <si>
    <t>DMUAPQTXSSNEDD-UHFFFAOYSA-N</t>
  </si>
  <si>
    <t>C41H67NO15</t>
  </si>
  <si>
    <t>1.52_295.1032m/z</t>
  </si>
  <si>
    <t>3-(Methylthio)Propyl Acetate</t>
  </si>
  <si>
    <t>HMDB0031717</t>
  </si>
  <si>
    <t>16630-55-0</t>
  </si>
  <si>
    <t>CSCCCOC(C)=O</t>
  </si>
  <si>
    <t>LPZQTNIAYMRVMF-UHFFFAOYSA-N</t>
  </si>
  <si>
    <t>C6H12O2S</t>
  </si>
  <si>
    <t>0.80_107.0490m/z</t>
  </si>
  <si>
    <t>4-Hydroxybenzyl Alcohol</t>
  </si>
  <si>
    <t>HMDB0011724</t>
  </si>
  <si>
    <t>C17467</t>
  </si>
  <si>
    <t>623-05-2</t>
  </si>
  <si>
    <t>OCC1=CC=C(O)C=C1</t>
  </si>
  <si>
    <t>BVJSUAQZOZWCKN-UHFFFAOYSA-N</t>
  </si>
  <si>
    <t>C7H8O2</t>
  </si>
  <si>
    <t>4.33_337.2008m/z</t>
  </si>
  <si>
    <t>5-Hydroperoxy-7-[3,5-Epidioxy-2-(2-Octenyl)-Cyclopentyl]-6-Heptenoic Acid</t>
  </si>
  <si>
    <t>LMFA01040028</t>
  </si>
  <si>
    <t>C1(/C(C/C=C/CCCCC)C2OOC/1C2)=C\C(OO)CCCC(=O)O</t>
  </si>
  <si>
    <t>RMDWPORTSLRMPB-SDHWVOLWSA-N</t>
  </si>
  <si>
    <t>C19H30O6</t>
  </si>
  <si>
    <t>4.67_157.0648m/z</t>
  </si>
  <si>
    <t>1-Naphthaldehyde</t>
  </si>
  <si>
    <t>HMDB0060325</t>
  </si>
  <si>
    <t>C14090</t>
  </si>
  <si>
    <t>66-77-3</t>
  </si>
  <si>
    <t>O=CC1=CC=CC2=CC=CC=C12</t>
  </si>
  <si>
    <t>SQAINHDHICKHLX-UHFFFAOYSA-N</t>
  </si>
  <si>
    <t>C11H8O</t>
  </si>
  <si>
    <t>4.90_187.0753m/z</t>
  </si>
  <si>
    <t>1-Naphthaleneacetic Acid</t>
  </si>
  <si>
    <t>HMDB0032708</t>
  </si>
  <si>
    <t>C13014</t>
  </si>
  <si>
    <t>86-87-3</t>
  </si>
  <si>
    <t>OC(=O)CC1=C2C=CC=CC2=CC=C1</t>
  </si>
  <si>
    <t>PRPINYUDVPFIRX-UHFFFAOYSA-N</t>
  </si>
  <si>
    <t>C12H10O2</t>
  </si>
  <si>
    <t>4.04_305.1015m/z</t>
  </si>
  <si>
    <t>Incadronic Acid</t>
  </si>
  <si>
    <t>HMDB0253442</t>
  </si>
  <si>
    <t>OP(O)(=O)C(NC1CCCCCC1)P(O)(O)=O</t>
  </si>
  <si>
    <t>LWRDQHOZTAOILO-UHFFFAOYSA-N</t>
  </si>
  <si>
    <t>C8H19NO6P2</t>
  </si>
  <si>
    <t>4.56_737.2308m/z</t>
  </si>
  <si>
    <t>Etofenamate</t>
  </si>
  <si>
    <t>HMDB0252108</t>
  </si>
  <si>
    <t>OCCOCCOC(=O)C1=CC=CC=C1NC1=CC=CC(=C1)C(F)(F)F</t>
  </si>
  <si>
    <t>XILVEPYQJIOVNB-UHFFFAOYSA-N</t>
  </si>
  <si>
    <t>C18H18F3NO4</t>
  </si>
  <si>
    <t>4.70_565.1559m/z</t>
  </si>
  <si>
    <t>Cucumopine</t>
  </si>
  <si>
    <t>HMDB0301842</t>
  </si>
  <si>
    <t>C08475</t>
  </si>
  <si>
    <t>110342-24-0</t>
  </si>
  <si>
    <t>[H][C@]1(CC2=C(NC=N2)[C@](CCC(O)=O)(N1)C(O)=O)C(O)=O</t>
  </si>
  <si>
    <t>XGCZNSAJOHDWQS-KGFZYKRKSA-N</t>
  </si>
  <si>
    <t>C11H13N3O6</t>
  </si>
  <si>
    <t>14.56_778.5467m/z</t>
  </si>
  <si>
    <t>SM(d16:2(4E,8Z)/22:6(5Z,7Z,10Z,13Z,16Z,19Z)-OH(4))</t>
  </si>
  <si>
    <t>HMDB0290334</t>
  </si>
  <si>
    <t>[H][C@@](COP([O-])(=O)OCC[N+](C)(C)C)(NC(=O)CCC(O)\C=C/C=C\C\C=C/C\C=C/C\C=C/C\C=C/CC)[C@H](O)\C=C\CC\C=C/CCCCCCC</t>
  </si>
  <si>
    <t>SOFIONOBXZTDAG-OPVJWNQUSA-N</t>
  </si>
  <si>
    <t>C43H73N2O7P</t>
  </si>
  <si>
    <t>1.69_531.1926m/z</t>
  </si>
  <si>
    <t>Glucose Butyrate</t>
  </si>
  <si>
    <t>HMDB0252773</t>
  </si>
  <si>
    <t>CCCC(=O)OC1(O)OC(CO)C(O)C(O)C1O</t>
  </si>
  <si>
    <t>NPVZHUASLJAQRR-UHFFFAOYSA-N</t>
  </si>
  <si>
    <t>C10H18O8</t>
  </si>
  <si>
    <t>4.35_881.1911m/z</t>
  </si>
  <si>
    <t>Precorrin-1</t>
  </si>
  <si>
    <t>HMDB0304470</t>
  </si>
  <si>
    <t>CC1(CC([O-])=O)C(CCC([O-])=O)C2=NC1=CC1=C(CC([O-])=O)C(CCC([O-])=O)=C(CC3=C(CCC([O-])=O)C(CC([O-])=O)=C(CC4=C(CCC([O-])=O)C(CC([O-])=O)=C(C2)N4)N3)N1</t>
  </si>
  <si>
    <t>CJLVUWULFKHGFB-UHFFFAOYSA-F</t>
  </si>
  <si>
    <t>C41H38N4O16-8</t>
  </si>
  <si>
    <t>13.70_750.4911n</t>
  </si>
  <si>
    <t>Salinomycin</t>
  </si>
  <si>
    <t>C15690</t>
  </si>
  <si>
    <t>53003-10-4</t>
  </si>
  <si>
    <t>CCC(C1CCC(C(O1)C(C)C(C(C)C(=O)C(CC)C2C(CC(C3(O2)C=CC(C4(O3)CCC(O4)(C)C5CCC(C(O5)C)(CC)O)O)C)C)O)C)C(=O)O</t>
  </si>
  <si>
    <t>KQXDHUJYNAXLNZ-XQSDOZFQSA-N</t>
  </si>
  <si>
    <t>C42H70O11</t>
  </si>
  <si>
    <t>3.82_396.0543m/z</t>
  </si>
  <si>
    <t>5-Taurinomethyl-2-Thiouridine</t>
  </si>
  <si>
    <t>HMDB0011610</t>
  </si>
  <si>
    <t>497258-54-5</t>
  </si>
  <si>
    <t>OC[C@H]1O[C@H](C(O)C1O)N1C=C(CNCCS(O)(=O)=O)C(=O)NC1=S</t>
  </si>
  <si>
    <t>XMIFBEZRFMTGRL-NHSUTOTLSA-N</t>
  </si>
  <si>
    <t>C12H19N3O8S2</t>
  </si>
  <si>
    <t>0.64_137.9985m/z</t>
  </si>
  <si>
    <t>2-Methyl-4-Isothiazolin-3-One</t>
  </si>
  <si>
    <t>HMDB0245220</t>
  </si>
  <si>
    <t>CN1SC=CC1=O</t>
  </si>
  <si>
    <t>BEGLCMHJXHIJLR-UHFFFAOYSA-N</t>
  </si>
  <si>
    <t>C4H5NOS</t>
  </si>
  <si>
    <t>8.21_218.1174m/z</t>
  </si>
  <si>
    <t>4-Deoxy-2,3-Dihydromycosinol</t>
  </si>
  <si>
    <t>HMDB0302506</t>
  </si>
  <si>
    <t>CC#CC#CC=C1OC2(CCCO2)C=C1</t>
  </si>
  <si>
    <t>WTRXKCNFPMTAJV-UHFFFAOYSA-N</t>
  </si>
  <si>
    <t>4.58_483.2081m/z</t>
  </si>
  <si>
    <t>Thiopental</t>
  </si>
  <si>
    <t>HMDB0014737</t>
  </si>
  <si>
    <t>C07521</t>
  </si>
  <si>
    <t>76-75-5</t>
  </si>
  <si>
    <t>CCCC(C)C1(CC)C(=O)NC(=S)NC1=O</t>
  </si>
  <si>
    <t>IUJDSEJGGMCXSG-UHFFFAOYSA-N</t>
  </si>
  <si>
    <t>C11H18N2O2S</t>
  </si>
  <si>
    <t>4.17_437.2022m/z</t>
  </si>
  <si>
    <t>N-Phenyl-1-Naphthylamine</t>
  </si>
  <si>
    <t>HMDB0255223</t>
  </si>
  <si>
    <t>C14405</t>
  </si>
  <si>
    <t>90-30-2</t>
  </si>
  <si>
    <t>N(C1=CC=CC=C1)C1=CC=CC2=CC=CC=C12</t>
  </si>
  <si>
    <t>XQVWYOYUZDUNRW-UHFFFAOYSA-N</t>
  </si>
  <si>
    <t>C16H13N</t>
  </si>
  <si>
    <t>15.27_191.1542m/z</t>
  </si>
  <si>
    <t>1-Methyl-4-Phenyl-1,2,3,6-Tetrahydropyridine</t>
  </si>
  <si>
    <t>HMDB0243929</t>
  </si>
  <si>
    <t>C04599</t>
  </si>
  <si>
    <t>ko05012,ko05022</t>
  </si>
  <si>
    <t>Parkinson disease|Pathways of neurodegeneration - multiple diseases</t>
  </si>
  <si>
    <t>28289-54-5</t>
  </si>
  <si>
    <t>CN1CCC(=CC1)C1=CC=CC=C1</t>
  </si>
  <si>
    <t>PLRACCBDVIHHLZ-UHFFFAOYSA-N</t>
  </si>
  <si>
    <t>C12H15N</t>
  </si>
  <si>
    <t>5.80_531.2349m/z</t>
  </si>
  <si>
    <t>Dmaba-D4 Nhs Ester</t>
  </si>
  <si>
    <t>1175002-03-5</t>
  </si>
  <si>
    <t>FNGFZOAQGYOQTG-LNFUJOGGSA-N</t>
  </si>
  <si>
    <t>C13H10D4N2O4</t>
  </si>
  <si>
    <t>10.75_478.2359m/z</t>
  </si>
  <si>
    <t>PE(15:0/0:0)</t>
  </si>
  <si>
    <t>HMDB0011502</t>
  </si>
  <si>
    <t>LMGP02050031</t>
  </si>
  <si>
    <t>[C@](COP(=O)(O)OCCN)([H])(O)COC(CCCCCCCCCCCCCC)=O</t>
  </si>
  <si>
    <t>FGHPDPYCRTXYNZ-LJQANCHMSA-N</t>
  </si>
  <si>
    <t>C20H42NO7P</t>
  </si>
  <si>
    <t>4.11_217.1588m/z</t>
  </si>
  <si>
    <t>Confertifoline</t>
  </si>
  <si>
    <t>C09376</t>
  </si>
  <si>
    <t>1811-23-0</t>
  </si>
  <si>
    <t>CC1(CCCC2(C1CCC3=C2COC3=O)C)C</t>
  </si>
  <si>
    <t>ZERYGJQXPPRRCW-SWLSCSKDSA-N</t>
  </si>
  <si>
    <t>4.88_571.1043m/z</t>
  </si>
  <si>
    <t>9-(6-Oxo-1h-Purin-9-Yl)-3h-Purine-2,6-Dione</t>
  </si>
  <si>
    <t>HMDB0257682</t>
  </si>
  <si>
    <t>O=C1NC2=C(N=CN2N2C=NC3=C2N=CNC3=O)C(=O)N1</t>
  </si>
  <si>
    <t>OLKDYGIEWAIFLG-UHFFFAOYSA-N</t>
  </si>
  <si>
    <t>C10H6N8O3</t>
  </si>
  <si>
    <t>8.96_284.9965m/z</t>
  </si>
  <si>
    <t>Tetramine</t>
  </si>
  <si>
    <t>HMDB0258920</t>
  </si>
  <si>
    <t>O=S1(=O)N2CN3CN1CN(C2)S3(=O)=O</t>
  </si>
  <si>
    <t>AGGKEGLBGGJEBZ-UHFFFAOYSA-N</t>
  </si>
  <si>
    <t>Sulfuric acid diamides</t>
  </si>
  <si>
    <t>C4H8N4O4S2</t>
  </si>
  <si>
    <t>8.11_210.9826m/z</t>
  </si>
  <si>
    <t>Pentafluorobenzoic Acid</t>
  </si>
  <si>
    <t>HMDB0256260</t>
  </si>
  <si>
    <t>OC(=O)C1=C(F)C(F)=C(F)C(F)=C1F</t>
  </si>
  <si>
    <t>YZERDTREOUSUHF-UHFFFAOYSA-N</t>
  </si>
  <si>
    <t>C7HF5O2</t>
  </si>
  <si>
    <t>13.91_324.3257m/z</t>
  </si>
  <si>
    <t>2-Heptadecylfuran</t>
  </si>
  <si>
    <t>HMDB0033608</t>
  </si>
  <si>
    <t>208329-97-9</t>
  </si>
  <si>
    <t>CCCCCCCCCCCCCCCCCC1=CC=CO1</t>
  </si>
  <si>
    <t>ZDPKHSYNGVAHHN-UHFFFAOYSA-N</t>
  </si>
  <si>
    <t>C21H38O</t>
  </si>
  <si>
    <t>14.64_312.3257m/z</t>
  </si>
  <si>
    <t>N,N-Dimethyl-Safingol</t>
  </si>
  <si>
    <t>LMSP01080056</t>
  </si>
  <si>
    <t>OC[C@]([H])(N(C)C)[C@@]([H])(O)CCCCCCCCCCCCCCC</t>
  </si>
  <si>
    <t>BYBHBTCYJMUUDZ-PMACEKPBSA-N</t>
  </si>
  <si>
    <t>C20H43NO2</t>
  </si>
  <si>
    <t>3.93_267.1490m/z</t>
  </si>
  <si>
    <t>Cysteinyl-Lysine</t>
  </si>
  <si>
    <t>HMDB0028780</t>
  </si>
  <si>
    <t>NCCCCC(NC(=O)C(N)CS)C(O)=O</t>
  </si>
  <si>
    <t>WXOFKRKAHJQKLT-UHFFFAOYSA-N</t>
  </si>
  <si>
    <t>C9H19N3O3S</t>
  </si>
  <si>
    <t>4.83_217.1222m/z</t>
  </si>
  <si>
    <t>3-[4-Hydroxy-3-(3-Methyl-2-Butenyl)Phenyl]-2-Propenal</t>
  </si>
  <si>
    <t>HMDB0040833</t>
  </si>
  <si>
    <t>CC(C)=CCC1=C(O)C=CC(\C=C\C=O)=C1</t>
  </si>
  <si>
    <t>FNDJBOATFIWAJR-ONEGZZNKSA-N</t>
  </si>
  <si>
    <t>4.76_169.0496m/z</t>
  </si>
  <si>
    <t>Penicillic Acid</t>
  </si>
  <si>
    <t>C16804</t>
  </si>
  <si>
    <t>17397-87-4</t>
  </si>
  <si>
    <t>CC(=C)C1(C(=CC(=O)O1)OC)O</t>
  </si>
  <si>
    <t>YCOFRPYSZKIPBQ-UHFFFAOYSA-N</t>
  </si>
  <si>
    <t>9.86_356.1478m/z</t>
  </si>
  <si>
    <t>Ch-223191</t>
  </si>
  <si>
    <t>HMDB0249877</t>
  </si>
  <si>
    <t>CN1N=CC=C1C(=O)NC1=C(C)C=C(C=C1)N=NC1=CC=CC=C1C</t>
  </si>
  <si>
    <t>LKTNEXPODAWWFM-UHFFFAOYSA-N</t>
  </si>
  <si>
    <t>C19H19N5O</t>
  </si>
  <si>
    <t>2.38_225.0611m/z</t>
  </si>
  <si>
    <t>3-Deoxyarabinohexonic Acid</t>
  </si>
  <si>
    <t>HMDB0000346</t>
  </si>
  <si>
    <t>29625-79-4</t>
  </si>
  <si>
    <t>OC[C@@H](O)[C@@H](O)C[C@H](O)C(O)=O</t>
  </si>
  <si>
    <t>YGMNHEPVTNXLLS-VAYJURFESA-N</t>
  </si>
  <si>
    <t>4.29_382.1538m/z</t>
  </si>
  <si>
    <t>Grepafloxacin</t>
  </si>
  <si>
    <t>HMDB0014509</t>
  </si>
  <si>
    <t>C11368</t>
  </si>
  <si>
    <t>119914-60-2</t>
  </si>
  <si>
    <t>CC1CN(CCN1)C1=C(F)C(C)=C2C(=O)C(=CN(C3CC3)C2=C1)C(O)=O</t>
  </si>
  <si>
    <t>AIJTTZAVMXIJGM-UHFFFAOYSA-N</t>
  </si>
  <si>
    <t>C19H22FN3O3</t>
  </si>
  <si>
    <t>1.06_231.0973m/z</t>
  </si>
  <si>
    <t>Aspartyl-L-Proline</t>
  </si>
  <si>
    <t>HMDB0002335</t>
  </si>
  <si>
    <t>42155-95-3</t>
  </si>
  <si>
    <t>N[C@@H](CC(O)=O)C(=O)N1CCC[C@H]1C(O)=O</t>
  </si>
  <si>
    <t>UKGGPJNBONZZCM-WDSKDSINSA-N</t>
  </si>
  <si>
    <t>7.65_537.0824m/z</t>
  </si>
  <si>
    <t>Amentoflavone</t>
  </si>
  <si>
    <t>HMDB0030832</t>
  </si>
  <si>
    <t>LMPK12040009</t>
  </si>
  <si>
    <t>C10018</t>
  </si>
  <si>
    <t>1617-53-4</t>
  </si>
  <si>
    <t>C1(O)=CC2OC(C3C=CC(O)=C(C4=C(O)C=C(O)C5C(=O)C=C(C6=CC=C(O)C=C6)OC4=5)C=3)=CC(=O)C=2C(O)=C1</t>
  </si>
  <si>
    <t>YUSWMAULDXZHPY-UHFFFAOYSA-N</t>
  </si>
  <si>
    <t>5.10_157.1010m/z</t>
  </si>
  <si>
    <t>6-Acetyl-1,2,3,4-Tetrahydronaphthalene</t>
  </si>
  <si>
    <t>CC(=O)C1=CC2=C(CCCC2)C=C1</t>
  </si>
  <si>
    <t>VEPUKHYQNXSSKV-UHFFFAOYSA-N</t>
  </si>
  <si>
    <t>C12H14O</t>
  </si>
  <si>
    <t>4.35_451.1372m/z</t>
  </si>
  <si>
    <t>Bicyclomycin Benzoate</t>
  </si>
  <si>
    <t>HMDB0249192</t>
  </si>
  <si>
    <t>CC(O)(COC(=O)C1=CC=CC=C1)C(O)C12NC(=O)C(O)(NC1=O)C(=C)CCO2</t>
  </si>
  <si>
    <t>YYGLCPHONATYBU-UHFFFAOYSA-N</t>
  </si>
  <si>
    <t>C19H22N2O8</t>
  </si>
  <si>
    <t>0.93_109.0224m/z</t>
  </si>
  <si>
    <t>2-(Methylthio)Pyrazine</t>
  </si>
  <si>
    <t>HMDB0033152</t>
  </si>
  <si>
    <t>21948-70-9</t>
  </si>
  <si>
    <t>CSC1=CN=CC=N1</t>
  </si>
  <si>
    <t>KBPBOWBQRUXMFV-UHFFFAOYSA-N</t>
  </si>
  <si>
    <t>C5H6N2S</t>
  </si>
  <si>
    <t>3.63_236.1088m/z</t>
  </si>
  <si>
    <t>Octhilinone</t>
  </si>
  <si>
    <t>C18752</t>
  </si>
  <si>
    <t>26530-20-1</t>
  </si>
  <si>
    <t>CCCCCCCCN1C(=O)C=CS1</t>
  </si>
  <si>
    <t>JPMIIZHYYWMHDT-UHFFFAOYSA-N</t>
  </si>
  <si>
    <t>C11H19NOS</t>
  </si>
  <si>
    <t>2.23_458.2001n</t>
  </si>
  <si>
    <t>Lexipafant</t>
  </si>
  <si>
    <t>HMDB0254072</t>
  </si>
  <si>
    <t>CCOC(=O)C(CC(C)C)N(C)S(=O)(=O)C1=CC=C(CN2C(C)=NC3=C2C=CN=C3)C=C1</t>
  </si>
  <si>
    <t>AQRXDPFOYJSPMP-UHFFFAOYSA-N</t>
  </si>
  <si>
    <t>C23H30N4O4S</t>
  </si>
  <si>
    <t>1.46_226.9750m/z</t>
  </si>
  <si>
    <t>Trona</t>
  </si>
  <si>
    <t>HMDB0303538</t>
  </si>
  <si>
    <t>O.O.[Na+].[Na+].[Na+].OC([O-])=O.[O-]C([O-])=O</t>
  </si>
  <si>
    <t>YVDUOWXDYAOZMD-UHFFFAOYSA-K</t>
  </si>
  <si>
    <t>Organic carbonic acids</t>
  </si>
  <si>
    <t>C2H5Na3O8</t>
  </si>
  <si>
    <t>6.80_299.0557m/z</t>
  </si>
  <si>
    <t>Scutellarein 4'-Methyl Ether</t>
  </si>
  <si>
    <t>LMPK12111162</t>
  </si>
  <si>
    <t>C1(O)=CC2OC(C3C=CC(OC)=CC=3)=CC(=O)C=2C(O)=C1O</t>
  </si>
  <si>
    <t>XVMMEYCPXZYLAI-UHFFFAOYSA-N</t>
  </si>
  <si>
    <t>4.06_311.0772m/z</t>
  </si>
  <si>
    <t>Iretol</t>
  </si>
  <si>
    <t>487-71-8</t>
  </si>
  <si>
    <t>COC1=C(C=C(C=C1O)O)O</t>
  </si>
  <si>
    <t>ASTPOGDWGNJVEW-UHFFFAOYSA-N</t>
  </si>
  <si>
    <t>4.72_165.0546m/z</t>
  </si>
  <si>
    <t>M-Coumaric Acid</t>
  </si>
  <si>
    <t>HMDB0001713</t>
  </si>
  <si>
    <t>C12621</t>
  </si>
  <si>
    <t>14755-02-3</t>
  </si>
  <si>
    <t>OC(=O)\C=C\C1=CC(O)=CC=C1</t>
  </si>
  <si>
    <t>KKSDGJDHHZEWEP-SNAWJCMRSA-N</t>
  </si>
  <si>
    <t>10.47_329.2682m/z</t>
  </si>
  <si>
    <t>Methyl 8-[3-(2-Hydroxyoctyl)Oxiran-2-Yl]Octanoate</t>
  </si>
  <si>
    <t>HMDB0246127</t>
  </si>
  <si>
    <t>CCCCCCC(O)CC1OC1CCCCCCCC(=O)OC</t>
  </si>
  <si>
    <t>JTZNGIXLOGCDSA-UHFFFAOYSA-N</t>
  </si>
  <si>
    <t>12.53_510.4150m/z</t>
  </si>
  <si>
    <t>25-Acetoxy-Ergosta-3beta,5alpha,6beta-Triol</t>
  </si>
  <si>
    <t>LMST01031059</t>
  </si>
  <si>
    <t>C1[C@]2(C)[C@@]3([H])CC[C@]4(C)[C@@]([H])([C@]([H])(C)CC[C@H](C)C(OC(=O)C)(C)C)CC[C@@]4([H])[C@]3([H])C[C@@H](O)[C@@]2(O)C[C@@H](O)C1</t>
  </si>
  <si>
    <t>NTYRSMDNACWFJE-GCYJJEFRSA-N</t>
  </si>
  <si>
    <t>9.77_507.2961m/z</t>
  </si>
  <si>
    <t>5-Deoxykaladasterone</t>
  </si>
  <si>
    <t>LMST01010473</t>
  </si>
  <si>
    <t>C1[C@H](O)[C@H](O)C[C@@]2([H])C(=O)C=C3C(=CC[C@]4([C@@]3(O)CC[C@]4([H])[C@](O)(C)[C@H](O)CCC(C)C)C)[C@]21C</t>
  </si>
  <si>
    <t>HHSAPBUKXSETPT-ZTUUSGHWSA-N</t>
  </si>
  <si>
    <t>3.42_254.1287m/z</t>
  </si>
  <si>
    <t>Carbamazepine</t>
  </si>
  <si>
    <t>HMDB0014704</t>
  </si>
  <si>
    <t>C06868</t>
  </si>
  <si>
    <t>298-46-4</t>
  </si>
  <si>
    <t>NC(=O)N1C2=CC=CC=C2C=CC2=CC=CC=C12</t>
  </si>
  <si>
    <t>FFGPTBGBLSHEPO-UHFFFAOYSA-N</t>
  </si>
  <si>
    <t>C15H12N2O</t>
  </si>
  <si>
    <t>9.16_710.3758m/z</t>
  </si>
  <si>
    <t>Scillaren A</t>
  </si>
  <si>
    <t>LMST01130005</t>
  </si>
  <si>
    <t>C08879</t>
  </si>
  <si>
    <t>C1[C@]2(C)[C@@]3([H])CC[C@]4(C)[C@@]([H])(C5=COC(=O)C=C5)CC[C@]4(O)[C@]3([H])CCC2=C[C@@H](O[C@H]2[C@H](O)[C@H](O)[C@@H](O[C@H]3[C@H](O)[C@@H](O)[C@H](O)[C@@H](CO)O3)[C@H](C)O2)C1</t>
  </si>
  <si>
    <t>NXJOCELNFPGKIV-ARHXXGKOSA-N</t>
  </si>
  <si>
    <t>C36H52O13</t>
  </si>
  <si>
    <t>5.36_341.0663m/z</t>
  </si>
  <si>
    <t>Coumestrol Dimethyl Ether</t>
  </si>
  <si>
    <t>LMPK12090020</t>
  </si>
  <si>
    <t>3172-99-4</t>
  </si>
  <si>
    <t>C1(OC)C=CC2C3OC4=CC(OC)=CC=C4C=3C(=O)OC=2C=1</t>
  </si>
  <si>
    <t>PXHLPCBBXPHBHP-UHFFFAOYSA-N</t>
  </si>
  <si>
    <t>C17H12O5</t>
  </si>
  <si>
    <t>7.17_153.0694m/z</t>
  </si>
  <si>
    <t>Homocysteine</t>
  </si>
  <si>
    <t>HMDB0000742</t>
  </si>
  <si>
    <t>C00155</t>
  </si>
  <si>
    <t>ko00270,ko00920,ko01523,ko04621</t>
  </si>
  <si>
    <t>Cysteine and methionine metabolism|Sulfur metabolism|Antifolate resistance|NOD-like receptor signaling pathway</t>
  </si>
  <si>
    <t>6027-13-0</t>
  </si>
  <si>
    <t>N[C@@H](CCS)C(O)=O</t>
  </si>
  <si>
    <t>FFFHZYDWPBMWHY-VKHMYHEASA-N</t>
  </si>
  <si>
    <t>C4H9NO2S</t>
  </si>
  <si>
    <t>11.71_494.3819n</t>
  </si>
  <si>
    <t>Heptaethylene Glycol Monododecyl Ether</t>
  </si>
  <si>
    <t>HMDB0251574</t>
  </si>
  <si>
    <t>CCCCCCCCCCCCOCCOCCOCCOCCOCCOCCOCCO</t>
  </si>
  <si>
    <t>DWHIUNMOTRUVPG-UHFFFAOYSA-N</t>
  </si>
  <si>
    <t>C26H54O8</t>
  </si>
  <si>
    <t>9.47_228.2686m/z</t>
  </si>
  <si>
    <t>1-Pentadecene</t>
  </si>
  <si>
    <t>HMDB0031082</t>
  </si>
  <si>
    <t>LMFA11000327</t>
  </si>
  <si>
    <t>13360-61-7</t>
  </si>
  <si>
    <t>C=CCCCCCCCCCCCCC</t>
  </si>
  <si>
    <t>PJLHTVIBELQURV-UHFFFAOYSA-N</t>
  </si>
  <si>
    <t>C15H30</t>
  </si>
  <si>
    <t>4.54_472.0767m/z</t>
  </si>
  <si>
    <t>Cdp-N-Dimethylethanolamine</t>
  </si>
  <si>
    <t>HMDB0304286</t>
  </si>
  <si>
    <t>C[N+](C)CCOP([O-])(=O)OP([O-])(=O)OCC1OC(C(O)C1O)N1C=CC(N)=NC1=O</t>
  </si>
  <si>
    <t>GAEJDVMRVUVISL-UHFFFAOYSA-L</t>
  </si>
  <si>
    <t>C13H23N4O11P2-</t>
  </si>
  <si>
    <t>11.12_649.1981m/z</t>
  </si>
  <si>
    <t>O6-Carboxymethyl-2'-Deoxy-Guanosine</t>
  </si>
  <si>
    <t>HMDB0255879</t>
  </si>
  <si>
    <t>NC1=NC2=C(N=CN2C2CC(O)C(CO)O2)C(OCC(O)=O)=N1</t>
  </si>
  <si>
    <t>LQMSDHNRPMNYLK-UHFFFAOYSA-N</t>
  </si>
  <si>
    <t>C12H15N5O6</t>
  </si>
  <si>
    <t>0.52_152.9960m/z</t>
  </si>
  <si>
    <t>Glycerophosphoric Acid</t>
  </si>
  <si>
    <t>HMDB0252849</t>
  </si>
  <si>
    <t>C03189</t>
  </si>
  <si>
    <t>OCC(O)COP(O)(O)=O</t>
  </si>
  <si>
    <t>AWUCVROLDVIAJX-UHFFFAOYSA-N</t>
  </si>
  <si>
    <t>8.58_794.2219m/z</t>
  </si>
  <si>
    <t>Peonidin 3-Rutinoside-5-Glucoside</t>
  </si>
  <si>
    <t>LMPK12010241</t>
  </si>
  <si>
    <t>C1(O)=CC2[O+]=C(C3C=C(OC)C(O)=CC=3)C(O[C@H]3[C@H](O)[C@@H](O)[C@H](O)[C@@H](CO[C@H]4[C@H](O)[C@H](O)[C@@H](O)[C@H](C)O4)O3)=CC=2C(O[C@H]2[C@H](O)[C@@H](O)[C@H](O)[C@@H](CO)O2)=C1</t>
  </si>
  <si>
    <t>ABORBIAHEXNJQM-UUVHQNCVSA-O</t>
  </si>
  <si>
    <t>C34H43O20+</t>
  </si>
  <si>
    <t>1.20_179.0021m/z</t>
  </si>
  <si>
    <t>Thioapfelsaure</t>
  </si>
  <si>
    <t>HMDB0259000</t>
  </si>
  <si>
    <t>OC(=O)CCC(S)=O</t>
  </si>
  <si>
    <t>QPHPUQJVKQXISS-UHFFFAOYSA-N</t>
  </si>
  <si>
    <t>C4H6O3S</t>
  </si>
  <si>
    <t>6.93_310.1634m/z</t>
  </si>
  <si>
    <t>Arginylhistidine</t>
  </si>
  <si>
    <t>HMDB0028711</t>
  </si>
  <si>
    <t>155114-05-9</t>
  </si>
  <si>
    <t>N[C@@H](CCCNC(N)=N)C(=O)N[C@@H](CC1=CN=CN1)C(O)=O</t>
  </si>
  <si>
    <t>BNODVYXZAAXSHW-IUCAKERBSA-N</t>
  </si>
  <si>
    <t>C12H21N7O3</t>
  </si>
  <si>
    <t>9.50_583.2914m/z</t>
  </si>
  <si>
    <t>PI(17:1(10Z)/0:0)</t>
  </si>
  <si>
    <t>LMGP06050003</t>
  </si>
  <si>
    <t>[C@]([H])(O)(COP(=O)(O)O[C@H]1[C@H](O)[C@@H](O)[C@H](O)[C@@H](O)[C@H]1O)COC(CCCCCCCC/C=C\CCCCCC)=O</t>
  </si>
  <si>
    <t>IJYZXEQPMZTSQX-GFLOHTBCSA-N</t>
  </si>
  <si>
    <t>C26H49O12P</t>
  </si>
  <si>
    <t>5.14_321.2058m/z</t>
  </si>
  <si>
    <t>5'-Carboxy-Alpha-Chromanol</t>
  </si>
  <si>
    <t>HMDB0012798</t>
  </si>
  <si>
    <t>CC(CCC[C@]1(C)CCC2=C(O1)C(C)=C(C)C(O)=C2C)C(O)=O</t>
  </si>
  <si>
    <t>QWPNLVBAEZJBMI-IMFVZPHKSA-N</t>
  </si>
  <si>
    <t>10.30_450.2042m/z</t>
  </si>
  <si>
    <t>Armillaricin</t>
  </si>
  <si>
    <t>HMDB0038686</t>
  </si>
  <si>
    <t>119516-62-0</t>
  </si>
  <si>
    <t>COC1=C(Cl)C(C)=C(C(=O)OC2CC3(C)C4CC(C)(C)CC4CC(C=O)=C23)C(O)=C1</t>
  </si>
  <si>
    <t>HTYGPZSURXEEQG-UHFFFAOYSA-N</t>
  </si>
  <si>
    <t>C24H29ClO5</t>
  </si>
  <si>
    <t>4.11_427.1579m/z</t>
  </si>
  <si>
    <t>17-Dimethylarsinoyl-9z-Heptadecenoic Acid</t>
  </si>
  <si>
    <t>LMFA00000031</t>
  </si>
  <si>
    <t>C(CCCCCC/C=C\CCCCCCCC(=O)O)[As](C)(=O)C</t>
  </si>
  <si>
    <t>QLUKWCNWKNZIQN-ARJAWSKDSA-N</t>
  </si>
  <si>
    <t>C19H37AsO3</t>
  </si>
  <si>
    <t>2.70_148.0393m/z</t>
  </si>
  <si>
    <t>Formylanthranilic Acid</t>
  </si>
  <si>
    <t>HMDB0004089</t>
  </si>
  <si>
    <t>C05653</t>
  </si>
  <si>
    <t>3342-77-6</t>
  </si>
  <si>
    <t>OC(=O)C1=CC=CC=C1NC=O</t>
  </si>
  <si>
    <t>LLLPDUXGHXIXIW-UHFFFAOYSA-N</t>
  </si>
  <si>
    <t>C8H7NO3</t>
  </si>
  <si>
    <t>3.53_243.1207m/z</t>
  </si>
  <si>
    <t>Lidamidine</t>
  </si>
  <si>
    <t>HMDB0254081</t>
  </si>
  <si>
    <t>CNC(=N)NC(O)=NC1=C(C)C=CC=C1C</t>
  </si>
  <si>
    <t>RRHJHSBDJDZUGL-UHFFFAOYSA-N</t>
  </si>
  <si>
    <t>C11H16N4O</t>
  </si>
  <si>
    <t>10.66_292.2245m/z</t>
  </si>
  <si>
    <t>S-Triazine, 2-Amino-4-((4-Methyl-1-Piperazinyl)Methyl)-6-Piperidino-</t>
  </si>
  <si>
    <t>HMDB0248038</t>
  </si>
  <si>
    <t>CN1CCN(CC2=NC(=NC(N)=N2)N2CCCCC2)CC1</t>
  </si>
  <si>
    <t>WVOFKCSIJHHMBM-UHFFFAOYSA-N</t>
  </si>
  <si>
    <t>C14H25N7</t>
  </si>
  <si>
    <t>4.65_289.1545m/z</t>
  </si>
  <si>
    <t>Tributyl Phosphate</t>
  </si>
  <si>
    <t>HMDB0259164</t>
  </si>
  <si>
    <t>C14439</t>
  </si>
  <si>
    <t>126-73-8</t>
  </si>
  <si>
    <t>CCCCOP(=O)(OCCCC)OCCCC</t>
  </si>
  <si>
    <t>STCOOQWBFONSKY-UHFFFAOYSA-N</t>
  </si>
  <si>
    <t>C12H27O4P</t>
  </si>
  <si>
    <t>6.37_231.0053m/z</t>
  </si>
  <si>
    <t>1-Fluoro-2,4-Dinitrobenzene</t>
  </si>
  <si>
    <t>HMDB0245460</t>
  </si>
  <si>
    <t>FC1=C(C=C(C=C1)N(=O)=O)N(=O)=O</t>
  </si>
  <si>
    <t>LOTKRQAVGJMPNV-UHFFFAOYSA-N</t>
  </si>
  <si>
    <t>C6H3FN2O4</t>
  </si>
  <si>
    <t>10.07_938.5308m/z</t>
  </si>
  <si>
    <t>Asparagoside E</t>
  </si>
  <si>
    <t>HMDB0031838</t>
  </si>
  <si>
    <t>60267-25-6</t>
  </si>
  <si>
    <t>CC(CCC1(O)OC2CC3C4CCC5CC(CCC5(C)C4CCC3(C)C2C1C)OC1OC(CO)C(O)C(OC2OC(CO)C(O)C(O)C2O)C1O)COC1OC(CO)C(O)C(O)C1O</t>
  </si>
  <si>
    <t>STAKUOVRJNVEFG-UHFFFAOYSA-N</t>
  </si>
  <si>
    <t>C45H76O19</t>
  </si>
  <si>
    <t>1.22_335.0222m/z</t>
  </si>
  <si>
    <t>Daidzein 4'-Sulfate</t>
  </si>
  <si>
    <t>HMDB0240698</t>
  </si>
  <si>
    <t>OC1=CC2=C(C=C1)C(=O)C(=CO2)C1=CC=C(OS(O)(=O)=O)C=C1</t>
  </si>
  <si>
    <t>CQRHJEVIKOKQMO-UHFFFAOYSA-N</t>
  </si>
  <si>
    <t>C15H10O7S</t>
  </si>
  <si>
    <t>1.37_595.1246m/z</t>
  </si>
  <si>
    <t>Niceritrol</t>
  </si>
  <si>
    <t>HMDB0255580</t>
  </si>
  <si>
    <t>O=C(OCC(COC(=O)C1=CN=CC=C1)(COC(=O)C1=CN=CC=C1)COC(=O)C1=CN=CC=C1)C1=CN=CC=C1</t>
  </si>
  <si>
    <t>KUEUWHJGRZKESU-UHFFFAOYSA-N</t>
  </si>
  <si>
    <t>C29H24N4O8</t>
  </si>
  <si>
    <t>6.93_242.1756m/z</t>
  </si>
  <si>
    <t>N-Undecanoylglycine</t>
  </si>
  <si>
    <t>HMDB0013286</t>
  </si>
  <si>
    <t>CCCCCCCCCCC(=O)NCC(O)=O</t>
  </si>
  <si>
    <t>HEUQYIQQCNOXOG-UHFFFAOYSA-N</t>
  </si>
  <si>
    <t>C13H25NO3</t>
  </si>
  <si>
    <t>1.31_213.0844m/z</t>
  </si>
  <si>
    <t>(2r,6s)-2,6-Diaminoheptanedioic Acid</t>
  </si>
  <si>
    <t>HMDB0242532</t>
  </si>
  <si>
    <t>C00666</t>
  </si>
  <si>
    <t>ko00300,ko00470</t>
  </si>
  <si>
    <t>Lysine biosynthesis|D-Amino acid metabolism</t>
  </si>
  <si>
    <t>583-93-7</t>
  </si>
  <si>
    <t>NC(CCCC(N)C(O)=O)C(O)=O</t>
  </si>
  <si>
    <t>GMKMEZVLHJARHF-UHFFFAOYSA-N</t>
  </si>
  <si>
    <t>5.93_241.1950m/z</t>
  </si>
  <si>
    <t>2-Acetyl-3,5,5,6,8,8-Hexamethyl-5,6,7,8- Tetrahydronaphthalene</t>
  </si>
  <si>
    <t>HMDB0061860</t>
  </si>
  <si>
    <t>CC1CC(C)(C)C2=C(C=C(C)C(=C2)C(C)=O)C1(C)C</t>
  </si>
  <si>
    <t>DNRJTBAOUJJKDY-UHFFFAOYSA-N</t>
  </si>
  <si>
    <t>C18H26O</t>
  </si>
  <si>
    <t>5.60_617.2950m/z</t>
  </si>
  <si>
    <t>1,3-Dibenzylisoquinoline</t>
  </si>
  <si>
    <t>HMDB0249266</t>
  </si>
  <si>
    <t>C(C1=CC=CC=C1)C1=CC2=CC=CC=C2C(CC2=CC=CC=C2)=N1</t>
  </si>
  <si>
    <t>BJWWOUUGCAPHOV-UHFFFAOYSA-N</t>
  </si>
  <si>
    <t>C23H19N</t>
  </si>
  <si>
    <t>1.06_103.0389m/z</t>
  </si>
  <si>
    <t>Succinic Acid Semialdehyde</t>
  </si>
  <si>
    <t>HMDB0001259</t>
  </si>
  <si>
    <t>LMFA06000118</t>
  </si>
  <si>
    <t>C00232</t>
  </si>
  <si>
    <t>ko00250,ko00350,ko00650,ko00720,ko00750,ko00760,ko02024</t>
  </si>
  <si>
    <t>Alanine, aspartate and glutamate metabolism|Tyrosine metabolism|Butanoate metabolism|Carbon fixation pathways in prokaryotes|Vitamin B6 metabolism|Nicotinate and nicotinamide metabolism|Quorum sensing</t>
  </si>
  <si>
    <t>692-29-5</t>
  </si>
  <si>
    <t>C(=O)(O)CCC=O</t>
  </si>
  <si>
    <t>UIUJIQZEACWQSV-UHFFFAOYSA-N</t>
  </si>
  <si>
    <t>C4H6O3</t>
  </si>
  <si>
    <t>3.50_567.1307m/z</t>
  </si>
  <si>
    <t>Biochanin A</t>
  </si>
  <si>
    <t>HMDB0002338</t>
  </si>
  <si>
    <t>LMPK12050229</t>
  </si>
  <si>
    <t>C00814</t>
  </si>
  <si>
    <t>491-80-5</t>
  </si>
  <si>
    <t>C1(O)=CC2OC=C(C3C=CC(OC)=CC=3)C(=O)C=2C(O)=C1</t>
  </si>
  <si>
    <t>WUADCCWRTIWANL-UHFFFAOYSA-N</t>
  </si>
  <si>
    <t>4.13_258.0379m/z</t>
  </si>
  <si>
    <t>N-Lactoyl Ethanolamine Phosphate</t>
  </si>
  <si>
    <t>HMDB0032357</t>
  </si>
  <si>
    <t>782498-03-7</t>
  </si>
  <si>
    <t>CC(O)C(=O)NCCOP(O)(O)=O</t>
  </si>
  <si>
    <t>CKXSSEHWXMVQRZ-UHFFFAOYSA-N</t>
  </si>
  <si>
    <t>C5H12NO6P</t>
  </si>
  <si>
    <t>4.04_512.1556m/z</t>
  </si>
  <si>
    <t>Carminomycin I</t>
  </si>
  <si>
    <t>HMDB0249682</t>
  </si>
  <si>
    <t>CC1OC(CC(N)C1O)OC1CC(O)(CC2=C(O)C3=C(C(O)=C12)C(=O)C1=C(O)C=CC=C1C3=O)C(C)=O</t>
  </si>
  <si>
    <t>XREUEWVEMYWFFA-UHFFFAOYSA-N</t>
  </si>
  <si>
    <t>C26H27NO10</t>
  </si>
  <si>
    <t>3.63_436.1532m/z</t>
  </si>
  <si>
    <t>Apatinib</t>
  </si>
  <si>
    <t>HMDB0248505</t>
  </si>
  <si>
    <t>O=C(NC1=CC=C(C=C1)C1(CCCC1)C#N)C1=C(NCC2=CC=NC=C2)N=CC=C1</t>
  </si>
  <si>
    <t>WPEWQEMJFLWMLV-UHFFFAOYSA-N</t>
  </si>
  <si>
    <t>C24H23N5O</t>
  </si>
  <si>
    <t>5.08_559.1065m/z</t>
  </si>
  <si>
    <t>Cicerin 7-(6-Malonylglucoside)</t>
  </si>
  <si>
    <t>HMDB0040604</t>
  </si>
  <si>
    <t>146367-93-3</t>
  </si>
  <si>
    <t>COC1=CC2=C(OCO2)C=C1C1COC2=CC(OC3OC(COC(=O)CC(O)=O)C(O)C(O)C3O)=CC(O)=C2C1=O</t>
  </si>
  <si>
    <t>LTKZEZHCMRVAQG-UHFFFAOYSA-N</t>
  </si>
  <si>
    <t>C26H26O15</t>
  </si>
  <si>
    <t>4.63_639.1561m/z</t>
  </si>
  <si>
    <t>Horridin (Flavone)</t>
  </si>
  <si>
    <t>LMPK12112232</t>
  </si>
  <si>
    <t>C1C=C(O)C(O)=CC=1C1=C(O[C@H]2[C@H](O[C@H]3[C@H](O)[C@H](O)[C@@H](O)[C@H](C)O3)[C@H](O)[C@@H](O)[C@H](C)O2)C(=O)C2C(O)=CC(O)=CC=2O1</t>
  </si>
  <si>
    <t>SEEGVLYKLLCFTK-AQNZCLFOSA-N</t>
  </si>
  <si>
    <t>7.60_539.0980m/z</t>
  </si>
  <si>
    <t>Dihydromorelloflavone</t>
  </si>
  <si>
    <t>HMDB0038392</t>
  </si>
  <si>
    <t>OC1=CC=C(C=C1)C1OC2=C(C(O)=CC(O)=C2)C(=O)C1C1=C(O)C=C(O)C2=C1OC(CC2=O)C1=CC=C(O)C(O)=C1</t>
  </si>
  <si>
    <t>IMIXFUXOSFSXPC-UHFFFAOYSA-N</t>
  </si>
  <si>
    <t>C30H22O11</t>
  </si>
  <si>
    <t>9.39_341.2695m/z</t>
  </si>
  <si>
    <t>10z-Nonadecenoic Acid</t>
  </si>
  <si>
    <t>HMDB0013622</t>
  </si>
  <si>
    <t>LMFA01030362</t>
  </si>
  <si>
    <t>73033-09-7</t>
  </si>
  <si>
    <t>C(CCCCCCCC/C=C\CCCCCCCC)(=O)O</t>
  </si>
  <si>
    <t>BBOWBNGUEWHNQZ-KTKRTIGZSA-N</t>
  </si>
  <si>
    <t>C19H36O2</t>
  </si>
  <si>
    <t>6.96_489.2117m/z</t>
  </si>
  <si>
    <t>Terretonin</t>
  </si>
  <si>
    <t>HMDB0035860</t>
  </si>
  <si>
    <t>71911-90-5</t>
  </si>
  <si>
    <t>COC(=O)C1(C)OC(=O)C2C(C)(C(=C)CC3(O)C4(C)CCC(=O)C(C)(C)C4=C(O)C(=O)C23C)C1=O</t>
  </si>
  <si>
    <t>CYHGEJACRPDZDP-UHFFFAOYSA-N</t>
  </si>
  <si>
    <t>C26H32O9</t>
  </si>
  <si>
    <t>0.62_124.0243m/z</t>
  </si>
  <si>
    <t>Dicarbonic Acid</t>
  </si>
  <si>
    <t>HMDB0251182</t>
  </si>
  <si>
    <t>OC(=O)OC(O)=O</t>
  </si>
  <si>
    <t>ZFTFAPZRGNKQPU-UHFFFAOYSA-N</t>
  </si>
  <si>
    <t>C2H2O5</t>
  </si>
  <si>
    <t>1.33_116.1069m/z</t>
  </si>
  <si>
    <t>Cyclohexanone</t>
  </si>
  <si>
    <t>HMDB0003315</t>
  </si>
  <si>
    <t>C00414</t>
  </si>
  <si>
    <t>108-94-1</t>
  </si>
  <si>
    <t>O=C1CCCCC1</t>
  </si>
  <si>
    <t>JHIVVAPYMSGYDF-UHFFFAOYSA-N</t>
  </si>
  <si>
    <t>14.46_506.4565m/z</t>
  </si>
  <si>
    <t>25-Ethoxy-24-Methoxycylcoartanol</t>
  </si>
  <si>
    <t>HMDB0302828</t>
  </si>
  <si>
    <t>CCOC(C)C(CC[C@@H](C)C1CC[C@@]2(C)C3CCC4C5(CC35CC[C@]12C)CC[C@H](O)C4(C)C)OC</t>
  </si>
  <si>
    <t>OGMSFXBEECUZBJ-HPKPZDKRSA-N</t>
  </si>
  <si>
    <t>C32H56O3</t>
  </si>
  <si>
    <t>3.93_168.0786n</t>
  </si>
  <si>
    <t>1-(4-Hydroxyphenyl)-1,2-Propanediol</t>
  </si>
  <si>
    <t>CC(C(C1=CC=C(C=C1)O)O)O</t>
  </si>
  <si>
    <t>PIYCCGIPUXJHIW-UHFFFAOYSA-N</t>
  </si>
  <si>
    <t>C9H12O3</t>
  </si>
  <si>
    <t>1.33_146.0600m/z</t>
  </si>
  <si>
    <t>2-Nonene-4,6,8-Triynal</t>
  </si>
  <si>
    <t>LMFA06000050</t>
  </si>
  <si>
    <t>C(=C/C#CC#CC#C)\C([H])=O</t>
  </si>
  <si>
    <t>YZDIZAOHDWYDBH-BQYQJAHWSA-N</t>
  </si>
  <si>
    <t>C9H4O</t>
  </si>
  <si>
    <t>11.19_353.2694m/z</t>
  </si>
  <si>
    <t>N-Methylnicotinium</t>
  </si>
  <si>
    <t>HMDB0001009</t>
  </si>
  <si>
    <t>24554-05-0</t>
  </si>
  <si>
    <t>CN1CCCC1C1=CC=C[N+](C)=C1</t>
  </si>
  <si>
    <t>HIOROZIUERMMRQ-UHFFFAOYSA-N</t>
  </si>
  <si>
    <t>Pyrrolidinylpyridines</t>
  </si>
  <si>
    <t>C11H17N2+</t>
  </si>
  <si>
    <t>4.45_161.0960m/z</t>
  </si>
  <si>
    <t>3-Methyl-4-Phenyl-3-Buten-2-One</t>
  </si>
  <si>
    <t>HMDB0031567</t>
  </si>
  <si>
    <t>1901-26-4</t>
  </si>
  <si>
    <t>CC(=O)C(\C)=C/C1=CC=CC=C1</t>
  </si>
  <si>
    <t>BQJFBHBDOAIIGS-HJWRWDBZSA-N</t>
  </si>
  <si>
    <t>C11H12O</t>
  </si>
  <si>
    <t>9.43_957.6038m/z</t>
  </si>
  <si>
    <t>PI(22:2(13Z,16Z)/20:3(6,8,11)-OH(5))</t>
  </si>
  <si>
    <t>HMDB0277789</t>
  </si>
  <si>
    <t>[H][C@@](COC(=O)CCCCCCCCCCC\C=C/C\C=C/CCCCC)(COP(O)(=O)O[C@H]1[C@H](O)[C@@H](O)[C@H](O)[C@@H](O)[C@H]1O)OC(=O)CCCC(O)\C=C\C=C\C\C=C\CCCCCCCC</t>
  </si>
  <si>
    <t>ZRBMZVIJLHJQDV-GZLOIOTESA-N</t>
  </si>
  <si>
    <t>C51H89O14P</t>
  </si>
  <si>
    <t>0.98_333.0437m/z</t>
  </si>
  <si>
    <t>Homocysteinesulfinic Acid</t>
  </si>
  <si>
    <t>HMDB0006462</t>
  </si>
  <si>
    <t>31523-80-5</t>
  </si>
  <si>
    <t>NC(CCS(O)=O)C(O)=O</t>
  </si>
  <si>
    <t>PDNJLMZEGXHSCU-UHFFFAOYSA-N</t>
  </si>
  <si>
    <t>C4H9NO4S</t>
  </si>
  <si>
    <t>9.88_453.3473m/z</t>
  </si>
  <si>
    <t>N-Stearoyl Tryptophan</t>
  </si>
  <si>
    <t>HMDB0241951</t>
  </si>
  <si>
    <t>CCCCCCCCCCCCCCCCCC(=O)NC(CC1=CNC2=C1C=CC=C2)C(O)=O</t>
  </si>
  <si>
    <t>QZMGCBALCCFOPR-UHFFFAOYSA-N</t>
  </si>
  <si>
    <t>C29H46N2O3</t>
  </si>
  <si>
    <t>4.33_303.0861m/z</t>
  </si>
  <si>
    <t>Carbocyclic 3-Deazaadenosine</t>
  </si>
  <si>
    <t>HMDB0245848</t>
  </si>
  <si>
    <t>NC1=NC=CC2=C1N=CN2C1CC(CO)C(O)C1O</t>
  </si>
  <si>
    <t>XNJHAZWZQGXOSC-UHFFFAOYSA-N</t>
  </si>
  <si>
    <t>C12H16N4O3</t>
  </si>
  <si>
    <t>12.38_380.1893m/z</t>
  </si>
  <si>
    <t>Dorsomorphin</t>
  </si>
  <si>
    <t>HMDB0251590</t>
  </si>
  <si>
    <t>C(CN1CCCCC1)OC1=CC=C(C=C1)C1=CN2N=CC(=C2N=C1)C1=CC=NC=C1</t>
  </si>
  <si>
    <t>XHBVYDAKJHETMP-UHFFFAOYSA-N</t>
  </si>
  <si>
    <t>Pyrazolo[1,5-a]pyrimidines</t>
  </si>
  <si>
    <t>C24H25N5O</t>
  </si>
  <si>
    <t>1.38_203.1067m/z</t>
  </si>
  <si>
    <t>6-Acetyl-2,2-Dimethyl-2h-1-Benzopyran</t>
  </si>
  <si>
    <t>HMDB0030816</t>
  </si>
  <si>
    <t>19013-07-1</t>
  </si>
  <si>
    <t>CC(=O)C1=CC2=C(OC(C)(C)C=C2)C=C1</t>
  </si>
  <si>
    <t>ZAJTXVHECZCXLH-UHFFFAOYSA-N</t>
  </si>
  <si>
    <t>C13H14O2</t>
  </si>
  <si>
    <t>3.79_195.0531n</t>
  </si>
  <si>
    <t>N-Acetyl-5-Aminosalicylic Acid</t>
  </si>
  <si>
    <t>HMDB0060602</t>
  </si>
  <si>
    <t>51-59-2</t>
  </si>
  <si>
    <t>CC(=O)NC1=CC=C(O)C(=C1)C(O)=O</t>
  </si>
  <si>
    <t>GEFDRROBUCULOD-UHFFFAOYSA-N</t>
  </si>
  <si>
    <t>C9H9NO4</t>
  </si>
  <si>
    <t>4.76_426.1889n</t>
  </si>
  <si>
    <t>11,13-Dihydrotaraxinic Acid Glucosyl Ester</t>
  </si>
  <si>
    <t>HMDB0035867</t>
  </si>
  <si>
    <t>75911-16-9</t>
  </si>
  <si>
    <t>CC1[C@@H]2CCC(=CCC\C(C)=C\[C@H]2OC1=O)C(=O)O[C@@H]1[C@@H](O)[C@H](O)O[C@H](CO)[C@H]1O</t>
  </si>
  <si>
    <t>GHCVBVCIPFPICQ-RYCRGVOFSA-N</t>
  </si>
  <si>
    <t>9.79_277.1443m/z</t>
  </si>
  <si>
    <t>Monooctyl Phthalate</t>
  </si>
  <si>
    <t>HMDB0254869</t>
  </si>
  <si>
    <t>CCCCCCCCOC(=O)C1=CC=CC=C1C(O)=O</t>
  </si>
  <si>
    <t>PKIYFBICNICNGJ-UHFFFAOYSA-N</t>
  </si>
  <si>
    <t>6.44_237.1127m/z</t>
  </si>
  <si>
    <t>Tert-Butyl 4-Methylbenzoate</t>
  </si>
  <si>
    <t>HMDB0258839</t>
  </si>
  <si>
    <t>13756-42-8</t>
  </si>
  <si>
    <t>CC1=CC=C(C=C1)C(=O)OC(C)(C)C</t>
  </si>
  <si>
    <t>GRUSXPIAJWRLRQ-UHFFFAOYSA-N</t>
  </si>
  <si>
    <t>7.94_1103.3472m/z</t>
  </si>
  <si>
    <t>3,4,5-Tribenzoyloxypentyl Benzoate</t>
  </si>
  <si>
    <t>HMDB0244131</t>
  </si>
  <si>
    <t>O=C(OCCC(OC(=O)C1=CC=CC=C1)C(COC(=O)C1=CC=CC=C1)OC(=O)C1=CC=CC=C1)C1=CC=CC=C1</t>
  </si>
  <si>
    <t>QKKOZFXAIQHNNV-UHFFFAOYSA-N</t>
  </si>
  <si>
    <t>C33H28O8</t>
  </si>
  <si>
    <t>2.18_108.0444m/z</t>
  </si>
  <si>
    <t>2-Pyridinecarboxaldehyde</t>
  </si>
  <si>
    <t>HMDB0245308</t>
  </si>
  <si>
    <t>O=CC1=NC=CC=C1</t>
  </si>
  <si>
    <t>CSDSSGBPEUDDEE-UHFFFAOYSA-N</t>
  </si>
  <si>
    <t>Pyridine carboxaldehydes</t>
  </si>
  <si>
    <t>C6H5NO</t>
  </si>
  <si>
    <t>4.06_347.0746m/z</t>
  </si>
  <si>
    <t>Glutamate Carbon</t>
  </si>
  <si>
    <t>HMDB0252804</t>
  </si>
  <si>
    <t>NC1CCC(=O)OC2(OC(=O)CCC(N)C(=O)O2)OC1=O</t>
  </si>
  <si>
    <t>HKUBJCDVPLPAQF-UHFFFAOYSA-N</t>
  </si>
  <si>
    <t>C11H14N2O8</t>
  </si>
  <si>
    <t>0.58_148.9486m/z</t>
  </si>
  <si>
    <t>Hypothiocyanite</t>
  </si>
  <si>
    <t>HMDB0012974</t>
  </si>
  <si>
    <t>63296-34-4</t>
  </si>
  <si>
    <t>OSC#N</t>
  </si>
  <si>
    <t>ZCZCOXLLICTZAH-UHFFFAOYSA-N</t>
  </si>
  <si>
    <t>Thiocyanates</t>
  </si>
  <si>
    <t>CHNOS</t>
  </si>
  <si>
    <t>1.70_132.9773m/z</t>
  </si>
  <si>
    <t>Asparagusic Acid</t>
  </si>
  <si>
    <t>HMDB0029611</t>
  </si>
  <si>
    <t>C01892</t>
  </si>
  <si>
    <t>2224-02-4</t>
  </si>
  <si>
    <t>OC(=O)C1CSSC1</t>
  </si>
  <si>
    <t>AYGMEFRECNWRJC-UHFFFAOYSA-N</t>
  </si>
  <si>
    <t>Dithiolanecarboxylic acids</t>
  </si>
  <si>
    <t>C4H6O2S2</t>
  </si>
  <si>
    <t>3.99_565.2424m/z</t>
  </si>
  <si>
    <t>PA(2:0/6 keto-PGF1alpha)</t>
  </si>
  <si>
    <t>HMDB0266513</t>
  </si>
  <si>
    <t>CCCCC[C@H](O)\C=C\[C@H]1[C@H](O)C[C@H](O)[C@@H]1CC(=O)CCCCC(=O)O[C@H](COC(C)=O)COP(O)(O)=O</t>
  </si>
  <si>
    <t>MYSGDCLSBDOCCQ-OWAHDRKASA-N</t>
  </si>
  <si>
    <t>C25H43O12P</t>
  </si>
  <si>
    <t>3.97_110.0600m/z</t>
  </si>
  <si>
    <t>Guvacine</t>
  </si>
  <si>
    <t>C10149</t>
  </si>
  <si>
    <t>C1CNCC(=C1)C(=O)O</t>
  </si>
  <si>
    <t>QTDZOWFRBNTPQR-UHFFFAOYSA-N</t>
  </si>
  <si>
    <t>C6H9NO2</t>
  </si>
  <si>
    <t>9.77_900.5452m/z</t>
  </si>
  <si>
    <t>41-O-Demethylrapamycin</t>
  </si>
  <si>
    <t>HMDB0061048</t>
  </si>
  <si>
    <t>[H][C@@]12CC[C@@H](C)C(O)(O1)C(=O)C(=O)N1CCCC[C@H]1C(=O)O[C@@H](CC(=O)[C@@H](C)\C=C(C)/[C@@H](O)[C@H](OC)C(=O)[C@H](C)C[C@H](C)\C=C/C=C\C=C(C)/[C@H](C2)OC)[C@H](C)C[C@H]1CC[C@H](O)[C@@H](O)C1</t>
  </si>
  <si>
    <t>RGRYVHKBWYXMGM-XMALXIMISA-N</t>
  </si>
  <si>
    <t>C50H77NO13</t>
  </si>
  <si>
    <t>5.12_642.2177m/z</t>
  </si>
  <si>
    <t>4-(4-Hydroxyphenyl)-2-Butanone O-[2-Galloyl-6-P-Coumaroylglucoside]</t>
  </si>
  <si>
    <t>HMDB0039315</t>
  </si>
  <si>
    <t>105274-16-6</t>
  </si>
  <si>
    <t>CC(=O)CCC1=CC=C(OC2OC(COC(=O)\C=C\C3=CC=C(O)C=C3)C(O)C(O)C2OC(=O)C2=CC(O)=C(O)C(O)=C2)C=C1</t>
  </si>
  <si>
    <t>QIEOAEKNEKYVTH-MDWZMJQESA-N</t>
  </si>
  <si>
    <t>C32H32O13</t>
  </si>
  <si>
    <t>1.65_111.1168m/z</t>
  </si>
  <si>
    <t>1,3-Octadiene</t>
  </si>
  <si>
    <t>HMDB0040966</t>
  </si>
  <si>
    <t>1002-33-1</t>
  </si>
  <si>
    <t>CCCC\C=C\C=C</t>
  </si>
  <si>
    <t>QTYUSOHYEPOHLV-FNORWQNLSA-N</t>
  </si>
  <si>
    <t>C8H14</t>
  </si>
  <si>
    <t>4.99_685.2689m/z</t>
  </si>
  <si>
    <t>19-Hydroxydeacetylnomilinic Acid 17-Beta-D-Glucopyranoside</t>
  </si>
  <si>
    <t>HMDB0037589</t>
  </si>
  <si>
    <t>CC(C)(O)C1CC(=O)C2(C)C(CCC(C)(C(OC3OC(CO)C(O)C(O)C3O)C3=COC=C3)C22OC2C(O)=O)C1(CO)C(O)CC(O)=O</t>
  </si>
  <si>
    <t>MCCMYXSRCBDORE-UHFFFAOYSA-N</t>
  </si>
  <si>
    <t>1.08_113.0345m/z</t>
  </si>
  <si>
    <t>Uracil</t>
  </si>
  <si>
    <t>HMDB0000300</t>
  </si>
  <si>
    <t>C00106</t>
  </si>
  <si>
    <t>ko00240,ko00410,ko00770</t>
  </si>
  <si>
    <t>Pyrimidine metabolism|beta-Alanine metabolism|Pantothenate and CoA biosynthesis</t>
  </si>
  <si>
    <t>66-22-8</t>
  </si>
  <si>
    <t>O=C1NC=CC(=O)N1</t>
  </si>
  <si>
    <t>ISAKRJDGNUQOIC-UHFFFAOYSA-N</t>
  </si>
  <si>
    <t>C4H4N2O2</t>
  </si>
  <si>
    <t>10.67_713.3957m/z</t>
  </si>
  <si>
    <t>E-64</t>
  </si>
  <si>
    <t>C01341</t>
  </si>
  <si>
    <t>66701-25-5</t>
  </si>
  <si>
    <t>CC(C)CC(C(=O)NCCCCN=C(N)N)NC(=O)C1C(O1)C(=O)O</t>
  </si>
  <si>
    <t>LTLYEAJONXGNFG-DCAQKATOSA-N</t>
  </si>
  <si>
    <t>C15H27N5O5</t>
  </si>
  <si>
    <t>6.88_255.0257m/z</t>
  </si>
  <si>
    <t>Bis(2,5-Dioxopyrrolidin-1-Yl) Carbonate</t>
  </si>
  <si>
    <t>HMDB0247347</t>
  </si>
  <si>
    <t>O=C(ON1C(=O)CCC1=O)ON1C(=O)CCC1=O</t>
  </si>
  <si>
    <t>PFYXSUNOLOJMDX-UHFFFAOYSA-N</t>
  </si>
  <si>
    <t>C9H8N2O7</t>
  </si>
  <si>
    <t>4.11_255.2106m/z</t>
  </si>
  <si>
    <t>5a-Androst-3-En-17-One</t>
  </si>
  <si>
    <t>HMDB0006046</t>
  </si>
  <si>
    <t>LMST02020094</t>
  </si>
  <si>
    <t>14935-81-0</t>
  </si>
  <si>
    <t>[C@@]12([H])CC[C@@]3([H])C=CCC[C@]3(C)[C@@]1([H])CC[C@]1(C)C(=O)CC[C@@]21[H]</t>
  </si>
  <si>
    <t>RJWNCDOWHNLVPF-HKQXQEGQSA-N</t>
  </si>
  <si>
    <t>C19H28O</t>
  </si>
  <si>
    <t>3.52_292.0437m/z</t>
  </si>
  <si>
    <t>M-Trifluoromethylhippuric Acid</t>
  </si>
  <si>
    <t>17794-48-8</t>
  </si>
  <si>
    <t>C1=CC(=CC(=C1)C(F)(F)F)C(=O)NCC(=O)O</t>
  </si>
  <si>
    <t>ZDGGJQMSELMHLK-UHFFFAOYSA-N</t>
  </si>
  <si>
    <t>C10H8F3NO3</t>
  </si>
  <si>
    <t>4.12_295.1685m/z</t>
  </si>
  <si>
    <t>4-Hydroxy-2-Nonenal-[L-Cys] Conjugate</t>
  </si>
  <si>
    <t>HMDB0304176</t>
  </si>
  <si>
    <t>CCCCCC(O)C(CC=O)SCC([N+])C([O-])=O</t>
  </si>
  <si>
    <t>XJUXNVLIARNBIH-UHFFFAOYSA-M</t>
  </si>
  <si>
    <t>C12H23NO4S</t>
  </si>
  <si>
    <t>10.13_347.1487m/z</t>
  </si>
  <si>
    <t>Catechin Tetramethylether</t>
  </si>
  <si>
    <t>COC1=C(C=C(C=C1)C2C(CC3=C(O2)C=C(C=C3OC)OC)O)OC</t>
  </si>
  <si>
    <t>GKPNPQODFXMCGO-IFXJQAMLSA-N</t>
  </si>
  <si>
    <t>10.66_380.3496m/z</t>
  </si>
  <si>
    <t>C-6 Ceramide</t>
  </si>
  <si>
    <t>124753-97-5</t>
  </si>
  <si>
    <t>CCCCCCCCCCCCCC=CC(C(CO)NC(=O)CCCCC)O</t>
  </si>
  <si>
    <t>NPRJSFWNFTXXQC-QFWQFVLDSA-N</t>
  </si>
  <si>
    <t>C24H47NO3</t>
  </si>
  <si>
    <t>5.73_1119.5389n</t>
  </si>
  <si>
    <t>CDP-DG(20:2(11Z,14Z)/6 keto-PGF1alpha)</t>
  </si>
  <si>
    <t>HMDB0291831</t>
  </si>
  <si>
    <t>CCCCC\C=C/C\C=C/CCCCCCCCCC(=O)OC[C@@H]1COP(O)(=O)OP(O)(=O)OC[C@H]2O[C@H]([C@@H](CC(=O)CCCCC(=O)O1)[C@@H](O)C[C@@H](O)[C@H](\C=C/[C@@H](O)CCCCC)[C@H](O)[C@@H]2O)N1C=CC(N)=NC1=O</t>
  </si>
  <si>
    <t>ABDAVASDBKZMCI-TZLUKKSUSA-N</t>
  </si>
  <si>
    <t>C52H87N3O19P2</t>
  </si>
  <si>
    <t>9.23_409.1622m/z</t>
  </si>
  <si>
    <t>5-Megastigmen-7-Yne-3,9-Diol 9-Glucoside</t>
  </si>
  <si>
    <t>HMDB0032841</t>
  </si>
  <si>
    <t>62512-26-9</t>
  </si>
  <si>
    <t>CC(OC1OC(CO)C(O)C(O)C1O)C#CC1=C(C)CC(O)CC1(C)C</t>
  </si>
  <si>
    <t>NVFMDEVKKYQMLD-UHFFFAOYSA-N</t>
  </si>
  <si>
    <t>6.07_287.0537m/z</t>
  </si>
  <si>
    <t>Orotidine</t>
  </si>
  <si>
    <t>HMDB0000788</t>
  </si>
  <si>
    <t>314-50-1</t>
  </si>
  <si>
    <t>OC[C@H]1O[C@H]([C@H](O)[C@@H]1O)N1C(=O)NC(=O)C=C1C(O)=O</t>
  </si>
  <si>
    <t>FKCRAVPPBFWEJD-XVFCMESISA-N</t>
  </si>
  <si>
    <t>C10H12N2O8</t>
  </si>
  <si>
    <t>10.46_779.2917m/z</t>
  </si>
  <si>
    <t>Chidamide</t>
  </si>
  <si>
    <t>743420-02-2</t>
  </si>
  <si>
    <t>C1=CC(=CN=C1)C=CC(=O)NCC2=CC=C(C=C2)C(=O)NC3=C(C=CC(=C3)F)N</t>
  </si>
  <si>
    <t>WXHHICFWKXDFOW-BJMVGYQFSA-N</t>
  </si>
  <si>
    <t>C22H19FN4O2</t>
  </si>
  <si>
    <t>3.66_513.1938m/z</t>
  </si>
  <si>
    <t>Nikkomycin</t>
  </si>
  <si>
    <t>HMDB0255605</t>
  </si>
  <si>
    <t>CC(C(N)C(=O)NC(C1OC(C(O)C1O)N1C=CC(=O)NC1=O)C(O)=O)C(O)C1=CC=C(O)C=N1</t>
  </si>
  <si>
    <t>WWJFFVUVFNBJTN-UHFFFAOYSA-N</t>
  </si>
  <si>
    <t>C20H25N5O10</t>
  </si>
  <si>
    <t>14.34_623.4525m/z</t>
  </si>
  <si>
    <t>Squamocin K</t>
  </si>
  <si>
    <t>HMDB0029957</t>
  </si>
  <si>
    <t>161169-70-6</t>
  </si>
  <si>
    <t>CCCCCCCCCCC(O)C1CCC(O1)C1CCC(O1)C(O)CCCCCCCCCCC1=CC(C)OC1=O</t>
  </si>
  <si>
    <t>QAVQPBYIAQGAIO-UHFFFAOYSA-N</t>
  </si>
  <si>
    <t>C35H62O6</t>
  </si>
  <si>
    <t>1.20_202.0321m/z</t>
  </si>
  <si>
    <t>2-Amino-3,4-Dihydroxypentanedioic Acid</t>
  </si>
  <si>
    <t>HMDB0030408</t>
  </si>
  <si>
    <t>NC(C(O)C(O)C(O)=O)C(O)=O</t>
  </si>
  <si>
    <t>SODSBJHVKSGOIZ-UHFFFAOYSA-N</t>
  </si>
  <si>
    <t>C5H9NO6</t>
  </si>
  <si>
    <t>4.11_562.1475n</t>
  </si>
  <si>
    <t>3,3',4',5,7-Pentahydroxyflavan(4-&gt;8)-3,4',5,7-Tetrahydroxyflavan</t>
  </si>
  <si>
    <t>HMDB0037662</t>
  </si>
  <si>
    <t>80685-13-8</t>
  </si>
  <si>
    <t>OC1CC2=C(OC1C1=CC=C(O)C=C1)C(C1C(O)C(OC3=CC(O)=CC(O)=C13)C1=CC(O)=C(O)C=C1)=C(O)C=C2O</t>
  </si>
  <si>
    <t>MTCFYYIJIXJCPF-UHFFFAOYSA-N</t>
  </si>
  <si>
    <t>12.52_457.2920m/z</t>
  </si>
  <si>
    <t>(+)-Cuminone A</t>
  </si>
  <si>
    <t>LMPK13070019</t>
  </si>
  <si>
    <t>C(CCCCCCCCCCC/C=C\CCCC)(=O)C1C(=O)[C@@](O)(C)C(O)=C(C)C=1O</t>
  </si>
  <si>
    <t>YPIGISGETKKCCS-UKDBKGKESA-N</t>
  </si>
  <si>
    <t>C26H42O5</t>
  </si>
  <si>
    <t>1.50_122.0360m/z</t>
  </si>
  <si>
    <t>Pyrazinamide</t>
  </si>
  <si>
    <t>HMDB0014483</t>
  </si>
  <si>
    <t>C01956</t>
  </si>
  <si>
    <t>98-96-4</t>
  </si>
  <si>
    <t>NC(=O)C1=NC=CN=C1</t>
  </si>
  <si>
    <t>IPEHBUMCGVEMRF-UHFFFAOYSA-N</t>
  </si>
  <si>
    <t>C5H5N3O</t>
  </si>
  <si>
    <t>9.75_553.1128m/z</t>
  </si>
  <si>
    <t>Bilobetin</t>
  </si>
  <si>
    <t>HMDB0030833</t>
  </si>
  <si>
    <t>LMPK12040013</t>
  </si>
  <si>
    <t>521-32-4</t>
  </si>
  <si>
    <t>C1(O)=CC2OC(C3C=CC(OC)=C(C4=C(O)C=C(O)C5C(=O)C=C(C6=CC=C(O)C=C6)OC4=5)C=3)=CC(=O)C=2C(O)=C1</t>
  </si>
  <si>
    <t>IWEIJEPIYMAGTH-UHFFFAOYSA-N</t>
  </si>
  <si>
    <t>C31H20O10</t>
  </si>
  <si>
    <t>14.37_407.3516m/z</t>
  </si>
  <si>
    <t>15-(3,4-Dimethyl-5-Pentylfuran-2-Yl)-Pentadecanoic Acid</t>
  </si>
  <si>
    <t>HMDB0112081</t>
  </si>
  <si>
    <t>LMFA01150031</t>
  </si>
  <si>
    <t>116627-42-0</t>
  </si>
  <si>
    <t>C(CC)CCC1=C(C)C(C)=C(CCCCCCCCCCCCCCC(=O)O)O1</t>
  </si>
  <si>
    <t>WYVWYCPRCDUPPH-UHFFFAOYSA-N</t>
  </si>
  <si>
    <t>C26H46O3</t>
  </si>
  <si>
    <t>7.45_293.1029m/z</t>
  </si>
  <si>
    <t>Citreovirenone</t>
  </si>
  <si>
    <t>HMDB0033515</t>
  </si>
  <si>
    <t>103955-68-6</t>
  </si>
  <si>
    <t>COC1=CC(CC2=CC(=O)CC(C)O2)=CC(O)=C1</t>
  </si>
  <si>
    <t>WMCPLZDBHVOXCJ-UHFFFAOYSA-N</t>
  </si>
  <si>
    <t>C14H16O4</t>
  </si>
  <si>
    <t>9.01_228.2684m/z</t>
  </si>
  <si>
    <t>Germacrane</t>
  </si>
  <si>
    <t>HMDB0252703</t>
  </si>
  <si>
    <t>CC(C)C1CCC(C)CCCC(C)CC1</t>
  </si>
  <si>
    <t>IBMAYSYTZAVZPY-UHFFFAOYSA-N</t>
  </si>
  <si>
    <t>12.04_442.3807n</t>
  </si>
  <si>
    <t>Uvaol</t>
  </si>
  <si>
    <t>HMDB0002391</t>
  </si>
  <si>
    <t>545-46-0</t>
  </si>
  <si>
    <t>[H][C@@]12[C@@H](C)[C@H](C)CC[C@]1(CO)CC[C@]1(C)C2=CC[C@]2([H])[C@@]3(C)CC[C@H](O)C(C)(C)[C@]3([H])CC[C@@]12C</t>
  </si>
  <si>
    <t>XUARCIYIVXVTAE-ZAPOICBTSA-N</t>
  </si>
  <si>
    <t>C30H50O2</t>
  </si>
  <si>
    <t>2.07_497.0377m/z</t>
  </si>
  <si>
    <t>Kaempferol 3-Sulfate-7-Alpha-Arabinopyranoside</t>
  </si>
  <si>
    <t>LMPK12111975</t>
  </si>
  <si>
    <t>C1C=C(O)C=CC=1C1=C(OS(=O)(=O)O)C(=O)C2C(O)=CC(O[C@H]3[C@H](O)[C@@H](O)[C@@H](O)CO3)=CC=2O1</t>
  </si>
  <si>
    <t>WQCLONBBNHKASY-IEGSVRCHSA-N</t>
  </si>
  <si>
    <t>C20H18O13S</t>
  </si>
  <si>
    <t>1.83_213.0510m/z</t>
  </si>
  <si>
    <t>N-Phosphocreatinate(2-)</t>
  </si>
  <si>
    <t>HMDB0062567</t>
  </si>
  <si>
    <t>C[N+](CC(O)=O)=C(N)NP(O)(O)=O</t>
  </si>
  <si>
    <t>RMRKEMHUAGATCC-UHFFFAOYSA-O</t>
  </si>
  <si>
    <t>C4H11N3O5P+</t>
  </si>
  <si>
    <t>5.45_503.1537m/z</t>
  </si>
  <si>
    <t>4'-Methoxyflavone</t>
  </si>
  <si>
    <t>4143-74-2</t>
  </si>
  <si>
    <t>COC1=CC=C(C=C1)C2=CC(=O)C3=CC=CC=C3O2</t>
  </si>
  <si>
    <t>OMICQBVLCVRFGN-UHFFFAOYSA-N</t>
  </si>
  <si>
    <t>C16H12O3</t>
  </si>
  <si>
    <t>8.05_555.2602m/z</t>
  </si>
  <si>
    <t>Deoxygedunol Acetate</t>
  </si>
  <si>
    <t>CC(=O)OC1CC2C(C(C=CC2(C3C1(C4=CC(=O)OC(C4(CC3)C)C5=COC=C5)C)C)OC(=O)C)(C)C</t>
  </si>
  <si>
    <t>GODATXYKWYGJRN-FJPSVTAHSA-N</t>
  </si>
  <si>
    <t>C30H38O7</t>
  </si>
  <si>
    <t>3.88_144.0443m/z</t>
  </si>
  <si>
    <t>Indole-3-Carboxaldehyde</t>
  </si>
  <si>
    <t>HMDB0029737</t>
  </si>
  <si>
    <t>C08493</t>
  </si>
  <si>
    <t>487-89-8</t>
  </si>
  <si>
    <t>O=CC1=CNC2=C1C=CC=C2</t>
  </si>
  <si>
    <t>OLNJUISKUQQNIM-UHFFFAOYSA-N</t>
  </si>
  <si>
    <t>10.37_1079.4819m/z</t>
  </si>
  <si>
    <t>Atorvastatin Lactone</t>
  </si>
  <si>
    <t>HMDB0248704</t>
  </si>
  <si>
    <t>CC(C)C1=C(C(=O)NC2=CC=CC=C2)C(=C(N1CCC1CC(O)CC(=O)O1)C1=CC=C(F)C=C1)C1=CC=CC=C1</t>
  </si>
  <si>
    <t>OUCSEDFVYPBLLF-UHFFFAOYSA-N</t>
  </si>
  <si>
    <t>C33H33FN2O4</t>
  </si>
  <si>
    <t>1.06_487.1051m/z</t>
  </si>
  <si>
    <t>2-(A-Hydroxyethyl)Thiamine Diphosphate</t>
  </si>
  <si>
    <t>HMDB0003904</t>
  </si>
  <si>
    <t>C05125</t>
  </si>
  <si>
    <t>ko00010,ko00020,ko00620</t>
  </si>
  <si>
    <t>Glycolysis / Gluconeogenesis|Citrate cycle (TCA cycle)|Pyruvate metabolism</t>
  </si>
  <si>
    <t>10055-47-7</t>
  </si>
  <si>
    <t>CC(O)C1=[N+](CC2=CN=C(C)N=C2N)C(C)=C(CCOP(O)(=O)OP(O)(O)=O)S1</t>
  </si>
  <si>
    <t>RRUVJGASJONMDY-UHFFFAOYSA-O</t>
  </si>
  <si>
    <t>C14H23N4O8P2S+</t>
  </si>
  <si>
    <t>3.73_531.1331m/z</t>
  </si>
  <si>
    <t>Carbamazepine-O-Quinone</t>
  </si>
  <si>
    <t>HMDB0060566</t>
  </si>
  <si>
    <t>C16606</t>
  </si>
  <si>
    <t>OC(=N)N1C2=CC=CC=C2C=CC2=CC(=O)C(=O)C=C12</t>
  </si>
  <si>
    <t>GONNJNYLBPEEPH-UHFFFAOYSA-N</t>
  </si>
  <si>
    <t>C15H10N2O3</t>
  </si>
  <si>
    <t>1.20_318.9969m/z</t>
  </si>
  <si>
    <t>Glucuronic Acid Sulfate</t>
  </si>
  <si>
    <t>HMDB0252795</t>
  </si>
  <si>
    <t>OC1OC(C(O)C(O)C1O)C(=O)OS(O)(=O)=O</t>
  </si>
  <si>
    <t>FHYMOZUISUDMFQ-UHFFFAOYSA-N</t>
  </si>
  <si>
    <t>C6H10O10S</t>
  </si>
  <si>
    <t>8.71_537.2510m/z</t>
  </si>
  <si>
    <t>Declopramide</t>
  </si>
  <si>
    <t>HMDB0250921</t>
  </si>
  <si>
    <t>CCN(CC)CCNC(=O)C1=CC=C(N)C(Cl)=C1</t>
  </si>
  <si>
    <t>YEYAKZXEBSVURO-UHFFFAOYSA-N</t>
  </si>
  <si>
    <t>C13H20ClN3O</t>
  </si>
  <si>
    <t>1.47_254.0643m/z</t>
  </si>
  <si>
    <t>Modafinil</t>
  </si>
  <si>
    <t>HMDB0014883</t>
  </si>
  <si>
    <t>68693-11-8</t>
  </si>
  <si>
    <t>NC(=O)CS(=O)C(C1=CC=CC=C1)C1=CC=CC=C1</t>
  </si>
  <si>
    <t>YFGHCGITMMYXAQ-UHFFFAOYSA-N</t>
  </si>
  <si>
    <t>C15H15NO2S</t>
  </si>
  <si>
    <t>3.59_293.1495m/z</t>
  </si>
  <si>
    <t>Dubinidine</t>
  </si>
  <si>
    <t>C10662</t>
  </si>
  <si>
    <t>22964-77-8</t>
  </si>
  <si>
    <t>CC(CO)(C1CC2=C(C3=CC=CC=C3N=C2O1)OC)O</t>
  </si>
  <si>
    <t>NETGEQWGGLFVRL-UHFFFAOYSA-N</t>
  </si>
  <si>
    <t>Dihydrofuranoquinolines</t>
  </si>
  <si>
    <t>C15H17NO4</t>
  </si>
  <si>
    <t>8.57_367.0197m/z</t>
  </si>
  <si>
    <t>1-Deoxy-L-Glycero-Tetrulose 4-Phosphate</t>
  </si>
  <si>
    <t>HMDB0304013</t>
  </si>
  <si>
    <t>C15556</t>
  </si>
  <si>
    <t>CC(=O)C(O)COP(O)(O)=O</t>
  </si>
  <si>
    <t>OKYHYXLCTGGOLM-UHFFFAOYSA-N</t>
  </si>
  <si>
    <t>C4H9O6P</t>
  </si>
  <si>
    <t>6.25_406.2584m/z</t>
  </si>
  <si>
    <t>9-F1t-Phytop</t>
  </si>
  <si>
    <t>LMFA02030012</t>
  </si>
  <si>
    <t>C(CCCCCCC[C@H](O)/C=C/[C@@H]1[C@@H](O)C[C@@H](O)[C@@H]1CC)(=O)O</t>
  </si>
  <si>
    <t>GKBLNJXQDMHILB-KYFQLVDCSA-N</t>
  </si>
  <si>
    <t>3.45_381.0802m/z</t>
  </si>
  <si>
    <t>(2s,3r,4s,5r)-3,4,5-Trihydroxy-6-Oxopiperidine-2-Carboxylic Acid</t>
  </si>
  <si>
    <t>HMDB0242545</t>
  </si>
  <si>
    <t>OC1C(O)C(NC(=O)C1O)C(O)=O</t>
  </si>
  <si>
    <t>YEWOHTVJCCDCCS-UHFFFAOYSA-N</t>
  </si>
  <si>
    <t>C6H9NO6</t>
  </si>
  <si>
    <t>5.19_168.0782m/z</t>
  </si>
  <si>
    <t>3,3'-Iminodipropionitrile</t>
  </si>
  <si>
    <t>HMDB0246005</t>
  </si>
  <si>
    <t>N#CCCNCCC#N</t>
  </si>
  <si>
    <t>SBAJRGRUGUQKAF-UHFFFAOYSA-N</t>
  </si>
  <si>
    <t>Organic cyanides</t>
  </si>
  <si>
    <t>C6H9N3</t>
  </si>
  <si>
    <t>10.42_207.0174m/z</t>
  </si>
  <si>
    <t>2-Pyrroloylglycine</t>
  </si>
  <si>
    <t>HMDB0059778</t>
  </si>
  <si>
    <t>98276-81-4</t>
  </si>
  <si>
    <t>OC(=O)CNC(=O)C1=CC=CN1</t>
  </si>
  <si>
    <t>GCBXCOXVQXMSOS-UHFFFAOYSA-N</t>
  </si>
  <si>
    <t>1.06_618.0033n</t>
  </si>
  <si>
    <t>Adp Ribose 1'',2''-Cyclic Phosphate</t>
  </si>
  <si>
    <t>HMDB0304258</t>
  </si>
  <si>
    <t>NC1=NC=NC2=C1N=CN2C1OC(COP([O-])(=O)OP([O-])(=O)OCC2OC3OP([O-])(=O)OC3C2O)C(O)C1O</t>
  </si>
  <si>
    <t>NPSPRYXPOGPCPM-UHFFFAOYSA-K</t>
  </si>
  <si>
    <t>C15H19N5O16P3-3</t>
  </si>
  <si>
    <t>8.81_307.0183m/z</t>
  </si>
  <si>
    <t>Dl-Dithiothreitol</t>
  </si>
  <si>
    <t>C00265</t>
  </si>
  <si>
    <t>3483-12-3</t>
  </si>
  <si>
    <t>C(C(C(CS)O)O)S</t>
  </si>
  <si>
    <t>VHJLVAABSRFDPM-QWWZWVQMSA-N</t>
  </si>
  <si>
    <t>C4H10O2S2</t>
  </si>
  <si>
    <t>4.90_359.1123m/z</t>
  </si>
  <si>
    <t>Quercetin 5,7,3',4'-Tetramethyl Ether</t>
  </si>
  <si>
    <t>LMPK12112771</t>
  </si>
  <si>
    <t>1245-15-4</t>
  </si>
  <si>
    <t>C1(OC)=CC2OC(C3C=C(OC)C(OC)=CC=3)=C(O)C(=O)C=2C(OC)=C1</t>
  </si>
  <si>
    <t>AAASNKNLMQBKFV-UHFFFAOYSA-N</t>
  </si>
  <si>
    <t>4.70_364.0285m/z</t>
  </si>
  <si>
    <t>Cystine-Glutamate</t>
  </si>
  <si>
    <t>HMDB0250714</t>
  </si>
  <si>
    <t>NC1CCC(=O)OOC(=O)C(N)CSSCC(N)C(=O)OOC1=O</t>
  </si>
  <si>
    <t>ZFBIIHDSTYBVID-UHFFFAOYSA-N</t>
  </si>
  <si>
    <t>C11H17N3O8S2</t>
  </si>
  <si>
    <t>4.35_629.1277m/z</t>
  </si>
  <si>
    <t>Oxfendazole</t>
  </si>
  <si>
    <t>HMDB0031812</t>
  </si>
  <si>
    <t>53716-50-0</t>
  </si>
  <si>
    <t>COC(=O)NC1=NC2=CC(=CC=C2N1)S(=O)C1=CC=CC=C1</t>
  </si>
  <si>
    <t>BEZZFPOZAYTVHN-UHFFFAOYSA-N</t>
  </si>
  <si>
    <t>C15H13N3O3S</t>
  </si>
  <si>
    <t>9.90_821.4284m/z</t>
  </si>
  <si>
    <t>Liamocin A2</t>
  </si>
  <si>
    <t>LMFA00000046</t>
  </si>
  <si>
    <t>C(CC(OC(=O)C)CC(OC(CC(O)CC(OC(CC(O)CC(O)CCCCC)=O)CCCCC)=O)CCCCC)(=O)OC[C@@H](O)[C@@H](O)[C@H](O)[C@H](O)CO</t>
  </si>
  <si>
    <t>SYHANUPLAHQNHK-WPJBVWTLSA-N</t>
  </si>
  <si>
    <t>C38H70O16</t>
  </si>
  <si>
    <t>9.27_286.2381m/z</t>
  </si>
  <si>
    <t>Methoprene Acid</t>
  </si>
  <si>
    <t>53092-52-7</t>
  </si>
  <si>
    <t>CC(CCCC(C)(C)OC)CC=CC(=CC(=O)O)C</t>
  </si>
  <si>
    <t>MNYBEULOKRVZKY-TZOAMJEDSA-N</t>
  </si>
  <si>
    <t>5.25_191.1066m/z</t>
  </si>
  <si>
    <t>Elemicin</t>
  </si>
  <si>
    <t>HMDB0033778</t>
  </si>
  <si>
    <t>C10451</t>
  </si>
  <si>
    <t>487-11-6</t>
  </si>
  <si>
    <t>COC1=CC(CC=C)=CC(OC)=C1OC</t>
  </si>
  <si>
    <t>BPLQKQKXWHCZSS-UHFFFAOYSA-N</t>
  </si>
  <si>
    <t>C12H16O3</t>
  </si>
  <si>
    <t>0.57_274.9185m/z</t>
  </si>
  <si>
    <t>1,3,5-Trithiane</t>
  </si>
  <si>
    <t>HMDB0036573</t>
  </si>
  <si>
    <t>291-21-4</t>
  </si>
  <si>
    <t>C1SCSCS1</t>
  </si>
  <si>
    <t>LORRLQMLLQLPSJ-UHFFFAOYSA-N</t>
  </si>
  <si>
    <t>C3H6S3</t>
  </si>
  <si>
    <t>12.38_353.1423m/z</t>
  </si>
  <si>
    <t>O-Ureidohomoserine</t>
  </si>
  <si>
    <t>HMDB0012271</t>
  </si>
  <si>
    <t>51767-67-0</t>
  </si>
  <si>
    <t>NC(CCONC(O)=N)C(O)=O</t>
  </si>
  <si>
    <t>SFYVZOSIAIZWQU-UHFFFAOYSA-N</t>
  </si>
  <si>
    <t>C5H11N3O4</t>
  </si>
  <si>
    <t>3.88_256.0223m/z</t>
  </si>
  <si>
    <t>4-Oxo-5-Phosphononorvaline</t>
  </si>
  <si>
    <t>HMDB0250780</t>
  </si>
  <si>
    <t>NC(CC(=O)CP(O)(O)=O)C(O)=O</t>
  </si>
  <si>
    <t>OLCWOBHEVRCMLO-UHFFFAOYSA-N</t>
  </si>
  <si>
    <t>C5H10NO6P</t>
  </si>
  <si>
    <t>10.07_992.4416m/z</t>
  </si>
  <si>
    <t>(Phe2,Orn8)-Oxytocin</t>
  </si>
  <si>
    <t>HMDB0243656</t>
  </si>
  <si>
    <t>CCC(C)C1NC(=O)C(CC2=CC=CC=C2)NC(=O)C(N)CSSCC(NC(=O)C(CC(N)=O)NC(=O)C(CCC(N)=O)NC1=O)C(=O)N1CCCC1C(=O)NC(CCCN)C(=O)NCC(N)=O</t>
  </si>
  <si>
    <t>DHMCDFJJCGVQSC-UHFFFAOYSA-N</t>
  </si>
  <si>
    <t>C42H65N13O11S2</t>
  </si>
  <si>
    <t>8.57_529.2573m/z</t>
  </si>
  <si>
    <t>LysoPA(22:5(4Z,7Z,10Z,13Z,16Z)/0:0)</t>
  </si>
  <si>
    <t>HMDB0114753</t>
  </si>
  <si>
    <t>CCCCC\C=C/C\C=C/C\C=C/C\C=C/C\C=C/CCC(=O)OCC(O)COP(O)(O)=O</t>
  </si>
  <si>
    <t>BAJTXVWXVJSULG-WMPRHZDHSA-N</t>
  </si>
  <si>
    <t>C25H41O7P</t>
  </si>
  <si>
    <t>1.15_398.0466m/z</t>
  </si>
  <si>
    <t>Daltroban</t>
  </si>
  <si>
    <t>HMDB0250836</t>
  </si>
  <si>
    <t>OC(=O)CC1=CC=C(CCNS(=O)(=O)C2=CC=C(Cl)C=C2)C=C1</t>
  </si>
  <si>
    <t>IULOBWFWYDMECP-UHFFFAOYSA-N</t>
  </si>
  <si>
    <t>C16H16ClNO4S</t>
  </si>
  <si>
    <t>4.33_305.1018m/z</t>
  </si>
  <si>
    <t>Oxypeucedanin Hydrate</t>
  </si>
  <si>
    <t>HMDB0256020</t>
  </si>
  <si>
    <t>2643-85-8</t>
  </si>
  <si>
    <t>CC(C)(O)C(O)COC1=C2C=COC2=CC2=C1C=CC(=O)O2</t>
  </si>
  <si>
    <t>PEWFWDOPJISUOK-UHFFFAOYSA-N</t>
  </si>
  <si>
    <t>C16H16O6</t>
  </si>
  <si>
    <t>4.60_411.1291m/z</t>
  </si>
  <si>
    <t>Amidinophenylpyruvic Acid</t>
  </si>
  <si>
    <t>HMDB0248299</t>
  </si>
  <si>
    <t>NC(=N)C(C(=O)C(O)=O)C1=CC=CC=C1</t>
  </si>
  <si>
    <t>MPXCPPIJRDRZES-UHFFFAOYSA-N</t>
  </si>
  <si>
    <t>C10H10N2O3</t>
  </si>
  <si>
    <t>11.40_583.4575m/z</t>
  </si>
  <si>
    <t>Dg(14:0/16:1(9z)/0:0)[Iso2]</t>
  </si>
  <si>
    <t>HMDB0007012</t>
  </si>
  <si>
    <t>LMGL02010379</t>
  </si>
  <si>
    <t>OC[C@]([H])(OC(CCCCCCC/C=C\CCCCCC)=O)COC(CCCCCCCCCCCCC)=O</t>
  </si>
  <si>
    <t>SSKSBJYFDDMVGX-QDPLMGLHSA-N</t>
  </si>
  <si>
    <t>C33H62O5</t>
  </si>
  <si>
    <t>7.56_607.2426m/z</t>
  </si>
  <si>
    <t>4-Amino-N-(4-Tert-Butylphenyl)Benzenesulfonamide</t>
  </si>
  <si>
    <t>CC(C)(C)C1=CC=C(C=C1)NS(=O)(=O)C2=CC=C(C=C2)N</t>
  </si>
  <si>
    <t>QBRHVORBTKVOQZ-UHFFFAOYSA-N</t>
  </si>
  <si>
    <t>C16H20N2O2S</t>
  </si>
  <si>
    <t>9.50_153.0698m/z</t>
  </si>
  <si>
    <t>Acenaphthylene</t>
  </si>
  <si>
    <t>HMDB0247900</t>
  </si>
  <si>
    <t>C1=CC2=C3C1=CC=CC3=CC=C2</t>
  </si>
  <si>
    <t>HXGDTGSAIMULJN-UHFFFAOYSA-N</t>
  </si>
  <si>
    <t>Acenaphthylenes</t>
  </si>
  <si>
    <t>C12H8</t>
  </si>
  <si>
    <t>10.70_379.0717m/z</t>
  </si>
  <si>
    <t>Diphacinone</t>
  </si>
  <si>
    <t>HMDB0251443</t>
  </si>
  <si>
    <t>C18698</t>
  </si>
  <si>
    <t>82-66-6</t>
  </si>
  <si>
    <t>O=C(C(C1=CC=CC=C1)C1=CC=CC=C1)C1C(=O)C2=CC=CC=C2C1=O</t>
  </si>
  <si>
    <t>JYGLAHSAISAEAL-UHFFFAOYSA-N</t>
  </si>
  <si>
    <t>C23H16O3</t>
  </si>
  <si>
    <t>1.13_398.1415m/z</t>
  </si>
  <si>
    <t>Simmondsin</t>
  </si>
  <si>
    <t>51771-52-9</t>
  </si>
  <si>
    <t>COC1CC(C(=CC#N)C(C1OC)O)OC2C(C(C(C(O2)CO)O)O)O</t>
  </si>
  <si>
    <t>KURSRHBVYUACKS-XGYNEUJOSA-N</t>
  </si>
  <si>
    <t>C16H25NO9</t>
  </si>
  <si>
    <t>3.63_208.0860m/z</t>
  </si>
  <si>
    <t>2-Methyl-6-Phenyl-3,7-Dihydroimidazo[1,2-A]Pyrazin-3-One</t>
  </si>
  <si>
    <t>HMDB0244858</t>
  </si>
  <si>
    <t>CC1=C(O)N2C=C(N=CC2=N1)C1=CC=CC=C1</t>
  </si>
  <si>
    <t>CZFAZZHPAZFANU-UHFFFAOYSA-N</t>
  </si>
  <si>
    <t>C13H11N3O</t>
  </si>
  <si>
    <t>5.73_231.1596m/z</t>
  </si>
  <si>
    <t>Undecylic Acid</t>
  </si>
  <si>
    <t>HMDB0000947</t>
  </si>
  <si>
    <t>LMFA01010011</t>
  </si>
  <si>
    <t>C17715</t>
  </si>
  <si>
    <t>112-37-8</t>
  </si>
  <si>
    <t>C(C)CCCCCCCCC(=O)O</t>
  </si>
  <si>
    <t>ZDPHROOEEOARMN-UHFFFAOYSA-N</t>
  </si>
  <si>
    <t>C11H22O2</t>
  </si>
  <si>
    <t>7.85_731.3505m/z</t>
  </si>
  <si>
    <t>Bufotenine O-Glucoside</t>
  </si>
  <si>
    <t>HMDB0029564</t>
  </si>
  <si>
    <t>64656-15-1</t>
  </si>
  <si>
    <t>CN(C)CCC1=CNC2=C1C=C(OC1OC(CO)C(O)C(O)C1O)C=C2</t>
  </si>
  <si>
    <t>GNUFCIHWKPAEBF-UHFFFAOYSA-N</t>
  </si>
  <si>
    <t>C18H26N2O6</t>
  </si>
  <si>
    <t>1.20_265.0779m/z</t>
  </si>
  <si>
    <t>6-Formylindolo [3,2-B] Carbazole</t>
  </si>
  <si>
    <t>172922-91-7</t>
  </si>
  <si>
    <t>C1=CC=C2C(=C1)C3=CC4=C(C5=CC=CC=C5N4)C(=C3N2)C=O</t>
  </si>
  <si>
    <t>ZUDXFBWDXVNRKF-UHFFFAOYSA-N</t>
  </si>
  <si>
    <t>C19H12N2O</t>
  </si>
  <si>
    <t>5.15_435.0935m/z</t>
  </si>
  <si>
    <t>Bicyclol</t>
  </si>
  <si>
    <t>HMDB0249191</t>
  </si>
  <si>
    <t>COC(=O)C1=CC(OC)=C2OCOC2=C1C1=C2OCOC2=C(OC)C=C1CO</t>
  </si>
  <si>
    <t>KXMTXZACPVCDMH-UHFFFAOYSA-N</t>
  </si>
  <si>
    <t>C19H18O9</t>
  </si>
  <si>
    <t>1.67_487.2022m/z</t>
  </si>
  <si>
    <t>N-(2-(3-(Piperazin-1-Ylmethyl)Imidazo[2,1-B]Thiazol-6-Yl)Phenyl)Quinoxaline-2-Carboxamide</t>
  </si>
  <si>
    <t>HMDB0247660</t>
  </si>
  <si>
    <t>925434-55-5</t>
  </si>
  <si>
    <t>OC(=NC1=CC=CC=C1C1=CN2C(CN3CCNCC3)=CSC2=N1)C1=NC2=CC=CC=C2N=C1</t>
  </si>
  <si>
    <t>IASPBORHOMBZMY-UHFFFAOYSA-N</t>
  </si>
  <si>
    <t>C25H23N7OS</t>
  </si>
  <si>
    <t>5.17_421.2443m/z</t>
  </si>
  <si>
    <t>Bhas#22</t>
  </si>
  <si>
    <t>LMFA13040013</t>
  </si>
  <si>
    <t>O([C@@H](CCCCCCCC[C@@H](O)CC(=O)O)C)[C@H]1[C@H](O)C[C@@H](O)[C@H](C)O1</t>
  </si>
  <si>
    <t>ARJGFPSUJRWUSF-CQQDWVGSSA-N</t>
  </si>
  <si>
    <t>C19H36O7</t>
  </si>
  <si>
    <t>1.44_178.1227m/z</t>
  </si>
  <si>
    <t>Ethcathinone</t>
  </si>
  <si>
    <t>51553-17-4</t>
  </si>
  <si>
    <t>CCNC(C)C(=O)C1=CC=CC=C1</t>
  </si>
  <si>
    <t>LYMHIBZGTAPASQ-UHFFFAOYSA-N</t>
  </si>
  <si>
    <t>5.35_368.1624n</t>
  </si>
  <si>
    <t>Quercetol C</t>
  </si>
  <si>
    <t>LMPK12140180</t>
  </si>
  <si>
    <t>C1C(OC)=C(/C=C/C(O)(C)C)C2OC(C3C=CC=CC=3)CC(=O)C=2C=1OC</t>
  </si>
  <si>
    <t>DKYFESWWIPJYTA-ZHACJKMWSA-N</t>
  </si>
  <si>
    <t>5.82_431.2283m/z</t>
  </si>
  <si>
    <t>10,11-Dihydro-20-Trihydroxy-Leukotriene B4</t>
  </si>
  <si>
    <t>HMDB0012503</t>
  </si>
  <si>
    <t>LMFA03020044</t>
  </si>
  <si>
    <t>O([H])[C@@]([H])(C([H])([H])/C(/[H])=C(/[H])\C([H])([H])C([H])([H])C([H])([H])C([H])([H])C(O[H])(O[H])O[H])C([H])([H])C([H])([H])/C(/[H])=C(\[H])/C(/[H])=C(/[H])\[C@@]([H])(C([H])([H])C([H])([H])C([H])([H])C(=O)O[H])O[H]</t>
  </si>
  <si>
    <t>LSVHZFZMMXHHBS-MNBASXMYSA-N</t>
  </si>
  <si>
    <t>8.80_121.0646m/z</t>
  </si>
  <si>
    <t>4-Methylbenzaldehyde</t>
  </si>
  <si>
    <t>HMDB0029638</t>
  </si>
  <si>
    <t>C06758</t>
  </si>
  <si>
    <t>104-87-0</t>
  </si>
  <si>
    <t>CC1=CC=C(C=O)C=C1</t>
  </si>
  <si>
    <t>FXLOVSHXALFLKQ-UHFFFAOYSA-N</t>
  </si>
  <si>
    <t>4.55_201.1637m/z</t>
  </si>
  <si>
    <t>Muurolladie-3-One</t>
  </si>
  <si>
    <t>CC1=CCC(C2C1CC(=O)C(=C2)C)C(C)C</t>
  </si>
  <si>
    <t>LMILVXQXGKTFSZ-UHFFFAOYSA-N</t>
  </si>
  <si>
    <t>C15H22O</t>
  </si>
  <si>
    <t>1.15_230.0665m/z</t>
  </si>
  <si>
    <t>2-Aminobicyclo[3.1.0]Hexane-2,6-Dicarboxylic Acid</t>
  </si>
  <si>
    <t>HMDB0244794</t>
  </si>
  <si>
    <t>NC1(CCC2C(C12)C(O)=O)C(O)=O</t>
  </si>
  <si>
    <t>VTAARTQTOOYTES-UHFFFAOYSA-N</t>
  </si>
  <si>
    <t>C8H11NO4</t>
  </si>
  <si>
    <t>11.10_309.1740m/z</t>
  </si>
  <si>
    <t>8-O-Methyloblongine</t>
  </si>
  <si>
    <t>HMDB0034579</t>
  </si>
  <si>
    <t>152230-58-5</t>
  </si>
  <si>
    <t>COC1=C(OC)C2=C(CC[N+](C)(C)C2CC2=CC=C(O)C=C2)C=C1</t>
  </si>
  <si>
    <t>QZJMBSSODVCTRD-UHFFFAOYSA-O</t>
  </si>
  <si>
    <t>C20H26NO3+</t>
  </si>
  <si>
    <t>4.93_623.2122m/z</t>
  </si>
  <si>
    <t>4-(1-(2-Fluoro-4-Biphenyl)Ethyl)-2-Methylaminothiazole</t>
  </si>
  <si>
    <t>HMDB0258341</t>
  </si>
  <si>
    <t>CNC1=NC(=CS1)C(C)C1=CC(F)=C(C=C1)C1=CC=CC=C1</t>
  </si>
  <si>
    <t>ZTFDMDJGJVUYQE-UHFFFAOYSA-N</t>
  </si>
  <si>
    <t>C18H17FN2S</t>
  </si>
  <si>
    <t>4.67_372.1662m/z</t>
  </si>
  <si>
    <t>3,4-Dimethylideneheptanedioylcarnitine</t>
  </si>
  <si>
    <t>HMDB0241054</t>
  </si>
  <si>
    <t>C[N+](C)(C)CC(CC([O-])=O)OC(=O)CC(=C)C(=C)CCC(O)=O</t>
  </si>
  <si>
    <t>HPBQKMKACJFFPB-UHFFFAOYSA-N</t>
  </si>
  <si>
    <t>C16H25NO6</t>
  </si>
  <si>
    <t>4.28_213.1637m/z</t>
  </si>
  <si>
    <t>13z,15-Hexadecadiene-2,4-Diyne-1-Ol</t>
  </si>
  <si>
    <t>LMFA05000742</t>
  </si>
  <si>
    <t>OCC#CC#CCCCCCCC/C=C\C=C</t>
  </si>
  <si>
    <t>SQHFYPMZLFCNGF-ARJAWSKDSA-N</t>
  </si>
  <si>
    <t>C16H22O</t>
  </si>
  <si>
    <t>2.13_191.0153m/z</t>
  </si>
  <si>
    <t>1-Naphthalenesulfonic Acid</t>
  </si>
  <si>
    <t>HMDB0243955</t>
  </si>
  <si>
    <t>C16201</t>
  </si>
  <si>
    <t>85-47-2</t>
  </si>
  <si>
    <t>OS(=O)(=O)C1=CC=CC2=CC=CC=C12</t>
  </si>
  <si>
    <t>PSZYNBSKGUBXEH-UHFFFAOYSA-N</t>
  </si>
  <si>
    <t>C10H8O3S</t>
  </si>
  <si>
    <t>3.73_438.1163n</t>
  </si>
  <si>
    <t>Odontoside</t>
  </si>
  <si>
    <t>C1=CC(=C(C=C1COC(=O)C2=CC(=C(C=C2)O)O)O)OC3C(C(C(C(O3)CO)O)O)O</t>
  </si>
  <si>
    <t>MFOVLHFTNQGRLH-JNIAIEOXSA-N</t>
  </si>
  <si>
    <t>C20H22O11</t>
  </si>
  <si>
    <t>4.95_643.1612m/z</t>
  </si>
  <si>
    <t>Vulpinic Acid</t>
  </si>
  <si>
    <t>521-52-8</t>
  </si>
  <si>
    <t>COC(=O)C(=C1C(=C(C(=O)O1)C2=CC=CC=C2)O)C3=CC=CC=C3</t>
  </si>
  <si>
    <t>OMZRMXULWNMRAE-BMRADRMJSA-N</t>
  </si>
  <si>
    <t>C19H14O5</t>
  </si>
  <si>
    <t>0.74_194.0622m/z</t>
  </si>
  <si>
    <t>Fluparoxan</t>
  </si>
  <si>
    <t>HMDB0252395</t>
  </si>
  <si>
    <t>FC1=CC=CC2=C1OC1CNCC1O2</t>
  </si>
  <si>
    <t>XSOUHEXVEOQRKJ-UHFFFAOYSA-N</t>
  </si>
  <si>
    <t>C10H10FNO2</t>
  </si>
  <si>
    <t>10.19_333.1353m/z</t>
  </si>
  <si>
    <t>(2e)-2-Butylidene-4-Hydroxy-5-Methyl-3(2h)-Furanone</t>
  </si>
  <si>
    <t>HMDB0303965</t>
  </si>
  <si>
    <t>CCCC=C1OC(C)=C([O-])C1=O</t>
  </si>
  <si>
    <t>JJPKPKGALPXILL-UHFFFAOYSA-M</t>
  </si>
  <si>
    <t>C9H11O3-</t>
  </si>
  <si>
    <t>3.71_437.1573m/z</t>
  </si>
  <si>
    <t>Mibampator</t>
  </si>
  <si>
    <t>HMDB0254701</t>
  </si>
  <si>
    <t>CC(C)S(=O)(=O)NCC(C)C1=CC=C(C=C1)C1=CC=C(CCNS(C)(=O)=O)C=C1</t>
  </si>
  <si>
    <t>ULRDYYKSPCRXAJ-UHFFFAOYSA-N</t>
  </si>
  <si>
    <t>C21H30N2O4S2</t>
  </si>
  <si>
    <t>9.65_119.0832m/z</t>
  </si>
  <si>
    <t>Methylenecyclohexane</t>
  </si>
  <si>
    <t>HMDB0254637</t>
  </si>
  <si>
    <t>C=C1CCCCC1</t>
  </si>
  <si>
    <t>YULMNMJFAZWLLN-UHFFFAOYSA-N</t>
  </si>
  <si>
    <t>C7H12</t>
  </si>
  <si>
    <t>4.22_419.1124m/z</t>
  </si>
  <si>
    <t>Etofylline Clofibrate</t>
  </si>
  <si>
    <t>HMDB0252112</t>
  </si>
  <si>
    <t>CN1C2=C(N(CCOC(=O)C(C)(C)OC3=CC=C(Cl)C=C3)C=N2)C(=O)N(C)C1=O</t>
  </si>
  <si>
    <t>KYAKGJDISSNVPZ-UHFFFAOYSA-N</t>
  </si>
  <si>
    <t>C19H21ClN4O5</t>
  </si>
  <si>
    <t>12.39_429.1945m/z</t>
  </si>
  <si>
    <t>Ptilosteroid B</t>
  </si>
  <si>
    <t>LMST02030213</t>
  </si>
  <si>
    <t>C1[C@]2(C)[C@@]3([H])CC[C@]4(C)[C@@]([H])(C=C)[C@@H](O)C[C@@]4([H])[C@]3([H])CC[C@@]2([H])[C@@H](O)[C@@H](O)[C@H]1OS(O)(=O)=O</t>
  </si>
  <si>
    <t>PALXRPIPFWOBFC-QCNKIUQCSA-N</t>
  </si>
  <si>
    <t>C21H34O7S</t>
  </si>
  <si>
    <t>10.15_105.0336m/z</t>
  </si>
  <si>
    <t>Benzoic Acid</t>
  </si>
  <si>
    <t>HMDB0001870</t>
  </si>
  <si>
    <t>C00539</t>
  </si>
  <si>
    <t>65-85-0</t>
  </si>
  <si>
    <t>OC(=O)C1=CC=CC=C1</t>
  </si>
  <si>
    <t>WPYMKLBDIGXBTP-UHFFFAOYSA-N</t>
  </si>
  <si>
    <t>5.45_273.1128m/z</t>
  </si>
  <si>
    <t>Nabumetone</t>
  </si>
  <si>
    <t>HMDB0014604</t>
  </si>
  <si>
    <t>C07237</t>
  </si>
  <si>
    <t>42924-53-8</t>
  </si>
  <si>
    <t>COC1=CC2=C(C=C1)C=C(CCC(C)=O)C=C2</t>
  </si>
  <si>
    <t>BLXXJMDCKKHMKV-UHFFFAOYSA-N</t>
  </si>
  <si>
    <t>3.75_287.0682m/z</t>
  </si>
  <si>
    <t>2-Amino-5-Nitrobenzophenone</t>
  </si>
  <si>
    <t>1775-95-7</t>
  </si>
  <si>
    <t>C1=CC=C(C=C1)C(=O)C2=C(C=CC(=C2)[N+](=O)[O-])N</t>
  </si>
  <si>
    <t>PZPZDEIASIKHPY-UHFFFAOYSA-N</t>
  </si>
  <si>
    <t>4.06_327.0980m/z</t>
  </si>
  <si>
    <t>3-(Hydroxymethyl)-5,5-Diphenylimidazolidine-2,4-Dione</t>
  </si>
  <si>
    <t>HMDB0245789</t>
  </si>
  <si>
    <t>OCN1C(=O)NC(C1=O)(C1=CC=CC=C1)C1=CC=CC=C1</t>
  </si>
  <si>
    <t>QQBKLRXLVRDKEB-UHFFFAOYSA-N</t>
  </si>
  <si>
    <t>C16H14N2O3</t>
  </si>
  <si>
    <t>4.95_331.1287m/z</t>
  </si>
  <si>
    <t>Avenanthramide 1f</t>
  </si>
  <si>
    <t>HMDB0029283</t>
  </si>
  <si>
    <t>COC1=C(O)C=CC(\C=C\C(=O)NC2=CC=CC=C2C(O)=O)=C1</t>
  </si>
  <si>
    <t>FSKJPXSYWQUVGO-VQHVLOKHSA-N</t>
  </si>
  <si>
    <t>C17H15NO5</t>
  </si>
  <si>
    <t>4.03_597.2183m/z</t>
  </si>
  <si>
    <t>Prupaside</t>
  </si>
  <si>
    <t>HMDB0038951</t>
  </si>
  <si>
    <t>126882-52-8</t>
  </si>
  <si>
    <t>COC1=CC(CC2COC(C2COC2OCC(O)C(O)C2O)C2=CC(OC)=C(O)C(OC)=C2)=CC(OC)=C1O</t>
  </si>
  <si>
    <t>GLRJVMYTCIKGGK-UHFFFAOYSA-N</t>
  </si>
  <si>
    <t>C27H36O12</t>
  </si>
  <si>
    <t>0.71_277.0502m/z</t>
  </si>
  <si>
    <t>Fluorescamine</t>
  </si>
  <si>
    <t>HMDB0252357</t>
  </si>
  <si>
    <t>O=C1OC2(OC=C(C2=O)C2=CC=CC=C2)C2=CC=CC=C12</t>
  </si>
  <si>
    <t>ZFKJVJIDPQDDFY-UHFFFAOYSA-N</t>
  </si>
  <si>
    <t>C17H10O4</t>
  </si>
  <si>
    <t>3.82_421.1348m/z</t>
  </si>
  <si>
    <t>6-Carboxy-5,6,7,8-Tetrahydropterin</t>
  </si>
  <si>
    <t>HMDB0060410</t>
  </si>
  <si>
    <t>C20239</t>
  </si>
  <si>
    <t>NC1=NC2=C(NC(CN2)C(O)=O)C(=O)N1</t>
  </si>
  <si>
    <t>QSIYONWVWDSRRO-UHFFFAOYSA-N</t>
  </si>
  <si>
    <t>C7H9N5O3</t>
  </si>
  <si>
    <t>7.97_493.2216m/z</t>
  </si>
  <si>
    <t>Gepotidacin</t>
  </si>
  <si>
    <t>HMDB0252699</t>
  </si>
  <si>
    <t>O=C1C=CC2=C3N1CC(CN1CCC(CC1)NCC1=NC=C4OCCCC4=C1)N3C(=O)C=N2</t>
  </si>
  <si>
    <t>PZFAZQUREQIODZ-UHFFFAOYSA-N</t>
  </si>
  <si>
    <t>C24H28N6O3</t>
  </si>
  <si>
    <t>6.95_363.0278m/z</t>
  </si>
  <si>
    <t>1,2-Dinitroglycerin</t>
  </si>
  <si>
    <t>HMDB0244085</t>
  </si>
  <si>
    <t>621-65-8</t>
  </si>
  <si>
    <t>OCC(CO[N+]([O-])=O)O[N+]([O-])=O</t>
  </si>
  <si>
    <t>GFVHBTOOPNJKLV-UHFFFAOYSA-N</t>
  </si>
  <si>
    <t>C3H6N2O7</t>
  </si>
  <si>
    <t>4.84_447.0397m/z</t>
  </si>
  <si>
    <t>1-Naphthyl Phosphate</t>
  </si>
  <si>
    <t>HMDB0243962</t>
  </si>
  <si>
    <t>OP(O)(=O)OC1=CC=CC2=CC=CC=C12</t>
  </si>
  <si>
    <t>YNXICDMQCQPQEW-UHFFFAOYSA-N</t>
  </si>
  <si>
    <t>C10H9O4P</t>
  </si>
  <si>
    <t>0.77_137.0808m/z</t>
  </si>
  <si>
    <t>2-Methylerythritol</t>
  </si>
  <si>
    <t>HMDB0011659</t>
  </si>
  <si>
    <t>93921-83-6</t>
  </si>
  <si>
    <t>CC(O)(CO)[C@@H](O)CO</t>
  </si>
  <si>
    <t>HGVJFBSSLICXEM-CRCLSJGQSA-N</t>
  </si>
  <si>
    <t>C5H12O4</t>
  </si>
  <si>
    <t>4.57_227.1793m/z</t>
  </si>
  <si>
    <t>(8e,15e)-1,8,15-Heptadecatriene-11,13-Diyne</t>
  </si>
  <si>
    <t>HMDB0031041</t>
  </si>
  <si>
    <t>28834-02-8</t>
  </si>
  <si>
    <t>C\C=C/C#CC#CC\C=C\CCCCCC=C</t>
  </si>
  <si>
    <t>OJWVHJFAQCYGMT-LPMQCFACSA-N</t>
  </si>
  <si>
    <t>C17H22</t>
  </si>
  <si>
    <t>4.46_296.1492m/z</t>
  </si>
  <si>
    <t>3,4-Dimethylidenehexanedioylcarnitine</t>
  </si>
  <si>
    <t>HMDB0241045</t>
  </si>
  <si>
    <t>C[N+](C)(C)CC(CC([O-])=O)OC(=O)CC(=C)C(=C)CC(O)=O</t>
  </si>
  <si>
    <t>XXTUWWLXGAVNDF-UHFFFAOYSA-N</t>
  </si>
  <si>
    <t>C15H23NO6</t>
  </si>
  <si>
    <t>1.06_120.0786n</t>
  </si>
  <si>
    <t>1,3,4-Pentanetriol</t>
  </si>
  <si>
    <t>HMDB0244182</t>
  </si>
  <si>
    <t>CC(O)C(O)CCO</t>
  </si>
  <si>
    <t>ANUUQAHHEZMTAS-UHFFFAOYSA-N</t>
  </si>
  <si>
    <t>C5H12O3</t>
  </si>
  <si>
    <t>4.97_527.1173m/z</t>
  </si>
  <si>
    <t>Zilascorb</t>
  </si>
  <si>
    <t>HMDB0260006</t>
  </si>
  <si>
    <t>OC1=C(O)C(=O)OC1C1COC(O1)C1=CC=CC=C1</t>
  </si>
  <si>
    <t>SWTGJCNCBUCXSS-UHFFFAOYSA-N</t>
  </si>
  <si>
    <t>C13H12O6</t>
  </si>
  <si>
    <t>3.44_309.1444m/z</t>
  </si>
  <si>
    <t>Iprofenin</t>
  </si>
  <si>
    <t>HMDB0253569</t>
  </si>
  <si>
    <t>CC(C)C1=CC=C(NC(=O)CN(CC(O)=O)CC(O)=O)C=C1</t>
  </si>
  <si>
    <t>FPTRWYHXARAFPO-UHFFFAOYSA-N</t>
  </si>
  <si>
    <t>2.18_467.2132m/z</t>
  </si>
  <si>
    <t>5-(4-Carboxybutylperoxy)Pentanoic Acid</t>
  </si>
  <si>
    <t>HMDB0260291</t>
  </si>
  <si>
    <t>OC(=O)CCCCOOCCCCC(O)=O</t>
  </si>
  <si>
    <t>WZZXAARUCQTXAZ-UHFFFAOYSA-N</t>
  </si>
  <si>
    <t>C10H18O6</t>
  </si>
  <si>
    <t>8.54_329.0037m/z</t>
  </si>
  <si>
    <t>Pyrroloquinoline Quinone</t>
  </si>
  <si>
    <t>HMDB0013636</t>
  </si>
  <si>
    <t>C00113</t>
  </si>
  <si>
    <t>72909-34-3</t>
  </si>
  <si>
    <t>OC(=O)C1=CC2=C(N1)C1=C(N=C(C=C1C(O)=O)C(O)=O)C(=O)C2=O</t>
  </si>
  <si>
    <t>MMXZSJMASHPLLR-UHFFFAOYSA-N</t>
  </si>
  <si>
    <t>Pyrroloquinolines</t>
  </si>
  <si>
    <t>C14H6N2O8</t>
  </si>
  <si>
    <t>3.69_660.1723m/z</t>
  </si>
  <si>
    <t>Pelargonidin 3,5-Di-(6-Acetylglucoside)</t>
  </si>
  <si>
    <t>LMPK12010045</t>
  </si>
  <si>
    <t>C1(O)=CC2[O+]=C(C3C=CC(O)=CC=3)C(O[C@H]3[C@H](O)[C@@H](O)[C@H](O)[C@@H](COC(C)=O)O3)=CC=2C(O[C@H]2[C@H](O)[C@@H](O)[C@H](O)[C@@H](COC(=O)C)O2)=C1</t>
  </si>
  <si>
    <t>MKERTHRUMOZXAQ-LWXMCBIJSA-O</t>
  </si>
  <si>
    <t>C31H35O17+</t>
  </si>
  <si>
    <t>5.94_479.2645m/z</t>
  </si>
  <si>
    <t>Mycinonic Acid Iii</t>
  </si>
  <si>
    <t>LMFA01020444</t>
  </si>
  <si>
    <t>C(=C/C(=O)[C@@H](C(=O)O)C)\C=C\[C@H](C)[C@H](O)CC</t>
  </si>
  <si>
    <t>BMTLPJXRTRRHHH-RRMMGMBQSA-N</t>
  </si>
  <si>
    <t>C13H20O4</t>
  </si>
  <si>
    <t>4.22_289.0352m/z</t>
  </si>
  <si>
    <t>Urolithin C</t>
  </si>
  <si>
    <t>HMDB0029218</t>
  </si>
  <si>
    <t>OC1=CC2=C(C=C1)C1=C(C=C(O)C(O)=C1)C(=O)O2</t>
  </si>
  <si>
    <t>HHXMEXZVPJFAIJ-UHFFFAOYSA-N</t>
  </si>
  <si>
    <t>C13H8O5</t>
  </si>
  <si>
    <t>4.63_441.1037m/z</t>
  </si>
  <si>
    <t>L-Histidinol-Phosphate</t>
  </si>
  <si>
    <t>HMDB0304403</t>
  </si>
  <si>
    <t>C01100</t>
  </si>
  <si>
    <t>25680-11-9</t>
  </si>
  <si>
    <t>N[C@H](COP(O)(O)=O)CC1=CNC=N1</t>
  </si>
  <si>
    <t>CWNDERHTHMWBSI-YFKPBYRVSA-N</t>
  </si>
  <si>
    <t>C6H12N3O4P</t>
  </si>
  <si>
    <t>4.10_583.1222m/z</t>
  </si>
  <si>
    <t>Rheidin C</t>
  </si>
  <si>
    <t>HMDB0038508</t>
  </si>
  <si>
    <t>COC1=CC2=C(C(O)=C1)C(=O)C1=C(C=C(C)C=C1O)C2C1C2=C(C(O)=CC=C2)C(=O)C2=C1C=C(C=C2O)C(O)=O</t>
  </si>
  <si>
    <t>NJQDJYRXLQEGRB-UHFFFAOYSA-N</t>
  </si>
  <si>
    <t>C31H22O9</t>
  </si>
  <si>
    <t>9.37_461.2310m/z</t>
  </si>
  <si>
    <t>CPA(18:2(9Z,12Z)/0:0)</t>
  </si>
  <si>
    <t>HMDB0007007</t>
  </si>
  <si>
    <t>CCCCC\C=C/C\C=C/CCCCCCCC(=O)OCC1COP(O)(=O)O1</t>
  </si>
  <si>
    <t>AZRMIMGGEACCGU-HZJYTTRNSA-N</t>
  </si>
  <si>
    <t>C21H37O6P</t>
  </si>
  <si>
    <t>3.59_279.1341m/z</t>
  </si>
  <si>
    <t>Ethyl 1-Benzyl-3-Hydroxy- 2-Oxo[5h]Pyrrole-4-Carboxylate</t>
  </si>
  <si>
    <t>CCOC(=O)C1=C(C(=O)N(C1)CC2=CC=CC=C2)O</t>
  </si>
  <si>
    <t>IGYRPDIWSYGHMY-UHFFFAOYSA-N</t>
  </si>
  <si>
    <t>Pyrrolines</t>
  </si>
  <si>
    <t>Pyrroline carboxylic acids and derivatives</t>
  </si>
  <si>
    <t>C14H15NO4</t>
  </si>
  <si>
    <t>0.81_382.0191m/z</t>
  </si>
  <si>
    <t>[(2s)-1-(4-Amino-2-Oxopyrimidin-1-Yl)-3-Hydroxypropan-2-Yl]Oxymethyl-Phosphonooxyphosphinic Acid</t>
  </si>
  <si>
    <t>HMDB0250239</t>
  </si>
  <si>
    <t>NC1=NC(=O)N(CC(CO)OCP(O)(=O)OP(O)(O)=O)C=C1</t>
  </si>
  <si>
    <t>SZWFTLGNTAKMDI-UHFFFAOYSA-N</t>
  </si>
  <si>
    <t>C8H15N3O9P2</t>
  </si>
  <si>
    <t>10.23_200.1210m/z</t>
  </si>
  <si>
    <t>(R)-Methylphosphonofluoridic Acid 1,2,2-Trimethylpropyl Ester</t>
  </si>
  <si>
    <t>HMDB0249500</t>
  </si>
  <si>
    <t>C07494</t>
  </si>
  <si>
    <t>96-64-0</t>
  </si>
  <si>
    <t>CC(OP(C)(F)=O)C(C)(C)C</t>
  </si>
  <si>
    <t>GRXKLBBBQUKJJZ-UHFFFAOYSA-N</t>
  </si>
  <si>
    <t>Phosphonic acid esters</t>
  </si>
  <si>
    <t>C7H16FO2P</t>
  </si>
  <si>
    <t>4.65_278.1031m/z</t>
  </si>
  <si>
    <t>1-(1,3-Benzodioxol-5-Ylcarbonyl)Piperidine</t>
  </si>
  <si>
    <t>HMDB0243831</t>
  </si>
  <si>
    <t>O=C(N1CCCCC1)C1=CC2=C(OCO2)C=C1</t>
  </si>
  <si>
    <t>BXBNADAPIHHXJQ-UHFFFAOYSA-N</t>
  </si>
  <si>
    <t>N-acylpiperidines</t>
  </si>
  <si>
    <t>C13H15NO3</t>
  </si>
  <si>
    <t>11.49_831.1763m/z</t>
  </si>
  <si>
    <t>Kaempferol 3-Sophoroside 7-Glucuronide</t>
  </si>
  <si>
    <t>HMDB0038769</t>
  </si>
  <si>
    <t>140163-56-0</t>
  </si>
  <si>
    <t>OCC1OC(OC2C(O)C(O)C(CO)OC2OC2=C(OC3=CC(OC4OC(C(O)C(O)C4O)C(O)=O)=CC(O)=C3C2=O)C2=CC=C(O)C=C2)C(O)C(O)C1O</t>
  </si>
  <si>
    <t>BMGVSLWMOUPXTF-UHFFFAOYSA-N</t>
  </si>
  <si>
    <t>C33H38O22</t>
  </si>
  <si>
    <t>12.07_667.4425m/z</t>
  </si>
  <si>
    <t>(20r)-Ginsenoside Rh2</t>
  </si>
  <si>
    <t>HMDB0039544</t>
  </si>
  <si>
    <t>78214-33-2</t>
  </si>
  <si>
    <t>CC(C)=CCCC(C)(O)C1CCC2(C)C1C(O)CC1C3(C)CCC(OC4OC(CO)C(O)C(O)C4O)C(C)(C)C3CCC21C</t>
  </si>
  <si>
    <t>CKUVNOCSBYYHIS-UHFFFAOYSA-N</t>
  </si>
  <si>
    <t>13.24_583.3152m/z</t>
  </si>
  <si>
    <t>SQMG(18:0/0:0)</t>
  </si>
  <si>
    <t>LMGL04010015</t>
  </si>
  <si>
    <t>[C@](CO[C@@H]1[C@H](O)[C@@H](O)[C@H](O)[C@@H](CS(O)(=O)=O)O1)([H])(O)COC(=O)CCCCCCCCCCCCCCCCC</t>
  </si>
  <si>
    <t>NVKWDWTYDRPVNY-VZJUQIMDSA-N</t>
  </si>
  <si>
    <t>C27H52O11S</t>
  </si>
  <si>
    <t>4.45_183.0289m/z</t>
  </si>
  <si>
    <t>Ethyl Aconitate</t>
  </si>
  <si>
    <t>HMDB0040275</t>
  </si>
  <si>
    <t>1321-30-8</t>
  </si>
  <si>
    <t>CCOC(=O)\C=C(\CC(O)=O)C(O)=O</t>
  </si>
  <si>
    <t>ANIDMCPGEUWERH-PLNGDYQASA-N</t>
  </si>
  <si>
    <t>C8H10O6</t>
  </si>
  <si>
    <t>4.54_863.1822m/z</t>
  </si>
  <si>
    <t>Epicatechin-(4beta-&gt;6)-Epicatechin-(2beta-&gt;7,4beta-&gt;8)-Epicatechin</t>
  </si>
  <si>
    <t>HMDB0035504</t>
  </si>
  <si>
    <t>OC1CC2=C(OC1C1=CC(O)=C(O)C=C1)C1=C(OC3(OC4=C(C1C3O)C(O)=C(C1C(O)C(OC3=CC(O)=CC(O)=C13)C1=CC(O)=C(O)C=C1)C(O)=C4)C1=CC(O)=C(O)C=C1)C=C2O</t>
  </si>
  <si>
    <t>SSOWHRNCDFFKAK-UHFFFAOYSA-N</t>
  </si>
  <si>
    <t>C45H36O18</t>
  </si>
  <si>
    <t>5.32_303.0497m/z</t>
  </si>
  <si>
    <t>2-(2-Nitroimidazol-1-Yl)-N-(2,2,3,3,3-Pentafluoropropyl)Acetamide</t>
  </si>
  <si>
    <t>HMDB0251710</t>
  </si>
  <si>
    <t>[O-][N+](=O)C1=NC=CN1CC(=O)NCC(F)(F)C(F)(F)F</t>
  </si>
  <si>
    <t>JGGDSDPOPRWSCX-UHFFFAOYSA-N</t>
  </si>
  <si>
    <t>C8H7F5N4O3</t>
  </si>
  <si>
    <t>5.75_591.1729m/z</t>
  </si>
  <si>
    <t>4-Carboxynevirapine</t>
  </si>
  <si>
    <t>HMDB0060759</t>
  </si>
  <si>
    <t>OC(=O)C1=CC=NC2=C1NC(=O)C1=CC=CN=C1N2C1CC1</t>
  </si>
  <si>
    <t>WDXCMIDQWGYHIN-UHFFFAOYSA-N</t>
  </si>
  <si>
    <t>C15H12N4O3</t>
  </si>
  <si>
    <t>5.84_347.1167m/z</t>
  </si>
  <si>
    <t>Chelerythrine</t>
  </si>
  <si>
    <t>3895-92-9</t>
  </si>
  <si>
    <t>C[N+]1=C2C(=C3C=CC(=C(C3=C1)OC)OC)C=CC4=CC5=C(C=C42)OCO5</t>
  </si>
  <si>
    <t>LLEJIEBFSOEYIV-UHFFFAOYSA-N</t>
  </si>
  <si>
    <t>Quaternary benzophenanthridine alkaloids</t>
  </si>
  <si>
    <t>C21H18NO4+</t>
  </si>
  <si>
    <t>6.46_307.1549m/z</t>
  </si>
  <si>
    <t>15-Deacetylcalonectrin</t>
  </si>
  <si>
    <t>HMDB0035724</t>
  </si>
  <si>
    <t>38818-66-5</t>
  </si>
  <si>
    <t>CC(=O)OC1CC2(C)C3(CO3)C1OC1C=C(C)CCC21CO</t>
  </si>
  <si>
    <t>DFPPNUOWRKIOKO-UHFFFAOYSA-N</t>
  </si>
  <si>
    <t>7.99_189.0913m/z</t>
  </si>
  <si>
    <t>(Z)-3-Oxo-2-(2-Pentenyl)-1-Cyclopenteneacetic Acid</t>
  </si>
  <si>
    <t>HMDB0030197</t>
  </si>
  <si>
    <t>120282-76-0</t>
  </si>
  <si>
    <t>CC\C=C\CC1=C(CC(O)=O)CCC1=O</t>
  </si>
  <si>
    <t>QAAHGFINENUHAR-ONEGZZNKSA-N</t>
  </si>
  <si>
    <t>8.38_583.1233m/z</t>
  </si>
  <si>
    <t>Methyl 3,4-Dicaffeoylquinate</t>
  </si>
  <si>
    <t>HMDB0037093</t>
  </si>
  <si>
    <t>345642-66-2</t>
  </si>
  <si>
    <t>COC(=O)C1(O)CC(O)C(OC(=O)\C=C/C2=CC(OC)=C(O)C=C2)C(C1)OC(=O)\C=C/C1=CC(O)=C(O)C=C1</t>
  </si>
  <si>
    <t>RTLCSWCXZWROFK-OZDSWYPASA-N</t>
  </si>
  <si>
    <t>C27H28O12</t>
  </si>
  <si>
    <t>9.80_375.2175m/z</t>
  </si>
  <si>
    <t>Delta8-11-Neurof</t>
  </si>
  <si>
    <t>LMFA04020003</t>
  </si>
  <si>
    <t>C(CC/C=C\CC(O)/C=C/C(O)C1OC(C/C=C\C/C=C\CC)C(O)C1)(=O)O</t>
  </si>
  <si>
    <t>DPCRYGHFKCOZPI-UGCWMZKCSA-N</t>
  </si>
  <si>
    <t>9.80_439.3320m/z</t>
  </si>
  <si>
    <t>N-Docosahexaenoyl Lysine</t>
  </si>
  <si>
    <t>HMDB0242018</t>
  </si>
  <si>
    <t>CCC=CCC=CCC=CCC=CCC=CCC=CCCC(=O)NC(CCCCN)C(O)=O</t>
  </si>
  <si>
    <t>BHNFJIKHRDWGLL-UHFFFAOYSA-N</t>
  </si>
  <si>
    <t>C28H44N2O3</t>
  </si>
  <si>
    <t>Average(CK)</t>
    <phoneticPr fontId="2" type="noConversion"/>
  </si>
  <si>
    <t>Average()</t>
    <phoneticPr fontId="2" type="noConversion"/>
  </si>
  <si>
    <t>CK_1</t>
    <phoneticPr fontId="2" type="noConversion"/>
  </si>
  <si>
    <t>CK_2</t>
  </si>
  <si>
    <t>CK_3</t>
  </si>
  <si>
    <t>CK_4</t>
  </si>
  <si>
    <t>CK_5</t>
  </si>
  <si>
    <t>CK_6</t>
  </si>
  <si>
    <t>L7_1</t>
    <phoneticPr fontId="2" type="noConversion"/>
  </si>
  <si>
    <t>Table S5 The detailed information of the untargeted metabolomic datasets.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</si>
</sst>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Arial"/>
      <family val="2"/>
    </font>
    <font>
      <sz val="9"/>
      <name val="等线"/>
      <family val="2"/>
      <charset val="134"/>
      <scheme val="minor"/>
    </font>
    <font>
      <sz val="11"/>
      <color rgb="FF000000"/>
      <name val="Arial"/>
      <family val="2"/>
    </font>
    <font>
      <u/>
      <sz val="11"/>
      <color rgb="FF0000FF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EBBB2-ABF3-419C-88A4-D75A91BB4483}">
  <dimension ref="A1:AP7031"/>
  <sheetViews>
    <sheetView tabSelected="1" workbookViewId="0">
      <selection activeCell="D13" sqref="D13"/>
    </sheetView>
  </sheetViews>
  <sheetFormatPr defaultRowHeight="14" x14ac:dyDescent="0.3"/>
  <sheetData>
    <row r="1" spans="1:42" s="6" customFormat="1" x14ac:dyDescent="0.3">
      <c r="A1" s="6" t="s">
        <v>46610</v>
      </c>
    </row>
    <row r="2" spans="1:4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46601</v>
      </c>
      <c r="AD2" s="1" t="s">
        <v>46602</v>
      </c>
      <c r="AE2" s="1" t="s">
        <v>46603</v>
      </c>
      <c r="AF2" s="1" t="s">
        <v>46604</v>
      </c>
      <c r="AG2" s="1" t="s">
        <v>46605</v>
      </c>
      <c r="AH2" s="1" t="s">
        <v>46606</v>
      </c>
      <c r="AI2" s="1" t="s">
        <v>46607</v>
      </c>
      <c r="AJ2" s="1" t="s">
        <v>46608</v>
      </c>
      <c r="AK2" s="1" t="s">
        <v>46609</v>
      </c>
      <c r="AL2" s="1" t="s">
        <v>28</v>
      </c>
      <c r="AM2" s="1" t="s">
        <v>29</v>
      </c>
      <c r="AN2" s="1" t="s">
        <v>30</v>
      </c>
      <c r="AO2" s="1" t="s">
        <v>31</v>
      </c>
      <c r="AP2" s="1" t="s">
        <v>32</v>
      </c>
    </row>
    <row r="3" spans="1:42" ht="14.5" x14ac:dyDescent="0.35">
      <c r="A3" s="2" t="s">
        <v>33</v>
      </c>
      <c r="B3" s="2">
        <v>812.38398921420003</v>
      </c>
      <c r="C3" s="2">
        <v>8.0639333333333294</v>
      </c>
      <c r="D3" s="2" t="s">
        <v>34</v>
      </c>
      <c r="E3" s="2" t="s">
        <v>35</v>
      </c>
      <c r="F3" s="2">
        <v>205218</v>
      </c>
      <c r="G3" s="3" t="str">
        <f>HYPERLINK("http://funmeta.oebiotech.com/network/205218", "http://funmeta.oebiotech.com/network/205218")</f>
        <v>http://funmeta.oebiotech.com/network/205218</v>
      </c>
      <c r="H3" s="2" t="s">
        <v>36</v>
      </c>
      <c r="I3" s="2"/>
      <c r="J3" s="2"/>
      <c r="K3" s="2"/>
      <c r="L3" s="2"/>
      <c r="M3" s="2"/>
      <c r="N3" s="2"/>
      <c r="O3" s="2">
        <v>9853848</v>
      </c>
      <c r="P3" s="2"/>
      <c r="Q3" s="2" t="s">
        <v>37</v>
      </c>
      <c r="R3" s="2" t="s">
        <v>38</v>
      </c>
      <c r="S3" s="2" t="s">
        <v>39</v>
      </c>
      <c r="T3" s="2" t="s">
        <v>40</v>
      </c>
      <c r="U3" s="2" t="s">
        <v>41</v>
      </c>
      <c r="V3" s="2" t="s">
        <v>42</v>
      </c>
      <c r="W3" s="2">
        <v>48.3</v>
      </c>
      <c r="X3" s="2">
        <v>47.3</v>
      </c>
      <c r="Y3" s="2" t="s">
        <v>43</v>
      </c>
      <c r="Z3" s="2" t="s">
        <v>44</v>
      </c>
      <c r="AA3" s="2">
        <v>-3.1851520357976399</v>
      </c>
      <c r="AB3" s="2">
        <v>21.466793318446001</v>
      </c>
      <c r="AC3" s="2">
        <v>55900958.8627671</v>
      </c>
      <c r="AD3" s="2">
        <v>25517734.697681502</v>
      </c>
      <c r="AE3" s="2">
        <v>57795909.242268197</v>
      </c>
      <c r="AF3" s="2">
        <v>56750822.791471303</v>
      </c>
      <c r="AG3" s="2">
        <v>56016038.600369498</v>
      </c>
      <c r="AH3" s="2">
        <v>55631027.780527703</v>
      </c>
      <c r="AI3" s="2">
        <v>53825973.343020201</v>
      </c>
      <c r="AJ3" s="2">
        <v>55385981.418945797</v>
      </c>
      <c r="AK3" s="2">
        <v>23311649.300195001</v>
      </c>
      <c r="AL3" s="2">
        <v>29080665.253670301</v>
      </c>
      <c r="AM3" s="2">
        <v>27002039.8753317</v>
      </c>
      <c r="AN3" s="2">
        <v>23941966.0437226</v>
      </c>
      <c r="AO3" s="2">
        <v>23426592.651780002</v>
      </c>
      <c r="AP3" s="2">
        <v>26343495.061389498</v>
      </c>
    </row>
    <row r="4" spans="1:42" ht="14.5" x14ac:dyDescent="0.35">
      <c r="A4" s="2" t="s">
        <v>45</v>
      </c>
      <c r="B4" s="2">
        <v>770.37335956630295</v>
      </c>
      <c r="C4" s="2">
        <v>7.4609833333333304</v>
      </c>
      <c r="D4" s="2" t="s">
        <v>34</v>
      </c>
      <c r="E4" s="2" t="s">
        <v>46</v>
      </c>
      <c r="F4" s="2">
        <v>27996</v>
      </c>
      <c r="G4" s="3" t="str">
        <f>HYPERLINK("http://funmeta.oebiotech.com/network/27996", "http://funmeta.oebiotech.com/network/27996")</f>
        <v>http://funmeta.oebiotech.com/network/27996</v>
      </c>
      <c r="H4" s="2"/>
      <c r="I4" s="2"/>
      <c r="J4" s="2" t="s">
        <v>47</v>
      </c>
      <c r="K4" s="2"/>
      <c r="L4" s="2"/>
      <c r="M4" s="2"/>
      <c r="N4" s="2"/>
      <c r="O4" s="2">
        <v>134812443</v>
      </c>
      <c r="P4" s="2"/>
      <c r="Q4" s="2" t="s">
        <v>48</v>
      </c>
      <c r="R4" s="2" t="s">
        <v>49</v>
      </c>
      <c r="S4" s="2" t="s">
        <v>50</v>
      </c>
      <c r="T4" s="2" t="s">
        <v>51</v>
      </c>
      <c r="U4" s="2" t="s">
        <v>52</v>
      </c>
      <c r="V4" s="2" t="s">
        <v>42</v>
      </c>
      <c r="W4" s="2">
        <v>51.1</v>
      </c>
      <c r="X4" s="2">
        <v>62.9</v>
      </c>
      <c r="Y4" s="2" t="s">
        <v>43</v>
      </c>
      <c r="Z4" s="2" t="s">
        <v>53</v>
      </c>
      <c r="AA4" s="2">
        <v>1.4776134248649799</v>
      </c>
      <c r="AB4" s="2">
        <v>19.838110184634999</v>
      </c>
      <c r="AC4" s="2">
        <v>60368496.793924801</v>
      </c>
      <c r="AD4" s="2">
        <v>33065116.8519237</v>
      </c>
      <c r="AE4" s="2">
        <v>61915483.429076999</v>
      </c>
      <c r="AF4" s="2">
        <v>62887255.2804887</v>
      </c>
      <c r="AG4" s="2">
        <v>60922238.185010001</v>
      </c>
      <c r="AH4" s="2">
        <v>60634534.971448302</v>
      </c>
      <c r="AI4" s="2">
        <v>58696857.741966598</v>
      </c>
      <c r="AJ4" s="2">
        <v>57154611.155558102</v>
      </c>
      <c r="AK4" s="2">
        <v>28003978.493346602</v>
      </c>
      <c r="AL4" s="2">
        <v>44565457.002518497</v>
      </c>
      <c r="AM4" s="2">
        <v>36674794.844201803</v>
      </c>
      <c r="AN4" s="2">
        <v>24955503.377253801</v>
      </c>
      <c r="AO4" s="2">
        <v>28666833.73057</v>
      </c>
      <c r="AP4" s="2">
        <v>35524133.663651504</v>
      </c>
    </row>
    <row r="5" spans="1:42" ht="14.5" x14ac:dyDescent="0.35">
      <c r="A5" s="2" t="s">
        <v>54</v>
      </c>
      <c r="B5" s="2">
        <v>712.36787687299704</v>
      </c>
      <c r="C5" s="2">
        <v>7.2058833333333299</v>
      </c>
      <c r="D5" s="2" t="s">
        <v>34</v>
      </c>
      <c r="E5" s="2" t="s">
        <v>55</v>
      </c>
      <c r="F5" s="2">
        <v>209492</v>
      </c>
      <c r="G5" s="3" t="str">
        <f>HYPERLINK("http://funmeta.oebiotech.com/network/209492", "http://funmeta.oebiotech.com/network/209492")</f>
        <v>http://funmeta.oebiotech.com/network/209492</v>
      </c>
      <c r="H5" s="2" t="s">
        <v>56</v>
      </c>
      <c r="I5" s="2"/>
      <c r="J5" s="2"/>
      <c r="K5" s="2"/>
      <c r="L5" s="2"/>
      <c r="M5" s="2"/>
      <c r="N5" s="2"/>
      <c r="O5" s="2"/>
      <c r="P5" s="2"/>
      <c r="Q5" s="2" t="s">
        <v>57</v>
      </c>
      <c r="R5" s="2" t="s">
        <v>58</v>
      </c>
      <c r="S5" s="2" t="s">
        <v>41</v>
      </c>
      <c r="T5" s="2" t="s">
        <v>41</v>
      </c>
      <c r="U5" s="2" t="s">
        <v>41</v>
      </c>
      <c r="V5" s="2" t="s">
        <v>59</v>
      </c>
      <c r="W5" s="2">
        <v>46.1</v>
      </c>
      <c r="X5" s="2">
        <v>35.4</v>
      </c>
      <c r="Y5" s="2" t="s">
        <v>43</v>
      </c>
      <c r="Z5" s="2" t="s">
        <v>60</v>
      </c>
      <c r="AA5" s="2">
        <v>-1.5209102373766099</v>
      </c>
      <c r="AB5" s="2">
        <v>15.4981833506487</v>
      </c>
      <c r="AC5" s="2">
        <v>38205190.018533602</v>
      </c>
      <c r="AD5" s="2">
        <v>22410961.2364011</v>
      </c>
      <c r="AE5" s="2">
        <v>38440362.003782697</v>
      </c>
      <c r="AF5" s="2">
        <v>39628375.658268601</v>
      </c>
      <c r="AG5" s="2">
        <v>38552124.1300309</v>
      </c>
      <c r="AH5" s="2">
        <v>37409276.563507304</v>
      </c>
      <c r="AI5" s="2">
        <v>37530720.538826898</v>
      </c>
      <c r="AJ5" s="2">
        <v>37670281.216785297</v>
      </c>
      <c r="AK5" s="2">
        <v>21574664.6420446</v>
      </c>
      <c r="AL5" s="2">
        <v>23006923.3929726</v>
      </c>
      <c r="AM5" s="2">
        <v>22612281.456919301</v>
      </c>
      <c r="AN5" s="2">
        <v>22369299.944444198</v>
      </c>
      <c r="AO5" s="2">
        <v>22232252.289039299</v>
      </c>
      <c r="AP5" s="2">
        <v>22670345.692986902</v>
      </c>
    </row>
    <row r="6" spans="1:42" ht="14.5" x14ac:dyDescent="0.35">
      <c r="A6" s="2" t="s">
        <v>61</v>
      </c>
      <c r="B6" s="2">
        <v>668.34188504373196</v>
      </c>
      <c r="C6" s="2">
        <v>6.9616666666666696</v>
      </c>
      <c r="D6" s="2" t="s">
        <v>34</v>
      </c>
      <c r="E6" s="2" t="s">
        <v>62</v>
      </c>
      <c r="F6" s="2">
        <v>27941</v>
      </c>
      <c r="G6" s="3" t="str">
        <f>HYPERLINK("http://funmeta.oebiotech.com/network/27941", "http://funmeta.oebiotech.com/network/27941")</f>
        <v>http://funmeta.oebiotech.com/network/27941</v>
      </c>
      <c r="H6" s="2"/>
      <c r="I6" s="2"/>
      <c r="J6" s="2" t="s">
        <v>63</v>
      </c>
      <c r="K6" s="2"/>
      <c r="L6" s="2"/>
      <c r="M6" s="2"/>
      <c r="N6" s="2"/>
      <c r="O6" s="2">
        <v>134812388</v>
      </c>
      <c r="P6" s="2"/>
      <c r="Q6" s="2" t="s">
        <v>64</v>
      </c>
      <c r="R6" s="2" t="s">
        <v>65</v>
      </c>
      <c r="S6" s="2" t="s">
        <v>50</v>
      </c>
      <c r="T6" s="2" t="s">
        <v>51</v>
      </c>
      <c r="U6" s="2" t="s">
        <v>66</v>
      </c>
      <c r="V6" s="2" t="s">
        <v>42</v>
      </c>
      <c r="W6" s="2">
        <v>47.6</v>
      </c>
      <c r="X6" s="2">
        <v>47.1</v>
      </c>
      <c r="Y6" s="2" t="s">
        <v>67</v>
      </c>
      <c r="Z6" s="2" t="s">
        <v>68</v>
      </c>
      <c r="AA6" s="2">
        <v>1.99479168354438</v>
      </c>
      <c r="AB6" s="2">
        <v>14.126043996194801</v>
      </c>
      <c r="AC6" s="2">
        <v>36229293.807575703</v>
      </c>
      <c r="AD6" s="2">
        <v>23108745.819834299</v>
      </c>
      <c r="AE6" s="2">
        <v>36812833.120035402</v>
      </c>
      <c r="AF6" s="2">
        <v>36818336.439541198</v>
      </c>
      <c r="AG6" s="2">
        <v>36700556.522157401</v>
      </c>
      <c r="AH6" s="2">
        <v>35862790.075942799</v>
      </c>
      <c r="AI6" s="2">
        <v>34802768.985782199</v>
      </c>
      <c r="AJ6" s="2">
        <v>36378477.701995097</v>
      </c>
      <c r="AK6" s="2">
        <v>22965456.113930799</v>
      </c>
      <c r="AL6" s="2">
        <v>22755736.192746401</v>
      </c>
      <c r="AM6" s="2">
        <v>23474189.768435501</v>
      </c>
      <c r="AN6" s="2">
        <v>23494909.5848362</v>
      </c>
      <c r="AO6" s="2">
        <v>22844637.1765428</v>
      </c>
      <c r="AP6" s="2">
        <v>23117546.082514301</v>
      </c>
    </row>
    <row r="7" spans="1:42" ht="14.5" x14ac:dyDescent="0.35">
      <c r="A7" s="2" t="s">
        <v>69</v>
      </c>
      <c r="B7" s="2">
        <v>325.09258111146897</v>
      </c>
      <c r="C7" s="2">
        <v>3.0156833333333299</v>
      </c>
      <c r="D7" s="2" t="s">
        <v>70</v>
      </c>
      <c r="E7" s="2" t="s">
        <v>71</v>
      </c>
      <c r="F7" s="2">
        <v>57797</v>
      </c>
      <c r="G7" s="3" t="str">
        <f>HYPERLINK("http://funmeta.oebiotech.com/network/57797", "http://funmeta.oebiotech.com/network/57797")</f>
        <v>http://funmeta.oebiotech.com/network/57797</v>
      </c>
      <c r="H7" s="2" t="s">
        <v>72</v>
      </c>
      <c r="I7" s="2">
        <v>984972</v>
      </c>
      <c r="J7" s="2"/>
      <c r="K7" s="2">
        <v>17531</v>
      </c>
      <c r="L7" s="2" t="s">
        <v>73</v>
      </c>
      <c r="M7" s="2" t="s">
        <v>74</v>
      </c>
      <c r="N7" s="2" t="s">
        <v>75</v>
      </c>
      <c r="O7" s="2">
        <v>5280759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42</v>
      </c>
      <c r="W7" s="2">
        <v>52.5</v>
      </c>
      <c r="X7" s="2">
        <v>66.900000000000006</v>
      </c>
      <c r="Y7" s="2" t="s">
        <v>82</v>
      </c>
      <c r="Z7" s="2" t="s">
        <v>83</v>
      </c>
      <c r="AA7" s="2">
        <v>-0.95059831815380602</v>
      </c>
      <c r="AB7" s="2">
        <v>13.4838529269893</v>
      </c>
      <c r="AC7" s="2">
        <v>17268520.399964899</v>
      </c>
      <c r="AD7" s="2">
        <v>29301146.702640198</v>
      </c>
      <c r="AE7" s="2">
        <v>17096792.733727999</v>
      </c>
      <c r="AF7" s="2">
        <v>17073814.4990541</v>
      </c>
      <c r="AG7" s="2">
        <v>17326136.551316202</v>
      </c>
      <c r="AH7" s="2">
        <v>16358277.8559305</v>
      </c>
      <c r="AI7" s="2">
        <v>16910197.8857251</v>
      </c>
      <c r="AJ7" s="2">
        <v>18845902.874035299</v>
      </c>
      <c r="AK7" s="2">
        <v>28127615.738185301</v>
      </c>
      <c r="AL7" s="2">
        <v>29220247.9868505</v>
      </c>
      <c r="AM7" s="2">
        <v>30451470.2758765</v>
      </c>
      <c r="AN7" s="2">
        <v>30181268.551639002</v>
      </c>
      <c r="AO7" s="2">
        <v>28422062.390664399</v>
      </c>
      <c r="AP7" s="2">
        <v>29404215.272625301</v>
      </c>
    </row>
    <row r="8" spans="1:42" ht="14.5" x14ac:dyDescent="0.35">
      <c r="A8" s="2" t="s">
        <v>84</v>
      </c>
      <c r="B8" s="2">
        <v>642.32660943307599</v>
      </c>
      <c r="C8" s="2">
        <v>5.6884499999999996</v>
      </c>
      <c r="D8" s="2" t="s">
        <v>34</v>
      </c>
      <c r="E8" s="2" t="s">
        <v>85</v>
      </c>
      <c r="F8" s="2">
        <v>212205</v>
      </c>
      <c r="G8" s="3" t="str">
        <f>HYPERLINK("http://funmeta.oebiotech.com/network/212205", "http://funmeta.oebiotech.com/network/212205")</f>
        <v>http://funmeta.oebiotech.com/network/212205</v>
      </c>
      <c r="H8" s="2" t="s">
        <v>86</v>
      </c>
      <c r="I8" s="2"/>
      <c r="J8" s="2"/>
      <c r="K8" s="2"/>
      <c r="L8" s="2"/>
      <c r="M8" s="2"/>
      <c r="N8" s="2"/>
      <c r="O8" s="2">
        <v>495957</v>
      </c>
      <c r="P8" s="2"/>
      <c r="Q8" s="2" t="s">
        <v>87</v>
      </c>
      <c r="R8" s="2" t="s">
        <v>88</v>
      </c>
      <c r="S8" s="2" t="s">
        <v>89</v>
      </c>
      <c r="T8" s="2" t="s">
        <v>90</v>
      </c>
      <c r="U8" s="2" t="s">
        <v>91</v>
      </c>
      <c r="V8" s="2" t="s">
        <v>42</v>
      </c>
      <c r="W8" s="2">
        <v>54.9</v>
      </c>
      <c r="X8" s="2">
        <v>77.599999999999994</v>
      </c>
      <c r="Y8" s="2" t="s">
        <v>92</v>
      </c>
      <c r="Z8" s="2" t="s">
        <v>93</v>
      </c>
      <c r="AA8" s="2">
        <v>-1.0349070937825799</v>
      </c>
      <c r="AB8" s="2">
        <v>12.198203973795099</v>
      </c>
      <c r="AC8" s="2">
        <v>20453139.8195506</v>
      </c>
      <c r="AD8" s="2">
        <v>30293931.430879399</v>
      </c>
      <c r="AE8" s="2">
        <v>20527597.727183301</v>
      </c>
      <c r="AF8" s="2">
        <v>19580543.761892699</v>
      </c>
      <c r="AG8" s="2">
        <v>20169136.180085201</v>
      </c>
      <c r="AH8" s="2">
        <v>20936976.774914499</v>
      </c>
      <c r="AI8" s="2">
        <v>20992219.7759865</v>
      </c>
      <c r="AJ8" s="2">
        <v>20512364.697241601</v>
      </c>
      <c r="AK8" s="2">
        <v>29384894.529181</v>
      </c>
      <c r="AL8" s="2">
        <v>29061972.517707299</v>
      </c>
      <c r="AM8" s="2">
        <v>31393533.291294001</v>
      </c>
      <c r="AN8" s="2">
        <v>30167698.6148066</v>
      </c>
      <c r="AO8" s="2">
        <v>30600974.103030998</v>
      </c>
      <c r="AP8" s="2">
        <v>31154515.5292564</v>
      </c>
    </row>
    <row r="9" spans="1:42" ht="14.5" x14ac:dyDescent="0.35">
      <c r="A9" s="2" t="s">
        <v>94</v>
      </c>
      <c r="B9" s="2">
        <v>628.34707263108896</v>
      </c>
      <c r="C9" s="2">
        <v>6.7985833333333296</v>
      </c>
      <c r="D9" s="2" t="s">
        <v>34</v>
      </c>
      <c r="E9" s="2" t="s">
        <v>95</v>
      </c>
      <c r="F9" s="2">
        <v>204322</v>
      </c>
      <c r="G9" s="3" t="str">
        <f>HYPERLINK("http://funmeta.oebiotech.com/network/204322", "http://funmeta.oebiotech.com/network/204322")</f>
        <v>http://funmeta.oebiotech.com/network/204322</v>
      </c>
      <c r="H9" s="2" t="s">
        <v>96</v>
      </c>
      <c r="I9" s="2"/>
      <c r="J9" s="2"/>
      <c r="K9" s="2"/>
      <c r="L9" s="2"/>
      <c r="M9" s="2"/>
      <c r="N9" s="2"/>
      <c r="O9" s="2">
        <v>4490093</v>
      </c>
      <c r="P9" s="2"/>
      <c r="Q9" s="2" t="s">
        <v>97</v>
      </c>
      <c r="R9" s="2" t="s">
        <v>98</v>
      </c>
      <c r="S9" s="2" t="s">
        <v>89</v>
      </c>
      <c r="T9" s="2" t="s">
        <v>90</v>
      </c>
      <c r="U9" s="2" t="s">
        <v>99</v>
      </c>
      <c r="V9" s="2" t="s">
        <v>59</v>
      </c>
      <c r="W9" s="2">
        <v>43.2</v>
      </c>
      <c r="X9" s="2">
        <v>21.3</v>
      </c>
      <c r="Y9" s="2" t="s">
        <v>43</v>
      </c>
      <c r="Z9" s="2" t="s">
        <v>100</v>
      </c>
      <c r="AA9" s="2">
        <v>2.86638615773141</v>
      </c>
      <c r="AB9" s="2">
        <v>11.021625896538101</v>
      </c>
      <c r="AC9" s="2">
        <v>31801572.516413901</v>
      </c>
      <c r="AD9" s="2">
        <v>39844452.531640001</v>
      </c>
      <c r="AE9" s="2">
        <v>32626529.977268599</v>
      </c>
      <c r="AF9" s="2">
        <v>32086923.783183299</v>
      </c>
      <c r="AG9" s="2">
        <v>31529259.763613202</v>
      </c>
      <c r="AH9" s="2">
        <v>31282700.887849201</v>
      </c>
      <c r="AI9" s="2">
        <v>31415988.514804699</v>
      </c>
      <c r="AJ9" s="2">
        <v>31868032.1717645</v>
      </c>
      <c r="AK9" s="2">
        <v>39646954.109462298</v>
      </c>
      <c r="AL9" s="2">
        <v>39453159.9081126</v>
      </c>
      <c r="AM9" s="2">
        <v>40834068.188231997</v>
      </c>
      <c r="AN9" s="2">
        <v>39516581.231355198</v>
      </c>
      <c r="AO9" s="2">
        <v>39206866.794297598</v>
      </c>
      <c r="AP9" s="2">
        <v>40409084.958380103</v>
      </c>
    </row>
    <row r="10" spans="1:42" ht="14.5" x14ac:dyDescent="0.35">
      <c r="A10" s="2" t="s">
        <v>101</v>
      </c>
      <c r="B10" s="2">
        <v>339.10816089117702</v>
      </c>
      <c r="C10" s="2">
        <v>4.1877333333333304</v>
      </c>
      <c r="D10" s="2" t="s">
        <v>70</v>
      </c>
      <c r="E10" s="2" t="s">
        <v>102</v>
      </c>
      <c r="F10" s="2">
        <v>2024</v>
      </c>
      <c r="G10" s="3" t="str">
        <f>HYPERLINK("http://funmeta.oebiotech.com/network/2024", "http://funmeta.oebiotech.com/network/2024")</f>
        <v>http://funmeta.oebiotech.com/network/2024</v>
      </c>
      <c r="H10" s="2"/>
      <c r="I10" s="2"/>
      <c r="J10" s="2" t="s">
        <v>103</v>
      </c>
      <c r="K10" s="2"/>
      <c r="L10" s="2"/>
      <c r="M10" s="2"/>
      <c r="N10" s="2"/>
      <c r="O10" s="2"/>
      <c r="P10" s="2"/>
      <c r="Q10" s="2" t="s">
        <v>104</v>
      </c>
      <c r="R10" s="2" t="s">
        <v>105</v>
      </c>
      <c r="S10" s="2" t="s">
        <v>50</v>
      </c>
      <c r="T10" s="2" t="s">
        <v>106</v>
      </c>
      <c r="U10" s="2" t="s">
        <v>41</v>
      </c>
      <c r="V10" s="2" t="s">
        <v>59</v>
      </c>
      <c r="W10" s="2">
        <v>46.8</v>
      </c>
      <c r="X10" s="2">
        <v>40.1</v>
      </c>
      <c r="Y10" s="2" t="s">
        <v>107</v>
      </c>
      <c r="Z10" s="2" t="s">
        <v>108</v>
      </c>
      <c r="AA10" s="2">
        <v>-1.1180741471901501</v>
      </c>
      <c r="AB10" s="2">
        <v>10.800054188569799</v>
      </c>
      <c r="AC10" s="2">
        <v>28663895.1765134</v>
      </c>
      <c r="AD10" s="2">
        <v>20973539.121651899</v>
      </c>
      <c r="AE10" s="2">
        <v>28741449.203120399</v>
      </c>
      <c r="AF10" s="2">
        <v>28534103.671176199</v>
      </c>
      <c r="AG10" s="2">
        <v>29008534.707837</v>
      </c>
      <c r="AH10" s="2">
        <v>29160511.053270798</v>
      </c>
      <c r="AI10" s="2">
        <v>28181610.656674501</v>
      </c>
      <c r="AJ10" s="2">
        <v>28357161.7670012</v>
      </c>
      <c r="AK10" s="2">
        <v>20477262.674306601</v>
      </c>
      <c r="AL10" s="2">
        <v>20926590.016672</v>
      </c>
      <c r="AM10" s="2">
        <v>21855837.360907301</v>
      </c>
      <c r="AN10" s="2">
        <v>20932791.5075619</v>
      </c>
      <c r="AO10" s="2">
        <v>21005322.577548999</v>
      </c>
      <c r="AP10" s="2">
        <v>20643430.592914298</v>
      </c>
    </row>
    <row r="11" spans="1:42" ht="14.5" x14ac:dyDescent="0.35">
      <c r="A11" s="2" t="s">
        <v>109</v>
      </c>
      <c r="B11" s="2">
        <v>325.09261398087199</v>
      </c>
      <c r="C11" s="2">
        <v>1.82663333333333</v>
      </c>
      <c r="D11" s="2" t="s">
        <v>70</v>
      </c>
      <c r="E11" s="2" t="s">
        <v>110</v>
      </c>
      <c r="F11" s="2">
        <v>62468</v>
      </c>
      <c r="G11" s="3" t="str">
        <f>HYPERLINK("http://funmeta.oebiotech.com/network/62468", "http://funmeta.oebiotech.com/network/62468")</f>
        <v>http://funmeta.oebiotech.com/network/62468</v>
      </c>
      <c r="H11" s="2" t="s">
        <v>111</v>
      </c>
      <c r="I11" s="2"/>
      <c r="J11" s="2"/>
      <c r="K11" s="2">
        <v>175156</v>
      </c>
      <c r="L11" s="2"/>
      <c r="M11" s="2"/>
      <c r="N11" s="2"/>
      <c r="O11" s="2">
        <v>13915664</v>
      </c>
      <c r="P11" s="2" t="s">
        <v>112</v>
      </c>
      <c r="Q11" s="2" t="s">
        <v>113</v>
      </c>
      <c r="R11" s="2" t="s">
        <v>114</v>
      </c>
      <c r="S11" s="2" t="s">
        <v>115</v>
      </c>
      <c r="T11" s="2" t="s">
        <v>116</v>
      </c>
      <c r="U11" s="2" t="s">
        <v>117</v>
      </c>
      <c r="V11" s="2" t="s">
        <v>42</v>
      </c>
      <c r="W11" s="2">
        <v>57.1</v>
      </c>
      <c r="X11" s="2">
        <v>89.3</v>
      </c>
      <c r="Y11" s="2" t="s">
        <v>118</v>
      </c>
      <c r="Z11" s="2" t="s">
        <v>83</v>
      </c>
      <c r="AA11" s="2">
        <v>-0.84980290057293895</v>
      </c>
      <c r="AB11" s="2">
        <v>10.6084322354262</v>
      </c>
      <c r="AC11" s="2">
        <v>15648257.933662901</v>
      </c>
      <c r="AD11" s="2">
        <v>23134283.9399378</v>
      </c>
      <c r="AE11" s="2">
        <v>15555607.4993139</v>
      </c>
      <c r="AF11" s="2">
        <v>15475461.697703499</v>
      </c>
      <c r="AG11" s="2">
        <v>15614557.707332101</v>
      </c>
      <c r="AH11" s="2">
        <v>15217413.2135744</v>
      </c>
      <c r="AI11" s="2">
        <v>15127468.1663507</v>
      </c>
      <c r="AJ11" s="2">
        <v>16899039.317702901</v>
      </c>
      <c r="AK11" s="2">
        <v>22387116.907201599</v>
      </c>
      <c r="AL11" s="2">
        <v>23106235.210869599</v>
      </c>
      <c r="AM11" s="2">
        <v>23793213.709647499</v>
      </c>
      <c r="AN11" s="2">
        <v>24210179.934062701</v>
      </c>
      <c r="AO11" s="2">
        <v>22479570.468561999</v>
      </c>
      <c r="AP11" s="2">
        <v>22829387.409283701</v>
      </c>
    </row>
    <row r="12" spans="1:42" ht="14.5" x14ac:dyDescent="0.35">
      <c r="A12" s="2" t="s">
        <v>119</v>
      </c>
      <c r="B12" s="2">
        <v>748.36746688053097</v>
      </c>
      <c r="C12" s="2">
        <v>6.7459499999999997</v>
      </c>
      <c r="D12" s="2" t="s">
        <v>34</v>
      </c>
      <c r="E12" s="2" t="s">
        <v>120</v>
      </c>
      <c r="F12" s="2">
        <v>46809</v>
      </c>
      <c r="G12" s="3" t="str">
        <f>HYPERLINK("http://funmeta.oebiotech.com/network/46809", "http://funmeta.oebiotech.com/network/46809")</f>
        <v>http://funmeta.oebiotech.com/network/46809</v>
      </c>
      <c r="H12" s="2"/>
      <c r="I12" s="2"/>
      <c r="J12" s="2" t="s">
        <v>121</v>
      </c>
      <c r="K12" s="2"/>
      <c r="L12" s="2"/>
      <c r="M12" s="2"/>
      <c r="N12" s="2"/>
      <c r="O12" s="2">
        <v>101383557</v>
      </c>
      <c r="P12" s="2"/>
      <c r="Q12" s="2" t="s">
        <v>122</v>
      </c>
      <c r="R12" s="2" t="s">
        <v>123</v>
      </c>
      <c r="S12" s="2" t="s">
        <v>50</v>
      </c>
      <c r="T12" s="2" t="s">
        <v>124</v>
      </c>
      <c r="U12" s="2" t="s">
        <v>125</v>
      </c>
      <c r="V12" s="2" t="s">
        <v>42</v>
      </c>
      <c r="W12" s="2">
        <v>48.4</v>
      </c>
      <c r="X12" s="2">
        <v>50.2</v>
      </c>
      <c r="Y12" s="2" t="s">
        <v>43</v>
      </c>
      <c r="Z12" s="2" t="s">
        <v>126</v>
      </c>
      <c r="AA12" s="2">
        <v>-1.3958602595073299</v>
      </c>
      <c r="AB12" s="2">
        <v>10.573120539993999</v>
      </c>
      <c r="AC12" s="2">
        <v>12684879.869607899</v>
      </c>
      <c r="AD12" s="2">
        <v>20245788.3602538</v>
      </c>
      <c r="AE12" s="2">
        <v>12525311.634854401</v>
      </c>
      <c r="AF12" s="2">
        <v>12107273.7616327</v>
      </c>
      <c r="AG12" s="2">
        <v>12975718.383065799</v>
      </c>
      <c r="AH12" s="2">
        <v>11836876.958572101</v>
      </c>
      <c r="AI12" s="2">
        <v>12074862.0892001</v>
      </c>
      <c r="AJ12" s="2">
        <v>14589236.3903223</v>
      </c>
      <c r="AK12" s="2">
        <v>19709829.413988899</v>
      </c>
      <c r="AL12" s="2">
        <v>19006768.134358399</v>
      </c>
      <c r="AM12" s="2">
        <v>22149103.575051598</v>
      </c>
      <c r="AN12" s="2">
        <v>20445518.920035601</v>
      </c>
      <c r="AO12" s="2">
        <v>19747401.624889798</v>
      </c>
      <c r="AP12" s="2">
        <v>20416108.493198201</v>
      </c>
    </row>
    <row r="13" spans="1:42" ht="14.5" x14ac:dyDescent="0.35">
      <c r="A13" s="2" t="s">
        <v>127</v>
      </c>
      <c r="B13" s="2">
        <v>696.37339445420002</v>
      </c>
      <c r="C13" s="2">
        <v>8.5262166666666701</v>
      </c>
      <c r="D13" s="2" t="s">
        <v>34</v>
      </c>
      <c r="E13" s="2" t="s">
        <v>128</v>
      </c>
      <c r="F13" s="2">
        <v>55030</v>
      </c>
      <c r="G13" s="3" t="str">
        <f>HYPERLINK("http://funmeta.oebiotech.com/network/55030", "http://funmeta.oebiotech.com/network/55030")</f>
        <v>http://funmeta.oebiotech.com/network/55030</v>
      </c>
      <c r="H13" s="2" t="s">
        <v>129</v>
      </c>
      <c r="I13" s="2">
        <v>86796</v>
      </c>
      <c r="J13" s="2"/>
      <c r="K13" s="2"/>
      <c r="L13" s="2"/>
      <c r="M13" s="2"/>
      <c r="N13" s="2"/>
      <c r="O13" s="2">
        <v>101316794</v>
      </c>
      <c r="P13" s="2" t="s">
        <v>130</v>
      </c>
      <c r="Q13" s="2" t="s">
        <v>131</v>
      </c>
      <c r="R13" s="2" t="s">
        <v>132</v>
      </c>
      <c r="S13" s="2" t="s">
        <v>89</v>
      </c>
      <c r="T13" s="2" t="s">
        <v>90</v>
      </c>
      <c r="U13" s="2" t="s">
        <v>99</v>
      </c>
      <c r="V13" s="2" t="s">
        <v>59</v>
      </c>
      <c r="W13" s="2">
        <v>41.3</v>
      </c>
      <c r="X13" s="2">
        <v>12.3</v>
      </c>
      <c r="Y13" s="2" t="s">
        <v>67</v>
      </c>
      <c r="Z13" s="2" t="s">
        <v>133</v>
      </c>
      <c r="AA13" s="2">
        <v>-3.1153140560529899</v>
      </c>
      <c r="AB13" s="2">
        <v>9.8341824873407795</v>
      </c>
      <c r="AC13" s="2">
        <v>168801490.864813</v>
      </c>
      <c r="AD13" s="2">
        <v>179528800.58492801</v>
      </c>
      <c r="AE13" s="2">
        <v>165884881.95061299</v>
      </c>
      <c r="AF13" s="2">
        <v>172647316.611128</v>
      </c>
      <c r="AG13" s="2">
        <v>172440438.02289599</v>
      </c>
      <c r="AH13" s="2">
        <v>163995978.820375</v>
      </c>
      <c r="AI13" s="2">
        <v>164683954.30182099</v>
      </c>
      <c r="AJ13" s="2">
        <v>173156375.48204499</v>
      </c>
      <c r="AK13" s="2">
        <v>180018953.305076</v>
      </c>
      <c r="AL13" s="2">
        <v>197321224.55705899</v>
      </c>
      <c r="AM13" s="2">
        <v>181764407.72134</v>
      </c>
      <c r="AN13" s="2">
        <v>169960351.72049099</v>
      </c>
      <c r="AO13" s="2">
        <v>178485375.35955101</v>
      </c>
      <c r="AP13" s="2">
        <v>169622490.84605101</v>
      </c>
    </row>
    <row r="14" spans="1:42" ht="14.5" x14ac:dyDescent="0.35">
      <c r="A14" s="2" t="s">
        <v>134</v>
      </c>
      <c r="B14" s="2">
        <v>675.18871514044497</v>
      </c>
      <c r="C14" s="2">
        <v>1.79495</v>
      </c>
      <c r="D14" s="2" t="s">
        <v>34</v>
      </c>
      <c r="E14" s="2" t="s">
        <v>135</v>
      </c>
      <c r="F14" s="2">
        <v>32930</v>
      </c>
      <c r="G14" s="3" t="str">
        <f>HYPERLINK("http://funmeta.oebiotech.com/network/32930", "http://funmeta.oebiotech.com/network/32930")</f>
        <v>http://funmeta.oebiotech.com/network/32930</v>
      </c>
      <c r="H14" s="2"/>
      <c r="I14" s="2"/>
      <c r="J14" s="2" t="s">
        <v>136</v>
      </c>
      <c r="K14" s="2"/>
      <c r="L14" s="2"/>
      <c r="M14" s="2"/>
      <c r="N14" s="2"/>
      <c r="O14" s="2">
        <v>14502653</v>
      </c>
      <c r="P14" s="2"/>
      <c r="Q14" s="2" t="s">
        <v>137</v>
      </c>
      <c r="R14" s="2" t="s">
        <v>138</v>
      </c>
      <c r="S14" s="2" t="s">
        <v>115</v>
      </c>
      <c r="T14" s="2" t="s">
        <v>139</v>
      </c>
      <c r="U14" s="2" t="s">
        <v>140</v>
      </c>
      <c r="V14" s="2" t="s">
        <v>42</v>
      </c>
      <c r="W14" s="2">
        <v>50</v>
      </c>
      <c r="X14" s="2">
        <v>58.3</v>
      </c>
      <c r="Y14" s="2" t="s">
        <v>141</v>
      </c>
      <c r="Z14" s="2" t="s">
        <v>142</v>
      </c>
      <c r="AA14" s="2">
        <v>-4.6898567934959896</v>
      </c>
      <c r="AB14" s="2">
        <v>9.1190468309819508</v>
      </c>
      <c r="AC14" s="2">
        <v>7332118.16420238</v>
      </c>
      <c r="AD14" s="2">
        <v>12841955.3522898</v>
      </c>
      <c r="AE14" s="2">
        <v>7421126.3068384696</v>
      </c>
      <c r="AF14" s="2">
        <v>7454926.0861610696</v>
      </c>
      <c r="AG14" s="2">
        <v>7250493.3761130301</v>
      </c>
      <c r="AH14" s="2">
        <v>6802916.5853333101</v>
      </c>
      <c r="AI14" s="2">
        <v>7162855.5899243597</v>
      </c>
      <c r="AJ14" s="2">
        <v>7900391.0408440297</v>
      </c>
      <c r="AK14" s="2">
        <v>12900688.434219399</v>
      </c>
      <c r="AL14" s="2">
        <v>12914900.9573969</v>
      </c>
      <c r="AM14" s="2">
        <v>13138523.675993601</v>
      </c>
      <c r="AN14" s="2">
        <v>13417664.8374187</v>
      </c>
      <c r="AO14" s="2">
        <v>12044835.364461601</v>
      </c>
      <c r="AP14" s="2">
        <v>12635118.8442486</v>
      </c>
    </row>
    <row r="15" spans="1:42" ht="14.5" x14ac:dyDescent="0.35">
      <c r="A15" s="2" t="s">
        <v>143</v>
      </c>
      <c r="B15" s="2">
        <v>554.31083915745705</v>
      </c>
      <c r="C15" s="2">
        <v>5.8999499999999996</v>
      </c>
      <c r="D15" s="2" t="s">
        <v>34</v>
      </c>
      <c r="E15" s="2" t="s">
        <v>144</v>
      </c>
      <c r="F15" s="2">
        <v>208967</v>
      </c>
      <c r="G15" s="3" t="str">
        <f>HYPERLINK("http://funmeta.oebiotech.com/network/208967", "http://funmeta.oebiotech.com/network/208967")</f>
        <v>http://funmeta.oebiotech.com/network/208967</v>
      </c>
      <c r="H15" s="2" t="s">
        <v>145</v>
      </c>
      <c r="I15" s="2"/>
      <c r="J15" s="2"/>
      <c r="K15" s="2"/>
      <c r="L15" s="2"/>
      <c r="M15" s="2"/>
      <c r="N15" s="2"/>
      <c r="O15" s="2">
        <v>9958826</v>
      </c>
      <c r="P15" s="2"/>
      <c r="Q15" s="2" t="s">
        <v>146</v>
      </c>
      <c r="R15" s="2" t="s">
        <v>147</v>
      </c>
      <c r="S15" s="2" t="s">
        <v>148</v>
      </c>
      <c r="T15" s="2" t="s">
        <v>149</v>
      </c>
      <c r="U15" s="2" t="s">
        <v>150</v>
      </c>
      <c r="V15" s="2" t="s">
        <v>42</v>
      </c>
      <c r="W15" s="2">
        <v>49.4</v>
      </c>
      <c r="X15" s="2">
        <v>53.9</v>
      </c>
      <c r="Y15" s="2" t="s">
        <v>43</v>
      </c>
      <c r="Z15" s="2" t="s">
        <v>151</v>
      </c>
      <c r="AA15" s="2">
        <v>-3.2210953199462198</v>
      </c>
      <c r="AB15" s="2">
        <v>9.0843898242584498</v>
      </c>
      <c r="AC15" s="2">
        <v>12565243.9237082</v>
      </c>
      <c r="AD15" s="2">
        <v>7125389.6774296304</v>
      </c>
      <c r="AE15" s="2">
        <v>12749156.0935886</v>
      </c>
      <c r="AF15" s="2">
        <v>12589003.640155001</v>
      </c>
      <c r="AG15" s="2">
        <v>12517110.6620562</v>
      </c>
      <c r="AH15" s="2">
        <v>12758432.952702399</v>
      </c>
      <c r="AI15" s="2">
        <v>11894671.694609299</v>
      </c>
      <c r="AJ15" s="2">
        <v>12883088.4991378</v>
      </c>
      <c r="AK15" s="2">
        <v>7026648.7043302301</v>
      </c>
      <c r="AL15" s="2">
        <v>7320563.1546095302</v>
      </c>
      <c r="AM15" s="2">
        <v>7548710.50652551</v>
      </c>
      <c r="AN15" s="2">
        <v>7217731.1743450398</v>
      </c>
      <c r="AO15" s="2">
        <v>6900024.18072272</v>
      </c>
      <c r="AP15" s="2">
        <v>6738660.3440447301</v>
      </c>
    </row>
    <row r="16" spans="1:42" ht="14.5" x14ac:dyDescent="0.35">
      <c r="A16" s="2" t="s">
        <v>152</v>
      </c>
      <c r="B16" s="2">
        <v>365.10506865020199</v>
      </c>
      <c r="C16" s="2">
        <v>0.71894999999999998</v>
      </c>
      <c r="D16" s="2" t="s">
        <v>34</v>
      </c>
      <c r="E16" s="2" t="s">
        <v>153</v>
      </c>
      <c r="F16" s="2">
        <v>46961</v>
      </c>
      <c r="G16" s="3" t="str">
        <f>HYPERLINK("http://funmeta.oebiotech.com/network/46961", "http://funmeta.oebiotech.com/network/46961")</f>
        <v>http://funmeta.oebiotech.com/network/46961</v>
      </c>
      <c r="H16" s="2" t="s">
        <v>154</v>
      </c>
      <c r="I16" s="2">
        <v>137</v>
      </c>
      <c r="J16" s="2"/>
      <c r="K16" s="2">
        <v>17992</v>
      </c>
      <c r="L16" s="2" t="s">
        <v>155</v>
      </c>
      <c r="M16" s="2" t="s">
        <v>156</v>
      </c>
      <c r="N16" s="2" t="s">
        <v>157</v>
      </c>
      <c r="O16" s="2">
        <v>5988</v>
      </c>
      <c r="P16" s="2" t="s">
        <v>158</v>
      </c>
      <c r="Q16" s="2" t="s">
        <v>159</v>
      </c>
      <c r="R16" s="2" t="s">
        <v>160</v>
      </c>
      <c r="S16" s="2" t="s">
        <v>79</v>
      </c>
      <c r="T16" s="2" t="s">
        <v>80</v>
      </c>
      <c r="U16" s="2" t="s">
        <v>81</v>
      </c>
      <c r="V16" s="2" t="s">
        <v>42</v>
      </c>
      <c r="W16" s="2">
        <v>57.5</v>
      </c>
      <c r="X16" s="2">
        <v>90.7</v>
      </c>
      <c r="Y16" s="2" t="s">
        <v>161</v>
      </c>
      <c r="Z16" s="2" t="s">
        <v>162</v>
      </c>
      <c r="AA16" s="2">
        <v>-1.06265206356143</v>
      </c>
      <c r="AB16" s="2">
        <v>8.6745344068118406</v>
      </c>
      <c r="AC16" s="2">
        <v>13795421.916493399</v>
      </c>
      <c r="AD16" s="2">
        <v>18922595.5644596</v>
      </c>
      <c r="AE16" s="2">
        <v>13300560.299761601</v>
      </c>
      <c r="AF16" s="2">
        <v>13898748.7919032</v>
      </c>
      <c r="AG16" s="2">
        <v>14047748.417663399</v>
      </c>
      <c r="AH16" s="2">
        <v>13622847.8535008</v>
      </c>
      <c r="AI16" s="2">
        <v>14248539.303128701</v>
      </c>
      <c r="AJ16" s="2">
        <v>13654086.8330028</v>
      </c>
      <c r="AK16" s="2">
        <v>18869650.525940899</v>
      </c>
      <c r="AL16" s="2">
        <v>18693172.976357501</v>
      </c>
      <c r="AM16" s="2">
        <v>20237407.590613201</v>
      </c>
      <c r="AN16" s="2">
        <v>18579824.995976198</v>
      </c>
      <c r="AO16" s="2">
        <v>19960691.518590201</v>
      </c>
      <c r="AP16" s="2">
        <v>17194825.7792794</v>
      </c>
    </row>
    <row r="17" spans="1:42" ht="14.5" x14ac:dyDescent="0.35">
      <c r="A17" s="2" t="s">
        <v>163</v>
      </c>
      <c r="B17" s="2">
        <v>870.61262362806303</v>
      </c>
      <c r="C17" s="2">
        <v>12.431433333333301</v>
      </c>
      <c r="D17" s="2" t="s">
        <v>34</v>
      </c>
      <c r="E17" s="2" t="s">
        <v>164</v>
      </c>
      <c r="F17" s="2">
        <v>83005</v>
      </c>
      <c r="G17" s="3" t="str">
        <f>HYPERLINK("http://funmeta.oebiotech.com/network/83005", "http://funmeta.oebiotech.com/network/83005")</f>
        <v>http://funmeta.oebiotech.com/network/83005</v>
      </c>
      <c r="H17" s="2" t="s">
        <v>165</v>
      </c>
      <c r="I17" s="2"/>
      <c r="J17" s="2"/>
      <c r="K17" s="2"/>
      <c r="L17" s="2"/>
      <c r="M17" s="2"/>
      <c r="N17" s="2"/>
      <c r="O17" s="2"/>
      <c r="P17" s="2"/>
      <c r="Q17" s="2" t="s">
        <v>166</v>
      </c>
      <c r="R17" s="2" t="s">
        <v>167</v>
      </c>
      <c r="S17" s="2" t="s">
        <v>50</v>
      </c>
      <c r="T17" s="2" t="s">
        <v>51</v>
      </c>
      <c r="U17" s="2" t="s">
        <v>168</v>
      </c>
      <c r="V17" s="2" t="s">
        <v>59</v>
      </c>
      <c r="W17" s="2">
        <v>46.3</v>
      </c>
      <c r="X17" s="2">
        <v>38.700000000000003</v>
      </c>
      <c r="Y17" s="2" t="s">
        <v>169</v>
      </c>
      <c r="Z17" s="2" t="s">
        <v>170</v>
      </c>
      <c r="AA17" s="2">
        <v>3.9159065817768099</v>
      </c>
      <c r="AB17" s="2">
        <v>8.4484978901724901</v>
      </c>
      <c r="AC17" s="2">
        <v>15634.800514726599</v>
      </c>
      <c r="AD17" s="2">
        <v>4708988.3466471396</v>
      </c>
      <c r="AE17" s="2">
        <v>16189.9482733922</v>
      </c>
      <c r="AF17" s="2">
        <v>14196.058625067601</v>
      </c>
      <c r="AG17" s="2">
        <v>15727.8286413154</v>
      </c>
      <c r="AH17" s="2">
        <v>17229.640480300899</v>
      </c>
      <c r="AI17" s="2">
        <v>15935.0848183493</v>
      </c>
      <c r="AJ17" s="2">
        <v>14530.242249933999</v>
      </c>
      <c r="AK17" s="2">
        <v>4415132.9778661402</v>
      </c>
      <c r="AL17" s="2">
        <v>4603975.8232359597</v>
      </c>
      <c r="AM17" s="2">
        <v>5055008.8228784604</v>
      </c>
      <c r="AN17" s="2">
        <v>4523312.4019858101</v>
      </c>
      <c r="AO17" s="2">
        <v>4730372.2518189503</v>
      </c>
      <c r="AP17" s="2">
        <v>4926127.8020975199</v>
      </c>
    </row>
    <row r="18" spans="1:42" ht="14.5" x14ac:dyDescent="0.35">
      <c r="A18" s="2" t="s">
        <v>171</v>
      </c>
      <c r="B18" s="2">
        <v>611.24537796152094</v>
      </c>
      <c r="C18" s="2">
        <v>6.7814333333333296</v>
      </c>
      <c r="D18" s="2" t="s">
        <v>34</v>
      </c>
      <c r="E18" s="2" t="s">
        <v>172</v>
      </c>
      <c r="F18" s="2">
        <v>204727</v>
      </c>
      <c r="G18" s="3" t="str">
        <f>HYPERLINK("http://funmeta.oebiotech.com/network/204727", "http://funmeta.oebiotech.com/network/204727")</f>
        <v>http://funmeta.oebiotech.com/network/204727</v>
      </c>
      <c r="H18" s="2" t="s">
        <v>173</v>
      </c>
      <c r="I18" s="2"/>
      <c r="J18" s="2"/>
      <c r="K18" s="2"/>
      <c r="L18" s="2"/>
      <c r="M18" s="2"/>
      <c r="N18" s="2"/>
      <c r="O18" s="2">
        <v>78401016</v>
      </c>
      <c r="P18" s="2"/>
      <c r="Q18" s="2" t="s">
        <v>174</v>
      </c>
      <c r="R18" s="2" t="s">
        <v>175</v>
      </c>
      <c r="S18" s="2" t="s">
        <v>41</v>
      </c>
      <c r="T18" s="2" t="s">
        <v>41</v>
      </c>
      <c r="U18" s="2" t="s">
        <v>41</v>
      </c>
      <c r="V18" s="2" t="s">
        <v>59</v>
      </c>
      <c r="W18" s="2">
        <v>44.1</v>
      </c>
      <c r="X18" s="2">
        <v>28.5</v>
      </c>
      <c r="Y18" s="2" t="s">
        <v>176</v>
      </c>
      <c r="Z18" s="2" t="s">
        <v>177</v>
      </c>
      <c r="AA18" s="2">
        <v>-3.81163978468008</v>
      </c>
      <c r="AB18" s="2">
        <v>8.1558541089257908</v>
      </c>
      <c r="AC18" s="2">
        <v>36432788.885629602</v>
      </c>
      <c r="AD18" s="2">
        <v>31896873.278044101</v>
      </c>
      <c r="AE18" s="2">
        <v>36220128.531658702</v>
      </c>
      <c r="AF18" s="2">
        <v>36682598.254186302</v>
      </c>
      <c r="AG18" s="2">
        <v>37336068.833672203</v>
      </c>
      <c r="AH18" s="2">
        <v>34875920.974424198</v>
      </c>
      <c r="AI18" s="2">
        <v>36449183.635035798</v>
      </c>
      <c r="AJ18" s="2">
        <v>37032833.084800601</v>
      </c>
      <c r="AK18" s="2">
        <v>31818143.8402563</v>
      </c>
      <c r="AL18" s="2">
        <v>32801654.7580835</v>
      </c>
      <c r="AM18" s="2">
        <v>31947691.315701298</v>
      </c>
      <c r="AN18" s="2">
        <v>31373433.675000101</v>
      </c>
      <c r="AO18" s="2">
        <v>32139269.1430135</v>
      </c>
      <c r="AP18" s="2">
        <v>31301046.936209999</v>
      </c>
    </row>
    <row r="19" spans="1:42" ht="14.5" x14ac:dyDescent="0.35">
      <c r="A19" s="2" t="s">
        <v>178</v>
      </c>
      <c r="B19" s="2">
        <v>608.37861843708004</v>
      </c>
      <c r="C19" s="2">
        <v>10.5463666666667</v>
      </c>
      <c r="D19" s="2" t="s">
        <v>34</v>
      </c>
      <c r="E19" s="2" t="s">
        <v>179</v>
      </c>
      <c r="F19" s="2">
        <v>35723</v>
      </c>
      <c r="G19" s="3" t="str">
        <f>HYPERLINK("http://funmeta.oebiotech.com/network/35723", "http://funmeta.oebiotech.com/network/35723")</f>
        <v>http://funmeta.oebiotech.com/network/35723</v>
      </c>
      <c r="H19" s="2"/>
      <c r="I19" s="2"/>
      <c r="J19" s="2" t="s">
        <v>180</v>
      </c>
      <c r="K19" s="2"/>
      <c r="L19" s="2"/>
      <c r="M19" s="2"/>
      <c r="N19" s="2"/>
      <c r="O19" s="2">
        <v>154585418</v>
      </c>
      <c r="P19" s="2"/>
      <c r="Q19" s="2" t="s">
        <v>181</v>
      </c>
      <c r="R19" s="2" t="s">
        <v>182</v>
      </c>
      <c r="S19" s="2" t="s">
        <v>89</v>
      </c>
      <c r="T19" s="2" t="s">
        <v>90</v>
      </c>
      <c r="U19" s="2" t="s">
        <v>91</v>
      </c>
      <c r="V19" s="2" t="s">
        <v>59</v>
      </c>
      <c r="W19" s="2">
        <v>43.9</v>
      </c>
      <c r="X19" s="2">
        <v>21.9</v>
      </c>
      <c r="Y19" s="2" t="s">
        <v>43</v>
      </c>
      <c r="Z19" s="2" t="s">
        <v>183</v>
      </c>
      <c r="AA19" s="2">
        <v>-1.1692686403841399</v>
      </c>
      <c r="AB19" s="2">
        <v>8.0952411317401793</v>
      </c>
      <c r="AC19" s="2">
        <v>4574746.1019074703</v>
      </c>
      <c r="AD19" s="2">
        <v>268357.70518125698</v>
      </c>
      <c r="AE19" s="2">
        <v>4597330.4342756504</v>
      </c>
      <c r="AF19" s="2">
        <v>4573869.2699410301</v>
      </c>
      <c r="AG19" s="2">
        <v>4820179.9476391198</v>
      </c>
      <c r="AH19" s="2">
        <v>4428166.8565494297</v>
      </c>
      <c r="AI19" s="2">
        <v>4212220.62360116</v>
      </c>
      <c r="AJ19" s="2">
        <v>4816709.4794384297</v>
      </c>
      <c r="AK19" s="2">
        <v>272969.52483873197</v>
      </c>
      <c r="AL19" s="2">
        <v>465087.48453746102</v>
      </c>
      <c r="AM19" s="2">
        <v>214902.432805772</v>
      </c>
      <c r="AN19" s="2">
        <v>287942.25872047798</v>
      </c>
      <c r="AO19" s="2">
        <v>198106.217169298</v>
      </c>
      <c r="AP19" s="2">
        <v>171138.3130158</v>
      </c>
    </row>
    <row r="20" spans="1:42" ht="14.5" x14ac:dyDescent="0.35">
      <c r="A20" s="2" t="s">
        <v>184</v>
      </c>
      <c r="B20" s="2">
        <v>463.30496472789503</v>
      </c>
      <c r="C20" s="2">
        <v>4.7862166666666699</v>
      </c>
      <c r="D20" s="2" t="s">
        <v>34</v>
      </c>
      <c r="E20" s="2" t="s">
        <v>185</v>
      </c>
      <c r="F20" s="2">
        <v>43543</v>
      </c>
      <c r="G20" s="3" t="str">
        <f>HYPERLINK("http://funmeta.oebiotech.com/network/43543", "http://funmeta.oebiotech.com/network/43543")</f>
        <v>http://funmeta.oebiotech.com/network/43543</v>
      </c>
      <c r="H20" s="2" t="s">
        <v>186</v>
      </c>
      <c r="I20" s="2">
        <v>43863</v>
      </c>
      <c r="J20" s="2" t="s">
        <v>187</v>
      </c>
      <c r="K20" s="2">
        <v>16587</v>
      </c>
      <c r="L20" s="2" t="s">
        <v>188</v>
      </c>
      <c r="M20" s="2" t="s">
        <v>189</v>
      </c>
      <c r="N20" s="2" t="s">
        <v>190</v>
      </c>
      <c r="O20" s="2">
        <v>5459840</v>
      </c>
      <c r="P20" s="2" t="s">
        <v>191</v>
      </c>
      <c r="Q20" s="2" t="s">
        <v>192</v>
      </c>
      <c r="R20" s="2" t="s">
        <v>193</v>
      </c>
      <c r="S20" s="2" t="s">
        <v>50</v>
      </c>
      <c r="T20" s="2" t="s">
        <v>124</v>
      </c>
      <c r="U20" s="2" t="s">
        <v>125</v>
      </c>
      <c r="V20" s="2" t="s">
        <v>42</v>
      </c>
      <c r="W20" s="2">
        <v>52.8</v>
      </c>
      <c r="X20" s="2">
        <v>66.599999999999994</v>
      </c>
      <c r="Y20" s="2" t="s">
        <v>194</v>
      </c>
      <c r="Z20" s="2" t="s">
        <v>195</v>
      </c>
      <c r="AA20" s="2">
        <v>-0.93850080399857605</v>
      </c>
      <c r="AB20" s="2">
        <v>7.9318673647353002</v>
      </c>
      <c r="AC20" s="2">
        <v>8356907.0817532698</v>
      </c>
      <c r="AD20" s="2">
        <v>12612656.744962901</v>
      </c>
      <c r="AE20" s="2">
        <v>8352022.1519019902</v>
      </c>
      <c r="AF20" s="2">
        <v>8464490.5131775904</v>
      </c>
      <c r="AG20" s="2">
        <v>8253327.4491223004</v>
      </c>
      <c r="AH20" s="2">
        <v>8256445.0089040603</v>
      </c>
      <c r="AI20" s="2">
        <v>8637346.7917442508</v>
      </c>
      <c r="AJ20" s="2">
        <v>8177810.5756694498</v>
      </c>
      <c r="AK20" s="2">
        <v>12098271.0247417</v>
      </c>
      <c r="AL20" s="2">
        <v>13556676.959299499</v>
      </c>
      <c r="AM20" s="2">
        <v>11929948.9356173</v>
      </c>
      <c r="AN20" s="2">
        <v>11708009.865879999</v>
      </c>
      <c r="AO20" s="2">
        <v>13255653.764001301</v>
      </c>
      <c r="AP20" s="2">
        <v>13127379.9202374</v>
      </c>
    </row>
    <row r="21" spans="1:42" ht="14.5" x14ac:dyDescent="0.35">
      <c r="A21" s="2" t="s">
        <v>196</v>
      </c>
      <c r="B21" s="2">
        <v>569.31409092174204</v>
      </c>
      <c r="C21" s="2">
        <v>4.7017833333333297</v>
      </c>
      <c r="D21" s="2" t="s">
        <v>34</v>
      </c>
      <c r="E21" s="2" t="s">
        <v>197</v>
      </c>
      <c r="F21" s="2">
        <v>35861</v>
      </c>
      <c r="G21" s="3" t="str">
        <f>HYPERLINK("http://funmeta.oebiotech.com/network/35861", "http://funmeta.oebiotech.com/network/35861")</f>
        <v>http://funmeta.oebiotech.com/network/35861</v>
      </c>
      <c r="H21" s="2"/>
      <c r="I21" s="2"/>
      <c r="J21" s="2" t="s">
        <v>198</v>
      </c>
      <c r="K21" s="2"/>
      <c r="L21" s="2"/>
      <c r="M21" s="2"/>
      <c r="N21" s="2"/>
      <c r="O21" s="2"/>
      <c r="P21" s="2"/>
      <c r="Q21" s="2" t="s">
        <v>199</v>
      </c>
      <c r="R21" s="2" t="s">
        <v>200</v>
      </c>
      <c r="S21" s="2" t="s">
        <v>50</v>
      </c>
      <c r="T21" s="2" t="s">
        <v>201</v>
      </c>
      <c r="U21" s="2" t="s">
        <v>202</v>
      </c>
      <c r="V21" s="2" t="s">
        <v>59</v>
      </c>
      <c r="W21" s="2">
        <v>39.5</v>
      </c>
      <c r="X21" s="2">
        <v>3.98</v>
      </c>
      <c r="Y21" s="2" t="s">
        <v>203</v>
      </c>
      <c r="Z21" s="2" t="s">
        <v>204</v>
      </c>
      <c r="AA21" s="2">
        <v>-3.0679818117779898</v>
      </c>
      <c r="AB21" s="2">
        <v>7.3268854475613798</v>
      </c>
      <c r="AC21" s="2">
        <v>8626688.1453306507</v>
      </c>
      <c r="AD21" s="2">
        <v>12241426.443956001</v>
      </c>
      <c r="AE21" s="2">
        <v>8736820.1824105196</v>
      </c>
      <c r="AF21" s="2">
        <v>8567451.25574141</v>
      </c>
      <c r="AG21" s="2">
        <v>8199439.9554578802</v>
      </c>
      <c r="AH21" s="2">
        <v>9177513.6813578103</v>
      </c>
      <c r="AI21" s="2">
        <v>8918372.0648654196</v>
      </c>
      <c r="AJ21" s="2">
        <v>8160531.7321508797</v>
      </c>
      <c r="AK21" s="2">
        <v>11880303.438222401</v>
      </c>
      <c r="AL21" s="2">
        <v>11897730.451625001</v>
      </c>
      <c r="AM21" s="2">
        <v>13217094.5287279</v>
      </c>
      <c r="AN21" s="2">
        <v>12525681.419535801</v>
      </c>
      <c r="AO21" s="2">
        <v>11758758.4018107</v>
      </c>
      <c r="AP21" s="2">
        <v>12168990.423814099</v>
      </c>
    </row>
    <row r="22" spans="1:42" ht="14.5" x14ac:dyDescent="0.35">
      <c r="A22" s="2" t="s">
        <v>205</v>
      </c>
      <c r="B22" s="2">
        <v>552.33125027841595</v>
      </c>
      <c r="C22" s="2">
        <v>6.60523333333333</v>
      </c>
      <c r="D22" s="2" t="s">
        <v>34</v>
      </c>
      <c r="E22" s="2" t="s">
        <v>206</v>
      </c>
      <c r="F22" s="2">
        <v>36928</v>
      </c>
      <c r="G22" s="3" t="str">
        <f>HYPERLINK("http://funmeta.oebiotech.com/network/36928", "http://funmeta.oebiotech.com/network/36928")</f>
        <v>http://funmeta.oebiotech.com/network/36928</v>
      </c>
      <c r="H22" s="2"/>
      <c r="I22" s="2"/>
      <c r="J22" s="2" t="s">
        <v>207</v>
      </c>
      <c r="K22" s="2"/>
      <c r="L22" s="2"/>
      <c r="M22" s="2"/>
      <c r="N22" s="2"/>
      <c r="O22" s="2"/>
      <c r="P22" s="2"/>
      <c r="Q22" s="2" t="s">
        <v>208</v>
      </c>
      <c r="R22" s="2" t="s">
        <v>209</v>
      </c>
      <c r="S22" s="2" t="s">
        <v>50</v>
      </c>
      <c r="T22" s="2" t="s">
        <v>201</v>
      </c>
      <c r="U22" s="2" t="s">
        <v>210</v>
      </c>
      <c r="V22" s="2" t="s">
        <v>42</v>
      </c>
      <c r="W22" s="2">
        <v>48.7</v>
      </c>
      <c r="X22" s="2">
        <v>47.2</v>
      </c>
      <c r="Y22" s="2" t="s">
        <v>43</v>
      </c>
      <c r="Z22" s="2" t="s">
        <v>211</v>
      </c>
      <c r="AA22" s="2">
        <v>-1.3369237734744199</v>
      </c>
      <c r="AB22" s="2">
        <v>7.3081862083911</v>
      </c>
      <c r="AC22" s="2">
        <v>7946597.6811778601</v>
      </c>
      <c r="AD22" s="2">
        <v>4430073.7730505299</v>
      </c>
      <c r="AE22" s="2">
        <v>8176239.5829244005</v>
      </c>
      <c r="AF22" s="2">
        <v>8098977.7932018898</v>
      </c>
      <c r="AG22" s="2">
        <v>8027097.21587676</v>
      </c>
      <c r="AH22" s="2">
        <v>8140020.2223888896</v>
      </c>
      <c r="AI22" s="2">
        <v>7623879.57021021</v>
      </c>
      <c r="AJ22" s="2">
        <v>7613371.7024650099</v>
      </c>
      <c r="AK22" s="2">
        <v>4495644.9460001299</v>
      </c>
      <c r="AL22" s="2">
        <v>4348566.2995680496</v>
      </c>
      <c r="AM22" s="2">
        <v>4499668.2759493003</v>
      </c>
      <c r="AN22" s="2">
        <v>4433977.5312560396</v>
      </c>
      <c r="AO22" s="2">
        <v>4362197.98482191</v>
      </c>
      <c r="AP22" s="2">
        <v>4440387.6007077303</v>
      </c>
    </row>
    <row r="23" spans="1:42" ht="14.5" x14ac:dyDescent="0.35">
      <c r="A23" s="2" t="s">
        <v>212</v>
      </c>
      <c r="B23" s="2">
        <v>744.35791872304901</v>
      </c>
      <c r="C23" s="2">
        <v>5.7044666666666703</v>
      </c>
      <c r="D23" s="2" t="s">
        <v>34</v>
      </c>
      <c r="E23" s="2" t="s">
        <v>213</v>
      </c>
      <c r="F23" s="2">
        <v>27982</v>
      </c>
      <c r="G23" s="3" t="str">
        <f>HYPERLINK("http://funmeta.oebiotech.com/network/27982", "http://funmeta.oebiotech.com/network/27982")</f>
        <v>http://funmeta.oebiotech.com/network/27982</v>
      </c>
      <c r="H23" s="2"/>
      <c r="I23" s="2"/>
      <c r="J23" s="2" t="s">
        <v>214</v>
      </c>
      <c r="K23" s="2"/>
      <c r="L23" s="2"/>
      <c r="M23" s="2"/>
      <c r="N23" s="2"/>
      <c r="O23" s="2">
        <v>134812429</v>
      </c>
      <c r="P23" s="2"/>
      <c r="Q23" s="2" t="s">
        <v>215</v>
      </c>
      <c r="R23" s="2" t="s">
        <v>216</v>
      </c>
      <c r="S23" s="2" t="s">
        <v>50</v>
      </c>
      <c r="T23" s="2" t="s">
        <v>51</v>
      </c>
      <c r="U23" s="2" t="s">
        <v>52</v>
      </c>
      <c r="V23" s="2" t="s">
        <v>42</v>
      </c>
      <c r="W23" s="2">
        <v>53.1</v>
      </c>
      <c r="X23" s="2">
        <v>73.5</v>
      </c>
      <c r="Y23" s="2" t="s">
        <v>43</v>
      </c>
      <c r="Z23" s="2" t="s">
        <v>217</v>
      </c>
      <c r="AA23" s="2">
        <v>1.8185940044327999</v>
      </c>
      <c r="AB23" s="2">
        <v>7.2404017663835099</v>
      </c>
      <c r="AC23" s="2">
        <v>18045689.015766099</v>
      </c>
      <c r="AD23" s="2">
        <v>14514431.5764369</v>
      </c>
      <c r="AE23" s="2">
        <v>18254851.875353899</v>
      </c>
      <c r="AF23" s="2">
        <v>17731037.259566601</v>
      </c>
      <c r="AG23" s="2">
        <v>18696343.6658778</v>
      </c>
      <c r="AH23" s="2">
        <v>17813220.393156301</v>
      </c>
      <c r="AI23" s="2">
        <v>18012238.627481598</v>
      </c>
      <c r="AJ23" s="2">
        <v>17766442.273160301</v>
      </c>
      <c r="AK23" s="2">
        <v>13834254.918566</v>
      </c>
      <c r="AL23" s="2">
        <v>14436241.6555409</v>
      </c>
      <c r="AM23" s="2">
        <v>15221427.4598704</v>
      </c>
      <c r="AN23" s="2">
        <v>14773352.9074056</v>
      </c>
      <c r="AO23" s="2">
        <v>14724434.750070799</v>
      </c>
      <c r="AP23" s="2">
        <v>14096877.7671679</v>
      </c>
    </row>
    <row r="24" spans="1:42" ht="14.5" x14ac:dyDescent="0.35">
      <c r="A24" s="2" t="s">
        <v>218</v>
      </c>
      <c r="B24" s="2">
        <v>806.37307437759898</v>
      </c>
      <c r="C24" s="2">
        <v>7.7732999999999999</v>
      </c>
      <c r="D24" s="2" t="s">
        <v>34</v>
      </c>
      <c r="E24" s="2" t="s">
        <v>219</v>
      </c>
      <c r="F24" s="2">
        <v>203556</v>
      </c>
      <c r="G24" s="3" t="str">
        <f>HYPERLINK("http://funmeta.oebiotech.com/network/203556", "http://funmeta.oebiotech.com/network/203556")</f>
        <v>http://funmeta.oebiotech.com/network/203556</v>
      </c>
      <c r="H24" s="2" t="s">
        <v>220</v>
      </c>
      <c r="I24" s="2"/>
      <c r="J24" s="2"/>
      <c r="K24" s="2"/>
      <c r="L24" s="2"/>
      <c r="M24" s="2"/>
      <c r="N24" s="2"/>
      <c r="O24" s="2">
        <v>17896869</v>
      </c>
      <c r="P24" s="2"/>
      <c r="Q24" s="2" t="s">
        <v>221</v>
      </c>
      <c r="R24" s="2" t="s">
        <v>222</v>
      </c>
      <c r="S24" s="2" t="s">
        <v>41</v>
      </c>
      <c r="T24" s="2" t="s">
        <v>41</v>
      </c>
      <c r="U24" s="2" t="s">
        <v>41</v>
      </c>
      <c r="V24" s="2" t="s">
        <v>42</v>
      </c>
      <c r="W24" s="2">
        <v>54.4</v>
      </c>
      <c r="X24" s="2">
        <v>75.8</v>
      </c>
      <c r="Y24" s="2" t="s">
        <v>43</v>
      </c>
      <c r="Z24" s="2" t="s">
        <v>223</v>
      </c>
      <c r="AA24" s="2">
        <v>-1.9571159288939699</v>
      </c>
      <c r="AB24" s="2">
        <v>6.8837331193211799</v>
      </c>
      <c r="AC24" s="2">
        <v>4035702.6610311102</v>
      </c>
      <c r="AD24" s="2">
        <v>7173009.5707825404</v>
      </c>
      <c r="AE24" s="2">
        <v>3939446.4738907702</v>
      </c>
      <c r="AF24" s="2">
        <v>4140188.36778217</v>
      </c>
      <c r="AG24" s="2">
        <v>4217786.99760109</v>
      </c>
      <c r="AH24" s="2">
        <v>3800676.6862459402</v>
      </c>
      <c r="AI24" s="2">
        <v>3876231.4328777101</v>
      </c>
      <c r="AJ24" s="2">
        <v>4239886.0077889701</v>
      </c>
      <c r="AK24" s="2">
        <v>6854185.0710561704</v>
      </c>
      <c r="AL24" s="2">
        <v>7417806.8139917096</v>
      </c>
      <c r="AM24" s="2">
        <v>7372430.9936448503</v>
      </c>
      <c r="AN24" s="2">
        <v>7136110.2228566604</v>
      </c>
      <c r="AO24" s="2">
        <v>6924829.9068476399</v>
      </c>
      <c r="AP24" s="2">
        <v>7332694.4162982302</v>
      </c>
    </row>
    <row r="25" spans="1:42" ht="14.5" x14ac:dyDescent="0.35">
      <c r="A25" s="2" t="s">
        <v>224</v>
      </c>
      <c r="B25" s="2">
        <v>606.45722138598705</v>
      </c>
      <c r="C25" s="2">
        <v>12.573183333333301</v>
      </c>
      <c r="D25" s="2" t="s">
        <v>34</v>
      </c>
      <c r="E25" s="2" t="s">
        <v>225</v>
      </c>
      <c r="F25" s="2">
        <v>10258</v>
      </c>
      <c r="G25" s="3" t="str">
        <f>HYPERLINK("http://funmeta.oebiotech.com/network/10258", "http://funmeta.oebiotech.com/network/10258")</f>
        <v>http://funmeta.oebiotech.com/network/10258</v>
      </c>
      <c r="H25" s="2"/>
      <c r="I25" s="2"/>
      <c r="J25" s="2" t="s">
        <v>226</v>
      </c>
      <c r="K25" s="2"/>
      <c r="L25" s="2"/>
      <c r="M25" s="2"/>
      <c r="N25" s="2"/>
      <c r="O25" s="2"/>
      <c r="P25" s="2"/>
      <c r="Q25" s="2" t="s">
        <v>227</v>
      </c>
      <c r="R25" s="2" t="s">
        <v>228</v>
      </c>
      <c r="S25" s="2" t="s">
        <v>50</v>
      </c>
      <c r="T25" s="2" t="s">
        <v>229</v>
      </c>
      <c r="U25" s="2" t="s">
        <v>230</v>
      </c>
      <c r="V25" s="2" t="s">
        <v>59</v>
      </c>
      <c r="W25" s="2">
        <v>39.200000000000003</v>
      </c>
      <c r="X25" s="2">
        <v>2.2799999999999998</v>
      </c>
      <c r="Y25" s="2" t="s">
        <v>231</v>
      </c>
      <c r="Z25" s="2" t="s">
        <v>232</v>
      </c>
      <c r="AA25" s="2">
        <v>-0.57381141198214503</v>
      </c>
      <c r="AB25" s="2">
        <v>6.8202175694032396</v>
      </c>
      <c r="AC25" s="2">
        <v>12633.7935804719</v>
      </c>
      <c r="AD25" s="2">
        <v>3074087.5875318102</v>
      </c>
      <c r="AE25" s="2">
        <v>13086.1441679531</v>
      </c>
      <c r="AF25" s="2">
        <v>13995.2104561329</v>
      </c>
      <c r="AG25" s="2">
        <v>13199.1167120026</v>
      </c>
      <c r="AH25" s="2">
        <v>13801.930514948899</v>
      </c>
      <c r="AI25" s="2">
        <v>10591.6113001995</v>
      </c>
      <c r="AJ25" s="2">
        <v>11128.748331594201</v>
      </c>
      <c r="AK25" s="2">
        <v>2869839.9470887999</v>
      </c>
      <c r="AL25" s="2">
        <v>3017440.8781816098</v>
      </c>
      <c r="AM25" s="2">
        <v>3375380.4512950899</v>
      </c>
      <c r="AN25" s="2">
        <v>2897946.6684952099</v>
      </c>
      <c r="AO25" s="2">
        <v>3104002.65172364</v>
      </c>
      <c r="AP25" s="2">
        <v>3179914.9284065198</v>
      </c>
    </row>
    <row r="26" spans="1:42" ht="14.5" x14ac:dyDescent="0.35">
      <c r="A26" s="2" t="s">
        <v>233</v>
      </c>
      <c r="B26" s="2">
        <v>545.23761429303102</v>
      </c>
      <c r="C26" s="2">
        <v>6.0954833333333296</v>
      </c>
      <c r="D26" s="2" t="s">
        <v>34</v>
      </c>
      <c r="E26" s="4" t="s">
        <v>234</v>
      </c>
      <c r="F26" s="2">
        <v>280495</v>
      </c>
      <c r="G26" s="3" t="str">
        <f>HYPERLINK("http://funmeta.oebiotech.com/network/280495", "http://funmeta.oebiotech.com/network/280495")</f>
        <v>http://funmeta.oebiotech.com/network/280495</v>
      </c>
      <c r="H26" s="2"/>
      <c r="I26" s="2">
        <v>84946</v>
      </c>
      <c r="J26" s="2"/>
      <c r="K26" s="2"/>
      <c r="L26" s="2" t="s">
        <v>235</v>
      </c>
      <c r="M26" s="2" t="s">
        <v>236</v>
      </c>
      <c r="N26" s="2" t="s">
        <v>237</v>
      </c>
      <c r="O26" s="2">
        <v>154272</v>
      </c>
      <c r="P26" s="2" t="s">
        <v>238</v>
      </c>
      <c r="Q26" s="2" t="s">
        <v>239</v>
      </c>
      <c r="R26" s="2" t="s">
        <v>240</v>
      </c>
      <c r="S26" s="2" t="s">
        <v>50</v>
      </c>
      <c r="T26" s="2" t="s">
        <v>201</v>
      </c>
      <c r="U26" s="2" t="s">
        <v>241</v>
      </c>
      <c r="V26" s="2" t="s">
        <v>42</v>
      </c>
      <c r="W26" s="2">
        <v>52.9</v>
      </c>
      <c r="X26" s="2">
        <v>67.900000000000006</v>
      </c>
      <c r="Y26" s="2" t="s">
        <v>242</v>
      </c>
      <c r="Z26" s="2" t="s">
        <v>243</v>
      </c>
      <c r="AA26" s="2">
        <v>-0.93616356238132903</v>
      </c>
      <c r="AB26" s="2">
        <v>6.7069315682531503</v>
      </c>
      <c r="AC26" s="2">
        <v>7628138.2421882199</v>
      </c>
      <c r="AD26" s="2">
        <v>4658270.6510132998</v>
      </c>
      <c r="AE26" s="2">
        <v>7629251.9895177502</v>
      </c>
      <c r="AF26" s="2">
        <v>7610845.3226065403</v>
      </c>
      <c r="AG26" s="2">
        <v>7810687.5803617695</v>
      </c>
      <c r="AH26" s="2">
        <v>7541077.91416323</v>
      </c>
      <c r="AI26" s="2">
        <v>7268762.4163935203</v>
      </c>
      <c r="AJ26" s="2">
        <v>7908204.2300865203</v>
      </c>
      <c r="AK26" s="2">
        <v>4504825.4506702898</v>
      </c>
      <c r="AL26" s="2">
        <v>4929538.4005486201</v>
      </c>
      <c r="AM26" s="2">
        <v>4865460.9172320804</v>
      </c>
      <c r="AN26" s="2">
        <v>4559377.2113124998</v>
      </c>
      <c r="AO26" s="2">
        <v>4460273.7001196602</v>
      </c>
      <c r="AP26" s="2">
        <v>4630148.22619667</v>
      </c>
    </row>
    <row r="27" spans="1:42" ht="14.5" x14ac:dyDescent="0.35">
      <c r="A27" s="2" t="s">
        <v>244</v>
      </c>
      <c r="B27" s="2">
        <v>393.20922103151798</v>
      </c>
      <c r="C27" s="2">
        <v>4.2938999999999998</v>
      </c>
      <c r="D27" s="2" t="s">
        <v>34</v>
      </c>
      <c r="E27" s="2" t="s">
        <v>245</v>
      </c>
      <c r="F27" s="2">
        <v>115446</v>
      </c>
      <c r="G27" s="3" t="str">
        <f>HYPERLINK("http://funmeta.oebiotech.com/network/115446", "http://funmeta.oebiotech.com/network/115446")</f>
        <v>http://funmeta.oebiotech.com/network/115446</v>
      </c>
      <c r="H27" s="2" t="s">
        <v>246</v>
      </c>
      <c r="I27" s="2">
        <v>332404</v>
      </c>
      <c r="J27" s="2"/>
      <c r="K27" s="2">
        <v>44794</v>
      </c>
      <c r="L27" s="2"/>
      <c r="M27" s="2"/>
      <c r="N27" s="2"/>
      <c r="O27" s="2">
        <v>78798</v>
      </c>
      <c r="P27" s="2"/>
      <c r="Q27" s="2" t="s">
        <v>247</v>
      </c>
      <c r="R27" s="2" t="s">
        <v>248</v>
      </c>
      <c r="S27" s="2" t="s">
        <v>79</v>
      </c>
      <c r="T27" s="2" t="s">
        <v>80</v>
      </c>
      <c r="U27" s="2" t="s">
        <v>249</v>
      </c>
      <c r="V27" s="2" t="s">
        <v>59</v>
      </c>
      <c r="W27" s="2">
        <v>43.7</v>
      </c>
      <c r="X27" s="2">
        <v>22.7</v>
      </c>
      <c r="Y27" s="2" t="s">
        <v>250</v>
      </c>
      <c r="Z27" s="2" t="s">
        <v>251</v>
      </c>
      <c r="AA27" s="2">
        <v>-0.76255925322489004</v>
      </c>
      <c r="AB27" s="2">
        <v>6.3706463578421504</v>
      </c>
      <c r="AC27" s="2">
        <v>5479594.8927353499</v>
      </c>
      <c r="AD27" s="2">
        <v>8195571.1886952203</v>
      </c>
      <c r="AE27" s="2">
        <v>5744013.4088822696</v>
      </c>
      <c r="AF27" s="2">
        <v>5348165.6205474799</v>
      </c>
      <c r="AG27" s="2">
        <v>5400419.2246978097</v>
      </c>
      <c r="AH27" s="2">
        <v>5728158.9013650902</v>
      </c>
      <c r="AI27" s="2">
        <v>5398355.6852277797</v>
      </c>
      <c r="AJ27" s="2">
        <v>5258456.5156916399</v>
      </c>
      <c r="AK27" s="2">
        <v>7829456.1404975001</v>
      </c>
      <c r="AL27" s="2">
        <v>7829697.0003911499</v>
      </c>
      <c r="AM27" s="2">
        <v>8874406.3505812008</v>
      </c>
      <c r="AN27" s="2">
        <v>8266008.8432005104</v>
      </c>
      <c r="AO27" s="2">
        <v>8156684.2454719497</v>
      </c>
      <c r="AP27" s="2">
        <v>8217174.5520290099</v>
      </c>
    </row>
    <row r="28" spans="1:42" ht="14.5" x14ac:dyDescent="0.35">
      <c r="A28" s="2" t="s">
        <v>252</v>
      </c>
      <c r="B28" s="2">
        <v>610.33709287041995</v>
      </c>
      <c r="C28" s="2">
        <v>8.9715833333333297</v>
      </c>
      <c r="D28" s="2" t="s">
        <v>34</v>
      </c>
      <c r="E28" s="2" t="s">
        <v>253</v>
      </c>
      <c r="F28" s="2">
        <v>27890</v>
      </c>
      <c r="G28" s="3" t="str">
        <f>HYPERLINK("http://funmeta.oebiotech.com/network/27890", "http://funmeta.oebiotech.com/network/27890")</f>
        <v>http://funmeta.oebiotech.com/network/27890</v>
      </c>
      <c r="H28" s="2"/>
      <c r="I28" s="2"/>
      <c r="J28" s="2" t="s">
        <v>254</v>
      </c>
      <c r="K28" s="2"/>
      <c r="L28" s="2"/>
      <c r="M28" s="2"/>
      <c r="N28" s="2"/>
      <c r="O28" s="2">
        <v>134812347</v>
      </c>
      <c r="P28" s="2"/>
      <c r="Q28" s="2" t="s">
        <v>255</v>
      </c>
      <c r="R28" s="2" t="s">
        <v>256</v>
      </c>
      <c r="S28" s="2" t="s">
        <v>50</v>
      </c>
      <c r="T28" s="2" t="s">
        <v>51</v>
      </c>
      <c r="U28" s="2" t="s">
        <v>257</v>
      </c>
      <c r="V28" s="2" t="s">
        <v>59</v>
      </c>
      <c r="W28" s="2">
        <v>41</v>
      </c>
      <c r="X28" s="2">
        <v>18.600000000000001</v>
      </c>
      <c r="Y28" s="2" t="s">
        <v>92</v>
      </c>
      <c r="Z28" s="2" t="s">
        <v>258</v>
      </c>
      <c r="AA28" s="2">
        <v>3.31237279210321</v>
      </c>
      <c r="AB28" s="2">
        <v>6.2028584410417</v>
      </c>
      <c r="AC28" s="2">
        <v>4413894.40934058</v>
      </c>
      <c r="AD28" s="2">
        <v>6951576.1575496998</v>
      </c>
      <c r="AE28" s="2">
        <v>4526237.46956327</v>
      </c>
      <c r="AF28" s="2">
        <v>4383292.5647748997</v>
      </c>
      <c r="AG28" s="2">
        <v>4511920.2356410297</v>
      </c>
      <c r="AH28" s="2">
        <v>4204530.4243534701</v>
      </c>
      <c r="AI28" s="2">
        <v>4371208.1112001603</v>
      </c>
      <c r="AJ28" s="2">
        <v>4486177.6505106501</v>
      </c>
      <c r="AK28" s="2">
        <v>7008712.9252395304</v>
      </c>
      <c r="AL28" s="2">
        <v>6703734.5966020497</v>
      </c>
      <c r="AM28" s="2">
        <v>7196485.7978852196</v>
      </c>
      <c r="AN28" s="2">
        <v>6930210.8782712501</v>
      </c>
      <c r="AO28" s="2">
        <v>6995865.8507366497</v>
      </c>
      <c r="AP28" s="2">
        <v>6874446.8965635002</v>
      </c>
    </row>
    <row r="29" spans="1:42" ht="14.5" x14ac:dyDescent="0.35">
      <c r="A29" s="2" t="s">
        <v>259</v>
      </c>
      <c r="B29" s="2">
        <v>295.16887126438002</v>
      </c>
      <c r="C29" s="2">
        <v>7.0664166666666697</v>
      </c>
      <c r="D29" s="2" t="s">
        <v>34</v>
      </c>
      <c r="E29" s="2" t="s">
        <v>260</v>
      </c>
      <c r="F29" s="2">
        <v>63893</v>
      </c>
      <c r="G29" s="3" t="str">
        <f>HYPERLINK("http://funmeta.oebiotech.com/network/63893", "http://funmeta.oebiotech.com/network/63893")</f>
        <v>http://funmeta.oebiotech.com/network/63893</v>
      </c>
      <c r="H29" s="2" t="s">
        <v>261</v>
      </c>
      <c r="I29" s="2">
        <v>95226</v>
      </c>
      <c r="J29" s="2"/>
      <c r="K29" s="2">
        <v>175001</v>
      </c>
      <c r="L29" s="2"/>
      <c r="M29" s="2"/>
      <c r="N29" s="2"/>
      <c r="O29" s="2">
        <v>13497961</v>
      </c>
      <c r="P29" s="2" t="s">
        <v>262</v>
      </c>
      <c r="Q29" s="2" t="s">
        <v>263</v>
      </c>
      <c r="R29" s="2" t="s">
        <v>264</v>
      </c>
      <c r="S29" s="2" t="s">
        <v>50</v>
      </c>
      <c r="T29" s="2" t="s">
        <v>201</v>
      </c>
      <c r="U29" s="2" t="s">
        <v>265</v>
      </c>
      <c r="V29" s="2" t="s">
        <v>42</v>
      </c>
      <c r="W29" s="2">
        <v>53.1</v>
      </c>
      <c r="X29" s="2">
        <v>70.599999999999994</v>
      </c>
      <c r="Y29" s="2" t="s">
        <v>266</v>
      </c>
      <c r="Z29" s="2" t="s">
        <v>267</v>
      </c>
      <c r="AA29" s="2">
        <v>-1.23365743199692</v>
      </c>
      <c r="AB29" s="2">
        <v>6.1401782775532698</v>
      </c>
      <c r="AC29" s="2">
        <v>3622130.8105809698</v>
      </c>
      <c r="AD29" s="2">
        <v>1145013.68852032</v>
      </c>
      <c r="AE29" s="2">
        <v>3506673.8173355702</v>
      </c>
      <c r="AF29" s="2">
        <v>3621778.8787111999</v>
      </c>
      <c r="AG29" s="2">
        <v>3705790.6303891302</v>
      </c>
      <c r="AH29" s="2">
        <v>3661103.1349394</v>
      </c>
      <c r="AI29" s="2">
        <v>3458952.93959965</v>
      </c>
      <c r="AJ29" s="2">
        <v>3778485.4625108698</v>
      </c>
      <c r="AK29" s="2">
        <v>1110462.94441693</v>
      </c>
      <c r="AL29" s="2">
        <v>1192385.79291592</v>
      </c>
      <c r="AM29" s="2">
        <v>1182104.3962414199</v>
      </c>
      <c r="AN29" s="2">
        <v>1145868.21861822</v>
      </c>
      <c r="AO29" s="2">
        <v>1115888.3940896201</v>
      </c>
      <c r="AP29" s="2">
        <v>1123372.38483983</v>
      </c>
    </row>
    <row r="30" spans="1:42" ht="14.5" x14ac:dyDescent="0.35">
      <c r="A30" s="2" t="s">
        <v>268</v>
      </c>
      <c r="B30" s="2">
        <v>568.32647176497301</v>
      </c>
      <c r="C30" s="2">
        <v>5.9690166666666702</v>
      </c>
      <c r="D30" s="2" t="s">
        <v>34</v>
      </c>
      <c r="E30" s="2" t="s">
        <v>269</v>
      </c>
      <c r="F30" s="2">
        <v>28052</v>
      </c>
      <c r="G30" s="3" t="str">
        <f>HYPERLINK("http://funmeta.oebiotech.com/network/28052", "http://funmeta.oebiotech.com/network/28052")</f>
        <v>http://funmeta.oebiotech.com/network/28052</v>
      </c>
      <c r="H30" s="2"/>
      <c r="I30" s="2"/>
      <c r="J30" s="2" t="s">
        <v>270</v>
      </c>
      <c r="K30" s="2"/>
      <c r="L30" s="2"/>
      <c r="M30" s="2"/>
      <c r="N30" s="2"/>
      <c r="O30" s="2">
        <v>134812498</v>
      </c>
      <c r="P30" s="2"/>
      <c r="Q30" s="2" t="s">
        <v>271</v>
      </c>
      <c r="R30" s="2" t="s">
        <v>272</v>
      </c>
      <c r="S30" s="2" t="s">
        <v>50</v>
      </c>
      <c r="T30" s="2" t="s">
        <v>51</v>
      </c>
      <c r="U30" s="2" t="s">
        <v>273</v>
      </c>
      <c r="V30" s="2" t="s">
        <v>42</v>
      </c>
      <c r="W30" s="2">
        <v>46.9</v>
      </c>
      <c r="X30" s="2">
        <v>45.1</v>
      </c>
      <c r="Y30" s="2" t="s">
        <v>43</v>
      </c>
      <c r="Z30" s="2" t="s">
        <v>274</v>
      </c>
      <c r="AA30" s="2">
        <v>3.5652104214282399</v>
      </c>
      <c r="AB30" s="2">
        <v>6.0892029048703202</v>
      </c>
      <c r="AC30" s="2">
        <v>4165582.8920657299</v>
      </c>
      <c r="AD30" s="2">
        <v>1726066.2081101399</v>
      </c>
      <c r="AE30" s="2">
        <v>4142527.5474088602</v>
      </c>
      <c r="AF30" s="2">
        <v>4016850.7573837298</v>
      </c>
      <c r="AG30" s="2">
        <v>4159336.1699589798</v>
      </c>
      <c r="AH30" s="2">
        <v>4324132.9406988397</v>
      </c>
      <c r="AI30" s="2">
        <v>4140073.48494067</v>
      </c>
      <c r="AJ30" s="2">
        <v>4210576.4520033002</v>
      </c>
      <c r="AK30" s="2">
        <v>1750270.52615114</v>
      </c>
      <c r="AL30" s="2">
        <v>1672520.0412899</v>
      </c>
      <c r="AM30" s="2">
        <v>1881313.33347044</v>
      </c>
      <c r="AN30" s="2">
        <v>1690843.98800226</v>
      </c>
      <c r="AO30" s="2">
        <v>1646276.97751968</v>
      </c>
      <c r="AP30" s="2">
        <v>1715172.3822274201</v>
      </c>
    </row>
    <row r="31" spans="1:42" ht="14.5" x14ac:dyDescent="0.35">
      <c r="A31" s="2" t="s">
        <v>275</v>
      </c>
      <c r="B31" s="2">
        <v>701.49260072704806</v>
      </c>
      <c r="C31" s="2">
        <v>5.1518499999999996</v>
      </c>
      <c r="D31" s="2" t="s">
        <v>34</v>
      </c>
      <c r="E31" s="2" t="s">
        <v>276</v>
      </c>
      <c r="F31" s="2">
        <v>243162</v>
      </c>
      <c r="G31" s="3" t="str">
        <f>HYPERLINK("http://funmeta.oebiotech.com/network/243162", "http://funmeta.oebiotech.com/network/243162")</f>
        <v>http://funmeta.oebiotech.com/network/243162</v>
      </c>
      <c r="H31" s="2" t="s">
        <v>277</v>
      </c>
      <c r="I31" s="2"/>
      <c r="J31" s="2"/>
      <c r="K31" s="2"/>
      <c r="L31" s="2"/>
      <c r="M31" s="2"/>
      <c r="N31" s="2"/>
      <c r="O31" s="2"/>
      <c r="P31" s="2"/>
      <c r="Q31" s="2" t="s">
        <v>278</v>
      </c>
      <c r="R31" s="2" t="s">
        <v>279</v>
      </c>
      <c r="S31" s="2" t="s">
        <v>41</v>
      </c>
      <c r="T31" s="2" t="s">
        <v>41</v>
      </c>
      <c r="U31" s="2" t="s">
        <v>41</v>
      </c>
      <c r="V31" s="2" t="s">
        <v>59</v>
      </c>
      <c r="W31" s="2">
        <v>37.9</v>
      </c>
      <c r="X31" s="2">
        <v>0</v>
      </c>
      <c r="Y31" s="2" t="s">
        <v>141</v>
      </c>
      <c r="Z31" s="2" t="s">
        <v>280</v>
      </c>
      <c r="AA31" s="2">
        <v>0.59848003631471403</v>
      </c>
      <c r="AB31" s="2">
        <v>5.9560667552429001</v>
      </c>
      <c r="AC31" s="2">
        <v>9468137.0586246699</v>
      </c>
      <c r="AD31" s="2">
        <v>12233725.7263905</v>
      </c>
      <c r="AE31" s="2">
        <v>9573912.4182942398</v>
      </c>
      <c r="AF31" s="2">
        <v>10912052.5613256</v>
      </c>
      <c r="AG31" s="2">
        <v>9987979.1147256494</v>
      </c>
      <c r="AH31" s="2">
        <v>8077058.9420842202</v>
      </c>
      <c r="AI31" s="2">
        <v>8496406.0378184393</v>
      </c>
      <c r="AJ31" s="2">
        <v>9761413.2774998695</v>
      </c>
      <c r="AK31" s="2">
        <v>12702066.059056301</v>
      </c>
      <c r="AL31" s="2">
        <v>13699295.319113201</v>
      </c>
      <c r="AM31" s="2">
        <v>11785217.175773401</v>
      </c>
      <c r="AN31" s="2">
        <v>11778518.364568099</v>
      </c>
      <c r="AO31" s="2">
        <v>11954387.189252</v>
      </c>
      <c r="AP31" s="2">
        <v>11482870.2505803</v>
      </c>
    </row>
    <row r="32" spans="1:42" ht="14.5" x14ac:dyDescent="0.35">
      <c r="A32" s="2" t="s">
        <v>281</v>
      </c>
      <c r="B32" s="2">
        <v>856.31791721043101</v>
      </c>
      <c r="C32" s="2">
        <v>9.04463333333333</v>
      </c>
      <c r="D32" s="2" t="s">
        <v>70</v>
      </c>
      <c r="E32" s="4" t="s">
        <v>282</v>
      </c>
      <c r="F32" s="2">
        <v>466369</v>
      </c>
      <c r="G32" s="3" t="str">
        <f>HYPERLINK("http://funmeta.oebiotech.com/network/466369", "http://funmeta.oebiotech.com/network/466369")</f>
        <v>http://funmeta.oebiotech.com/network/466369</v>
      </c>
      <c r="H32" s="2"/>
      <c r="I32" s="2">
        <v>84947</v>
      </c>
      <c r="J32" s="2"/>
      <c r="K32" s="2"/>
      <c r="L32" s="2"/>
      <c r="M32" s="2"/>
      <c r="N32" s="2"/>
      <c r="O32" s="2">
        <v>155831</v>
      </c>
      <c r="P32" s="2" t="s">
        <v>283</v>
      </c>
      <c r="Q32" s="2" t="s">
        <v>284</v>
      </c>
      <c r="R32" s="2" t="s">
        <v>285</v>
      </c>
      <c r="S32" s="2" t="s">
        <v>50</v>
      </c>
      <c r="T32" s="2" t="s">
        <v>201</v>
      </c>
      <c r="U32" s="2" t="s">
        <v>241</v>
      </c>
      <c r="V32" s="2" t="s">
        <v>42</v>
      </c>
      <c r="W32" s="2">
        <v>54.9</v>
      </c>
      <c r="X32" s="2">
        <v>76.599999999999994</v>
      </c>
      <c r="Y32" s="2" t="s">
        <v>286</v>
      </c>
      <c r="Z32" s="2" t="s">
        <v>287</v>
      </c>
      <c r="AA32" s="2">
        <v>-0.83356721480388796</v>
      </c>
      <c r="AB32" s="2">
        <v>5.7429631951200699</v>
      </c>
      <c r="AC32" s="2">
        <v>10595996.601516999</v>
      </c>
      <c r="AD32" s="2">
        <v>8190299.0191432601</v>
      </c>
      <c r="AE32" s="2">
        <v>10462944.560072999</v>
      </c>
      <c r="AF32" s="2">
        <v>10870228.2337659</v>
      </c>
      <c r="AG32" s="2">
        <v>10029949.8253757</v>
      </c>
      <c r="AH32" s="2">
        <v>10694330.455050999</v>
      </c>
      <c r="AI32" s="2">
        <v>10138780.370700501</v>
      </c>
      <c r="AJ32" s="2">
        <v>11379746.164135801</v>
      </c>
      <c r="AK32" s="2">
        <v>7710361.43214464</v>
      </c>
      <c r="AL32" s="2">
        <v>8011597.7988446401</v>
      </c>
      <c r="AM32" s="2">
        <v>9241587.4611139204</v>
      </c>
      <c r="AN32" s="2">
        <v>8186193.5046961298</v>
      </c>
      <c r="AO32" s="2">
        <v>7149060.6439215401</v>
      </c>
      <c r="AP32" s="2">
        <v>8842993.2741387207</v>
      </c>
    </row>
    <row r="33" spans="1:42" ht="14.5" x14ac:dyDescent="0.35">
      <c r="A33" s="2" t="s">
        <v>288</v>
      </c>
      <c r="B33" s="2">
        <v>377.08499260059898</v>
      </c>
      <c r="C33" s="2">
        <v>0.72340000000000004</v>
      </c>
      <c r="D33" s="2" t="s">
        <v>70</v>
      </c>
      <c r="E33" s="2" t="s">
        <v>289</v>
      </c>
      <c r="F33" s="2">
        <v>204272</v>
      </c>
      <c r="G33" s="3" t="str">
        <f>HYPERLINK("http://funmeta.oebiotech.com/network/204272", "http://funmeta.oebiotech.com/network/204272")</f>
        <v>http://funmeta.oebiotech.com/network/204272</v>
      </c>
      <c r="H33" s="2" t="s">
        <v>290</v>
      </c>
      <c r="I33" s="2"/>
      <c r="J33" s="2"/>
      <c r="K33" s="2"/>
      <c r="L33" s="2"/>
      <c r="M33" s="2"/>
      <c r="N33" s="2"/>
      <c r="O33" s="2">
        <v>9929731</v>
      </c>
      <c r="P33" s="2"/>
      <c r="Q33" s="2" t="s">
        <v>291</v>
      </c>
      <c r="R33" s="2" t="s">
        <v>292</v>
      </c>
      <c r="S33" s="2" t="s">
        <v>41</v>
      </c>
      <c r="T33" s="2" t="s">
        <v>41</v>
      </c>
      <c r="U33" s="2" t="s">
        <v>41</v>
      </c>
      <c r="V33" s="2" t="s">
        <v>42</v>
      </c>
      <c r="W33" s="2">
        <v>42</v>
      </c>
      <c r="X33" s="2">
        <v>70.599999999999994</v>
      </c>
      <c r="Y33" s="2" t="s">
        <v>118</v>
      </c>
      <c r="Z33" s="2" t="s">
        <v>293</v>
      </c>
      <c r="AA33" s="2">
        <v>0.67679749933330802</v>
      </c>
      <c r="AB33" s="2">
        <v>5.7410925979655696</v>
      </c>
      <c r="AC33" s="2">
        <v>6615087.2128621303</v>
      </c>
      <c r="AD33" s="2">
        <v>9438557.2798922695</v>
      </c>
      <c r="AE33" s="2">
        <v>6651837.8590623699</v>
      </c>
      <c r="AF33" s="2">
        <v>6446504.9816249199</v>
      </c>
      <c r="AG33" s="2">
        <v>6042720.6755941696</v>
      </c>
      <c r="AH33" s="2">
        <v>7375398.4919466702</v>
      </c>
      <c r="AI33" s="2">
        <v>7099370.7997816401</v>
      </c>
      <c r="AJ33" s="2">
        <v>6074690.4691630304</v>
      </c>
      <c r="AK33" s="2">
        <v>12083112.096543999</v>
      </c>
      <c r="AL33" s="2">
        <v>11169579.6778601</v>
      </c>
      <c r="AM33" s="2">
        <v>8562907.1816706099</v>
      </c>
      <c r="AN33" s="2">
        <v>7989946.7168310499</v>
      </c>
      <c r="AO33" s="2">
        <v>8616764.2797255497</v>
      </c>
      <c r="AP33" s="2">
        <v>8209033.7267223001</v>
      </c>
    </row>
    <row r="34" spans="1:42" ht="14.5" x14ac:dyDescent="0.35">
      <c r="A34" s="2" t="s">
        <v>294</v>
      </c>
      <c r="B34" s="2">
        <v>626.33170235395505</v>
      </c>
      <c r="C34" s="2">
        <v>6.0424333333333298</v>
      </c>
      <c r="D34" s="2" t="s">
        <v>34</v>
      </c>
      <c r="E34" s="2" t="s">
        <v>295</v>
      </c>
      <c r="F34" s="2">
        <v>36086</v>
      </c>
      <c r="G34" s="3" t="str">
        <f>HYPERLINK("http://funmeta.oebiotech.com/network/36086", "http://funmeta.oebiotech.com/network/36086")</f>
        <v>http://funmeta.oebiotech.com/network/36086</v>
      </c>
      <c r="H34" s="2"/>
      <c r="I34" s="2"/>
      <c r="J34" s="2" t="s">
        <v>296</v>
      </c>
      <c r="K34" s="2"/>
      <c r="L34" s="2"/>
      <c r="M34" s="2"/>
      <c r="N34" s="2"/>
      <c r="O34" s="2"/>
      <c r="P34" s="2"/>
      <c r="Q34" s="2" t="s">
        <v>297</v>
      </c>
      <c r="R34" s="2" t="s">
        <v>298</v>
      </c>
      <c r="S34" s="2" t="s">
        <v>50</v>
      </c>
      <c r="T34" s="2" t="s">
        <v>201</v>
      </c>
      <c r="U34" s="2" t="s">
        <v>241</v>
      </c>
      <c r="V34" s="2" t="s">
        <v>42</v>
      </c>
      <c r="W34" s="2">
        <v>48.6</v>
      </c>
      <c r="X34" s="2">
        <v>51.5</v>
      </c>
      <c r="Y34" s="2" t="s">
        <v>43</v>
      </c>
      <c r="Z34" s="2" t="s">
        <v>299</v>
      </c>
      <c r="AA34" s="2">
        <v>-1.0786860881745199</v>
      </c>
      <c r="AB34" s="2">
        <v>5.7187183492321401</v>
      </c>
      <c r="AC34" s="2">
        <v>12127605.139714601</v>
      </c>
      <c r="AD34" s="2">
        <v>14331892.1610804</v>
      </c>
      <c r="AE34" s="2">
        <v>12086139.930204</v>
      </c>
      <c r="AF34" s="2">
        <v>12159770.742602101</v>
      </c>
      <c r="AG34" s="2">
        <v>12307612.2207247</v>
      </c>
      <c r="AH34" s="2">
        <v>12020119.828289701</v>
      </c>
      <c r="AI34" s="2">
        <v>11796203.2487712</v>
      </c>
      <c r="AJ34" s="2">
        <v>12395784.867696101</v>
      </c>
      <c r="AK34" s="2">
        <v>13830566.7663332</v>
      </c>
      <c r="AL34" s="2">
        <v>14749364.2128304</v>
      </c>
      <c r="AM34" s="2">
        <v>14507754.083303601</v>
      </c>
      <c r="AN34" s="2">
        <v>14173276.5059784</v>
      </c>
      <c r="AO34" s="2">
        <v>14432764.639565499</v>
      </c>
      <c r="AP34" s="2">
        <v>14297626.7584715</v>
      </c>
    </row>
    <row r="35" spans="1:42" ht="14.5" x14ac:dyDescent="0.35">
      <c r="A35" s="2" t="s">
        <v>300</v>
      </c>
      <c r="B35" s="2">
        <v>445.29450889437601</v>
      </c>
      <c r="C35" s="2">
        <v>4.7862166666666699</v>
      </c>
      <c r="D35" s="2" t="s">
        <v>34</v>
      </c>
      <c r="E35" s="2" t="s">
        <v>301</v>
      </c>
      <c r="F35" s="2">
        <v>44545</v>
      </c>
      <c r="G35" s="3" t="str">
        <f>HYPERLINK("http://funmeta.oebiotech.com/network/44545", "http://funmeta.oebiotech.com/network/44545")</f>
        <v>http://funmeta.oebiotech.com/network/44545</v>
      </c>
      <c r="H35" s="2"/>
      <c r="I35" s="2"/>
      <c r="J35" s="2" t="s">
        <v>302</v>
      </c>
      <c r="K35" s="2"/>
      <c r="L35" s="2"/>
      <c r="M35" s="2"/>
      <c r="N35" s="2"/>
      <c r="O35" s="2">
        <v>11385250</v>
      </c>
      <c r="P35" s="2"/>
      <c r="Q35" s="2" t="s">
        <v>303</v>
      </c>
      <c r="R35" s="2" t="s">
        <v>304</v>
      </c>
      <c r="S35" s="2" t="s">
        <v>50</v>
      </c>
      <c r="T35" s="2" t="s">
        <v>201</v>
      </c>
      <c r="U35" s="2" t="s">
        <v>210</v>
      </c>
      <c r="V35" s="2" t="s">
        <v>42</v>
      </c>
      <c r="W35" s="2">
        <v>56.5</v>
      </c>
      <c r="X35" s="2">
        <v>88.1</v>
      </c>
      <c r="Y35" s="2" t="s">
        <v>266</v>
      </c>
      <c r="Z35" s="2" t="s">
        <v>305</v>
      </c>
      <c r="AA35" s="2">
        <v>-0.76958763653142703</v>
      </c>
      <c r="AB35" s="2">
        <v>5.6226251079520502</v>
      </c>
      <c r="AC35" s="2">
        <v>4636542.2889474398</v>
      </c>
      <c r="AD35" s="2">
        <v>6790641.8696105797</v>
      </c>
      <c r="AE35" s="2">
        <v>4600642.5829300601</v>
      </c>
      <c r="AF35" s="2">
        <v>4590522.1892025396</v>
      </c>
      <c r="AG35" s="2">
        <v>4562140.2532780701</v>
      </c>
      <c r="AH35" s="2">
        <v>4574748.0851074904</v>
      </c>
      <c r="AI35" s="2">
        <v>4847301.6883034697</v>
      </c>
      <c r="AJ35" s="2">
        <v>4643898.93486303</v>
      </c>
      <c r="AK35" s="2">
        <v>6895506.8613388296</v>
      </c>
      <c r="AL35" s="2">
        <v>7108751.0930997701</v>
      </c>
      <c r="AM35" s="2">
        <v>6547512.7404020801</v>
      </c>
      <c r="AN35" s="2">
        <v>6067313.9385718303</v>
      </c>
      <c r="AO35" s="2">
        <v>6788853.9424480395</v>
      </c>
      <c r="AP35" s="2">
        <v>7335912.6418028995</v>
      </c>
    </row>
    <row r="36" spans="1:42" ht="14.5" x14ac:dyDescent="0.35">
      <c r="A36" s="2" t="s">
        <v>306</v>
      </c>
      <c r="B36" s="2">
        <v>658.35742564851205</v>
      </c>
      <c r="C36" s="2">
        <v>6.7284833333333296</v>
      </c>
      <c r="D36" s="2" t="s">
        <v>34</v>
      </c>
      <c r="E36" s="2" t="s">
        <v>307</v>
      </c>
      <c r="F36" s="2">
        <v>63196</v>
      </c>
      <c r="G36" s="3" t="str">
        <f>HYPERLINK("http://funmeta.oebiotech.com/network/63196", "http://funmeta.oebiotech.com/network/63196")</f>
        <v>http://funmeta.oebiotech.com/network/63196</v>
      </c>
      <c r="H36" s="2" t="s">
        <v>308</v>
      </c>
      <c r="I36" s="2">
        <v>94504</v>
      </c>
      <c r="J36" s="2"/>
      <c r="K36" s="2">
        <v>176269</v>
      </c>
      <c r="L36" s="2"/>
      <c r="M36" s="2"/>
      <c r="N36" s="2"/>
      <c r="O36" s="2">
        <v>10908386</v>
      </c>
      <c r="P36" s="2"/>
      <c r="Q36" s="2" t="s">
        <v>309</v>
      </c>
      <c r="R36" s="2" t="s">
        <v>310</v>
      </c>
      <c r="S36" s="2" t="s">
        <v>115</v>
      </c>
      <c r="T36" s="2" t="s">
        <v>116</v>
      </c>
      <c r="U36" s="2" t="s">
        <v>117</v>
      </c>
      <c r="V36" s="2" t="s">
        <v>59</v>
      </c>
      <c r="W36" s="2">
        <v>40.700000000000003</v>
      </c>
      <c r="X36" s="2">
        <v>10.9</v>
      </c>
      <c r="Y36" s="2" t="s">
        <v>43</v>
      </c>
      <c r="Z36" s="2" t="s">
        <v>311</v>
      </c>
      <c r="AA36" s="2">
        <v>-3.8808806719107598</v>
      </c>
      <c r="AB36" s="2">
        <v>5.4681642936993002</v>
      </c>
      <c r="AC36" s="2">
        <v>3575279.5502150301</v>
      </c>
      <c r="AD36" s="2">
        <v>5564660.2542131003</v>
      </c>
      <c r="AE36" s="2">
        <v>3562236.8813066198</v>
      </c>
      <c r="AF36" s="2">
        <v>3567956.5456456598</v>
      </c>
      <c r="AG36" s="2">
        <v>3718152.5818666802</v>
      </c>
      <c r="AH36" s="2">
        <v>3526857.8086013598</v>
      </c>
      <c r="AI36" s="2">
        <v>3349905.98807524</v>
      </c>
      <c r="AJ36" s="2">
        <v>3726567.4957945999</v>
      </c>
      <c r="AK36" s="2">
        <v>5632881.63671456</v>
      </c>
      <c r="AL36" s="2">
        <v>5461668.6663990896</v>
      </c>
      <c r="AM36" s="2">
        <v>5598166.0342541896</v>
      </c>
      <c r="AN36" s="2">
        <v>5372843.4687667498</v>
      </c>
      <c r="AO36" s="2">
        <v>5913222.5137767997</v>
      </c>
      <c r="AP36" s="2">
        <v>5409179.2053672001</v>
      </c>
    </row>
    <row r="37" spans="1:42" ht="14.5" x14ac:dyDescent="0.35">
      <c r="A37" s="2" t="s">
        <v>312</v>
      </c>
      <c r="B37" s="2">
        <v>870.56798756051603</v>
      </c>
      <c r="C37" s="2">
        <v>12.0231833333333</v>
      </c>
      <c r="D37" s="2" t="s">
        <v>34</v>
      </c>
      <c r="E37" s="2" t="s">
        <v>313</v>
      </c>
      <c r="F37" s="2">
        <v>241310</v>
      </c>
      <c r="G37" s="3" t="str">
        <f>HYPERLINK("http://funmeta.oebiotech.com/network/241310", "http://funmeta.oebiotech.com/network/241310")</f>
        <v>http://funmeta.oebiotech.com/network/241310</v>
      </c>
      <c r="H37" s="2" t="s">
        <v>314</v>
      </c>
      <c r="I37" s="2"/>
      <c r="J37" s="2"/>
      <c r="K37" s="2"/>
      <c r="L37" s="2"/>
      <c r="M37" s="2"/>
      <c r="N37" s="2"/>
      <c r="O37" s="2"/>
      <c r="P37" s="2"/>
      <c r="Q37" s="2" t="s">
        <v>315</v>
      </c>
      <c r="R37" s="2" t="s">
        <v>316</v>
      </c>
      <c r="S37" s="2" t="s">
        <v>41</v>
      </c>
      <c r="T37" s="2" t="s">
        <v>41</v>
      </c>
      <c r="U37" s="2" t="s">
        <v>41</v>
      </c>
      <c r="V37" s="2" t="s">
        <v>59</v>
      </c>
      <c r="W37" s="2">
        <v>42.8</v>
      </c>
      <c r="X37" s="2">
        <v>36.299999999999997</v>
      </c>
      <c r="Y37" s="2" t="s">
        <v>141</v>
      </c>
      <c r="Z37" s="2" t="s">
        <v>317</v>
      </c>
      <c r="AA37" s="2">
        <v>4.1026173504391998</v>
      </c>
      <c r="AB37" s="2">
        <v>5.3989021596583999</v>
      </c>
      <c r="AC37" s="2">
        <v>17956.293495147798</v>
      </c>
      <c r="AD37" s="2">
        <v>1944168.3203762299</v>
      </c>
      <c r="AE37" s="2">
        <v>17744.381807169299</v>
      </c>
      <c r="AF37" s="2">
        <v>20987.389517089301</v>
      </c>
      <c r="AG37" s="2">
        <v>17123.513740775699</v>
      </c>
      <c r="AH37" s="2">
        <v>18703.9471505642</v>
      </c>
      <c r="AI37" s="2">
        <v>17540.302012200002</v>
      </c>
      <c r="AJ37" s="2">
        <v>15638.226743088</v>
      </c>
      <c r="AK37" s="2">
        <v>1885791.9631938201</v>
      </c>
      <c r="AL37" s="2">
        <v>1723578.19088587</v>
      </c>
      <c r="AM37" s="2">
        <v>2288547.3528797501</v>
      </c>
      <c r="AN37" s="2">
        <v>1895167.07870763</v>
      </c>
      <c r="AO37" s="2">
        <v>1890579.4741849101</v>
      </c>
      <c r="AP37" s="2">
        <v>1981345.86240537</v>
      </c>
    </row>
    <row r="38" spans="1:42" ht="14.5" x14ac:dyDescent="0.35">
      <c r="A38" s="2" t="s">
        <v>318</v>
      </c>
      <c r="B38" s="2">
        <v>786.36826818684494</v>
      </c>
      <c r="C38" s="2">
        <v>6.9244500000000002</v>
      </c>
      <c r="D38" s="2" t="s">
        <v>34</v>
      </c>
      <c r="E38" s="2" t="s">
        <v>319</v>
      </c>
      <c r="F38" s="2">
        <v>212026</v>
      </c>
      <c r="G38" s="3" t="str">
        <f>HYPERLINK("http://funmeta.oebiotech.com/network/212026", "http://funmeta.oebiotech.com/network/212026")</f>
        <v>http://funmeta.oebiotech.com/network/212026</v>
      </c>
      <c r="H38" s="2" t="s">
        <v>320</v>
      </c>
      <c r="I38" s="2"/>
      <c r="J38" s="2"/>
      <c r="K38" s="2"/>
      <c r="L38" s="2"/>
      <c r="M38" s="2"/>
      <c r="N38" s="2"/>
      <c r="O38" s="2">
        <v>5121967</v>
      </c>
      <c r="P38" s="2"/>
      <c r="Q38" s="2" t="s">
        <v>321</v>
      </c>
      <c r="R38" s="2" t="s">
        <v>322</v>
      </c>
      <c r="S38" s="2" t="s">
        <v>89</v>
      </c>
      <c r="T38" s="2" t="s">
        <v>90</v>
      </c>
      <c r="U38" s="2" t="s">
        <v>99</v>
      </c>
      <c r="V38" s="2" t="s">
        <v>42</v>
      </c>
      <c r="W38" s="2">
        <v>51.2</v>
      </c>
      <c r="X38" s="2">
        <v>57.2</v>
      </c>
      <c r="Y38" s="2" t="s">
        <v>323</v>
      </c>
      <c r="Z38" s="2" t="s">
        <v>324</v>
      </c>
      <c r="AA38" s="2">
        <v>-0.255983466265014</v>
      </c>
      <c r="AB38" s="2">
        <v>5.3715625584123803</v>
      </c>
      <c r="AC38" s="2">
        <v>113481087.404314</v>
      </c>
      <c r="AD38" s="2">
        <v>110036858.49233</v>
      </c>
      <c r="AE38" s="2">
        <v>116590705.194662</v>
      </c>
      <c r="AF38" s="2">
        <v>111392608.36258</v>
      </c>
      <c r="AG38" s="2">
        <v>116465326.51436099</v>
      </c>
      <c r="AH38" s="2">
        <v>111561943.405176</v>
      </c>
      <c r="AI38" s="2">
        <v>110633222.83541501</v>
      </c>
      <c r="AJ38" s="2">
        <v>114242718.113691</v>
      </c>
      <c r="AK38" s="2">
        <v>104718755.03546301</v>
      </c>
      <c r="AL38" s="2">
        <v>112370623.645619</v>
      </c>
      <c r="AM38" s="2">
        <v>111524725.11880399</v>
      </c>
      <c r="AN38" s="2">
        <v>112416762.709528</v>
      </c>
      <c r="AO38" s="2">
        <v>111455799.488585</v>
      </c>
      <c r="AP38" s="2">
        <v>107734484.955981</v>
      </c>
    </row>
    <row r="39" spans="1:42" ht="14.5" x14ac:dyDescent="0.35">
      <c r="A39" s="2" t="s">
        <v>325</v>
      </c>
      <c r="B39" s="2">
        <v>704.29018743164897</v>
      </c>
      <c r="C39" s="2">
        <v>8.6905333333333292</v>
      </c>
      <c r="D39" s="2" t="s">
        <v>34</v>
      </c>
      <c r="E39" s="2" t="s">
        <v>326</v>
      </c>
      <c r="F39" s="2">
        <v>206431</v>
      </c>
      <c r="G39" s="3" t="str">
        <f>HYPERLINK("http://funmeta.oebiotech.com/network/206431", "http://funmeta.oebiotech.com/network/206431")</f>
        <v>http://funmeta.oebiotech.com/network/206431</v>
      </c>
      <c r="H39" s="2" t="s">
        <v>327</v>
      </c>
      <c r="I39" s="2"/>
      <c r="J39" s="2"/>
      <c r="K39" s="2"/>
      <c r="L39" s="2"/>
      <c r="M39" s="2"/>
      <c r="N39" s="2"/>
      <c r="O39" s="2">
        <v>155886200</v>
      </c>
      <c r="P39" s="2"/>
      <c r="Q39" s="2" t="s">
        <v>328</v>
      </c>
      <c r="R39" s="2" t="s">
        <v>329</v>
      </c>
      <c r="S39" s="2" t="s">
        <v>41</v>
      </c>
      <c r="T39" s="2" t="s">
        <v>41</v>
      </c>
      <c r="U39" s="2" t="s">
        <v>41</v>
      </c>
      <c r="V39" s="2" t="s">
        <v>59</v>
      </c>
      <c r="W39" s="2">
        <v>42.4</v>
      </c>
      <c r="X39" s="2">
        <v>20.6</v>
      </c>
      <c r="Y39" s="2" t="s">
        <v>330</v>
      </c>
      <c r="Z39" s="2" t="s">
        <v>331</v>
      </c>
      <c r="AA39" s="2">
        <v>-2.5936432694184499</v>
      </c>
      <c r="AB39" s="2">
        <v>5.3654378807211804</v>
      </c>
      <c r="AC39" s="2">
        <v>24112582.972491398</v>
      </c>
      <c r="AD39" s="2">
        <v>26280695.374327701</v>
      </c>
      <c r="AE39" s="2">
        <v>23997534.0836831</v>
      </c>
      <c r="AF39" s="2">
        <v>23953673.005251698</v>
      </c>
      <c r="AG39" s="2">
        <v>23797161.442097701</v>
      </c>
      <c r="AH39" s="2">
        <v>23954090.290985201</v>
      </c>
      <c r="AI39" s="2">
        <v>23985238.020558599</v>
      </c>
      <c r="AJ39" s="2">
        <v>24987800.992371999</v>
      </c>
      <c r="AK39" s="2">
        <v>24881750.3550089</v>
      </c>
      <c r="AL39" s="2">
        <v>25900076.650012899</v>
      </c>
      <c r="AM39" s="2">
        <v>27469043.986472901</v>
      </c>
      <c r="AN39" s="2">
        <v>26668054.192003701</v>
      </c>
      <c r="AO39" s="2">
        <v>26359873.9632219</v>
      </c>
      <c r="AP39" s="2">
        <v>26405373.099245802</v>
      </c>
    </row>
    <row r="40" spans="1:42" ht="14.5" x14ac:dyDescent="0.35">
      <c r="A40" s="2" t="s">
        <v>332</v>
      </c>
      <c r="B40" s="2">
        <v>958.66498464602898</v>
      </c>
      <c r="C40" s="2">
        <v>12.3790833333333</v>
      </c>
      <c r="D40" s="2" t="s">
        <v>34</v>
      </c>
      <c r="E40" s="2" t="s">
        <v>333</v>
      </c>
      <c r="F40" s="2">
        <v>49797</v>
      </c>
      <c r="G40" s="3" t="str">
        <f>HYPERLINK("http://funmeta.oebiotech.com/network/49797", "http://funmeta.oebiotech.com/network/49797")</f>
        <v>http://funmeta.oebiotech.com/network/49797</v>
      </c>
      <c r="H40" s="2" t="s">
        <v>334</v>
      </c>
      <c r="I40" s="2">
        <v>60097</v>
      </c>
      <c r="J40" s="2"/>
      <c r="K40" s="2"/>
      <c r="L40" s="2" t="s">
        <v>335</v>
      </c>
      <c r="M40" s="2" t="s">
        <v>336</v>
      </c>
      <c r="N40" s="2" t="s">
        <v>337</v>
      </c>
      <c r="O40" s="2">
        <v>53479265</v>
      </c>
      <c r="P40" s="2"/>
      <c r="Q40" s="2" t="s">
        <v>338</v>
      </c>
      <c r="R40" s="2" t="s">
        <v>339</v>
      </c>
      <c r="S40" s="2" t="s">
        <v>50</v>
      </c>
      <c r="T40" s="2" t="s">
        <v>51</v>
      </c>
      <c r="U40" s="2" t="s">
        <v>168</v>
      </c>
      <c r="V40" s="2" t="s">
        <v>59</v>
      </c>
      <c r="W40" s="2">
        <v>38.200000000000003</v>
      </c>
      <c r="X40" s="2">
        <v>0.44700000000000001</v>
      </c>
      <c r="Y40" s="2" t="s">
        <v>340</v>
      </c>
      <c r="Z40" s="2" t="s">
        <v>341</v>
      </c>
      <c r="AA40" s="2">
        <v>-1.28211836122449</v>
      </c>
      <c r="AB40" s="2">
        <v>5.3638187601604699</v>
      </c>
      <c r="AC40" s="2">
        <v>2479.5961056839101</v>
      </c>
      <c r="AD40" s="2">
        <v>1896958.8287398999</v>
      </c>
      <c r="AE40" s="2">
        <v>7558.7932703219103</v>
      </c>
      <c r="AF40" s="2">
        <v>1844.9258783469199</v>
      </c>
      <c r="AG40" s="2">
        <v>1725.0061025192599</v>
      </c>
      <c r="AH40" s="2">
        <v>946.97486498846297</v>
      </c>
      <c r="AI40" s="2">
        <v>1888.3082360918099</v>
      </c>
      <c r="AJ40" s="2">
        <v>913.56828183507105</v>
      </c>
      <c r="AK40" s="2">
        <v>1748707.0513217</v>
      </c>
      <c r="AL40" s="2">
        <v>1799505.6991350099</v>
      </c>
      <c r="AM40" s="2">
        <v>2104648.9658622202</v>
      </c>
      <c r="AN40" s="2">
        <v>1857077.28258821</v>
      </c>
      <c r="AO40" s="2">
        <v>1878130.5269577799</v>
      </c>
      <c r="AP40" s="2">
        <v>1993683.44657447</v>
      </c>
    </row>
    <row r="41" spans="1:42" ht="14.5" x14ac:dyDescent="0.35">
      <c r="A41" s="2" t="s">
        <v>342</v>
      </c>
      <c r="B41" s="2">
        <v>525.30656309625704</v>
      </c>
      <c r="C41" s="2">
        <v>5.04155</v>
      </c>
      <c r="D41" s="2" t="s">
        <v>70</v>
      </c>
      <c r="E41" s="2" t="s">
        <v>343</v>
      </c>
      <c r="F41" s="2">
        <v>43522</v>
      </c>
      <c r="G41" s="3" t="str">
        <f>HYPERLINK("http://funmeta.oebiotech.com/network/43522", "http://funmeta.oebiotech.com/network/43522")</f>
        <v>http://funmeta.oebiotech.com/network/43522</v>
      </c>
      <c r="H41" s="2"/>
      <c r="I41" s="2">
        <v>57631</v>
      </c>
      <c r="J41" s="2" t="s">
        <v>344</v>
      </c>
      <c r="K41" s="2">
        <v>19804</v>
      </c>
      <c r="L41" s="2"/>
      <c r="M41" s="2"/>
      <c r="N41" s="2"/>
      <c r="O41" s="2">
        <v>23657821</v>
      </c>
      <c r="P41" s="2"/>
      <c r="Q41" s="2" t="s">
        <v>345</v>
      </c>
      <c r="R41" s="2" t="s">
        <v>346</v>
      </c>
      <c r="S41" s="2" t="s">
        <v>50</v>
      </c>
      <c r="T41" s="2" t="s">
        <v>124</v>
      </c>
      <c r="U41" s="2" t="s">
        <v>125</v>
      </c>
      <c r="V41" s="2" t="s">
        <v>59</v>
      </c>
      <c r="W41" s="2">
        <v>41.7</v>
      </c>
      <c r="X41" s="2">
        <v>10.8</v>
      </c>
      <c r="Y41" s="2" t="s">
        <v>286</v>
      </c>
      <c r="Z41" s="2" t="s">
        <v>195</v>
      </c>
      <c r="AA41" s="2">
        <v>-0.71521032385805405</v>
      </c>
      <c r="AB41" s="2">
        <v>5.2969888089405801</v>
      </c>
      <c r="AC41" s="2">
        <v>1708083.9527354001</v>
      </c>
      <c r="AD41" s="2">
        <v>3731624.98136525</v>
      </c>
      <c r="AE41" s="2">
        <v>1748723.3842277301</v>
      </c>
      <c r="AF41" s="2">
        <v>1707086.4032484901</v>
      </c>
      <c r="AG41" s="2">
        <v>1587473.66923588</v>
      </c>
      <c r="AH41" s="2">
        <v>1569682.2723821001</v>
      </c>
      <c r="AI41" s="2">
        <v>1982185.3317485801</v>
      </c>
      <c r="AJ41" s="2">
        <v>1653352.6555695899</v>
      </c>
      <c r="AK41" s="2">
        <v>3610566.5490677902</v>
      </c>
      <c r="AL41" s="2">
        <v>4706994.6895928504</v>
      </c>
      <c r="AM41" s="2">
        <v>3031585.8498561201</v>
      </c>
      <c r="AN41" s="2">
        <v>2952606.6124729901</v>
      </c>
      <c r="AO41" s="2">
        <v>3827177.1596082798</v>
      </c>
      <c r="AP41" s="2">
        <v>4260819.0275934599</v>
      </c>
    </row>
    <row r="42" spans="1:42" ht="14.5" x14ac:dyDescent="0.35">
      <c r="A42" s="2" t="s">
        <v>347</v>
      </c>
      <c r="B42" s="2">
        <v>782.51683806518997</v>
      </c>
      <c r="C42" s="2">
        <v>12.035299999999999</v>
      </c>
      <c r="D42" s="2" t="s">
        <v>34</v>
      </c>
      <c r="E42" s="2" t="s">
        <v>348</v>
      </c>
      <c r="F42" s="2">
        <v>24778</v>
      </c>
      <c r="G42" s="3" t="str">
        <f>HYPERLINK("http://funmeta.oebiotech.com/network/24778", "http://funmeta.oebiotech.com/network/24778")</f>
        <v>http://funmeta.oebiotech.com/network/24778</v>
      </c>
      <c r="H42" s="2"/>
      <c r="I42" s="2"/>
      <c r="J42" s="2" t="s">
        <v>349</v>
      </c>
      <c r="K42" s="2"/>
      <c r="L42" s="2"/>
      <c r="M42" s="2"/>
      <c r="N42" s="2"/>
      <c r="O42" s="2">
        <v>52928512</v>
      </c>
      <c r="P42" s="2"/>
      <c r="Q42" s="2" t="s">
        <v>350</v>
      </c>
      <c r="R42" s="2" t="s">
        <v>351</v>
      </c>
      <c r="S42" s="2" t="s">
        <v>50</v>
      </c>
      <c r="T42" s="2" t="s">
        <v>51</v>
      </c>
      <c r="U42" s="2" t="s">
        <v>52</v>
      </c>
      <c r="V42" s="2" t="s">
        <v>59</v>
      </c>
      <c r="W42" s="2">
        <v>40.200000000000003</v>
      </c>
      <c r="X42" s="2">
        <v>6.23</v>
      </c>
      <c r="Y42" s="2" t="s">
        <v>352</v>
      </c>
      <c r="Z42" s="2" t="s">
        <v>353</v>
      </c>
      <c r="AA42" s="2">
        <v>-1.2451152472925699</v>
      </c>
      <c r="AB42" s="2">
        <v>5.2805209860062403</v>
      </c>
      <c r="AC42" s="2">
        <v>82676.603728816495</v>
      </c>
      <c r="AD42" s="2">
        <v>1927033.64631258</v>
      </c>
      <c r="AE42" s="2">
        <v>82549.3026525764</v>
      </c>
      <c r="AF42" s="2">
        <v>83929.999514088398</v>
      </c>
      <c r="AG42" s="2">
        <v>88879.675832945402</v>
      </c>
      <c r="AH42" s="2">
        <v>72318.685428625904</v>
      </c>
      <c r="AI42" s="2">
        <v>78428.251026008904</v>
      </c>
      <c r="AJ42" s="2">
        <v>89953.707918653905</v>
      </c>
      <c r="AK42" s="2">
        <v>1936056.0142208601</v>
      </c>
      <c r="AL42" s="2">
        <v>1656460.64815676</v>
      </c>
      <c r="AM42" s="2">
        <v>2207100.5792410802</v>
      </c>
      <c r="AN42" s="2">
        <v>1814041.50801339</v>
      </c>
      <c r="AO42" s="2">
        <v>1910037.0917783601</v>
      </c>
      <c r="AP42" s="2">
        <v>2038506.0364650399</v>
      </c>
    </row>
    <row r="43" spans="1:42" ht="14.5" x14ac:dyDescent="0.35">
      <c r="A43" s="2" t="s">
        <v>354</v>
      </c>
      <c r="B43" s="2">
        <v>195.05003055906499</v>
      </c>
      <c r="C43" s="2">
        <v>0.71055000000000001</v>
      </c>
      <c r="D43" s="2" t="s">
        <v>70</v>
      </c>
      <c r="E43" s="2" t="s">
        <v>355</v>
      </c>
      <c r="F43" s="2">
        <v>47128</v>
      </c>
      <c r="G43" s="3" t="str">
        <f>HYPERLINK("http://funmeta.oebiotech.com/network/47128", "http://funmeta.oebiotech.com/network/47128")</f>
        <v>http://funmeta.oebiotech.com/network/47128</v>
      </c>
      <c r="H43" s="2" t="s">
        <v>356</v>
      </c>
      <c r="I43" s="2">
        <v>345</v>
      </c>
      <c r="J43" s="2"/>
      <c r="K43" s="2">
        <v>33198</v>
      </c>
      <c r="L43" s="2" t="s">
        <v>357</v>
      </c>
      <c r="M43" s="2" t="s">
        <v>358</v>
      </c>
      <c r="N43" s="2" t="s">
        <v>359</v>
      </c>
      <c r="O43" s="2">
        <v>10690</v>
      </c>
      <c r="P43" s="2" t="s">
        <v>360</v>
      </c>
      <c r="Q43" s="2" t="s">
        <v>361</v>
      </c>
      <c r="R43" s="2" t="s">
        <v>362</v>
      </c>
      <c r="S43" s="2" t="s">
        <v>79</v>
      </c>
      <c r="T43" s="2" t="s">
        <v>80</v>
      </c>
      <c r="U43" s="2" t="s">
        <v>81</v>
      </c>
      <c r="V43" s="2" t="s">
        <v>42</v>
      </c>
      <c r="W43" s="2">
        <v>49.5</v>
      </c>
      <c r="X43" s="2">
        <v>54.1</v>
      </c>
      <c r="Y43" s="2" t="s">
        <v>118</v>
      </c>
      <c r="Z43" s="2" t="s">
        <v>363</v>
      </c>
      <c r="AA43" s="2">
        <v>-5.0787479103326003</v>
      </c>
      <c r="AB43" s="2">
        <v>5.2281106854058201</v>
      </c>
      <c r="AC43" s="2">
        <v>3510173.1188980201</v>
      </c>
      <c r="AD43" s="2">
        <v>1411300.9364340201</v>
      </c>
      <c r="AE43" s="2">
        <v>3019141.5129175298</v>
      </c>
      <c r="AF43" s="2">
        <v>4452885.01701051</v>
      </c>
      <c r="AG43" s="2">
        <v>2582429.69621919</v>
      </c>
      <c r="AH43" s="2">
        <v>4518246.9881194597</v>
      </c>
      <c r="AI43" s="2">
        <v>4014891.6241017398</v>
      </c>
      <c r="AJ43" s="2">
        <v>2473443.87501969</v>
      </c>
      <c r="AK43" s="2">
        <v>1262001.9857780901</v>
      </c>
      <c r="AL43" s="2">
        <v>1368393.4187240601</v>
      </c>
      <c r="AM43" s="2">
        <v>1198050.21780163</v>
      </c>
      <c r="AN43" s="2">
        <v>1669389.9735987401</v>
      </c>
      <c r="AO43" s="2">
        <v>1823020.47012779</v>
      </c>
      <c r="AP43" s="2">
        <v>1146949.5525737801</v>
      </c>
    </row>
    <row r="44" spans="1:42" ht="14.5" x14ac:dyDescent="0.35">
      <c r="A44" s="2" t="s">
        <v>364</v>
      </c>
      <c r="B44" s="2">
        <v>829.50901797835297</v>
      </c>
      <c r="C44" s="2">
        <v>12.342333333333301</v>
      </c>
      <c r="D44" s="2" t="s">
        <v>34</v>
      </c>
      <c r="E44" s="2" t="s">
        <v>365</v>
      </c>
      <c r="F44" s="2">
        <v>38875</v>
      </c>
      <c r="G44" s="3" t="str">
        <f>HYPERLINK("http://funmeta.oebiotech.com/network/38875", "http://funmeta.oebiotech.com/network/38875")</f>
        <v>http://funmeta.oebiotech.com/network/38875</v>
      </c>
      <c r="H44" s="2"/>
      <c r="I44" s="2"/>
      <c r="J44" s="2" t="s">
        <v>366</v>
      </c>
      <c r="K44" s="2"/>
      <c r="L44" s="2"/>
      <c r="M44" s="2"/>
      <c r="N44" s="2"/>
      <c r="O44" s="2"/>
      <c r="P44" s="2"/>
      <c r="Q44" s="2" t="s">
        <v>367</v>
      </c>
      <c r="R44" s="2" t="s">
        <v>368</v>
      </c>
      <c r="S44" s="2" t="s">
        <v>50</v>
      </c>
      <c r="T44" s="2" t="s">
        <v>106</v>
      </c>
      <c r="U44" s="2" t="s">
        <v>41</v>
      </c>
      <c r="V44" s="2" t="s">
        <v>59</v>
      </c>
      <c r="W44" s="2">
        <v>38.200000000000003</v>
      </c>
      <c r="X44" s="2">
        <v>1.61E-2</v>
      </c>
      <c r="Y44" s="2" t="s">
        <v>340</v>
      </c>
      <c r="Z44" s="2" t="s">
        <v>369</v>
      </c>
      <c r="AA44" s="2">
        <v>2.0458597078840501</v>
      </c>
      <c r="AB44" s="2">
        <v>5.0980435756927296</v>
      </c>
      <c r="AC44" s="2">
        <v>553522.85336526996</v>
      </c>
      <c r="AD44" s="2">
        <v>2267709.6099548098</v>
      </c>
      <c r="AE44" s="2">
        <v>497329.87944363302</v>
      </c>
      <c r="AF44" s="2">
        <v>508477.31919972802</v>
      </c>
      <c r="AG44" s="2">
        <v>609196.91916263499</v>
      </c>
      <c r="AH44" s="2">
        <v>574605.55086534098</v>
      </c>
      <c r="AI44" s="2">
        <v>546964.91757241695</v>
      </c>
      <c r="AJ44" s="2">
        <v>584562.53394786501</v>
      </c>
      <c r="AK44" s="2">
        <v>2431717.70087471</v>
      </c>
      <c r="AL44" s="2">
        <v>2124497.7091792198</v>
      </c>
      <c r="AM44" s="2">
        <v>2386460.9235161198</v>
      </c>
      <c r="AN44" s="2">
        <v>2140804.5254518702</v>
      </c>
      <c r="AO44" s="2">
        <v>2219289.8328659302</v>
      </c>
      <c r="AP44" s="2">
        <v>2303486.9678410101</v>
      </c>
    </row>
    <row r="45" spans="1:42" ht="14.5" x14ac:dyDescent="0.35">
      <c r="A45" s="2" t="s">
        <v>370</v>
      </c>
      <c r="B45" s="2">
        <v>527.26138807935001</v>
      </c>
      <c r="C45" s="2">
        <v>10.792766666666701</v>
      </c>
      <c r="D45" s="2" t="s">
        <v>34</v>
      </c>
      <c r="E45" s="4" t="s">
        <v>371</v>
      </c>
      <c r="F45" s="2">
        <v>280512</v>
      </c>
      <c r="G45" s="3" t="str">
        <f>HYPERLINK("http://funmeta.oebiotech.com/network/280512", "http://funmeta.oebiotech.com/network/280512")</f>
        <v>http://funmeta.oebiotech.com/network/280512</v>
      </c>
      <c r="H45" s="2"/>
      <c r="I45" s="2">
        <v>84991</v>
      </c>
      <c r="J45" s="2"/>
      <c r="K45" s="2"/>
      <c r="L45" s="2" t="s">
        <v>372</v>
      </c>
      <c r="M45" s="2"/>
      <c r="N45" s="2"/>
      <c r="O45" s="2">
        <v>167825</v>
      </c>
      <c r="P45" s="2" t="s">
        <v>373</v>
      </c>
      <c r="Q45" s="2" t="s">
        <v>374</v>
      </c>
      <c r="R45" s="2" t="s">
        <v>375</v>
      </c>
      <c r="S45" s="2" t="s">
        <v>50</v>
      </c>
      <c r="T45" s="2" t="s">
        <v>201</v>
      </c>
      <c r="U45" s="2" t="s">
        <v>241</v>
      </c>
      <c r="V45" s="2" t="s">
        <v>42</v>
      </c>
      <c r="W45" s="2">
        <v>50.8</v>
      </c>
      <c r="X45" s="2">
        <v>56.3</v>
      </c>
      <c r="Y45" s="2" t="s">
        <v>376</v>
      </c>
      <c r="Z45" s="2" t="s">
        <v>377</v>
      </c>
      <c r="AA45" s="2">
        <v>-0.29912395392789298</v>
      </c>
      <c r="AB45" s="2">
        <v>5.0645253609790402</v>
      </c>
      <c r="AC45" s="2">
        <v>1796823.63749489</v>
      </c>
      <c r="AD45" s="2">
        <v>97747.712603339402</v>
      </c>
      <c r="AE45" s="2">
        <v>1750210.6229914899</v>
      </c>
      <c r="AF45" s="2">
        <v>1862142.03128395</v>
      </c>
      <c r="AG45" s="2">
        <v>1819160.6007447001</v>
      </c>
      <c r="AH45" s="2">
        <v>1729108.06852837</v>
      </c>
      <c r="AI45" s="2">
        <v>1507784.4091982699</v>
      </c>
      <c r="AJ45" s="2">
        <v>2112536.0922225602</v>
      </c>
      <c r="AK45" s="2">
        <v>63212.7538335801</v>
      </c>
      <c r="AL45" s="2">
        <v>189357.60308718999</v>
      </c>
      <c r="AM45" s="2">
        <v>64539.605616688299</v>
      </c>
      <c r="AN45" s="2">
        <v>126185.378805113</v>
      </c>
      <c r="AO45" s="2">
        <v>82491.975759079098</v>
      </c>
      <c r="AP45" s="2">
        <v>60698.9585183862</v>
      </c>
    </row>
    <row r="46" spans="1:42" ht="14.5" x14ac:dyDescent="0.35">
      <c r="A46" s="2" t="s">
        <v>378</v>
      </c>
      <c r="B46" s="2">
        <v>600.31631461595805</v>
      </c>
      <c r="C46" s="2">
        <v>5.1518499999999996</v>
      </c>
      <c r="D46" s="2" t="s">
        <v>34</v>
      </c>
      <c r="E46" s="2" t="s">
        <v>379</v>
      </c>
      <c r="F46" s="2">
        <v>205946</v>
      </c>
      <c r="G46" s="3" t="str">
        <f>HYPERLINK("http://funmeta.oebiotech.com/network/205946", "http://funmeta.oebiotech.com/network/205946")</f>
        <v>http://funmeta.oebiotech.com/network/205946</v>
      </c>
      <c r="H46" s="2" t="s">
        <v>380</v>
      </c>
      <c r="I46" s="2"/>
      <c r="J46" s="2"/>
      <c r="K46" s="2"/>
      <c r="L46" s="2"/>
      <c r="M46" s="2"/>
      <c r="N46" s="2"/>
      <c r="O46" s="2">
        <v>522609</v>
      </c>
      <c r="P46" s="2"/>
      <c r="Q46" s="2" t="s">
        <v>381</v>
      </c>
      <c r="R46" s="2" t="s">
        <v>382</v>
      </c>
      <c r="S46" s="2" t="s">
        <v>39</v>
      </c>
      <c r="T46" s="2" t="s">
        <v>383</v>
      </c>
      <c r="U46" s="2" t="s">
        <v>384</v>
      </c>
      <c r="V46" s="2" t="s">
        <v>59</v>
      </c>
      <c r="W46" s="2">
        <v>42.5</v>
      </c>
      <c r="X46" s="2">
        <v>15.6</v>
      </c>
      <c r="Y46" s="2" t="s">
        <v>323</v>
      </c>
      <c r="Z46" s="2" t="s">
        <v>385</v>
      </c>
      <c r="AA46" s="2">
        <v>1.1682041996978501</v>
      </c>
      <c r="AB46" s="2">
        <v>5.0592434329026696</v>
      </c>
      <c r="AC46" s="2">
        <v>2464661.3932488398</v>
      </c>
      <c r="AD46" s="2">
        <v>4156826.5532385199</v>
      </c>
      <c r="AE46" s="2">
        <v>2461752.8179495102</v>
      </c>
      <c r="AF46" s="2">
        <v>2524817.6157704201</v>
      </c>
      <c r="AG46" s="2">
        <v>2475942.9832626302</v>
      </c>
      <c r="AH46" s="2">
        <v>2374633.6586800502</v>
      </c>
      <c r="AI46" s="2">
        <v>2496815.9792109602</v>
      </c>
      <c r="AJ46" s="2">
        <v>2454005.3046194701</v>
      </c>
      <c r="AK46" s="2">
        <v>3934675.6247995198</v>
      </c>
      <c r="AL46" s="2">
        <v>4263562.3552686898</v>
      </c>
      <c r="AM46" s="2">
        <v>4133870.3591377102</v>
      </c>
      <c r="AN46" s="2">
        <v>4105061.4124107901</v>
      </c>
      <c r="AO46" s="2">
        <v>4384200.6785883298</v>
      </c>
      <c r="AP46" s="2">
        <v>4119588.8892260799</v>
      </c>
    </row>
    <row r="47" spans="1:42" ht="14.5" x14ac:dyDescent="0.35">
      <c r="A47" s="2" t="s">
        <v>386</v>
      </c>
      <c r="B47" s="2">
        <v>208.13311244742599</v>
      </c>
      <c r="C47" s="2">
        <v>4.0516166666666704</v>
      </c>
      <c r="D47" s="2" t="s">
        <v>34</v>
      </c>
      <c r="E47" s="2" t="s">
        <v>387</v>
      </c>
      <c r="F47" s="2">
        <v>63174</v>
      </c>
      <c r="G47" s="3" t="str">
        <f>HYPERLINK("http://funmeta.oebiotech.com/network/63174", "http://funmeta.oebiotech.com/network/63174")</f>
        <v>http://funmeta.oebiotech.com/network/63174</v>
      </c>
      <c r="H47" s="2" t="s">
        <v>388</v>
      </c>
      <c r="I47" s="2">
        <v>94481</v>
      </c>
      <c r="J47" s="2"/>
      <c r="K47" s="2"/>
      <c r="L47" s="2"/>
      <c r="M47" s="2"/>
      <c r="N47" s="2"/>
      <c r="O47" s="2">
        <v>204759</v>
      </c>
      <c r="P47" s="2" t="s">
        <v>389</v>
      </c>
      <c r="Q47" s="2" t="s">
        <v>390</v>
      </c>
      <c r="R47" s="2" t="s">
        <v>391</v>
      </c>
      <c r="S47" s="2" t="s">
        <v>148</v>
      </c>
      <c r="T47" s="2" t="s">
        <v>392</v>
      </c>
      <c r="U47" s="2" t="s">
        <v>393</v>
      </c>
      <c r="V47" s="2" t="s">
        <v>42</v>
      </c>
      <c r="W47" s="2">
        <v>48.8</v>
      </c>
      <c r="X47" s="2">
        <v>46.2</v>
      </c>
      <c r="Y47" s="2" t="s">
        <v>394</v>
      </c>
      <c r="Z47" s="2" t="s">
        <v>395</v>
      </c>
      <c r="AA47" s="2">
        <v>-0.447909563590006</v>
      </c>
      <c r="AB47" s="2">
        <v>5.0350501503559402</v>
      </c>
      <c r="AC47" s="2">
        <v>8530386.2628690396</v>
      </c>
      <c r="AD47" s="2">
        <v>6825216.5799291497</v>
      </c>
      <c r="AE47" s="2">
        <v>8404826.8818791006</v>
      </c>
      <c r="AF47" s="2">
        <v>8555600.5559044797</v>
      </c>
      <c r="AG47" s="2">
        <v>8610428.0991629902</v>
      </c>
      <c r="AH47" s="2">
        <v>8572875.2345089391</v>
      </c>
      <c r="AI47" s="2">
        <v>8357492.5296384403</v>
      </c>
      <c r="AJ47" s="2">
        <v>8681094.2761202808</v>
      </c>
      <c r="AK47" s="2">
        <v>6289811.2320582103</v>
      </c>
      <c r="AL47" s="2">
        <v>6832898.1678497102</v>
      </c>
      <c r="AM47" s="2">
        <v>7022082.5633243397</v>
      </c>
      <c r="AN47" s="2">
        <v>6954991.9279247103</v>
      </c>
      <c r="AO47" s="2">
        <v>6968082.8754191203</v>
      </c>
      <c r="AP47" s="2">
        <v>6883432.7129988195</v>
      </c>
    </row>
    <row r="48" spans="1:42" ht="14.5" x14ac:dyDescent="0.35">
      <c r="A48" s="2" t="s">
        <v>396</v>
      </c>
      <c r="B48" s="2">
        <v>621.26656173658398</v>
      </c>
      <c r="C48" s="2">
        <v>9.6715166666666708</v>
      </c>
      <c r="D48" s="2" t="s">
        <v>34</v>
      </c>
      <c r="E48" s="2" t="s">
        <v>397</v>
      </c>
      <c r="F48" s="2">
        <v>211065</v>
      </c>
      <c r="G48" s="3" t="str">
        <f>HYPERLINK("http://funmeta.oebiotech.com/network/211065", "http://funmeta.oebiotech.com/network/211065")</f>
        <v>http://funmeta.oebiotech.com/network/211065</v>
      </c>
      <c r="H48" s="2" t="s">
        <v>398</v>
      </c>
      <c r="I48" s="2"/>
      <c r="J48" s="2"/>
      <c r="K48" s="2"/>
      <c r="L48" s="2"/>
      <c r="M48" s="2"/>
      <c r="N48" s="2"/>
      <c r="O48" s="2">
        <v>69866278</v>
      </c>
      <c r="P48" s="2"/>
      <c r="Q48" s="2" t="s">
        <v>399</v>
      </c>
      <c r="R48" s="2" t="s">
        <v>400</v>
      </c>
      <c r="S48" s="2" t="s">
        <v>89</v>
      </c>
      <c r="T48" s="2" t="s">
        <v>90</v>
      </c>
      <c r="U48" s="2" t="s">
        <v>401</v>
      </c>
      <c r="V48" s="2" t="s">
        <v>59</v>
      </c>
      <c r="W48" s="2">
        <v>41.6</v>
      </c>
      <c r="X48" s="2">
        <v>14.3</v>
      </c>
      <c r="Y48" s="2" t="s">
        <v>376</v>
      </c>
      <c r="Z48" s="2" t="s">
        <v>402</v>
      </c>
      <c r="AA48" s="2">
        <v>-4.9086864042598899</v>
      </c>
      <c r="AB48" s="2">
        <v>5.0041950828063104</v>
      </c>
      <c r="AC48" s="2">
        <v>2235501.60203325</v>
      </c>
      <c r="AD48" s="2">
        <v>3909493.7097367202</v>
      </c>
      <c r="AE48" s="2">
        <v>2061183.6425495399</v>
      </c>
      <c r="AF48" s="2">
        <v>2279902.0341553502</v>
      </c>
      <c r="AG48" s="2">
        <v>2256890.4079647702</v>
      </c>
      <c r="AH48" s="2">
        <v>2173518.5425634398</v>
      </c>
      <c r="AI48" s="2">
        <v>2297649.0788392201</v>
      </c>
      <c r="AJ48" s="2">
        <v>2343865.9061271702</v>
      </c>
      <c r="AK48" s="2">
        <v>3702622.6122161802</v>
      </c>
      <c r="AL48" s="2">
        <v>3547174.9071687199</v>
      </c>
      <c r="AM48" s="2">
        <v>3939968.5226820498</v>
      </c>
      <c r="AN48" s="2">
        <v>4229932.4599307599</v>
      </c>
      <c r="AO48" s="2">
        <v>3951688.0962028601</v>
      </c>
      <c r="AP48" s="2">
        <v>4085575.6602197699</v>
      </c>
    </row>
    <row r="49" spans="1:42" ht="14.5" x14ac:dyDescent="0.35">
      <c r="A49" s="2" t="s">
        <v>403</v>
      </c>
      <c r="B49" s="2">
        <v>651.19261977201404</v>
      </c>
      <c r="C49" s="2">
        <v>1.82663333333333</v>
      </c>
      <c r="D49" s="2" t="s">
        <v>70</v>
      </c>
      <c r="E49" s="2" t="s">
        <v>404</v>
      </c>
      <c r="F49" s="2">
        <v>202728</v>
      </c>
      <c r="G49" s="3" t="str">
        <f>HYPERLINK("http://funmeta.oebiotech.com/network/202728", "http://funmeta.oebiotech.com/network/202728")</f>
        <v>http://funmeta.oebiotech.com/network/202728</v>
      </c>
      <c r="H49" s="2" t="s">
        <v>405</v>
      </c>
      <c r="I49" s="2"/>
      <c r="J49" s="2"/>
      <c r="K49" s="2"/>
      <c r="L49" s="2"/>
      <c r="M49" s="2"/>
      <c r="N49" s="2"/>
      <c r="O49" s="2">
        <v>78409829</v>
      </c>
      <c r="P49" s="2"/>
      <c r="Q49" s="2" t="s">
        <v>406</v>
      </c>
      <c r="R49" s="2" t="s">
        <v>407</v>
      </c>
      <c r="S49" s="2" t="s">
        <v>41</v>
      </c>
      <c r="T49" s="2" t="s">
        <v>41</v>
      </c>
      <c r="U49" s="2" t="s">
        <v>41</v>
      </c>
      <c r="V49" s="2" t="s">
        <v>42</v>
      </c>
      <c r="W49" s="2">
        <v>56.3</v>
      </c>
      <c r="X49" s="2">
        <v>83.4</v>
      </c>
      <c r="Y49" s="2" t="s">
        <v>408</v>
      </c>
      <c r="Z49" s="2" t="s">
        <v>409</v>
      </c>
      <c r="AA49" s="2">
        <v>-0.723962273765829</v>
      </c>
      <c r="AB49" s="2">
        <v>5.0006706513695596</v>
      </c>
      <c r="AC49" s="2">
        <v>2139320.0629152302</v>
      </c>
      <c r="AD49" s="2">
        <v>3806906.5229626498</v>
      </c>
      <c r="AE49" s="2">
        <v>2125489.7180331601</v>
      </c>
      <c r="AF49" s="2">
        <v>2063018.0276927401</v>
      </c>
      <c r="AG49" s="2">
        <v>2130734.50607226</v>
      </c>
      <c r="AH49" s="2">
        <v>1989468.59939093</v>
      </c>
      <c r="AI49" s="2">
        <v>2078237.2953747399</v>
      </c>
      <c r="AJ49" s="2">
        <v>2448972.23092756</v>
      </c>
      <c r="AK49" s="2">
        <v>3612770.4722271902</v>
      </c>
      <c r="AL49" s="2">
        <v>3649560.9535955</v>
      </c>
      <c r="AM49" s="2">
        <v>3886747.0372860502</v>
      </c>
      <c r="AN49" s="2">
        <v>4083009.5561433602</v>
      </c>
      <c r="AO49" s="2">
        <v>3707789.17355842</v>
      </c>
      <c r="AP49" s="2">
        <v>3901561.9449653798</v>
      </c>
    </row>
    <row r="50" spans="1:42" ht="14.5" x14ac:dyDescent="0.35">
      <c r="A50" s="2" t="s">
        <v>410</v>
      </c>
      <c r="B50" s="2">
        <v>465.32060063322598</v>
      </c>
      <c r="C50" s="2">
        <v>6.4662166666666696</v>
      </c>
      <c r="D50" s="2" t="s">
        <v>34</v>
      </c>
      <c r="E50" s="2" t="s">
        <v>411</v>
      </c>
      <c r="F50" s="2">
        <v>43531</v>
      </c>
      <c r="G50" s="3" t="str">
        <f>HYPERLINK("http://funmeta.oebiotech.com/network/43531", "http://funmeta.oebiotech.com/network/43531")</f>
        <v>http://funmeta.oebiotech.com/network/43531</v>
      </c>
      <c r="H50" s="2"/>
      <c r="I50" s="2">
        <v>57640</v>
      </c>
      <c r="J50" s="2" t="s">
        <v>412</v>
      </c>
      <c r="K50" s="2">
        <v>28135</v>
      </c>
      <c r="L50" s="2" t="s">
        <v>413</v>
      </c>
      <c r="M50" s="2"/>
      <c r="N50" s="2"/>
      <c r="O50" s="2">
        <v>115127</v>
      </c>
      <c r="P50" s="2"/>
      <c r="Q50" s="2" t="s">
        <v>414</v>
      </c>
      <c r="R50" s="2" t="s">
        <v>415</v>
      </c>
      <c r="S50" s="2" t="s">
        <v>50</v>
      </c>
      <c r="T50" s="2" t="s">
        <v>124</v>
      </c>
      <c r="U50" s="2" t="s">
        <v>125</v>
      </c>
      <c r="V50" s="2" t="s">
        <v>42</v>
      </c>
      <c r="W50" s="2">
        <v>56.7</v>
      </c>
      <c r="X50" s="2">
        <v>86.5</v>
      </c>
      <c r="Y50" s="2" t="s">
        <v>394</v>
      </c>
      <c r="Z50" s="2" t="s">
        <v>416</v>
      </c>
      <c r="AA50" s="2">
        <v>-1.0013211423246</v>
      </c>
      <c r="AB50" s="2">
        <v>4.95087670279064</v>
      </c>
      <c r="AC50" s="2">
        <v>2509573.08274695</v>
      </c>
      <c r="AD50" s="2">
        <v>4134713.28903906</v>
      </c>
      <c r="AE50" s="2">
        <v>2383577.78042759</v>
      </c>
      <c r="AF50" s="2">
        <v>2509958.67428659</v>
      </c>
      <c r="AG50" s="2">
        <v>2575010.8645695602</v>
      </c>
      <c r="AH50" s="2">
        <v>2487749.2448009499</v>
      </c>
      <c r="AI50" s="2">
        <v>2561934.1226771399</v>
      </c>
      <c r="AJ50" s="2">
        <v>2539207.8097198699</v>
      </c>
      <c r="AK50" s="2">
        <v>3965578.5723894201</v>
      </c>
      <c r="AL50" s="2">
        <v>4374456.55369855</v>
      </c>
      <c r="AM50" s="2">
        <v>4069065.8330742102</v>
      </c>
      <c r="AN50" s="2">
        <v>3982656.3802593001</v>
      </c>
      <c r="AO50" s="2">
        <v>4148549.3150683399</v>
      </c>
      <c r="AP50" s="2">
        <v>4267973.0797445504</v>
      </c>
    </row>
    <row r="51" spans="1:42" ht="14.5" x14ac:dyDescent="0.35">
      <c r="A51" s="2" t="s">
        <v>417</v>
      </c>
      <c r="B51" s="2">
        <v>960.68148393757201</v>
      </c>
      <c r="C51" s="2">
        <v>13.0308166666667</v>
      </c>
      <c r="D51" s="2" t="s">
        <v>34</v>
      </c>
      <c r="E51" s="2" t="s">
        <v>418</v>
      </c>
      <c r="F51" s="2">
        <v>49796</v>
      </c>
      <c r="G51" s="3" t="str">
        <f>HYPERLINK("http://funmeta.oebiotech.com/network/49796", "http://funmeta.oebiotech.com/network/49796")</f>
        <v>http://funmeta.oebiotech.com/network/49796</v>
      </c>
      <c r="H51" s="2" t="s">
        <v>419</v>
      </c>
      <c r="I51" s="2">
        <v>60096</v>
      </c>
      <c r="J51" s="2"/>
      <c r="K51" s="2"/>
      <c r="L51" s="2" t="s">
        <v>335</v>
      </c>
      <c r="M51" s="2" t="s">
        <v>336</v>
      </c>
      <c r="N51" s="2" t="s">
        <v>337</v>
      </c>
      <c r="O51" s="2">
        <v>53479263</v>
      </c>
      <c r="P51" s="2"/>
      <c r="Q51" s="2" t="s">
        <v>420</v>
      </c>
      <c r="R51" s="2" t="s">
        <v>421</v>
      </c>
      <c r="S51" s="2" t="s">
        <v>50</v>
      </c>
      <c r="T51" s="2" t="s">
        <v>51</v>
      </c>
      <c r="U51" s="2" t="s">
        <v>168</v>
      </c>
      <c r="V51" s="2" t="s">
        <v>59</v>
      </c>
      <c r="W51" s="2">
        <v>40.299999999999997</v>
      </c>
      <c r="X51" s="2">
        <v>10.6</v>
      </c>
      <c r="Y51" s="2" t="s">
        <v>340</v>
      </c>
      <c r="Z51" s="2" t="s">
        <v>422</v>
      </c>
      <c r="AA51" s="2">
        <v>-0.35796249296617</v>
      </c>
      <c r="AB51" s="2">
        <v>4.8831166767791796</v>
      </c>
      <c r="AC51" s="2">
        <v>15933.4565165404</v>
      </c>
      <c r="AD51" s="2">
        <v>1584230.3992055401</v>
      </c>
      <c r="AE51" s="2">
        <v>32568.235369506499</v>
      </c>
      <c r="AF51" s="2">
        <v>15485.9213031459</v>
      </c>
      <c r="AG51" s="2">
        <v>12398.7134271128</v>
      </c>
      <c r="AH51" s="2">
        <v>9750.59663255942</v>
      </c>
      <c r="AI51" s="2">
        <v>13761.002050855999</v>
      </c>
      <c r="AJ51" s="2">
        <v>11636.270316062</v>
      </c>
      <c r="AK51" s="2">
        <v>1469628.2977652601</v>
      </c>
      <c r="AL51" s="2">
        <v>1565249.7125692901</v>
      </c>
      <c r="AM51" s="2">
        <v>1723218.297151</v>
      </c>
      <c r="AN51" s="2">
        <v>1544805.4243081999</v>
      </c>
      <c r="AO51" s="2">
        <v>1567116.4390432399</v>
      </c>
      <c r="AP51" s="2">
        <v>1635364.22439625</v>
      </c>
    </row>
    <row r="52" spans="1:42" ht="14.5" x14ac:dyDescent="0.35">
      <c r="A52" s="2" t="s">
        <v>423</v>
      </c>
      <c r="B52" s="2">
        <v>445.29455313818897</v>
      </c>
      <c r="C52" s="2">
        <v>5.0569833333333296</v>
      </c>
      <c r="D52" s="2" t="s">
        <v>34</v>
      </c>
      <c r="E52" s="2" t="s">
        <v>424</v>
      </c>
      <c r="F52" s="2">
        <v>44543</v>
      </c>
      <c r="G52" s="3" t="str">
        <f>HYPERLINK("http://funmeta.oebiotech.com/network/44543", "http://funmeta.oebiotech.com/network/44543")</f>
        <v>http://funmeta.oebiotech.com/network/44543</v>
      </c>
      <c r="H52" s="2"/>
      <c r="I52" s="2"/>
      <c r="J52" s="2" t="s">
        <v>425</v>
      </c>
      <c r="K52" s="2"/>
      <c r="L52" s="2"/>
      <c r="M52" s="2"/>
      <c r="N52" s="2"/>
      <c r="O52" s="2"/>
      <c r="P52" s="2"/>
      <c r="Q52" s="2" t="s">
        <v>426</v>
      </c>
      <c r="R52" s="2" t="s">
        <v>427</v>
      </c>
      <c r="S52" s="2" t="s">
        <v>50</v>
      </c>
      <c r="T52" s="2" t="s">
        <v>201</v>
      </c>
      <c r="U52" s="2" t="s">
        <v>210</v>
      </c>
      <c r="V52" s="2" t="s">
        <v>42</v>
      </c>
      <c r="W52" s="2">
        <v>49</v>
      </c>
      <c r="X52" s="2">
        <v>47.8</v>
      </c>
      <c r="Y52" s="2" t="s">
        <v>266</v>
      </c>
      <c r="Z52" s="2" t="s">
        <v>305</v>
      </c>
      <c r="AA52" s="2">
        <v>-0.67000390826561995</v>
      </c>
      <c r="AB52" s="2">
        <v>4.8741906030540196</v>
      </c>
      <c r="AC52" s="2">
        <v>1363958.04494921</v>
      </c>
      <c r="AD52" s="2">
        <v>3045397.3599228398</v>
      </c>
      <c r="AE52" s="2">
        <v>1390270.1633569701</v>
      </c>
      <c r="AF52" s="2">
        <v>1351813.8939632</v>
      </c>
      <c r="AG52" s="2">
        <v>1351257.3028005799</v>
      </c>
      <c r="AH52" s="2">
        <v>1225900.6950771101</v>
      </c>
      <c r="AI52" s="2">
        <v>1517394.3171347801</v>
      </c>
      <c r="AJ52" s="2">
        <v>1347111.8973626201</v>
      </c>
      <c r="AK52" s="2">
        <v>2898880.4871532498</v>
      </c>
      <c r="AL52" s="2">
        <v>3659533.9786196901</v>
      </c>
      <c r="AM52" s="2">
        <v>2492873.6917091398</v>
      </c>
      <c r="AN52" s="2">
        <v>2543407.4473444801</v>
      </c>
      <c r="AO52" s="2">
        <v>3058420.7006386402</v>
      </c>
      <c r="AP52" s="2">
        <v>3619267.8540718202</v>
      </c>
    </row>
    <row r="53" spans="1:42" ht="14.5" x14ac:dyDescent="0.35">
      <c r="A53" s="2" t="s">
        <v>428</v>
      </c>
      <c r="B53" s="2">
        <v>570.30595113744096</v>
      </c>
      <c r="C53" s="2">
        <v>5.3005833333333303</v>
      </c>
      <c r="D53" s="2" t="s">
        <v>34</v>
      </c>
      <c r="E53" s="2" t="s">
        <v>429</v>
      </c>
      <c r="F53" s="2">
        <v>10374</v>
      </c>
      <c r="G53" s="3" t="str">
        <f>HYPERLINK("http://funmeta.oebiotech.com/network/10374", "http://funmeta.oebiotech.com/network/10374")</f>
        <v>http://funmeta.oebiotech.com/network/10374</v>
      </c>
      <c r="H53" s="2"/>
      <c r="I53" s="2"/>
      <c r="J53" s="2" t="s">
        <v>430</v>
      </c>
      <c r="K53" s="2">
        <v>79358</v>
      </c>
      <c r="L53" s="2"/>
      <c r="M53" s="2"/>
      <c r="N53" s="2"/>
      <c r="O53" s="2">
        <v>86289893</v>
      </c>
      <c r="P53" s="2"/>
      <c r="Q53" s="2" t="s">
        <v>431</v>
      </c>
      <c r="R53" s="2" t="s">
        <v>432</v>
      </c>
      <c r="S53" s="2" t="s">
        <v>50</v>
      </c>
      <c r="T53" s="2" t="s">
        <v>229</v>
      </c>
      <c r="U53" s="2" t="s">
        <v>433</v>
      </c>
      <c r="V53" s="2" t="s">
        <v>59</v>
      </c>
      <c r="W53" s="2">
        <v>46</v>
      </c>
      <c r="X53" s="2">
        <v>36.4</v>
      </c>
      <c r="Y53" s="2" t="s">
        <v>323</v>
      </c>
      <c r="Z53" s="2" t="s">
        <v>434</v>
      </c>
      <c r="AA53" s="2">
        <v>4.0434758091704603</v>
      </c>
      <c r="AB53" s="2">
        <v>4.8487725345768098</v>
      </c>
      <c r="AC53" s="2">
        <v>3183987.5682895598</v>
      </c>
      <c r="AD53" s="2">
        <v>4729736.55058375</v>
      </c>
      <c r="AE53" s="2">
        <v>3174116.5984275602</v>
      </c>
      <c r="AF53" s="2">
        <v>3171654.0831168401</v>
      </c>
      <c r="AG53" s="2">
        <v>3249362.9977019699</v>
      </c>
      <c r="AH53" s="2">
        <v>3102262.7088970402</v>
      </c>
      <c r="AI53" s="2">
        <v>3198841.0059007402</v>
      </c>
      <c r="AJ53" s="2">
        <v>3207688.0156932198</v>
      </c>
      <c r="AK53" s="2">
        <v>4718386.65417339</v>
      </c>
      <c r="AL53" s="2">
        <v>4764505.60366634</v>
      </c>
      <c r="AM53" s="2">
        <v>4658304.2675055498</v>
      </c>
      <c r="AN53" s="2">
        <v>4751035.6086658798</v>
      </c>
      <c r="AO53" s="2">
        <v>4806605.2515143603</v>
      </c>
      <c r="AP53" s="2">
        <v>4679581.9179769903</v>
      </c>
    </row>
    <row r="54" spans="1:42" ht="14.5" x14ac:dyDescent="0.35">
      <c r="A54" s="2" t="s">
        <v>435</v>
      </c>
      <c r="B54" s="2">
        <v>638.368378279495</v>
      </c>
      <c r="C54" s="2">
        <v>8.8958999999999993</v>
      </c>
      <c r="D54" s="2" t="s">
        <v>34</v>
      </c>
      <c r="E54" s="2" t="s">
        <v>436</v>
      </c>
      <c r="F54" s="2">
        <v>36089</v>
      </c>
      <c r="G54" s="3" t="str">
        <f>HYPERLINK("http://funmeta.oebiotech.com/network/36089", "http://funmeta.oebiotech.com/network/36089")</f>
        <v>http://funmeta.oebiotech.com/network/36089</v>
      </c>
      <c r="H54" s="2"/>
      <c r="I54" s="2"/>
      <c r="J54" s="2" t="s">
        <v>437</v>
      </c>
      <c r="K54" s="2"/>
      <c r="L54" s="2"/>
      <c r="M54" s="2"/>
      <c r="N54" s="2"/>
      <c r="O54" s="2">
        <v>71712507</v>
      </c>
      <c r="P54" s="2"/>
      <c r="Q54" s="2" t="s">
        <v>438</v>
      </c>
      <c r="R54" s="2" t="s">
        <v>439</v>
      </c>
      <c r="S54" s="2" t="s">
        <v>50</v>
      </c>
      <c r="T54" s="2" t="s">
        <v>201</v>
      </c>
      <c r="U54" s="2" t="s">
        <v>241</v>
      </c>
      <c r="V54" s="2" t="s">
        <v>42</v>
      </c>
      <c r="W54" s="2">
        <v>50</v>
      </c>
      <c r="X54" s="2">
        <v>51.3</v>
      </c>
      <c r="Y54" s="2" t="s">
        <v>440</v>
      </c>
      <c r="Z54" s="2" t="s">
        <v>441</v>
      </c>
      <c r="AA54" s="2">
        <v>-0.58959496513341303</v>
      </c>
      <c r="AB54" s="2">
        <v>4.8403753978569704</v>
      </c>
      <c r="AC54" s="2">
        <v>11533662.6731018</v>
      </c>
      <c r="AD54" s="2">
        <v>13973632.2573829</v>
      </c>
      <c r="AE54" s="2">
        <v>10926018.661392801</v>
      </c>
      <c r="AF54" s="2">
        <v>12333461.3808145</v>
      </c>
      <c r="AG54" s="2">
        <v>12206200.77954</v>
      </c>
      <c r="AH54" s="2">
        <v>10758341.258462099</v>
      </c>
      <c r="AI54" s="2">
        <v>10757093.5960552</v>
      </c>
      <c r="AJ54" s="2">
        <v>12220860.3623464</v>
      </c>
      <c r="AK54" s="2">
        <v>13455941.1186544</v>
      </c>
      <c r="AL54" s="2">
        <v>17975726.717075001</v>
      </c>
      <c r="AM54" s="2">
        <v>13088743.473936699</v>
      </c>
      <c r="AN54" s="2">
        <v>12981875.784576001</v>
      </c>
      <c r="AO54" s="2">
        <v>14470483.522985799</v>
      </c>
      <c r="AP54" s="2">
        <v>11869022.927069301</v>
      </c>
    </row>
    <row r="55" spans="1:42" ht="14.5" x14ac:dyDescent="0.35">
      <c r="A55" s="2" t="s">
        <v>442</v>
      </c>
      <c r="B55" s="2">
        <v>721.36485828009495</v>
      </c>
      <c r="C55" s="2">
        <v>9.6379333333333292</v>
      </c>
      <c r="D55" s="2" t="s">
        <v>70</v>
      </c>
      <c r="E55" s="2" t="s">
        <v>443</v>
      </c>
      <c r="F55" s="2">
        <v>64201</v>
      </c>
      <c r="G55" s="3" t="str">
        <f>HYPERLINK("http://funmeta.oebiotech.com/network/64201", "http://funmeta.oebiotech.com/network/64201")</f>
        <v>http://funmeta.oebiotech.com/network/64201</v>
      </c>
      <c r="H55" s="2" t="s">
        <v>444</v>
      </c>
      <c r="I55" s="2"/>
      <c r="J55" s="2"/>
      <c r="K55" s="2"/>
      <c r="L55" s="2"/>
      <c r="M55" s="2"/>
      <c r="N55" s="2"/>
      <c r="O55" s="2">
        <v>131753022</v>
      </c>
      <c r="P55" s="2" t="s">
        <v>445</v>
      </c>
      <c r="Q55" s="2" t="s">
        <v>446</v>
      </c>
      <c r="R55" s="2" t="s">
        <v>447</v>
      </c>
      <c r="S55" s="2" t="s">
        <v>50</v>
      </c>
      <c r="T55" s="2" t="s">
        <v>448</v>
      </c>
      <c r="U55" s="2" t="s">
        <v>449</v>
      </c>
      <c r="V55" s="2" t="s">
        <v>42</v>
      </c>
      <c r="W55" s="2">
        <v>55.8</v>
      </c>
      <c r="X55" s="2">
        <v>80.5</v>
      </c>
      <c r="Y55" s="2" t="s">
        <v>286</v>
      </c>
      <c r="Z55" s="2" t="s">
        <v>450</v>
      </c>
      <c r="AA55" s="2">
        <v>-0.51903724046708</v>
      </c>
      <c r="AB55" s="2">
        <v>4.8082273922165699</v>
      </c>
      <c r="AC55" s="2">
        <v>3235959.2306702998</v>
      </c>
      <c r="AD55" s="2">
        <v>1665421.6770451199</v>
      </c>
      <c r="AE55" s="2">
        <v>3758817.68202603</v>
      </c>
      <c r="AF55" s="2">
        <v>3325081.1218832401</v>
      </c>
      <c r="AG55" s="2">
        <v>3040270.7955049402</v>
      </c>
      <c r="AH55" s="2">
        <v>3191587.5895754499</v>
      </c>
      <c r="AI55" s="2">
        <v>3166974.7680500601</v>
      </c>
      <c r="AJ55" s="2">
        <v>2933023.4269821001</v>
      </c>
      <c r="AK55" s="2">
        <v>1611421.3701830499</v>
      </c>
      <c r="AL55" s="2">
        <v>1846938.22486205</v>
      </c>
      <c r="AM55" s="2">
        <v>1884878.8089608201</v>
      </c>
      <c r="AN55" s="2">
        <v>1572333.4109002</v>
      </c>
      <c r="AO55" s="2">
        <v>1609319.65348368</v>
      </c>
      <c r="AP55" s="2">
        <v>1467638.5938808899</v>
      </c>
    </row>
    <row r="56" spans="1:42" ht="14.5" x14ac:dyDescent="0.35">
      <c r="A56" s="2" t="s">
        <v>451</v>
      </c>
      <c r="B56" s="2">
        <v>826.54208560762697</v>
      </c>
      <c r="C56" s="2">
        <v>12.0231833333333</v>
      </c>
      <c r="D56" s="2" t="s">
        <v>34</v>
      </c>
      <c r="E56" s="2" t="s">
        <v>452</v>
      </c>
      <c r="F56" s="2">
        <v>23742</v>
      </c>
      <c r="G56" s="3" t="str">
        <f>HYPERLINK("http://funmeta.oebiotech.com/network/23742", "http://funmeta.oebiotech.com/network/23742")</f>
        <v>http://funmeta.oebiotech.com/network/23742</v>
      </c>
      <c r="H56" s="2"/>
      <c r="I56" s="2"/>
      <c r="J56" s="2" t="s">
        <v>453</v>
      </c>
      <c r="K56" s="2"/>
      <c r="L56" s="2"/>
      <c r="M56" s="2"/>
      <c r="N56" s="2"/>
      <c r="O56" s="2">
        <v>52927480</v>
      </c>
      <c r="P56" s="2"/>
      <c r="Q56" s="2" t="s">
        <v>454</v>
      </c>
      <c r="R56" s="2" t="s">
        <v>455</v>
      </c>
      <c r="S56" s="2" t="s">
        <v>50</v>
      </c>
      <c r="T56" s="2" t="s">
        <v>51</v>
      </c>
      <c r="U56" s="2" t="s">
        <v>52</v>
      </c>
      <c r="V56" s="2" t="s">
        <v>59</v>
      </c>
      <c r="W56" s="2">
        <v>39.200000000000003</v>
      </c>
      <c r="X56" s="2">
        <v>6.98</v>
      </c>
      <c r="Y56" s="2" t="s">
        <v>43</v>
      </c>
      <c r="Z56" s="2" t="s">
        <v>456</v>
      </c>
      <c r="AA56" s="2">
        <v>-2.3735954004309998</v>
      </c>
      <c r="AB56" s="2">
        <v>4.7725953017219398</v>
      </c>
      <c r="AC56" s="2">
        <v>15771.6721961575</v>
      </c>
      <c r="AD56" s="2">
        <v>1523858.3795344699</v>
      </c>
      <c r="AE56" s="2">
        <v>24252.938177304699</v>
      </c>
      <c r="AF56" s="2">
        <v>15374.7767735301</v>
      </c>
      <c r="AG56" s="2">
        <v>17135.428778286299</v>
      </c>
      <c r="AH56" s="2">
        <v>13829.5846125893</v>
      </c>
      <c r="AI56" s="2">
        <v>11588.7609718691</v>
      </c>
      <c r="AJ56" s="2">
        <v>12448.543863365399</v>
      </c>
      <c r="AK56" s="2">
        <v>1497020.5880690201</v>
      </c>
      <c r="AL56" s="2">
        <v>1365810.92097572</v>
      </c>
      <c r="AM56" s="2">
        <v>1834446.2993421101</v>
      </c>
      <c r="AN56" s="2">
        <v>1451908.1374490601</v>
      </c>
      <c r="AO56" s="2">
        <v>1452643.7076892201</v>
      </c>
      <c r="AP56" s="2">
        <v>1541320.6236816701</v>
      </c>
    </row>
    <row r="57" spans="1:42" ht="14.5" x14ac:dyDescent="0.35">
      <c r="A57" s="2" t="s">
        <v>457</v>
      </c>
      <c r="B57" s="2">
        <v>533.17133808850303</v>
      </c>
      <c r="C57" s="2">
        <v>0.73909999999999998</v>
      </c>
      <c r="D57" s="2" t="s">
        <v>70</v>
      </c>
      <c r="E57" s="2" t="s">
        <v>458</v>
      </c>
      <c r="F57" s="2">
        <v>47803</v>
      </c>
      <c r="G57" s="3" t="str">
        <f>HYPERLINK("http://funmeta.oebiotech.com/network/47803", "http://funmeta.oebiotech.com/network/47803")</f>
        <v>http://funmeta.oebiotech.com/network/47803</v>
      </c>
      <c r="H57" s="2" t="s">
        <v>459</v>
      </c>
      <c r="I57" s="2"/>
      <c r="J57" s="2"/>
      <c r="K57" s="2">
        <v>90065</v>
      </c>
      <c r="L57" s="2"/>
      <c r="M57" s="2"/>
      <c r="N57" s="2"/>
      <c r="O57" s="2">
        <v>161460</v>
      </c>
      <c r="P57" s="2" t="s">
        <v>460</v>
      </c>
      <c r="Q57" s="2" t="s">
        <v>461</v>
      </c>
      <c r="R57" s="2" t="s">
        <v>462</v>
      </c>
      <c r="S57" s="2" t="s">
        <v>79</v>
      </c>
      <c r="T57" s="2" t="s">
        <v>80</v>
      </c>
      <c r="U57" s="2" t="s">
        <v>81</v>
      </c>
      <c r="V57" s="2" t="s">
        <v>59</v>
      </c>
      <c r="W57" s="2">
        <v>42.1</v>
      </c>
      <c r="X57" s="2">
        <v>14</v>
      </c>
      <c r="Y57" s="2" t="s">
        <v>408</v>
      </c>
      <c r="Z57" s="2" t="s">
        <v>463</v>
      </c>
      <c r="AA57" s="2">
        <v>-2.0179298657425901</v>
      </c>
      <c r="AB57" s="2">
        <v>4.7461231743618404</v>
      </c>
      <c r="AC57" s="2">
        <v>19553724.455585301</v>
      </c>
      <c r="AD57" s="2">
        <v>21562261.6559241</v>
      </c>
      <c r="AE57" s="2">
        <v>18202774.8971508</v>
      </c>
      <c r="AF57" s="2">
        <v>18592696.3325512</v>
      </c>
      <c r="AG57" s="2">
        <v>21548774.522219799</v>
      </c>
      <c r="AH57" s="2">
        <v>19342471.5499411</v>
      </c>
      <c r="AI57" s="2">
        <v>19198762.687137298</v>
      </c>
      <c r="AJ57" s="2">
        <v>20436866.744511899</v>
      </c>
      <c r="AK57" s="2">
        <v>20218299.743567601</v>
      </c>
      <c r="AL57" s="2">
        <v>21836081.648212802</v>
      </c>
      <c r="AM57" s="2">
        <v>21978185.9787209</v>
      </c>
      <c r="AN57" s="2">
        <v>21349504.622127701</v>
      </c>
      <c r="AO57" s="2">
        <v>22010145.452273201</v>
      </c>
      <c r="AP57" s="2">
        <v>21981352.490642499</v>
      </c>
    </row>
    <row r="58" spans="1:42" ht="14.5" x14ac:dyDescent="0.35">
      <c r="A58" s="2" t="s">
        <v>464</v>
      </c>
      <c r="B58" s="2">
        <v>822.55587248572499</v>
      </c>
      <c r="C58" s="2">
        <v>12.342333333333301</v>
      </c>
      <c r="D58" s="2" t="s">
        <v>34</v>
      </c>
      <c r="E58" s="2" t="s">
        <v>465</v>
      </c>
      <c r="F58" s="2">
        <v>46</v>
      </c>
      <c r="G58" s="3" t="str">
        <f>HYPERLINK("http://funmeta.oebiotech.com/network/46", "http://funmeta.oebiotech.com/network/46")</f>
        <v>http://funmeta.oebiotech.com/network/46</v>
      </c>
      <c r="H58" s="2"/>
      <c r="I58" s="2"/>
      <c r="J58" s="2" t="s">
        <v>466</v>
      </c>
      <c r="K58" s="2"/>
      <c r="L58" s="2"/>
      <c r="M58" s="2"/>
      <c r="N58" s="2"/>
      <c r="O58" s="2">
        <v>102203993</v>
      </c>
      <c r="P58" s="2"/>
      <c r="Q58" s="2" t="s">
        <v>467</v>
      </c>
      <c r="R58" s="2" t="s">
        <v>468</v>
      </c>
      <c r="S58" s="2" t="s">
        <v>89</v>
      </c>
      <c r="T58" s="2" t="s">
        <v>90</v>
      </c>
      <c r="U58" s="2" t="s">
        <v>469</v>
      </c>
      <c r="V58" s="2" t="s">
        <v>59</v>
      </c>
      <c r="W58" s="2">
        <v>40.1</v>
      </c>
      <c r="X58" s="2">
        <v>13.8</v>
      </c>
      <c r="Y58" s="2" t="s">
        <v>470</v>
      </c>
      <c r="Z58" s="2" t="s">
        <v>471</v>
      </c>
      <c r="AA58" s="2">
        <v>-1.8149319717711201</v>
      </c>
      <c r="AB58" s="2">
        <v>4.6326866290797399</v>
      </c>
      <c r="AC58" s="2">
        <v>60403.154667239003</v>
      </c>
      <c r="AD58" s="2">
        <v>1474099.2152676401</v>
      </c>
      <c r="AE58" s="2">
        <v>48822.577200616499</v>
      </c>
      <c r="AF58" s="2">
        <v>56576.655723094998</v>
      </c>
      <c r="AG58" s="2">
        <v>63296.804321153097</v>
      </c>
      <c r="AH58" s="2">
        <v>60880.129688797897</v>
      </c>
      <c r="AI58" s="2">
        <v>63600.281721995103</v>
      </c>
      <c r="AJ58" s="2">
        <v>69242.479347776694</v>
      </c>
      <c r="AK58" s="2">
        <v>1398353.29684166</v>
      </c>
      <c r="AL58" s="2">
        <v>1411881.7188198799</v>
      </c>
      <c r="AM58" s="2">
        <v>1661558.30255409</v>
      </c>
      <c r="AN58" s="2">
        <v>1457754.19848612</v>
      </c>
      <c r="AO58" s="2">
        <v>1399449.90822825</v>
      </c>
      <c r="AP58" s="2">
        <v>1515597.86667584</v>
      </c>
    </row>
    <row r="59" spans="1:42" ht="14.5" x14ac:dyDescent="0.35">
      <c r="A59" s="2" t="s">
        <v>472</v>
      </c>
      <c r="B59" s="2">
        <v>613.24982035570702</v>
      </c>
      <c r="C59" s="2">
        <v>5.84148333333333</v>
      </c>
      <c r="D59" s="2" t="s">
        <v>70</v>
      </c>
      <c r="E59" s="2" t="s">
        <v>473</v>
      </c>
      <c r="F59" s="2">
        <v>62046</v>
      </c>
      <c r="G59" s="3" t="str">
        <f>HYPERLINK("http://funmeta.oebiotech.com/network/62046", "http://funmeta.oebiotech.com/network/62046")</f>
        <v>http://funmeta.oebiotech.com/network/62046</v>
      </c>
      <c r="H59" s="2" t="s">
        <v>474</v>
      </c>
      <c r="I59" s="2">
        <v>93337</v>
      </c>
      <c r="J59" s="2"/>
      <c r="K59" s="2"/>
      <c r="L59" s="2"/>
      <c r="M59" s="2"/>
      <c r="N59" s="2"/>
      <c r="O59" s="2">
        <v>131752424</v>
      </c>
      <c r="P59" s="2" t="s">
        <v>475</v>
      </c>
      <c r="Q59" s="2" t="s">
        <v>476</v>
      </c>
      <c r="R59" s="2" t="s">
        <v>477</v>
      </c>
      <c r="S59" s="2" t="s">
        <v>50</v>
      </c>
      <c r="T59" s="2" t="s">
        <v>201</v>
      </c>
      <c r="U59" s="2" t="s">
        <v>241</v>
      </c>
      <c r="V59" s="2" t="s">
        <v>42</v>
      </c>
      <c r="W59" s="2">
        <v>51.6</v>
      </c>
      <c r="X59" s="2">
        <v>59.9</v>
      </c>
      <c r="Y59" s="2" t="s">
        <v>408</v>
      </c>
      <c r="Z59" s="2" t="s">
        <v>478</v>
      </c>
      <c r="AA59" s="2">
        <v>-0.63216993121776999</v>
      </c>
      <c r="AB59" s="2">
        <v>4.6069783289694897</v>
      </c>
      <c r="AC59" s="2">
        <v>2558046.1485564099</v>
      </c>
      <c r="AD59" s="2">
        <v>1158281.2484196499</v>
      </c>
      <c r="AE59" s="2">
        <v>2584182.0241099801</v>
      </c>
      <c r="AF59" s="2">
        <v>2377475.4491007701</v>
      </c>
      <c r="AG59" s="2">
        <v>2561959.1938098902</v>
      </c>
      <c r="AH59" s="2">
        <v>2645280.1247998001</v>
      </c>
      <c r="AI59" s="2">
        <v>2581211.3813617299</v>
      </c>
      <c r="AJ59" s="2">
        <v>2598168.71815628</v>
      </c>
      <c r="AK59" s="2">
        <v>1239659.8958029801</v>
      </c>
      <c r="AL59" s="2">
        <v>1149809.0249767599</v>
      </c>
      <c r="AM59" s="2">
        <v>1184464.4562226699</v>
      </c>
      <c r="AN59" s="2">
        <v>1102188.17159502</v>
      </c>
      <c r="AO59" s="2">
        <v>1149535.40212873</v>
      </c>
      <c r="AP59" s="2">
        <v>1124030.53979176</v>
      </c>
    </row>
    <row r="60" spans="1:42" ht="14.5" x14ac:dyDescent="0.35">
      <c r="A60" s="2" t="s">
        <v>479</v>
      </c>
      <c r="B60" s="2">
        <v>866.57892082828198</v>
      </c>
      <c r="C60" s="2">
        <v>12.323966666666699</v>
      </c>
      <c r="D60" s="2" t="s">
        <v>34</v>
      </c>
      <c r="E60" s="2" t="s">
        <v>480</v>
      </c>
      <c r="F60" s="2">
        <v>23835</v>
      </c>
      <c r="G60" s="3" t="str">
        <f>HYPERLINK("http://funmeta.oebiotech.com/network/23835", "http://funmeta.oebiotech.com/network/23835")</f>
        <v>http://funmeta.oebiotech.com/network/23835</v>
      </c>
      <c r="H60" s="2"/>
      <c r="I60" s="2"/>
      <c r="J60" s="2" t="s">
        <v>481</v>
      </c>
      <c r="K60" s="2"/>
      <c r="L60" s="2"/>
      <c r="M60" s="2"/>
      <c r="N60" s="2"/>
      <c r="O60" s="2">
        <v>52927573</v>
      </c>
      <c r="P60" s="2"/>
      <c r="Q60" s="2" t="s">
        <v>482</v>
      </c>
      <c r="R60" s="2" t="s">
        <v>483</v>
      </c>
      <c r="S60" s="2" t="s">
        <v>50</v>
      </c>
      <c r="T60" s="2" t="s">
        <v>51</v>
      </c>
      <c r="U60" s="2" t="s">
        <v>52</v>
      </c>
      <c r="V60" s="2" t="s">
        <v>42</v>
      </c>
      <c r="W60" s="2">
        <v>50</v>
      </c>
      <c r="X60" s="2">
        <v>62.3</v>
      </c>
      <c r="Y60" s="2" t="s">
        <v>43</v>
      </c>
      <c r="Z60" s="2" t="s">
        <v>484</v>
      </c>
      <c r="AA60" s="2">
        <v>4.26144911102935</v>
      </c>
      <c r="AB60" s="2">
        <v>4.5960365532753498</v>
      </c>
      <c r="AC60" s="2">
        <v>34719.993346823299</v>
      </c>
      <c r="AD60" s="2">
        <v>1427907.2900330999</v>
      </c>
      <c r="AE60" s="2">
        <v>31089.992963529301</v>
      </c>
      <c r="AF60" s="2">
        <v>36346.125169305698</v>
      </c>
      <c r="AG60" s="2">
        <v>35270.473315980002</v>
      </c>
      <c r="AH60" s="2">
        <v>36547.691033907198</v>
      </c>
      <c r="AI60" s="2">
        <v>33724.844876105301</v>
      </c>
      <c r="AJ60" s="2">
        <v>35340.832722112202</v>
      </c>
      <c r="AK60" s="2">
        <v>1368823.0628192101</v>
      </c>
      <c r="AL60" s="2">
        <v>1352561.18897794</v>
      </c>
      <c r="AM60" s="2">
        <v>1622711.84517985</v>
      </c>
      <c r="AN60" s="2">
        <v>1345005.4774040601</v>
      </c>
      <c r="AO60" s="2">
        <v>1372361.21398813</v>
      </c>
      <c r="AP60" s="2">
        <v>1505980.9518294299</v>
      </c>
    </row>
    <row r="61" spans="1:42" ht="14.5" x14ac:dyDescent="0.35">
      <c r="A61" s="2" t="s">
        <v>485</v>
      </c>
      <c r="B61" s="2">
        <v>653.25586932208898</v>
      </c>
      <c r="C61" s="2">
        <v>6.9064166666666704</v>
      </c>
      <c r="D61" s="2" t="s">
        <v>34</v>
      </c>
      <c r="E61" s="2" t="s">
        <v>486</v>
      </c>
      <c r="F61" s="2">
        <v>64035</v>
      </c>
      <c r="G61" s="3" t="str">
        <f>HYPERLINK("http://funmeta.oebiotech.com/network/64035", "http://funmeta.oebiotech.com/network/64035")</f>
        <v>http://funmeta.oebiotech.com/network/64035</v>
      </c>
      <c r="H61" s="2" t="s">
        <v>487</v>
      </c>
      <c r="I61" s="2">
        <v>95367</v>
      </c>
      <c r="J61" s="2"/>
      <c r="K61" s="2">
        <v>168121</v>
      </c>
      <c r="L61" s="2"/>
      <c r="M61" s="2"/>
      <c r="N61" s="2"/>
      <c r="O61" s="2">
        <v>100917761</v>
      </c>
      <c r="P61" s="2" t="s">
        <v>488</v>
      </c>
      <c r="Q61" s="2" t="s">
        <v>489</v>
      </c>
      <c r="R61" s="2" t="s">
        <v>490</v>
      </c>
      <c r="S61" s="2" t="s">
        <v>491</v>
      </c>
      <c r="T61" s="2" t="s">
        <v>492</v>
      </c>
      <c r="U61" s="2" t="s">
        <v>41</v>
      </c>
      <c r="V61" s="2" t="s">
        <v>59</v>
      </c>
      <c r="W61" s="2">
        <v>43.4</v>
      </c>
      <c r="X61" s="2">
        <v>28.3</v>
      </c>
      <c r="Y61" s="2" t="s">
        <v>250</v>
      </c>
      <c r="Z61" s="2" t="s">
        <v>493</v>
      </c>
      <c r="AA61" s="2">
        <v>-3.6739112700348699</v>
      </c>
      <c r="AB61" s="2">
        <v>4.5437404307822096</v>
      </c>
      <c r="AC61" s="2">
        <v>2346267.5444026999</v>
      </c>
      <c r="AD61" s="2">
        <v>976865.38354931097</v>
      </c>
      <c r="AE61" s="2">
        <v>2369593.81791237</v>
      </c>
      <c r="AF61" s="2">
        <v>2313714.7838842398</v>
      </c>
      <c r="AG61" s="2">
        <v>2462792.3754746802</v>
      </c>
      <c r="AH61" s="2">
        <v>2157790.2192502301</v>
      </c>
      <c r="AI61" s="2">
        <v>2178008.7288797302</v>
      </c>
      <c r="AJ61" s="2">
        <v>2595705.3410149398</v>
      </c>
      <c r="AK61" s="2">
        <v>978237.58034551702</v>
      </c>
      <c r="AL61" s="2">
        <v>989905.41227325494</v>
      </c>
      <c r="AM61" s="2">
        <v>948020.09832182003</v>
      </c>
      <c r="AN61" s="2">
        <v>1012227.01719769</v>
      </c>
      <c r="AO61" s="2">
        <v>970946.50076476601</v>
      </c>
      <c r="AP61" s="2">
        <v>961855.69239282096</v>
      </c>
    </row>
    <row r="62" spans="1:42" ht="14.5" x14ac:dyDescent="0.35">
      <c r="A62" s="2" t="s">
        <v>494</v>
      </c>
      <c r="B62" s="2">
        <v>593.15084920004006</v>
      </c>
      <c r="C62" s="2">
        <v>4.7931333333333299</v>
      </c>
      <c r="D62" s="2" t="s">
        <v>70</v>
      </c>
      <c r="E62" s="2" t="s">
        <v>495</v>
      </c>
      <c r="F62" s="2">
        <v>268833</v>
      </c>
      <c r="G62" s="3" t="str">
        <f>HYPERLINK("http://funmeta.oebiotech.com/network/268833", "http://funmeta.oebiotech.com/network/268833")</f>
        <v>http://funmeta.oebiotech.com/network/268833</v>
      </c>
      <c r="H62" s="2"/>
      <c r="I62" s="2">
        <v>50149</v>
      </c>
      <c r="J62" s="2"/>
      <c r="K62" s="2"/>
      <c r="L62" s="2"/>
      <c r="M62" s="2"/>
      <c r="N62" s="2"/>
      <c r="O62" s="2">
        <v>44258805</v>
      </c>
      <c r="P62" s="2"/>
      <c r="Q62" s="2" t="s">
        <v>496</v>
      </c>
      <c r="R62" s="2" t="s">
        <v>497</v>
      </c>
      <c r="S62" s="2" t="s">
        <v>115</v>
      </c>
      <c r="T62" s="2" t="s">
        <v>139</v>
      </c>
      <c r="U62" s="2" t="s">
        <v>140</v>
      </c>
      <c r="V62" s="2" t="s">
        <v>42</v>
      </c>
      <c r="W62" s="2">
        <v>59.1</v>
      </c>
      <c r="X62" s="2">
        <v>96.5</v>
      </c>
      <c r="Y62" s="2" t="s">
        <v>498</v>
      </c>
      <c r="Z62" s="2" t="s">
        <v>499</v>
      </c>
      <c r="AA62" s="2">
        <v>-0.58001943505486697</v>
      </c>
      <c r="AB62" s="2">
        <v>4.5105536365868497</v>
      </c>
      <c r="AC62" s="2">
        <v>5128127.30053127</v>
      </c>
      <c r="AD62" s="2">
        <v>3733613.4879499101</v>
      </c>
      <c r="AE62" s="2">
        <v>5302711.0974914702</v>
      </c>
      <c r="AF62" s="2">
        <v>4836001.0433062399</v>
      </c>
      <c r="AG62" s="2">
        <v>4860767.7390570603</v>
      </c>
      <c r="AH62" s="2">
        <v>5141365.2255677897</v>
      </c>
      <c r="AI62" s="2">
        <v>5011181.4247318497</v>
      </c>
      <c r="AJ62" s="2">
        <v>5616737.2730331803</v>
      </c>
      <c r="AK62" s="2">
        <v>3518178.6419187901</v>
      </c>
      <c r="AL62" s="2">
        <v>3901319.9466436901</v>
      </c>
      <c r="AM62" s="2">
        <v>3740078.0152064599</v>
      </c>
      <c r="AN62" s="2">
        <v>3627234.1231924999</v>
      </c>
      <c r="AO62" s="2">
        <v>3778487.2275575399</v>
      </c>
      <c r="AP62" s="2">
        <v>3836382.9731804598</v>
      </c>
    </row>
    <row r="63" spans="1:42" ht="14.5" x14ac:dyDescent="0.35">
      <c r="A63" s="2" t="s">
        <v>500</v>
      </c>
      <c r="B63" s="2">
        <v>425.14143921860602</v>
      </c>
      <c r="C63" s="2">
        <v>4.1925499999999998</v>
      </c>
      <c r="D63" s="2" t="s">
        <v>34</v>
      </c>
      <c r="E63" s="2" t="s">
        <v>501</v>
      </c>
      <c r="F63" s="2">
        <v>255946</v>
      </c>
      <c r="G63" s="3" t="str">
        <f>HYPERLINK("http://funmeta.oebiotech.com/network/255946", "http://funmeta.oebiotech.com/network/255946")</f>
        <v>http://funmeta.oebiotech.com/network/255946</v>
      </c>
      <c r="H63" s="2" t="s">
        <v>502</v>
      </c>
      <c r="I63" s="2"/>
      <c r="J63" s="2"/>
      <c r="K63" s="2"/>
      <c r="L63" s="2"/>
      <c r="M63" s="2"/>
      <c r="N63" s="2"/>
      <c r="O63" s="2"/>
      <c r="P63" s="2"/>
      <c r="Q63" s="2" t="s">
        <v>503</v>
      </c>
      <c r="R63" s="2" t="s">
        <v>504</v>
      </c>
      <c r="S63" s="2" t="s">
        <v>79</v>
      </c>
      <c r="T63" s="2" t="s">
        <v>80</v>
      </c>
      <c r="U63" s="2" t="s">
        <v>81</v>
      </c>
      <c r="V63" s="2" t="s">
        <v>59</v>
      </c>
      <c r="W63" s="2">
        <v>47.6</v>
      </c>
      <c r="X63" s="2">
        <v>42.6</v>
      </c>
      <c r="Y63" s="2" t="s">
        <v>505</v>
      </c>
      <c r="Z63" s="2" t="s">
        <v>506</v>
      </c>
      <c r="AA63" s="2">
        <v>-0.94116217872082397</v>
      </c>
      <c r="AB63" s="2">
        <v>4.5024265427409196</v>
      </c>
      <c r="AC63" s="2">
        <v>3197581.2827311601</v>
      </c>
      <c r="AD63" s="2">
        <v>1857777.0043790501</v>
      </c>
      <c r="AE63" s="2">
        <v>3213599.9659215799</v>
      </c>
      <c r="AF63" s="2">
        <v>3027285.9708185899</v>
      </c>
      <c r="AG63" s="2">
        <v>3303295.7013855102</v>
      </c>
      <c r="AH63" s="2">
        <v>3241139.9735728502</v>
      </c>
      <c r="AI63" s="2">
        <v>3193058.4054569998</v>
      </c>
      <c r="AJ63" s="2">
        <v>3207107.6792314202</v>
      </c>
      <c r="AK63" s="2">
        <v>1810489.7366104301</v>
      </c>
      <c r="AL63" s="2">
        <v>1786504.5578936399</v>
      </c>
      <c r="AM63" s="2">
        <v>1860292.3419318299</v>
      </c>
      <c r="AN63" s="2">
        <v>1812967.16490302</v>
      </c>
      <c r="AO63" s="2">
        <v>1860742.73510462</v>
      </c>
      <c r="AP63" s="2">
        <v>2015665.4898307901</v>
      </c>
    </row>
    <row r="64" spans="1:42" ht="14.5" x14ac:dyDescent="0.35">
      <c r="A64" s="2" t="s">
        <v>507</v>
      </c>
      <c r="B64" s="2">
        <v>509.31152948889002</v>
      </c>
      <c r="C64" s="2">
        <v>6.4626999999999999</v>
      </c>
      <c r="D64" s="2" t="s">
        <v>70</v>
      </c>
      <c r="E64" s="2" t="s">
        <v>508</v>
      </c>
      <c r="F64" s="2">
        <v>206282</v>
      </c>
      <c r="G64" s="3" t="str">
        <f>HYPERLINK("http://funmeta.oebiotech.com/network/206282", "http://funmeta.oebiotech.com/network/206282")</f>
        <v>http://funmeta.oebiotech.com/network/206282</v>
      </c>
      <c r="H64" s="2" t="s">
        <v>509</v>
      </c>
      <c r="I64" s="2"/>
      <c r="J64" s="2"/>
      <c r="K64" s="2"/>
      <c r="L64" s="2"/>
      <c r="M64" s="2"/>
      <c r="N64" s="2"/>
      <c r="O64" s="2">
        <v>4233007</v>
      </c>
      <c r="P64" s="2"/>
      <c r="Q64" s="2" t="s">
        <v>510</v>
      </c>
      <c r="R64" s="2" t="s">
        <v>511</v>
      </c>
      <c r="S64" s="2" t="s">
        <v>50</v>
      </c>
      <c r="T64" s="2" t="s">
        <v>124</v>
      </c>
      <c r="U64" s="2" t="s">
        <v>125</v>
      </c>
      <c r="V64" s="2" t="s">
        <v>59</v>
      </c>
      <c r="W64" s="2">
        <v>41.8</v>
      </c>
      <c r="X64" s="2">
        <v>15.3</v>
      </c>
      <c r="Y64" s="2" t="s">
        <v>286</v>
      </c>
      <c r="Z64" s="2" t="s">
        <v>416</v>
      </c>
      <c r="AA64" s="2">
        <v>-0.996114180983935</v>
      </c>
      <c r="AB64" s="2">
        <v>4.3941408997009503</v>
      </c>
      <c r="AC64" s="2">
        <v>2250336.76274407</v>
      </c>
      <c r="AD64" s="2">
        <v>3525443.9296664302</v>
      </c>
      <c r="AE64" s="2">
        <v>2272935.4733905699</v>
      </c>
      <c r="AF64" s="2">
        <v>2158899.1010528398</v>
      </c>
      <c r="AG64" s="2">
        <v>2253134.4952464201</v>
      </c>
      <c r="AH64" s="2">
        <v>2230315.3968435102</v>
      </c>
      <c r="AI64" s="2">
        <v>2277590.4908942902</v>
      </c>
      <c r="AJ64" s="2">
        <v>2309145.61903681</v>
      </c>
      <c r="AK64" s="2">
        <v>3397380.4722636901</v>
      </c>
      <c r="AL64" s="2">
        <v>3625129.9964781702</v>
      </c>
      <c r="AM64" s="2">
        <v>3532942.1023598099</v>
      </c>
      <c r="AN64" s="2">
        <v>3429755.8888781099</v>
      </c>
      <c r="AO64" s="2">
        <v>3645887.8902674699</v>
      </c>
      <c r="AP64" s="2">
        <v>3521567.2277513398</v>
      </c>
    </row>
    <row r="65" spans="1:42" ht="14.5" x14ac:dyDescent="0.35">
      <c r="A65" s="2" t="s">
        <v>512</v>
      </c>
      <c r="B65" s="2">
        <v>698.26471627519004</v>
      </c>
      <c r="C65" s="2">
        <v>3.7887</v>
      </c>
      <c r="D65" s="2" t="s">
        <v>34</v>
      </c>
      <c r="E65" s="2" t="s">
        <v>513</v>
      </c>
      <c r="F65" s="2">
        <v>30927</v>
      </c>
      <c r="G65" s="3" t="str">
        <f>HYPERLINK("http://funmeta.oebiotech.com/network/30927", "http://funmeta.oebiotech.com/network/30927")</f>
        <v>http://funmeta.oebiotech.com/network/30927</v>
      </c>
      <c r="H65" s="2"/>
      <c r="I65" s="2"/>
      <c r="J65" s="2" t="s">
        <v>514</v>
      </c>
      <c r="K65" s="2"/>
      <c r="L65" s="2"/>
      <c r="M65" s="2"/>
      <c r="N65" s="2"/>
      <c r="O65" s="2">
        <v>102277423</v>
      </c>
      <c r="P65" s="2"/>
      <c r="Q65" s="2" t="s">
        <v>515</v>
      </c>
      <c r="R65" s="2" t="s">
        <v>516</v>
      </c>
      <c r="S65" s="2" t="s">
        <v>115</v>
      </c>
      <c r="T65" s="2" t="s">
        <v>139</v>
      </c>
      <c r="U65" s="2" t="s">
        <v>140</v>
      </c>
      <c r="V65" s="2" t="s">
        <v>42</v>
      </c>
      <c r="W65" s="2">
        <v>56.4</v>
      </c>
      <c r="X65" s="2">
        <v>85.4</v>
      </c>
      <c r="Y65" s="2" t="s">
        <v>43</v>
      </c>
      <c r="Z65" s="2" t="s">
        <v>517</v>
      </c>
      <c r="AA65" s="2">
        <v>-1.0944074510266599</v>
      </c>
      <c r="AB65" s="2">
        <v>4.36278649758854</v>
      </c>
      <c r="AC65" s="2">
        <v>1841526.9790227099</v>
      </c>
      <c r="AD65" s="2">
        <v>591236.83557395404</v>
      </c>
      <c r="AE65" s="2">
        <v>1905905.4918865401</v>
      </c>
      <c r="AF65" s="2">
        <v>1903592.4985958</v>
      </c>
      <c r="AG65" s="2">
        <v>1800523.0597801199</v>
      </c>
      <c r="AH65" s="2">
        <v>1802578.43282124</v>
      </c>
      <c r="AI65" s="2">
        <v>1804106.1129224801</v>
      </c>
      <c r="AJ65" s="2">
        <v>1832456.2781300701</v>
      </c>
      <c r="AK65" s="2">
        <v>609773.85696160898</v>
      </c>
      <c r="AL65" s="2">
        <v>580260.39067948703</v>
      </c>
      <c r="AM65" s="2">
        <v>594849.45786236902</v>
      </c>
      <c r="AN65" s="2">
        <v>599393.13739002799</v>
      </c>
      <c r="AO65" s="2">
        <v>604095.02627275302</v>
      </c>
      <c r="AP65" s="2">
        <v>559049.14427747601</v>
      </c>
    </row>
    <row r="66" spans="1:42" ht="14.5" x14ac:dyDescent="0.35">
      <c r="A66" s="2" t="s">
        <v>518</v>
      </c>
      <c r="B66" s="2">
        <v>569.30794811276905</v>
      </c>
      <c r="C66" s="2">
        <v>11.879149999999999</v>
      </c>
      <c r="D66" s="2" t="s">
        <v>34</v>
      </c>
      <c r="E66" s="2" t="s">
        <v>519</v>
      </c>
      <c r="F66" s="2">
        <v>44668</v>
      </c>
      <c r="G66" s="3" t="str">
        <f>HYPERLINK("http://funmeta.oebiotech.com/network/44668", "http://funmeta.oebiotech.com/network/44668")</f>
        <v>http://funmeta.oebiotech.com/network/44668</v>
      </c>
      <c r="H66" s="2"/>
      <c r="I66" s="2"/>
      <c r="J66" s="2" t="s">
        <v>520</v>
      </c>
      <c r="K66" s="2"/>
      <c r="L66" s="2"/>
      <c r="M66" s="2"/>
      <c r="N66" s="2"/>
      <c r="O66" s="2">
        <v>10816404</v>
      </c>
      <c r="P66" s="2"/>
      <c r="Q66" s="2" t="s">
        <v>521</v>
      </c>
      <c r="R66" s="2" t="s">
        <v>522</v>
      </c>
      <c r="S66" s="2" t="s">
        <v>50</v>
      </c>
      <c r="T66" s="2" t="s">
        <v>124</v>
      </c>
      <c r="U66" s="2" t="s">
        <v>523</v>
      </c>
      <c r="V66" s="2" t="s">
        <v>42</v>
      </c>
      <c r="W66" s="2">
        <v>51</v>
      </c>
      <c r="X66" s="2">
        <v>58.1</v>
      </c>
      <c r="Y66" s="2" t="s">
        <v>376</v>
      </c>
      <c r="Z66" s="2" t="s">
        <v>524</v>
      </c>
      <c r="AA66" s="2">
        <v>-0.99026148738099795</v>
      </c>
      <c r="AB66" s="2">
        <v>4.3533333012348701</v>
      </c>
      <c r="AC66" s="2">
        <v>1396884.1815410301</v>
      </c>
      <c r="AD66" s="2">
        <v>141199.80772829099</v>
      </c>
      <c r="AE66" s="2">
        <v>1308095.5264812501</v>
      </c>
      <c r="AF66" s="2">
        <v>1363376.9061239001</v>
      </c>
      <c r="AG66" s="2">
        <v>1552971.9221920001</v>
      </c>
      <c r="AH66" s="2">
        <v>1195230.37499779</v>
      </c>
      <c r="AI66" s="2">
        <v>1476017.3165845</v>
      </c>
      <c r="AJ66" s="2">
        <v>1485613.0428667199</v>
      </c>
      <c r="AK66" s="2">
        <v>133813.878439633</v>
      </c>
      <c r="AL66" s="2">
        <v>141969.45486088801</v>
      </c>
      <c r="AM66" s="2">
        <v>146695.453947384</v>
      </c>
      <c r="AN66" s="2">
        <v>130295.91401800601</v>
      </c>
      <c r="AO66" s="2">
        <v>150609.633649228</v>
      </c>
      <c r="AP66" s="2">
        <v>143814.51145460899</v>
      </c>
    </row>
    <row r="67" spans="1:42" ht="14.5" x14ac:dyDescent="0.35">
      <c r="A67" s="2" t="s">
        <v>525</v>
      </c>
      <c r="B67" s="2">
        <v>461.16629304241201</v>
      </c>
      <c r="C67" s="2">
        <v>4.5612000000000004</v>
      </c>
      <c r="D67" s="2" t="s">
        <v>70</v>
      </c>
      <c r="E67" s="2" t="s">
        <v>526</v>
      </c>
      <c r="F67" s="2">
        <v>256611</v>
      </c>
      <c r="G67" s="3" t="str">
        <f>HYPERLINK("http://funmeta.oebiotech.com/network/256611", "http://funmeta.oebiotech.com/network/256611")</f>
        <v>http://funmeta.oebiotech.com/network/256611</v>
      </c>
      <c r="H67" s="2" t="s">
        <v>527</v>
      </c>
      <c r="I67" s="2"/>
      <c r="J67" s="2"/>
      <c r="K67" s="2"/>
      <c r="L67" s="2"/>
      <c r="M67" s="2"/>
      <c r="N67" s="2"/>
      <c r="O67" s="2">
        <v>13893574</v>
      </c>
      <c r="P67" s="2"/>
      <c r="Q67" s="2" t="s">
        <v>528</v>
      </c>
      <c r="R67" s="2" t="s">
        <v>529</v>
      </c>
      <c r="S67" s="2" t="s">
        <v>79</v>
      </c>
      <c r="T67" s="2" t="s">
        <v>80</v>
      </c>
      <c r="U67" s="2" t="s">
        <v>81</v>
      </c>
      <c r="V67" s="2" t="s">
        <v>42</v>
      </c>
      <c r="W67" s="2">
        <v>52.3</v>
      </c>
      <c r="X67" s="2">
        <v>62.8</v>
      </c>
      <c r="Y67" s="2" t="s">
        <v>286</v>
      </c>
      <c r="Z67" s="2" t="s">
        <v>530</v>
      </c>
      <c r="AA67" s="2">
        <v>-0.37706179889216901</v>
      </c>
      <c r="AB67" s="2">
        <v>4.34570256757641</v>
      </c>
      <c r="AC67" s="2">
        <v>3738441.0185077698</v>
      </c>
      <c r="AD67" s="2">
        <v>5019588.0660256399</v>
      </c>
      <c r="AE67" s="2">
        <v>4030699.0751815899</v>
      </c>
      <c r="AF67" s="2">
        <v>3608741.3417993402</v>
      </c>
      <c r="AG67" s="2">
        <v>3904033.6775105898</v>
      </c>
      <c r="AH67" s="2">
        <v>3598961.0990572502</v>
      </c>
      <c r="AI67" s="2">
        <v>3644773.9745546598</v>
      </c>
      <c r="AJ67" s="2">
        <v>3643436.94294316</v>
      </c>
      <c r="AK67" s="2">
        <v>4963339.8177088099</v>
      </c>
      <c r="AL67" s="2">
        <v>4943620.1414633701</v>
      </c>
      <c r="AM67" s="2">
        <v>5148309.3949378803</v>
      </c>
      <c r="AN67" s="2">
        <v>4911428.0049024699</v>
      </c>
      <c r="AO67" s="2">
        <v>4841120.5627574902</v>
      </c>
      <c r="AP67" s="2">
        <v>5309710.4743838003</v>
      </c>
    </row>
    <row r="68" spans="1:42" ht="14.5" x14ac:dyDescent="0.35">
      <c r="A68" s="2" t="s">
        <v>531</v>
      </c>
      <c r="B68" s="2">
        <v>363.10469907042</v>
      </c>
      <c r="C68" s="2">
        <v>4.1925499999999998</v>
      </c>
      <c r="D68" s="2" t="s">
        <v>34</v>
      </c>
      <c r="E68" s="2" t="s">
        <v>532</v>
      </c>
      <c r="F68" s="2">
        <v>55447</v>
      </c>
      <c r="G68" s="3" t="str">
        <f>HYPERLINK("http://funmeta.oebiotech.com/network/55447", "http://funmeta.oebiotech.com/network/55447")</f>
        <v>http://funmeta.oebiotech.com/network/55447</v>
      </c>
      <c r="H68" s="2" t="s">
        <v>533</v>
      </c>
      <c r="I68" s="2">
        <v>87136</v>
      </c>
      <c r="J68" s="2"/>
      <c r="K68" s="2">
        <v>172561</v>
      </c>
      <c r="L68" s="2"/>
      <c r="M68" s="2"/>
      <c r="N68" s="2"/>
      <c r="O68" s="2">
        <v>12311283</v>
      </c>
      <c r="P68" s="2"/>
      <c r="Q68" s="2" t="s">
        <v>534</v>
      </c>
      <c r="R68" s="2" t="s">
        <v>535</v>
      </c>
      <c r="S68" s="2" t="s">
        <v>79</v>
      </c>
      <c r="T68" s="2" t="s">
        <v>80</v>
      </c>
      <c r="U68" s="2" t="s">
        <v>81</v>
      </c>
      <c r="V68" s="2" t="s">
        <v>59</v>
      </c>
      <c r="W68" s="2">
        <v>40</v>
      </c>
      <c r="X68" s="2">
        <v>4.26</v>
      </c>
      <c r="Y68" s="2" t="s">
        <v>323</v>
      </c>
      <c r="Z68" s="2" t="s">
        <v>108</v>
      </c>
      <c r="AA68" s="2">
        <v>-0.99732926993527504</v>
      </c>
      <c r="AB68" s="2">
        <v>4.3440133189062697</v>
      </c>
      <c r="AC68" s="2">
        <v>9019176.6750861406</v>
      </c>
      <c r="AD68" s="2">
        <v>7700809.4386855196</v>
      </c>
      <c r="AE68" s="2">
        <v>8845090.5875921603</v>
      </c>
      <c r="AF68" s="2">
        <v>8953089.8547458891</v>
      </c>
      <c r="AG68" s="2">
        <v>9604521.0258191209</v>
      </c>
      <c r="AH68" s="2">
        <v>8765937.5408213101</v>
      </c>
      <c r="AI68" s="2">
        <v>8873743.8050075807</v>
      </c>
      <c r="AJ68" s="2">
        <v>9072677.2365307603</v>
      </c>
      <c r="AK68" s="2">
        <v>8035600.4961117199</v>
      </c>
      <c r="AL68" s="2">
        <v>7706871.2965184199</v>
      </c>
      <c r="AM68" s="2">
        <v>7693581.34579401</v>
      </c>
      <c r="AN68" s="2">
        <v>7444629.6579209296</v>
      </c>
      <c r="AO68" s="2">
        <v>7878294.2807395104</v>
      </c>
      <c r="AP68" s="2">
        <v>7445879.5550285503</v>
      </c>
    </row>
    <row r="69" spans="1:42" ht="14.5" x14ac:dyDescent="0.35">
      <c r="A69" s="2" t="s">
        <v>536</v>
      </c>
      <c r="B69" s="2">
        <v>527.15772265049497</v>
      </c>
      <c r="C69" s="2">
        <v>0.73473333333333302</v>
      </c>
      <c r="D69" s="2" t="s">
        <v>34</v>
      </c>
      <c r="E69" s="2" t="s">
        <v>537</v>
      </c>
      <c r="F69" s="2">
        <v>267080</v>
      </c>
      <c r="G69" s="3" t="str">
        <f>HYPERLINK("http://funmeta.oebiotech.com/network/267080", "http://funmeta.oebiotech.com/network/267080")</f>
        <v>http://funmeta.oebiotech.com/network/267080</v>
      </c>
      <c r="H69" s="2" t="s">
        <v>538</v>
      </c>
      <c r="I69" s="2">
        <v>44694</v>
      </c>
      <c r="J69" s="2"/>
      <c r="K69" s="2"/>
      <c r="L69" s="2" t="s">
        <v>539</v>
      </c>
      <c r="M69" s="2"/>
      <c r="N69" s="2"/>
      <c r="O69" s="2">
        <v>160469</v>
      </c>
      <c r="P69" s="2" t="s">
        <v>540</v>
      </c>
      <c r="Q69" s="2" t="s">
        <v>541</v>
      </c>
      <c r="R69" s="2" t="s">
        <v>542</v>
      </c>
      <c r="S69" s="2" t="s">
        <v>79</v>
      </c>
      <c r="T69" s="2" t="s">
        <v>80</v>
      </c>
      <c r="U69" s="2" t="s">
        <v>81</v>
      </c>
      <c r="V69" s="2" t="s">
        <v>42</v>
      </c>
      <c r="W69" s="2">
        <v>54.2</v>
      </c>
      <c r="X69" s="2">
        <v>74.2</v>
      </c>
      <c r="Y69" s="2" t="s">
        <v>376</v>
      </c>
      <c r="Z69" s="2" t="s">
        <v>543</v>
      </c>
      <c r="AA69" s="2">
        <v>-1.05712304472739</v>
      </c>
      <c r="AB69" s="2">
        <v>4.3219017431214697</v>
      </c>
      <c r="AC69" s="2">
        <v>1971540.7983532201</v>
      </c>
      <c r="AD69" s="2">
        <v>3225173.4143252098</v>
      </c>
      <c r="AE69" s="2">
        <v>1926991.2905967799</v>
      </c>
      <c r="AF69" s="2">
        <v>1995763.9921037499</v>
      </c>
      <c r="AG69" s="2">
        <v>2025505.8067035801</v>
      </c>
      <c r="AH69" s="2">
        <v>1990506.6658723601</v>
      </c>
      <c r="AI69" s="2">
        <v>1969710.0606150101</v>
      </c>
      <c r="AJ69" s="2">
        <v>1920766.9742278401</v>
      </c>
      <c r="AK69" s="2">
        <v>2998632.0047660498</v>
      </c>
      <c r="AL69" s="2">
        <v>3201184.1136091701</v>
      </c>
      <c r="AM69" s="2">
        <v>3504162.5968663502</v>
      </c>
      <c r="AN69" s="2">
        <v>3153050.6747730998</v>
      </c>
      <c r="AO69" s="2">
        <v>3449711.9578785799</v>
      </c>
      <c r="AP69" s="2">
        <v>3044299.1380580398</v>
      </c>
    </row>
    <row r="70" spans="1:42" ht="14.5" x14ac:dyDescent="0.35">
      <c r="A70" s="2" t="s">
        <v>544</v>
      </c>
      <c r="B70" s="2">
        <v>898.32822272337899</v>
      </c>
      <c r="C70" s="2">
        <v>9.6948833333333297</v>
      </c>
      <c r="D70" s="2" t="s">
        <v>70</v>
      </c>
      <c r="E70" s="4" t="s">
        <v>545</v>
      </c>
      <c r="F70" s="2">
        <v>53438</v>
      </c>
      <c r="G70" s="3" t="str">
        <f>HYPERLINK("http://funmeta.oebiotech.com/network/53438", "http://funmeta.oebiotech.com/network/53438")</f>
        <v>http://funmeta.oebiotech.com/network/53438</v>
      </c>
      <c r="H70" s="2" t="s">
        <v>546</v>
      </c>
      <c r="I70" s="2">
        <v>600</v>
      </c>
      <c r="J70" s="2"/>
      <c r="K70" s="2">
        <v>45863</v>
      </c>
      <c r="L70" s="2" t="s">
        <v>547</v>
      </c>
      <c r="M70" s="2" t="s">
        <v>548</v>
      </c>
      <c r="N70" s="2" t="s">
        <v>549</v>
      </c>
      <c r="O70" s="2">
        <v>36314</v>
      </c>
      <c r="P70" s="2" t="s">
        <v>550</v>
      </c>
      <c r="Q70" s="2" t="s">
        <v>551</v>
      </c>
      <c r="R70" s="2" t="s">
        <v>552</v>
      </c>
      <c r="S70" s="2" t="s">
        <v>50</v>
      </c>
      <c r="T70" s="2" t="s">
        <v>201</v>
      </c>
      <c r="U70" s="2" t="s">
        <v>241</v>
      </c>
      <c r="V70" s="2" t="s">
        <v>42</v>
      </c>
      <c r="W70" s="2">
        <v>54.7</v>
      </c>
      <c r="X70" s="2">
        <v>75.7</v>
      </c>
      <c r="Y70" s="2" t="s">
        <v>286</v>
      </c>
      <c r="Z70" s="2" t="s">
        <v>553</v>
      </c>
      <c r="AA70" s="2">
        <v>-1.0962462148026899</v>
      </c>
      <c r="AB70" s="2">
        <v>4.2963424746384504</v>
      </c>
      <c r="AC70" s="2">
        <v>2795282.4072931702</v>
      </c>
      <c r="AD70" s="2">
        <v>1531443.2826586999</v>
      </c>
      <c r="AE70" s="2">
        <v>2935210.4334750399</v>
      </c>
      <c r="AF70" s="2">
        <v>2722784.8464764399</v>
      </c>
      <c r="AG70" s="2">
        <v>2739906.52679994</v>
      </c>
      <c r="AH70" s="2">
        <v>2644151.81232775</v>
      </c>
      <c r="AI70" s="2">
        <v>2712496.29119332</v>
      </c>
      <c r="AJ70" s="2">
        <v>3017144.53348656</v>
      </c>
      <c r="AK70" s="2">
        <v>1488588.06020047</v>
      </c>
      <c r="AL70" s="2">
        <v>2058452.5337243001</v>
      </c>
      <c r="AM70" s="2">
        <v>1495841.5935112999</v>
      </c>
      <c r="AN70" s="2">
        <v>1406667.07428296</v>
      </c>
      <c r="AO70" s="2">
        <v>1400646.8511896599</v>
      </c>
      <c r="AP70" s="2">
        <v>1338463.5830435201</v>
      </c>
    </row>
    <row r="71" spans="1:42" ht="14.5" x14ac:dyDescent="0.35">
      <c r="A71" s="2" t="s">
        <v>554</v>
      </c>
      <c r="B71" s="2">
        <v>763.31809013955206</v>
      </c>
      <c r="C71" s="2">
        <v>7.1594666666666704</v>
      </c>
      <c r="D71" s="2" t="s">
        <v>70</v>
      </c>
      <c r="E71" s="2" t="s">
        <v>555</v>
      </c>
      <c r="F71" s="2">
        <v>63059</v>
      </c>
      <c r="G71" s="3" t="str">
        <f>HYPERLINK("http://funmeta.oebiotech.com/network/63059", "http://funmeta.oebiotech.com/network/63059")</f>
        <v>http://funmeta.oebiotech.com/network/63059</v>
      </c>
      <c r="H71" s="2" t="s">
        <v>556</v>
      </c>
      <c r="I71" s="2"/>
      <c r="J71" s="2"/>
      <c r="K71" s="2"/>
      <c r="L71" s="2"/>
      <c r="M71" s="2"/>
      <c r="N71" s="2"/>
      <c r="O71" s="2">
        <v>73118466</v>
      </c>
      <c r="P71" s="2"/>
      <c r="Q71" s="2" t="s">
        <v>557</v>
      </c>
      <c r="R71" s="2" t="s">
        <v>558</v>
      </c>
      <c r="S71" s="2" t="s">
        <v>491</v>
      </c>
      <c r="T71" s="2" t="s">
        <v>559</v>
      </c>
      <c r="U71" s="2" t="s">
        <v>41</v>
      </c>
      <c r="V71" s="2" t="s">
        <v>42</v>
      </c>
      <c r="W71" s="2">
        <v>47.6</v>
      </c>
      <c r="X71" s="2">
        <v>58</v>
      </c>
      <c r="Y71" s="2" t="s">
        <v>560</v>
      </c>
      <c r="Z71" s="2" t="s">
        <v>561</v>
      </c>
      <c r="AA71" s="2">
        <v>-0.22112181327959199</v>
      </c>
      <c r="AB71" s="2">
        <v>4.2744289686996</v>
      </c>
      <c r="AC71" s="2">
        <v>969271.59218810999</v>
      </c>
      <c r="AD71" s="2">
        <v>2173937.6257742401</v>
      </c>
      <c r="AE71" s="2">
        <v>972065.12451927003</v>
      </c>
      <c r="AF71" s="2">
        <v>890584.81531635602</v>
      </c>
      <c r="AG71" s="2">
        <v>989439.30807115405</v>
      </c>
      <c r="AH71" s="2">
        <v>918100.69962914195</v>
      </c>
      <c r="AI71" s="2">
        <v>1023472.6035863</v>
      </c>
      <c r="AJ71" s="2">
        <v>1021967.00200644</v>
      </c>
      <c r="AK71" s="2">
        <v>2102239.41238883</v>
      </c>
      <c r="AL71" s="2">
        <v>2078979.4241027599</v>
      </c>
      <c r="AM71" s="2">
        <v>2262918.0354107502</v>
      </c>
      <c r="AN71" s="2">
        <v>2310326.2495537498</v>
      </c>
      <c r="AO71" s="2">
        <v>2128177.0214793999</v>
      </c>
      <c r="AP71" s="2">
        <v>2160985.61170993</v>
      </c>
    </row>
    <row r="72" spans="1:42" ht="14.5" x14ac:dyDescent="0.35">
      <c r="A72" s="2" t="s">
        <v>562</v>
      </c>
      <c r="B72" s="2">
        <v>617.25604249626099</v>
      </c>
      <c r="C72" s="2">
        <v>7.9920499999999999</v>
      </c>
      <c r="D72" s="2" t="s">
        <v>34</v>
      </c>
      <c r="E72" s="2" t="s">
        <v>563</v>
      </c>
      <c r="F72" s="2">
        <v>44743</v>
      </c>
      <c r="G72" s="3" t="str">
        <f>HYPERLINK("http://funmeta.oebiotech.com/network/44743", "http://funmeta.oebiotech.com/network/44743")</f>
        <v>http://funmeta.oebiotech.com/network/44743</v>
      </c>
      <c r="H72" s="2"/>
      <c r="I72" s="2"/>
      <c r="J72" s="2" t="s">
        <v>564</v>
      </c>
      <c r="K72" s="2"/>
      <c r="L72" s="2"/>
      <c r="M72" s="2"/>
      <c r="N72" s="2"/>
      <c r="O72" s="2"/>
      <c r="P72" s="2"/>
      <c r="Q72" s="2" t="s">
        <v>565</v>
      </c>
      <c r="R72" s="2" t="s">
        <v>566</v>
      </c>
      <c r="S72" s="2" t="s">
        <v>50</v>
      </c>
      <c r="T72" s="2" t="s">
        <v>124</v>
      </c>
      <c r="U72" s="2" t="s">
        <v>567</v>
      </c>
      <c r="V72" s="2" t="s">
        <v>42</v>
      </c>
      <c r="W72" s="2">
        <v>55.9</v>
      </c>
      <c r="X72" s="2">
        <v>82.4</v>
      </c>
      <c r="Y72" s="2" t="s">
        <v>568</v>
      </c>
      <c r="Z72" s="2" t="s">
        <v>569</v>
      </c>
      <c r="AA72" s="2">
        <v>-1.35455031111514</v>
      </c>
      <c r="AB72" s="2">
        <v>4.2470137875736498</v>
      </c>
      <c r="AC72" s="2">
        <v>6591984.4452246903</v>
      </c>
      <c r="AD72" s="2">
        <v>5349171.7311455999</v>
      </c>
      <c r="AE72" s="2">
        <v>6604967.7698081397</v>
      </c>
      <c r="AF72" s="2">
        <v>6534818.1250432003</v>
      </c>
      <c r="AG72" s="2">
        <v>6502564.5940491501</v>
      </c>
      <c r="AH72" s="2">
        <v>6777720.8169055199</v>
      </c>
      <c r="AI72" s="2">
        <v>6578203.2325559603</v>
      </c>
      <c r="AJ72" s="2">
        <v>6553632.1329862</v>
      </c>
      <c r="AK72" s="2">
        <v>4806281.8197624497</v>
      </c>
      <c r="AL72" s="2">
        <v>5369009.51175687</v>
      </c>
      <c r="AM72" s="2">
        <v>5296615.4376029996</v>
      </c>
      <c r="AN72" s="2">
        <v>5542942.0790202599</v>
      </c>
      <c r="AO72" s="2">
        <v>5571564.2873714101</v>
      </c>
      <c r="AP72" s="2">
        <v>5508617.2513595903</v>
      </c>
    </row>
    <row r="73" spans="1:42" ht="14.5" x14ac:dyDescent="0.35">
      <c r="A73" s="2" t="s">
        <v>570</v>
      </c>
      <c r="B73" s="2">
        <v>406.163984735734</v>
      </c>
      <c r="C73" s="2">
        <v>4.1925499999999998</v>
      </c>
      <c r="D73" s="2" t="s">
        <v>34</v>
      </c>
      <c r="E73" s="2" t="s">
        <v>571</v>
      </c>
      <c r="F73" s="2">
        <v>33985</v>
      </c>
      <c r="G73" s="3" t="str">
        <f>HYPERLINK("http://funmeta.oebiotech.com/network/33985", "http://funmeta.oebiotech.com/network/33985")</f>
        <v>http://funmeta.oebiotech.com/network/33985</v>
      </c>
      <c r="H73" s="2"/>
      <c r="I73" s="2">
        <v>52298</v>
      </c>
      <c r="J73" s="2" t="s">
        <v>572</v>
      </c>
      <c r="K73" s="2"/>
      <c r="L73" s="2"/>
      <c r="M73" s="2"/>
      <c r="N73" s="2"/>
      <c r="O73" s="2">
        <v>14586249</v>
      </c>
      <c r="P73" s="2"/>
      <c r="Q73" s="2" t="s">
        <v>573</v>
      </c>
      <c r="R73" s="2" t="s">
        <v>574</v>
      </c>
      <c r="S73" s="2" t="s">
        <v>115</v>
      </c>
      <c r="T73" s="2" t="s">
        <v>575</v>
      </c>
      <c r="U73" s="2" t="s">
        <v>576</v>
      </c>
      <c r="V73" s="2" t="s">
        <v>59</v>
      </c>
      <c r="W73" s="2">
        <v>44.1</v>
      </c>
      <c r="X73" s="2">
        <v>29.8</v>
      </c>
      <c r="Y73" s="2" t="s">
        <v>43</v>
      </c>
      <c r="Z73" s="2" t="s">
        <v>577</v>
      </c>
      <c r="AA73" s="2">
        <v>-2.3562490308922799</v>
      </c>
      <c r="AB73" s="2">
        <v>4.1969156126546503</v>
      </c>
      <c r="AC73" s="2">
        <v>4314062.05800357</v>
      </c>
      <c r="AD73" s="2">
        <v>3135290.3291689898</v>
      </c>
      <c r="AE73" s="2">
        <v>4092470.3906199099</v>
      </c>
      <c r="AF73" s="2">
        <v>4224335.4997731801</v>
      </c>
      <c r="AG73" s="2">
        <v>4337792.4259149404</v>
      </c>
      <c r="AH73" s="2">
        <v>4381485.1634828998</v>
      </c>
      <c r="AI73" s="2">
        <v>4378404.67240596</v>
      </c>
      <c r="AJ73" s="2">
        <v>4469884.1958245402</v>
      </c>
      <c r="AK73" s="2">
        <v>2957370.8090821002</v>
      </c>
      <c r="AL73" s="2">
        <v>3131244.7435697699</v>
      </c>
      <c r="AM73" s="2">
        <v>3218386.5298274802</v>
      </c>
      <c r="AN73" s="2">
        <v>3140852.62294584</v>
      </c>
      <c r="AO73" s="2">
        <v>3082429.3708042698</v>
      </c>
      <c r="AP73" s="2">
        <v>3281457.8987844801</v>
      </c>
    </row>
    <row r="74" spans="1:42" ht="14.5" x14ac:dyDescent="0.35">
      <c r="A74" s="2" t="s">
        <v>578</v>
      </c>
      <c r="B74" s="2">
        <v>715.46974491912499</v>
      </c>
      <c r="C74" s="2">
        <v>11.561633333333299</v>
      </c>
      <c r="D74" s="2" t="s">
        <v>34</v>
      </c>
      <c r="E74" s="2" t="s">
        <v>579</v>
      </c>
      <c r="F74" s="2">
        <v>242954</v>
      </c>
      <c r="G74" s="3" t="str">
        <f>HYPERLINK("http://funmeta.oebiotech.com/network/242954", "http://funmeta.oebiotech.com/network/242954")</f>
        <v>http://funmeta.oebiotech.com/network/242954</v>
      </c>
      <c r="H74" s="2" t="s">
        <v>580</v>
      </c>
      <c r="I74" s="2"/>
      <c r="J74" s="2"/>
      <c r="K74" s="2"/>
      <c r="L74" s="2"/>
      <c r="M74" s="2"/>
      <c r="N74" s="2"/>
      <c r="O74" s="2"/>
      <c r="P74" s="2"/>
      <c r="Q74" s="2" t="s">
        <v>581</v>
      </c>
      <c r="R74" s="2" t="s">
        <v>582</v>
      </c>
      <c r="S74" s="2" t="s">
        <v>41</v>
      </c>
      <c r="T74" s="2" t="s">
        <v>41</v>
      </c>
      <c r="U74" s="2" t="s">
        <v>41</v>
      </c>
      <c r="V74" s="2" t="s">
        <v>59</v>
      </c>
      <c r="W74" s="2">
        <v>39.1</v>
      </c>
      <c r="X74" s="2">
        <v>9.4499999999999993</v>
      </c>
      <c r="Y74" s="2" t="s">
        <v>323</v>
      </c>
      <c r="Z74" s="2" t="s">
        <v>583</v>
      </c>
      <c r="AA74" s="2">
        <v>1.0329996571969899</v>
      </c>
      <c r="AB74" s="2">
        <v>4.1881723542483202</v>
      </c>
      <c r="AC74" s="2">
        <v>14932.3713142832</v>
      </c>
      <c r="AD74" s="2">
        <v>1172377.58366535</v>
      </c>
      <c r="AE74" s="2">
        <v>14827.678607276701</v>
      </c>
      <c r="AF74" s="2">
        <v>15351.4322588045</v>
      </c>
      <c r="AG74" s="2">
        <v>15370.308671987201</v>
      </c>
      <c r="AH74" s="2">
        <v>14916.6274993564</v>
      </c>
      <c r="AI74" s="2">
        <v>13560.6947669362</v>
      </c>
      <c r="AJ74" s="2">
        <v>15567.4860813383</v>
      </c>
      <c r="AK74" s="2">
        <v>1137133.02545092</v>
      </c>
      <c r="AL74" s="2">
        <v>1140118.17940558</v>
      </c>
      <c r="AM74" s="2">
        <v>1371274.86611451</v>
      </c>
      <c r="AN74" s="2">
        <v>1114009.37849714</v>
      </c>
      <c r="AO74" s="2">
        <v>1149080.47857432</v>
      </c>
      <c r="AP74" s="2">
        <v>1122649.5739496001</v>
      </c>
    </row>
    <row r="75" spans="1:42" ht="14.5" x14ac:dyDescent="0.35">
      <c r="A75" s="2" t="s">
        <v>584</v>
      </c>
      <c r="B75" s="2">
        <v>675.26527204192405</v>
      </c>
      <c r="C75" s="2">
        <v>6.9144500000000004</v>
      </c>
      <c r="D75" s="2" t="s">
        <v>70</v>
      </c>
      <c r="E75" s="2" t="s">
        <v>585</v>
      </c>
      <c r="F75" s="2">
        <v>213189</v>
      </c>
      <c r="G75" s="3" t="str">
        <f>HYPERLINK("http://funmeta.oebiotech.com/network/213189", "http://funmeta.oebiotech.com/network/213189")</f>
        <v>http://funmeta.oebiotech.com/network/213189</v>
      </c>
      <c r="H75" s="2" t="s">
        <v>586</v>
      </c>
      <c r="I75" s="2"/>
      <c r="J75" s="2"/>
      <c r="K75" s="2"/>
      <c r="L75" s="2"/>
      <c r="M75" s="2"/>
      <c r="N75" s="2"/>
      <c r="O75" s="2">
        <v>44134608</v>
      </c>
      <c r="P75" s="2"/>
      <c r="Q75" s="2" t="s">
        <v>587</v>
      </c>
      <c r="R75" s="2" t="s">
        <v>588</v>
      </c>
      <c r="S75" s="2" t="s">
        <v>41</v>
      </c>
      <c r="T75" s="2" t="s">
        <v>41</v>
      </c>
      <c r="U75" s="2" t="s">
        <v>41</v>
      </c>
      <c r="V75" s="2" t="s">
        <v>42</v>
      </c>
      <c r="W75" s="2">
        <v>48.5</v>
      </c>
      <c r="X75" s="2">
        <v>51.4</v>
      </c>
      <c r="Y75" s="2" t="s">
        <v>408</v>
      </c>
      <c r="Z75" s="2" t="s">
        <v>589</v>
      </c>
      <c r="AA75" s="2">
        <v>-4.8199875120747304</v>
      </c>
      <c r="AB75" s="2">
        <v>4.1447536287035298</v>
      </c>
      <c r="AC75" s="2">
        <v>1884217.27063069</v>
      </c>
      <c r="AD75" s="2">
        <v>744795.96051784104</v>
      </c>
      <c r="AE75" s="2">
        <v>1917393.1348631801</v>
      </c>
      <c r="AF75" s="2">
        <v>1725608.6270000699</v>
      </c>
      <c r="AG75" s="2">
        <v>1937334.5041753601</v>
      </c>
      <c r="AH75" s="2">
        <v>1834421.5577771901</v>
      </c>
      <c r="AI75" s="2">
        <v>1789141.37670282</v>
      </c>
      <c r="AJ75" s="2">
        <v>2101404.42326552</v>
      </c>
      <c r="AK75" s="2">
        <v>711648.24400301604</v>
      </c>
      <c r="AL75" s="2">
        <v>767328.85876870598</v>
      </c>
      <c r="AM75" s="2">
        <v>746374.88069147698</v>
      </c>
      <c r="AN75" s="2">
        <v>774114.95558314596</v>
      </c>
      <c r="AO75" s="2">
        <v>733995.30361025606</v>
      </c>
      <c r="AP75" s="2">
        <v>735313.52045044396</v>
      </c>
    </row>
    <row r="76" spans="1:42" ht="14.5" x14ac:dyDescent="0.35">
      <c r="A76" s="2" t="s">
        <v>590</v>
      </c>
      <c r="B76" s="2">
        <v>784.48680924912298</v>
      </c>
      <c r="C76" s="2">
        <v>11.561633333333299</v>
      </c>
      <c r="D76" s="2" t="s">
        <v>34</v>
      </c>
      <c r="E76" s="2" t="s">
        <v>591</v>
      </c>
      <c r="F76" s="2">
        <v>20905</v>
      </c>
      <c r="G76" s="3" t="str">
        <f>HYPERLINK("http://funmeta.oebiotech.com/network/20905", "http://funmeta.oebiotech.com/network/20905")</f>
        <v>http://funmeta.oebiotech.com/network/20905</v>
      </c>
      <c r="H76" s="2" t="s">
        <v>592</v>
      </c>
      <c r="I76" s="2">
        <v>60408</v>
      </c>
      <c r="J76" s="2" t="s">
        <v>593</v>
      </c>
      <c r="K76" s="2"/>
      <c r="L76" s="2" t="s">
        <v>594</v>
      </c>
      <c r="M76" s="2" t="s">
        <v>595</v>
      </c>
      <c r="N76" s="2" t="s">
        <v>596</v>
      </c>
      <c r="O76" s="2">
        <v>52924914</v>
      </c>
      <c r="P76" s="2"/>
      <c r="Q76" s="2" t="s">
        <v>597</v>
      </c>
      <c r="R76" s="2" t="s">
        <v>598</v>
      </c>
      <c r="S76" s="2" t="s">
        <v>50</v>
      </c>
      <c r="T76" s="2" t="s">
        <v>51</v>
      </c>
      <c r="U76" s="2" t="s">
        <v>257</v>
      </c>
      <c r="V76" s="2" t="s">
        <v>59</v>
      </c>
      <c r="W76" s="2">
        <v>37.200000000000003</v>
      </c>
      <c r="X76" s="2">
        <v>0</v>
      </c>
      <c r="Y76" s="2" t="s">
        <v>323</v>
      </c>
      <c r="Z76" s="2" t="s">
        <v>599</v>
      </c>
      <c r="AA76" s="2">
        <v>-2.5821829880332401</v>
      </c>
      <c r="AB76" s="2">
        <v>4.0574827904976596</v>
      </c>
      <c r="AC76" s="2">
        <v>51666.159131004701</v>
      </c>
      <c r="AD76" s="2">
        <v>1135964.14206919</v>
      </c>
      <c r="AE76" s="2">
        <v>51994.588369676101</v>
      </c>
      <c r="AF76" s="2">
        <v>46495.196982050002</v>
      </c>
      <c r="AG76" s="2">
        <v>51495.3037892016</v>
      </c>
      <c r="AH76" s="2">
        <v>53062.244540841697</v>
      </c>
      <c r="AI76" s="2">
        <v>51536.581399630697</v>
      </c>
      <c r="AJ76" s="2">
        <v>55413.039704628201</v>
      </c>
      <c r="AK76" s="2">
        <v>1080315.1562605</v>
      </c>
      <c r="AL76" s="2">
        <v>1053185.8677919901</v>
      </c>
      <c r="AM76" s="2">
        <v>1254114.5427218401</v>
      </c>
      <c r="AN76" s="2">
        <v>1125643.2451456599</v>
      </c>
      <c r="AO76" s="2">
        <v>1097288.3881467099</v>
      </c>
      <c r="AP76" s="2">
        <v>1205237.6523484399</v>
      </c>
    </row>
    <row r="77" spans="1:42" ht="14.5" x14ac:dyDescent="0.35">
      <c r="A77" s="2" t="s">
        <v>600</v>
      </c>
      <c r="B77" s="2">
        <v>331.15342544999902</v>
      </c>
      <c r="C77" s="2">
        <v>6.7814333333333296</v>
      </c>
      <c r="D77" s="2" t="s">
        <v>34</v>
      </c>
      <c r="E77" s="2" t="s">
        <v>601</v>
      </c>
      <c r="F77" s="2">
        <v>257176</v>
      </c>
      <c r="G77" s="3" t="str">
        <f>HYPERLINK("http://funmeta.oebiotech.com/network/257176", "http://funmeta.oebiotech.com/network/257176")</f>
        <v>http://funmeta.oebiotech.com/network/257176</v>
      </c>
      <c r="H77" s="2" t="s">
        <v>602</v>
      </c>
      <c r="I77" s="2"/>
      <c r="J77" s="2"/>
      <c r="K77" s="2"/>
      <c r="L77" s="2"/>
      <c r="M77" s="2"/>
      <c r="N77" s="2"/>
      <c r="O77" s="2">
        <v>74427895</v>
      </c>
      <c r="P77" s="2"/>
      <c r="Q77" s="2" t="s">
        <v>603</v>
      </c>
      <c r="R77" s="2" t="s">
        <v>604</v>
      </c>
      <c r="S77" s="2" t="s">
        <v>50</v>
      </c>
      <c r="T77" s="2" t="s">
        <v>201</v>
      </c>
      <c r="U77" s="2" t="s">
        <v>241</v>
      </c>
      <c r="V77" s="2" t="s">
        <v>42</v>
      </c>
      <c r="W77" s="2">
        <v>49</v>
      </c>
      <c r="X77" s="2">
        <v>50.5</v>
      </c>
      <c r="Y77" s="2" t="s">
        <v>266</v>
      </c>
      <c r="Z77" s="2" t="s">
        <v>605</v>
      </c>
      <c r="AA77" s="2">
        <v>-1.74099968213755</v>
      </c>
      <c r="AB77" s="2">
        <v>4.0044424456806604</v>
      </c>
      <c r="AC77" s="2">
        <v>6403115.4421794396</v>
      </c>
      <c r="AD77" s="2">
        <v>5311616.7523041796</v>
      </c>
      <c r="AE77" s="2">
        <v>6316826.4293978196</v>
      </c>
      <c r="AF77" s="2">
        <v>6225066.8970262604</v>
      </c>
      <c r="AG77" s="2">
        <v>6682919.4676456098</v>
      </c>
      <c r="AH77" s="2">
        <v>6317818.3177855602</v>
      </c>
      <c r="AI77" s="2">
        <v>6261650.5412113201</v>
      </c>
      <c r="AJ77" s="2">
        <v>6614411.0000100499</v>
      </c>
      <c r="AK77" s="2">
        <v>5217493.5918835998</v>
      </c>
      <c r="AL77" s="2">
        <v>5410222.4651025003</v>
      </c>
      <c r="AM77" s="2">
        <v>5543879.5283775805</v>
      </c>
      <c r="AN77" s="2">
        <v>5286865.0216850098</v>
      </c>
      <c r="AO77" s="2">
        <v>5199460.2460051402</v>
      </c>
      <c r="AP77" s="2">
        <v>5211779.66077126</v>
      </c>
    </row>
    <row r="78" spans="1:42" ht="14.5" x14ac:dyDescent="0.35">
      <c r="A78" s="2" t="s">
        <v>606</v>
      </c>
      <c r="B78" s="2">
        <v>631.39777922907797</v>
      </c>
      <c r="C78" s="2">
        <v>11.4243166666667</v>
      </c>
      <c r="D78" s="2" t="s">
        <v>34</v>
      </c>
      <c r="E78" s="2" t="s">
        <v>607</v>
      </c>
      <c r="F78" s="2">
        <v>247860</v>
      </c>
      <c r="G78" s="3" t="str">
        <f>HYPERLINK("http://funmeta.oebiotech.com/network/247860", "http://funmeta.oebiotech.com/network/247860")</f>
        <v>http://funmeta.oebiotech.com/network/247860</v>
      </c>
      <c r="H78" s="2" t="s">
        <v>608</v>
      </c>
      <c r="I78" s="2"/>
      <c r="J78" s="2"/>
      <c r="K78" s="2"/>
      <c r="L78" s="2"/>
      <c r="M78" s="2"/>
      <c r="N78" s="2"/>
      <c r="O78" s="2"/>
      <c r="P78" s="2"/>
      <c r="Q78" s="2" t="s">
        <v>609</v>
      </c>
      <c r="R78" s="2" t="s">
        <v>610</v>
      </c>
      <c r="S78" s="2" t="s">
        <v>41</v>
      </c>
      <c r="T78" s="2" t="s">
        <v>41</v>
      </c>
      <c r="U78" s="2" t="s">
        <v>41</v>
      </c>
      <c r="V78" s="2" t="s">
        <v>59</v>
      </c>
      <c r="W78" s="2">
        <v>36.5</v>
      </c>
      <c r="X78" s="2">
        <v>3.4</v>
      </c>
      <c r="Y78" s="2" t="s">
        <v>568</v>
      </c>
      <c r="Z78" s="2" t="s">
        <v>611</v>
      </c>
      <c r="AA78" s="2">
        <v>1.2100724708308901</v>
      </c>
      <c r="AB78" s="2">
        <v>4.0006289283686201</v>
      </c>
      <c r="AC78" s="2">
        <v>34559.554656732696</v>
      </c>
      <c r="AD78" s="2">
        <v>1092883.02771153</v>
      </c>
      <c r="AE78" s="2">
        <v>40431.284240725399</v>
      </c>
      <c r="AF78" s="2">
        <v>43097.502163201498</v>
      </c>
      <c r="AG78" s="2">
        <v>31350.235647124398</v>
      </c>
      <c r="AH78" s="2">
        <v>29616.242356848001</v>
      </c>
      <c r="AI78" s="2">
        <v>30662.815721328701</v>
      </c>
      <c r="AJ78" s="2">
        <v>32199.247811168399</v>
      </c>
      <c r="AK78" s="2">
        <v>1033382.14886502</v>
      </c>
      <c r="AL78" s="2">
        <v>947454.83299762395</v>
      </c>
      <c r="AM78" s="2">
        <v>1264811.90785447</v>
      </c>
      <c r="AN78" s="2">
        <v>1065487.2210421599</v>
      </c>
      <c r="AO78" s="2">
        <v>1099717.1843971601</v>
      </c>
      <c r="AP78" s="2">
        <v>1146444.8711127699</v>
      </c>
    </row>
    <row r="79" spans="1:42" ht="14.5" x14ac:dyDescent="0.35">
      <c r="A79" s="2" t="s">
        <v>612</v>
      </c>
      <c r="B79" s="2">
        <v>956.65037808231705</v>
      </c>
      <c r="C79" s="2">
        <v>12.9343166666667</v>
      </c>
      <c r="D79" s="2" t="s">
        <v>34</v>
      </c>
      <c r="E79" s="2" t="s">
        <v>613</v>
      </c>
      <c r="F79" s="2">
        <v>49828</v>
      </c>
      <c r="G79" s="3" t="str">
        <f>HYPERLINK("http://funmeta.oebiotech.com/network/49828", "http://funmeta.oebiotech.com/network/49828")</f>
        <v>http://funmeta.oebiotech.com/network/49828</v>
      </c>
      <c r="H79" s="2" t="s">
        <v>614</v>
      </c>
      <c r="I79" s="2">
        <v>60130</v>
      </c>
      <c r="J79" s="2"/>
      <c r="K79" s="2"/>
      <c r="L79" s="2" t="s">
        <v>335</v>
      </c>
      <c r="M79" s="2" t="s">
        <v>336</v>
      </c>
      <c r="N79" s="2" t="s">
        <v>337</v>
      </c>
      <c r="O79" s="2">
        <v>53479331</v>
      </c>
      <c r="P79" s="2"/>
      <c r="Q79" s="2" t="s">
        <v>615</v>
      </c>
      <c r="R79" s="2" t="s">
        <v>616</v>
      </c>
      <c r="S79" s="2" t="s">
        <v>50</v>
      </c>
      <c r="T79" s="2" t="s">
        <v>51</v>
      </c>
      <c r="U79" s="2" t="s">
        <v>168</v>
      </c>
      <c r="V79" s="2" t="s">
        <v>59</v>
      </c>
      <c r="W79" s="2">
        <v>36.6</v>
      </c>
      <c r="X79" s="2">
        <v>0.32200000000000001</v>
      </c>
      <c r="Y79" s="2" t="s">
        <v>340</v>
      </c>
      <c r="Z79" s="2" t="s">
        <v>617</v>
      </c>
      <c r="AA79" s="2">
        <v>-0.14783649531494999</v>
      </c>
      <c r="AB79" s="2">
        <v>3.9412108448616601</v>
      </c>
      <c r="AC79" s="2">
        <v>9561.5964298967101</v>
      </c>
      <c r="AD79" s="2">
        <v>1033159.83451047</v>
      </c>
      <c r="AE79" s="2">
        <v>34492.223899623197</v>
      </c>
      <c r="AF79" s="2">
        <v>3836.3143461042</v>
      </c>
      <c r="AG79" s="2">
        <v>4668.9141664272402</v>
      </c>
      <c r="AH79" s="2">
        <v>4269.64270188913</v>
      </c>
      <c r="AI79" s="2">
        <v>4417.1385759728</v>
      </c>
      <c r="AJ79" s="2">
        <v>5685.3448893636696</v>
      </c>
      <c r="AK79" s="2">
        <v>1035154.44530443</v>
      </c>
      <c r="AL79" s="2">
        <v>1005372.02281868</v>
      </c>
      <c r="AM79" s="2">
        <v>1158745.51768429</v>
      </c>
      <c r="AN79" s="2">
        <v>952661.49949551898</v>
      </c>
      <c r="AO79" s="2">
        <v>989353.46143128199</v>
      </c>
      <c r="AP79" s="2">
        <v>1057672.06032862</v>
      </c>
    </row>
    <row r="80" spans="1:42" ht="14.5" x14ac:dyDescent="0.35">
      <c r="A80" s="2" t="s">
        <v>618</v>
      </c>
      <c r="B80" s="2">
        <v>574.38670488094601</v>
      </c>
      <c r="C80" s="2">
        <v>12.1930666666667</v>
      </c>
      <c r="D80" s="2" t="s">
        <v>34</v>
      </c>
      <c r="E80" s="2" t="s">
        <v>619</v>
      </c>
      <c r="F80" s="2">
        <v>18415</v>
      </c>
      <c r="G80" s="3" t="str">
        <f>HYPERLINK("http://funmeta.oebiotech.com/network/18415", "http://funmeta.oebiotech.com/network/18415")</f>
        <v>http://funmeta.oebiotech.com/network/18415</v>
      </c>
      <c r="H80" s="2"/>
      <c r="I80" s="2">
        <v>39657</v>
      </c>
      <c r="J80" s="2" t="s">
        <v>620</v>
      </c>
      <c r="K80" s="2"/>
      <c r="L80" s="2"/>
      <c r="M80" s="2"/>
      <c r="N80" s="2"/>
      <c r="O80" s="2">
        <v>24778958</v>
      </c>
      <c r="P80" s="2"/>
      <c r="Q80" s="2" t="s">
        <v>621</v>
      </c>
      <c r="R80" s="2" t="s">
        <v>622</v>
      </c>
      <c r="S80" s="2" t="s">
        <v>50</v>
      </c>
      <c r="T80" s="2" t="s">
        <v>51</v>
      </c>
      <c r="U80" s="2" t="s">
        <v>168</v>
      </c>
      <c r="V80" s="2" t="s">
        <v>59</v>
      </c>
      <c r="W80" s="2">
        <v>37.5</v>
      </c>
      <c r="X80" s="2">
        <v>0.69099999999999995</v>
      </c>
      <c r="Y80" s="2" t="s">
        <v>141</v>
      </c>
      <c r="Z80" s="2" t="s">
        <v>623</v>
      </c>
      <c r="AA80" s="2">
        <v>-1.91420103439848E-2</v>
      </c>
      <c r="AB80" s="2">
        <v>3.8785409798641002</v>
      </c>
      <c r="AC80" s="2">
        <v>1814.1183108540699</v>
      </c>
      <c r="AD80" s="2">
        <v>994576.23428598896</v>
      </c>
      <c r="AE80" s="2">
        <v>2078.67130070231</v>
      </c>
      <c r="AF80" s="2">
        <v>2854.6695180253901</v>
      </c>
      <c r="AG80" s="2">
        <v>1620.38361852254</v>
      </c>
      <c r="AH80" s="2">
        <v>1551.3502480883301</v>
      </c>
      <c r="AI80" s="2">
        <v>720.41557313751105</v>
      </c>
      <c r="AJ80" s="2">
        <v>2059.2196066483598</v>
      </c>
      <c r="AK80" s="2">
        <v>951378.226764458</v>
      </c>
      <c r="AL80" s="2">
        <v>883295.95211090101</v>
      </c>
      <c r="AM80" s="2">
        <v>1123686.0370837699</v>
      </c>
      <c r="AN80" s="2">
        <v>953530.06490788504</v>
      </c>
      <c r="AO80" s="2">
        <v>989389.84487069806</v>
      </c>
      <c r="AP80" s="2">
        <v>1066177.2799782199</v>
      </c>
    </row>
    <row r="81" spans="1:42" ht="14.5" x14ac:dyDescent="0.35">
      <c r="A81" s="2" t="s">
        <v>624</v>
      </c>
      <c r="B81" s="2">
        <v>650.43815296748903</v>
      </c>
      <c r="C81" s="2">
        <v>12.1323166666667</v>
      </c>
      <c r="D81" s="2" t="s">
        <v>34</v>
      </c>
      <c r="E81" s="2" t="s">
        <v>625</v>
      </c>
      <c r="F81" s="2">
        <v>215904</v>
      </c>
      <c r="G81" s="3" t="str">
        <f>HYPERLINK("http://funmeta.oebiotech.com/network/215904", "http://funmeta.oebiotech.com/network/215904")</f>
        <v>http://funmeta.oebiotech.com/network/215904</v>
      </c>
      <c r="H81" s="2" t="s">
        <v>626</v>
      </c>
      <c r="I81" s="2"/>
      <c r="J81" s="2"/>
      <c r="K81" s="2"/>
      <c r="L81" s="2"/>
      <c r="M81" s="2"/>
      <c r="N81" s="2"/>
      <c r="O81" s="2"/>
      <c r="P81" s="2"/>
      <c r="Q81" s="2" t="s">
        <v>627</v>
      </c>
      <c r="R81" s="2" t="s">
        <v>628</v>
      </c>
      <c r="S81" s="2" t="s">
        <v>41</v>
      </c>
      <c r="T81" s="2" t="s">
        <v>41</v>
      </c>
      <c r="U81" s="2" t="s">
        <v>41</v>
      </c>
      <c r="V81" s="2" t="s">
        <v>59</v>
      </c>
      <c r="W81" s="2">
        <v>40.1</v>
      </c>
      <c r="X81" s="2">
        <v>9.09</v>
      </c>
      <c r="Y81" s="2" t="s">
        <v>470</v>
      </c>
      <c r="Z81" s="2" t="s">
        <v>629</v>
      </c>
      <c r="AA81" s="2">
        <v>-1.56976038875813</v>
      </c>
      <c r="AB81" s="2">
        <v>3.8640026498253</v>
      </c>
      <c r="AC81" s="2">
        <v>15847.6705644662</v>
      </c>
      <c r="AD81" s="2">
        <v>1003706.52439233</v>
      </c>
      <c r="AE81" s="2">
        <v>14304.1662686667</v>
      </c>
      <c r="AF81" s="2">
        <v>16494.378696191001</v>
      </c>
      <c r="AG81" s="2">
        <v>16575.761904121398</v>
      </c>
      <c r="AH81" s="2">
        <v>15443.4407470687</v>
      </c>
      <c r="AI81" s="2">
        <v>13744.0570701254</v>
      </c>
      <c r="AJ81" s="2">
        <v>18524.2187006239</v>
      </c>
      <c r="AK81" s="2">
        <v>1006198.14460467</v>
      </c>
      <c r="AL81" s="2">
        <v>886358.24569896702</v>
      </c>
      <c r="AM81" s="2">
        <v>1172119.98010614</v>
      </c>
      <c r="AN81" s="2">
        <v>911982.08085105999</v>
      </c>
      <c r="AO81" s="2">
        <v>1008051.44242456</v>
      </c>
      <c r="AP81" s="2">
        <v>1037529.2526685999</v>
      </c>
    </row>
    <row r="82" spans="1:42" ht="14.5" x14ac:dyDescent="0.35">
      <c r="A82" s="2" t="s">
        <v>630</v>
      </c>
      <c r="B82" s="2">
        <v>449.21638093909303</v>
      </c>
      <c r="C82" s="2">
        <v>7.1174833333333298</v>
      </c>
      <c r="D82" s="2" t="s">
        <v>34</v>
      </c>
      <c r="E82" s="2" t="s">
        <v>631</v>
      </c>
      <c r="F82" s="2">
        <v>60289</v>
      </c>
      <c r="G82" s="3" t="str">
        <f>HYPERLINK("http://funmeta.oebiotech.com/network/60289", "http://funmeta.oebiotech.com/network/60289")</f>
        <v>http://funmeta.oebiotech.com/network/60289</v>
      </c>
      <c r="H82" s="2" t="s">
        <v>632</v>
      </c>
      <c r="I82" s="2"/>
      <c r="J82" s="2"/>
      <c r="K82" s="2"/>
      <c r="L82" s="2"/>
      <c r="M82" s="2"/>
      <c r="N82" s="2"/>
      <c r="O82" s="2">
        <v>529495</v>
      </c>
      <c r="P82" s="2" t="s">
        <v>633</v>
      </c>
      <c r="Q82" s="2" t="s">
        <v>634</v>
      </c>
      <c r="R82" s="2" t="s">
        <v>635</v>
      </c>
      <c r="S82" s="2" t="s">
        <v>50</v>
      </c>
      <c r="T82" s="2" t="s">
        <v>201</v>
      </c>
      <c r="U82" s="2" t="s">
        <v>636</v>
      </c>
      <c r="V82" s="2" t="s">
        <v>59</v>
      </c>
      <c r="W82" s="2">
        <v>45.5</v>
      </c>
      <c r="X82" s="2">
        <v>31.5</v>
      </c>
      <c r="Y82" s="2" t="s">
        <v>266</v>
      </c>
      <c r="Z82" s="2" t="s">
        <v>637</v>
      </c>
      <c r="AA82" s="2">
        <v>-1.3158529336651901</v>
      </c>
      <c r="AB82" s="2">
        <v>3.8295732437457701</v>
      </c>
      <c r="AC82" s="2">
        <v>2482131.8065936398</v>
      </c>
      <c r="AD82" s="2">
        <v>1507389.60600482</v>
      </c>
      <c r="AE82" s="2">
        <v>2485588.8255785098</v>
      </c>
      <c r="AF82" s="2">
        <v>2449080.1241942002</v>
      </c>
      <c r="AG82" s="2">
        <v>2495668.4454489299</v>
      </c>
      <c r="AH82" s="2">
        <v>2349199.5756642702</v>
      </c>
      <c r="AI82" s="2">
        <v>2407563.9317348399</v>
      </c>
      <c r="AJ82" s="2">
        <v>2705689.9369410798</v>
      </c>
      <c r="AK82" s="2">
        <v>1457019.39206159</v>
      </c>
      <c r="AL82" s="2">
        <v>1512615.9720771799</v>
      </c>
      <c r="AM82" s="2">
        <v>1494761.46644886</v>
      </c>
      <c r="AN82" s="2">
        <v>1523187.1269449899</v>
      </c>
      <c r="AO82" s="2">
        <v>1543702.4472260899</v>
      </c>
      <c r="AP82" s="2">
        <v>1513051.2312702099</v>
      </c>
    </row>
    <row r="83" spans="1:42" ht="14.5" x14ac:dyDescent="0.35">
      <c r="A83" s="2" t="s">
        <v>638</v>
      </c>
      <c r="B83" s="2">
        <v>256.26305383439097</v>
      </c>
      <c r="C83" s="2">
        <v>12.1323166666667</v>
      </c>
      <c r="D83" s="2" t="s">
        <v>34</v>
      </c>
      <c r="E83" s="2" t="s">
        <v>639</v>
      </c>
      <c r="F83" s="2">
        <v>8572</v>
      </c>
      <c r="G83" s="3" t="str">
        <f>HYPERLINK("http://funmeta.oebiotech.com/network/8572", "http://funmeta.oebiotech.com/network/8572")</f>
        <v>http://funmeta.oebiotech.com/network/8572</v>
      </c>
      <c r="H83" s="2" t="s">
        <v>640</v>
      </c>
      <c r="I83" s="2">
        <v>62905</v>
      </c>
      <c r="J83" s="2" t="s">
        <v>641</v>
      </c>
      <c r="K83" s="2">
        <v>74475</v>
      </c>
      <c r="L83" s="2"/>
      <c r="M83" s="2"/>
      <c r="N83" s="2"/>
      <c r="O83" s="2">
        <v>69421</v>
      </c>
      <c r="P83" s="2" t="s">
        <v>642</v>
      </c>
      <c r="Q83" s="2" t="s">
        <v>643</v>
      </c>
      <c r="R83" s="2" t="s">
        <v>644</v>
      </c>
      <c r="S83" s="2" t="s">
        <v>50</v>
      </c>
      <c r="T83" s="2" t="s">
        <v>229</v>
      </c>
      <c r="U83" s="2" t="s">
        <v>645</v>
      </c>
      <c r="V83" s="2" t="s">
        <v>59</v>
      </c>
      <c r="W83" s="2">
        <v>43.8</v>
      </c>
      <c r="X83" s="2">
        <v>23.1</v>
      </c>
      <c r="Y83" s="2" t="s">
        <v>394</v>
      </c>
      <c r="Z83" s="2" t="s">
        <v>646</v>
      </c>
      <c r="AA83" s="2">
        <v>-1.7131033591501801</v>
      </c>
      <c r="AB83" s="2">
        <v>3.8165489640132999</v>
      </c>
      <c r="AC83" s="2">
        <v>5437042.6254530298</v>
      </c>
      <c r="AD83" s="2">
        <v>3772351.9774464001</v>
      </c>
      <c r="AE83" s="2">
        <v>6423598.1773814298</v>
      </c>
      <c r="AF83" s="2">
        <v>4133796.74099467</v>
      </c>
      <c r="AG83" s="2">
        <v>4889019.4614802003</v>
      </c>
      <c r="AH83" s="2">
        <v>6129792.2457543695</v>
      </c>
      <c r="AI83" s="2">
        <v>6374413.3091458902</v>
      </c>
      <c r="AJ83" s="2">
        <v>4671635.8179616202</v>
      </c>
      <c r="AK83" s="2">
        <v>2501632.0388256102</v>
      </c>
      <c r="AL83" s="2">
        <v>6131961.5814639404</v>
      </c>
      <c r="AM83" s="2">
        <v>3431300.8206305001</v>
      </c>
      <c r="AN83" s="2">
        <v>5168880.82778484</v>
      </c>
      <c r="AO83" s="2">
        <v>2845239.12590703</v>
      </c>
      <c r="AP83" s="2">
        <v>2555097.4700664701</v>
      </c>
    </row>
    <row r="84" spans="1:42" ht="14.5" x14ac:dyDescent="0.35">
      <c r="A84" s="2" t="s">
        <v>647</v>
      </c>
      <c r="B84" s="2">
        <v>914.59523780357097</v>
      </c>
      <c r="C84" s="2">
        <v>12.0039833333333</v>
      </c>
      <c r="D84" s="2" t="s">
        <v>34</v>
      </c>
      <c r="E84" s="2" t="s">
        <v>648</v>
      </c>
      <c r="F84" s="2">
        <v>229497</v>
      </c>
      <c r="G84" s="3" t="str">
        <f>HYPERLINK("http://funmeta.oebiotech.com/network/229497", "http://funmeta.oebiotech.com/network/229497")</f>
        <v>http://funmeta.oebiotech.com/network/229497</v>
      </c>
      <c r="H84" s="2" t="s">
        <v>649</v>
      </c>
      <c r="I84" s="2"/>
      <c r="J84" s="2"/>
      <c r="K84" s="2"/>
      <c r="L84" s="2"/>
      <c r="M84" s="2"/>
      <c r="N84" s="2"/>
      <c r="O84" s="2"/>
      <c r="P84" s="2"/>
      <c r="Q84" s="2" t="s">
        <v>650</v>
      </c>
      <c r="R84" s="2" t="s">
        <v>651</v>
      </c>
      <c r="S84" s="2" t="s">
        <v>41</v>
      </c>
      <c r="T84" s="2" t="s">
        <v>41</v>
      </c>
      <c r="U84" s="2" t="s">
        <v>41</v>
      </c>
      <c r="V84" s="2" t="s">
        <v>59</v>
      </c>
      <c r="W84" s="2">
        <v>40</v>
      </c>
      <c r="X84" s="2">
        <v>11.7</v>
      </c>
      <c r="Y84" s="2" t="s">
        <v>43</v>
      </c>
      <c r="Z84" s="2" t="s">
        <v>652</v>
      </c>
      <c r="AA84" s="2">
        <v>-1.3344029375780699</v>
      </c>
      <c r="AB84" s="2">
        <v>3.7170418618943901</v>
      </c>
      <c r="AC84" s="2">
        <v>4550.2053675776297</v>
      </c>
      <c r="AD84" s="2">
        <v>917386.51027641899</v>
      </c>
      <c r="AE84" s="2">
        <v>6095.5762222421099</v>
      </c>
      <c r="AF84" s="2">
        <v>6655.7686020860001</v>
      </c>
      <c r="AG84" s="2">
        <v>3571.5011787538601</v>
      </c>
      <c r="AH84" s="2">
        <v>5283.2170411622601</v>
      </c>
      <c r="AI84" s="2">
        <v>2531.5618870759099</v>
      </c>
      <c r="AJ84" s="2">
        <v>3163.6072741456601</v>
      </c>
      <c r="AK84" s="2">
        <v>869521.66227120999</v>
      </c>
      <c r="AL84" s="2">
        <v>815467.99843795795</v>
      </c>
      <c r="AM84" s="2">
        <v>1065814.0752991801</v>
      </c>
      <c r="AN84" s="2">
        <v>894417.779636616</v>
      </c>
      <c r="AO84" s="2">
        <v>892192.347517872</v>
      </c>
      <c r="AP84" s="2">
        <v>966905.19849567895</v>
      </c>
    </row>
    <row r="85" spans="1:42" ht="14.5" x14ac:dyDescent="0.35">
      <c r="A85" s="2" t="s">
        <v>653</v>
      </c>
      <c r="B85" s="2">
        <v>740.45978755085196</v>
      </c>
      <c r="C85" s="2">
        <v>11.442033333333301</v>
      </c>
      <c r="D85" s="2" t="s">
        <v>34</v>
      </c>
      <c r="E85" s="2" t="s">
        <v>654</v>
      </c>
      <c r="F85" s="2">
        <v>20086</v>
      </c>
      <c r="G85" s="3" t="str">
        <f>HYPERLINK("http://funmeta.oebiotech.com/network/20086", "http://funmeta.oebiotech.com/network/20086")</f>
        <v>http://funmeta.oebiotech.com/network/20086</v>
      </c>
      <c r="H85" s="2"/>
      <c r="I85" s="2">
        <v>76632</v>
      </c>
      <c r="J85" s="2" t="s">
        <v>655</v>
      </c>
      <c r="K85" s="2"/>
      <c r="L85" s="2"/>
      <c r="M85" s="2"/>
      <c r="N85" s="2"/>
      <c r="O85" s="2">
        <v>52924103</v>
      </c>
      <c r="P85" s="2"/>
      <c r="Q85" s="2" t="s">
        <v>656</v>
      </c>
      <c r="R85" s="2" t="s">
        <v>657</v>
      </c>
      <c r="S85" s="2" t="s">
        <v>50</v>
      </c>
      <c r="T85" s="2" t="s">
        <v>51</v>
      </c>
      <c r="U85" s="2" t="s">
        <v>257</v>
      </c>
      <c r="V85" s="2" t="s">
        <v>59</v>
      </c>
      <c r="W85" s="2">
        <v>38.700000000000003</v>
      </c>
      <c r="X85" s="2">
        <v>10.8</v>
      </c>
      <c r="Y85" s="2" t="s">
        <v>340</v>
      </c>
      <c r="Z85" s="2" t="s">
        <v>658</v>
      </c>
      <c r="AA85" s="2">
        <v>-4.1702513531598102</v>
      </c>
      <c r="AB85" s="2">
        <v>3.7118140138002298</v>
      </c>
      <c r="AC85" s="2">
        <v>148590.95942241899</v>
      </c>
      <c r="AD85" s="2">
        <v>1055054.7864459599</v>
      </c>
      <c r="AE85" s="2">
        <v>153516.09489686199</v>
      </c>
      <c r="AF85" s="2">
        <v>157764.676236639</v>
      </c>
      <c r="AG85" s="2">
        <v>138386.45246271</v>
      </c>
      <c r="AH85" s="2">
        <v>135016.507280194</v>
      </c>
      <c r="AI85" s="2">
        <v>145991.37977676099</v>
      </c>
      <c r="AJ85" s="2">
        <v>160870.64588134599</v>
      </c>
      <c r="AK85" s="2">
        <v>1031073.20254994</v>
      </c>
      <c r="AL85" s="2">
        <v>990003.645112723</v>
      </c>
      <c r="AM85" s="2">
        <v>1157423.0459241499</v>
      </c>
      <c r="AN85" s="2">
        <v>1047397.7181117299</v>
      </c>
      <c r="AO85" s="2">
        <v>1050812.73125322</v>
      </c>
      <c r="AP85" s="2">
        <v>1053618.3757239799</v>
      </c>
    </row>
    <row r="86" spans="1:42" ht="14.5" x14ac:dyDescent="0.35">
      <c r="A86" s="2" t="s">
        <v>659</v>
      </c>
      <c r="B86" s="2">
        <v>210.11238790763301</v>
      </c>
      <c r="C86" s="2">
        <v>1.97685</v>
      </c>
      <c r="D86" s="2" t="s">
        <v>34</v>
      </c>
      <c r="E86" s="2" t="s">
        <v>660</v>
      </c>
      <c r="F86" s="2">
        <v>208162</v>
      </c>
      <c r="G86" s="3" t="str">
        <f>HYPERLINK("http://funmeta.oebiotech.com/network/208162", "http://funmeta.oebiotech.com/network/208162")</f>
        <v>http://funmeta.oebiotech.com/network/208162</v>
      </c>
      <c r="H86" s="2" t="s">
        <v>661</v>
      </c>
      <c r="I86" s="2"/>
      <c r="J86" s="2"/>
      <c r="K86" s="2"/>
      <c r="L86" s="2"/>
      <c r="M86" s="2"/>
      <c r="N86" s="2"/>
      <c r="O86" s="2">
        <v>61328</v>
      </c>
      <c r="P86" s="2"/>
      <c r="Q86" s="2" t="s">
        <v>662</v>
      </c>
      <c r="R86" s="2" t="s">
        <v>663</v>
      </c>
      <c r="S86" s="2" t="s">
        <v>89</v>
      </c>
      <c r="T86" s="2" t="s">
        <v>90</v>
      </c>
      <c r="U86" s="2" t="s">
        <v>99</v>
      </c>
      <c r="V86" s="2" t="s">
        <v>59</v>
      </c>
      <c r="W86" s="2">
        <v>47.9</v>
      </c>
      <c r="X86" s="2">
        <v>41.5</v>
      </c>
      <c r="Y86" s="2" t="s">
        <v>92</v>
      </c>
      <c r="Z86" s="2" t="s">
        <v>664</v>
      </c>
      <c r="AA86" s="2">
        <v>-0.39152015234743798</v>
      </c>
      <c r="AB86" s="2">
        <v>3.6661229324736602</v>
      </c>
      <c r="AC86" s="2">
        <v>6544170.0205051899</v>
      </c>
      <c r="AD86" s="2">
        <v>7497304.9886689596</v>
      </c>
      <c r="AE86" s="2">
        <v>6624388.0824214304</v>
      </c>
      <c r="AF86" s="2">
        <v>6505020.5000709696</v>
      </c>
      <c r="AG86" s="2">
        <v>6558257.95103392</v>
      </c>
      <c r="AH86" s="2">
        <v>6415581.3002652703</v>
      </c>
      <c r="AI86" s="2">
        <v>6377689.7207677197</v>
      </c>
      <c r="AJ86" s="2">
        <v>6784082.5684718499</v>
      </c>
      <c r="AK86" s="2">
        <v>7021625.1381456703</v>
      </c>
      <c r="AL86" s="2">
        <v>7607701.7515676199</v>
      </c>
      <c r="AM86" s="2">
        <v>7739292.2979947496</v>
      </c>
      <c r="AN86" s="2">
        <v>7699496.62919393</v>
      </c>
      <c r="AO86" s="2">
        <v>7508196.13869802</v>
      </c>
      <c r="AP86" s="2">
        <v>7407517.9764137501</v>
      </c>
    </row>
    <row r="87" spans="1:42" ht="14.5" x14ac:dyDescent="0.35">
      <c r="A87" s="2" t="s">
        <v>665</v>
      </c>
      <c r="B87" s="2">
        <v>652.34731233771402</v>
      </c>
      <c r="C87" s="2">
        <v>7.4253666666666698</v>
      </c>
      <c r="D87" s="2" t="s">
        <v>34</v>
      </c>
      <c r="E87" s="2" t="s">
        <v>666</v>
      </c>
      <c r="F87" s="2">
        <v>241930</v>
      </c>
      <c r="G87" s="3" t="str">
        <f>HYPERLINK("http://funmeta.oebiotech.com/network/241930", "http://funmeta.oebiotech.com/network/241930")</f>
        <v>http://funmeta.oebiotech.com/network/241930</v>
      </c>
      <c r="H87" s="2" t="s">
        <v>667</v>
      </c>
      <c r="I87" s="2"/>
      <c r="J87" s="2"/>
      <c r="K87" s="2"/>
      <c r="L87" s="2"/>
      <c r="M87" s="2"/>
      <c r="N87" s="2"/>
      <c r="O87" s="2"/>
      <c r="P87" s="2"/>
      <c r="Q87" s="2" t="s">
        <v>668</v>
      </c>
      <c r="R87" s="2" t="s">
        <v>669</v>
      </c>
      <c r="S87" s="2" t="s">
        <v>41</v>
      </c>
      <c r="T87" s="2" t="s">
        <v>41</v>
      </c>
      <c r="U87" s="2" t="s">
        <v>41</v>
      </c>
      <c r="V87" s="2" t="s">
        <v>59</v>
      </c>
      <c r="W87" s="2">
        <v>41.2</v>
      </c>
      <c r="X87" s="2">
        <v>30.1</v>
      </c>
      <c r="Y87" s="2" t="s">
        <v>394</v>
      </c>
      <c r="Z87" s="2" t="s">
        <v>670</v>
      </c>
      <c r="AA87" s="2">
        <v>2.5687177509586498</v>
      </c>
      <c r="AB87" s="2">
        <v>3.6638318686033</v>
      </c>
      <c r="AC87" s="2">
        <v>3366459.1261926698</v>
      </c>
      <c r="AD87" s="2">
        <v>4297391.4741033502</v>
      </c>
      <c r="AE87" s="2">
        <v>3511144.0271562599</v>
      </c>
      <c r="AF87" s="2">
        <v>3329926.4477547999</v>
      </c>
      <c r="AG87" s="2">
        <v>3290959.6250249501</v>
      </c>
      <c r="AH87" s="2">
        <v>3141116.1551892399</v>
      </c>
      <c r="AI87" s="2">
        <v>3408050.5358762802</v>
      </c>
      <c r="AJ87" s="2">
        <v>3517557.9661544999</v>
      </c>
      <c r="AK87" s="2">
        <v>4295383.6782212798</v>
      </c>
      <c r="AL87" s="2">
        <v>4432541.5785368197</v>
      </c>
      <c r="AM87" s="2">
        <v>4146228.7318196702</v>
      </c>
      <c r="AN87" s="2">
        <v>3994494.1245075101</v>
      </c>
      <c r="AO87" s="2">
        <v>4411051.0628004298</v>
      </c>
      <c r="AP87" s="2">
        <v>4504649.6687344098</v>
      </c>
    </row>
    <row r="88" spans="1:42" ht="14.5" x14ac:dyDescent="0.35">
      <c r="A88" s="2" t="s">
        <v>671</v>
      </c>
      <c r="B88" s="2">
        <v>217.06811108334</v>
      </c>
      <c r="C88" s="2">
        <v>0.75019999999999998</v>
      </c>
      <c r="D88" s="2" t="s">
        <v>34</v>
      </c>
      <c r="E88" s="2" t="s">
        <v>672</v>
      </c>
      <c r="F88" s="2">
        <v>201336</v>
      </c>
      <c r="G88" s="3" t="str">
        <f>HYPERLINK("http://funmeta.oebiotech.com/network/201336", "http://funmeta.oebiotech.com/network/201336")</f>
        <v>http://funmeta.oebiotech.com/network/201336</v>
      </c>
      <c r="H88" s="2" t="s">
        <v>673</v>
      </c>
      <c r="I88" s="2"/>
      <c r="J88" s="2"/>
      <c r="K88" s="2"/>
      <c r="L88" s="2"/>
      <c r="M88" s="2"/>
      <c r="N88" s="2"/>
      <c r="O88" s="2">
        <v>247323</v>
      </c>
      <c r="P88" s="2"/>
      <c r="Q88" s="2" t="s">
        <v>674</v>
      </c>
      <c r="R88" s="2" t="s">
        <v>675</v>
      </c>
      <c r="S88" s="2" t="s">
        <v>79</v>
      </c>
      <c r="T88" s="2" t="s">
        <v>80</v>
      </c>
      <c r="U88" s="2" t="s">
        <v>81</v>
      </c>
      <c r="V88" s="2" t="s">
        <v>59</v>
      </c>
      <c r="W88" s="2">
        <v>40.4</v>
      </c>
      <c r="X88" s="2">
        <v>3.48</v>
      </c>
      <c r="Y88" s="2" t="s">
        <v>323</v>
      </c>
      <c r="Z88" s="2" t="s">
        <v>676</v>
      </c>
      <c r="AA88" s="2">
        <v>-0.76135476421464099</v>
      </c>
      <c r="AB88" s="2">
        <v>3.6121311064000299</v>
      </c>
      <c r="AC88" s="2">
        <v>11096414.626904899</v>
      </c>
      <c r="AD88" s="2">
        <v>12261868.473789001</v>
      </c>
      <c r="AE88" s="2">
        <v>10716420.022670301</v>
      </c>
      <c r="AF88" s="2">
        <v>11510638.505061699</v>
      </c>
      <c r="AG88" s="2">
        <v>11523325.1900222</v>
      </c>
      <c r="AH88" s="2">
        <v>11117010.2382957</v>
      </c>
      <c r="AI88" s="2">
        <v>10858090.330455</v>
      </c>
      <c r="AJ88" s="2">
        <v>10853003.474924499</v>
      </c>
      <c r="AK88" s="2">
        <v>12995377.782584099</v>
      </c>
      <c r="AL88" s="2">
        <v>12878715.2211142</v>
      </c>
      <c r="AM88" s="2">
        <v>12450170.6793666</v>
      </c>
      <c r="AN88" s="2">
        <v>11697355.2442136</v>
      </c>
      <c r="AO88" s="2">
        <v>12478202.2104383</v>
      </c>
      <c r="AP88" s="2">
        <v>11071389.705017099</v>
      </c>
    </row>
    <row r="89" spans="1:42" ht="14.5" x14ac:dyDescent="0.35">
      <c r="A89" s="2" t="s">
        <v>677</v>
      </c>
      <c r="B89" s="2">
        <v>633.25050631696604</v>
      </c>
      <c r="C89" s="2">
        <v>7.1346166666666697</v>
      </c>
      <c r="D89" s="2" t="s">
        <v>34</v>
      </c>
      <c r="E89" s="2" t="s">
        <v>678</v>
      </c>
      <c r="F89" s="2">
        <v>59752</v>
      </c>
      <c r="G89" s="3" t="str">
        <f>HYPERLINK("http://funmeta.oebiotech.com/network/59752", "http://funmeta.oebiotech.com/network/59752")</f>
        <v>http://funmeta.oebiotech.com/network/59752</v>
      </c>
      <c r="H89" s="2" t="s">
        <v>679</v>
      </c>
      <c r="I89" s="2">
        <v>91127</v>
      </c>
      <c r="J89" s="2"/>
      <c r="K89" s="2"/>
      <c r="L89" s="2"/>
      <c r="M89" s="2"/>
      <c r="N89" s="2"/>
      <c r="O89" s="2">
        <v>14583336</v>
      </c>
      <c r="P89" s="2" t="s">
        <v>680</v>
      </c>
      <c r="Q89" s="2" t="s">
        <v>681</v>
      </c>
      <c r="R89" s="2" t="s">
        <v>682</v>
      </c>
      <c r="S89" s="2" t="s">
        <v>115</v>
      </c>
      <c r="T89" s="2" t="s">
        <v>575</v>
      </c>
      <c r="U89" s="2" t="s">
        <v>576</v>
      </c>
      <c r="V89" s="2" t="s">
        <v>59</v>
      </c>
      <c r="W89" s="2">
        <v>39.5</v>
      </c>
      <c r="X89" s="2">
        <v>14.7</v>
      </c>
      <c r="Y89" s="2" t="s">
        <v>141</v>
      </c>
      <c r="Z89" s="2" t="s">
        <v>683</v>
      </c>
      <c r="AA89" s="2">
        <v>3.4014100465325798</v>
      </c>
      <c r="AB89" s="2">
        <v>3.59177280131507</v>
      </c>
      <c r="AC89" s="2">
        <v>1304892.93997597</v>
      </c>
      <c r="AD89" s="2">
        <v>453629.71010132402</v>
      </c>
      <c r="AE89" s="2">
        <v>1243385.20695595</v>
      </c>
      <c r="AF89" s="2">
        <v>1336580.29632182</v>
      </c>
      <c r="AG89" s="2">
        <v>1374712.35367227</v>
      </c>
      <c r="AH89" s="2">
        <v>1269665.1007284699</v>
      </c>
      <c r="AI89" s="2">
        <v>1304779.5797052099</v>
      </c>
      <c r="AJ89" s="2">
        <v>1300235.10247211</v>
      </c>
      <c r="AK89" s="2">
        <v>549699.75026906002</v>
      </c>
      <c r="AL89" s="2">
        <v>509244.32083440601</v>
      </c>
      <c r="AM89" s="2">
        <v>422940.76572489098</v>
      </c>
      <c r="AN89" s="2">
        <v>406181.14123672002</v>
      </c>
      <c r="AO89" s="2">
        <v>425926.23606252699</v>
      </c>
      <c r="AP89" s="2">
        <v>407786.04648034001</v>
      </c>
    </row>
    <row r="90" spans="1:42" ht="14.5" x14ac:dyDescent="0.35">
      <c r="A90" s="2" t="s">
        <v>684</v>
      </c>
      <c r="B90" s="2">
        <v>846.61353120512899</v>
      </c>
      <c r="C90" s="2">
        <v>12.9251666666667</v>
      </c>
      <c r="D90" s="2" t="s">
        <v>34</v>
      </c>
      <c r="E90" s="2" t="s">
        <v>685</v>
      </c>
      <c r="F90" s="2">
        <v>51992</v>
      </c>
      <c r="G90" s="3" t="str">
        <f>HYPERLINK("http://funmeta.oebiotech.com/network/51992", "http://funmeta.oebiotech.com/network/51992")</f>
        <v>http://funmeta.oebiotech.com/network/51992</v>
      </c>
      <c r="H90" s="2" t="s">
        <v>686</v>
      </c>
      <c r="I90" s="2">
        <v>41627</v>
      </c>
      <c r="J90" s="2"/>
      <c r="K90" s="2"/>
      <c r="L90" s="2" t="s">
        <v>687</v>
      </c>
      <c r="M90" s="2" t="s">
        <v>688</v>
      </c>
      <c r="N90" s="2" t="s">
        <v>689</v>
      </c>
      <c r="O90" s="2">
        <v>24779582</v>
      </c>
      <c r="P90" s="2" t="s">
        <v>690</v>
      </c>
      <c r="Q90" s="2" t="s">
        <v>691</v>
      </c>
      <c r="R90" s="2" t="s">
        <v>692</v>
      </c>
      <c r="S90" s="2" t="s">
        <v>50</v>
      </c>
      <c r="T90" s="2" t="s">
        <v>693</v>
      </c>
      <c r="U90" s="2" t="s">
        <v>694</v>
      </c>
      <c r="V90" s="2" t="s">
        <v>59</v>
      </c>
      <c r="W90" s="2">
        <v>37.5</v>
      </c>
      <c r="X90" s="2">
        <v>4.2099999999999999E-2</v>
      </c>
      <c r="Y90" s="2" t="s">
        <v>141</v>
      </c>
      <c r="Z90" s="2" t="s">
        <v>695</v>
      </c>
      <c r="AA90" s="2">
        <v>1.3730424650308499</v>
      </c>
      <c r="AB90" s="2">
        <v>3.5639300732298702</v>
      </c>
      <c r="AC90" s="2">
        <v>4978.4841148940504</v>
      </c>
      <c r="AD90" s="2">
        <v>843339.28882858902</v>
      </c>
      <c r="AE90" s="2">
        <v>6450.9992310372199</v>
      </c>
      <c r="AF90" s="2">
        <v>5106.9690254164298</v>
      </c>
      <c r="AG90" s="2">
        <v>3943.6826539240801</v>
      </c>
      <c r="AH90" s="2">
        <v>4965.1454611047602</v>
      </c>
      <c r="AI90" s="2">
        <v>3894.5414709922602</v>
      </c>
      <c r="AJ90" s="2">
        <v>5509.5668468895801</v>
      </c>
      <c r="AK90" s="2">
        <v>798139.11044847302</v>
      </c>
      <c r="AL90" s="2">
        <v>819691.69075352</v>
      </c>
      <c r="AM90" s="2">
        <v>946062.10526173597</v>
      </c>
      <c r="AN90" s="2">
        <v>758418.43429909798</v>
      </c>
      <c r="AO90" s="2">
        <v>829726.48462839797</v>
      </c>
      <c r="AP90" s="2">
        <v>907997.90758031001</v>
      </c>
    </row>
    <row r="91" spans="1:42" ht="14.5" x14ac:dyDescent="0.35">
      <c r="A91" s="2" t="s">
        <v>696</v>
      </c>
      <c r="B91" s="2">
        <v>609.30895415597399</v>
      </c>
      <c r="C91" s="2">
        <v>4.64978333333333</v>
      </c>
      <c r="D91" s="2" t="s">
        <v>34</v>
      </c>
      <c r="E91" s="2" t="s">
        <v>697</v>
      </c>
      <c r="F91" s="2">
        <v>47492</v>
      </c>
      <c r="G91" s="3" t="str">
        <f>HYPERLINK("http://funmeta.oebiotech.com/network/47492", "http://funmeta.oebiotech.com/network/47492")</f>
        <v>http://funmeta.oebiotech.com/network/47492</v>
      </c>
      <c r="H91" s="2" t="s">
        <v>698</v>
      </c>
      <c r="I91" s="2">
        <v>6132</v>
      </c>
      <c r="J91" s="2"/>
      <c r="K91" s="2">
        <v>15442</v>
      </c>
      <c r="L91" s="2" t="s">
        <v>699</v>
      </c>
      <c r="M91" s="2" t="s">
        <v>700</v>
      </c>
      <c r="N91" s="2" t="s">
        <v>701</v>
      </c>
      <c r="O91" s="2">
        <v>5280592</v>
      </c>
      <c r="P91" s="2" t="s">
        <v>702</v>
      </c>
      <c r="Q91" s="2" t="s">
        <v>703</v>
      </c>
      <c r="R91" s="2" t="s">
        <v>704</v>
      </c>
      <c r="S91" s="2" t="s">
        <v>50</v>
      </c>
      <c r="T91" s="2" t="s">
        <v>201</v>
      </c>
      <c r="U91" s="2" t="s">
        <v>210</v>
      </c>
      <c r="V91" s="2" t="s">
        <v>59</v>
      </c>
      <c r="W91" s="2">
        <v>40.1</v>
      </c>
      <c r="X91" s="2">
        <v>6.33</v>
      </c>
      <c r="Y91" s="2" t="s">
        <v>203</v>
      </c>
      <c r="Z91" s="2" t="s">
        <v>705</v>
      </c>
      <c r="AA91" s="2">
        <v>1.54559494263158</v>
      </c>
      <c r="AB91" s="2">
        <v>3.5449106207332202</v>
      </c>
      <c r="AC91" s="2">
        <v>4048210.59692941</v>
      </c>
      <c r="AD91" s="2">
        <v>4953130.8103207704</v>
      </c>
      <c r="AE91" s="2">
        <v>4069862.4003528501</v>
      </c>
      <c r="AF91" s="2">
        <v>4217629.0447481899</v>
      </c>
      <c r="AG91" s="2">
        <v>4055295.9788626302</v>
      </c>
      <c r="AH91" s="2">
        <v>4215783.5651444197</v>
      </c>
      <c r="AI91" s="2">
        <v>4047533.7148827901</v>
      </c>
      <c r="AJ91" s="2">
        <v>3683158.8775856001</v>
      </c>
      <c r="AK91" s="2">
        <v>4693836.3031903096</v>
      </c>
      <c r="AL91" s="2">
        <v>4914557.2418593103</v>
      </c>
      <c r="AM91" s="2">
        <v>5414275.6036503799</v>
      </c>
      <c r="AN91" s="2">
        <v>4782229.9853501096</v>
      </c>
      <c r="AO91" s="2">
        <v>5003045.4332396099</v>
      </c>
      <c r="AP91" s="2">
        <v>4910840.2946349001</v>
      </c>
    </row>
    <row r="92" spans="1:42" ht="14.5" x14ac:dyDescent="0.35">
      <c r="A92" s="2" t="s">
        <v>706</v>
      </c>
      <c r="B92" s="2">
        <v>671.44455991952805</v>
      </c>
      <c r="C92" s="2">
        <v>11.5801</v>
      </c>
      <c r="D92" s="2" t="s">
        <v>34</v>
      </c>
      <c r="E92" s="2" t="s">
        <v>707</v>
      </c>
      <c r="F92" s="2">
        <v>207607</v>
      </c>
      <c r="G92" s="3" t="str">
        <f>HYPERLINK("http://funmeta.oebiotech.com/network/207607", "http://funmeta.oebiotech.com/network/207607")</f>
        <v>http://funmeta.oebiotech.com/network/207607</v>
      </c>
      <c r="H92" s="2" t="s">
        <v>708</v>
      </c>
      <c r="I92" s="2"/>
      <c r="J92" s="2"/>
      <c r="K92" s="2"/>
      <c r="L92" s="2"/>
      <c r="M92" s="2"/>
      <c r="N92" s="2"/>
      <c r="O92" s="2">
        <v>76702351</v>
      </c>
      <c r="P92" s="2"/>
      <c r="Q92" s="2" t="s">
        <v>709</v>
      </c>
      <c r="R92" s="2" t="s">
        <v>710</v>
      </c>
      <c r="S92" s="2" t="s">
        <v>41</v>
      </c>
      <c r="T92" s="2" t="s">
        <v>41</v>
      </c>
      <c r="U92" s="2" t="s">
        <v>41</v>
      </c>
      <c r="V92" s="2" t="s">
        <v>59</v>
      </c>
      <c r="W92" s="2">
        <v>36.6</v>
      </c>
      <c r="X92" s="2">
        <v>0.22700000000000001</v>
      </c>
      <c r="Y92" s="2" t="s">
        <v>141</v>
      </c>
      <c r="Z92" s="2" t="s">
        <v>711</v>
      </c>
      <c r="AA92" s="2">
        <v>3.9371595786467002</v>
      </c>
      <c r="AB92" s="2">
        <v>3.5403199942700598</v>
      </c>
      <c r="AC92" s="2">
        <v>20700.8904297933</v>
      </c>
      <c r="AD92" s="2">
        <v>847493.18692825094</v>
      </c>
      <c r="AE92" s="2">
        <v>21867.644530615798</v>
      </c>
      <c r="AF92" s="2">
        <v>19672.930202040501</v>
      </c>
      <c r="AG92" s="2">
        <v>23326.879984435502</v>
      </c>
      <c r="AH92" s="2">
        <v>19296.006106729299</v>
      </c>
      <c r="AI92" s="2">
        <v>19133.4428323633</v>
      </c>
      <c r="AJ92" s="2">
        <v>20908.4389225753</v>
      </c>
      <c r="AK92" s="2">
        <v>822759.96075186599</v>
      </c>
      <c r="AL92" s="2">
        <v>806878.11475200497</v>
      </c>
      <c r="AM92" s="2">
        <v>985886.38956345897</v>
      </c>
      <c r="AN92" s="2">
        <v>810730.75445145997</v>
      </c>
      <c r="AO92" s="2">
        <v>840976.05437099701</v>
      </c>
      <c r="AP92" s="2">
        <v>817727.84767972003</v>
      </c>
    </row>
    <row r="93" spans="1:42" ht="14.5" x14ac:dyDescent="0.35">
      <c r="A93" s="2" t="s">
        <v>712</v>
      </c>
      <c r="B93" s="2">
        <v>694.46448183716598</v>
      </c>
      <c r="C93" s="2">
        <v>12.083883333333301</v>
      </c>
      <c r="D93" s="2" t="s">
        <v>34</v>
      </c>
      <c r="E93" s="2" t="s">
        <v>713</v>
      </c>
      <c r="F93" s="2">
        <v>216214</v>
      </c>
      <c r="G93" s="3" t="str">
        <f>HYPERLINK("http://funmeta.oebiotech.com/network/216214", "http://funmeta.oebiotech.com/network/216214")</f>
        <v>http://funmeta.oebiotech.com/network/216214</v>
      </c>
      <c r="H93" s="2" t="s">
        <v>714</v>
      </c>
      <c r="I93" s="2"/>
      <c r="J93" s="2"/>
      <c r="K93" s="2"/>
      <c r="L93" s="2"/>
      <c r="M93" s="2"/>
      <c r="N93" s="2"/>
      <c r="O93" s="2"/>
      <c r="P93" s="2"/>
      <c r="Q93" s="2" t="s">
        <v>715</v>
      </c>
      <c r="R93" s="2" t="s">
        <v>716</v>
      </c>
      <c r="S93" s="2" t="s">
        <v>41</v>
      </c>
      <c r="T93" s="2" t="s">
        <v>41</v>
      </c>
      <c r="U93" s="2" t="s">
        <v>41</v>
      </c>
      <c r="V93" s="2" t="s">
        <v>59</v>
      </c>
      <c r="W93" s="2">
        <v>39.6</v>
      </c>
      <c r="X93" s="2">
        <v>7.42</v>
      </c>
      <c r="Y93" s="2" t="s">
        <v>43</v>
      </c>
      <c r="Z93" s="2" t="s">
        <v>717</v>
      </c>
      <c r="AA93" s="2">
        <v>-1.2988793960923299</v>
      </c>
      <c r="AB93" s="2">
        <v>3.5311497816349902</v>
      </c>
      <c r="AC93" s="2">
        <v>7091.8861227060197</v>
      </c>
      <c r="AD93" s="2">
        <v>832190.73705751402</v>
      </c>
      <c r="AE93" s="2">
        <v>7256.3224939146703</v>
      </c>
      <c r="AF93" s="2">
        <v>8415.9658726197194</v>
      </c>
      <c r="AG93" s="2">
        <v>6759.5557527538003</v>
      </c>
      <c r="AH93" s="2">
        <v>6772.16396415688</v>
      </c>
      <c r="AI93" s="2">
        <v>8219.7801109438005</v>
      </c>
      <c r="AJ93" s="2">
        <v>5127.5285418472204</v>
      </c>
      <c r="AK93" s="2">
        <v>861891.03513889003</v>
      </c>
      <c r="AL93" s="2">
        <v>734507.69003658602</v>
      </c>
      <c r="AM93" s="2">
        <v>973689.79860171897</v>
      </c>
      <c r="AN93" s="2">
        <v>768813.086389462</v>
      </c>
      <c r="AO93" s="2">
        <v>795038.58453588001</v>
      </c>
      <c r="AP93" s="2">
        <v>859204.22764254594</v>
      </c>
    </row>
    <row r="94" spans="1:42" ht="14.5" x14ac:dyDescent="0.35">
      <c r="A94" s="2" t="s">
        <v>718</v>
      </c>
      <c r="B94" s="2">
        <v>565.28254297213198</v>
      </c>
      <c r="C94" s="2">
        <v>4.5663166666666699</v>
      </c>
      <c r="D94" s="2" t="s">
        <v>34</v>
      </c>
      <c r="E94" s="2" t="s">
        <v>719</v>
      </c>
      <c r="F94" s="2">
        <v>46717</v>
      </c>
      <c r="G94" s="3" t="str">
        <f>HYPERLINK("http://funmeta.oebiotech.com/network/46717", "http://funmeta.oebiotech.com/network/46717")</f>
        <v>http://funmeta.oebiotech.com/network/46717</v>
      </c>
      <c r="H94" s="2"/>
      <c r="I94" s="2"/>
      <c r="J94" s="2" t="s">
        <v>720</v>
      </c>
      <c r="K94" s="2"/>
      <c r="L94" s="2"/>
      <c r="M94" s="2"/>
      <c r="N94" s="2"/>
      <c r="O94" s="2"/>
      <c r="P94" s="2"/>
      <c r="Q94" s="2" t="s">
        <v>721</v>
      </c>
      <c r="R94" s="2" t="s">
        <v>722</v>
      </c>
      <c r="S94" s="2" t="s">
        <v>50</v>
      </c>
      <c r="T94" s="2" t="s">
        <v>124</v>
      </c>
      <c r="U94" s="2" t="s">
        <v>723</v>
      </c>
      <c r="V94" s="2" t="s">
        <v>59</v>
      </c>
      <c r="W94" s="2">
        <v>38.799999999999997</v>
      </c>
      <c r="X94" s="2">
        <v>6.92</v>
      </c>
      <c r="Y94" s="2" t="s">
        <v>203</v>
      </c>
      <c r="Z94" s="2" t="s">
        <v>724</v>
      </c>
      <c r="AA94" s="2">
        <v>3.6564486424815699</v>
      </c>
      <c r="AB94" s="2">
        <v>3.5202137130179501</v>
      </c>
      <c r="AC94" s="2">
        <v>3291679.9614637299</v>
      </c>
      <c r="AD94" s="2">
        <v>4165220.7305046399</v>
      </c>
      <c r="AE94" s="2">
        <v>3166317.0033804402</v>
      </c>
      <c r="AF94" s="2">
        <v>3304691.1044143699</v>
      </c>
      <c r="AG94" s="2">
        <v>3324667.1114614801</v>
      </c>
      <c r="AH94" s="2">
        <v>3559983.2598183998</v>
      </c>
      <c r="AI94" s="2">
        <v>3323208.3095090101</v>
      </c>
      <c r="AJ94" s="2">
        <v>3071212.9801986502</v>
      </c>
      <c r="AK94" s="2">
        <v>4009293.1094295699</v>
      </c>
      <c r="AL94" s="2">
        <v>4171222.9504068098</v>
      </c>
      <c r="AM94" s="2">
        <v>4509467.4717667503</v>
      </c>
      <c r="AN94" s="2">
        <v>4319728.6795722796</v>
      </c>
      <c r="AO94" s="2">
        <v>4019532.0003264998</v>
      </c>
      <c r="AP94" s="2">
        <v>3962080.1715259198</v>
      </c>
    </row>
    <row r="95" spans="1:42" ht="14.5" x14ac:dyDescent="0.35">
      <c r="A95" s="2" t="s">
        <v>725</v>
      </c>
      <c r="B95" s="2">
        <v>653.334931050823</v>
      </c>
      <c r="C95" s="2">
        <v>4.7359166666666699</v>
      </c>
      <c r="D95" s="2" t="s">
        <v>34</v>
      </c>
      <c r="E95" s="2" t="s">
        <v>726</v>
      </c>
      <c r="F95" s="2">
        <v>52612</v>
      </c>
      <c r="G95" s="3" t="str">
        <f>HYPERLINK("http://funmeta.oebiotech.com/network/52612", "http://funmeta.oebiotech.com/network/52612")</f>
        <v>http://funmeta.oebiotech.com/network/52612</v>
      </c>
      <c r="H95" s="2" t="s">
        <v>727</v>
      </c>
      <c r="I95" s="2"/>
      <c r="J95" s="2"/>
      <c r="K95" s="2"/>
      <c r="L95" s="2" t="s">
        <v>728</v>
      </c>
      <c r="M95" s="2"/>
      <c r="N95" s="2"/>
      <c r="O95" s="2">
        <v>5462340</v>
      </c>
      <c r="P95" s="2" t="s">
        <v>729</v>
      </c>
      <c r="Q95" s="2" t="s">
        <v>730</v>
      </c>
      <c r="R95" s="2" t="s">
        <v>731</v>
      </c>
      <c r="S95" s="2" t="s">
        <v>89</v>
      </c>
      <c r="T95" s="2" t="s">
        <v>90</v>
      </c>
      <c r="U95" s="2" t="s">
        <v>99</v>
      </c>
      <c r="V95" s="2" t="s">
        <v>59</v>
      </c>
      <c r="W95" s="2">
        <v>39.9</v>
      </c>
      <c r="X95" s="2">
        <v>11.1</v>
      </c>
      <c r="Y95" s="2" t="s">
        <v>203</v>
      </c>
      <c r="Z95" s="2" t="s">
        <v>732</v>
      </c>
      <c r="AA95" s="2">
        <v>0.95825406956998804</v>
      </c>
      <c r="AB95" s="2">
        <v>3.4988317736017498</v>
      </c>
      <c r="AC95" s="2">
        <v>4017267.2830829802</v>
      </c>
      <c r="AD95" s="2">
        <v>4912764.8412041003</v>
      </c>
      <c r="AE95" s="2">
        <v>3999401.2018504902</v>
      </c>
      <c r="AF95" s="2">
        <v>4052314.9883232801</v>
      </c>
      <c r="AG95" s="2">
        <v>3962811.2655149</v>
      </c>
      <c r="AH95" s="2">
        <v>4201063.5550785</v>
      </c>
      <c r="AI95" s="2">
        <v>4283666.9201327004</v>
      </c>
      <c r="AJ95" s="2">
        <v>3604345.7675980302</v>
      </c>
      <c r="AK95" s="2">
        <v>4624557.4504664997</v>
      </c>
      <c r="AL95" s="2">
        <v>4716601.7198339803</v>
      </c>
      <c r="AM95" s="2">
        <v>5337655.6009361101</v>
      </c>
      <c r="AN95" s="2">
        <v>5031960.2545167403</v>
      </c>
      <c r="AO95" s="2">
        <v>5007760.4582513599</v>
      </c>
      <c r="AP95" s="2">
        <v>4758053.5632199096</v>
      </c>
    </row>
    <row r="96" spans="1:42" ht="14.5" x14ac:dyDescent="0.35">
      <c r="A96" s="2" t="s">
        <v>733</v>
      </c>
      <c r="B96" s="2">
        <v>654.36316538885796</v>
      </c>
      <c r="C96" s="2">
        <v>7.0839999999999996</v>
      </c>
      <c r="D96" s="2" t="s">
        <v>34</v>
      </c>
      <c r="E96" s="2" t="s">
        <v>734</v>
      </c>
      <c r="F96" s="2">
        <v>28013</v>
      </c>
      <c r="G96" s="3" t="str">
        <f>HYPERLINK("http://funmeta.oebiotech.com/network/28013", "http://funmeta.oebiotech.com/network/28013")</f>
        <v>http://funmeta.oebiotech.com/network/28013</v>
      </c>
      <c r="H96" s="2"/>
      <c r="I96" s="2"/>
      <c r="J96" s="2" t="s">
        <v>735</v>
      </c>
      <c r="K96" s="2"/>
      <c r="L96" s="2"/>
      <c r="M96" s="2"/>
      <c r="N96" s="2"/>
      <c r="O96" s="2">
        <v>134812459</v>
      </c>
      <c r="P96" s="2"/>
      <c r="Q96" s="2" t="s">
        <v>736</v>
      </c>
      <c r="R96" s="2" t="s">
        <v>737</v>
      </c>
      <c r="S96" s="2" t="s">
        <v>50</v>
      </c>
      <c r="T96" s="2" t="s">
        <v>51</v>
      </c>
      <c r="U96" s="2" t="s">
        <v>738</v>
      </c>
      <c r="V96" s="2" t="s">
        <v>42</v>
      </c>
      <c r="W96" s="2">
        <v>49.3</v>
      </c>
      <c r="X96" s="2">
        <v>55.4</v>
      </c>
      <c r="Y96" s="2" t="s">
        <v>43</v>
      </c>
      <c r="Z96" s="2" t="s">
        <v>739</v>
      </c>
      <c r="AA96" s="2">
        <v>2.9483159767650702</v>
      </c>
      <c r="AB96" s="2">
        <v>3.4660734321512501</v>
      </c>
      <c r="AC96" s="2">
        <v>1609869.0481645199</v>
      </c>
      <c r="AD96" s="2">
        <v>789369.31737429695</v>
      </c>
      <c r="AE96" s="2">
        <v>1595931.6461116101</v>
      </c>
      <c r="AF96" s="2">
        <v>1551103.7442320001</v>
      </c>
      <c r="AG96" s="2">
        <v>1743303.97826453</v>
      </c>
      <c r="AH96" s="2">
        <v>1555697.7367088101</v>
      </c>
      <c r="AI96" s="2">
        <v>1381381.7126826199</v>
      </c>
      <c r="AJ96" s="2">
        <v>1831795.47098756</v>
      </c>
      <c r="AK96" s="2">
        <v>763571.49937001802</v>
      </c>
      <c r="AL96" s="2">
        <v>988808.62112955702</v>
      </c>
      <c r="AM96" s="2">
        <v>728456.25043551403</v>
      </c>
      <c r="AN96" s="2">
        <v>785456.09477613401</v>
      </c>
      <c r="AO96" s="2">
        <v>816728.95392341597</v>
      </c>
      <c r="AP96" s="2">
        <v>653194.48461114301</v>
      </c>
    </row>
    <row r="97" spans="1:42" ht="14.5" x14ac:dyDescent="0.35">
      <c r="A97" s="2" t="s">
        <v>740</v>
      </c>
      <c r="B97" s="2">
        <v>785.49593737265798</v>
      </c>
      <c r="C97" s="2">
        <v>12.035299999999999</v>
      </c>
      <c r="D97" s="2" t="s">
        <v>34</v>
      </c>
      <c r="E97" s="2" t="s">
        <v>741</v>
      </c>
      <c r="F97" s="2">
        <v>221713</v>
      </c>
      <c r="G97" s="3" t="str">
        <f>HYPERLINK("http://funmeta.oebiotech.com/network/221713", "http://funmeta.oebiotech.com/network/221713")</f>
        <v>http://funmeta.oebiotech.com/network/221713</v>
      </c>
      <c r="H97" s="2" t="s">
        <v>742</v>
      </c>
      <c r="I97" s="2"/>
      <c r="J97" s="2"/>
      <c r="K97" s="2"/>
      <c r="L97" s="2"/>
      <c r="M97" s="2"/>
      <c r="N97" s="2"/>
      <c r="O97" s="2"/>
      <c r="P97" s="2"/>
      <c r="Q97" s="2" t="s">
        <v>743</v>
      </c>
      <c r="R97" s="2" t="s">
        <v>744</v>
      </c>
      <c r="S97" s="2" t="s">
        <v>41</v>
      </c>
      <c r="T97" s="2" t="s">
        <v>41</v>
      </c>
      <c r="U97" s="2" t="s">
        <v>41</v>
      </c>
      <c r="V97" s="2" t="s">
        <v>59</v>
      </c>
      <c r="W97" s="2">
        <v>37.6</v>
      </c>
      <c r="X97" s="2">
        <v>16</v>
      </c>
      <c r="Y97" s="2" t="s">
        <v>323</v>
      </c>
      <c r="Z97" s="2" t="s">
        <v>745</v>
      </c>
      <c r="AA97" s="2">
        <v>2.64502271135885</v>
      </c>
      <c r="AB97" s="2">
        <v>3.4402190593294599</v>
      </c>
      <c r="AC97" s="2">
        <v>10051.885845098601</v>
      </c>
      <c r="AD97" s="2">
        <v>789702.61430756305</v>
      </c>
      <c r="AE97" s="2">
        <v>10672.363234012701</v>
      </c>
      <c r="AF97" s="2">
        <v>9473.38437312526</v>
      </c>
      <c r="AG97" s="2">
        <v>10673.191660246001</v>
      </c>
      <c r="AH97" s="2">
        <v>8549.6753988184191</v>
      </c>
      <c r="AI97" s="2">
        <v>10547.161706522</v>
      </c>
      <c r="AJ97" s="2">
        <v>10395.5386978673</v>
      </c>
      <c r="AK97" s="2">
        <v>782046.72643067001</v>
      </c>
      <c r="AL97" s="2">
        <v>720100.52387377003</v>
      </c>
      <c r="AM97" s="2">
        <v>880309.10378999403</v>
      </c>
      <c r="AN97" s="2">
        <v>742520.71148601302</v>
      </c>
      <c r="AO97" s="2">
        <v>801801.12612816005</v>
      </c>
      <c r="AP97" s="2">
        <v>811437.49413676804</v>
      </c>
    </row>
    <row r="98" spans="1:42" ht="14.5" x14ac:dyDescent="0.35">
      <c r="A98" s="2" t="s">
        <v>746</v>
      </c>
      <c r="B98" s="2">
        <v>309.061407268761</v>
      </c>
      <c r="C98" s="2">
        <v>4.84418333333333</v>
      </c>
      <c r="D98" s="2" t="s">
        <v>70</v>
      </c>
      <c r="E98" s="2" t="s">
        <v>747</v>
      </c>
      <c r="F98" s="2">
        <v>144379</v>
      </c>
      <c r="G98" s="3" t="str">
        <f>HYPERLINK("http://funmeta.oebiotech.com/network/144379", "http://funmeta.oebiotech.com/network/144379")</f>
        <v>http://funmeta.oebiotech.com/network/144379</v>
      </c>
      <c r="H98" s="2" t="s">
        <v>748</v>
      </c>
      <c r="I98" s="2"/>
      <c r="J98" s="2"/>
      <c r="K98" s="2"/>
      <c r="L98" s="2"/>
      <c r="M98" s="2"/>
      <c r="N98" s="2"/>
      <c r="O98" s="2">
        <v>131831696</v>
      </c>
      <c r="P98" s="2"/>
      <c r="Q98" s="2" t="s">
        <v>749</v>
      </c>
      <c r="R98" s="2" t="s">
        <v>750</v>
      </c>
      <c r="S98" s="2" t="s">
        <v>79</v>
      </c>
      <c r="T98" s="2" t="s">
        <v>80</v>
      </c>
      <c r="U98" s="2" t="s">
        <v>81</v>
      </c>
      <c r="V98" s="2" t="s">
        <v>42</v>
      </c>
      <c r="W98" s="2">
        <v>55.2</v>
      </c>
      <c r="X98" s="2">
        <v>78</v>
      </c>
      <c r="Y98" s="2" t="s">
        <v>751</v>
      </c>
      <c r="Z98" s="2" t="s">
        <v>752</v>
      </c>
      <c r="AA98" s="2">
        <v>-0.55992659397683497</v>
      </c>
      <c r="AB98" s="2">
        <v>3.4356657474803298</v>
      </c>
      <c r="AC98" s="2">
        <v>3060898.6269017998</v>
      </c>
      <c r="AD98" s="2">
        <v>2266465.0307412101</v>
      </c>
      <c r="AE98" s="2">
        <v>3151497.7493892699</v>
      </c>
      <c r="AF98" s="2">
        <v>2966598.4058206701</v>
      </c>
      <c r="AG98" s="2">
        <v>3061340.5989508601</v>
      </c>
      <c r="AH98" s="2">
        <v>2984752.6909568701</v>
      </c>
      <c r="AI98" s="2">
        <v>2979434.7236671001</v>
      </c>
      <c r="AJ98" s="2">
        <v>3221767.5926260599</v>
      </c>
      <c r="AK98" s="2">
        <v>2228867.2399278702</v>
      </c>
      <c r="AL98" s="2">
        <v>2157168.02542153</v>
      </c>
      <c r="AM98" s="2">
        <v>2435365.5089661102</v>
      </c>
      <c r="AN98" s="2">
        <v>2230267.00274189</v>
      </c>
      <c r="AO98" s="2">
        <v>2286447.9763416401</v>
      </c>
      <c r="AP98" s="2">
        <v>2260674.4310482098</v>
      </c>
    </row>
    <row r="99" spans="1:42" ht="14.5" x14ac:dyDescent="0.35">
      <c r="A99" s="2" t="s">
        <v>753</v>
      </c>
      <c r="B99" s="2">
        <v>342.11576750970403</v>
      </c>
      <c r="C99" s="2">
        <v>1.9221666666666699</v>
      </c>
      <c r="D99" s="2" t="s">
        <v>34</v>
      </c>
      <c r="E99" s="2" t="s">
        <v>754</v>
      </c>
      <c r="F99" s="2">
        <v>57246</v>
      </c>
      <c r="G99" s="3" t="str">
        <f>HYPERLINK("http://funmeta.oebiotech.com/network/57246", "http://funmeta.oebiotech.com/network/57246")</f>
        <v>http://funmeta.oebiotech.com/network/57246</v>
      </c>
      <c r="H99" s="2" t="s">
        <v>755</v>
      </c>
      <c r="I99" s="2">
        <v>88883</v>
      </c>
      <c r="J99" s="2"/>
      <c r="K99" s="2">
        <v>175126</v>
      </c>
      <c r="L99" s="2"/>
      <c r="M99" s="2"/>
      <c r="N99" s="2"/>
      <c r="O99" s="2">
        <v>131751353</v>
      </c>
      <c r="P99" s="2"/>
      <c r="Q99" s="2" t="s">
        <v>756</v>
      </c>
      <c r="R99" s="2" t="s">
        <v>757</v>
      </c>
      <c r="S99" s="2" t="s">
        <v>115</v>
      </c>
      <c r="T99" s="2" t="s">
        <v>758</v>
      </c>
      <c r="U99" s="2" t="s">
        <v>759</v>
      </c>
      <c r="V99" s="2" t="s">
        <v>59</v>
      </c>
      <c r="W99" s="2">
        <v>39.299999999999997</v>
      </c>
      <c r="X99" s="2">
        <v>11.2</v>
      </c>
      <c r="Y99" s="2" t="s">
        <v>440</v>
      </c>
      <c r="Z99" s="2" t="s">
        <v>760</v>
      </c>
      <c r="AA99" s="2">
        <v>-7.9469698713958596</v>
      </c>
      <c r="AB99" s="2">
        <v>3.3735053858196302</v>
      </c>
      <c r="AC99" s="2">
        <v>767266.85421933397</v>
      </c>
      <c r="AD99" s="2">
        <v>1517405.58647679</v>
      </c>
      <c r="AE99" s="2">
        <v>751377.98111646296</v>
      </c>
      <c r="AF99" s="2">
        <v>785175.16542675998</v>
      </c>
      <c r="AG99" s="2">
        <v>767971.71476153703</v>
      </c>
      <c r="AH99" s="2">
        <v>720426.30261578702</v>
      </c>
      <c r="AI99" s="2">
        <v>766411.10482351598</v>
      </c>
      <c r="AJ99" s="2">
        <v>812238.85657194199</v>
      </c>
      <c r="AK99" s="2">
        <v>1532662.01123607</v>
      </c>
      <c r="AL99" s="2">
        <v>1511210.30839648</v>
      </c>
      <c r="AM99" s="2">
        <v>1537823.89956391</v>
      </c>
      <c r="AN99" s="2">
        <v>1555179.53904127</v>
      </c>
      <c r="AO99" s="2">
        <v>1427886.5493563199</v>
      </c>
      <c r="AP99" s="2">
        <v>1539671.2112666699</v>
      </c>
    </row>
    <row r="100" spans="1:42" ht="14.5" x14ac:dyDescent="0.35">
      <c r="A100" s="2" t="s">
        <v>761</v>
      </c>
      <c r="B100" s="2">
        <v>373.150048395726</v>
      </c>
      <c r="C100" s="2">
        <v>4.4886999999999997</v>
      </c>
      <c r="D100" s="2" t="s">
        <v>70</v>
      </c>
      <c r="E100" s="2" t="s">
        <v>762</v>
      </c>
      <c r="F100" s="2">
        <v>210233</v>
      </c>
      <c r="G100" s="3" t="str">
        <f>HYPERLINK("http://funmeta.oebiotech.com/network/210233", "http://funmeta.oebiotech.com/network/210233")</f>
        <v>http://funmeta.oebiotech.com/network/210233</v>
      </c>
      <c r="H100" s="2" t="s">
        <v>763</v>
      </c>
      <c r="I100" s="2"/>
      <c r="J100" s="2"/>
      <c r="K100" s="2"/>
      <c r="L100" s="2"/>
      <c r="M100" s="2"/>
      <c r="N100" s="2"/>
      <c r="O100" s="2">
        <v>85059776</v>
      </c>
      <c r="P100" s="2"/>
      <c r="Q100" s="2" t="s">
        <v>764</v>
      </c>
      <c r="R100" s="2" t="s">
        <v>765</v>
      </c>
      <c r="S100" s="2" t="s">
        <v>50</v>
      </c>
      <c r="T100" s="2" t="s">
        <v>229</v>
      </c>
      <c r="U100" s="2" t="s">
        <v>766</v>
      </c>
      <c r="V100" s="2" t="s">
        <v>42</v>
      </c>
      <c r="W100" s="2">
        <v>52.4</v>
      </c>
      <c r="X100" s="2">
        <v>66.400000000000006</v>
      </c>
      <c r="Y100" s="2" t="s">
        <v>286</v>
      </c>
      <c r="Z100" s="2" t="s">
        <v>767</v>
      </c>
      <c r="AA100" s="2">
        <v>-1.08967994266743</v>
      </c>
      <c r="AB100" s="2">
        <v>3.37047311490337</v>
      </c>
      <c r="AC100" s="2">
        <v>2122438.70501883</v>
      </c>
      <c r="AD100" s="2">
        <v>1366554.46267094</v>
      </c>
      <c r="AE100" s="2">
        <v>2063894.31900744</v>
      </c>
      <c r="AF100" s="2">
        <v>2152407.77566871</v>
      </c>
      <c r="AG100" s="2">
        <v>2057087.06936633</v>
      </c>
      <c r="AH100" s="2">
        <v>2046997.4964101301</v>
      </c>
      <c r="AI100" s="2">
        <v>2232121.8367992402</v>
      </c>
      <c r="AJ100" s="2">
        <v>2182123.7328611398</v>
      </c>
      <c r="AK100" s="2">
        <v>1372425.8864951299</v>
      </c>
      <c r="AL100" s="2">
        <v>1326607.2034217599</v>
      </c>
      <c r="AM100" s="2">
        <v>1410318.6322111301</v>
      </c>
      <c r="AN100" s="2">
        <v>1296782.1061477</v>
      </c>
      <c r="AO100" s="2">
        <v>1368817.17463173</v>
      </c>
      <c r="AP100" s="2">
        <v>1424375.77311819</v>
      </c>
    </row>
    <row r="101" spans="1:42" ht="14.5" x14ac:dyDescent="0.35">
      <c r="A101" s="2" t="s">
        <v>768</v>
      </c>
      <c r="B101" s="2">
        <v>851.53619481823</v>
      </c>
      <c r="C101" s="2">
        <v>12.0231833333333</v>
      </c>
      <c r="D101" s="2" t="s">
        <v>34</v>
      </c>
      <c r="E101" s="2" t="s">
        <v>769</v>
      </c>
      <c r="F101" s="2">
        <v>234242</v>
      </c>
      <c r="G101" s="3" t="str">
        <f>HYPERLINK("http://funmeta.oebiotech.com/network/234242", "http://funmeta.oebiotech.com/network/234242")</f>
        <v>http://funmeta.oebiotech.com/network/234242</v>
      </c>
      <c r="H101" s="2" t="s">
        <v>770</v>
      </c>
      <c r="I101" s="2"/>
      <c r="J101" s="2"/>
      <c r="K101" s="2"/>
      <c r="L101" s="2"/>
      <c r="M101" s="2"/>
      <c r="N101" s="2"/>
      <c r="O101" s="2"/>
      <c r="P101" s="2"/>
      <c r="Q101" s="2" t="s">
        <v>771</v>
      </c>
      <c r="R101" s="2" t="s">
        <v>772</v>
      </c>
      <c r="S101" s="2" t="s">
        <v>41</v>
      </c>
      <c r="T101" s="2" t="s">
        <v>41</v>
      </c>
      <c r="U101" s="2" t="s">
        <v>41</v>
      </c>
      <c r="V101" s="2" t="s">
        <v>59</v>
      </c>
      <c r="W101" s="2">
        <v>37</v>
      </c>
      <c r="X101" s="2">
        <v>4.28</v>
      </c>
      <c r="Y101" s="2" t="s">
        <v>43</v>
      </c>
      <c r="Z101" s="2" t="s">
        <v>773</v>
      </c>
      <c r="AA101" s="2">
        <v>-3.6698479296357598</v>
      </c>
      <c r="AB101" s="2">
        <v>3.3583608777667702</v>
      </c>
      <c r="AC101" s="2">
        <v>57231.496760956201</v>
      </c>
      <c r="AD101" s="2">
        <v>801788.15765403595</v>
      </c>
      <c r="AE101" s="2">
        <v>55789.966862658097</v>
      </c>
      <c r="AF101" s="2">
        <v>59445.0702178879</v>
      </c>
      <c r="AG101" s="2">
        <v>57933.145790930103</v>
      </c>
      <c r="AH101" s="2">
        <v>53156.478328263998</v>
      </c>
      <c r="AI101" s="2">
        <v>61902.9581872501</v>
      </c>
      <c r="AJ101" s="2">
        <v>55161.361178746803</v>
      </c>
      <c r="AK101" s="2">
        <v>789184.66928228503</v>
      </c>
      <c r="AL101" s="2">
        <v>701243.27939545095</v>
      </c>
      <c r="AM101" s="2">
        <v>890863.90608945605</v>
      </c>
      <c r="AN101" s="2">
        <v>778535.36756540602</v>
      </c>
      <c r="AO101" s="2">
        <v>787958.37526564603</v>
      </c>
      <c r="AP101" s="2">
        <v>862943.34832597396</v>
      </c>
    </row>
    <row r="102" spans="1:42" ht="14.5" x14ac:dyDescent="0.35">
      <c r="A102" s="2" t="s">
        <v>774</v>
      </c>
      <c r="B102" s="2">
        <v>727.35437131450897</v>
      </c>
      <c r="C102" s="2">
        <v>6.4248000000000003</v>
      </c>
      <c r="D102" s="2" t="s">
        <v>70</v>
      </c>
      <c r="E102" s="2" t="s">
        <v>775</v>
      </c>
      <c r="F102" s="2">
        <v>57090</v>
      </c>
      <c r="G102" s="3" t="str">
        <f>HYPERLINK("http://funmeta.oebiotech.com/network/57090", "http://funmeta.oebiotech.com/network/57090")</f>
        <v>http://funmeta.oebiotech.com/network/57090</v>
      </c>
      <c r="H102" s="2" t="s">
        <v>776</v>
      </c>
      <c r="I102" s="2">
        <v>88743</v>
      </c>
      <c r="J102" s="2"/>
      <c r="K102" s="2"/>
      <c r="L102" s="2"/>
      <c r="M102" s="2"/>
      <c r="N102" s="2"/>
      <c r="O102" s="2">
        <v>85091334</v>
      </c>
      <c r="P102" s="2" t="s">
        <v>777</v>
      </c>
      <c r="Q102" s="2" t="s">
        <v>778</v>
      </c>
      <c r="R102" s="2" t="s">
        <v>779</v>
      </c>
      <c r="S102" s="2" t="s">
        <v>50</v>
      </c>
      <c r="T102" s="2" t="s">
        <v>124</v>
      </c>
      <c r="U102" s="2" t="s">
        <v>567</v>
      </c>
      <c r="V102" s="2" t="s">
        <v>42</v>
      </c>
      <c r="W102" s="2">
        <v>49.2</v>
      </c>
      <c r="X102" s="2">
        <v>51</v>
      </c>
      <c r="Y102" s="2" t="s">
        <v>408</v>
      </c>
      <c r="Z102" s="2" t="s">
        <v>780</v>
      </c>
      <c r="AA102" s="2">
        <v>-0.400584700456392</v>
      </c>
      <c r="AB102" s="2">
        <v>3.3282756234626598</v>
      </c>
      <c r="AC102" s="2">
        <v>1308158.7834785201</v>
      </c>
      <c r="AD102" s="2">
        <v>574355.97218080505</v>
      </c>
      <c r="AE102" s="2">
        <v>1388679.2805900001</v>
      </c>
      <c r="AF102" s="2">
        <v>1216037.66833221</v>
      </c>
      <c r="AG102" s="2">
        <v>1345662.23464639</v>
      </c>
      <c r="AH102" s="2">
        <v>1248454.56762628</v>
      </c>
      <c r="AI102" s="2">
        <v>1251819.35947532</v>
      </c>
      <c r="AJ102" s="2">
        <v>1398299.5902009199</v>
      </c>
      <c r="AK102" s="2">
        <v>565309.66837482899</v>
      </c>
      <c r="AL102" s="2">
        <v>573016.20351049199</v>
      </c>
      <c r="AM102" s="2">
        <v>610435.27950355795</v>
      </c>
      <c r="AN102" s="2">
        <v>565120.68675172003</v>
      </c>
      <c r="AO102" s="2">
        <v>587358.35424384102</v>
      </c>
      <c r="AP102" s="2">
        <v>544895.64070039103</v>
      </c>
    </row>
    <row r="103" spans="1:42" ht="14.5" x14ac:dyDescent="0.35">
      <c r="A103" s="2" t="s">
        <v>781</v>
      </c>
      <c r="B103" s="2">
        <v>631.23929160549505</v>
      </c>
      <c r="C103" s="2">
        <v>7.3939333333333304</v>
      </c>
      <c r="D103" s="2" t="s">
        <v>70</v>
      </c>
      <c r="E103" s="4" t="s">
        <v>782</v>
      </c>
      <c r="F103" s="2">
        <v>203876</v>
      </c>
      <c r="G103" s="3" t="str">
        <f>HYPERLINK("http://funmeta.oebiotech.com/network/203876", "http://funmeta.oebiotech.com/network/203876")</f>
        <v>http://funmeta.oebiotech.com/network/203876</v>
      </c>
      <c r="H103" s="2" t="s">
        <v>783</v>
      </c>
      <c r="I103" s="2"/>
      <c r="J103" s="2"/>
      <c r="K103" s="2"/>
      <c r="L103" s="2"/>
      <c r="M103" s="2"/>
      <c r="N103" s="2"/>
      <c r="O103" s="2">
        <v>4357887</v>
      </c>
      <c r="P103" s="2"/>
      <c r="Q103" s="2" t="s">
        <v>784</v>
      </c>
      <c r="R103" s="2" t="s">
        <v>785</v>
      </c>
      <c r="S103" s="2" t="s">
        <v>50</v>
      </c>
      <c r="T103" s="2" t="s">
        <v>201</v>
      </c>
      <c r="U103" s="2" t="s">
        <v>241</v>
      </c>
      <c r="V103" s="2" t="s">
        <v>42</v>
      </c>
      <c r="W103" s="2">
        <v>54.5</v>
      </c>
      <c r="X103" s="2">
        <v>80</v>
      </c>
      <c r="Y103" s="2" t="s">
        <v>408</v>
      </c>
      <c r="Z103" s="2" t="s">
        <v>786</v>
      </c>
      <c r="AA103" s="2">
        <v>-0.55147643665678903</v>
      </c>
      <c r="AB103" s="2">
        <v>3.3207015322875799</v>
      </c>
      <c r="AC103" s="2">
        <v>971809.93630327797</v>
      </c>
      <c r="AD103" s="2">
        <v>235288.61683020601</v>
      </c>
      <c r="AE103" s="2">
        <v>977790.86148060299</v>
      </c>
      <c r="AF103" s="2">
        <v>928857.57018972503</v>
      </c>
      <c r="AG103" s="2">
        <v>1007819.98188031</v>
      </c>
      <c r="AH103" s="2">
        <v>862116.96387459</v>
      </c>
      <c r="AI103" s="2">
        <v>909456.51127927296</v>
      </c>
      <c r="AJ103" s="2">
        <v>1144817.72911517</v>
      </c>
      <c r="AK103" s="2">
        <v>312845.26517634199</v>
      </c>
      <c r="AL103" s="2">
        <v>300147.10190907703</v>
      </c>
      <c r="AM103" s="2">
        <v>203002.43727137201</v>
      </c>
      <c r="AN103" s="2">
        <v>199968.086850169</v>
      </c>
      <c r="AO103" s="2">
        <v>221288.64148875399</v>
      </c>
      <c r="AP103" s="2">
        <v>174480.16828552401</v>
      </c>
    </row>
    <row r="104" spans="1:42" ht="14.5" x14ac:dyDescent="0.35">
      <c r="A104" s="2" t="s">
        <v>787</v>
      </c>
      <c r="B104" s="2">
        <v>527.28610460463096</v>
      </c>
      <c r="C104" s="2">
        <v>6.1053333333333297</v>
      </c>
      <c r="D104" s="2" t="s">
        <v>70</v>
      </c>
      <c r="E104" s="2" t="s">
        <v>788</v>
      </c>
      <c r="F104" s="2">
        <v>18027</v>
      </c>
      <c r="G104" s="3" t="str">
        <f>HYPERLINK("http://funmeta.oebiotech.com/network/18027", "http://funmeta.oebiotech.com/network/18027")</f>
        <v>http://funmeta.oebiotech.com/network/18027</v>
      </c>
      <c r="H104" s="2"/>
      <c r="I104" s="2"/>
      <c r="J104" s="2" t="s">
        <v>789</v>
      </c>
      <c r="K104" s="2"/>
      <c r="L104" s="2"/>
      <c r="M104" s="2"/>
      <c r="N104" s="2"/>
      <c r="O104" s="2">
        <v>101740647</v>
      </c>
      <c r="P104" s="2"/>
      <c r="Q104" s="2" t="s">
        <v>790</v>
      </c>
      <c r="R104" s="2" t="s">
        <v>791</v>
      </c>
      <c r="S104" s="2" t="s">
        <v>50</v>
      </c>
      <c r="T104" s="2" t="s">
        <v>229</v>
      </c>
      <c r="U104" s="2" t="s">
        <v>766</v>
      </c>
      <c r="V104" s="2" t="s">
        <v>42</v>
      </c>
      <c r="W104" s="2">
        <v>52.2</v>
      </c>
      <c r="X104" s="2">
        <v>66.900000000000006</v>
      </c>
      <c r="Y104" s="2" t="s">
        <v>792</v>
      </c>
      <c r="Z104" s="2" t="s">
        <v>793</v>
      </c>
      <c r="AA104" s="2">
        <v>-0.126009605542308</v>
      </c>
      <c r="AB104" s="2">
        <v>3.29510960043616</v>
      </c>
      <c r="AC104" s="2">
        <v>3586674.6943962499</v>
      </c>
      <c r="AD104" s="2">
        <v>2847297.1370967701</v>
      </c>
      <c r="AE104" s="2">
        <v>3637922.4627498402</v>
      </c>
      <c r="AF104" s="2">
        <v>3429307.3955001798</v>
      </c>
      <c r="AG104" s="2">
        <v>3597192.00538594</v>
      </c>
      <c r="AH104" s="2">
        <v>3529719.28121003</v>
      </c>
      <c r="AI104" s="2">
        <v>3573968.2657383499</v>
      </c>
      <c r="AJ104" s="2">
        <v>3751938.7557931598</v>
      </c>
      <c r="AK104" s="2">
        <v>2758033.0957303201</v>
      </c>
      <c r="AL104" s="2">
        <v>2979428.6596312402</v>
      </c>
      <c r="AM104" s="2">
        <v>3003513.9024501899</v>
      </c>
      <c r="AN104" s="2">
        <v>2804752.17460929</v>
      </c>
      <c r="AO104" s="2">
        <v>2814127.5319578499</v>
      </c>
      <c r="AP104" s="2">
        <v>2723927.45820176</v>
      </c>
    </row>
    <row r="105" spans="1:42" ht="14.5" x14ac:dyDescent="0.35">
      <c r="A105" s="2" t="s">
        <v>794</v>
      </c>
      <c r="B105" s="2">
        <v>439.07499011316202</v>
      </c>
      <c r="C105" s="2">
        <v>0.73909999999999998</v>
      </c>
      <c r="D105" s="2" t="s">
        <v>70</v>
      </c>
      <c r="E105" s="2" t="s">
        <v>795</v>
      </c>
      <c r="F105" s="2">
        <v>201642</v>
      </c>
      <c r="G105" s="3" t="str">
        <f>HYPERLINK("http://funmeta.oebiotech.com/network/201642", "http://funmeta.oebiotech.com/network/201642")</f>
        <v>http://funmeta.oebiotech.com/network/201642</v>
      </c>
      <c r="H105" s="2" t="s">
        <v>796</v>
      </c>
      <c r="I105" s="2"/>
      <c r="J105" s="2"/>
      <c r="K105" s="2"/>
      <c r="L105" s="2"/>
      <c r="M105" s="2"/>
      <c r="N105" s="2"/>
      <c r="O105" s="2">
        <v>667520</v>
      </c>
      <c r="P105" s="2"/>
      <c r="Q105" s="2" t="s">
        <v>797</v>
      </c>
      <c r="R105" s="2" t="s">
        <v>798</v>
      </c>
      <c r="S105" s="2" t="s">
        <v>41</v>
      </c>
      <c r="T105" s="2" t="s">
        <v>41</v>
      </c>
      <c r="U105" s="2" t="s">
        <v>41</v>
      </c>
      <c r="V105" s="2" t="s">
        <v>59</v>
      </c>
      <c r="W105" s="2">
        <v>38.299999999999997</v>
      </c>
      <c r="X105" s="2">
        <v>0.41099999999999998</v>
      </c>
      <c r="Y105" s="2" t="s">
        <v>560</v>
      </c>
      <c r="Z105" s="2" t="s">
        <v>799</v>
      </c>
      <c r="AA105" s="2">
        <v>-3.40218295083071</v>
      </c>
      <c r="AB105" s="2">
        <v>3.27809893445969</v>
      </c>
      <c r="AC105" s="2">
        <v>1282029.8275841901</v>
      </c>
      <c r="AD105" s="2">
        <v>2015772.03415121</v>
      </c>
      <c r="AE105" s="2">
        <v>1098271.76786991</v>
      </c>
      <c r="AF105" s="2">
        <v>1242389.19233716</v>
      </c>
      <c r="AG105" s="2">
        <v>1307924.0534513299</v>
      </c>
      <c r="AH105" s="2">
        <v>1366648.11465211</v>
      </c>
      <c r="AI105" s="2">
        <v>1483318.4298642401</v>
      </c>
      <c r="AJ105" s="2">
        <v>1193627.4073304101</v>
      </c>
      <c r="AK105" s="2">
        <v>1914561.70423318</v>
      </c>
      <c r="AL105" s="2">
        <v>2164233.1898452402</v>
      </c>
      <c r="AM105" s="2">
        <v>1913647.5442587</v>
      </c>
      <c r="AN105" s="2">
        <v>1964053.3004506801</v>
      </c>
      <c r="AO105" s="2">
        <v>2092506.3738919101</v>
      </c>
      <c r="AP105" s="2">
        <v>2045630.09222756</v>
      </c>
    </row>
    <row r="106" spans="1:42" ht="14.5" x14ac:dyDescent="0.35">
      <c r="A106" s="2" t="s">
        <v>800</v>
      </c>
      <c r="B106" s="2">
        <v>1044.70279196715</v>
      </c>
      <c r="C106" s="2">
        <v>12.881083333333301</v>
      </c>
      <c r="D106" s="2" t="s">
        <v>34</v>
      </c>
      <c r="E106" s="2" t="s">
        <v>801</v>
      </c>
      <c r="F106" s="2">
        <v>241832</v>
      </c>
      <c r="G106" s="3" t="str">
        <f>HYPERLINK("http://funmeta.oebiotech.com/network/241832", "http://funmeta.oebiotech.com/network/241832")</f>
        <v>http://funmeta.oebiotech.com/network/241832</v>
      </c>
      <c r="H106" s="2" t="s">
        <v>802</v>
      </c>
      <c r="I106" s="2"/>
      <c r="J106" s="2"/>
      <c r="K106" s="2"/>
      <c r="L106" s="2"/>
      <c r="M106" s="2"/>
      <c r="N106" s="2"/>
      <c r="O106" s="2"/>
      <c r="P106" s="2"/>
      <c r="Q106" s="2" t="s">
        <v>803</v>
      </c>
      <c r="R106" s="2" t="s">
        <v>804</v>
      </c>
      <c r="S106" s="2" t="s">
        <v>41</v>
      </c>
      <c r="T106" s="2" t="s">
        <v>41</v>
      </c>
      <c r="U106" s="2" t="s">
        <v>41</v>
      </c>
      <c r="V106" s="2" t="s">
        <v>42</v>
      </c>
      <c r="W106" s="2">
        <v>51.7</v>
      </c>
      <c r="X106" s="2">
        <v>71.8</v>
      </c>
      <c r="Y106" s="2" t="s">
        <v>470</v>
      </c>
      <c r="Z106" s="2" t="s">
        <v>805</v>
      </c>
      <c r="AA106" s="2">
        <v>-1.7076483295311</v>
      </c>
      <c r="AB106" s="2">
        <v>3.2734402141774801</v>
      </c>
      <c r="AC106" s="2">
        <v>2298.8877942952299</v>
      </c>
      <c r="AD106" s="2">
        <v>707447.46184798202</v>
      </c>
      <c r="AE106" s="2">
        <v>12179.271524005</v>
      </c>
      <c r="AF106" s="2">
        <v>528.79361081837203</v>
      </c>
      <c r="AG106" s="2">
        <v>152.44010488207601</v>
      </c>
      <c r="AH106" s="2">
        <v>463.344979744976</v>
      </c>
      <c r="AI106" s="2">
        <v>152.45091125017399</v>
      </c>
      <c r="AJ106" s="2">
        <v>317.025635070791</v>
      </c>
      <c r="AK106" s="2">
        <v>678048.76082553796</v>
      </c>
      <c r="AL106" s="2">
        <v>669419.66355668497</v>
      </c>
      <c r="AM106" s="2">
        <v>765352.73787921004</v>
      </c>
      <c r="AN106" s="2">
        <v>687989.31940117804</v>
      </c>
      <c r="AO106" s="2">
        <v>684934.19775368704</v>
      </c>
      <c r="AP106" s="2">
        <v>758940.09167159698</v>
      </c>
    </row>
    <row r="107" spans="1:42" ht="14.5" x14ac:dyDescent="0.35">
      <c r="A107" s="2" t="s">
        <v>806</v>
      </c>
      <c r="B107" s="2">
        <v>699.355406640213</v>
      </c>
      <c r="C107" s="2">
        <v>9.6350833333333306</v>
      </c>
      <c r="D107" s="2" t="s">
        <v>34</v>
      </c>
      <c r="E107" s="2" t="s">
        <v>807</v>
      </c>
      <c r="F107" s="2">
        <v>57092</v>
      </c>
      <c r="G107" s="3" t="str">
        <f>HYPERLINK("http://funmeta.oebiotech.com/network/57092", "http://funmeta.oebiotech.com/network/57092")</f>
        <v>http://funmeta.oebiotech.com/network/57092</v>
      </c>
      <c r="H107" s="2" t="s">
        <v>808</v>
      </c>
      <c r="I107" s="2"/>
      <c r="J107" s="2"/>
      <c r="K107" s="2"/>
      <c r="L107" s="2"/>
      <c r="M107" s="2"/>
      <c r="N107" s="2"/>
      <c r="O107" s="2">
        <v>78200850</v>
      </c>
      <c r="P107" s="2" t="s">
        <v>809</v>
      </c>
      <c r="Q107" s="2" t="s">
        <v>810</v>
      </c>
      <c r="R107" s="2" t="s">
        <v>811</v>
      </c>
      <c r="S107" s="2" t="s">
        <v>50</v>
      </c>
      <c r="T107" s="2" t="s">
        <v>124</v>
      </c>
      <c r="U107" s="2" t="s">
        <v>567</v>
      </c>
      <c r="V107" s="2" t="s">
        <v>59</v>
      </c>
      <c r="W107" s="2">
        <v>44.9</v>
      </c>
      <c r="X107" s="2">
        <v>37.299999999999997</v>
      </c>
      <c r="Y107" s="2" t="s">
        <v>394</v>
      </c>
      <c r="Z107" s="2" t="s">
        <v>812</v>
      </c>
      <c r="AA107" s="2">
        <v>-4.6197338598079396</v>
      </c>
      <c r="AB107" s="2">
        <v>3.26787872078549</v>
      </c>
      <c r="AC107" s="2">
        <v>2136658.8204290401</v>
      </c>
      <c r="AD107" s="2">
        <v>1432055.2852338101</v>
      </c>
      <c r="AE107" s="2">
        <v>2165485.6785796299</v>
      </c>
      <c r="AF107" s="2">
        <v>2119483.2080823798</v>
      </c>
      <c r="AG107" s="2">
        <v>2159372.7692113998</v>
      </c>
      <c r="AH107" s="2">
        <v>2102695.4003849099</v>
      </c>
      <c r="AI107" s="2">
        <v>2118086.3181430199</v>
      </c>
      <c r="AJ107" s="2">
        <v>2154829.5481729298</v>
      </c>
      <c r="AK107" s="2">
        <v>1373063.0947028601</v>
      </c>
      <c r="AL107" s="2">
        <v>1514320.4444861701</v>
      </c>
      <c r="AM107" s="2">
        <v>1450801.0784325199</v>
      </c>
      <c r="AN107" s="2">
        <v>1445645.3649915</v>
      </c>
      <c r="AO107" s="2">
        <v>1439857.8754019099</v>
      </c>
      <c r="AP107" s="2">
        <v>1368643.85338792</v>
      </c>
    </row>
    <row r="108" spans="1:42" ht="14.5" x14ac:dyDescent="0.35">
      <c r="A108" s="2" t="s">
        <v>813</v>
      </c>
      <c r="B108" s="2">
        <v>834.33391000027802</v>
      </c>
      <c r="C108" s="2">
        <v>8.8018000000000001</v>
      </c>
      <c r="D108" s="2" t="s">
        <v>70</v>
      </c>
      <c r="E108" s="2" t="s">
        <v>814</v>
      </c>
      <c r="F108" s="2">
        <v>208797</v>
      </c>
      <c r="G108" s="3" t="str">
        <f>HYPERLINK("http://funmeta.oebiotech.com/network/208797", "http://funmeta.oebiotech.com/network/208797")</f>
        <v>http://funmeta.oebiotech.com/network/208797</v>
      </c>
      <c r="H108" s="2" t="s">
        <v>815</v>
      </c>
      <c r="I108" s="2"/>
      <c r="J108" s="2"/>
      <c r="K108" s="2"/>
      <c r="L108" s="2"/>
      <c r="M108" s="2"/>
      <c r="N108" s="2"/>
      <c r="O108" s="2">
        <v>23144079</v>
      </c>
      <c r="P108" s="2"/>
      <c r="Q108" s="2" t="s">
        <v>816</v>
      </c>
      <c r="R108" s="2" t="s">
        <v>817</v>
      </c>
      <c r="S108" s="2" t="s">
        <v>41</v>
      </c>
      <c r="T108" s="2" t="s">
        <v>41</v>
      </c>
      <c r="U108" s="2" t="s">
        <v>41</v>
      </c>
      <c r="V108" s="2" t="s">
        <v>59</v>
      </c>
      <c r="W108" s="2">
        <v>47.1</v>
      </c>
      <c r="X108" s="2">
        <v>39.9</v>
      </c>
      <c r="Y108" s="2" t="s">
        <v>751</v>
      </c>
      <c r="Z108" s="2" t="s">
        <v>818</v>
      </c>
      <c r="AA108" s="2">
        <v>-0.39088359565193798</v>
      </c>
      <c r="AB108" s="2">
        <v>3.2328178590025098</v>
      </c>
      <c r="AC108" s="2">
        <v>2417735.16992772</v>
      </c>
      <c r="AD108" s="2">
        <v>1702497.37431564</v>
      </c>
      <c r="AE108" s="2">
        <v>2523375.1236160598</v>
      </c>
      <c r="AF108" s="2">
        <v>2339691.9533292102</v>
      </c>
      <c r="AG108" s="2">
        <v>2233968.1888175602</v>
      </c>
      <c r="AH108" s="2">
        <v>2357721.7739988798</v>
      </c>
      <c r="AI108" s="2">
        <v>2457380.9802688998</v>
      </c>
      <c r="AJ108" s="2">
        <v>2594272.9995357301</v>
      </c>
      <c r="AK108" s="2">
        <v>1764510.54132832</v>
      </c>
      <c r="AL108" s="2">
        <v>1652159.7488722501</v>
      </c>
      <c r="AM108" s="2">
        <v>1744227.42059257</v>
      </c>
      <c r="AN108" s="2">
        <v>1760660.0349544601</v>
      </c>
      <c r="AO108" s="2">
        <v>1538955.9166499099</v>
      </c>
      <c r="AP108" s="2">
        <v>1754470.58349631</v>
      </c>
    </row>
    <row r="109" spans="1:42" ht="14.5" x14ac:dyDescent="0.35">
      <c r="A109" s="2" t="s">
        <v>819</v>
      </c>
      <c r="B109" s="2">
        <v>609.14589690274204</v>
      </c>
      <c r="C109" s="2">
        <v>4.6130500000000003</v>
      </c>
      <c r="D109" s="2" t="s">
        <v>70</v>
      </c>
      <c r="E109" s="2" t="s">
        <v>820</v>
      </c>
      <c r="F109" s="2">
        <v>32185</v>
      </c>
      <c r="G109" s="3" t="str">
        <f>HYPERLINK("http://funmeta.oebiotech.com/network/32185", "http://funmeta.oebiotech.com/network/32185")</f>
        <v>http://funmeta.oebiotech.com/network/32185</v>
      </c>
      <c r="H109" s="2" t="s">
        <v>821</v>
      </c>
      <c r="I109" s="2">
        <v>3677</v>
      </c>
      <c r="J109" s="2" t="s">
        <v>822</v>
      </c>
      <c r="K109" s="2">
        <v>28527</v>
      </c>
      <c r="L109" s="2" t="s">
        <v>823</v>
      </c>
      <c r="M109" s="2" t="s">
        <v>824</v>
      </c>
      <c r="N109" s="2" t="s">
        <v>825</v>
      </c>
      <c r="O109" s="2">
        <v>5280805</v>
      </c>
      <c r="P109" s="2" t="s">
        <v>826</v>
      </c>
      <c r="Q109" s="2" t="s">
        <v>827</v>
      </c>
      <c r="R109" s="2" t="s">
        <v>828</v>
      </c>
      <c r="S109" s="2" t="s">
        <v>115</v>
      </c>
      <c r="T109" s="2" t="s">
        <v>139</v>
      </c>
      <c r="U109" s="2" t="s">
        <v>140</v>
      </c>
      <c r="V109" s="2" t="s">
        <v>42</v>
      </c>
      <c r="W109" s="2">
        <v>58</v>
      </c>
      <c r="X109" s="2">
        <v>91.1</v>
      </c>
      <c r="Y109" s="2" t="s">
        <v>118</v>
      </c>
      <c r="Z109" s="2" t="s">
        <v>829</v>
      </c>
      <c r="AA109" s="2">
        <v>-0.34670022799869799</v>
      </c>
      <c r="AB109" s="2">
        <v>3.2259813400108199</v>
      </c>
      <c r="AC109" s="2">
        <v>13966134.7767877</v>
      </c>
      <c r="AD109" s="2">
        <v>12942956.966423901</v>
      </c>
      <c r="AE109" s="2">
        <v>13475412.137318101</v>
      </c>
      <c r="AF109" s="2">
        <v>14329792.580227699</v>
      </c>
      <c r="AG109" s="2">
        <v>13578750.9830922</v>
      </c>
      <c r="AH109" s="2">
        <v>13183269.620234299</v>
      </c>
      <c r="AI109" s="2">
        <v>13955267.123347601</v>
      </c>
      <c r="AJ109" s="2">
        <v>15274316.2165062</v>
      </c>
      <c r="AK109" s="2">
        <v>12806194.569961101</v>
      </c>
      <c r="AL109" s="2">
        <v>12995001.0110655</v>
      </c>
      <c r="AM109" s="2">
        <v>13673006.820804199</v>
      </c>
      <c r="AN109" s="2">
        <v>12730990.379097</v>
      </c>
      <c r="AO109" s="2">
        <v>12300642.890218399</v>
      </c>
      <c r="AP109" s="2">
        <v>13151906.127397301</v>
      </c>
    </row>
    <row r="110" spans="1:42" ht="14.5" x14ac:dyDescent="0.35">
      <c r="A110" s="2" t="s">
        <v>830</v>
      </c>
      <c r="B110" s="2">
        <v>650.32918730770996</v>
      </c>
      <c r="C110" s="2">
        <v>6.5719000000000003</v>
      </c>
      <c r="D110" s="2" t="s">
        <v>34</v>
      </c>
      <c r="E110" s="2" t="s">
        <v>831</v>
      </c>
      <c r="F110" s="2">
        <v>204387</v>
      </c>
      <c r="G110" s="3" t="str">
        <f>HYPERLINK("http://funmeta.oebiotech.com/network/204387", "http://funmeta.oebiotech.com/network/204387")</f>
        <v>http://funmeta.oebiotech.com/network/204387</v>
      </c>
      <c r="H110" s="2" t="s">
        <v>832</v>
      </c>
      <c r="I110" s="2"/>
      <c r="J110" s="2"/>
      <c r="K110" s="2"/>
      <c r="L110" s="2"/>
      <c r="M110" s="2"/>
      <c r="N110" s="2"/>
      <c r="O110" s="2">
        <v>159311</v>
      </c>
      <c r="P110" s="2"/>
      <c r="Q110" s="2" t="s">
        <v>833</v>
      </c>
      <c r="R110" s="2" t="s">
        <v>834</v>
      </c>
      <c r="S110" s="2" t="s">
        <v>50</v>
      </c>
      <c r="T110" s="2" t="s">
        <v>201</v>
      </c>
      <c r="U110" s="2" t="s">
        <v>241</v>
      </c>
      <c r="V110" s="2" t="s">
        <v>42</v>
      </c>
      <c r="W110" s="2">
        <v>50.1</v>
      </c>
      <c r="X110" s="2">
        <v>60.1</v>
      </c>
      <c r="Y110" s="2" t="s">
        <v>323</v>
      </c>
      <c r="Z110" s="2" t="s">
        <v>835</v>
      </c>
      <c r="AA110" s="2">
        <v>-1.22026917825714</v>
      </c>
      <c r="AB110" s="2">
        <v>3.2111850887136</v>
      </c>
      <c r="AC110" s="2">
        <v>558338.78065904602</v>
      </c>
      <c r="AD110" s="2">
        <v>1237082.3184114001</v>
      </c>
      <c r="AE110" s="2">
        <v>553862.59622596204</v>
      </c>
      <c r="AF110" s="2">
        <v>560973.54153728997</v>
      </c>
      <c r="AG110" s="2">
        <v>564727.79531408101</v>
      </c>
      <c r="AH110" s="2">
        <v>566955.34468976501</v>
      </c>
      <c r="AI110" s="2">
        <v>576444.70856551197</v>
      </c>
      <c r="AJ110" s="2">
        <v>527068.69762166601</v>
      </c>
      <c r="AK110" s="2">
        <v>1227964.3640908001</v>
      </c>
      <c r="AL110" s="2">
        <v>1244667.4969188201</v>
      </c>
      <c r="AM110" s="2">
        <v>1188486.3950221301</v>
      </c>
      <c r="AN110" s="2">
        <v>1246076.0954082101</v>
      </c>
      <c r="AO110" s="2">
        <v>1306096.57043826</v>
      </c>
      <c r="AP110" s="2">
        <v>1209202.98859019</v>
      </c>
    </row>
    <row r="111" spans="1:42" ht="14.5" x14ac:dyDescent="0.35">
      <c r="A111" s="2" t="s">
        <v>836</v>
      </c>
      <c r="B111" s="2">
        <v>610.33703080482405</v>
      </c>
      <c r="C111" s="2">
        <v>7.8083499999999999</v>
      </c>
      <c r="D111" s="2" t="s">
        <v>34</v>
      </c>
      <c r="E111" s="2" t="s">
        <v>837</v>
      </c>
      <c r="F111" s="2">
        <v>204301</v>
      </c>
      <c r="G111" s="3" t="str">
        <f>HYPERLINK("http://funmeta.oebiotech.com/network/204301", "http://funmeta.oebiotech.com/network/204301")</f>
        <v>http://funmeta.oebiotech.com/network/204301</v>
      </c>
      <c r="H111" s="2" t="s">
        <v>838</v>
      </c>
      <c r="I111" s="2"/>
      <c r="J111" s="2"/>
      <c r="K111" s="2"/>
      <c r="L111" s="2"/>
      <c r="M111" s="2"/>
      <c r="N111" s="2"/>
      <c r="O111" s="2">
        <v>3519505</v>
      </c>
      <c r="P111" s="2"/>
      <c r="Q111" s="2" t="s">
        <v>839</v>
      </c>
      <c r="R111" s="2" t="s">
        <v>840</v>
      </c>
      <c r="S111" s="2" t="s">
        <v>41</v>
      </c>
      <c r="T111" s="2" t="s">
        <v>41</v>
      </c>
      <c r="U111" s="2" t="s">
        <v>41</v>
      </c>
      <c r="V111" s="2" t="s">
        <v>59</v>
      </c>
      <c r="W111" s="2">
        <v>42</v>
      </c>
      <c r="X111" s="2">
        <v>21.6</v>
      </c>
      <c r="Y111" s="2" t="s">
        <v>141</v>
      </c>
      <c r="Z111" s="2" t="s">
        <v>841</v>
      </c>
      <c r="AA111" s="2">
        <v>3.6220362619498201</v>
      </c>
      <c r="AB111" s="2">
        <v>3.2104926204719599</v>
      </c>
      <c r="AC111" s="2">
        <v>2093900.19099632</v>
      </c>
      <c r="AD111" s="2">
        <v>1412014.12968241</v>
      </c>
      <c r="AE111" s="2">
        <v>2093550.8693738</v>
      </c>
      <c r="AF111" s="2">
        <v>2151848.8346339902</v>
      </c>
      <c r="AG111" s="2">
        <v>2184365.4448699602</v>
      </c>
      <c r="AH111" s="2">
        <v>2017077.1953087901</v>
      </c>
      <c r="AI111" s="2">
        <v>2037992.53046809</v>
      </c>
      <c r="AJ111" s="2">
        <v>2078566.2713232699</v>
      </c>
      <c r="AK111" s="2">
        <v>1449618.94304848</v>
      </c>
      <c r="AL111" s="2">
        <v>1424029.4620314001</v>
      </c>
      <c r="AM111" s="2">
        <v>1430905.63889987</v>
      </c>
      <c r="AN111" s="2">
        <v>1436305.1307059701</v>
      </c>
      <c r="AO111" s="2">
        <v>1379691.66982103</v>
      </c>
      <c r="AP111" s="2">
        <v>1351533.9335876899</v>
      </c>
    </row>
    <row r="112" spans="1:42" ht="14.5" x14ac:dyDescent="0.35">
      <c r="A112" s="2" t="s">
        <v>842</v>
      </c>
      <c r="B112" s="2">
        <v>890.64036646412796</v>
      </c>
      <c r="C112" s="2">
        <v>12.904949999999999</v>
      </c>
      <c r="D112" s="2" t="s">
        <v>34</v>
      </c>
      <c r="E112" s="2" t="s">
        <v>843</v>
      </c>
      <c r="F112" s="2">
        <v>19654</v>
      </c>
      <c r="G112" s="3" t="str">
        <f>HYPERLINK("http://funmeta.oebiotech.com/network/19654", "http://funmeta.oebiotech.com/network/19654")</f>
        <v>http://funmeta.oebiotech.com/network/19654</v>
      </c>
      <c r="H112" s="2"/>
      <c r="I112" s="2">
        <v>76474</v>
      </c>
      <c r="J112" s="2" t="s">
        <v>844</v>
      </c>
      <c r="K112" s="2">
        <v>86452</v>
      </c>
      <c r="L112" s="2"/>
      <c r="M112" s="2"/>
      <c r="N112" s="2"/>
      <c r="O112" s="2">
        <v>52923862</v>
      </c>
      <c r="P112" s="2"/>
      <c r="Q112" s="2" t="s">
        <v>845</v>
      </c>
      <c r="R112" s="2" t="s">
        <v>846</v>
      </c>
      <c r="S112" s="2" t="s">
        <v>50</v>
      </c>
      <c r="T112" s="2" t="s">
        <v>51</v>
      </c>
      <c r="U112" s="2" t="s">
        <v>168</v>
      </c>
      <c r="V112" s="2" t="s">
        <v>59</v>
      </c>
      <c r="W112" s="2">
        <v>38.299999999999997</v>
      </c>
      <c r="X112" s="2">
        <v>0.46500000000000002</v>
      </c>
      <c r="Y112" s="2" t="s">
        <v>340</v>
      </c>
      <c r="Z112" s="2" t="s">
        <v>847</v>
      </c>
      <c r="AA112" s="2">
        <v>0.49008947100249201</v>
      </c>
      <c r="AB112" s="2">
        <v>3.1811751716108101</v>
      </c>
      <c r="AC112" s="2">
        <v>1866.01087036678</v>
      </c>
      <c r="AD112" s="2">
        <v>668448.66517687903</v>
      </c>
      <c r="AE112" s="2">
        <v>3996.2285534826101</v>
      </c>
      <c r="AF112" s="2">
        <v>1339.5691312459301</v>
      </c>
      <c r="AG112" s="2">
        <v>1442.3241633786599</v>
      </c>
      <c r="AH112" s="2">
        <v>1705.48736171629</v>
      </c>
      <c r="AI112" s="2">
        <v>1517.2189254771799</v>
      </c>
      <c r="AJ112" s="2">
        <v>1195.2370869000299</v>
      </c>
      <c r="AK112" s="2">
        <v>629951.26779952203</v>
      </c>
      <c r="AL112" s="2">
        <v>649327.47591414</v>
      </c>
      <c r="AM112" s="2">
        <v>736018.42176308704</v>
      </c>
      <c r="AN112" s="2">
        <v>625629.94728222303</v>
      </c>
      <c r="AO112" s="2">
        <v>655943.11242599401</v>
      </c>
      <c r="AP112" s="2">
        <v>713821.76587630704</v>
      </c>
    </row>
    <row r="113" spans="1:42" ht="14.5" x14ac:dyDescent="0.35">
      <c r="A113" s="2" t="s">
        <v>848</v>
      </c>
      <c r="B113" s="2">
        <v>602.38030731255196</v>
      </c>
      <c r="C113" s="2">
        <v>11.499883333333299</v>
      </c>
      <c r="D113" s="2" t="s">
        <v>34</v>
      </c>
      <c r="E113" s="2" t="s">
        <v>849</v>
      </c>
      <c r="F113" s="2">
        <v>19958</v>
      </c>
      <c r="G113" s="3" t="str">
        <f>HYPERLINK("http://funmeta.oebiotech.com/network/19958", "http://funmeta.oebiotech.com/network/19958")</f>
        <v>http://funmeta.oebiotech.com/network/19958</v>
      </c>
      <c r="H113" s="2"/>
      <c r="I113" s="2">
        <v>40496</v>
      </c>
      <c r="J113" s="2" t="s">
        <v>850</v>
      </c>
      <c r="K113" s="2"/>
      <c r="L113" s="2"/>
      <c r="M113" s="2"/>
      <c r="N113" s="2"/>
      <c r="O113" s="2">
        <v>9546801</v>
      </c>
      <c r="P113" s="2"/>
      <c r="Q113" s="2" t="s">
        <v>851</v>
      </c>
      <c r="R113" s="2" t="s">
        <v>852</v>
      </c>
      <c r="S113" s="2" t="s">
        <v>50</v>
      </c>
      <c r="T113" s="2" t="s">
        <v>51</v>
      </c>
      <c r="U113" s="2" t="s">
        <v>257</v>
      </c>
      <c r="V113" s="2" t="s">
        <v>59</v>
      </c>
      <c r="W113" s="2">
        <v>38.9</v>
      </c>
      <c r="X113" s="2">
        <v>3.01</v>
      </c>
      <c r="Y113" s="2" t="s">
        <v>568</v>
      </c>
      <c r="Z113" s="2" t="s">
        <v>853</v>
      </c>
      <c r="AA113" s="2">
        <v>1.8677940657018399</v>
      </c>
      <c r="AB113" s="2">
        <v>3.16178488646143</v>
      </c>
      <c r="AC113" s="2">
        <v>12589.9973066192</v>
      </c>
      <c r="AD113" s="2">
        <v>673148.84914057201</v>
      </c>
      <c r="AE113" s="2">
        <v>11982.1045380215</v>
      </c>
      <c r="AF113" s="2">
        <v>11899.571226321301</v>
      </c>
      <c r="AG113" s="2">
        <v>11988.0903087976</v>
      </c>
      <c r="AH113" s="2">
        <v>14944.277158474</v>
      </c>
      <c r="AI113" s="2">
        <v>11437.3116504463</v>
      </c>
      <c r="AJ113" s="2">
        <v>13288.628957654701</v>
      </c>
      <c r="AK113" s="2">
        <v>659590.58873149904</v>
      </c>
      <c r="AL113" s="2">
        <v>578916.26830767095</v>
      </c>
      <c r="AM113" s="2">
        <v>767721.10563248699</v>
      </c>
      <c r="AN113" s="2">
        <v>652809.45756337396</v>
      </c>
      <c r="AO113" s="2">
        <v>662721.58217872703</v>
      </c>
      <c r="AP113" s="2">
        <v>717134.09242967505</v>
      </c>
    </row>
    <row r="114" spans="1:42" ht="14.5" x14ac:dyDescent="0.35">
      <c r="A114" s="2" t="s">
        <v>854</v>
      </c>
      <c r="B114" s="2">
        <v>479.33343102537401</v>
      </c>
      <c r="C114" s="2">
        <v>12.628716666666699</v>
      </c>
      <c r="D114" s="2" t="s">
        <v>34</v>
      </c>
      <c r="E114" s="2" t="s">
        <v>855</v>
      </c>
      <c r="F114" s="2">
        <v>1896</v>
      </c>
      <c r="G114" s="3" t="str">
        <f>HYPERLINK("http://funmeta.oebiotech.com/network/1896", "http://funmeta.oebiotech.com/network/1896")</f>
        <v>http://funmeta.oebiotech.com/network/1896</v>
      </c>
      <c r="H114" s="2"/>
      <c r="I114" s="2"/>
      <c r="J114" s="2" t="s">
        <v>856</v>
      </c>
      <c r="K114" s="2"/>
      <c r="L114" s="2"/>
      <c r="M114" s="2"/>
      <c r="N114" s="2"/>
      <c r="O114" s="2">
        <v>73242165</v>
      </c>
      <c r="P114" s="2"/>
      <c r="Q114" s="2" t="s">
        <v>857</v>
      </c>
      <c r="R114" s="2" t="s">
        <v>858</v>
      </c>
      <c r="S114" s="2" t="s">
        <v>89</v>
      </c>
      <c r="T114" s="2" t="s">
        <v>90</v>
      </c>
      <c r="U114" s="2" t="s">
        <v>91</v>
      </c>
      <c r="V114" s="2" t="s">
        <v>42</v>
      </c>
      <c r="W114" s="2">
        <v>48.8</v>
      </c>
      <c r="X114" s="2">
        <v>52.7</v>
      </c>
      <c r="Y114" s="2" t="s">
        <v>470</v>
      </c>
      <c r="Z114" s="2" t="s">
        <v>859</v>
      </c>
      <c r="AA114" s="2">
        <v>-1.9259796303516601</v>
      </c>
      <c r="AB114" s="2">
        <v>3.1561091685793699</v>
      </c>
      <c r="AC114" s="2">
        <v>2811.6049323035199</v>
      </c>
      <c r="AD114" s="2">
        <v>658927.20970790705</v>
      </c>
      <c r="AE114" s="2">
        <v>2013.3677152908699</v>
      </c>
      <c r="AF114" s="2">
        <v>3101.84811601212</v>
      </c>
      <c r="AG114" s="2">
        <v>2528.0880691357102</v>
      </c>
      <c r="AH114" s="2">
        <v>2788.54325273625</v>
      </c>
      <c r="AI114" s="2">
        <v>2653.00489869183</v>
      </c>
      <c r="AJ114" s="2">
        <v>3784.77754195434</v>
      </c>
      <c r="AK114" s="2">
        <v>600781.368629014</v>
      </c>
      <c r="AL114" s="2">
        <v>637391.16667932097</v>
      </c>
      <c r="AM114" s="2">
        <v>730815.36439116299</v>
      </c>
      <c r="AN114" s="2">
        <v>628554.15141351195</v>
      </c>
      <c r="AO114" s="2">
        <v>670302.47106497502</v>
      </c>
      <c r="AP114" s="2">
        <v>685718.73606945702</v>
      </c>
    </row>
    <row r="115" spans="1:42" ht="14.5" x14ac:dyDescent="0.35">
      <c r="A115" s="2" t="s">
        <v>860</v>
      </c>
      <c r="B115" s="2">
        <v>646.40683860251295</v>
      </c>
      <c r="C115" s="2">
        <v>11.4614333333333</v>
      </c>
      <c r="D115" s="2" t="s">
        <v>34</v>
      </c>
      <c r="E115" s="2" t="s">
        <v>861</v>
      </c>
      <c r="F115" s="2">
        <v>22488</v>
      </c>
      <c r="G115" s="3" t="str">
        <f>HYPERLINK("http://funmeta.oebiotech.com/network/22488", "http://funmeta.oebiotech.com/network/22488")</f>
        <v>http://funmeta.oebiotech.com/network/22488</v>
      </c>
      <c r="H115" s="2"/>
      <c r="I115" s="2"/>
      <c r="J115" s="2" t="s">
        <v>862</v>
      </c>
      <c r="K115" s="2"/>
      <c r="L115" s="2"/>
      <c r="M115" s="2"/>
      <c r="N115" s="2"/>
      <c r="O115" s="2">
        <v>137323961</v>
      </c>
      <c r="P115" s="2"/>
      <c r="Q115" s="2" t="s">
        <v>863</v>
      </c>
      <c r="R115" s="2" t="s">
        <v>864</v>
      </c>
      <c r="S115" s="2" t="s">
        <v>50</v>
      </c>
      <c r="T115" s="2" t="s">
        <v>51</v>
      </c>
      <c r="U115" s="2" t="s">
        <v>66</v>
      </c>
      <c r="V115" s="2" t="s">
        <v>59</v>
      </c>
      <c r="W115" s="2">
        <v>37.799999999999997</v>
      </c>
      <c r="X115" s="2">
        <v>6.56</v>
      </c>
      <c r="Y115" s="2" t="s">
        <v>568</v>
      </c>
      <c r="Z115" s="2" t="s">
        <v>865</v>
      </c>
      <c r="AA115" s="2">
        <v>2.2436428342387198</v>
      </c>
      <c r="AB115" s="2">
        <v>3.1544324598975</v>
      </c>
      <c r="AC115" s="2">
        <v>4368.5709504856004</v>
      </c>
      <c r="AD115" s="2">
        <v>662440.35558554099</v>
      </c>
      <c r="AE115" s="2">
        <v>4978.9166155417797</v>
      </c>
      <c r="AF115" s="2">
        <v>3321.75894085647</v>
      </c>
      <c r="AG115" s="2">
        <v>4948.3851079097703</v>
      </c>
      <c r="AH115" s="2">
        <v>4422.9224463317896</v>
      </c>
      <c r="AI115" s="2">
        <v>4767.2953838824096</v>
      </c>
      <c r="AJ115" s="2">
        <v>3772.14720839138</v>
      </c>
      <c r="AK115" s="2">
        <v>632710.72290802805</v>
      </c>
      <c r="AL115" s="2">
        <v>564828.40242272499</v>
      </c>
      <c r="AM115" s="2">
        <v>735264.68654279097</v>
      </c>
      <c r="AN115" s="2">
        <v>636849.11121474905</v>
      </c>
      <c r="AO115" s="2">
        <v>664274.17281558597</v>
      </c>
      <c r="AP115" s="2">
        <v>740715.03760936903</v>
      </c>
    </row>
    <row r="116" spans="1:42" ht="14.5" x14ac:dyDescent="0.35">
      <c r="A116" s="2" t="s">
        <v>866</v>
      </c>
      <c r="B116" s="2">
        <v>473.32589583551197</v>
      </c>
      <c r="C116" s="2">
        <v>5.65513333333333</v>
      </c>
      <c r="D116" s="2" t="s">
        <v>34</v>
      </c>
      <c r="E116" s="2" t="s">
        <v>867</v>
      </c>
      <c r="F116" s="2">
        <v>59672</v>
      </c>
      <c r="G116" s="3" t="str">
        <f>HYPERLINK("http://funmeta.oebiotech.com/network/59672", "http://funmeta.oebiotech.com/network/59672")</f>
        <v>http://funmeta.oebiotech.com/network/59672</v>
      </c>
      <c r="H116" s="2" t="s">
        <v>868</v>
      </c>
      <c r="I116" s="2">
        <v>91060</v>
      </c>
      <c r="J116" s="2"/>
      <c r="K116" s="2"/>
      <c r="L116" s="2"/>
      <c r="M116" s="2"/>
      <c r="N116" s="2"/>
      <c r="O116" s="2">
        <v>131751873</v>
      </c>
      <c r="P116" s="2"/>
      <c r="Q116" s="2" t="s">
        <v>869</v>
      </c>
      <c r="R116" s="2" t="s">
        <v>870</v>
      </c>
      <c r="S116" s="2" t="s">
        <v>50</v>
      </c>
      <c r="T116" s="2" t="s">
        <v>201</v>
      </c>
      <c r="U116" s="2" t="s">
        <v>210</v>
      </c>
      <c r="V116" s="2" t="s">
        <v>42</v>
      </c>
      <c r="W116" s="2">
        <v>50.8</v>
      </c>
      <c r="X116" s="2">
        <v>56.9</v>
      </c>
      <c r="Y116" s="2" t="s">
        <v>266</v>
      </c>
      <c r="Z116" s="2" t="s">
        <v>871</v>
      </c>
      <c r="AA116" s="2">
        <v>-0.54011258460571399</v>
      </c>
      <c r="AB116" s="2">
        <v>3.1383707723840502</v>
      </c>
      <c r="AC116" s="2">
        <v>1245546.0193469201</v>
      </c>
      <c r="AD116" s="2">
        <v>595812.82504589099</v>
      </c>
      <c r="AE116" s="2">
        <v>1178679.23209515</v>
      </c>
      <c r="AF116" s="2">
        <v>1266201.96176949</v>
      </c>
      <c r="AG116" s="2">
        <v>1285484.72070245</v>
      </c>
      <c r="AH116" s="2">
        <v>1300664.4979906401</v>
      </c>
      <c r="AI116" s="2">
        <v>1231900.43292013</v>
      </c>
      <c r="AJ116" s="2">
        <v>1210345.27060367</v>
      </c>
      <c r="AK116" s="2">
        <v>569772.51648180396</v>
      </c>
      <c r="AL116" s="2">
        <v>588921.55419415003</v>
      </c>
      <c r="AM116" s="2">
        <v>597886.23505480995</v>
      </c>
      <c r="AN116" s="2">
        <v>588501.64442263998</v>
      </c>
      <c r="AO116" s="2">
        <v>584089.02834467695</v>
      </c>
      <c r="AP116" s="2">
        <v>645705.97177726601</v>
      </c>
    </row>
    <row r="117" spans="1:42" ht="14.5" x14ac:dyDescent="0.35">
      <c r="A117" s="2" t="s">
        <v>872</v>
      </c>
      <c r="B117" s="2">
        <v>805.53601426967998</v>
      </c>
      <c r="C117" s="2">
        <v>12.792866666666701</v>
      </c>
      <c r="D117" s="2" t="s">
        <v>34</v>
      </c>
      <c r="E117" s="2" t="s">
        <v>873</v>
      </c>
      <c r="F117" s="2">
        <v>218545</v>
      </c>
      <c r="G117" s="3" t="str">
        <f>HYPERLINK("http://funmeta.oebiotech.com/network/218545", "http://funmeta.oebiotech.com/network/218545")</f>
        <v>http://funmeta.oebiotech.com/network/218545</v>
      </c>
      <c r="H117" s="2" t="s">
        <v>874</v>
      </c>
      <c r="I117" s="2"/>
      <c r="J117" s="2"/>
      <c r="K117" s="2"/>
      <c r="L117" s="2"/>
      <c r="M117" s="2"/>
      <c r="N117" s="2"/>
      <c r="O117" s="2"/>
      <c r="P117" s="2"/>
      <c r="Q117" s="2" t="s">
        <v>875</v>
      </c>
      <c r="R117" s="2" t="s">
        <v>876</v>
      </c>
      <c r="S117" s="2" t="s">
        <v>41</v>
      </c>
      <c r="T117" s="2" t="s">
        <v>41</v>
      </c>
      <c r="U117" s="2" t="s">
        <v>41</v>
      </c>
      <c r="V117" s="2" t="s">
        <v>59</v>
      </c>
      <c r="W117" s="2">
        <v>36.9</v>
      </c>
      <c r="X117" s="2">
        <v>0</v>
      </c>
      <c r="Y117" s="2" t="s">
        <v>67</v>
      </c>
      <c r="Z117" s="2" t="s">
        <v>877</v>
      </c>
      <c r="AA117" s="2">
        <v>0.79592761881509799</v>
      </c>
      <c r="AB117" s="2">
        <v>3.13024918676797</v>
      </c>
      <c r="AC117" s="2">
        <v>33808.354990243002</v>
      </c>
      <c r="AD117" s="2">
        <v>680672.84248475695</v>
      </c>
      <c r="AE117" s="2">
        <v>30619.556049598799</v>
      </c>
      <c r="AF117" s="2">
        <v>29573.933528780301</v>
      </c>
      <c r="AG117" s="2">
        <v>33238.099497313</v>
      </c>
      <c r="AH117" s="2">
        <v>38307.804555430303</v>
      </c>
      <c r="AI117" s="2">
        <v>35378.027842694697</v>
      </c>
      <c r="AJ117" s="2">
        <v>35732.708467640899</v>
      </c>
      <c r="AK117" s="2">
        <v>682176.52810562297</v>
      </c>
      <c r="AL117" s="2">
        <v>608394.53223591205</v>
      </c>
      <c r="AM117" s="2">
        <v>775386.42164181103</v>
      </c>
      <c r="AN117" s="2">
        <v>643572.40307662205</v>
      </c>
      <c r="AO117" s="2">
        <v>663713.60521286097</v>
      </c>
      <c r="AP117" s="2">
        <v>710793.56463571195</v>
      </c>
    </row>
    <row r="118" spans="1:42" ht="14.5" x14ac:dyDescent="0.35">
      <c r="A118" s="2" t="s">
        <v>878</v>
      </c>
      <c r="B118" s="2">
        <v>379.081866831821</v>
      </c>
      <c r="C118" s="2">
        <v>0.72340000000000004</v>
      </c>
      <c r="D118" s="2" t="s">
        <v>70</v>
      </c>
      <c r="E118" s="2" t="s">
        <v>879</v>
      </c>
      <c r="F118" s="2">
        <v>207515</v>
      </c>
      <c r="G118" s="3" t="str">
        <f>HYPERLINK("http://funmeta.oebiotech.com/network/207515", "http://funmeta.oebiotech.com/network/207515")</f>
        <v>http://funmeta.oebiotech.com/network/207515</v>
      </c>
      <c r="H118" s="2" t="s">
        <v>880</v>
      </c>
      <c r="I118" s="2"/>
      <c r="J118" s="2"/>
      <c r="K118" s="2">
        <v>24558</v>
      </c>
      <c r="L118" s="2"/>
      <c r="M118" s="2"/>
      <c r="N118" s="2"/>
      <c r="O118" s="2"/>
      <c r="P118" s="2"/>
      <c r="Q118" s="2" t="s">
        <v>881</v>
      </c>
      <c r="R118" s="2" t="s">
        <v>882</v>
      </c>
      <c r="S118" s="2" t="s">
        <v>491</v>
      </c>
      <c r="T118" s="2" t="s">
        <v>883</v>
      </c>
      <c r="U118" s="2" t="s">
        <v>884</v>
      </c>
      <c r="V118" s="2" t="s">
        <v>59</v>
      </c>
      <c r="W118" s="2">
        <v>38.9</v>
      </c>
      <c r="X118" s="2">
        <v>4.45</v>
      </c>
      <c r="Y118" s="2" t="s">
        <v>560</v>
      </c>
      <c r="Z118" s="2" t="s">
        <v>885</v>
      </c>
      <c r="AA118" s="2">
        <v>-2.5313342432434802</v>
      </c>
      <c r="AB118" s="2">
        <v>3.1211472255605801</v>
      </c>
      <c r="AC118" s="2">
        <v>2047192.81896833</v>
      </c>
      <c r="AD118" s="2">
        <v>2888583.63024585</v>
      </c>
      <c r="AE118" s="2">
        <v>2077874.41067686</v>
      </c>
      <c r="AF118" s="2">
        <v>1967404.7157105999</v>
      </c>
      <c r="AG118" s="2">
        <v>1857402.60251034</v>
      </c>
      <c r="AH118" s="2">
        <v>2277954.7897288301</v>
      </c>
      <c r="AI118" s="2">
        <v>2229395.1053130599</v>
      </c>
      <c r="AJ118" s="2">
        <v>1873125.2898703001</v>
      </c>
      <c r="AK118" s="2">
        <v>3706935.78373317</v>
      </c>
      <c r="AL118" s="2">
        <v>3373238.91327225</v>
      </c>
      <c r="AM118" s="2">
        <v>2620300.8098126301</v>
      </c>
      <c r="AN118" s="2">
        <v>2426456.1664843499</v>
      </c>
      <c r="AO118" s="2">
        <v>2692386.3544683801</v>
      </c>
      <c r="AP118" s="2">
        <v>2512183.7537043099</v>
      </c>
    </row>
    <row r="119" spans="1:42" ht="14.5" x14ac:dyDescent="0.35">
      <c r="A119" s="2" t="s">
        <v>886</v>
      </c>
      <c r="B119" s="2">
        <v>215.032010637806</v>
      </c>
      <c r="C119" s="2">
        <v>0.71055000000000001</v>
      </c>
      <c r="D119" s="2" t="s">
        <v>70</v>
      </c>
      <c r="E119" s="2" t="s">
        <v>887</v>
      </c>
      <c r="F119" s="2">
        <v>256887</v>
      </c>
      <c r="G119" s="3" t="str">
        <f>HYPERLINK("http://funmeta.oebiotech.com/network/256887", "http://funmeta.oebiotech.com/network/256887")</f>
        <v>http://funmeta.oebiotech.com/network/256887</v>
      </c>
      <c r="H119" s="2" t="s">
        <v>888</v>
      </c>
      <c r="I119" s="2">
        <v>64013</v>
      </c>
      <c r="J119" s="2"/>
      <c r="K119" s="2">
        <v>17764</v>
      </c>
      <c r="L119" s="2" t="s">
        <v>889</v>
      </c>
      <c r="M119" s="2" t="s">
        <v>890</v>
      </c>
      <c r="N119" s="2" t="s">
        <v>891</v>
      </c>
      <c r="O119" s="2">
        <v>443198</v>
      </c>
      <c r="P119" s="2"/>
      <c r="Q119" s="2" t="s">
        <v>892</v>
      </c>
      <c r="R119" s="2" t="s">
        <v>893</v>
      </c>
      <c r="S119" s="2" t="s">
        <v>89</v>
      </c>
      <c r="T119" s="2" t="s">
        <v>894</v>
      </c>
      <c r="U119" s="2" t="s">
        <v>895</v>
      </c>
      <c r="V119" s="2" t="s">
        <v>59</v>
      </c>
      <c r="W119" s="2">
        <v>38.9</v>
      </c>
      <c r="X119" s="2">
        <v>0</v>
      </c>
      <c r="Y119" s="2" t="s">
        <v>118</v>
      </c>
      <c r="Z119" s="2" t="s">
        <v>896</v>
      </c>
      <c r="AA119" s="2">
        <v>-2.78797598634532</v>
      </c>
      <c r="AB119" s="2">
        <v>3.0776254992433199</v>
      </c>
      <c r="AC119" s="2">
        <v>4999932.1165106604</v>
      </c>
      <c r="AD119" s="2">
        <v>6152214.8954354497</v>
      </c>
      <c r="AE119" s="2">
        <v>4390287.5530807897</v>
      </c>
      <c r="AF119" s="2">
        <v>6186089.3993279897</v>
      </c>
      <c r="AG119" s="2">
        <v>4037464.6083337101</v>
      </c>
      <c r="AH119" s="2">
        <v>5868012.6623129304</v>
      </c>
      <c r="AI119" s="2">
        <v>5666717.15449569</v>
      </c>
      <c r="AJ119" s="2">
        <v>3851021.3215128598</v>
      </c>
      <c r="AK119" s="2">
        <v>6444812.08318053</v>
      </c>
      <c r="AL119" s="2">
        <v>5811624.3802579101</v>
      </c>
      <c r="AM119" s="2">
        <v>5191544.0423137601</v>
      </c>
      <c r="AN119" s="2">
        <v>6771483.2875577202</v>
      </c>
      <c r="AO119" s="2">
        <v>7618598.4045176599</v>
      </c>
      <c r="AP119" s="2">
        <v>5075227.1747850999</v>
      </c>
    </row>
    <row r="120" spans="1:42" ht="14.5" x14ac:dyDescent="0.35">
      <c r="A120" s="2" t="s">
        <v>897</v>
      </c>
      <c r="B120" s="2">
        <v>388.08820117881697</v>
      </c>
      <c r="C120" s="2">
        <v>3.0346333333333302</v>
      </c>
      <c r="D120" s="2" t="s">
        <v>70</v>
      </c>
      <c r="E120" s="2" t="s">
        <v>898</v>
      </c>
      <c r="F120" s="2">
        <v>57928</v>
      </c>
      <c r="G120" s="3" t="str">
        <f>HYPERLINK("http://funmeta.oebiotech.com/network/57928", "http://funmeta.oebiotech.com/network/57928")</f>
        <v>http://funmeta.oebiotech.com/network/57928</v>
      </c>
      <c r="H120" s="2" t="s">
        <v>899</v>
      </c>
      <c r="I120" s="2">
        <v>89504</v>
      </c>
      <c r="J120" s="2"/>
      <c r="K120" s="2">
        <v>168283</v>
      </c>
      <c r="L120" s="2"/>
      <c r="M120" s="2"/>
      <c r="N120" s="2"/>
      <c r="O120" s="2">
        <v>58114415</v>
      </c>
      <c r="P120" s="2" t="s">
        <v>900</v>
      </c>
      <c r="Q120" s="2" t="s">
        <v>901</v>
      </c>
      <c r="R120" s="2" t="s">
        <v>902</v>
      </c>
      <c r="S120" s="2" t="s">
        <v>79</v>
      </c>
      <c r="T120" s="2" t="s">
        <v>80</v>
      </c>
      <c r="U120" s="2" t="s">
        <v>81</v>
      </c>
      <c r="V120" s="2" t="s">
        <v>59</v>
      </c>
      <c r="W120" s="2">
        <v>39.700000000000003</v>
      </c>
      <c r="X120" s="2">
        <v>0.45200000000000001</v>
      </c>
      <c r="Y120" s="2" t="s">
        <v>408</v>
      </c>
      <c r="Z120" s="2" t="s">
        <v>903</v>
      </c>
      <c r="AA120" s="2">
        <v>-0.97005710345720297</v>
      </c>
      <c r="AB120" s="2">
        <v>3.0594100985677302</v>
      </c>
      <c r="AC120" s="2">
        <v>924665.97355421796</v>
      </c>
      <c r="AD120" s="2">
        <v>1544946.59856314</v>
      </c>
      <c r="AE120" s="2">
        <v>911538.14251371101</v>
      </c>
      <c r="AF120" s="2">
        <v>930514.45833497203</v>
      </c>
      <c r="AG120" s="2">
        <v>949134.54670206795</v>
      </c>
      <c r="AH120" s="2">
        <v>870799.761775319</v>
      </c>
      <c r="AI120" s="2">
        <v>896414.14537657599</v>
      </c>
      <c r="AJ120" s="2">
        <v>989594.78662266</v>
      </c>
      <c r="AK120" s="2">
        <v>1476956.22191808</v>
      </c>
      <c r="AL120" s="2">
        <v>1547136.49212569</v>
      </c>
      <c r="AM120" s="2">
        <v>1633507.5999459401</v>
      </c>
      <c r="AN120" s="2">
        <v>1555258.7230614801</v>
      </c>
      <c r="AO120" s="2">
        <v>1509609.8642695399</v>
      </c>
      <c r="AP120" s="2">
        <v>1547210.69005808</v>
      </c>
    </row>
    <row r="121" spans="1:42" ht="14.5" x14ac:dyDescent="0.35">
      <c r="A121" s="2" t="s">
        <v>904</v>
      </c>
      <c r="B121" s="2">
        <v>369.00698575495898</v>
      </c>
      <c r="C121" s="2">
        <v>1.07446666666667</v>
      </c>
      <c r="D121" s="2" t="s">
        <v>70</v>
      </c>
      <c r="E121" s="2" t="s">
        <v>905</v>
      </c>
      <c r="F121" s="2">
        <v>46968</v>
      </c>
      <c r="G121" s="3" t="str">
        <f>HYPERLINK("http://funmeta.oebiotech.com/network/46968", "http://funmeta.oebiotech.com/network/46968")</f>
        <v>http://funmeta.oebiotech.com/network/46968</v>
      </c>
      <c r="H121" s="2" t="s">
        <v>906</v>
      </c>
      <c r="I121" s="2">
        <v>297</v>
      </c>
      <c r="J121" s="2"/>
      <c r="K121" s="2">
        <v>15811</v>
      </c>
      <c r="L121" s="2" t="s">
        <v>907</v>
      </c>
      <c r="M121" s="2" t="s">
        <v>908</v>
      </c>
      <c r="N121" s="2" t="s">
        <v>909</v>
      </c>
      <c r="O121" s="2">
        <v>68841</v>
      </c>
      <c r="P121" s="2" t="s">
        <v>910</v>
      </c>
      <c r="Q121" s="2" t="s">
        <v>911</v>
      </c>
      <c r="R121" s="2" t="s">
        <v>912</v>
      </c>
      <c r="S121" s="2" t="s">
        <v>89</v>
      </c>
      <c r="T121" s="2" t="s">
        <v>90</v>
      </c>
      <c r="U121" s="2" t="s">
        <v>99</v>
      </c>
      <c r="V121" s="2" t="s">
        <v>59</v>
      </c>
      <c r="W121" s="2">
        <v>36.1</v>
      </c>
      <c r="X121" s="2">
        <v>0</v>
      </c>
      <c r="Y121" s="2" t="s">
        <v>560</v>
      </c>
      <c r="Z121" s="2" t="s">
        <v>913</v>
      </c>
      <c r="AA121" s="2">
        <v>-9.6888042246166108</v>
      </c>
      <c r="AB121" s="2">
        <v>3.0564910059845398</v>
      </c>
      <c r="AC121" s="2">
        <v>1802129.75566851</v>
      </c>
      <c r="AD121" s="2">
        <v>2482856.9917476098</v>
      </c>
      <c r="AE121" s="2">
        <v>1899140.0175779201</v>
      </c>
      <c r="AF121" s="2">
        <v>1779417.1505206199</v>
      </c>
      <c r="AG121" s="2">
        <v>1665626.91751885</v>
      </c>
      <c r="AH121" s="2">
        <v>1767051.6402545001</v>
      </c>
      <c r="AI121" s="2">
        <v>1839359.8603196701</v>
      </c>
      <c r="AJ121" s="2">
        <v>1862182.94781952</v>
      </c>
      <c r="AK121" s="2">
        <v>2793262.4106788598</v>
      </c>
      <c r="AL121" s="2">
        <v>2413058.7584670298</v>
      </c>
      <c r="AM121" s="2">
        <v>2088386.7720284599</v>
      </c>
      <c r="AN121" s="2">
        <v>2666272.30485596</v>
      </c>
      <c r="AO121" s="2">
        <v>2453411.9327263101</v>
      </c>
      <c r="AP121" s="2">
        <v>2482749.77172904</v>
      </c>
    </row>
    <row r="122" spans="1:42" ht="14.5" x14ac:dyDescent="0.35">
      <c r="A122" s="2" t="s">
        <v>914</v>
      </c>
      <c r="B122" s="2">
        <v>224.12795019846101</v>
      </c>
      <c r="C122" s="2">
        <v>3.84351666666667</v>
      </c>
      <c r="D122" s="2" t="s">
        <v>34</v>
      </c>
      <c r="E122" s="2" t="s">
        <v>915</v>
      </c>
      <c r="F122" s="2">
        <v>53273</v>
      </c>
      <c r="G122" s="3" t="str">
        <f>HYPERLINK("http://funmeta.oebiotech.com/network/53273", "http://funmeta.oebiotech.com/network/53273")</f>
        <v>http://funmeta.oebiotech.com/network/53273</v>
      </c>
      <c r="H122" s="2" t="s">
        <v>916</v>
      </c>
      <c r="I122" s="2"/>
      <c r="J122" s="2"/>
      <c r="K122" s="2">
        <v>171741</v>
      </c>
      <c r="L122" s="2" t="s">
        <v>917</v>
      </c>
      <c r="M122" s="2"/>
      <c r="N122" s="2"/>
      <c r="O122" s="2">
        <v>5282054</v>
      </c>
      <c r="P122" s="2" t="s">
        <v>918</v>
      </c>
      <c r="Q122" s="2" t="s">
        <v>919</v>
      </c>
      <c r="R122" s="2" t="s">
        <v>920</v>
      </c>
      <c r="S122" s="2" t="s">
        <v>491</v>
      </c>
      <c r="T122" s="2" t="s">
        <v>921</v>
      </c>
      <c r="U122" s="2" t="s">
        <v>922</v>
      </c>
      <c r="V122" s="2" t="s">
        <v>59</v>
      </c>
      <c r="W122" s="2">
        <v>44.2</v>
      </c>
      <c r="X122" s="2">
        <v>24.1</v>
      </c>
      <c r="Y122" s="2" t="s">
        <v>67</v>
      </c>
      <c r="Z122" s="2" t="s">
        <v>923</v>
      </c>
      <c r="AA122" s="2">
        <v>-0.76031538281837396</v>
      </c>
      <c r="AB122" s="2">
        <v>3.05521133785154</v>
      </c>
      <c r="AC122" s="2">
        <v>9621520.3221307807</v>
      </c>
      <c r="AD122" s="2">
        <v>10396626.2991085</v>
      </c>
      <c r="AE122" s="2">
        <v>9513514.4360359404</v>
      </c>
      <c r="AF122" s="2">
        <v>9632651.5878925603</v>
      </c>
      <c r="AG122" s="2">
        <v>9656334.4678633492</v>
      </c>
      <c r="AH122" s="2">
        <v>9652707.3268801905</v>
      </c>
      <c r="AI122" s="2">
        <v>9734332.6079982203</v>
      </c>
      <c r="AJ122" s="2">
        <v>9539581.5061144195</v>
      </c>
      <c r="AK122" s="2">
        <v>9538904.7519976702</v>
      </c>
      <c r="AL122" s="2">
        <v>10245759.1608737</v>
      </c>
      <c r="AM122" s="2">
        <v>10607156.095652601</v>
      </c>
      <c r="AN122" s="2">
        <v>10625867.286860101</v>
      </c>
      <c r="AO122" s="2">
        <v>10494152.3045377</v>
      </c>
      <c r="AP122" s="2">
        <v>10867918.194729101</v>
      </c>
    </row>
    <row r="123" spans="1:42" ht="14.5" x14ac:dyDescent="0.35">
      <c r="A123" s="2" t="s">
        <v>924</v>
      </c>
      <c r="B123" s="2">
        <v>475.23208297050599</v>
      </c>
      <c r="C123" s="2">
        <v>7.0664166666666697</v>
      </c>
      <c r="D123" s="2" t="s">
        <v>34</v>
      </c>
      <c r="E123" s="2" t="s">
        <v>925</v>
      </c>
      <c r="F123" s="2">
        <v>208747</v>
      </c>
      <c r="G123" s="3" t="str">
        <f>HYPERLINK("http://funmeta.oebiotech.com/network/208747", "http://funmeta.oebiotech.com/network/208747")</f>
        <v>http://funmeta.oebiotech.com/network/208747</v>
      </c>
      <c r="H123" s="2" t="s">
        <v>926</v>
      </c>
      <c r="I123" s="2"/>
      <c r="J123" s="2"/>
      <c r="K123" s="2"/>
      <c r="L123" s="2"/>
      <c r="M123" s="2"/>
      <c r="N123" s="2"/>
      <c r="O123" s="2">
        <v>1875</v>
      </c>
      <c r="P123" s="2"/>
      <c r="Q123" s="2" t="s">
        <v>927</v>
      </c>
      <c r="R123" s="2" t="s">
        <v>928</v>
      </c>
      <c r="S123" s="2" t="s">
        <v>50</v>
      </c>
      <c r="T123" s="2" t="s">
        <v>124</v>
      </c>
      <c r="U123" s="2" t="s">
        <v>929</v>
      </c>
      <c r="V123" s="2" t="s">
        <v>42</v>
      </c>
      <c r="W123" s="2">
        <v>49.4</v>
      </c>
      <c r="X123" s="2">
        <v>54.6</v>
      </c>
      <c r="Y123" s="2" t="s">
        <v>242</v>
      </c>
      <c r="Z123" s="2" t="s">
        <v>930</v>
      </c>
      <c r="AA123" s="2">
        <v>-1.18405381022164</v>
      </c>
      <c r="AB123" s="2">
        <v>3.0489526946466499</v>
      </c>
      <c r="AC123" s="2">
        <v>874230.25912039902</v>
      </c>
      <c r="AD123" s="2">
        <v>262957.78837090899</v>
      </c>
      <c r="AE123" s="2">
        <v>862911.38720224798</v>
      </c>
      <c r="AF123" s="2">
        <v>875919.513982084</v>
      </c>
      <c r="AG123" s="2">
        <v>883043.47326246498</v>
      </c>
      <c r="AH123" s="2">
        <v>864606.81117337302</v>
      </c>
      <c r="AI123" s="2">
        <v>821507.00035411096</v>
      </c>
      <c r="AJ123" s="2">
        <v>937393.368748112</v>
      </c>
      <c r="AK123" s="2">
        <v>258490.388616957</v>
      </c>
      <c r="AL123" s="2">
        <v>271295.46310183097</v>
      </c>
      <c r="AM123" s="2">
        <v>263188.31897603499</v>
      </c>
      <c r="AN123" s="2">
        <v>267325.95802465</v>
      </c>
      <c r="AO123" s="2">
        <v>256866.00934177401</v>
      </c>
      <c r="AP123" s="2">
        <v>260580.59216420699</v>
      </c>
    </row>
    <row r="124" spans="1:42" ht="14.5" x14ac:dyDescent="0.35">
      <c r="A124" s="2" t="s">
        <v>931</v>
      </c>
      <c r="B124" s="2">
        <v>871.53515384296702</v>
      </c>
      <c r="C124" s="2">
        <v>12.323966666666699</v>
      </c>
      <c r="D124" s="2" t="s">
        <v>34</v>
      </c>
      <c r="E124" s="2" t="s">
        <v>932</v>
      </c>
      <c r="F124" s="2">
        <v>23982</v>
      </c>
      <c r="G124" s="3" t="str">
        <f>HYPERLINK("http://funmeta.oebiotech.com/network/23982", "http://funmeta.oebiotech.com/network/23982")</f>
        <v>http://funmeta.oebiotech.com/network/23982</v>
      </c>
      <c r="H124" s="2"/>
      <c r="I124" s="2"/>
      <c r="J124" s="2" t="s">
        <v>933</v>
      </c>
      <c r="K124" s="2"/>
      <c r="L124" s="2"/>
      <c r="M124" s="2"/>
      <c r="N124" s="2"/>
      <c r="O124" s="2">
        <v>52927720</v>
      </c>
      <c r="P124" s="2"/>
      <c r="Q124" s="2" t="s">
        <v>934</v>
      </c>
      <c r="R124" s="2" t="s">
        <v>935</v>
      </c>
      <c r="S124" s="2" t="s">
        <v>50</v>
      </c>
      <c r="T124" s="2" t="s">
        <v>51</v>
      </c>
      <c r="U124" s="2" t="s">
        <v>52</v>
      </c>
      <c r="V124" s="2" t="s">
        <v>59</v>
      </c>
      <c r="W124" s="2">
        <v>36.700000000000003</v>
      </c>
      <c r="X124" s="2">
        <v>2.75</v>
      </c>
      <c r="Y124" s="2" t="s">
        <v>394</v>
      </c>
      <c r="Z124" s="2" t="s">
        <v>936</v>
      </c>
      <c r="AA124" s="2">
        <v>2.3528229587624798</v>
      </c>
      <c r="AB124" s="2">
        <v>3.0376270144421098</v>
      </c>
      <c r="AC124" s="2">
        <v>30349.481173488599</v>
      </c>
      <c r="AD124" s="2">
        <v>636854.71753261995</v>
      </c>
      <c r="AE124" s="2">
        <v>28371.1890075921</v>
      </c>
      <c r="AF124" s="2">
        <v>28969.5450742022</v>
      </c>
      <c r="AG124" s="2">
        <v>31156.951387513302</v>
      </c>
      <c r="AH124" s="2">
        <v>29983.397900613101</v>
      </c>
      <c r="AI124" s="2">
        <v>29834.461111107699</v>
      </c>
      <c r="AJ124" s="2">
        <v>33781.342559903103</v>
      </c>
      <c r="AK124" s="2">
        <v>608997.54948807601</v>
      </c>
      <c r="AL124" s="2">
        <v>636509.61954390095</v>
      </c>
      <c r="AM124" s="2">
        <v>685314.61900513899</v>
      </c>
      <c r="AN124" s="2">
        <v>629503.17599749297</v>
      </c>
      <c r="AO124" s="2">
        <v>609846.288826562</v>
      </c>
      <c r="AP124" s="2">
        <v>650957.05233454902</v>
      </c>
    </row>
    <row r="125" spans="1:42" ht="14.5" x14ac:dyDescent="0.35">
      <c r="A125" s="2" t="s">
        <v>937</v>
      </c>
      <c r="B125" s="2">
        <v>772.38855089240599</v>
      </c>
      <c r="C125" s="2">
        <v>6.1811833333333297</v>
      </c>
      <c r="D125" s="2" t="s">
        <v>34</v>
      </c>
      <c r="E125" s="2" t="s">
        <v>938</v>
      </c>
      <c r="F125" s="2">
        <v>27998</v>
      </c>
      <c r="G125" s="3" t="str">
        <f>HYPERLINK("http://funmeta.oebiotech.com/network/27998", "http://funmeta.oebiotech.com/network/27998")</f>
        <v>http://funmeta.oebiotech.com/network/27998</v>
      </c>
      <c r="H125" s="2"/>
      <c r="I125" s="2"/>
      <c r="J125" s="2" t="s">
        <v>939</v>
      </c>
      <c r="K125" s="2"/>
      <c r="L125" s="2"/>
      <c r="M125" s="2"/>
      <c r="N125" s="2"/>
      <c r="O125" s="2">
        <v>134812445</v>
      </c>
      <c r="P125" s="2"/>
      <c r="Q125" s="2" t="s">
        <v>940</v>
      </c>
      <c r="R125" s="2" t="s">
        <v>941</v>
      </c>
      <c r="S125" s="2" t="s">
        <v>50</v>
      </c>
      <c r="T125" s="2" t="s">
        <v>51</v>
      </c>
      <c r="U125" s="2" t="s">
        <v>52</v>
      </c>
      <c r="V125" s="2" t="s">
        <v>42</v>
      </c>
      <c r="W125" s="2">
        <v>55.4</v>
      </c>
      <c r="X125" s="2">
        <v>82.1</v>
      </c>
      <c r="Y125" s="2" t="s">
        <v>43</v>
      </c>
      <c r="Z125" s="2" t="s">
        <v>942</v>
      </c>
      <c r="AA125" s="2">
        <v>0.86554489425262604</v>
      </c>
      <c r="AB125" s="2">
        <v>3.02796898614179</v>
      </c>
      <c r="AC125" s="2">
        <v>1088764.0495530299</v>
      </c>
      <c r="AD125" s="2">
        <v>484261.94557056698</v>
      </c>
      <c r="AE125" s="2">
        <v>1111491.50906769</v>
      </c>
      <c r="AF125" s="2">
        <v>1157141.59746648</v>
      </c>
      <c r="AG125" s="2">
        <v>1038590.07399007</v>
      </c>
      <c r="AH125" s="2">
        <v>1048207.45678386</v>
      </c>
      <c r="AI125" s="2">
        <v>1094891.11457319</v>
      </c>
      <c r="AJ125" s="2">
        <v>1082262.5454368701</v>
      </c>
      <c r="AK125" s="2">
        <v>482811.64718365303</v>
      </c>
      <c r="AL125" s="2">
        <v>510793.36655081098</v>
      </c>
      <c r="AM125" s="2">
        <v>458411.43937474501</v>
      </c>
      <c r="AN125" s="2">
        <v>495160.480529033</v>
      </c>
      <c r="AO125" s="2">
        <v>488038.01800757699</v>
      </c>
      <c r="AP125" s="2">
        <v>470356.72177757998</v>
      </c>
    </row>
    <row r="126" spans="1:42" ht="14.5" x14ac:dyDescent="0.35">
      <c r="A126" s="2" t="s">
        <v>943</v>
      </c>
      <c r="B126" s="2">
        <v>644.33974719059495</v>
      </c>
      <c r="C126" s="2">
        <v>5.5564166666666699</v>
      </c>
      <c r="D126" s="2" t="s">
        <v>34</v>
      </c>
      <c r="E126" s="2" t="s">
        <v>944</v>
      </c>
      <c r="F126" s="2">
        <v>82777</v>
      </c>
      <c r="G126" s="3" t="str">
        <f>HYPERLINK("http://funmeta.oebiotech.com/network/82777", "http://funmeta.oebiotech.com/network/82777")</f>
        <v>http://funmeta.oebiotech.com/network/82777</v>
      </c>
      <c r="H126" s="2" t="s">
        <v>945</v>
      </c>
      <c r="I126" s="2"/>
      <c r="J126" s="2"/>
      <c r="K126" s="2"/>
      <c r="L126" s="2"/>
      <c r="M126" s="2"/>
      <c r="N126" s="2"/>
      <c r="O126" s="2">
        <v>131769995</v>
      </c>
      <c r="P126" s="2"/>
      <c r="Q126" s="2" t="s">
        <v>946</v>
      </c>
      <c r="R126" s="2" t="s">
        <v>947</v>
      </c>
      <c r="S126" s="2" t="s">
        <v>79</v>
      </c>
      <c r="T126" s="2" t="s">
        <v>80</v>
      </c>
      <c r="U126" s="2" t="s">
        <v>81</v>
      </c>
      <c r="V126" s="2" t="s">
        <v>42</v>
      </c>
      <c r="W126" s="2">
        <v>50.2</v>
      </c>
      <c r="X126" s="2">
        <v>63.4</v>
      </c>
      <c r="Y126" s="2" t="s">
        <v>394</v>
      </c>
      <c r="Z126" s="2" t="s">
        <v>948</v>
      </c>
      <c r="AA126" s="2">
        <v>-4.9367903840176997</v>
      </c>
      <c r="AB126" s="2">
        <v>2.9793564117023301</v>
      </c>
      <c r="AC126" s="2">
        <v>2455825.3066507298</v>
      </c>
      <c r="AD126" s="2">
        <v>3063090.4214740801</v>
      </c>
      <c r="AE126" s="2">
        <v>2503826.18779547</v>
      </c>
      <c r="AF126" s="2">
        <v>2472375.5185213801</v>
      </c>
      <c r="AG126" s="2">
        <v>2465577.1571039702</v>
      </c>
      <c r="AH126" s="2">
        <v>2473786.4529519002</v>
      </c>
      <c r="AI126" s="2">
        <v>2256272.0416696598</v>
      </c>
      <c r="AJ126" s="2">
        <v>2563114.4818619899</v>
      </c>
      <c r="AK126" s="2">
        <v>2948511.8542798902</v>
      </c>
      <c r="AL126" s="2">
        <v>3099359.8233375102</v>
      </c>
      <c r="AM126" s="2">
        <v>2985241.9241308798</v>
      </c>
      <c r="AN126" s="2">
        <v>3080813.1889403998</v>
      </c>
      <c r="AO126" s="2">
        <v>3112278.51318079</v>
      </c>
      <c r="AP126" s="2">
        <v>3152337.2249750001</v>
      </c>
    </row>
    <row r="127" spans="1:42" ht="14.5" x14ac:dyDescent="0.35">
      <c r="A127" s="2" t="s">
        <v>949</v>
      </c>
      <c r="B127" s="2">
        <v>579.14929480573596</v>
      </c>
      <c r="C127" s="2">
        <v>3.8251333333333299</v>
      </c>
      <c r="D127" s="2" t="s">
        <v>34</v>
      </c>
      <c r="E127" s="2" t="s">
        <v>950</v>
      </c>
      <c r="F127" s="2">
        <v>29113</v>
      </c>
      <c r="G127" s="3" t="str">
        <f>HYPERLINK("http://funmeta.oebiotech.com/network/29113", "http://funmeta.oebiotech.com/network/29113")</f>
        <v>http://funmeta.oebiotech.com/network/29113</v>
      </c>
      <c r="H127" s="2" t="s">
        <v>951</v>
      </c>
      <c r="I127" s="2">
        <v>47501</v>
      </c>
      <c r="J127" s="2" t="s">
        <v>952</v>
      </c>
      <c r="K127" s="2">
        <v>75632</v>
      </c>
      <c r="L127" s="2" t="s">
        <v>953</v>
      </c>
      <c r="M127" s="2"/>
      <c r="N127" s="2"/>
      <c r="O127" s="2">
        <v>122738</v>
      </c>
      <c r="P127" s="2" t="s">
        <v>954</v>
      </c>
      <c r="Q127" s="2" t="s">
        <v>955</v>
      </c>
      <c r="R127" s="2" t="s">
        <v>956</v>
      </c>
      <c r="S127" s="2" t="s">
        <v>115</v>
      </c>
      <c r="T127" s="2" t="s">
        <v>139</v>
      </c>
      <c r="U127" s="2" t="s">
        <v>957</v>
      </c>
      <c r="V127" s="2" t="s">
        <v>42</v>
      </c>
      <c r="W127" s="2">
        <v>56.5</v>
      </c>
      <c r="X127" s="2">
        <v>85.4</v>
      </c>
      <c r="Y127" s="2" t="s">
        <v>67</v>
      </c>
      <c r="Z127" s="2" t="s">
        <v>958</v>
      </c>
      <c r="AA127" s="2">
        <v>-0.70552650194192501</v>
      </c>
      <c r="AB127" s="2">
        <v>2.9783271316350701</v>
      </c>
      <c r="AC127" s="2">
        <v>2071511.40671632</v>
      </c>
      <c r="AD127" s="2">
        <v>2686568.0413543</v>
      </c>
      <c r="AE127" s="2">
        <v>1889854.5339582399</v>
      </c>
      <c r="AF127" s="2">
        <v>1962683.56437708</v>
      </c>
      <c r="AG127" s="2">
        <v>2185487.0840628599</v>
      </c>
      <c r="AH127" s="2">
        <v>2195773.90514328</v>
      </c>
      <c r="AI127" s="2">
        <v>2185757.6168640498</v>
      </c>
      <c r="AJ127" s="2">
        <v>2009511.7358923999</v>
      </c>
      <c r="AK127" s="2">
        <v>2510665.4169954299</v>
      </c>
      <c r="AL127" s="2">
        <v>2724799.4622011702</v>
      </c>
      <c r="AM127" s="2">
        <v>2752872.4897910999</v>
      </c>
      <c r="AN127" s="2">
        <v>2631416.9133620099</v>
      </c>
      <c r="AO127" s="2">
        <v>2785330.14967159</v>
      </c>
      <c r="AP127" s="2">
        <v>2714323.8161045001</v>
      </c>
    </row>
    <row r="128" spans="1:42" ht="14.5" x14ac:dyDescent="0.35">
      <c r="A128" s="2" t="s">
        <v>959</v>
      </c>
      <c r="B128" s="2">
        <v>722.35146999339202</v>
      </c>
      <c r="C128" s="2">
        <v>5.7736666666666698</v>
      </c>
      <c r="D128" s="2" t="s">
        <v>34</v>
      </c>
      <c r="E128" s="2" t="s">
        <v>960</v>
      </c>
      <c r="F128" s="2">
        <v>57828</v>
      </c>
      <c r="G128" s="3" t="str">
        <f>HYPERLINK("http://funmeta.oebiotech.com/network/57828", "http://funmeta.oebiotech.com/network/57828")</f>
        <v>http://funmeta.oebiotech.com/network/57828</v>
      </c>
      <c r="H128" s="2" t="s">
        <v>961</v>
      </c>
      <c r="I128" s="2">
        <v>89415</v>
      </c>
      <c r="J128" s="2"/>
      <c r="K128" s="2"/>
      <c r="L128" s="2"/>
      <c r="M128" s="2"/>
      <c r="N128" s="2"/>
      <c r="O128" s="2">
        <v>5317651</v>
      </c>
      <c r="P128" s="2"/>
      <c r="Q128" s="2" t="s">
        <v>962</v>
      </c>
      <c r="R128" s="2" t="s">
        <v>963</v>
      </c>
      <c r="S128" s="2" t="s">
        <v>89</v>
      </c>
      <c r="T128" s="2" t="s">
        <v>90</v>
      </c>
      <c r="U128" s="2" t="s">
        <v>99</v>
      </c>
      <c r="V128" s="2" t="s">
        <v>59</v>
      </c>
      <c r="W128" s="2">
        <v>44.8</v>
      </c>
      <c r="X128" s="2">
        <v>29.6</v>
      </c>
      <c r="Y128" s="2" t="s">
        <v>141</v>
      </c>
      <c r="Z128" s="2" t="s">
        <v>964</v>
      </c>
      <c r="AA128" s="2">
        <v>0.90273763384873495</v>
      </c>
      <c r="AB128" s="2">
        <v>2.9648392680497402</v>
      </c>
      <c r="AC128" s="2">
        <v>313927.24120768899</v>
      </c>
      <c r="AD128" s="2">
        <v>892722.97275641502</v>
      </c>
      <c r="AE128" s="2">
        <v>309032.80031850201</v>
      </c>
      <c r="AF128" s="2">
        <v>303443.37370600802</v>
      </c>
      <c r="AG128" s="2">
        <v>327858.43986401602</v>
      </c>
      <c r="AH128" s="2">
        <v>297083.10484654899</v>
      </c>
      <c r="AI128" s="2">
        <v>302187.929301308</v>
      </c>
      <c r="AJ128" s="2">
        <v>343957.79920975101</v>
      </c>
      <c r="AK128" s="2">
        <v>840269.59564895101</v>
      </c>
      <c r="AL128" s="2">
        <v>913412.84920629498</v>
      </c>
      <c r="AM128" s="2">
        <v>914766.06061684305</v>
      </c>
      <c r="AN128" s="2">
        <v>890615.01328989503</v>
      </c>
      <c r="AO128" s="2">
        <v>875934.35798277997</v>
      </c>
      <c r="AP128" s="2">
        <v>921339.95979372703</v>
      </c>
    </row>
    <row r="129" spans="1:42" ht="14.5" x14ac:dyDescent="0.35">
      <c r="A129" s="2" t="s">
        <v>965</v>
      </c>
      <c r="B129" s="2">
        <v>644.34164307030403</v>
      </c>
      <c r="C129" s="2">
        <v>5.3005833333333303</v>
      </c>
      <c r="D129" s="2" t="s">
        <v>34</v>
      </c>
      <c r="E129" s="2" t="s">
        <v>966</v>
      </c>
      <c r="F129" s="2">
        <v>36093</v>
      </c>
      <c r="G129" s="3" t="str">
        <f>HYPERLINK("http://funmeta.oebiotech.com/network/36093", "http://funmeta.oebiotech.com/network/36093")</f>
        <v>http://funmeta.oebiotech.com/network/36093</v>
      </c>
      <c r="H129" s="2"/>
      <c r="I129" s="2"/>
      <c r="J129" s="2" t="s">
        <v>967</v>
      </c>
      <c r="K129" s="2"/>
      <c r="L129" s="2"/>
      <c r="M129" s="2"/>
      <c r="N129" s="2"/>
      <c r="O129" s="2">
        <v>71712661</v>
      </c>
      <c r="P129" s="2"/>
      <c r="Q129" s="2" t="s">
        <v>968</v>
      </c>
      <c r="R129" s="2" t="s">
        <v>969</v>
      </c>
      <c r="S129" s="2" t="s">
        <v>50</v>
      </c>
      <c r="T129" s="2" t="s">
        <v>201</v>
      </c>
      <c r="U129" s="2" t="s">
        <v>241</v>
      </c>
      <c r="V129" s="2" t="s">
        <v>42</v>
      </c>
      <c r="W129" s="2">
        <v>51.8</v>
      </c>
      <c r="X129" s="2">
        <v>69</v>
      </c>
      <c r="Y129" s="2" t="s">
        <v>43</v>
      </c>
      <c r="Z129" s="2" t="s">
        <v>970</v>
      </c>
      <c r="AA129" s="2">
        <v>-2.0439277034057999</v>
      </c>
      <c r="AB129" s="2">
        <v>2.95854227184536</v>
      </c>
      <c r="AC129" s="2">
        <v>555870.00140890002</v>
      </c>
      <c r="AD129" s="2">
        <v>1170525.2268831099</v>
      </c>
      <c r="AE129" s="2">
        <v>749330.13421009097</v>
      </c>
      <c r="AF129" s="2">
        <v>456253.34330732602</v>
      </c>
      <c r="AG129" s="2">
        <v>787673.63457305206</v>
      </c>
      <c r="AH129" s="2">
        <v>374995.828509974</v>
      </c>
      <c r="AI129" s="2">
        <v>450081.15614036302</v>
      </c>
      <c r="AJ129" s="2">
        <v>516885.91171259701</v>
      </c>
      <c r="AK129" s="2">
        <v>1165784.1926638901</v>
      </c>
      <c r="AL129" s="2">
        <v>1181783.8969608401</v>
      </c>
      <c r="AM129" s="2">
        <v>1215099.58545765</v>
      </c>
      <c r="AN129" s="2">
        <v>1134751.5994731199</v>
      </c>
      <c r="AO129" s="2">
        <v>1118851.73892985</v>
      </c>
      <c r="AP129" s="2">
        <v>1206880.3478133201</v>
      </c>
    </row>
    <row r="130" spans="1:42" ht="14.5" x14ac:dyDescent="0.35">
      <c r="A130" s="2" t="s">
        <v>971</v>
      </c>
      <c r="B130" s="2">
        <v>852.50421986770596</v>
      </c>
      <c r="C130" s="2">
        <v>11.4614333333333</v>
      </c>
      <c r="D130" s="2" t="s">
        <v>34</v>
      </c>
      <c r="E130" s="2" t="s">
        <v>972</v>
      </c>
      <c r="F130" s="2">
        <v>215676</v>
      </c>
      <c r="G130" s="3" t="str">
        <f>HYPERLINK("http://funmeta.oebiotech.com/network/215676", "http://funmeta.oebiotech.com/network/215676")</f>
        <v>http://funmeta.oebiotech.com/network/215676</v>
      </c>
      <c r="H130" s="2" t="s">
        <v>973</v>
      </c>
      <c r="I130" s="2"/>
      <c r="J130" s="2"/>
      <c r="K130" s="2"/>
      <c r="L130" s="2"/>
      <c r="M130" s="2"/>
      <c r="N130" s="2"/>
      <c r="O130" s="2"/>
      <c r="P130" s="2"/>
      <c r="Q130" s="2" t="s">
        <v>974</v>
      </c>
      <c r="R130" s="2" t="s">
        <v>975</v>
      </c>
      <c r="S130" s="2" t="s">
        <v>41</v>
      </c>
      <c r="T130" s="2" t="s">
        <v>41</v>
      </c>
      <c r="U130" s="2" t="s">
        <v>41</v>
      </c>
      <c r="V130" s="2" t="s">
        <v>59</v>
      </c>
      <c r="W130" s="2">
        <v>37.4</v>
      </c>
      <c r="X130" s="2">
        <v>4.8899999999999997</v>
      </c>
      <c r="Y130" s="2" t="s">
        <v>394</v>
      </c>
      <c r="Z130" s="2" t="s">
        <v>976</v>
      </c>
      <c r="AA130" s="2">
        <v>2.4427546138038099</v>
      </c>
      <c r="AB130" s="2">
        <v>2.9072677672690901</v>
      </c>
      <c r="AC130" s="2">
        <v>27519.1048781063</v>
      </c>
      <c r="AD130" s="2">
        <v>584292.20577549795</v>
      </c>
      <c r="AE130" s="2">
        <v>24360.949879235199</v>
      </c>
      <c r="AF130" s="2">
        <v>24861.3038941495</v>
      </c>
      <c r="AG130" s="2">
        <v>27986.054607629201</v>
      </c>
      <c r="AH130" s="2">
        <v>26723.574313126199</v>
      </c>
      <c r="AI130" s="2">
        <v>26669.447842020702</v>
      </c>
      <c r="AJ130" s="2">
        <v>34513.298732477197</v>
      </c>
      <c r="AK130" s="2">
        <v>556337.98523738503</v>
      </c>
      <c r="AL130" s="2">
        <v>528982.99594110798</v>
      </c>
      <c r="AM130" s="2">
        <v>629214.26833578898</v>
      </c>
      <c r="AN130" s="2">
        <v>607309.17232652602</v>
      </c>
      <c r="AO130" s="2">
        <v>558942.84107821505</v>
      </c>
      <c r="AP130" s="2">
        <v>624965.97173396498</v>
      </c>
    </row>
    <row r="131" spans="1:42" ht="14.5" x14ac:dyDescent="0.35">
      <c r="A131" s="2" t="s">
        <v>977</v>
      </c>
      <c r="B131" s="2">
        <v>747.42775838513705</v>
      </c>
      <c r="C131" s="2">
        <v>11.0825666666667</v>
      </c>
      <c r="D131" s="2" t="s">
        <v>34</v>
      </c>
      <c r="E131" s="2" t="s">
        <v>978</v>
      </c>
      <c r="F131" s="2">
        <v>45831</v>
      </c>
      <c r="G131" s="3" t="str">
        <f>HYPERLINK("http://funmeta.oebiotech.com/network/45831", "http://funmeta.oebiotech.com/network/45831")</f>
        <v>http://funmeta.oebiotech.com/network/45831</v>
      </c>
      <c r="H131" s="2"/>
      <c r="I131" s="2">
        <v>42596</v>
      </c>
      <c r="J131" s="2" t="s">
        <v>979</v>
      </c>
      <c r="K131" s="2"/>
      <c r="L131" s="2"/>
      <c r="M131" s="2"/>
      <c r="N131" s="2"/>
      <c r="O131" s="2">
        <v>24779644</v>
      </c>
      <c r="P131" s="2"/>
      <c r="Q131" s="2" t="s">
        <v>980</v>
      </c>
      <c r="R131" s="2" t="s">
        <v>981</v>
      </c>
      <c r="S131" s="2" t="s">
        <v>50</v>
      </c>
      <c r="T131" s="2" t="s">
        <v>124</v>
      </c>
      <c r="U131" s="2" t="s">
        <v>982</v>
      </c>
      <c r="V131" s="2" t="s">
        <v>59</v>
      </c>
      <c r="W131" s="2">
        <v>43</v>
      </c>
      <c r="X131" s="2">
        <v>23.2</v>
      </c>
      <c r="Y131" s="2" t="s">
        <v>505</v>
      </c>
      <c r="Z131" s="2" t="s">
        <v>983</v>
      </c>
      <c r="AA131" s="2">
        <v>-1.7113666328842401</v>
      </c>
      <c r="AB131" s="2">
        <v>2.8890356345399799</v>
      </c>
      <c r="AC131" s="2">
        <v>628311.53406761098</v>
      </c>
      <c r="AD131" s="2">
        <v>1178588.60069899</v>
      </c>
      <c r="AE131" s="2">
        <v>627120.81928535597</v>
      </c>
      <c r="AF131" s="2">
        <v>644743.37968733103</v>
      </c>
      <c r="AG131" s="2">
        <v>638235.72525215999</v>
      </c>
      <c r="AH131" s="2">
        <v>595873.099731931</v>
      </c>
      <c r="AI131" s="2">
        <v>604406.94089755602</v>
      </c>
      <c r="AJ131" s="2">
        <v>659489.23955133196</v>
      </c>
      <c r="AK131" s="2">
        <v>1191919.75020684</v>
      </c>
      <c r="AL131" s="2">
        <v>1167863.83656899</v>
      </c>
      <c r="AM131" s="2">
        <v>1225903.08109619</v>
      </c>
      <c r="AN131" s="2">
        <v>1150322.0678113501</v>
      </c>
      <c r="AO131" s="2">
        <v>1149357.28122115</v>
      </c>
      <c r="AP131" s="2">
        <v>1186165.58728942</v>
      </c>
    </row>
    <row r="132" spans="1:42" ht="14.5" x14ac:dyDescent="0.35">
      <c r="A132" s="2" t="s">
        <v>984</v>
      </c>
      <c r="B132" s="2">
        <v>568.32631571798902</v>
      </c>
      <c r="C132" s="2">
        <v>8.0464500000000001</v>
      </c>
      <c r="D132" s="2" t="s">
        <v>34</v>
      </c>
      <c r="E132" s="2" t="s">
        <v>985</v>
      </c>
      <c r="F132" s="2">
        <v>21287</v>
      </c>
      <c r="G132" s="3" t="str">
        <f>HYPERLINK("http://funmeta.oebiotech.com/network/21287", "http://funmeta.oebiotech.com/network/21287")</f>
        <v>http://funmeta.oebiotech.com/network/21287</v>
      </c>
      <c r="H132" s="2"/>
      <c r="I132" s="2">
        <v>40807</v>
      </c>
      <c r="J132" s="2" t="s">
        <v>986</v>
      </c>
      <c r="K132" s="2"/>
      <c r="L132" s="2"/>
      <c r="M132" s="2"/>
      <c r="N132" s="2"/>
      <c r="O132" s="2">
        <v>9547085</v>
      </c>
      <c r="P132" s="2"/>
      <c r="Q132" s="2" t="s">
        <v>987</v>
      </c>
      <c r="R132" s="2" t="s">
        <v>988</v>
      </c>
      <c r="S132" s="2" t="s">
        <v>50</v>
      </c>
      <c r="T132" s="2" t="s">
        <v>51</v>
      </c>
      <c r="U132" s="2" t="s">
        <v>66</v>
      </c>
      <c r="V132" s="2" t="s">
        <v>59</v>
      </c>
      <c r="W132" s="2">
        <v>44.5</v>
      </c>
      <c r="X132" s="2">
        <v>30.1</v>
      </c>
      <c r="Y132" s="2" t="s">
        <v>67</v>
      </c>
      <c r="Z132" s="2" t="s">
        <v>989</v>
      </c>
      <c r="AA132" s="2">
        <v>3.1831433668826801</v>
      </c>
      <c r="AB132" s="2">
        <v>2.8593738974373801</v>
      </c>
      <c r="AC132" s="2">
        <v>935110.81797550595</v>
      </c>
      <c r="AD132" s="2">
        <v>1473888.3214440299</v>
      </c>
      <c r="AE132" s="2">
        <v>929868.31503704295</v>
      </c>
      <c r="AF132" s="2">
        <v>977198.06991187099</v>
      </c>
      <c r="AG132" s="2">
        <v>929559.33240633004</v>
      </c>
      <c r="AH132" s="2">
        <v>890807.13675581606</v>
      </c>
      <c r="AI132" s="2">
        <v>959028.89018223505</v>
      </c>
      <c r="AJ132" s="2">
        <v>924203.16355973994</v>
      </c>
      <c r="AK132" s="2">
        <v>1425586.8106823401</v>
      </c>
      <c r="AL132" s="2">
        <v>1475710.5286055901</v>
      </c>
      <c r="AM132" s="2">
        <v>1474737.46636481</v>
      </c>
      <c r="AN132" s="2">
        <v>1518383.2727944499</v>
      </c>
      <c r="AO132" s="2">
        <v>1470698.92723653</v>
      </c>
      <c r="AP132" s="2">
        <v>1478212.9229804699</v>
      </c>
    </row>
    <row r="133" spans="1:42" ht="14.5" x14ac:dyDescent="0.35">
      <c r="A133" s="2" t="s">
        <v>990</v>
      </c>
      <c r="B133" s="2">
        <v>699.38052803466303</v>
      </c>
      <c r="C133" s="2">
        <v>10.28895</v>
      </c>
      <c r="D133" s="2" t="s">
        <v>70</v>
      </c>
      <c r="E133" s="2" t="s">
        <v>991</v>
      </c>
      <c r="F133" s="2">
        <v>18028</v>
      </c>
      <c r="G133" s="3" t="str">
        <f>HYPERLINK("http://funmeta.oebiotech.com/network/18028", "http://funmeta.oebiotech.com/network/18028")</f>
        <v>http://funmeta.oebiotech.com/network/18028</v>
      </c>
      <c r="H133" s="2"/>
      <c r="I133" s="2"/>
      <c r="J133" s="2" t="s">
        <v>992</v>
      </c>
      <c r="K133" s="2"/>
      <c r="L133" s="2"/>
      <c r="M133" s="2"/>
      <c r="N133" s="2"/>
      <c r="O133" s="2"/>
      <c r="P133" s="2"/>
      <c r="Q133" s="2" t="s">
        <v>993</v>
      </c>
      <c r="R133" s="2" t="s">
        <v>994</v>
      </c>
      <c r="S133" s="2" t="s">
        <v>50</v>
      </c>
      <c r="T133" s="2" t="s">
        <v>448</v>
      </c>
      <c r="U133" s="2" t="s">
        <v>449</v>
      </c>
      <c r="V133" s="2" t="s">
        <v>42</v>
      </c>
      <c r="W133" s="2">
        <v>55.4</v>
      </c>
      <c r="X133" s="2">
        <v>78.400000000000006</v>
      </c>
      <c r="Y133" s="2" t="s">
        <v>286</v>
      </c>
      <c r="Z133" s="2" t="s">
        <v>995</v>
      </c>
      <c r="AA133" s="2">
        <v>-0.50638450418149195</v>
      </c>
      <c r="AB133" s="2">
        <v>2.8586704125885101</v>
      </c>
      <c r="AC133" s="2">
        <v>1028868.00508447</v>
      </c>
      <c r="AD133" s="2">
        <v>488522.509813043</v>
      </c>
      <c r="AE133" s="2">
        <v>1106842.4427579599</v>
      </c>
      <c r="AF133" s="2">
        <v>1063216.9588661699</v>
      </c>
      <c r="AG133" s="2">
        <v>1018811.27078378</v>
      </c>
      <c r="AH133" s="2">
        <v>981470.66920066404</v>
      </c>
      <c r="AI133" s="2">
        <v>976477.53384694702</v>
      </c>
      <c r="AJ133" s="2">
        <v>1026389.15505132</v>
      </c>
      <c r="AK133" s="2">
        <v>455939.45141490002</v>
      </c>
      <c r="AL133" s="2">
        <v>497865.12991388101</v>
      </c>
      <c r="AM133" s="2">
        <v>533596.68860036402</v>
      </c>
      <c r="AN133" s="2">
        <v>496685.10249771399</v>
      </c>
      <c r="AO133" s="2">
        <v>473833.03196515999</v>
      </c>
      <c r="AP133" s="2">
        <v>473215.65448623698</v>
      </c>
    </row>
    <row r="134" spans="1:42" ht="14.5" x14ac:dyDescent="0.35">
      <c r="A134" s="2" t="s">
        <v>996</v>
      </c>
      <c r="B134" s="2">
        <v>716.43430306995504</v>
      </c>
      <c r="C134" s="2">
        <v>5.37076666666667</v>
      </c>
      <c r="D134" s="2" t="s">
        <v>34</v>
      </c>
      <c r="E134" s="2" t="s">
        <v>997</v>
      </c>
      <c r="F134" s="2">
        <v>24677</v>
      </c>
      <c r="G134" s="3" t="str">
        <f>HYPERLINK("http://funmeta.oebiotech.com/network/24677", "http://funmeta.oebiotech.com/network/24677")</f>
        <v>http://funmeta.oebiotech.com/network/24677</v>
      </c>
      <c r="H134" s="2"/>
      <c r="I134" s="2"/>
      <c r="J134" s="2" t="s">
        <v>998</v>
      </c>
      <c r="K134" s="2"/>
      <c r="L134" s="2"/>
      <c r="M134" s="2"/>
      <c r="N134" s="2"/>
      <c r="O134" s="2">
        <v>52928414</v>
      </c>
      <c r="P134" s="2"/>
      <c r="Q134" s="2" t="s">
        <v>999</v>
      </c>
      <c r="R134" s="2" t="s">
        <v>1000</v>
      </c>
      <c r="S134" s="2" t="s">
        <v>50</v>
      </c>
      <c r="T134" s="2" t="s">
        <v>51</v>
      </c>
      <c r="U134" s="2" t="s">
        <v>52</v>
      </c>
      <c r="V134" s="2" t="s">
        <v>59</v>
      </c>
      <c r="W134" s="2">
        <v>39.5</v>
      </c>
      <c r="X134" s="2">
        <v>8.93</v>
      </c>
      <c r="Y134" s="2" t="s">
        <v>470</v>
      </c>
      <c r="Z134" s="2" t="s">
        <v>1001</v>
      </c>
      <c r="AA134" s="2">
        <v>-0.216444156084386</v>
      </c>
      <c r="AB134" s="2">
        <v>2.8543218433038802</v>
      </c>
      <c r="AC134" s="2">
        <v>3008859.8935859301</v>
      </c>
      <c r="AD134" s="2">
        <v>2429049.4008669001</v>
      </c>
      <c r="AE134" s="2">
        <v>3043806.45626469</v>
      </c>
      <c r="AF134" s="2">
        <v>3150429.7908367901</v>
      </c>
      <c r="AG134" s="2">
        <v>2813721.0964896102</v>
      </c>
      <c r="AH134" s="2">
        <v>3063931.4468215699</v>
      </c>
      <c r="AI134" s="2">
        <v>3023921.3771894001</v>
      </c>
      <c r="AJ134" s="2">
        <v>2957349.1939134998</v>
      </c>
      <c r="AK134" s="2">
        <v>2286166.7401725999</v>
      </c>
      <c r="AL134" s="2">
        <v>2238485.8041041601</v>
      </c>
      <c r="AM134" s="2">
        <v>2617346.6953393002</v>
      </c>
      <c r="AN134" s="2">
        <v>2415971.47488845</v>
      </c>
      <c r="AO134" s="2">
        <v>2505100.1066243001</v>
      </c>
      <c r="AP134" s="2">
        <v>2511225.5840726001</v>
      </c>
    </row>
    <row r="135" spans="1:42" ht="14.5" x14ac:dyDescent="0.35">
      <c r="A135" s="2" t="s">
        <v>1002</v>
      </c>
      <c r="B135" s="2">
        <v>282.27867373286898</v>
      </c>
      <c r="C135" s="2">
        <v>12.3610166666667</v>
      </c>
      <c r="D135" s="2" t="s">
        <v>34</v>
      </c>
      <c r="E135" s="2" t="s">
        <v>1003</v>
      </c>
      <c r="F135" s="2">
        <v>6694</v>
      </c>
      <c r="G135" s="3" t="str">
        <f>HYPERLINK("http://funmeta.oebiotech.com/network/6694", "http://funmeta.oebiotech.com/network/6694")</f>
        <v>http://funmeta.oebiotech.com/network/6694</v>
      </c>
      <c r="H135" s="2"/>
      <c r="I135" s="2">
        <v>46520</v>
      </c>
      <c r="J135" s="2" t="s">
        <v>1004</v>
      </c>
      <c r="K135" s="2"/>
      <c r="L135" s="2"/>
      <c r="M135" s="2"/>
      <c r="N135" s="2"/>
      <c r="O135" s="2">
        <v>9903401</v>
      </c>
      <c r="P135" s="2"/>
      <c r="Q135" s="2" t="s">
        <v>1005</v>
      </c>
      <c r="R135" s="2" t="s">
        <v>1006</v>
      </c>
      <c r="S135" s="2" t="s">
        <v>50</v>
      </c>
      <c r="T135" s="2" t="s">
        <v>229</v>
      </c>
      <c r="U135" s="2" t="s">
        <v>1007</v>
      </c>
      <c r="V135" s="2" t="s">
        <v>42</v>
      </c>
      <c r="W135" s="2">
        <v>57</v>
      </c>
      <c r="X135" s="2">
        <v>88.8</v>
      </c>
      <c r="Y135" s="2" t="s">
        <v>1008</v>
      </c>
      <c r="Z135" s="2" t="s">
        <v>1009</v>
      </c>
      <c r="AA135" s="2">
        <v>-1.7689733875172999</v>
      </c>
      <c r="AB135" s="2">
        <v>2.84901991507608</v>
      </c>
      <c r="AC135" s="2">
        <v>43770418.023066401</v>
      </c>
      <c r="AD135" s="2">
        <v>40627475.376987197</v>
      </c>
      <c r="AE135" s="2">
        <v>50132580.776593201</v>
      </c>
      <c r="AF135" s="2">
        <v>34508607.265941396</v>
      </c>
      <c r="AG135" s="2">
        <v>41517727.298751697</v>
      </c>
      <c r="AH135" s="2">
        <v>50523469.868576698</v>
      </c>
      <c r="AI135" s="2">
        <v>49285263.185033202</v>
      </c>
      <c r="AJ135" s="2">
        <v>36654859.743502103</v>
      </c>
      <c r="AK135" s="2">
        <v>33355345.625367999</v>
      </c>
      <c r="AL135" s="2">
        <v>58591354.163938597</v>
      </c>
      <c r="AM135" s="2">
        <v>37981765.844084397</v>
      </c>
      <c r="AN135" s="2">
        <v>51940000.950582698</v>
      </c>
      <c r="AO135" s="2">
        <v>30056853.2235591</v>
      </c>
      <c r="AP135" s="2">
        <v>31839532.454390399</v>
      </c>
    </row>
    <row r="136" spans="1:42" ht="14.5" x14ac:dyDescent="0.35">
      <c r="A136" s="2" t="s">
        <v>1010</v>
      </c>
      <c r="B136" s="2">
        <v>191.01890718637301</v>
      </c>
      <c r="C136" s="2">
        <v>0.76995000000000002</v>
      </c>
      <c r="D136" s="2" t="s">
        <v>70</v>
      </c>
      <c r="E136" s="2" t="s">
        <v>1011</v>
      </c>
      <c r="F136" s="2">
        <v>46922</v>
      </c>
      <c r="G136" s="3" t="str">
        <f>HYPERLINK("http://funmeta.oebiotech.com/network/46922", "http://funmeta.oebiotech.com/network/46922")</f>
        <v>http://funmeta.oebiotech.com/network/46922</v>
      </c>
      <c r="H136" s="2" t="s">
        <v>1012</v>
      </c>
      <c r="I136" s="2">
        <v>3328</v>
      </c>
      <c r="J136" s="2"/>
      <c r="K136" s="2">
        <v>30887</v>
      </c>
      <c r="L136" s="2" t="s">
        <v>1013</v>
      </c>
      <c r="M136" s="2" t="s">
        <v>1014</v>
      </c>
      <c r="N136" s="2" t="s">
        <v>1015</v>
      </c>
      <c r="O136" s="2">
        <v>1198</v>
      </c>
      <c r="P136" s="2" t="s">
        <v>1016</v>
      </c>
      <c r="Q136" s="2" t="s">
        <v>1017</v>
      </c>
      <c r="R136" s="2" t="s">
        <v>1018</v>
      </c>
      <c r="S136" s="2" t="s">
        <v>89</v>
      </c>
      <c r="T136" s="2" t="s">
        <v>90</v>
      </c>
      <c r="U136" s="2" t="s">
        <v>91</v>
      </c>
      <c r="V136" s="2" t="s">
        <v>42</v>
      </c>
      <c r="W136" s="2">
        <v>49.6</v>
      </c>
      <c r="X136" s="2">
        <v>53.9</v>
      </c>
      <c r="Y136" s="2" t="s">
        <v>118</v>
      </c>
      <c r="Z136" s="2" t="s">
        <v>1019</v>
      </c>
      <c r="AA136" s="2">
        <v>-4.2648955393514401</v>
      </c>
      <c r="AB136" s="2">
        <v>2.8330683272616701</v>
      </c>
      <c r="AC136" s="2">
        <v>1881178.920193</v>
      </c>
      <c r="AD136" s="2">
        <v>1275782.78770913</v>
      </c>
      <c r="AE136" s="2">
        <v>2304300.0314186201</v>
      </c>
      <c r="AF136" s="2">
        <v>1727939.60060353</v>
      </c>
      <c r="AG136" s="2">
        <v>1638524.7493503899</v>
      </c>
      <c r="AH136" s="2">
        <v>1832506.18496316</v>
      </c>
      <c r="AI136" s="2">
        <v>1946248.3186767499</v>
      </c>
      <c r="AJ136" s="2">
        <v>1837554.6361455601</v>
      </c>
      <c r="AK136" s="2">
        <v>1398256.57233564</v>
      </c>
      <c r="AL136" s="2">
        <v>1107246.94955094</v>
      </c>
      <c r="AM136" s="2">
        <v>1430337.97282074</v>
      </c>
      <c r="AN136" s="2">
        <v>1254835.4131200199</v>
      </c>
      <c r="AO136" s="2">
        <v>1195811.16447062</v>
      </c>
      <c r="AP136" s="2">
        <v>1268208.6539568</v>
      </c>
    </row>
    <row r="137" spans="1:42" ht="14.5" x14ac:dyDescent="0.35">
      <c r="A137" s="2" t="s">
        <v>1020</v>
      </c>
      <c r="B137" s="2">
        <v>367.13619165305602</v>
      </c>
      <c r="C137" s="2">
        <v>4.2938999999999998</v>
      </c>
      <c r="D137" s="2" t="s">
        <v>34</v>
      </c>
      <c r="E137" s="2" t="s">
        <v>1021</v>
      </c>
      <c r="F137" s="2">
        <v>57329</v>
      </c>
      <c r="G137" s="3" t="str">
        <f>HYPERLINK("http://funmeta.oebiotech.com/network/57329", "http://funmeta.oebiotech.com/network/57329")</f>
        <v>http://funmeta.oebiotech.com/network/57329</v>
      </c>
      <c r="H137" s="2" t="s">
        <v>1022</v>
      </c>
      <c r="I137" s="2">
        <v>88959</v>
      </c>
      <c r="J137" s="2"/>
      <c r="K137" s="2">
        <v>167928</v>
      </c>
      <c r="L137" s="2"/>
      <c r="M137" s="2"/>
      <c r="N137" s="2"/>
      <c r="O137" s="2">
        <v>45360332</v>
      </c>
      <c r="P137" s="2" t="s">
        <v>1023</v>
      </c>
      <c r="Q137" s="2" t="s">
        <v>1024</v>
      </c>
      <c r="R137" s="2" t="s">
        <v>1025</v>
      </c>
      <c r="S137" s="2" t="s">
        <v>79</v>
      </c>
      <c r="T137" s="2" t="s">
        <v>80</v>
      </c>
      <c r="U137" s="2" t="s">
        <v>81</v>
      </c>
      <c r="V137" s="2" t="s">
        <v>42</v>
      </c>
      <c r="W137" s="2">
        <v>49.5</v>
      </c>
      <c r="X137" s="2">
        <v>50.7</v>
      </c>
      <c r="Y137" s="2" t="s">
        <v>203</v>
      </c>
      <c r="Z137" s="2" t="s">
        <v>1026</v>
      </c>
      <c r="AA137" s="2">
        <v>-0.42642549082620201</v>
      </c>
      <c r="AB137" s="2">
        <v>2.8061124167368101</v>
      </c>
      <c r="AC137" s="2">
        <v>7204285.5479445001</v>
      </c>
      <c r="AD137" s="2">
        <v>7837030.7691651797</v>
      </c>
      <c r="AE137" s="2">
        <v>7259702.8473753901</v>
      </c>
      <c r="AF137" s="2">
        <v>6986772.5226007998</v>
      </c>
      <c r="AG137" s="2">
        <v>7451139.7392024603</v>
      </c>
      <c r="AH137" s="2">
        <v>6931521.7014682796</v>
      </c>
      <c r="AI137" s="2">
        <v>6949717.1125543099</v>
      </c>
      <c r="AJ137" s="2">
        <v>7646859.3644657498</v>
      </c>
      <c r="AK137" s="2">
        <v>7800920.6034679404</v>
      </c>
      <c r="AL137" s="2">
        <v>7942262.7437834702</v>
      </c>
      <c r="AM137" s="2">
        <v>7612448.8526508799</v>
      </c>
      <c r="AN137" s="2">
        <v>7853927.5031976299</v>
      </c>
      <c r="AO137" s="2">
        <v>8076892.7636598004</v>
      </c>
      <c r="AP137" s="2">
        <v>7735732.1482313601</v>
      </c>
    </row>
    <row r="138" spans="1:42" ht="14.5" x14ac:dyDescent="0.35">
      <c r="A138" s="2" t="s">
        <v>1027</v>
      </c>
      <c r="B138" s="2">
        <v>147.04396280628501</v>
      </c>
      <c r="C138" s="2">
        <v>4.1925499999999998</v>
      </c>
      <c r="D138" s="2" t="s">
        <v>34</v>
      </c>
      <c r="E138" s="2" t="s">
        <v>1028</v>
      </c>
      <c r="F138" s="2">
        <v>47772</v>
      </c>
      <c r="G138" s="3" t="str">
        <f>HYPERLINK("http://funmeta.oebiotech.com/network/47772", "http://funmeta.oebiotech.com/network/47772")</f>
        <v>http://funmeta.oebiotech.com/network/47772</v>
      </c>
      <c r="H138" s="2" t="s">
        <v>1029</v>
      </c>
      <c r="I138" s="2">
        <v>307</v>
      </c>
      <c r="J138" s="2"/>
      <c r="K138" s="2">
        <v>32374</v>
      </c>
      <c r="L138" s="2" t="s">
        <v>1030</v>
      </c>
      <c r="M138" s="2" t="s">
        <v>1031</v>
      </c>
      <c r="N138" s="2" t="s">
        <v>1032</v>
      </c>
      <c r="O138" s="2">
        <v>637542</v>
      </c>
      <c r="P138" s="2" t="s">
        <v>1033</v>
      </c>
      <c r="Q138" s="2" t="s">
        <v>1034</v>
      </c>
      <c r="R138" s="2" t="s">
        <v>1035</v>
      </c>
      <c r="S138" s="2" t="s">
        <v>115</v>
      </c>
      <c r="T138" s="2" t="s">
        <v>116</v>
      </c>
      <c r="U138" s="2" t="s">
        <v>117</v>
      </c>
      <c r="V138" s="2" t="s">
        <v>42</v>
      </c>
      <c r="W138" s="2">
        <v>56.6</v>
      </c>
      <c r="X138" s="2">
        <v>84.5</v>
      </c>
      <c r="Y138" s="2" t="s">
        <v>266</v>
      </c>
      <c r="Z138" s="2" t="s">
        <v>1036</v>
      </c>
      <c r="AA138" s="2">
        <v>-0.56726888999806102</v>
      </c>
      <c r="AB138" s="2">
        <v>2.80528964940294</v>
      </c>
      <c r="AC138" s="2">
        <v>2564861.7940567802</v>
      </c>
      <c r="AD138" s="2">
        <v>2034251.3563850501</v>
      </c>
      <c r="AE138" s="2">
        <v>2501898.2436478902</v>
      </c>
      <c r="AF138" s="2">
        <v>2501252.3462875001</v>
      </c>
      <c r="AG138" s="2">
        <v>2733745.43972302</v>
      </c>
      <c r="AH138" s="2">
        <v>2566278.5049128602</v>
      </c>
      <c r="AI138" s="2">
        <v>2534301.0284840702</v>
      </c>
      <c r="AJ138" s="2">
        <v>2551695.2012853399</v>
      </c>
      <c r="AK138" s="2">
        <v>2112854.1613007002</v>
      </c>
      <c r="AL138" s="2">
        <v>2019300.6624383801</v>
      </c>
      <c r="AM138" s="2">
        <v>2069120.61604992</v>
      </c>
      <c r="AN138" s="2">
        <v>1998973.2785199999</v>
      </c>
      <c r="AO138" s="2">
        <v>2026486.77426168</v>
      </c>
      <c r="AP138" s="2">
        <v>1978772.6457396201</v>
      </c>
    </row>
    <row r="139" spans="1:42" ht="14.5" x14ac:dyDescent="0.35">
      <c r="A139" s="2" t="s">
        <v>1037</v>
      </c>
      <c r="B139" s="2">
        <v>597.14450572307999</v>
      </c>
      <c r="C139" s="2">
        <v>4.4964333333333304</v>
      </c>
      <c r="D139" s="2" t="s">
        <v>34</v>
      </c>
      <c r="E139" s="2" t="s">
        <v>1038</v>
      </c>
      <c r="F139" s="2">
        <v>254783</v>
      </c>
      <c r="G139" s="3" t="str">
        <f>HYPERLINK("http://funmeta.oebiotech.com/network/254783", "http://funmeta.oebiotech.com/network/254783")</f>
        <v>http://funmeta.oebiotech.com/network/254783</v>
      </c>
      <c r="H139" s="2" t="s">
        <v>1039</v>
      </c>
      <c r="I139" s="2"/>
      <c r="J139" s="2"/>
      <c r="K139" s="2"/>
      <c r="L139" s="2"/>
      <c r="M139" s="2"/>
      <c r="N139" s="2"/>
      <c r="O139" s="2"/>
      <c r="P139" s="2"/>
      <c r="Q139" s="2" t="s">
        <v>1040</v>
      </c>
      <c r="R139" s="2" t="s">
        <v>1041</v>
      </c>
      <c r="S139" s="2" t="s">
        <v>115</v>
      </c>
      <c r="T139" s="2" t="s">
        <v>139</v>
      </c>
      <c r="U139" s="2" t="s">
        <v>140</v>
      </c>
      <c r="V139" s="2" t="s">
        <v>42</v>
      </c>
      <c r="W139" s="2">
        <v>50.1</v>
      </c>
      <c r="X139" s="2">
        <v>52.5</v>
      </c>
      <c r="Y139" s="2" t="s">
        <v>1042</v>
      </c>
      <c r="Z139" s="2" t="s">
        <v>1043</v>
      </c>
      <c r="AA139" s="2">
        <v>-0.84799168121150803</v>
      </c>
      <c r="AB139" s="2">
        <v>2.8015216996979602</v>
      </c>
      <c r="AC139" s="2">
        <v>3006449.3291905802</v>
      </c>
      <c r="AD139" s="2">
        <v>3643111.6900809999</v>
      </c>
      <c r="AE139" s="2">
        <v>2932270.7930969102</v>
      </c>
      <c r="AF139" s="2">
        <v>2961497.5025537699</v>
      </c>
      <c r="AG139" s="2">
        <v>2886519.09691907</v>
      </c>
      <c r="AH139" s="2">
        <v>2676056.2951007802</v>
      </c>
      <c r="AI139" s="2">
        <v>2997995.8775931499</v>
      </c>
      <c r="AJ139" s="2">
        <v>3584356.4098798102</v>
      </c>
      <c r="AK139" s="2">
        <v>3762148.5247745402</v>
      </c>
      <c r="AL139" s="2">
        <v>3730754.0714914198</v>
      </c>
      <c r="AM139" s="2">
        <v>3801795.4512544302</v>
      </c>
      <c r="AN139" s="2">
        <v>3757208.98885427</v>
      </c>
      <c r="AO139" s="2">
        <v>3350002.9576310702</v>
      </c>
      <c r="AP139" s="2">
        <v>3456760.1464802902</v>
      </c>
    </row>
    <row r="140" spans="1:42" ht="14.5" x14ac:dyDescent="0.35">
      <c r="A140" s="2" t="s">
        <v>1044</v>
      </c>
      <c r="B140" s="2">
        <v>550.33717855398197</v>
      </c>
      <c r="C140" s="2">
        <v>10.792766666666701</v>
      </c>
      <c r="D140" s="2" t="s">
        <v>34</v>
      </c>
      <c r="E140" s="2" t="s">
        <v>1045</v>
      </c>
      <c r="F140" s="2">
        <v>43739</v>
      </c>
      <c r="G140" s="3" t="str">
        <f>HYPERLINK("http://funmeta.oebiotech.com/network/43739", "http://funmeta.oebiotech.com/network/43739")</f>
        <v>http://funmeta.oebiotech.com/network/43739</v>
      </c>
      <c r="H140" s="2"/>
      <c r="I140" s="2"/>
      <c r="J140" s="2" t="s">
        <v>1046</v>
      </c>
      <c r="K140" s="2"/>
      <c r="L140" s="2"/>
      <c r="M140" s="2"/>
      <c r="N140" s="2"/>
      <c r="O140" s="2"/>
      <c r="P140" s="2"/>
      <c r="Q140" s="2" t="s">
        <v>1047</v>
      </c>
      <c r="R140" s="2" t="s">
        <v>1048</v>
      </c>
      <c r="S140" s="2" t="s">
        <v>50</v>
      </c>
      <c r="T140" s="2" t="s">
        <v>201</v>
      </c>
      <c r="U140" s="2" t="s">
        <v>210</v>
      </c>
      <c r="V140" s="2" t="s">
        <v>42</v>
      </c>
      <c r="W140" s="2">
        <v>50.6</v>
      </c>
      <c r="X140" s="2">
        <v>55</v>
      </c>
      <c r="Y140" s="2" t="s">
        <v>43</v>
      </c>
      <c r="Z140" s="2" t="s">
        <v>1049</v>
      </c>
      <c r="AA140" s="2">
        <v>-0.49848163501368098</v>
      </c>
      <c r="AB140" s="2">
        <v>2.74893552911298</v>
      </c>
      <c r="AC140" s="2">
        <v>548441.23243413796</v>
      </c>
      <c r="AD140" s="2">
        <v>47803.0015732385</v>
      </c>
      <c r="AE140" s="2">
        <v>523662.68903035199</v>
      </c>
      <c r="AF140" s="2">
        <v>557809.69079700403</v>
      </c>
      <c r="AG140" s="2">
        <v>557727.43352756603</v>
      </c>
      <c r="AH140" s="2">
        <v>543204.08236309304</v>
      </c>
      <c r="AI140" s="2">
        <v>464853.85690569697</v>
      </c>
      <c r="AJ140" s="2">
        <v>643389.64198111405</v>
      </c>
      <c r="AK140" s="2">
        <v>37107.781723143802</v>
      </c>
      <c r="AL140" s="2">
        <v>77546.218705162595</v>
      </c>
      <c r="AM140" s="2">
        <v>36515.109219403799</v>
      </c>
      <c r="AN140" s="2">
        <v>53256.161007824601</v>
      </c>
      <c r="AO140" s="2">
        <v>45416.8569847658</v>
      </c>
      <c r="AP140" s="2">
        <v>36975.881799130402</v>
      </c>
    </row>
    <row r="141" spans="1:42" ht="14.5" x14ac:dyDescent="0.35">
      <c r="A141" s="2" t="s">
        <v>1050</v>
      </c>
      <c r="B141" s="2">
        <v>925.60239973284104</v>
      </c>
      <c r="C141" s="2">
        <v>4.7862166666666699</v>
      </c>
      <c r="D141" s="2" t="s">
        <v>34</v>
      </c>
      <c r="E141" s="2" t="s">
        <v>1051</v>
      </c>
      <c r="F141" s="2">
        <v>230119</v>
      </c>
      <c r="G141" s="3" t="str">
        <f>HYPERLINK("http://funmeta.oebiotech.com/network/230119", "http://funmeta.oebiotech.com/network/230119")</f>
        <v>http://funmeta.oebiotech.com/network/230119</v>
      </c>
      <c r="H141" s="2" t="s">
        <v>1052</v>
      </c>
      <c r="I141" s="2"/>
      <c r="J141" s="2"/>
      <c r="K141" s="2"/>
      <c r="L141" s="2"/>
      <c r="M141" s="2"/>
      <c r="N141" s="2"/>
      <c r="O141" s="2"/>
      <c r="P141" s="2"/>
      <c r="Q141" s="2" t="s">
        <v>1053</v>
      </c>
      <c r="R141" s="2" t="s">
        <v>1054</v>
      </c>
      <c r="S141" s="2" t="s">
        <v>41</v>
      </c>
      <c r="T141" s="2" t="s">
        <v>41</v>
      </c>
      <c r="U141" s="2" t="s">
        <v>41</v>
      </c>
      <c r="V141" s="2" t="s">
        <v>59</v>
      </c>
      <c r="W141" s="2">
        <v>38.700000000000003</v>
      </c>
      <c r="X141" s="2">
        <v>0</v>
      </c>
      <c r="Y141" s="2" t="s">
        <v>266</v>
      </c>
      <c r="Z141" s="2" t="s">
        <v>1055</v>
      </c>
      <c r="AA141" s="2">
        <v>1.3135747479794599</v>
      </c>
      <c r="AB141" s="2">
        <v>2.7374156035144299</v>
      </c>
      <c r="AC141" s="2">
        <v>682137.90673781303</v>
      </c>
      <c r="AD141" s="2">
        <v>1213920.5525815999</v>
      </c>
      <c r="AE141" s="2">
        <v>642984.43289800105</v>
      </c>
      <c r="AF141" s="2">
        <v>639221.51592771895</v>
      </c>
      <c r="AG141" s="2">
        <v>662653.52440448501</v>
      </c>
      <c r="AH141" s="2">
        <v>698135.21612876898</v>
      </c>
      <c r="AI141" s="2">
        <v>732402.37977349595</v>
      </c>
      <c r="AJ141" s="2">
        <v>717430.37129440706</v>
      </c>
      <c r="AK141" s="2">
        <v>1063850.53591829</v>
      </c>
      <c r="AL141" s="2">
        <v>1382574.4112226299</v>
      </c>
      <c r="AM141" s="2">
        <v>1097171.70229203</v>
      </c>
      <c r="AN141" s="2">
        <v>1051455.8128591001</v>
      </c>
      <c r="AO141" s="2">
        <v>1278390.6647711301</v>
      </c>
      <c r="AP141" s="2">
        <v>1410080.1884263901</v>
      </c>
    </row>
    <row r="142" spans="1:42" ht="14.5" x14ac:dyDescent="0.35">
      <c r="A142" s="2" t="s">
        <v>1056</v>
      </c>
      <c r="B142" s="2">
        <v>712.34850750053999</v>
      </c>
      <c r="C142" s="2">
        <v>6.6395166666666698</v>
      </c>
      <c r="D142" s="2" t="s">
        <v>34</v>
      </c>
      <c r="E142" s="2" t="s">
        <v>1057</v>
      </c>
      <c r="F142" s="2">
        <v>55031</v>
      </c>
      <c r="G142" s="3" t="str">
        <f>HYPERLINK("http://funmeta.oebiotech.com/network/55031", "http://funmeta.oebiotech.com/network/55031")</f>
        <v>http://funmeta.oebiotech.com/network/55031</v>
      </c>
      <c r="H142" s="2" t="s">
        <v>1058</v>
      </c>
      <c r="I142" s="2">
        <v>86797</v>
      </c>
      <c r="J142" s="2"/>
      <c r="K142" s="2"/>
      <c r="L142" s="2"/>
      <c r="M142" s="2"/>
      <c r="N142" s="2"/>
      <c r="O142" s="2">
        <v>101316795</v>
      </c>
      <c r="P142" s="2" t="s">
        <v>1059</v>
      </c>
      <c r="Q142" s="2" t="s">
        <v>1060</v>
      </c>
      <c r="R142" s="2" t="s">
        <v>1061</v>
      </c>
      <c r="S142" s="2" t="s">
        <v>89</v>
      </c>
      <c r="T142" s="2" t="s">
        <v>90</v>
      </c>
      <c r="U142" s="2" t="s">
        <v>99</v>
      </c>
      <c r="V142" s="2" t="s">
        <v>59</v>
      </c>
      <c r="W142" s="2">
        <v>38.1</v>
      </c>
      <c r="X142" s="2">
        <v>0.41799999999999998</v>
      </c>
      <c r="Y142" s="2" t="s">
        <v>141</v>
      </c>
      <c r="Z142" s="2" t="s">
        <v>1062</v>
      </c>
      <c r="AA142" s="2">
        <v>-1.1496470584146701</v>
      </c>
      <c r="AB142" s="2">
        <v>2.7364131929809599</v>
      </c>
      <c r="AC142" s="2">
        <v>4835566.9960831199</v>
      </c>
      <c r="AD142" s="2">
        <v>4176806.1295321998</v>
      </c>
      <c r="AE142" s="2">
        <v>4776453.1203336697</v>
      </c>
      <c r="AF142" s="2">
        <v>5347032.4957024297</v>
      </c>
      <c r="AG142" s="2">
        <v>5144948.2813226301</v>
      </c>
      <c r="AH142" s="2">
        <v>4360615.0059599597</v>
      </c>
      <c r="AI142" s="2">
        <v>4836105.9393305099</v>
      </c>
      <c r="AJ142" s="2">
        <v>4548247.1338494904</v>
      </c>
      <c r="AK142" s="2">
        <v>3717956.2521149502</v>
      </c>
      <c r="AL142" s="2">
        <v>4388483.6260379702</v>
      </c>
      <c r="AM142" s="2">
        <v>4072551.2736306698</v>
      </c>
      <c r="AN142" s="2">
        <v>4518414.6474371003</v>
      </c>
      <c r="AO142" s="2">
        <v>4182320.8305131402</v>
      </c>
      <c r="AP142" s="2">
        <v>4181110.1474593799</v>
      </c>
    </row>
    <row r="143" spans="1:42" ht="14.5" x14ac:dyDescent="0.35">
      <c r="A143" s="2" t="s">
        <v>1063</v>
      </c>
      <c r="B143" s="2">
        <v>497.239114842584</v>
      </c>
      <c r="C143" s="2">
        <v>5.2266333333333304</v>
      </c>
      <c r="D143" s="2" t="s">
        <v>70</v>
      </c>
      <c r="E143" s="2" t="s">
        <v>1064</v>
      </c>
      <c r="F143" s="2">
        <v>61495</v>
      </c>
      <c r="G143" s="3" t="str">
        <f>HYPERLINK("http://funmeta.oebiotech.com/network/61495", "http://funmeta.oebiotech.com/network/61495")</f>
        <v>http://funmeta.oebiotech.com/network/61495</v>
      </c>
      <c r="H143" s="2" t="s">
        <v>1065</v>
      </c>
      <c r="I143" s="2"/>
      <c r="J143" s="2"/>
      <c r="K143" s="2"/>
      <c r="L143" s="2"/>
      <c r="M143" s="2"/>
      <c r="N143" s="2"/>
      <c r="O143" s="2">
        <v>131752277</v>
      </c>
      <c r="P143" s="2" t="s">
        <v>1066</v>
      </c>
      <c r="Q143" s="2" t="s">
        <v>1067</v>
      </c>
      <c r="R143" s="2" t="s">
        <v>1068</v>
      </c>
      <c r="S143" s="2" t="s">
        <v>50</v>
      </c>
      <c r="T143" s="2" t="s">
        <v>229</v>
      </c>
      <c r="U143" s="2" t="s">
        <v>230</v>
      </c>
      <c r="V143" s="2" t="s">
        <v>59</v>
      </c>
      <c r="W143" s="2">
        <v>47.5</v>
      </c>
      <c r="X143" s="2">
        <v>40.200000000000003</v>
      </c>
      <c r="Y143" s="2" t="s">
        <v>792</v>
      </c>
      <c r="Z143" s="2" t="s">
        <v>1069</v>
      </c>
      <c r="AA143" s="2">
        <v>-0.20558629410014001</v>
      </c>
      <c r="AB143" s="2">
        <v>2.7350199428158399</v>
      </c>
      <c r="AC143" s="2">
        <v>968051.06471841305</v>
      </c>
      <c r="AD143" s="2">
        <v>464217.15413848998</v>
      </c>
      <c r="AE143" s="2">
        <v>960885.83598209999</v>
      </c>
      <c r="AF143" s="2">
        <v>920139.89322931005</v>
      </c>
      <c r="AG143" s="2">
        <v>1030681.79733615</v>
      </c>
      <c r="AH143" s="2">
        <v>966514.65994260297</v>
      </c>
      <c r="AI143" s="2">
        <v>983352.18734262604</v>
      </c>
      <c r="AJ143" s="2">
        <v>946732.014477688</v>
      </c>
      <c r="AK143" s="2">
        <v>558532.60020501202</v>
      </c>
      <c r="AL143" s="2">
        <v>573448.12356442399</v>
      </c>
      <c r="AM143" s="2">
        <v>466904.05262232898</v>
      </c>
      <c r="AN143" s="2">
        <v>393235.17098170699</v>
      </c>
      <c r="AO143" s="2">
        <v>423018.98811846197</v>
      </c>
      <c r="AP143" s="2">
        <v>370163.98933900602</v>
      </c>
    </row>
    <row r="144" spans="1:42" ht="14.5" x14ac:dyDescent="0.35">
      <c r="A144" s="2" t="s">
        <v>1070</v>
      </c>
      <c r="B144" s="2">
        <v>711.35954514617094</v>
      </c>
      <c r="C144" s="2">
        <v>9.9543833333333307</v>
      </c>
      <c r="D144" s="2" t="s">
        <v>70</v>
      </c>
      <c r="E144" s="2" t="s">
        <v>1071</v>
      </c>
      <c r="F144" s="2">
        <v>57903</v>
      </c>
      <c r="G144" s="3" t="str">
        <f>HYPERLINK("http://funmeta.oebiotech.com/network/57903", "http://funmeta.oebiotech.com/network/57903")</f>
        <v>http://funmeta.oebiotech.com/network/57903</v>
      </c>
      <c r="H144" s="2" t="s">
        <v>1072</v>
      </c>
      <c r="I144" s="2">
        <v>89484</v>
      </c>
      <c r="J144" s="2"/>
      <c r="K144" s="2"/>
      <c r="L144" s="2"/>
      <c r="M144" s="2"/>
      <c r="N144" s="2"/>
      <c r="O144" s="2">
        <v>5830982</v>
      </c>
      <c r="P144" s="2" t="s">
        <v>1073</v>
      </c>
      <c r="Q144" s="2" t="s">
        <v>1074</v>
      </c>
      <c r="R144" s="2" t="s">
        <v>1075</v>
      </c>
      <c r="S144" s="2" t="s">
        <v>50</v>
      </c>
      <c r="T144" s="2" t="s">
        <v>124</v>
      </c>
      <c r="U144" s="2" t="s">
        <v>567</v>
      </c>
      <c r="V144" s="2" t="s">
        <v>42</v>
      </c>
      <c r="W144" s="2">
        <v>59</v>
      </c>
      <c r="X144" s="2">
        <v>96.5</v>
      </c>
      <c r="Y144" s="2" t="s">
        <v>408</v>
      </c>
      <c r="Z144" s="2" t="s">
        <v>1076</v>
      </c>
      <c r="AA144" s="2">
        <v>-0.277462489831244</v>
      </c>
      <c r="AB144" s="2">
        <v>2.7210885744134798</v>
      </c>
      <c r="AC144" s="2">
        <v>1362489.8106972801</v>
      </c>
      <c r="AD144" s="2">
        <v>865064.20322985295</v>
      </c>
      <c r="AE144" s="2">
        <v>1320497.50728537</v>
      </c>
      <c r="AF144" s="2">
        <v>1285224.2951263499</v>
      </c>
      <c r="AG144" s="2">
        <v>1318275.18134644</v>
      </c>
      <c r="AH144" s="2">
        <v>1486721.1930704201</v>
      </c>
      <c r="AI144" s="2">
        <v>1372896.0760597801</v>
      </c>
      <c r="AJ144" s="2">
        <v>1391324.6112953399</v>
      </c>
      <c r="AK144" s="2">
        <v>886126.00485268503</v>
      </c>
      <c r="AL144" s="2">
        <v>831695.912964524</v>
      </c>
      <c r="AM144" s="2">
        <v>886800.56787062797</v>
      </c>
      <c r="AN144" s="2">
        <v>816772.86096744705</v>
      </c>
      <c r="AO144" s="2">
        <v>847481.377985914</v>
      </c>
      <c r="AP144" s="2">
        <v>921508.49473791802</v>
      </c>
    </row>
    <row r="145" spans="1:42" ht="14.5" x14ac:dyDescent="0.35">
      <c r="A145" s="2" t="s">
        <v>1077</v>
      </c>
      <c r="B145" s="2">
        <v>231.08383580622501</v>
      </c>
      <c r="C145" s="2">
        <v>1.11073333333333</v>
      </c>
      <c r="D145" s="2" t="s">
        <v>34</v>
      </c>
      <c r="E145" s="2" t="s">
        <v>1078</v>
      </c>
      <c r="F145" s="2">
        <v>54832</v>
      </c>
      <c r="G145" s="3" t="str">
        <f>HYPERLINK("http://funmeta.oebiotech.com/network/54832", "http://funmeta.oebiotech.com/network/54832")</f>
        <v>http://funmeta.oebiotech.com/network/54832</v>
      </c>
      <c r="H145" s="2" t="s">
        <v>1079</v>
      </c>
      <c r="I145" s="2"/>
      <c r="J145" s="2"/>
      <c r="K145" s="2"/>
      <c r="L145" s="2"/>
      <c r="M145" s="2"/>
      <c r="N145" s="2"/>
      <c r="O145" s="2">
        <v>121667</v>
      </c>
      <c r="P145" s="2" t="s">
        <v>1080</v>
      </c>
      <c r="Q145" s="2" t="s">
        <v>1081</v>
      </c>
      <c r="R145" s="2" t="s">
        <v>1082</v>
      </c>
      <c r="S145" s="2" t="s">
        <v>79</v>
      </c>
      <c r="T145" s="2" t="s">
        <v>80</v>
      </c>
      <c r="U145" s="2" t="s">
        <v>81</v>
      </c>
      <c r="V145" s="2" t="s">
        <v>59</v>
      </c>
      <c r="W145" s="2">
        <v>41.2</v>
      </c>
      <c r="X145" s="2">
        <v>7.38</v>
      </c>
      <c r="Y145" s="2" t="s">
        <v>169</v>
      </c>
      <c r="Z145" s="2" t="s">
        <v>1083</v>
      </c>
      <c r="AA145" s="2">
        <v>-0.35130283973501297</v>
      </c>
      <c r="AB145" s="2">
        <v>2.7172402300021301</v>
      </c>
      <c r="AC145" s="2">
        <v>475395.82223236997</v>
      </c>
      <c r="AD145" s="2">
        <v>963860.58841574402</v>
      </c>
      <c r="AE145" s="2">
        <v>470509.200029311</v>
      </c>
      <c r="AF145" s="2">
        <v>479245.39317060501</v>
      </c>
      <c r="AG145" s="2">
        <v>470892.55169610702</v>
      </c>
      <c r="AH145" s="2">
        <v>481076.88549123798</v>
      </c>
      <c r="AI145" s="2">
        <v>495531.82814742503</v>
      </c>
      <c r="AJ145" s="2">
        <v>455119.07485953602</v>
      </c>
      <c r="AK145" s="2">
        <v>1017068.0086311999</v>
      </c>
      <c r="AL145" s="2">
        <v>880078.64865699306</v>
      </c>
      <c r="AM145" s="2">
        <v>963308.26187545503</v>
      </c>
      <c r="AN145" s="2">
        <v>991307.533247435</v>
      </c>
      <c r="AO145" s="2">
        <v>933395.60699219303</v>
      </c>
      <c r="AP145" s="2">
        <v>998005.47109118698</v>
      </c>
    </row>
    <row r="146" spans="1:42" ht="14.5" x14ac:dyDescent="0.35">
      <c r="A146" s="2" t="s">
        <v>1084</v>
      </c>
      <c r="B146" s="2">
        <v>630.36128360489704</v>
      </c>
      <c r="C146" s="2">
        <v>7.5899333333333301</v>
      </c>
      <c r="D146" s="2" t="s">
        <v>34</v>
      </c>
      <c r="E146" s="2" t="s">
        <v>1085</v>
      </c>
      <c r="F146" s="2">
        <v>24885</v>
      </c>
      <c r="G146" s="3" t="str">
        <f>HYPERLINK("http://funmeta.oebiotech.com/network/24885", "http://funmeta.oebiotech.com/network/24885")</f>
        <v>http://funmeta.oebiotech.com/network/24885</v>
      </c>
      <c r="H146" s="2"/>
      <c r="I146" s="2"/>
      <c r="J146" s="2" t="s">
        <v>1086</v>
      </c>
      <c r="K146" s="2"/>
      <c r="L146" s="2"/>
      <c r="M146" s="2"/>
      <c r="N146" s="2"/>
      <c r="O146" s="2">
        <v>52928613</v>
      </c>
      <c r="P146" s="2"/>
      <c r="Q146" s="2" t="s">
        <v>1087</v>
      </c>
      <c r="R146" s="2" t="s">
        <v>1088</v>
      </c>
      <c r="S146" s="2" t="s">
        <v>50</v>
      </c>
      <c r="T146" s="2" t="s">
        <v>51</v>
      </c>
      <c r="U146" s="2" t="s">
        <v>52</v>
      </c>
      <c r="V146" s="2" t="s">
        <v>42</v>
      </c>
      <c r="W146" s="2">
        <v>55.6</v>
      </c>
      <c r="X146" s="2">
        <v>80.2</v>
      </c>
      <c r="Y146" s="2" t="s">
        <v>43</v>
      </c>
      <c r="Z146" s="2" t="s">
        <v>1089</v>
      </c>
      <c r="AA146" s="2">
        <v>-9.2916503833203306E-3</v>
      </c>
      <c r="AB146" s="2">
        <v>2.6969844158232399</v>
      </c>
      <c r="AC146" s="2">
        <v>962235.528598223</v>
      </c>
      <c r="AD146" s="2">
        <v>1446201.8803993899</v>
      </c>
      <c r="AE146" s="2">
        <v>970337.453655408</v>
      </c>
      <c r="AF146" s="2">
        <v>999514.01777766796</v>
      </c>
      <c r="AG146" s="2">
        <v>928154.27907950105</v>
      </c>
      <c r="AH146" s="2">
        <v>925422.72382466798</v>
      </c>
      <c r="AI146" s="2">
        <v>978986.58972988196</v>
      </c>
      <c r="AJ146" s="2">
        <v>970998.10752220999</v>
      </c>
      <c r="AK146" s="2">
        <v>1462062.9836518301</v>
      </c>
      <c r="AL146" s="2">
        <v>1394814.7697999601</v>
      </c>
      <c r="AM146" s="2">
        <v>1434299.3702839699</v>
      </c>
      <c r="AN146" s="2">
        <v>1373712.6801848901</v>
      </c>
      <c r="AO146" s="2">
        <v>1501320.54958149</v>
      </c>
      <c r="AP146" s="2">
        <v>1511000.9288941801</v>
      </c>
    </row>
    <row r="147" spans="1:42" ht="14.5" x14ac:dyDescent="0.35">
      <c r="A147" s="2" t="s">
        <v>1090</v>
      </c>
      <c r="B147" s="2">
        <v>567.20797621336601</v>
      </c>
      <c r="C147" s="2">
        <v>4.9166499999999997</v>
      </c>
      <c r="D147" s="2" t="s">
        <v>70</v>
      </c>
      <c r="E147" s="2" t="s">
        <v>1091</v>
      </c>
      <c r="F147" s="2">
        <v>62074</v>
      </c>
      <c r="G147" s="3" t="str">
        <f>HYPERLINK("http://funmeta.oebiotech.com/network/62074", "http://funmeta.oebiotech.com/network/62074")</f>
        <v>http://funmeta.oebiotech.com/network/62074</v>
      </c>
      <c r="H147" s="2" t="s">
        <v>1092</v>
      </c>
      <c r="I147" s="2">
        <v>93366</v>
      </c>
      <c r="J147" s="2"/>
      <c r="K147" s="2"/>
      <c r="L147" s="2"/>
      <c r="M147" s="2"/>
      <c r="N147" s="2"/>
      <c r="O147" s="2">
        <v>14558383</v>
      </c>
      <c r="P147" s="2"/>
      <c r="Q147" s="2" t="s">
        <v>1093</v>
      </c>
      <c r="R147" s="2" t="s">
        <v>1094</v>
      </c>
      <c r="S147" s="2" t="s">
        <v>115</v>
      </c>
      <c r="T147" s="2" t="s">
        <v>1095</v>
      </c>
      <c r="U147" s="2" t="s">
        <v>41</v>
      </c>
      <c r="V147" s="2" t="s">
        <v>42</v>
      </c>
      <c r="W147" s="2">
        <v>55.8</v>
      </c>
      <c r="X147" s="2">
        <v>85.8</v>
      </c>
      <c r="Y147" s="2" t="s">
        <v>286</v>
      </c>
      <c r="Z147" s="2" t="s">
        <v>1096</v>
      </c>
      <c r="AA147" s="2">
        <v>-0.64832557988748596</v>
      </c>
      <c r="AB147" s="2">
        <v>2.6960979270041801</v>
      </c>
      <c r="AC147" s="2">
        <v>2285848.4274207801</v>
      </c>
      <c r="AD147" s="2">
        <v>1746956.21409821</v>
      </c>
      <c r="AE147" s="2">
        <v>2294433.8779843501</v>
      </c>
      <c r="AF147" s="2">
        <v>2606064.6794449501</v>
      </c>
      <c r="AG147" s="2">
        <v>2076073.98574582</v>
      </c>
      <c r="AH147" s="2">
        <v>2182651.0149297002</v>
      </c>
      <c r="AI147" s="2">
        <v>2301913.8460963699</v>
      </c>
      <c r="AJ147" s="2">
        <v>2253953.1603234801</v>
      </c>
      <c r="AK147" s="2">
        <v>1733941.02286481</v>
      </c>
      <c r="AL147" s="2">
        <v>1769095.37178483</v>
      </c>
      <c r="AM147" s="2">
        <v>1687493.4103804701</v>
      </c>
      <c r="AN147" s="2">
        <v>1975396.94237985</v>
      </c>
      <c r="AO147" s="2">
        <v>1593363.3530918199</v>
      </c>
      <c r="AP147" s="2">
        <v>1722447.1840875</v>
      </c>
    </row>
    <row r="148" spans="1:42" ht="14.5" x14ac:dyDescent="0.35">
      <c r="A148" s="2" t="s">
        <v>1097</v>
      </c>
      <c r="B148" s="2">
        <v>727.31797231313999</v>
      </c>
      <c r="C148" s="2">
        <v>7.4702333333333302</v>
      </c>
      <c r="D148" s="2" t="s">
        <v>70</v>
      </c>
      <c r="E148" s="2" t="s">
        <v>1098</v>
      </c>
      <c r="F148" s="2">
        <v>203130</v>
      </c>
      <c r="G148" s="3" t="str">
        <f>HYPERLINK("http://funmeta.oebiotech.com/network/203130", "http://funmeta.oebiotech.com/network/203130")</f>
        <v>http://funmeta.oebiotech.com/network/203130</v>
      </c>
      <c r="H148" s="2" t="s">
        <v>1099</v>
      </c>
      <c r="I148" s="2"/>
      <c r="J148" s="2"/>
      <c r="K148" s="2"/>
      <c r="L148" s="2"/>
      <c r="M148" s="2"/>
      <c r="N148" s="2"/>
      <c r="O148" s="2">
        <v>14060837</v>
      </c>
      <c r="P148" s="2"/>
      <c r="Q148" s="2" t="s">
        <v>1100</v>
      </c>
      <c r="R148" s="2" t="s">
        <v>1101</v>
      </c>
      <c r="S148" s="2" t="s">
        <v>41</v>
      </c>
      <c r="T148" s="2" t="s">
        <v>41</v>
      </c>
      <c r="U148" s="2" t="s">
        <v>41</v>
      </c>
      <c r="V148" s="2" t="s">
        <v>59</v>
      </c>
      <c r="W148" s="2">
        <v>45</v>
      </c>
      <c r="X148" s="2">
        <v>33.4</v>
      </c>
      <c r="Y148" s="2" t="s">
        <v>408</v>
      </c>
      <c r="Z148" s="2" t="s">
        <v>1102</v>
      </c>
      <c r="AA148" s="2">
        <v>1.5551262294518</v>
      </c>
      <c r="AB148" s="2">
        <v>2.6935190366717001</v>
      </c>
      <c r="AC148" s="2">
        <v>609396.39504897001</v>
      </c>
      <c r="AD148" s="2">
        <v>128991.608323343</v>
      </c>
      <c r="AE148" s="2">
        <v>603565.68452912604</v>
      </c>
      <c r="AF148" s="2">
        <v>665432.40793554299</v>
      </c>
      <c r="AG148" s="2">
        <v>671963.26906116796</v>
      </c>
      <c r="AH148" s="2">
        <v>558392.49711069604</v>
      </c>
      <c r="AI148" s="2">
        <v>610367.53000939498</v>
      </c>
      <c r="AJ148" s="2">
        <v>546656.98164789204</v>
      </c>
      <c r="AK148" s="2">
        <v>144755.81959494599</v>
      </c>
      <c r="AL148" s="2">
        <v>131827.204394453</v>
      </c>
      <c r="AM148" s="2">
        <v>114263.207342615</v>
      </c>
      <c r="AN148" s="2">
        <v>121285.970273639</v>
      </c>
      <c r="AO148" s="2">
        <v>137345.06284943799</v>
      </c>
      <c r="AP148" s="2">
        <v>124472.385484969</v>
      </c>
    </row>
    <row r="149" spans="1:42" ht="14.5" x14ac:dyDescent="0.35">
      <c r="A149" s="2" t="s">
        <v>1103</v>
      </c>
      <c r="B149" s="2">
        <v>983.60587918876797</v>
      </c>
      <c r="C149" s="2">
        <v>5.0569833333333296</v>
      </c>
      <c r="D149" s="2" t="s">
        <v>34</v>
      </c>
      <c r="E149" s="2" t="s">
        <v>1104</v>
      </c>
      <c r="F149" s="2">
        <v>213252</v>
      </c>
      <c r="G149" s="3" t="str">
        <f>HYPERLINK("http://funmeta.oebiotech.com/network/213252", "http://funmeta.oebiotech.com/network/213252")</f>
        <v>http://funmeta.oebiotech.com/network/213252</v>
      </c>
      <c r="H149" s="2" t="s">
        <v>1105</v>
      </c>
      <c r="I149" s="2"/>
      <c r="J149" s="2"/>
      <c r="K149" s="2"/>
      <c r="L149" s="2"/>
      <c r="M149" s="2"/>
      <c r="N149" s="2"/>
      <c r="O149" s="2">
        <v>53398674</v>
      </c>
      <c r="P149" s="2"/>
      <c r="Q149" s="2" t="s">
        <v>1106</v>
      </c>
      <c r="R149" s="2" t="s">
        <v>1107</v>
      </c>
      <c r="S149" s="2" t="s">
        <v>115</v>
      </c>
      <c r="T149" s="2" t="s">
        <v>1108</v>
      </c>
      <c r="U149" s="2" t="s">
        <v>41</v>
      </c>
      <c r="V149" s="2" t="s">
        <v>42</v>
      </c>
      <c r="W149" s="2">
        <v>54.4</v>
      </c>
      <c r="X149" s="2">
        <v>76.2</v>
      </c>
      <c r="Y149" s="2" t="s">
        <v>43</v>
      </c>
      <c r="Z149" s="2" t="s">
        <v>1109</v>
      </c>
      <c r="AA149" s="2">
        <v>-0.48606756156008202</v>
      </c>
      <c r="AB149" s="2">
        <v>2.6803907793761601</v>
      </c>
      <c r="AC149" s="2">
        <v>142815.205947838</v>
      </c>
      <c r="AD149" s="2">
        <v>676398.11880472</v>
      </c>
      <c r="AE149" s="2">
        <v>143893.751470744</v>
      </c>
      <c r="AF149" s="2">
        <v>148182.093139387</v>
      </c>
      <c r="AG149" s="2">
        <v>132393.63606796201</v>
      </c>
      <c r="AH149" s="2">
        <v>112241.420933327</v>
      </c>
      <c r="AI149" s="2">
        <v>181698.88779014701</v>
      </c>
      <c r="AJ149" s="2">
        <v>138481.44628546</v>
      </c>
      <c r="AK149" s="2">
        <v>624127.51449771703</v>
      </c>
      <c r="AL149" s="2">
        <v>958221.45450186904</v>
      </c>
      <c r="AM149" s="2">
        <v>444452.44006900903</v>
      </c>
      <c r="AN149" s="2">
        <v>464742.98592226498</v>
      </c>
      <c r="AO149" s="2">
        <v>674060.91888479004</v>
      </c>
      <c r="AP149" s="2">
        <v>892783.39895267296</v>
      </c>
    </row>
    <row r="150" spans="1:42" ht="14.5" x14ac:dyDescent="0.35">
      <c r="A150" s="2" t="s">
        <v>1110</v>
      </c>
      <c r="B150" s="2">
        <v>654.51447647778605</v>
      </c>
      <c r="C150" s="2">
        <v>14.1046666666667</v>
      </c>
      <c r="D150" s="2" t="s">
        <v>34</v>
      </c>
      <c r="E150" s="2" t="s">
        <v>1111</v>
      </c>
      <c r="F150" s="2">
        <v>209984</v>
      </c>
      <c r="G150" s="3" t="str">
        <f>HYPERLINK("http://funmeta.oebiotech.com/network/209984", "http://funmeta.oebiotech.com/network/209984")</f>
        <v>http://funmeta.oebiotech.com/network/209984</v>
      </c>
      <c r="H150" s="2" t="s">
        <v>1112</v>
      </c>
      <c r="I150" s="2"/>
      <c r="J150" s="2"/>
      <c r="K150" s="2"/>
      <c r="L150" s="2"/>
      <c r="M150" s="2"/>
      <c r="N150" s="2"/>
      <c r="O150" s="2">
        <v>11636082</v>
      </c>
      <c r="P150" s="2"/>
      <c r="Q150" s="2" t="s">
        <v>1113</v>
      </c>
      <c r="R150" s="2" t="s">
        <v>1114</v>
      </c>
      <c r="S150" s="2" t="s">
        <v>89</v>
      </c>
      <c r="T150" s="2" t="s">
        <v>90</v>
      </c>
      <c r="U150" s="2" t="s">
        <v>99</v>
      </c>
      <c r="V150" s="2" t="s">
        <v>59</v>
      </c>
      <c r="W150" s="2">
        <v>45.7</v>
      </c>
      <c r="X150" s="2">
        <v>44.8</v>
      </c>
      <c r="Y150" s="2" t="s">
        <v>1115</v>
      </c>
      <c r="Z150" s="2" t="s">
        <v>1116</v>
      </c>
      <c r="AA150" s="2">
        <v>2.83636564568903</v>
      </c>
      <c r="AB150" s="2">
        <v>2.6581926125356898</v>
      </c>
      <c r="AC150" s="2">
        <v>115708.089855759</v>
      </c>
      <c r="AD150" s="2">
        <v>581681.44100785395</v>
      </c>
      <c r="AE150" s="2">
        <v>101867.478410229</v>
      </c>
      <c r="AF150" s="2">
        <v>113051.610987965</v>
      </c>
      <c r="AG150" s="2">
        <v>118953.02152233099</v>
      </c>
      <c r="AH150" s="2">
        <v>106121.157868807</v>
      </c>
      <c r="AI150" s="2">
        <v>115047.30378430799</v>
      </c>
      <c r="AJ150" s="2">
        <v>139207.96656091599</v>
      </c>
      <c r="AK150" s="2">
        <v>567751.69319774699</v>
      </c>
      <c r="AL150" s="2">
        <v>564743.935011319</v>
      </c>
      <c r="AM150" s="2">
        <v>598070.62124207697</v>
      </c>
      <c r="AN150" s="2">
        <v>530731.17034687195</v>
      </c>
      <c r="AO150" s="2">
        <v>612713.24361870496</v>
      </c>
      <c r="AP150" s="2">
        <v>616077.98263040301</v>
      </c>
    </row>
    <row r="151" spans="1:42" ht="14.5" x14ac:dyDescent="0.35">
      <c r="A151" s="2" t="s">
        <v>1117</v>
      </c>
      <c r="B151" s="2">
        <v>789.444342853526</v>
      </c>
      <c r="C151" s="2">
        <v>5.0414166666666702</v>
      </c>
      <c r="D151" s="2" t="s">
        <v>34</v>
      </c>
      <c r="E151" s="2" t="s">
        <v>1118</v>
      </c>
      <c r="F151" s="2">
        <v>25754</v>
      </c>
      <c r="G151" s="3" t="str">
        <f>HYPERLINK("http://funmeta.oebiotech.com/network/25754", "http://funmeta.oebiotech.com/network/25754")</f>
        <v>http://funmeta.oebiotech.com/network/25754</v>
      </c>
      <c r="H151" s="2" t="s">
        <v>1119</v>
      </c>
      <c r="I151" s="2">
        <v>82021</v>
      </c>
      <c r="J151" s="2" t="s">
        <v>1120</v>
      </c>
      <c r="K151" s="2"/>
      <c r="L151" s="2"/>
      <c r="M151" s="2"/>
      <c r="N151" s="2"/>
      <c r="O151" s="2">
        <v>52929448</v>
      </c>
      <c r="P151" s="2"/>
      <c r="Q151" s="2" t="s">
        <v>1121</v>
      </c>
      <c r="R151" s="2" t="s">
        <v>1122</v>
      </c>
      <c r="S151" s="2" t="s">
        <v>50</v>
      </c>
      <c r="T151" s="2" t="s">
        <v>51</v>
      </c>
      <c r="U151" s="2" t="s">
        <v>273</v>
      </c>
      <c r="V151" s="2" t="s">
        <v>59</v>
      </c>
      <c r="W151" s="2">
        <v>38.200000000000003</v>
      </c>
      <c r="X151" s="2">
        <v>4.12</v>
      </c>
      <c r="Y151" s="2" t="s">
        <v>203</v>
      </c>
      <c r="Z151" s="2" t="s">
        <v>1123</v>
      </c>
      <c r="AA151" s="2">
        <v>-2.91413687518763</v>
      </c>
      <c r="AB151" s="2">
        <v>2.64365845604148</v>
      </c>
      <c r="AC151" s="2">
        <v>1789559.3062032301</v>
      </c>
      <c r="AD151" s="2">
        <v>2286277.27752457</v>
      </c>
      <c r="AE151" s="2">
        <v>1874306.4152811</v>
      </c>
      <c r="AF151" s="2">
        <v>1813288.04531423</v>
      </c>
      <c r="AG151" s="2">
        <v>1772031.6926818499</v>
      </c>
      <c r="AH151" s="2">
        <v>1834020.1302761601</v>
      </c>
      <c r="AI151" s="2">
        <v>1883712.50944761</v>
      </c>
      <c r="AJ151" s="2">
        <v>1559997.0442184401</v>
      </c>
      <c r="AK151" s="2">
        <v>2081175.09081518</v>
      </c>
      <c r="AL151" s="2">
        <v>2263278.0916303</v>
      </c>
      <c r="AM151" s="2">
        <v>2324938.3326965198</v>
      </c>
      <c r="AN151" s="2">
        <v>2307393.08401206</v>
      </c>
      <c r="AO151" s="2">
        <v>2329876.7289062799</v>
      </c>
      <c r="AP151" s="2">
        <v>2411002.3370870799</v>
      </c>
    </row>
    <row r="152" spans="1:42" ht="14.5" x14ac:dyDescent="0.35">
      <c r="A152" s="2" t="s">
        <v>1124</v>
      </c>
      <c r="B152" s="2">
        <v>954.61346028670505</v>
      </c>
      <c r="C152" s="2">
        <v>14.094333333333299</v>
      </c>
      <c r="D152" s="2" t="s">
        <v>34</v>
      </c>
      <c r="E152" s="2" t="s">
        <v>1125</v>
      </c>
      <c r="F152" s="2">
        <v>18095</v>
      </c>
      <c r="G152" s="3" t="str">
        <f>HYPERLINK("http://funmeta.oebiotech.com/network/18095", "http://funmeta.oebiotech.com/network/18095")</f>
        <v>http://funmeta.oebiotech.com/network/18095</v>
      </c>
      <c r="H152" s="2"/>
      <c r="I152" s="2"/>
      <c r="J152" s="2" t="s">
        <v>1126</v>
      </c>
      <c r="K152" s="2"/>
      <c r="L152" s="2"/>
      <c r="M152" s="2"/>
      <c r="N152" s="2"/>
      <c r="O152" s="2"/>
      <c r="P152" s="2"/>
      <c r="Q152" s="2" t="s">
        <v>1127</v>
      </c>
      <c r="R152" s="2" t="s">
        <v>1128</v>
      </c>
      <c r="S152" s="2" t="s">
        <v>50</v>
      </c>
      <c r="T152" s="2" t="s">
        <v>448</v>
      </c>
      <c r="U152" s="2" t="s">
        <v>449</v>
      </c>
      <c r="V152" s="2" t="s">
        <v>59</v>
      </c>
      <c r="W152" s="2">
        <v>43.2</v>
      </c>
      <c r="X152" s="2">
        <v>18</v>
      </c>
      <c r="Y152" s="2" t="s">
        <v>1129</v>
      </c>
      <c r="Z152" s="2" t="s">
        <v>1130</v>
      </c>
      <c r="AA152" s="2">
        <v>-1.48116451419615</v>
      </c>
      <c r="AB152" s="2">
        <v>2.6377778583420302</v>
      </c>
      <c r="AC152" s="2">
        <v>1608234.2709746801</v>
      </c>
      <c r="AD152" s="2">
        <v>1110473.28338778</v>
      </c>
      <c r="AE152" s="2">
        <v>1511820.99753853</v>
      </c>
      <c r="AF152" s="2">
        <v>1582273.6249804299</v>
      </c>
      <c r="AG152" s="2">
        <v>1651659.5990292199</v>
      </c>
      <c r="AH152" s="2">
        <v>1496374.1223567899</v>
      </c>
      <c r="AI152" s="2">
        <v>1588954.9308197601</v>
      </c>
      <c r="AJ152" s="2">
        <v>1818322.35112338</v>
      </c>
      <c r="AK152" s="2">
        <v>1013357.9266454</v>
      </c>
      <c r="AL152" s="2">
        <v>1035476.47837713</v>
      </c>
      <c r="AM152" s="2">
        <v>1019205.73292461</v>
      </c>
      <c r="AN152" s="2">
        <v>1072230.1164025301</v>
      </c>
      <c r="AO152" s="2">
        <v>1281974.00712201</v>
      </c>
      <c r="AP152" s="2">
        <v>1240595.43885498</v>
      </c>
    </row>
    <row r="153" spans="1:42" ht="14.5" x14ac:dyDescent="0.35">
      <c r="A153" s="2" t="s">
        <v>1131</v>
      </c>
      <c r="B153" s="2">
        <v>373.200500707419</v>
      </c>
      <c r="C153" s="2">
        <v>6.2166833333333296</v>
      </c>
      <c r="D153" s="2" t="s">
        <v>34</v>
      </c>
      <c r="E153" s="2" t="s">
        <v>1132</v>
      </c>
      <c r="F153" s="2">
        <v>204153</v>
      </c>
      <c r="G153" s="3" t="str">
        <f>HYPERLINK("http://funmeta.oebiotech.com/network/204153", "http://funmeta.oebiotech.com/network/204153")</f>
        <v>http://funmeta.oebiotech.com/network/204153</v>
      </c>
      <c r="H153" s="2" t="s">
        <v>1133</v>
      </c>
      <c r="I153" s="2"/>
      <c r="J153" s="2"/>
      <c r="K153" s="2"/>
      <c r="L153" s="2"/>
      <c r="M153" s="2"/>
      <c r="N153" s="2"/>
      <c r="O153" s="2">
        <v>4063</v>
      </c>
      <c r="P153" s="2"/>
      <c r="Q153" s="2" t="s">
        <v>1134</v>
      </c>
      <c r="R153" s="2" t="s">
        <v>1135</v>
      </c>
      <c r="S153" s="2" t="s">
        <v>50</v>
      </c>
      <c r="T153" s="2" t="s">
        <v>124</v>
      </c>
      <c r="U153" s="2" t="s">
        <v>1136</v>
      </c>
      <c r="V153" s="2" t="s">
        <v>42</v>
      </c>
      <c r="W153" s="2">
        <v>53.2</v>
      </c>
      <c r="X153" s="2">
        <v>72.7</v>
      </c>
      <c r="Y153" s="2" t="s">
        <v>1008</v>
      </c>
      <c r="Z153" s="2" t="s">
        <v>1137</v>
      </c>
      <c r="AA153" s="2">
        <v>-1.2082965733079301</v>
      </c>
      <c r="AB153" s="2">
        <v>2.6344967142287401</v>
      </c>
      <c r="AC153" s="2">
        <v>2966027.5571197602</v>
      </c>
      <c r="AD153" s="2">
        <v>2494101.3181634899</v>
      </c>
      <c r="AE153" s="2">
        <v>2967892.9664105498</v>
      </c>
      <c r="AF153" s="2">
        <v>3001775.47852762</v>
      </c>
      <c r="AG153" s="2">
        <v>2937536.94492723</v>
      </c>
      <c r="AH153" s="2">
        <v>2914610.2119947602</v>
      </c>
      <c r="AI153" s="2">
        <v>2868859.6996317199</v>
      </c>
      <c r="AJ153" s="2">
        <v>3105490.0412267102</v>
      </c>
      <c r="AK153" s="2">
        <v>2408881.7623424302</v>
      </c>
      <c r="AL153" s="2">
        <v>2569997.5894319401</v>
      </c>
      <c r="AM153" s="2">
        <v>2550667.1687679999</v>
      </c>
      <c r="AN153" s="2">
        <v>2503673.41110805</v>
      </c>
      <c r="AO153" s="2">
        <v>2492064.9827583702</v>
      </c>
      <c r="AP153" s="2">
        <v>2439322.9945721701</v>
      </c>
    </row>
    <row r="154" spans="1:42" ht="14.5" x14ac:dyDescent="0.35">
      <c r="A154" s="2" t="s">
        <v>1138</v>
      </c>
      <c r="B154" s="2">
        <v>628.311202026096</v>
      </c>
      <c r="C154" s="2">
        <v>6.2170833333333304</v>
      </c>
      <c r="D154" s="2" t="s">
        <v>70</v>
      </c>
      <c r="E154" s="2" t="s">
        <v>1139</v>
      </c>
      <c r="F154" s="2">
        <v>212206</v>
      </c>
      <c r="G154" s="3" t="str">
        <f>HYPERLINK("http://funmeta.oebiotech.com/network/212206", "http://funmeta.oebiotech.com/network/212206")</f>
        <v>http://funmeta.oebiotech.com/network/212206</v>
      </c>
      <c r="H154" s="2" t="s">
        <v>1140</v>
      </c>
      <c r="I154" s="2">
        <v>73474</v>
      </c>
      <c r="J154" s="2"/>
      <c r="K154" s="2"/>
      <c r="L154" s="2" t="s">
        <v>1141</v>
      </c>
      <c r="M154" s="2"/>
      <c r="N154" s="2"/>
      <c r="O154" s="2">
        <v>121443</v>
      </c>
      <c r="P154" s="2" t="s">
        <v>1142</v>
      </c>
      <c r="Q154" s="2" t="s">
        <v>1143</v>
      </c>
      <c r="R154" s="2" t="s">
        <v>1144</v>
      </c>
      <c r="S154" s="2" t="s">
        <v>50</v>
      </c>
      <c r="T154" s="2" t="s">
        <v>201</v>
      </c>
      <c r="U154" s="2" t="s">
        <v>241</v>
      </c>
      <c r="V154" s="2" t="s">
        <v>42</v>
      </c>
      <c r="W154" s="2">
        <v>48.7</v>
      </c>
      <c r="X154" s="2">
        <v>54.8</v>
      </c>
      <c r="Y154" s="2" t="s">
        <v>408</v>
      </c>
      <c r="Z154" s="2" t="s">
        <v>1145</v>
      </c>
      <c r="AA154" s="2">
        <v>-2.6027953850331902</v>
      </c>
      <c r="AB154" s="2">
        <v>2.6170234130174501</v>
      </c>
      <c r="AC154" s="2">
        <v>500861.513621155</v>
      </c>
      <c r="AD154" s="2">
        <v>952698.84341685404</v>
      </c>
      <c r="AE154" s="2">
        <v>513472.04653406201</v>
      </c>
      <c r="AF154" s="2">
        <v>471042.50995406799</v>
      </c>
      <c r="AG154" s="2">
        <v>505011.393552883</v>
      </c>
      <c r="AH154" s="2">
        <v>485718.15213671298</v>
      </c>
      <c r="AI154" s="2">
        <v>495055.46301903401</v>
      </c>
      <c r="AJ154" s="2">
        <v>534869.51653017104</v>
      </c>
      <c r="AK154" s="2">
        <v>925379.49587738502</v>
      </c>
      <c r="AL154" s="2">
        <v>944809.70304173499</v>
      </c>
      <c r="AM154" s="2">
        <v>997367.08714394597</v>
      </c>
      <c r="AN154" s="2">
        <v>976849.99935725704</v>
      </c>
      <c r="AO154" s="2">
        <v>959515.31928870396</v>
      </c>
      <c r="AP154" s="2">
        <v>912271.45579209598</v>
      </c>
    </row>
    <row r="155" spans="1:42" ht="14.5" x14ac:dyDescent="0.35">
      <c r="A155" s="2" t="s">
        <v>1146</v>
      </c>
      <c r="B155" s="2">
        <v>663.452804009837</v>
      </c>
      <c r="C155" s="2">
        <v>14.010300000000001</v>
      </c>
      <c r="D155" s="2" t="s">
        <v>34</v>
      </c>
      <c r="E155" s="2" t="s">
        <v>1147</v>
      </c>
      <c r="F155" s="2">
        <v>274649</v>
      </c>
      <c r="G155" s="3" t="str">
        <f>HYPERLINK("http://funmeta.oebiotech.com/network/274649", "http://funmeta.oebiotech.com/network/274649")</f>
        <v>http://funmeta.oebiotech.com/network/274649</v>
      </c>
      <c r="H155" s="2"/>
      <c r="I155" s="2">
        <v>64806</v>
      </c>
      <c r="J155" s="2"/>
      <c r="K155" s="2"/>
      <c r="L155" s="2"/>
      <c r="M155" s="2"/>
      <c r="N155" s="2"/>
      <c r="O155" s="2">
        <v>57370056</v>
      </c>
      <c r="P155" s="2"/>
      <c r="Q155" s="2" t="s">
        <v>1148</v>
      </c>
      <c r="R155" s="2" t="s">
        <v>1149</v>
      </c>
      <c r="S155" s="2" t="s">
        <v>41</v>
      </c>
      <c r="T155" s="2" t="s">
        <v>41</v>
      </c>
      <c r="U155" s="2" t="s">
        <v>41</v>
      </c>
      <c r="V155" s="2" t="s">
        <v>59</v>
      </c>
      <c r="W155" s="2">
        <v>38.9</v>
      </c>
      <c r="X155" s="2">
        <v>6.47</v>
      </c>
      <c r="Y155" s="2" t="s">
        <v>440</v>
      </c>
      <c r="Z155" s="2" t="s">
        <v>1150</v>
      </c>
      <c r="AA155" s="2">
        <v>7.2558956984014298</v>
      </c>
      <c r="AB155" s="2">
        <v>2.5931795266886</v>
      </c>
      <c r="AC155" s="2">
        <v>1184820.7322008801</v>
      </c>
      <c r="AD155" s="2">
        <v>685904.40019939502</v>
      </c>
      <c r="AE155" s="2">
        <v>1027285.76394936</v>
      </c>
      <c r="AF155" s="2">
        <v>1119176.3384120299</v>
      </c>
      <c r="AG155" s="2">
        <v>1289758.2140526399</v>
      </c>
      <c r="AH155" s="2">
        <v>1096488.3596141899</v>
      </c>
      <c r="AI155" s="2">
        <v>1235890.05425096</v>
      </c>
      <c r="AJ155" s="2">
        <v>1340325.6629260799</v>
      </c>
      <c r="AK155" s="2">
        <v>484669.97817609401</v>
      </c>
      <c r="AL155" s="2">
        <v>513337.92386952502</v>
      </c>
      <c r="AM155" s="2">
        <v>698154.17705928197</v>
      </c>
      <c r="AN155" s="2">
        <v>724004.40889360302</v>
      </c>
      <c r="AO155" s="2">
        <v>824253.52655041101</v>
      </c>
      <c r="AP155" s="2">
        <v>871006.38664745202</v>
      </c>
    </row>
    <row r="156" spans="1:42" ht="14.5" x14ac:dyDescent="0.35">
      <c r="A156" s="2" t="s">
        <v>1151</v>
      </c>
      <c r="B156" s="2">
        <v>355.10317652161598</v>
      </c>
      <c r="C156" s="2">
        <v>3.4826666666666699</v>
      </c>
      <c r="D156" s="2" t="s">
        <v>70</v>
      </c>
      <c r="E156" s="2" t="s">
        <v>1152</v>
      </c>
      <c r="F156" s="2">
        <v>212123</v>
      </c>
      <c r="G156" s="3" t="str">
        <f>HYPERLINK("http://funmeta.oebiotech.com/network/212123", "http://funmeta.oebiotech.com/network/212123")</f>
        <v>http://funmeta.oebiotech.com/network/212123</v>
      </c>
      <c r="H156" s="2" t="s">
        <v>1153</v>
      </c>
      <c r="I156" s="2"/>
      <c r="J156" s="2"/>
      <c r="K156" s="2"/>
      <c r="L156" s="2"/>
      <c r="M156" s="2"/>
      <c r="N156" s="2"/>
      <c r="O156" s="2">
        <v>3515878</v>
      </c>
      <c r="P156" s="2"/>
      <c r="Q156" s="2" t="s">
        <v>1154</v>
      </c>
      <c r="R156" s="2" t="s">
        <v>1155</v>
      </c>
      <c r="S156" s="2" t="s">
        <v>79</v>
      </c>
      <c r="T156" s="2" t="s">
        <v>80</v>
      </c>
      <c r="U156" s="2" t="s">
        <v>81</v>
      </c>
      <c r="V156" s="2" t="s">
        <v>42</v>
      </c>
      <c r="W156" s="2">
        <v>56.6</v>
      </c>
      <c r="X156" s="2">
        <v>87.5</v>
      </c>
      <c r="Y156" s="2" t="s">
        <v>751</v>
      </c>
      <c r="Z156" s="2" t="s">
        <v>1156</v>
      </c>
      <c r="AA156" s="2">
        <v>-0.74644113210787</v>
      </c>
      <c r="AB156" s="2">
        <v>2.5914246203504798</v>
      </c>
      <c r="AC156" s="2">
        <v>928547.37819661398</v>
      </c>
      <c r="AD156" s="2">
        <v>484259.59462315199</v>
      </c>
      <c r="AE156" s="2">
        <v>988069.24373449804</v>
      </c>
      <c r="AF156" s="2">
        <v>884721.91496052302</v>
      </c>
      <c r="AG156" s="2">
        <v>963142.175616452</v>
      </c>
      <c r="AH156" s="2">
        <v>946937.70347363804</v>
      </c>
      <c r="AI156" s="2">
        <v>888591.78495540598</v>
      </c>
      <c r="AJ156" s="2">
        <v>899821.44643916795</v>
      </c>
      <c r="AK156" s="2">
        <v>488215.013665137</v>
      </c>
      <c r="AL156" s="2">
        <v>482172.65310128802</v>
      </c>
      <c r="AM156" s="2">
        <v>511723.94658463</v>
      </c>
      <c r="AN156" s="2">
        <v>495011.04798009899</v>
      </c>
      <c r="AO156" s="2">
        <v>461688.95113153302</v>
      </c>
      <c r="AP156" s="2">
        <v>466745.95527622203</v>
      </c>
    </row>
    <row r="157" spans="1:42" ht="14.5" x14ac:dyDescent="0.35">
      <c r="A157" s="2" t="s">
        <v>1157</v>
      </c>
      <c r="B157" s="2">
        <v>357.23545786459499</v>
      </c>
      <c r="C157" s="2">
        <v>4.9145166666666702</v>
      </c>
      <c r="D157" s="2" t="s">
        <v>34</v>
      </c>
      <c r="E157" s="2" t="s">
        <v>1158</v>
      </c>
      <c r="F157" s="2">
        <v>204395</v>
      </c>
      <c r="G157" s="3" t="str">
        <f>HYPERLINK("http://funmeta.oebiotech.com/network/204395", "http://funmeta.oebiotech.com/network/204395")</f>
        <v>http://funmeta.oebiotech.com/network/204395</v>
      </c>
      <c r="H157" s="2" t="s">
        <v>1159</v>
      </c>
      <c r="I157" s="2"/>
      <c r="J157" s="2"/>
      <c r="K157" s="2"/>
      <c r="L157" s="2"/>
      <c r="M157" s="2"/>
      <c r="N157" s="2"/>
      <c r="O157" s="2">
        <v>3336368</v>
      </c>
      <c r="P157" s="2"/>
      <c r="Q157" s="2" t="s">
        <v>1160</v>
      </c>
      <c r="R157" s="2" t="s">
        <v>1161</v>
      </c>
      <c r="S157" s="2" t="s">
        <v>89</v>
      </c>
      <c r="T157" s="2" t="s">
        <v>90</v>
      </c>
      <c r="U157" s="2" t="s">
        <v>99</v>
      </c>
      <c r="V157" s="2" t="s">
        <v>59</v>
      </c>
      <c r="W157" s="2">
        <v>41.1</v>
      </c>
      <c r="X157" s="2">
        <v>16</v>
      </c>
      <c r="Y157" s="2" t="s">
        <v>250</v>
      </c>
      <c r="Z157" s="2" t="s">
        <v>1162</v>
      </c>
      <c r="AA157" s="2">
        <v>-0.75282433280282102</v>
      </c>
      <c r="AB157" s="2">
        <v>2.58309805094293</v>
      </c>
      <c r="AC157" s="2">
        <v>1103076.3993488301</v>
      </c>
      <c r="AD157" s="2">
        <v>1554281.21819084</v>
      </c>
      <c r="AE157" s="2">
        <v>1142429.2319165401</v>
      </c>
      <c r="AF157" s="2">
        <v>1121657.3238548599</v>
      </c>
      <c r="AG157" s="2">
        <v>1098908.4131609299</v>
      </c>
      <c r="AH157" s="2">
        <v>1126639.07134612</v>
      </c>
      <c r="AI157" s="2">
        <v>1096965.0959921901</v>
      </c>
      <c r="AJ157" s="2">
        <v>1031859.25982236</v>
      </c>
      <c r="AK157" s="2">
        <v>1466495.5618879599</v>
      </c>
      <c r="AL157" s="2">
        <v>1560490.5526211299</v>
      </c>
      <c r="AM157" s="2">
        <v>1700210.04236074</v>
      </c>
      <c r="AN157" s="2">
        <v>1542083.5563767501</v>
      </c>
      <c r="AO157" s="2">
        <v>1515499.02304029</v>
      </c>
      <c r="AP157" s="2">
        <v>1540908.5728581401</v>
      </c>
    </row>
    <row r="158" spans="1:42" ht="14.5" x14ac:dyDescent="0.35">
      <c r="A158" s="2" t="s">
        <v>1163</v>
      </c>
      <c r="B158" s="2">
        <v>449.17803867547099</v>
      </c>
      <c r="C158" s="2">
        <v>4.8662333333333301</v>
      </c>
      <c r="D158" s="2" t="s">
        <v>34</v>
      </c>
      <c r="E158" s="2" t="s">
        <v>1164</v>
      </c>
      <c r="F158" s="2">
        <v>35506</v>
      </c>
      <c r="G158" s="3" t="str">
        <f>HYPERLINK("http://funmeta.oebiotech.com/network/35506", "http://funmeta.oebiotech.com/network/35506")</f>
        <v>http://funmeta.oebiotech.com/network/35506</v>
      </c>
      <c r="H158" s="2"/>
      <c r="I158" s="2">
        <v>64113</v>
      </c>
      <c r="J158" s="2" t="s">
        <v>1165</v>
      </c>
      <c r="K158" s="2">
        <v>22151</v>
      </c>
      <c r="L158" s="2" t="s">
        <v>1166</v>
      </c>
      <c r="M158" s="2" t="s">
        <v>1167</v>
      </c>
      <c r="N158" s="2" t="s">
        <v>1168</v>
      </c>
      <c r="O158" s="2">
        <v>46173811</v>
      </c>
      <c r="P158" s="2"/>
      <c r="Q158" s="2" t="s">
        <v>1169</v>
      </c>
      <c r="R158" s="2" t="s">
        <v>1170</v>
      </c>
      <c r="S158" s="2" t="s">
        <v>50</v>
      </c>
      <c r="T158" s="2" t="s">
        <v>201</v>
      </c>
      <c r="U158" s="2" t="s">
        <v>636</v>
      </c>
      <c r="V158" s="2" t="s">
        <v>59</v>
      </c>
      <c r="W158" s="2">
        <v>43.2</v>
      </c>
      <c r="X158" s="2">
        <v>17.7</v>
      </c>
      <c r="Y158" s="2" t="s">
        <v>376</v>
      </c>
      <c r="Z158" s="2" t="s">
        <v>1171</v>
      </c>
      <c r="AA158" s="2">
        <v>-0.38607912307440501</v>
      </c>
      <c r="AB158" s="2">
        <v>2.5689887650202499</v>
      </c>
      <c r="AC158" s="2">
        <v>1958060.4651862101</v>
      </c>
      <c r="AD158" s="2">
        <v>2407497.0781996101</v>
      </c>
      <c r="AE158" s="2">
        <v>1906305.4985710301</v>
      </c>
      <c r="AF158" s="2">
        <v>2046184.7582864701</v>
      </c>
      <c r="AG158" s="2">
        <v>2019966.5005868</v>
      </c>
      <c r="AH158" s="2">
        <v>1862986.9703607699</v>
      </c>
      <c r="AI158" s="2">
        <v>1940857.05683188</v>
      </c>
      <c r="AJ158" s="2">
        <v>1972062.0064802901</v>
      </c>
      <c r="AK158" s="2">
        <v>2465175.1145736999</v>
      </c>
      <c r="AL158" s="2">
        <v>2403629.6705931099</v>
      </c>
      <c r="AM158" s="2">
        <v>2427538.53701253</v>
      </c>
      <c r="AN158" s="2">
        <v>2466004.6271615899</v>
      </c>
      <c r="AO158" s="2">
        <v>2395977.0872819801</v>
      </c>
      <c r="AP158" s="2">
        <v>2286657.4325747802</v>
      </c>
    </row>
    <row r="159" spans="1:42" ht="14.5" x14ac:dyDescent="0.35">
      <c r="A159" s="2" t="s">
        <v>1172</v>
      </c>
      <c r="B159" s="2">
        <v>361.06924643948599</v>
      </c>
      <c r="C159" s="2">
        <v>3.0346333333333302</v>
      </c>
      <c r="D159" s="2" t="s">
        <v>70</v>
      </c>
      <c r="E159" s="2" t="s">
        <v>1173</v>
      </c>
      <c r="F159" s="2">
        <v>201787</v>
      </c>
      <c r="G159" s="3" t="str">
        <f>HYPERLINK("http://funmeta.oebiotech.com/network/201787", "http://funmeta.oebiotech.com/network/201787")</f>
        <v>http://funmeta.oebiotech.com/network/201787</v>
      </c>
      <c r="H159" s="2" t="s">
        <v>1174</v>
      </c>
      <c r="I159" s="2"/>
      <c r="J159" s="2"/>
      <c r="K159" s="2">
        <v>71235</v>
      </c>
      <c r="L159" s="2"/>
      <c r="M159" s="2"/>
      <c r="N159" s="2"/>
      <c r="O159" s="2">
        <v>22034936</v>
      </c>
      <c r="P159" s="2"/>
      <c r="Q159" s="2" t="s">
        <v>1175</v>
      </c>
      <c r="R159" s="2" t="s">
        <v>1176</v>
      </c>
      <c r="S159" s="2" t="s">
        <v>148</v>
      </c>
      <c r="T159" s="2" t="s">
        <v>392</v>
      </c>
      <c r="U159" s="2" t="s">
        <v>1177</v>
      </c>
      <c r="V159" s="2" t="s">
        <v>59</v>
      </c>
      <c r="W159" s="2">
        <v>37.799999999999997</v>
      </c>
      <c r="X159" s="2">
        <v>0.61899999999999999</v>
      </c>
      <c r="Y159" s="2" t="s">
        <v>560</v>
      </c>
      <c r="Z159" s="2" t="s">
        <v>1178</v>
      </c>
      <c r="AA159" s="2">
        <v>4.1633815140651098</v>
      </c>
      <c r="AB159" s="2">
        <v>2.54412824337397</v>
      </c>
      <c r="AC159" s="2">
        <v>802613.428429269</v>
      </c>
      <c r="AD159" s="2">
        <v>1231473.20720971</v>
      </c>
      <c r="AE159" s="2">
        <v>779275.44080350304</v>
      </c>
      <c r="AF159" s="2">
        <v>814648.466447643</v>
      </c>
      <c r="AG159" s="2">
        <v>807409.30752042402</v>
      </c>
      <c r="AH159" s="2">
        <v>764951.25033161195</v>
      </c>
      <c r="AI159" s="2">
        <v>791359.82442156505</v>
      </c>
      <c r="AJ159" s="2">
        <v>858036.28105086705</v>
      </c>
      <c r="AK159" s="2">
        <v>1221374.04835869</v>
      </c>
      <c r="AL159" s="2">
        <v>1243608.60522893</v>
      </c>
      <c r="AM159" s="2">
        <v>1285910.59374523</v>
      </c>
      <c r="AN159" s="2">
        <v>1239666.7327575199</v>
      </c>
      <c r="AO159" s="2">
        <v>1197285.1448278001</v>
      </c>
      <c r="AP159" s="2">
        <v>1200994.1183400699</v>
      </c>
    </row>
    <row r="160" spans="1:42" ht="14.5" x14ac:dyDescent="0.35">
      <c r="A160" s="2" t="s">
        <v>1179</v>
      </c>
      <c r="B160" s="2">
        <v>559.17864808592697</v>
      </c>
      <c r="C160" s="2">
        <v>4.5991</v>
      </c>
      <c r="D160" s="2" t="s">
        <v>34</v>
      </c>
      <c r="E160" s="2" t="s">
        <v>1180</v>
      </c>
      <c r="F160" s="2">
        <v>57530</v>
      </c>
      <c r="G160" s="3" t="str">
        <f>HYPERLINK("http://funmeta.oebiotech.com/network/57530", "http://funmeta.oebiotech.com/network/57530")</f>
        <v>http://funmeta.oebiotech.com/network/57530</v>
      </c>
      <c r="H160" s="2" t="s">
        <v>1181</v>
      </c>
      <c r="I160" s="2">
        <v>89140</v>
      </c>
      <c r="J160" s="2"/>
      <c r="K160" s="2">
        <v>171722</v>
      </c>
      <c r="L160" s="2"/>
      <c r="M160" s="2"/>
      <c r="N160" s="2"/>
      <c r="O160" s="2">
        <v>14756313</v>
      </c>
      <c r="P160" s="2"/>
      <c r="Q160" s="2" t="s">
        <v>1182</v>
      </c>
      <c r="R160" s="2" t="s">
        <v>1183</v>
      </c>
      <c r="S160" s="2" t="s">
        <v>1184</v>
      </c>
      <c r="T160" s="2" t="s">
        <v>1185</v>
      </c>
      <c r="U160" s="2" t="s">
        <v>41</v>
      </c>
      <c r="V160" s="2" t="s">
        <v>59</v>
      </c>
      <c r="W160" s="2">
        <v>41.9</v>
      </c>
      <c r="X160" s="2">
        <v>14.1</v>
      </c>
      <c r="Y160" s="2" t="s">
        <v>470</v>
      </c>
      <c r="Z160" s="2" t="s">
        <v>1186</v>
      </c>
      <c r="AA160" s="2">
        <v>9.5013010187088104E-2</v>
      </c>
      <c r="AB160" s="2">
        <v>2.5373906099755499</v>
      </c>
      <c r="AC160" s="2">
        <v>715501.51543036895</v>
      </c>
      <c r="AD160" s="2">
        <v>1153918.3282499099</v>
      </c>
      <c r="AE160" s="2">
        <v>688977.62411176402</v>
      </c>
      <c r="AF160" s="2">
        <v>765194.96851424698</v>
      </c>
      <c r="AG160" s="2">
        <v>678771.69223593699</v>
      </c>
      <c r="AH160" s="2">
        <v>653476.09486282303</v>
      </c>
      <c r="AI160" s="2">
        <v>768901.43008229998</v>
      </c>
      <c r="AJ160" s="2">
        <v>737687.28277514502</v>
      </c>
      <c r="AK160" s="2">
        <v>1290369.7402224101</v>
      </c>
      <c r="AL160" s="2">
        <v>1120391.7176506401</v>
      </c>
      <c r="AM160" s="2">
        <v>1107872.6946242901</v>
      </c>
      <c r="AN160" s="2">
        <v>1157285.0605532201</v>
      </c>
      <c r="AO160" s="2">
        <v>1053842.2180063401</v>
      </c>
      <c r="AP160" s="2">
        <v>1193748.53844257</v>
      </c>
    </row>
    <row r="161" spans="1:42" ht="14.5" x14ac:dyDescent="0.35">
      <c r="A161" s="2" t="s">
        <v>1187</v>
      </c>
      <c r="B161" s="2">
        <v>525.23404427337096</v>
      </c>
      <c r="C161" s="2">
        <v>5.4314499999999999</v>
      </c>
      <c r="D161" s="2" t="s">
        <v>70</v>
      </c>
      <c r="E161" s="2" t="s">
        <v>1188</v>
      </c>
      <c r="F161" s="2">
        <v>50904</v>
      </c>
      <c r="G161" s="3" t="str">
        <f>HYPERLINK("http://funmeta.oebiotech.com/network/50904", "http://funmeta.oebiotech.com/network/50904")</f>
        <v>http://funmeta.oebiotech.com/network/50904</v>
      </c>
      <c r="H161" s="2" t="s">
        <v>1189</v>
      </c>
      <c r="I161" s="2">
        <v>57950</v>
      </c>
      <c r="J161" s="2"/>
      <c r="K161" s="2"/>
      <c r="L161" s="2"/>
      <c r="M161" s="2"/>
      <c r="N161" s="2"/>
      <c r="O161" s="2">
        <v>53478031</v>
      </c>
      <c r="P161" s="2"/>
      <c r="Q161" s="2" t="s">
        <v>1190</v>
      </c>
      <c r="R161" s="2" t="s">
        <v>1191</v>
      </c>
      <c r="S161" s="2" t="s">
        <v>50</v>
      </c>
      <c r="T161" s="2" t="s">
        <v>124</v>
      </c>
      <c r="U161" s="2" t="s">
        <v>523</v>
      </c>
      <c r="V161" s="2" t="s">
        <v>59</v>
      </c>
      <c r="W161" s="2">
        <v>44.3</v>
      </c>
      <c r="X161" s="2">
        <v>24.1</v>
      </c>
      <c r="Y161" s="2" t="s">
        <v>408</v>
      </c>
      <c r="Z161" s="2" t="s">
        <v>1192</v>
      </c>
      <c r="AA161" s="2">
        <v>-0.19017150241439901</v>
      </c>
      <c r="AB161" s="2">
        <v>2.5316170527178401</v>
      </c>
      <c r="AC161" s="2">
        <v>517836.039862031</v>
      </c>
      <c r="AD161" s="2">
        <v>95451.366433821095</v>
      </c>
      <c r="AE161" s="2">
        <v>543533.54174332495</v>
      </c>
      <c r="AF161" s="2">
        <v>471921.19001208001</v>
      </c>
      <c r="AG161" s="2">
        <v>528770.82126164401</v>
      </c>
      <c r="AH161" s="2">
        <v>505223.24606293603</v>
      </c>
      <c r="AI161" s="2">
        <v>498494.446335038</v>
      </c>
      <c r="AJ161" s="2">
        <v>559072.99375716504</v>
      </c>
      <c r="AK161" s="2">
        <v>95038.9020476695</v>
      </c>
      <c r="AL161" s="2">
        <v>94482.004660343096</v>
      </c>
      <c r="AM161" s="2">
        <v>94606.935064859397</v>
      </c>
      <c r="AN161" s="2">
        <v>97342.252304145906</v>
      </c>
      <c r="AO161" s="2">
        <v>96653.490546299799</v>
      </c>
      <c r="AP161" s="2">
        <v>94584.613979609101</v>
      </c>
    </row>
    <row r="162" spans="1:42" ht="14.5" x14ac:dyDescent="0.35">
      <c r="A162" s="2" t="s">
        <v>1193</v>
      </c>
      <c r="B162" s="2">
        <v>874.64477450863603</v>
      </c>
      <c r="C162" s="2">
        <v>13.962633333333301</v>
      </c>
      <c r="D162" s="2" t="s">
        <v>34</v>
      </c>
      <c r="E162" s="2" t="s">
        <v>1194</v>
      </c>
      <c r="F162" s="2">
        <v>46832</v>
      </c>
      <c r="G162" s="3" t="str">
        <f>HYPERLINK("http://funmeta.oebiotech.com/network/46832", "http://funmeta.oebiotech.com/network/46832")</f>
        <v>http://funmeta.oebiotech.com/network/46832</v>
      </c>
      <c r="H162" s="2" t="s">
        <v>1195</v>
      </c>
      <c r="I162" s="2">
        <v>41630</v>
      </c>
      <c r="J162" s="2"/>
      <c r="K162" s="2"/>
      <c r="L162" s="2"/>
      <c r="M162" s="2"/>
      <c r="N162" s="2"/>
      <c r="O162" s="2">
        <v>24779585</v>
      </c>
      <c r="P162" s="2" t="s">
        <v>1196</v>
      </c>
      <c r="Q162" s="2" t="s">
        <v>1197</v>
      </c>
      <c r="R162" s="2" t="s">
        <v>1198</v>
      </c>
      <c r="S162" s="2" t="s">
        <v>50</v>
      </c>
      <c r="T162" s="2" t="s">
        <v>693</v>
      </c>
      <c r="U162" s="2" t="s">
        <v>694</v>
      </c>
      <c r="V162" s="2" t="s">
        <v>59</v>
      </c>
      <c r="W162" s="2">
        <v>37</v>
      </c>
      <c r="X162" s="2">
        <v>2.54</v>
      </c>
      <c r="Y162" s="2" t="s">
        <v>141</v>
      </c>
      <c r="Z162" s="2" t="s">
        <v>1199</v>
      </c>
      <c r="AA162" s="2">
        <v>1.2661470847624601</v>
      </c>
      <c r="AB162" s="2">
        <v>2.5069981901065601</v>
      </c>
      <c r="AC162" s="2">
        <v>2614.5080312885898</v>
      </c>
      <c r="AD162" s="2">
        <v>416385.50455252</v>
      </c>
      <c r="AE162" s="2">
        <v>2393.1532116296698</v>
      </c>
      <c r="AF162" s="2">
        <v>2973.2599459100202</v>
      </c>
      <c r="AG162" s="2">
        <v>2508.0629706127602</v>
      </c>
      <c r="AH162" s="2">
        <v>2778.9873040523698</v>
      </c>
      <c r="AI162" s="2">
        <v>2232.37756101368</v>
      </c>
      <c r="AJ162" s="2">
        <v>2801.2071945130301</v>
      </c>
      <c r="AK162" s="2">
        <v>427980.96258428</v>
      </c>
      <c r="AL162" s="2">
        <v>404778.72674636397</v>
      </c>
      <c r="AM162" s="2">
        <v>413904.83255577</v>
      </c>
      <c r="AN162" s="2">
        <v>381079.10609162803</v>
      </c>
      <c r="AO162" s="2">
        <v>416198.47872997698</v>
      </c>
      <c r="AP162" s="2">
        <v>454370.92060709803</v>
      </c>
    </row>
    <row r="163" spans="1:42" ht="14.5" x14ac:dyDescent="0.35">
      <c r="A163" s="2" t="s">
        <v>1200</v>
      </c>
      <c r="B163" s="2">
        <v>661.419618612504</v>
      </c>
      <c r="C163" s="2">
        <v>11.9917833333333</v>
      </c>
      <c r="D163" s="2" t="s">
        <v>34</v>
      </c>
      <c r="E163" s="2" t="s">
        <v>1201</v>
      </c>
      <c r="F163" s="2">
        <v>24989</v>
      </c>
      <c r="G163" s="3" t="str">
        <f>HYPERLINK("http://funmeta.oebiotech.com/network/24989", "http://funmeta.oebiotech.com/network/24989")</f>
        <v>http://funmeta.oebiotech.com/network/24989</v>
      </c>
      <c r="H163" s="2"/>
      <c r="I163" s="2">
        <v>81256</v>
      </c>
      <c r="J163" s="2" t="s">
        <v>1202</v>
      </c>
      <c r="K163" s="2"/>
      <c r="L163" s="2"/>
      <c r="M163" s="2"/>
      <c r="N163" s="2"/>
      <c r="O163" s="2">
        <v>52928683</v>
      </c>
      <c r="P163" s="2"/>
      <c r="Q163" s="2" t="s">
        <v>1203</v>
      </c>
      <c r="R163" s="2" t="s">
        <v>1204</v>
      </c>
      <c r="S163" s="2" t="s">
        <v>50</v>
      </c>
      <c r="T163" s="2" t="s">
        <v>51</v>
      </c>
      <c r="U163" s="2" t="s">
        <v>273</v>
      </c>
      <c r="V163" s="2" t="s">
        <v>59</v>
      </c>
      <c r="W163" s="2">
        <v>39.299999999999997</v>
      </c>
      <c r="X163" s="2">
        <v>10.6</v>
      </c>
      <c r="Y163" s="2" t="s">
        <v>141</v>
      </c>
      <c r="Z163" s="2" t="s">
        <v>1205</v>
      </c>
      <c r="AA163" s="2">
        <v>-4.6412491975472498</v>
      </c>
      <c r="AB163" s="2">
        <v>2.5047318829616199</v>
      </c>
      <c r="AC163" s="2">
        <v>5538.90856583804</v>
      </c>
      <c r="AD163" s="2">
        <v>421701.58832617401</v>
      </c>
      <c r="AE163" s="2">
        <v>6561.5336191871702</v>
      </c>
      <c r="AF163" s="2">
        <v>7639.9165709853096</v>
      </c>
      <c r="AG163" s="2">
        <v>4262.5706785459397</v>
      </c>
      <c r="AH163" s="2">
        <v>5657.1274519930703</v>
      </c>
      <c r="AI163" s="2">
        <v>4441.3814744133197</v>
      </c>
      <c r="AJ163" s="2">
        <v>4670.9215999034004</v>
      </c>
      <c r="AK163" s="2">
        <v>427927.96554865601</v>
      </c>
      <c r="AL163" s="2">
        <v>349586.88205382798</v>
      </c>
      <c r="AM163" s="2">
        <v>495673.11567152198</v>
      </c>
      <c r="AN163" s="2">
        <v>407282.76014327398</v>
      </c>
      <c r="AO163" s="2">
        <v>398710.51323634799</v>
      </c>
      <c r="AP163" s="2">
        <v>451028.29330341599</v>
      </c>
    </row>
    <row r="164" spans="1:42" ht="14.5" x14ac:dyDescent="0.35">
      <c r="A164" s="2" t="s">
        <v>1206</v>
      </c>
      <c r="B164" s="2">
        <v>654.38614348953797</v>
      </c>
      <c r="C164" s="2">
        <v>11.5300333333333</v>
      </c>
      <c r="D164" s="2" t="s">
        <v>34</v>
      </c>
      <c r="E164" s="2" t="s">
        <v>1207</v>
      </c>
      <c r="F164" s="2">
        <v>44819</v>
      </c>
      <c r="G164" s="3" t="str">
        <f>HYPERLINK("http://funmeta.oebiotech.com/network/44819", "http://funmeta.oebiotech.com/network/44819")</f>
        <v>http://funmeta.oebiotech.com/network/44819</v>
      </c>
      <c r="H164" s="2"/>
      <c r="I164" s="2"/>
      <c r="J164" s="2" t="s">
        <v>1208</v>
      </c>
      <c r="K164" s="2"/>
      <c r="L164" s="2"/>
      <c r="M164" s="2"/>
      <c r="N164" s="2"/>
      <c r="O164" s="2">
        <v>10952344</v>
      </c>
      <c r="P164" s="2"/>
      <c r="Q164" s="2" t="s">
        <v>1209</v>
      </c>
      <c r="R164" s="2" t="s">
        <v>1210</v>
      </c>
      <c r="S164" s="2" t="s">
        <v>50</v>
      </c>
      <c r="T164" s="2" t="s">
        <v>124</v>
      </c>
      <c r="U164" s="2" t="s">
        <v>567</v>
      </c>
      <c r="V164" s="2" t="s">
        <v>59</v>
      </c>
      <c r="W164" s="2">
        <v>40.200000000000003</v>
      </c>
      <c r="X164" s="2">
        <v>11.1</v>
      </c>
      <c r="Y164" s="2" t="s">
        <v>43</v>
      </c>
      <c r="Z164" s="2" t="s">
        <v>1211</v>
      </c>
      <c r="AA164" s="2">
        <v>2.1300772963133801</v>
      </c>
      <c r="AB164" s="2">
        <v>2.4997577604818102</v>
      </c>
      <c r="AC164" s="2">
        <v>10917.537342834999</v>
      </c>
      <c r="AD164" s="2">
        <v>422080.269688903</v>
      </c>
      <c r="AE164" s="2">
        <v>11476.736002486199</v>
      </c>
      <c r="AF164" s="2">
        <v>11644.9896164202</v>
      </c>
      <c r="AG164" s="2">
        <v>11307.8982637063</v>
      </c>
      <c r="AH164" s="2">
        <v>9225.6188390213301</v>
      </c>
      <c r="AI164" s="2">
        <v>10594.146055319001</v>
      </c>
      <c r="AJ164" s="2">
        <v>11255.835280056999</v>
      </c>
      <c r="AK164" s="2">
        <v>397213.32135542401</v>
      </c>
      <c r="AL164" s="2">
        <v>390792.16202767898</v>
      </c>
      <c r="AM164" s="2">
        <v>454997.19930706598</v>
      </c>
      <c r="AN164" s="2">
        <v>413812.10360658303</v>
      </c>
      <c r="AO164" s="2">
        <v>431832.01165630203</v>
      </c>
      <c r="AP164" s="2">
        <v>443834.82018036302</v>
      </c>
    </row>
    <row r="165" spans="1:42" ht="14.5" x14ac:dyDescent="0.35">
      <c r="A165" s="2" t="s">
        <v>1212</v>
      </c>
      <c r="B165" s="2">
        <v>543.18345908352603</v>
      </c>
      <c r="C165" s="2">
        <v>5.1684333333333301</v>
      </c>
      <c r="D165" s="2" t="s">
        <v>34</v>
      </c>
      <c r="E165" s="2" t="s">
        <v>1213</v>
      </c>
      <c r="F165" s="2">
        <v>199165</v>
      </c>
      <c r="G165" s="3" t="str">
        <f>HYPERLINK("http://funmeta.oebiotech.com/network/199165", "http://funmeta.oebiotech.com/network/199165")</f>
        <v>http://funmeta.oebiotech.com/network/199165</v>
      </c>
      <c r="H165" s="2" t="s">
        <v>1214</v>
      </c>
      <c r="I165" s="2"/>
      <c r="J165" s="2"/>
      <c r="K165" s="2"/>
      <c r="L165" s="2"/>
      <c r="M165" s="2"/>
      <c r="N165" s="2"/>
      <c r="O165" s="2">
        <v>299645</v>
      </c>
      <c r="P165" s="2"/>
      <c r="Q165" s="2" t="s">
        <v>1215</v>
      </c>
      <c r="R165" s="2" t="s">
        <v>1216</v>
      </c>
      <c r="S165" s="2" t="s">
        <v>50</v>
      </c>
      <c r="T165" s="2" t="s">
        <v>201</v>
      </c>
      <c r="U165" s="2" t="s">
        <v>1217</v>
      </c>
      <c r="V165" s="2" t="s">
        <v>59</v>
      </c>
      <c r="W165" s="2">
        <v>45.4</v>
      </c>
      <c r="X165" s="2">
        <v>28.7</v>
      </c>
      <c r="Y165" s="2" t="s">
        <v>376</v>
      </c>
      <c r="Z165" s="2" t="s">
        <v>1218</v>
      </c>
      <c r="AA165" s="2">
        <v>-0.42952759060760898</v>
      </c>
      <c r="AB165" s="2">
        <v>2.4943702067481799</v>
      </c>
      <c r="AC165" s="2">
        <v>1767525.8153568699</v>
      </c>
      <c r="AD165" s="2">
        <v>1309500.99605205</v>
      </c>
      <c r="AE165" s="2">
        <v>1705330.8201284499</v>
      </c>
      <c r="AF165" s="2">
        <v>2033448.78529538</v>
      </c>
      <c r="AG165" s="2">
        <v>1822030.9405958999</v>
      </c>
      <c r="AH165" s="2">
        <v>1570909.1826384801</v>
      </c>
      <c r="AI165" s="2">
        <v>1712348.5375342299</v>
      </c>
      <c r="AJ165" s="2">
        <v>1761086.6259487499</v>
      </c>
      <c r="AK165" s="2">
        <v>1317243.2027326899</v>
      </c>
      <c r="AL165" s="2">
        <v>1439404.5863534999</v>
      </c>
      <c r="AM165" s="2">
        <v>1179476.1591697901</v>
      </c>
      <c r="AN165" s="2">
        <v>1384629.59343661</v>
      </c>
      <c r="AO165" s="2">
        <v>1200258.08230228</v>
      </c>
      <c r="AP165" s="2">
        <v>1335994.3523174401</v>
      </c>
    </row>
    <row r="166" spans="1:42" ht="14.5" x14ac:dyDescent="0.35">
      <c r="A166" s="2" t="s">
        <v>1219</v>
      </c>
      <c r="B166" s="2">
        <v>934.66570884697296</v>
      </c>
      <c r="C166" s="2">
        <v>12.8663666666667</v>
      </c>
      <c r="D166" s="2" t="s">
        <v>34</v>
      </c>
      <c r="E166" s="2" t="s">
        <v>1220</v>
      </c>
      <c r="F166" s="2">
        <v>49670</v>
      </c>
      <c r="G166" s="3" t="str">
        <f>HYPERLINK("http://funmeta.oebiotech.com/network/49670", "http://funmeta.oebiotech.com/network/49670")</f>
        <v>http://funmeta.oebiotech.com/network/49670</v>
      </c>
      <c r="H166" s="2" t="s">
        <v>1221</v>
      </c>
      <c r="I166" s="2">
        <v>59802</v>
      </c>
      <c r="J166" s="2"/>
      <c r="K166" s="2"/>
      <c r="L166" s="2" t="s">
        <v>335</v>
      </c>
      <c r="M166" s="2" t="s">
        <v>336</v>
      </c>
      <c r="N166" s="2" t="s">
        <v>337</v>
      </c>
      <c r="O166" s="2">
        <v>53478933</v>
      </c>
      <c r="P166" s="2"/>
      <c r="Q166" s="2" t="s">
        <v>1222</v>
      </c>
      <c r="R166" s="2" t="s">
        <v>1223</v>
      </c>
      <c r="S166" s="2" t="s">
        <v>50</v>
      </c>
      <c r="T166" s="2" t="s">
        <v>51</v>
      </c>
      <c r="U166" s="2" t="s">
        <v>168</v>
      </c>
      <c r="V166" s="2" t="s">
        <v>59</v>
      </c>
      <c r="W166" s="2">
        <v>37</v>
      </c>
      <c r="X166" s="2">
        <v>0.39100000000000001</v>
      </c>
      <c r="Y166" s="2" t="s">
        <v>340</v>
      </c>
      <c r="Z166" s="2" t="s">
        <v>1224</v>
      </c>
      <c r="AA166" s="2">
        <v>-0.50794422204786505</v>
      </c>
      <c r="AB166" s="2">
        <v>2.4729974759712299</v>
      </c>
      <c r="AC166" s="2">
        <v>9273.7880495202608</v>
      </c>
      <c r="AD166" s="2">
        <v>411823.57945671701</v>
      </c>
      <c r="AE166" s="2">
        <v>28152.062138676902</v>
      </c>
      <c r="AF166" s="2">
        <v>5043.9338124278001</v>
      </c>
      <c r="AG166" s="2">
        <v>3668.8743283322201</v>
      </c>
      <c r="AH166" s="2">
        <v>4338.09048551674</v>
      </c>
      <c r="AI166" s="2">
        <v>7717.8029922473397</v>
      </c>
      <c r="AJ166" s="2">
        <v>6721.9645399205701</v>
      </c>
      <c r="AK166" s="2">
        <v>396830.76534082799</v>
      </c>
      <c r="AL166" s="2">
        <v>392454.00577971002</v>
      </c>
      <c r="AM166" s="2">
        <v>449129.84619869798</v>
      </c>
      <c r="AN166" s="2">
        <v>391922.96900651499</v>
      </c>
      <c r="AO166" s="2">
        <v>409786.85791934398</v>
      </c>
      <c r="AP166" s="2">
        <v>430817.032495205</v>
      </c>
    </row>
    <row r="167" spans="1:42" ht="14.5" x14ac:dyDescent="0.35">
      <c r="A167" s="2" t="s">
        <v>1225</v>
      </c>
      <c r="B167" s="2">
        <v>629.18725450391105</v>
      </c>
      <c r="C167" s="2">
        <v>4.0250666666666701</v>
      </c>
      <c r="D167" s="2" t="s">
        <v>70</v>
      </c>
      <c r="E167" s="2" t="s">
        <v>1226</v>
      </c>
      <c r="F167" s="2">
        <v>31114</v>
      </c>
      <c r="G167" s="3" t="str">
        <f>HYPERLINK("http://funmeta.oebiotech.com/network/31114", "http://funmeta.oebiotech.com/network/31114")</f>
        <v>http://funmeta.oebiotech.com/network/31114</v>
      </c>
      <c r="H167" s="2"/>
      <c r="I167" s="2"/>
      <c r="J167" s="2" t="s">
        <v>1227</v>
      </c>
      <c r="K167" s="2"/>
      <c r="L167" s="2"/>
      <c r="M167" s="2"/>
      <c r="N167" s="2"/>
      <c r="O167" s="2">
        <v>44258366</v>
      </c>
      <c r="P167" s="2"/>
      <c r="Q167" s="2" t="s">
        <v>1228</v>
      </c>
      <c r="R167" s="2" t="s">
        <v>1229</v>
      </c>
      <c r="S167" s="2" t="s">
        <v>115</v>
      </c>
      <c r="T167" s="2" t="s">
        <v>139</v>
      </c>
      <c r="U167" s="2" t="s">
        <v>140</v>
      </c>
      <c r="V167" s="2" t="s">
        <v>42</v>
      </c>
      <c r="W167" s="2">
        <v>49.2</v>
      </c>
      <c r="X167" s="2">
        <v>49</v>
      </c>
      <c r="Y167" s="2" t="s">
        <v>751</v>
      </c>
      <c r="Z167" s="2" t="s">
        <v>1230</v>
      </c>
      <c r="AA167" s="2">
        <v>-0.50111276228910795</v>
      </c>
      <c r="AB167" s="2">
        <v>2.4610043873401399</v>
      </c>
      <c r="AC167" s="2">
        <v>965244.34739858296</v>
      </c>
      <c r="AD167" s="2">
        <v>555948.72786476102</v>
      </c>
      <c r="AE167" s="2">
        <v>974310.09719726804</v>
      </c>
      <c r="AF167" s="2">
        <v>891029.53246963304</v>
      </c>
      <c r="AG167" s="2">
        <v>903830.38351082802</v>
      </c>
      <c r="AH167" s="2">
        <v>1092091.61240018</v>
      </c>
      <c r="AI167" s="2">
        <v>977693.09516665502</v>
      </c>
      <c r="AJ167" s="2">
        <v>952511.36364693299</v>
      </c>
      <c r="AK167" s="2">
        <v>557645.23991709703</v>
      </c>
      <c r="AL167" s="2">
        <v>573257.72681707598</v>
      </c>
      <c r="AM167" s="2">
        <v>574250.87370926503</v>
      </c>
      <c r="AN167" s="2">
        <v>515306.15786407399</v>
      </c>
      <c r="AO167" s="2">
        <v>531529.67557701003</v>
      </c>
      <c r="AP167" s="2">
        <v>583702.69330404501</v>
      </c>
    </row>
    <row r="168" spans="1:42" ht="14.5" x14ac:dyDescent="0.35">
      <c r="A168" s="2" t="s">
        <v>1231</v>
      </c>
      <c r="B168" s="2">
        <v>477.23049415345702</v>
      </c>
      <c r="C168" s="2">
        <v>4.3632666666666697</v>
      </c>
      <c r="D168" s="2" t="s">
        <v>34</v>
      </c>
      <c r="E168" s="2" t="s">
        <v>1232</v>
      </c>
      <c r="F168" s="2">
        <v>57614</v>
      </c>
      <c r="G168" s="3" t="str">
        <f>HYPERLINK("http://funmeta.oebiotech.com/network/57614", "http://funmeta.oebiotech.com/network/57614")</f>
        <v>http://funmeta.oebiotech.com/network/57614</v>
      </c>
      <c r="H168" s="2" t="s">
        <v>1233</v>
      </c>
      <c r="I168" s="2">
        <v>89214</v>
      </c>
      <c r="J168" s="2"/>
      <c r="K168" s="2">
        <v>168398</v>
      </c>
      <c r="L168" s="2"/>
      <c r="M168" s="2"/>
      <c r="N168" s="2"/>
      <c r="O168" s="2">
        <v>24832091</v>
      </c>
      <c r="P168" s="2" t="s">
        <v>1234</v>
      </c>
      <c r="Q168" s="2" t="s">
        <v>1235</v>
      </c>
      <c r="R168" s="2" t="s">
        <v>1236</v>
      </c>
      <c r="S168" s="2" t="s">
        <v>79</v>
      </c>
      <c r="T168" s="2" t="s">
        <v>80</v>
      </c>
      <c r="U168" s="2" t="s">
        <v>81</v>
      </c>
      <c r="V168" s="2" t="s">
        <v>59</v>
      </c>
      <c r="W168" s="2">
        <v>41.6</v>
      </c>
      <c r="X168" s="2">
        <v>9.94</v>
      </c>
      <c r="Y168" s="2" t="s">
        <v>250</v>
      </c>
      <c r="Z168" s="2" t="s">
        <v>1237</v>
      </c>
      <c r="AA168" s="2">
        <v>-0.30503683535432802</v>
      </c>
      <c r="AB168" s="2">
        <v>2.4509871417760398</v>
      </c>
      <c r="AC168" s="2">
        <v>1351961.33259434</v>
      </c>
      <c r="AD168" s="2">
        <v>1776761.16295617</v>
      </c>
      <c r="AE168" s="2">
        <v>1375328.49225383</v>
      </c>
      <c r="AF168" s="2">
        <v>1336351.4858456401</v>
      </c>
      <c r="AG168" s="2">
        <v>1356031.08739935</v>
      </c>
      <c r="AH168" s="2">
        <v>1403595.1139164399</v>
      </c>
      <c r="AI168" s="2">
        <v>1331420.36070732</v>
      </c>
      <c r="AJ168" s="2">
        <v>1309041.4554434801</v>
      </c>
      <c r="AK168" s="2">
        <v>1626689.3681711899</v>
      </c>
      <c r="AL168" s="2">
        <v>1677019.48434479</v>
      </c>
      <c r="AM168" s="2">
        <v>1993659.4216659099</v>
      </c>
      <c r="AN168" s="2">
        <v>1792936.5027709401</v>
      </c>
      <c r="AO168" s="2">
        <v>1737323.2286002999</v>
      </c>
      <c r="AP168" s="2">
        <v>1832938.9721838699</v>
      </c>
    </row>
    <row r="169" spans="1:42" ht="14.5" x14ac:dyDescent="0.35">
      <c r="A169" s="2" t="s">
        <v>1238</v>
      </c>
      <c r="B169" s="2">
        <v>568.32623686424597</v>
      </c>
      <c r="C169" s="2">
        <v>7.1510833333333297</v>
      </c>
      <c r="D169" s="2" t="s">
        <v>34</v>
      </c>
      <c r="E169" s="2" t="s">
        <v>1239</v>
      </c>
      <c r="F169" s="2">
        <v>27904</v>
      </c>
      <c r="G169" s="3" t="str">
        <f>HYPERLINK("http://funmeta.oebiotech.com/network/27904", "http://funmeta.oebiotech.com/network/27904")</f>
        <v>http://funmeta.oebiotech.com/network/27904</v>
      </c>
      <c r="H169" s="2"/>
      <c r="I169" s="2"/>
      <c r="J169" s="2" t="s">
        <v>1240</v>
      </c>
      <c r="K169" s="2"/>
      <c r="L169" s="2"/>
      <c r="M169" s="2"/>
      <c r="N169" s="2"/>
      <c r="O169" s="2">
        <v>102262249</v>
      </c>
      <c r="P169" s="2"/>
      <c r="Q169" s="2" t="s">
        <v>1241</v>
      </c>
      <c r="R169" s="2" t="s">
        <v>1242</v>
      </c>
      <c r="S169" s="2" t="s">
        <v>50</v>
      </c>
      <c r="T169" s="2" t="s">
        <v>51</v>
      </c>
      <c r="U169" s="2" t="s">
        <v>257</v>
      </c>
      <c r="V169" s="2" t="s">
        <v>42</v>
      </c>
      <c r="W169" s="2">
        <v>47.3</v>
      </c>
      <c r="X169" s="2">
        <v>45.4</v>
      </c>
      <c r="Y169" s="2" t="s">
        <v>394</v>
      </c>
      <c r="Z169" s="2" t="s">
        <v>989</v>
      </c>
      <c r="AA169" s="2">
        <v>3.0441492764980298</v>
      </c>
      <c r="AB169" s="2">
        <v>2.4169152248296499</v>
      </c>
      <c r="AC169" s="2">
        <v>3450628.3289644099</v>
      </c>
      <c r="AD169" s="2">
        <v>3922388.3922880301</v>
      </c>
      <c r="AE169" s="2">
        <v>3451628.1381748598</v>
      </c>
      <c r="AF169" s="2">
        <v>3300122.8427731898</v>
      </c>
      <c r="AG169" s="2">
        <v>3578132.15109827</v>
      </c>
      <c r="AH169" s="2">
        <v>3306877.6957192202</v>
      </c>
      <c r="AI169" s="2">
        <v>3439779.7889665999</v>
      </c>
      <c r="AJ169" s="2">
        <v>3627229.3570543299</v>
      </c>
      <c r="AK169" s="2">
        <v>3680300.19329332</v>
      </c>
      <c r="AL169" s="2">
        <v>3636592.8850710699</v>
      </c>
      <c r="AM169" s="2">
        <v>4027974.1847761101</v>
      </c>
      <c r="AN169" s="2">
        <v>3882339.5419187099</v>
      </c>
      <c r="AO169" s="2">
        <v>4151143.0104936301</v>
      </c>
      <c r="AP169" s="2">
        <v>4155980.5381753598</v>
      </c>
    </row>
    <row r="170" spans="1:42" ht="14.5" x14ac:dyDescent="0.35">
      <c r="A170" s="2" t="s">
        <v>1243</v>
      </c>
      <c r="B170" s="2">
        <v>832.35345864284102</v>
      </c>
      <c r="C170" s="2">
        <v>9.5614333333333299</v>
      </c>
      <c r="D170" s="2" t="s">
        <v>34</v>
      </c>
      <c r="E170" s="2" t="s">
        <v>1244</v>
      </c>
      <c r="F170" s="2">
        <v>208206</v>
      </c>
      <c r="G170" s="3" t="str">
        <f>HYPERLINK("http://funmeta.oebiotech.com/network/208206", "http://funmeta.oebiotech.com/network/208206")</f>
        <v>http://funmeta.oebiotech.com/network/208206</v>
      </c>
      <c r="H170" s="2" t="s">
        <v>1245</v>
      </c>
      <c r="I170" s="2"/>
      <c r="J170" s="2"/>
      <c r="K170" s="2"/>
      <c r="L170" s="2"/>
      <c r="M170" s="2"/>
      <c r="N170" s="2"/>
      <c r="O170" s="2">
        <v>20807011</v>
      </c>
      <c r="P170" s="2"/>
      <c r="Q170" s="2" t="s">
        <v>1246</v>
      </c>
      <c r="R170" s="2" t="s">
        <v>1247</v>
      </c>
      <c r="S170" s="2" t="s">
        <v>89</v>
      </c>
      <c r="T170" s="2" t="s">
        <v>90</v>
      </c>
      <c r="U170" s="2" t="s">
        <v>1248</v>
      </c>
      <c r="V170" s="2" t="s">
        <v>42</v>
      </c>
      <c r="W170" s="2">
        <v>47.9</v>
      </c>
      <c r="X170" s="2">
        <v>56.6</v>
      </c>
      <c r="Y170" s="2" t="s">
        <v>1249</v>
      </c>
      <c r="Z170" s="2" t="s">
        <v>1250</v>
      </c>
      <c r="AA170" s="2">
        <v>-0.50901453778355099</v>
      </c>
      <c r="AB170" s="2">
        <v>2.4132749530381399</v>
      </c>
      <c r="AC170" s="2">
        <v>829451.17004103097</v>
      </c>
      <c r="AD170" s="2">
        <v>442276.00442449702</v>
      </c>
      <c r="AE170" s="2">
        <v>823233.57373508601</v>
      </c>
      <c r="AF170" s="2">
        <v>844649.10682640504</v>
      </c>
      <c r="AG170" s="2">
        <v>832310.92174350098</v>
      </c>
      <c r="AH170" s="2">
        <v>760297.156088077</v>
      </c>
      <c r="AI170" s="2">
        <v>825292.47105813399</v>
      </c>
      <c r="AJ170" s="2">
        <v>890923.79079498001</v>
      </c>
      <c r="AK170" s="2">
        <v>427376.24646648299</v>
      </c>
      <c r="AL170" s="2">
        <v>500251.74048931903</v>
      </c>
      <c r="AM170" s="2">
        <v>437483.13542727701</v>
      </c>
      <c r="AN170" s="2">
        <v>431571.97870986798</v>
      </c>
      <c r="AO170" s="2">
        <v>427784.00729546201</v>
      </c>
      <c r="AP170" s="2">
        <v>429188.91815857199</v>
      </c>
    </row>
    <row r="171" spans="1:42" ht="14.5" x14ac:dyDescent="0.35">
      <c r="A171" s="2" t="s">
        <v>1251</v>
      </c>
      <c r="B171" s="2">
        <v>469.32845064704702</v>
      </c>
      <c r="C171" s="2">
        <v>13.4866333333333</v>
      </c>
      <c r="D171" s="2" t="s">
        <v>34</v>
      </c>
      <c r="E171" s="2" t="s">
        <v>1252</v>
      </c>
      <c r="F171" s="2">
        <v>44160</v>
      </c>
      <c r="G171" s="3" t="str">
        <f>HYPERLINK("http://funmeta.oebiotech.com/network/44160", "http://funmeta.oebiotech.com/network/44160")</f>
        <v>http://funmeta.oebiotech.com/network/44160</v>
      </c>
      <c r="H171" s="2"/>
      <c r="I171" s="2"/>
      <c r="J171" s="2" t="s">
        <v>1253</v>
      </c>
      <c r="K171" s="2"/>
      <c r="L171" s="2"/>
      <c r="M171" s="2"/>
      <c r="N171" s="2"/>
      <c r="O171" s="2"/>
      <c r="P171" s="2"/>
      <c r="Q171" s="2" t="s">
        <v>1254</v>
      </c>
      <c r="R171" s="2" t="s">
        <v>1255</v>
      </c>
      <c r="S171" s="2" t="s">
        <v>50</v>
      </c>
      <c r="T171" s="2" t="s">
        <v>124</v>
      </c>
      <c r="U171" s="2" t="s">
        <v>723</v>
      </c>
      <c r="V171" s="2" t="s">
        <v>59</v>
      </c>
      <c r="W171" s="2">
        <v>44.4</v>
      </c>
      <c r="X171" s="2">
        <v>26.1</v>
      </c>
      <c r="Y171" s="2" t="s">
        <v>194</v>
      </c>
      <c r="Z171" s="2" t="s">
        <v>1256</v>
      </c>
      <c r="AA171" s="2">
        <v>-0.85133921504051302</v>
      </c>
      <c r="AB171" s="2">
        <v>2.4065285389834599</v>
      </c>
      <c r="AC171" s="2">
        <v>1459237.08855455</v>
      </c>
      <c r="AD171" s="2">
        <v>1062267.8771176899</v>
      </c>
      <c r="AE171" s="2">
        <v>1332666.6344330199</v>
      </c>
      <c r="AF171" s="2">
        <v>1481734.1144031901</v>
      </c>
      <c r="AG171" s="2">
        <v>1529648.2472188601</v>
      </c>
      <c r="AH171" s="2">
        <v>1544016.30644598</v>
      </c>
      <c r="AI171" s="2">
        <v>1414644.51089613</v>
      </c>
      <c r="AJ171" s="2">
        <v>1452712.7179300899</v>
      </c>
      <c r="AK171" s="2">
        <v>1012736.1650161101</v>
      </c>
      <c r="AL171" s="2">
        <v>1047472.81739693</v>
      </c>
      <c r="AM171" s="2">
        <v>998766.78962397994</v>
      </c>
      <c r="AN171" s="2">
        <v>1075271.5185796099</v>
      </c>
      <c r="AO171" s="2">
        <v>1127308.6740109299</v>
      </c>
      <c r="AP171" s="2">
        <v>1112051.2980785901</v>
      </c>
    </row>
    <row r="172" spans="1:42" ht="14.5" x14ac:dyDescent="0.35">
      <c r="A172" s="2" t="s">
        <v>1257</v>
      </c>
      <c r="B172" s="2">
        <v>793.21679070400501</v>
      </c>
      <c r="C172" s="2">
        <v>4.0778333333333299</v>
      </c>
      <c r="D172" s="2" t="s">
        <v>70</v>
      </c>
      <c r="E172" s="2" t="s">
        <v>1258</v>
      </c>
      <c r="F172" s="2">
        <v>32690</v>
      </c>
      <c r="G172" s="3" t="str">
        <f>HYPERLINK("http://funmeta.oebiotech.com/network/32690", "http://funmeta.oebiotech.com/network/32690")</f>
        <v>http://funmeta.oebiotech.com/network/32690</v>
      </c>
      <c r="H172" s="2"/>
      <c r="I172" s="2"/>
      <c r="J172" s="2" t="s">
        <v>1259</v>
      </c>
      <c r="K172" s="2"/>
      <c r="L172" s="2"/>
      <c r="M172" s="2"/>
      <c r="N172" s="2"/>
      <c r="O172" s="2">
        <v>44259584</v>
      </c>
      <c r="P172" s="2"/>
      <c r="Q172" s="2" t="s">
        <v>1260</v>
      </c>
      <c r="R172" s="2" t="s">
        <v>1261</v>
      </c>
      <c r="S172" s="2" t="s">
        <v>115</v>
      </c>
      <c r="T172" s="2" t="s">
        <v>139</v>
      </c>
      <c r="U172" s="2" t="s">
        <v>140</v>
      </c>
      <c r="V172" s="2" t="s">
        <v>59</v>
      </c>
      <c r="W172" s="2">
        <v>44.8</v>
      </c>
      <c r="X172" s="2">
        <v>35.799999999999997</v>
      </c>
      <c r="Y172" s="2" t="s">
        <v>751</v>
      </c>
      <c r="Z172" s="2" t="s">
        <v>1262</v>
      </c>
      <c r="AA172" s="2">
        <v>-3.5415722675972701</v>
      </c>
      <c r="AB172" s="2">
        <v>2.4037947861491902</v>
      </c>
      <c r="AC172" s="2">
        <v>536506.75869229203</v>
      </c>
      <c r="AD172" s="2">
        <v>155873.681653081</v>
      </c>
      <c r="AE172" s="2">
        <v>512991.822728439</v>
      </c>
      <c r="AF172" s="2">
        <v>547671.46610538603</v>
      </c>
      <c r="AG172" s="2">
        <v>563372.46591059596</v>
      </c>
      <c r="AH172" s="2">
        <v>552493.51988378202</v>
      </c>
      <c r="AI172" s="2">
        <v>499187.74872104102</v>
      </c>
      <c r="AJ172" s="2">
        <v>543323.52880450501</v>
      </c>
      <c r="AK172" s="2">
        <v>153734.68810850501</v>
      </c>
      <c r="AL172" s="2">
        <v>139872.479434282</v>
      </c>
      <c r="AM172" s="2">
        <v>170702.84477364901</v>
      </c>
      <c r="AN172" s="2">
        <v>176599.75365824701</v>
      </c>
      <c r="AO172" s="2">
        <v>145373.645875394</v>
      </c>
      <c r="AP172" s="2">
        <v>148958.67806840601</v>
      </c>
    </row>
    <row r="173" spans="1:42" ht="14.5" x14ac:dyDescent="0.35">
      <c r="A173" s="2" t="s">
        <v>1263</v>
      </c>
      <c r="B173" s="2">
        <v>411.19860788037897</v>
      </c>
      <c r="C173" s="2">
        <v>4.4289500000000004</v>
      </c>
      <c r="D173" s="2" t="s">
        <v>34</v>
      </c>
      <c r="E173" s="2" t="s">
        <v>1264</v>
      </c>
      <c r="F173" s="2">
        <v>60518</v>
      </c>
      <c r="G173" s="3" t="str">
        <f>HYPERLINK("http://funmeta.oebiotech.com/network/60518", "http://funmeta.oebiotech.com/network/60518")</f>
        <v>http://funmeta.oebiotech.com/network/60518</v>
      </c>
      <c r="H173" s="2" t="s">
        <v>1265</v>
      </c>
      <c r="I173" s="2">
        <v>91855</v>
      </c>
      <c r="J173" s="2"/>
      <c r="K173" s="2">
        <v>175107</v>
      </c>
      <c r="L173" s="2"/>
      <c r="M173" s="2"/>
      <c r="N173" s="2"/>
      <c r="O173" s="2">
        <v>14539953</v>
      </c>
      <c r="P173" s="2" t="s">
        <v>1266</v>
      </c>
      <c r="Q173" s="2" t="s">
        <v>1267</v>
      </c>
      <c r="R173" s="2" t="s">
        <v>1268</v>
      </c>
      <c r="S173" s="2" t="s">
        <v>50</v>
      </c>
      <c r="T173" s="2" t="s">
        <v>201</v>
      </c>
      <c r="U173" s="2" t="s">
        <v>202</v>
      </c>
      <c r="V173" s="2" t="s">
        <v>59</v>
      </c>
      <c r="W173" s="2">
        <v>45.2</v>
      </c>
      <c r="X173" s="2">
        <v>31.2</v>
      </c>
      <c r="Y173" s="2" t="s">
        <v>1269</v>
      </c>
      <c r="Z173" s="2" t="s">
        <v>1270</v>
      </c>
      <c r="AA173" s="2">
        <v>-0.85207125474844003</v>
      </c>
      <c r="AB173" s="2">
        <v>2.38604748469051</v>
      </c>
      <c r="AC173" s="2">
        <v>3670850.4048431301</v>
      </c>
      <c r="AD173" s="2">
        <v>3269035.3291537599</v>
      </c>
      <c r="AE173" s="2">
        <v>3655101.2157332101</v>
      </c>
      <c r="AF173" s="2">
        <v>3728128.6644724901</v>
      </c>
      <c r="AG173" s="2">
        <v>3723664.1737660798</v>
      </c>
      <c r="AH173" s="2">
        <v>3587275.5584897101</v>
      </c>
      <c r="AI173" s="2">
        <v>3633358.3096773</v>
      </c>
      <c r="AJ173" s="2">
        <v>3697574.5069200201</v>
      </c>
      <c r="AK173" s="2">
        <v>3442998.0220580101</v>
      </c>
      <c r="AL173" s="2">
        <v>3219978.34711598</v>
      </c>
      <c r="AM173" s="2">
        <v>3314373.5892757201</v>
      </c>
      <c r="AN173" s="2">
        <v>3124291.1028066198</v>
      </c>
      <c r="AO173" s="2">
        <v>3188552.19798207</v>
      </c>
      <c r="AP173" s="2">
        <v>3324018.7156841499</v>
      </c>
    </row>
    <row r="174" spans="1:42" ht="14.5" x14ac:dyDescent="0.35">
      <c r="A174" s="2" t="s">
        <v>1271</v>
      </c>
      <c r="B174" s="2">
        <v>402.10363832525002</v>
      </c>
      <c r="C174" s="2">
        <v>4.1877333333333304</v>
      </c>
      <c r="D174" s="2" t="s">
        <v>70</v>
      </c>
      <c r="E174" s="2" t="s">
        <v>1272</v>
      </c>
      <c r="F174" s="2">
        <v>60865</v>
      </c>
      <c r="G174" s="3" t="str">
        <f>HYPERLINK("http://funmeta.oebiotech.com/network/60865", "http://funmeta.oebiotech.com/network/60865")</f>
        <v>http://funmeta.oebiotech.com/network/60865</v>
      </c>
      <c r="H174" s="2" t="s">
        <v>1273</v>
      </c>
      <c r="I174" s="2">
        <v>92216</v>
      </c>
      <c r="J174" s="2"/>
      <c r="K174" s="2"/>
      <c r="L174" s="2"/>
      <c r="M174" s="2"/>
      <c r="N174" s="2"/>
      <c r="O174" s="2">
        <v>77195052</v>
      </c>
      <c r="P174" s="2" t="s">
        <v>1274</v>
      </c>
      <c r="Q174" s="2" t="s">
        <v>1275</v>
      </c>
      <c r="R174" s="2" t="s">
        <v>1276</v>
      </c>
      <c r="S174" s="2" t="s">
        <v>79</v>
      </c>
      <c r="T174" s="2" t="s">
        <v>80</v>
      </c>
      <c r="U174" s="2" t="s">
        <v>81</v>
      </c>
      <c r="V174" s="2" t="s">
        <v>59</v>
      </c>
      <c r="W174" s="2">
        <v>39.299999999999997</v>
      </c>
      <c r="X174" s="2">
        <v>1.35</v>
      </c>
      <c r="Y174" s="2" t="s">
        <v>408</v>
      </c>
      <c r="Z174" s="2" t="s">
        <v>1277</v>
      </c>
      <c r="AA174" s="2">
        <v>-1.5282155699934901</v>
      </c>
      <c r="AB174" s="2">
        <v>2.3823575700169499</v>
      </c>
      <c r="AC174" s="2">
        <v>1456441.19964616</v>
      </c>
      <c r="AD174" s="2">
        <v>1078623.7240510599</v>
      </c>
      <c r="AE174" s="2">
        <v>1469704.38323634</v>
      </c>
      <c r="AF174" s="2">
        <v>1443917.28036759</v>
      </c>
      <c r="AG174" s="2">
        <v>1421685.60427598</v>
      </c>
      <c r="AH174" s="2">
        <v>1435722.1289391301</v>
      </c>
      <c r="AI174" s="2">
        <v>1447119.17704216</v>
      </c>
      <c r="AJ174" s="2">
        <v>1520498.6240157399</v>
      </c>
      <c r="AK174" s="2">
        <v>1035139.82083336</v>
      </c>
      <c r="AL174" s="2">
        <v>1097671.94185531</v>
      </c>
      <c r="AM174" s="2">
        <v>1133173.9890294599</v>
      </c>
      <c r="AN174" s="2">
        <v>1085167.28687403</v>
      </c>
      <c r="AO174" s="2">
        <v>1055299.74170884</v>
      </c>
      <c r="AP174" s="2">
        <v>1065289.56400535</v>
      </c>
    </row>
    <row r="175" spans="1:42" ht="14.5" x14ac:dyDescent="0.35">
      <c r="A175" s="2" t="s">
        <v>1278</v>
      </c>
      <c r="B175" s="2">
        <v>520.37694749642503</v>
      </c>
      <c r="C175" s="2">
        <v>12.8157833333333</v>
      </c>
      <c r="D175" s="2" t="s">
        <v>34</v>
      </c>
      <c r="E175" s="2" t="s">
        <v>1279</v>
      </c>
      <c r="F175" s="2">
        <v>6444</v>
      </c>
      <c r="G175" s="3" t="str">
        <f>HYPERLINK("http://funmeta.oebiotech.com/network/6444", "http://funmeta.oebiotech.com/network/6444")</f>
        <v>http://funmeta.oebiotech.com/network/6444</v>
      </c>
      <c r="H175" s="2"/>
      <c r="I175" s="2"/>
      <c r="J175" s="2" t="s">
        <v>1280</v>
      </c>
      <c r="K175" s="2"/>
      <c r="L175" s="2"/>
      <c r="M175" s="2"/>
      <c r="N175" s="2"/>
      <c r="O175" s="2">
        <v>5469815</v>
      </c>
      <c r="P175" s="2"/>
      <c r="Q175" s="2" t="s">
        <v>1281</v>
      </c>
      <c r="R175" s="2" t="s">
        <v>1282</v>
      </c>
      <c r="S175" s="2" t="s">
        <v>50</v>
      </c>
      <c r="T175" s="2" t="s">
        <v>229</v>
      </c>
      <c r="U175" s="2" t="s">
        <v>1283</v>
      </c>
      <c r="V175" s="2" t="s">
        <v>59</v>
      </c>
      <c r="W175" s="2">
        <v>36.1</v>
      </c>
      <c r="X175" s="2">
        <v>1</v>
      </c>
      <c r="Y175" s="2" t="s">
        <v>470</v>
      </c>
      <c r="Z175" s="2" t="s">
        <v>1284</v>
      </c>
      <c r="AA175" s="2">
        <v>-3.1320475563919001</v>
      </c>
      <c r="AB175" s="2">
        <v>2.3741978956607399</v>
      </c>
      <c r="AC175" s="2">
        <v>3902.7862530147299</v>
      </c>
      <c r="AD175" s="2">
        <v>375083.60987425601</v>
      </c>
      <c r="AE175" s="2">
        <v>3579.8249212877099</v>
      </c>
      <c r="AF175" s="2">
        <v>4536.68804804722</v>
      </c>
      <c r="AG175" s="2">
        <v>4072.2468211502</v>
      </c>
      <c r="AH175" s="2">
        <v>4144.4996701899499</v>
      </c>
      <c r="AI175" s="2">
        <v>2949.7778337109999</v>
      </c>
      <c r="AJ175" s="2">
        <v>4133.6802237023203</v>
      </c>
      <c r="AK175" s="2">
        <v>356404.43269259698</v>
      </c>
      <c r="AL175" s="2">
        <v>364819.22869736102</v>
      </c>
      <c r="AM175" s="2">
        <v>407168.57772286102</v>
      </c>
      <c r="AN175" s="2">
        <v>346130.94715562899</v>
      </c>
      <c r="AO175" s="2">
        <v>376756.931938391</v>
      </c>
      <c r="AP175" s="2">
        <v>399221.54103869502</v>
      </c>
    </row>
    <row r="176" spans="1:42" ht="14.5" x14ac:dyDescent="0.35">
      <c r="A176" s="2" t="s">
        <v>1285</v>
      </c>
      <c r="B176" s="2">
        <v>471.21949012018501</v>
      </c>
      <c r="C176" s="2">
        <v>5.4735333333333296</v>
      </c>
      <c r="D176" s="2" t="s">
        <v>34</v>
      </c>
      <c r="E176" s="2" t="s">
        <v>1286</v>
      </c>
      <c r="F176" s="2">
        <v>54316</v>
      </c>
      <c r="G176" s="3" t="str">
        <f>HYPERLINK("http://funmeta.oebiotech.com/network/54316", "http://funmeta.oebiotech.com/network/54316")</f>
        <v>http://funmeta.oebiotech.com/network/54316</v>
      </c>
      <c r="H176" s="2" t="s">
        <v>1287</v>
      </c>
      <c r="I176" s="2">
        <v>86208</v>
      </c>
      <c r="J176" s="2"/>
      <c r="K176" s="2">
        <v>168502</v>
      </c>
      <c r="L176" s="2"/>
      <c r="M176" s="2"/>
      <c r="N176" s="2"/>
      <c r="O176" s="2">
        <v>131750855</v>
      </c>
      <c r="P176" s="2" t="s">
        <v>1288</v>
      </c>
      <c r="Q176" s="2" t="s">
        <v>1289</v>
      </c>
      <c r="R176" s="2" t="s">
        <v>1290</v>
      </c>
      <c r="S176" s="2" t="s">
        <v>50</v>
      </c>
      <c r="T176" s="2" t="s">
        <v>201</v>
      </c>
      <c r="U176" s="2" t="s">
        <v>202</v>
      </c>
      <c r="V176" s="2" t="s">
        <v>42</v>
      </c>
      <c r="W176" s="2">
        <v>50.4</v>
      </c>
      <c r="X176" s="2">
        <v>60.2</v>
      </c>
      <c r="Y176" s="2" t="s">
        <v>250</v>
      </c>
      <c r="Z176" s="2" t="s">
        <v>1291</v>
      </c>
      <c r="AA176" s="2">
        <v>-1.28931316987811</v>
      </c>
      <c r="AB176" s="2">
        <v>2.3709465960931202</v>
      </c>
      <c r="AC176" s="2">
        <v>240271.55276491199</v>
      </c>
      <c r="AD176" s="2">
        <v>611398.80698712997</v>
      </c>
      <c r="AE176" s="2">
        <v>239235.56462612801</v>
      </c>
      <c r="AF176" s="2">
        <v>241996.077619202</v>
      </c>
      <c r="AG176" s="2">
        <v>236587.22440635</v>
      </c>
      <c r="AH176" s="2">
        <v>215828.54357351299</v>
      </c>
      <c r="AI176" s="2">
        <v>242601.934377094</v>
      </c>
      <c r="AJ176" s="2">
        <v>265379.97198718699</v>
      </c>
      <c r="AK176" s="2">
        <v>585476.29312683002</v>
      </c>
      <c r="AL176" s="2">
        <v>609749.65753230604</v>
      </c>
      <c r="AM176" s="2">
        <v>590531.20784599602</v>
      </c>
      <c r="AN176" s="2">
        <v>653855.57094933395</v>
      </c>
      <c r="AO176" s="2">
        <v>589098.114468885</v>
      </c>
      <c r="AP176" s="2">
        <v>639681.997999429</v>
      </c>
    </row>
    <row r="177" spans="1:42" ht="14.5" x14ac:dyDescent="0.35">
      <c r="A177" s="2" t="s">
        <v>1292</v>
      </c>
      <c r="B177" s="2">
        <v>520.42108561858697</v>
      </c>
      <c r="C177" s="2">
        <v>13.2977333333333</v>
      </c>
      <c r="D177" s="2" t="s">
        <v>34</v>
      </c>
      <c r="E177" s="2" t="s">
        <v>1293</v>
      </c>
      <c r="F177" s="2">
        <v>10306</v>
      </c>
      <c r="G177" s="3" t="str">
        <f>HYPERLINK("http://funmeta.oebiotech.com/network/10306", "http://funmeta.oebiotech.com/network/10306")</f>
        <v>http://funmeta.oebiotech.com/network/10306</v>
      </c>
      <c r="H177" s="2"/>
      <c r="I177" s="2"/>
      <c r="J177" s="2" t="s">
        <v>1294</v>
      </c>
      <c r="K177" s="2">
        <v>79240</v>
      </c>
      <c r="L177" s="2"/>
      <c r="M177" s="2"/>
      <c r="N177" s="2"/>
      <c r="O177" s="2">
        <v>86289829</v>
      </c>
      <c r="P177" s="2"/>
      <c r="Q177" s="2" t="s">
        <v>1295</v>
      </c>
      <c r="R177" s="2" t="s">
        <v>1296</v>
      </c>
      <c r="S177" s="2" t="s">
        <v>50</v>
      </c>
      <c r="T177" s="2" t="s">
        <v>229</v>
      </c>
      <c r="U177" s="2" t="s">
        <v>433</v>
      </c>
      <c r="V177" s="2" t="s">
        <v>42</v>
      </c>
      <c r="W177" s="2">
        <v>52</v>
      </c>
      <c r="X177" s="2">
        <v>64.900000000000006</v>
      </c>
      <c r="Y177" s="2" t="s">
        <v>43</v>
      </c>
      <c r="Z177" s="2" t="s">
        <v>1297</v>
      </c>
      <c r="AA177" s="2">
        <v>0.60913183385456704</v>
      </c>
      <c r="AB177" s="2">
        <v>2.3675958328603399</v>
      </c>
      <c r="AC177" s="2">
        <v>56041.213132219797</v>
      </c>
      <c r="AD177" s="2">
        <v>425361.00968893501</v>
      </c>
      <c r="AE177" s="2">
        <v>53366.796662977104</v>
      </c>
      <c r="AF177" s="2">
        <v>57039.266989895499</v>
      </c>
      <c r="AG177" s="2">
        <v>60127.7932817576</v>
      </c>
      <c r="AH177" s="2">
        <v>61649.945323104599</v>
      </c>
      <c r="AI177" s="2">
        <v>50421.229707926701</v>
      </c>
      <c r="AJ177" s="2">
        <v>53642.246827657</v>
      </c>
      <c r="AK177" s="2">
        <v>421612.82296452601</v>
      </c>
      <c r="AL177" s="2">
        <v>422543.32587973197</v>
      </c>
      <c r="AM177" s="2">
        <v>475967.45519130799</v>
      </c>
      <c r="AN177" s="2">
        <v>410084.01356129401</v>
      </c>
      <c r="AO177" s="2">
        <v>410073.87172526598</v>
      </c>
      <c r="AP177" s="2">
        <v>411884.56881148397</v>
      </c>
    </row>
    <row r="178" spans="1:42" ht="14.5" x14ac:dyDescent="0.35">
      <c r="A178" s="2" t="s">
        <v>1298</v>
      </c>
      <c r="B178" s="2">
        <v>623.34160372864699</v>
      </c>
      <c r="C178" s="2">
        <v>6.4298666666666699</v>
      </c>
      <c r="D178" s="2" t="s">
        <v>34</v>
      </c>
      <c r="E178" s="2" t="s">
        <v>1299</v>
      </c>
      <c r="F178" s="2">
        <v>43758</v>
      </c>
      <c r="G178" s="3" t="str">
        <f>HYPERLINK("http://funmeta.oebiotech.com/network/43758", "http://funmeta.oebiotech.com/network/43758")</f>
        <v>http://funmeta.oebiotech.com/network/43758</v>
      </c>
      <c r="H178" s="2"/>
      <c r="I178" s="2"/>
      <c r="J178" s="2" t="s">
        <v>1300</v>
      </c>
      <c r="K178" s="2"/>
      <c r="L178" s="2"/>
      <c r="M178" s="2"/>
      <c r="N178" s="2"/>
      <c r="O178" s="2">
        <v>101514324</v>
      </c>
      <c r="P178" s="2"/>
      <c r="Q178" s="2" t="s">
        <v>1301</v>
      </c>
      <c r="R178" s="2" t="s">
        <v>1302</v>
      </c>
      <c r="S178" s="2" t="s">
        <v>50</v>
      </c>
      <c r="T178" s="2" t="s">
        <v>124</v>
      </c>
      <c r="U178" s="2" t="s">
        <v>523</v>
      </c>
      <c r="V178" s="2" t="s">
        <v>59</v>
      </c>
      <c r="W178" s="2">
        <v>38.6</v>
      </c>
      <c r="X178" s="2">
        <v>0</v>
      </c>
      <c r="Y178" s="2" t="s">
        <v>394</v>
      </c>
      <c r="Z178" s="2" t="s">
        <v>1303</v>
      </c>
      <c r="AA178" s="2">
        <v>-1.58294410235461</v>
      </c>
      <c r="AB178" s="2">
        <v>2.3581277233977902</v>
      </c>
      <c r="AC178" s="2">
        <v>612594.28709677502</v>
      </c>
      <c r="AD178" s="2">
        <v>246364.07277435699</v>
      </c>
      <c r="AE178" s="2">
        <v>619191.19160946796</v>
      </c>
      <c r="AF178" s="2">
        <v>589607.97720313503</v>
      </c>
      <c r="AG178" s="2">
        <v>632353.93543478998</v>
      </c>
      <c r="AH178" s="2">
        <v>583133.61830466997</v>
      </c>
      <c r="AI178" s="2">
        <v>621465.94218514499</v>
      </c>
      <c r="AJ178" s="2">
        <v>629813.05784344301</v>
      </c>
      <c r="AK178" s="2">
        <v>233311.344997718</v>
      </c>
      <c r="AL178" s="2">
        <v>265537.30022142001</v>
      </c>
      <c r="AM178" s="2">
        <v>249003.00197018799</v>
      </c>
      <c r="AN178" s="2">
        <v>249194.020554713</v>
      </c>
      <c r="AO178" s="2">
        <v>233074.44749951601</v>
      </c>
      <c r="AP178" s="2">
        <v>248064.32140258799</v>
      </c>
    </row>
    <row r="179" spans="1:42" ht="14.5" x14ac:dyDescent="0.35">
      <c r="A179" s="2" t="s">
        <v>1304</v>
      </c>
      <c r="B179" s="2">
        <v>345.17047216311499</v>
      </c>
      <c r="C179" s="2">
        <v>7.4323499999999996</v>
      </c>
      <c r="D179" s="2" t="s">
        <v>70</v>
      </c>
      <c r="E179" s="2" t="s">
        <v>1305</v>
      </c>
      <c r="F179" s="2">
        <v>202029</v>
      </c>
      <c r="G179" s="3" t="str">
        <f>HYPERLINK("http://funmeta.oebiotech.com/network/202029", "http://funmeta.oebiotech.com/network/202029")</f>
        <v>http://funmeta.oebiotech.com/network/202029</v>
      </c>
      <c r="H179" s="2" t="s">
        <v>1306</v>
      </c>
      <c r="I179" s="2"/>
      <c r="J179" s="2"/>
      <c r="K179" s="2"/>
      <c r="L179" s="2"/>
      <c r="M179" s="2"/>
      <c r="N179" s="2"/>
      <c r="O179" s="2">
        <v>290670</v>
      </c>
      <c r="P179" s="2"/>
      <c r="Q179" s="2" t="s">
        <v>1307</v>
      </c>
      <c r="R179" s="2" t="s">
        <v>1308</v>
      </c>
      <c r="S179" s="2" t="s">
        <v>50</v>
      </c>
      <c r="T179" s="2" t="s">
        <v>201</v>
      </c>
      <c r="U179" s="2" t="s">
        <v>241</v>
      </c>
      <c r="V179" s="2" t="s">
        <v>42</v>
      </c>
      <c r="W179" s="2">
        <v>56.7</v>
      </c>
      <c r="X179" s="2">
        <v>87.9</v>
      </c>
      <c r="Y179" s="2" t="s">
        <v>751</v>
      </c>
      <c r="Z179" s="2" t="s">
        <v>1309</v>
      </c>
      <c r="AA179" s="2">
        <v>-0.75601546587956103</v>
      </c>
      <c r="AB179" s="2">
        <v>2.3550841730855399</v>
      </c>
      <c r="AC179" s="2">
        <v>383362.39478139603</v>
      </c>
      <c r="AD179" s="2">
        <v>18623.678459058399</v>
      </c>
      <c r="AE179" s="2">
        <v>409461.60656858102</v>
      </c>
      <c r="AF179" s="2">
        <v>381275.001007738</v>
      </c>
      <c r="AG179" s="2">
        <v>403481.43957624002</v>
      </c>
      <c r="AH179" s="2">
        <v>388866.27162828803</v>
      </c>
      <c r="AI179" s="2">
        <v>362005.799821086</v>
      </c>
      <c r="AJ179" s="2">
        <v>355084.25008644001</v>
      </c>
      <c r="AK179" s="2">
        <v>11979.060421074701</v>
      </c>
      <c r="AL179" s="2">
        <v>18819.4015700499</v>
      </c>
      <c r="AM179" s="2">
        <v>25827.99107466</v>
      </c>
      <c r="AN179" s="2">
        <v>11126.0110376313</v>
      </c>
      <c r="AO179" s="2">
        <v>15355.235265282599</v>
      </c>
      <c r="AP179" s="2">
        <v>28634.371385652001</v>
      </c>
    </row>
    <row r="180" spans="1:42" ht="14.5" x14ac:dyDescent="0.35">
      <c r="A180" s="2" t="s">
        <v>1310</v>
      </c>
      <c r="B180" s="2">
        <v>554.31075249162598</v>
      </c>
      <c r="C180" s="2">
        <v>6.1123333333333303</v>
      </c>
      <c r="D180" s="2" t="s">
        <v>34</v>
      </c>
      <c r="E180" s="2" t="s">
        <v>1311</v>
      </c>
      <c r="F180" s="2">
        <v>27906</v>
      </c>
      <c r="G180" s="3" t="str">
        <f>HYPERLINK("http://funmeta.oebiotech.com/network/27906", "http://funmeta.oebiotech.com/network/27906")</f>
        <v>http://funmeta.oebiotech.com/network/27906</v>
      </c>
      <c r="H180" s="2"/>
      <c r="I180" s="2"/>
      <c r="J180" s="2" t="s">
        <v>1312</v>
      </c>
      <c r="K180" s="2"/>
      <c r="L180" s="2"/>
      <c r="M180" s="2"/>
      <c r="N180" s="2"/>
      <c r="O180" s="2">
        <v>134812363</v>
      </c>
      <c r="P180" s="2"/>
      <c r="Q180" s="2" t="s">
        <v>1313</v>
      </c>
      <c r="R180" s="2" t="s">
        <v>1314</v>
      </c>
      <c r="S180" s="2" t="s">
        <v>50</v>
      </c>
      <c r="T180" s="2" t="s">
        <v>51</v>
      </c>
      <c r="U180" s="2" t="s">
        <v>257</v>
      </c>
      <c r="V180" s="2" t="s">
        <v>59</v>
      </c>
      <c r="W180" s="2">
        <v>44.2</v>
      </c>
      <c r="X180" s="2">
        <v>30.9</v>
      </c>
      <c r="Y180" s="2" t="s">
        <v>67</v>
      </c>
      <c r="Z180" s="2" t="s">
        <v>1315</v>
      </c>
      <c r="AA180" s="2">
        <v>3.4207201329507599</v>
      </c>
      <c r="AB180" s="2">
        <v>2.33766548246787</v>
      </c>
      <c r="AC180" s="2">
        <v>12556935.6220771</v>
      </c>
      <c r="AD180" s="2">
        <v>13111184.176390599</v>
      </c>
      <c r="AE180" s="2">
        <v>12493948.787438801</v>
      </c>
      <c r="AF180" s="2">
        <v>12275342.3934706</v>
      </c>
      <c r="AG180" s="2">
        <v>12845906.505708</v>
      </c>
      <c r="AH180" s="2">
        <v>12381415.9111277</v>
      </c>
      <c r="AI180" s="2">
        <v>12490735.7973336</v>
      </c>
      <c r="AJ180" s="2">
        <v>12854264.337383799</v>
      </c>
      <c r="AK180" s="2">
        <v>12493270.366182299</v>
      </c>
      <c r="AL180" s="2">
        <v>12647518.6498041</v>
      </c>
      <c r="AM180" s="2">
        <v>13119757.8166737</v>
      </c>
      <c r="AN180" s="2">
        <v>13327182.7007853</v>
      </c>
      <c r="AO180" s="2">
        <v>13599311.894336401</v>
      </c>
      <c r="AP180" s="2">
        <v>13480063.630561899</v>
      </c>
    </row>
    <row r="181" spans="1:42" ht="14.5" x14ac:dyDescent="0.35">
      <c r="A181" s="2" t="s">
        <v>1316</v>
      </c>
      <c r="B181" s="2">
        <v>579.14937958312805</v>
      </c>
      <c r="C181" s="2">
        <v>4.1410833333333299</v>
      </c>
      <c r="D181" s="2" t="s">
        <v>34</v>
      </c>
      <c r="E181" s="2" t="s">
        <v>1317</v>
      </c>
      <c r="F181" s="2">
        <v>29112</v>
      </c>
      <c r="G181" s="3" t="str">
        <f>HYPERLINK("http://funmeta.oebiotech.com/network/29112", "http://funmeta.oebiotech.com/network/29112")</f>
        <v>http://funmeta.oebiotech.com/network/29112</v>
      </c>
      <c r="H181" s="2" t="s">
        <v>1318</v>
      </c>
      <c r="I181" s="2">
        <v>47500</v>
      </c>
      <c r="J181" s="2" t="s">
        <v>1319</v>
      </c>
      <c r="K181" s="2">
        <v>75633</v>
      </c>
      <c r="L181" s="2" t="s">
        <v>1320</v>
      </c>
      <c r="M181" s="2"/>
      <c r="N181" s="2"/>
      <c r="O181" s="2">
        <v>11250133</v>
      </c>
      <c r="P181" s="2" t="s">
        <v>1321</v>
      </c>
      <c r="Q181" s="2" t="s">
        <v>1322</v>
      </c>
      <c r="R181" s="2" t="s">
        <v>1323</v>
      </c>
      <c r="S181" s="2" t="s">
        <v>115</v>
      </c>
      <c r="T181" s="2" t="s">
        <v>139</v>
      </c>
      <c r="U181" s="2" t="s">
        <v>957</v>
      </c>
      <c r="V181" s="2" t="s">
        <v>42</v>
      </c>
      <c r="W181" s="2">
        <v>58.1</v>
      </c>
      <c r="X181" s="2">
        <v>93.3</v>
      </c>
      <c r="Y181" s="2" t="s">
        <v>92</v>
      </c>
      <c r="Z181" s="2" t="s">
        <v>958</v>
      </c>
      <c r="AA181" s="2">
        <v>-0.55888894767244501</v>
      </c>
      <c r="AB181" s="2">
        <v>2.33764407708775</v>
      </c>
      <c r="AC181" s="2">
        <v>1389867.0645015701</v>
      </c>
      <c r="AD181" s="2">
        <v>1762811.27548268</v>
      </c>
      <c r="AE181" s="2">
        <v>1336134.6785897501</v>
      </c>
      <c r="AF181" s="2">
        <v>1338340.55167006</v>
      </c>
      <c r="AG181" s="2">
        <v>1432456.9812155</v>
      </c>
      <c r="AH181" s="2">
        <v>1447526.42174843</v>
      </c>
      <c r="AI181" s="2">
        <v>1415385.8224206299</v>
      </c>
      <c r="AJ181" s="2">
        <v>1369357.9313650399</v>
      </c>
      <c r="AK181" s="2">
        <v>1649298.1503731499</v>
      </c>
      <c r="AL181" s="2">
        <v>1726191.0328162001</v>
      </c>
      <c r="AM181" s="2">
        <v>1815683.2091113101</v>
      </c>
      <c r="AN181" s="2">
        <v>1741546.4748204199</v>
      </c>
      <c r="AO181" s="2">
        <v>1828648.55222321</v>
      </c>
      <c r="AP181" s="2">
        <v>1815500.23355176</v>
      </c>
    </row>
    <row r="182" spans="1:42" ht="14.5" x14ac:dyDescent="0.35">
      <c r="A182" s="2" t="s">
        <v>1324</v>
      </c>
      <c r="B182" s="2">
        <v>610.48769694769703</v>
      </c>
      <c r="C182" s="2">
        <v>14.130183333333299</v>
      </c>
      <c r="D182" s="2" t="s">
        <v>34</v>
      </c>
      <c r="E182" s="2" t="s">
        <v>1325</v>
      </c>
      <c r="F182" s="2">
        <v>82158</v>
      </c>
      <c r="G182" s="3" t="str">
        <f>HYPERLINK("http://funmeta.oebiotech.com/network/82158", "http://funmeta.oebiotech.com/network/82158")</f>
        <v>http://funmeta.oebiotech.com/network/82158</v>
      </c>
      <c r="H182" s="2" t="s">
        <v>1326</v>
      </c>
      <c r="I182" s="2"/>
      <c r="J182" s="2"/>
      <c r="K182" s="2"/>
      <c r="L182" s="2"/>
      <c r="M182" s="2"/>
      <c r="N182" s="2"/>
      <c r="O182" s="2">
        <v>131769870</v>
      </c>
      <c r="P182" s="2"/>
      <c r="Q182" s="2" t="s">
        <v>1327</v>
      </c>
      <c r="R182" s="2" t="s">
        <v>1328</v>
      </c>
      <c r="S182" s="2" t="s">
        <v>50</v>
      </c>
      <c r="T182" s="2" t="s">
        <v>201</v>
      </c>
      <c r="U182" s="2" t="s">
        <v>636</v>
      </c>
      <c r="V182" s="2" t="s">
        <v>59</v>
      </c>
      <c r="W182" s="2">
        <v>40.5</v>
      </c>
      <c r="X182" s="2">
        <v>20.8</v>
      </c>
      <c r="Y182" s="2" t="s">
        <v>43</v>
      </c>
      <c r="Z182" s="2" t="s">
        <v>1329</v>
      </c>
      <c r="AA182" s="2">
        <v>3.4280141241670901</v>
      </c>
      <c r="AB182" s="2">
        <v>2.3373638350591901</v>
      </c>
      <c r="AC182" s="2">
        <v>11993.9179366849</v>
      </c>
      <c r="AD182" s="2">
        <v>371108.69742457999</v>
      </c>
      <c r="AE182" s="2">
        <v>12451.207711436</v>
      </c>
      <c r="AF182" s="2">
        <v>10401.5745049303</v>
      </c>
      <c r="AG182" s="2">
        <v>11640.0702619193</v>
      </c>
      <c r="AH182" s="2">
        <v>11549.7094288479</v>
      </c>
      <c r="AI182" s="2">
        <v>11678.5427138257</v>
      </c>
      <c r="AJ182" s="2">
        <v>14242.402999149999</v>
      </c>
      <c r="AK182" s="2">
        <v>374823.122357285</v>
      </c>
      <c r="AL182" s="2">
        <v>368502.36715352099</v>
      </c>
      <c r="AM182" s="2">
        <v>386660.03863744403</v>
      </c>
      <c r="AN182" s="2">
        <v>343174.04835378501</v>
      </c>
      <c r="AO182" s="2">
        <v>384136.29152283602</v>
      </c>
      <c r="AP182" s="2">
        <v>369356.31652261101</v>
      </c>
    </row>
    <row r="183" spans="1:42" ht="14.5" x14ac:dyDescent="0.35">
      <c r="A183" s="2" t="s">
        <v>1330</v>
      </c>
      <c r="B183" s="2">
        <v>631.43589914204495</v>
      </c>
      <c r="C183" s="2">
        <v>13.069366666666699</v>
      </c>
      <c r="D183" s="2" t="s">
        <v>34</v>
      </c>
      <c r="E183" s="2" t="s">
        <v>1331</v>
      </c>
      <c r="F183" s="2">
        <v>205744</v>
      </c>
      <c r="G183" s="3" t="str">
        <f>HYPERLINK("http://funmeta.oebiotech.com/network/205744", "http://funmeta.oebiotech.com/network/205744")</f>
        <v>http://funmeta.oebiotech.com/network/205744</v>
      </c>
      <c r="H183" s="2" t="s">
        <v>1332</v>
      </c>
      <c r="I183" s="2"/>
      <c r="J183" s="2"/>
      <c r="K183" s="2"/>
      <c r="L183" s="2"/>
      <c r="M183" s="2"/>
      <c r="N183" s="2"/>
      <c r="O183" s="2">
        <v>3005</v>
      </c>
      <c r="P183" s="2"/>
      <c r="Q183" s="2" t="s">
        <v>1333</v>
      </c>
      <c r="R183" s="2" t="s">
        <v>1334</v>
      </c>
      <c r="S183" s="2" t="s">
        <v>50</v>
      </c>
      <c r="T183" s="2" t="s">
        <v>124</v>
      </c>
      <c r="U183" s="2" t="s">
        <v>929</v>
      </c>
      <c r="V183" s="2" t="s">
        <v>59</v>
      </c>
      <c r="W183" s="2">
        <v>37.4</v>
      </c>
      <c r="X183" s="2">
        <v>4.9800000000000004</v>
      </c>
      <c r="Y183" s="2" t="s">
        <v>67</v>
      </c>
      <c r="Z183" s="2" t="s">
        <v>1335</v>
      </c>
      <c r="AA183" s="2">
        <v>-1.49916738217746</v>
      </c>
      <c r="AB183" s="2">
        <v>2.32845422531393</v>
      </c>
      <c r="AC183" s="2">
        <v>5771.5532115345404</v>
      </c>
      <c r="AD183" s="2">
        <v>362071.74256950698</v>
      </c>
      <c r="AE183" s="2">
        <v>4259.1455677022605</v>
      </c>
      <c r="AF183" s="2">
        <v>5240.1062800816298</v>
      </c>
      <c r="AG183" s="2">
        <v>5830.1389273064497</v>
      </c>
      <c r="AH183" s="2">
        <v>6345.2434270796302</v>
      </c>
      <c r="AI183" s="2">
        <v>6185.1354346779699</v>
      </c>
      <c r="AJ183" s="2">
        <v>6769.5496323592797</v>
      </c>
      <c r="AK183" s="2">
        <v>340580.19781553402</v>
      </c>
      <c r="AL183" s="2">
        <v>363327.961900272</v>
      </c>
      <c r="AM183" s="2">
        <v>383334.83961905597</v>
      </c>
      <c r="AN183" s="2">
        <v>355357.68004600401</v>
      </c>
      <c r="AO183" s="2">
        <v>353363.52714941499</v>
      </c>
      <c r="AP183" s="2">
        <v>376466.24888675997</v>
      </c>
    </row>
    <row r="184" spans="1:42" ht="14.5" x14ac:dyDescent="0.35">
      <c r="A184" s="2" t="s">
        <v>1336</v>
      </c>
      <c r="B184" s="2">
        <v>519.18678475776301</v>
      </c>
      <c r="C184" s="2">
        <v>5.1704666666666697</v>
      </c>
      <c r="D184" s="2" t="s">
        <v>70</v>
      </c>
      <c r="E184" s="2" t="s">
        <v>1337</v>
      </c>
      <c r="F184" s="2">
        <v>204310</v>
      </c>
      <c r="G184" s="3" t="str">
        <f>HYPERLINK("http://funmeta.oebiotech.com/network/204310", "http://funmeta.oebiotech.com/network/204310")</f>
        <v>http://funmeta.oebiotech.com/network/204310</v>
      </c>
      <c r="H184" s="2" t="s">
        <v>1338</v>
      </c>
      <c r="I184" s="2"/>
      <c r="J184" s="2"/>
      <c r="K184" s="2"/>
      <c r="L184" s="2"/>
      <c r="M184" s="2"/>
      <c r="N184" s="2"/>
      <c r="O184" s="2">
        <v>14671115</v>
      </c>
      <c r="P184" s="2"/>
      <c r="Q184" s="2" t="s">
        <v>1339</v>
      </c>
      <c r="R184" s="2" t="s">
        <v>1340</v>
      </c>
      <c r="S184" s="2" t="s">
        <v>491</v>
      </c>
      <c r="T184" s="2" t="s">
        <v>1341</v>
      </c>
      <c r="U184" s="2" t="s">
        <v>41</v>
      </c>
      <c r="V184" s="2" t="s">
        <v>42</v>
      </c>
      <c r="W184" s="2">
        <v>56</v>
      </c>
      <c r="X184" s="2">
        <v>82.7</v>
      </c>
      <c r="Y184" s="2" t="s">
        <v>751</v>
      </c>
      <c r="Z184" s="2" t="s">
        <v>1342</v>
      </c>
      <c r="AA184" s="2">
        <v>-0.744413963056759</v>
      </c>
      <c r="AB184" s="2">
        <v>2.3094383720183602</v>
      </c>
      <c r="AC184" s="2">
        <v>1257304.6927753999</v>
      </c>
      <c r="AD184" s="2">
        <v>888708.26359277905</v>
      </c>
      <c r="AE184" s="2">
        <v>1244640.4373789399</v>
      </c>
      <c r="AF184" s="2">
        <v>1369327.2295685899</v>
      </c>
      <c r="AG184" s="2">
        <v>1232656.2018538499</v>
      </c>
      <c r="AH184" s="2">
        <v>1171408.07942769</v>
      </c>
      <c r="AI184" s="2">
        <v>1235047.59559929</v>
      </c>
      <c r="AJ184" s="2">
        <v>1290748.61282406</v>
      </c>
      <c r="AK184" s="2">
        <v>897893.647599185</v>
      </c>
      <c r="AL184" s="2">
        <v>944784.90594959899</v>
      </c>
      <c r="AM184" s="2">
        <v>842390.048569315</v>
      </c>
      <c r="AN184" s="2">
        <v>948374.90062249103</v>
      </c>
      <c r="AO184" s="2">
        <v>770755.61206055596</v>
      </c>
      <c r="AP184" s="2">
        <v>928050.46675552998</v>
      </c>
    </row>
    <row r="185" spans="1:42" ht="14.5" x14ac:dyDescent="0.35">
      <c r="A185" s="2" t="s">
        <v>1343</v>
      </c>
      <c r="B185" s="2">
        <v>377.18146624153002</v>
      </c>
      <c r="C185" s="2">
        <v>4.6492000000000004</v>
      </c>
      <c r="D185" s="2" t="s">
        <v>70</v>
      </c>
      <c r="E185" s="2" t="s">
        <v>1344</v>
      </c>
      <c r="F185" s="2">
        <v>57854</v>
      </c>
      <c r="G185" s="3" t="str">
        <f>HYPERLINK("http://funmeta.oebiotech.com/network/57854", "http://funmeta.oebiotech.com/network/57854")</f>
        <v>http://funmeta.oebiotech.com/network/57854</v>
      </c>
      <c r="H185" s="2" t="s">
        <v>1345</v>
      </c>
      <c r="I185" s="2">
        <v>89443</v>
      </c>
      <c r="J185" s="2"/>
      <c r="K185" s="2">
        <v>174510</v>
      </c>
      <c r="L185" s="2"/>
      <c r="M185" s="2"/>
      <c r="N185" s="2"/>
      <c r="O185" s="2">
        <v>85232975</v>
      </c>
      <c r="P185" s="2" t="s">
        <v>1346</v>
      </c>
      <c r="Q185" s="2" t="s">
        <v>1347</v>
      </c>
      <c r="R185" s="2" t="s">
        <v>1348</v>
      </c>
      <c r="S185" s="2" t="s">
        <v>50</v>
      </c>
      <c r="T185" s="2" t="s">
        <v>201</v>
      </c>
      <c r="U185" s="2" t="s">
        <v>202</v>
      </c>
      <c r="V185" s="2" t="s">
        <v>59</v>
      </c>
      <c r="W185" s="2">
        <v>46.5</v>
      </c>
      <c r="X185" s="2">
        <v>34.4</v>
      </c>
      <c r="Y185" s="2" t="s">
        <v>286</v>
      </c>
      <c r="Z185" s="2" t="s">
        <v>1349</v>
      </c>
      <c r="AA185" s="2">
        <v>-0.72208085964961499</v>
      </c>
      <c r="AB185" s="2">
        <v>2.3072850874877502</v>
      </c>
      <c r="AC185" s="2">
        <v>1239948.32216065</v>
      </c>
      <c r="AD185" s="2">
        <v>1594870.9242714599</v>
      </c>
      <c r="AE185" s="2">
        <v>1254040.8760235501</v>
      </c>
      <c r="AF185" s="2">
        <v>1284113.29758614</v>
      </c>
      <c r="AG185" s="2">
        <v>1218041.9341893599</v>
      </c>
      <c r="AH185" s="2">
        <v>1213023.68948877</v>
      </c>
      <c r="AI185" s="2">
        <v>1249256.9255093399</v>
      </c>
      <c r="AJ185" s="2">
        <v>1221213.21016673</v>
      </c>
      <c r="AK185" s="2">
        <v>1542759.0602897899</v>
      </c>
      <c r="AL185" s="2">
        <v>1590683.1630128999</v>
      </c>
      <c r="AM185" s="2">
        <v>1632888.05647302</v>
      </c>
      <c r="AN185" s="2">
        <v>1658742.9931262201</v>
      </c>
      <c r="AO185" s="2">
        <v>1563568.37742872</v>
      </c>
      <c r="AP185" s="2">
        <v>1580583.8952980901</v>
      </c>
    </row>
    <row r="186" spans="1:42" ht="14.5" x14ac:dyDescent="0.35">
      <c r="A186" s="2" t="s">
        <v>1350</v>
      </c>
      <c r="B186" s="2">
        <v>319.224217323944</v>
      </c>
      <c r="C186" s="2">
        <v>10.226800000000001</v>
      </c>
      <c r="D186" s="2" t="s">
        <v>34</v>
      </c>
      <c r="E186" s="2" t="s">
        <v>1351</v>
      </c>
      <c r="F186" s="2">
        <v>2991</v>
      </c>
      <c r="G186" s="3" t="str">
        <f>HYPERLINK("http://funmeta.oebiotech.com/network/2991", "http://funmeta.oebiotech.com/network/2991")</f>
        <v>http://funmeta.oebiotech.com/network/2991</v>
      </c>
      <c r="H186" s="2" t="s">
        <v>1352</v>
      </c>
      <c r="I186" s="2">
        <v>45660</v>
      </c>
      <c r="J186" s="2" t="s">
        <v>1353</v>
      </c>
      <c r="K186" s="2">
        <v>78730</v>
      </c>
      <c r="L186" s="2" t="s">
        <v>1354</v>
      </c>
      <c r="M186" s="2" t="s">
        <v>1355</v>
      </c>
      <c r="N186" s="2" t="s">
        <v>1356</v>
      </c>
      <c r="O186" s="2">
        <v>16061059</v>
      </c>
      <c r="P186" s="2" t="s">
        <v>1357</v>
      </c>
      <c r="Q186" s="2" t="s">
        <v>1358</v>
      </c>
      <c r="R186" s="2" t="s">
        <v>1359</v>
      </c>
      <c r="S186" s="2" t="s">
        <v>50</v>
      </c>
      <c r="T186" s="2" t="s">
        <v>229</v>
      </c>
      <c r="U186" s="2" t="s">
        <v>1360</v>
      </c>
      <c r="V186" s="2" t="s">
        <v>59</v>
      </c>
      <c r="W186" s="2">
        <v>46.4</v>
      </c>
      <c r="X186" s="2">
        <v>37.200000000000003</v>
      </c>
      <c r="Y186" s="2" t="s">
        <v>242</v>
      </c>
      <c r="Z186" s="2" t="s">
        <v>1361</v>
      </c>
      <c r="AA186" s="2">
        <v>-0.500416572943578</v>
      </c>
      <c r="AB186" s="2">
        <v>2.3036244479562802</v>
      </c>
      <c r="AC186" s="2">
        <v>1212088.12117306</v>
      </c>
      <c r="AD186" s="2">
        <v>1565916.48355378</v>
      </c>
      <c r="AE186" s="2">
        <v>1213416.4787997501</v>
      </c>
      <c r="AF186" s="2">
        <v>1246129.0758557401</v>
      </c>
      <c r="AG186" s="2">
        <v>1237684.92107245</v>
      </c>
      <c r="AH186" s="2">
        <v>1215756.11711935</v>
      </c>
      <c r="AI186" s="2">
        <v>1197133.45699291</v>
      </c>
      <c r="AJ186" s="2">
        <v>1162408.67719816</v>
      </c>
      <c r="AK186" s="2">
        <v>1594636.8864245799</v>
      </c>
      <c r="AL186" s="2">
        <v>1556686.1470516799</v>
      </c>
      <c r="AM186" s="2">
        <v>1558850.8262817799</v>
      </c>
      <c r="AN186" s="2">
        <v>1556694.2943740201</v>
      </c>
      <c r="AO186" s="2">
        <v>1618618.8145918199</v>
      </c>
      <c r="AP186" s="2">
        <v>1510011.9325987999</v>
      </c>
    </row>
    <row r="187" spans="1:42" ht="14.5" x14ac:dyDescent="0.35">
      <c r="A187" s="2" t="s">
        <v>1362</v>
      </c>
      <c r="B187" s="2">
        <v>433.11269560613499</v>
      </c>
      <c r="C187" s="2">
        <v>5.01</v>
      </c>
      <c r="D187" s="2" t="s">
        <v>34</v>
      </c>
      <c r="E187" s="2" t="s">
        <v>1363</v>
      </c>
      <c r="F187" s="2">
        <v>29304</v>
      </c>
      <c r="G187" s="3" t="str">
        <f>HYPERLINK("http://funmeta.oebiotech.com/network/29304", "http://funmeta.oebiotech.com/network/29304")</f>
        <v>http://funmeta.oebiotech.com/network/29304</v>
      </c>
      <c r="H187" s="2"/>
      <c r="I187" s="2">
        <v>45735</v>
      </c>
      <c r="J187" s="2" t="s">
        <v>1364</v>
      </c>
      <c r="K187" s="2">
        <v>27514</v>
      </c>
      <c r="L187" s="2" t="s">
        <v>1365</v>
      </c>
      <c r="M187" s="2" t="s">
        <v>1366</v>
      </c>
      <c r="N187" s="2" t="s">
        <v>1367</v>
      </c>
      <c r="O187" s="2">
        <v>5281377</v>
      </c>
      <c r="P187" s="2" t="s">
        <v>1368</v>
      </c>
      <c r="Q187" s="2" t="s">
        <v>1369</v>
      </c>
      <c r="R187" s="2" t="s">
        <v>1370</v>
      </c>
      <c r="S187" s="2" t="s">
        <v>115</v>
      </c>
      <c r="T187" s="2" t="s">
        <v>1371</v>
      </c>
      <c r="U187" s="2" t="s">
        <v>1372</v>
      </c>
      <c r="V187" s="2" t="s">
        <v>42</v>
      </c>
      <c r="W187" s="2">
        <v>56.6</v>
      </c>
      <c r="X187" s="2">
        <v>88.5</v>
      </c>
      <c r="Y187" s="2" t="s">
        <v>394</v>
      </c>
      <c r="Z187" s="2" t="s">
        <v>1373</v>
      </c>
      <c r="AA187" s="2">
        <v>-0.52686852488865998</v>
      </c>
      <c r="AB187" s="2">
        <v>2.2777560427548198</v>
      </c>
      <c r="AC187" s="2">
        <v>1327986.71457372</v>
      </c>
      <c r="AD187" s="2">
        <v>1686044.96242859</v>
      </c>
      <c r="AE187" s="2">
        <v>1294765.17967639</v>
      </c>
      <c r="AF187" s="2">
        <v>1375496.1118228899</v>
      </c>
      <c r="AG187" s="2">
        <v>1361158.44853902</v>
      </c>
      <c r="AH187" s="2">
        <v>1265080.3206078899</v>
      </c>
      <c r="AI187" s="2">
        <v>1326712.3208474</v>
      </c>
      <c r="AJ187" s="2">
        <v>1344707.9059487099</v>
      </c>
      <c r="AK187" s="2">
        <v>1706139.19740123</v>
      </c>
      <c r="AL187" s="2">
        <v>1546010.54876501</v>
      </c>
      <c r="AM187" s="2">
        <v>1788729.6633687499</v>
      </c>
      <c r="AN187" s="2">
        <v>1680752.53109999</v>
      </c>
      <c r="AO187" s="2">
        <v>1662322.6741496001</v>
      </c>
      <c r="AP187" s="2">
        <v>1732315.1597869601</v>
      </c>
    </row>
    <row r="188" spans="1:42" ht="14.5" x14ac:dyDescent="0.35">
      <c r="A188" s="2" t="s">
        <v>1374</v>
      </c>
      <c r="B188" s="2">
        <v>280.26313012130498</v>
      </c>
      <c r="C188" s="2">
        <v>11.670033333333301</v>
      </c>
      <c r="D188" s="2" t="s">
        <v>34</v>
      </c>
      <c r="E188" s="2" t="s">
        <v>1375</v>
      </c>
      <c r="F188" s="2">
        <v>551140</v>
      </c>
      <c r="G188" s="3" t="str">
        <f>HYPERLINK("http://funmeta.oebiotech.com/network/551140", "http://funmeta.oebiotech.com/network/551140")</f>
        <v>http://funmeta.oebiotech.com/network/551140</v>
      </c>
      <c r="H188" s="2"/>
      <c r="I188" s="2">
        <v>265036</v>
      </c>
      <c r="J188" s="2"/>
      <c r="K188" s="2"/>
      <c r="L188" s="2"/>
      <c r="M188" s="2"/>
      <c r="N188" s="2"/>
      <c r="O188" s="2"/>
      <c r="P188" s="2"/>
      <c r="Q188" s="2" t="s">
        <v>1376</v>
      </c>
      <c r="R188" s="2" t="s">
        <v>1377</v>
      </c>
      <c r="S188" s="2" t="s">
        <v>41</v>
      </c>
      <c r="T188" s="2" t="s">
        <v>41</v>
      </c>
      <c r="U188" s="2" t="s">
        <v>41</v>
      </c>
      <c r="V188" s="2" t="s">
        <v>42</v>
      </c>
      <c r="W188" s="2">
        <v>54.6</v>
      </c>
      <c r="X188" s="2">
        <v>76.599999999999994</v>
      </c>
      <c r="Y188" s="2" t="s">
        <v>1008</v>
      </c>
      <c r="Z188" s="2" t="s">
        <v>1378</v>
      </c>
      <c r="AA188" s="2">
        <v>-1.37661905861968</v>
      </c>
      <c r="AB188" s="2">
        <v>2.2767219209499898</v>
      </c>
      <c r="AC188" s="2">
        <v>7206032.5191550404</v>
      </c>
      <c r="AD188" s="2">
        <v>6158077.3324769102</v>
      </c>
      <c r="AE188" s="2">
        <v>8065472.3271769704</v>
      </c>
      <c r="AF188" s="2">
        <v>5937935.2104778802</v>
      </c>
      <c r="AG188" s="2">
        <v>6369739.8097662404</v>
      </c>
      <c r="AH188" s="2">
        <v>8150090.2424940402</v>
      </c>
      <c r="AI188" s="2">
        <v>8455945.2113595493</v>
      </c>
      <c r="AJ188" s="2">
        <v>6257012.3136555403</v>
      </c>
      <c r="AK188" s="2">
        <v>4686060.1754492</v>
      </c>
      <c r="AL188" s="2">
        <v>8990719.4096330609</v>
      </c>
      <c r="AM188" s="2">
        <v>5847146.8732687198</v>
      </c>
      <c r="AN188" s="2">
        <v>8353334.7863039998</v>
      </c>
      <c r="AO188" s="2">
        <v>4360161.8025404299</v>
      </c>
      <c r="AP188" s="2">
        <v>4711040.9476660797</v>
      </c>
    </row>
    <row r="189" spans="1:42" ht="14.5" x14ac:dyDescent="0.35">
      <c r="A189" s="2" t="s">
        <v>1379</v>
      </c>
      <c r="B189" s="2">
        <v>605.40471599662897</v>
      </c>
      <c r="C189" s="2">
        <v>11.5801</v>
      </c>
      <c r="D189" s="2" t="s">
        <v>34</v>
      </c>
      <c r="E189" s="2" t="s">
        <v>1380</v>
      </c>
      <c r="F189" s="2">
        <v>202772</v>
      </c>
      <c r="G189" s="3" t="str">
        <f>HYPERLINK("http://funmeta.oebiotech.com/network/202772", "http://funmeta.oebiotech.com/network/202772")</f>
        <v>http://funmeta.oebiotech.com/network/202772</v>
      </c>
      <c r="H189" s="2" t="s">
        <v>1381</v>
      </c>
      <c r="I189" s="2"/>
      <c r="J189" s="2"/>
      <c r="K189" s="2"/>
      <c r="L189" s="2"/>
      <c r="M189" s="2"/>
      <c r="N189" s="2"/>
      <c r="O189" s="2">
        <v>2287</v>
      </c>
      <c r="P189" s="2"/>
      <c r="Q189" s="2" t="s">
        <v>1382</v>
      </c>
      <c r="R189" s="2" t="s">
        <v>1383</v>
      </c>
      <c r="S189" s="2" t="s">
        <v>115</v>
      </c>
      <c r="T189" s="2" t="s">
        <v>1384</v>
      </c>
      <c r="U189" s="2" t="s">
        <v>41</v>
      </c>
      <c r="V189" s="2" t="s">
        <v>59</v>
      </c>
      <c r="W189" s="2">
        <v>39.6</v>
      </c>
      <c r="X189" s="2">
        <v>14.2</v>
      </c>
      <c r="Y189" s="2" t="s">
        <v>141</v>
      </c>
      <c r="Z189" s="2" t="s">
        <v>1385</v>
      </c>
      <c r="AA189" s="2">
        <v>-0.127230788268239</v>
      </c>
      <c r="AB189" s="2">
        <v>2.2764255132776001</v>
      </c>
      <c r="AC189" s="2">
        <v>6509.63380833469</v>
      </c>
      <c r="AD189" s="2">
        <v>349279.90194383002</v>
      </c>
      <c r="AE189" s="2">
        <v>6451.9204010236799</v>
      </c>
      <c r="AF189" s="2">
        <v>5942.5611436939298</v>
      </c>
      <c r="AG189" s="2">
        <v>6939.96735864117</v>
      </c>
      <c r="AH189" s="2">
        <v>7298.7415404802696</v>
      </c>
      <c r="AI189" s="2">
        <v>4995.6856919513502</v>
      </c>
      <c r="AJ189" s="2">
        <v>7428.9267142177296</v>
      </c>
      <c r="AK189" s="2">
        <v>331535.57054590102</v>
      </c>
      <c r="AL189" s="2">
        <v>324389.58080192597</v>
      </c>
      <c r="AM189" s="2">
        <v>417053.24143510102</v>
      </c>
      <c r="AN189" s="2">
        <v>329306.23824526102</v>
      </c>
      <c r="AO189" s="2">
        <v>338811.15079799399</v>
      </c>
      <c r="AP189" s="2">
        <v>354583.62983679801</v>
      </c>
    </row>
    <row r="190" spans="1:42" ht="14.5" x14ac:dyDescent="0.35">
      <c r="A190" s="2" t="s">
        <v>1386</v>
      </c>
      <c r="B190" s="2">
        <v>686.31777798574205</v>
      </c>
      <c r="C190" s="2">
        <v>5.5431833333333298</v>
      </c>
      <c r="D190" s="2" t="s">
        <v>70</v>
      </c>
      <c r="E190" s="2" t="s">
        <v>1387</v>
      </c>
      <c r="F190" s="2">
        <v>28286</v>
      </c>
      <c r="G190" s="3" t="str">
        <f>HYPERLINK("http://funmeta.oebiotech.com/network/28286", "http://funmeta.oebiotech.com/network/28286")</f>
        <v>http://funmeta.oebiotech.com/network/28286</v>
      </c>
      <c r="H190" s="2"/>
      <c r="I190" s="2"/>
      <c r="J190" s="2" t="s">
        <v>1388</v>
      </c>
      <c r="K190" s="2"/>
      <c r="L190" s="2" t="s">
        <v>1389</v>
      </c>
      <c r="M190" s="2" t="s">
        <v>1390</v>
      </c>
      <c r="N190" s="2" t="s">
        <v>1391</v>
      </c>
      <c r="O190" s="2">
        <v>11954003</v>
      </c>
      <c r="P190" s="2"/>
      <c r="Q190" s="2" t="s">
        <v>1392</v>
      </c>
      <c r="R190" s="2" t="s">
        <v>1393</v>
      </c>
      <c r="S190" s="2" t="s">
        <v>89</v>
      </c>
      <c r="T190" s="2" t="s">
        <v>1394</v>
      </c>
      <c r="U190" s="2" t="s">
        <v>41</v>
      </c>
      <c r="V190" s="2" t="s">
        <v>42</v>
      </c>
      <c r="W190" s="2">
        <v>53.4</v>
      </c>
      <c r="X190" s="2">
        <v>72.900000000000006</v>
      </c>
      <c r="Y190" s="2" t="s">
        <v>1395</v>
      </c>
      <c r="Z190" s="2" t="s">
        <v>93</v>
      </c>
      <c r="AA190" s="2">
        <v>-0.65738157245701001</v>
      </c>
      <c r="AB190" s="2">
        <v>2.27223487900886</v>
      </c>
      <c r="AC190" s="2">
        <v>2896162.9787650299</v>
      </c>
      <c r="AD190" s="2">
        <v>3268766.6797543601</v>
      </c>
      <c r="AE190" s="2">
        <v>3001954.2179883402</v>
      </c>
      <c r="AF190" s="2">
        <v>2746723.4223317001</v>
      </c>
      <c r="AG190" s="2">
        <v>2823833.9423431898</v>
      </c>
      <c r="AH190" s="2">
        <v>2949562.17202145</v>
      </c>
      <c r="AI190" s="2">
        <v>2851691.21596717</v>
      </c>
      <c r="AJ190" s="2">
        <v>3003212.9019383402</v>
      </c>
      <c r="AK190" s="2">
        <v>3173060.1245086701</v>
      </c>
      <c r="AL190" s="2">
        <v>3206790.5160090998</v>
      </c>
      <c r="AM190" s="2">
        <v>3410002.2226487701</v>
      </c>
      <c r="AN190" s="2">
        <v>3294680.0806622901</v>
      </c>
      <c r="AO190" s="2">
        <v>3241989.3763804398</v>
      </c>
      <c r="AP190" s="2">
        <v>3286077.7583169001</v>
      </c>
    </row>
    <row r="191" spans="1:42" ht="14.5" x14ac:dyDescent="0.35">
      <c r="A191" s="2" t="s">
        <v>1396</v>
      </c>
      <c r="B191" s="2">
        <v>837.31775978918995</v>
      </c>
      <c r="C191" s="2">
        <v>6.6499833333333296</v>
      </c>
      <c r="D191" s="2" t="s">
        <v>70</v>
      </c>
      <c r="E191" s="2" t="s">
        <v>1397</v>
      </c>
      <c r="F191" s="2">
        <v>61657</v>
      </c>
      <c r="G191" s="3" t="str">
        <f>HYPERLINK("http://funmeta.oebiotech.com/network/61657", "http://funmeta.oebiotech.com/network/61657")</f>
        <v>http://funmeta.oebiotech.com/network/61657</v>
      </c>
      <c r="H191" s="2" t="s">
        <v>1398</v>
      </c>
      <c r="I191" s="2">
        <v>92958</v>
      </c>
      <c r="J191" s="2"/>
      <c r="K191" s="2">
        <v>168497</v>
      </c>
      <c r="L191" s="2"/>
      <c r="M191" s="2"/>
      <c r="N191" s="2"/>
      <c r="O191" s="2">
        <v>131752319</v>
      </c>
      <c r="P191" s="2" t="s">
        <v>1399</v>
      </c>
      <c r="Q191" s="2" t="s">
        <v>1400</v>
      </c>
      <c r="R191" s="2" t="s">
        <v>1401</v>
      </c>
      <c r="S191" s="2" t="s">
        <v>491</v>
      </c>
      <c r="T191" s="2" t="s">
        <v>492</v>
      </c>
      <c r="U191" s="2" t="s">
        <v>41</v>
      </c>
      <c r="V191" s="2" t="s">
        <v>42</v>
      </c>
      <c r="W191" s="2">
        <v>52.4</v>
      </c>
      <c r="X191" s="2">
        <v>67.3</v>
      </c>
      <c r="Y191" s="2" t="s">
        <v>408</v>
      </c>
      <c r="Z191" s="2" t="s">
        <v>1402</v>
      </c>
      <c r="AA191" s="2">
        <v>-2.8153885004412502</v>
      </c>
      <c r="AB191" s="2">
        <v>2.2683351635304598</v>
      </c>
      <c r="AC191" s="2">
        <v>585173.12459119898</v>
      </c>
      <c r="AD191" s="2">
        <v>926279.51942619099</v>
      </c>
      <c r="AE191" s="2">
        <v>598490.50872125104</v>
      </c>
      <c r="AF191" s="2">
        <v>548689.66985373804</v>
      </c>
      <c r="AG191" s="2">
        <v>566386.52464002895</v>
      </c>
      <c r="AH191" s="2">
        <v>578941.85000082001</v>
      </c>
      <c r="AI191" s="2">
        <v>617888.39057910198</v>
      </c>
      <c r="AJ191" s="2">
        <v>600641.80375225295</v>
      </c>
      <c r="AK191" s="2">
        <v>907641.59314562206</v>
      </c>
      <c r="AL191" s="2">
        <v>886732.72575192805</v>
      </c>
      <c r="AM191" s="2">
        <v>970151.38840960502</v>
      </c>
      <c r="AN191" s="2">
        <v>903074.00131391105</v>
      </c>
      <c r="AO191" s="2">
        <v>929288.84892339795</v>
      </c>
      <c r="AP191" s="2">
        <v>960788.55901267903</v>
      </c>
    </row>
    <row r="192" spans="1:42" ht="14.5" x14ac:dyDescent="0.35">
      <c r="A192" s="2" t="s">
        <v>1403</v>
      </c>
      <c r="B192" s="2">
        <v>429.29933574137101</v>
      </c>
      <c r="C192" s="2">
        <v>6.4662166666666696</v>
      </c>
      <c r="D192" s="2" t="s">
        <v>34</v>
      </c>
      <c r="E192" s="2" t="s">
        <v>1404</v>
      </c>
      <c r="F192" s="2">
        <v>55712</v>
      </c>
      <c r="G192" s="3" t="str">
        <f>HYPERLINK("http://funmeta.oebiotech.com/network/55712", "http://funmeta.oebiotech.com/network/55712")</f>
        <v>http://funmeta.oebiotech.com/network/55712</v>
      </c>
      <c r="H192" s="2" t="s">
        <v>1405</v>
      </c>
      <c r="I192" s="2"/>
      <c r="J192" s="2"/>
      <c r="K192" s="2"/>
      <c r="L192" s="2"/>
      <c r="M192" s="2"/>
      <c r="N192" s="2"/>
      <c r="O192" s="2">
        <v>73313119</v>
      </c>
      <c r="P192" s="2" t="s">
        <v>1406</v>
      </c>
      <c r="Q192" s="2" t="s">
        <v>1407</v>
      </c>
      <c r="R192" s="2" t="s">
        <v>1408</v>
      </c>
      <c r="S192" s="2" t="s">
        <v>50</v>
      </c>
      <c r="T192" s="2" t="s">
        <v>201</v>
      </c>
      <c r="U192" s="2" t="s">
        <v>210</v>
      </c>
      <c r="V192" s="2" t="s">
        <v>42</v>
      </c>
      <c r="W192" s="2">
        <v>53.5</v>
      </c>
      <c r="X192" s="2">
        <v>74.900000000000006</v>
      </c>
      <c r="Y192" s="2" t="s">
        <v>266</v>
      </c>
      <c r="Z192" s="2" t="s">
        <v>1409</v>
      </c>
      <c r="AA192" s="2">
        <v>-1.3453933014350901</v>
      </c>
      <c r="AB192" s="2">
        <v>2.2475786347746101</v>
      </c>
      <c r="AC192" s="2">
        <v>518364.36567780602</v>
      </c>
      <c r="AD192" s="2">
        <v>855241.80703208502</v>
      </c>
      <c r="AE192" s="2">
        <v>480707.31606615201</v>
      </c>
      <c r="AF192" s="2">
        <v>510585.585182813</v>
      </c>
      <c r="AG192" s="2">
        <v>536862.355114087</v>
      </c>
      <c r="AH192" s="2">
        <v>518612.17169474403</v>
      </c>
      <c r="AI192" s="2">
        <v>522429.760237362</v>
      </c>
      <c r="AJ192" s="2">
        <v>540989.00577167899</v>
      </c>
      <c r="AK192" s="2">
        <v>808617.40391430701</v>
      </c>
      <c r="AL192" s="2">
        <v>905267.278662586</v>
      </c>
      <c r="AM192" s="2">
        <v>865891.139107269</v>
      </c>
      <c r="AN192" s="2">
        <v>810290.283070629</v>
      </c>
      <c r="AO192" s="2">
        <v>848375.34733331006</v>
      </c>
      <c r="AP192" s="2">
        <v>893009.39010440803</v>
      </c>
    </row>
    <row r="193" spans="1:42" ht="14.5" x14ac:dyDescent="0.35">
      <c r="A193" s="2" t="s">
        <v>1410</v>
      </c>
      <c r="B193" s="2">
        <v>723.50214381210401</v>
      </c>
      <c r="C193" s="2">
        <v>5.1527500000000002</v>
      </c>
      <c r="D193" s="2" t="s">
        <v>70</v>
      </c>
      <c r="E193" s="2" t="s">
        <v>1411</v>
      </c>
      <c r="F193" s="2">
        <v>248754</v>
      </c>
      <c r="G193" s="3" t="str">
        <f>HYPERLINK("http://funmeta.oebiotech.com/network/248754", "http://funmeta.oebiotech.com/network/248754")</f>
        <v>http://funmeta.oebiotech.com/network/248754</v>
      </c>
      <c r="H193" s="2" t="s">
        <v>1412</v>
      </c>
      <c r="I193" s="2"/>
      <c r="J193" s="2"/>
      <c r="K193" s="2"/>
      <c r="L193" s="2"/>
      <c r="M193" s="2"/>
      <c r="N193" s="2"/>
      <c r="O193" s="2"/>
      <c r="P193" s="2"/>
      <c r="Q193" s="2" t="s">
        <v>1413</v>
      </c>
      <c r="R193" s="2" t="s">
        <v>1414</v>
      </c>
      <c r="S193" s="2" t="s">
        <v>41</v>
      </c>
      <c r="T193" s="2" t="s">
        <v>41</v>
      </c>
      <c r="U193" s="2" t="s">
        <v>41</v>
      </c>
      <c r="V193" s="2" t="s">
        <v>59</v>
      </c>
      <c r="W193" s="2">
        <v>42.2</v>
      </c>
      <c r="X193" s="2">
        <v>19</v>
      </c>
      <c r="Y193" s="2" t="s">
        <v>286</v>
      </c>
      <c r="Z193" s="2" t="s">
        <v>1415</v>
      </c>
      <c r="AA193" s="2">
        <v>-4.61050358575533</v>
      </c>
      <c r="AB193" s="2">
        <v>2.2065161477704098</v>
      </c>
      <c r="AC193" s="2">
        <v>3293516.11548203</v>
      </c>
      <c r="AD193" s="2">
        <v>3776566.8211044502</v>
      </c>
      <c r="AE193" s="2">
        <v>3517708.12063433</v>
      </c>
      <c r="AF193" s="2">
        <v>3749042.1034535202</v>
      </c>
      <c r="AG193" s="2">
        <v>3511170.15513764</v>
      </c>
      <c r="AH193" s="2">
        <v>2856593.8587772702</v>
      </c>
      <c r="AI193" s="2">
        <v>2849169.8185014999</v>
      </c>
      <c r="AJ193" s="2">
        <v>3277412.6363879102</v>
      </c>
      <c r="AK193" s="2">
        <v>3861588.45214279</v>
      </c>
      <c r="AL193" s="2">
        <v>4073484.6482900698</v>
      </c>
      <c r="AM193" s="2">
        <v>3740178.2018517</v>
      </c>
      <c r="AN193" s="2">
        <v>3686642.6385445101</v>
      </c>
      <c r="AO193" s="2">
        <v>3638459.1394266598</v>
      </c>
      <c r="AP193" s="2">
        <v>3659047.8463709499</v>
      </c>
    </row>
    <row r="194" spans="1:42" ht="14.5" x14ac:dyDescent="0.35">
      <c r="A194" s="2" t="s">
        <v>1416</v>
      </c>
      <c r="B194" s="2">
        <v>634.33450651390501</v>
      </c>
      <c r="C194" s="2">
        <v>8.6366999999999994</v>
      </c>
      <c r="D194" s="2" t="s">
        <v>34</v>
      </c>
      <c r="E194" s="2" t="s">
        <v>1417</v>
      </c>
      <c r="F194" s="2">
        <v>27939</v>
      </c>
      <c r="G194" s="3" t="str">
        <f>HYPERLINK("http://funmeta.oebiotech.com/network/27939", "http://funmeta.oebiotech.com/network/27939")</f>
        <v>http://funmeta.oebiotech.com/network/27939</v>
      </c>
      <c r="H194" s="2"/>
      <c r="I194" s="2"/>
      <c r="J194" s="2" t="s">
        <v>1418</v>
      </c>
      <c r="K194" s="2"/>
      <c r="L194" s="2"/>
      <c r="M194" s="2"/>
      <c r="N194" s="2"/>
      <c r="O194" s="2">
        <v>134812386</v>
      </c>
      <c r="P194" s="2"/>
      <c r="Q194" s="2" t="s">
        <v>1419</v>
      </c>
      <c r="R194" s="2" t="s">
        <v>1420</v>
      </c>
      <c r="S194" s="2" t="s">
        <v>50</v>
      </c>
      <c r="T194" s="2" t="s">
        <v>51</v>
      </c>
      <c r="U194" s="2" t="s">
        <v>66</v>
      </c>
      <c r="V194" s="2" t="s">
        <v>42</v>
      </c>
      <c r="W194" s="2">
        <v>47.5</v>
      </c>
      <c r="X194" s="2">
        <v>53.4</v>
      </c>
      <c r="Y194" s="2" t="s">
        <v>266</v>
      </c>
      <c r="Z194" s="2" t="s">
        <v>670</v>
      </c>
      <c r="AA194" s="2">
        <v>-0.87210799663526894</v>
      </c>
      <c r="AB194" s="2">
        <v>2.1993389529979699</v>
      </c>
      <c r="AC194" s="2">
        <v>402864.67295424797</v>
      </c>
      <c r="AD194" s="2">
        <v>722843.08676751005</v>
      </c>
      <c r="AE194" s="2">
        <v>407519.82573280798</v>
      </c>
      <c r="AF194" s="2">
        <v>402107.55216221802</v>
      </c>
      <c r="AG194" s="2">
        <v>405071.61115499801</v>
      </c>
      <c r="AH194" s="2">
        <v>396126.33032573201</v>
      </c>
      <c r="AI194" s="2">
        <v>405003.65382938599</v>
      </c>
      <c r="AJ194" s="2">
        <v>401359.06452034402</v>
      </c>
      <c r="AK194" s="2">
        <v>770886.26705881604</v>
      </c>
      <c r="AL194" s="2">
        <v>685352.37462023401</v>
      </c>
      <c r="AM194" s="2">
        <v>724693.55245886697</v>
      </c>
      <c r="AN194" s="2">
        <v>700094.17594918003</v>
      </c>
      <c r="AO194" s="2">
        <v>711240.82469074999</v>
      </c>
      <c r="AP194" s="2">
        <v>744791.32582721498</v>
      </c>
    </row>
    <row r="195" spans="1:42" ht="14.5" x14ac:dyDescent="0.35">
      <c r="A195" s="2" t="s">
        <v>1421</v>
      </c>
      <c r="B195" s="2">
        <v>893.59180085814398</v>
      </c>
      <c r="C195" s="2">
        <v>12.7016333333333</v>
      </c>
      <c r="D195" s="2" t="s">
        <v>34</v>
      </c>
      <c r="E195" s="2" t="s">
        <v>1422</v>
      </c>
      <c r="F195" s="2">
        <v>225257</v>
      </c>
      <c r="G195" s="3" t="str">
        <f>HYPERLINK("http://funmeta.oebiotech.com/network/225257", "http://funmeta.oebiotech.com/network/225257")</f>
        <v>http://funmeta.oebiotech.com/network/225257</v>
      </c>
      <c r="H195" s="2" t="s">
        <v>1423</v>
      </c>
      <c r="I195" s="2"/>
      <c r="J195" s="2"/>
      <c r="K195" s="2"/>
      <c r="L195" s="2"/>
      <c r="M195" s="2"/>
      <c r="N195" s="2"/>
      <c r="O195" s="2"/>
      <c r="P195" s="2"/>
      <c r="Q195" s="2" t="s">
        <v>1424</v>
      </c>
      <c r="R195" s="2" t="s">
        <v>1425</v>
      </c>
      <c r="S195" s="2" t="s">
        <v>41</v>
      </c>
      <c r="T195" s="2" t="s">
        <v>41</v>
      </c>
      <c r="U195" s="2" t="s">
        <v>41</v>
      </c>
      <c r="V195" s="2" t="s">
        <v>59</v>
      </c>
      <c r="W195" s="2">
        <v>37.5</v>
      </c>
      <c r="X195" s="2">
        <v>0</v>
      </c>
      <c r="Y195" s="2" t="s">
        <v>141</v>
      </c>
      <c r="Z195" s="2" t="s">
        <v>1426</v>
      </c>
      <c r="AA195" s="2">
        <v>1.72882115817661</v>
      </c>
      <c r="AB195" s="2">
        <v>2.1933537437847899</v>
      </c>
      <c r="AC195" s="2">
        <v>5220.98224508565</v>
      </c>
      <c r="AD195" s="2">
        <v>323862.36977129499</v>
      </c>
      <c r="AE195" s="2">
        <v>4634.0068095016704</v>
      </c>
      <c r="AF195" s="2">
        <v>5509.1820810642303</v>
      </c>
      <c r="AG195" s="2">
        <v>3797.7638399392599</v>
      </c>
      <c r="AH195" s="2">
        <v>5615.39459502728</v>
      </c>
      <c r="AI195" s="2">
        <v>4786.1316893328803</v>
      </c>
      <c r="AJ195" s="2">
        <v>6983.4144556485699</v>
      </c>
      <c r="AK195" s="2">
        <v>330676.81989801698</v>
      </c>
      <c r="AL195" s="2">
        <v>270854.89446065598</v>
      </c>
      <c r="AM195" s="2">
        <v>367484.20110784902</v>
      </c>
      <c r="AN195" s="2">
        <v>308378.69791071402</v>
      </c>
      <c r="AO195" s="2">
        <v>310449.12636478402</v>
      </c>
      <c r="AP195" s="2">
        <v>355330.47888574901</v>
      </c>
    </row>
    <row r="196" spans="1:42" ht="14.5" x14ac:dyDescent="0.35">
      <c r="A196" s="2" t="s">
        <v>1427</v>
      </c>
      <c r="B196" s="2">
        <v>287.055929556411</v>
      </c>
      <c r="C196" s="2">
        <v>5.3391000000000002</v>
      </c>
      <c r="D196" s="2" t="s">
        <v>70</v>
      </c>
      <c r="E196" s="2" t="s">
        <v>1428</v>
      </c>
      <c r="F196" s="2">
        <v>34888</v>
      </c>
      <c r="G196" s="3" t="str">
        <f>HYPERLINK("http://funmeta.oebiotech.com/network/34888", "http://funmeta.oebiotech.com/network/34888")</f>
        <v>http://funmeta.oebiotech.com/network/34888</v>
      </c>
      <c r="H196" s="2" t="s">
        <v>1429</v>
      </c>
      <c r="I196" s="2">
        <v>3416</v>
      </c>
      <c r="J196" s="2" t="s">
        <v>1430</v>
      </c>
      <c r="K196" s="2">
        <v>15401</v>
      </c>
      <c r="L196" s="2" t="s">
        <v>1431</v>
      </c>
      <c r="M196" s="2" t="s">
        <v>1432</v>
      </c>
      <c r="N196" s="2" t="s">
        <v>1433</v>
      </c>
      <c r="O196" s="2">
        <v>122850</v>
      </c>
      <c r="P196" s="2" t="s">
        <v>1434</v>
      </c>
      <c r="Q196" s="2" t="s">
        <v>1435</v>
      </c>
      <c r="R196" s="2" t="s">
        <v>1436</v>
      </c>
      <c r="S196" s="2" t="s">
        <v>115</v>
      </c>
      <c r="T196" s="2" t="s">
        <v>139</v>
      </c>
      <c r="U196" s="2" t="s">
        <v>1437</v>
      </c>
      <c r="V196" s="2" t="s">
        <v>42</v>
      </c>
      <c r="W196" s="2">
        <v>56.5</v>
      </c>
      <c r="X196" s="2">
        <v>86.1</v>
      </c>
      <c r="Y196" s="2" t="s">
        <v>118</v>
      </c>
      <c r="Z196" s="2" t="s">
        <v>1438</v>
      </c>
      <c r="AA196" s="2">
        <v>-0.63220039870337696</v>
      </c>
      <c r="AB196" s="2">
        <v>2.18398088436048</v>
      </c>
      <c r="AC196" s="2">
        <v>209654.20776523001</v>
      </c>
      <c r="AD196" s="2">
        <v>525599.03409266798</v>
      </c>
      <c r="AE196" s="2">
        <v>204236.92455312199</v>
      </c>
      <c r="AF196" s="2">
        <v>224050.111840667</v>
      </c>
      <c r="AG196" s="2">
        <v>207888.502250063</v>
      </c>
      <c r="AH196" s="2">
        <v>181434.96262912301</v>
      </c>
      <c r="AI196" s="2">
        <v>205495.94896595599</v>
      </c>
      <c r="AJ196" s="2">
        <v>234818.79635244899</v>
      </c>
      <c r="AK196" s="2">
        <v>546580.00212247204</v>
      </c>
      <c r="AL196" s="2">
        <v>550589.15277139097</v>
      </c>
      <c r="AM196" s="2">
        <v>543370.15898393001</v>
      </c>
      <c r="AN196" s="2">
        <v>519394.86504141398</v>
      </c>
      <c r="AO196" s="2">
        <v>513425.717674652</v>
      </c>
      <c r="AP196" s="2">
        <v>480234.30796215101</v>
      </c>
    </row>
    <row r="197" spans="1:42" ht="14.5" x14ac:dyDescent="0.35">
      <c r="A197" s="2" t="s">
        <v>1439</v>
      </c>
      <c r="B197" s="2">
        <v>261.13072738115602</v>
      </c>
      <c r="C197" s="2">
        <v>3.7334833333333299</v>
      </c>
      <c r="D197" s="2" t="s">
        <v>34</v>
      </c>
      <c r="E197" s="2" t="s">
        <v>1440</v>
      </c>
      <c r="F197" s="2">
        <v>212186</v>
      </c>
      <c r="G197" s="3" t="str">
        <f>HYPERLINK("http://funmeta.oebiotech.com/network/212186", "http://funmeta.oebiotech.com/network/212186")</f>
        <v>http://funmeta.oebiotech.com/network/212186</v>
      </c>
      <c r="H197" s="2" t="s">
        <v>1441</v>
      </c>
      <c r="I197" s="2"/>
      <c r="J197" s="2"/>
      <c r="K197" s="2"/>
      <c r="L197" s="2"/>
      <c r="M197" s="2"/>
      <c r="N197" s="2"/>
      <c r="O197" s="2">
        <v>362949</v>
      </c>
      <c r="P197" s="2"/>
      <c r="Q197" s="2" t="s">
        <v>1442</v>
      </c>
      <c r="R197" s="2" t="s">
        <v>1443</v>
      </c>
      <c r="S197" s="2" t="s">
        <v>1444</v>
      </c>
      <c r="T197" s="2" t="s">
        <v>1445</v>
      </c>
      <c r="U197" s="2" t="s">
        <v>41</v>
      </c>
      <c r="V197" s="2" t="s">
        <v>59</v>
      </c>
      <c r="W197" s="2">
        <v>42.3</v>
      </c>
      <c r="X197" s="2">
        <v>12.7</v>
      </c>
      <c r="Y197" s="2" t="s">
        <v>43</v>
      </c>
      <c r="Z197" s="2" t="s">
        <v>1446</v>
      </c>
      <c r="AA197" s="2">
        <v>0.60853139003352297</v>
      </c>
      <c r="AB197" s="2">
        <v>2.18041815440312</v>
      </c>
      <c r="AC197" s="2">
        <v>486793.832392868</v>
      </c>
      <c r="AD197" s="2">
        <v>802806.55318343604</v>
      </c>
      <c r="AE197" s="2">
        <v>478245.14680582902</v>
      </c>
      <c r="AF197" s="2">
        <v>474124.83129037899</v>
      </c>
      <c r="AG197" s="2">
        <v>490765.73445915198</v>
      </c>
      <c r="AH197" s="2">
        <v>527028.49339426297</v>
      </c>
      <c r="AI197" s="2">
        <v>488745.23629952798</v>
      </c>
      <c r="AJ197" s="2">
        <v>461853.55210805999</v>
      </c>
      <c r="AK197" s="2">
        <v>756313.804302276</v>
      </c>
      <c r="AL197" s="2">
        <v>776349.048497885</v>
      </c>
      <c r="AM197" s="2">
        <v>854470.57658292796</v>
      </c>
      <c r="AN197" s="2">
        <v>826729.79158192198</v>
      </c>
      <c r="AO197" s="2">
        <v>814145.25915353</v>
      </c>
      <c r="AP197" s="2">
        <v>788830.83898207406</v>
      </c>
    </row>
    <row r="198" spans="1:42" ht="14.5" x14ac:dyDescent="0.35">
      <c r="A198" s="2" t="s">
        <v>1447</v>
      </c>
      <c r="B198" s="2">
        <v>534.39192822880602</v>
      </c>
      <c r="C198" s="2">
        <v>13.861383333333301</v>
      </c>
      <c r="D198" s="2" t="s">
        <v>34</v>
      </c>
      <c r="E198" s="2" t="s">
        <v>1448</v>
      </c>
      <c r="F198" s="2">
        <v>19844</v>
      </c>
      <c r="G198" s="3" t="str">
        <f>HYPERLINK("http://funmeta.oebiotech.com/network/19844", "http://funmeta.oebiotech.com/network/19844")</f>
        <v>http://funmeta.oebiotech.com/network/19844</v>
      </c>
      <c r="H198" s="2" t="s">
        <v>1449</v>
      </c>
      <c r="I198" s="2">
        <v>40311</v>
      </c>
      <c r="J198" s="2" t="s">
        <v>1450</v>
      </c>
      <c r="K198" s="2">
        <v>74968</v>
      </c>
      <c r="L198" s="2" t="s">
        <v>1451</v>
      </c>
      <c r="M198" s="2" t="s">
        <v>1452</v>
      </c>
      <c r="N198" s="2" t="s">
        <v>1453</v>
      </c>
      <c r="O198" s="2">
        <v>24779473</v>
      </c>
      <c r="P198" s="2" t="s">
        <v>1454</v>
      </c>
      <c r="Q198" s="2" t="s">
        <v>1455</v>
      </c>
      <c r="R198" s="2" t="s">
        <v>1456</v>
      </c>
      <c r="S198" s="2" t="s">
        <v>50</v>
      </c>
      <c r="T198" s="2" t="s">
        <v>51</v>
      </c>
      <c r="U198" s="2" t="s">
        <v>168</v>
      </c>
      <c r="V198" s="2" t="s">
        <v>59</v>
      </c>
      <c r="W198" s="2">
        <v>44.5</v>
      </c>
      <c r="X198" s="2">
        <v>29</v>
      </c>
      <c r="Y198" s="2" t="s">
        <v>141</v>
      </c>
      <c r="Z198" s="2" t="s">
        <v>1457</v>
      </c>
      <c r="AA198" s="2">
        <v>0.22968471775844601</v>
      </c>
      <c r="AB198" s="2">
        <v>2.1795281560663602</v>
      </c>
      <c r="AC198" s="2">
        <v>13158.499075749</v>
      </c>
      <c r="AD198" s="2">
        <v>326404.81127261498</v>
      </c>
      <c r="AE198" s="2">
        <v>13855.946736366001</v>
      </c>
      <c r="AF198" s="2">
        <v>13889.1156940485</v>
      </c>
      <c r="AG198" s="2">
        <v>14620.972413130599</v>
      </c>
      <c r="AH198" s="2">
        <v>12739.304348164</v>
      </c>
      <c r="AI198" s="2">
        <v>13291.1892320731</v>
      </c>
      <c r="AJ198" s="2">
        <v>10554.466030711999</v>
      </c>
      <c r="AK198" s="2">
        <v>342902.653051876</v>
      </c>
      <c r="AL198" s="2">
        <v>303172.63682823599</v>
      </c>
      <c r="AM198" s="2">
        <v>348633.74568922701</v>
      </c>
      <c r="AN198" s="2">
        <v>292349.484050809</v>
      </c>
      <c r="AO198" s="2">
        <v>326347.541957704</v>
      </c>
      <c r="AP198" s="2">
        <v>345022.80605784</v>
      </c>
    </row>
    <row r="199" spans="1:42" ht="14.5" x14ac:dyDescent="0.35">
      <c r="A199" s="2" t="s">
        <v>1458</v>
      </c>
      <c r="B199" s="2">
        <v>559.27567399217799</v>
      </c>
      <c r="C199" s="2">
        <v>4.3281833333333299</v>
      </c>
      <c r="D199" s="2" t="s">
        <v>70</v>
      </c>
      <c r="E199" s="2" t="s">
        <v>1459</v>
      </c>
      <c r="F199" s="2">
        <v>58982</v>
      </c>
      <c r="G199" s="3" t="str">
        <f>HYPERLINK("http://funmeta.oebiotech.com/network/58982", "http://funmeta.oebiotech.com/network/58982")</f>
        <v>http://funmeta.oebiotech.com/network/58982</v>
      </c>
      <c r="H199" s="2" t="s">
        <v>1460</v>
      </c>
      <c r="I199" s="2">
        <v>90417</v>
      </c>
      <c r="J199" s="2"/>
      <c r="K199" s="2"/>
      <c r="L199" s="2"/>
      <c r="M199" s="2"/>
      <c r="N199" s="2"/>
      <c r="O199" s="2">
        <v>131751659</v>
      </c>
      <c r="P199" s="2"/>
      <c r="Q199" s="2" t="s">
        <v>1461</v>
      </c>
      <c r="R199" s="2" t="s">
        <v>1462</v>
      </c>
      <c r="S199" s="2" t="s">
        <v>50</v>
      </c>
      <c r="T199" s="2" t="s">
        <v>201</v>
      </c>
      <c r="U199" s="2" t="s">
        <v>202</v>
      </c>
      <c r="V199" s="2" t="s">
        <v>42</v>
      </c>
      <c r="W199" s="2">
        <v>55.1</v>
      </c>
      <c r="X199" s="2">
        <v>82.8</v>
      </c>
      <c r="Y199" s="2" t="s">
        <v>408</v>
      </c>
      <c r="Z199" s="2" t="s">
        <v>1463</v>
      </c>
      <c r="AA199" s="2">
        <v>-0.63471602927926396</v>
      </c>
      <c r="AB199" s="2">
        <v>2.17757987037667</v>
      </c>
      <c r="AC199" s="2">
        <v>2070371.8415415301</v>
      </c>
      <c r="AD199" s="2">
        <v>1737888.87476834</v>
      </c>
      <c r="AE199" s="2">
        <v>2135074.0357970302</v>
      </c>
      <c r="AF199" s="2">
        <v>2041358.70608806</v>
      </c>
      <c r="AG199" s="2">
        <v>1956084.9348225701</v>
      </c>
      <c r="AH199" s="2">
        <v>2123312.4015939999</v>
      </c>
      <c r="AI199" s="2">
        <v>2017225.48495401</v>
      </c>
      <c r="AJ199" s="2">
        <v>2149175.4859934901</v>
      </c>
      <c r="AK199" s="2">
        <v>1685764.72085878</v>
      </c>
      <c r="AL199" s="2">
        <v>1830085.75520453</v>
      </c>
      <c r="AM199" s="2">
        <v>1720095.54418719</v>
      </c>
      <c r="AN199" s="2">
        <v>1785288.8448186</v>
      </c>
      <c r="AO199" s="2">
        <v>1671605.7794818699</v>
      </c>
      <c r="AP199" s="2">
        <v>1734492.6040590999</v>
      </c>
    </row>
    <row r="200" spans="1:42" ht="14.5" x14ac:dyDescent="0.35">
      <c r="A200" s="2" t="s">
        <v>1464</v>
      </c>
      <c r="B200" s="2">
        <v>291.09719367540498</v>
      </c>
      <c r="C200" s="2">
        <v>4.8488333333333298</v>
      </c>
      <c r="D200" s="2" t="s">
        <v>34</v>
      </c>
      <c r="E200" s="2" t="s">
        <v>1465</v>
      </c>
      <c r="F200" s="2">
        <v>62775</v>
      </c>
      <c r="G200" s="3" t="str">
        <f>HYPERLINK("http://funmeta.oebiotech.com/network/62775", "http://funmeta.oebiotech.com/network/62775")</f>
        <v>http://funmeta.oebiotech.com/network/62775</v>
      </c>
      <c r="H200" s="2" t="s">
        <v>1466</v>
      </c>
      <c r="I200" s="2">
        <v>94069</v>
      </c>
      <c r="J200" s="2"/>
      <c r="K200" s="2">
        <v>142268</v>
      </c>
      <c r="L200" s="2"/>
      <c r="M200" s="2"/>
      <c r="N200" s="2"/>
      <c r="O200" s="2">
        <v>5199636</v>
      </c>
      <c r="P200" s="2" t="s">
        <v>1467</v>
      </c>
      <c r="Q200" s="2" t="s">
        <v>1468</v>
      </c>
      <c r="R200" s="2" t="s">
        <v>1469</v>
      </c>
      <c r="S200" s="2" t="s">
        <v>89</v>
      </c>
      <c r="T200" s="2" t="s">
        <v>90</v>
      </c>
      <c r="U200" s="2" t="s">
        <v>99</v>
      </c>
      <c r="V200" s="2" t="s">
        <v>42</v>
      </c>
      <c r="W200" s="2">
        <v>51.5</v>
      </c>
      <c r="X200" s="2">
        <v>62.1</v>
      </c>
      <c r="Y200" s="2" t="s">
        <v>1470</v>
      </c>
      <c r="Z200" s="2" t="s">
        <v>1471</v>
      </c>
      <c r="AA200" s="2">
        <v>-1.22138868508606</v>
      </c>
      <c r="AB200" s="2">
        <v>2.1743187879554999</v>
      </c>
      <c r="AC200" s="2">
        <v>1134298.7904459899</v>
      </c>
      <c r="AD200" s="2">
        <v>819683.74339644902</v>
      </c>
      <c r="AE200" s="2">
        <v>1174862.6408321201</v>
      </c>
      <c r="AF200" s="2">
        <v>1151149.60572007</v>
      </c>
      <c r="AG200" s="2">
        <v>1118640.03986007</v>
      </c>
      <c r="AH200" s="2">
        <v>1102352.5641777101</v>
      </c>
      <c r="AI200" s="2">
        <v>1134883.9157074499</v>
      </c>
      <c r="AJ200" s="2">
        <v>1123903.97637849</v>
      </c>
      <c r="AK200" s="2">
        <v>830637.05591261003</v>
      </c>
      <c r="AL200" s="2">
        <v>825018.35711704299</v>
      </c>
      <c r="AM200" s="2">
        <v>874921.34609067696</v>
      </c>
      <c r="AN200" s="2">
        <v>811797.94155491202</v>
      </c>
      <c r="AO200" s="2">
        <v>784638.63728417305</v>
      </c>
      <c r="AP200" s="2">
        <v>791089.12241928105</v>
      </c>
    </row>
    <row r="201" spans="1:42" ht="14.5" x14ac:dyDescent="0.35">
      <c r="A201" s="2" t="s">
        <v>1472</v>
      </c>
      <c r="B201" s="2">
        <v>653.18346059554904</v>
      </c>
      <c r="C201" s="2">
        <v>4.0195333333333298</v>
      </c>
      <c r="D201" s="2" t="s">
        <v>34</v>
      </c>
      <c r="E201" s="2" t="s">
        <v>1473</v>
      </c>
      <c r="F201" s="2">
        <v>62353</v>
      </c>
      <c r="G201" s="3" t="str">
        <f>HYPERLINK("http://funmeta.oebiotech.com/network/62353", "http://funmeta.oebiotech.com/network/62353")</f>
        <v>http://funmeta.oebiotech.com/network/62353</v>
      </c>
      <c r="H201" s="2" t="s">
        <v>1474</v>
      </c>
      <c r="I201" s="2">
        <v>93647</v>
      </c>
      <c r="J201" s="2"/>
      <c r="K201" s="2">
        <v>168481</v>
      </c>
      <c r="L201" s="2"/>
      <c r="M201" s="2"/>
      <c r="N201" s="2"/>
      <c r="O201" s="2">
        <v>14033991</v>
      </c>
      <c r="P201" s="2"/>
      <c r="Q201" s="2" t="s">
        <v>1475</v>
      </c>
      <c r="R201" s="2" t="s">
        <v>1476</v>
      </c>
      <c r="S201" s="2" t="s">
        <v>115</v>
      </c>
      <c r="T201" s="2" t="s">
        <v>758</v>
      </c>
      <c r="U201" s="2" t="s">
        <v>1477</v>
      </c>
      <c r="V201" s="2" t="s">
        <v>42</v>
      </c>
      <c r="W201" s="2">
        <v>50.5</v>
      </c>
      <c r="X201" s="2">
        <v>56.6</v>
      </c>
      <c r="Y201" s="2" t="s">
        <v>1478</v>
      </c>
      <c r="Z201" s="2" t="s">
        <v>1479</v>
      </c>
      <c r="AA201" s="2">
        <v>-0.97723531884075798</v>
      </c>
      <c r="AB201" s="2">
        <v>2.1700832919339099</v>
      </c>
      <c r="AC201" s="2">
        <v>1154358.5442331899</v>
      </c>
      <c r="AD201" s="2">
        <v>827652.04404156201</v>
      </c>
      <c r="AE201" s="2">
        <v>1141186.48840742</v>
      </c>
      <c r="AF201" s="2">
        <v>1055001.87876912</v>
      </c>
      <c r="AG201" s="2">
        <v>1151122.4865485199</v>
      </c>
      <c r="AH201" s="2">
        <v>1285854.62258397</v>
      </c>
      <c r="AI201" s="2">
        <v>1136516.7834616201</v>
      </c>
      <c r="AJ201" s="2">
        <v>1156469.0056284701</v>
      </c>
      <c r="AK201" s="2">
        <v>857683.20211844798</v>
      </c>
      <c r="AL201" s="2">
        <v>829415.62895958405</v>
      </c>
      <c r="AM201" s="2">
        <v>896547.74477465299</v>
      </c>
      <c r="AN201" s="2">
        <v>778626.00682374497</v>
      </c>
      <c r="AO201" s="2">
        <v>814718.89095751499</v>
      </c>
      <c r="AP201" s="2">
        <v>788920.79061542603</v>
      </c>
    </row>
    <row r="202" spans="1:42" ht="14.5" x14ac:dyDescent="0.35">
      <c r="A202" s="2" t="s">
        <v>1480</v>
      </c>
      <c r="B202" s="2">
        <v>879.57507569948098</v>
      </c>
      <c r="C202" s="2">
        <v>11.772316666666701</v>
      </c>
      <c r="D202" s="2" t="s">
        <v>34</v>
      </c>
      <c r="E202" s="2" t="s">
        <v>1481</v>
      </c>
      <c r="F202" s="2">
        <v>224011</v>
      </c>
      <c r="G202" s="3" t="str">
        <f>HYPERLINK("http://funmeta.oebiotech.com/network/224011", "http://funmeta.oebiotech.com/network/224011")</f>
        <v>http://funmeta.oebiotech.com/network/224011</v>
      </c>
      <c r="H202" s="2" t="s">
        <v>1482</v>
      </c>
      <c r="I202" s="2"/>
      <c r="J202" s="2"/>
      <c r="K202" s="2"/>
      <c r="L202" s="2"/>
      <c r="M202" s="2"/>
      <c r="N202" s="2"/>
      <c r="O202" s="2"/>
      <c r="P202" s="2"/>
      <c r="Q202" s="2" t="s">
        <v>1483</v>
      </c>
      <c r="R202" s="2" t="s">
        <v>1484</v>
      </c>
      <c r="S202" s="2" t="s">
        <v>41</v>
      </c>
      <c r="T202" s="2" t="s">
        <v>41</v>
      </c>
      <c r="U202" s="2" t="s">
        <v>41</v>
      </c>
      <c r="V202" s="2" t="s">
        <v>59</v>
      </c>
      <c r="W202" s="2">
        <v>36.4</v>
      </c>
      <c r="X202" s="2">
        <v>0</v>
      </c>
      <c r="Y202" s="2" t="s">
        <v>141</v>
      </c>
      <c r="Z202" s="2" t="s">
        <v>1485</v>
      </c>
      <c r="AA202" s="2">
        <v>0.55673782601236399</v>
      </c>
      <c r="AB202" s="2">
        <v>2.1648039733506099</v>
      </c>
      <c r="AC202" s="2">
        <v>653.38744538488004</v>
      </c>
      <c r="AD202" s="2">
        <v>311653.34868400701</v>
      </c>
      <c r="AE202" s="2">
        <v>1793.35732481745</v>
      </c>
      <c r="AF202" s="2">
        <v>256.03235525997599</v>
      </c>
      <c r="AG202" s="2">
        <v>18.305121219340499</v>
      </c>
      <c r="AH202" s="2">
        <v>142.336630932041</v>
      </c>
      <c r="AI202" s="2">
        <v>655.91360033477997</v>
      </c>
      <c r="AJ202" s="2">
        <v>1054.3796397456899</v>
      </c>
      <c r="AK202" s="2">
        <v>305470.33481799602</v>
      </c>
      <c r="AL202" s="2">
        <v>270390.326576274</v>
      </c>
      <c r="AM202" s="2">
        <v>384015.89371115301</v>
      </c>
      <c r="AN202" s="2">
        <v>301576.87165378802</v>
      </c>
      <c r="AO202" s="2">
        <v>299918.65687670902</v>
      </c>
      <c r="AP202" s="2">
        <v>308548.00846812298</v>
      </c>
    </row>
    <row r="203" spans="1:42" ht="14.5" x14ac:dyDescent="0.35">
      <c r="A203" s="2" t="s">
        <v>1486</v>
      </c>
      <c r="B203" s="2">
        <v>490.28540094392599</v>
      </c>
      <c r="C203" s="2">
        <v>4.5663166666666699</v>
      </c>
      <c r="D203" s="2" t="s">
        <v>34</v>
      </c>
      <c r="E203" s="2" t="s">
        <v>1487</v>
      </c>
      <c r="F203" s="2">
        <v>212859</v>
      </c>
      <c r="G203" s="3" t="str">
        <f>HYPERLINK("http://funmeta.oebiotech.com/network/212859", "http://funmeta.oebiotech.com/network/212859")</f>
        <v>http://funmeta.oebiotech.com/network/212859</v>
      </c>
      <c r="H203" s="2" t="s">
        <v>1488</v>
      </c>
      <c r="I203" s="2"/>
      <c r="J203" s="2"/>
      <c r="K203" s="2"/>
      <c r="L203" s="2"/>
      <c r="M203" s="2"/>
      <c r="N203" s="2"/>
      <c r="O203" s="2">
        <v>20775485</v>
      </c>
      <c r="P203" s="2"/>
      <c r="Q203" s="2" t="s">
        <v>1489</v>
      </c>
      <c r="R203" s="2" t="s">
        <v>1490</v>
      </c>
      <c r="S203" s="2" t="s">
        <v>50</v>
      </c>
      <c r="T203" s="2" t="s">
        <v>124</v>
      </c>
      <c r="U203" s="2" t="s">
        <v>125</v>
      </c>
      <c r="V203" s="2" t="s">
        <v>59</v>
      </c>
      <c r="W203" s="2">
        <v>40.5</v>
      </c>
      <c r="X203" s="2">
        <v>19.5</v>
      </c>
      <c r="Y203" s="2" t="s">
        <v>250</v>
      </c>
      <c r="Z203" s="2" t="s">
        <v>1491</v>
      </c>
      <c r="AA203" s="2">
        <v>4.4484839457365197</v>
      </c>
      <c r="AB203" s="2">
        <v>2.1537658140004701</v>
      </c>
      <c r="AC203" s="2">
        <v>397131.90534799499</v>
      </c>
      <c r="AD203" s="2">
        <v>91947.827117259803</v>
      </c>
      <c r="AE203" s="2">
        <v>415135.97094799997</v>
      </c>
      <c r="AF203" s="2">
        <v>401013.42433273001</v>
      </c>
      <c r="AG203" s="2">
        <v>425685.27583525103</v>
      </c>
      <c r="AH203" s="2">
        <v>381301.47252202203</v>
      </c>
      <c r="AI203" s="2">
        <v>367045.656754695</v>
      </c>
      <c r="AJ203" s="2">
        <v>392609.63169527199</v>
      </c>
      <c r="AK203" s="2">
        <v>98437.548080312001</v>
      </c>
      <c r="AL203" s="2">
        <v>96604.173020750604</v>
      </c>
      <c r="AM203" s="2">
        <v>92907.5216411734</v>
      </c>
      <c r="AN203" s="2">
        <v>93248.872161093095</v>
      </c>
      <c r="AO203" s="2">
        <v>80304.823704605005</v>
      </c>
      <c r="AP203" s="2">
        <v>90184.024095624496</v>
      </c>
    </row>
    <row r="204" spans="1:42" ht="14.5" x14ac:dyDescent="0.35">
      <c r="A204" s="2" t="s">
        <v>1492</v>
      </c>
      <c r="B204" s="2">
        <v>635.26999208207906</v>
      </c>
      <c r="C204" s="2">
        <v>5.1684333333333301</v>
      </c>
      <c r="D204" s="2" t="s">
        <v>34</v>
      </c>
      <c r="E204" s="2" t="s">
        <v>1493</v>
      </c>
      <c r="F204" s="2">
        <v>255489</v>
      </c>
      <c r="G204" s="3" t="str">
        <f>HYPERLINK("http://funmeta.oebiotech.com/network/255489", "http://funmeta.oebiotech.com/network/255489")</f>
        <v>http://funmeta.oebiotech.com/network/255489</v>
      </c>
      <c r="H204" s="2" t="s">
        <v>1494</v>
      </c>
      <c r="I204" s="2"/>
      <c r="J204" s="2"/>
      <c r="K204" s="2"/>
      <c r="L204" s="2"/>
      <c r="M204" s="2"/>
      <c r="N204" s="2"/>
      <c r="O204" s="2">
        <v>14313526</v>
      </c>
      <c r="P204" s="2"/>
      <c r="Q204" s="2" t="s">
        <v>1495</v>
      </c>
      <c r="R204" s="2" t="s">
        <v>1496</v>
      </c>
      <c r="S204" s="2" t="s">
        <v>50</v>
      </c>
      <c r="T204" s="2" t="s">
        <v>201</v>
      </c>
      <c r="U204" s="2" t="s">
        <v>210</v>
      </c>
      <c r="V204" s="2" t="s">
        <v>42</v>
      </c>
      <c r="W204" s="2">
        <v>48.3</v>
      </c>
      <c r="X204" s="2">
        <v>49.1</v>
      </c>
      <c r="Y204" s="2" t="s">
        <v>67</v>
      </c>
      <c r="Z204" s="2" t="s">
        <v>1497</v>
      </c>
      <c r="AA204" s="2">
        <v>0.27472670627315299</v>
      </c>
      <c r="AB204" s="2">
        <v>2.1447210792841598</v>
      </c>
      <c r="AC204" s="2">
        <v>1315862.1310885099</v>
      </c>
      <c r="AD204" s="2">
        <v>1631538.69513525</v>
      </c>
      <c r="AE204" s="2">
        <v>1327057.08108922</v>
      </c>
      <c r="AF204" s="2">
        <v>1306227.2400307299</v>
      </c>
      <c r="AG204" s="2">
        <v>1345833.36965832</v>
      </c>
      <c r="AH204" s="2">
        <v>1233304.35177708</v>
      </c>
      <c r="AI204" s="2">
        <v>1322378.4772695799</v>
      </c>
      <c r="AJ204" s="2">
        <v>1360372.26670612</v>
      </c>
      <c r="AK204" s="2">
        <v>1511602.2428996901</v>
      </c>
      <c r="AL204" s="2">
        <v>1653956.53235118</v>
      </c>
      <c r="AM204" s="2">
        <v>1644467.1484733501</v>
      </c>
      <c r="AN204" s="2">
        <v>1689801.5086938899</v>
      </c>
      <c r="AO204" s="2">
        <v>1646587.5092515501</v>
      </c>
      <c r="AP204" s="2">
        <v>1642817.22914183</v>
      </c>
    </row>
    <row r="205" spans="1:42" ht="14.5" x14ac:dyDescent="0.35">
      <c r="A205" s="2" t="s">
        <v>1498</v>
      </c>
      <c r="B205" s="2">
        <v>741.161665198827</v>
      </c>
      <c r="C205" s="2">
        <v>3.0156833333333299</v>
      </c>
      <c r="D205" s="2" t="s">
        <v>70</v>
      </c>
      <c r="E205" s="2" t="s">
        <v>1499</v>
      </c>
      <c r="F205" s="2">
        <v>197019</v>
      </c>
      <c r="G205" s="3" t="str">
        <f>HYPERLINK("http://funmeta.oebiotech.com/network/197019", "http://funmeta.oebiotech.com/network/197019")</f>
        <v>http://funmeta.oebiotech.com/network/197019</v>
      </c>
      <c r="H205" s="2" t="s">
        <v>1500</v>
      </c>
      <c r="I205" s="2"/>
      <c r="J205" s="2"/>
      <c r="K205" s="2">
        <v>133026</v>
      </c>
      <c r="L205" s="2"/>
      <c r="M205" s="2"/>
      <c r="N205" s="2"/>
      <c r="O205" s="2">
        <v>121596205</v>
      </c>
      <c r="P205" s="2"/>
      <c r="Q205" s="2" t="s">
        <v>1501</v>
      </c>
      <c r="R205" s="2" t="s">
        <v>1502</v>
      </c>
      <c r="S205" s="2" t="s">
        <v>79</v>
      </c>
      <c r="T205" s="2" t="s">
        <v>80</v>
      </c>
      <c r="U205" s="2" t="s">
        <v>81</v>
      </c>
      <c r="V205" s="2" t="s">
        <v>59</v>
      </c>
      <c r="W205" s="2">
        <v>43.2</v>
      </c>
      <c r="X205" s="2">
        <v>33</v>
      </c>
      <c r="Y205" s="2" t="s">
        <v>560</v>
      </c>
      <c r="Z205" s="2" t="s">
        <v>1503</v>
      </c>
      <c r="AA205" s="2">
        <v>-2.08828075347702</v>
      </c>
      <c r="AB205" s="2">
        <v>2.14426808698525</v>
      </c>
      <c r="AC205" s="2">
        <v>281359.79313156003</v>
      </c>
      <c r="AD205" s="2">
        <v>585424.75850053597</v>
      </c>
      <c r="AE205" s="2">
        <v>279525.91874506202</v>
      </c>
      <c r="AF205" s="2">
        <v>253923.69294089099</v>
      </c>
      <c r="AG205" s="2">
        <v>284386.77540057403</v>
      </c>
      <c r="AH205" s="2">
        <v>271740.02704341098</v>
      </c>
      <c r="AI205" s="2">
        <v>285346.40049314598</v>
      </c>
      <c r="AJ205" s="2">
        <v>313235.94416627899</v>
      </c>
      <c r="AK205" s="2">
        <v>551447.696956589</v>
      </c>
      <c r="AL205" s="2">
        <v>567356.93921876396</v>
      </c>
      <c r="AM205" s="2">
        <v>602120.14196056104</v>
      </c>
      <c r="AN205" s="2">
        <v>616489.03757709998</v>
      </c>
      <c r="AO205" s="2">
        <v>571580.76150136103</v>
      </c>
      <c r="AP205" s="2">
        <v>603553.97378884</v>
      </c>
    </row>
    <row r="206" spans="1:42" ht="14.5" x14ac:dyDescent="0.35">
      <c r="A206" s="2" t="s">
        <v>1504</v>
      </c>
      <c r="B206" s="2">
        <v>689.20473030370295</v>
      </c>
      <c r="C206" s="2">
        <v>3.7887</v>
      </c>
      <c r="D206" s="2" t="s">
        <v>34</v>
      </c>
      <c r="E206" s="2" t="s">
        <v>1505</v>
      </c>
      <c r="F206" s="2">
        <v>32849</v>
      </c>
      <c r="G206" s="3" t="str">
        <f>HYPERLINK("http://funmeta.oebiotech.com/network/32849", "http://funmeta.oebiotech.com/network/32849")</f>
        <v>http://funmeta.oebiotech.com/network/32849</v>
      </c>
      <c r="H206" s="2"/>
      <c r="I206" s="2"/>
      <c r="J206" s="2" t="s">
        <v>1506</v>
      </c>
      <c r="K206" s="2"/>
      <c r="L206" s="2"/>
      <c r="M206" s="2"/>
      <c r="N206" s="2"/>
      <c r="O206" s="2">
        <v>44259700</v>
      </c>
      <c r="P206" s="2"/>
      <c r="Q206" s="2" t="s">
        <v>1507</v>
      </c>
      <c r="R206" s="2" t="s">
        <v>1508</v>
      </c>
      <c r="S206" s="2" t="s">
        <v>115</v>
      </c>
      <c r="T206" s="2" t="s">
        <v>139</v>
      </c>
      <c r="U206" s="2" t="s">
        <v>140</v>
      </c>
      <c r="V206" s="2" t="s">
        <v>42</v>
      </c>
      <c r="W206" s="2">
        <v>48.4</v>
      </c>
      <c r="X206" s="2">
        <v>46.1</v>
      </c>
      <c r="Y206" s="2" t="s">
        <v>1509</v>
      </c>
      <c r="Z206" s="2" t="s">
        <v>1510</v>
      </c>
      <c r="AA206" s="2">
        <v>-0.71374438164346599</v>
      </c>
      <c r="AB206" s="2">
        <v>2.1333551274379099</v>
      </c>
      <c r="AC206" s="2">
        <v>3153781.4473200398</v>
      </c>
      <c r="AD206" s="2">
        <v>3491217.1859515798</v>
      </c>
      <c r="AE206" s="2">
        <v>3123358.7168306601</v>
      </c>
      <c r="AF206" s="2">
        <v>3149206.5484812902</v>
      </c>
      <c r="AG206" s="2">
        <v>3200412.6361004999</v>
      </c>
      <c r="AH206" s="2">
        <v>3004064.31813874</v>
      </c>
      <c r="AI206" s="2">
        <v>3192322.3162480099</v>
      </c>
      <c r="AJ206" s="2">
        <v>3253324.1481210398</v>
      </c>
      <c r="AK206" s="2">
        <v>3468443.93921297</v>
      </c>
      <c r="AL206" s="2">
        <v>3308342.9851352801</v>
      </c>
      <c r="AM206" s="2">
        <v>3611776.0527433902</v>
      </c>
      <c r="AN206" s="2">
        <v>3591743.4360023602</v>
      </c>
      <c r="AO206" s="2">
        <v>3441490.4841694101</v>
      </c>
      <c r="AP206" s="2">
        <v>3525506.2184460899</v>
      </c>
    </row>
    <row r="207" spans="1:42" ht="14.5" x14ac:dyDescent="0.35">
      <c r="A207" s="2" t="s">
        <v>1511</v>
      </c>
      <c r="B207" s="2">
        <v>421.258999244731</v>
      </c>
      <c r="C207" s="2">
        <v>4.9946333333333301</v>
      </c>
      <c r="D207" s="2" t="s">
        <v>34</v>
      </c>
      <c r="E207" s="2" t="s">
        <v>1512</v>
      </c>
      <c r="F207" s="2">
        <v>208618</v>
      </c>
      <c r="G207" s="3" t="str">
        <f>HYPERLINK("http://funmeta.oebiotech.com/network/208618", "http://funmeta.oebiotech.com/network/208618")</f>
        <v>http://funmeta.oebiotech.com/network/208618</v>
      </c>
      <c r="H207" s="2" t="s">
        <v>1513</v>
      </c>
      <c r="I207" s="2"/>
      <c r="J207" s="2"/>
      <c r="K207" s="2">
        <v>91619</v>
      </c>
      <c r="L207" s="2"/>
      <c r="M207" s="2"/>
      <c r="N207" s="2"/>
      <c r="O207" s="2">
        <v>4090</v>
      </c>
      <c r="P207" s="2"/>
      <c r="Q207" s="2" t="s">
        <v>1514</v>
      </c>
      <c r="R207" s="2" t="s">
        <v>1515</v>
      </c>
      <c r="S207" s="2" t="s">
        <v>491</v>
      </c>
      <c r="T207" s="2" t="s">
        <v>1516</v>
      </c>
      <c r="U207" s="2" t="s">
        <v>1517</v>
      </c>
      <c r="V207" s="2" t="s">
        <v>59</v>
      </c>
      <c r="W207" s="2">
        <v>37.5</v>
      </c>
      <c r="X207" s="2">
        <v>6.26</v>
      </c>
      <c r="Y207" s="2" t="s">
        <v>250</v>
      </c>
      <c r="Z207" s="2" t="s">
        <v>1518</v>
      </c>
      <c r="AA207" s="2">
        <v>-1.9926018266135901</v>
      </c>
      <c r="AB207" s="2">
        <v>2.1242359454444002</v>
      </c>
      <c r="AC207" s="2">
        <v>1456287.0683405199</v>
      </c>
      <c r="AD207" s="2">
        <v>1776297.3588566801</v>
      </c>
      <c r="AE207" s="2">
        <v>1473607.7386880801</v>
      </c>
      <c r="AF207" s="2">
        <v>1586922.3592177599</v>
      </c>
      <c r="AG207" s="2">
        <v>1379866.9483924001</v>
      </c>
      <c r="AH207" s="2">
        <v>1513274.8153155199</v>
      </c>
      <c r="AI207" s="2">
        <v>1403251.1146279599</v>
      </c>
      <c r="AJ207" s="2">
        <v>1380799.4338014</v>
      </c>
      <c r="AK207" s="2">
        <v>1774263.57757444</v>
      </c>
      <c r="AL207" s="2">
        <v>1694818.8654962699</v>
      </c>
      <c r="AM207" s="2">
        <v>1848846.3426604599</v>
      </c>
      <c r="AN207" s="2">
        <v>1776618.1388183001</v>
      </c>
      <c r="AO207" s="2">
        <v>1828207.0382475499</v>
      </c>
      <c r="AP207" s="2">
        <v>1735030.1903430701</v>
      </c>
    </row>
    <row r="208" spans="1:42" ht="14.5" x14ac:dyDescent="0.35">
      <c r="A208" s="2" t="s">
        <v>1519</v>
      </c>
      <c r="B208" s="2">
        <v>969.30241192595497</v>
      </c>
      <c r="C208" s="2">
        <v>4.0429833333333303</v>
      </c>
      <c r="D208" s="2" t="s">
        <v>70</v>
      </c>
      <c r="E208" s="2" t="s">
        <v>1520</v>
      </c>
      <c r="F208" s="2">
        <v>48834</v>
      </c>
      <c r="G208" s="3" t="str">
        <f>HYPERLINK("http://funmeta.oebiotech.com/network/48834", "http://funmeta.oebiotech.com/network/48834")</f>
        <v>http://funmeta.oebiotech.com/network/48834</v>
      </c>
      <c r="H208" s="2" t="s">
        <v>1521</v>
      </c>
      <c r="I208" s="2">
        <v>58516</v>
      </c>
      <c r="J208" s="2"/>
      <c r="K208" s="2"/>
      <c r="L208" s="2"/>
      <c r="M208" s="2"/>
      <c r="N208" s="2"/>
      <c r="O208" s="2">
        <v>12002504</v>
      </c>
      <c r="P208" s="2" t="s">
        <v>1522</v>
      </c>
      <c r="Q208" s="2" t="s">
        <v>1523</v>
      </c>
      <c r="R208" s="2" t="s">
        <v>1524</v>
      </c>
      <c r="S208" s="2" t="s">
        <v>79</v>
      </c>
      <c r="T208" s="2" t="s">
        <v>80</v>
      </c>
      <c r="U208" s="2" t="s">
        <v>81</v>
      </c>
      <c r="V208" s="2" t="s">
        <v>59</v>
      </c>
      <c r="W208" s="2">
        <v>39.700000000000003</v>
      </c>
      <c r="X208" s="2">
        <v>10.6</v>
      </c>
      <c r="Y208" s="2" t="s">
        <v>408</v>
      </c>
      <c r="Z208" s="2" t="s">
        <v>1525</v>
      </c>
      <c r="AA208" s="2">
        <v>-3.0676794056782999</v>
      </c>
      <c r="AB208" s="2">
        <v>2.1115623352781601</v>
      </c>
      <c r="AC208" s="2">
        <v>374022.05210649699</v>
      </c>
      <c r="AD208" s="2">
        <v>77287.4209978078</v>
      </c>
      <c r="AE208" s="2">
        <v>383720.99400327599</v>
      </c>
      <c r="AF208" s="2">
        <v>311251.81145531603</v>
      </c>
      <c r="AG208" s="2">
        <v>376630.84237394697</v>
      </c>
      <c r="AH208" s="2">
        <v>424515.27609213098</v>
      </c>
      <c r="AI208" s="2">
        <v>372457.31553902599</v>
      </c>
      <c r="AJ208" s="2">
        <v>375556.07317528699</v>
      </c>
      <c r="AK208" s="2">
        <v>74842.742563736101</v>
      </c>
      <c r="AL208" s="2">
        <v>66342.658892056905</v>
      </c>
      <c r="AM208" s="2">
        <v>77034.175824965496</v>
      </c>
      <c r="AN208" s="2">
        <v>64678.680308470597</v>
      </c>
      <c r="AO208" s="2">
        <v>90141.0102999214</v>
      </c>
      <c r="AP208" s="2">
        <v>90685.258097696002</v>
      </c>
    </row>
    <row r="209" spans="1:42" ht="14.5" x14ac:dyDescent="0.35">
      <c r="A209" s="2" t="s">
        <v>1526</v>
      </c>
      <c r="B209" s="2">
        <v>457.21992681447603</v>
      </c>
      <c r="C209" s="2">
        <v>8.9715833333333297</v>
      </c>
      <c r="D209" s="2" t="s">
        <v>34</v>
      </c>
      <c r="E209" s="2" t="s">
        <v>1527</v>
      </c>
      <c r="F209" s="2">
        <v>44739</v>
      </c>
      <c r="G209" s="3" t="str">
        <f>HYPERLINK("http://funmeta.oebiotech.com/network/44739", "http://funmeta.oebiotech.com/network/44739")</f>
        <v>http://funmeta.oebiotech.com/network/44739</v>
      </c>
      <c r="H209" s="2"/>
      <c r="I209" s="2"/>
      <c r="J209" s="2" t="s">
        <v>1528</v>
      </c>
      <c r="K209" s="2"/>
      <c r="L209" s="2"/>
      <c r="M209" s="2"/>
      <c r="N209" s="2"/>
      <c r="O209" s="2"/>
      <c r="P209" s="2"/>
      <c r="Q209" s="2" t="s">
        <v>1529</v>
      </c>
      <c r="R209" s="2" t="s">
        <v>1530</v>
      </c>
      <c r="S209" s="2" t="s">
        <v>50</v>
      </c>
      <c r="T209" s="2" t="s">
        <v>124</v>
      </c>
      <c r="U209" s="2" t="s">
        <v>567</v>
      </c>
      <c r="V209" s="2" t="s">
        <v>59</v>
      </c>
      <c r="W209" s="2">
        <v>47</v>
      </c>
      <c r="X209" s="2">
        <v>39</v>
      </c>
      <c r="Y209" s="2" t="s">
        <v>1531</v>
      </c>
      <c r="Z209" s="2" t="s">
        <v>1532</v>
      </c>
      <c r="AA209" s="2">
        <v>0.58196557652450698</v>
      </c>
      <c r="AB209" s="2">
        <v>2.1100692717284102</v>
      </c>
      <c r="AC209" s="2">
        <v>1026744.26416324</v>
      </c>
      <c r="AD209" s="2">
        <v>1325833.23499854</v>
      </c>
      <c r="AE209" s="2">
        <v>1011795.05201497</v>
      </c>
      <c r="AF209" s="2">
        <v>1039715.0064610899</v>
      </c>
      <c r="AG209" s="2">
        <v>1014454.098486</v>
      </c>
      <c r="AH209" s="2">
        <v>1027253.57453068</v>
      </c>
      <c r="AI209" s="2">
        <v>1004472.63568453</v>
      </c>
      <c r="AJ209" s="2">
        <v>1062775.21780218</v>
      </c>
      <c r="AK209" s="2">
        <v>1235043.3696999501</v>
      </c>
      <c r="AL209" s="2">
        <v>1326547.4612346101</v>
      </c>
      <c r="AM209" s="2">
        <v>1355597.2506142301</v>
      </c>
      <c r="AN209" s="2">
        <v>1332625.3023985501</v>
      </c>
      <c r="AO209" s="2">
        <v>1355277.4250955</v>
      </c>
      <c r="AP209" s="2">
        <v>1349908.6009484001</v>
      </c>
    </row>
    <row r="210" spans="1:42" ht="14.5" x14ac:dyDescent="0.35">
      <c r="A210" s="2" t="s">
        <v>1533</v>
      </c>
      <c r="B210" s="2">
        <v>579.20009496911098</v>
      </c>
      <c r="C210" s="2">
        <v>6.0864833333333301</v>
      </c>
      <c r="D210" s="2" t="s">
        <v>70</v>
      </c>
      <c r="E210" s="2" t="s">
        <v>1534</v>
      </c>
      <c r="F210" s="2">
        <v>4529</v>
      </c>
      <c r="G210" s="3" t="str">
        <f>HYPERLINK("http://funmeta.oebiotech.com/network/4529", "http://funmeta.oebiotech.com/network/4529")</f>
        <v>http://funmeta.oebiotech.com/network/4529</v>
      </c>
      <c r="H210" s="2"/>
      <c r="I210" s="2">
        <v>36411</v>
      </c>
      <c r="J210" s="2" t="s">
        <v>1535</v>
      </c>
      <c r="K210" s="2"/>
      <c r="L210" s="2"/>
      <c r="M210" s="2"/>
      <c r="N210" s="2"/>
      <c r="O210" s="2">
        <v>5283243</v>
      </c>
      <c r="P210" s="2"/>
      <c r="Q210" s="2" t="s">
        <v>1536</v>
      </c>
      <c r="R210" s="2" t="s">
        <v>1537</v>
      </c>
      <c r="S210" s="2" t="s">
        <v>50</v>
      </c>
      <c r="T210" s="2" t="s">
        <v>229</v>
      </c>
      <c r="U210" s="2" t="s">
        <v>766</v>
      </c>
      <c r="V210" s="2" t="s">
        <v>59</v>
      </c>
      <c r="W210" s="2">
        <v>44</v>
      </c>
      <c r="X210" s="2">
        <v>23.7</v>
      </c>
      <c r="Y210" s="2" t="s">
        <v>751</v>
      </c>
      <c r="Z210" s="2" t="s">
        <v>1538</v>
      </c>
      <c r="AA210" s="2">
        <v>-0.25689089205418703</v>
      </c>
      <c r="AB210" s="2">
        <v>2.09513113830833</v>
      </c>
      <c r="AC210" s="2">
        <v>669279.596093036</v>
      </c>
      <c r="AD210" s="2">
        <v>377683.75403052103</v>
      </c>
      <c r="AE210" s="2">
        <v>676181.79871428502</v>
      </c>
      <c r="AF210" s="2">
        <v>645151.46179411805</v>
      </c>
      <c r="AG210" s="2">
        <v>692175.65305879503</v>
      </c>
      <c r="AH210" s="2">
        <v>654410.81544729695</v>
      </c>
      <c r="AI210" s="2">
        <v>626174.22605508496</v>
      </c>
      <c r="AJ210" s="2">
        <v>721583.62148863601</v>
      </c>
      <c r="AK210" s="2">
        <v>395775.27471886802</v>
      </c>
      <c r="AL210" s="2">
        <v>390487.26937423198</v>
      </c>
      <c r="AM210" s="2">
        <v>389086.51310564397</v>
      </c>
      <c r="AN210" s="2">
        <v>363575.17794238101</v>
      </c>
      <c r="AO210" s="2">
        <v>376541.39166669501</v>
      </c>
      <c r="AP210" s="2">
        <v>350636.897375306</v>
      </c>
    </row>
    <row r="211" spans="1:42" ht="14.5" x14ac:dyDescent="0.35">
      <c r="A211" s="2" t="s">
        <v>1539</v>
      </c>
      <c r="B211" s="2">
        <v>795.37631067803397</v>
      </c>
      <c r="C211" s="2">
        <v>4.3632666666666697</v>
      </c>
      <c r="D211" s="2" t="s">
        <v>34</v>
      </c>
      <c r="E211" s="2" t="s">
        <v>1540</v>
      </c>
      <c r="F211" s="2">
        <v>45113</v>
      </c>
      <c r="G211" s="3" t="str">
        <f>HYPERLINK("http://funmeta.oebiotech.com/network/45113", "http://funmeta.oebiotech.com/network/45113")</f>
        <v>http://funmeta.oebiotech.com/network/45113</v>
      </c>
      <c r="H211" s="2"/>
      <c r="I211" s="2"/>
      <c r="J211" s="2" t="s">
        <v>1541</v>
      </c>
      <c r="K211" s="2"/>
      <c r="L211" s="2"/>
      <c r="M211" s="2"/>
      <c r="N211" s="2"/>
      <c r="O211" s="2"/>
      <c r="P211" s="2"/>
      <c r="Q211" s="2" t="s">
        <v>1542</v>
      </c>
      <c r="R211" s="2" t="s">
        <v>1543</v>
      </c>
      <c r="S211" s="2" t="s">
        <v>41</v>
      </c>
      <c r="T211" s="2" t="s">
        <v>41</v>
      </c>
      <c r="U211" s="2" t="s">
        <v>41</v>
      </c>
      <c r="V211" s="2" t="s">
        <v>59</v>
      </c>
      <c r="W211" s="2">
        <v>37.9</v>
      </c>
      <c r="X211" s="2">
        <v>1.02</v>
      </c>
      <c r="Y211" s="2" t="s">
        <v>231</v>
      </c>
      <c r="Z211" s="2" t="s">
        <v>1544</v>
      </c>
      <c r="AA211" s="2">
        <v>-1.3540331302917801</v>
      </c>
      <c r="AB211" s="2">
        <v>2.0951105032903898</v>
      </c>
      <c r="AC211" s="2">
        <v>1838184.33430638</v>
      </c>
      <c r="AD211" s="2">
        <v>1530606.7388015899</v>
      </c>
      <c r="AE211" s="2">
        <v>1807851.9098976499</v>
      </c>
      <c r="AF211" s="2">
        <v>1778533.61866943</v>
      </c>
      <c r="AG211" s="2">
        <v>1851263.64947653</v>
      </c>
      <c r="AH211" s="2">
        <v>1829732.0871532001</v>
      </c>
      <c r="AI211" s="2">
        <v>1912862.99480894</v>
      </c>
      <c r="AJ211" s="2">
        <v>1848861.7458325301</v>
      </c>
      <c r="AK211" s="2">
        <v>1523168.76845233</v>
      </c>
      <c r="AL211" s="2">
        <v>1490073.9348355599</v>
      </c>
      <c r="AM211" s="2">
        <v>1590094.1488170901</v>
      </c>
      <c r="AN211" s="2">
        <v>1524200.4811211601</v>
      </c>
      <c r="AO211" s="2">
        <v>1424126.7055957101</v>
      </c>
      <c r="AP211" s="2">
        <v>1631976.3939876801</v>
      </c>
    </row>
    <row r="212" spans="1:42" ht="14.5" x14ac:dyDescent="0.35">
      <c r="A212" s="2" t="s">
        <v>1545</v>
      </c>
      <c r="B212" s="2">
        <v>286.10712933168003</v>
      </c>
      <c r="C212" s="2">
        <v>9.7086333333333297</v>
      </c>
      <c r="D212" s="2" t="s">
        <v>34</v>
      </c>
      <c r="E212" s="2" t="s">
        <v>1546</v>
      </c>
      <c r="F212" s="2">
        <v>30155</v>
      </c>
      <c r="G212" s="3" t="str">
        <f>HYPERLINK("http://funmeta.oebiotech.com/network/30155", "http://funmeta.oebiotech.com/network/30155")</f>
        <v>http://funmeta.oebiotech.com/network/30155</v>
      </c>
      <c r="H212" s="2" t="s">
        <v>1547</v>
      </c>
      <c r="I212" s="2">
        <v>48498</v>
      </c>
      <c r="J212" s="2" t="s">
        <v>1548</v>
      </c>
      <c r="K212" s="2"/>
      <c r="L212" s="2"/>
      <c r="M212" s="2"/>
      <c r="N212" s="2"/>
      <c r="O212" s="2">
        <v>14376438</v>
      </c>
      <c r="P212" s="2" t="s">
        <v>1549</v>
      </c>
      <c r="Q212" s="2" t="s">
        <v>1550</v>
      </c>
      <c r="R212" s="2" t="s">
        <v>1551</v>
      </c>
      <c r="S212" s="2" t="s">
        <v>115</v>
      </c>
      <c r="T212" s="2" t="s">
        <v>139</v>
      </c>
      <c r="U212" s="2" t="s">
        <v>1552</v>
      </c>
      <c r="V212" s="2" t="s">
        <v>42</v>
      </c>
      <c r="W212" s="2">
        <v>50.4</v>
      </c>
      <c r="X212" s="2">
        <v>55.6</v>
      </c>
      <c r="Y212" s="2" t="s">
        <v>440</v>
      </c>
      <c r="Z212" s="2" t="s">
        <v>1553</v>
      </c>
      <c r="AA212" s="2">
        <v>-0.95146049322786597</v>
      </c>
      <c r="AB212" s="2">
        <v>2.0848550964481101</v>
      </c>
      <c r="AC212" s="2">
        <v>3365176.3794119898</v>
      </c>
      <c r="AD212" s="2">
        <v>3690293.2106343498</v>
      </c>
      <c r="AE212" s="2">
        <v>3402576.3248731</v>
      </c>
      <c r="AF212" s="2">
        <v>3215797.96303382</v>
      </c>
      <c r="AG212" s="2">
        <v>3402798.8569292701</v>
      </c>
      <c r="AH212" s="2">
        <v>3360980.30119537</v>
      </c>
      <c r="AI212" s="2">
        <v>3292994.5419415399</v>
      </c>
      <c r="AJ212" s="2">
        <v>3515910.2884988599</v>
      </c>
      <c r="AK212" s="2">
        <v>3585824.27984794</v>
      </c>
      <c r="AL212" s="2">
        <v>3708809.6660528202</v>
      </c>
      <c r="AM212" s="2">
        <v>3676204.14309842</v>
      </c>
      <c r="AN212" s="2">
        <v>3597352.7528483998</v>
      </c>
      <c r="AO212" s="2">
        <v>3767959.9444019799</v>
      </c>
      <c r="AP212" s="2">
        <v>3805608.47755657</v>
      </c>
    </row>
    <row r="213" spans="1:42" ht="14.5" x14ac:dyDescent="0.35">
      <c r="A213" s="2" t="s">
        <v>1554</v>
      </c>
      <c r="B213" s="2">
        <v>826.49947420794297</v>
      </c>
      <c r="C213" s="2">
        <v>5.6059000000000001</v>
      </c>
      <c r="D213" s="2" t="s">
        <v>34</v>
      </c>
      <c r="E213" s="2" t="s">
        <v>1555</v>
      </c>
      <c r="F213" s="2">
        <v>219353</v>
      </c>
      <c r="G213" s="3" t="str">
        <f>HYPERLINK("http://funmeta.oebiotech.com/network/219353", "http://funmeta.oebiotech.com/network/219353")</f>
        <v>http://funmeta.oebiotech.com/network/219353</v>
      </c>
      <c r="H213" s="2" t="s">
        <v>1556</v>
      </c>
      <c r="I213" s="2"/>
      <c r="J213" s="2"/>
      <c r="K213" s="2"/>
      <c r="L213" s="2"/>
      <c r="M213" s="2"/>
      <c r="N213" s="2"/>
      <c r="O213" s="2"/>
      <c r="P213" s="2"/>
      <c r="Q213" s="2" t="s">
        <v>1557</v>
      </c>
      <c r="R213" s="2" t="s">
        <v>1558</v>
      </c>
      <c r="S213" s="2" t="s">
        <v>41</v>
      </c>
      <c r="T213" s="2" t="s">
        <v>41</v>
      </c>
      <c r="U213" s="2" t="s">
        <v>41</v>
      </c>
      <c r="V213" s="2" t="s">
        <v>59</v>
      </c>
      <c r="W213" s="2">
        <v>36.799999999999997</v>
      </c>
      <c r="X213" s="2">
        <v>5.47</v>
      </c>
      <c r="Y213" s="2" t="s">
        <v>470</v>
      </c>
      <c r="Z213" s="2" t="s">
        <v>1559</v>
      </c>
      <c r="AA213" s="2">
        <v>-2.8099332936132599</v>
      </c>
      <c r="AB213" s="2">
        <v>2.0846164862051499</v>
      </c>
      <c r="AC213" s="2">
        <v>1285190.1280203301</v>
      </c>
      <c r="AD213" s="2">
        <v>982976.72433453298</v>
      </c>
      <c r="AE213" s="2">
        <v>1354691.00539371</v>
      </c>
      <c r="AF213" s="2">
        <v>1318798.2901028299</v>
      </c>
      <c r="AG213" s="2">
        <v>1236178.13124812</v>
      </c>
      <c r="AH213" s="2">
        <v>1304954.0299921499</v>
      </c>
      <c r="AI213" s="2">
        <v>1231875.7800964101</v>
      </c>
      <c r="AJ213" s="2">
        <v>1264643.53128876</v>
      </c>
      <c r="AK213" s="2">
        <v>943758.82392631005</v>
      </c>
      <c r="AL213" s="2">
        <v>872238.09165364096</v>
      </c>
      <c r="AM213" s="2">
        <v>1051855.29542743</v>
      </c>
      <c r="AN213" s="2">
        <v>1007598.14081357</v>
      </c>
      <c r="AO213" s="2">
        <v>990292.19547532802</v>
      </c>
      <c r="AP213" s="2">
        <v>1032117.79871092</v>
      </c>
    </row>
    <row r="214" spans="1:42" ht="14.5" x14ac:dyDescent="0.35">
      <c r="A214" s="2" t="s">
        <v>1560</v>
      </c>
      <c r="B214" s="2">
        <v>687.21394435049501</v>
      </c>
      <c r="C214" s="2">
        <v>4.0250666666666701</v>
      </c>
      <c r="D214" s="2" t="s">
        <v>70</v>
      </c>
      <c r="E214" s="2" t="s">
        <v>1561</v>
      </c>
      <c r="F214" s="2">
        <v>210287</v>
      </c>
      <c r="G214" s="3" t="str">
        <f>HYPERLINK("http://funmeta.oebiotech.com/network/210287", "http://funmeta.oebiotech.com/network/210287")</f>
        <v>http://funmeta.oebiotech.com/network/210287</v>
      </c>
      <c r="H214" s="2" t="s">
        <v>1562</v>
      </c>
      <c r="I214" s="2"/>
      <c r="J214" s="2"/>
      <c r="K214" s="2"/>
      <c r="L214" s="2"/>
      <c r="M214" s="2"/>
      <c r="N214" s="2"/>
      <c r="O214" s="2"/>
      <c r="P214" s="2"/>
      <c r="Q214" s="2" t="s">
        <v>1563</v>
      </c>
      <c r="R214" s="2" t="s">
        <v>1564</v>
      </c>
      <c r="S214" s="2" t="s">
        <v>41</v>
      </c>
      <c r="T214" s="2" t="s">
        <v>41</v>
      </c>
      <c r="U214" s="2" t="s">
        <v>41</v>
      </c>
      <c r="V214" s="2" t="s">
        <v>42</v>
      </c>
      <c r="W214" s="2">
        <v>55.3</v>
      </c>
      <c r="X214" s="2">
        <v>80.2</v>
      </c>
      <c r="Y214" s="2" t="s">
        <v>751</v>
      </c>
      <c r="Z214" s="2" t="s">
        <v>1565</v>
      </c>
      <c r="AA214" s="2">
        <v>-0.34499721686421297</v>
      </c>
      <c r="AB214" s="2">
        <v>2.08431123856887</v>
      </c>
      <c r="AC214" s="2">
        <v>617176.95178218698</v>
      </c>
      <c r="AD214" s="2">
        <v>329875.79635240498</v>
      </c>
      <c r="AE214" s="2">
        <v>588549.92365320795</v>
      </c>
      <c r="AF214" s="2">
        <v>620253.33677734004</v>
      </c>
      <c r="AG214" s="2">
        <v>616885.62451637699</v>
      </c>
      <c r="AH214" s="2">
        <v>646526.13899480202</v>
      </c>
      <c r="AI214" s="2">
        <v>593675.23520006496</v>
      </c>
      <c r="AJ214" s="2">
        <v>637171.45155132702</v>
      </c>
      <c r="AK214" s="2">
        <v>320643.35828230402</v>
      </c>
      <c r="AL214" s="2">
        <v>323732.50744301901</v>
      </c>
      <c r="AM214" s="2">
        <v>362608.56166194502</v>
      </c>
      <c r="AN214" s="2">
        <v>316482.161105429</v>
      </c>
      <c r="AO214" s="2">
        <v>318538.73895402002</v>
      </c>
      <c r="AP214" s="2">
        <v>337249.45066770999</v>
      </c>
    </row>
    <row r="215" spans="1:42" ht="14.5" x14ac:dyDescent="0.35">
      <c r="A215" s="2" t="s">
        <v>1566</v>
      </c>
      <c r="B215" s="2">
        <v>675.38752920351499</v>
      </c>
      <c r="C215" s="2">
        <v>5.2660166666666699</v>
      </c>
      <c r="D215" s="2" t="s">
        <v>34</v>
      </c>
      <c r="E215" s="2" t="s">
        <v>1567</v>
      </c>
      <c r="F215" s="2">
        <v>62722</v>
      </c>
      <c r="G215" s="3" t="str">
        <f>HYPERLINK("http://funmeta.oebiotech.com/network/62722", "http://funmeta.oebiotech.com/network/62722")</f>
        <v>http://funmeta.oebiotech.com/network/62722</v>
      </c>
      <c r="H215" s="2" t="s">
        <v>1568</v>
      </c>
      <c r="I215" s="2"/>
      <c r="J215" s="2"/>
      <c r="K215" s="2"/>
      <c r="L215" s="2"/>
      <c r="M215" s="2"/>
      <c r="N215" s="2"/>
      <c r="O215" s="2">
        <v>85193319</v>
      </c>
      <c r="P215" s="2" t="s">
        <v>1569</v>
      </c>
      <c r="Q215" s="2" t="s">
        <v>1570</v>
      </c>
      <c r="R215" s="2" t="s">
        <v>1571</v>
      </c>
      <c r="S215" s="2" t="s">
        <v>50</v>
      </c>
      <c r="T215" s="2" t="s">
        <v>201</v>
      </c>
      <c r="U215" s="2" t="s">
        <v>210</v>
      </c>
      <c r="V215" s="2" t="s">
        <v>59</v>
      </c>
      <c r="W215" s="2">
        <v>36.5</v>
      </c>
      <c r="X215" s="2">
        <v>18.7</v>
      </c>
      <c r="Y215" s="2" t="s">
        <v>340</v>
      </c>
      <c r="Z215" s="2" t="s">
        <v>1572</v>
      </c>
      <c r="AA215" s="2">
        <v>1.00188481524608</v>
      </c>
      <c r="AB215" s="2">
        <v>2.0769093296463099</v>
      </c>
      <c r="AC215" s="2">
        <v>2087444.9246791599</v>
      </c>
      <c r="AD215" s="2">
        <v>1774858.3084575101</v>
      </c>
      <c r="AE215" s="2">
        <v>2092968.47186402</v>
      </c>
      <c r="AF215" s="2">
        <v>2124475.9908566601</v>
      </c>
      <c r="AG215" s="2">
        <v>2081276.72216505</v>
      </c>
      <c r="AH215" s="2">
        <v>2188539.58229094</v>
      </c>
      <c r="AI215" s="2">
        <v>2118406.1497150399</v>
      </c>
      <c r="AJ215" s="2">
        <v>1919002.6311832301</v>
      </c>
      <c r="AK215" s="2">
        <v>1728629.40298694</v>
      </c>
      <c r="AL215" s="2">
        <v>1747114.8565504299</v>
      </c>
      <c r="AM215" s="2">
        <v>1860417.3967778799</v>
      </c>
      <c r="AN215" s="2">
        <v>1683342.5519149599</v>
      </c>
      <c r="AO215" s="2">
        <v>1834105.43029492</v>
      </c>
      <c r="AP215" s="2">
        <v>1795540.2122199601</v>
      </c>
    </row>
    <row r="216" spans="1:42" ht="14.5" x14ac:dyDescent="0.35">
      <c r="A216" s="2" t="s">
        <v>1573</v>
      </c>
      <c r="B216" s="2">
        <v>379.12063243160998</v>
      </c>
      <c r="C216" s="2">
        <v>0.73473333333333302</v>
      </c>
      <c r="D216" s="2" t="s">
        <v>34</v>
      </c>
      <c r="E216" s="2" t="s">
        <v>1574</v>
      </c>
      <c r="F216" s="2">
        <v>207140</v>
      </c>
      <c r="G216" s="3" t="str">
        <f>HYPERLINK("http://funmeta.oebiotech.com/network/207140", "http://funmeta.oebiotech.com/network/207140")</f>
        <v>http://funmeta.oebiotech.com/network/207140</v>
      </c>
      <c r="H216" s="2" t="s">
        <v>1575</v>
      </c>
      <c r="I216" s="2"/>
      <c r="J216" s="2"/>
      <c r="K216" s="2"/>
      <c r="L216" s="2"/>
      <c r="M216" s="2"/>
      <c r="N216" s="2"/>
      <c r="O216" s="2">
        <v>3600220</v>
      </c>
      <c r="P216" s="2"/>
      <c r="Q216" s="2" t="s">
        <v>1576</v>
      </c>
      <c r="R216" s="2" t="s">
        <v>1577</v>
      </c>
      <c r="S216" s="2" t="s">
        <v>79</v>
      </c>
      <c r="T216" s="2" t="s">
        <v>80</v>
      </c>
      <c r="U216" s="2" t="s">
        <v>81</v>
      </c>
      <c r="V216" s="2" t="s">
        <v>59</v>
      </c>
      <c r="W216" s="2">
        <v>40.799999999999997</v>
      </c>
      <c r="X216" s="2">
        <v>9.2899999999999991</v>
      </c>
      <c r="Y216" s="2" t="s">
        <v>250</v>
      </c>
      <c r="Z216" s="2" t="s">
        <v>1578</v>
      </c>
      <c r="AA216" s="2">
        <v>-1.2631086352405001</v>
      </c>
      <c r="AB216" s="2">
        <v>2.0592924726003101</v>
      </c>
      <c r="AC216" s="2">
        <v>1586242.54771846</v>
      </c>
      <c r="AD216" s="2">
        <v>1907974.52781112</v>
      </c>
      <c r="AE216" s="2">
        <v>1579745.37962911</v>
      </c>
      <c r="AF216" s="2">
        <v>1605830.93653334</v>
      </c>
      <c r="AG216" s="2">
        <v>1639304.33350837</v>
      </c>
      <c r="AH216" s="2">
        <v>1464450.1329002499</v>
      </c>
      <c r="AI216" s="2">
        <v>1690988.2852048101</v>
      </c>
      <c r="AJ216" s="2">
        <v>1537136.2185348901</v>
      </c>
      <c r="AK216" s="2">
        <v>1899328.6414018699</v>
      </c>
      <c r="AL216" s="2">
        <v>1908158.46998135</v>
      </c>
      <c r="AM216" s="2">
        <v>2035621.4092723201</v>
      </c>
      <c r="AN216" s="2">
        <v>1801741.2792644401</v>
      </c>
      <c r="AO216" s="2">
        <v>2056974.39066533</v>
      </c>
      <c r="AP216" s="2">
        <v>1746022.9762814301</v>
      </c>
    </row>
    <row r="217" spans="1:42" ht="14.5" x14ac:dyDescent="0.35">
      <c r="A217" s="2" t="s">
        <v>1579</v>
      </c>
      <c r="B217" s="2">
        <v>690.36181567562301</v>
      </c>
      <c r="C217" s="2">
        <v>7.5899333333333301</v>
      </c>
      <c r="D217" s="2" t="s">
        <v>34</v>
      </c>
      <c r="E217" s="2" t="s">
        <v>1580</v>
      </c>
      <c r="F217" s="2">
        <v>27948</v>
      </c>
      <c r="G217" s="3" t="str">
        <f>HYPERLINK("http://funmeta.oebiotech.com/network/27948", "http://funmeta.oebiotech.com/network/27948")</f>
        <v>http://funmeta.oebiotech.com/network/27948</v>
      </c>
      <c r="H217" s="2"/>
      <c r="I217" s="2"/>
      <c r="J217" s="2" t="s">
        <v>1581</v>
      </c>
      <c r="K217" s="2"/>
      <c r="L217" s="2"/>
      <c r="M217" s="2"/>
      <c r="N217" s="2"/>
      <c r="O217" s="2">
        <v>134812395</v>
      </c>
      <c r="P217" s="2"/>
      <c r="Q217" s="2" t="s">
        <v>1582</v>
      </c>
      <c r="R217" s="2" t="s">
        <v>1583</v>
      </c>
      <c r="S217" s="2" t="s">
        <v>50</v>
      </c>
      <c r="T217" s="2" t="s">
        <v>51</v>
      </c>
      <c r="U217" s="2" t="s">
        <v>66</v>
      </c>
      <c r="V217" s="2" t="s">
        <v>59</v>
      </c>
      <c r="W217" s="2">
        <v>43.5</v>
      </c>
      <c r="X217" s="2">
        <v>28.3</v>
      </c>
      <c r="Y217" s="2" t="s">
        <v>323</v>
      </c>
      <c r="Z217" s="2" t="s">
        <v>1584</v>
      </c>
      <c r="AA217" s="2">
        <v>4.3934661793003702</v>
      </c>
      <c r="AB217" s="2">
        <v>2.0565622060869302</v>
      </c>
      <c r="AC217" s="2">
        <v>225013.88205297399</v>
      </c>
      <c r="AD217" s="2">
        <v>504041.51275361702</v>
      </c>
      <c r="AE217" s="2">
        <v>245329.91406939999</v>
      </c>
      <c r="AF217" s="2">
        <v>212097.044643189</v>
      </c>
      <c r="AG217" s="2">
        <v>230282.68763095399</v>
      </c>
      <c r="AH217" s="2">
        <v>198414.566642958</v>
      </c>
      <c r="AI217" s="2">
        <v>237398.49264266301</v>
      </c>
      <c r="AJ217" s="2">
        <v>226560.58668867801</v>
      </c>
      <c r="AK217" s="2">
        <v>477574.98863546801</v>
      </c>
      <c r="AL217" s="2">
        <v>495176.161603891</v>
      </c>
      <c r="AM217" s="2">
        <v>510922.78520137898</v>
      </c>
      <c r="AN217" s="2">
        <v>531573.69858405599</v>
      </c>
      <c r="AO217" s="2">
        <v>510756.84083031799</v>
      </c>
      <c r="AP217" s="2">
        <v>498244.60166658799</v>
      </c>
    </row>
    <row r="218" spans="1:42" ht="14.5" x14ac:dyDescent="0.35">
      <c r="A218" s="2" t="s">
        <v>1585</v>
      </c>
      <c r="B218" s="2">
        <v>273.14811425698002</v>
      </c>
      <c r="C218" s="2">
        <v>5.6059000000000001</v>
      </c>
      <c r="D218" s="2" t="s">
        <v>34</v>
      </c>
      <c r="E218" s="2" t="s">
        <v>1586</v>
      </c>
      <c r="F218" s="2">
        <v>82286</v>
      </c>
      <c r="G218" s="3" t="str">
        <f>HYPERLINK("http://funmeta.oebiotech.com/network/82286", "http://funmeta.oebiotech.com/network/82286")</f>
        <v>http://funmeta.oebiotech.com/network/82286</v>
      </c>
      <c r="H218" s="2" t="s">
        <v>1587</v>
      </c>
      <c r="I218" s="2"/>
      <c r="J218" s="2"/>
      <c r="K218" s="2"/>
      <c r="L218" s="2" t="s">
        <v>1588</v>
      </c>
      <c r="M218" s="2" t="s">
        <v>1589</v>
      </c>
      <c r="N218" s="2" t="s">
        <v>1590</v>
      </c>
      <c r="O218" s="2">
        <v>46173940</v>
      </c>
      <c r="P218" s="2"/>
      <c r="Q218" s="2" t="s">
        <v>1591</v>
      </c>
      <c r="R218" s="2" t="s">
        <v>1592</v>
      </c>
      <c r="S218" s="2" t="s">
        <v>148</v>
      </c>
      <c r="T218" s="2" t="s">
        <v>149</v>
      </c>
      <c r="U218" s="2" t="s">
        <v>1593</v>
      </c>
      <c r="V218" s="2" t="s">
        <v>59</v>
      </c>
      <c r="W218" s="2">
        <v>46.1</v>
      </c>
      <c r="X218" s="2">
        <v>35</v>
      </c>
      <c r="Y218" s="2" t="s">
        <v>141</v>
      </c>
      <c r="Z218" s="2" t="s">
        <v>1594</v>
      </c>
      <c r="AA218" s="2">
        <v>-1.40160008248324</v>
      </c>
      <c r="AB218" s="2">
        <v>2.0508752546842999</v>
      </c>
      <c r="AC218" s="2">
        <v>1085674.0018983199</v>
      </c>
      <c r="AD218" s="2">
        <v>1387538.9190833501</v>
      </c>
      <c r="AE218" s="2">
        <v>1118197.99843069</v>
      </c>
      <c r="AF218" s="2">
        <v>1049060.87334485</v>
      </c>
      <c r="AG218" s="2">
        <v>1150966.6204200001</v>
      </c>
      <c r="AH218" s="2">
        <v>1033519.18429479</v>
      </c>
      <c r="AI218" s="2">
        <v>995652.26388773695</v>
      </c>
      <c r="AJ218" s="2">
        <v>1166647.0710118499</v>
      </c>
      <c r="AK218" s="2">
        <v>1378054.5778544501</v>
      </c>
      <c r="AL218" s="2">
        <v>1400671.92846352</v>
      </c>
      <c r="AM218" s="2">
        <v>1491037.2015009699</v>
      </c>
      <c r="AN218" s="2">
        <v>1440839.6308649301</v>
      </c>
      <c r="AO218" s="2">
        <v>1286095.8145163199</v>
      </c>
      <c r="AP218" s="2">
        <v>1328534.3612999099</v>
      </c>
    </row>
    <row r="219" spans="1:42" ht="14.5" x14ac:dyDescent="0.35">
      <c r="A219" s="2" t="s">
        <v>1595</v>
      </c>
      <c r="B219" s="2">
        <v>1015.59672387142</v>
      </c>
      <c r="C219" s="2">
        <v>11.0825666666667</v>
      </c>
      <c r="D219" s="2" t="s">
        <v>34</v>
      </c>
      <c r="E219" s="2" t="s">
        <v>1596</v>
      </c>
      <c r="F219" s="2">
        <v>205869</v>
      </c>
      <c r="G219" s="3" t="str">
        <f>HYPERLINK("http://funmeta.oebiotech.com/network/205869", "http://funmeta.oebiotech.com/network/205869")</f>
        <v>http://funmeta.oebiotech.com/network/205869</v>
      </c>
      <c r="H219" s="2" t="s">
        <v>1597</v>
      </c>
      <c r="I219" s="2"/>
      <c r="J219" s="2"/>
      <c r="K219" s="2"/>
      <c r="L219" s="2"/>
      <c r="M219" s="2"/>
      <c r="N219" s="2"/>
      <c r="O219" s="2"/>
      <c r="P219" s="2"/>
      <c r="Q219" s="2" t="s">
        <v>1598</v>
      </c>
      <c r="R219" s="2" t="s">
        <v>1599</v>
      </c>
      <c r="S219" s="2" t="s">
        <v>89</v>
      </c>
      <c r="T219" s="2" t="s">
        <v>1600</v>
      </c>
      <c r="U219" s="2" t="s">
        <v>1601</v>
      </c>
      <c r="V219" s="2" t="s">
        <v>59</v>
      </c>
      <c r="W219" s="2">
        <v>36.6</v>
      </c>
      <c r="X219" s="2">
        <v>0</v>
      </c>
      <c r="Y219" s="2" t="s">
        <v>67</v>
      </c>
      <c r="Z219" s="2" t="s">
        <v>1602</v>
      </c>
      <c r="AA219" s="2">
        <v>0.53825449678554904</v>
      </c>
      <c r="AB219" s="2">
        <v>2.0486118453642099</v>
      </c>
      <c r="AC219" s="2">
        <v>2257.0021831600902</v>
      </c>
      <c r="AD219" s="2">
        <v>279907.96200525801</v>
      </c>
      <c r="AE219" s="2">
        <v>1565.60518319467</v>
      </c>
      <c r="AF219" s="2">
        <v>1976.11548893639</v>
      </c>
      <c r="AG219" s="2">
        <v>3844.8396010152201</v>
      </c>
      <c r="AH219" s="2">
        <v>1799.1421562801499</v>
      </c>
      <c r="AI219" s="2">
        <v>1272.46908864993</v>
      </c>
      <c r="AJ219" s="2">
        <v>3083.8415808841701</v>
      </c>
      <c r="AK219" s="2">
        <v>285835.78495178901</v>
      </c>
      <c r="AL219" s="2">
        <v>251687.443431052</v>
      </c>
      <c r="AM219" s="2">
        <v>328495.63302277197</v>
      </c>
      <c r="AN219" s="2">
        <v>271000.430648832</v>
      </c>
      <c r="AO219" s="2">
        <v>253500.95453605399</v>
      </c>
      <c r="AP219" s="2">
        <v>288927.52544105198</v>
      </c>
    </row>
    <row r="220" spans="1:42" ht="14.5" x14ac:dyDescent="0.35">
      <c r="A220" s="2" t="s">
        <v>1603</v>
      </c>
      <c r="B220" s="2">
        <v>527.29730584330002</v>
      </c>
      <c r="C220" s="2">
        <v>11.6407166666667</v>
      </c>
      <c r="D220" s="2" t="s">
        <v>34</v>
      </c>
      <c r="E220" s="2" t="s">
        <v>1604</v>
      </c>
      <c r="F220" s="2">
        <v>57909</v>
      </c>
      <c r="G220" s="3" t="str">
        <f>HYPERLINK("http://funmeta.oebiotech.com/network/57909", "http://funmeta.oebiotech.com/network/57909")</f>
        <v>http://funmeta.oebiotech.com/network/57909</v>
      </c>
      <c r="H220" s="2" t="s">
        <v>1605</v>
      </c>
      <c r="I220" s="2">
        <v>89489</v>
      </c>
      <c r="J220" s="2"/>
      <c r="K220" s="2"/>
      <c r="L220" s="2"/>
      <c r="M220" s="2"/>
      <c r="N220" s="2"/>
      <c r="O220" s="2">
        <v>15559187</v>
      </c>
      <c r="P220" s="2" t="s">
        <v>1606</v>
      </c>
      <c r="Q220" s="2" t="s">
        <v>1607</v>
      </c>
      <c r="R220" s="2" t="s">
        <v>1608</v>
      </c>
      <c r="S220" s="2" t="s">
        <v>50</v>
      </c>
      <c r="T220" s="2" t="s">
        <v>124</v>
      </c>
      <c r="U220" s="2" t="s">
        <v>567</v>
      </c>
      <c r="V220" s="2" t="s">
        <v>42</v>
      </c>
      <c r="W220" s="2">
        <v>50.1</v>
      </c>
      <c r="X220" s="2">
        <v>54.7</v>
      </c>
      <c r="Y220" s="2" t="s">
        <v>250</v>
      </c>
      <c r="Z220" s="2" t="s">
        <v>1609</v>
      </c>
      <c r="AA220" s="2">
        <v>-1.2265992951050999</v>
      </c>
      <c r="AB220" s="2">
        <v>2.0463203175481501</v>
      </c>
      <c r="AC220" s="2">
        <v>341775.00081974099</v>
      </c>
      <c r="AD220" s="2">
        <v>65696.339310867595</v>
      </c>
      <c r="AE220" s="2">
        <v>331646.40779752698</v>
      </c>
      <c r="AF220" s="2">
        <v>376247.99985248997</v>
      </c>
      <c r="AG220" s="2">
        <v>332013.34150737</v>
      </c>
      <c r="AH220" s="2">
        <v>315762.10741936299</v>
      </c>
      <c r="AI220" s="2">
        <v>341475.81471913599</v>
      </c>
      <c r="AJ220" s="2">
        <v>353504.33362256101</v>
      </c>
      <c r="AK220" s="2">
        <v>63467.266100355402</v>
      </c>
      <c r="AL220" s="2">
        <v>77131.011336517302</v>
      </c>
      <c r="AM220" s="2">
        <v>60196.613929397397</v>
      </c>
      <c r="AN220" s="2">
        <v>62078.057861554997</v>
      </c>
      <c r="AO220" s="2">
        <v>70623.029510392793</v>
      </c>
      <c r="AP220" s="2">
        <v>60682.0571269879</v>
      </c>
    </row>
    <row r="221" spans="1:42" ht="14.5" x14ac:dyDescent="0.35">
      <c r="A221" s="2" t="s">
        <v>1610</v>
      </c>
      <c r="B221" s="2">
        <v>459.31013136994</v>
      </c>
      <c r="C221" s="2">
        <v>5.01</v>
      </c>
      <c r="D221" s="2" t="s">
        <v>34</v>
      </c>
      <c r="E221" s="2" t="s">
        <v>1611</v>
      </c>
      <c r="F221" s="2">
        <v>61873</v>
      </c>
      <c r="G221" s="3" t="str">
        <f>HYPERLINK("http://funmeta.oebiotech.com/network/61873", "http://funmeta.oebiotech.com/network/61873")</f>
        <v>http://funmeta.oebiotech.com/network/61873</v>
      </c>
      <c r="H221" s="2" t="s">
        <v>1612</v>
      </c>
      <c r="I221" s="2"/>
      <c r="J221" s="2"/>
      <c r="K221" s="2"/>
      <c r="L221" s="2"/>
      <c r="M221" s="2"/>
      <c r="N221" s="2"/>
      <c r="O221" s="2">
        <v>72746742</v>
      </c>
      <c r="P221" s="2" t="s">
        <v>1613</v>
      </c>
      <c r="Q221" s="2" t="s">
        <v>1614</v>
      </c>
      <c r="R221" s="2" t="s">
        <v>1615</v>
      </c>
      <c r="S221" s="2" t="s">
        <v>50</v>
      </c>
      <c r="T221" s="2" t="s">
        <v>124</v>
      </c>
      <c r="U221" s="2" t="s">
        <v>125</v>
      </c>
      <c r="V221" s="2" t="s">
        <v>42</v>
      </c>
      <c r="W221" s="2">
        <v>53.7</v>
      </c>
      <c r="X221" s="2">
        <v>71.900000000000006</v>
      </c>
      <c r="Y221" s="2" t="s">
        <v>266</v>
      </c>
      <c r="Z221" s="2" t="s">
        <v>1616</v>
      </c>
      <c r="AA221" s="2">
        <v>-0.77576695994262601</v>
      </c>
      <c r="AB221" s="2">
        <v>2.0444913837918799</v>
      </c>
      <c r="AC221" s="2">
        <v>1457214.0615730099</v>
      </c>
      <c r="AD221" s="2">
        <v>1737203.27076515</v>
      </c>
      <c r="AE221" s="2">
        <v>1447093.0539890199</v>
      </c>
      <c r="AF221" s="2">
        <v>1497289.9579471101</v>
      </c>
      <c r="AG221" s="2">
        <v>1498346.29328211</v>
      </c>
      <c r="AH221" s="2">
        <v>1434136.9085598099</v>
      </c>
      <c r="AI221" s="2">
        <v>1459414.8969803301</v>
      </c>
      <c r="AJ221" s="2">
        <v>1407003.2586797001</v>
      </c>
      <c r="AK221" s="2">
        <v>1690268.83788717</v>
      </c>
      <c r="AL221" s="2">
        <v>1750359.2815534801</v>
      </c>
      <c r="AM221" s="2">
        <v>1730362.8715285701</v>
      </c>
      <c r="AN221" s="2">
        <v>1754925.5385752399</v>
      </c>
      <c r="AO221" s="2">
        <v>1758476.86903284</v>
      </c>
      <c r="AP221" s="2">
        <v>1738826.2260136099</v>
      </c>
    </row>
    <row r="222" spans="1:42" ht="14.5" x14ac:dyDescent="0.35">
      <c r="A222" s="2" t="s">
        <v>1617</v>
      </c>
      <c r="B222" s="2">
        <v>829.43939477398703</v>
      </c>
      <c r="C222" s="2">
        <v>4.9946333333333301</v>
      </c>
      <c r="D222" s="2" t="s">
        <v>34</v>
      </c>
      <c r="E222" s="2" t="s">
        <v>1618</v>
      </c>
      <c r="F222" s="2">
        <v>204683</v>
      </c>
      <c r="G222" s="3" t="str">
        <f>HYPERLINK("http://funmeta.oebiotech.com/network/204683", "http://funmeta.oebiotech.com/network/204683")</f>
        <v>http://funmeta.oebiotech.com/network/204683</v>
      </c>
      <c r="H222" s="2" t="s">
        <v>1619</v>
      </c>
      <c r="I222" s="2"/>
      <c r="J222" s="2"/>
      <c r="K222" s="2"/>
      <c r="L222" s="2"/>
      <c r="M222" s="2"/>
      <c r="N222" s="2"/>
      <c r="O222" s="2">
        <v>4327536</v>
      </c>
      <c r="P222" s="2"/>
      <c r="Q222" s="2" t="s">
        <v>1620</v>
      </c>
      <c r="R222" s="2" t="s">
        <v>1621</v>
      </c>
      <c r="S222" s="2" t="s">
        <v>79</v>
      </c>
      <c r="T222" s="2" t="s">
        <v>80</v>
      </c>
      <c r="U222" s="2" t="s">
        <v>81</v>
      </c>
      <c r="V222" s="2" t="s">
        <v>42</v>
      </c>
      <c r="W222" s="2">
        <v>50.3</v>
      </c>
      <c r="X222" s="2">
        <v>54.8</v>
      </c>
      <c r="Y222" s="2" t="s">
        <v>376</v>
      </c>
      <c r="Z222" s="2" t="s">
        <v>1622</v>
      </c>
      <c r="AA222" s="2">
        <v>-1.18534467446303</v>
      </c>
      <c r="AB222" s="2">
        <v>2.04345896403255</v>
      </c>
      <c r="AC222" s="2">
        <v>1822942.0874997701</v>
      </c>
      <c r="AD222" s="2">
        <v>2131819.4124133601</v>
      </c>
      <c r="AE222" s="2">
        <v>1816428.58667466</v>
      </c>
      <c r="AF222" s="2">
        <v>1853457.58651854</v>
      </c>
      <c r="AG222" s="2">
        <v>1785351.4788949499</v>
      </c>
      <c r="AH222" s="2">
        <v>1929950.8290568399</v>
      </c>
      <c r="AI222" s="2">
        <v>1864580.73555945</v>
      </c>
      <c r="AJ222" s="2">
        <v>1687883.3082941701</v>
      </c>
      <c r="AK222" s="2">
        <v>2016240.22286689</v>
      </c>
      <c r="AL222" s="2">
        <v>2042960.5182269099</v>
      </c>
      <c r="AM222" s="2">
        <v>2286787.3995499099</v>
      </c>
      <c r="AN222" s="2">
        <v>2119363.2930792999</v>
      </c>
      <c r="AO222" s="2">
        <v>2166081.6247302499</v>
      </c>
      <c r="AP222" s="2">
        <v>2159483.41602688</v>
      </c>
    </row>
    <row r="223" spans="1:42" ht="14.5" x14ac:dyDescent="0.35">
      <c r="A223" s="2" t="s">
        <v>1623</v>
      </c>
      <c r="B223" s="2">
        <v>1013.50954505996</v>
      </c>
      <c r="C223" s="2">
        <v>10.6966</v>
      </c>
      <c r="D223" s="2" t="s">
        <v>70</v>
      </c>
      <c r="E223" s="2" t="s">
        <v>1624</v>
      </c>
      <c r="F223" s="2">
        <v>22446</v>
      </c>
      <c r="G223" s="3" t="str">
        <f>HYPERLINK("http://funmeta.oebiotech.com/network/22446", "http://funmeta.oebiotech.com/network/22446")</f>
        <v>http://funmeta.oebiotech.com/network/22446</v>
      </c>
      <c r="H223" s="2"/>
      <c r="I223" s="2">
        <v>78843</v>
      </c>
      <c r="J223" s="2" t="s">
        <v>1625</v>
      </c>
      <c r="K223" s="2"/>
      <c r="L223" s="2"/>
      <c r="M223" s="2"/>
      <c r="N223" s="2"/>
      <c r="O223" s="2">
        <v>52926284</v>
      </c>
      <c r="P223" s="2"/>
      <c r="Q223" s="2" t="s">
        <v>1626</v>
      </c>
      <c r="R223" s="2" t="s">
        <v>1627</v>
      </c>
      <c r="S223" s="2" t="s">
        <v>50</v>
      </c>
      <c r="T223" s="2" t="s">
        <v>51</v>
      </c>
      <c r="U223" s="2" t="s">
        <v>66</v>
      </c>
      <c r="V223" s="2" t="s">
        <v>42</v>
      </c>
      <c r="W223" s="2">
        <v>44.2</v>
      </c>
      <c r="X223" s="2">
        <v>45.6</v>
      </c>
      <c r="Y223" s="2" t="s">
        <v>560</v>
      </c>
      <c r="Z223" s="2" t="s">
        <v>1628</v>
      </c>
      <c r="AA223" s="2">
        <v>-2.5781897356157102</v>
      </c>
      <c r="AB223" s="2">
        <v>2.0296643611396399</v>
      </c>
      <c r="AC223" s="2">
        <v>112091.286204704</v>
      </c>
      <c r="AD223" s="2">
        <v>384369.13787712599</v>
      </c>
      <c r="AE223" s="2">
        <v>117310.262855022</v>
      </c>
      <c r="AF223" s="2">
        <v>106828.824821986</v>
      </c>
      <c r="AG223" s="2">
        <v>106320.808140701</v>
      </c>
      <c r="AH223" s="2">
        <v>117818.559781919</v>
      </c>
      <c r="AI223" s="2">
        <v>109089.103428441</v>
      </c>
      <c r="AJ223" s="2">
        <v>115180.158200155</v>
      </c>
      <c r="AK223" s="2">
        <v>349172.086381267</v>
      </c>
      <c r="AL223" s="2">
        <v>357467.82593709597</v>
      </c>
      <c r="AM223" s="2">
        <v>397534.73930115101</v>
      </c>
      <c r="AN223" s="2">
        <v>411808.30138946202</v>
      </c>
      <c r="AO223" s="2">
        <v>379567.96397603501</v>
      </c>
      <c r="AP223" s="2">
        <v>410663.910277744</v>
      </c>
    </row>
    <row r="224" spans="1:42" ht="14.5" x14ac:dyDescent="0.35">
      <c r="A224" s="2" t="s">
        <v>1629</v>
      </c>
      <c r="B224" s="2">
        <v>833.53630861409397</v>
      </c>
      <c r="C224" s="2">
        <v>13.753083333333301</v>
      </c>
      <c r="D224" s="2" t="s">
        <v>34</v>
      </c>
      <c r="E224" s="2" t="s">
        <v>1630</v>
      </c>
      <c r="F224" s="2">
        <v>37224</v>
      </c>
      <c r="G224" s="3" t="str">
        <f>HYPERLINK("http://funmeta.oebiotech.com/network/37224", "http://funmeta.oebiotech.com/network/37224")</f>
        <v>http://funmeta.oebiotech.com/network/37224</v>
      </c>
      <c r="H224" s="2"/>
      <c r="I224" s="2"/>
      <c r="J224" s="2" t="s">
        <v>1631</v>
      </c>
      <c r="K224" s="2"/>
      <c r="L224" s="2"/>
      <c r="M224" s="2"/>
      <c r="N224" s="2"/>
      <c r="O224" s="2">
        <v>132522595</v>
      </c>
      <c r="P224" s="2"/>
      <c r="Q224" s="2" t="s">
        <v>1632</v>
      </c>
      <c r="R224" s="2" t="s">
        <v>1633</v>
      </c>
      <c r="S224" s="2" t="s">
        <v>50</v>
      </c>
      <c r="T224" s="2" t="s">
        <v>201</v>
      </c>
      <c r="U224" s="2" t="s">
        <v>1634</v>
      </c>
      <c r="V224" s="2" t="s">
        <v>59</v>
      </c>
      <c r="W224" s="2">
        <v>43.3</v>
      </c>
      <c r="X224" s="2">
        <v>33.799999999999997</v>
      </c>
      <c r="Y224" s="2" t="s">
        <v>470</v>
      </c>
      <c r="Z224" s="2" t="s">
        <v>1635</v>
      </c>
      <c r="AA224" s="2">
        <v>4.4824543008582101</v>
      </c>
      <c r="AB224" s="2">
        <v>2.0224694654012798</v>
      </c>
      <c r="AC224" s="2">
        <v>292521.62277606199</v>
      </c>
      <c r="AD224" s="2">
        <v>572431.55748504703</v>
      </c>
      <c r="AE224" s="2">
        <v>249885.20836927899</v>
      </c>
      <c r="AF224" s="2">
        <v>267913.35681447701</v>
      </c>
      <c r="AG224" s="2">
        <v>308572.20095140702</v>
      </c>
      <c r="AH224" s="2">
        <v>303132.762343571</v>
      </c>
      <c r="AI224" s="2">
        <v>290425.02105922601</v>
      </c>
      <c r="AJ224" s="2">
        <v>335201.187118412</v>
      </c>
      <c r="AK224" s="2">
        <v>669138.021989153</v>
      </c>
      <c r="AL224" s="2">
        <v>600373.96839552501</v>
      </c>
      <c r="AM224" s="2">
        <v>532023.23972020601</v>
      </c>
      <c r="AN224" s="2">
        <v>530064.13993982004</v>
      </c>
      <c r="AO224" s="2">
        <v>570629.38919208199</v>
      </c>
      <c r="AP224" s="2">
        <v>532360.58567349601</v>
      </c>
    </row>
    <row r="225" spans="1:42" ht="14.5" x14ac:dyDescent="0.35">
      <c r="A225" s="2" t="s">
        <v>1636</v>
      </c>
      <c r="B225" s="2">
        <v>435.30749153967599</v>
      </c>
      <c r="C225" s="2">
        <v>12.6352666666667</v>
      </c>
      <c r="D225" s="2" t="s">
        <v>34</v>
      </c>
      <c r="E225" s="2" t="s">
        <v>1637</v>
      </c>
      <c r="F225" s="2">
        <v>45314</v>
      </c>
      <c r="G225" s="3" t="str">
        <f>HYPERLINK("http://funmeta.oebiotech.com/network/45314", "http://funmeta.oebiotech.com/network/45314")</f>
        <v>http://funmeta.oebiotech.com/network/45314</v>
      </c>
      <c r="H225" s="2"/>
      <c r="I225" s="2"/>
      <c r="J225" s="2" t="s">
        <v>1638</v>
      </c>
      <c r="K225" s="2"/>
      <c r="L225" s="2"/>
      <c r="M225" s="2"/>
      <c r="N225" s="2"/>
      <c r="O225" s="2">
        <v>9547387</v>
      </c>
      <c r="P225" s="2"/>
      <c r="Q225" s="2" t="s">
        <v>1639</v>
      </c>
      <c r="R225" s="2" t="s">
        <v>1640</v>
      </c>
      <c r="S225" s="2" t="s">
        <v>50</v>
      </c>
      <c r="T225" s="2" t="s">
        <v>124</v>
      </c>
      <c r="U225" s="2" t="s">
        <v>982</v>
      </c>
      <c r="V225" s="2" t="s">
        <v>59</v>
      </c>
      <c r="W225" s="2">
        <v>38.6</v>
      </c>
      <c r="X225" s="2">
        <v>1.52</v>
      </c>
      <c r="Y225" s="2" t="s">
        <v>141</v>
      </c>
      <c r="Z225" s="2" t="s">
        <v>1641</v>
      </c>
      <c r="AA225" s="2">
        <v>1.2782025551257299</v>
      </c>
      <c r="AB225" s="2">
        <v>2.0222030651736098</v>
      </c>
      <c r="AC225" s="2">
        <v>1445.92458937796</v>
      </c>
      <c r="AD225" s="2">
        <v>271692.81079972599</v>
      </c>
      <c r="AE225" s="2">
        <v>1505.90595583201</v>
      </c>
      <c r="AF225" s="2">
        <v>1669.3147197932101</v>
      </c>
      <c r="AG225" s="2">
        <v>1619.0382156257499</v>
      </c>
      <c r="AH225" s="2">
        <v>1370.51997117471</v>
      </c>
      <c r="AI225" s="2">
        <v>1216.8150403521799</v>
      </c>
      <c r="AJ225" s="2">
        <v>1293.9536334898801</v>
      </c>
      <c r="AK225" s="2">
        <v>231610.310214372</v>
      </c>
      <c r="AL225" s="2">
        <v>259406.35431953301</v>
      </c>
      <c r="AM225" s="2">
        <v>301595.71515955101</v>
      </c>
      <c r="AN225" s="2">
        <v>260308.58749053301</v>
      </c>
      <c r="AO225" s="2">
        <v>293431.935408547</v>
      </c>
      <c r="AP225" s="2">
        <v>283803.96220581798</v>
      </c>
    </row>
    <row r="226" spans="1:42" ht="14.5" x14ac:dyDescent="0.35">
      <c r="A226" s="2" t="s">
        <v>1642</v>
      </c>
      <c r="B226" s="2">
        <v>447.15054925209802</v>
      </c>
      <c r="C226" s="2">
        <v>4.22216666666667</v>
      </c>
      <c r="D226" s="2" t="s">
        <v>70</v>
      </c>
      <c r="E226" s="2" t="s">
        <v>1643</v>
      </c>
      <c r="F226" s="2">
        <v>64292</v>
      </c>
      <c r="G226" s="3" t="str">
        <f>HYPERLINK("http://funmeta.oebiotech.com/network/64292", "http://funmeta.oebiotech.com/network/64292")</f>
        <v>http://funmeta.oebiotech.com/network/64292</v>
      </c>
      <c r="H226" s="2" t="s">
        <v>1644</v>
      </c>
      <c r="I226" s="2">
        <v>95612</v>
      </c>
      <c r="J226" s="2"/>
      <c r="K226" s="2"/>
      <c r="L226" s="2"/>
      <c r="M226" s="2"/>
      <c r="N226" s="2"/>
      <c r="O226" s="2">
        <v>14730864</v>
      </c>
      <c r="P226" s="2" t="s">
        <v>1645</v>
      </c>
      <c r="Q226" s="2" t="s">
        <v>1646</v>
      </c>
      <c r="R226" s="2" t="s">
        <v>1647</v>
      </c>
      <c r="S226" s="2" t="s">
        <v>79</v>
      </c>
      <c r="T226" s="2" t="s">
        <v>80</v>
      </c>
      <c r="U226" s="2" t="s">
        <v>81</v>
      </c>
      <c r="V226" s="2" t="s">
        <v>42</v>
      </c>
      <c r="W226" s="2">
        <v>51.6</v>
      </c>
      <c r="X226" s="2">
        <v>60.2</v>
      </c>
      <c r="Y226" s="2" t="s">
        <v>1648</v>
      </c>
      <c r="Z226" s="2" t="s">
        <v>506</v>
      </c>
      <c r="AA226" s="2">
        <v>-0.62326421225309603</v>
      </c>
      <c r="AB226" s="2">
        <v>2.0154423149173</v>
      </c>
      <c r="AC226" s="2">
        <v>958473.53178980004</v>
      </c>
      <c r="AD226" s="2">
        <v>686289.65406627499</v>
      </c>
      <c r="AE226" s="2">
        <v>978487.00564804103</v>
      </c>
      <c r="AF226" s="2">
        <v>953635.80031257099</v>
      </c>
      <c r="AG226" s="2">
        <v>936857.240027847</v>
      </c>
      <c r="AH226" s="2">
        <v>1009047.7560142</v>
      </c>
      <c r="AI226" s="2">
        <v>945972.84383232205</v>
      </c>
      <c r="AJ226" s="2">
        <v>926840.54490381805</v>
      </c>
      <c r="AK226" s="2">
        <v>650984.14763549995</v>
      </c>
      <c r="AL226" s="2">
        <v>663348.86830882402</v>
      </c>
      <c r="AM226" s="2">
        <v>717529.28568422596</v>
      </c>
      <c r="AN226" s="2">
        <v>696933.71718643699</v>
      </c>
      <c r="AO226" s="2">
        <v>665749.54876132996</v>
      </c>
      <c r="AP226" s="2">
        <v>723192.35682133003</v>
      </c>
    </row>
    <row r="227" spans="1:42" ht="14.5" x14ac:dyDescent="0.35">
      <c r="A227" s="2" t="s">
        <v>1649</v>
      </c>
      <c r="B227" s="2">
        <v>535.18212559056406</v>
      </c>
      <c r="C227" s="2">
        <v>4.5951666666666702</v>
      </c>
      <c r="D227" s="2" t="s">
        <v>70</v>
      </c>
      <c r="E227" s="2" t="s">
        <v>1650</v>
      </c>
      <c r="F227" s="2">
        <v>34740</v>
      </c>
      <c r="G227" s="3" t="str">
        <f>HYPERLINK("http://funmeta.oebiotech.com/network/34740", "http://funmeta.oebiotech.com/network/34740")</f>
        <v>http://funmeta.oebiotech.com/network/34740</v>
      </c>
      <c r="H227" s="2"/>
      <c r="I227" s="2">
        <v>53049</v>
      </c>
      <c r="J227" s="2" t="s">
        <v>1651</v>
      </c>
      <c r="K227" s="2"/>
      <c r="L227" s="2"/>
      <c r="M227" s="2"/>
      <c r="N227" s="2"/>
      <c r="O227" s="2">
        <v>42608074</v>
      </c>
      <c r="P227" s="2"/>
      <c r="Q227" s="2" t="s">
        <v>1652</v>
      </c>
      <c r="R227" s="2" t="s">
        <v>1653</v>
      </c>
      <c r="S227" s="2" t="s">
        <v>115</v>
      </c>
      <c r="T227" s="2" t="s">
        <v>139</v>
      </c>
      <c r="U227" s="2" t="s">
        <v>140</v>
      </c>
      <c r="V227" s="2" t="s">
        <v>42</v>
      </c>
      <c r="W227" s="2">
        <v>52.8</v>
      </c>
      <c r="X227" s="2">
        <v>69.3</v>
      </c>
      <c r="Y227" s="2" t="s">
        <v>1654</v>
      </c>
      <c r="Z227" s="2" t="s">
        <v>1655</v>
      </c>
      <c r="AA227" s="2">
        <v>5.2149539008672599E-2</v>
      </c>
      <c r="AB227" s="2">
        <v>2.0036332358415501</v>
      </c>
      <c r="AC227" s="2">
        <v>692521.651331904</v>
      </c>
      <c r="AD227" s="2">
        <v>976481.05527966598</v>
      </c>
      <c r="AE227" s="2">
        <v>684931.00953258795</v>
      </c>
      <c r="AF227" s="2">
        <v>738515.803959743</v>
      </c>
      <c r="AG227" s="2">
        <v>685862.87476519903</v>
      </c>
      <c r="AH227" s="2">
        <v>627492.62747356296</v>
      </c>
      <c r="AI227" s="2">
        <v>710173.267693292</v>
      </c>
      <c r="AJ227" s="2">
        <v>708154.32456703798</v>
      </c>
      <c r="AK227" s="2">
        <v>1010228.98638031</v>
      </c>
      <c r="AL227" s="2">
        <v>961908.49076694099</v>
      </c>
      <c r="AM227" s="2">
        <v>947143.20599453105</v>
      </c>
      <c r="AN227" s="2">
        <v>1022762.86598658</v>
      </c>
      <c r="AO227" s="2">
        <v>842096.52185560495</v>
      </c>
      <c r="AP227" s="2">
        <v>1074746.26069403</v>
      </c>
    </row>
    <row r="228" spans="1:42" ht="14.5" x14ac:dyDescent="0.35">
      <c r="A228" s="2" t="s">
        <v>1656</v>
      </c>
      <c r="B228" s="2">
        <v>621.43624808313098</v>
      </c>
      <c r="C228" s="2">
        <v>12.881083333333301</v>
      </c>
      <c r="D228" s="2" t="s">
        <v>34</v>
      </c>
      <c r="E228" s="2" t="s">
        <v>1657</v>
      </c>
      <c r="F228" s="2">
        <v>60768</v>
      </c>
      <c r="G228" s="3" t="str">
        <f>HYPERLINK("http://funmeta.oebiotech.com/network/60768", "http://funmeta.oebiotech.com/network/60768")</f>
        <v>http://funmeta.oebiotech.com/network/60768</v>
      </c>
      <c r="H228" s="2" t="s">
        <v>1658</v>
      </c>
      <c r="I228" s="2">
        <v>92098</v>
      </c>
      <c r="J228" s="2"/>
      <c r="K228" s="2"/>
      <c r="L228" s="2"/>
      <c r="M228" s="2"/>
      <c r="N228" s="2"/>
      <c r="O228" s="2">
        <v>131752158</v>
      </c>
      <c r="P228" s="2" t="s">
        <v>1659</v>
      </c>
      <c r="Q228" s="2" t="s">
        <v>1660</v>
      </c>
      <c r="R228" s="2" t="s">
        <v>1661</v>
      </c>
      <c r="S228" s="2" t="s">
        <v>50</v>
      </c>
      <c r="T228" s="2" t="s">
        <v>201</v>
      </c>
      <c r="U228" s="2" t="s">
        <v>210</v>
      </c>
      <c r="V228" s="2" t="s">
        <v>59</v>
      </c>
      <c r="W228" s="2">
        <v>37.5</v>
      </c>
      <c r="X228" s="2">
        <v>7.05</v>
      </c>
      <c r="Y228" s="2" t="s">
        <v>141</v>
      </c>
      <c r="Z228" s="2" t="s">
        <v>1662</v>
      </c>
      <c r="AA228" s="2">
        <v>0.239284660683939</v>
      </c>
      <c r="AB228" s="2">
        <v>1.9954397323297399</v>
      </c>
      <c r="AC228" s="2">
        <v>872.51185668024095</v>
      </c>
      <c r="AD228" s="2">
        <v>263610.33106497402</v>
      </c>
      <c r="AE228" s="2">
        <v>2119.3578770849899</v>
      </c>
      <c r="AF228" s="2">
        <v>823.64799278210603</v>
      </c>
      <c r="AG228" s="2">
        <v>631.98611307412204</v>
      </c>
      <c r="AH228" s="2">
        <v>515.30152346847603</v>
      </c>
      <c r="AI228" s="2">
        <v>801.96269112608502</v>
      </c>
      <c r="AJ228" s="2">
        <v>342.81494254566701</v>
      </c>
      <c r="AK228" s="2">
        <v>239585.06398927499</v>
      </c>
      <c r="AL228" s="2">
        <v>242318.306873486</v>
      </c>
      <c r="AM228" s="2">
        <v>289247.60418155801</v>
      </c>
      <c r="AN228" s="2">
        <v>253942.93768614999</v>
      </c>
      <c r="AO228" s="2">
        <v>265656.81067734503</v>
      </c>
      <c r="AP228" s="2">
        <v>290911.26298202801</v>
      </c>
    </row>
    <row r="229" spans="1:42" ht="14.5" x14ac:dyDescent="0.35">
      <c r="A229" s="2" t="s">
        <v>1663</v>
      </c>
      <c r="B229" s="2">
        <v>760.35216140397597</v>
      </c>
      <c r="C229" s="2">
        <v>6.2504</v>
      </c>
      <c r="D229" s="2" t="s">
        <v>34</v>
      </c>
      <c r="E229" s="2" t="s">
        <v>1664</v>
      </c>
      <c r="F229" s="2">
        <v>56994</v>
      </c>
      <c r="G229" s="3" t="str">
        <f>HYPERLINK("http://funmeta.oebiotech.com/network/56994", "http://funmeta.oebiotech.com/network/56994")</f>
        <v>http://funmeta.oebiotech.com/network/56994</v>
      </c>
      <c r="H229" s="2" t="s">
        <v>1665</v>
      </c>
      <c r="I229" s="2">
        <v>88649</v>
      </c>
      <c r="J229" s="2"/>
      <c r="K229" s="2"/>
      <c r="L229" s="2"/>
      <c r="M229" s="2"/>
      <c r="N229" s="2"/>
      <c r="O229" s="2">
        <v>85270794</v>
      </c>
      <c r="P229" s="2" t="s">
        <v>1666</v>
      </c>
      <c r="Q229" s="2" t="s">
        <v>1667</v>
      </c>
      <c r="R229" s="2" t="s">
        <v>1668</v>
      </c>
      <c r="S229" s="2" t="s">
        <v>89</v>
      </c>
      <c r="T229" s="2" t="s">
        <v>90</v>
      </c>
      <c r="U229" s="2" t="s">
        <v>1669</v>
      </c>
      <c r="V229" s="2" t="s">
        <v>42</v>
      </c>
      <c r="W229" s="2">
        <v>54.1</v>
      </c>
      <c r="X229" s="2">
        <v>76.599999999999994</v>
      </c>
      <c r="Y229" s="2" t="s">
        <v>340</v>
      </c>
      <c r="Z229" s="2" t="s">
        <v>1670</v>
      </c>
      <c r="AA229" s="2">
        <v>0.739038213236064</v>
      </c>
      <c r="AB229" s="2">
        <v>1.9858291409076001</v>
      </c>
      <c r="AC229" s="2">
        <v>989409.06899323897</v>
      </c>
      <c r="AD229" s="2">
        <v>1250769.3493514999</v>
      </c>
      <c r="AE229" s="2">
        <v>974531.13471874001</v>
      </c>
      <c r="AF229" s="2">
        <v>1031299.6690399999</v>
      </c>
      <c r="AG229" s="2">
        <v>980432.66222379403</v>
      </c>
      <c r="AH229" s="2">
        <v>970628.69103760296</v>
      </c>
      <c r="AI229" s="2">
        <v>1004744.38963962</v>
      </c>
      <c r="AJ229" s="2">
        <v>974817.86729967501</v>
      </c>
      <c r="AK229" s="2">
        <v>1227651.2403400501</v>
      </c>
      <c r="AL229" s="2">
        <v>1237421.4000679499</v>
      </c>
      <c r="AM229" s="2">
        <v>1255344.27954611</v>
      </c>
      <c r="AN229" s="2">
        <v>1273978.36635717</v>
      </c>
      <c r="AO229" s="2">
        <v>1240586.4792086</v>
      </c>
      <c r="AP229" s="2">
        <v>1269634.3305891301</v>
      </c>
    </row>
    <row r="230" spans="1:42" ht="14.5" x14ac:dyDescent="0.35">
      <c r="A230" s="2" t="s">
        <v>1671</v>
      </c>
      <c r="B230" s="2">
        <v>274.27371822635598</v>
      </c>
      <c r="C230" s="2">
        <v>8.2503333333333302</v>
      </c>
      <c r="D230" s="2" t="s">
        <v>34</v>
      </c>
      <c r="E230" s="2" t="s">
        <v>1672</v>
      </c>
      <c r="F230" s="2">
        <v>38928</v>
      </c>
      <c r="G230" s="3" t="str">
        <f>HYPERLINK("http://funmeta.oebiotech.com/network/38928", "http://funmeta.oebiotech.com/network/38928")</f>
        <v>http://funmeta.oebiotech.com/network/38928</v>
      </c>
      <c r="H230" s="2"/>
      <c r="I230" s="2">
        <v>41556</v>
      </c>
      <c r="J230" s="2" t="s">
        <v>1673</v>
      </c>
      <c r="K230" s="2">
        <v>71050</v>
      </c>
      <c r="L230" s="2" t="s">
        <v>1674</v>
      </c>
      <c r="M230" s="2"/>
      <c r="N230" s="2"/>
      <c r="O230" s="2">
        <v>656816</v>
      </c>
      <c r="P230" s="2"/>
      <c r="Q230" s="2" t="s">
        <v>1675</v>
      </c>
      <c r="R230" s="2" t="s">
        <v>1676</v>
      </c>
      <c r="S230" s="2" t="s">
        <v>1677</v>
      </c>
      <c r="T230" s="2" t="s">
        <v>1678</v>
      </c>
      <c r="U230" s="2" t="s">
        <v>1679</v>
      </c>
      <c r="V230" s="2" t="s">
        <v>59</v>
      </c>
      <c r="W230" s="2">
        <v>40.1</v>
      </c>
      <c r="X230" s="2">
        <v>4.57</v>
      </c>
      <c r="Y230" s="2" t="s">
        <v>67</v>
      </c>
      <c r="Z230" s="2" t="s">
        <v>1680</v>
      </c>
      <c r="AA230" s="2">
        <v>-1.2353203534505299</v>
      </c>
      <c r="AB230" s="2">
        <v>1.9840844773220001</v>
      </c>
      <c r="AC230" s="2">
        <v>2395367.4273079</v>
      </c>
      <c r="AD230" s="2">
        <v>2842304.0988252498</v>
      </c>
      <c r="AE230" s="2">
        <v>2853992.5304488698</v>
      </c>
      <c r="AF230" s="2">
        <v>2100201.6544370898</v>
      </c>
      <c r="AG230" s="2">
        <v>2740387.4726857799</v>
      </c>
      <c r="AH230" s="2">
        <v>1699555.7917331301</v>
      </c>
      <c r="AI230" s="2">
        <v>2275638.4909240799</v>
      </c>
      <c r="AJ230" s="2">
        <v>2702428.62361847</v>
      </c>
      <c r="AK230" s="2">
        <v>2581318.2739848401</v>
      </c>
      <c r="AL230" s="2">
        <v>2881503.0089790998</v>
      </c>
      <c r="AM230" s="2">
        <v>2996197.69518694</v>
      </c>
      <c r="AN230" s="2">
        <v>3058103.1897536302</v>
      </c>
      <c r="AO230" s="2">
        <v>2877267.0641997601</v>
      </c>
      <c r="AP230" s="2">
        <v>2659435.3608472198</v>
      </c>
    </row>
    <row r="231" spans="1:42" ht="14.5" x14ac:dyDescent="0.35">
      <c r="A231" s="2" t="s">
        <v>1681</v>
      </c>
      <c r="B231" s="2">
        <v>529.05468091083003</v>
      </c>
      <c r="C231" s="2">
        <v>3.0156833333333299</v>
      </c>
      <c r="D231" s="2" t="s">
        <v>70</v>
      </c>
      <c r="E231" s="2" t="s">
        <v>1682</v>
      </c>
      <c r="F231" s="2">
        <v>207838</v>
      </c>
      <c r="G231" s="3" t="str">
        <f>HYPERLINK("http://funmeta.oebiotech.com/network/207838", "http://funmeta.oebiotech.com/network/207838")</f>
        <v>http://funmeta.oebiotech.com/network/207838</v>
      </c>
      <c r="H231" s="2" t="s">
        <v>1683</v>
      </c>
      <c r="I231" s="2"/>
      <c r="J231" s="2"/>
      <c r="K231" s="2"/>
      <c r="L231" s="2"/>
      <c r="M231" s="2"/>
      <c r="N231" s="2"/>
      <c r="O231" s="2">
        <v>11641580</v>
      </c>
      <c r="P231" s="2"/>
      <c r="Q231" s="2" t="s">
        <v>1684</v>
      </c>
      <c r="R231" s="2" t="s">
        <v>1685</v>
      </c>
      <c r="S231" s="2" t="s">
        <v>41</v>
      </c>
      <c r="T231" s="2" t="s">
        <v>41</v>
      </c>
      <c r="U231" s="2" t="s">
        <v>41</v>
      </c>
      <c r="V231" s="2" t="s">
        <v>59</v>
      </c>
      <c r="W231" s="2">
        <v>43.5</v>
      </c>
      <c r="X231" s="2">
        <v>22.6</v>
      </c>
      <c r="Y231" s="2" t="s">
        <v>408</v>
      </c>
      <c r="Z231" s="2" t="s">
        <v>1686</v>
      </c>
      <c r="AA231" s="2">
        <v>-1.4205910148200001</v>
      </c>
      <c r="AB231" s="2">
        <v>1.9746363122105799</v>
      </c>
      <c r="AC231" s="2">
        <v>940235.322809148</v>
      </c>
      <c r="AD231" s="2">
        <v>1199736.11842102</v>
      </c>
      <c r="AE231" s="2">
        <v>946148.76944615506</v>
      </c>
      <c r="AF231" s="2">
        <v>925782.498584455</v>
      </c>
      <c r="AG231" s="2">
        <v>924199.99106330099</v>
      </c>
      <c r="AH231" s="2">
        <v>934877.70606431901</v>
      </c>
      <c r="AI231" s="2">
        <v>928110.26660108799</v>
      </c>
      <c r="AJ231" s="2">
        <v>982292.70509556995</v>
      </c>
      <c r="AK231" s="2">
        <v>1201067.5733031901</v>
      </c>
      <c r="AL231" s="2">
        <v>1219830.9811531501</v>
      </c>
      <c r="AM231" s="2">
        <v>1211976.0007736699</v>
      </c>
      <c r="AN231" s="2">
        <v>1226782.4959605599</v>
      </c>
      <c r="AO231" s="2">
        <v>1180746.38955402</v>
      </c>
      <c r="AP231" s="2">
        <v>1158013.2697815499</v>
      </c>
    </row>
    <row r="232" spans="1:42" ht="14.5" x14ac:dyDescent="0.35">
      <c r="A232" s="2" t="s">
        <v>1687</v>
      </c>
      <c r="B232" s="2">
        <v>342.11597430989599</v>
      </c>
      <c r="C232" s="2">
        <v>2.5258333333333298</v>
      </c>
      <c r="D232" s="2" t="s">
        <v>34</v>
      </c>
      <c r="E232" s="2" t="s">
        <v>1688</v>
      </c>
      <c r="F232" s="2">
        <v>53747</v>
      </c>
      <c r="G232" s="3" t="str">
        <f>HYPERLINK("http://funmeta.oebiotech.com/network/53747", "http://funmeta.oebiotech.com/network/53747")</f>
        <v>http://funmeta.oebiotech.com/network/53747</v>
      </c>
      <c r="H232" s="2" t="s">
        <v>1689</v>
      </c>
      <c r="I232" s="2"/>
      <c r="J232" s="2"/>
      <c r="K232" s="2">
        <v>63357</v>
      </c>
      <c r="L232" s="2"/>
      <c r="M232" s="2"/>
      <c r="N232" s="2"/>
      <c r="O232" s="2">
        <v>6995003</v>
      </c>
      <c r="P232" s="2" t="s">
        <v>1690</v>
      </c>
      <c r="Q232" s="2" t="s">
        <v>1691</v>
      </c>
      <c r="R232" s="2" t="s">
        <v>1692</v>
      </c>
      <c r="S232" s="2" t="s">
        <v>89</v>
      </c>
      <c r="T232" s="2" t="s">
        <v>90</v>
      </c>
      <c r="U232" s="2" t="s">
        <v>99</v>
      </c>
      <c r="V232" s="2" t="s">
        <v>59</v>
      </c>
      <c r="W232" s="2">
        <v>40.799999999999997</v>
      </c>
      <c r="X232" s="2">
        <v>11.3</v>
      </c>
      <c r="Y232" s="2" t="s">
        <v>340</v>
      </c>
      <c r="Z232" s="2" t="s">
        <v>1693</v>
      </c>
      <c r="AA232" s="2">
        <v>-4.7915055914193596</v>
      </c>
      <c r="AB232" s="2">
        <v>1.9720183948112899</v>
      </c>
      <c r="AC232" s="2">
        <v>552766.55296209303</v>
      </c>
      <c r="AD232" s="2">
        <v>819658.47130512702</v>
      </c>
      <c r="AE232" s="2">
        <v>486999.09562670998</v>
      </c>
      <c r="AF232" s="2">
        <v>589167.52560101904</v>
      </c>
      <c r="AG232" s="2">
        <v>575306.85963930795</v>
      </c>
      <c r="AH232" s="2">
        <v>480287.85731206997</v>
      </c>
      <c r="AI232" s="2">
        <v>591787.31970515195</v>
      </c>
      <c r="AJ232" s="2">
        <v>593050.65988829895</v>
      </c>
      <c r="AK232" s="2">
        <v>778550.67384534201</v>
      </c>
      <c r="AL232" s="2">
        <v>845479.80336090701</v>
      </c>
      <c r="AM232" s="2">
        <v>813262.10953250702</v>
      </c>
      <c r="AN232" s="2">
        <v>864156.21841330605</v>
      </c>
      <c r="AO232" s="2">
        <v>779385.14523486898</v>
      </c>
      <c r="AP232" s="2">
        <v>837116.87744382804</v>
      </c>
    </row>
    <row r="233" spans="1:42" ht="14.5" x14ac:dyDescent="0.35">
      <c r="A233" s="2" t="s">
        <v>1694</v>
      </c>
      <c r="B233" s="2">
        <v>433.207641818745</v>
      </c>
      <c r="C233" s="2">
        <v>4.4179500000000003</v>
      </c>
      <c r="D233" s="2" t="s">
        <v>70</v>
      </c>
      <c r="E233" s="2" t="s">
        <v>1695</v>
      </c>
      <c r="F233" s="2">
        <v>56163</v>
      </c>
      <c r="G233" s="3" t="str">
        <f>HYPERLINK("http://funmeta.oebiotech.com/network/56163", "http://funmeta.oebiotech.com/network/56163")</f>
        <v>http://funmeta.oebiotech.com/network/56163</v>
      </c>
      <c r="H233" s="2" t="s">
        <v>1696</v>
      </c>
      <c r="I233" s="2">
        <v>87854</v>
      </c>
      <c r="J233" s="2"/>
      <c r="K233" s="2">
        <v>168493</v>
      </c>
      <c r="L233" s="2"/>
      <c r="M233" s="2"/>
      <c r="N233" s="2"/>
      <c r="O233" s="2">
        <v>131751181</v>
      </c>
      <c r="P233" s="2" t="s">
        <v>1697</v>
      </c>
      <c r="Q233" s="2" t="s">
        <v>1698</v>
      </c>
      <c r="R233" s="2" t="s">
        <v>1699</v>
      </c>
      <c r="S233" s="2" t="s">
        <v>79</v>
      </c>
      <c r="T233" s="2" t="s">
        <v>80</v>
      </c>
      <c r="U233" s="2" t="s">
        <v>81</v>
      </c>
      <c r="V233" s="2" t="s">
        <v>42</v>
      </c>
      <c r="W233" s="2">
        <v>49.9</v>
      </c>
      <c r="X233" s="2">
        <v>54.1</v>
      </c>
      <c r="Y233" s="2" t="s">
        <v>408</v>
      </c>
      <c r="Z233" s="2" t="s">
        <v>1270</v>
      </c>
      <c r="AA233" s="2">
        <v>-0.71877122543633198</v>
      </c>
      <c r="AB233" s="2">
        <v>1.9634162054636399</v>
      </c>
      <c r="AC233" s="2">
        <v>3700170.6775012501</v>
      </c>
      <c r="AD233" s="2">
        <v>3406575.1349516101</v>
      </c>
      <c r="AE233" s="2">
        <v>3727499.1905893399</v>
      </c>
      <c r="AF233" s="2">
        <v>3769391.08353722</v>
      </c>
      <c r="AG233" s="2">
        <v>3581930.2749943798</v>
      </c>
      <c r="AH233" s="2">
        <v>3669161.3612255799</v>
      </c>
      <c r="AI233" s="2">
        <v>3800228.0300230999</v>
      </c>
      <c r="AJ233" s="2">
        <v>3652814.1246379102</v>
      </c>
      <c r="AK233" s="2">
        <v>3378107.6959311101</v>
      </c>
      <c r="AL233" s="2">
        <v>3379961.6316125998</v>
      </c>
      <c r="AM233" s="2">
        <v>3511576.0941786799</v>
      </c>
      <c r="AN233" s="2">
        <v>3356706.5891595199</v>
      </c>
      <c r="AO233" s="2">
        <v>3266710.5053795702</v>
      </c>
      <c r="AP233" s="2">
        <v>3546388.2934481702</v>
      </c>
    </row>
    <row r="234" spans="1:42" ht="14.5" x14ac:dyDescent="0.35">
      <c r="A234" s="2" t="s">
        <v>1700</v>
      </c>
      <c r="B234" s="2">
        <v>609.39275032077205</v>
      </c>
      <c r="C234" s="2">
        <v>11.9672</v>
      </c>
      <c r="D234" s="2" t="s">
        <v>34</v>
      </c>
      <c r="E234" s="2" t="s">
        <v>1701</v>
      </c>
      <c r="F234" s="2">
        <v>255418</v>
      </c>
      <c r="G234" s="3" t="str">
        <f>HYPERLINK("http://funmeta.oebiotech.com/network/255418", "http://funmeta.oebiotech.com/network/255418")</f>
        <v>http://funmeta.oebiotech.com/network/255418</v>
      </c>
      <c r="H234" s="2" t="s">
        <v>1702</v>
      </c>
      <c r="I234" s="2"/>
      <c r="J234" s="2"/>
      <c r="K234" s="2"/>
      <c r="L234" s="2"/>
      <c r="M234" s="2"/>
      <c r="N234" s="2"/>
      <c r="O234" s="2"/>
      <c r="P234" s="2"/>
      <c r="Q234" s="2" t="s">
        <v>1703</v>
      </c>
      <c r="R234" s="2" t="s">
        <v>1704</v>
      </c>
      <c r="S234" s="2" t="s">
        <v>50</v>
      </c>
      <c r="T234" s="2" t="s">
        <v>201</v>
      </c>
      <c r="U234" s="2" t="s">
        <v>210</v>
      </c>
      <c r="V234" s="2" t="s">
        <v>59</v>
      </c>
      <c r="W234" s="2">
        <v>37.6</v>
      </c>
      <c r="X234" s="2">
        <v>0</v>
      </c>
      <c r="Y234" s="2" t="s">
        <v>470</v>
      </c>
      <c r="Z234" s="2" t="s">
        <v>1705</v>
      </c>
      <c r="AA234" s="2">
        <v>2.2500439615437</v>
      </c>
      <c r="AB234" s="2">
        <v>1.95829358873302</v>
      </c>
      <c r="AC234" s="2">
        <v>604.71581111822002</v>
      </c>
      <c r="AD234" s="2">
        <v>253070.11712223999</v>
      </c>
      <c r="AE234" s="2">
        <v>991.12064529840097</v>
      </c>
      <c r="AF234" s="2">
        <v>716.79228610141399</v>
      </c>
      <c r="AG234" s="2">
        <v>540.89845775332003</v>
      </c>
      <c r="AH234" s="2">
        <v>559.06717447289805</v>
      </c>
      <c r="AI234" s="2">
        <v>359.45562865009401</v>
      </c>
      <c r="AJ234" s="2">
        <v>460.96067443319498</v>
      </c>
      <c r="AK234" s="2">
        <v>247472.68471004101</v>
      </c>
      <c r="AL234" s="2">
        <v>234049.986383132</v>
      </c>
      <c r="AM234" s="2">
        <v>283295.140372122</v>
      </c>
      <c r="AN234" s="2">
        <v>243532.34495406199</v>
      </c>
      <c r="AO234" s="2">
        <v>260491.51124670301</v>
      </c>
      <c r="AP234" s="2">
        <v>249579.03506738099</v>
      </c>
    </row>
    <row r="235" spans="1:42" ht="14.5" x14ac:dyDescent="0.35">
      <c r="A235" s="2" t="s">
        <v>1706</v>
      </c>
      <c r="B235" s="2">
        <v>440.24843398286703</v>
      </c>
      <c r="C235" s="2">
        <v>5.4735333333333296</v>
      </c>
      <c r="D235" s="2" t="s">
        <v>34</v>
      </c>
      <c r="E235" s="2" t="s">
        <v>1707</v>
      </c>
      <c r="F235" s="2">
        <v>3872</v>
      </c>
      <c r="G235" s="3" t="str">
        <f>HYPERLINK("http://funmeta.oebiotech.com/network/3872", "http://funmeta.oebiotech.com/network/3872")</f>
        <v>http://funmeta.oebiotech.com/network/3872</v>
      </c>
      <c r="H235" s="2" t="s">
        <v>1708</v>
      </c>
      <c r="I235" s="2"/>
      <c r="J235" s="2" t="s">
        <v>1709</v>
      </c>
      <c r="K235" s="2"/>
      <c r="L235" s="2"/>
      <c r="M235" s="2"/>
      <c r="N235" s="2"/>
      <c r="O235" s="2">
        <v>53481446</v>
      </c>
      <c r="P235" s="2"/>
      <c r="Q235" s="2" t="s">
        <v>1710</v>
      </c>
      <c r="R235" s="2" t="s">
        <v>1711</v>
      </c>
      <c r="S235" s="2" t="s">
        <v>50</v>
      </c>
      <c r="T235" s="2" t="s">
        <v>229</v>
      </c>
      <c r="U235" s="2" t="s">
        <v>766</v>
      </c>
      <c r="V235" s="2" t="s">
        <v>59</v>
      </c>
      <c r="W235" s="2">
        <v>45.1</v>
      </c>
      <c r="X235" s="2">
        <v>38.9</v>
      </c>
      <c r="Y235" s="2" t="s">
        <v>330</v>
      </c>
      <c r="Z235" s="2" t="s">
        <v>1712</v>
      </c>
      <c r="AA235" s="2">
        <v>4.1842772578585699</v>
      </c>
      <c r="AB235" s="2">
        <v>1.9558144521764</v>
      </c>
      <c r="AC235" s="2">
        <v>632039.16042097297</v>
      </c>
      <c r="AD235" s="2">
        <v>368413.36859554902</v>
      </c>
      <c r="AE235" s="2">
        <v>620746.64545169903</v>
      </c>
      <c r="AF235" s="2">
        <v>634969.029511058</v>
      </c>
      <c r="AG235" s="2">
        <v>715095.16498024203</v>
      </c>
      <c r="AH235" s="2">
        <v>599386.23566167103</v>
      </c>
      <c r="AI235" s="2">
        <v>578522.40225737798</v>
      </c>
      <c r="AJ235" s="2">
        <v>643515.48466379195</v>
      </c>
      <c r="AK235" s="2">
        <v>303396.31532281602</v>
      </c>
      <c r="AL235" s="2">
        <v>383166.36732672498</v>
      </c>
      <c r="AM235" s="2">
        <v>416939.72514842602</v>
      </c>
      <c r="AN235" s="2">
        <v>337409.66078749602</v>
      </c>
      <c r="AO235" s="2">
        <v>427083.17995171697</v>
      </c>
      <c r="AP235" s="2">
        <v>342484.963036114</v>
      </c>
    </row>
    <row r="236" spans="1:42" ht="14.5" x14ac:dyDescent="0.35">
      <c r="A236" s="2" t="s">
        <v>1713</v>
      </c>
      <c r="B236" s="2">
        <v>759.35875479086496</v>
      </c>
      <c r="C236" s="2">
        <v>4.7931333333333299</v>
      </c>
      <c r="D236" s="2" t="s">
        <v>70</v>
      </c>
      <c r="E236" s="2" t="s">
        <v>1714</v>
      </c>
      <c r="F236" s="2">
        <v>27771</v>
      </c>
      <c r="G236" s="3" t="str">
        <f>HYPERLINK("http://funmeta.oebiotech.com/network/27771", "http://funmeta.oebiotech.com/network/27771")</f>
        <v>http://funmeta.oebiotech.com/network/27771</v>
      </c>
      <c r="H236" s="2"/>
      <c r="I236" s="2"/>
      <c r="J236" s="2" t="s">
        <v>1715</v>
      </c>
      <c r="K236" s="2"/>
      <c r="L236" s="2"/>
      <c r="M236" s="2"/>
      <c r="N236" s="2"/>
      <c r="O236" s="2">
        <v>126457661</v>
      </c>
      <c r="P236" s="2"/>
      <c r="Q236" s="2" t="s">
        <v>1716</v>
      </c>
      <c r="R236" s="2" t="s">
        <v>1717</v>
      </c>
      <c r="S236" s="2" t="s">
        <v>50</v>
      </c>
      <c r="T236" s="2" t="s">
        <v>51</v>
      </c>
      <c r="U236" s="2" t="s">
        <v>52</v>
      </c>
      <c r="V236" s="2" t="s">
        <v>59</v>
      </c>
      <c r="W236" s="2">
        <v>38.799999999999997</v>
      </c>
      <c r="X236" s="2">
        <v>2.71</v>
      </c>
      <c r="Y236" s="2" t="s">
        <v>118</v>
      </c>
      <c r="Z236" s="2" t="s">
        <v>1718</v>
      </c>
      <c r="AA236" s="2">
        <v>1.8334677960547801</v>
      </c>
      <c r="AB236" s="2">
        <v>1.94586001214038</v>
      </c>
      <c r="AC236" s="2">
        <v>941965.25122940296</v>
      </c>
      <c r="AD236" s="2">
        <v>1232287.8522318699</v>
      </c>
      <c r="AE236" s="2">
        <v>1028676.4239531</v>
      </c>
      <c r="AF236" s="2">
        <v>877519.71842255897</v>
      </c>
      <c r="AG236" s="2">
        <v>881537.04402556003</v>
      </c>
      <c r="AH236" s="2">
        <v>959902.12753646402</v>
      </c>
      <c r="AI236" s="2">
        <v>916951.83795956697</v>
      </c>
      <c r="AJ236" s="2">
        <v>987204.35547916696</v>
      </c>
      <c r="AK236" s="2">
        <v>1082626.7475535399</v>
      </c>
      <c r="AL236" s="2">
        <v>1241277.61542227</v>
      </c>
      <c r="AM236" s="2">
        <v>1095477.7401195299</v>
      </c>
      <c r="AN236" s="2">
        <v>1257615.5118454101</v>
      </c>
      <c r="AO236" s="2">
        <v>1344860.9906469099</v>
      </c>
      <c r="AP236" s="2">
        <v>1371868.50780358</v>
      </c>
    </row>
    <row r="237" spans="1:42" ht="14.5" x14ac:dyDescent="0.35">
      <c r="A237" s="2" t="s">
        <v>1719</v>
      </c>
      <c r="B237" s="2">
        <v>511.23218299463201</v>
      </c>
      <c r="C237" s="2">
        <v>6.5547666666666702</v>
      </c>
      <c r="D237" s="2" t="s">
        <v>34</v>
      </c>
      <c r="E237" s="2" t="s">
        <v>1720</v>
      </c>
      <c r="F237" s="2">
        <v>44761</v>
      </c>
      <c r="G237" s="3" t="str">
        <f>HYPERLINK("http://funmeta.oebiotech.com/network/44761", "http://funmeta.oebiotech.com/network/44761")</f>
        <v>http://funmeta.oebiotech.com/network/44761</v>
      </c>
      <c r="H237" s="2"/>
      <c r="I237" s="2"/>
      <c r="J237" s="2" t="s">
        <v>1721</v>
      </c>
      <c r="K237" s="2"/>
      <c r="L237" s="2"/>
      <c r="M237" s="2"/>
      <c r="N237" s="2"/>
      <c r="O237" s="2"/>
      <c r="P237" s="2"/>
      <c r="Q237" s="2" t="s">
        <v>1722</v>
      </c>
      <c r="R237" s="2" t="s">
        <v>1723</v>
      </c>
      <c r="S237" s="2" t="s">
        <v>50</v>
      </c>
      <c r="T237" s="2" t="s">
        <v>124</v>
      </c>
      <c r="U237" s="2" t="s">
        <v>567</v>
      </c>
      <c r="V237" s="2" t="s">
        <v>59</v>
      </c>
      <c r="W237" s="2">
        <v>43.3</v>
      </c>
      <c r="X237" s="2">
        <v>23.4</v>
      </c>
      <c r="Y237" s="2" t="s">
        <v>323</v>
      </c>
      <c r="Z237" s="2" t="s">
        <v>1724</v>
      </c>
      <c r="AA237" s="2">
        <v>3.9820571390611801</v>
      </c>
      <c r="AB237" s="2">
        <v>1.9401319119843701</v>
      </c>
      <c r="AC237" s="2">
        <v>561356.31545685395</v>
      </c>
      <c r="AD237" s="2">
        <v>310203.62815164099</v>
      </c>
      <c r="AE237" s="2">
        <v>565990.531192202</v>
      </c>
      <c r="AF237" s="2">
        <v>576304.631763743</v>
      </c>
      <c r="AG237" s="2">
        <v>586414.16361980699</v>
      </c>
      <c r="AH237" s="2">
        <v>550165.55206126999</v>
      </c>
      <c r="AI237" s="2">
        <v>526567.42815739894</v>
      </c>
      <c r="AJ237" s="2">
        <v>562695.585946701</v>
      </c>
      <c r="AK237" s="2">
        <v>281904.55782772601</v>
      </c>
      <c r="AL237" s="2">
        <v>374685.112618129</v>
      </c>
      <c r="AM237" s="2">
        <v>310457.28329375997</v>
      </c>
      <c r="AN237" s="2">
        <v>302798.11776193097</v>
      </c>
      <c r="AO237" s="2">
        <v>302890.533156397</v>
      </c>
      <c r="AP237" s="2">
        <v>288486.164251904</v>
      </c>
    </row>
    <row r="238" spans="1:42" ht="14.5" x14ac:dyDescent="0.35">
      <c r="A238" s="2" t="s">
        <v>1725</v>
      </c>
      <c r="B238" s="2">
        <v>349.110199715421</v>
      </c>
      <c r="C238" s="2">
        <v>0.75019999999999998</v>
      </c>
      <c r="D238" s="2" t="s">
        <v>34</v>
      </c>
      <c r="E238" s="2" t="s">
        <v>1726</v>
      </c>
      <c r="F238" s="2">
        <v>48794</v>
      </c>
      <c r="G238" s="3" t="str">
        <f>HYPERLINK("http://funmeta.oebiotech.com/network/48794", "http://funmeta.oebiotech.com/network/48794")</f>
        <v>http://funmeta.oebiotech.com/network/48794</v>
      </c>
      <c r="H238" s="2" t="s">
        <v>1727</v>
      </c>
      <c r="I238" s="2">
        <v>58476</v>
      </c>
      <c r="J238" s="2"/>
      <c r="K238" s="2">
        <v>22423</v>
      </c>
      <c r="L238" s="2"/>
      <c r="M238" s="2"/>
      <c r="N238" s="2"/>
      <c r="O238" s="2">
        <v>9548873</v>
      </c>
      <c r="P238" s="2" t="s">
        <v>1728</v>
      </c>
      <c r="Q238" s="2" t="s">
        <v>1729</v>
      </c>
      <c r="R238" s="2" t="s">
        <v>1730</v>
      </c>
      <c r="S238" s="2" t="s">
        <v>50</v>
      </c>
      <c r="T238" s="2" t="s">
        <v>229</v>
      </c>
      <c r="U238" s="2" t="s">
        <v>230</v>
      </c>
      <c r="V238" s="2" t="s">
        <v>59</v>
      </c>
      <c r="W238" s="2">
        <v>43.5</v>
      </c>
      <c r="X238" s="2">
        <v>22.8</v>
      </c>
      <c r="Y238" s="2" t="s">
        <v>1731</v>
      </c>
      <c r="Z238" s="2" t="s">
        <v>1732</v>
      </c>
      <c r="AA238" s="2">
        <v>-0.97468555982641303</v>
      </c>
      <c r="AB238" s="2">
        <v>1.9385207763740999</v>
      </c>
      <c r="AC238" s="2">
        <v>1074034.1319752999</v>
      </c>
      <c r="AD238" s="2">
        <v>1331387.5483371699</v>
      </c>
      <c r="AE238" s="2">
        <v>1076957.7779739599</v>
      </c>
      <c r="AF238" s="2">
        <v>1149406.6916990699</v>
      </c>
      <c r="AG238" s="2">
        <v>1097831.4106262799</v>
      </c>
      <c r="AH238" s="2">
        <v>1042020.12507994</v>
      </c>
      <c r="AI238" s="2">
        <v>1010328.86905178</v>
      </c>
      <c r="AJ238" s="2">
        <v>1067659.91742074</v>
      </c>
      <c r="AK238" s="2">
        <v>1335666.4732516599</v>
      </c>
      <c r="AL238" s="2">
        <v>1344333.1926893999</v>
      </c>
      <c r="AM238" s="2">
        <v>1355109.53058932</v>
      </c>
      <c r="AN238" s="2">
        <v>1300685.29106321</v>
      </c>
      <c r="AO238" s="2">
        <v>1362175.8843444099</v>
      </c>
      <c r="AP238" s="2">
        <v>1290354.91808501</v>
      </c>
    </row>
    <row r="239" spans="1:42" ht="14.5" x14ac:dyDescent="0.35">
      <c r="A239" s="2" t="s">
        <v>1733</v>
      </c>
      <c r="B239" s="2">
        <v>173.00811465418701</v>
      </c>
      <c r="C239" s="2">
        <v>1.3161166666666699</v>
      </c>
      <c r="D239" s="2" t="s">
        <v>70</v>
      </c>
      <c r="E239" s="2" t="s">
        <v>1734</v>
      </c>
      <c r="F239" s="2">
        <v>46856</v>
      </c>
      <c r="G239" s="3" t="str">
        <f>HYPERLINK("http://funmeta.oebiotech.com/network/46856", "http://funmeta.oebiotech.com/network/46856")</f>
        <v>http://funmeta.oebiotech.com/network/46856</v>
      </c>
      <c r="H239" s="2" t="s">
        <v>1735</v>
      </c>
      <c r="I239" s="2">
        <v>3300</v>
      </c>
      <c r="J239" s="2"/>
      <c r="K239" s="2">
        <v>32805</v>
      </c>
      <c r="L239" s="2" t="s">
        <v>1736</v>
      </c>
      <c r="M239" s="2" t="s">
        <v>1737</v>
      </c>
      <c r="N239" s="2" t="s">
        <v>1738</v>
      </c>
      <c r="O239" s="2">
        <v>643757</v>
      </c>
      <c r="P239" s="2" t="s">
        <v>1739</v>
      </c>
      <c r="Q239" s="2" t="s">
        <v>1740</v>
      </c>
      <c r="R239" s="2" t="s">
        <v>1741</v>
      </c>
      <c r="S239" s="2" t="s">
        <v>89</v>
      </c>
      <c r="T239" s="2" t="s">
        <v>90</v>
      </c>
      <c r="U239" s="2" t="s">
        <v>91</v>
      </c>
      <c r="V239" s="2" t="s">
        <v>42</v>
      </c>
      <c r="W239" s="2">
        <v>56.2</v>
      </c>
      <c r="X239" s="2">
        <v>88</v>
      </c>
      <c r="Y239" s="2" t="s">
        <v>118</v>
      </c>
      <c r="Z239" s="2" t="s">
        <v>1742</v>
      </c>
      <c r="AA239" s="2">
        <v>-6.0156592396332398</v>
      </c>
      <c r="AB239" s="2">
        <v>1.9346599545126399</v>
      </c>
      <c r="AC239" s="2">
        <v>1716968.7588885201</v>
      </c>
      <c r="AD239" s="2">
        <v>1979904.3543658699</v>
      </c>
      <c r="AE239" s="2">
        <v>1742094.1900674701</v>
      </c>
      <c r="AF239" s="2">
        <v>1664003.6911724701</v>
      </c>
      <c r="AG239" s="2">
        <v>1696842.19895802</v>
      </c>
      <c r="AH239" s="2">
        <v>1716409.8355225101</v>
      </c>
      <c r="AI239" s="2">
        <v>1734660.3827577501</v>
      </c>
      <c r="AJ239" s="2">
        <v>1747802.2548529201</v>
      </c>
      <c r="AK239" s="2">
        <v>2078480.72058258</v>
      </c>
      <c r="AL239" s="2">
        <v>1856283.88142833</v>
      </c>
      <c r="AM239" s="2">
        <v>1977662.2324809399</v>
      </c>
      <c r="AN239" s="2">
        <v>2013211.6649842099</v>
      </c>
      <c r="AO239" s="2">
        <v>1997575.2039698299</v>
      </c>
      <c r="AP239" s="2">
        <v>1956212.42274932</v>
      </c>
    </row>
    <row r="240" spans="1:42" ht="14.5" x14ac:dyDescent="0.35">
      <c r="A240" s="2" t="s">
        <v>1743</v>
      </c>
      <c r="B240" s="2">
        <v>601.261685999208</v>
      </c>
      <c r="C240" s="2">
        <v>9.1206166666666704</v>
      </c>
      <c r="D240" s="2" t="s">
        <v>34</v>
      </c>
      <c r="E240" s="2" t="s">
        <v>1744</v>
      </c>
      <c r="F240" s="2">
        <v>44736</v>
      </c>
      <c r="G240" s="3" t="str">
        <f>HYPERLINK("http://funmeta.oebiotech.com/network/44736", "http://funmeta.oebiotech.com/network/44736")</f>
        <v>http://funmeta.oebiotech.com/network/44736</v>
      </c>
      <c r="H240" s="2"/>
      <c r="I240" s="2"/>
      <c r="J240" s="2" t="s">
        <v>1745</v>
      </c>
      <c r="K240" s="2"/>
      <c r="L240" s="2"/>
      <c r="M240" s="2"/>
      <c r="N240" s="2"/>
      <c r="O240" s="2"/>
      <c r="P240" s="2"/>
      <c r="Q240" s="2" t="s">
        <v>1746</v>
      </c>
      <c r="R240" s="2" t="s">
        <v>1747</v>
      </c>
      <c r="S240" s="2" t="s">
        <v>50</v>
      </c>
      <c r="T240" s="2" t="s">
        <v>124</v>
      </c>
      <c r="U240" s="2" t="s">
        <v>567</v>
      </c>
      <c r="V240" s="2" t="s">
        <v>42</v>
      </c>
      <c r="W240" s="2">
        <v>54.4</v>
      </c>
      <c r="X240" s="2">
        <v>74.5</v>
      </c>
      <c r="Y240" s="2" t="s">
        <v>323</v>
      </c>
      <c r="Z240" s="2" t="s">
        <v>1748</v>
      </c>
      <c r="AA240" s="2">
        <v>-0.42686242541667502</v>
      </c>
      <c r="AB240" s="2">
        <v>1.9317033823637</v>
      </c>
      <c r="AC240" s="2">
        <v>464105.04283567797</v>
      </c>
      <c r="AD240" s="2">
        <v>211501.70523778201</v>
      </c>
      <c r="AE240" s="2">
        <v>463310.65591991902</v>
      </c>
      <c r="AF240" s="2">
        <v>480882.58435852698</v>
      </c>
      <c r="AG240" s="2">
        <v>472130.878456295</v>
      </c>
      <c r="AH240" s="2">
        <v>473382.26136685</v>
      </c>
      <c r="AI240" s="2">
        <v>452635.10966515401</v>
      </c>
      <c r="AJ240" s="2">
        <v>442288.767247323</v>
      </c>
      <c r="AK240" s="2">
        <v>171391.88641040001</v>
      </c>
      <c r="AL240" s="2">
        <v>281409.211491692</v>
      </c>
      <c r="AM240" s="2">
        <v>249463.728807326</v>
      </c>
      <c r="AN240" s="2">
        <v>155747.17132494401</v>
      </c>
      <c r="AO240" s="2">
        <v>180468.32604088201</v>
      </c>
      <c r="AP240" s="2">
        <v>230529.907351448</v>
      </c>
    </row>
    <row r="241" spans="1:42" ht="14.5" x14ac:dyDescent="0.35">
      <c r="A241" s="2" t="s">
        <v>1749</v>
      </c>
      <c r="B241" s="2">
        <v>479.29997442578502</v>
      </c>
      <c r="C241" s="2">
        <v>4.4289500000000004</v>
      </c>
      <c r="D241" s="2" t="s">
        <v>34</v>
      </c>
      <c r="E241" s="2" t="s">
        <v>1750</v>
      </c>
      <c r="F241" s="2">
        <v>64424</v>
      </c>
      <c r="G241" s="3" t="str">
        <f>HYPERLINK("http://funmeta.oebiotech.com/network/64424", "http://funmeta.oebiotech.com/network/64424")</f>
        <v>http://funmeta.oebiotech.com/network/64424</v>
      </c>
      <c r="H241" s="2" t="s">
        <v>1751</v>
      </c>
      <c r="I241" s="2">
        <v>95740</v>
      </c>
      <c r="J241" s="2"/>
      <c r="K241" s="2"/>
      <c r="L241" s="2"/>
      <c r="M241" s="2"/>
      <c r="N241" s="2"/>
      <c r="O241" s="2">
        <v>131753107</v>
      </c>
      <c r="P241" s="2" t="s">
        <v>1752</v>
      </c>
      <c r="Q241" s="2" t="s">
        <v>1753</v>
      </c>
      <c r="R241" s="2" t="s">
        <v>1754</v>
      </c>
      <c r="S241" s="2" t="s">
        <v>50</v>
      </c>
      <c r="T241" s="2" t="s">
        <v>124</v>
      </c>
      <c r="U241" s="2" t="s">
        <v>523</v>
      </c>
      <c r="V241" s="2" t="s">
        <v>42</v>
      </c>
      <c r="W241" s="2">
        <v>48.4</v>
      </c>
      <c r="X241" s="2">
        <v>47.4</v>
      </c>
      <c r="Y241" s="2" t="s">
        <v>1755</v>
      </c>
      <c r="Z241" s="2" t="s">
        <v>1756</v>
      </c>
      <c r="AA241" s="2">
        <v>-0.71668180937718695</v>
      </c>
      <c r="AB241" s="2">
        <v>1.9309542306340799</v>
      </c>
      <c r="AC241" s="2">
        <v>360006.36277067102</v>
      </c>
      <c r="AD241" s="2">
        <v>623802.52725786704</v>
      </c>
      <c r="AE241" s="2">
        <v>361695.13992402703</v>
      </c>
      <c r="AF241" s="2">
        <v>337930.574210972</v>
      </c>
      <c r="AG241" s="2">
        <v>366413.32801000302</v>
      </c>
      <c r="AH241" s="2">
        <v>348599.534044648</v>
      </c>
      <c r="AI241" s="2">
        <v>383493.52751872101</v>
      </c>
      <c r="AJ241" s="2">
        <v>361906.07291565603</v>
      </c>
      <c r="AK241" s="2">
        <v>594810.52173605002</v>
      </c>
      <c r="AL241" s="2">
        <v>739351.12517182506</v>
      </c>
      <c r="AM241" s="2">
        <v>541214.93070743198</v>
      </c>
      <c r="AN241" s="2">
        <v>540303.54238979903</v>
      </c>
      <c r="AO241" s="2">
        <v>676468.81194627204</v>
      </c>
      <c r="AP241" s="2">
        <v>650666.23159582401</v>
      </c>
    </row>
    <row r="242" spans="1:42" ht="14.5" x14ac:dyDescent="0.35">
      <c r="A242" s="2" t="s">
        <v>1757</v>
      </c>
      <c r="B242" s="2">
        <v>431.09812920996501</v>
      </c>
      <c r="C242" s="2">
        <v>5.00538333333333</v>
      </c>
      <c r="D242" s="2" t="s">
        <v>70</v>
      </c>
      <c r="E242" s="2" t="s">
        <v>1758</v>
      </c>
      <c r="F242" s="2">
        <v>31718</v>
      </c>
      <c r="G242" s="3" t="str">
        <f>HYPERLINK("http://funmeta.oebiotech.com/network/31718", "http://funmeta.oebiotech.com/network/31718")</f>
        <v>http://funmeta.oebiotech.com/network/31718</v>
      </c>
      <c r="H242" s="2"/>
      <c r="I242" s="2"/>
      <c r="J242" s="2" t="s">
        <v>1759</v>
      </c>
      <c r="K242" s="2"/>
      <c r="L242" s="2"/>
      <c r="M242" s="2"/>
      <c r="N242" s="2"/>
      <c r="O242" s="2">
        <v>5488496</v>
      </c>
      <c r="P242" s="2"/>
      <c r="Q242" s="2" t="s">
        <v>1760</v>
      </c>
      <c r="R242" s="2" t="s">
        <v>1761</v>
      </c>
      <c r="S242" s="2" t="s">
        <v>115</v>
      </c>
      <c r="T242" s="2" t="s">
        <v>139</v>
      </c>
      <c r="U242" s="2" t="s">
        <v>140</v>
      </c>
      <c r="V242" s="2" t="s">
        <v>42</v>
      </c>
      <c r="W242" s="2">
        <v>53.2</v>
      </c>
      <c r="X242" s="2">
        <v>70.3</v>
      </c>
      <c r="Y242" s="2" t="s">
        <v>498</v>
      </c>
      <c r="Z242" s="2" t="s">
        <v>1373</v>
      </c>
      <c r="AA242" s="2">
        <v>-0.55818533554653704</v>
      </c>
      <c r="AB242" s="2">
        <v>1.9235707513938001</v>
      </c>
      <c r="AC242" s="2">
        <v>1042256.30779248</v>
      </c>
      <c r="AD242" s="2">
        <v>1303619.53377329</v>
      </c>
      <c r="AE242" s="2">
        <v>1016823.27755751</v>
      </c>
      <c r="AF242" s="2">
        <v>1070229.9703621301</v>
      </c>
      <c r="AG242" s="2">
        <v>1063151.8484485301</v>
      </c>
      <c r="AH242" s="2">
        <v>986118.90932392399</v>
      </c>
      <c r="AI242" s="2">
        <v>1062664.23645818</v>
      </c>
      <c r="AJ242" s="2">
        <v>1054549.6046046</v>
      </c>
      <c r="AK242" s="2">
        <v>1325753.4006076001</v>
      </c>
      <c r="AL242" s="2">
        <v>1277399.89806437</v>
      </c>
      <c r="AM242" s="2">
        <v>1396079.6129175799</v>
      </c>
      <c r="AN242" s="2">
        <v>1269572.7119108101</v>
      </c>
      <c r="AO242" s="2">
        <v>1190729.8709130201</v>
      </c>
      <c r="AP242" s="2">
        <v>1362181.7082263499</v>
      </c>
    </row>
    <row r="243" spans="1:42" ht="14.5" x14ac:dyDescent="0.35">
      <c r="A243" s="2" t="s">
        <v>1762</v>
      </c>
      <c r="B243" s="2">
        <v>938.41565737400197</v>
      </c>
      <c r="C243" s="2">
        <v>9.0083833333333292</v>
      </c>
      <c r="D243" s="2" t="s">
        <v>34</v>
      </c>
      <c r="E243" s="4" t="s">
        <v>1763</v>
      </c>
      <c r="F243" s="2">
        <v>466347</v>
      </c>
      <c r="G243" s="3" t="str">
        <f>HYPERLINK("http://funmeta.oebiotech.com/network/466347", "http://funmeta.oebiotech.com/network/466347")</f>
        <v>http://funmeta.oebiotech.com/network/466347</v>
      </c>
      <c r="H243" s="2"/>
      <c r="I243" s="2">
        <v>84944</v>
      </c>
      <c r="J243" s="2"/>
      <c r="K243" s="2"/>
      <c r="L243" s="2"/>
      <c r="M243" s="2"/>
      <c r="N243" s="2"/>
      <c r="O243" s="2">
        <v>24793433</v>
      </c>
      <c r="P243" s="2" t="s">
        <v>1764</v>
      </c>
      <c r="Q243" s="2" t="s">
        <v>1765</v>
      </c>
      <c r="R243" s="2" t="s">
        <v>1766</v>
      </c>
      <c r="S243" s="2" t="s">
        <v>50</v>
      </c>
      <c r="T243" s="2" t="s">
        <v>201</v>
      </c>
      <c r="U243" s="2" t="s">
        <v>241</v>
      </c>
      <c r="V243" s="2" t="s">
        <v>59</v>
      </c>
      <c r="W243" s="2">
        <v>46.9</v>
      </c>
      <c r="X243" s="2">
        <v>39.9</v>
      </c>
      <c r="Y243" s="2" t="s">
        <v>242</v>
      </c>
      <c r="Z243" s="2" t="s">
        <v>1767</v>
      </c>
      <c r="AA243" s="2">
        <v>-1.2999821297489</v>
      </c>
      <c r="AB243" s="2">
        <v>1.9102014014968201</v>
      </c>
      <c r="AC243" s="2">
        <v>557202.81757790898</v>
      </c>
      <c r="AD243" s="2">
        <v>806137.03679177305</v>
      </c>
      <c r="AE243" s="2">
        <v>547078.83864434506</v>
      </c>
      <c r="AF243" s="2">
        <v>571571.77018393006</v>
      </c>
      <c r="AG243" s="2">
        <v>541264.04185229202</v>
      </c>
      <c r="AH243" s="2">
        <v>506334.06657478103</v>
      </c>
      <c r="AI243" s="2">
        <v>566453.55148389202</v>
      </c>
      <c r="AJ243" s="2">
        <v>610514.63672821398</v>
      </c>
      <c r="AK243" s="2">
        <v>805578.82893107599</v>
      </c>
      <c r="AL243" s="2">
        <v>843524.89521227102</v>
      </c>
      <c r="AM243" s="2">
        <v>764859.52232682495</v>
      </c>
      <c r="AN243" s="2">
        <v>837386.85387219</v>
      </c>
      <c r="AO243" s="2">
        <v>746099.67773318803</v>
      </c>
      <c r="AP243" s="2">
        <v>839372.44267508597</v>
      </c>
    </row>
    <row r="244" spans="1:42" ht="14.5" x14ac:dyDescent="0.35">
      <c r="A244" s="2" t="s">
        <v>1768</v>
      </c>
      <c r="B244" s="2">
        <v>609.25387856644602</v>
      </c>
      <c r="C244" s="2">
        <v>5.5245499999999996</v>
      </c>
      <c r="D244" s="2" t="s">
        <v>70</v>
      </c>
      <c r="E244" s="2" t="s">
        <v>1769</v>
      </c>
      <c r="F244" s="2">
        <v>19</v>
      </c>
      <c r="G244" s="3" t="str">
        <f>HYPERLINK("http://funmeta.oebiotech.com/network/19", "http://funmeta.oebiotech.com/network/19")</f>
        <v>http://funmeta.oebiotech.com/network/19</v>
      </c>
      <c r="H244" s="2"/>
      <c r="I244" s="2">
        <v>96752</v>
      </c>
      <c r="J244" s="2" t="s">
        <v>1770</v>
      </c>
      <c r="K244" s="2"/>
      <c r="L244" s="2"/>
      <c r="M244" s="2"/>
      <c r="N244" s="2"/>
      <c r="O244" s="2">
        <v>56935796</v>
      </c>
      <c r="P244" s="2"/>
      <c r="Q244" s="2" t="s">
        <v>1771</v>
      </c>
      <c r="R244" s="2" t="s">
        <v>1772</v>
      </c>
      <c r="S244" s="2" t="s">
        <v>89</v>
      </c>
      <c r="T244" s="2" t="s">
        <v>1773</v>
      </c>
      <c r="U244" s="2" t="s">
        <v>1774</v>
      </c>
      <c r="V244" s="2" t="s">
        <v>59</v>
      </c>
      <c r="W244" s="2">
        <v>41.8</v>
      </c>
      <c r="X244" s="2">
        <v>43.7</v>
      </c>
      <c r="Y244" s="2" t="s">
        <v>408</v>
      </c>
      <c r="Z244" s="2" t="s">
        <v>1775</v>
      </c>
      <c r="AA244" s="2">
        <v>-0.11082113947948299</v>
      </c>
      <c r="AB244" s="2">
        <v>1.8994294088466901</v>
      </c>
      <c r="AC244" s="2">
        <v>1919053.1271335101</v>
      </c>
      <c r="AD244" s="2">
        <v>2172167.7479646001</v>
      </c>
      <c r="AE244" s="2">
        <v>1986290.7998544299</v>
      </c>
      <c r="AF244" s="2">
        <v>1861825.9337850399</v>
      </c>
      <c r="AG244" s="2">
        <v>1908465.9190088899</v>
      </c>
      <c r="AH244" s="2">
        <v>1906085.60716979</v>
      </c>
      <c r="AI244" s="2">
        <v>1878019.94279475</v>
      </c>
      <c r="AJ244" s="2">
        <v>1973630.56018816</v>
      </c>
      <c r="AK244" s="2">
        <v>2117553.9174657599</v>
      </c>
      <c r="AL244" s="2">
        <v>2166547.29979508</v>
      </c>
      <c r="AM244" s="2">
        <v>2275873.63101824</v>
      </c>
      <c r="AN244" s="2">
        <v>2162605.4255088498</v>
      </c>
      <c r="AO244" s="2">
        <v>2165170.08483611</v>
      </c>
      <c r="AP244" s="2">
        <v>2145256.12916356</v>
      </c>
    </row>
    <row r="245" spans="1:42" ht="14.5" x14ac:dyDescent="0.35">
      <c r="A245" s="2" t="s">
        <v>1776</v>
      </c>
      <c r="B245" s="2">
        <v>537.24557844342496</v>
      </c>
      <c r="C245" s="2">
        <v>7.53433333333333</v>
      </c>
      <c r="D245" s="2" t="s">
        <v>34</v>
      </c>
      <c r="E245" s="2" t="s">
        <v>1777</v>
      </c>
      <c r="F245" s="2">
        <v>60685</v>
      </c>
      <c r="G245" s="3" t="str">
        <f>HYPERLINK("http://funmeta.oebiotech.com/network/60685", "http://funmeta.oebiotech.com/network/60685")</f>
        <v>http://funmeta.oebiotech.com/network/60685</v>
      </c>
      <c r="H245" s="2" t="s">
        <v>1778</v>
      </c>
      <c r="I245" s="2"/>
      <c r="J245" s="2"/>
      <c r="K245" s="2"/>
      <c r="L245" s="2"/>
      <c r="M245" s="2"/>
      <c r="N245" s="2"/>
      <c r="O245" s="2">
        <v>131752131</v>
      </c>
      <c r="P245" s="2"/>
      <c r="Q245" s="2" t="s">
        <v>1779</v>
      </c>
      <c r="R245" s="2" t="s">
        <v>1780</v>
      </c>
      <c r="S245" s="2" t="s">
        <v>50</v>
      </c>
      <c r="T245" s="2" t="s">
        <v>201</v>
      </c>
      <c r="U245" s="2" t="s">
        <v>636</v>
      </c>
      <c r="V245" s="2" t="s">
        <v>59</v>
      </c>
      <c r="W245" s="2">
        <v>44.4</v>
      </c>
      <c r="X245" s="2">
        <v>26.2</v>
      </c>
      <c r="Y245" s="2" t="s">
        <v>1781</v>
      </c>
      <c r="Z245" s="2" t="s">
        <v>1782</v>
      </c>
      <c r="AA245" s="2">
        <v>-0.60361242580436303</v>
      </c>
      <c r="AB245" s="2">
        <v>1.89552357967559</v>
      </c>
      <c r="AC245" s="2">
        <v>569686.77305339696</v>
      </c>
      <c r="AD245" s="2">
        <v>814620.93491626403</v>
      </c>
      <c r="AE245" s="2">
        <v>522131.84320128302</v>
      </c>
      <c r="AF245" s="2">
        <v>619840.72866091004</v>
      </c>
      <c r="AG245" s="2">
        <v>590662.04985370894</v>
      </c>
      <c r="AH245" s="2">
        <v>548846.12001442199</v>
      </c>
      <c r="AI245" s="2">
        <v>564742.03354248998</v>
      </c>
      <c r="AJ245" s="2">
        <v>571897.86304756696</v>
      </c>
      <c r="AK245" s="2">
        <v>774174.77317355399</v>
      </c>
      <c r="AL245" s="2">
        <v>864149.60627303598</v>
      </c>
      <c r="AM245" s="2">
        <v>827198.701759291</v>
      </c>
      <c r="AN245" s="2">
        <v>856899.56898885302</v>
      </c>
      <c r="AO245" s="2">
        <v>795332.85846479703</v>
      </c>
      <c r="AP245" s="2">
        <v>769970.10083805397</v>
      </c>
    </row>
    <row r="246" spans="1:42" ht="14.5" x14ac:dyDescent="0.35">
      <c r="A246" s="2" t="s">
        <v>1783</v>
      </c>
      <c r="B246" s="2">
        <v>688.36804642862899</v>
      </c>
      <c r="C246" s="2">
        <v>6.8700666666666699</v>
      </c>
      <c r="D246" s="2" t="s">
        <v>34</v>
      </c>
      <c r="E246" s="2" t="s">
        <v>1784</v>
      </c>
      <c r="F246" s="2">
        <v>27984</v>
      </c>
      <c r="G246" s="3" t="str">
        <f>HYPERLINK("http://funmeta.oebiotech.com/network/27984", "http://funmeta.oebiotech.com/network/27984")</f>
        <v>http://funmeta.oebiotech.com/network/27984</v>
      </c>
      <c r="H246" s="2"/>
      <c r="I246" s="2"/>
      <c r="J246" s="2" t="s">
        <v>1785</v>
      </c>
      <c r="K246" s="2"/>
      <c r="L246" s="2"/>
      <c r="M246" s="2"/>
      <c r="N246" s="2"/>
      <c r="O246" s="2">
        <v>134812431</v>
      </c>
      <c r="P246" s="2"/>
      <c r="Q246" s="2" t="s">
        <v>1786</v>
      </c>
      <c r="R246" s="2" t="s">
        <v>1787</v>
      </c>
      <c r="S246" s="2" t="s">
        <v>50</v>
      </c>
      <c r="T246" s="2" t="s">
        <v>51</v>
      </c>
      <c r="U246" s="2" t="s">
        <v>52</v>
      </c>
      <c r="V246" s="2" t="s">
        <v>59</v>
      </c>
      <c r="W246" s="2">
        <v>47.3</v>
      </c>
      <c r="X246" s="2">
        <v>44.4</v>
      </c>
      <c r="Y246" s="2" t="s">
        <v>43</v>
      </c>
      <c r="Z246" s="2" t="s">
        <v>1788</v>
      </c>
      <c r="AA246" s="2">
        <v>1.90626307731079</v>
      </c>
      <c r="AB246" s="2">
        <v>1.8952916108336699</v>
      </c>
      <c r="AC246" s="2">
        <v>219294.29869010401</v>
      </c>
      <c r="AD246" s="2">
        <v>456274.03465162998</v>
      </c>
      <c r="AE246" s="2">
        <v>219238.02163753501</v>
      </c>
      <c r="AF246" s="2">
        <v>205723.852435907</v>
      </c>
      <c r="AG246" s="2">
        <v>215601.15229684699</v>
      </c>
      <c r="AH246" s="2">
        <v>218638.236700882</v>
      </c>
      <c r="AI246" s="2">
        <v>225668.894209502</v>
      </c>
      <c r="AJ246" s="2">
        <v>230895.63485994801</v>
      </c>
      <c r="AK246" s="2">
        <v>466402.70938548603</v>
      </c>
      <c r="AL246" s="2">
        <v>452984.24487707601</v>
      </c>
      <c r="AM246" s="2">
        <v>428547.43047820398</v>
      </c>
      <c r="AN246" s="2">
        <v>446137.06555572402</v>
      </c>
      <c r="AO246" s="2">
        <v>469034.37715050101</v>
      </c>
      <c r="AP246" s="2">
        <v>474538.38046278601</v>
      </c>
    </row>
    <row r="247" spans="1:42" ht="14.5" x14ac:dyDescent="0.35">
      <c r="A247" s="2" t="s">
        <v>1789</v>
      </c>
      <c r="B247" s="2">
        <v>962.69693130738494</v>
      </c>
      <c r="C247" s="2">
        <v>13.9186666666667</v>
      </c>
      <c r="D247" s="2" t="s">
        <v>34</v>
      </c>
      <c r="E247" s="2" t="s">
        <v>1790</v>
      </c>
      <c r="F247" s="2">
        <v>49786</v>
      </c>
      <c r="G247" s="3" t="str">
        <f>HYPERLINK("http://funmeta.oebiotech.com/network/49786", "http://funmeta.oebiotech.com/network/49786")</f>
        <v>http://funmeta.oebiotech.com/network/49786</v>
      </c>
      <c r="H247" s="2" t="s">
        <v>1791</v>
      </c>
      <c r="I247" s="2">
        <v>60064</v>
      </c>
      <c r="J247" s="2"/>
      <c r="K247" s="2"/>
      <c r="L247" s="2" t="s">
        <v>335</v>
      </c>
      <c r="M247" s="2" t="s">
        <v>336</v>
      </c>
      <c r="N247" s="2" t="s">
        <v>337</v>
      </c>
      <c r="O247" s="2">
        <v>53479241</v>
      </c>
      <c r="P247" s="2"/>
      <c r="Q247" s="2" t="s">
        <v>1792</v>
      </c>
      <c r="R247" s="2" t="s">
        <v>1793</v>
      </c>
      <c r="S247" s="2" t="s">
        <v>50</v>
      </c>
      <c r="T247" s="2" t="s">
        <v>51</v>
      </c>
      <c r="U247" s="2" t="s">
        <v>168</v>
      </c>
      <c r="V247" s="2" t="s">
        <v>59</v>
      </c>
      <c r="W247" s="2">
        <v>37.1</v>
      </c>
      <c r="X247" s="2">
        <v>1.14E-2</v>
      </c>
      <c r="Y247" s="2" t="s">
        <v>340</v>
      </c>
      <c r="Z247" s="2" t="s">
        <v>1794</v>
      </c>
      <c r="AA247" s="2">
        <v>-0.57661064571671705</v>
      </c>
      <c r="AB247" s="2">
        <v>1.88993453600072</v>
      </c>
      <c r="AC247" s="2">
        <v>243.289553601563</v>
      </c>
      <c r="AD247" s="2">
        <v>235623.14593380701</v>
      </c>
      <c r="AE247" s="2">
        <v>314.10747837247698</v>
      </c>
      <c r="AF247" s="2">
        <v>407.87141269726902</v>
      </c>
      <c r="AG247" s="2">
        <v>129.24301848717701</v>
      </c>
      <c r="AH247" s="2">
        <v>465.14929190706499</v>
      </c>
      <c r="AI247" s="2">
        <v>143.366093039097</v>
      </c>
      <c r="AJ247" s="2">
        <v>2.7106294003980101E-5</v>
      </c>
      <c r="AK247" s="2">
        <v>228467.206260415</v>
      </c>
      <c r="AL247" s="2">
        <v>219416.815089424</v>
      </c>
      <c r="AM247" s="2">
        <v>251770.931022581</v>
      </c>
      <c r="AN247" s="2">
        <v>216816.588645752</v>
      </c>
      <c r="AO247" s="2">
        <v>238907.42435243801</v>
      </c>
      <c r="AP247" s="2">
        <v>258359.91023223399</v>
      </c>
    </row>
    <row r="248" spans="1:42" ht="14.5" x14ac:dyDescent="0.35">
      <c r="A248" s="2" t="s">
        <v>1795</v>
      </c>
      <c r="B248" s="2">
        <v>842.57857150386303</v>
      </c>
      <c r="C248" s="2">
        <v>12.804</v>
      </c>
      <c r="D248" s="2" t="s">
        <v>34</v>
      </c>
      <c r="E248" s="2" t="s">
        <v>1796</v>
      </c>
      <c r="F248" s="2">
        <v>83032</v>
      </c>
      <c r="G248" s="3" t="str">
        <f>HYPERLINK("http://funmeta.oebiotech.com/network/83032", "http://funmeta.oebiotech.com/network/83032")</f>
        <v>http://funmeta.oebiotech.com/network/83032</v>
      </c>
      <c r="H248" s="2" t="s">
        <v>1797</v>
      </c>
      <c r="I248" s="2"/>
      <c r="J248" s="2"/>
      <c r="K248" s="2"/>
      <c r="L248" s="2"/>
      <c r="M248" s="2"/>
      <c r="N248" s="2"/>
      <c r="O248" s="2"/>
      <c r="P248" s="2"/>
      <c r="Q248" s="2" t="s">
        <v>1798</v>
      </c>
      <c r="R248" s="2" t="s">
        <v>1799</v>
      </c>
      <c r="S248" s="2" t="s">
        <v>50</v>
      </c>
      <c r="T248" s="2" t="s">
        <v>51</v>
      </c>
      <c r="U248" s="2" t="s">
        <v>168</v>
      </c>
      <c r="V248" s="2" t="s">
        <v>59</v>
      </c>
      <c r="W248" s="2">
        <v>36.1</v>
      </c>
      <c r="X248" s="2">
        <v>0</v>
      </c>
      <c r="Y248" s="2" t="s">
        <v>43</v>
      </c>
      <c r="Z248" s="2" t="s">
        <v>1800</v>
      </c>
      <c r="AA248" s="2">
        <v>0.71143543531357401</v>
      </c>
      <c r="AB248" s="2">
        <v>1.8857590545842999</v>
      </c>
      <c r="AC248" s="2">
        <v>40132.859199164697</v>
      </c>
      <c r="AD248" s="2">
        <v>275366.11105818098</v>
      </c>
      <c r="AE248" s="2">
        <v>36450.409459288101</v>
      </c>
      <c r="AF248" s="2">
        <v>39424.227469249003</v>
      </c>
      <c r="AG248" s="2">
        <v>41902.735981310398</v>
      </c>
      <c r="AH248" s="2">
        <v>39668.759252404903</v>
      </c>
      <c r="AI248" s="2">
        <v>37412.740301281701</v>
      </c>
      <c r="AJ248" s="2">
        <v>45938.282731454201</v>
      </c>
      <c r="AK248" s="2">
        <v>276493.87669005099</v>
      </c>
      <c r="AL248" s="2">
        <v>276054.01624913397</v>
      </c>
      <c r="AM248" s="2">
        <v>314214.41988624999</v>
      </c>
      <c r="AN248" s="2">
        <v>246088.82942366801</v>
      </c>
      <c r="AO248" s="2">
        <v>277824.35150100902</v>
      </c>
      <c r="AP248" s="2">
        <v>261521.17259897501</v>
      </c>
    </row>
    <row r="249" spans="1:42" ht="14.5" x14ac:dyDescent="0.35">
      <c r="A249" s="2" t="s">
        <v>1801</v>
      </c>
      <c r="B249" s="2">
        <v>547.21788470231104</v>
      </c>
      <c r="C249" s="2">
        <v>5.4873666666666701</v>
      </c>
      <c r="D249" s="2" t="s">
        <v>70</v>
      </c>
      <c r="E249" s="2" t="s">
        <v>1802</v>
      </c>
      <c r="F249" s="2">
        <v>33062</v>
      </c>
      <c r="G249" s="3" t="str">
        <f>HYPERLINK("http://funmeta.oebiotech.com/network/33062", "http://funmeta.oebiotech.com/network/33062")</f>
        <v>http://funmeta.oebiotech.com/network/33062</v>
      </c>
      <c r="H249" s="2"/>
      <c r="I249" s="2">
        <v>51389</v>
      </c>
      <c r="J249" s="2" t="s">
        <v>1803</v>
      </c>
      <c r="K249" s="2"/>
      <c r="L249" s="2"/>
      <c r="M249" s="2"/>
      <c r="N249" s="2"/>
      <c r="O249" s="2">
        <v>10601538</v>
      </c>
      <c r="P249" s="2"/>
      <c r="Q249" s="2" t="s">
        <v>1804</v>
      </c>
      <c r="R249" s="2" t="s">
        <v>1805</v>
      </c>
      <c r="S249" s="2" t="s">
        <v>115</v>
      </c>
      <c r="T249" s="2" t="s">
        <v>139</v>
      </c>
      <c r="U249" s="2" t="s">
        <v>1806</v>
      </c>
      <c r="V249" s="2" t="s">
        <v>42</v>
      </c>
      <c r="W249" s="2">
        <v>49.3</v>
      </c>
      <c r="X249" s="2">
        <v>54.6</v>
      </c>
      <c r="Y249" s="2" t="s">
        <v>286</v>
      </c>
      <c r="Z249" s="2" t="s">
        <v>1807</v>
      </c>
      <c r="AA249" s="2">
        <v>-1.19635572311886</v>
      </c>
      <c r="AB249" s="2">
        <v>1.8820961146005499</v>
      </c>
      <c r="AC249" s="2">
        <v>284011.95650660899</v>
      </c>
      <c r="AD249" s="2">
        <v>50944.990798176797</v>
      </c>
      <c r="AE249" s="2">
        <v>296013.05963128299</v>
      </c>
      <c r="AF249" s="2">
        <v>277426.29270753398</v>
      </c>
      <c r="AG249" s="2">
        <v>288390.894761317</v>
      </c>
      <c r="AH249" s="2">
        <v>300471.78075773799</v>
      </c>
      <c r="AI249" s="2">
        <v>278245.74782147497</v>
      </c>
      <c r="AJ249" s="2">
        <v>263523.96336030599</v>
      </c>
      <c r="AK249" s="2">
        <v>50889.722105317698</v>
      </c>
      <c r="AL249" s="2">
        <v>48619.3730959483</v>
      </c>
      <c r="AM249" s="2">
        <v>57225.719486541202</v>
      </c>
      <c r="AN249" s="2">
        <v>48403.374377052001</v>
      </c>
      <c r="AO249" s="2">
        <v>48912.052272724002</v>
      </c>
      <c r="AP249" s="2">
        <v>51619.703451477799</v>
      </c>
    </row>
    <row r="250" spans="1:42" ht="14.5" x14ac:dyDescent="0.35">
      <c r="A250" s="2" t="s">
        <v>1808</v>
      </c>
      <c r="B250" s="2">
        <v>557.27187700786897</v>
      </c>
      <c r="C250" s="2">
        <v>10.1513166666667</v>
      </c>
      <c r="D250" s="2" t="s">
        <v>34</v>
      </c>
      <c r="E250" s="2" t="s">
        <v>1809</v>
      </c>
      <c r="F250" s="2">
        <v>58014</v>
      </c>
      <c r="G250" s="3" t="str">
        <f>HYPERLINK("http://funmeta.oebiotech.com/network/58014", "http://funmeta.oebiotech.com/network/58014")</f>
        <v>http://funmeta.oebiotech.com/network/58014</v>
      </c>
      <c r="H250" s="2" t="s">
        <v>1810</v>
      </c>
      <c r="I250" s="2">
        <v>89568</v>
      </c>
      <c r="J250" s="2"/>
      <c r="K250" s="2"/>
      <c r="L250" s="2"/>
      <c r="M250" s="2"/>
      <c r="N250" s="2"/>
      <c r="O250" s="2">
        <v>5091219</v>
      </c>
      <c r="P250" s="2" t="s">
        <v>1811</v>
      </c>
      <c r="Q250" s="2" t="s">
        <v>1812</v>
      </c>
      <c r="R250" s="2" t="s">
        <v>1813</v>
      </c>
      <c r="S250" s="2" t="s">
        <v>50</v>
      </c>
      <c r="T250" s="2" t="s">
        <v>124</v>
      </c>
      <c r="U250" s="2" t="s">
        <v>567</v>
      </c>
      <c r="V250" s="2" t="s">
        <v>59</v>
      </c>
      <c r="W250" s="2">
        <v>40.700000000000003</v>
      </c>
      <c r="X250" s="2">
        <v>21.9</v>
      </c>
      <c r="Y250" s="2" t="s">
        <v>376</v>
      </c>
      <c r="Z250" s="2" t="s">
        <v>1814</v>
      </c>
      <c r="AA250" s="2">
        <v>-0.42411074451421399</v>
      </c>
      <c r="AB250" s="2">
        <v>1.88119781841497</v>
      </c>
      <c r="AC250" s="2">
        <v>254978.324137822</v>
      </c>
      <c r="AD250" s="2">
        <v>20965.371907630801</v>
      </c>
      <c r="AE250" s="2">
        <v>269087.56804316997</v>
      </c>
      <c r="AF250" s="2">
        <v>252757.55130856199</v>
      </c>
      <c r="AG250" s="2">
        <v>242920.87094840399</v>
      </c>
      <c r="AH250" s="2">
        <v>241566.02502127501</v>
      </c>
      <c r="AI250" s="2">
        <v>227613.51150336699</v>
      </c>
      <c r="AJ250" s="2">
        <v>295924.41800215398</v>
      </c>
      <c r="AK250" s="2">
        <v>17866.191081382101</v>
      </c>
      <c r="AL250" s="2">
        <v>23821.747990594999</v>
      </c>
      <c r="AM250" s="2">
        <v>18660.337887429701</v>
      </c>
      <c r="AN250" s="2">
        <v>25469.278669510299</v>
      </c>
      <c r="AO250" s="2">
        <v>21080.6177744296</v>
      </c>
      <c r="AP250" s="2">
        <v>18894.058042438301</v>
      </c>
    </row>
    <row r="251" spans="1:42" ht="14.5" x14ac:dyDescent="0.35">
      <c r="A251" s="2" t="s">
        <v>1815</v>
      </c>
      <c r="B251" s="2">
        <v>331.18984919876402</v>
      </c>
      <c r="C251" s="2">
        <v>6.2166833333333296</v>
      </c>
      <c r="D251" s="2" t="s">
        <v>34</v>
      </c>
      <c r="E251" s="2" t="s">
        <v>1816</v>
      </c>
      <c r="F251" s="2">
        <v>4830</v>
      </c>
      <c r="G251" s="3" t="str">
        <f>HYPERLINK("http://funmeta.oebiotech.com/network/4830", "http://funmeta.oebiotech.com/network/4830")</f>
        <v>http://funmeta.oebiotech.com/network/4830</v>
      </c>
      <c r="H251" s="2"/>
      <c r="I251" s="2">
        <v>75047</v>
      </c>
      <c r="J251" s="2" t="s">
        <v>1817</v>
      </c>
      <c r="K251" s="2"/>
      <c r="L251" s="2"/>
      <c r="M251" s="2"/>
      <c r="N251" s="2"/>
      <c r="O251" s="2">
        <v>53477464</v>
      </c>
      <c r="P251" s="2"/>
      <c r="Q251" s="2" t="s">
        <v>1818</v>
      </c>
      <c r="R251" s="2" t="s">
        <v>1819</v>
      </c>
      <c r="S251" s="2" t="s">
        <v>50</v>
      </c>
      <c r="T251" s="2" t="s">
        <v>229</v>
      </c>
      <c r="U251" s="2" t="s">
        <v>766</v>
      </c>
      <c r="V251" s="2" t="s">
        <v>42</v>
      </c>
      <c r="W251" s="2">
        <v>54.8</v>
      </c>
      <c r="X251" s="2">
        <v>79.5</v>
      </c>
      <c r="Y251" s="2" t="s">
        <v>266</v>
      </c>
      <c r="Z251" s="2" t="s">
        <v>1820</v>
      </c>
      <c r="AA251" s="2">
        <v>-1.5409441250675</v>
      </c>
      <c r="AB251" s="2">
        <v>1.8786833804251</v>
      </c>
      <c r="AC251" s="2">
        <v>1760014.34705739</v>
      </c>
      <c r="AD251" s="2">
        <v>1511563.44985139</v>
      </c>
      <c r="AE251" s="2">
        <v>1758168.48783242</v>
      </c>
      <c r="AF251" s="2">
        <v>1794191.7788675199</v>
      </c>
      <c r="AG251" s="2">
        <v>1773654.7803678999</v>
      </c>
      <c r="AH251" s="2">
        <v>1703939.4292431001</v>
      </c>
      <c r="AI251" s="2">
        <v>1698725.73962066</v>
      </c>
      <c r="AJ251" s="2">
        <v>1831405.86641277</v>
      </c>
      <c r="AK251" s="2">
        <v>1420776.2942618299</v>
      </c>
      <c r="AL251" s="2">
        <v>1579936.3394214299</v>
      </c>
      <c r="AM251" s="2">
        <v>1542580.0872666801</v>
      </c>
      <c r="AN251" s="2">
        <v>1521103.4715191999</v>
      </c>
      <c r="AO251" s="2">
        <v>1534174.9142449501</v>
      </c>
      <c r="AP251" s="2">
        <v>1470809.59239426</v>
      </c>
    </row>
    <row r="252" spans="1:42" ht="14.5" x14ac:dyDescent="0.35">
      <c r="A252" s="2" t="s">
        <v>1821</v>
      </c>
      <c r="B252" s="2">
        <v>193.04977815734199</v>
      </c>
      <c r="C252" s="2">
        <v>4.84418333333333</v>
      </c>
      <c r="D252" s="2" t="s">
        <v>70</v>
      </c>
      <c r="E252" s="2" t="s">
        <v>1822</v>
      </c>
      <c r="F252" s="2">
        <v>47315</v>
      </c>
      <c r="G252" s="3" t="str">
        <f>HYPERLINK("http://funmeta.oebiotech.com/network/47315", "http://funmeta.oebiotech.com/network/47315")</f>
        <v>http://funmeta.oebiotech.com/network/47315</v>
      </c>
      <c r="H252" s="2" t="s">
        <v>1823</v>
      </c>
      <c r="I252" s="2">
        <v>4156</v>
      </c>
      <c r="J252" s="2"/>
      <c r="K252" s="2">
        <v>17620</v>
      </c>
      <c r="L252" s="2" t="s">
        <v>1824</v>
      </c>
      <c r="M252" s="2" t="s">
        <v>74</v>
      </c>
      <c r="N252" s="2" t="s">
        <v>75</v>
      </c>
      <c r="O252" s="2">
        <v>445858</v>
      </c>
      <c r="P252" s="2" t="s">
        <v>1825</v>
      </c>
      <c r="Q252" s="2" t="s">
        <v>1826</v>
      </c>
      <c r="R252" s="2" t="s">
        <v>1827</v>
      </c>
      <c r="S252" s="2" t="s">
        <v>115</v>
      </c>
      <c r="T252" s="2" t="s">
        <v>116</v>
      </c>
      <c r="U252" s="2" t="s">
        <v>117</v>
      </c>
      <c r="V252" s="2" t="s">
        <v>42</v>
      </c>
      <c r="W252" s="2">
        <v>55.8</v>
      </c>
      <c r="X252" s="2">
        <v>85.3</v>
      </c>
      <c r="Y252" s="2" t="s">
        <v>118</v>
      </c>
      <c r="Z252" s="2" t="s">
        <v>1828</v>
      </c>
      <c r="AA252" s="2">
        <v>-4.4018283171443802</v>
      </c>
      <c r="AB252" s="2">
        <v>1.87717176365034</v>
      </c>
      <c r="AC252" s="2">
        <v>880117.48034348397</v>
      </c>
      <c r="AD252" s="2">
        <v>643010.10903709603</v>
      </c>
      <c r="AE252" s="2">
        <v>916696.33607105003</v>
      </c>
      <c r="AF252" s="2">
        <v>852358.99779262603</v>
      </c>
      <c r="AG252" s="2">
        <v>874635.93109492795</v>
      </c>
      <c r="AH252" s="2">
        <v>873612.87713297899</v>
      </c>
      <c r="AI252" s="2">
        <v>849053.80406452599</v>
      </c>
      <c r="AJ252" s="2">
        <v>914346.935904796</v>
      </c>
      <c r="AK252" s="2">
        <v>633671.45216806803</v>
      </c>
      <c r="AL252" s="2">
        <v>607716.09962067497</v>
      </c>
      <c r="AM252" s="2">
        <v>693727.90327706002</v>
      </c>
      <c r="AN252" s="2">
        <v>630152.15591009695</v>
      </c>
      <c r="AO252" s="2">
        <v>660677.29522696603</v>
      </c>
      <c r="AP252" s="2">
        <v>632115.74801971205</v>
      </c>
    </row>
    <row r="253" spans="1:42" ht="14.5" x14ac:dyDescent="0.35">
      <c r="A253" s="2" t="s">
        <v>1829</v>
      </c>
      <c r="B253" s="2">
        <v>902.42930754595102</v>
      </c>
      <c r="C253" s="2">
        <v>6.4298666666666699</v>
      </c>
      <c r="D253" s="2" t="s">
        <v>34</v>
      </c>
      <c r="E253" s="2" t="s">
        <v>1830</v>
      </c>
      <c r="F253" s="2">
        <v>223666</v>
      </c>
      <c r="G253" s="3" t="str">
        <f>HYPERLINK("http://funmeta.oebiotech.com/network/223666", "http://funmeta.oebiotech.com/network/223666")</f>
        <v>http://funmeta.oebiotech.com/network/223666</v>
      </c>
      <c r="H253" s="2" t="s">
        <v>1831</v>
      </c>
      <c r="I253" s="2"/>
      <c r="J253" s="2"/>
      <c r="K253" s="2"/>
      <c r="L253" s="2"/>
      <c r="M253" s="2"/>
      <c r="N253" s="2"/>
      <c r="O253" s="2"/>
      <c r="P253" s="2"/>
      <c r="Q253" s="2" t="s">
        <v>1832</v>
      </c>
      <c r="R253" s="2" t="s">
        <v>1833</v>
      </c>
      <c r="S253" s="2" t="s">
        <v>41</v>
      </c>
      <c r="T253" s="2" t="s">
        <v>41</v>
      </c>
      <c r="U253" s="2" t="s">
        <v>41</v>
      </c>
      <c r="V253" s="2" t="s">
        <v>59</v>
      </c>
      <c r="W253" s="2">
        <v>36.4</v>
      </c>
      <c r="X253" s="2">
        <v>0</v>
      </c>
      <c r="Y253" s="2" t="s">
        <v>340</v>
      </c>
      <c r="Z253" s="2" t="s">
        <v>1834</v>
      </c>
      <c r="AA253" s="2">
        <v>4.9804211914801302</v>
      </c>
      <c r="AB253" s="2">
        <v>1.87223541308127</v>
      </c>
      <c r="AC253" s="2">
        <v>41805.500299732601</v>
      </c>
      <c r="AD253" s="2">
        <v>274960.299214628</v>
      </c>
      <c r="AE253" s="2">
        <v>36944.475176723201</v>
      </c>
      <c r="AF253" s="2">
        <v>31274.918144820502</v>
      </c>
      <c r="AG253" s="2">
        <v>44766.4894577327</v>
      </c>
      <c r="AH253" s="2">
        <v>37882.209988697701</v>
      </c>
      <c r="AI253" s="2">
        <v>58473.340875363901</v>
      </c>
      <c r="AJ253" s="2">
        <v>41491.568155057699</v>
      </c>
      <c r="AK253" s="2">
        <v>226041.56892445599</v>
      </c>
      <c r="AL253" s="2">
        <v>302330.377800685</v>
      </c>
      <c r="AM253" s="2">
        <v>275620.88223202201</v>
      </c>
      <c r="AN253" s="2">
        <v>257270.042227928</v>
      </c>
      <c r="AO253" s="2">
        <v>290358.83698063297</v>
      </c>
      <c r="AP253" s="2">
        <v>298140.08712204202</v>
      </c>
    </row>
    <row r="254" spans="1:42" ht="14.5" x14ac:dyDescent="0.35">
      <c r="A254" s="2" t="s">
        <v>1835</v>
      </c>
      <c r="B254" s="2">
        <v>948.59238660890696</v>
      </c>
      <c r="C254" s="2">
        <v>11.561633333333299</v>
      </c>
      <c r="D254" s="2" t="s">
        <v>34</v>
      </c>
      <c r="E254" s="2" t="s">
        <v>1836</v>
      </c>
      <c r="F254" s="2">
        <v>236738</v>
      </c>
      <c r="G254" s="3" t="str">
        <f>HYPERLINK("http://funmeta.oebiotech.com/network/236738", "http://funmeta.oebiotech.com/network/236738")</f>
        <v>http://funmeta.oebiotech.com/network/236738</v>
      </c>
      <c r="H254" s="2" t="s">
        <v>1837</v>
      </c>
      <c r="I254" s="2"/>
      <c r="J254" s="2"/>
      <c r="K254" s="2"/>
      <c r="L254" s="2"/>
      <c r="M254" s="2"/>
      <c r="N254" s="2"/>
      <c r="O254" s="2"/>
      <c r="P254" s="2"/>
      <c r="Q254" s="2" t="s">
        <v>1838</v>
      </c>
      <c r="R254" s="2" t="s">
        <v>1839</v>
      </c>
      <c r="S254" s="2" t="s">
        <v>41</v>
      </c>
      <c r="T254" s="2" t="s">
        <v>41</v>
      </c>
      <c r="U254" s="2" t="s">
        <v>41</v>
      </c>
      <c r="V254" s="2" t="s">
        <v>59</v>
      </c>
      <c r="W254" s="2">
        <v>38.200000000000003</v>
      </c>
      <c r="X254" s="2">
        <v>0</v>
      </c>
      <c r="Y254" s="2" t="s">
        <v>323</v>
      </c>
      <c r="Z254" s="2" t="s">
        <v>1840</v>
      </c>
      <c r="AA254" s="2">
        <v>-1.3482679567895</v>
      </c>
      <c r="AB254" s="2">
        <v>1.85744728460203</v>
      </c>
      <c r="AC254" s="2">
        <v>474.8955024764</v>
      </c>
      <c r="AD254" s="2">
        <v>228681.32338301599</v>
      </c>
      <c r="AE254" s="2">
        <v>1035.9094679995601</v>
      </c>
      <c r="AF254" s="2">
        <v>269.99576196731601</v>
      </c>
      <c r="AG254" s="2">
        <v>207.800712169934</v>
      </c>
      <c r="AH254" s="2">
        <v>545.94639810450599</v>
      </c>
      <c r="AI254" s="2">
        <v>242.851945580966</v>
      </c>
      <c r="AJ254" s="2">
        <v>546.86872903611504</v>
      </c>
      <c r="AK254" s="2">
        <v>228400.80295832499</v>
      </c>
      <c r="AL254" s="2">
        <v>200288.76197277999</v>
      </c>
      <c r="AM254" s="2">
        <v>267083.091011143</v>
      </c>
      <c r="AN254" s="2">
        <v>228085.78491467601</v>
      </c>
      <c r="AO254" s="2">
        <v>209118.045105264</v>
      </c>
      <c r="AP254" s="2">
        <v>239111.454335908</v>
      </c>
    </row>
    <row r="255" spans="1:42" ht="14.5" x14ac:dyDescent="0.35">
      <c r="A255" s="2" t="s">
        <v>1841</v>
      </c>
      <c r="B255" s="2">
        <v>672.373186247023</v>
      </c>
      <c r="C255" s="2">
        <v>7.1697499999999996</v>
      </c>
      <c r="D255" s="2" t="s">
        <v>34</v>
      </c>
      <c r="E255" s="2" t="s">
        <v>1842</v>
      </c>
      <c r="F255" s="2">
        <v>36092</v>
      </c>
      <c r="G255" s="3" t="str">
        <f>HYPERLINK("http://funmeta.oebiotech.com/network/36092", "http://funmeta.oebiotech.com/network/36092")</f>
        <v>http://funmeta.oebiotech.com/network/36092</v>
      </c>
      <c r="H255" s="2"/>
      <c r="I255" s="2"/>
      <c r="J255" s="2" t="s">
        <v>1843</v>
      </c>
      <c r="K255" s="2"/>
      <c r="L255" s="2"/>
      <c r="M255" s="2"/>
      <c r="N255" s="2"/>
      <c r="O255" s="2">
        <v>71712660</v>
      </c>
      <c r="P255" s="2"/>
      <c r="Q255" s="2" t="s">
        <v>1844</v>
      </c>
      <c r="R255" s="2" t="s">
        <v>1845</v>
      </c>
      <c r="S255" s="2" t="s">
        <v>50</v>
      </c>
      <c r="T255" s="2" t="s">
        <v>201</v>
      </c>
      <c r="U255" s="2" t="s">
        <v>241</v>
      </c>
      <c r="V255" s="2" t="s">
        <v>59</v>
      </c>
      <c r="W255" s="2">
        <v>46.3</v>
      </c>
      <c r="X255" s="2">
        <v>41.1</v>
      </c>
      <c r="Y255" s="2" t="s">
        <v>43</v>
      </c>
      <c r="Z255" s="2" t="s">
        <v>1846</v>
      </c>
      <c r="AA255" s="2">
        <v>-1.58492747938879</v>
      </c>
      <c r="AB255" s="2">
        <v>1.8544969851670401</v>
      </c>
      <c r="AC255" s="2">
        <v>451801.50640792598</v>
      </c>
      <c r="AD255" s="2">
        <v>686085.90282515599</v>
      </c>
      <c r="AE255" s="2">
        <v>433562.42722943501</v>
      </c>
      <c r="AF255" s="2">
        <v>459903.63236545399</v>
      </c>
      <c r="AG255" s="2">
        <v>434214.13213026302</v>
      </c>
      <c r="AH255" s="2">
        <v>423870.04835737601</v>
      </c>
      <c r="AI255" s="2">
        <v>485719.30484260397</v>
      </c>
      <c r="AJ255" s="2">
        <v>473539.493522426</v>
      </c>
      <c r="AK255" s="2">
        <v>675020.48227915505</v>
      </c>
      <c r="AL255" s="2">
        <v>660189.91025911702</v>
      </c>
      <c r="AM255" s="2">
        <v>718646.96493929904</v>
      </c>
      <c r="AN255" s="2">
        <v>655704.09643989697</v>
      </c>
      <c r="AO255" s="2">
        <v>644449.40590827097</v>
      </c>
      <c r="AP255" s="2">
        <v>762504.55712519703</v>
      </c>
    </row>
    <row r="256" spans="1:42" ht="14.5" x14ac:dyDescent="0.35">
      <c r="A256" s="2" t="s">
        <v>1847</v>
      </c>
      <c r="B256" s="2">
        <v>961.59985397717196</v>
      </c>
      <c r="C256" s="2">
        <v>11.977866666666699</v>
      </c>
      <c r="D256" s="2" t="s">
        <v>34</v>
      </c>
      <c r="E256" s="2" t="s">
        <v>1848</v>
      </c>
      <c r="F256" s="2">
        <v>230951</v>
      </c>
      <c r="G256" s="3" t="str">
        <f>HYPERLINK("http://funmeta.oebiotech.com/network/230951", "http://funmeta.oebiotech.com/network/230951")</f>
        <v>http://funmeta.oebiotech.com/network/230951</v>
      </c>
      <c r="H256" s="2" t="s">
        <v>1849</v>
      </c>
      <c r="I256" s="2"/>
      <c r="J256" s="2"/>
      <c r="K256" s="2"/>
      <c r="L256" s="2"/>
      <c r="M256" s="2"/>
      <c r="N256" s="2"/>
      <c r="O256" s="2"/>
      <c r="P256" s="2"/>
      <c r="Q256" s="2" t="s">
        <v>1850</v>
      </c>
      <c r="R256" s="2" t="s">
        <v>1851</v>
      </c>
      <c r="S256" s="2" t="s">
        <v>41</v>
      </c>
      <c r="T256" s="2" t="s">
        <v>41</v>
      </c>
      <c r="U256" s="2" t="s">
        <v>41</v>
      </c>
      <c r="V256" s="2" t="s">
        <v>59</v>
      </c>
      <c r="W256" s="2">
        <v>36.4</v>
      </c>
      <c r="X256" s="2">
        <v>0</v>
      </c>
      <c r="Y256" s="2" t="s">
        <v>394</v>
      </c>
      <c r="Z256" s="2" t="s">
        <v>1852</v>
      </c>
      <c r="AA256" s="2">
        <v>-1.38584311813406</v>
      </c>
      <c r="AB256" s="2">
        <v>1.8513820667663901</v>
      </c>
      <c r="AC256" s="2">
        <v>8777.2903783916208</v>
      </c>
      <c r="AD256" s="2">
        <v>235338.42201074999</v>
      </c>
      <c r="AE256" s="2">
        <v>11633.7354464321</v>
      </c>
      <c r="AF256" s="2">
        <v>8255.2296968310602</v>
      </c>
      <c r="AG256" s="2">
        <v>8959.3565748815599</v>
      </c>
      <c r="AH256" s="2">
        <v>7589.1052702652996</v>
      </c>
      <c r="AI256" s="2">
        <v>8311.8666766269198</v>
      </c>
      <c r="AJ256" s="2">
        <v>7914.4486053127903</v>
      </c>
      <c r="AK256" s="2">
        <v>222112.22923444299</v>
      </c>
      <c r="AL256" s="2">
        <v>197742.871847281</v>
      </c>
      <c r="AM256" s="2">
        <v>251257.57700164299</v>
      </c>
      <c r="AN256" s="2">
        <v>244113.509468031</v>
      </c>
      <c r="AO256" s="2">
        <v>235785.44101193899</v>
      </c>
      <c r="AP256" s="2">
        <v>261018.90350116399</v>
      </c>
    </row>
    <row r="257" spans="1:42" ht="14.5" x14ac:dyDescent="0.35">
      <c r="A257" s="2" t="s">
        <v>1853</v>
      </c>
      <c r="B257" s="2">
        <v>620.42910190368502</v>
      </c>
      <c r="C257" s="2">
        <v>12.2305333333333</v>
      </c>
      <c r="D257" s="2" t="s">
        <v>34</v>
      </c>
      <c r="E257" s="2" t="s">
        <v>1854</v>
      </c>
      <c r="F257" s="2">
        <v>22489</v>
      </c>
      <c r="G257" s="3" t="str">
        <f>HYPERLINK("http://funmeta.oebiotech.com/network/22489", "http://funmeta.oebiotech.com/network/22489")</f>
        <v>http://funmeta.oebiotech.com/network/22489</v>
      </c>
      <c r="H257" s="2"/>
      <c r="I257" s="2"/>
      <c r="J257" s="2" t="s">
        <v>1855</v>
      </c>
      <c r="K257" s="2"/>
      <c r="L257" s="2"/>
      <c r="M257" s="2"/>
      <c r="N257" s="2"/>
      <c r="O257" s="2">
        <v>137323962</v>
      </c>
      <c r="P257" s="2"/>
      <c r="Q257" s="2" t="s">
        <v>1856</v>
      </c>
      <c r="R257" s="2" t="s">
        <v>1857</v>
      </c>
      <c r="S257" s="2" t="s">
        <v>50</v>
      </c>
      <c r="T257" s="2" t="s">
        <v>51</v>
      </c>
      <c r="U257" s="2" t="s">
        <v>66</v>
      </c>
      <c r="V257" s="2" t="s">
        <v>59</v>
      </c>
      <c r="W257" s="2">
        <v>38.200000000000003</v>
      </c>
      <c r="X257" s="2">
        <v>10.1</v>
      </c>
      <c r="Y257" s="2" t="s">
        <v>141</v>
      </c>
      <c r="Z257" s="2" t="s">
        <v>1858</v>
      </c>
      <c r="AA257" s="2">
        <v>0.81717025720295999</v>
      </c>
      <c r="AB257" s="2">
        <v>1.8487497460030899</v>
      </c>
      <c r="AC257" s="2">
        <v>186.454295128045</v>
      </c>
      <c r="AD257" s="2">
        <v>226207.66839973</v>
      </c>
      <c r="AE257" s="2">
        <v>219.53510660241199</v>
      </c>
      <c r="AF257" s="2">
        <v>363.321966412655</v>
      </c>
      <c r="AG257" s="2">
        <v>268.22419308959502</v>
      </c>
      <c r="AH257" s="2">
        <v>109.349390845087</v>
      </c>
      <c r="AI257" s="2">
        <v>62.973573148285702</v>
      </c>
      <c r="AJ257" s="2">
        <v>95.3215406702368</v>
      </c>
      <c r="AK257" s="2">
        <v>203778.81997833599</v>
      </c>
      <c r="AL257" s="2">
        <v>212773.68264563801</v>
      </c>
      <c r="AM257" s="2">
        <v>261767.792740712</v>
      </c>
      <c r="AN257" s="2">
        <v>207313.98418166899</v>
      </c>
      <c r="AO257" s="2">
        <v>231563.44746549899</v>
      </c>
      <c r="AP257" s="2">
        <v>240048.28338652701</v>
      </c>
    </row>
    <row r="258" spans="1:42" ht="14.5" x14ac:dyDescent="0.35">
      <c r="A258" s="2" t="s">
        <v>1859</v>
      </c>
      <c r="B258" s="2">
        <v>437.32323498011999</v>
      </c>
      <c r="C258" s="2">
        <v>13.3172833333333</v>
      </c>
      <c r="D258" s="2" t="s">
        <v>34</v>
      </c>
      <c r="E258" s="2" t="s">
        <v>1860</v>
      </c>
      <c r="F258" s="2">
        <v>113730</v>
      </c>
      <c r="G258" s="3" t="str">
        <f>HYPERLINK("http://funmeta.oebiotech.com/network/113730", "http://funmeta.oebiotech.com/network/113730")</f>
        <v>http://funmeta.oebiotech.com/network/113730</v>
      </c>
      <c r="H258" s="2" t="s">
        <v>1861</v>
      </c>
      <c r="I258" s="2"/>
      <c r="J258" s="2"/>
      <c r="K258" s="2"/>
      <c r="L258" s="2"/>
      <c r="M258" s="2"/>
      <c r="N258" s="2"/>
      <c r="O258" s="2">
        <v>131802085</v>
      </c>
      <c r="P258" s="2"/>
      <c r="Q258" s="2" t="s">
        <v>1862</v>
      </c>
      <c r="R258" s="2" t="s">
        <v>1863</v>
      </c>
      <c r="S258" s="2" t="s">
        <v>50</v>
      </c>
      <c r="T258" s="2" t="s">
        <v>448</v>
      </c>
      <c r="U258" s="2" t="s">
        <v>1864</v>
      </c>
      <c r="V258" s="2" t="s">
        <v>59</v>
      </c>
      <c r="W258" s="2">
        <v>38.9</v>
      </c>
      <c r="X258" s="2">
        <v>0</v>
      </c>
      <c r="Y258" s="2" t="s">
        <v>323</v>
      </c>
      <c r="Z258" s="2" t="s">
        <v>1865</v>
      </c>
      <c r="AA258" s="2">
        <v>-1.2315481086854101</v>
      </c>
      <c r="AB258" s="2">
        <v>1.8451578235581401</v>
      </c>
      <c r="AC258" s="2">
        <v>1998.0479586654601</v>
      </c>
      <c r="AD258" s="2">
        <v>226908.944668663</v>
      </c>
      <c r="AE258" s="2">
        <v>1339.0332263426101</v>
      </c>
      <c r="AF258" s="2">
        <v>2071.64115382514</v>
      </c>
      <c r="AG258" s="2">
        <v>1432.81999216129</v>
      </c>
      <c r="AH258" s="2">
        <v>2113.2244130060799</v>
      </c>
      <c r="AI258" s="2">
        <v>3999.8668896816098</v>
      </c>
      <c r="AJ258" s="2">
        <v>1031.70207697606</v>
      </c>
      <c r="AK258" s="2">
        <v>188195.94969545701</v>
      </c>
      <c r="AL258" s="2">
        <v>220474.61184528499</v>
      </c>
      <c r="AM258" s="2">
        <v>251689.879134288</v>
      </c>
      <c r="AN258" s="2">
        <v>229208.660616537</v>
      </c>
      <c r="AO258" s="2">
        <v>236279.13704581</v>
      </c>
      <c r="AP258" s="2">
        <v>235605.42967460299</v>
      </c>
    </row>
    <row r="259" spans="1:42" ht="14.5" x14ac:dyDescent="0.35">
      <c r="A259" s="2" t="s">
        <v>1866</v>
      </c>
      <c r="B259" s="2">
        <v>443.27227186265799</v>
      </c>
      <c r="C259" s="2">
        <v>5.0414166666666702</v>
      </c>
      <c r="D259" s="2" t="s">
        <v>34</v>
      </c>
      <c r="E259" s="2" t="s">
        <v>1867</v>
      </c>
      <c r="F259" s="2">
        <v>207259</v>
      </c>
      <c r="G259" s="3" t="str">
        <f>HYPERLINK("http://funmeta.oebiotech.com/network/207259", "http://funmeta.oebiotech.com/network/207259")</f>
        <v>http://funmeta.oebiotech.com/network/207259</v>
      </c>
      <c r="H259" s="2" t="s">
        <v>1868</v>
      </c>
      <c r="I259" s="2">
        <v>148571</v>
      </c>
      <c r="J259" s="2"/>
      <c r="K259" s="2"/>
      <c r="L259" s="2"/>
      <c r="M259" s="2"/>
      <c r="N259" s="2"/>
      <c r="O259" s="2">
        <v>3988351</v>
      </c>
      <c r="P259" s="2"/>
      <c r="Q259" s="2" t="s">
        <v>1869</v>
      </c>
      <c r="R259" s="2" t="s">
        <v>1870</v>
      </c>
      <c r="S259" s="2" t="s">
        <v>41</v>
      </c>
      <c r="T259" s="2" t="s">
        <v>41</v>
      </c>
      <c r="U259" s="2" t="s">
        <v>41</v>
      </c>
      <c r="V259" s="2" t="s">
        <v>59</v>
      </c>
      <c r="W259" s="2">
        <v>38.799999999999997</v>
      </c>
      <c r="X259" s="2">
        <v>5.25</v>
      </c>
      <c r="Y259" s="2" t="s">
        <v>1871</v>
      </c>
      <c r="Z259" s="2" t="s">
        <v>1872</v>
      </c>
      <c r="AA259" s="2">
        <v>-0.51922115508612299</v>
      </c>
      <c r="AB259" s="2">
        <v>1.84241828246549</v>
      </c>
      <c r="AC259" s="2">
        <v>1309830.0364943901</v>
      </c>
      <c r="AD259" s="2">
        <v>1547862.6378494899</v>
      </c>
      <c r="AE259" s="2">
        <v>1376942.5480617101</v>
      </c>
      <c r="AF259" s="2">
        <v>1336431.5798651299</v>
      </c>
      <c r="AG259" s="2">
        <v>1314434.7291047601</v>
      </c>
      <c r="AH259" s="2">
        <v>1321423.8774268499</v>
      </c>
      <c r="AI259" s="2">
        <v>1270180.7375462099</v>
      </c>
      <c r="AJ259" s="2">
        <v>1239566.74696169</v>
      </c>
      <c r="AK259" s="2">
        <v>1535198.9537621499</v>
      </c>
      <c r="AL259" s="2">
        <v>1498988.0429175999</v>
      </c>
      <c r="AM259" s="2">
        <v>1640154.23719475</v>
      </c>
      <c r="AN259" s="2">
        <v>1529866.5218573201</v>
      </c>
      <c r="AO259" s="2">
        <v>1552740.0705236101</v>
      </c>
      <c r="AP259" s="2">
        <v>1530228.00084153</v>
      </c>
    </row>
    <row r="260" spans="1:42" ht="14.5" x14ac:dyDescent="0.35">
      <c r="A260" s="2" t="s">
        <v>1873</v>
      </c>
      <c r="B260" s="2">
        <v>657.21611730761799</v>
      </c>
      <c r="C260" s="2">
        <v>6.0864833333333301</v>
      </c>
      <c r="D260" s="2" t="s">
        <v>70</v>
      </c>
      <c r="E260" s="2" t="s">
        <v>1874</v>
      </c>
      <c r="F260" s="2">
        <v>30547</v>
      </c>
      <c r="G260" s="3" t="str">
        <f>HYPERLINK("http://funmeta.oebiotech.com/network/30547", "http://funmeta.oebiotech.com/network/30547")</f>
        <v>http://funmeta.oebiotech.com/network/30547</v>
      </c>
      <c r="H260" s="2"/>
      <c r="I260" s="2"/>
      <c r="J260" s="2" t="s">
        <v>1875</v>
      </c>
      <c r="K260" s="2"/>
      <c r="L260" s="2"/>
      <c r="M260" s="2"/>
      <c r="N260" s="2"/>
      <c r="O260" s="2">
        <v>44257893</v>
      </c>
      <c r="P260" s="2"/>
      <c r="Q260" s="2" t="s">
        <v>1876</v>
      </c>
      <c r="R260" s="2" t="s">
        <v>1877</v>
      </c>
      <c r="S260" s="2" t="s">
        <v>115</v>
      </c>
      <c r="T260" s="2" t="s">
        <v>139</v>
      </c>
      <c r="U260" s="2" t="s">
        <v>140</v>
      </c>
      <c r="V260" s="2" t="s">
        <v>59</v>
      </c>
      <c r="W260" s="2">
        <v>37.1</v>
      </c>
      <c r="X260" s="2">
        <v>0.71899999999999997</v>
      </c>
      <c r="Y260" s="2" t="s">
        <v>751</v>
      </c>
      <c r="Z260" s="2" t="s">
        <v>1878</v>
      </c>
      <c r="AA260" s="2">
        <v>-4.0845882775634896</v>
      </c>
      <c r="AB260" s="2">
        <v>1.8242404301122901</v>
      </c>
      <c r="AC260" s="2">
        <v>564844.50206556602</v>
      </c>
      <c r="AD260" s="2">
        <v>344033.37196223799</v>
      </c>
      <c r="AE260" s="2">
        <v>565102.07859151403</v>
      </c>
      <c r="AF260" s="2">
        <v>542013.69264737598</v>
      </c>
      <c r="AG260" s="2">
        <v>577418.984329278</v>
      </c>
      <c r="AH260" s="2">
        <v>577518.82207884104</v>
      </c>
      <c r="AI260" s="2">
        <v>536577.409756504</v>
      </c>
      <c r="AJ260" s="2">
        <v>590436.02498988598</v>
      </c>
      <c r="AK260" s="2">
        <v>349349.66891324503</v>
      </c>
      <c r="AL260" s="2">
        <v>369224.69880862802</v>
      </c>
      <c r="AM260" s="2">
        <v>357978.43525635899</v>
      </c>
      <c r="AN260" s="2">
        <v>324203.454834181</v>
      </c>
      <c r="AO260" s="2">
        <v>338330.89208293502</v>
      </c>
      <c r="AP260" s="2">
        <v>325113.08187808102</v>
      </c>
    </row>
    <row r="261" spans="1:42" ht="14.5" x14ac:dyDescent="0.35">
      <c r="A261" s="2" t="s">
        <v>1879</v>
      </c>
      <c r="B261" s="2">
        <v>670.233903539273</v>
      </c>
      <c r="C261" s="2">
        <v>1.64625</v>
      </c>
      <c r="D261" s="2" t="s">
        <v>34</v>
      </c>
      <c r="E261" s="2" t="s">
        <v>1880</v>
      </c>
      <c r="F261" s="2">
        <v>29517</v>
      </c>
      <c r="G261" s="3" t="str">
        <f>HYPERLINK("http://funmeta.oebiotech.com/network/29517", "http://funmeta.oebiotech.com/network/29517")</f>
        <v>http://funmeta.oebiotech.com/network/29517</v>
      </c>
      <c r="H261" s="2"/>
      <c r="I261" s="2"/>
      <c r="J261" s="2" t="s">
        <v>1881</v>
      </c>
      <c r="K261" s="2"/>
      <c r="L261" s="2"/>
      <c r="M261" s="2"/>
      <c r="N261" s="2"/>
      <c r="O261" s="2">
        <v>44257348</v>
      </c>
      <c r="P261" s="2"/>
      <c r="Q261" s="2" t="s">
        <v>1882</v>
      </c>
      <c r="R261" s="2" t="s">
        <v>1883</v>
      </c>
      <c r="S261" s="2" t="s">
        <v>115</v>
      </c>
      <c r="T261" s="2" t="s">
        <v>1371</v>
      </c>
      <c r="U261" s="2" t="s">
        <v>1372</v>
      </c>
      <c r="V261" s="2" t="s">
        <v>42</v>
      </c>
      <c r="W261" s="2">
        <v>51.4</v>
      </c>
      <c r="X261" s="2">
        <v>61.5</v>
      </c>
      <c r="Y261" s="2" t="s">
        <v>440</v>
      </c>
      <c r="Z261" s="2" t="s">
        <v>1884</v>
      </c>
      <c r="AA261" s="2">
        <v>-0.39413994932316998</v>
      </c>
      <c r="AB261" s="2">
        <v>1.8192376916472801</v>
      </c>
      <c r="AC261" s="2">
        <v>355921.932383937</v>
      </c>
      <c r="AD261" s="2">
        <v>576205.75974466</v>
      </c>
      <c r="AE261" s="2">
        <v>366674.49799541698</v>
      </c>
      <c r="AF261" s="2">
        <v>360859.05201049999</v>
      </c>
      <c r="AG261" s="2">
        <v>365774.19475505501</v>
      </c>
      <c r="AH261" s="2">
        <v>314674.44081084599</v>
      </c>
      <c r="AI261" s="2">
        <v>348517.91898390203</v>
      </c>
      <c r="AJ261" s="2">
        <v>379031.48974790302</v>
      </c>
      <c r="AK261" s="2">
        <v>576456.040756142</v>
      </c>
      <c r="AL261" s="2">
        <v>556335.61707711197</v>
      </c>
      <c r="AM261" s="2">
        <v>601478.95512318204</v>
      </c>
      <c r="AN261" s="2">
        <v>581140.52169287298</v>
      </c>
      <c r="AO261" s="2">
        <v>555315.35376484797</v>
      </c>
      <c r="AP261" s="2">
        <v>586508.07005380502</v>
      </c>
    </row>
    <row r="262" spans="1:42" ht="14.5" x14ac:dyDescent="0.35">
      <c r="A262" s="2" t="s">
        <v>1885</v>
      </c>
      <c r="B262" s="2">
        <v>551.21332572942094</v>
      </c>
      <c r="C262" s="2">
        <v>5.04155</v>
      </c>
      <c r="D262" s="2" t="s">
        <v>70</v>
      </c>
      <c r="E262" s="2" t="s">
        <v>1886</v>
      </c>
      <c r="F262" s="2">
        <v>255041</v>
      </c>
      <c r="G262" s="3" t="str">
        <f>HYPERLINK("http://funmeta.oebiotech.com/network/255041", "http://funmeta.oebiotech.com/network/255041")</f>
        <v>http://funmeta.oebiotech.com/network/255041</v>
      </c>
      <c r="H262" s="2" t="s">
        <v>1887</v>
      </c>
      <c r="I262" s="2"/>
      <c r="J262" s="2"/>
      <c r="K262" s="2"/>
      <c r="L262" s="2"/>
      <c r="M262" s="2"/>
      <c r="N262" s="2"/>
      <c r="O262" s="2"/>
      <c r="P262" s="2"/>
      <c r="Q262" s="2" t="s">
        <v>1888</v>
      </c>
      <c r="R262" s="2" t="s">
        <v>1889</v>
      </c>
      <c r="S262" s="2" t="s">
        <v>79</v>
      </c>
      <c r="T262" s="2" t="s">
        <v>80</v>
      </c>
      <c r="U262" s="2" t="s">
        <v>81</v>
      </c>
      <c r="V262" s="2" t="s">
        <v>42</v>
      </c>
      <c r="W262" s="2">
        <v>48.8</v>
      </c>
      <c r="X262" s="2">
        <v>46.3</v>
      </c>
      <c r="Y262" s="2" t="s">
        <v>751</v>
      </c>
      <c r="Z262" s="2" t="s">
        <v>1890</v>
      </c>
      <c r="AA262" s="2">
        <v>-0.13051462934387401</v>
      </c>
      <c r="AB262" s="2">
        <v>1.81463338917936</v>
      </c>
      <c r="AC262" s="2">
        <v>933931.90966611204</v>
      </c>
      <c r="AD262" s="2">
        <v>1158676.07647237</v>
      </c>
      <c r="AE262" s="2">
        <v>924104.55886252702</v>
      </c>
      <c r="AF262" s="2">
        <v>985201.19944639201</v>
      </c>
      <c r="AG262" s="2">
        <v>899929.94212499296</v>
      </c>
      <c r="AH262" s="2">
        <v>919907.94475605304</v>
      </c>
      <c r="AI262" s="2">
        <v>936668.52781807398</v>
      </c>
      <c r="AJ262" s="2">
        <v>937779.28498863499</v>
      </c>
      <c r="AK262" s="2">
        <v>1221026.44600715</v>
      </c>
      <c r="AL262" s="2">
        <v>1145300.52961726</v>
      </c>
      <c r="AM262" s="2">
        <v>1189958.3746162499</v>
      </c>
      <c r="AN262" s="2">
        <v>1148667.6151447</v>
      </c>
      <c r="AO262" s="2">
        <v>1142434.2064525599</v>
      </c>
      <c r="AP262" s="2">
        <v>1104669.2869963001</v>
      </c>
    </row>
    <row r="263" spans="1:42" ht="14.5" x14ac:dyDescent="0.35">
      <c r="A263" s="2" t="s">
        <v>1891</v>
      </c>
      <c r="B263" s="2">
        <v>690.43168910311499</v>
      </c>
      <c r="C263" s="2">
        <v>11.3656166666667</v>
      </c>
      <c r="D263" s="2" t="s">
        <v>34</v>
      </c>
      <c r="E263" s="2" t="s">
        <v>1892</v>
      </c>
      <c r="F263" s="2">
        <v>21313</v>
      </c>
      <c r="G263" s="3" t="str">
        <f>HYPERLINK("http://funmeta.oebiotech.com/network/21313", "http://funmeta.oebiotech.com/network/21313")</f>
        <v>http://funmeta.oebiotech.com/network/21313</v>
      </c>
      <c r="H263" s="2"/>
      <c r="I263" s="2">
        <v>77716</v>
      </c>
      <c r="J263" s="2" t="s">
        <v>1893</v>
      </c>
      <c r="K263" s="2"/>
      <c r="L263" s="2"/>
      <c r="M263" s="2"/>
      <c r="N263" s="2"/>
      <c r="O263" s="2">
        <v>52925162</v>
      </c>
      <c r="P263" s="2"/>
      <c r="Q263" s="2" t="s">
        <v>1894</v>
      </c>
      <c r="R263" s="2" t="s">
        <v>1895</v>
      </c>
      <c r="S263" s="2" t="s">
        <v>50</v>
      </c>
      <c r="T263" s="2" t="s">
        <v>51</v>
      </c>
      <c r="U263" s="2" t="s">
        <v>66</v>
      </c>
      <c r="V263" s="2" t="s">
        <v>59</v>
      </c>
      <c r="W263" s="2">
        <v>38.700000000000003</v>
      </c>
      <c r="X263" s="2">
        <v>7.04</v>
      </c>
      <c r="Y263" s="2" t="s">
        <v>394</v>
      </c>
      <c r="Z263" s="2" t="s">
        <v>1896</v>
      </c>
      <c r="AA263" s="2">
        <v>-3.4393960615211201</v>
      </c>
      <c r="AB263" s="2">
        <v>1.7988428861552599</v>
      </c>
      <c r="AC263" s="2">
        <v>11714.8989197022</v>
      </c>
      <c r="AD263" s="2">
        <v>226429.89835938401</v>
      </c>
      <c r="AE263" s="2">
        <v>11510.9160873651</v>
      </c>
      <c r="AF263" s="2">
        <v>10826.5785627327</v>
      </c>
      <c r="AG263" s="2">
        <v>11820.191048998</v>
      </c>
      <c r="AH263" s="2">
        <v>10618.804343334699</v>
      </c>
      <c r="AI263" s="2">
        <v>13750.0104684424</v>
      </c>
      <c r="AJ263" s="2">
        <v>11762.893007340501</v>
      </c>
      <c r="AK263" s="2">
        <v>221971.93038979699</v>
      </c>
      <c r="AL263" s="2">
        <v>182559.654318102</v>
      </c>
      <c r="AM263" s="2">
        <v>256146.84941697199</v>
      </c>
      <c r="AN263" s="2">
        <v>226680.15758469401</v>
      </c>
      <c r="AO263" s="2">
        <v>220039.38127480799</v>
      </c>
      <c r="AP263" s="2">
        <v>251181.417171932</v>
      </c>
    </row>
    <row r="264" spans="1:42" ht="14.5" x14ac:dyDescent="0.35">
      <c r="A264" s="2" t="s">
        <v>1897</v>
      </c>
      <c r="B264" s="2">
        <v>615.17181075577696</v>
      </c>
      <c r="C264" s="2">
        <v>3.7303666666666699</v>
      </c>
      <c r="D264" s="2" t="s">
        <v>70</v>
      </c>
      <c r="E264" s="2" t="s">
        <v>1898</v>
      </c>
      <c r="F264" s="2">
        <v>30546</v>
      </c>
      <c r="G264" s="3" t="str">
        <f>HYPERLINK("http://funmeta.oebiotech.com/network/30546", "http://funmeta.oebiotech.com/network/30546")</f>
        <v>http://funmeta.oebiotech.com/network/30546</v>
      </c>
      <c r="H264" s="2"/>
      <c r="I264" s="2"/>
      <c r="J264" s="2" t="s">
        <v>1899</v>
      </c>
      <c r="K264" s="2"/>
      <c r="L264" s="2"/>
      <c r="M264" s="2"/>
      <c r="N264" s="2"/>
      <c r="O264" s="2">
        <v>21630042</v>
      </c>
      <c r="P264" s="2"/>
      <c r="Q264" s="2" t="s">
        <v>1900</v>
      </c>
      <c r="R264" s="2" t="s">
        <v>1901</v>
      </c>
      <c r="S264" s="2" t="s">
        <v>115</v>
      </c>
      <c r="T264" s="2" t="s">
        <v>139</v>
      </c>
      <c r="U264" s="2" t="s">
        <v>140</v>
      </c>
      <c r="V264" s="2" t="s">
        <v>59</v>
      </c>
      <c r="W264" s="2">
        <v>44.8</v>
      </c>
      <c r="X264" s="2">
        <v>26.4</v>
      </c>
      <c r="Y264" s="2" t="s">
        <v>751</v>
      </c>
      <c r="Z264" s="2" t="s">
        <v>1902</v>
      </c>
      <c r="AA264" s="2">
        <v>-0.186865207931878</v>
      </c>
      <c r="AB264" s="2">
        <v>1.79650051195741</v>
      </c>
      <c r="AC264" s="2">
        <v>399817.37265534501</v>
      </c>
      <c r="AD264" s="2">
        <v>616716.11481162196</v>
      </c>
      <c r="AE264" s="2">
        <v>393255.62777289498</v>
      </c>
      <c r="AF264" s="2">
        <v>381842.64442962001</v>
      </c>
      <c r="AG264" s="2">
        <v>399659.71601896803</v>
      </c>
      <c r="AH264" s="2">
        <v>395590.211862344</v>
      </c>
      <c r="AI264" s="2">
        <v>402996.78997967002</v>
      </c>
      <c r="AJ264" s="2">
        <v>425559.24586857099</v>
      </c>
      <c r="AK264" s="2">
        <v>577202.77627879905</v>
      </c>
      <c r="AL264" s="2">
        <v>576878.08477411198</v>
      </c>
      <c r="AM264" s="2">
        <v>654455.87380895996</v>
      </c>
      <c r="AN264" s="2">
        <v>613524.48303229804</v>
      </c>
      <c r="AO264" s="2">
        <v>618939.45340662706</v>
      </c>
      <c r="AP264" s="2">
        <v>659296.01756893704</v>
      </c>
    </row>
    <row r="265" spans="1:42" ht="14.5" x14ac:dyDescent="0.35">
      <c r="A265" s="2" t="s">
        <v>1903</v>
      </c>
      <c r="B265" s="2">
        <v>507.15582807864502</v>
      </c>
      <c r="C265" s="2">
        <v>0.72340000000000004</v>
      </c>
      <c r="D265" s="2" t="s">
        <v>70</v>
      </c>
      <c r="E265" s="2" t="s">
        <v>1904</v>
      </c>
      <c r="F265" s="2">
        <v>200965</v>
      </c>
      <c r="G265" s="3" t="str">
        <f>HYPERLINK("http://funmeta.oebiotech.com/network/200965", "http://funmeta.oebiotech.com/network/200965")</f>
        <v>http://funmeta.oebiotech.com/network/200965</v>
      </c>
      <c r="H265" s="2" t="s">
        <v>1905</v>
      </c>
      <c r="I265" s="2"/>
      <c r="J265" s="2"/>
      <c r="K265" s="2"/>
      <c r="L265" s="2"/>
      <c r="M265" s="2"/>
      <c r="N265" s="2"/>
      <c r="O265" s="2">
        <v>135455575</v>
      </c>
      <c r="P265" s="2"/>
      <c r="Q265" s="2" t="s">
        <v>1906</v>
      </c>
      <c r="R265" s="2" t="s">
        <v>1907</v>
      </c>
      <c r="S265" s="2" t="s">
        <v>41</v>
      </c>
      <c r="T265" s="2" t="s">
        <v>41</v>
      </c>
      <c r="U265" s="2" t="s">
        <v>41</v>
      </c>
      <c r="V265" s="2" t="s">
        <v>59</v>
      </c>
      <c r="W265" s="2">
        <v>46.2</v>
      </c>
      <c r="X265" s="2">
        <v>35.6</v>
      </c>
      <c r="Y265" s="2" t="s">
        <v>560</v>
      </c>
      <c r="Z265" s="2" t="s">
        <v>1908</v>
      </c>
      <c r="AA265" s="2">
        <v>0.133046561497006</v>
      </c>
      <c r="AB265" s="2">
        <v>1.7948903867218899</v>
      </c>
      <c r="AC265" s="2">
        <v>919972.04544307699</v>
      </c>
      <c r="AD265" s="2">
        <v>1237140.92848838</v>
      </c>
      <c r="AE265" s="2">
        <v>888824.88281551003</v>
      </c>
      <c r="AF265" s="2">
        <v>905882.95793629205</v>
      </c>
      <c r="AG265" s="2">
        <v>786382.11438802001</v>
      </c>
      <c r="AH265" s="2">
        <v>1059225.67280807</v>
      </c>
      <c r="AI265" s="2">
        <v>1021855.8565956299</v>
      </c>
      <c r="AJ265" s="2">
        <v>857660.78811493702</v>
      </c>
      <c r="AK265" s="2">
        <v>1639798.9367032701</v>
      </c>
      <c r="AL265" s="2">
        <v>1444766.4501501599</v>
      </c>
      <c r="AM265" s="2">
        <v>1069572.1911508399</v>
      </c>
      <c r="AN265" s="2">
        <v>1004440.91077927</v>
      </c>
      <c r="AO265" s="2">
        <v>1206553.7564769599</v>
      </c>
      <c r="AP265" s="2">
        <v>1057713.3256697799</v>
      </c>
    </row>
    <row r="266" spans="1:42" ht="14.5" x14ac:dyDescent="0.35">
      <c r="A266" s="2" t="s">
        <v>1909</v>
      </c>
      <c r="B266" s="2">
        <v>329.17561200798798</v>
      </c>
      <c r="C266" s="2">
        <v>7.2157999999999998</v>
      </c>
      <c r="D266" s="2" t="s">
        <v>70</v>
      </c>
      <c r="E266" s="2" t="s">
        <v>1910</v>
      </c>
      <c r="F266" s="2">
        <v>7553</v>
      </c>
      <c r="G266" s="3" t="str">
        <f>HYPERLINK("http://funmeta.oebiotech.com/network/7553", "http://funmeta.oebiotech.com/network/7553")</f>
        <v>http://funmeta.oebiotech.com/network/7553</v>
      </c>
      <c r="H266" s="2"/>
      <c r="I266" s="2"/>
      <c r="J266" s="2" t="s">
        <v>1911</v>
      </c>
      <c r="K266" s="2">
        <v>65877</v>
      </c>
      <c r="L266" s="2"/>
      <c r="M266" s="2"/>
      <c r="N266" s="2"/>
      <c r="O266" s="2">
        <v>11703004</v>
      </c>
      <c r="P266" s="2"/>
      <c r="Q266" s="2" t="s">
        <v>1912</v>
      </c>
      <c r="R266" s="2" t="s">
        <v>1913</v>
      </c>
      <c r="S266" s="2" t="s">
        <v>50</v>
      </c>
      <c r="T266" s="2" t="s">
        <v>229</v>
      </c>
      <c r="U266" s="2" t="s">
        <v>1914</v>
      </c>
      <c r="V266" s="2" t="s">
        <v>42</v>
      </c>
      <c r="W266" s="2">
        <v>56.5</v>
      </c>
      <c r="X266" s="2">
        <v>86.9</v>
      </c>
      <c r="Y266" s="2" t="s">
        <v>792</v>
      </c>
      <c r="Z266" s="2" t="s">
        <v>1820</v>
      </c>
      <c r="AA266" s="2">
        <v>-0.63432448226806903</v>
      </c>
      <c r="AB266" s="2">
        <v>1.79087130542141</v>
      </c>
      <c r="AC266" s="2">
        <v>236417.646398187</v>
      </c>
      <c r="AD266" s="2">
        <v>25091.516581881398</v>
      </c>
      <c r="AE266" s="2">
        <v>248104.78754866801</v>
      </c>
      <c r="AF266" s="2">
        <v>223613.22803164399</v>
      </c>
      <c r="AG266" s="2">
        <v>263519.63305140898</v>
      </c>
      <c r="AH266" s="2">
        <v>235805.889369996</v>
      </c>
      <c r="AI266" s="2">
        <v>220782.945725942</v>
      </c>
      <c r="AJ266" s="2">
        <v>226679.394661464</v>
      </c>
      <c r="AK266" s="2">
        <v>21409.569500596201</v>
      </c>
      <c r="AL266" s="2">
        <v>22785.676819009201</v>
      </c>
      <c r="AM266" s="2">
        <v>27700.8299994997</v>
      </c>
      <c r="AN266" s="2">
        <v>20269.0837994053</v>
      </c>
      <c r="AO266" s="2">
        <v>30782.788614207599</v>
      </c>
      <c r="AP266" s="2">
        <v>27601.1507585707</v>
      </c>
    </row>
    <row r="267" spans="1:42" ht="14.5" x14ac:dyDescent="0.35">
      <c r="A267" s="2" t="s">
        <v>1915</v>
      </c>
      <c r="B267" s="2">
        <v>341.087422063416</v>
      </c>
      <c r="C267" s="2">
        <v>4.0071500000000002</v>
      </c>
      <c r="D267" s="2" t="s">
        <v>70</v>
      </c>
      <c r="E267" s="2" t="s">
        <v>1916</v>
      </c>
      <c r="F267" s="2">
        <v>257382</v>
      </c>
      <c r="G267" s="3" t="str">
        <f>HYPERLINK("http://funmeta.oebiotech.com/network/257382", "http://funmeta.oebiotech.com/network/257382")</f>
        <v>http://funmeta.oebiotech.com/network/257382</v>
      </c>
      <c r="H267" s="2" t="s">
        <v>1917</v>
      </c>
      <c r="I267" s="2"/>
      <c r="J267" s="2"/>
      <c r="K267" s="2"/>
      <c r="L267" s="2"/>
      <c r="M267" s="2"/>
      <c r="N267" s="2"/>
      <c r="O267" s="2">
        <v>129720486</v>
      </c>
      <c r="P267" s="2"/>
      <c r="Q267" s="2" t="s">
        <v>1918</v>
      </c>
      <c r="R267" s="2" t="s">
        <v>1919</v>
      </c>
      <c r="S267" s="2" t="s">
        <v>115</v>
      </c>
      <c r="T267" s="2" t="s">
        <v>116</v>
      </c>
      <c r="U267" s="2" t="s">
        <v>117</v>
      </c>
      <c r="V267" s="2" t="s">
        <v>42</v>
      </c>
      <c r="W267" s="2">
        <v>48.7</v>
      </c>
      <c r="X267" s="2">
        <v>48</v>
      </c>
      <c r="Y267" s="2" t="s">
        <v>408</v>
      </c>
      <c r="Z267" s="2" t="s">
        <v>1920</v>
      </c>
      <c r="AA267" s="2">
        <v>-1.29574500629247</v>
      </c>
      <c r="AB267" s="2">
        <v>1.7844911303994</v>
      </c>
      <c r="AC267" s="2">
        <v>723998.65212882601</v>
      </c>
      <c r="AD267" s="2">
        <v>512144.83130129601</v>
      </c>
      <c r="AE267" s="2">
        <v>711071.54970012896</v>
      </c>
      <c r="AF267" s="2">
        <v>718392.33611331298</v>
      </c>
      <c r="AG267" s="2">
        <v>746260.95764732198</v>
      </c>
      <c r="AH267" s="2">
        <v>717937.614160634</v>
      </c>
      <c r="AI267" s="2">
        <v>701143.47161364905</v>
      </c>
      <c r="AJ267" s="2">
        <v>749185.98353791004</v>
      </c>
      <c r="AK267" s="2">
        <v>508889.77008763503</v>
      </c>
      <c r="AL267" s="2">
        <v>525054.31869896397</v>
      </c>
      <c r="AM267" s="2">
        <v>529951.96905623702</v>
      </c>
      <c r="AN267" s="2">
        <v>501226.35747936799</v>
      </c>
      <c r="AO267" s="2">
        <v>474694.225250257</v>
      </c>
      <c r="AP267" s="2">
        <v>533052.34723531594</v>
      </c>
    </row>
    <row r="268" spans="1:42" ht="14.5" x14ac:dyDescent="0.35">
      <c r="A268" s="2" t="s">
        <v>1921</v>
      </c>
      <c r="B268" s="2">
        <v>550.27982051671904</v>
      </c>
      <c r="C268" s="2">
        <v>6.7110666666666701</v>
      </c>
      <c r="D268" s="2" t="s">
        <v>34</v>
      </c>
      <c r="E268" s="2" t="s">
        <v>1922</v>
      </c>
      <c r="F268" s="2">
        <v>198408</v>
      </c>
      <c r="G268" s="3" t="str">
        <f>HYPERLINK("http://funmeta.oebiotech.com/network/198408", "http://funmeta.oebiotech.com/network/198408")</f>
        <v>http://funmeta.oebiotech.com/network/198408</v>
      </c>
      <c r="H268" s="2" t="s">
        <v>1923</v>
      </c>
      <c r="I268" s="2"/>
      <c r="J268" s="2"/>
      <c r="K268" s="2"/>
      <c r="L268" s="2"/>
      <c r="M268" s="2"/>
      <c r="N268" s="2"/>
      <c r="O268" s="2"/>
      <c r="P268" s="2"/>
      <c r="Q268" s="2" t="s">
        <v>1924</v>
      </c>
      <c r="R268" s="2" t="s">
        <v>1925</v>
      </c>
      <c r="S268" s="2" t="s">
        <v>41</v>
      </c>
      <c r="T268" s="2" t="s">
        <v>41</v>
      </c>
      <c r="U268" s="2" t="s">
        <v>41</v>
      </c>
      <c r="V268" s="2" t="s">
        <v>42</v>
      </c>
      <c r="W268" s="2">
        <v>47.9</v>
      </c>
      <c r="X268" s="2">
        <v>50</v>
      </c>
      <c r="Y268" s="2" t="s">
        <v>340</v>
      </c>
      <c r="Z268" s="2" t="s">
        <v>1926</v>
      </c>
      <c r="AA268" s="2">
        <v>4.1951327717562403</v>
      </c>
      <c r="AB268" s="2">
        <v>1.7818022615543401</v>
      </c>
      <c r="AC268" s="2">
        <v>139894.77153029601</v>
      </c>
      <c r="AD268" s="2">
        <v>349209.44799235603</v>
      </c>
      <c r="AE268" s="2">
        <v>141303.35592365701</v>
      </c>
      <c r="AF268" s="2">
        <v>137726.705466896</v>
      </c>
      <c r="AG268" s="2">
        <v>148058.528332772</v>
      </c>
      <c r="AH268" s="2">
        <v>128789.658685473</v>
      </c>
      <c r="AI268" s="2">
        <v>142893.49147520401</v>
      </c>
      <c r="AJ268" s="2">
        <v>140596.88929777601</v>
      </c>
      <c r="AK268" s="2">
        <v>360949.99393517798</v>
      </c>
      <c r="AL268" s="2">
        <v>326141.95189841097</v>
      </c>
      <c r="AM268" s="2">
        <v>343234.63260024902</v>
      </c>
      <c r="AN268" s="2">
        <v>365382.00396955799</v>
      </c>
      <c r="AO268" s="2">
        <v>338960.44220267801</v>
      </c>
      <c r="AP268" s="2">
        <v>360587.66334806202</v>
      </c>
    </row>
    <row r="269" spans="1:42" ht="14.5" x14ac:dyDescent="0.35">
      <c r="A269" s="2" t="s">
        <v>1927</v>
      </c>
      <c r="B269" s="2">
        <v>496.30514727177803</v>
      </c>
      <c r="C269" s="2">
        <v>6.3760500000000002</v>
      </c>
      <c r="D269" s="2" t="s">
        <v>34</v>
      </c>
      <c r="E269" s="2" t="s">
        <v>1928</v>
      </c>
      <c r="F269" s="2">
        <v>53317</v>
      </c>
      <c r="G269" s="3" t="str">
        <f>HYPERLINK("http://funmeta.oebiotech.com/network/53317", "http://funmeta.oebiotech.com/network/53317")</f>
        <v>http://funmeta.oebiotech.com/network/53317</v>
      </c>
      <c r="H269" s="2" t="s">
        <v>1929</v>
      </c>
      <c r="I269" s="2"/>
      <c r="J269" s="2"/>
      <c r="K269" s="2"/>
      <c r="L269" s="2"/>
      <c r="M269" s="2"/>
      <c r="N269" s="2"/>
      <c r="O269" s="2">
        <v>6443959</v>
      </c>
      <c r="P269" s="2" t="s">
        <v>1930</v>
      </c>
      <c r="Q269" s="2" t="s">
        <v>1931</v>
      </c>
      <c r="R269" s="2" t="s">
        <v>1932</v>
      </c>
      <c r="S269" s="2" t="s">
        <v>50</v>
      </c>
      <c r="T269" s="2" t="s">
        <v>229</v>
      </c>
      <c r="U269" s="2" t="s">
        <v>766</v>
      </c>
      <c r="V269" s="2" t="s">
        <v>59</v>
      </c>
      <c r="W269" s="2">
        <v>41.6</v>
      </c>
      <c r="X269" s="2">
        <v>23.2</v>
      </c>
      <c r="Y269" s="2" t="s">
        <v>43</v>
      </c>
      <c r="Z269" s="2" t="s">
        <v>1933</v>
      </c>
      <c r="AA269" s="2">
        <v>-1.2598997597589601</v>
      </c>
      <c r="AB269" s="2">
        <v>1.77199113595032</v>
      </c>
      <c r="AC269" s="2">
        <v>890509.641374561</v>
      </c>
      <c r="AD269" s="2">
        <v>680594.23445729003</v>
      </c>
      <c r="AE269" s="2">
        <v>879238.08081829303</v>
      </c>
      <c r="AF269" s="2">
        <v>927324.40162781498</v>
      </c>
      <c r="AG269" s="2">
        <v>887875.59469916695</v>
      </c>
      <c r="AH269" s="2">
        <v>905448.53000059701</v>
      </c>
      <c r="AI269" s="2">
        <v>886733.99916071002</v>
      </c>
      <c r="AJ269" s="2">
        <v>856437.24194078206</v>
      </c>
      <c r="AK269" s="2">
        <v>660127.14206694695</v>
      </c>
      <c r="AL269" s="2">
        <v>668024.65529298503</v>
      </c>
      <c r="AM269" s="2">
        <v>719077.37869543</v>
      </c>
      <c r="AN269" s="2">
        <v>678235.211914188</v>
      </c>
      <c r="AO269" s="2">
        <v>680635.347426255</v>
      </c>
      <c r="AP269" s="2">
        <v>677465.67134793499</v>
      </c>
    </row>
    <row r="270" spans="1:42" ht="14.5" x14ac:dyDescent="0.35">
      <c r="A270" s="2" t="s">
        <v>1934</v>
      </c>
      <c r="B270" s="2">
        <v>494.40548661289898</v>
      </c>
      <c r="C270" s="2">
        <v>13.138866666666701</v>
      </c>
      <c r="D270" s="2" t="s">
        <v>34</v>
      </c>
      <c r="E270" s="2" t="s">
        <v>1935</v>
      </c>
      <c r="F270" s="2">
        <v>10181</v>
      </c>
      <c r="G270" s="3" t="str">
        <f>HYPERLINK("http://funmeta.oebiotech.com/network/10181", "http://funmeta.oebiotech.com/network/10181")</f>
        <v>http://funmeta.oebiotech.com/network/10181</v>
      </c>
      <c r="H270" s="2"/>
      <c r="I270" s="2"/>
      <c r="J270" s="2" t="s">
        <v>1936</v>
      </c>
      <c r="K270" s="2"/>
      <c r="L270" s="2"/>
      <c r="M270" s="2"/>
      <c r="N270" s="2"/>
      <c r="O270" s="2">
        <v>42607339</v>
      </c>
      <c r="P270" s="2"/>
      <c r="Q270" s="2" t="s">
        <v>1937</v>
      </c>
      <c r="R270" s="2" t="s">
        <v>1938</v>
      </c>
      <c r="S270" s="2" t="s">
        <v>50</v>
      </c>
      <c r="T270" s="2" t="s">
        <v>229</v>
      </c>
      <c r="U270" s="2" t="s">
        <v>230</v>
      </c>
      <c r="V270" s="2" t="s">
        <v>59</v>
      </c>
      <c r="W270" s="2">
        <v>43</v>
      </c>
      <c r="X270" s="2">
        <v>25</v>
      </c>
      <c r="Y270" s="2" t="s">
        <v>470</v>
      </c>
      <c r="Z270" s="2" t="s">
        <v>1939</v>
      </c>
      <c r="AA270" s="2">
        <v>0.74957986726103198</v>
      </c>
      <c r="AB270" s="2">
        <v>1.7718983588568</v>
      </c>
      <c r="AC270" s="2">
        <v>6429.2192502407197</v>
      </c>
      <c r="AD270" s="2">
        <v>213658.51901233199</v>
      </c>
      <c r="AE270" s="2">
        <v>5545.6270910651701</v>
      </c>
      <c r="AF270" s="2">
        <v>7042.3207932446503</v>
      </c>
      <c r="AG270" s="2">
        <v>6352.1222352544</v>
      </c>
      <c r="AH270" s="2">
        <v>6968.5819546087196</v>
      </c>
      <c r="AI270" s="2">
        <v>6323.2804906225601</v>
      </c>
      <c r="AJ270" s="2">
        <v>6343.3829366487898</v>
      </c>
      <c r="AK270" s="2">
        <v>199246.54877423801</v>
      </c>
      <c r="AL270" s="2">
        <v>204567.64174423399</v>
      </c>
      <c r="AM270" s="2">
        <v>245552.03569494901</v>
      </c>
      <c r="AN270" s="2">
        <v>197196.16448091299</v>
      </c>
      <c r="AO270" s="2">
        <v>217966.471666928</v>
      </c>
      <c r="AP270" s="2">
        <v>217422.25171272899</v>
      </c>
    </row>
    <row r="271" spans="1:42" ht="14.5" x14ac:dyDescent="0.35">
      <c r="A271" s="2" t="s">
        <v>1940</v>
      </c>
      <c r="B271" s="2">
        <v>217.029068145606</v>
      </c>
      <c r="C271" s="2">
        <v>0.71055000000000001</v>
      </c>
      <c r="D271" s="2" t="s">
        <v>70</v>
      </c>
      <c r="E271" s="2" t="s">
        <v>1941</v>
      </c>
      <c r="F271" s="2">
        <v>53789</v>
      </c>
      <c r="G271" s="3" t="str">
        <f>HYPERLINK("http://funmeta.oebiotech.com/network/53789", "http://funmeta.oebiotech.com/network/53789")</f>
        <v>http://funmeta.oebiotech.com/network/53789</v>
      </c>
      <c r="H271" s="2" t="s">
        <v>1942</v>
      </c>
      <c r="I271" s="2">
        <v>85665</v>
      </c>
      <c r="J271" s="2"/>
      <c r="K271" s="2">
        <v>174209</v>
      </c>
      <c r="L271" s="2"/>
      <c r="M271" s="2"/>
      <c r="N271" s="2"/>
      <c r="O271" s="2">
        <v>18218191</v>
      </c>
      <c r="P271" s="2"/>
      <c r="Q271" s="2" t="s">
        <v>1943</v>
      </c>
      <c r="R271" s="2" t="s">
        <v>1944</v>
      </c>
      <c r="S271" s="2" t="s">
        <v>89</v>
      </c>
      <c r="T271" s="2" t="s">
        <v>90</v>
      </c>
      <c r="U271" s="2" t="s">
        <v>99</v>
      </c>
      <c r="V271" s="2" t="s">
        <v>59</v>
      </c>
      <c r="W271" s="2">
        <v>39.6</v>
      </c>
      <c r="X271" s="2">
        <v>6.49</v>
      </c>
      <c r="Y271" s="2" t="s">
        <v>751</v>
      </c>
      <c r="Z271" s="2" t="s">
        <v>1945</v>
      </c>
      <c r="AA271" s="2">
        <v>0.91834951559253097</v>
      </c>
      <c r="AB271" s="2">
        <v>1.7697417411821901</v>
      </c>
      <c r="AC271" s="2">
        <v>1672950.9011429599</v>
      </c>
      <c r="AD271" s="2">
        <v>2062924.35278228</v>
      </c>
      <c r="AE271" s="2">
        <v>1457506.31513455</v>
      </c>
      <c r="AF271" s="2">
        <v>2081587.64123305</v>
      </c>
      <c r="AG271" s="2">
        <v>1339792.58640666</v>
      </c>
      <c r="AH271" s="2">
        <v>1974933.4153716599</v>
      </c>
      <c r="AI271" s="2">
        <v>1892790.5559201001</v>
      </c>
      <c r="AJ271" s="2">
        <v>1291094.8927917201</v>
      </c>
      <c r="AK271" s="2">
        <v>2118797.5496499198</v>
      </c>
      <c r="AL271" s="2">
        <v>1929500.0843641099</v>
      </c>
      <c r="AM271" s="2">
        <v>1713847.06044665</v>
      </c>
      <c r="AN271" s="2">
        <v>2302880.3594827498</v>
      </c>
      <c r="AO271" s="2">
        <v>2604055.1828548498</v>
      </c>
      <c r="AP271" s="2">
        <v>1708465.8798954</v>
      </c>
    </row>
    <row r="272" spans="1:42" ht="14.5" x14ac:dyDescent="0.35">
      <c r="A272" s="2" t="s">
        <v>1946</v>
      </c>
      <c r="B272" s="2">
        <v>401.123894780905</v>
      </c>
      <c r="C272" s="2">
        <v>4.6857333333333298</v>
      </c>
      <c r="D272" s="2" t="s">
        <v>70</v>
      </c>
      <c r="E272" s="2" t="s">
        <v>1947</v>
      </c>
      <c r="F272" s="2">
        <v>30514</v>
      </c>
      <c r="G272" s="3" t="str">
        <f>HYPERLINK("http://funmeta.oebiotech.com/network/30514", "http://funmeta.oebiotech.com/network/30514")</f>
        <v>http://funmeta.oebiotech.com/network/30514</v>
      </c>
      <c r="H272" s="2"/>
      <c r="I272" s="2">
        <v>48852</v>
      </c>
      <c r="J272" s="2" t="s">
        <v>1948</v>
      </c>
      <c r="K272" s="2"/>
      <c r="L272" s="2"/>
      <c r="M272" s="2"/>
      <c r="N272" s="2"/>
      <c r="O272" s="2">
        <v>44257868</v>
      </c>
      <c r="P272" s="2"/>
      <c r="Q272" s="2" t="s">
        <v>1949</v>
      </c>
      <c r="R272" s="2" t="s">
        <v>1950</v>
      </c>
      <c r="S272" s="2" t="s">
        <v>115</v>
      </c>
      <c r="T272" s="2" t="s">
        <v>139</v>
      </c>
      <c r="U272" s="2" t="s">
        <v>1437</v>
      </c>
      <c r="V272" s="2" t="s">
        <v>42</v>
      </c>
      <c r="W272" s="2">
        <v>50.7</v>
      </c>
      <c r="X272" s="2">
        <v>57.5</v>
      </c>
      <c r="Y272" s="2" t="s">
        <v>408</v>
      </c>
      <c r="Z272" s="2" t="s">
        <v>1951</v>
      </c>
      <c r="AA272" s="2">
        <v>-0.83242409924699301</v>
      </c>
      <c r="AB272" s="2">
        <v>1.76935132689006</v>
      </c>
      <c r="AC272" s="2">
        <v>1173790.83841911</v>
      </c>
      <c r="AD272" s="2">
        <v>948140.95893122302</v>
      </c>
      <c r="AE272" s="2">
        <v>1261534.95942576</v>
      </c>
      <c r="AF272" s="2">
        <v>1178645.0363624201</v>
      </c>
      <c r="AG272" s="2">
        <v>1194545.3368500699</v>
      </c>
      <c r="AH272" s="2">
        <v>1163256.46746917</v>
      </c>
      <c r="AI272" s="2">
        <v>1090046.6893003299</v>
      </c>
      <c r="AJ272" s="2">
        <v>1154716.54110694</v>
      </c>
      <c r="AK272" s="2">
        <v>1033933.61232076</v>
      </c>
      <c r="AL272" s="2">
        <v>962351.43080130999</v>
      </c>
      <c r="AM272" s="2">
        <v>994677.75652243104</v>
      </c>
      <c r="AN272" s="2">
        <v>918588.67837322701</v>
      </c>
      <c r="AO272" s="2">
        <v>911764.44375087402</v>
      </c>
      <c r="AP272" s="2">
        <v>867529.83181873395</v>
      </c>
    </row>
    <row r="273" spans="1:42" ht="14.5" x14ac:dyDescent="0.35">
      <c r="A273" s="2" t="s">
        <v>1952</v>
      </c>
      <c r="B273" s="2">
        <v>147.07630828003499</v>
      </c>
      <c r="C273" s="2">
        <v>0.71894999999999998</v>
      </c>
      <c r="D273" s="2" t="s">
        <v>34</v>
      </c>
      <c r="E273" s="2" t="s">
        <v>1953</v>
      </c>
      <c r="F273" s="2">
        <v>47136</v>
      </c>
      <c r="G273" s="3" t="str">
        <f>HYPERLINK("http://funmeta.oebiotech.com/network/47136", "http://funmeta.oebiotech.com/network/47136")</f>
        <v>http://funmeta.oebiotech.com/network/47136</v>
      </c>
      <c r="H273" s="2" t="s">
        <v>1954</v>
      </c>
      <c r="I273" s="2">
        <v>18</v>
      </c>
      <c r="J273" s="2"/>
      <c r="K273" s="2">
        <v>18050</v>
      </c>
      <c r="L273" s="2" t="s">
        <v>1955</v>
      </c>
      <c r="M273" s="2" t="s">
        <v>1956</v>
      </c>
      <c r="N273" s="2" t="s">
        <v>1957</v>
      </c>
      <c r="O273" s="2">
        <v>5961</v>
      </c>
      <c r="P273" s="2" t="s">
        <v>1958</v>
      </c>
      <c r="Q273" s="2" t="s">
        <v>1959</v>
      </c>
      <c r="R273" s="2" t="s">
        <v>1960</v>
      </c>
      <c r="S273" s="2" t="s">
        <v>89</v>
      </c>
      <c r="T273" s="2" t="s">
        <v>90</v>
      </c>
      <c r="U273" s="2" t="s">
        <v>99</v>
      </c>
      <c r="V273" s="2" t="s">
        <v>42</v>
      </c>
      <c r="W273" s="2">
        <v>57.2</v>
      </c>
      <c r="X273" s="2">
        <v>89.9</v>
      </c>
      <c r="Y273" s="2" t="s">
        <v>394</v>
      </c>
      <c r="Z273" s="2" t="s">
        <v>1961</v>
      </c>
      <c r="AA273" s="2">
        <v>-0.7554021569314</v>
      </c>
      <c r="AB273" s="2">
        <v>1.7689672710336599</v>
      </c>
      <c r="AC273" s="2">
        <v>309072.52056947199</v>
      </c>
      <c r="AD273" s="2">
        <v>100484.067039325</v>
      </c>
      <c r="AE273" s="2">
        <v>271792.62331748201</v>
      </c>
      <c r="AF273" s="2">
        <v>296375.79286407598</v>
      </c>
      <c r="AG273" s="2">
        <v>315961.31016379403</v>
      </c>
      <c r="AH273" s="2">
        <v>345681.78131279798</v>
      </c>
      <c r="AI273" s="2">
        <v>306418.64488925698</v>
      </c>
      <c r="AJ273" s="2">
        <v>318204.97086942301</v>
      </c>
      <c r="AK273" s="2">
        <v>83741.704597685894</v>
      </c>
      <c r="AL273" s="2">
        <v>92876.366558538299</v>
      </c>
      <c r="AM273" s="2">
        <v>120925.264282574</v>
      </c>
      <c r="AN273" s="2">
        <v>107632.98573669601</v>
      </c>
      <c r="AO273" s="2">
        <v>101606.329191925</v>
      </c>
      <c r="AP273" s="2">
        <v>96121.751868532097</v>
      </c>
    </row>
    <row r="274" spans="1:42" ht="14.5" x14ac:dyDescent="0.35">
      <c r="A274" s="2" t="s">
        <v>1962</v>
      </c>
      <c r="B274" s="2">
        <v>1114.57200620039</v>
      </c>
      <c r="C274" s="2">
        <v>9.5425000000000004</v>
      </c>
      <c r="D274" s="2" t="s">
        <v>34</v>
      </c>
      <c r="E274" s="2" t="s">
        <v>1963</v>
      </c>
      <c r="F274" s="2">
        <v>247256</v>
      </c>
      <c r="G274" s="3" t="str">
        <f>HYPERLINK("http://funmeta.oebiotech.com/network/247256", "http://funmeta.oebiotech.com/network/247256")</f>
        <v>http://funmeta.oebiotech.com/network/247256</v>
      </c>
      <c r="H274" s="2" t="s">
        <v>1964</v>
      </c>
      <c r="I274" s="2"/>
      <c r="J274" s="2"/>
      <c r="K274" s="2"/>
      <c r="L274" s="2"/>
      <c r="M274" s="2"/>
      <c r="N274" s="2"/>
      <c r="O274" s="2"/>
      <c r="P274" s="2"/>
      <c r="Q274" s="2" t="s">
        <v>1965</v>
      </c>
      <c r="R274" s="2" t="s">
        <v>1966</v>
      </c>
      <c r="S274" s="2" t="s">
        <v>41</v>
      </c>
      <c r="T274" s="2" t="s">
        <v>41</v>
      </c>
      <c r="U274" s="2" t="s">
        <v>41</v>
      </c>
      <c r="V274" s="2" t="s">
        <v>42</v>
      </c>
      <c r="W274" s="2">
        <v>48.4</v>
      </c>
      <c r="X274" s="2">
        <v>48.7</v>
      </c>
      <c r="Y274" s="2" t="s">
        <v>67</v>
      </c>
      <c r="Z274" s="2" t="s">
        <v>1967</v>
      </c>
      <c r="AA274" s="2">
        <v>-1.7887502550260399</v>
      </c>
      <c r="AB274" s="2">
        <v>1.76723842345862</v>
      </c>
      <c r="AC274" s="2">
        <v>226498.84592099799</v>
      </c>
      <c r="AD274" s="2">
        <v>21171.061565424101</v>
      </c>
      <c r="AE274" s="2">
        <v>226726.96510201201</v>
      </c>
      <c r="AF274" s="2">
        <v>221758.91774373699</v>
      </c>
      <c r="AG274" s="2">
        <v>218257.669713974</v>
      </c>
      <c r="AH274" s="2">
        <v>234418.61718725201</v>
      </c>
      <c r="AI274" s="2">
        <v>215120.231882455</v>
      </c>
      <c r="AJ274" s="2">
        <v>242710.67389656001</v>
      </c>
      <c r="AK274" s="2">
        <v>19850.074973668699</v>
      </c>
      <c r="AL274" s="2">
        <v>19607.2246146611</v>
      </c>
      <c r="AM274" s="2">
        <v>24941.1157000194</v>
      </c>
      <c r="AN274" s="2">
        <v>21528.4361838859</v>
      </c>
      <c r="AO274" s="2">
        <v>22090.0561957953</v>
      </c>
      <c r="AP274" s="2">
        <v>19009.4617245144</v>
      </c>
    </row>
    <row r="275" spans="1:42" ht="14.5" x14ac:dyDescent="0.35">
      <c r="A275" s="2" t="s">
        <v>1968</v>
      </c>
      <c r="B275" s="2">
        <v>697.23463644889398</v>
      </c>
      <c r="C275" s="2">
        <v>4.4710000000000001</v>
      </c>
      <c r="D275" s="2" t="s">
        <v>70</v>
      </c>
      <c r="E275" s="2" t="s">
        <v>1969</v>
      </c>
      <c r="F275" s="2">
        <v>208478</v>
      </c>
      <c r="G275" s="3" t="str">
        <f>HYPERLINK("http://funmeta.oebiotech.com/network/208478", "http://funmeta.oebiotech.com/network/208478")</f>
        <v>http://funmeta.oebiotech.com/network/208478</v>
      </c>
      <c r="H275" s="2" t="s">
        <v>1970</v>
      </c>
      <c r="I275" s="2"/>
      <c r="J275" s="2"/>
      <c r="K275" s="2"/>
      <c r="L275" s="2"/>
      <c r="M275" s="2"/>
      <c r="N275" s="2"/>
      <c r="O275" s="2">
        <v>72725940</v>
      </c>
      <c r="P275" s="2"/>
      <c r="Q275" s="2" t="s">
        <v>1971</v>
      </c>
      <c r="R275" s="2" t="s">
        <v>1972</v>
      </c>
      <c r="S275" s="2" t="s">
        <v>115</v>
      </c>
      <c r="T275" s="2" t="s">
        <v>116</v>
      </c>
      <c r="U275" s="2" t="s">
        <v>117</v>
      </c>
      <c r="V275" s="2" t="s">
        <v>59</v>
      </c>
      <c r="W275" s="2">
        <v>46.4</v>
      </c>
      <c r="X275" s="2">
        <v>36.5</v>
      </c>
      <c r="Y275" s="2" t="s">
        <v>408</v>
      </c>
      <c r="Z275" s="2" t="s">
        <v>1973</v>
      </c>
      <c r="AA275" s="2">
        <v>-0.44002016017749401</v>
      </c>
      <c r="AB275" s="2">
        <v>1.76096525516323</v>
      </c>
      <c r="AC275" s="2">
        <v>386392.71345447499</v>
      </c>
      <c r="AD275" s="2">
        <v>182251.393561415</v>
      </c>
      <c r="AE275" s="2">
        <v>398307.78016215801</v>
      </c>
      <c r="AF275" s="2">
        <v>382172.56477218802</v>
      </c>
      <c r="AG275" s="2">
        <v>380276.098417286</v>
      </c>
      <c r="AH275" s="2">
        <v>386194.60795608599</v>
      </c>
      <c r="AI275" s="2">
        <v>390992.17515562498</v>
      </c>
      <c r="AJ275" s="2">
        <v>380413.05426350702</v>
      </c>
      <c r="AK275" s="2">
        <v>178502.01379758099</v>
      </c>
      <c r="AL275" s="2">
        <v>168037.31102941601</v>
      </c>
      <c r="AM275" s="2">
        <v>188411.13848902</v>
      </c>
      <c r="AN275" s="2">
        <v>183825.58815104599</v>
      </c>
      <c r="AO275" s="2">
        <v>181300.554912975</v>
      </c>
      <c r="AP275" s="2">
        <v>193431.75498845399</v>
      </c>
    </row>
    <row r="276" spans="1:42" ht="14.5" x14ac:dyDescent="0.35">
      <c r="A276" s="2" t="s">
        <v>1974</v>
      </c>
      <c r="B276" s="2">
        <v>555.24455959000898</v>
      </c>
      <c r="C276" s="2">
        <v>6.4814833333333297</v>
      </c>
      <c r="D276" s="2" t="s">
        <v>70</v>
      </c>
      <c r="E276" s="2" t="s">
        <v>1975</v>
      </c>
      <c r="F276" s="2">
        <v>51155</v>
      </c>
      <c r="G276" s="3" t="str">
        <f>HYPERLINK("http://funmeta.oebiotech.com/network/51155", "http://funmeta.oebiotech.com/network/51155")</f>
        <v>http://funmeta.oebiotech.com/network/51155</v>
      </c>
      <c r="H276" s="2" t="s">
        <v>1976</v>
      </c>
      <c r="I276" s="2">
        <v>61979</v>
      </c>
      <c r="J276" s="2"/>
      <c r="K276" s="2"/>
      <c r="L276" s="2" t="s">
        <v>1977</v>
      </c>
      <c r="M276" s="2" t="s">
        <v>1978</v>
      </c>
      <c r="N276" s="2" t="s">
        <v>1979</v>
      </c>
      <c r="O276" s="2">
        <v>440780</v>
      </c>
      <c r="P276" s="2"/>
      <c r="Q276" s="2" t="s">
        <v>1980</v>
      </c>
      <c r="R276" s="2" t="s">
        <v>1981</v>
      </c>
      <c r="S276" s="2" t="s">
        <v>1444</v>
      </c>
      <c r="T276" s="2" t="s">
        <v>1982</v>
      </c>
      <c r="U276" s="2" t="s">
        <v>41</v>
      </c>
      <c r="V276" s="2" t="s">
        <v>59</v>
      </c>
      <c r="W276" s="2">
        <v>38.1</v>
      </c>
      <c r="X276" s="2">
        <v>5.68</v>
      </c>
      <c r="Y276" s="2" t="s">
        <v>560</v>
      </c>
      <c r="Z276" s="2" t="s">
        <v>1983</v>
      </c>
      <c r="AA276" s="2">
        <v>-2.6572573206753001</v>
      </c>
      <c r="AB276" s="2">
        <v>1.7549208475899301</v>
      </c>
      <c r="AC276" s="2">
        <v>352180.11637445597</v>
      </c>
      <c r="AD276" s="2">
        <v>149260.122631912</v>
      </c>
      <c r="AE276" s="2">
        <v>352185.25074002601</v>
      </c>
      <c r="AF276" s="2">
        <v>352249.113846166</v>
      </c>
      <c r="AG276" s="2">
        <v>342414.32784505899</v>
      </c>
      <c r="AH276" s="2">
        <v>348313.55081512698</v>
      </c>
      <c r="AI276" s="2">
        <v>357254.31000125897</v>
      </c>
      <c r="AJ276" s="2">
        <v>360664.14499909698</v>
      </c>
      <c r="AK276" s="2">
        <v>138352.01194194201</v>
      </c>
      <c r="AL276" s="2">
        <v>164843.875754676</v>
      </c>
      <c r="AM276" s="2">
        <v>164775.88506217301</v>
      </c>
      <c r="AN276" s="2">
        <v>142169.54836434699</v>
      </c>
      <c r="AO276" s="2">
        <v>139006.693576922</v>
      </c>
      <c r="AP276" s="2">
        <v>146412.721091413</v>
      </c>
    </row>
    <row r="277" spans="1:42" ht="14.5" x14ac:dyDescent="0.35">
      <c r="A277" s="2" t="s">
        <v>1984</v>
      </c>
      <c r="B277" s="2">
        <v>873.46531307433202</v>
      </c>
      <c r="C277" s="2">
        <v>5.0569833333333296</v>
      </c>
      <c r="D277" s="2" t="s">
        <v>34</v>
      </c>
      <c r="E277" s="2" t="s">
        <v>1985</v>
      </c>
      <c r="F277" s="2">
        <v>52307</v>
      </c>
      <c r="G277" s="3" t="str">
        <f>HYPERLINK("http://funmeta.oebiotech.com/network/52307", "http://funmeta.oebiotech.com/network/52307")</f>
        <v>http://funmeta.oebiotech.com/network/52307</v>
      </c>
      <c r="H277" s="2" t="s">
        <v>1986</v>
      </c>
      <c r="I277" s="2"/>
      <c r="J277" s="2"/>
      <c r="K277" s="2"/>
      <c r="L277" s="2"/>
      <c r="M277" s="2"/>
      <c r="N277" s="2"/>
      <c r="O277" s="2">
        <v>53481814</v>
      </c>
      <c r="P277" s="2"/>
      <c r="Q277" s="2" t="s">
        <v>1987</v>
      </c>
      <c r="R277" s="2" t="s">
        <v>1988</v>
      </c>
      <c r="S277" s="2" t="s">
        <v>50</v>
      </c>
      <c r="T277" s="2" t="s">
        <v>51</v>
      </c>
      <c r="U277" s="2" t="s">
        <v>1989</v>
      </c>
      <c r="V277" s="2" t="s">
        <v>59</v>
      </c>
      <c r="W277" s="2">
        <v>40.299999999999997</v>
      </c>
      <c r="X277" s="2">
        <v>6.69</v>
      </c>
      <c r="Y277" s="2" t="s">
        <v>376</v>
      </c>
      <c r="Z277" s="2" t="s">
        <v>1990</v>
      </c>
      <c r="AA277" s="2">
        <v>-2.7463755237162601E-2</v>
      </c>
      <c r="AB277" s="2">
        <v>1.7505012955067401</v>
      </c>
      <c r="AC277" s="2">
        <v>1254001.6324480099</v>
      </c>
      <c r="AD277" s="2">
        <v>1494000.5195214699</v>
      </c>
      <c r="AE277" s="2">
        <v>1331631.46522787</v>
      </c>
      <c r="AF277" s="2">
        <v>1310320.10213872</v>
      </c>
      <c r="AG277" s="2">
        <v>1248757.35285547</v>
      </c>
      <c r="AH277" s="2">
        <v>1274900.4442060499</v>
      </c>
      <c r="AI277" s="2">
        <v>1240444.7375351801</v>
      </c>
      <c r="AJ277" s="2">
        <v>1117955.6927247599</v>
      </c>
      <c r="AK277" s="2">
        <v>1324193.0670399501</v>
      </c>
      <c r="AL277" s="2">
        <v>1501807.3904077399</v>
      </c>
      <c r="AM277" s="2">
        <v>1556354.99734235</v>
      </c>
      <c r="AN277" s="2">
        <v>1511229.6261871301</v>
      </c>
      <c r="AO277" s="2">
        <v>1470936.2384251801</v>
      </c>
      <c r="AP277" s="2">
        <v>1599481.79772644</v>
      </c>
    </row>
    <row r="278" spans="1:42" ht="14.5" x14ac:dyDescent="0.35">
      <c r="A278" s="2" t="s">
        <v>1991</v>
      </c>
      <c r="B278" s="2">
        <v>551.32279454294905</v>
      </c>
      <c r="C278" s="2">
        <v>6.8767666666666702</v>
      </c>
      <c r="D278" s="2" t="s">
        <v>70</v>
      </c>
      <c r="E278" s="2" t="s">
        <v>1992</v>
      </c>
      <c r="F278" s="2">
        <v>47957</v>
      </c>
      <c r="G278" s="3" t="str">
        <f>HYPERLINK("http://funmeta.oebiotech.com/network/47957", "http://funmeta.oebiotech.com/network/47957")</f>
        <v>http://funmeta.oebiotech.com/network/47957</v>
      </c>
      <c r="H278" s="2" t="s">
        <v>1993</v>
      </c>
      <c r="I278" s="2">
        <v>6706</v>
      </c>
      <c r="J278" s="2"/>
      <c r="K278" s="2"/>
      <c r="L278" s="2" t="s">
        <v>1994</v>
      </c>
      <c r="M278" s="2" t="s">
        <v>1995</v>
      </c>
      <c r="N278" s="2" t="s">
        <v>1996</v>
      </c>
      <c r="O278" s="2">
        <v>126511</v>
      </c>
      <c r="P278" s="2" t="s">
        <v>1997</v>
      </c>
      <c r="Q278" s="2" t="s">
        <v>1998</v>
      </c>
      <c r="R278" s="2" t="s">
        <v>1999</v>
      </c>
      <c r="S278" s="2" t="s">
        <v>50</v>
      </c>
      <c r="T278" s="2" t="s">
        <v>124</v>
      </c>
      <c r="U278" s="2" t="s">
        <v>523</v>
      </c>
      <c r="V278" s="2" t="s">
        <v>59</v>
      </c>
      <c r="W278" s="2">
        <v>41.5</v>
      </c>
      <c r="X278" s="2">
        <v>13.3</v>
      </c>
      <c r="Y278" s="2" t="s">
        <v>118</v>
      </c>
      <c r="Z278" s="2" t="s">
        <v>2000</v>
      </c>
      <c r="AA278" s="2">
        <v>0.43064765761276602</v>
      </c>
      <c r="AB278" s="2">
        <v>1.7459700717044</v>
      </c>
      <c r="AC278" s="2">
        <v>311059.95047516603</v>
      </c>
      <c r="AD278" s="2">
        <v>110024.406350827</v>
      </c>
      <c r="AE278" s="2">
        <v>307229.81321718602</v>
      </c>
      <c r="AF278" s="2">
        <v>303749.01144754002</v>
      </c>
      <c r="AG278" s="2">
        <v>310045.82466329797</v>
      </c>
      <c r="AH278" s="2">
        <v>339038.299778844</v>
      </c>
      <c r="AI278" s="2">
        <v>302642.17000794102</v>
      </c>
      <c r="AJ278" s="2">
        <v>303654.58373618999</v>
      </c>
      <c r="AK278" s="2">
        <v>100224.999448246</v>
      </c>
      <c r="AL278" s="2">
        <v>104945.394736267</v>
      </c>
      <c r="AM278" s="2">
        <v>115417.8930444</v>
      </c>
      <c r="AN278" s="2">
        <v>115182.959605221</v>
      </c>
      <c r="AO278" s="2">
        <v>107968.35534723299</v>
      </c>
      <c r="AP278" s="2">
        <v>116406.835923594</v>
      </c>
    </row>
    <row r="279" spans="1:42" ht="14.5" x14ac:dyDescent="0.35">
      <c r="A279" s="2" t="s">
        <v>2001</v>
      </c>
      <c r="B279" s="2">
        <v>334.08956024679497</v>
      </c>
      <c r="C279" s="2">
        <v>3.6614666666666702</v>
      </c>
      <c r="D279" s="2" t="s">
        <v>34</v>
      </c>
      <c r="E279" s="2" t="s">
        <v>2002</v>
      </c>
      <c r="F279" s="2">
        <v>82366</v>
      </c>
      <c r="G279" s="3" t="str">
        <f>HYPERLINK("http://funmeta.oebiotech.com/network/82366", "http://funmeta.oebiotech.com/network/82366")</f>
        <v>http://funmeta.oebiotech.com/network/82366</v>
      </c>
      <c r="H279" s="2" t="s">
        <v>2003</v>
      </c>
      <c r="I279" s="2">
        <v>63619</v>
      </c>
      <c r="J279" s="2"/>
      <c r="K279" s="2">
        <v>27826</v>
      </c>
      <c r="L279" s="2" t="s">
        <v>2004</v>
      </c>
      <c r="M279" s="2" t="s">
        <v>2005</v>
      </c>
      <c r="N279" s="2" t="s">
        <v>2006</v>
      </c>
      <c r="O279" s="2">
        <v>161355</v>
      </c>
      <c r="P279" s="2" t="s">
        <v>2007</v>
      </c>
      <c r="Q279" s="2" t="s">
        <v>2008</v>
      </c>
      <c r="R279" s="2" t="s">
        <v>2009</v>
      </c>
      <c r="S279" s="2" t="s">
        <v>79</v>
      </c>
      <c r="T279" s="2" t="s">
        <v>80</v>
      </c>
      <c r="U279" s="2" t="s">
        <v>81</v>
      </c>
      <c r="V279" s="2" t="s">
        <v>42</v>
      </c>
      <c r="W279" s="2">
        <v>49.4</v>
      </c>
      <c r="X279" s="2">
        <v>49.7</v>
      </c>
      <c r="Y279" s="2" t="s">
        <v>376</v>
      </c>
      <c r="Z279" s="2" t="s">
        <v>2010</v>
      </c>
      <c r="AA279" s="2">
        <v>-0.52176102089144105</v>
      </c>
      <c r="AB279" s="2">
        <v>1.74260468057351</v>
      </c>
      <c r="AC279" s="2">
        <v>278344.40183510899</v>
      </c>
      <c r="AD279" s="2">
        <v>74613.406215021605</v>
      </c>
      <c r="AE279" s="2">
        <v>243401.74146947599</v>
      </c>
      <c r="AF279" s="2">
        <v>308252.950083473</v>
      </c>
      <c r="AG279" s="2">
        <v>275279.87064247997</v>
      </c>
      <c r="AH279" s="2">
        <v>274303.72058620001</v>
      </c>
      <c r="AI279" s="2">
        <v>320671.69208514597</v>
      </c>
      <c r="AJ279" s="2">
        <v>248156.43614388001</v>
      </c>
      <c r="AK279" s="2">
        <v>82426.840467128393</v>
      </c>
      <c r="AL279" s="2">
        <v>66617.592143975999</v>
      </c>
      <c r="AM279" s="2">
        <v>74577.605925122494</v>
      </c>
      <c r="AN279" s="2">
        <v>70638.274297536496</v>
      </c>
      <c r="AO279" s="2">
        <v>78690.214608204595</v>
      </c>
      <c r="AP279" s="2">
        <v>74729.9098481619</v>
      </c>
    </row>
    <row r="280" spans="1:42" ht="14.5" x14ac:dyDescent="0.35">
      <c r="A280" s="2" t="s">
        <v>2011</v>
      </c>
      <c r="B280" s="2">
        <v>388.08824171834601</v>
      </c>
      <c r="C280" s="2">
        <v>1.82663333333333</v>
      </c>
      <c r="D280" s="2" t="s">
        <v>70</v>
      </c>
      <c r="E280" s="2" t="s">
        <v>2012</v>
      </c>
      <c r="F280" s="2">
        <v>60863</v>
      </c>
      <c r="G280" s="3" t="str">
        <f>HYPERLINK("http://funmeta.oebiotech.com/network/60863", "http://funmeta.oebiotech.com/network/60863")</f>
        <v>http://funmeta.oebiotech.com/network/60863</v>
      </c>
      <c r="H280" s="2" t="s">
        <v>2013</v>
      </c>
      <c r="I280" s="2">
        <v>92214</v>
      </c>
      <c r="J280" s="2"/>
      <c r="K280" s="2">
        <v>168170</v>
      </c>
      <c r="L280" s="2"/>
      <c r="M280" s="2"/>
      <c r="N280" s="2"/>
      <c r="O280" s="2">
        <v>592555</v>
      </c>
      <c r="P280" s="2" t="s">
        <v>2014</v>
      </c>
      <c r="Q280" s="2" t="s">
        <v>2015</v>
      </c>
      <c r="R280" s="2" t="s">
        <v>2016</v>
      </c>
      <c r="S280" s="2" t="s">
        <v>79</v>
      </c>
      <c r="T280" s="2" t="s">
        <v>80</v>
      </c>
      <c r="U280" s="2" t="s">
        <v>81</v>
      </c>
      <c r="V280" s="2" t="s">
        <v>59</v>
      </c>
      <c r="W280" s="2">
        <v>40.200000000000003</v>
      </c>
      <c r="X280" s="2">
        <v>2.92</v>
      </c>
      <c r="Y280" s="2" t="s">
        <v>408</v>
      </c>
      <c r="Z280" s="2" t="s">
        <v>903</v>
      </c>
      <c r="AA280" s="2">
        <v>-0.85189717482981997</v>
      </c>
      <c r="AB280" s="2">
        <v>1.7400914630851401</v>
      </c>
      <c r="AC280" s="2">
        <v>378056.34758693498</v>
      </c>
      <c r="AD280" s="2">
        <v>581053.77698333794</v>
      </c>
      <c r="AE280" s="2">
        <v>379347.99338479497</v>
      </c>
      <c r="AF280" s="2">
        <v>387166.36418526602</v>
      </c>
      <c r="AG280" s="2">
        <v>377086.556793931</v>
      </c>
      <c r="AH280" s="2">
        <v>349874.58208785998</v>
      </c>
      <c r="AI280" s="2">
        <v>356906.01998889202</v>
      </c>
      <c r="AJ280" s="2">
        <v>417956.56908086501</v>
      </c>
      <c r="AK280" s="2">
        <v>561260.09121544403</v>
      </c>
      <c r="AL280" s="2">
        <v>601445.78783794201</v>
      </c>
      <c r="AM280" s="2">
        <v>592581.84175468097</v>
      </c>
      <c r="AN280" s="2">
        <v>605006.11298284703</v>
      </c>
      <c r="AO280" s="2">
        <v>558694.79021095205</v>
      </c>
      <c r="AP280" s="2">
        <v>567334.03789816098</v>
      </c>
    </row>
    <row r="281" spans="1:42" ht="14.5" x14ac:dyDescent="0.35">
      <c r="A281" s="2" t="s">
        <v>2017</v>
      </c>
      <c r="B281" s="2">
        <v>689.11856911476696</v>
      </c>
      <c r="C281" s="2">
        <v>11.86835</v>
      </c>
      <c r="D281" s="2" t="s">
        <v>34</v>
      </c>
      <c r="E281" s="2" t="s">
        <v>2018</v>
      </c>
      <c r="F281" s="2">
        <v>267249</v>
      </c>
      <c r="G281" s="3" t="str">
        <f>HYPERLINK("http://funmeta.oebiotech.com/network/267249", "http://funmeta.oebiotech.com/network/267249")</f>
        <v>http://funmeta.oebiotech.com/network/267249</v>
      </c>
      <c r="H281" s="2"/>
      <c r="I281" s="2">
        <v>45092</v>
      </c>
      <c r="J281" s="2"/>
      <c r="K281" s="2"/>
      <c r="L281" s="2"/>
      <c r="M281" s="2"/>
      <c r="N281" s="2"/>
      <c r="O281" s="2">
        <v>53394559</v>
      </c>
      <c r="P281" s="2"/>
      <c r="Q281" s="2" t="s">
        <v>2019</v>
      </c>
      <c r="R281" s="2" t="s">
        <v>2020</v>
      </c>
      <c r="S281" s="2" t="s">
        <v>79</v>
      </c>
      <c r="T281" s="2" t="s">
        <v>80</v>
      </c>
      <c r="U281" s="2" t="s">
        <v>2021</v>
      </c>
      <c r="V281" s="2" t="s">
        <v>59</v>
      </c>
      <c r="W281" s="2">
        <v>37.6</v>
      </c>
      <c r="X281" s="2">
        <v>0</v>
      </c>
      <c r="Y281" s="2" t="s">
        <v>141</v>
      </c>
      <c r="Z281" s="2" t="s">
        <v>2022</v>
      </c>
      <c r="AA281" s="2">
        <v>-1.11594237712955</v>
      </c>
      <c r="AB281" s="2">
        <v>1.73529360496737</v>
      </c>
      <c r="AC281" s="2">
        <v>130.250044900864</v>
      </c>
      <c r="AD281" s="2">
        <v>204454.07044664401</v>
      </c>
      <c r="AE281" s="2">
        <v>102.786422509589</v>
      </c>
      <c r="AF281" s="2">
        <v>433.82129418593701</v>
      </c>
      <c r="AG281" s="2">
        <v>244.892471390776</v>
      </c>
      <c r="AH281" s="2">
        <v>2.7106294003980101E-5</v>
      </c>
      <c r="AI281" s="2">
        <v>2.7106294003980101E-5</v>
      </c>
      <c r="AJ281" s="2">
        <v>2.7106294003980101E-5</v>
      </c>
      <c r="AK281" s="2">
        <v>195297.122638548</v>
      </c>
      <c r="AL281" s="2">
        <v>142450.637079265</v>
      </c>
      <c r="AM281" s="2">
        <v>269674.93338408897</v>
      </c>
      <c r="AN281" s="2">
        <v>187513.327414136</v>
      </c>
      <c r="AO281" s="2">
        <v>201730.387504816</v>
      </c>
      <c r="AP281" s="2">
        <v>230058.014659012</v>
      </c>
    </row>
    <row r="282" spans="1:42" ht="14.5" x14ac:dyDescent="0.35">
      <c r="A282" s="2" t="s">
        <v>2023</v>
      </c>
      <c r="B282" s="2">
        <v>619.04544455182395</v>
      </c>
      <c r="C282" s="2">
        <v>11.9917833333333</v>
      </c>
      <c r="D282" s="2" t="s">
        <v>34</v>
      </c>
      <c r="E282" s="2" t="s">
        <v>2024</v>
      </c>
      <c r="F282" s="2">
        <v>213144</v>
      </c>
      <c r="G282" s="3" t="str">
        <f>HYPERLINK("http://funmeta.oebiotech.com/network/213144", "http://funmeta.oebiotech.com/network/213144")</f>
        <v>http://funmeta.oebiotech.com/network/213144</v>
      </c>
      <c r="H282" s="2" t="s">
        <v>2025</v>
      </c>
      <c r="I282" s="2"/>
      <c r="J282" s="2"/>
      <c r="K282" s="2"/>
      <c r="L282" s="2"/>
      <c r="M282" s="2"/>
      <c r="N282" s="2"/>
      <c r="O282" s="2">
        <v>71433862</v>
      </c>
      <c r="P282" s="2"/>
      <c r="Q282" s="2" t="s">
        <v>2026</v>
      </c>
      <c r="R282" s="2" t="s">
        <v>2027</v>
      </c>
      <c r="S282" s="2" t="s">
        <v>115</v>
      </c>
      <c r="T282" s="2" t="s">
        <v>116</v>
      </c>
      <c r="U282" s="2" t="s">
        <v>2028</v>
      </c>
      <c r="V282" s="2" t="s">
        <v>59</v>
      </c>
      <c r="W282" s="2">
        <v>36.700000000000003</v>
      </c>
      <c r="X282" s="2">
        <v>0</v>
      </c>
      <c r="Y282" s="2" t="s">
        <v>323</v>
      </c>
      <c r="Z282" s="2" t="s">
        <v>2029</v>
      </c>
      <c r="AA282" s="2">
        <v>-0.40500016372530501</v>
      </c>
      <c r="AB282" s="2">
        <v>1.7352657646257801</v>
      </c>
      <c r="AC282" s="2">
        <v>635.37084430343202</v>
      </c>
      <c r="AD282" s="2">
        <v>200004.969717848</v>
      </c>
      <c r="AE282" s="2">
        <v>1082.2871606860599</v>
      </c>
      <c r="AF282" s="2">
        <v>714.62608254378495</v>
      </c>
      <c r="AG282" s="2">
        <v>518.48954993100597</v>
      </c>
      <c r="AH282" s="2">
        <v>997.02878574649299</v>
      </c>
      <c r="AI282" s="2">
        <v>288.08191391674501</v>
      </c>
      <c r="AJ282" s="2">
        <v>211.71157299650301</v>
      </c>
      <c r="AK282" s="2">
        <v>200821.69967957199</v>
      </c>
      <c r="AL282" s="2">
        <v>169961.62257070901</v>
      </c>
      <c r="AM282" s="2">
        <v>211839.18998850501</v>
      </c>
      <c r="AN282" s="2">
        <v>196237.61206901699</v>
      </c>
      <c r="AO282" s="2">
        <v>188255.595489867</v>
      </c>
      <c r="AP282" s="2">
        <v>232914.09850942</v>
      </c>
    </row>
    <row r="283" spans="1:42" ht="14.5" x14ac:dyDescent="0.35">
      <c r="A283" s="2" t="s">
        <v>2030</v>
      </c>
      <c r="B283" s="2">
        <v>525.19744735124902</v>
      </c>
      <c r="C283" s="2">
        <v>4.3640166666666698</v>
      </c>
      <c r="D283" s="2" t="s">
        <v>70</v>
      </c>
      <c r="E283" s="2" t="s">
        <v>2031</v>
      </c>
      <c r="F283" s="2">
        <v>58959</v>
      </c>
      <c r="G283" s="3" t="str">
        <f>HYPERLINK("http://funmeta.oebiotech.com/network/58959", "http://funmeta.oebiotech.com/network/58959")</f>
        <v>http://funmeta.oebiotech.com/network/58959</v>
      </c>
      <c r="H283" s="2" t="s">
        <v>2032</v>
      </c>
      <c r="I283" s="2"/>
      <c r="J283" s="2"/>
      <c r="K283" s="2"/>
      <c r="L283" s="2"/>
      <c r="M283" s="2"/>
      <c r="N283" s="2"/>
      <c r="O283" s="2">
        <v>12305149</v>
      </c>
      <c r="P283" s="2" t="s">
        <v>2033</v>
      </c>
      <c r="Q283" s="2" t="s">
        <v>2034</v>
      </c>
      <c r="R283" s="2" t="s">
        <v>2035</v>
      </c>
      <c r="S283" s="2" t="s">
        <v>50</v>
      </c>
      <c r="T283" s="2" t="s">
        <v>201</v>
      </c>
      <c r="U283" s="2" t="s">
        <v>202</v>
      </c>
      <c r="V283" s="2" t="s">
        <v>42</v>
      </c>
      <c r="W283" s="2">
        <v>52.8</v>
      </c>
      <c r="X283" s="2">
        <v>65.5</v>
      </c>
      <c r="Y283" s="2" t="s">
        <v>107</v>
      </c>
      <c r="Z283" s="2" t="s">
        <v>2036</v>
      </c>
      <c r="AA283" s="2">
        <v>-0.57533059432268696</v>
      </c>
      <c r="AB283" s="2">
        <v>1.7292715078784899</v>
      </c>
      <c r="AC283" s="2">
        <v>2884461.8906365298</v>
      </c>
      <c r="AD283" s="2">
        <v>2591314.09896586</v>
      </c>
      <c r="AE283" s="2">
        <v>2775430.69325893</v>
      </c>
      <c r="AF283" s="2">
        <v>3160591.0647471901</v>
      </c>
      <c r="AG283" s="2">
        <v>2668931.09131276</v>
      </c>
      <c r="AH283" s="2">
        <v>2759764.0304277199</v>
      </c>
      <c r="AI283" s="2">
        <v>3089410.3404842298</v>
      </c>
      <c r="AJ283" s="2">
        <v>2852644.1235883301</v>
      </c>
      <c r="AK283" s="2">
        <v>2753204.86834032</v>
      </c>
      <c r="AL283" s="2">
        <v>2642291.7620149101</v>
      </c>
      <c r="AM283" s="2">
        <v>2577636.10755231</v>
      </c>
      <c r="AN283" s="2">
        <v>2640525.9549229299</v>
      </c>
      <c r="AO283" s="2">
        <v>2301051.8037839499</v>
      </c>
      <c r="AP283" s="2">
        <v>2633174.09718074</v>
      </c>
    </row>
    <row r="284" spans="1:42" ht="14.5" x14ac:dyDescent="0.35">
      <c r="A284" s="2" t="s">
        <v>2037</v>
      </c>
      <c r="B284" s="2">
        <v>299.16383901282501</v>
      </c>
      <c r="C284" s="2">
        <v>8.2129499999999993</v>
      </c>
      <c r="D284" s="2" t="s">
        <v>34</v>
      </c>
      <c r="E284" s="2" t="s">
        <v>2038</v>
      </c>
      <c r="F284" s="2">
        <v>44921</v>
      </c>
      <c r="G284" s="3" t="str">
        <f>HYPERLINK("http://funmeta.oebiotech.com/network/44921", "http://funmeta.oebiotech.com/network/44921")</f>
        <v>http://funmeta.oebiotech.com/network/44921</v>
      </c>
      <c r="H284" s="2"/>
      <c r="I284" s="2">
        <v>41857</v>
      </c>
      <c r="J284" s="2" t="s">
        <v>2039</v>
      </c>
      <c r="K284" s="2">
        <v>15896</v>
      </c>
      <c r="L284" s="2" t="s">
        <v>2040</v>
      </c>
      <c r="M284" s="2" t="s">
        <v>2041</v>
      </c>
      <c r="N284" s="2" t="s">
        <v>2042</v>
      </c>
      <c r="O284" s="2">
        <v>440483</v>
      </c>
      <c r="P284" s="2"/>
      <c r="Q284" s="2" t="s">
        <v>2043</v>
      </c>
      <c r="R284" s="2" t="s">
        <v>2044</v>
      </c>
      <c r="S284" s="2" t="s">
        <v>148</v>
      </c>
      <c r="T284" s="2" t="s">
        <v>392</v>
      </c>
      <c r="U284" s="2" t="s">
        <v>2045</v>
      </c>
      <c r="V284" s="2" t="s">
        <v>42</v>
      </c>
      <c r="W284" s="2">
        <v>50.7</v>
      </c>
      <c r="X284" s="2">
        <v>59.2</v>
      </c>
      <c r="Y284" s="2" t="s">
        <v>141</v>
      </c>
      <c r="Z284" s="2" t="s">
        <v>2046</v>
      </c>
      <c r="AA284" s="2">
        <v>-1.05002929688194</v>
      </c>
      <c r="AB284" s="2">
        <v>1.7287963098883501</v>
      </c>
      <c r="AC284" s="2">
        <v>235513.52884647</v>
      </c>
      <c r="AD284" s="2">
        <v>38840.608694666596</v>
      </c>
      <c r="AE284" s="2">
        <v>252878.74388962</v>
      </c>
      <c r="AF284" s="2">
        <v>246825.27387340201</v>
      </c>
      <c r="AG284" s="2">
        <v>242908.16150395601</v>
      </c>
      <c r="AH284" s="2">
        <v>226593.79199702601</v>
      </c>
      <c r="AI284" s="2">
        <v>223386.712206016</v>
      </c>
      <c r="AJ284" s="2">
        <v>220488.489608798</v>
      </c>
      <c r="AK284" s="2">
        <v>39280.598157603497</v>
      </c>
      <c r="AL284" s="2">
        <v>39630.379588959098</v>
      </c>
      <c r="AM284" s="2">
        <v>43907.000444313802</v>
      </c>
      <c r="AN284" s="2">
        <v>36208.655175953703</v>
      </c>
      <c r="AO284" s="2">
        <v>37220.617192726699</v>
      </c>
      <c r="AP284" s="2">
        <v>36796.401608442997</v>
      </c>
    </row>
    <row r="285" spans="1:42" ht="14.5" x14ac:dyDescent="0.35">
      <c r="A285" s="2" t="s">
        <v>2047</v>
      </c>
      <c r="B285" s="2">
        <v>555.24425762363103</v>
      </c>
      <c r="C285" s="2">
        <v>6.2923</v>
      </c>
      <c r="D285" s="2" t="s">
        <v>70</v>
      </c>
      <c r="E285" s="2" t="s">
        <v>2048</v>
      </c>
      <c r="F285" s="2">
        <v>51194</v>
      </c>
      <c r="G285" s="3" t="str">
        <f>HYPERLINK("http://funmeta.oebiotech.com/network/51194", "http://funmeta.oebiotech.com/network/51194")</f>
        <v>http://funmeta.oebiotech.com/network/51194</v>
      </c>
      <c r="H285" s="2" t="s">
        <v>2049</v>
      </c>
      <c r="I285" s="2">
        <v>62023</v>
      </c>
      <c r="J285" s="2"/>
      <c r="K285" s="2"/>
      <c r="L285" s="2"/>
      <c r="M285" s="2"/>
      <c r="N285" s="2"/>
      <c r="O285" s="2">
        <v>53480675</v>
      </c>
      <c r="P285" s="2" t="s">
        <v>2050</v>
      </c>
      <c r="Q285" s="2" t="s">
        <v>2051</v>
      </c>
      <c r="R285" s="2" t="s">
        <v>2052</v>
      </c>
      <c r="S285" s="2" t="s">
        <v>89</v>
      </c>
      <c r="T285" s="2" t="s">
        <v>90</v>
      </c>
      <c r="U285" s="2" t="s">
        <v>99</v>
      </c>
      <c r="V285" s="2" t="s">
        <v>42</v>
      </c>
      <c r="W285" s="2">
        <v>46.1</v>
      </c>
      <c r="X285" s="2">
        <v>45.3</v>
      </c>
      <c r="Y285" s="2" t="s">
        <v>560</v>
      </c>
      <c r="Z285" s="2" t="s">
        <v>1983</v>
      </c>
      <c r="AA285" s="2">
        <v>-3.2001149911237401</v>
      </c>
      <c r="AB285" s="2">
        <v>1.72825677552224</v>
      </c>
      <c r="AC285" s="2">
        <v>439665.19780192297</v>
      </c>
      <c r="AD285" s="2">
        <v>240627.465536334</v>
      </c>
      <c r="AE285" s="2">
        <v>421396.65684091998</v>
      </c>
      <c r="AF285" s="2">
        <v>428170.33397767303</v>
      </c>
      <c r="AG285" s="2">
        <v>446455.96101348201</v>
      </c>
      <c r="AH285" s="2">
        <v>433360.43708693603</v>
      </c>
      <c r="AI285" s="2">
        <v>431318.58849691798</v>
      </c>
      <c r="AJ285" s="2">
        <v>477289.20939561003</v>
      </c>
      <c r="AK285" s="2">
        <v>240316.615140804</v>
      </c>
      <c r="AL285" s="2">
        <v>275875.352789247</v>
      </c>
      <c r="AM285" s="2">
        <v>246405.537220197</v>
      </c>
      <c r="AN285" s="2">
        <v>234068.72975442</v>
      </c>
      <c r="AO285" s="2">
        <v>228552.09021649099</v>
      </c>
      <c r="AP285" s="2">
        <v>218546.468096842</v>
      </c>
    </row>
    <row r="286" spans="1:42" ht="14.5" x14ac:dyDescent="0.35">
      <c r="A286" s="2" t="s">
        <v>2053</v>
      </c>
      <c r="B286" s="2">
        <v>679.32814780941203</v>
      </c>
      <c r="C286" s="2">
        <v>7.4609833333333304</v>
      </c>
      <c r="D286" s="2" t="s">
        <v>34</v>
      </c>
      <c r="E286" s="2" t="s">
        <v>2054</v>
      </c>
      <c r="F286" s="2">
        <v>58400</v>
      </c>
      <c r="G286" s="3" t="str">
        <f>HYPERLINK("http://funmeta.oebiotech.com/network/58400", "http://funmeta.oebiotech.com/network/58400")</f>
        <v>http://funmeta.oebiotech.com/network/58400</v>
      </c>
      <c r="H286" s="2" t="s">
        <v>2055</v>
      </c>
      <c r="I286" s="2">
        <v>89876</v>
      </c>
      <c r="J286" s="2"/>
      <c r="K286" s="2"/>
      <c r="L286" s="2"/>
      <c r="M286" s="2"/>
      <c r="N286" s="2"/>
      <c r="O286" s="2">
        <v>3587049</v>
      </c>
      <c r="P286" s="2" t="s">
        <v>2056</v>
      </c>
      <c r="Q286" s="2" t="s">
        <v>2057</v>
      </c>
      <c r="R286" s="2" t="s">
        <v>2058</v>
      </c>
      <c r="S286" s="2" t="s">
        <v>50</v>
      </c>
      <c r="T286" s="2" t="s">
        <v>124</v>
      </c>
      <c r="U286" s="2" t="s">
        <v>567</v>
      </c>
      <c r="V286" s="2" t="s">
        <v>59</v>
      </c>
      <c r="W286" s="2">
        <v>36.9</v>
      </c>
      <c r="X286" s="2">
        <v>0</v>
      </c>
      <c r="Y286" s="2" t="s">
        <v>141</v>
      </c>
      <c r="Z286" s="2" t="s">
        <v>2059</v>
      </c>
      <c r="AA286" s="2">
        <v>-6.1325048089037102</v>
      </c>
      <c r="AB286" s="2">
        <v>1.72547637396734</v>
      </c>
      <c r="AC286" s="2">
        <v>579553.589853946</v>
      </c>
      <c r="AD286" s="2">
        <v>786980.40889322595</v>
      </c>
      <c r="AE286" s="2">
        <v>550326.922432989</v>
      </c>
      <c r="AF286" s="2">
        <v>554991.51140245295</v>
      </c>
      <c r="AG286" s="2">
        <v>579181.26229971903</v>
      </c>
      <c r="AH286" s="2">
        <v>553830.77607990603</v>
      </c>
      <c r="AI286" s="2">
        <v>628603.93664953799</v>
      </c>
      <c r="AJ286" s="2">
        <v>610387.13025906798</v>
      </c>
      <c r="AK286" s="2">
        <v>743430.449045063</v>
      </c>
      <c r="AL286" s="2">
        <v>713708.39290592901</v>
      </c>
      <c r="AM286" s="2">
        <v>832413.02573988703</v>
      </c>
      <c r="AN286" s="2">
        <v>824193.67033885501</v>
      </c>
      <c r="AO286" s="2">
        <v>775994.57300883904</v>
      </c>
      <c r="AP286" s="2">
        <v>832142.34232078202</v>
      </c>
    </row>
    <row r="287" spans="1:42" ht="14.5" x14ac:dyDescent="0.35">
      <c r="A287" s="2" t="s">
        <v>2060</v>
      </c>
      <c r="B287" s="2">
        <v>593.25848771152801</v>
      </c>
      <c r="C287" s="2">
        <v>8.1570833333333308</v>
      </c>
      <c r="D287" s="2" t="s">
        <v>34</v>
      </c>
      <c r="E287" s="2" t="s">
        <v>2061</v>
      </c>
      <c r="F287" s="2">
        <v>10223</v>
      </c>
      <c r="G287" s="3" t="str">
        <f>HYPERLINK("http://funmeta.oebiotech.com/network/10223", "http://funmeta.oebiotech.com/network/10223")</f>
        <v>http://funmeta.oebiotech.com/network/10223</v>
      </c>
      <c r="H287" s="2"/>
      <c r="I287" s="2"/>
      <c r="J287" s="2" t="s">
        <v>2062</v>
      </c>
      <c r="K287" s="2"/>
      <c r="L287" s="2"/>
      <c r="M287" s="2"/>
      <c r="N287" s="2"/>
      <c r="O287" s="2">
        <v>56936282</v>
      </c>
      <c r="P287" s="2"/>
      <c r="Q287" s="2" t="s">
        <v>2063</v>
      </c>
      <c r="R287" s="2" t="s">
        <v>2064</v>
      </c>
      <c r="S287" s="2" t="s">
        <v>50</v>
      </c>
      <c r="T287" s="2" t="s">
        <v>229</v>
      </c>
      <c r="U287" s="2" t="s">
        <v>230</v>
      </c>
      <c r="V287" s="2" t="s">
        <v>42</v>
      </c>
      <c r="W287" s="2">
        <v>46</v>
      </c>
      <c r="X287" s="2">
        <v>48.3</v>
      </c>
      <c r="Y287" s="2" t="s">
        <v>340</v>
      </c>
      <c r="Z287" s="2" t="s">
        <v>2065</v>
      </c>
      <c r="AA287" s="2">
        <v>2.6846807901897201</v>
      </c>
      <c r="AB287" s="2">
        <v>1.7193313980238301</v>
      </c>
      <c r="AC287" s="2">
        <v>244881.247882683</v>
      </c>
      <c r="AD287" s="2">
        <v>48933.468889948403</v>
      </c>
      <c r="AE287" s="2">
        <v>245185.33096833099</v>
      </c>
      <c r="AF287" s="2">
        <v>241492.36960715699</v>
      </c>
      <c r="AG287" s="2">
        <v>246831.83820282001</v>
      </c>
      <c r="AH287" s="2">
        <v>246709.89995592201</v>
      </c>
      <c r="AI287" s="2">
        <v>214670.523728726</v>
      </c>
      <c r="AJ287" s="2">
        <v>274397.52483314101</v>
      </c>
      <c r="AK287" s="2">
        <v>65036.140078904697</v>
      </c>
      <c r="AL287" s="2">
        <v>67490.474229546497</v>
      </c>
      <c r="AM287" s="2">
        <v>49842.981735249101</v>
      </c>
      <c r="AN287" s="2">
        <v>34110.600375441703</v>
      </c>
      <c r="AO287" s="2">
        <v>47083.489408293099</v>
      </c>
      <c r="AP287" s="2">
        <v>30037.1275122556</v>
      </c>
    </row>
    <row r="288" spans="1:42" ht="14.5" x14ac:dyDescent="0.35">
      <c r="A288" s="2" t="s">
        <v>2066</v>
      </c>
      <c r="B288" s="2">
        <v>421.13487673615202</v>
      </c>
      <c r="C288" s="2">
        <v>2.01128333333333</v>
      </c>
      <c r="D288" s="2" t="s">
        <v>70</v>
      </c>
      <c r="E288" s="2" t="s">
        <v>2067</v>
      </c>
      <c r="F288" s="2">
        <v>63743</v>
      </c>
      <c r="G288" s="3" t="str">
        <f>HYPERLINK("http://funmeta.oebiotech.com/network/63743", "http://funmeta.oebiotech.com/network/63743")</f>
        <v>http://funmeta.oebiotech.com/network/63743</v>
      </c>
      <c r="H288" s="2" t="s">
        <v>2068</v>
      </c>
      <c r="I288" s="2">
        <v>95080</v>
      </c>
      <c r="J288" s="2"/>
      <c r="K288" s="2">
        <v>175826</v>
      </c>
      <c r="L288" s="2"/>
      <c r="M288" s="2"/>
      <c r="N288" s="2"/>
      <c r="O288" s="2">
        <v>73118380</v>
      </c>
      <c r="P288" s="2" t="s">
        <v>2069</v>
      </c>
      <c r="Q288" s="2" t="s">
        <v>2070</v>
      </c>
      <c r="R288" s="2" t="s">
        <v>2071</v>
      </c>
      <c r="S288" s="2" t="s">
        <v>50</v>
      </c>
      <c r="T288" s="2" t="s">
        <v>229</v>
      </c>
      <c r="U288" s="2" t="s">
        <v>230</v>
      </c>
      <c r="V288" s="2" t="s">
        <v>42</v>
      </c>
      <c r="W288" s="2">
        <v>57</v>
      </c>
      <c r="X288" s="2">
        <v>86.8</v>
      </c>
      <c r="Y288" s="2" t="s">
        <v>1395</v>
      </c>
      <c r="Z288" s="2" t="s">
        <v>2072</v>
      </c>
      <c r="AA288" s="2">
        <v>-0.72606302118827504</v>
      </c>
      <c r="AB288" s="2">
        <v>1.71649165972488</v>
      </c>
      <c r="AC288" s="2">
        <v>806694.19287203602</v>
      </c>
      <c r="AD288" s="2">
        <v>610445.63653249596</v>
      </c>
      <c r="AE288" s="2">
        <v>811491.75451384997</v>
      </c>
      <c r="AF288" s="2">
        <v>820061.30979958398</v>
      </c>
      <c r="AG288" s="2">
        <v>800020.85732432897</v>
      </c>
      <c r="AH288" s="2">
        <v>793169.29262106097</v>
      </c>
      <c r="AI288" s="2">
        <v>808912.53567716898</v>
      </c>
      <c r="AJ288" s="2">
        <v>806509.40729622496</v>
      </c>
      <c r="AK288" s="2">
        <v>605494.934843258</v>
      </c>
      <c r="AL288" s="2">
        <v>606127.46343042795</v>
      </c>
      <c r="AM288" s="2">
        <v>591131.46312192595</v>
      </c>
      <c r="AN288" s="2">
        <v>605099.05967799504</v>
      </c>
      <c r="AO288" s="2">
        <v>594157.73073759896</v>
      </c>
      <c r="AP288" s="2">
        <v>660663.16738377104</v>
      </c>
    </row>
    <row r="289" spans="1:42" ht="14.5" x14ac:dyDescent="0.35">
      <c r="A289" s="2" t="s">
        <v>2073</v>
      </c>
      <c r="B289" s="2">
        <v>672.40826506272595</v>
      </c>
      <c r="C289" s="2">
        <v>5.2660166666666699</v>
      </c>
      <c r="D289" s="2" t="s">
        <v>34</v>
      </c>
      <c r="E289" s="2" t="s">
        <v>2074</v>
      </c>
      <c r="F289" s="2">
        <v>24889</v>
      </c>
      <c r="G289" s="3" t="str">
        <f>HYPERLINK("http://funmeta.oebiotech.com/network/24889", "http://funmeta.oebiotech.com/network/24889")</f>
        <v>http://funmeta.oebiotech.com/network/24889</v>
      </c>
      <c r="H289" s="2"/>
      <c r="I289" s="2"/>
      <c r="J289" s="2" t="s">
        <v>2075</v>
      </c>
      <c r="K289" s="2"/>
      <c r="L289" s="2"/>
      <c r="M289" s="2"/>
      <c r="N289" s="2"/>
      <c r="O289" s="2">
        <v>52928617</v>
      </c>
      <c r="P289" s="2"/>
      <c r="Q289" s="2" t="s">
        <v>2076</v>
      </c>
      <c r="R289" s="2" t="s">
        <v>2077</v>
      </c>
      <c r="S289" s="2" t="s">
        <v>50</v>
      </c>
      <c r="T289" s="2" t="s">
        <v>51</v>
      </c>
      <c r="U289" s="2" t="s">
        <v>52</v>
      </c>
      <c r="V289" s="2" t="s">
        <v>59</v>
      </c>
      <c r="W289" s="2">
        <v>40.700000000000003</v>
      </c>
      <c r="X289" s="2">
        <v>14.6</v>
      </c>
      <c r="Y289" s="2" t="s">
        <v>43</v>
      </c>
      <c r="Z289" s="2" t="s">
        <v>2078</v>
      </c>
      <c r="AA289" s="2">
        <v>3.9084467472988202E-2</v>
      </c>
      <c r="AB289" s="2">
        <v>1.71539060068188</v>
      </c>
      <c r="AC289" s="2">
        <v>1823724.6008897701</v>
      </c>
      <c r="AD289" s="2">
        <v>1588988.8624181601</v>
      </c>
      <c r="AE289" s="2">
        <v>1954350.9647041501</v>
      </c>
      <c r="AF289" s="2">
        <v>1894825.26802966</v>
      </c>
      <c r="AG289" s="2">
        <v>1736781.07576861</v>
      </c>
      <c r="AH289" s="2">
        <v>1893659.6763146899</v>
      </c>
      <c r="AI289" s="2">
        <v>1744593.9825085001</v>
      </c>
      <c r="AJ289" s="2">
        <v>1718136.6380130199</v>
      </c>
      <c r="AK289" s="2">
        <v>1502016.79633457</v>
      </c>
      <c r="AL289" s="2">
        <v>1551991.3577049701</v>
      </c>
      <c r="AM289" s="2">
        <v>1675646.44404302</v>
      </c>
      <c r="AN289" s="2">
        <v>1551701.5670562501</v>
      </c>
      <c r="AO289" s="2">
        <v>1688544.98853204</v>
      </c>
      <c r="AP289" s="2">
        <v>1564032.02083812</v>
      </c>
    </row>
    <row r="290" spans="1:42" ht="14.5" x14ac:dyDescent="0.35">
      <c r="A290" s="2" t="s">
        <v>2079</v>
      </c>
      <c r="B290" s="2">
        <v>441.20902073879603</v>
      </c>
      <c r="C290" s="2">
        <v>6.3948166666666699</v>
      </c>
      <c r="D290" s="2" t="s">
        <v>34</v>
      </c>
      <c r="E290" s="2" t="s">
        <v>2080</v>
      </c>
      <c r="F290" s="2">
        <v>9823</v>
      </c>
      <c r="G290" s="3" t="str">
        <f>HYPERLINK("http://funmeta.oebiotech.com/network/9823", "http://funmeta.oebiotech.com/network/9823")</f>
        <v>http://funmeta.oebiotech.com/network/9823</v>
      </c>
      <c r="H290" s="2"/>
      <c r="I290" s="2"/>
      <c r="J290" s="2" t="s">
        <v>2081</v>
      </c>
      <c r="K290" s="2"/>
      <c r="L290" s="2"/>
      <c r="M290" s="2"/>
      <c r="N290" s="2"/>
      <c r="O290" s="2">
        <v>102425049</v>
      </c>
      <c r="P290" s="2"/>
      <c r="Q290" s="2" t="s">
        <v>2082</v>
      </c>
      <c r="R290" s="2" t="s">
        <v>2083</v>
      </c>
      <c r="S290" s="2" t="s">
        <v>2084</v>
      </c>
      <c r="T290" s="2" t="s">
        <v>2085</v>
      </c>
      <c r="U290" s="2" t="s">
        <v>2086</v>
      </c>
      <c r="V290" s="2" t="s">
        <v>59</v>
      </c>
      <c r="W290" s="2">
        <v>40</v>
      </c>
      <c r="X290" s="2">
        <v>12.2</v>
      </c>
      <c r="Y290" s="2" t="s">
        <v>470</v>
      </c>
      <c r="Z290" s="2" t="s">
        <v>2087</v>
      </c>
      <c r="AA290" s="2">
        <v>-4.51270594357762</v>
      </c>
      <c r="AB290" s="2">
        <v>1.7150455305616401</v>
      </c>
      <c r="AC290" s="2">
        <v>119085.014549026</v>
      </c>
      <c r="AD290" s="2">
        <v>313126.869566751</v>
      </c>
      <c r="AE290" s="2">
        <v>122034.69995360399</v>
      </c>
      <c r="AF290" s="2">
        <v>135229.255735249</v>
      </c>
      <c r="AG290" s="2">
        <v>118655.246443097</v>
      </c>
      <c r="AH290" s="2">
        <v>98669.3420587664</v>
      </c>
      <c r="AI290" s="2">
        <v>122800.245880124</v>
      </c>
      <c r="AJ290" s="2">
        <v>117121.297223313</v>
      </c>
      <c r="AK290" s="2">
        <v>305620.81820166798</v>
      </c>
      <c r="AL290" s="2">
        <v>325896.92200652999</v>
      </c>
      <c r="AM290" s="2">
        <v>311678.35232888802</v>
      </c>
      <c r="AN290" s="2">
        <v>318805.68026731198</v>
      </c>
      <c r="AO290" s="2">
        <v>317825.74695477198</v>
      </c>
      <c r="AP290" s="2">
        <v>298933.69764133502</v>
      </c>
    </row>
    <row r="291" spans="1:42" ht="14.5" x14ac:dyDescent="0.35">
      <c r="A291" s="2" t="s">
        <v>2088</v>
      </c>
      <c r="B291" s="2">
        <v>267.17389635293199</v>
      </c>
      <c r="C291" s="2">
        <v>7.0664166666666697</v>
      </c>
      <c r="D291" s="2" t="s">
        <v>34</v>
      </c>
      <c r="E291" s="2" t="s">
        <v>2089</v>
      </c>
      <c r="F291" s="2">
        <v>208753</v>
      </c>
      <c r="G291" s="3" t="str">
        <f>HYPERLINK("http://funmeta.oebiotech.com/network/208753", "http://funmeta.oebiotech.com/network/208753")</f>
        <v>http://funmeta.oebiotech.com/network/208753</v>
      </c>
      <c r="H291" s="2" t="s">
        <v>2090</v>
      </c>
      <c r="I291" s="2"/>
      <c r="J291" s="2"/>
      <c r="K291" s="2"/>
      <c r="L291" s="2"/>
      <c r="M291" s="2"/>
      <c r="N291" s="2"/>
      <c r="O291" s="2">
        <v>5125276</v>
      </c>
      <c r="P291" s="2"/>
      <c r="Q291" s="2" t="s">
        <v>2091</v>
      </c>
      <c r="R291" s="2" t="s">
        <v>2092</v>
      </c>
      <c r="S291" s="2" t="s">
        <v>50</v>
      </c>
      <c r="T291" s="2" t="s">
        <v>124</v>
      </c>
      <c r="U291" s="2" t="s">
        <v>2093</v>
      </c>
      <c r="V291" s="2" t="s">
        <v>42</v>
      </c>
      <c r="W291" s="2">
        <v>53.2</v>
      </c>
      <c r="X291" s="2">
        <v>70.7</v>
      </c>
      <c r="Y291" s="2" t="s">
        <v>266</v>
      </c>
      <c r="Z291" s="2" t="s">
        <v>2094</v>
      </c>
      <c r="AA291" s="2">
        <v>-1.56735021072208</v>
      </c>
      <c r="AB291" s="2">
        <v>1.70629541320734</v>
      </c>
      <c r="AC291" s="2">
        <v>273594.16294681199</v>
      </c>
      <c r="AD291" s="2">
        <v>81944.662403271999</v>
      </c>
      <c r="AE291" s="2">
        <v>260234.76687385899</v>
      </c>
      <c r="AF291" s="2">
        <v>268763.86630850501</v>
      </c>
      <c r="AG291" s="2">
        <v>279503.751500963</v>
      </c>
      <c r="AH291" s="2">
        <v>283011.430706657</v>
      </c>
      <c r="AI291" s="2">
        <v>260190.605264132</v>
      </c>
      <c r="AJ291" s="2">
        <v>289860.55702675303</v>
      </c>
      <c r="AK291" s="2">
        <v>80690.960206943404</v>
      </c>
      <c r="AL291" s="2">
        <v>88361.8002247228</v>
      </c>
      <c r="AM291" s="2">
        <v>84945.509426279794</v>
      </c>
      <c r="AN291" s="2">
        <v>83462.403422107498</v>
      </c>
      <c r="AO291" s="2">
        <v>77383.388401728895</v>
      </c>
      <c r="AP291" s="2">
        <v>76823.912737849605</v>
      </c>
    </row>
    <row r="292" spans="1:42" ht="14.5" x14ac:dyDescent="0.35">
      <c r="A292" s="2" t="s">
        <v>2095</v>
      </c>
      <c r="B292" s="2">
        <v>319.099545444961</v>
      </c>
      <c r="C292" s="2">
        <v>0.78071666666666695</v>
      </c>
      <c r="D292" s="2" t="s">
        <v>34</v>
      </c>
      <c r="E292" s="2" t="s">
        <v>2096</v>
      </c>
      <c r="F292" s="2">
        <v>206770</v>
      </c>
      <c r="G292" s="3" t="str">
        <f>HYPERLINK("http://funmeta.oebiotech.com/network/206770", "http://funmeta.oebiotech.com/network/206770")</f>
        <v>http://funmeta.oebiotech.com/network/206770</v>
      </c>
      <c r="H292" s="2" t="s">
        <v>2097</v>
      </c>
      <c r="I292" s="2">
        <v>72180</v>
      </c>
      <c r="J292" s="2"/>
      <c r="K292" s="2">
        <v>76136</v>
      </c>
      <c r="L292" s="2" t="s">
        <v>2098</v>
      </c>
      <c r="M292" s="2"/>
      <c r="N292" s="2"/>
      <c r="O292" s="2">
        <v>208910</v>
      </c>
      <c r="P292" s="2" t="s">
        <v>2099</v>
      </c>
      <c r="Q292" s="2" t="s">
        <v>2100</v>
      </c>
      <c r="R292" s="2" t="s">
        <v>2101</v>
      </c>
      <c r="S292" s="2" t="s">
        <v>148</v>
      </c>
      <c r="T292" s="2" t="s">
        <v>149</v>
      </c>
      <c r="U292" s="2" t="s">
        <v>2102</v>
      </c>
      <c r="V292" s="2" t="s">
        <v>59</v>
      </c>
      <c r="W292" s="2">
        <v>40.299999999999997</v>
      </c>
      <c r="X292" s="2">
        <v>11.9</v>
      </c>
      <c r="Y292" s="2" t="s">
        <v>2103</v>
      </c>
      <c r="Z292" s="2" t="s">
        <v>2104</v>
      </c>
      <c r="AA292" s="2">
        <v>-0.92544280956735003</v>
      </c>
      <c r="AB292" s="2">
        <v>1.70329715845451</v>
      </c>
      <c r="AC292" s="2">
        <v>519606.270220145</v>
      </c>
      <c r="AD292" s="2">
        <v>718200.532015273</v>
      </c>
      <c r="AE292" s="2">
        <v>525402.804596195</v>
      </c>
      <c r="AF292" s="2">
        <v>536486.22616616997</v>
      </c>
      <c r="AG292" s="2">
        <v>536101.04416635795</v>
      </c>
      <c r="AH292" s="2">
        <v>494595.28590074001</v>
      </c>
      <c r="AI292" s="2">
        <v>518769.86331254302</v>
      </c>
      <c r="AJ292" s="2">
        <v>506282.39717886201</v>
      </c>
      <c r="AK292" s="2">
        <v>789440.81874301506</v>
      </c>
      <c r="AL292" s="2">
        <v>721642.296684111</v>
      </c>
      <c r="AM292" s="2">
        <v>678850.80108738004</v>
      </c>
      <c r="AN292" s="2">
        <v>682294.36792723997</v>
      </c>
      <c r="AO292" s="2">
        <v>704904.86460547301</v>
      </c>
      <c r="AP292" s="2">
        <v>732070.043044416</v>
      </c>
    </row>
    <row r="293" spans="1:42" ht="14.5" x14ac:dyDescent="0.35">
      <c r="A293" s="2" t="s">
        <v>2105</v>
      </c>
      <c r="B293" s="2">
        <v>337.17925105176897</v>
      </c>
      <c r="C293" s="2">
        <v>7.0664166666666697</v>
      </c>
      <c r="D293" s="2" t="s">
        <v>34</v>
      </c>
      <c r="E293" s="2" t="s">
        <v>2106</v>
      </c>
      <c r="F293" s="2">
        <v>29103</v>
      </c>
      <c r="G293" s="3" t="str">
        <f>HYPERLINK("http://funmeta.oebiotech.com/network/29103", "http://funmeta.oebiotech.com/network/29103")</f>
        <v>http://funmeta.oebiotech.com/network/29103</v>
      </c>
      <c r="H293" s="2"/>
      <c r="I293" s="2">
        <v>47499</v>
      </c>
      <c r="J293" s="2" t="s">
        <v>2107</v>
      </c>
      <c r="K293" s="2"/>
      <c r="L293" s="2"/>
      <c r="M293" s="2"/>
      <c r="N293" s="2"/>
      <c r="O293" s="2">
        <v>44257205</v>
      </c>
      <c r="P293" s="2"/>
      <c r="Q293" s="2" t="s">
        <v>2108</v>
      </c>
      <c r="R293" s="2" t="s">
        <v>2109</v>
      </c>
      <c r="S293" s="2" t="s">
        <v>115</v>
      </c>
      <c r="T293" s="2" t="s">
        <v>139</v>
      </c>
      <c r="U293" s="2" t="s">
        <v>1552</v>
      </c>
      <c r="V293" s="2" t="s">
        <v>59</v>
      </c>
      <c r="W293" s="2">
        <v>38.799999999999997</v>
      </c>
      <c r="X293" s="2">
        <v>3.93</v>
      </c>
      <c r="Y293" s="2" t="s">
        <v>1008</v>
      </c>
      <c r="Z293" s="2" t="s">
        <v>2110</v>
      </c>
      <c r="AA293" s="2">
        <v>-1.6955834132771599</v>
      </c>
      <c r="AB293" s="2">
        <v>1.69866238142184</v>
      </c>
      <c r="AC293" s="2">
        <v>261408.324000975</v>
      </c>
      <c r="AD293" s="2">
        <v>71793.104085295505</v>
      </c>
      <c r="AE293" s="2">
        <v>255156.84199393899</v>
      </c>
      <c r="AF293" s="2">
        <v>264741.63249825098</v>
      </c>
      <c r="AG293" s="2">
        <v>273636.89689248498</v>
      </c>
      <c r="AH293" s="2">
        <v>258026.326365327</v>
      </c>
      <c r="AI293" s="2">
        <v>247458.413264412</v>
      </c>
      <c r="AJ293" s="2">
        <v>269429.83299143502</v>
      </c>
      <c r="AK293" s="2">
        <v>71209.828639260406</v>
      </c>
      <c r="AL293" s="2">
        <v>76942.319342319606</v>
      </c>
      <c r="AM293" s="2">
        <v>76218.055509903905</v>
      </c>
      <c r="AN293" s="2">
        <v>72940.202121596798</v>
      </c>
      <c r="AO293" s="2">
        <v>64796.575688229197</v>
      </c>
      <c r="AP293" s="2">
        <v>68651.6432104634</v>
      </c>
    </row>
    <row r="294" spans="1:42" ht="14.5" x14ac:dyDescent="0.35">
      <c r="A294" s="2" t="s">
        <v>2111</v>
      </c>
      <c r="B294" s="2">
        <v>669.41520743142803</v>
      </c>
      <c r="C294" s="2">
        <v>11.61295</v>
      </c>
      <c r="D294" s="2" t="s">
        <v>34</v>
      </c>
      <c r="E294" s="2" t="s">
        <v>2112</v>
      </c>
      <c r="F294" s="2">
        <v>248056</v>
      </c>
      <c r="G294" s="3" t="str">
        <f>HYPERLINK("http://funmeta.oebiotech.com/network/248056", "http://funmeta.oebiotech.com/network/248056")</f>
        <v>http://funmeta.oebiotech.com/network/248056</v>
      </c>
      <c r="H294" s="2" t="s">
        <v>2113</v>
      </c>
      <c r="I294" s="2"/>
      <c r="J294" s="2"/>
      <c r="K294" s="2"/>
      <c r="L294" s="2"/>
      <c r="M294" s="2"/>
      <c r="N294" s="2"/>
      <c r="O294" s="2"/>
      <c r="P294" s="2"/>
      <c r="Q294" s="2" t="s">
        <v>2114</v>
      </c>
      <c r="R294" s="2" t="s">
        <v>2115</v>
      </c>
      <c r="S294" s="2" t="s">
        <v>41</v>
      </c>
      <c r="T294" s="2" t="s">
        <v>41</v>
      </c>
      <c r="U294" s="2" t="s">
        <v>41</v>
      </c>
      <c r="V294" s="2" t="s">
        <v>59</v>
      </c>
      <c r="W294" s="2">
        <v>36.799999999999997</v>
      </c>
      <c r="X294" s="2">
        <v>0</v>
      </c>
      <c r="Y294" s="2" t="s">
        <v>340</v>
      </c>
      <c r="Z294" s="2" t="s">
        <v>2116</v>
      </c>
      <c r="AA294" s="2">
        <v>3.9575349861995499</v>
      </c>
      <c r="AB294" s="2">
        <v>1.69632704035737</v>
      </c>
      <c r="AC294" s="2">
        <v>1234.6545136479499</v>
      </c>
      <c r="AD294" s="2">
        <v>190827.92521187299</v>
      </c>
      <c r="AE294" s="2">
        <v>1281.78016511496</v>
      </c>
      <c r="AF294" s="2">
        <v>901.79833464727506</v>
      </c>
      <c r="AG294" s="2">
        <v>1092.7090221199801</v>
      </c>
      <c r="AH294" s="2">
        <v>1028.23303155601</v>
      </c>
      <c r="AI294" s="2">
        <v>1485.8257519670101</v>
      </c>
      <c r="AJ294" s="2">
        <v>1617.5807764824499</v>
      </c>
      <c r="AK294" s="2">
        <v>181500.04554622399</v>
      </c>
      <c r="AL294" s="2">
        <v>171873.906674153</v>
      </c>
      <c r="AM294" s="2">
        <v>207710.74240048099</v>
      </c>
      <c r="AN294" s="2">
        <v>190174.060687925</v>
      </c>
      <c r="AO294" s="2">
        <v>186246.38007911999</v>
      </c>
      <c r="AP294" s="2">
        <v>207462.41588333499</v>
      </c>
    </row>
    <row r="295" spans="1:42" ht="14.5" x14ac:dyDescent="0.35">
      <c r="A295" s="2" t="s">
        <v>2117</v>
      </c>
      <c r="B295" s="2">
        <v>390.11549243020102</v>
      </c>
      <c r="C295" s="2">
        <v>1.79495</v>
      </c>
      <c r="D295" s="2" t="s">
        <v>34</v>
      </c>
      <c r="E295" s="2" t="s">
        <v>2118</v>
      </c>
      <c r="F295" s="2">
        <v>53465</v>
      </c>
      <c r="G295" s="3" t="str">
        <f>HYPERLINK("http://funmeta.oebiotech.com/network/53465", "http://funmeta.oebiotech.com/network/53465")</f>
        <v>http://funmeta.oebiotech.com/network/53465</v>
      </c>
      <c r="H295" s="2" t="s">
        <v>2119</v>
      </c>
      <c r="I295" s="2">
        <v>85042</v>
      </c>
      <c r="J295" s="2"/>
      <c r="K295" s="2">
        <v>40237</v>
      </c>
      <c r="L295" s="2"/>
      <c r="M295" s="2"/>
      <c r="N295" s="2"/>
      <c r="O295" s="2">
        <v>4369359</v>
      </c>
      <c r="P295" s="2" t="s">
        <v>2120</v>
      </c>
      <c r="Q295" s="2" t="s">
        <v>2121</v>
      </c>
      <c r="R295" s="2" t="s">
        <v>2122</v>
      </c>
      <c r="S295" s="2" t="s">
        <v>89</v>
      </c>
      <c r="T295" s="2" t="s">
        <v>90</v>
      </c>
      <c r="U295" s="2" t="s">
        <v>99</v>
      </c>
      <c r="V295" s="2" t="s">
        <v>59</v>
      </c>
      <c r="W295" s="2">
        <v>39.200000000000003</v>
      </c>
      <c r="X295" s="2">
        <v>0.41599999999999998</v>
      </c>
      <c r="Y295" s="2" t="s">
        <v>141</v>
      </c>
      <c r="Z295" s="2" t="s">
        <v>2123</v>
      </c>
      <c r="AA295" s="2">
        <v>1.7224378535390701</v>
      </c>
      <c r="AB295" s="2">
        <v>1.6932963109475501</v>
      </c>
      <c r="AC295" s="2">
        <v>570421.56751531595</v>
      </c>
      <c r="AD295" s="2">
        <v>765844.754038924</v>
      </c>
      <c r="AE295" s="2">
        <v>580511.66317241394</v>
      </c>
      <c r="AF295" s="2">
        <v>600555.99869084603</v>
      </c>
      <c r="AG295" s="2">
        <v>578495.26214869402</v>
      </c>
      <c r="AH295" s="2">
        <v>516641.476968801</v>
      </c>
      <c r="AI295" s="2">
        <v>547858.88232219603</v>
      </c>
      <c r="AJ295" s="2">
        <v>598466.121788944</v>
      </c>
      <c r="AK295" s="2">
        <v>749273.22530118795</v>
      </c>
      <c r="AL295" s="2">
        <v>788308.17876728205</v>
      </c>
      <c r="AM295" s="2">
        <v>780432.88308366796</v>
      </c>
      <c r="AN295" s="2">
        <v>778412.97446836799</v>
      </c>
      <c r="AO295" s="2">
        <v>777557.45099647599</v>
      </c>
      <c r="AP295" s="2">
        <v>721083.81161655905</v>
      </c>
    </row>
    <row r="296" spans="1:42" ht="14.5" x14ac:dyDescent="0.35">
      <c r="A296" s="2" t="s">
        <v>2124</v>
      </c>
      <c r="B296" s="2">
        <v>595.13005608006199</v>
      </c>
      <c r="C296" s="2">
        <v>4.5065833333333298</v>
      </c>
      <c r="D296" s="2" t="s">
        <v>70</v>
      </c>
      <c r="E296" s="2" t="s">
        <v>2125</v>
      </c>
      <c r="F296" s="2">
        <v>63648</v>
      </c>
      <c r="G296" s="3" t="str">
        <f>HYPERLINK("http://funmeta.oebiotech.com/network/63648", "http://funmeta.oebiotech.com/network/63648")</f>
        <v>http://funmeta.oebiotech.com/network/63648</v>
      </c>
      <c r="H296" s="2" t="s">
        <v>2126</v>
      </c>
      <c r="I296" s="2"/>
      <c r="J296" s="2"/>
      <c r="K296" s="2"/>
      <c r="L296" s="2"/>
      <c r="M296" s="2"/>
      <c r="N296" s="2"/>
      <c r="O296" s="2">
        <v>13887800</v>
      </c>
      <c r="P296" s="2" t="s">
        <v>2127</v>
      </c>
      <c r="Q296" s="2" t="s">
        <v>2128</v>
      </c>
      <c r="R296" s="2" t="s">
        <v>2129</v>
      </c>
      <c r="S296" s="2" t="s">
        <v>115</v>
      </c>
      <c r="T296" s="2" t="s">
        <v>139</v>
      </c>
      <c r="U296" s="2" t="s">
        <v>140</v>
      </c>
      <c r="V296" s="2" t="s">
        <v>42</v>
      </c>
      <c r="W296" s="2">
        <v>54.8</v>
      </c>
      <c r="X296" s="2">
        <v>76.7</v>
      </c>
      <c r="Y296" s="2" t="s">
        <v>498</v>
      </c>
      <c r="Z296" s="2" t="s">
        <v>1043</v>
      </c>
      <c r="AA296" s="2">
        <v>-0.67484212787455999</v>
      </c>
      <c r="AB296" s="2">
        <v>1.69078673656053</v>
      </c>
      <c r="AC296" s="2">
        <v>3320279.3523173998</v>
      </c>
      <c r="AD296" s="2">
        <v>3645203.9464770001</v>
      </c>
      <c r="AE296" s="2">
        <v>3450804.1992848502</v>
      </c>
      <c r="AF296" s="2">
        <v>3060887.0837556198</v>
      </c>
      <c r="AG296" s="2">
        <v>3276412.29257672</v>
      </c>
      <c r="AH296" s="2">
        <v>2975880.3020571298</v>
      </c>
      <c r="AI296" s="2">
        <v>3292551.1908598999</v>
      </c>
      <c r="AJ296" s="2">
        <v>3865141.04537021</v>
      </c>
      <c r="AK296" s="2">
        <v>3676089.53016927</v>
      </c>
      <c r="AL296" s="2">
        <v>3762662.8862404702</v>
      </c>
      <c r="AM296" s="2">
        <v>3570576.9772457499</v>
      </c>
      <c r="AN296" s="2">
        <v>3888595.8471282502</v>
      </c>
      <c r="AO296" s="2">
        <v>3444275.7117127101</v>
      </c>
      <c r="AP296" s="2">
        <v>3529022.7263655602</v>
      </c>
    </row>
    <row r="297" spans="1:42" ht="14.5" x14ac:dyDescent="0.35">
      <c r="A297" s="2" t="s">
        <v>2130</v>
      </c>
      <c r="B297" s="2">
        <v>918.67094921426303</v>
      </c>
      <c r="C297" s="2">
        <v>13.7418666666667</v>
      </c>
      <c r="D297" s="2" t="s">
        <v>34</v>
      </c>
      <c r="E297" s="2" t="s">
        <v>2131</v>
      </c>
      <c r="F297" s="2">
        <v>19685</v>
      </c>
      <c r="G297" s="3" t="str">
        <f>HYPERLINK("http://funmeta.oebiotech.com/network/19685", "http://funmeta.oebiotech.com/network/19685")</f>
        <v>http://funmeta.oebiotech.com/network/19685</v>
      </c>
      <c r="H297" s="2" t="s">
        <v>2132</v>
      </c>
      <c r="I297" s="2">
        <v>102761</v>
      </c>
      <c r="J297" s="2" t="s">
        <v>2133</v>
      </c>
      <c r="K297" s="2">
        <v>89998</v>
      </c>
      <c r="L297" s="2"/>
      <c r="M297" s="2"/>
      <c r="N297" s="2"/>
      <c r="O297" s="2">
        <v>53481761</v>
      </c>
      <c r="P297" s="2"/>
      <c r="Q297" s="2" t="s">
        <v>2134</v>
      </c>
      <c r="R297" s="2" t="s">
        <v>2135</v>
      </c>
      <c r="S297" s="2" t="s">
        <v>50</v>
      </c>
      <c r="T297" s="2" t="s">
        <v>51</v>
      </c>
      <c r="U297" s="2" t="s">
        <v>168</v>
      </c>
      <c r="V297" s="2" t="s">
        <v>59</v>
      </c>
      <c r="W297" s="2">
        <v>37.9</v>
      </c>
      <c r="X297" s="2">
        <v>0</v>
      </c>
      <c r="Y297" s="2" t="s">
        <v>340</v>
      </c>
      <c r="Z297" s="2" t="s">
        <v>2136</v>
      </c>
      <c r="AA297" s="2">
        <v>-0.34099983848204402</v>
      </c>
      <c r="AB297" s="2">
        <v>1.6905217549812299</v>
      </c>
      <c r="AC297" s="2">
        <v>535.94642839994003</v>
      </c>
      <c r="AD297" s="2">
        <v>188438.75726595099</v>
      </c>
      <c r="AE297" s="2">
        <v>563.59596685060296</v>
      </c>
      <c r="AF297" s="2">
        <v>470.44915174197803</v>
      </c>
      <c r="AG297" s="2">
        <v>554.65705614784201</v>
      </c>
      <c r="AH297" s="2">
        <v>648.81930375134903</v>
      </c>
      <c r="AI297" s="2">
        <v>666.15308992030998</v>
      </c>
      <c r="AJ297" s="2">
        <v>312.00400198756</v>
      </c>
      <c r="AK297" s="2">
        <v>189023.01388509601</v>
      </c>
      <c r="AL297" s="2">
        <v>190912.16870350501</v>
      </c>
      <c r="AM297" s="2">
        <v>202628.715168597</v>
      </c>
      <c r="AN297" s="2">
        <v>175383.72427107301</v>
      </c>
      <c r="AO297" s="2">
        <v>187614.07745636799</v>
      </c>
      <c r="AP297" s="2">
        <v>185070.844111065</v>
      </c>
    </row>
    <row r="298" spans="1:42" ht="14.5" x14ac:dyDescent="0.35">
      <c r="A298" s="2" t="s">
        <v>2137</v>
      </c>
      <c r="B298" s="2">
        <v>636.50320848582999</v>
      </c>
      <c r="C298" s="2">
        <v>13.263916666666701</v>
      </c>
      <c r="D298" s="2" t="s">
        <v>34</v>
      </c>
      <c r="E298" s="2" t="s">
        <v>2138</v>
      </c>
      <c r="F298" s="2">
        <v>10199</v>
      </c>
      <c r="G298" s="3" t="str">
        <f>HYPERLINK("http://funmeta.oebiotech.com/network/10199", "http://funmeta.oebiotech.com/network/10199")</f>
        <v>http://funmeta.oebiotech.com/network/10199</v>
      </c>
      <c r="H298" s="2"/>
      <c r="I298" s="2"/>
      <c r="J298" s="2" t="s">
        <v>2139</v>
      </c>
      <c r="K298" s="2"/>
      <c r="L298" s="2"/>
      <c r="M298" s="2"/>
      <c r="N298" s="2"/>
      <c r="O298" s="2">
        <v>101916309</v>
      </c>
      <c r="P298" s="2"/>
      <c r="Q298" s="2" t="s">
        <v>2140</v>
      </c>
      <c r="R298" s="2" t="s">
        <v>2141</v>
      </c>
      <c r="S298" s="2" t="s">
        <v>50</v>
      </c>
      <c r="T298" s="2" t="s">
        <v>229</v>
      </c>
      <c r="U298" s="2" t="s">
        <v>230</v>
      </c>
      <c r="V298" s="2" t="s">
        <v>59</v>
      </c>
      <c r="W298" s="2">
        <v>38.4</v>
      </c>
      <c r="X298" s="2">
        <v>9.5399999999999999E-2</v>
      </c>
      <c r="Y298" s="2" t="s">
        <v>43</v>
      </c>
      <c r="Z298" s="2" t="s">
        <v>2142</v>
      </c>
      <c r="AA298" s="2">
        <v>-2.10315034247169</v>
      </c>
      <c r="AB298" s="2">
        <v>1.6900060679590301</v>
      </c>
      <c r="AC298" s="2">
        <v>272.752723834704</v>
      </c>
      <c r="AD298" s="2">
        <v>188914.89177009699</v>
      </c>
      <c r="AE298" s="2">
        <v>459.09976011918701</v>
      </c>
      <c r="AF298" s="2">
        <v>2.7106294003980101E-5</v>
      </c>
      <c r="AG298" s="2">
        <v>233.46378836106899</v>
      </c>
      <c r="AH298" s="2">
        <v>251.85185177735099</v>
      </c>
      <c r="AI298" s="2">
        <v>251.949670589259</v>
      </c>
      <c r="AJ298" s="2">
        <v>440.15124505506299</v>
      </c>
      <c r="AK298" s="2">
        <v>162685.812913759</v>
      </c>
      <c r="AL298" s="2">
        <v>190219.475881858</v>
      </c>
      <c r="AM298" s="2">
        <v>216360.75721757699</v>
      </c>
      <c r="AN298" s="2">
        <v>197251.548270667</v>
      </c>
      <c r="AO298" s="2">
        <v>183487.65505505499</v>
      </c>
      <c r="AP298" s="2">
        <v>183484.101281668</v>
      </c>
    </row>
    <row r="299" spans="1:42" ht="14.5" x14ac:dyDescent="0.35">
      <c r="A299" s="2" t="s">
        <v>2143</v>
      </c>
      <c r="B299" s="2">
        <v>543.25631264033802</v>
      </c>
      <c r="C299" s="2">
        <v>9.7467833333333296</v>
      </c>
      <c r="D299" s="2" t="s">
        <v>34</v>
      </c>
      <c r="E299" s="2" t="s">
        <v>2144</v>
      </c>
      <c r="F299" s="2">
        <v>54950</v>
      </c>
      <c r="G299" s="3" t="str">
        <f>HYPERLINK("http://funmeta.oebiotech.com/network/54950", "http://funmeta.oebiotech.com/network/54950")</f>
        <v>http://funmeta.oebiotech.com/network/54950</v>
      </c>
      <c r="H299" s="2" t="s">
        <v>2145</v>
      </c>
      <c r="I299" s="2"/>
      <c r="J299" s="2"/>
      <c r="K299" s="2"/>
      <c r="L299" s="2"/>
      <c r="M299" s="2"/>
      <c r="N299" s="2"/>
      <c r="O299" s="2">
        <v>131750960</v>
      </c>
      <c r="P299" s="2" t="s">
        <v>2146</v>
      </c>
      <c r="Q299" s="2" t="s">
        <v>2147</v>
      </c>
      <c r="R299" s="2" t="s">
        <v>2148</v>
      </c>
      <c r="S299" s="2" t="s">
        <v>50</v>
      </c>
      <c r="T299" s="2" t="s">
        <v>124</v>
      </c>
      <c r="U299" s="2" t="s">
        <v>567</v>
      </c>
      <c r="V299" s="2" t="s">
        <v>42</v>
      </c>
      <c r="W299" s="2">
        <v>54.5</v>
      </c>
      <c r="X299" s="2">
        <v>75.099999999999994</v>
      </c>
      <c r="Y299" s="2" t="s">
        <v>568</v>
      </c>
      <c r="Z299" s="2" t="s">
        <v>2149</v>
      </c>
      <c r="AA299" s="2">
        <v>-0.27081948053188798</v>
      </c>
      <c r="AB299" s="2">
        <v>1.68621732279235</v>
      </c>
      <c r="AC299" s="2">
        <v>606150.965829427</v>
      </c>
      <c r="AD299" s="2">
        <v>415385.310607903</v>
      </c>
      <c r="AE299" s="2">
        <v>594237.13471096905</v>
      </c>
      <c r="AF299" s="2">
        <v>626648.92050926003</v>
      </c>
      <c r="AG299" s="2">
        <v>606749.96198509901</v>
      </c>
      <c r="AH299" s="2">
        <v>596386.964049745</v>
      </c>
      <c r="AI299" s="2">
        <v>576367.67232510098</v>
      </c>
      <c r="AJ299" s="2">
        <v>636515.14139638701</v>
      </c>
      <c r="AK299" s="2">
        <v>389916.61256130697</v>
      </c>
      <c r="AL299" s="2">
        <v>462436.99674099201</v>
      </c>
      <c r="AM299" s="2">
        <v>407699.569014646</v>
      </c>
      <c r="AN299" s="2">
        <v>400047.92232388997</v>
      </c>
      <c r="AO299" s="2">
        <v>407095.78761762998</v>
      </c>
      <c r="AP299" s="2">
        <v>425114.97538895399</v>
      </c>
    </row>
    <row r="300" spans="1:42" ht="14.5" x14ac:dyDescent="0.35">
      <c r="A300" s="2" t="s">
        <v>2150</v>
      </c>
      <c r="B300" s="2">
        <v>173.00813286132001</v>
      </c>
      <c r="C300" s="2">
        <v>1.05673333333333</v>
      </c>
      <c r="D300" s="2" t="s">
        <v>70</v>
      </c>
      <c r="E300" s="2" t="s">
        <v>2151</v>
      </c>
      <c r="F300" s="2">
        <v>46867</v>
      </c>
      <c r="G300" s="3" t="str">
        <f>HYPERLINK("http://funmeta.oebiotech.com/network/46867", "http://funmeta.oebiotech.com/network/46867")</f>
        <v>http://funmeta.oebiotech.com/network/46867</v>
      </c>
      <c r="H300" s="2" t="s">
        <v>2152</v>
      </c>
      <c r="I300" s="2">
        <v>124</v>
      </c>
      <c r="J300" s="2"/>
      <c r="K300" s="2">
        <v>30769</v>
      </c>
      <c r="L300" s="2" t="s">
        <v>2153</v>
      </c>
      <c r="M300" s="2" t="s">
        <v>2154</v>
      </c>
      <c r="N300" s="2" t="s">
        <v>2155</v>
      </c>
      <c r="O300" s="2">
        <v>311</v>
      </c>
      <c r="P300" s="2" t="s">
        <v>2156</v>
      </c>
      <c r="Q300" s="2" t="s">
        <v>2157</v>
      </c>
      <c r="R300" s="2" t="s">
        <v>2158</v>
      </c>
      <c r="S300" s="2" t="s">
        <v>89</v>
      </c>
      <c r="T300" s="2" t="s">
        <v>90</v>
      </c>
      <c r="U300" s="2" t="s">
        <v>91</v>
      </c>
      <c r="V300" s="2" t="s">
        <v>42</v>
      </c>
      <c r="W300" s="2">
        <v>51.5</v>
      </c>
      <c r="X300" s="2">
        <v>64.5</v>
      </c>
      <c r="Y300" s="2" t="s">
        <v>792</v>
      </c>
      <c r="Z300" s="2" t="s">
        <v>1019</v>
      </c>
      <c r="AA300" s="2">
        <v>-5.3566016547172204</v>
      </c>
      <c r="AB300" s="2">
        <v>1.6851599172140499</v>
      </c>
      <c r="AC300" s="2">
        <v>2653752.13171151</v>
      </c>
      <c r="AD300" s="2">
        <v>2926910.1434631199</v>
      </c>
      <c r="AE300" s="2">
        <v>2814650.4069037801</v>
      </c>
      <c r="AF300" s="2">
        <v>2597892.4005227401</v>
      </c>
      <c r="AG300" s="2">
        <v>2419139.3713552798</v>
      </c>
      <c r="AH300" s="2">
        <v>2683152.4084690702</v>
      </c>
      <c r="AI300" s="2">
        <v>2701597.3604061501</v>
      </c>
      <c r="AJ300" s="2">
        <v>2706080.8426120202</v>
      </c>
      <c r="AK300" s="2">
        <v>3181361.9051803001</v>
      </c>
      <c r="AL300" s="2">
        <v>2931342.5743637299</v>
      </c>
      <c r="AM300" s="2">
        <v>2774894.03426167</v>
      </c>
      <c r="AN300" s="2">
        <v>3120482.8159610601</v>
      </c>
      <c r="AO300" s="2">
        <v>2804426.84807393</v>
      </c>
      <c r="AP300" s="2">
        <v>2748952.6829380398</v>
      </c>
    </row>
    <row r="301" spans="1:42" ht="14.5" x14ac:dyDescent="0.35">
      <c r="A301" s="2" t="s">
        <v>2159</v>
      </c>
      <c r="B301" s="2">
        <v>619.12996460167699</v>
      </c>
      <c r="C301" s="2">
        <v>4.84418333333333</v>
      </c>
      <c r="D301" s="2" t="s">
        <v>70</v>
      </c>
      <c r="E301" s="2" t="s">
        <v>2160</v>
      </c>
      <c r="F301" s="2">
        <v>54674</v>
      </c>
      <c r="G301" s="3" t="str">
        <f>HYPERLINK("http://funmeta.oebiotech.com/network/54674", "http://funmeta.oebiotech.com/network/54674")</f>
        <v>http://funmeta.oebiotech.com/network/54674</v>
      </c>
      <c r="H301" s="2" t="s">
        <v>2161</v>
      </c>
      <c r="I301" s="2"/>
      <c r="J301" s="2"/>
      <c r="K301" s="2">
        <v>168097</v>
      </c>
      <c r="L301" s="2"/>
      <c r="M301" s="2"/>
      <c r="N301" s="2"/>
      <c r="O301" s="2">
        <v>10108584</v>
      </c>
      <c r="P301" s="2" t="s">
        <v>2162</v>
      </c>
      <c r="Q301" s="2" t="s">
        <v>2163</v>
      </c>
      <c r="R301" s="2" t="s">
        <v>2164</v>
      </c>
      <c r="S301" s="2" t="s">
        <v>115</v>
      </c>
      <c r="T301" s="2" t="s">
        <v>116</v>
      </c>
      <c r="U301" s="2" t="s">
        <v>117</v>
      </c>
      <c r="V301" s="2" t="s">
        <v>59</v>
      </c>
      <c r="W301" s="2">
        <v>40.5</v>
      </c>
      <c r="X301" s="2">
        <v>16.7</v>
      </c>
      <c r="Y301" s="2" t="s">
        <v>2165</v>
      </c>
      <c r="Z301" s="2" t="s">
        <v>2166</v>
      </c>
      <c r="AA301" s="2">
        <v>-0.79623802115485498</v>
      </c>
      <c r="AB301" s="2">
        <v>1.68492340011772</v>
      </c>
      <c r="AC301" s="2">
        <v>390435.49429465301</v>
      </c>
      <c r="AD301" s="2">
        <v>195724.09216289499</v>
      </c>
      <c r="AE301" s="2">
        <v>409721.24111687799</v>
      </c>
      <c r="AF301" s="2">
        <v>330857.611287034</v>
      </c>
      <c r="AG301" s="2">
        <v>388017.29772336403</v>
      </c>
      <c r="AH301" s="2">
        <v>370807.50620300497</v>
      </c>
      <c r="AI301" s="2">
        <v>399207.55592144001</v>
      </c>
      <c r="AJ301" s="2">
        <v>444001.75351619697</v>
      </c>
      <c r="AK301" s="2">
        <v>200117.29523827799</v>
      </c>
      <c r="AL301" s="2">
        <v>167540.184016188</v>
      </c>
      <c r="AM301" s="2">
        <v>235077.74867561</v>
      </c>
      <c r="AN301" s="2">
        <v>180628.58079791101</v>
      </c>
      <c r="AO301" s="2">
        <v>203571.953197261</v>
      </c>
      <c r="AP301" s="2">
        <v>187408.79105212499</v>
      </c>
    </row>
    <row r="302" spans="1:42" ht="14.5" x14ac:dyDescent="0.35">
      <c r="A302" s="2" t="s">
        <v>2167</v>
      </c>
      <c r="B302" s="2">
        <v>697.19836679161199</v>
      </c>
      <c r="C302" s="2">
        <v>2.4471166666666702</v>
      </c>
      <c r="D302" s="2" t="s">
        <v>70</v>
      </c>
      <c r="E302" s="2" t="s">
        <v>2168</v>
      </c>
      <c r="F302" s="2">
        <v>59309</v>
      </c>
      <c r="G302" s="3" t="str">
        <f>HYPERLINK("http://funmeta.oebiotech.com/network/59309", "http://funmeta.oebiotech.com/network/59309")</f>
        <v>http://funmeta.oebiotech.com/network/59309</v>
      </c>
      <c r="H302" s="2" t="s">
        <v>2169</v>
      </c>
      <c r="I302" s="2">
        <v>90727</v>
      </c>
      <c r="J302" s="2"/>
      <c r="K302" s="2"/>
      <c r="L302" s="2"/>
      <c r="M302" s="2"/>
      <c r="N302" s="2"/>
      <c r="O302" s="2">
        <v>76401292</v>
      </c>
      <c r="P302" s="2" t="s">
        <v>2170</v>
      </c>
      <c r="Q302" s="2" t="s">
        <v>2171</v>
      </c>
      <c r="R302" s="2" t="s">
        <v>2172</v>
      </c>
      <c r="S302" s="2" t="s">
        <v>115</v>
      </c>
      <c r="T302" s="2" t="s">
        <v>139</v>
      </c>
      <c r="U302" s="2" t="s">
        <v>140</v>
      </c>
      <c r="V302" s="2" t="s">
        <v>42</v>
      </c>
      <c r="W302" s="2">
        <v>56.2</v>
      </c>
      <c r="X302" s="2">
        <v>82.2</v>
      </c>
      <c r="Y302" s="2" t="s">
        <v>408</v>
      </c>
      <c r="Z302" s="2" t="s">
        <v>1884</v>
      </c>
      <c r="AA302" s="2">
        <v>-0.26241303252540399</v>
      </c>
      <c r="AB302" s="2">
        <v>1.68401421470287</v>
      </c>
      <c r="AC302" s="2">
        <v>313186.18962071399</v>
      </c>
      <c r="AD302" s="2">
        <v>502640.023390282</v>
      </c>
      <c r="AE302" s="2">
        <v>319764.57840531901</v>
      </c>
      <c r="AF302" s="2">
        <v>293404.677557691</v>
      </c>
      <c r="AG302" s="2">
        <v>331681.17448651697</v>
      </c>
      <c r="AH302" s="2">
        <v>302357.409870025</v>
      </c>
      <c r="AI302" s="2">
        <v>307333.57560814498</v>
      </c>
      <c r="AJ302" s="2">
        <v>324575.721796586</v>
      </c>
      <c r="AK302" s="2">
        <v>513612.09655813401</v>
      </c>
      <c r="AL302" s="2">
        <v>481405.58676666103</v>
      </c>
      <c r="AM302" s="2">
        <v>531100.83251883998</v>
      </c>
      <c r="AN302" s="2">
        <v>493774.28579030401</v>
      </c>
      <c r="AO302" s="2">
        <v>472299.19789539999</v>
      </c>
      <c r="AP302" s="2">
        <v>523648.14081235102</v>
      </c>
    </row>
    <row r="303" spans="1:42" ht="14.5" x14ac:dyDescent="0.35">
      <c r="A303" s="2" t="s">
        <v>2173</v>
      </c>
      <c r="B303" s="2">
        <v>833.47046339664598</v>
      </c>
      <c r="C303" s="2">
        <v>5.0879333333333303</v>
      </c>
      <c r="D303" s="2" t="s">
        <v>34</v>
      </c>
      <c r="E303" s="2" t="s">
        <v>2174</v>
      </c>
      <c r="F303" s="2">
        <v>219143</v>
      </c>
      <c r="G303" s="3" t="str">
        <f>HYPERLINK("http://funmeta.oebiotech.com/network/219143", "http://funmeta.oebiotech.com/network/219143")</f>
        <v>http://funmeta.oebiotech.com/network/219143</v>
      </c>
      <c r="H303" s="2" t="s">
        <v>2175</v>
      </c>
      <c r="I303" s="2"/>
      <c r="J303" s="2"/>
      <c r="K303" s="2"/>
      <c r="L303" s="2"/>
      <c r="M303" s="2"/>
      <c r="N303" s="2"/>
      <c r="O303" s="2"/>
      <c r="P303" s="2"/>
      <c r="Q303" s="2" t="s">
        <v>2176</v>
      </c>
      <c r="R303" s="2" t="s">
        <v>2177</v>
      </c>
      <c r="S303" s="2" t="s">
        <v>41</v>
      </c>
      <c r="T303" s="2" t="s">
        <v>41</v>
      </c>
      <c r="U303" s="2" t="s">
        <v>41</v>
      </c>
      <c r="V303" s="2" t="s">
        <v>59</v>
      </c>
      <c r="W303" s="2">
        <v>37.6</v>
      </c>
      <c r="X303" s="2">
        <v>3.9100000000000003E-2</v>
      </c>
      <c r="Y303" s="2" t="s">
        <v>203</v>
      </c>
      <c r="Z303" s="2" t="s">
        <v>2178</v>
      </c>
      <c r="AA303" s="2">
        <v>-2.8720710060841501</v>
      </c>
      <c r="AB303" s="2">
        <v>1.6797642821957699</v>
      </c>
      <c r="AC303" s="2">
        <v>1060539.5491657001</v>
      </c>
      <c r="AD303" s="2">
        <v>1280890.7423535299</v>
      </c>
      <c r="AE303" s="2">
        <v>1159196.36680899</v>
      </c>
      <c r="AF303" s="2">
        <v>1091896.78702384</v>
      </c>
      <c r="AG303" s="2">
        <v>1001138.93127176</v>
      </c>
      <c r="AH303" s="2">
        <v>1091742.69026513</v>
      </c>
      <c r="AI303" s="2">
        <v>982651.81672186602</v>
      </c>
      <c r="AJ303" s="2">
        <v>1036610.7029026099</v>
      </c>
      <c r="AK303" s="2">
        <v>1200423.1091783301</v>
      </c>
      <c r="AL303" s="2">
        <v>1261406.03739028</v>
      </c>
      <c r="AM303" s="2">
        <v>1414121.8104308899</v>
      </c>
      <c r="AN303" s="2">
        <v>1258728.5308439201</v>
      </c>
      <c r="AO303" s="2">
        <v>1197197.4953069601</v>
      </c>
      <c r="AP303" s="2">
        <v>1353467.4709707999</v>
      </c>
    </row>
    <row r="304" spans="1:42" ht="14.5" x14ac:dyDescent="0.35">
      <c r="A304" s="2" t="s">
        <v>2179</v>
      </c>
      <c r="B304" s="2">
        <v>703.30911493839301</v>
      </c>
      <c r="C304" s="2">
        <v>5.5431833333333298</v>
      </c>
      <c r="D304" s="2" t="s">
        <v>70</v>
      </c>
      <c r="E304" s="2" t="s">
        <v>2180</v>
      </c>
      <c r="F304" s="2">
        <v>467428</v>
      </c>
      <c r="G304" s="3" t="str">
        <f>HYPERLINK("http://funmeta.oebiotech.com/network/467428", "http://funmeta.oebiotech.com/network/467428")</f>
        <v>http://funmeta.oebiotech.com/network/467428</v>
      </c>
      <c r="H304" s="2"/>
      <c r="I304" s="2">
        <v>85066</v>
      </c>
      <c r="J304" s="2"/>
      <c r="K304" s="2"/>
      <c r="L304" s="2"/>
      <c r="M304" s="2"/>
      <c r="N304" s="2"/>
      <c r="O304" s="2">
        <v>57458892</v>
      </c>
      <c r="P304" s="2" t="s">
        <v>2181</v>
      </c>
      <c r="Q304" s="2" t="s">
        <v>2182</v>
      </c>
      <c r="R304" s="2" t="s">
        <v>2183</v>
      </c>
      <c r="S304" s="2" t="s">
        <v>491</v>
      </c>
      <c r="T304" s="2" t="s">
        <v>2184</v>
      </c>
      <c r="U304" s="2" t="s">
        <v>2185</v>
      </c>
      <c r="V304" s="2" t="s">
        <v>59</v>
      </c>
      <c r="W304" s="2">
        <v>37.1</v>
      </c>
      <c r="X304" s="2">
        <v>0</v>
      </c>
      <c r="Y304" s="2" t="s">
        <v>560</v>
      </c>
      <c r="Z304" s="2" t="s">
        <v>2186</v>
      </c>
      <c r="AA304" s="2">
        <v>1.7958286363854401</v>
      </c>
      <c r="AB304" s="2">
        <v>1.67635560655288</v>
      </c>
      <c r="AC304" s="2">
        <v>1405087.53769584</v>
      </c>
      <c r="AD304" s="2">
        <v>1600143.57918508</v>
      </c>
      <c r="AE304" s="2">
        <v>1466377.83702179</v>
      </c>
      <c r="AF304" s="2">
        <v>1359190.16276483</v>
      </c>
      <c r="AG304" s="2">
        <v>1367487.21913451</v>
      </c>
      <c r="AH304" s="2">
        <v>1413063.87941794</v>
      </c>
      <c r="AI304" s="2">
        <v>1390213.1157372801</v>
      </c>
      <c r="AJ304" s="2">
        <v>1434193.0120987</v>
      </c>
      <c r="AK304" s="2">
        <v>1568587.6167739001</v>
      </c>
      <c r="AL304" s="2">
        <v>1579032.1436927901</v>
      </c>
      <c r="AM304" s="2">
        <v>1662634.65076687</v>
      </c>
      <c r="AN304" s="2">
        <v>1601543.31875806</v>
      </c>
      <c r="AO304" s="2">
        <v>1587150.1524905399</v>
      </c>
      <c r="AP304" s="2">
        <v>1601913.59262835</v>
      </c>
    </row>
    <row r="305" spans="1:42" ht="14.5" x14ac:dyDescent="0.35">
      <c r="A305" s="2" t="s">
        <v>2187</v>
      </c>
      <c r="B305" s="2">
        <v>283.20528923901799</v>
      </c>
      <c r="C305" s="2">
        <v>10.5277666666667</v>
      </c>
      <c r="D305" s="2" t="s">
        <v>34</v>
      </c>
      <c r="E305" s="2" t="s">
        <v>2188</v>
      </c>
      <c r="F305" s="2">
        <v>37372</v>
      </c>
      <c r="G305" s="3" t="str">
        <f>HYPERLINK("http://funmeta.oebiotech.com/network/37372", "http://funmeta.oebiotech.com/network/37372")</f>
        <v>http://funmeta.oebiotech.com/network/37372</v>
      </c>
      <c r="H305" s="2" t="s">
        <v>2189</v>
      </c>
      <c r="I305" s="2">
        <v>41502</v>
      </c>
      <c r="J305" s="2" t="s">
        <v>2190</v>
      </c>
      <c r="K305" s="2">
        <v>28537</v>
      </c>
      <c r="L305" s="2" t="s">
        <v>2191</v>
      </c>
      <c r="M305" s="2"/>
      <c r="N305" s="2"/>
      <c r="O305" s="2">
        <v>5280866</v>
      </c>
      <c r="P305" s="2" t="s">
        <v>2192</v>
      </c>
      <c r="Q305" s="2" t="s">
        <v>2193</v>
      </c>
      <c r="R305" s="2" t="s">
        <v>2194</v>
      </c>
      <c r="S305" s="2" t="s">
        <v>50</v>
      </c>
      <c r="T305" s="2" t="s">
        <v>201</v>
      </c>
      <c r="U305" s="2" t="s">
        <v>2195</v>
      </c>
      <c r="V305" s="2" t="s">
        <v>42</v>
      </c>
      <c r="W305" s="2">
        <v>51.7</v>
      </c>
      <c r="X305" s="2">
        <v>62.4</v>
      </c>
      <c r="Y305" s="2" t="s">
        <v>266</v>
      </c>
      <c r="Z305" s="2" t="s">
        <v>2196</v>
      </c>
      <c r="AA305" s="2">
        <v>-1.24963998729079</v>
      </c>
      <c r="AB305" s="2">
        <v>1.6758623107235</v>
      </c>
      <c r="AC305" s="2">
        <v>197778.33297590501</v>
      </c>
      <c r="AD305" s="2">
        <v>12969.488428765801</v>
      </c>
      <c r="AE305" s="2">
        <v>202563.959570962</v>
      </c>
      <c r="AF305" s="2">
        <v>202387.09103665999</v>
      </c>
      <c r="AG305" s="2">
        <v>202357.037956632</v>
      </c>
      <c r="AH305" s="2">
        <v>185802.587299962</v>
      </c>
      <c r="AI305" s="2">
        <v>178212.47103830101</v>
      </c>
      <c r="AJ305" s="2">
        <v>215346.85095291</v>
      </c>
      <c r="AK305" s="2">
        <v>12537.4943826084</v>
      </c>
      <c r="AL305" s="2">
        <v>16938.814523449299</v>
      </c>
      <c r="AM305" s="2">
        <v>11368.5110618938</v>
      </c>
      <c r="AN305" s="2">
        <v>13702.7261672404</v>
      </c>
      <c r="AO305" s="2">
        <v>12093.4529353259</v>
      </c>
      <c r="AP305" s="2">
        <v>11175.931502076999</v>
      </c>
    </row>
    <row r="306" spans="1:42" ht="14.5" x14ac:dyDescent="0.35">
      <c r="A306" s="2" t="s">
        <v>2197</v>
      </c>
      <c r="B306" s="2">
        <v>476.395582677199</v>
      </c>
      <c r="C306" s="2">
        <v>13.3172833333333</v>
      </c>
      <c r="D306" s="2" t="s">
        <v>34</v>
      </c>
      <c r="E306" s="2" t="s">
        <v>2198</v>
      </c>
      <c r="F306" s="2">
        <v>10284</v>
      </c>
      <c r="G306" s="3" t="str">
        <f>HYPERLINK("http://funmeta.oebiotech.com/network/10284", "http://funmeta.oebiotech.com/network/10284")</f>
        <v>http://funmeta.oebiotech.com/network/10284</v>
      </c>
      <c r="H306" s="2"/>
      <c r="I306" s="2"/>
      <c r="J306" s="2" t="s">
        <v>2199</v>
      </c>
      <c r="K306" s="2">
        <v>78974</v>
      </c>
      <c r="L306" s="2"/>
      <c r="M306" s="2"/>
      <c r="N306" s="2"/>
      <c r="O306" s="2">
        <v>86289706</v>
      </c>
      <c r="P306" s="2"/>
      <c r="Q306" s="2" t="s">
        <v>2200</v>
      </c>
      <c r="R306" s="2" t="s">
        <v>2201</v>
      </c>
      <c r="S306" s="2" t="s">
        <v>50</v>
      </c>
      <c r="T306" s="2" t="s">
        <v>229</v>
      </c>
      <c r="U306" s="2" t="s">
        <v>433</v>
      </c>
      <c r="V306" s="2" t="s">
        <v>42</v>
      </c>
      <c r="W306" s="2">
        <v>49.5</v>
      </c>
      <c r="X306" s="2">
        <v>59.7</v>
      </c>
      <c r="Y306" s="2" t="s">
        <v>43</v>
      </c>
      <c r="Z306" s="2" t="s">
        <v>2202</v>
      </c>
      <c r="AA306" s="2">
        <v>2.2205792336369998</v>
      </c>
      <c r="AB306" s="2">
        <v>1.67389140443717</v>
      </c>
      <c r="AC306" s="2">
        <v>13983.893303598299</v>
      </c>
      <c r="AD306" s="2">
        <v>199014.90028287799</v>
      </c>
      <c r="AE306" s="2">
        <v>32876.391848940097</v>
      </c>
      <c r="AF306" s="2">
        <v>9235.5134906585299</v>
      </c>
      <c r="AG306" s="2">
        <v>6762.7629149778004</v>
      </c>
      <c r="AH306" s="2">
        <v>8684.2202939619292</v>
      </c>
      <c r="AI306" s="2">
        <v>13485.91660599</v>
      </c>
      <c r="AJ306" s="2">
        <v>12858.5546670612</v>
      </c>
      <c r="AK306" s="2">
        <v>201038.597242163</v>
      </c>
      <c r="AL306" s="2">
        <v>201752.01912580099</v>
      </c>
      <c r="AM306" s="2">
        <v>222758.820576467</v>
      </c>
      <c r="AN306" s="2">
        <v>190179.19511223599</v>
      </c>
      <c r="AO306" s="2">
        <v>189486.993597675</v>
      </c>
      <c r="AP306" s="2">
        <v>188873.776042927</v>
      </c>
    </row>
    <row r="307" spans="1:42" ht="14.5" x14ac:dyDescent="0.35">
      <c r="A307" s="2" t="s">
        <v>2203</v>
      </c>
      <c r="B307" s="2">
        <v>375.08478412596099</v>
      </c>
      <c r="C307" s="2">
        <v>4.1877333333333304</v>
      </c>
      <c r="D307" s="2" t="s">
        <v>70</v>
      </c>
      <c r="E307" s="2" t="s">
        <v>2204</v>
      </c>
      <c r="F307" s="2">
        <v>199498</v>
      </c>
      <c r="G307" s="3" t="str">
        <f>HYPERLINK("http://funmeta.oebiotech.com/network/199498", "http://funmeta.oebiotech.com/network/199498")</f>
        <v>http://funmeta.oebiotech.com/network/199498</v>
      </c>
      <c r="H307" s="2" t="s">
        <v>2205</v>
      </c>
      <c r="I307" s="2"/>
      <c r="J307" s="2"/>
      <c r="K307" s="2"/>
      <c r="L307" s="2"/>
      <c r="M307" s="2"/>
      <c r="N307" s="2"/>
      <c r="O307" s="2">
        <v>78178659</v>
      </c>
      <c r="P307" s="2"/>
      <c r="Q307" s="2" t="s">
        <v>2206</v>
      </c>
      <c r="R307" s="2" t="s">
        <v>2207</v>
      </c>
      <c r="S307" s="2" t="s">
        <v>41</v>
      </c>
      <c r="T307" s="2" t="s">
        <v>41</v>
      </c>
      <c r="U307" s="2" t="s">
        <v>41</v>
      </c>
      <c r="V307" s="2" t="s">
        <v>59</v>
      </c>
      <c r="W307" s="2">
        <v>38.5</v>
      </c>
      <c r="X307" s="2">
        <v>0.81499999999999995</v>
      </c>
      <c r="Y307" s="2" t="s">
        <v>408</v>
      </c>
      <c r="Z307" s="2" t="s">
        <v>2208</v>
      </c>
      <c r="AA307" s="2">
        <v>4.2264242062668602</v>
      </c>
      <c r="AB307" s="2">
        <v>1.6691698915639199</v>
      </c>
      <c r="AC307" s="2">
        <v>813395.60074395395</v>
      </c>
      <c r="AD307" s="2">
        <v>627889.56629835104</v>
      </c>
      <c r="AE307" s="2">
        <v>822871.39696502697</v>
      </c>
      <c r="AF307" s="2">
        <v>810330.49281307496</v>
      </c>
      <c r="AG307" s="2">
        <v>803492.816402153</v>
      </c>
      <c r="AH307" s="2">
        <v>813635.25194017298</v>
      </c>
      <c r="AI307" s="2">
        <v>799768.44766792306</v>
      </c>
      <c r="AJ307" s="2">
        <v>830275.19867537299</v>
      </c>
      <c r="AK307" s="2">
        <v>605242.29635218601</v>
      </c>
      <c r="AL307" s="2">
        <v>643290.54926244903</v>
      </c>
      <c r="AM307" s="2">
        <v>658160.87819693994</v>
      </c>
      <c r="AN307" s="2">
        <v>638017.78058712999</v>
      </c>
      <c r="AO307" s="2">
        <v>618922.48299424304</v>
      </c>
      <c r="AP307" s="2">
        <v>603703.41039715998</v>
      </c>
    </row>
    <row r="308" spans="1:42" ht="14.5" x14ac:dyDescent="0.35">
      <c r="A308" s="2" t="s">
        <v>2209</v>
      </c>
      <c r="B308" s="2">
        <v>553.33852348244602</v>
      </c>
      <c r="C308" s="2">
        <v>5.4498833333333296</v>
      </c>
      <c r="D308" s="2" t="s">
        <v>70</v>
      </c>
      <c r="E308" s="2" t="s">
        <v>2210</v>
      </c>
      <c r="F308" s="2">
        <v>205219</v>
      </c>
      <c r="G308" s="3" t="str">
        <f>HYPERLINK("http://funmeta.oebiotech.com/network/205219", "http://funmeta.oebiotech.com/network/205219")</f>
        <v>http://funmeta.oebiotech.com/network/205219</v>
      </c>
      <c r="H308" s="2" t="s">
        <v>2211</v>
      </c>
      <c r="I308" s="2"/>
      <c r="J308" s="2"/>
      <c r="K308" s="2"/>
      <c r="L308" s="2"/>
      <c r="M308" s="2"/>
      <c r="N308" s="2"/>
      <c r="O308" s="2">
        <v>4272157</v>
      </c>
      <c r="P308" s="2"/>
      <c r="Q308" s="2" t="s">
        <v>2212</v>
      </c>
      <c r="R308" s="2" t="s">
        <v>2213</v>
      </c>
      <c r="S308" s="2" t="s">
        <v>50</v>
      </c>
      <c r="T308" s="2" t="s">
        <v>201</v>
      </c>
      <c r="U308" s="2" t="s">
        <v>210</v>
      </c>
      <c r="V308" s="2" t="s">
        <v>42</v>
      </c>
      <c r="W308" s="2">
        <v>51.4</v>
      </c>
      <c r="X308" s="2">
        <v>59.7</v>
      </c>
      <c r="Y308" s="2" t="s">
        <v>408</v>
      </c>
      <c r="Z308" s="2" t="s">
        <v>2214</v>
      </c>
      <c r="AA308" s="2">
        <v>0.62307936369382899</v>
      </c>
      <c r="AB308" s="2">
        <v>1.66901203772129</v>
      </c>
      <c r="AC308" s="2">
        <v>323293.13286373101</v>
      </c>
      <c r="AD308" s="2">
        <v>138834.260446445</v>
      </c>
      <c r="AE308" s="2">
        <v>333658.50185737503</v>
      </c>
      <c r="AF308" s="2">
        <v>324310.68719502602</v>
      </c>
      <c r="AG308" s="2">
        <v>307403.86568245699</v>
      </c>
      <c r="AH308" s="2">
        <v>351018.36174365901</v>
      </c>
      <c r="AI308" s="2">
        <v>324365.3053455</v>
      </c>
      <c r="AJ308" s="2">
        <v>299002.07535837102</v>
      </c>
      <c r="AK308" s="2">
        <v>135825.20236502599</v>
      </c>
      <c r="AL308" s="2">
        <v>142446.974235767</v>
      </c>
      <c r="AM308" s="2">
        <v>138642.52063094199</v>
      </c>
      <c r="AN308" s="2">
        <v>129996.943944189</v>
      </c>
      <c r="AO308" s="2">
        <v>140041.29008782699</v>
      </c>
      <c r="AP308" s="2">
        <v>146052.63141492201</v>
      </c>
    </row>
    <row r="309" spans="1:42" ht="14.5" x14ac:dyDescent="0.35">
      <c r="A309" s="2" t="s">
        <v>2215</v>
      </c>
      <c r="B309" s="2">
        <v>665.20474153518501</v>
      </c>
      <c r="C309" s="2">
        <v>3.7521499999999999</v>
      </c>
      <c r="D309" s="2" t="s">
        <v>34</v>
      </c>
      <c r="E309" s="2" t="s">
        <v>2216</v>
      </c>
      <c r="F309" s="2">
        <v>34326</v>
      </c>
      <c r="G309" s="3" t="str">
        <f>HYPERLINK("http://funmeta.oebiotech.com/network/34326", "http://funmeta.oebiotech.com/network/34326")</f>
        <v>http://funmeta.oebiotech.com/network/34326</v>
      </c>
      <c r="H309" s="2"/>
      <c r="I309" s="2"/>
      <c r="J309" s="2" t="s">
        <v>2217</v>
      </c>
      <c r="K309" s="2"/>
      <c r="L309" s="2"/>
      <c r="M309" s="2"/>
      <c r="N309" s="2"/>
      <c r="O309" s="2">
        <v>101188403</v>
      </c>
      <c r="P309" s="2"/>
      <c r="Q309" s="2" t="s">
        <v>2218</v>
      </c>
      <c r="R309" s="2" t="s">
        <v>2219</v>
      </c>
      <c r="S309" s="2" t="s">
        <v>115</v>
      </c>
      <c r="T309" s="2" t="s">
        <v>139</v>
      </c>
      <c r="U309" s="2" t="s">
        <v>140</v>
      </c>
      <c r="V309" s="2" t="s">
        <v>42</v>
      </c>
      <c r="W309" s="2">
        <v>50.2</v>
      </c>
      <c r="X309" s="2">
        <v>67.400000000000006</v>
      </c>
      <c r="Y309" s="2" t="s">
        <v>141</v>
      </c>
      <c r="Z309" s="2" t="s">
        <v>2220</v>
      </c>
      <c r="AA309" s="2">
        <v>-4.2068603656239203</v>
      </c>
      <c r="AB309" s="2">
        <v>1.6609839564884901</v>
      </c>
      <c r="AC309" s="2">
        <v>494712.961434083</v>
      </c>
      <c r="AD309" s="2">
        <v>311451.72739326302</v>
      </c>
      <c r="AE309" s="2">
        <v>514266.22549011803</v>
      </c>
      <c r="AF309" s="2">
        <v>475344.61462165101</v>
      </c>
      <c r="AG309" s="2">
        <v>474708.39655374602</v>
      </c>
      <c r="AH309" s="2">
        <v>513835.29282927403</v>
      </c>
      <c r="AI309" s="2">
        <v>492681.57516756002</v>
      </c>
      <c r="AJ309" s="2">
        <v>497441.66394215001</v>
      </c>
      <c r="AK309" s="2">
        <v>324160.41000854102</v>
      </c>
      <c r="AL309" s="2">
        <v>301134.52079338202</v>
      </c>
      <c r="AM309" s="2">
        <v>330095.76292128599</v>
      </c>
      <c r="AN309" s="2">
        <v>307256.72825760499</v>
      </c>
      <c r="AO309" s="2">
        <v>307132.90092554397</v>
      </c>
      <c r="AP309" s="2">
        <v>298930.04145322298</v>
      </c>
    </row>
    <row r="310" spans="1:42" ht="14.5" x14ac:dyDescent="0.35">
      <c r="A310" s="2" t="s">
        <v>2221</v>
      </c>
      <c r="B310" s="2">
        <v>802.36071777373502</v>
      </c>
      <c r="C310" s="2">
        <v>6.5888166666666699</v>
      </c>
      <c r="D310" s="2" t="s">
        <v>34</v>
      </c>
      <c r="E310" s="2" t="s">
        <v>2222</v>
      </c>
      <c r="F310" s="2">
        <v>58701</v>
      </c>
      <c r="G310" s="3" t="str">
        <f>HYPERLINK("http://funmeta.oebiotech.com/network/58701", "http://funmeta.oebiotech.com/network/58701")</f>
        <v>http://funmeta.oebiotech.com/network/58701</v>
      </c>
      <c r="H310" s="2" t="s">
        <v>2223</v>
      </c>
      <c r="I310" s="2"/>
      <c r="J310" s="2"/>
      <c r="K310" s="2"/>
      <c r="L310" s="2"/>
      <c r="M310" s="2"/>
      <c r="N310" s="2"/>
      <c r="O310" s="2">
        <v>14077781</v>
      </c>
      <c r="P310" s="2" t="s">
        <v>2224</v>
      </c>
      <c r="Q310" s="2" t="s">
        <v>2225</v>
      </c>
      <c r="R310" s="2" t="s">
        <v>2226</v>
      </c>
      <c r="S310" s="2" t="s">
        <v>89</v>
      </c>
      <c r="T310" s="2" t="s">
        <v>90</v>
      </c>
      <c r="U310" s="2" t="s">
        <v>1669</v>
      </c>
      <c r="V310" s="2" t="s">
        <v>59</v>
      </c>
      <c r="W310" s="2">
        <v>47</v>
      </c>
      <c r="X310" s="2">
        <v>44.4</v>
      </c>
      <c r="Y310" s="2" t="s">
        <v>340</v>
      </c>
      <c r="Z310" s="2" t="s">
        <v>2227</v>
      </c>
      <c r="AA310" s="2">
        <v>-1.93238428093837</v>
      </c>
      <c r="AB310" s="2">
        <v>1.65905289884802</v>
      </c>
      <c r="AC310" s="2">
        <v>397853.51258035703</v>
      </c>
      <c r="AD310" s="2">
        <v>209388.17884736499</v>
      </c>
      <c r="AE310" s="2">
        <v>446598.82206617697</v>
      </c>
      <c r="AF310" s="2">
        <v>365401.96346915403</v>
      </c>
      <c r="AG310" s="2">
        <v>437159.32548762602</v>
      </c>
      <c r="AH310" s="2">
        <v>425629.64227951498</v>
      </c>
      <c r="AI310" s="2">
        <v>360313.46885567601</v>
      </c>
      <c r="AJ310" s="2">
        <v>352017.85332399601</v>
      </c>
      <c r="AK310" s="2">
        <v>220312.58172556799</v>
      </c>
      <c r="AL310" s="2">
        <v>196068.66339398301</v>
      </c>
      <c r="AM310" s="2">
        <v>220415.059691792</v>
      </c>
      <c r="AN310" s="2">
        <v>191599.27760908901</v>
      </c>
      <c r="AO310" s="2">
        <v>203816.330783629</v>
      </c>
      <c r="AP310" s="2">
        <v>224117.15988012799</v>
      </c>
    </row>
    <row r="311" spans="1:42" ht="14.5" x14ac:dyDescent="0.35">
      <c r="A311" s="2" t="s">
        <v>2228</v>
      </c>
      <c r="B311" s="2">
        <v>541.30083346204299</v>
      </c>
      <c r="C311" s="2">
        <v>4.4179500000000003</v>
      </c>
      <c r="D311" s="2" t="s">
        <v>70</v>
      </c>
      <c r="E311" s="2" t="s">
        <v>2229</v>
      </c>
      <c r="F311" s="2">
        <v>200992</v>
      </c>
      <c r="G311" s="3" t="str">
        <f>HYPERLINK("http://funmeta.oebiotech.com/network/200992", "http://funmeta.oebiotech.com/network/200992")</f>
        <v>http://funmeta.oebiotech.com/network/200992</v>
      </c>
      <c r="H311" s="2" t="s">
        <v>2230</v>
      </c>
      <c r="I311" s="2"/>
      <c r="J311" s="2"/>
      <c r="K311" s="2"/>
      <c r="L311" s="2"/>
      <c r="M311" s="2"/>
      <c r="N311" s="2"/>
      <c r="O311" s="2">
        <v>13470434</v>
      </c>
      <c r="P311" s="2"/>
      <c r="Q311" s="2" t="s">
        <v>2231</v>
      </c>
      <c r="R311" s="2" t="s">
        <v>2232</v>
      </c>
      <c r="S311" s="2" t="s">
        <v>50</v>
      </c>
      <c r="T311" s="2" t="s">
        <v>124</v>
      </c>
      <c r="U311" s="2" t="s">
        <v>125</v>
      </c>
      <c r="V311" s="2" t="s">
        <v>59</v>
      </c>
      <c r="W311" s="2">
        <v>39.6</v>
      </c>
      <c r="X311" s="2">
        <v>3.63</v>
      </c>
      <c r="Y311" s="2" t="s">
        <v>286</v>
      </c>
      <c r="Z311" s="2" t="s">
        <v>1756</v>
      </c>
      <c r="AA311" s="2">
        <v>-1.9902645894922</v>
      </c>
      <c r="AB311" s="2">
        <v>1.6487470626743801</v>
      </c>
      <c r="AC311" s="2">
        <v>327818.29403466103</v>
      </c>
      <c r="AD311" s="2">
        <v>527160.97128924204</v>
      </c>
      <c r="AE311" s="2">
        <v>322360.01294172299</v>
      </c>
      <c r="AF311" s="2">
        <v>317681.91578261298</v>
      </c>
      <c r="AG311" s="2">
        <v>323642.28157174698</v>
      </c>
      <c r="AH311" s="2">
        <v>311961.66806600097</v>
      </c>
      <c r="AI311" s="2">
        <v>375972.61494445603</v>
      </c>
      <c r="AJ311" s="2">
        <v>315291.270901424</v>
      </c>
      <c r="AK311" s="2">
        <v>492404.999838516</v>
      </c>
      <c r="AL311" s="2">
        <v>617488.67725152802</v>
      </c>
      <c r="AM311" s="2">
        <v>444985.84977653302</v>
      </c>
      <c r="AN311" s="2">
        <v>454937.48216302699</v>
      </c>
      <c r="AO311" s="2">
        <v>588890.16367548099</v>
      </c>
      <c r="AP311" s="2">
        <v>564258.65503036696</v>
      </c>
    </row>
    <row r="312" spans="1:42" ht="14.5" x14ac:dyDescent="0.35">
      <c r="A312" s="2" t="s">
        <v>2233</v>
      </c>
      <c r="B312" s="2">
        <v>327.09776251561902</v>
      </c>
      <c r="C312" s="2">
        <v>1.82663333333333</v>
      </c>
      <c r="D312" s="2" t="s">
        <v>70</v>
      </c>
      <c r="E312" s="2" t="s">
        <v>2234</v>
      </c>
      <c r="F312" s="2">
        <v>209488</v>
      </c>
      <c r="G312" s="3" t="str">
        <f>HYPERLINK("http://funmeta.oebiotech.com/network/209488", "http://funmeta.oebiotech.com/network/209488")</f>
        <v>http://funmeta.oebiotech.com/network/209488</v>
      </c>
      <c r="H312" s="2" t="s">
        <v>2235</v>
      </c>
      <c r="I312" s="2"/>
      <c r="J312" s="2"/>
      <c r="K312" s="2">
        <v>94357</v>
      </c>
      <c r="L312" s="2"/>
      <c r="M312" s="2"/>
      <c r="N312" s="2"/>
      <c r="O312" s="2">
        <v>54167661</v>
      </c>
      <c r="P312" s="2"/>
      <c r="Q312" s="2" t="s">
        <v>2236</v>
      </c>
      <c r="R312" s="2" t="s">
        <v>2237</v>
      </c>
      <c r="S312" s="2" t="s">
        <v>491</v>
      </c>
      <c r="T312" s="2" t="s">
        <v>2238</v>
      </c>
      <c r="U312" s="2" t="s">
        <v>2239</v>
      </c>
      <c r="V312" s="2" t="s">
        <v>42</v>
      </c>
      <c r="W312" s="2">
        <v>47.5</v>
      </c>
      <c r="X312" s="2">
        <v>49.4</v>
      </c>
      <c r="Y312" s="2" t="s">
        <v>751</v>
      </c>
      <c r="Z312" s="2" t="s">
        <v>2240</v>
      </c>
      <c r="AA312" s="2">
        <v>-2.5502067551288601</v>
      </c>
      <c r="AB312" s="2">
        <v>1.6465482522374399</v>
      </c>
      <c r="AC312" s="2">
        <v>374052.60306579602</v>
      </c>
      <c r="AD312" s="2">
        <v>554728.86586428201</v>
      </c>
      <c r="AE312" s="2">
        <v>369430.85728323302</v>
      </c>
      <c r="AF312" s="2">
        <v>372391.89215421799</v>
      </c>
      <c r="AG312" s="2">
        <v>380708.92249571503</v>
      </c>
      <c r="AH312" s="2">
        <v>360055.80480553297</v>
      </c>
      <c r="AI312" s="2">
        <v>357256.755378136</v>
      </c>
      <c r="AJ312" s="2">
        <v>404471.38627794298</v>
      </c>
      <c r="AK312" s="2">
        <v>538560.51777217898</v>
      </c>
      <c r="AL312" s="2">
        <v>561376.38200299197</v>
      </c>
      <c r="AM312" s="2">
        <v>574978.95711948595</v>
      </c>
      <c r="AN312" s="2">
        <v>573577.96942225005</v>
      </c>
      <c r="AO312" s="2">
        <v>541528.99993578298</v>
      </c>
      <c r="AP312" s="2">
        <v>538350.36893300305</v>
      </c>
    </row>
    <row r="313" spans="1:42" ht="14.5" x14ac:dyDescent="0.35">
      <c r="A313" s="2" t="s">
        <v>2241</v>
      </c>
      <c r="B313" s="2">
        <v>647.31746970333404</v>
      </c>
      <c r="C313" s="2">
        <v>6.1235166666666698</v>
      </c>
      <c r="D313" s="2" t="s">
        <v>70</v>
      </c>
      <c r="E313" s="2" t="s">
        <v>2242</v>
      </c>
      <c r="F313" s="2">
        <v>24880</v>
      </c>
      <c r="G313" s="3" t="str">
        <f>HYPERLINK("http://funmeta.oebiotech.com/network/24880", "http://funmeta.oebiotech.com/network/24880")</f>
        <v>http://funmeta.oebiotech.com/network/24880</v>
      </c>
      <c r="H313" s="2"/>
      <c r="I313" s="2"/>
      <c r="J313" s="2" t="s">
        <v>2243</v>
      </c>
      <c r="K313" s="2">
        <v>138562</v>
      </c>
      <c r="L313" s="2"/>
      <c r="M313" s="2"/>
      <c r="N313" s="2"/>
      <c r="O313" s="2">
        <v>52928608</v>
      </c>
      <c r="P313" s="2"/>
      <c r="Q313" s="2" t="s">
        <v>2244</v>
      </c>
      <c r="R313" s="2" t="s">
        <v>2245</v>
      </c>
      <c r="S313" s="2" t="s">
        <v>50</v>
      </c>
      <c r="T313" s="2" t="s">
        <v>51</v>
      </c>
      <c r="U313" s="2" t="s">
        <v>52</v>
      </c>
      <c r="V313" s="2" t="s">
        <v>59</v>
      </c>
      <c r="W313" s="2">
        <v>39.700000000000003</v>
      </c>
      <c r="X313" s="2">
        <v>4.51</v>
      </c>
      <c r="Y313" s="2" t="s">
        <v>118</v>
      </c>
      <c r="Z313" s="2" t="s">
        <v>2246</v>
      </c>
      <c r="AA313" s="2">
        <v>-4.1917537788952197</v>
      </c>
      <c r="AB313" s="2">
        <v>1.6441188938839999</v>
      </c>
      <c r="AC313" s="2">
        <v>242478.818829383</v>
      </c>
      <c r="AD313" s="2">
        <v>420174.12647605001</v>
      </c>
      <c r="AE313" s="2">
        <v>252344.210930236</v>
      </c>
      <c r="AF313" s="2">
        <v>235324.128673984</v>
      </c>
      <c r="AG313" s="2">
        <v>238141.18758553301</v>
      </c>
      <c r="AH313" s="2">
        <v>245496.97510068899</v>
      </c>
      <c r="AI313" s="2">
        <v>242657.42063681901</v>
      </c>
      <c r="AJ313" s="2">
        <v>240908.99004903599</v>
      </c>
      <c r="AK313" s="2">
        <v>414227.71598060703</v>
      </c>
      <c r="AL313" s="2">
        <v>413912.02483924798</v>
      </c>
      <c r="AM313" s="2">
        <v>432225.95105390297</v>
      </c>
      <c r="AN313" s="2">
        <v>426056.895201331</v>
      </c>
      <c r="AO313" s="2">
        <v>421066.706625166</v>
      </c>
      <c r="AP313" s="2">
        <v>413555.46515604301</v>
      </c>
    </row>
    <row r="314" spans="1:42" ht="14.5" x14ac:dyDescent="0.35">
      <c r="A314" s="2" t="s">
        <v>2247</v>
      </c>
      <c r="B314" s="2">
        <v>631.32329491703797</v>
      </c>
      <c r="C314" s="2">
        <v>7.4323499999999996</v>
      </c>
      <c r="D314" s="2" t="s">
        <v>70</v>
      </c>
      <c r="E314" s="2" t="s">
        <v>2248</v>
      </c>
      <c r="F314" s="2">
        <v>267022</v>
      </c>
      <c r="G314" s="3" t="str">
        <f>HYPERLINK("http://funmeta.oebiotech.com/network/267022", "http://funmeta.oebiotech.com/network/267022")</f>
        <v>http://funmeta.oebiotech.com/network/267022</v>
      </c>
      <c r="H314" s="2"/>
      <c r="I314" s="2">
        <v>44516</v>
      </c>
      <c r="J314" s="2"/>
      <c r="K314" s="2"/>
      <c r="L314" s="2"/>
      <c r="M314" s="2"/>
      <c r="N314" s="2"/>
      <c r="O314" s="2">
        <v>9917275</v>
      </c>
      <c r="P314" s="2"/>
      <c r="Q314" s="2" t="s">
        <v>2249</v>
      </c>
      <c r="R314" s="2" t="s">
        <v>2250</v>
      </c>
      <c r="S314" s="2" t="s">
        <v>491</v>
      </c>
      <c r="T314" s="2" t="s">
        <v>2251</v>
      </c>
      <c r="U314" s="2" t="s">
        <v>2252</v>
      </c>
      <c r="V314" s="2" t="s">
        <v>59</v>
      </c>
      <c r="W314" s="2">
        <v>40.6</v>
      </c>
      <c r="X314" s="2">
        <v>17.3</v>
      </c>
      <c r="Y314" s="2" t="s">
        <v>118</v>
      </c>
      <c r="Z314" s="2" t="s">
        <v>2253</v>
      </c>
      <c r="AA314" s="2">
        <v>-6.8747536712488602</v>
      </c>
      <c r="AB314" s="2">
        <v>1.6408850976460401</v>
      </c>
      <c r="AC314" s="2">
        <v>100923.61405848101</v>
      </c>
      <c r="AD314" s="2">
        <v>277687.287517483</v>
      </c>
      <c r="AE314" s="2">
        <v>102979.604372334</v>
      </c>
      <c r="AF314" s="2">
        <v>97102.679589175401</v>
      </c>
      <c r="AG314" s="2">
        <v>102055.181205028</v>
      </c>
      <c r="AH314" s="2">
        <v>97087.7022696309</v>
      </c>
      <c r="AI314" s="2">
        <v>103756.85491010699</v>
      </c>
      <c r="AJ314" s="2">
        <v>102559.662004609</v>
      </c>
      <c r="AK314" s="2">
        <v>274959.10412388301</v>
      </c>
      <c r="AL314" s="2">
        <v>276074.10336626298</v>
      </c>
      <c r="AM314" s="2">
        <v>284959.958379458</v>
      </c>
      <c r="AN314" s="2">
        <v>272351.81767414702</v>
      </c>
      <c r="AO314" s="2">
        <v>279704.383760939</v>
      </c>
      <c r="AP314" s="2">
        <v>278074.35780020599</v>
      </c>
    </row>
    <row r="315" spans="1:42" ht="14.5" x14ac:dyDescent="0.35">
      <c r="A315" s="2" t="s">
        <v>2254</v>
      </c>
      <c r="B315" s="2">
        <v>453.13685072673098</v>
      </c>
      <c r="C315" s="2">
        <v>4.0691166666666696</v>
      </c>
      <c r="D315" s="2" t="s">
        <v>34</v>
      </c>
      <c r="E315" s="2" t="s">
        <v>2255</v>
      </c>
      <c r="F315" s="2">
        <v>61419</v>
      </c>
      <c r="G315" s="3" t="str">
        <f>HYPERLINK("http://funmeta.oebiotech.com/network/61419", "http://funmeta.oebiotech.com/network/61419")</f>
        <v>http://funmeta.oebiotech.com/network/61419</v>
      </c>
      <c r="H315" s="2" t="s">
        <v>2256</v>
      </c>
      <c r="I315" s="2">
        <v>92738</v>
      </c>
      <c r="J315" s="2"/>
      <c r="K315" s="2"/>
      <c r="L315" s="2"/>
      <c r="M315" s="2"/>
      <c r="N315" s="2"/>
      <c r="O315" s="2">
        <v>14104301</v>
      </c>
      <c r="P315" s="2" t="s">
        <v>2257</v>
      </c>
      <c r="Q315" s="2" t="s">
        <v>2258</v>
      </c>
      <c r="R315" s="2" t="s">
        <v>2259</v>
      </c>
      <c r="S315" s="2" t="s">
        <v>115</v>
      </c>
      <c r="T315" s="2" t="s">
        <v>139</v>
      </c>
      <c r="U315" s="2" t="s">
        <v>140</v>
      </c>
      <c r="V315" s="2" t="s">
        <v>59</v>
      </c>
      <c r="W315" s="2">
        <v>37.1</v>
      </c>
      <c r="X315" s="2">
        <v>0</v>
      </c>
      <c r="Y315" s="2" t="s">
        <v>266</v>
      </c>
      <c r="Z315" s="2" t="s">
        <v>2260</v>
      </c>
      <c r="AA315" s="2">
        <v>-5.0589005177312902</v>
      </c>
      <c r="AB315" s="2">
        <v>1.6405551994707199</v>
      </c>
      <c r="AC315" s="2">
        <v>296501.62565349502</v>
      </c>
      <c r="AD315" s="2">
        <v>475153.16372291901</v>
      </c>
      <c r="AE315" s="2">
        <v>290542.67460874101</v>
      </c>
      <c r="AF315" s="2">
        <v>293491.23357313499</v>
      </c>
      <c r="AG315" s="2">
        <v>292605.896235222</v>
      </c>
      <c r="AH315" s="2">
        <v>282599.94537317101</v>
      </c>
      <c r="AI315" s="2">
        <v>317513.701555721</v>
      </c>
      <c r="AJ315" s="2">
        <v>302256.30257497798</v>
      </c>
      <c r="AK315" s="2">
        <v>470986.33483725798</v>
      </c>
      <c r="AL315" s="2">
        <v>468394.03167651402</v>
      </c>
      <c r="AM315" s="2">
        <v>467905.490932343</v>
      </c>
      <c r="AN315" s="2">
        <v>477239.636691647</v>
      </c>
      <c r="AO315" s="2">
        <v>455469.80603534298</v>
      </c>
      <c r="AP315" s="2">
        <v>510923.68216440902</v>
      </c>
    </row>
    <row r="316" spans="1:42" ht="14.5" x14ac:dyDescent="0.35">
      <c r="A316" s="2" t="s">
        <v>2261</v>
      </c>
      <c r="B316" s="2">
        <v>857.56063955000002</v>
      </c>
      <c r="C316" s="2">
        <v>11.778700000000001</v>
      </c>
      <c r="D316" s="2" t="s">
        <v>34</v>
      </c>
      <c r="E316" s="2" t="s">
        <v>2262</v>
      </c>
      <c r="F316" s="2">
        <v>243849</v>
      </c>
      <c r="G316" s="3" t="str">
        <f>HYPERLINK("http://funmeta.oebiotech.com/network/243849", "http://funmeta.oebiotech.com/network/243849")</f>
        <v>http://funmeta.oebiotech.com/network/243849</v>
      </c>
      <c r="H316" s="2" t="s">
        <v>2263</v>
      </c>
      <c r="I316" s="2"/>
      <c r="J316" s="2"/>
      <c r="K316" s="2"/>
      <c r="L316" s="2"/>
      <c r="M316" s="2"/>
      <c r="N316" s="2"/>
      <c r="O316" s="2"/>
      <c r="P316" s="2"/>
      <c r="Q316" s="2" t="s">
        <v>2264</v>
      </c>
      <c r="R316" s="2" t="s">
        <v>2265</v>
      </c>
      <c r="S316" s="2" t="s">
        <v>41</v>
      </c>
      <c r="T316" s="2" t="s">
        <v>41</v>
      </c>
      <c r="U316" s="2" t="s">
        <v>41</v>
      </c>
      <c r="V316" s="2" t="s">
        <v>59</v>
      </c>
      <c r="W316" s="2">
        <v>36.9</v>
      </c>
      <c r="X316" s="2">
        <v>3.45</v>
      </c>
      <c r="Y316" s="2" t="s">
        <v>340</v>
      </c>
      <c r="Z316" s="2" t="s">
        <v>2266</v>
      </c>
      <c r="AA316" s="2">
        <v>4.5099678466320103</v>
      </c>
      <c r="AB316" s="2">
        <v>1.6347063303065701</v>
      </c>
      <c r="AC316" s="2">
        <v>7288.4766490511602</v>
      </c>
      <c r="AD316" s="2">
        <v>185654.27175401899</v>
      </c>
      <c r="AE316" s="2">
        <v>6201.6410088288803</v>
      </c>
      <c r="AF316" s="2">
        <v>6465.9646100128703</v>
      </c>
      <c r="AG316" s="2">
        <v>8213.8522768629009</v>
      </c>
      <c r="AH316" s="2">
        <v>6350.1030353188298</v>
      </c>
      <c r="AI316" s="2">
        <v>8276.0627639793493</v>
      </c>
      <c r="AJ316" s="2">
        <v>8223.2361993041304</v>
      </c>
      <c r="AK316" s="2">
        <v>194525.07846226299</v>
      </c>
      <c r="AL316" s="2">
        <v>156311.44877636799</v>
      </c>
      <c r="AM316" s="2">
        <v>220635.45112514601</v>
      </c>
      <c r="AN316" s="2">
        <v>156882.63664630899</v>
      </c>
      <c r="AO316" s="2">
        <v>180903.302048691</v>
      </c>
      <c r="AP316" s="2">
        <v>204667.71346533601</v>
      </c>
    </row>
    <row r="317" spans="1:42" ht="14.5" x14ac:dyDescent="0.35">
      <c r="A317" s="2" t="s">
        <v>2267</v>
      </c>
      <c r="B317" s="2">
        <v>666.39039592053302</v>
      </c>
      <c r="C317" s="2">
        <v>4.8836000000000004</v>
      </c>
      <c r="D317" s="2" t="s">
        <v>34</v>
      </c>
      <c r="E317" s="2" t="s">
        <v>2268</v>
      </c>
      <c r="F317" s="2">
        <v>210589</v>
      </c>
      <c r="G317" s="3" t="str">
        <f>HYPERLINK("http://funmeta.oebiotech.com/network/210589", "http://funmeta.oebiotech.com/network/210589")</f>
        <v>http://funmeta.oebiotech.com/network/210589</v>
      </c>
      <c r="H317" s="2" t="s">
        <v>2269</v>
      </c>
      <c r="I317" s="2"/>
      <c r="J317" s="2"/>
      <c r="K317" s="2"/>
      <c r="L317" s="2"/>
      <c r="M317" s="2"/>
      <c r="N317" s="2"/>
      <c r="O317" s="2">
        <v>14213881</v>
      </c>
      <c r="P317" s="2"/>
      <c r="Q317" s="2" t="s">
        <v>2270</v>
      </c>
      <c r="R317" s="2" t="s">
        <v>2271</v>
      </c>
      <c r="S317" s="2" t="s">
        <v>89</v>
      </c>
      <c r="T317" s="2" t="s">
        <v>90</v>
      </c>
      <c r="U317" s="2" t="s">
        <v>99</v>
      </c>
      <c r="V317" s="2" t="s">
        <v>59</v>
      </c>
      <c r="W317" s="2">
        <v>37.1</v>
      </c>
      <c r="X317" s="2">
        <v>0.311</v>
      </c>
      <c r="Y317" s="2" t="s">
        <v>2272</v>
      </c>
      <c r="Z317" s="2" t="s">
        <v>2273</v>
      </c>
      <c r="AA317" s="2">
        <v>-4.5347429312317296</v>
      </c>
      <c r="AB317" s="2">
        <v>1.6259070763661601</v>
      </c>
      <c r="AC317" s="2">
        <v>211558.41339745201</v>
      </c>
      <c r="AD317" s="2">
        <v>36806.227577058402</v>
      </c>
      <c r="AE317" s="2">
        <v>242145.657555588</v>
      </c>
      <c r="AF317" s="2">
        <v>208365.57656971499</v>
      </c>
      <c r="AG317" s="2">
        <v>220587.04734674501</v>
      </c>
      <c r="AH317" s="2">
        <v>202079.29671122</v>
      </c>
      <c r="AI317" s="2">
        <v>188916.32025440101</v>
      </c>
      <c r="AJ317" s="2">
        <v>207256.58194704499</v>
      </c>
      <c r="AK317" s="2">
        <v>46877.266607923702</v>
      </c>
      <c r="AL317" s="2">
        <v>36486.656558807903</v>
      </c>
      <c r="AM317" s="2">
        <v>35401.359544654901</v>
      </c>
      <c r="AN317" s="2">
        <v>36801.762376319697</v>
      </c>
      <c r="AO317" s="2">
        <v>31300.308963463202</v>
      </c>
      <c r="AP317" s="2">
        <v>33970.011411180902</v>
      </c>
    </row>
    <row r="318" spans="1:42" ht="14.5" x14ac:dyDescent="0.35">
      <c r="A318" s="2" t="s">
        <v>2274</v>
      </c>
      <c r="B318" s="2">
        <v>612.31580903032898</v>
      </c>
      <c r="C318" s="2">
        <v>5.5068333333333301</v>
      </c>
      <c r="D318" s="2" t="s">
        <v>34</v>
      </c>
      <c r="E318" s="2" t="s">
        <v>2275</v>
      </c>
      <c r="F318" s="2">
        <v>27950</v>
      </c>
      <c r="G318" s="3" t="str">
        <f>HYPERLINK("http://funmeta.oebiotech.com/network/27950", "http://funmeta.oebiotech.com/network/27950")</f>
        <v>http://funmeta.oebiotech.com/network/27950</v>
      </c>
      <c r="H318" s="2"/>
      <c r="I318" s="2"/>
      <c r="J318" s="2" t="s">
        <v>2276</v>
      </c>
      <c r="K318" s="2"/>
      <c r="L318" s="2"/>
      <c r="M318" s="2"/>
      <c r="N318" s="2"/>
      <c r="O318" s="2">
        <v>134812397</v>
      </c>
      <c r="P318" s="2"/>
      <c r="Q318" s="2" t="s">
        <v>2277</v>
      </c>
      <c r="R318" s="2" t="s">
        <v>2278</v>
      </c>
      <c r="S318" s="2" t="s">
        <v>50</v>
      </c>
      <c r="T318" s="2" t="s">
        <v>51</v>
      </c>
      <c r="U318" s="2" t="s">
        <v>66</v>
      </c>
      <c r="V318" s="2" t="s">
        <v>42</v>
      </c>
      <c r="W318" s="2">
        <v>47.8</v>
      </c>
      <c r="X318" s="2">
        <v>51.3</v>
      </c>
      <c r="Y318" s="2" t="s">
        <v>67</v>
      </c>
      <c r="Z318" s="2" t="s">
        <v>2279</v>
      </c>
      <c r="AA318" s="2">
        <v>2.4045613058964501</v>
      </c>
      <c r="AB318" s="2">
        <v>1.6253464913795199</v>
      </c>
      <c r="AC318" s="2">
        <v>299983.88868293603</v>
      </c>
      <c r="AD318" s="2">
        <v>126282.399723072</v>
      </c>
      <c r="AE318" s="2">
        <v>309120.01821481797</v>
      </c>
      <c r="AF318" s="2">
        <v>295693.03265192301</v>
      </c>
      <c r="AG318" s="2">
        <v>297346.46470767702</v>
      </c>
      <c r="AH318" s="2">
        <v>293116.33153183101</v>
      </c>
      <c r="AI318" s="2">
        <v>292721.57533447398</v>
      </c>
      <c r="AJ318" s="2">
        <v>311905.90965689102</v>
      </c>
      <c r="AK318" s="2">
        <v>121976.538350706</v>
      </c>
      <c r="AL318" s="2">
        <v>123060.632234984</v>
      </c>
      <c r="AM318" s="2">
        <v>129258.069349046</v>
      </c>
      <c r="AN318" s="2">
        <v>123898.952370942</v>
      </c>
      <c r="AO318" s="2">
        <v>132986.28239909801</v>
      </c>
      <c r="AP318" s="2">
        <v>126513.923633656</v>
      </c>
    </row>
    <row r="319" spans="1:42" ht="14.5" x14ac:dyDescent="0.35">
      <c r="A319" s="2" t="s">
        <v>2280</v>
      </c>
      <c r="B319" s="2">
        <v>544.32223609859</v>
      </c>
      <c r="C319" s="2">
        <v>5.5735333333333301</v>
      </c>
      <c r="D319" s="2" t="s">
        <v>34</v>
      </c>
      <c r="E319" s="2" t="s">
        <v>2281</v>
      </c>
      <c r="F319" s="2">
        <v>47193</v>
      </c>
      <c r="G319" s="3" t="str">
        <f>HYPERLINK("http://funmeta.oebiotech.com/network/47193", "http://funmeta.oebiotech.com/network/47193")</f>
        <v>http://funmeta.oebiotech.com/network/47193</v>
      </c>
      <c r="H319" s="2" t="s">
        <v>2282</v>
      </c>
      <c r="I319" s="2">
        <v>5707</v>
      </c>
      <c r="J319" s="2"/>
      <c r="K319" s="2">
        <v>64366</v>
      </c>
      <c r="L319" s="2"/>
      <c r="M319" s="2"/>
      <c r="N319" s="2"/>
      <c r="O319" s="2">
        <v>13811</v>
      </c>
      <c r="P319" s="2" t="s">
        <v>2283</v>
      </c>
      <c r="Q319" s="2" t="s">
        <v>2284</v>
      </c>
      <c r="R319" s="2" t="s">
        <v>2285</v>
      </c>
      <c r="S319" s="2" t="s">
        <v>89</v>
      </c>
      <c r="T319" s="2" t="s">
        <v>90</v>
      </c>
      <c r="U319" s="2" t="s">
        <v>1248</v>
      </c>
      <c r="V319" s="2" t="s">
        <v>59</v>
      </c>
      <c r="W319" s="2">
        <v>36.6</v>
      </c>
      <c r="X319" s="2">
        <v>8.23</v>
      </c>
      <c r="Y319" s="2" t="s">
        <v>43</v>
      </c>
      <c r="Z319" s="2" t="s">
        <v>2286</v>
      </c>
      <c r="AA319" s="2">
        <v>1.37245336783157</v>
      </c>
      <c r="AB319" s="2">
        <v>1.62436111166706</v>
      </c>
      <c r="AC319" s="2">
        <v>1127889.42783605</v>
      </c>
      <c r="AD319" s="2">
        <v>931789.19803358801</v>
      </c>
      <c r="AE319" s="2">
        <v>1173370.6538728799</v>
      </c>
      <c r="AF319" s="2">
        <v>1140303.5808737299</v>
      </c>
      <c r="AG319" s="2">
        <v>1117399.6138216699</v>
      </c>
      <c r="AH319" s="2">
        <v>1205070.7414356701</v>
      </c>
      <c r="AI319" s="2">
        <v>1126290.72417551</v>
      </c>
      <c r="AJ319" s="2">
        <v>1004901.25283686</v>
      </c>
      <c r="AK319" s="2">
        <v>873478.425817515</v>
      </c>
      <c r="AL319" s="2">
        <v>912696.40600731096</v>
      </c>
      <c r="AM319" s="2">
        <v>990301.16397118103</v>
      </c>
      <c r="AN319" s="2">
        <v>920903.14501039498</v>
      </c>
      <c r="AO319" s="2">
        <v>969971.13826487097</v>
      </c>
      <c r="AP319" s="2">
        <v>923384.90913025802</v>
      </c>
    </row>
    <row r="320" spans="1:42" ht="14.5" x14ac:dyDescent="0.35">
      <c r="A320" s="2" t="s">
        <v>2287</v>
      </c>
      <c r="B320" s="2">
        <v>532.37570264886597</v>
      </c>
      <c r="C320" s="2">
        <v>13.753083333333301</v>
      </c>
      <c r="D320" s="2" t="s">
        <v>34</v>
      </c>
      <c r="E320" s="2" t="s">
        <v>2288</v>
      </c>
      <c r="F320" s="2">
        <v>19881</v>
      </c>
      <c r="G320" s="3" t="str">
        <f>HYPERLINK("http://funmeta.oebiotech.com/network/19881", "http://funmeta.oebiotech.com/network/19881")</f>
        <v>http://funmeta.oebiotech.com/network/19881</v>
      </c>
      <c r="H320" s="2" t="s">
        <v>2289</v>
      </c>
      <c r="I320" s="2">
        <v>61701</v>
      </c>
      <c r="J320" s="2" t="s">
        <v>2290</v>
      </c>
      <c r="K320" s="2">
        <v>88685</v>
      </c>
      <c r="L320" s="2" t="s">
        <v>1451</v>
      </c>
      <c r="M320" s="2" t="s">
        <v>1452</v>
      </c>
      <c r="N320" s="2" t="s">
        <v>1453</v>
      </c>
      <c r="O320" s="2">
        <v>52924051</v>
      </c>
      <c r="P320" s="2"/>
      <c r="Q320" s="2" t="s">
        <v>2291</v>
      </c>
      <c r="R320" s="2" t="s">
        <v>2292</v>
      </c>
      <c r="S320" s="2" t="s">
        <v>50</v>
      </c>
      <c r="T320" s="2" t="s">
        <v>51</v>
      </c>
      <c r="U320" s="2" t="s">
        <v>168</v>
      </c>
      <c r="V320" s="2" t="s">
        <v>59</v>
      </c>
      <c r="W320" s="2">
        <v>37.200000000000003</v>
      </c>
      <c r="X320" s="2">
        <v>1.61</v>
      </c>
      <c r="Y320" s="2" t="s">
        <v>141</v>
      </c>
      <c r="Z320" s="2" t="s">
        <v>2293</v>
      </c>
      <c r="AA320" s="2">
        <v>-0.81704691123108597</v>
      </c>
      <c r="AB320" s="2">
        <v>1.6221509095641999</v>
      </c>
      <c r="AC320" s="2">
        <v>17210.392382196598</v>
      </c>
      <c r="AD320" s="2">
        <v>190745.87827200201</v>
      </c>
      <c r="AE320" s="2">
        <v>17864.948270316101</v>
      </c>
      <c r="AF320" s="2">
        <v>17472.7400799979</v>
      </c>
      <c r="AG320" s="2">
        <v>17103.4681524605</v>
      </c>
      <c r="AH320" s="2">
        <v>16873.4578187652</v>
      </c>
      <c r="AI320" s="2">
        <v>16323.600994695</v>
      </c>
      <c r="AJ320" s="2">
        <v>17624.138976944902</v>
      </c>
      <c r="AK320" s="2">
        <v>201481.09671368601</v>
      </c>
      <c r="AL320" s="2">
        <v>177981.39741931099</v>
      </c>
      <c r="AM320" s="2">
        <v>202505.55243945899</v>
      </c>
      <c r="AN320" s="2">
        <v>171549.403537512</v>
      </c>
      <c r="AO320" s="2">
        <v>191011.55645705899</v>
      </c>
      <c r="AP320" s="2">
        <v>199946.26306498301</v>
      </c>
    </row>
    <row r="321" spans="1:42" ht="14.5" x14ac:dyDescent="0.35">
      <c r="A321" s="2" t="s">
        <v>2294</v>
      </c>
      <c r="B321" s="2">
        <v>342.13920117465801</v>
      </c>
      <c r="C321" s="2">
        <v>0.71894999999999998</v>
      </c>
      <c r="D321" s="2" t="s">
        <v>34</v>
      </c>
      <c r="E321" s="2" t="s">
        <v>2295</v>
      </c>
      <c r="F321" s="2">
        <v>205914</v>
      </c>
      <c r="G321" s="3" t="str">
        <f>HYPERLINK("http://funmeta.oebiotech.com/network/205914", "http://funmeta.oebiotech.com/network/205914")</f>
        <v>http://funmeta.oebiotech.com/network/205914</v>
      </c>
      <c r="H321" s="2" t="s">
        <v>2296</v>
      </c>
      <c r="I321" s="2"/>
      <c r="J321" s="2"/>
      <c r="K321" s="2"/>
      <c r="L321" s="2"/>
      <c r="M321" s="2"/>
      <c r="N321" s="2"/>
      <c r="O321" s="2">
        <v>3363160</v>
      </c>
      <c r="P321" s="2"/>
      <c r="Q321" s="2" t="s">
        <v>2297</v>
      </c>
      <c r="R321" s="2" t="s">
        <v>2298</v>
      </c>
      <c r="S321" s="2" t="s">
        <v>79</v>
      </c>
      <c r="T321" s="2" t="s">
        <v>80</v>
      </c>
      <c r="U321" s="2" t="s">
        <v>81</v>
      </c>
      <c r="V321" s="2" t="s">
        <v>42</v>
      </c>
      <c r="W321" s="2">
        <v>49.6</v>
      </c>
      <c r="X321" s="2">
        <v>55.6</v>
      </c>
      <c r="Y321" s="2" t="s">
        <v>2299</v>
      </c>
      <c r="Z321" s="2" t="s">
        <v>2300</v>
      </c>
      <c r="AA321" s="2">
        <v>-1.0377071818654899</v>
      </c>
      <c r="AB321" s="2">
        <v>1.61778474449944</v>
      </c>
      <c r="AC321" s="2">
        <v>620583.126339201</v>
      </c>
      <c r="AD321" s="2">
        <v>804397.17637448199</v>
      </c>
      <c r="AE321" s="2">
        <v>637437.14274459495</v>
      </c>
      <c r="AF321" s="2">
        <v>602226.66048586601</v>
      </c>
      <c r="AG321" s="2">
        <v>634374.52232629398</v>
      </c>
      <c r="AH321" s="2">
        <v>619403.54318924295</v>
      </c>
      <c r="AI321" s="2">
        <v>631029.23028735095</v>
      </c>
      <c r="AJ321" s="2">
        <v>599027.65900185599</v>
      </c>
      <c r="AK321" s="2">
        <v>741820.52469108801</v>
      </c>
      <c r="AL321" s="2">
        <v>740133.962451395</v>
      </c>
      <c r="AM321" s="2">
        <v>808158.06769312103</v>
      </c>
      <c r="AN321" s="2">
        <v>830868.69094770902</v>
      </c>
      <c r="AO321" s="2">
        <v>872806.82346256799</v>
      </c>
      <c r="AP321" s="2">
        <v>832594.98900101404</v>
      </c>
    </row>
    <row r="322" spans="1:42" ht="14.5" x14ac:dyDescent="0.35">
      <c r="A322" s="2" t="s">
        <v>2301</v>
      </c>
      <c r="B322" s="2">
        <v>102.033773852689</v>
      </c>
      <c r="C322" s="2">
        <v>0.62124999999999997</v>
      </c>
      <c r="D322" s="2" t="s">
        <v>34</v>
      </c>
      <c r="E322" s="2" t="s">
        <v>2302</v>
      </c>
      <c r="F322" s="2">
        <v>199584</v>
      </c>
      <c r="G322" s="3" t="str">
        <f>HYPERLINK("http://funmeta.oebiotech.com/network/199584", "http://funmeta.oebiotech.com/network/199584")</f>
        <v>http://funmeta.oebiotech.com/network/199584</v>
      </c>
      <c r="H322" s="2" t="s">
        <v>2303</v>
      </c>
      <c r="I322" s="2"/>
      <c r="J322" s="2"/>
      <c r="K322" s="2">
        <v>51554</v>
      </c>
      <c r="L322" s="2"/>
      <c r="M322" s="2"/>
      <c r="N322" s="2"/>
      <c r="O322" s="2">
        <v>71073</v>
      </c>
      <c r="P322" s="2"/>
      <c r="Q322" s="2" t="s">
        <v>2304</v>
      </c>
      <c r="R322" s="2" t="s">
        <v>2305</v>
      </c>
      <c r="S322" s="2" t="s">
        <v>491</v>
      </c>
      <c r="T322" s="2" t="s">
        <v>2306</v>
      </c>
      <c r="U322" s="2" t="s">
        <v>41</v>
      </c>
      <c r="V322" s="2" t="s">
        <v>59</v>
      </c>
      <c r="W322" s="2">
        <v>38.799999999999997</v>
      </c>
      <c r="X322" s="2">
        <v>1.51</v>
      </c>
      <c r="Y322" s="2" t="s">
        <v>266</v>
      </c>
      <c r="Z322" s="2" t="s">
        <v>2307</v>
      </c>
      <c r="AA322" s="2">
        <v>-0.434167292332233</v>
      </c>
      <c r="AB322" s="2">
        <v>1.61613838787724</v>
      </c>
      <c r="AC322" s="2">
        <v>1051773.4637905301</v>
      </c>
      <c r="AD322" s="2">
        <v>811632.04564999195</v>
      </c>
      <c r="AE322" s="2">
        <v>1171881.0168568599</v>
      </c>
      <c r="AF322" s="2">
        <v>1336200.5527846499</v>
      </c>
      <c r="AG322" s="2">
        <v>1023736.83903621</v>
      </c>
      <c r="AH322" s="2">
        <v>871793.76398792199</v>
      </c>
      <c r="AI322" s="2">
        <v>1009187.35868424</v>
      </c>
      <c r="AJ322" s="2">
        <v>897841.25139328302</v>
      </c>
      <c r="AK322" s="2">
        <v>782731.63685136801</v>
      </c>
      <c r="AL322" s="2">
        <v>938387.10284624598</v>
      </c>
      <c r="AM322" s="2">
        <v>794578.02280189004</v>
      </c>
      <c r="AN322" s="2">
        <v>778133.68038487504</v>
      </c>
      <c r="AO322" s="2">
        <v>798904.24907457002</v>
      </c>
      <c r="AP322" s="2">
        <v>777057.581941001</v>
      </c>
    </row>
    <row r="323" spans="1:42" ht="14.5" x14ac:dyDescent="0.35">
      <c r="A323" s="2" t="s">
        <v>2308</v>
      </c>
      <c r="B323" s="2">
        <v>689.20924794398502</v>
      </c>
      <c r="C323" s="2">
        <v>0.71894999999999998</v>
      </c>
      <c r="D323" s="2" t="s">
        <v>34</v>
      </c>
      <c r="E323" s="2" t="s">
        <v>2309</v>
      </c>
      <c r="F323" s="2">
        <v>258352</v>
      </c>
      <c r="G323" s="3" t="str">
        <f>HYPERLINK("http://funmeta.oebiotech.com/network/258352", "http://funmeta.oebiotech.com/network/258352")</f>
        <v>http://funmeta.oebiotech.com/network/258352</v>
      </c>
      <c r="H323" s="2"/>
      <c r="I323" s="2">
        <v>4199</v>
      </c>
      <c r="J323" s="2"/>
      <c r="K323" s="2"/>
      <c r="L323" s="2" t="s">
        <v>2310</v>
      </c>
      <c r="M323" s="2"/>
      <c r="N323" s="2"/>
      <c r="O323" s="2">
        <v>446495</v>
      </c>
      <c r="P323" s="2" t="s">
        <v>2311</v>
      </c>
      <c r="Q323" s="2" t="s">
        <v>2312</v>
      </c>
      <c r="R323" s="2" t="s">
        <v>2313</v>
      </c>
      <c r="S323" s="2" t="s">
        <v>79</v>
      </c>
      <c r="T323" s="2" t="s">
        <v>80</v>
      </c>
      <c r="U323" s="2" t="s">
        <v>81</v>
      </c>
      <c r="V323" s="2" t="s">
        <v>59</v>
      </c>
      <c r="W323" s="2">
        <v>37.4</v>
      </c>
      <c r="X323" s="2">
        <v>0</v>
      </c>
      <c r="Y323" s="2" t="s">
        <v>2314</v>
      </c>
      <c r="Z323" s="2" t="s">
        <v>2315</v>
      </c>
      <c r="AA323" s="2">
        <v>-2.7484743891202101</v>
      </c>
      <c r="AB323" s="2">
        <v>1.6159662363685501</v>
      </c>
      <c r="AC323" s="2">
        <v>443415.03116695699</v>
      </c>
      <c r="AD323" s="2">
        <v>631223.16294463805</v>
      </c>
      <c r="AE323" s="2">
        <v>412071.258527842</v>
      </c>
      <c r="AF323" s="2">
        <v>466542.351447655</v>
      </c>
      <c r="AG323" s="2">
        <v>436161.58227519999</v>
      </c>
      <c r="AH323" s="2">
        <v>476666.94980721199</v>
      </c>
      <c r="AI323" s="2">
        <v>411344.66142388398</v>
      </c>
      <c r="AJ323" s="2">
        <v>457703.38351994799</v>
      </c>
      <c r="AK323" s="2">
        <v>517613.77426079701</v>
      </c>
      <c r="AL323" s="2">
        <v>670892.49681007396</v>
      </c>
      <c r="AM323" s="2">
        <v>642889.69974796695</v>
      </c>
      <c r="AN323" s="2">
        <v>641009.69564085605</v>
      </c>
      <c r="AO323" s="2">
        <v>680237.19611158001</v>
      </c>
      <c r="AP323" s="2">
        <v>634696.11509655404</v>
      </c>
    </row>
    <row r="324" spans="1:42" ht="14.5" x14ac:dyDescent="0.35">
      <c r="A324" s="2" t="s">
        <v>2316</v>
      </c>
      <c r="B324" s="2">
        <v>197.00560308177799</v>
      </c>
      <c r="C324" s="2">
        <v>1.06171666666667</v>
      </c>
      <c r="D324" s="2" t="s">
        <v>34</v>
      </c>
      <c r="E324" s="2" t="s">
        <v>2317</v>
      </c>
      <c r="F324" s="2">
        <v>83740</v>
      </c>
      <c r="G324" s="3" t="str">
        <f>HYPERLINK("http://funmeta.oebiotech.com/network/83740", "http://funmeta.oebiotech.com/network/83740")</f>
        <v>http://funmeta.oebiotech.com/network/83740</v>
      </c>
      <c r="H324" s="2" t="s">
        <v>2318</v>
      </c>
      <c r="I324" s="2"/>
      <c r="J324" s="2"/>
      <c r="K324" s="2"/>
      <c r="L324" s="2"/>
      <c r="M324" s="2"/>
      <c r="N324" s="2"/>
      <c r="O324" s="2">
        <v>49791982</v>
      </c>
      <c r="P324" s="2"/>
      <c r="Q324" s="2" t="s">
        <v>2319</v>
      </c>
      <c r="R324" s="2" t="s">
        <v>2320</v>
      </c>
      <c r="S324" s="2" t="s">
        <v>491</v>
      </c>
      <c r="T324" s="2" t="s">
        <v>2321</v>
      </c>
      <c r="U324" s="2" t="s">
        <v>2322</v>
      </c>
      <c r="V324" s="2" t="s">
        <v>42</v>
      </c>
      <c r="W324" s="2">
        <v>49.4</v>
      </c>
      <c r="X324" s="2">
        <v>48.5</v>
      </c>
      <c r="Y324" s="2" t="s">
        <v>2323</v>
      </c>
      <c r="Z324" s="2" t="s">
        <v>1742</v>
      </c>
      <c r="AA324" s="2">
        <v>-0.31898136933410898</v>
      </c>
      <c r="AB324" s="2">
        <v>1.6143003499467401</v>
      </c>
      <c r="AC324" s="2">
        <v>270474.09239696199</v>
      </c>
      <c r="AD324" s="2">
        <v>443079.31803092198</v>
      </c>
      <c r="AE324" s="2">
        <v>270409.75087851699</v>
      </c>
      <c r="AF324" s="2">
        <v>252130.88082278299</v>
      </c>
      <c r="AG324" s="2">
        <v>273464.10011939099</v>
      </c>
      <c r="AH324" s="2">
        <v>281520.87010790303</v>
      </c>
      <c r="AI324" s="2">
        <v>271418.74137663603</v>
      </c>
      <c r="AJ324" s="2">
        <v>273900.21107653901</v>
      </c>
      <c r="AK324" s="2">
        <v>459635.873730077</v>
      </c>
      <c r="AL324" s="2">
        <v>416620.72729728703</v>
      </c>
      <c r="AM324" s="2">
        <v>442458.93806953903</v>
      </c>
      <c r="AN324" s="2">
        <v>463245.241345471</v>
      </c>
      <c r="AO324" s="2">
        <v>443544.65559930902</v>
      </c>
      <c r="AP324" s="2">
        <v>432970.47214385198</v>
      </c>
    </row>
    <row r="325" spans="1:42" ht="14.5" x14ac:dyDescent="0.35">
      <c r="A325" s="2" t="s">
        <v>2324</v>
      </c>
      <c r="B325" s="2">
        <v>608.23471930479798</v>
      </c>
      <c r="C325" s="2">
        <v>6.5568666666666697</v>
      </c>
      <c r="D325" s="2" t="s">
        <v>70</v>
      </c>
      <c r="E325" s="2" t="s">
        <v>2325</v>
      </c>
      <c r="F325" s="2">
        <v>48853</v>
      </c>
      <c r="G325" s="3" t="str">
        <f>HYPERLINK("http://funmeta.oebiotech.com/network/48853", "http://funmeta.oebiotech.com/network/48853")</f>
        <v>http://funmeta.oebiotech.com/network/48853</v>
      </c>
      <c r="H325" s="2" t="s">
        <v>2326</v>
      </c>
      <c r="I325" s="2">
        <v>58531</v>
      </c>
      <c r="J325" s="2"/>
      <c r="K325" s="2">
        <v>88777</v>
      </c>
      <c r="L325" s="2"/>
      <c r="M325" s="2"/>
      <c r="N325" s="2"/>
      <c r="O325" s="2">
        <v>10189090</v>
      </c>
      <c r="P325" s="2" t="s">
        <v>2327</v>
      </c>
      <c r="Q325" s="2" t="s">
        <v>2328</v>
      </c>
      <c r="R325" s="2" t="s">
        <v>2329</v>
      </c>
      <c r="S325" s="2" t="s">
        <v>89</v>
      </c>
      <c r="T325" s="2" t="s">
        <v>90</v>
      </c>
      <c r="U325" s="2" t="s">
        <v>99</v>
      </c>
      <c r="V325" s="2" t="s">
        <v>59</v>
      </c>
      <c r="W325" s="2">
        <v>37.799999999999997</v>
      </c>
      <c r="X325" s="2">
        <v>4.4499999999999998E-2</v>
      </c>
      <c r="Y325" s="2" t="s">
        <v>118</v>
      </c>
      <c r="Z325" s="2" t="s">
        <v>2330</v>
      </c>
      <c r="AA325" s="2">
        <v>4.1703891101602899</v>
      </c>
      <c r="AB325" s="2">
        <v>1.61161395379592</v>
      </c>
      <c r="AC325" s="2">
        <v>450280.44040506502</v>
      </c>
      <c r="AD325" s="2">
        <v>277447.25782347901</v>
      </c>
      <c r="AE325" s="2">
        <v>460526.76008807903</v>
      </c>
      <c r="AF325" s="2">
        <v>433983.37575064501</v>
      </c>
      <c r="AG325" s="2">
        <v>466043.16038023401</v>
      </c>
      <c r="AH325" s="2">
        <v>441980.19990420598</v>
      </c>
      <c r="AI325" s="2">
        <v>437631.44644921902</v>
      </c>
      <c r="AJ325" s="2">
        <v>461517.69985800597</v>
      </c>
      <c r="AK325" s="2">
        <v>272883.43882994901</v>
      </c>
      <c r="AL325" s="2">
        <v>309382.91550880898</v>
      </c>
      <c r="AM325" s="2">
        <v>290785.31253087899</v>
      </c>
      <c r="AN325" s="2">
        <v>259793.06869828401</v>
      </c>
      <c r="AO325" s="2">
        <v>274635.42142802302</v>
      </c>
      <c r="AP325" s="2">
        <v>257203.38994492899</v>
      </c>
    </row>
    <row r="326" spans="1:42" ht="14.5" x14ac:dyDescent="0.35">
      <c r="A326" s="2" t="s">
        <v>2331</v>
      </c>
      <c r="B326" s="2">
        <v>550.26409657440502</v>
      </c>
      <c r="C326" s="2">
        <v>6.26755</v>
      </c>
      <c r="D326" s="2" t="s">
        <v>34</v>
      </c>
      <c r="E326" s="2" t="s">
        <v>2332</v>
      </c>
      <c r="F326" s="2">
        <v>205624</v>
      </c>
      <c r="G326" s="3" t="str">
        <f>HYPERLINK("http://funmeta.oebiotech.com/network/205624", "http://funmeta.oebiotech.com/network/205624")</f>
        <v>http://funmeta.oebiotech.com/network/205624</v>
      </c>
      <c r="H326" s="2" t="s">
        <v>2333</v>
      </c>
      <c r="I326" s="2"/>
      <c r="J326" s="2"/>
      <c r="K326" s="2"/>
      <c r="L326" s="2"/>
      <c r="M326" s="2"/>
      <c r="N326" s="2"/>
      <c r="O326" s="2">
        <v>3769834</v>
      </c>
      <c r="P326" s="2"/>
      <c r="Q326" s="2" t="s">
        <v>2334</v>
      </c>
      <c r="R326" s="2" t="s">
        <v>2335</v>
      </c>
      <c r="S326" s="2" t="s">
        <v>50</v>
      </c>
      <c r="T326" s="2" t="s">
        <v>201</v>
      </c>
      <c r="U326" s="2" t="s">
        <v>1217</v>
      </c>
      <c r="V326" s="2" t="s">
        <v>42</v>
      </c>
      <c r="W326" s="2">
        <v>49.1</v>
      </c>
      <c r="X326" s="2">
        <v>50</v>
      </c>
      <c r="Y326" s="2" t="s">
        <v>440</v>
      </c>
      <c r="Z326" s="2" t="s">
        <v>2336</v>
      </c>
      <c r="AA326" s="2">
        <v>-1.0828115618268499</v>
      </c>
      <c r="AB326" s="2">
        <v>1.61133402641006</v>
      </c>
      <c r="AC326" s="2">
        <v>2834727.4485282102</v>
      </c>
      <c r="AD326" s="2">
        <v>2612728.5710520502</v>
      </c>
      <c r="AE326" s="2">
        <v>2819263.75353048</v>
      </c>
      <c r="AF326" s="2">
        <v>2722960.4817142901</v>
      </c>
      <c r="AG326" s="2">
        <v>2953925.18436646</v>
      </c>
      <c r="AH326" s="2">
        <v>2757432.7841044399</v>
      </c>
      <c r="AI326" s="2">
        <v>2762192.7060215101</v>
      </c>
      <c r="AJ326" s="2">
        <v>2992589.7814320899</v>
      </c>
      <c r="AK326" s="2">
        <v>2683913.9508285602</v>
      </c>
      <c r="AL326" s="2">
        <v>2598183.88863581</v>
      </c>
      <c r="AM326" s="2">
        <v>2512187.3672702499</v>
      </c>
      <c r="AN326" s="2">
        <v>2737738.21484672</v>
      </c>
      <c r="AO326" s="2">
        <v>2510155.37501215</v>
      </c>
      <c r="AP326" s="2">
        <v>2634192.6297187898</v>
      </c>
    </row>
    <row r="327" spans="1:42" ht="14.5" x14ac:dyDescent="0.35">
      <c r="A327" s="2" t="s">
        <v>2337</v>
      </c>
      <c r="B327" s="2">
        <v>903.76693235921198</v>
      </c>
      <c r="C327" s="2">
        <v>0.72340000000000004</v>
      </c>
      <c r="D327" s="2" t="s">
        <v>70</v>
      </c>
      <c r="E327" s="2" t="s">
        <v>2338</v>
      </c>
      <c r="F327" s="2">
        <v>7804</v>
      </c>
      <c r="G327" s="3" t="str">
        <f>HYPERLINK("http://funmeta.oebiotech.com/network/7804", "http://funmeta.oebiotech.com/network/7804")</f>
        <v>http://funmeta.oebiotech.com/network/7804</v>
      </c>
      <c r="H327" s="2"/>
      <c r="I327" s="2">
        <v>97416</v>
      </c>
      <c r="J327" s="2" t="s">
        <v>2339</v>
      </c>
      <c r="K327" s="2"/>
      <c r="L327" s="2"/>
      <c r="M327" s="2"/>
      <c r="N327" s="2"/>
      <c r="O327" s="2">
        <v>56936053</v>
      </c>
      <c r="P327" s="2"/>
      <c r="Q327" s="2" t="s">
        <v>2340</v>
      </c>
      <c r="R327" s="2" t="s">
        <v>2341</v>
      </c>
      <c r="S327" s="2" t="s">
        <v>115</v>
      </c>
      <c r="T327" s="2" t="s">
        <v>1384</v>
      </c>
      <c r="U327" s="2" t="s">
        <v>41</v>
      </c>
      <c r="V327" s="2" t="s">
        <v>59</v>
      </c>
      <c r="W327" s="2">
        <v>36.299999999999997</v>
      </c>
      <c r="X327" s="2">
        <v>0</v>
      </c>
      <c r="Y327" s="2" t="s">
        <v>560</v>
      </c>
      <c r="Z327" s="2" t="s">
        <v>2342</v>
      </c>
      <c r="AA327" s="2">
        <v>1.2030634283232</v>
      </c>
      <c r="AB327" s="2">
        <v>1.60491030898788</v>
      </c>
      <c r="AC327" s="2">
        <v>412600.09323646198</v>
      </c>
      <c r="AD327" s="2">
        <v>623750.63343528798</v>
      </c>
      <c r="AE327" s="2">
        <v>438038.00324971101</v>
      </c>
      <c r="AF327" s="2">
        <v>309996.47997603699</v>
      </c>
      <c r="AG327" s="2">
        <v>345034.59439876798</v>
      </c>
      <c r="AH327" s="2">
        <v>498152.85187085503</v>
      </c>
      <c r="AI327" s="2">
        <v>488118.457841706</v>
      </c>
      <c r="AJ327" s="2">
        <v>396260.17208169698</v>
      </c>
      <c r="AK327" s="2">
        <v>790806.20226103195</v>
      </c>
      <c r="AL327" s="2">
        <v>668013.023411253</v>
      </c>
      <c r="AM327" s="2">
        <v>620406.608238457</v>
      </c>
      <c r="AN327" s="2">
        <v>523247.00846074801</v>
      </c>
      <c r="AO327" s="2">
        <v>545436.57850082801</v>
      </c>
      <c r="AP327" s="2">
        <v>594594.37973940896</v>
      </c>
    </row>
    <row r="328" spans="1:42" ht="14.5" x14ac:dyDescent="0.35">
      <c r="A328" s="2" t="s">
        <v>2343</v>
      </c>
      <c r="B328" s="2">
        <v>594.34182336828997</v>
      </c>
      <c r="C328" s="2">
        <v>8.3800833333333298</v>
      </c>
      <c r="D328" s="2" t="s">
        <v>34</v>
      </c>
      <c r="E328" s="2" t="s">
        <v>2344</v>
      </c>
      <c r="F328" s="2">
        <v>198887</v>
      </c>
      <c r="G328" s="3" t="str">
        <f>HYPERLINK("http://funmeta.oebiotech.com/network/198887", "http://funmeta.oebiotech.com/network/198887")</f>
        <v>http://funmeta.oebiotech.com/network/198887</v>
      </c>
      <c r="H328" s="2" t="s">
        <v>2345</v>
      </c>
      <c r="I328" s="2"/>
      <c r="J328" s="2"/>
      <c r="K328" s="2"/>
      <c r="L328" s="2"/>
      <c r="M328" s="2"/>
      <c r="N328" s="2"/>
      <c r="O328" s="2"/>
      <c r="P328" s="2"/>
      <c r="Q328" s="2" t="s">
        <v>2346</v>
      </c>
      <c r="R328" s="2" t="s">
        <v>2347</v>
      </c>
      <c r="S328" s="2" t="s">
        <v>41</v>
      </c>
      <c r="T328" s="2" t="s">
        <v>41</v>
      </c>
      <c r="U328" s="2" t="s">
        <v>41</v>
      </c>
      <c r="V328" s="2" t="s">
        <v>59</v>
      </c>
      <c r="W328" s="2">
        <v>41</v>
      </c>
      <c r="X328" s="2">
        <v>16.5</v>
      </c>
      <c r="Y328" s="2" t="s">
        <v>323</v>
      </c>
      <c r="Z328" s="2" t="s">
        <v>2348</v>
      </c>
      <c r="AA328" s="2">
        <v>2.9750108581292101</v>
      </c>
      <c r="AB328" s="2">
        <v>1.59832995627743</v>
      </c>
      <c r="AC328" s="2">
        <v>166402.94328365801</v>
      </c>
      <c r="AD328" s="2">
        <v>335324.09122732998</v>
      </c>
      <c r="AE328" s="2">
        <v>176676.037829284</v>
      </c>
      <c r="AF328" s="2">
        <v>171080.29089984999</v>
      </c>
      <c r="AG328" s="2">
        <v>158649.679950958</v>
      </c>
      <c r="AH328" s="2">
        <v>156069.44949432701</v>
      </c>
      <c r="AI328" s="2">
        <v>163803.265932457</v>
      </c>
      <c r="AJ328" s="2">
        <v>172138.935595071</v>
      </c>
      <c r="AK328" s="2">
        <v>346700.22602854</v>
      </c>
      <c r="AL328" s="2">
        <v>348050.58709316899</v>
      </c>
      <c r="AM328" s="2">
        <v>331756.75684564799</v>
      </c>
      <c r="AN328" s="2">
        <v>314846.61665611301</v>
      </c>
      <c r="AO328" s="2">
        <v>340011.63795972802</v>
      </c>
      <c r="AP328" s="2">
        <v>330578.72278078197</v>
      </c>
    </row>
    <row r="329" spans="1:42" ht="14.5" x14ac:dyDescent="0.35">
      <c r="A329" s="2" t="s">
        <v>2349</v>
      </c>
      <c r="B329" s="2">
        <v>667.28157164614697</v>
      </c>
      <c r="C329" s="2">
        <v>5.5993333333333304</v>
      </c>
      <c r="D329" s="2" t="s">
        <v>70</v>
      </c>
      <c r="E329" s="2" t="s">
        <v>2350</v>
      </c>
      <c r="F329" s="2">
        <v>64872</v>
      </c>
      <c r="G329" s="3" t="str">
        <f>HYPERLINK("http://funmeta.oebiotech.com/network/64872", "http://funmeta.oebiotech.com/network/64872")</f>
        <v>http://funmeta.oebiotech.com/network/64872</v>
      </c>
      <c r="H329" s="2" t="s">
        <v>2351</v>
      </c>
      <c r="I329" s="2">
        <v>96152</v>
      </c>
      <c r="J329" s="2"/>
      <c r="K329" s="2"/>
      <c r="L329" s="2"/>
      <c r="M329" s="2"/>
      <c r="N329" s="2"/>
      <c r="O329" s="2">
        <v>55492</v>
      </c>
      <c r="P329" s="2" t="s">
        <v>2352</v>
      </c>
      <c r="Q329" s="2" t="s">
        <v>2353</v>
      </c>
      <c r="R329" s="2" t="s">
        <v>2354</v>
      </c>
      <c r="S329" s="2" t="s">
        <v>491</v>
      </c>
      <c r="T329" s="2" t="s">
        <v>1516</v>
      </c>
      <c r="U329" s="2" t="s">
        <v>2355</v>
      </c>
      <c r="V329" s="2" t="s">
        <v>42</v>
      </c>
      <c r="W329" s="2">
        <v>49.7</v>
      </c>
      <c r="X329" s="2">
        <v>63.5</v>
      </c>
      <c r="Y329" s="2" t="s">
        <v>560</v>
      </c>
      <c r="Z329" s="2" t="s">
        <v>2356</v>
      </c>
      <c r="AA329" s="2">
        <v>0.91377296837730704</v>
      </c>
      <c r="AB329" s="2">
        <v>1.5943873210781201</v>
      </c>
      <c r="AC329" s="2">
        <v>263937.31751676102</v>
      </c>
      <c r="AD329" s="2">
        <v>95769.929913278698</v>
      </c>
      <c r="AE329" s="2">
        <v>275534.87213102001</v>
      </c>
      <c r="AF329" s="2">
        <v>257011.52563055701</v>
      </c>
      <c r="AG329" s="2">
        <v>247369.337458419</v>
      </c>
      <c r="AH329" s="2">
        <v>279248.175104525</v>
      </c>
      <c r="AI329" s="2">
        <v>248269.15953515199</v>
      </c>
      <c r="AJ329" s="2">
        <v>276190.83524089598</v>
      </c>
      <c r="AK329" s="2">
        <v>103563.80215377999</v>
      </c>
      <c r="AL329" s="2">
        <v>93423.334194158495</v>
      </c>
      <c r="AM329" s="2">
        <v>105197.290162775</v>
      </c>
      <c r="AN329" s="2">
        <v>101175.70668459999</v>
      </c>
      <c r="AO329" s="2">
        <v>84562.486148155804</v>
      </c>
      <c r="AP329" s="2">
        <v>86696.960136203095</v>
      </c>
    </row>
    <row r="330" spans="1:42" ht="14.5" x14ac:dyDescent="0.35">
      <c r="A330" s="2" t="s">
        <v>2357</v>
      </c>
      <c r="B330" s="2">
        <v>487.181653268074</v>
      </c>
      <c r="C330" s="2">
        <v>4.4526833333333302</v>
      </c>
      <c r="D330" s="2" t="s">
        <v>70</v>
      </c>
      <c r="E330" s="2" t="s">
        <v>2358</v>
      </c>
      <c r="F330" s="2">
        <v>58219</v>
      </c>
      <c r="G330" s="3" t="str">
        <f>HYPERLINK("http://funmeta.oebiotech.com/network/58219", "http://funmeta.oebiotech.com/network/58219")</f>
        <v>http://funmeta.oebiotech.com/network/58219</v>
      </c>
      <c r="H330" s="2" t="s">
        <v>2359</v>
      </c>
      <c r="I330" s="2"/>
      <c r="J330" s="2"/>
      <c r="K330" s="2"/>
      <c r="L330" s="2" t="s">
        <v>2360</v>
      </c>
      <c r="M330" s="2"/>
      <c r="N330" s="2"/>
      <c r="O330" s="2">
        <v>4484591</v>
      </c>
      <c r="P330" s="2"/>
      <c r="Q330" s="2" t="s">
        <v>2361</v>
      </c>
      <c r="R330" s="2" t="s">
        <v>2362</v>
      </c>
      <c r="S330" s="2" t="s">
        <v>79</v>
      </c>
      <c r="T330" s="2" t="s">
        <v>80</v>
      </c>
      <c r="U330" s="2" t="s">
        <v>81</v>
      </c>
      <c r="V330" s="2" t="s">
        <v>42</v>
      </c>
      <c r="W330" s="2">
        <v>51</v>
      </c>
      <c r="X330" s="2">
        <v>59.1</v>
      </c>
      <c r="Y330" s="2" t="s">
        <v>408</v>
      </c>
      <c r="Z330" s="2" t="s">
        <v>2363</v>
      </c>
      <c r="AA330" s="2">
        <v>-1.0103480219808401</v>
      </c>
      <c r="AB330" s="2">
        <v>1.5896078869294501</v>
      </c>
      <c r="AC330" s="2">
        <v>633306.86764901702</v>
      </c>
      <c r="AD330" s="2">
        <v>808762.71852852101</v>
      </c>
      <c r="AE330" s="2">
        <v>613384.65799066005</v>
      </c>
      <c r="AF330" s="2">
        <v>684666.67619268305</v>
      </c>
      <c r="AG330" s="2">
        <v>614319.18049587996</v>
      </c>
      <c r="AH330" s="2">
        <v>594923.20127568697</v>
      </c>
      <c r="AI330" s="2">
        <v>671464.52045775298</v>
      </c>
      <c r="AJ330" s="2">
        <v>621082.96948144003</v>
      </c>
      <c r="AK330" s="2">
        <v>795813.88852830196</v>
      </c>
      <c r="AL330" s="2">
        <v>762448.15786772105</v>
      </c>
      <c r="AM330" s="2">
        <v>813566.77851939597</v>
      </c>
      <c r="AN330" s="2">
        <v>810851.71014948504</v>
      </c>
      <c r="AO330" s="2">
        <v>807025.70035576797</v>
      </c>
      <c r="AP330" s="2">
        <v>862870.07575045095</v>
      </c>
    </row>
    <row r="331" spans="1:42" ht="14.5" x14ac:dyDescent="0.35">
      <c r="A331" s="2" t="s">
        <v>2364</v>
      </c>
      <c r="B331" s="2">
        <v>329.15690524255302</v>
      </c>
      <c r="C331" s="2">
        <v>4.2251833333333302</v>
      </c>
      <c r="D331" s="2" t="s">
        <v>34</v>
      </c>
      <c r="E331" s="2" t="s">
        <v>2365</v>
      </c>
      <c r="F331" s="2">
        <v>289960</v>
      </c>
      <c r="G331" s="3" t="str">
        <f>HYPERLINK("http://funmeta.oebiotech.com/network/289960", "http://funmeta.oebiotech.com/network/289960")</f>
        <v>http://funmeta.oebiotech.com/network/289960</v>
      </c>
      <c r="H331" s="2"/>
      <c r="I331" s="2">
        <v>985461</v>
      </c>
      <c r="J331" s="2"/>
      <c r="K331" s="2"/>
      <c r="L331" s="2"/>
      <c r="M331" s="2"/>
      <c r="N331" s="2"/>
      <c r="O331" s="2">
        <v>14589106</v>
      </c>
      <c r="P331" s="2"/>
      <c r="Q331" s="2" t="s">
        <v>2366</v>
      </c>
      <c r="R331" s="2" t="s">
        <v>2367</v>
      </c>
      <c r="S331" s="2" t="s">
        <v>79</v>
      </c>
      <c r="T331" s="2" t="s">
        <v>80</v>
      </c>
      <c r="U331" s="2" t="s">
        <v>81</v>
      </c>
      <c r="V331" s="2" t="s">
        <v>59</v>
      </c>
      <c r="W331" s="2">
        <v>38.5</v>
      </c>
      <c r="X331" s="2">
        <v>4.0999999999999996</v>
      </c>
      <c r="Y331" s="2" t="s">
        <v>1871</v>
      </c>
      <c r="Z331" s="2" t="s">
        <v>767</v>
      </c>
      <c r="AA331" s="2">
        <v>-7.8448232956263002</v>
      </c>
      <c r="AB331" s="2">
        <v>1.58653543297287</v>
      </c>
      <c r="AC331" s="2">
        <v>513411.63073871302</v>
      </c>
      <c r="AD331" s="2">
        <v>680657.18090798904</v>
      </c>
      <c r="AE331" s="2">
        <v>511287.30892304302</v>
      </c>
      <c r="AF331" s="2">
        <v>509199.68946603697</v>
      </c>
      <c r="AG331" s="2">
        <v>528281.18823549896</v>
      </c>
      <c r="AH331" s="2">
        <v>499505.24270172499</v>
      </c>
      <c r="AI331" s="2">
        <v>515285.42832660902</v>
      </c>
      <c r="AJ331" s="2">
        <v>516910.92677936697</v>
      </c>
      <c r="AK331" s="2">
        <v>664688.70698427001</v>
      </c>
      <c r="AL331" s="2">
        <v>657931.46338793705</v>
      </c>
      <c r="AM331" s="2">
        <v>680375.69277331198</v>
      </c>
      <c r="AN331" s="2">
        <v>676327.17280385899</v>
      </c>
      <c r="AO331" s="2">
        <v>707559.10470644198</v>
      </c>
      <c r="AP331" s="2">
        <v>697060.94479211501</v>
      </c>
    </row>
    <row r="332" spans="1:42" ht="14.5" x14ac:dyDescent="0.35">
      <c r="A332" s="2" t="s">
        <v>2368</v>
      </c>
      <c r="B332" s="2">
        <v>343.226389777517</v>
      </c>
      <c r="C332" s="2">
        <v>10.5277666666667</v>
      </c>
      <c r="D332" s="2" t="s">
        <v>34</v>
      </c>
      <c r="E332" s="2" t="s">
        <v>2369</v>
      </c>
      <c r="F332" s="2">
        <v>82574</v>
      </c>
      <c r="G332" s="3" t="str">
        <f>HYPERLINK("http://funmeta.oebiotech.com/network/82574", "http://funmeta.oebiotech.com/network/82574")</f>
        <v>http://funmeta.oebiotech.com/network/82574</v>
      </c>
      <c r="H332" s="2" t="s">
        <v>2370</v>
      </c>
      <c r="I332" s="2"/>
      <c r="J332" s="2"/>
      <c r="K332" s="2"/>
      <c r="L332" s="2"/>
      <c r="M332" s="2"/>
      <c r="N332" s="2"/>
      <c r="O332" s="2">
        <v>160654</v>
      </c>
      <c r="P332" s="2"/>
      <c r="Q332" s="2" t="s">
        <v>2371</v>
      </c>
      <c r="R332" s="2" t="s">
        <v>2372</v>
      </c>
      <c r="S332" s="2" t="s">
        <v>50</v>
      </c>
      <c r="T332" s="2" t="s">
        <v>124</v>
      </c>
      <c r="U332" s="2" t="s">
        <v>2373</v>
      </c>
      <c r="V332" s="2" t="s">
        <v>42</v>
      </c>
      <c r="W332" s="2">
        <v>51.4</v>
      </c>
      <c r="X332" s="2">
        <v>61.7</v>
      </c>
      <c r="Y332" s="2" t="s">
        <v>266</v>
      </c>
      <c r="Z332" s="2" t="s">
        <v>2374</v>
      </c>
      <c r="AA332" s="2">
        <v>-1.1147093290297101</v>
      </c>
      <c r="AB332" s="2">
        <v>1.58338029478663</v>
      </c>
      <c r="AC332" s="2">
        <v>179141.05762638201</v>
      </c>
      <c r="AD332" s="2">
        <v>14339.9893770255</v>
      </c>
      <c r="AE332" s="2">
        <v>179097.30878327301</v>
      </c>
      <c r="AF332" s="2">
        <v>184130.95332917999</v>
      </c>
      <c r="AG332" s="2">
        <v>184737.25014454601</v>
      </c>
      <c r="AH332" s="2">
        <v>170541.624574402</v>
      </c>
      <c r="AI332" s="2">
        <v>164555.68650646499</v>
      </c>
      <c r="AJ332" s="2">
        <v>191783.52242042799</v>
      </c>
      <c r="AK332" s="2">
        <v>13780.441313659099</v>
      </c>
      <c r="AL332" s="2">
        <v>18414.179989754099</v>
      </c>
      <c r="AM332" s="2">
        <v>12523.1536698279</v>
      </c>
      <c r="AN332" s="2">
        <v>15219.6506736995</v>
      </c>
      <c r="AO332" s="2">
        <v>13011.6974186644</v>
      </c>
      <c r="AP332" s="2">
        <v>13090.813196547901</v>
      </c>
    </row>
    <row r="333" spans="1:42" ht="14.5" x14ac:dyDescent="0.35">
      <c r="A333" s="2" t="s">
        <v>2375</v>
      </c>
      <c r="B333" s="2">
        <v>522.35521349592705</v>
      </c>
      <c r="C333" s="2">
        <v>10.6603666666667</v>
      </c>
      <c r="D333" s="2" t="s">
        <v>34</v>
      </c>
      <c r="E333" s="2" t="s">
        <v>2376</v>
      </c>
      <c r="F333" s="2">
        <v>19887</v>
      </c>
      <c r="G333" s="3" t="str">
        <f>HYPERLINK("http://funmeta.oebiotech.com/network/19887", "http://funmeta.oebiotech.com/network/19887")</f>
        <v>http://funmeta.oebiotech.com/network/19887</v>
      </c>
      <c r="H333" s="2" t="s">
        <v>2377</v>
      </c>
      <c r="I333" s="2">
        <v>61695</v>
      </c>
      <c r="J333" s="2" t="s">
        <v>2378</v>
      </c>
      <c r="K333" s="2">
        <v>86255</v>
      </c>
      <c r="L333" s="2" t="s">
        <v>1451</v>
      </c>
      <c r="M333" s="2" t="s">
        <v>1452</v>
      </c>
      <c r="N333" s="2" t="s">
        <v>1453</v>
      </c>
      <c r="O333" s="2">
        <v>53480465</v>
      </c>
      <c r="P333" s="2"/>
      <c r="Q333" s="2" t="s">
        <v>2379</v>
      </c>
      <c r="R333" s="2" t="s">
        <v>2380</v>
      </c>
      <c r="S333" s="2" t="s">
        <v>50</v>
      </c>
      <c r="T333" s="2" t="s">
        <v>51</v>
      </c>
      <c r="U333" s="2" t="s">
        <v>168</v>
      </c>
      <c r="V333" s="2" t="s">
        <v>42</v>
      </c>
      <c r="W333" s="2">
        <v>51.7</v>
      </c>
      <c r="X333" s="2">
        <v>60.2</v>
      </c>
      <c r="Y333" s="2" t="s">
        <v>67</v>
      </c>
      <c r="Z333" s="2" t="s">
        <v>2381</v>
      </c>
      <c r="AA333" s="2">
        <v>-0.38856076704575099</v>
      </c>
      <c r="AB333" s="2">
        <v>1.5785719301433001</v>
      </c>
      <c r="AC333" s="2">
        <v>322380.69305224402</v>
      </c>
      <c r="AD333" s="2">
        <v>495939.77889844199</v>
      </c>
      <c r="AE333" s="2">
        <v>325065.69622067403</v>
      </c>
      <c r="AF333" s="2">
        <v>343912.26637045998</v>
      </c>
      <c r="AG333" s="2">
        <v>339372.85415307502</v>
      </c>
      <c r="AH333" s="2">
        <v>292860.27116355399</v>
      </c>
      <c r="AI333" s="2">
        <v>310000.31348782999</v>
      </c>
      <c r="AJ333" s="2">
        <v>323072.756917872</v>
      </c>
      <c r="AK333" s="2">
        <v>489517.73782757798</v>
      </c>
      <c r="AL333" s="2">
        <v>492523.40039375902</v>
      </c>
      <c r="AM333" s="2">
        <v>436612.441835395</v>
      </c>
      <c r="AN333" s="2">
        <v>470727.22601659101</v>
      </c>
      <c r="AO333" s="2">
        <v>557593.07202610502</v>
      </c>
      <c r="AP333" s="2">
        <v>528664.79529122496</v>
      </c>
    </row>
    <row r="334" spans="1:42" ht="14.5" x14ac:dyDescent="0.35">
      <c r="A334" s="2" t="s">
        <v>2382</v>
      </c>
      <c r="B334" s="2">
        <v>439.15724680918601</v>
      </c>
      <c r="C334" s="2">
        <v>4.0516166666666704</v>
      </c>
      <c r="D334" s="2" t="s">
        <v>34</v>
      </c>
      <c r="E334" s="2" t="s">
        <v>2383</v>
      </c>
      <c r="F334" s="2">
        <v>64373</v>
      </c>
      <c r="G334" s="3" t="str">
        <f>HYPERLINK("http://funmeta.oebiotech.com/network/64373", "http://funmeta.oebiotech.com/network/64373")</f>
        <v>http://funmeta.oebiotech.com/network/64373</v>
      </c>
      <c r="H334" s="2" t="s">
        <v>2384</v>
      </c>
      <c r="I334" s="2">
        <v>95688</v>
      </c>
      <c r="J334" s="2"/>
      <c r="K334" s="2">
        <v>167926</v>
      </c>
      <c r="L334" s="2"/>
      <c r="M334" s="2"/>
      <c r="N334" s="2"/>
      <c r="O334" s="2">
        <v>14704521</v>
      </c>
      <c r="P334" s="2" t="s">
        <v>2385</v>
      </c>
      <c r="Q334" s="2" t="s">
        <v>2386</v>
      </c>
      <c r="R334" s="2" t="s">
        <v>2387</v>
      </c>
      <c r="S334" s="2" t="s">
        <v>79</v>
      </c>
      <c r="T334" s="2" t="s">
        <v>80</v>
      </c>
      <c r="U334" s="2" t="s">
        <v>81</v>
      </c>
      <c r="V334" s="2" t="s">
        <v>59</v>
      </c>
      <c r="W334" s="2">
        <v>44.5</v>
      </c>
      <c r="X334" s="2">
        <v>28.3</v>
      </c>
      <c r="Y334" s="2" t="s">
        <v>1115</v>
      </c>
      <c r="Z334" s="2" t="s">
        <v>530</v>
      </c>
      <c r="AA334" s="2">
        <v>-0.53094962466400697</v>
      </c>
      <c r="AB334" s="2">
        <v>1.57241618142915</v>
      </c>
      <c r="AC334" s="2">
        <v>811863.36669919803</v>
      </c>
      <c r="AD334" s="2">
        <v>638250.60636027402</v>
      </c>
      <c r="AE334" s="2">
        <v>803608.36333976395</v>
      </c>
      <c r="AF334" s="2">
        <v>868083.51473995904</v>
      </c>
      <c r="AG334" s="2">
        <v>790546.94015821302</v>
      </c>
      <c r="AH334" s="2">
        <v>755118.95328561403</v>
      </c>
      <c r="AI334" s="2">
        <v>813123.07678688399</v>
      </c>
      <c r="AJ334" s="2">
        <v>840699.35188475205</v>
      </c>
      <c r="AK334" s="2">
        <v>612787.95640363498</v>
      </c>
      <c r="AL334" s="2">
        <v>663133.013514344</v>
      </c>
      <c r="AM334" s="2">
        <v>640098.94945334399</v>
      </c>
      <c r="AN334" s="2">
        <v>679720.88443683996</v>
      </c>
      <c r="AO334" s="2">
        <v>589030.20219412295</v>
      </c>
      <c r="AP334" s="2">
        <v>644732.63215935603</v>
      </c>
    </row>
    <row r="335" spans="1:42" ht="14.5" x14ac:dyDescent="0.35">
      <c r="A335" s="2" t="s">
        <v>2388</v>
      </c>
      <c r="B335" s="2">
        <v>906.54067929950099</v>
      </c>
      <c r="C335" s="2">
        <v>10.910600000000001</v>
      </c>
      <c r="D335" s="2" t="s">
        <v>34</v>
      </c>
      <c r="E335" s="2" t="s">
        <v>2389</v>
      </c>
      <c r="F335" s="2">
        <v>243672</v>
      </c>
      <c r="G335" s="3" t="str">
        <f>HYPERLINK("http://funmeta.oebiotech.com/network/243672", "http://funmeta.oebiotech.com/network/243672")</f>
        <v>http://funmeta.oebiotech.com/network/243672</v>
      </c>
      <c r="H335" s="2" t="s">
        <v>2390</v>
      </c>
      <c r="I335" s="2"/>
      <c r="J335" s="2"/>
      <c r="K335" s="2"/>
      <c r="L335" s="2"/>
      <c r="M335" s="2"/>
      <c r="N335" s="2"/>
      <c r="O335" s="2"/>
      <c r="P335" s="2"/>
      <c r="Q335" s="2" t="s">
        <v>2391</v>
      </c>
      <c r="R335" s="2" t="s">
        <v>2392</v>
      </c>
      <c r="S335" s="2" t="s">
        <v>41</v>
      </c>
      <c r="T335" s="2" t="s">
        <v>41</v>
      </c>
      <c r="U335" s="2" t="s">
        <v>41</v>
      </c>
      <c r="V335" s="2" t="s">
        <v>59</v>
      </c>
      <c r="W335" s="2">
        <v>36.1</v>
      </c>
      <c r="X335" s="2">
        <v>0</v>
      </c>
      <c r="Y335" s="2" t="s">
        <v>323</v>
      </c>
      <c r="Z335" s="2" t="s">
        <v>2393</v>
      </c>
      <c r="AA335" s="2">
        <v>0.58827318101463899</v>
      </c>
      <c r="AB335" s="2">
        <v>1.57038066631077</v>
      </c>
      <c r="AC335" s="2">
        <v>43521.138330350397</v>
      </c>
      <c r="AD335" s="2">
        <v>206074.561468709</v>
      </c>
      <c r="AE335" s="2">
        <v>44136.342667860903</v>
      </c>
      <c r="AF335" s="2">
        <v>44114.540396973302</v>
      </c>
      <c r="AG335" s="2">
        <v>42707.2416672033</v>
      </c>
      <c r="AH335" s="2">
        <v>44010.556177171602</v>
      </c>
      <c r="AI335" s="2">
        <v>42138.9763470213</v>
      </c>
      <c r="AJ335" s="2">
        <v>44019.172725872297</v>
      </c>
      <c r="AK335" s="2">
        <v>208826.70113672299</v>
      </c>
      <c r="AL335" s="2">
        <v>193874.66475882201</v>
      </c>
      <c r="AM335" s="2">
        <v>228917.98519914199</v>
      </c>
      <c r="AN335" s="2">
        <v>203013.53777017299</v>
      </c>
      <c r="AO335" s="2">
        <v>196487.53460646101</v>
      </c>
      <c r="AP335" s="2">
        <v>205326.945340932</v>
      </c>
    </row>
    <row r="336" spans="1:42" ht="14.5" x14ac:dyDescent="0.35">
      <c r="A336" s="2" t="s">
        <v>2394</v>
      </c>
      <c r="B336" s="2">
        <v>571.28763786920797</v>
      </c>
      <c r="C336" s="2">
        <v>10.455550000000001</v>
      </c>
      <c r="D336" s="2" t="s">
        <v>34</v>
      </c>
      <c r="E336" s="2" t="s">
        <v>2395</v>
      </c>
      <c r="F336" s="2">
        <v>24876</v>
      </c>
      <c r="G336" s="3" t="str">
        <f>HYPERLINK("http://funmeta.oebiotech.com/network/24876", "http://funmeta.oebiotech.com/network/24876")</f>
        <v>http://funmeta.oebiotech.com/network/24876</v>
      </c>
      <c r="H336" s="2"/>
      <c r="I336" s="2"/>
      <c r="J336" s="2" t="s">
        <v>2396</v>
      </c>
      <c r="K336" s="2"/>
      <c r="L336" s="2"/>
      <c r="M336" s="2"/>
      <c r="N336" s="2"/>
      <c r="O336" s="2">
        <v>52928604</v>
      </c>
      <c r="P336" s="2"/>
      <c r="Q336" s="2" t="s">
        <v>2397</v>
      </c>
      <c r="R336" s="2" t="s">
        <v>2398</v>
      </c>
      <c r="S336" s="2" t="s">
        <v>50</v>
      </c>
      <c r="T336" s="2" t="s">
        <v>51</v>
      </c>
      <c r="U336" s="2" t="s">
        <v>52</v>
      </c>
      <c r="V336" s="2" t="s">
        <v>42</v>
      </c>
      <c r="W336" s="2">
        <v>51.6</v>
      </c>
      <c r="X336" s="2">
        <v>64.2</v>
      </c>
      <c r="Y336" s="2" t="s">
        <v>394</v>
      </c>
      <c r="Z336" s="2" t="s">
        <v>2399</v>
      </c>
      <c r="AA336" s="2">
        <v>-0.26677187474772801</v>
      </c>
      <c r="AB336" s="2">
        <v>1.5673694329041701</v>
      </c>
      <c r="AC336" s="2">
        <v>166745.47384739001</v>
      </c>
      <c r="AD336" s="2">
        <v>3954.1228307657898</v>
      </c>
      <c r="AE336" s="2">
        <v>164557.009850125</v>
      </c>
      <c r="AF336" s="2">
        <v>168520.79426976599</v>
      </c>
      <c r="AG336" s="2">
        <v>161181.625564199</v>
      </c>
      <c r="AH336" s="2">
        <v>158164.78350618499</v>
      </c>
      <c r="AI336" s="2">
        <v>146010.678293084</v>
      </c>
      <c r="AJ336" s="2">
        <v>202037.951600981</v>
      </c>
      <c r="AK336" s="2">
        <v>3198.4110784325799</v>
      </c>
      <c r="AL336" s="2">
        <v>4705.3221606962798</v>
      </c>
      <c r="AM336" s="2">
        <v>2610.7079908058599</v>
      </c>
      <c r="AN336" s="2">
        <v>7223.7478309143498</v>
      </c>
      <c r="AO336" s="2">
        <v>3949.5040218991699</v>
      </c>
      <c r="AP336" s="2">
        <v>2037.0439018464899</v>
      </c>
    </row>
    <row r="337" spans="1:42" ht="14.5" x14ac:dyDescent="0.35">
      <c r="A337" s="2" t="s">
        <v>2400</v>
      </c>
      <c r="B337" s="2">
        <v>649.35490243050003</v>
      </c>
      <c r="C337" s="2">
        <v>6.26755</v>
      </c>
      <c r="D337" s="2" t="s">
        <v>34</v>
      </c>
      <c r="E337" s="2" t="s">
        <v>2401</v>
      </c>
      <c r="F337" s="2">
        <v>58195</v>
      </c>
      <c r="G337" s="3" t="str">
        <f>HYPERLINK("http://funmeta.oebiotech.com/network/58195", "http://funmeta.oebiotech.com/network/58195")</f>
        <v>http://funmeta.oebiotech.com/network/58195</v>
      </c>
      <c r="H337" s="2" t="s">
        <v>2402</v>
      </c>
      <c r="I337" s="2"/>
      <c r="J337" s="2"/>
      <c r="K337" s="2">
        <v>176258</v>
      </c>
      <c r="L337" s="2"/>
      <c r="M337" s="2"/>
      <c r="N337" s="2"/>
      <c r="O337" s="2">
        <v>12314455</v>
      </c>
      <c r="P337" s="2" t="s">
        <v>2403</v>
      </c>
      <c r="Q337" s="2" t="s">
        <v>2404</v>
      </c>
      <c r="R337" s="2" t="s">
        <v>2405</v>
      </c>
      <c r="S337" s="2" t="s">
        <v>50</v>
      </c>
      <c r="T337" s="2" t="s">
        <v>124</v>
      </c>
      <c r="U337" s="2" t="s">
        <v>523</v>
      </c>
      <c r="V337" s="2" t="s">
        <v>59</v>
      </c>
      <c r="W337" s="2">
        <v>40.5</v>
      </c>
      <c r="X337" s="2">
        <v>10.6</v>
      </c>
      <c r="Y337" s="2" t="s">
        <v>323</v>
      </c>
      <c r="Z337" s="2" t="s">
        <v>2406</v>
      </c>
      <c r="AA337" s="2">
        <v>-1.4860249910034</v>
      </c>
      <c r="AB337" s="2">
        <v>1.56599905873018</v>
      </c>
      <c r="AC337" s="2">
        <v>89102.081186742304</v>
      </c>
      <c r="AD337" s="2">
        <v>273402.61698862701</v>
      </c>
      <c r="AE337" s="2">
        <v>93283.245488514396</v>
      </c>
      <c r="AF337" s="2">
        <v>87728.874028287202</v>
      </c>
      <c r="AG337" s="2">
        <v>87984.710849094903</v>
      </c>
      <c r="AH337" s="2">
        <v>73238.448091455793</v>
      </c>
      <c r="AI337" s="2">
        <v>91461.168448112396</v>
      </c>
      <c r="AJ337" s="2">
        <v>100916.040214989</v>
      </c>
      <c r="AK337" s="2">
        <v>155441.27387353501</v>
      </c>
      <c r="AL337" s="2">
        <v>387808.59593570902</v>
      </c>
      <c r="AM337" s="2">
        <v>262505.30771476403</v>
      </c>
      <c r="AN337" s="2">
        <v>238520.16353527599</v>
      </c>
      <c r="AO337" s="2">
        <v>275152.00210686697</v>
      </c>
      <c r="AP337" s="2">
        <v>320988.358765613</v>
      </c>
    </row>
    <row r="338" spans="1:42" ht="14.5" x14ac:dyDescent="0.35">
      <c r="A338" s="2" t="s">
        <v>2407</v>
      </c>
      <c r="B338" s="2">
        <v>511.32706050843899</v>
      </c>
      <c r="C338" s="2">
        <v>6.4438333333333304</v>
      </c>
      <c r="D338" s="2" t="s">
        <v>70</v>
      </c>
      <c r="E338" s="2" t="s">
        <v>2408</v>
      </c>
      <c r="F338" s="2">
        <v>255360</v>
      </c>
      <c r="G338" s="3" t="str">
        <f>HYPERLINK("http://funmeta.oebiotech.com/network/255360", "http://funmeta.oebiotech.com/network/255360")</f>
        <v>http://funmeta.oebiotech.com/network/255360</v>
      </c>
      <c r="H338" s="2" t="s">
        <v>2409</v>
      </c>
      <c r="I338" s="2">
        <v>705741</v>
      </c>
      <c r="J338" s="2"/>
      <c r="K338" s="2"/>
      <c r="L338" s="2"/>
      <c r="M338" s="2"/>
      <c r="N338" s="2"/>
      <c r="O338" s="2">
        <v>13845880</v>
      </c>
      <c r="P338" s="2"/>
      <c r="Q338" s="2" t="s">
        <v>2410</v>
      </c>
      <c r="R338" s="2" t="s">
        <v>2411</v>
      </c>
      <c r="S338" s="2" t="s">
        <v>50</v>
      </c>
      <c r="T338" s="2" t="s">
        <v>124</v>
      </c>
      <c r="U338" s="2" t="s">
        <v>567</v>
      </c>
      <c r="V338" s="2" t="s">
        <v>42</v>
      </c>
      <c r="W338" s="2">
        <v>51</v>
      </c>
      <c r="X338" s="2">
        <v>56.9</v>
      </c>
      <c r="Y338" s="2" t="s">
        <v>408</v>
      </c>
      <c r="Z338" s="2" t="s">
        <v>2412</v>
      </c>
      <c r="AA338" s="2">
        <v>-1.2470886287429399</v>
      </c>
      <c r="AB338" s="2">
        <v>1.5609499242457501</v>
      </c>
      <c r="AC338" s="2">
        <v>362860.03361130302</v>
      </c>
      <c r="AD338" s="2">
        <v>524717.98582964996</v>
      </c>
      <c r="AE338" s="2">
        <v>369475.67546496599</v>
      </c>
      <c r="AF338" s="2">
        <v>348567.67372845602</v>
      </c>
      <c r="AG338" s="2">
        <v>373755.27421924798</v>
      </c>
      <c r="AH338" s="2">
        <v>359767.28466133401</v>
      </c>
      <c r="AI338" s="2">
        <v>349237.22764334403</v>
      </c>
      <c r="AJ338" s="2">
        <v>376357.06595047202</v>
      </c>
      <c r="AK338" s="2">
        <v>514595.94821423001</v>
      </c>
      <c r="AL338" s="2">
        <v>522576.71332486399</v>
      </c>
      <c r="AM338" s="2">
        <v>533800.51919886796</v>
      </c>
      <c r="AN338" s="2">
        <v>527680.83130692702</v>
      </c>
      <c r="AO338" s="2">
        <v>546625.90284892602</v>
      </c>
      <c r="AP338" s="2">
        <v>503028.00008408498</v>
      </c>
    </row>
    <row r="339" spans="1:42" ht="14.5" x14ac:dyDescent="0.35">
      <c r="A339" s="2" t="s">
        <v>2413</v>
      </c>
      <c r="B339" s="2">
        <v>471.18693447740702</v>
      </c>
      <c r="C339" s="2">
        <v>4.8624666666666698</v>
      </c>
      <c r="D339" s="2" t="s">
        <v>70</v>
      </c>
      <c r="E339" s="2" t="s">
        <v>2414</v>
      </c>
      <c r="F339" s="2">
        <v>62663</v>
      </c>
      <c r="G339" s="3" t="str">
        <f>HYPERLINK("http://funmeta.oebiotech.com/network/62663", "http://funmeta.oebiotech.com/network/62663")</f>
        <v>http://funmeta.oebiotech.com/network/62663</v>
      </c>
      <c r="H339" s="2" t="s">
        <v>2415</v>
      </c>
      <c r="I339" s="2">
        <v>93962</v>
      </c>
      <c r="J339" s="2"/>
      <c r="K339" s="2"/>
      <c r="L339" s="2"/>
      <c r="M339" s="2"/>
      <c r="N339" s="2"/>
      <c r="O339" s="2">
        <v>131752626</v>
      </c>
      <c r="P339" s="2"/>
      <c r="Q339" s="2" t="s">
        <v>2416</v>
      </c>
      <c r="R339" s="2" t="s">
        <v>2417</v>
      </c>
      <c r="S339" s="2" t="s">
        <v>79</v>
      </c>
      <c r="T339" s="2" t="s">
        <v>80</v>
      </c>
      <c r="U339" s="2" t="s">
        <v>81</v>
      </c>
      <c r="V339" s="2" t="s">
        <v>42</v>
      </c>
      <c r="W339" s="2">
        <v>51.2</v>
      </c>
      <c r="X339" s="2">
        <v>58.9</v>
      </c>
      <c r="Y339" s="2" t="s">
        <v>792</v>
      </c>
      <c r="Z339" s="2" t="s">
        <v>2418</v>
      </c>
      <c r="AA339" s="2">
        <v>-0.51188314963765702</v>
      </c>
      <c r="AB339" s="2">
        <v>1.56001727266875</v>
      </c>
      <c r="AC339" s="2">
        <v>799940.42380864394</v>
      </c>
      <c r="AD339" s="2">
        <v>961739.03543552</v>
      </c>
      <c r="AE339" s="2">
        <v>808542.75985570496</v>
      </c>
      <c r="AF339" s="2">
        <v>805992.00840849301</v>
      </c>
      <c r="AG339" s="2">
        <v>808315.55237470299</v>
      </c>
      <c r="AH339" s="2">
        <v>779958.93938135996</v>
      </c>
      <c r="AI339" s="2">
        <v>805416.38444209995</v>
      </c>
      <c r="AJ339" s="2">
        <v>791416.89838950103</v>
      </c>
      <c r="AK339" s="2">
        <v>960474.63730519405</v>
      </c>
      <c r="AL339" s="2">
        <v>930470.19770754897</v>
      </c>
      <c r="AM339" s="2">
        <v>960466.91909315402</v>
      </c>
      <c r="AN339" s="2">
        <v>970847.30623757397</v>
      </c>
      <c r="AO339" s="2">
        <v>964579.64603794506</v>
      </c>
      <c r="AP339" s="2">
        <v>983595.50623170205</v>
      </c>
    </row>
    <row r="340" spans="1:42" ht="14.5" x14ac:dyDescent="0.35">
      <c r="A340" s="2" t="s">
        <v>2419</v>
      </c>
      <c r="B340" s="2">
        <v>625.39002037357898</v>
      </c>
      <c r="C340" s="2">
        <v>11.61295</v>
      </c>
      <c r="D340" s="2" t="s">
        <v>34</v>
      </c>
      <c r="E340" s="2" t="s">
        <v>2420</v>
      </c>
      <c r="F340" s="2">
        <v>289874</v>
      </c>
      <c r="G340" s="3" t="str">
        <f>HYPERLINK("http://funmeta.oebiotech.com/network/289874", "http://funmeta.oebiotech.com/network/289874")</f>
        <v>http://funmeta.oebiotech.com/network/289874</v>
      </c>
      <c r="H340" s="2"/>
      <c r="I340" s="2">
        <v>985064</v>
      </c>
      <c r="J340" s="2"/>
      <c r="K340" s="2"/>
      <c r="L340" s="2"/>
      <c r="M340" s="2"/>
      <c r="N340" s="2"/>
      <c r="O340" s="2">
        <v>322885</v>
      </c>
      <c r="P340" s="2"/>
      <c r="Q340" s="2" t="s">
        <v>2421</v>
      </c>
      <c r="R340" s="2" t="s">
        <v>2422</v>
      </c>
      <c r="S340" s="2" t="s">
        <v>50</v>
      </c>
      <c r="T340" s="2" t="s">
        <v>201</v>
      </c>
      <c r="U340" s="2" t="s">
        <v>241</v>
      </c>
      <c r="V340" s="2" t="s">
        <v>59</v>
      </c>
      <c r="W340" s="2">
        <v>36.9</v>
      </c>
      <c r="X340" s="2">
        <v>0</v>
      </c>
      <c r="Y340" s="2" t="s">
        <v>340</v>
      </c>
      <c r="Z340" s="2" t="s">
        <v>2423</v>
      </c>
      <c r="AA340" s="2">
        <v>6.0071213431480404</v>
      </c>
      <c r="AB340" s="2">
        <v>1.55972508522411</v>
      </c>
      <c r="AC340" s="2">
        <v>74.946572454750097</v>
      </c>
      <c r="AD340" s="2">
        <v>160109.151203038</v>
      </c>
      <c r="AE340" s="2">
        <v>120.92931877298101</v>
      </c>
      <c r="AF340" s="2">
        <v>2.7106294003980101E-5</v>
      </c>
      <c r="AG340" s="2">
        <v>2.7106294003980101E-5</v>
      </c>
      <c r="AH340" s="2">
        <v>2.7106294003980101E-5</v>
      </c>
      <c r="AI340" s="2">
        <v>80.525561315239301</v>
      </c>
      <c r="AJ340" s="2">
        <v>248.22447332139799</v>
      </c>
      <c r="AK340" s="2">
        <v>161617.41086359299</v>
      </c>
      <c r="AL340" s="2">
        <v>162626.330302177</v>
      </c>
      <c r="AM340" s="2">
        <v>173697.464997036</v>
      </c>
      <c r="AN340" s="2">
        <v>157367.222855203</v>
      </c>
      <c r="AO340" s="2">
        <v>146724.59922829899</v>
      </c>
      <c r="AP340" s="2">
        <v>158621.87897192201</v>
      </c>
    </row>
    <row r="341" spans="1:42" ht="14.5" x14ac:dyDescent="0.35">
      <c r="A341" s="2" t="s">
        <v>2424</v>
      </c>
      <c r="B341" s="2">
        <v>619.27517457688498</v>
      </c>
      <c r="C341" s="2">
        <v>5.5233833333333298</v>
      </c>
      <c r="D341" s="2" t="s">
        <v>34</v>
      </c>
      <c r="E341" s="2" t="s">
        <v>2425</v>
      </c>
      <c r="F341" s="2">
        <v>60122</v>
      </c>
      <c r="G341" s="3" t="str">
        <f>HYPERLINK("http://funmeta.oebiotech.com/network/60122", "http://funmeta.oebiotech.com/network/60122")</f>
        <v>http://funmeta.oebiotech.com/network/60122</v>
      </c>
      <c r="H341" s="2" t="s">
        <v>2426</v>
      </c>
      <c r="I341" s="2"/>
      <c r="J341" s="2"/>
      <c r="K341" s="2"/>
      <c r="L341" s="2"/>
      <c r="M341" s="2"/>
      <c r="N341" s="2"/>
      <c r="O341" s="2">
        <v>131751972</v>
      </c>
      <c r="P341" s="2"/>
      <c r="Q341" s="2" t="s">
        <v>2427</v>
      </c>
      <c r="R341" s="2" t="s">
        <v>2428</v>
      </c>
      <c r="S341" s="2" t="s">
        <v>491</v>
      </c>
      <c r="T341" s="2" t="s">
        <v>2429</v>
      </c>
      <c r="U341" s="2" t="s">
        <v>41</v>
      </c>
      <c r="V341" s="2" t="s">
        <v>42</v>
      </c>
      <c r="W341" s="2">
        <v>54.4</v>
      </c>
      <c r="X341" s="2">
        <v>88.2</v>
      </c>
      <c r="Y341" s="2" t="s">
        <v>323</v>
      </c>
      <c r="Z341" s="2" t="s">
        <v>2430</v>
      </c>
      <c r="AA341" s="2">
        <v>-4.4996880840253803</v>
      </c>
      <c r="AB341" s="2">
        <v>1.55825981319288</v>
      </c>
      <c r="AC341" s="2">
        <v>550996.03095302405</v>
      </c>
      <c r="AD341" s="2">
        <v>721605.54599253798</v>
      </c>
      <c r="AE341" s="2">
        <v>532559.87425294099</v>
      </c>
      <c r="AF341" s="2">
        <v>557264.84179238696</v>
      </c>
      <c r="AG341" s="2">
        <v>569674.66133921896</v>
      </c>
      <c r="AH341" s="2">
        <v>509554.54238469899</v>
      </c>
      <c r="AI341" s="2">
        <v>545801.53844080504</v>
      </c>
      <c r="AJ341" s="2">
        <v>591120.727508093</v>
      </c>
      <c r="AK341" s="2">
        <v>690856.72412492195</v>
      </c>
      <c r="AL341" s="2">
        <v>719557.33882941701</v>
      </c>
      <c r="AM341" s="2">
        <v>671619.42653748603</v>
      </c>
      <c r="AN341" s="2">
        <v>792529.16085349896</v>
      </c>
      <c r="AO341" s="2">
        <v>740824.37947134604</v>
      </c>
      <c r="AP341" s="2">
        <v>714246.24613855802</v>
      </c>
    </row>
    <row r="342" spans="1:42" ht="14.5" x14ac:dyDescent="0.35">
      <c r="A342" s="2" t="s">
        <v>2431</v>
      </c>
      <c r="B342" s="2">
        <v>407.20600675620801</v>
      </c>
      <c r="C342" s="2">
        <v>6.1123333333333303</v>
      </c>
      <c r="D342" s="2" t="s">
        <v>34</v>
      </c>
      <c r="E342" s="2" t="s">
        <v>2432</v>
      </c>
      <c r="F342" s="2">
        <v>62325</v>
      </c>
      <c r="G342" s="3" t="str">
        <f>HYPERLINK("http://funmeta.oebiotech.com/network/62325", "http://funmeta.oebiotech.com/network/62325")</f>
        <v>http://funmeta.oebiotech.com/network/62325</v>
      </c>
      <c r="H342" s="2" t="s">
        <v>2433</v>
      </c>
      <c r="I342" s="2">
        <v>93619</v>
      </c>
      <c r="J342" s="2"/>
      <c r="K342" s="2">
        <v>176061</v>
      </c>
      <c r="L342" s="2"/>
      <c r="M342" s="2"/>
      <c r="N342" s="2"/>
      <c r="O342" s="2">
        <v>131752510</v>
      </c>
      <c r="P342" s="2"/>
      <c r="Q342" s="2" t="s">
        <v>2434</v>
      </c>
      <c r="R342" s="2" t="s">
        <v>2435</v>
      </c>
      <c r="S342" s="2" t="s">
        <v>50</v>
      </c>
      <c r="T342" s="2" t="s">
        <v>201</v>
      </c>
      <c r="U342" s="2" t="s">
        <v>1217</v>
      </c>
      <c r="V342" s="2" t="s">
        <v>42</v>
      </c>
      <c r="W342" s="2">
        <v>48.7</v>
      </c>
      <c r="X342" s="2">
        <v>50</v>
      </c>
      <c r="Y342" s="2" t="s">
        <v>266</v>
      </c>
      <c r="Z342" s="2" t="s">
        <v>2436</v>
      </c>
      <c r="AA342" s="2">
        <v>-0.99709293367702201</v>
      </c>
      <c r="AB342" s="2">
        <v>1.5579842525232701</v>
      </c>
      <c r="AC342" s="2">
        <v>525168.13318465895</v>
      </c>
      <c r="AD342" s="2">
        <v>363294.43285704002</v>
      </c>
      <c r="AE342" s="2">
        <v>523042.51240435499</v>
      </c>
      <c r="AF342" s="2">
        <v>504444.96283118101</v>
      </c>
      <c r="AG342" s="2">
        <v>527308.84076375701</v>
      </c>
      <c r="AH342" s="2">
        <v>517220.14720447001</v>
      </c>
      <c r="AI342" s="2">
        <v>523063.71784775099</v>
      </c>
      <c r="AJ342" s="2">
        <v>555928.61805644003</v>
      </c>
      <c r="AK342" s="2">
        <v>356526.62061326602</v>
      </c>
      <c r="AL342" s="2">
        <v>354720.11961500498</v>
      </c>
      <c r="AM342" s="2">
        <v>376742.18640033097</v>
      </c>
      <c r="AN342" s="2">
        <v>377965.374668292</v>
      </c>
      <c r="AO342" s="2">
        <v>343052.42008377198</v>
      </c>
      <c r="AP342" s="2">
        <v>370759.875761576</v>
      </c>
    </row>
    <row r="343" spans="1:42" ht="14.5" x14ac:dyDescent="0.35">
      <c r="A343" s="2" t="s">
        <v>2437</v>
      </c>
      <c r="B343" s="2">
        <v>530.96477116066296</v>
      </c>
      <c r="C343" s="2">
        <v>5.5233833333333298</v>
      </c>
      <c r="D343" s="2" t="s">
        <v>34</v>
      </c>
      <c r="E343" s="2" t="s">
        <v>2438</v>
      </c>
      <c r="F343" s="2">
        <v>209364</v>
      </c>
      <c r="G343" s="3" t="str">
        <f>HYPERLINK("http://funmeta.oebiotech.com/network/209364", "http://funmeta.oebiotech.com/network/209364")</f>
        <v>http://funmeta.oebiotech.com/network/209364</v>
      </c>
      <c r="H343" s="2" t="s">
        <v>2439</v>
      </c>
      <c r="I343" s="2"/>
      <c r="J343" s="2"/>
      <c r="K343" s="2"/>
      <c r="L343" s="2"/>
      <c r="M343" s="2"/>
      <c r="N343" s="2"/>
      <c r="O343" s="2">
        <v>90738448</v>
      </c>
      <c r="P343" s="2"/>
      <c r="Q343" s="2" t="s">
        <v>2440</v>
      </c>
      <c r="R343" s="2" t="s">
        <v>2441</v>
      </c>
      <c r="S343" s="2" t="s">
        <v>41</v>
      </c>
      <c r="T343" s="2" t="s">
        <v>41</v>
      </c>
      <c r="U343" s="2" t="s">
        <v>41</v>
      </c>
      <c r="V343" s="2" t="s">
        <v>59</v>
      </c>
      <c r="W343" s="2">
        <v>36.299999999999997</v>
      </c>
      <c r="X343" s="2">
        <v>0</v>
      </c>
      <c r="Y343" s="2" t="s">
        <v>141</v>
      </c>
      <c r="Z343" s="2" t="s">
        <v>2442</v>
      </c>
      <c r="AA343" s="2">
        <v>-0.330667697885006</v>
      </c>
      <c r="AB343" s="2">
        <v>1.55705029997356</v>
      </c>
      <c r="AC343" s="2">
        <v>1149683.5450245601</v>
      </c>
      <c r="AD343" s="2">
        <v>969660.77400679805</v>
      </c>
      <c r="AE343" s="2">
        <v>1141424.8523392701</v>
      </c>
      <c r="AF343" s="2">
        <v>1138088.1350148199</v>
      </c>
      <c r="AG343" s="2">
        <v>1143178.8219413999</v>
      </c>
      <c r="AH343" s="2">
        <v>1259497.75857052</v>
      </c>
      <c r="AI343" s="2">
        <v>1162774.11837575</v>
      </c>
      <c r="AJ343" s="2">
        <v>1053137.58390561</v>
      </c>
      <c r="AK343" s="2">
        <v>931569.89893066196</v>
      </c>
      <c r="AL343" s="2">
        <v>932620.06637963501</v>
      </c>
      <c r="AM343" s="2">
        <v>1003207.58338591</v>
      </c>
      <c r="AN343" s="2">
        <v>978757.22744010005</v>
      </c>
      <c r="AO343" s="2">
        <v>983668.29973186494</v>
      </c>
      <c r="AP343" s="2">
        <v>988141.56817261397</v>
      </c>
    </row>
    <row r="344" spans="1:42" ht="14.5" x14ac:dyDescent="0.35">
      <c r="A344" s="2" t="s">
        <v>2443</v>
      </c>
      <c r="B344" s="2">
        <v>337.069398683126</v>
      </c>
      <c r="C344" s="2">
        <v>3.4080166666666698</v>
      </c>
      <c r="D344" s="2" t="s">
        <v>70</v>
      </c>
      <c r="E344" s="2" t="s">
        <v>2444</v>
      </c>
      <c r="F344" s="2">
        <v>211667</v>
      </c>
      <c r="G344" s="3" t="str">
        <f>HYPERLINK("http://funmeta.oebiotech.com/network/211667", "http://funmeta.oebiotech.com/network/211667")</f>
        <v>http://funmeta.oebiotech.com/network/211667</v>
      </c>
      <c r="H344" s="2" t="s">
        <v>2445</v>
      </c>
      <c r="I344" s="2"/>
      <c r="J344" s="2"/>
      <c r="K344" s="2"/>
      <c r="L344" s="2"/>
      <c r="M344" s="2"/>
      <c r="N344" s="2"/>
      <c r="O344" s="2"/>
      <c r="P344" s="2"/>
      <c r="Q344" s="2" t="s">
        <v>2446</v>
      </c>
      <c r="R344" s="2" t="s">
        <v>2447</v>
      </c>
      <c r="S344" s="2" t="s">
        <v>79</v>
      </c>
      <c r="T344" s="2" t="s">
        <v>80</v>
      </c>
      <c r="U344" s="2" t="s">
        <v>81</v>
      </c>
      <c r="V344" s="2" t="s">
        <v>59</v>
      </c>
      <c r="W344" s="2">
        <v>39.700000000000003</v>
      </c>
      <c r="X344" s="2">
        <v>4.0599999999999996</v>
      </c>
      <c r="Y344" s="2" t="s">
        <v>408</v>
      </c>
      <c r="Z344" s="2" t="s">
        <v>2448</v>
      </c>
      <c r="AA344" s="2">
        <v>1.76953639327129</v>
      </c>
      <c r="AB344" s="2">
        <v>1.55654617855491</v>
      </c>
      <c r="AC344" s="2">
        <v>1151436.89651846</v>
      </c>
      <c r="AD344" s="2">
        <v>987889.61856779305</v>
      </c>
      <c r="AE344" s="2">
        <v>1165592.4093720701</v>
      </c>
      <c r="AF344" s="2">
        <v>1133879.54057579</v>
      </c>
      <c r="AG344" s="2">
        <v>1156894.4734946699</v>
      </c>
      <c r="AH344" s="2">
        <v>1132194.543904</v>
      </c>
      <c r="AI344" s="2">
        <v>1145484.45874666</v>
      </c>
      <c r="AJ344" s="2">
        <v>1174575.9530175501</v>
      </c>
      <c r="AK344" s="2">
        <v>983153.37197588198</v>
      </c>
      <c r="AL344" s="2">
        <v>986085.89889074303</v>
      </c>
      <c r="AM344" s="2">
        <v>1034180.50718626</v>
      </c>
      <c r="AN344" s="2">
        <v>991672.98899210198</v>
      </c>
      <c r="AO344" s="2">
        <v>964345.31977073103</v>
      </c>
      <c r="AP344" s="2">
        <v>967899.62459103798</v>
      </c>
    </row>
    <row r="345" spans="1:42" ht="14.5" x14ac:dyDescent="0.35">
      <c r="A345" s="2" t="s">
        <v>2449</v>
      </c>
      <c r="B345" s="2">
        <v>347.22132794780299</v>
      </c>
      <c r="C345" s="2">
        <v>5.65513333333333</v>
      </c>
      <c r="D345" s="2" t="s">
        <v>34</v>
      </c>
      <c r="E345" s="2" t="s">
        <v>2450</v>
      </c>
      <c r="F345" s="2">
        <v>45063</v>
      </c>
      <c r="G345" s="3" t="str">
        <f>HYPERLINK("http://funmeta.oebiotech.com/network/45063", "http://funmeta.oebiotech.com/network/45063")</f>
        <v>http://funmeta.oebiotech.com/network/45063</v>
      </c>
      <c r="H345" s="2" t="s">
        <v>2451</v>
      </c>
      <c r="I345" s="2">
        <v>7004</v>
      </c>
      <c r="J345" s="2" t="s">
        <v>2452</v>
      </c>
      <c r="K345" s="2">
        <v>28697</v>
      </c>
      <c r="L345" s="2" t="s">
        <v>2453</v>
      </c>
      <c r="M345" s="2" t="s">
        <v>2454</v>
      </c>
      <c r="N345" s="2" t="s">
        <v>2455</v>
      </c>
      <c r="O345" s="2">
        <v>92827</v>
      </c>
      <c r="P345" s="2" t="s">
        <v>2456</v>
      </c>
      <c r="Q345" s="2" t="s">
        <v>2457</v>
      </c>
      <c r="R345" s="2" t="s">
        <v>2458</v>
      </c>
      <c r="S345" s="2" t="s">
        <v>50</v>
      </c>
      <c r="T345" s="2" t="s">
        <v>124</v>
      </c>
      <c r="U345" s="2" t="s">
        <v>929</v>
      </c>
      <c r="V345" s="2" t="s">
        <v>42</v>
      </c>
      <c r="W345" s="2">
        <v>53.7</v>
      </c>
      <c r="X345" s="2">
        <v>73.7</v>
      </c>
      <c r="Y345" s="2" t="s">
        <v>266</v>
      </c>
      <c r="Z345" s="2" t="s">
        <v>2459</v>
      </c>
      <c r="AA345" s="2">
        <v>-1.0338233400094701</v>
      </c>
      <c r="AB345" s="2">
        <v>1.5484652076621599</v>
      </c>
      <c r="AC345" s="2">
        <v>306970.07525805198</v>
      </c>
      <c r="AD345" s="2">
        <v>148955.010271226</v>
      </c>
      <c r="AE345" s="2">
        <v>298803.470653989</v>
      </c>
      <c r="AF345" s="2">
        <v>305820.40111557901</v>
      </c>
      <c r="AG345" s="2">
        <v>318496.07722146099</v>
      </c>
      <c r="AH345" s="2">
        <v>321346.19364151702</v>
      </c>
      <c r="AI345" s="2">
        <v>302750.075139275</v>
      </c>
      <c r="AJ345" s="2">
        <v>294604.23377648799</v>
      </c>
      <c r="AK345" s="2">
        <v>143448.17455628401</v>
      </c>
      <c r="AL345" s="2">
        <v>149587.606077084</v>
      </c>
      <c r="AM345" s="2">
        <v>150671.938969729</v>
      </c>
      <c r="AN345" s="2">
        <v>150238.29171030299</v>
      </c>
      <c r="AO345" s="2">
        <v>143077.03105974101</v>
      </c>
      <c r="AP345" s="2">
        <v>156707.01925421401</v>
      </c>
    </row>
    <row r="346" spans="1:42" ht="14.5" x14ac:dyDescent="0.35">
      <c r="A346" s="2" t="s">
        <v>2460</v>
      </c>
      <c r="B346" s="2">
        <v>540.29604671886602</v>
      </c>
      <c r="C346" s="2">
        <v>5.3873333333333298</v>
      </c>
      <c r="D346" s="2" t="s">
        <v>34</v>
      </c>
      <c r="E346" s="2" t="s">
        <v>2461</v>
      </c>
      <c r="F346" s="2">
        <v>34656</v>
      </c>
      <c r="G346" s="3" t="str">
        <f>HYPERLINK("http://funmeta.oebiotech.com/network/34656", "http://funmeta.oebiotech.com/network/34656")</f>
        <v>http://funmeta.oebiotech.com/network/34656</v>
      </c>
      <c r="H346" s="2"/>
      <c r="I346" s="2">
        <v>52965</v>
      </c>
      <c r="J346" s="2" t="s">
        <v>2462</v>
      </c>
      <c r="K346" s="2"/>
      <c r="L346" s="2"/>
      <c r="M346" s="2"/>
      <c r="N346" s="2"/>
      <c r="O346" s="2">
        <v>10392009</v>
      </c>
      <c r="P346" s="2"/>
      <c r="Q346" s="2" t="s">
        <v>2463</v>
      </c>
      <c r="R346" s="2" t="s">
        <v>2464</v>
      </c>
      <c r="S346" s="2" t="s">
        <v>115</v>
      </c>
      <c r="T346" s="2" t="s">
        <v>139</v>
      </c>
      <c r="U346" s="2" t="s">
        <v>1437</v>
      </c>
      <c r="V346" s="2" t="s">
        <v>59</v>
      </c>
      <c r="W346" s="2">
        <v>44.4</v>
      </c>
      <c r="X346" s="2">
        <v>34.1</v>
      </c>
      <c r="Y346" s="2" t="s">
        <v>43</v>
      </c>
      <c r="Z346" s="2" t="s">
        <v>2465</v>
      </c>
      <c r="AA346" s="2">
        <v>0.89540021508039902</v>
      </c>
      <c r="AB346" s="2">
        <v>1.5463162218216</v>
      </c>
      <c r="AC346" s="2">
        <v>189024.49461273701</v>
      </c>
      <c r="AD346" s="2">
        <v>347411.35259990901</v>
      </c>
      <c r="AE346" s="2">
        <v>190789.99714000901</v>
      </c>
      <c r="AF346" s="2">
        <v>198715.03802086099</v>
      </c>
      <c r="AG346" s="2">
        <v>188550.41166176801</v>
      </c>
      <c r="AH346" s="2">
        <v>186238.62260066799</v>
      </c>
      <c r="AI346" s="2">
        <v>182593.17466013899</v>
      </c>
      <c r="AJ346" s="2">
        <v>187259.72359297899</v>
      </c>
      <c r="AK346" s="2">
        <v>319382.60311335098</v>
      </c>
      <c r="AL346" s="2">
        <v>341105.14884857001</v>
      </c>
      <c r="AM346" s="2">
        <v>364595.28278346302</v>
      </c>
      <c r="AN346" s="2">
        <v>358307.43524827401</v>
      </c>
      <c r="AO346" s="2">
        <v>357381.80579195003</v>
      </c>
      <c r="AP346" s="2">
        <v>343695.83981384599</v>
      </c>
    </row>
    <row r="347" spans="1:42" ht="14.5" x14ac:dyDescent="0.35">
      <c r="A347" s="2" t="s">
        <v>2466</v>
      </c>
      <c r="B347" s="2">
        <v>449.10855613271701</v>
      </c>
      <c r="C347" s="2">
        <v>4.5951666666666702</v>
      </c>
      <c r="D347" s="2" t="s">
        <v>70</v>
      </c>
      <c r="E347" s="2" t="s">
        <v>2467</v>
      </c>
      <c r="F347" s="2">
        <v>254957</v>
      </c>
      <c r="G347" s="3" t="str">
        <f>HYPERLINK("http://funmeta.oebiotech.com/network/254957", "http://funmeta.oebiotech.com/network/254957")</f>
        <v>http://funmeta.oebiotech.com/network/254957</v>
      </c>
      <c r="H347" s="2" t="s">
        <v>2468</v>
      </c>
      <c r="I347" s="2"/>
      <c r="J347" s="2"/>
      <c r="K347" s="2"/>
      <c r="L347" s="2"/>
      <c r="M347" s="2"/>
      <c r="N347" s="2"/>
      <c r="O347" s="2">
        <v>24868400</v>
      </c>
      <c r="P347" s="2"/>
      <c r="Q347" s="2" t="s">
        <v>2469</v>
      </c>
      <c r="R347" s="2" t="s">
        <v>2470</v>
      </c>
      <c r="S347" s="2" t="s">
        <v>115</v>
      </c>
      <c r="T347" s="2" t="s">
        <v>139</v>
      </c>
      <c r="U347" s="2" t="s">
        <v>140</v>
      </c>
      <c r="V347" s="2" t="s">
        <v>42</v>
      </c>
      <c r="W347" s="2">
        <v>49.4</v>
      </c>
      <c r="X347" s="2">
        <v>51.3</v>
      </c>
      <c r="Y347" s="2" t="s">
        <v>118</v>
      </c>
      <c r="Z347" s="2" t="s">
        <v>2471</v>
      </c>
      <c r="AA347" s="2">
        <v>-0.84190698695667698</v>
      </c>
      <c r="AB347" s="2">
        <v>1.5422874302143801</v>
      </c>
      <c r="AC347" s="2">
        <v>232980.428510753</v>
      </c>
      <c r="AD347" s="2">
        <v>76101.478367744305</v>
      </c>
      <c r="AE347" s="2">
        <v>233892.03705281101</v>
      </c>
      <c r="AF347" s="2">
        <v>226530.11428454399</v>
      </c>
      <c r="AG347" s="2">
        <v>245175.22679723601</v>
      </c>
      <c r="AH347" s="2">
        <v>218299.926482877</v>
      </c>
      <c r="AI347" s="2">
        <v>222834.25205420601</v>
      </c>
      <c r="AJ347" s="2">
        <v>251151.014392846</v>
      </c>
      <c r="AK347" s="2">
        <v>80552.971302142003</v>
      </c>
      <c r="AL347" s="2">
        <v>71949.168363383505</v>
      </c>
      <c r="AM347" s="2">
        <v>79894.384592790098</v>
      </c>
      <c r="AN347" s="2">
        <v>72422.042740095203</v>
      </c>
      <c r="AO347" s="2">
        <v>75349.696021674899</v>
      </c>
      <c r="AP347" s="2">
        <v>76440.607186379901</v>
      </c>
    </row>
    <row r="348" spans="1:42" ht="14.5" x14ac:dyDescent="0.35">
      <c r="A348" s="2" t="s">
        <v>2472</v>
      </c>
      <c r="B348" s="2">
        <v>646.35656477174803</v>
      </c>
      <c r="C348" s="2">
        <v>5.6720833333333296</v>
      </c>
      <c r="D348" s="2" t="s">
        <v>34</v>
      </c>
      <c r="E348" s="2" t="s">
        <v>2473</v>
      </c>
      <c r="F348" s="2">
        <v>203592</v>
      </c>
      <c r="G348" s="3" t="str">
        <f>HYPERLINK("http://funmeta.oebiotech.com/network/203592", "http://funmeta.oebiotech.com/network/203592")</f>
        <v>http://funmeta.oebiotech.com/network/203592</v>
      </c>
      <c r="H348" s="2" t="s">
        <v>2474</v>
      </c>
      <c r="I348" s="2"/>
      <c r="J348" s="2"/>
      <c r="K348" s="2"/>
      <c r="L348" s="2"/>
      <c r="M348" s="2"/>
      <c r="N348" s="2"/>
      <c r="O348" s="2">
        <v>21922507</v>
      </c>
      <c r="P348" s="2"/>
      <c r="Q348" s="2" t="s">
        <v>2475</v>
      </c>
      <c r="R348" s="2" t="s">
        <v>2476</v>
      </c>
      <c r="S348" s="2" t="s">
        <v>89</v>
      </c>
      <c r="T348" s="2" t="s">
        <v>90</v>
      </c>
      <c r="U348" s="2" t="s">
        <v>99</v>
      </c>
      <c r="V348" s="2" t="s">
        <v>59</v>
      </c>
      <c r="W348" s="2">
        <v>47.4</v>
      </c>
      <c r="X348" s="2">
        <v>42.4</v>
      </c>
      <c r="Y348" s="2" t="s">
        <v>323</v>
      </c>
      <c r="Z348" s="2" t="s">
        <v>2477</v>
      </c>
      <c r="AA348" s="2">
        <v>-1.5082914313229701</v>
      </c>
      <c r="AB348" s="2">
        <v>1.5404209328488201</v>
      </c>
      <c r="AC348" s="2">
        <v>171839.38579014799</v>
      </c>
      <c r="AD348" s="2">
        <v>330669.73543183302</v>
      </c>
      <c r="AE348" s="2">
        <v>178438.72063736999</v>
      </c>
      <c r="AF348" s="2">
        <v>144571.611680275</v>
      </c>
      <c r="AG348" s="2">
        <v>144048.54179848501</v>
      </c>
      <c r="AH348" s="2">
        <v>180617.48180837999</v>
      </c>
      <c r="AI348" s="2">
        <v>186542.66828031201</v>
      </c>
      <c r="AJ348" s="2">
        <v>196817.29053606701</v>
      </c>
      <c r="AK348" s="2">
        <v>316216.917233994</v>
      </c>
      <c r="AL348" s="2">
        <v>320571.61394493998</v>
      </c>
      <c r="AM348" s="2">
        <v>340414.9264849</v>
      </c>
      <c r="AN348" s="2">
        <v>339528.81194984698</v>
      </c>
      <c r="AO348" s="2">
        <v>317024.40831047698</v>
      </c>
      <c r="AP348" s="2">
        <v>350261.73466684303</v>
      </c>
    </row>
    <row r="349" spans="1:42" ht="14.5" x14ac:dyDescent="0.35">
      <c r="A349" s="2" t="s">
        <v>2478</v>
      </c>
      <c r="B349" s="2">
        <v>724.33351076646602</v>
      </c>
      <c r="C349" s="2">
        <v>6.0108166666666696</v>
      </c>
      <c r="D349" s="2" t="s">
        <v>70</v>
      </c>
      <c r="E349" s="2" t="s">
        <v>2479</v>
      </c>
      <c r="F349" s="2">
        <v>27962</v>
      </c>
      <c r="G349" s="3" t="str">
        <f>HYPERLINK("http://funmeta.oebiotech.com/network/27962", "http://funmeta.oebiotech.com/network/27962")</f>
        <v>http://funmeta.oebiotech.com/network/27962</v>
      </c>
      <c r="H349" s="2"/>
      <c r="I349" s="2"/>
      <c r="J349" s="2" t="s">
        <v>2480</v>
      </c>
      <c r="K349" s="2"/>
      <c r="L349" s="2"/>
      <c r="M349" s="2"/>
      <c r="N349" s="2"/>
      <c r="O349" s="2">
        <v>134812409</v>
      </c>
      <c r="P349" s="2"/>
      <c r="Q349" s="2" t="s">
        <v>2481</v>
      </c>
      <c r="R349" s="2" t="s">
        <v>2482</v>
      </c>
      <c r="S349" s="2" t="s">
        <v>50</v>
      </c>
      <c r="T349" s="2" t="s">
        <v>51</v>
      </c>
      <c r="U349" s="2" t="s">
        <v>66</v>
      </c>
      <c r="V349" s="2" t="s">
        <v>42</v>
      </c>
      <c r="W349" s="2">
        <v>49.2</v>
      </c>
      <c r="X349" s="2">
        <v>56.3</v>
      </c>
      <c r="Y349" s="2" t="s">
        <v>408</v>
      </c>
      <c r="Z349" s="2" t="s">
        <v>2483</v>
      </c>
      <c r="AA349" s="2">
        <v>2.9889241022962998</v>
      </c>
      <c r="AB349" s="2">
        <v>1.53686784211879</v>
      </c>
      <c r="AC349" s="2">
        <v>228533.81363685499</v>
      </c>
      <c r="AD349" s="2">
        <v>72897.380955535598</v>
      </c>
      <c r="AE349" s="2">
        <v>236006.77118628399</v>
      </c>
      <c r="AF349" s="2">
        <v>227731.90637317</v>
      </c>
      <c r="AG349" s="2">
        <v>221288.91428655601</v>
      </c>
      <c r="AH349" s="2">
        <v>238748.81999742199</v>
      </c>
      <c r="AI349" s="2">
        <v>221353.286971597</v>
      </c>
      <c r="AJ349" s="2">
        <v>226073.18300609899</v>
      </c>
      <c r="AK349" s="2">
        <v>71761.3842303032</v>
      </c>
      <c r="AL349" s="2">
        <v>65521.817294933302</v>
      </c>
      <c r="AM349" s="2">
        <v>88437.970073044096</v>
      </c>
      <c r="AN349" s="2">
        <v>65521.888508279997</v>
      </c>
      <c r="AO349" s="2">
        <v>69580.221581897204</v>
      </c>
      <c r="AP349" s="2">
        <v>76561.004044756002</v>
      </c>
    </row>
    <row r="350" spans="1:42" ht="14.5" x14ac:dyDescent="0.35">
      <c r="A350" s="2" t="s">
        <v>2484</v>
      </c>
      <c r="B350" s="2">
        <v>479.33617671636199</v>
      </c>
      <c r="C350" s="2">
        <v>6.9429166666666697</v>
      </c>
      <c r="D350" s="2" t="s">
        <v>34</v>
      </c>
      <c r="E350" s="2" t="s">
        <v>2485</v>
      </c>
      <c r="F350" s="2">
        <v>61872</v>
      </c>
      <c r="G350" s="3" t="str">
        <f>HYPERLINK("http://funmeta.oebiotech.com/network/61872", "http://funmeta.oebiotech.com/network/61872")</f>
        <v>http://funmeta.oebiotech.com/network/61872</v>
      </c>
      <c r="H350" s="2" t="s">
        <v>2486</v>
      </c>
      <c r="I350" s="2"/>
      <c r="J350" s="2"/>
      <c r="K350" s="2"/>
      <c r="L350" s="2"/>
      <c r="M350" s="2"/>
      <c r="N350" s="2"/>
      <c r="O350" s="2">
        <v>85041613</v>
      </c>
      <c r="P350" s="2" t="s">
        <v>2487</v>
      </c>
      <c r="Q350" s="2" t="s">
        <v>2488</v>
      </c>
      <c r="R350" s="2" t="s">
        <v>2489</v>
      </c>
      <c r="S350" s="2" t="s">
        <v>50</v>
      </c>
      <c r="T350" s="2" t="s">
        <v>124</v>
      </c>
      <c r="U350" s="2" t="s">
        <v>125</v>
      </c>
      <c r="V350" s="2" t="s">
        <v>42</v>
      </c>
      <c r="W350" s="2">
        <v>49.3</v>
      </c>
      <c r="X350" s="2">
        <v>51.8</v>
      </c>
      <c r="Y350" s="2" t="s">
        <v>394</v>
      </c>
      <c r="Z350" s="2" t="s">
        <v>2490</v>
      </c>
      <c r="AA350" s="2">
        <v>-1.1266465610604399</v>
      </c>
      <c r="AB350" s="2">
        <v>1.53418920100275</v>
      </c>
      <c r="AC350" s="2">
        <v>378604.67572565097</v>
      </c>
      <c r="AD350" s="2">
        <v>538884.41790856305</v>
      </c>
      <c r="AE350" s="2">
        <v>357306.64889495203</v>
      </c>
      <c r="AF350" s="2">
        <v>377677.330692538</v>
      </c>
      <c r="AG350" s="2">
        <v>414185.11541942402</v>
      </c>
      <c r="AH350" s="2">
        <v>371264.44724609802</v>
      </c>
      <c r="AI350" s="2">
        <v>374619.72243856598</v>
      </c>
      <c r="AJ350" s="2">
        <v>376574.78966232698</v>
      </c>
      <c r="AK350" s="2">
        <v>502992.02049759601</v>
      </c>
      <c r="AL350" s="2">
        <v>566276.331106456</v>
      </c>
      <c r="AM350" s="2">
        <v>539809.76780747995</v>
      </c>
      <c r="AN350" s="2">
        <v>563489.54921771598</v>
      </c>
      <c r="AO350" s="2">
        <v>556095.46068806597</v>
      </c>
      <c r="AP350" s="2">
        <v>504643.37813406199</v>
      </c>
    </row>
    <row r="351" spans="1:42" ht="14.5" x14ac:dyDescent="0.35">
      <c r="A351" s="2" t="s">
        <v>2491</v>
      </c>
      <c r="B351" s="2">
        <v>557.27359624123903</v>
      </c>
      <c r="C351" s="2">
        <v>7.7365000000000004</v>
      </c>
      <c r="D351" s="2" t="s">
        <v>34</v>
      </c>
      <c r="E351" s="2" t="s">
        <v>2492</v>
      </c>
      <c r="F351" s="2">
        <v>44693</v>
      </c>
      <c r="G351" s="3" t="str">
        <f>HYPERLINK("http://funmeta.oebiotech.com/network/44693", "http://funmeta.oebiotech.com/network/44693")</f>
        <v>http://funmeta.oebiotech.com/network/44693</v>
      </c>
      <c r="H351" s="2"/>
      <c r="I351" s="2">
        <v>67224</v>
      </c>
      <c r="J351" s="2" t="s">
        <v>2493</v>
      </c>
      <c r="K351" s="2">
        <v>2867</v>
      </c>
      <c r="L351" s="2" t="s">
        <v>2494</v>
      </c>
      <c r="M351" s="2"/>
      <c r="N351" s="2"/>
      <c r="O351" s="2">
        <v>441844</v>
      </c>
      <c r="P351" s="2" t="s">
        <v>2495</v>
      </c>
      <c r="Q351" s="2" t="s">
        <v>2496</v>
      </c>
      <c r="R351" s="2" t="s">
        <v>2497</v>
      </c>
      <c r="S351" s="2" t="s">
        <v>50</v>
      </c>
      <c r="T351" s="2" t="s">
        <v>124</v>
      </c>
      <c r="U351" s="2" t="s">
        <v>567</v>
      </c>
      <c r="V351" s="2" t="s">
        <v>42</v>
      </c>
      <c r="W351" s="2">
        <v>48.9</v>
      </c>
      <c r="X351" s="2">
        <v>57.6</v>
      </c>
      <c r="Y351" s="2" t="s">
        <v>2498</v>
      </c>
      <c r="Z351" s="2" t="s">
        <v>2499</v>
      </c>
      <c r="AA351" s="2">
        <v>-1.5899122433231401</v>
      </c>
      <c r="AB351" s="2">
        <v>1.5323790593130699</v>
      </c>
      <c r="AC351" s="2">
        <v>188784.731966591</v>
      </c>
      <c r="AD351" s="2">
        <v>30354.574744043399</v>
      </c>
      <c r="AE351" s="2">
        <v>153092.56149765101</v>
      </c>
      <c r="AF351" s="2">
        <v>169438.470297341</v>
      </c>
      <c r="AG351" s="2">
        <v>206569.55407433899</v>
      </c>
      <c r="AH351" s="2">
        <v>229864.89596363399</v>
      </c>
      <c r="AI351" s="2">
        <v>171481.31255711301</v>
      </c>
      <c r="AJ351" s="2">
        <v>202261.59740946701</v>
      </c>
      <c r="AK351" s="2">
        <v>26490.251350034199</v>
      </c>
      <c r="AL351" s="2">
        <v>34760.156954944803</v>
      </c>
      <c r="AM351" s="2">
        <v>25008.466611907999</v>
      </c>
      <c r="AN351" s="2">
        <v>20668.230819848799</v>
      </c>
      <c r="AO351" s="2">
        <v>43635.305472962304</v>
      </c>
      <c r="AP351" s="2">
        <v>31565.037254562299</v>
      </c>
    </row>
    <row r="352" spans="1:42" ht="14.5" x14ac:dyDescent="0.35">
      <c r="A352" s="2" t="s">
        <v>2500</v>
      </c>
      <c r="B352" s="2">
        <v>285.09436897966998</v>
      </c>
      <c r="C352" s="2">
        <v>3.8966500000000002</v>
      </c>
      <c r="D352" s="2" t="s">
        <v>34</v>
      </c>
      <c r="E352" s="2" t="s">
        <v>2501</v>
      </c>
      <c r="F352" s="2">
        <v>201957</v>
      </c>
      <c r="G352" s="3" t="str">
        <f>HYPERLINK("http://funmeta.oebiotech.com/network/201957", "http://funmeta.oebiotech.com/network/201957")</f>
        <v>http://funmeta.oebiotech.com/network/201957</v>
      </c>
      <c r="H352" s="2" t="s">
        <v>2502</v>
      </c>
      <c r="I352" s="2"/>
      <c r="J352" s="2"/>
      <c r="K352" s="2"/>
      <c r="L352" s="2"/>
      <c r="M352" s="2"/>
      <c r="N352" s="2"/>
      <c r="O352" s="2">
        <v>129317836</v>
      </c>
      <c r="P352" s="2"/>
      <c r="Q352" s="2" t="s">
        <v>2503</v>
      </c>
      <c r="R352" s="2" t="s">
        <v>2504</v>
      </c>
      <c r="S352" s="2" t="s">
        <v>41</v>
      </c>
      <c r="T352" s="2" t="s">
        <v>41</v>
      </c>
      <c r="U352" s="2" t="s">
        <v>41</v>
      </c>
      <c r="V352" s="2" t="s">
        <v>59</v>
      </c>
      <c r="W352" s="2">
        <v>44</v>
      </c>
      <c r="X352" s="2">
        <v>22.4</v>
      </c>
      <c r="Y352" s="2" t="s">
        <v>394</v>
      </c>
      <c r="Z352" s="2" t="s">
        <v>2505</v>
      </c>
      <c r="AA352" s="2">
        <v>0.61613618680054805</v>
      </c>
      <c r="AB352" s="2">
        <v>1.5298315880239399</v>
      </c>
      <c r="AC352" s="2">
        <v>160454.826766363</v>
      </c>
      <c r="AD352" s="2">
        <v>314782.52466863598</v>
      </c>
      <c r="AE352" s="2">
        <v>161281.97459136101</v>
      </c>
      <c r="AF352" s="2">
        <v>165668.74059657799</v>
      </c>
      <c r="AG352" s="2">
        <v>166403.70357838101</v>
      </c>
      <c r="AH352" s="2">
        <v>142864.896619095</v>
      </c>
      <c r="AI352" s="2">
        <v>159067.57394773699</v>
      </c>
      <c r="AJ352" s="2">
        <v>167442.071265023</v>
      </c>
      <c r="AK352" s="2">
        <v>327113.172080182</v>
      </c>
      <c r="AL352" s="2">
        <v>308268.41456473101</v>
      </c>
      <c r="AM352" s="2">
        <v>316381.32297099801</v>
      </c>
      <c r="AN352" s="2">
        <v>312409.334284237</v>
      </c>
      <c r="AO352" s="2">
        <v>314209.45267023199</v>
      </c>
      <c r="AP352" s="2">
        <v>310313.451441438</v>
      </c>
    </row>
    <row r="353" spans="1:42" ht="14.5" x14ac:dyDescent="0.35">
      <c r="A353" s="2" t="s">
        <v>2506</v>
      </c>
      <c r="B353" s="2">
        <v>672.251237633502</v>
      </c>
      <c r="C353" s="2">
        <v>7.1213833333333296</v>
      </c>
      <c r="D353" s="2" t="s">
        <v>70</v>
      </c>
      <c r="E353" s="2" t="s">
        <v>2507</v>
      </c>
      <c r="F353" s="2">
        <v>48838</v>
      </c>
      <c r="G353" s="3" t="str">
        <f>HYPERLINK("http://funmeta.oebiotech.com/network/48838", "http://funmeta.oebiotech.com/network/48838")</f>
        <v>http://funmeta.oebiotech.com/network/48838</v>
      </c>
      <c r="H353" s="2" t="s">
        <v>2508</v>
      </c>
      <c r="I353" s="2">
        <v>58520</v>
      </c>
      <c r="J353" s="2"/>
      <c r="K353" s="2"/>
      <c r="L353" s="2"/>
      <c r="M353" s="2"/>
      <c r="N353" s="2"/>
      <c r="O353" s="2">
        <v>123774</v>
      </c>
      <c r="P353" s="2" t="s">
        <v>2509</v>
      </c>
      <c r="Q353" s="2" t="s">
        <v>2510</v>
      </c>
      <c r="R353" s="2" t="s">
        <v>2511</v>
      </c>
      <c r="S353" s="2" t="s">
        <v>79</v>
      </c>
      <c r="T353" s="2" t="s">
        <v>80</v>
      </c>
      <c r="U353" s="2" t="s">
        <v>81</v>
      </c>
      <c r="V353" s="2" t="s">
        <v>59</v>
      </c>
      <c r="W353" s="2">
        <v>37.5</v>
      </c>
      <c r="X353" s="2">
        <v>0</v>
      </c>
      <c r="Y353" s="2" t="s">
        <v>408</v>
      </c>
      <c r="Z353" s="2" t="s">
        <v>2512</v>
      </c>
      <c r="AA353" s="2">
        <v>6.9390680209870998</v>
      </c>
      <c r="AB353" s="2">
        <v>1.52885693164699</v>
      </c>
      <c r="AC353" s="2">
        <v>226743.54181870699</v>
      </c>
      <c r="AD353" s="2">
        <v>72357.173013069696</v>
      </c>
      <c r="AE353" s="2">
        <v>230644.48924004301</v>
      </c>
      <c r="AF353" s="2">
        <v>223959.02174636399</v>
      </c>
      <c r="AG353" s="2">
        <v>224819.36225024899</v>
      </c>
      <c r="AH353" s="2">
        <v>244333.32103643901</v>
      </c>
      <c r="AI353" s="2">
        <v>231132.702908696</v>
      </c>
      <c r="AJ353" s="2">
        <v>205572.35373045201</v>
      </c>
      <c r="AK353" s="2">
        <v>76956.341011429497</v>
      </c>
      <c r="AL353" s="2">
        <v>72395.724527302096</v>
      </c>
      <c r="AM353" s="2">
        <v>77730.337440317395</v>
      </c>
      <c r="AN353" s="2">
        <v>67041.8979933972</v>
      </c>
      <c r="AO353" s="2">
        <v>67766.445503832903</v>
      </c>
      <c r="AP353" s="2">
        <v>72252.291602139303</v>
      </c>
    </row>
    <row r="354" spans="1:42" ht="14.5" x14ac:dyDescent="0.35">
      <c r="A354" s="2" t="s">
        <v>2513</v>
      </c>
      <c r="B354" s="2">
        <v>561.19411348421602</v>
      </c>
      <c r="C354" s="2">
        <v>4.4128166666666697</v>
      </c>
      <c r="D354" s="2" t="s">
        <v>34</v>
      </c>
      <c r="E354" s="2" t="s">
        <v>2514</v>
      </c>
      <c r="F354" s="2">
        <v>62518</v>
      </c>
      <c r="G354" s="3" t="str">
        <f>HYPERLINK("http://funmeta.oebiotech.com/network/62518", "http://funmeta.oebiotech.com/network/62518")</f>
        <v>http://funmeta.oebiotech.com/network/62518</v>
      </c>
      <c r="H354" s="2" t="s">
        <v>2515</v>
      </c>
      <c r="I354" s="2"/>
      <c r="J354" s="2"/>
      <c r="K354" s="2"/>
      <c r="L354" s="2"/>
      <c r="M354" s="2"/>
      <c r="N354" s="2"/>
      <c r="O354" s="2">
        <v>131752579</v>
      </c>
      <c r="P354" s="2" t="s">
        <v>2516</v>
      </c>
      <c r="Q354" s="2" t="s">
        <v>2517</v>
      </c>
      <c r="R354" s="2" t="s">
        <v>2518</v>
      </c>
      <c r="S354" s="2" t="s">
        <v>1184</v>
      </c>
      <c r="T354" s="2" t="s">
        <v>1185</v>
      </c>
      <c r="U354" s="2" t="s">
        <v>41</v>
      </c>
      <c r="V354" s="2" t="s">
        <v>59</v>
      </c>
      <c r="W354" s="2">
        <v>40.299999999999997</v>
      </c>
      <c r="X354" s="2">
        <v>10.8</v>
      </c>
      <c r="Y354" s="2" t="s">
        <v>470</v>
      </c>
      <c r="Z354" s="2" t="s">
        <v>1342</v>
      </c>
      <c r="AA354" s="2">
        <v>-0.24845714469427799</v>
      </c>
      <c r="AB354" s="2">
        <v>1.52350513066064</v>
      </c>
      <c r="AC354" s="2">
        <v>252013.88909209199</v>
      </c>
      <c r="AD354" s="2">
        <v>407124.68032674602</v>
      </c>
      <c r="AE354" s="2">
        <v>241863.159462148</v>
      </c>
      <c r="AF354" s="2">
        <v>264899.59765723202</v>
      </c>
      <c r="AG354" s="2">
        <v>232774.69050801499</v>
      </c>
      <c r="AH354" s="2">
        <v>246404.91588294099</v>
      </c>
      <c r="AI354" s="2">
        <v>269166.52995731501</v>
      </c>
      <c r="AJ354" s="2">
        <v>256974.4410849</v>
      </c>
      <c r="AK354" s="2">
        <v>439663.65204390901</v>
      </c>
      <c r="AL354" s="2">
        <v>409854.968568718</v>
      </c>
      <c r="AM354" s="2">
        <v>397785.21651704598</v>
      </c>
      <c r="AN354" s="2">
        <v>403047.184136884</v>
      </c>
      <c r="AO354" s="2">
        <v>382118.35089976498</v>
      </c>
      <c r="AP354" s="2">
        <v>410278.70979415701</v>
      </c>
    </row>
    <row r="355" spans="1:42" ht="14.5" x14ac:dyDescent="0.35">
      <c r="A355" s="2" t="s">
        <v>2519</v>
      </c>
      <c r="B355" s="2">
        <v>673.33418701284495</v>
      </c>
      <c r="C355" s="2">
        <v>7.9576166666666701</v>
      </c>
      <c r="D355" s="2" t="s">
        <v>70</v>
      </c>
      <c r="E355" s="2" t="s">
        <v>2520</v>
      </c>
      <c r="F355" s="2">
        <v>200091</v>
      </c>
      <c r="G355" s="3" t="str">
        <f>HYPERLINK("http://funmeta.oebiotech.com/network/200091", "http://funmeta.oebiotech.com/network/200091")</f>
        <v>http://funmeta.oebiotech.com/network/200091</v>
      </c>
      <c r="H355" s="2" t="s">
        <v>2521</v>
      </c>
      <c r="I355" s="2"/>
      <c r="J355" s="2"/>
      <c r="K355" s="2"/>
      <c r="L355" s="2"/>
      <c r="M355" s="2"/>
      <c r="N355" s="2"/>
      <c r="O355" s="2">
        <v>4488484</v>
      </c>
      <c r="P355" s="2"/>
      <c r="Q355" s="2" t="s">
        <v>2522</v>
      </c>
      <c r="R355" s="2" t="s">
        <v>2523</v>
      </c>
      <c r="S355" s="2" t="s">
        <v>41</v>
      </c>
      <c r="T355" s="2" t="s">
        <v>41</v>
      </c>
      <c r="U355" s="2" t="s">
        <v>41</v>
      </c>
      <c r="V355" s="2" t="s">
        <v>59</v>
      </c>
      <c r="W355" s="2">
        <v>40</v>
      </c>
      <c r="X355" s="2">
        <v>5.74</v>
      </c>
      <c r="Y355" s="2" t="s">
        <v>408</v>
      </c>
      <c r="Z355" s="2" t="s">
        <v>2524</v>
      </c>
      <c r="AA355" s="2">
        <v>-2.1236918383546302</v>
      </c>
      <c r="AB355" s="2">
        <v>1.5189074348999601</v>
      </c>
      <c r="AC355" s="2">
        <v>133811.75161553</v>
      </c>
      <c r="AD355" s="2">
        <v>286698.39780712401</v>
      </c>
      <c r="AE355" s="2">
        <v>120911.947744098</v>
      </c>
      <c r="AF355" s="2">
        <v>131596.497804413</v>
      </c>
      <c r="AG355" s="2">
        <v>138208.20432477401</v>
      </c>
      <c r="AH355" s="2">
        <v>127919.684890276</v>
      </c>
      <c r="AI355" s="2">
        <v>156610.456256615</v>
      </c>
      <c r="AJ355" s="2">
        <v>127623.718673004</v>
      </c>
      <c r="AK355" s="2">
        <v>268672.96616441</v>
      </c>
      <c r="AL355" s="2">
        <v>290066.91571041098</v>
      </c>
      <c r="AM355" s="2">
        <v>287860.85615785897</v>
      </c>
      <c r="AN355" s="2">
        <v>310294.802392782</v>
      </c>
      <c r="AO355" s="2">
        <v>276525.68464500899</v>
      </c>
      <c r="AP355" s="2">
        <v>286769.16177227302</v>
      </c>
    </row>
    <row r="356" spans="1:42" ht="14.5" x14ac:dyDescent="0.35">
      <c r="A356" s="2" t="s">
        <v>2525</v>
      </c>
      <c r="B356" s="2">
        <v>653.279063425206</v>
      </c>
      <c r="C356" s="2">
        <v>4.9463833333333298</v>
      </c>
      <c r="D356" s="2" t="s">
        <v>34</v>
      </c>
      <c r="E356" s="2" t="s">
        <v>2526</v>
      </c>
      <c r="F356" s="2">
        <v>47917</v>
      </c>
      <c r="G356" s="3" t="str">
        <f>HYPERLINK("http://funmeta.oebiotech.com/network/47917", "http://funmeta.oebiotech.com/network/47917")</f>
        <v>http://funmeta.oebiotech.com/network/47917</v>
      </c>
      <c r="H356" s="2" t="s">
        <v>2527</v>
      </c>
      <c r="I356" s="2"/>
      <c r="J356" s="2"/>
      <c r="K356" s="2"/>
      <c r="L356" s="2"/>
      <c r="M356" s="2"/>
      <c r="N356" s="2"/>
      <c r="O356" s="2">
        <v>22833595</v>
      </c>
      <c r="P356" s="2" t="s">
        <v>2528</v>
      </c>
      <c r="Q356" s="2" t="s">
        <v>2529</v>
      </c>
      <c r="R356" s="2" t="s">
        <v>2530</v>
      </c>
      <c r="S356" s="2" t="s">
        <v>50</v>
      </c>
      <c r="T356" s="2" t="s">
        <v>201</v>
      </c>
      <c r="U356" s="2" t="s">
        <v>241</v>
      </c>
      <c r="V356" s="2" t="s">
        <v>42</v>
      </c>
      <c r="W356" s="2">
        <v>50.7</v>
      </c>
      <c r="X356" s="2">
        <v>61.2</v>
      </c>
      <c r="Y356" s="2" t="s">
        <v>394</v>
      </c>
      <c r="Z356" s="2" t="s">
        <v>2531</v>
      </c>
      <c r="AA356" s="2">
        <v>-2.0222997107316201</v>
      </c>
      <c r="AB356" s="2">
        <v>1.5169398408853301</v>
      </c>
      <c r="AC356" s="2">
        <v>948891.24837035197</v>
      </c>
      <c r="AD356" s="2">
        <v>790631.0666282</v>
      </c>
      <c r="AE356" s="2">
        <v>963113.36001608695</v>
      </c>
      <c r="AF356" s="2">
        <v>916539.05792699801</v>
      </c>
      <c r="AG356" s="2">
        <v>945556.70512687101</v>
      </c>
      <c r="AH356" s="2">
        <v>927638.63738672796</v>
      </c>
      <c r="AI356" s="2">
        <v>932672.433741758</v>
      </c>
      <c r="AJ356" s="2">
        <v>1007827.29602367</v>
      </c>
      <c r="AK356" s="2">
        <v>765820.28917384602</v>
      </c>
      <c r="AL356" s="2">
        <v>780600.10054503405</v>
      </c>
      <c r="AM356" s="2">
        <v>820993.62693104905</v>
      </c>
      <c r="AN356" s="2">
        <v>803978.30114982196</v>
      </c>
      <c r="AO356" s="2">
        <v>785242.942543071</v>
      </c>
      <c r="AP356" s="2">
        <v>787151.13942638005</v>
      </c>
    </row>
    <row r="357" spans="1:42" ht="14.5" x14ac:dyDescent="0.35">
      <c r="A357" s="2" t="s">
        <v>2532</v>
      </c>
      <c r="B357" s="2">
        <v>851.32574890586704</v>
      </c>
      <c r="C357" s="2">
        <v>8.7125000000000004</v>
      </c>
      <c r="D357" s="2" t="s">
        <v>70</v>
      </c>
      <c r="E357" s="2" t="s">
        <v>2533</v>
      </c>
      <c r="F357" s="2">
        <v>55379</v>
      </c>
      <c r="G357" s="3" t="str">
        <f>HYPERLINK("http://funmeta.oebiotech.com/network/55379", "http://funmeta.oebiotech.com/network/55379")</f>
        <v>http://funmeta.oebiotech.com/network/55379</v>
      </c>
      <c r="H357" s="2" t="s">
        <v>2534</v>
      </c>
      <c r="I357" s="2">
        <v>87082</v>
      </c>
      <c r="J357" s="2"/>
      <c r="K357" s="2"/>
      <c r="L357" s="2"/>
      <c r="M357" s="2"/>
      <c r="N357" s="2"/>
      <c r="O357" s="2">
        <v>76801427</v>
      </c>
      <c r="P357" s="2" t="s">
        <v>2535</v>
      </c>
      <c r="Q357" s="2" t="s">
        <v>2536</v>
      </c>
      <c r="R357" s="2" t="s">
        <v>2537</v>
      </c>
      <c r="S357" s="2" t="s">
        <v>115</v>
      </c>
      <c r="T357" s="2" t="s">
        <v>758</v>
      </c>
      <c r="U357" s="2" t="s">
        <v>1477</v>
      </c>
      <c r="V357" s="2" t="s">
        <v>42</v>
      </c>
      <c r="W357" s="2">
        <v>44.5</v>
      </c>
      <c r="X357" s="2">
        <v>46.3</v>
      </c>
      <c r="Y357" s="2" t="s">
        <v>560</v>
      </c>
      <c r="Z357" s="2" t="s">
        <v>2538</v>
      </c>
      <c r="AA357" s="2">
        <v>-3.14547846929251</v>
      </c>
      <c r="AB357" s="2">
        <v>1.51643060568322</v>
      </c>
      <c r="AC357" s="2">
        <v>572740.57732158899</v>
      </c>
      <c r="AD357" s="2">
        <v>414960.63301558798</v>
      </c>
      <c r="AE357" s="2">
        <v>613176.72967555095</v>
      </c>
      <c r="AF357" s="2">
        <v>555957.13353864697</v>
      </c>
      <c r="AG357" s="2">
        <v>528598.35067440395</v>
      </c>
      <c r="AH357" s="2">
        <v>550016.48862661503</v>
      </c>
      <c r="AI357" s="2">
        <v>585472.29569252301</v>
      </c>
      <c r="AJ357" s="2">
        <v>603222.46572179196</v>
      </c>
      <c r="AK357" s="2">
        <v>423123.22161844798</v>
      </c>
      <c r="AL357" s="2">
        <v>410655.07781403599</v>
      </c>
      <c r="AM357" s="2">
        <v>430978.34206040698</v>
      </c>
      <c r="AN357" s="2">
        <v>413673.911266151</v>
      </c>
      <c r="AO357" s="2">
        <v>386747.83755825</v>
      </c>
      <c r="AP357" s="2">
        <v>424585.40777623397</v>
      </c>
    </row>
    <row r="358" spans="1:42" ht="14.5" x14ac:dyDescent="0.35">
      <c r="A358" s="2" t="s">
        <v>2539</v>
      </c>
      <c r="B358" s="2">
        <v>794.57652489769998</v>
      </c>
      <c r="C358" s="2">
        <v>15.1648833333333</v>
      </c>
      <c r="D358" s="2" t="s">
        <v>34</v>
      </c>
      <c r="E358" s="2" t="s">
        <v>2540</v>
      </c>
      <c r="F358" s="2">
        <v>18056</v>
      </c>
      <c r="G358" s="3" t="str">
        <f>HYPERLINK("http://funmeta.oebiotech.com/network/18056", "http://funmeta.oebiotech.com/network/18056")</f>
        <v>http://funmeta.oebiotech.com/network/18056</v>
      </c>
      <c r="H358" s="2"/>
      <c r="I358" s="2"/>
      <c r="J358" s="2" t="s">
        <v>2541</v>
      </c>
      <c r="K358" s="2"/>
      <c r="L358" s="2"/>
      <c r="M358" s="2"/>
      <c r="N358" s="2"/>
      <c r="O358" s="2">
        <v>52922102</v>
      </c>
      <c r="P358" s="2"/>
      <c r="Q358" s="2" t="s">
        <v>2542</v>
      </c>
      <c r="R358" s="2" t="s">
        <v>2543</v>
      </c>
      <c r="S358" s="2" t="s">
        <v>50</v>
      </c>
      <c r="T358" s="2" t="s">
        <v>448</v>
      </c>
      <c r="U358" s="2" t="s">
        <v>449</v>
      </c>
      <c r="V358" s="2" t="s">
        <v>59</v>
      </c>
      <c r="W358" s="2">
        <v>42.7</v>
      </c>
      <c r="X358" s="2">
        <v>19.399999999999999</v>
      </c>
      <c r="Y358" s="2" t="s">
        <v>470</v>
      </c>
      <c r="Z358" s="2" t="s">
        <v>2544</v>
      </c>
      <c r="AA358" s="2">
        <v>-1.4799746617796501</v>
      </c>
      <c r="AB358" s="2">
        <v>1.5158915781012501</v>
      </c>
      <c r="AC358" s="2">
        <v>60558.522605378901</v>
      </c>
      <c r="AD358" s="2">
        <v>212329.98345297101</v>
      </c>
      <c r="AE358" s="2">
        <v>56616.147637969101</v>
      </c>
      <c r="AF358" s="2">
        <v>54313.7748201617</v>
      </c>
      <c r="AG358" s="2">
        <v>58566.015999242001</v>
      </c>
      <c r="AH358" s="2">
        <v>59811.8968891599</v>
      </c>
      <c r="AI358" s="2">
        <v>67395.918404897602</v>
      </c>
      <c r="AJ358" s="2">
        <v>66647.381880843299</v>
      </c>
      <c r="AK358" s="2">
        <v>230356.65454943301</v>
      </c>
      <c r="AL358" s="2">
        <v>197165.56000183601</v>
      </c>
      <c r="AM358" s="2">
        <v>206923.993169108</v>
      </c>
      <c r="AN358" s="2">
        <v>218835.64327268899</v>
      </c>
      <c r="AO358" s="2">
        <v>222921.69044057699</v>
      </c>
      <c r="AP358" s="2">
        <v>197776.35928418001</v>
      </c>
    </row>
    <row r="359" spans="1:42" ht="14.5" x14ac:dyDescent="0.35">
      <c r="A359" s="2" t="s">
        <v>2545</v>
      </c>
      <c r="B359" s="2">
        <v>641.40423279732397</v>
      </c>
      <c r="C359" s="2">
        <v>11.762983333333301</v>
      </c>
      <c r="D359" s="2" t="s">
        <v>34</v>
      </c>
      <c r="E359" s="2" t="s">
        <v>2546</v>
      </c>
      <c r="F359" s="2">
        <v>58412</v>
      </c>
      <c r="G359" s="3" t="str">
        <f>HYPERLINK("http://funmeta.oebiotech.com/network/58412", "http://funmeta.oebiotech.com/network/58412")</f>
        <v>http://funmeta.oebiotech.com/network/58412</v>
      </c>
      <c r="H359" s="2" t="s">
        <v>2547</v>
      </c>
      <c r="I359" s="2">
        <v>89885</v>
      </c>
      <c r="J359" s="2"/>
      <c r="K359" s="2">
        <v>176242</v>
      </c>
      <c r="L359" s="2"/>
      <c r="M359" s="2"/>
      <c r="N359" s="2"/>
      <c r="O359" s="2">
        <v>73211588</v>
      </c>
      <c r="P359" s="2" t="s">
        <v>2548</v>
      </c>
      <c r="Q359" s="2" t="s">
        <v>2549</v>
      </c>
      <c r="R359" s="2" t="s">
        <v>2550</v>
      </c>
      <c r="S359" s="2" t="s">
        <v>50</v>
      </c>
      <c r="T359" s="2" t="s">
        <v>201</v>
      </c>
      <c r="U359" s="2" t="s">
        <v>210</v>
      </c>
      <c r="V359" s="2" t="s">
        <v>59</v>
      </c>
      <c r="W359" s="2">
        <v>36.700000000000003</v>
      </c>
      <c r="X359" s="2">
        <v>0</v>
      </c>
      <c r="Y359" s="2" t="s">
        <v>470</v>
      </c>
      <c r="Z359" s="2" t="s">
        <v>2551</v>
      </c>
      <c r="AA359" s="2">
        <v>2.9806945864127701</v>
      </c>
      <c r="AB359" s="2">
        <v>1.5154267575481399</v>
      </c>
      <c r="AC359" s="2">
        <v>3799.5133917839598</v>
      </c>
      <c r="AD359" s="2">
        <v>157035.63920666699</v>
      </c>
      <c r="AE359" s="2">
        <v>4844.0327248434496</v>
      </c>
      <c r="AF359" s="2">
        <v>3085.7080607910698</v>
      </c>
      <c r="AG359" s="2">
        <v>4189.0000168473998</v>
      </c>
      <c r="AH359" s="2">
        <v>3259.7557912164102</v>
      </c>
      <c r="AI359" s="2">
        <v>2635.3941588313401</v>
      </c>
      <c r="AJ359" s="2">
        <v>4783.1895981740699</v>
      </c>
      <c r="AK359" s="2">
        <v>133611.868040031</v>
      </c>
      <c r="AL359" s="2">
        <v>127461.93205481301</v>
      </c>
      <c r="AM359" s="2">
        <v>187961.988623735</v>
      </c>
      <c r="AN359" s="2">
        <v>157951.411838937</v>
      </c>
      <c r="AO359" s="2">
        <v>165113.208886546</v>
      </c>
      <c r="AP359" s="2">
        <v>170113.42579594301</v>
      </c>
    </row>
    <row r="360" spans="1:42" ht="14.5" x14ac:dyDescent="0.35">
      <c r="A360" s="2" t="s">
        <v>2552</v>
      </c>
      <c r="B360" s="2">
        <v>351.14126690694502</v>
      </c>
      <c r="C360" s="2">
        <v>4.4793166666666702</v>
      </c>
      <c r="D360" s="2" t="s">
        <v>34</v>
      </c>
      <c r="E360" s="2" t="s">
        <v>2553</v>
      </c>
      <c r="F360" s="2">
        <v>62662</v>
      </c>
      <c r="G360" s="3" t="str">
        <f>HYPERLINK("http://funmeta.oebiotech.com/network/62662", "http://funmeta.oebiotech.com/network/62662")</f>
        <v>http://funmeta.oebiotech.com/network/62662</v>
      </c>
      <c r="H360" s="2" t="s">
        <v>2554</v>
      </c>
      <c r="I360" s="2">
        <v>93961</v>
      </c>
      <c r="J360" s="2"/>
      <c r="K360" s="2">
        <v>175188</v>
      </c>
      <c r="L360" s="2"/>
      <c r="M360" s="2"/>
      <c r="N360" s="2"/>
      <c r="O360" s="2">
        <v>85300726</v>
      </c>
      <c r="P360" s="2" t="s">
        <v>2555</v>
      </c>
      <c r="Q360" s="2" t="s">
        <v>2556</v>
      </c>
      <c r="R360" s="2" t="s">
        <v>2557</v>
      </c>
      <c r="S360" s="2" t="s">
        <v>50</v>
      </c>
      <c r="T360" s="2" t="s">
        <v>201</v>
      </c>
      <c r="U360" s="2" t="s">
        <v>202</v>
      </c>
      <c r="V360" s="2" t="s">
        <v>59</v>
      </c>
      <c r="W360" s="2">
        <v>40.299999999999997</v>
      </c>
      <c r="X360" s="2">
        <v>7.83</v>
      </c>
      <c r="Y360" s="2" t="s">
        <v>470</v>
      </c>
      <c r="Z360" s="2" t="s">
        <v>767</v>
      </c>
      <c r="AA360" s="2">
        <v>-0.47806979237245201</v>
      </c>
      <c r="AB360" s="2">
        <v>1.51381642305052</v>
      </c>
      <c r="AC360" s="2">
        <v>698173.92843546602</v>
      </c>
      <c r="AD360" s="2">
        <v>540669.90432132594</v>
      </c>
      <c r="AE360" s="2">
        <v>678223.13299497799</v>
      </c>
      <c r="AF360" s="2">
        <v>685179.20471614203</v>
      </c>
      <c r="AG360" s="2">
        <v>703678.87316364504</v>
      </c>
      <c r="AH360" s="2">
        <v>670286.59930892801</v>
      </c>
      <c r="AI360" s="2">
        <v>744997.35950657795</v>
      </c>
      <c r="AJ360" s="2">
        <v>706678.400922528</v>
      </c>
      <c r="AK360" s="2">
        <v>519669.55696318601</v>
      </c>
      <c r="AL360" s="2">
        <v>567897.50635638903</v>
      </c>
      <c r="AM360" s="2">
        <v>564389.44703715097</v>
      </c>
      <c r="AN360" s="2">
        <v>510177.37389787799</v>
      </c>
      <c r="AO360" s="2">
        <v>525535.71430322202</v>
      </c>
      <c r="AP360" s="2">
        <v>556349.82737012999</v>
      </c>
    </row>
    <row r="361" spans="1:42" ht="14.5" x14ac:dyDescent="0.35">
      <c r="A361" s="2" t="s">
        <v>2558</v>
      </c>
      <c r="B361" s="2">
        <v>545.29618387569803</v>
      </c>
      <c r="C361" s="2">
        <v>5.0599499999999997</v>
      </c>
      <c r="D361" s="2" t="s">
        <v>70</v>
      </c>
      <c r="E361" s="2" t="s">
        <v>2559</v>
      </c>
      <c r="F361" s="2">
        <v>52771</v>
      </c>
      <c r="G361" s="3" t="str">
        <f>HYPERLINK("http://funmeta.oebiotech.com/network/52771", "http://funmeta.oebiotech.com/network/52771")</f>
        <v>http://funmeta.oebiotech.com/network/52771</v>
      </c>
      <c r="H361" s="2" t="s">
        <v>2560</v>
      </c>
      <c r="I361" s="2">
        <v>43266</v>
      </c>
      <c r="J361" s="2"/>
      <c r="K361" s="2">
        <v>7025</v>
      </c>
      <c r="L361" s="2" t="s">
        <v>2561</v>
      </c>
      <c r="M361" s="2"/>
      <c r="N361" s="2"/>
      <c r="O361" s="2">
        <v>446596</v>
      </c>
      <c r="P361" s="2" t="s">
        <v>2562</v>
      </c>
      <c r="Q361" s="2" t="s">
        <v>2563</v>
      </c>
      <c r="R361" s="2" t="s">
        <v>2564</v>
      </c>
      <c r="S361" s="2" t="s">
        <v>50</v>
      </c>
      <c r="T361" s="2" t="s">
        <v>229</v>
      </c>
      <c r="U361" s="2" t="s">
        <v>433</v>
      </c>
      <c r="V361" s="2" t="s">
        <v>42</v>
      </c>
      <c r="W361" s="2">
        <v>55.9</v>
      </c>
      <c r="X361" s="2">
        <v>83.2</v>
      </c>
      <c r="Y361" s="2" t="s">
        <v>408</v>
      </c>
      <c r="Z361" s="2" t="s">
        <v>2565</v>
      </c>
      <c r="AA361" s="2">
        <v>-1.1033040978811499</v>
      </c>
      <c r="AB361" s="2">
        <v>1.5094552086536299</v>
      </c>
      <c r="AC361" s="2">
        <v>2030824.7832833701</v>
      </c>
      <c r="AD361" s="2">
        <v>1864696.6691500801</v>
      </c>
      <c r="AE361" s="2">
        <v>2078814.5723264499</v>
      </c>
      <c r="AF361" s="2">
        <v>1983036.15714237</v>
      </c>
      <c r="AG361" s="2">
        <v>2016890.9257402499</v>
      </c>
      <c r="AH361" s="2">
        <v>2043324.03541499</v>
      </c>
      <c r="AI361" s="2">
        <v>1985503.7981484199</v>
      </c>
      <c r="AJ361" s="2">
        <v>2077379.21092775</v>
      </c>
      <c r="AK361" s="2">
        <v>1794762.1680147001</v>
      </c>
      <c r="AL361" s="2">
        <v>1911679.8502307001</v>
      </c>
      <c r="AM361" s="2">
        <v>1911944.4955295301</v>
      </c>
      <c r="AN361" s="2">
        <v>1870552.0739464201</v>
      </c>
      <c r="AO361" s="2">
        <v>1870601.59918687</v>
      </c>
      <c r="AP361" s="2">
        <v>1828639.82799224</v>
      </c>
    </row>
    <row r="362" spans="1:42" ht="14.5" x14ac:dyDescent="0.35">
      <c r="A362" s="2" t="s">
        <v>2566</v>
      </c>
      <c r="B362" s="2">
        <v>329.18666005392703</v>
      </c>
      <c r="C362" s="2">
        <v>4.8488333333333298</v>
      </c>
      <c r="D362" s="2" t="s">
        <v>34</v>
      </c>
      <c r="E362" s="2" t="s">
        <v>2567</v>
      </c>
      <c r="F362" s="2">
        <v>2332</v>
      </c>
      <c r="G362" s="3" t="str">
        <f>HYPERLINK("http://funmeta.oebiotech.com/network/2332", "http://funmeta.oebiotech.com/network/2332")</f>
        <v>http://funmeta.oebiotech.com/network/2332</v>
      </c>
      <c r="H362" s="2"/>
      <c r="I362" s="2">
        <v>35919</v>
      </c>
      <c r="J362" s="2" t="s">
        <v>2568</v>
      </c>
      <c r="K362" s="2">
        <v>34508</v>
      </c>
      <c r="L362" s="2" t="s">
        <v>2569</v>
      </c>
      <c r="M362" s="2"/>
      <c r="N362" s="2"/>
      <c r="O362" s="2">
        <v>656826</v>
      </c>
      <c r="P362" s="2"/>
      <c r="Q362" s="2" t="s">
        <v>2570</v>
      </c>
      <c r="R362" s="2" t="s">
        <v>2571</v>
      </c>
      <c r="S362" s="2" t="s">
        <v>50</v>
      </c>
      <c r="T362" s="2" t="s">
        <v>229</v>
      </c>
      <c r="U362" s="2" t="s">
        <v>433</v>
      </c>
      <c r="V362" s="2" t="s">
        <v>59</v>
      </c>
      <c r="W362" s="2">
        <v>36.299999999999997</v>
      </c>
      <c r="X362" s="2">
        <v>5.65</v>
      </c>
      <c r="Y362" s="2" t="s">
        <v>568</v>
      </c>
      <c r="Z362" s="2" t="s">
        <v>2572</v>
      </c>
      <c r="AA362" s="2">
        <v>4.1372858013742499</v>
      </c>
      <c r="AB362" s="2">
        <v>1.5053058267327599</v>
      </c>
      <c r="AC362" s="2">
        <v>413996.47035815503</v>
      </c>
      <c r="AD362" s="2">
        <v>566850.954005279</v>
      </c>
      <c r="AE362" s="2">
        <v>416111.25011802599</v>
      </c>
      <c r="AF362" s="2">
        <v>405984.53847983002</v>
      </c>
      <c r="AG362" s="2">
        <v>410243.19242822699</v>
      </c>
      <c r="AH362" s="2">
        <v>439886.79412451299</v>
      </c>
      <c r="AI362" s="2">
        <v>431509.36278616602</v>
      </c>
      <c r="AJ362" s="2">
        <v>380243.684212166</v>
      </c>
      <c r="AK362" s="2">
        <v>567832.20390661503</v>
      </c>
      <c r="AL362" s="2">
        <v>587941.39180935605</v>
      </c>
      <c r="AM362" s="2">
        <v>591678.69710160396</v>
      </c>
      <c r="AN362" s="2">
        <v>559580.37128314795</v>
      </c>
      <c r="AO362" s="2">
        <v>553645.16590895795</v>
      </c>
      <c r="AP362" s="2">
        <v>540427.89402199397</v>
      </c>
    </row>
    <row r="363" spans="1:42" ht="14.5" x14ac:dyDescent="0.35">
      <c r="A363" s="2" t="s">
        <v>2573</v>
      </c>
      <c r="B363" s="2">
        <v>373.1831550192</v>
      </c>
      <c r="C363" s="2">
        <v>4.2085666666666697</v>
      </c>
      <c r="D363" s="2" t="s">
        <v>34</v>
      </c>
      <c r="E363" s="2" t="s">
        <v>2574</v>
      </c>
      <c r="F363" s="2">
        <v>63130</v>
      </c>
      <c r="G363" s="3" t="str">
        <f>HYPERLINK("http://funmeta.oebiotech.com/network/63130", "http://funmeta.oebiotech.com/network/63130")</f>
        <v>http://funmeta.oebiotech.com/network/63130</v>
      </c>
      <c r="H363" s="2" t="s">
        <v>2575</v>
      </c>
      <c r="I363" s="2">
        <v>94438</v>
      </c>
      <c r="J363" s="2"/>
      <c r="K363" s="2">
        <v>168884</v>
      </c>
      <c r="L363" s="2"/>
      <c r="M363" s="2"/>
      <c r="N363" s="2"/>
      <c r="O363" s="2">
        <v>73809750</v>
      </c>
      <c r="P363" s="2" t="s">
        <v>2576</v>
      </c>
      <c r="Q363" s="2" t="s">
        <v>2577</v>
      </c>
      <c r="R363" s="2" t="s">
        <v>2578</v>
      </c>
      <c r="S363" s="2" t="s">
        <v>79</v>
      </c>
      <c r="T363" s="2" t="s">
        <v>80</v>
      </c>
      <c r="U363" s="2" t="s">
        <v>81</v>
      </c>
      <c r="V363" s="2" t="s">
        <v>59</v>
      </c>
      <c r="W363" s="2">
        <v>43.5</v>
      </c>
      <c r="X363" s="2">
        <v>23.9</v>
      </c>
      <c r="Y363" s="2" t="s">
        <v>323</v>
      </c>
      <c r="Z363" s="2" t="s">
        <v>2579</v>
      </c>
      <c r="AA363" s="2">
        <v>-0.38144386841432398</v>
      </c>
      <c r="AB363" s="2">
        <v>1.5051300686456299</v>
      </c>
      <c r="AC363" s="2">
        <v>239645.96256714399</v>
      </c>
      <c r="AD363" s="2">
        <v>390712.33698525903</v>
      </c>
      <c r="AE363" s="2">
        <v>238201.94007922499</v>
      </c>
      <c r="AF363" s="2">
        <v>232442.661396101</v>
      </c>
      <c r="AG363" s="2">
        <v>258915.25023148299</v>
      </c>
      <c r="AH363" s="2">
        <v>222921.480191312</v>
      </c>
      <c r="AI363" s="2">
        <v>243982.081791968</v>
      </c>
      <c r="AJ363" s="2">
        <v>241412.361712777</v>
      </c>
      <c r="AK363" s="2">
        <v>377712.52047448303</v>
      </c>
      <c r="AL363" s="2">
        <v>393898.71186164499</v>
      </c>
      <c r="AM363" s="2">
        <v>370944.22443365899</v>
      </c>
      <c r="AN363" s="2">
        <v>382465.18429194199</v>
      </c>
      <c r="AO363" s="2">
        <v>403206.472304572</v>
      </c>
      <c r="AP363" s="2">
        <v>416046.90854525199</v>
      </c>
    </row>
    <row r="364" spans="1:42" ht="14.5" x14ac:dyDescent="0.35">
      <c r="A364" s="2" t="s">
        <v>2580</v>
      </c>
      <c r="B364" s="2">
        <v>164.06678807088699</v>
      </c>
      <c r="C364" s="2">
        <v>0.60526666666666695</v>
      </c>
      <c r="D364" s="2" t="s">
        <v>34</v>
      </c>
      <c r="E364" s="2" t="s">
        <v>2581</v>
      </c>
      <c r="F364" s="2">
        <v>203450</v>
      </c>
      <c r="G364" s="3" t="str">
        <f>HYPERLINK("http://funmeta.oebiotech.com/network/203450", "http://funmeta.oebiotech.com/network/203450")</f>
        <v>http://funmeta.oebiotech.com/network/203450</v>
      </c>
      <c r="H364" s="2" t="s">
        <v>2582</v>
      </c>
      <c r="I364" s="2"/>
      <c r="J364" s="2"/>
      <c r="K364" s="2"/>
      <c r="L364" s="2"/>
      <c r="M364" s="2"/>
      <c r="N364" s="2"/>
      <c r="O364" s="2">
        <v>129713638</v>
      </c>
      <c r="P364" s="2"/>
      <c r="Q364" s="2" t="s">
        <v>2583</v>
      </c>
      <c r="R364" s="2" t="s">
        <v>2584</v>
      </c>
      <c r="S364" s="2" t="s">
        <v>41</v>
      </c>
      <c r="T364" s="2" t="s">
        <v>41</v>
      </c>
      <c r="U364" s="2" t="s">
        <v>41</v>
      </c>
      <c r="V364" s="2" t="s">
        <v>59</v>
      </c>
      <c r="W364" s="2">
        <v>39.700000000000003</v>
      </c>
      <c r="X364" s="2">
        <v>19</v>
      </c>
      <c r="Y364" s="2" t="s">
        <v>43</v>
      </c>
      <c r="Z364" s="2" t="s">
        <v>2585</v>
      </c>
      <c r="AA364" s="2">
        <v>1.4096880177397499</v>
      </c>
      <c r="AB364" s="2">
        <v>1.50374245630823</v>
      </c>
      <c r="AC364" s="2">
        <v>820341.95557422796</v>
      </c>
      <c r="AD364" s="2">
        <v>607049.00018691004</v>
      </c>
      <c r="AE364" s="2">
        <v>912342.13718357496</v>
      </c>
      <c r="AF364" s="2">
        <v>1088477.2902010099</v>
      </c>
      <c r="AG364" s="2">
        <v>790098.87717064796</v>
      </c>
      <c r="AH364" s="2">
        <v>632820.42900993803</v>
      </c>
      <c r="AI364" s="2">
        <v>842559.008509001</v>
      </c>
      <c r="AJ364" s="2">
        <v>655753.99137119704</v>
      </c>
      <c r="AK364" s="2">
        <v>573472.70097512903</v>
      </c>
      <c r="AL364" s="2">
        <v>662361.96330992598</v>
      </c>
      <c r="AM364" s="2">
        <v>608414.25174069102</v>
      </c>
      <c r="AN364" s="2">
        <v>592091.036994264</v>
      </c>
      <c r="AO364" s="2">
        <v>606775.66037811199</v>
      </c>
      <c r="AP364" s="2">
        <v>599178.387723336</v>
      </c>
    </row>
    <row r="365" spans="1:42" ht="14.5" x14ac:dyDescent="0.35">
      <c r="A365" s="2" t="s">
        <v>2586</v>
      </c>
      <c r="B365" s="2">
        <v>455.33381966834997</v>
      </c>
      <c r="C365" s="2">
        <v>13.138866666666701</v>
      </c>
      <c r="D365" s="2" t="s">
        <v>34</v>
      </c>
      <c r="E365" s="2" t="s">
        <v>2587</v>
      </c>
      <c r="F365" s="2">
        <v>256148</v>
      </c>
      <c r="G365" s="3" t="str">
        <f>HYPERLINK("http://funmeta.oebiotech.com/network/256148", "http://funmeta.oebiotech.com/network/256148")</f>
        <v>http://funmeta.oebiotech.com/network/256148</v>
      </c>
      <c r="H365" s="2" t="s">
        <v>2588</v>
      </c>
      <c r="I365" s="2"/>
      <c r="J365" s="2"/>
      <c r="K365" s="2"/>
      <c r="L365" s="2"/>
      <c r="M365" s="2"/>
      <c r="N365" s="2"/>
      <c r="O365" s="2">
        <v>9954527</v>
      </c>
      <c r="P365" s="2"/>
      <c r="Q365" s="2" t="s">
        <v>2589</v>
      </c>
      <c r="R365" s="2" t="s">
        <v>2590</v>
      </c>
      <c r="S365" s="2" t="s">
        <v>50</v>
      </c>
      <c r="T365" s="2" t="s">
        <v>448</v>
      </c>
      <c r="U365" s="2" t="s">
        <v>1864</v>
      </c>
      <c r="V365" s="2" t="s">
        <v>42</v>
      </c>
      <c r="W365" s="2">
        <v>49.9</v>
      </c>
      <c r="X365" s="2">
        <v>59.8</v>
      </c>
      <c r="Y365" s="2" t="s">
        <v>470</v>
      </c>
      <c r="Z365" s="2" t="s">
        <v>2591</v>
      </c>
      <c r="AA365" s="2">
        <v>-1.13397464775714</v>
      </c>
      <c r="AB365" s="2">
        <v>1.5026087781829101</v>
      </c>
      <c r="AC365" s="2">
        <v>2607.1131019624499</v>
      </c>
      <c r="AD365" s="2">
        <v>151643.626798618</v>
      </c>
      <c r="AE365" s="2">
        <v>4709.0199168273002</v>
      </c>
      <c r="AF365" s="2">
        <v>2819.1348714452502</v>
      </c>
      <c r="AG365" s="2">
        <v>2184.04592509436</v>
      </c>
      <c r="AH365" s="2">
        <v>2205.0266450602899</v>
      </c>
      <c r="AI365" s="2">
        <v>1747.61154192357</v>
      </c>
      <c r="AJ365" s="2">
        <v>1977.8397114239499</v>
      </c>
      <c r="AK365" s="2">
        <v>134365.664053229</v>
      </c>
      <c r="AL365" s="2">
        <v>146077.699096219</v>
      </c>
      <c r="AM365" s="2">
        <v>172709.56636557999</v>
      </c>
      <c r="AN365" s="2">
        <v>145203.14651200699</v>
      </c>
      <c r="AO365" s="2">
        <v>156812.97511296801</v>
      </c>
      <c r="AP365" s="2">
        <v>154692.70965170299</v>
      </c>
    </row>
    <row r="366" spans="1:42" ht="14.5" x14ac:dyDescent="0.35">
      <c r="A366" s="2" t="s">
        <v>2592</v>
      </c>
      <c r="B366" s="2">
        <v>659.29204936226995</v>
      </c>
      <c r="C366" s="2">
        <v>5.0778999999999996</v>
      </c>
      <c r="D366" s="2" t="s">
        <v>70</v>
      </c>
      <c r="E366" s="2" t="s">
        <v>2593</v>
      </c>
      <c r="F366" s="2">
        <v>82460</v>
      </c>
      <c r="G366" s="3" t="str">
        <f>HYPERLINK("http://funmeta.oebiotech.com/network/82460", "http://funmeta.oebiotech.com/network/82460")</f>
        <v>http://funmeta.oebiotech.com/network/82460</v>
      </c>
      <c r="H366" s="2" t="s">
        <v>2594</v>
      </c>
      <c r="I366" s="2"/>
      <c r="J366" s="2"/>
      <c r="K366" s="2"/>
      <c r="L366" s="2"/>
      <c r="M366" s="2"/>
      <c r="N366" s="2"/>
      <c r="O366" s="2">
        <v>29976360</v>
      </c>
      <c r="P366" s="2"/>
      <c r="Q366" s="2" t="s">
        <v>2595</v>
      </c>
      <c r="R366" s="2" t="s">
        <v>2596</v>
      </c>
      <c r="S366" s="2" t="s">
        <v>491</v>
      </c>
      <c r="T366" s="2" t="s">
        <v>2597</v>
      </c>
      <c r="U366" s="2" t="s">
        <v>2598</v>
      </c>
      <c r="V366" s="2" t="s">
        <v>59</v>
      </c>
      <c r="W366" s="2">
        <v>36</v>
      </c>
      <c r="X366" s="2">
        <v>0.18</v>
      </c>
      <c r="Y366" s="2" t="s">
        <v>560</v>
      </c>
      <c r="Z366" s="2" t="s">
        <v>2599</v>
      </c>
      <c r="AA366" s="2">
        <v>-0.69110922401068697</v>
      </c>
      <c r="AB366" s="2">
        <v>1.50061943013888</v>
      </c>
      <c r="AC366" s="2">
        <v>604925.10041229404</v>
      </c>
      <c r="AD366" s="2">
        <v>756923.08396673005</v>
      </c>
      <c r="AE366" s="2">
        <v>600776.50089343998</v>
      </c>
      <c r="AF366" s="2">
        <v>570731.69425040297</v>
      </c>
      <c r="AG366" s="2">
        <v>621326.27144971304</v>
      </c>
      <c r="AH366" s="2">
        <v>597795.95824121695</v>
      </c>
      <c r="AI366" s="2">
        <v>597803.61903439905</v>
      </c>
      <c r="AJ366" s="2">
        <v>641116.55860459094</v>
      </c>
      <c r="AK366" s="2">
        <v>738244.20833982399</v>
      </c>
      <c r="AL366" s="2">
        <v>757945.76193499297</v>
      </c>
      <c r="AM366" s="2">
        <v>747368.40527198801</v>
      </c>
      <c r="AN366" s="2">
        <v>752456.30768447404</v>
      </c>
      <c r="AO366" s="2">
        <v>764117.74717698095</v>
      </c>
      <c r="AP366" s="2">
        <v>781406.07339211996</v>
      </c>
    </row>
    <row r="367" spans="1:42" ht="14.5" x14ac:dyDescent="0.35">
      <c r="A367" s="2" t="s">
        <v>2600</v>
      </c>
      <c r="B367" s="2">
        <v>961.58404756111702</v>
      </c>
      <c r="C367" s="2">
        <v>14.64495</v>
      </c>
      <c r="D367" s="2" t="s">
        <v>34</v>
      </c>
      <c r="E367" s="2" t="s">
        <v>2601</v>
      </c>
      <c r="F367" s="2">
        <v>28261</v>
      </c>
      <c r="G367" s="3" t="str">
        <f>HYPERLINK("http://funmeta.oebiotech.com/network/28261", "http://funmeta.oebiotech.com/network/28261")</f>
        <v>http://funmeta.oebiotech.com/network/28261</v>
      </c>
      <c r="H367" s="2"/>
      <c r="I367" s="2">
        <v>40992</v>
      </c>
      <c r="J367" s="2" t="s">
        <v>2602</v>
      </c>
      <c r="K367" s="2">
        <v>29626</v>
      </c>
      <c r="L367" s="2" t="s">
        <v>2603</v>
      </c>
      <c r="M367" s="2" t="s">
        <v>2604</v>
      </c>
      <c r="N367" s="2" t="s">
        <v>2605</v>
      </c>
      <c r="O367" s="2">
        <v>443562</v>
      </c>
      <c r="P367" s="2"/>
      <c r="Q367" s="2" t="s">
        <v>2606</v>
      </c>
      <c r="R367" s="2" t="s">
        <v>2607</v>
      </c>
      <c r="S367" s="2" t="s">
        <v>79</v>
      </c>
      <c r="T367" s="2" t="s">
        <v>80</v>
      </c>
      <c r="U367" s="2" t="s">
        <v>81</v>
      </c>
      <c r="V367" s="2" t="s">
        <v>59</v>
      </c>
      <c r="W367" s="2">
        <v>39.200000000000003</v>
      </c>
      <c r="X367" s="2">
        <v>0</v>
      </c>
      <c r="Y367" s="2" t="s">
        <v>394</v>
      </c>
      <c r="Z367" s="2" t="s">
        <v>2608</v>
      </c>
      <c r="AA367" s="2">
        <v>-0.23746860671400399</v>
      </c>
      <c r="AB367" s="2">
        <v>1.4993844562438801</v>
      </c>
      <c r="AC367" s="2">
        <v>137071.960691888</v>
      </c>
      <c r="AD367" s="2">
        <v>286731.80363145802</v>
      </c>
      <c r="AE367" s="2">
        <v>132066.36379639001</v>
      </c>
      <c r="AF367" s="2">
        <v>132071.72973303901</v>
      </c>
      <c r="AG367" s="2">
        <v>134846.316532645</v>
      </c>
      <c r="AH367" s="2">
        <v>140270.17942927199</v>
      </c>
      <c r="AI367" s="2">
        <v>129262.94919562001</v>
      </c>
      <c r="AJ367" s="2">
        <v>153914.22546436099</v>
      </c>
      <c r="AK367" s="2">
        <v>285040.593333169</v>
      </c>
      <c r="AL367" s="2">
        <v>275756.04064546298</v>
      </c>
      <c r="AM367" s="2">
        <v>274216.623687546</v>
      </c>
      <c r="AN367" s="2">
        <v>280086.73996196903</v>
      </c>
      <c r="AO367" s="2">
        <v>321458.91939780902</v>
      </c>
      <c r="AP367" s="2">
        <v>283831.904762791</v>
      </c>
    </row>
    <row r="368" spans="1:42" ht="14.5" x14ac:dyDescent="0.35">
      <c r="A368" s="2" t="s">
        <v>2609</v>
      </c>
      <c r="B368" s="2">
        <v>606.30314273175998</v>
      </c>
      <c r="C368" s="2">
        <v>6.4480000000000004</v>
      </c>
      <c r="D368" s="2" t="s">
        <v>34</v>
      </c>
      <c r="E368" s="2" t="s">
        <v>2610</v>
      </c>
      <c r="F368" s="2">
        <v>27954</v>
      </c>
      <c r="G368" s="3" t="str">
        <f>HYPERLINK("http://funmeta.oebiotech.com/network/27954", "http://funmeta.oebiotech.com/network/27954")</f>
        <v>http://funmeta.oebiotech.com/network/27954</v>
      </c>
      <c r="H368" s="2"/>
      <c r="I368" s="2"/>
      <c r="J368" s="2" t="s">
        <v>2611</v>
      </c>
      <c r="K368" s="2"/>
      <c r="L368" s="2"/>
      <c r="M368" s="2"/>
      <c r="N368" s="2"/>
      <c r="O368" s="2">
        <v>134812401</v>
      </c>
      <c r="P368" s="2"/>
      <c r="Q368" s="2" t="s">
        <v>2612</v>
      </c>
      <c r="R368" s="2" t="s">
        <v>2613</v>
      </c>
      <c r="S368" s="2" t="s">
        <v>50</v>
      </c>
      <c r="T368" s="2" t="s">
        <v>51</v>
      </c>
      <c r="U368" s="2" t="s">
        <v>66</v>
      </c>
      <c r="V368" s="2" t="s">
        <v>59</v>
      </c>
      <c r="W368" s="2">
        <v>46.4</v>
      </c>
      <c r="X368" s="2">
        <v>42</v>
      </c>
      <c r="Y368" s="2" t="s">
        <v>141</v>
      </c>
      <c r="Z368" s="2" t="s">
        <v>2614</v>
      </c>
      <c r="AA368" s="2">
        <v>-1.01345115098385</v>
      </c>
      <c r="AB368" s="2">
        <v>1.4920091166987699</v>
      </c>
      <c r="AC368" s="2">
        <v>165034.84884694</v>
      </c>
      <c r="AD368" s="2">
        <v>312600.043176545</v>
      </c>
      <c r="AE368" s="2">
        <v>169125.66160915699</v>
      </c>
      <c r="AF368" s="2">
        <v>163395.97170336201</v>
      </c>
      <c r="AG368" s="2">
        <v>169610.42117228499</v>
      </c>
      <c r="AH368" s="2">
        <v>148954.179008204</v>
      </c>
      <c r="AI368" s="2">
        <v>150938.799750704</v>
      </c>
      <c r="AJ368" s="2">
        <v>188184.05983793101</v>
      </c>
      <c r="AK368" s="2">
        <v>317126.18714520102</v>
      </c>
      <c r="AL368" s="2">
        <v>317631.21172842901</v>
      </c>
      <c r="AM368" s="2">
        <v>312576.92874647002</v>
      </c>
      <c r="AN368" s="2">
        <v>310508.91062536102</v>
      </c>
      <c r="AO368" s="2">
        <v>312037.06386677502</v>
      </c>
      <c r="AP368" s="2">
        <v>305719.95694703102</v>
      </c>
    </row>
    <row r="369" spans="1:42" ht="14.5" x14ac:dyDescent="0.35">
      <c r="A369" s="2" t="s">
        <v>2615</v>
      </c>
      <c r="B369" s="2">
        <v>272.95242026640199</v>
      </c>
      <c r="C369" s="2">
        <v>0.63648333333333296</v>
      </c>
      <c r="D369" s="2" t="s">
        <v>34</v>
      </c>
      <c r="E369" s="2" t="s">
        <v>2616</v>
      </c>
      <c r="F369" s="2">
        <v>59957</v>
      </c>
      <c r="G369" s="3" t="str">
        <f>HYPERLINK("http://funmeta.oebiotech.com/network/59957", "http://funmeta.oebiotech.com/network/59957")</f>
        <v>http://funmeta.oebiotech.com/network/59957</v>
      </c>
      <c r="H369" s="2" t="s">
        <v>2617</v>
      </c>
      <c r="I369" s="2">
        <v>91317</v>
      </c>
      <c r="J369" s="2"/>
      <c r="K369" s="2"/>
      <c r="L369" s="2"/>
      <c r="M369" s="2"/>
      <c r="N369" s="2"/>
      <c r="O369" s="2">
        <v>24832089</v>
      </c>
      <c r="P369" s="2" t="s">
        <v>2618</v>
      </c>
      <c r="Q369" s="2" t="s">
        <v>2619</v>
      </c>
      <c r="R369" s="2" t="s">
        <v>2620</v>
      </c>
      <c r="S369" s="2" t="s">
        <v>491</v>
      </c>
      <c r="T369" s="2" t="s">
        <v>2621</v>
      </c>
      <c r="U369" s="2" t="s">
        <v>41</v>
      </c>
      <c r="V369" s="2" t="s">
        <v>59</v>
      </c>
      <c r="W369" s="2">
        <v>36.5</v>
      </c>
      <c r="X369" s="2">
        <v>0.78700000000000003</v>
      </c>
      <c r="Y369" s="2" t="s">
        <v>266</v>
      </c>
      <c r="Z369" s="2" t="s">
        <v>2622</v>
      </c>
      <c r="AA369" s="2">
        <v>-2.2591103373743602</v>
      </c>
      <c r="AB369" s="2">
        <v>1.4888621930089301</v>
      </c>
      <c r="AC369" s="2">
        <v>420412.21764724498</v>
      </c>
      <c r="AD369" s="2">
        <v>568873.87690092297</v>
      </c>
      <c r="AE369" s="2">
        <v>428324.45134831901</v>
      </c>
      <c r="AF369" s="2">
        <v>412380.38476214802</v>
      </c>
      <c r="AG369" s="2">
        <v>399792.78027868702</v>
      </c>
      <c r="AH369" s="2">
        <v>425001.74545762298</v>
      </c>
      <c r="AI369" s="2">
        <v>449864.70708326</v>
      </c>
      <c r="AJ369" s="2">
        <v>407109.23695343197</v>
      </c>
      <c r="AK369" s="2">
        <v>572355.80659128004</v>
      </c>
      <c r="AL369" s="2">
        <v>541567.324245158</v>
      </c>
      <c r="AM369" s="2">
        <v>587376.76991047</v>
      </c>
      <c r="AN369" s="2">
        <v>554619.94766807905</v>
      </c>
      <c r="AO369" s="2">
        <v>570297.19220305805</v>
      </c>
      <c r="AP369" s="2">
        <v>587026.22078749503</v>
      </c>
    </row>
    <row r="370" spans="1:42" ht="14.5" x14ac:dyDescent="0.35">
      <c r="A370" s="2" t="s">
        <v>2623</v>
      </c>
      <c r="B370" s="2">
        <v>541.32465689685296</v>
      </c>
      <c r="C370" s="2">
        <v>6.5183166666666699</v>
      </c>
      <c r="D370" s="2" t="s">
        <v>34</v>
      </c>
      <c r="E370" s="2" t="s">
        <v>2624</v>
      </c>
      <c r="F370" s="2">
        <v>83278</v>
      </c>
      <c r="G370" s="3" t="str">
        <f>HYPERLINK("http://funmeta.oebiotech.com/network/83278", "http://funmeta.oebiotech.com/network/83278")</f>
        <v>http://funmeta.oebiotech.com/network/83278</v>
      </c>
      <c r="H370" s="2" t="s">
        <v>2625</v>
      </c>
      <c r="I370" s="2"/>
      <c r="J370" s="2"/>
      <c r="K370" s="2"/>
      <c r="L370" s="2"/>
      <c r="M370" s="2"/>
      <c r="N370" s="2"/>
      <c r="O370" s="2">
        <v>85036846</v>
      </c>
      <c r="P370" s="2"/>
      <c r="Q370" s="2" t="s">
        <v>2626</v>
      </c>
      <c r="R370" s="2" t="s">
        <v>2627</v>
      </c>
      <c r="S370" s="2" t="s">
        <v>50</v>
      </c>
      <c r="T370" s="2" t="s">
        <v>51</v>
      </c>
      <c r="U370" s="2" t="s">
        <v>66</v>
      </c>
      <c r="V370" s="2" t="s">
        <v>59</v>
      </c>
      <c r="W370" s="2">
        <v>36.6</v>
      </c>
      <c r="X370" s="2">
        <v>0</v>
      </c>
      <c r="Y370" s="2" t="s">
        <v>43</v>
      </c>
      <c r="Z370" s="2" t="s">
        <v>2628</v>
      </c>
      <c r="AA370" s="2">
        <v>-0.35796373404944798</v>
      </c>
      <c r="AB370" s="2">
        <v>1.4880935609211201</v>
      </c>
      <c r="AC370" s="2">
        <v>624322.44419793005</v>
      </c>
      <c r="AD370" s="2">
        <v>475832.36162618903</v>
      </c>
      <c r="AE370" s="2">
        <v>637665.97515284503</v>
      </c>
      <c r="AF370" s="2">
        <v>615679.379263932</v>
      </c>
      <c r="AG370" s="2">
        <v>605060.50032181595</v>
      </c>
      <c r="AH370" s="2">
        <v>650948.11606516398</v>
      </c>
      <c r="AI370" s="2">
        <v>618378.86432777101</v>
      </c>
      <c r="AJ370" s="2">
        <v>618201.83005605405</v>
      </c>
      <c r="AK370" s="2">
        <v>449191.33777359303</v>
      </c>
      <c r="AL370" s="2">
        <v>486893.19368151901</v>
      </c>
      <c r="AM370" s="2">
        <v>495268.33690421702</v>
      </c>
      <c r="AN370" s="2">
        <v>483997.86823269498</v>
      </c>
      <c r="AO370" s="2">
        <v>476088.04511851701</v>
      </c>
      <c r="AP370" s="2">
        <v>463555.38804658997</v>
      </c>
    </row>
    <row r="371" spans="1:42" ht="14.5" x14ac:dyDescent="0.35">
      <c r="A371" s="2" t="s">
        <v>2629</v>
      </c>
      <c r="B371" s="2">
        <v>556.40422151314601</v>
      </c>
      <c r="C371" s="2">
        <v>13.611383333333301</v>
      </c>
      <c r="D371" s="2" t="s">
        <v>34</v>
      </c>
      <c r="E371" s="2" t="s">
        <v>2630</v>
      </c>
      <c r="F371" s="2">
        <v>266506</v>
      </c>
      <c r="G371" s="3" t="str">
        <f>HYPERLINK("http://funmeta.oebiotech.com/network/266506", "http://funmeta.oebiotech.com/network/266506")</f>
        <v>http://funmeta.oebiotech.com/network/266506</v>
      </c>
      <c r="H371" s="2"/>
      <c r="I371" s="2">
        <v>43418</v>
      </c>
      <c r="J371" s="2"/>
      <c r="K371" s="2"/>
      <c r="L371" s="2"/>
      <c r="M371" s="2"/>
      <c r="N371" s="2"/>
      <c r="O371" s="2">
        <v>124663</v>
      </c>
      <c r="P371" s="2" t="s">
        <v>2631</v>
      </c>
      <c r="Q371" s="2" t="s">
        <v>2632</v>
      </c>
      <c r="R371" s="2" t="s">
        <v>2633</v>
      </c>
      <c r="S371" s="2" t="s">
        <v>50</v>
      </c>
      <c r="T371" s="2" t="s">
        <v>51</v>
      </c>
      <c r="U371" s="2" t="s">
        <v>168</v>
      </c>
      <c r="V371" s="2" t="s">
        <v>59</v>
      </c>
      <c r="W371" s="2">
        <v>36.299999999999997</v>
      </c>
      <c r="X371" s="2">
        <v>0</v>
      </c>
      <c r="Y371" s="2" t="s">
        <v>43</v>
      </c>
      <c r="Z371" s="2" t="s">
        <v>2634</v>
      </c>
      <c r="AA371" s="2">
        <v>-7.9735494886482501</v>
      </c>
      <c r="AB371" s="2">
        <v>1.48692160108711</v>
      </c>
      <c r="AC371" s="2">
        <v>4668.79502938935</v>
      </c>
      <c r="AD371" s="2">
        <v>150067.241467288</v>
      </c>
      <c r="AE371" s="2">
        <v>4819.9942348306904</v>
      </c>
      <c r="AF371" s="2">
        <v>5297.8088817935104</v>
      </c>
      <c r="AG371" s="2">
        <v>6027.0580761883402</v>
      </c>
      <c r="AH371" s="2">
        <v>4975.6253867390697</v>
      </c>
      <c r="AI371" s="2">
        <v>3856.99514683508</v>
      </c>
      <c r="AJ371" s="2">
        <v>3035.2884499494298</v>
      </c>
      <c r="AK371" s="2">
        <v>154166.78420881499</v>
      </c>
      <c r="AL371" s="2">
        <v>144707.47080115901</v>
      </c>
      <c r="AM371" s="2">
        <v>155325.49293795999</v>
      </c>
      <c r="AN371" s="2">
        <v>139976.96124395001</v>
      </c>
      <c r="AO371" s="2">
        <v>148324.99493280999</v>
      </c>
      <c r="AP371" s="2">
        <v>157901.744679036</v>
      </c>
    </row>
    <row r="372" spans="1:42" ht="14.5" x14ac:dyDescent="0.35">
      <c r="A372" s="2" t="s">
        <v>2635</v>
      </c>
      <c r="B372" s="2">
        <v>825.34538600796998</v>
      </c>
      <c r="C372" s="2">
        <v>6.5568666666666697</v>
      </c>
      <c r="D372" s="2" t="s">
        <v>70</v>
      </c>
      <c r="E372" s="2" t="s">
        <v>2636</v>
      </c>
      <c r="F372" s="2">
        <v>212777</v>
      </c>
      <c r="G372" s="3" t="str">
        <f>HYPERLINK("http://funmeta.oebiotech.com/network/212777", "http://funmeta.oebiotech.com/network/212777")</f>
        <v>http://funmeta.oebiotech.com/network/212777</v>
      </c>
      <c r="H372" s="2" t="s">
        <v>2637</v>
      </c>
      <c r="I372" s="2">
        <v>317852</v>
      </c>
      <c r="J372" s="2"/>
      <c r="K372" s="2"/>
      <c r="L372" s="2"/>
      <c r="M372" s="2"/>
      <c r="N372" s="2"/>
      <c r="O372" s="2">
        <v>9909677</v>
      </c>
      <c r="P372" s="2"/>
      <c r="Q372" s="2" t="s">
        <v>2638</v>
      </c>
      <c r="R372" s="2" t="s">
        <v>2639</v>
      </c>
      <c r="S372" s="2" t="s">
        <v>491</v>
      </c>
      <c r="T372" s="2" t="s">
        <v>2640</v>
      </c>
      <c r="U372" s="2" t="s">
        <v>41</v>
      </c>
      <c r="V372" s="2" t="s">
        <v>59</v>
      </c>
      <c r="W372" s="2">
        <v>37</v>
      </c>
      <c r="X372" s="2">
        <v>0</v>
      </c>
      <c r="Y372" s="2" t="s">
        <v>560</v>
      </c>
      <c r="Z372" s="2" t="s">
        <v>2641</v>
      </c>
      <c r="AA372" s="2">
        <v>-2.3755393990701901</v>
      </c>
      <c r="AB372" s="2">
        <v>1.4837885775658</v>
      </c>
      <c r="AC372" s="2">
        <v>120409.641303653</v>
      </c>
      <c r="AD372" s="2">
        <v>265566.15169263701</v>
      </c>
      <c r="AE372" s="2">
        <v>125475.015325763</v>
      </c>
      <c r="AF372" s="2">
        <v>111615.013592752</v>
      </c>
      <c r="AG372" s="2">
        <v>124838.43400637701</v>
      </c>
      <c r="AH372" s="2">
        <v>114628.91907811799</v>
      </c>
      <c r="AI372" s="2">
        <v>119900.25353925199</v>
      </c>
      <c r="AJ372" s="2">
        <v>126000.21227965401</v>
      </c>
      <c r="AK372" s="2">
        <v>262646.06749874202</v>
      </c>
      <c r="AL372" s="2">
        <v>262948.88102249597</v>
      </c>
      <c r="AM372" s="2">
        <v>279329.22672353999</v>
      </c>
      <c r="AN372" s="2">
        <v>258390.66061527099</v>
      </c>
      <c r="AO372" s="2">
        <v>256262.61973152799</v>
      </c>
      <c r="AP372" s="2">
        <v>273819.45456424297</v>
      </c>
    </row>
    <row r="373" spans="1:42" ht="14.5" x14ac:dyDescent="0.35">
      <c r="A373" s="2" t="s">
        <v>2642</v>
      </c>
      <c r="B373" s="2">
        <v>912.43486569951403</v>
      </c>
      <c r="C373" s="2">
        <v>6.9429166666666697</v>
      </c>
      <c r="D373" s="2" t="s">
        <v>34</v>
      </c>
      <c r="E373" s="2" t="s">
        <v>2643</v>
      </c>
      <c r="F373" s="2">
        <v>211036</v>
      </c>
      <c r="G373" s="3" t="str">
        <f>HYPERLINK("http://funmeta.oebiotech.com/network/211036", "http://funmeta.oebiotech.com/network/211036")</f>
        <v>http://funmeta.oebiotech.com/network/211036</v>
      </c>
      <c r="H373" s="2" t="s">
        <v>2644</v>
      </c>
      <c r="I373" s="2"/>
      <c r="J373" s="2"/>
      <c r="K373" s="2"/>
      <c r="L373" s="2"/>
      <c r="M373" s="2"/>
      <c r="N373" s="2"/>
      <c r="O373" s="2">
        <v>53461932</v>
      </c>
      <c r="P373" s="2"/>
      <c r="Q373" s="2" t="s">
        <v>2645</v>
      </c>
      <c r="R373" s="2" t="s">
        <v>2646</v>
      </c>
      <c r="S373" s="2" t="s">
        <v>41</v>
      </c>
      <c r="T373" s="2" t="s">
        <v>41</v>
      </c>
      <c r="U373" s="2" t="s">
        <v>41</v>
      </c>
      <c r="V373" s="2" t="s">
        <v>59</v>
      </c>
      <c r="W373" s="2">
        <v>37.700000000000003</v>
      </c>
      <c r="X373" s="2">
        <v>12.1</v>
      </c>
      <c r="Y373" s="2" t="s">
        <v>141</v>
      </c>
      <c r="Z373" s="2" t="s">
        <v>2647</v>
      </c>
      <c r="AA373" s="2">
        <v>-1.50392843994244</v>
      </c>
      <c r="AB373" s="2">
        <v>1.47898310816386</v>
      </c>
      <c r="AC373" s="2">
        <v>98510.036242395799</v>
      </c>
      <c r="AD373" s="2">
        <v>243762.408407696</v>
      </c>
      <c r="AE373" s="2">
        <v>117039.060558773</v>
      </c>
      <c r="AF373" s="2">
        <v>91171.863645928897</v>
      </c>
      <c r="AG373" s="2">
        <v>92624.388665546998</v>
      </c>
      <c r="AH373" s="2">
        <v>97145.567147504</v>
      </c>
      <c r="AI373" s="2">
        <v>97939.971775706799</v>
      </c>
      <c r="AJ373" s="2">
        <v>95139.365660915006</v>
      </c>
      <c r="AK373" s="2">
        <v>248882.17239584701</v>
      </c>
      <c r="AL373" s="2">
        <v>239905.363447479</v>
      </c>
      <c r="AM373" s="2">
        <v>232104.548644008</v>
      </c>
      <c r="AN373" s="2">
        <v>226718.374385717</v>
      </c>
      <c r="AO373" s="2">
        <v>249240.91810928899</v>
      </c>
      <c r="AP373" s="2">
        <v>265723.07346383698</v>
      </c>
    </row>
    <row r="374" spans="1:42" ht="14.5" x14ac:dyDescent="0.35">
      <c r="A374" s="2" t="s">
        <v>2648</v>
      </c>
      <c r="B374" s="2">
        <v>321.11548275827801</v>
      </c>
      <c r="C374" s="2">
        <v>1.06171666666667</v>
      </c>
      <c r="D374" s="2" t="s">
        <v>34</v>
      </c>
      <c r="E374" s="2" t="s">
        <v>2649</v>
      </c>
      <c r="F374" s="2">
        <v>82808</v>
      </c>
      <c r="G374" s="3" t="str">
        <f>HYPERLINK("http://funmeta.oebiotech.com/network/82808", "http://funmeta.oebiotech.com/network/82808")</f>
        <v>http://funmeta.oebiotech.com/network/82808</v>
      </c>
      <c r="H374" s="2" t="s">
        <v>2650</v>
      </c>
      <c r="I374" s="2"/>
      <c r="J374" s="2"/>
      <c r="K374" s="2"/>
      <c r="L374" s="2"/>
      <c r="M374" s="2"/>
      <c r="N374" s="2"/>
      <c r="O374" s="2">
        <v>135446209</v>
      </c>
      <c r="P374" s="2"/>
      <c r="Q374" s="2" t="s">
        <v>2651</v>
      </c>
      <c r="R374" s="2" t="s">
        <v>2652</v>
      </c>
      <c r="S374" s="2" t="s">
        <v>491</v>
      </c>
      <c r="T374" s="2" t="s">
        <v>2653</v>
      </c>
      <c r="U374" s="2" t="s">
        <v>41</v>
      </c>
      <c r="V374" s="2" t="s">
        <v>59</v>
      </c>
      <c r="W374" s="2">
        <v>41.5</v>
      </c>
      <c r="X374" s="2">
        <v>21.9</v>
      </c>
      <c r="Y374" s="2" t="s">
        <v>250</v>
      </c>
      <c r="Z374" s="2" t="s">
        <v>2654</v>
      </c>
      <c r="AA374" s="2">
        <v>3.5035003974059999</v>
      </c>
      <c r="AB374" s="2">
        <v>1.47894558568944</v>
      </c>
      <c r="AC374" s="2">
        <v>454075.73535357002</v>
      </c>
      <c r="AD374" s="2">
        <v>603320.27510654496</v>
      </c>
      <c r="AE374" s="2">
        <v>474240.89600131399</v>
      </c>
      <c r="AF374" s="2">
        <v>461403.61029392597</v>
      </c>
      <c r="AG374" s="2">
        <v>443466.577618532</v>
      </c>
      <c r="AH374" s="2">
        <v>415052.12688275601</v>
      </c>
      <c r="AI374" s="2">
        <v>484303.74145819899</v>
      </c>
      <c r="AJ374" s="2">
        <v>445987.45986669301</v>
      </c>
      <c r="AK374" s="2">
        <v>610351.30156498903</v>
      </c>
      <c r="AL374" s="2">
        <v>600773.80382974097</v>
      </c>
      <c r="AM374" s="2">
        <v>634954.71330757905</v>
      </c>
      <c r="AN374" s="2">
        <v>619363.179119159</v>
      </c>
      <c r="AO374" s="2">
        <v>585640.30676783901</v>
      </c>
      <c r="AP374" s="2">
        <v>568838.34604996303</v>
      </c>
    </row>
    <row r="375" spans="1:42" ht="14.5" x14ac:dyDescent="0.35">
      <c r="A375" s="2" t="s">
        <v>2655</v>
      </c>
      <c r="B375" s="2">
        <v>639.40460903658902</v>
      </c>
      <c r="C375" s="2">
        <v>11.499883333333299</v>
      </c>
      <c r="D375" s="2" t="s">
        <v>34</v>
      </c>
      <c r="E375" s="2" t="s">
        <v>2656</v>
      </c>
      <c r="F375" s="2">
        <v>37063</v>
      </c>
      <c r="G375" s="3" t="str">
        <f>HYPERLINK("http://funmeta.oebiotech.com/network/37063", "http://funmeta.oebiotech.com/network/37063")</f>
        <v>http://funmeta.oebiotech.com/network/37063</v>
      </c>
      <c r="H375" s="2"/>
      <c r="I375" s="2"/>
      <c r="J375" s="2" t="s">
        <v>2657</v>
      </c>
      <c r="K375" s="2"/>
      <c r="L375" s="2"/>
      <c r="M375" s="2"/>
      <c r="N375" s="2"/>
      <c r="O375" s="2"/>
      <c r="P375" s="2"/>
      <c r="Q375" s="2" t="s">
        <v>2658</v>
      </c>
      <c r="R375" s="2" t="s">
        <v>2659</v>
      </c>
      <c r="S375" s="2" t="s">
        <v>50</v>
      </c>
      <c r="T375" s="2" t="s">
        <v>201</v>
      </c>
      <c r="U375" s="2" t="s">
        <v>210</v>
      </c>
      <c r="V375" s="2" t="s">
        <v>59</v>
      </c>
      <c r="W375" s="2">
        <v>36</v>
      </c>
      <c r="X375" s="2">
        <v>0</v>
      </c>
      <c r="Y375" s="2" t="s">
        <v>141</v>
      </c>
      <c r="Z375" s="2" t="s">
        <v>2660</v>
      </c>
      <c r="AA375" s="2">
        <v>0.31653088814007801</v>
      </c>
      <c r="AB375" s="2">
        <v>1.4776011491688901</v>
      </c>
      <c r="AC375" s="2">
        <v>38015.630131572303</v>
      </c>
      <c r="AD375" s="2">
        <v>183975.47449723899</v>
      </c>
      <c r="AE375" s="2">
        <v>28583.783192056399</v>
      </c>
      <c r="AF375" s="2">
        <v>29681.3172039807</v>
      </c>
      <c r="AG375" s="2">
        <v>36328.704996229499</v>
      </c>
      <c r="AH375" s="2">
        <v>59311.346788345603</v>
      </c>
      <c r="AI375" s="2">
        <v>36380.641446946502</v>
      </c>
      <c r="AJ375" s="2">
        <v>37807.987161874902</v>
      </c>
      <c r="AK375" s="2">
        <v>172703.097796266</v>
      </c>
      <c r="AL375" s="2">
        <v>155656.10914565201</v>
      </c>
      <c r="AM375" s="2">
        <v>214498.18826686699</v>
      </c>
      <c r="AN375" s="2">
        <v>188215.167860827</v>
      </c>
      <c r="AO375" s="2">
        <v>177261.865099763</v>
      </c>
      <c r="AP375" s="2">
        <v>195518.41881405699</v>
      </c>
    </row>
    <row r="376" spans="1:42" ht="14.5" x14ac:dyDescent="0.35">
      <c r="A376" s="2" t="s">
        <v>2661</v>
      </c>
      <c r="B376" s="2">
        <v>479.21299218895302</v>
      </c>
      <c r="C376" s="2">
        <v>4.5423999999999998</v>
      </c>
      <c r="D376" s="2" t="s">
        <v>70</v>
      </c>
      <c r="E376" s="2" t="s">
        <v>2662</v>
      </c>
      <c r="F376" s="2">
        <v>10221</v>
      </c>
      <c r="G376" s="3" t="str">
        <f>HYPERLINK("http://funmeta.oebiotech.com/network/10221", "http://funmeta.oebiotech.com/network/10221")</f>
        <v>http://funmeta.oebiotech.com/network/10221</v>
      </c>
      <c r="H376" s="2"/>
      <c r="I376" s="2"/>
      <c r="J376" s="2" t="s">
        <v>2663</v>
      </c>
      <c r="K376" s="2"/>
      <c r="L376" s="2"/>
      <c r="M376" s="2"/>
      <c r="N376" s="2"/>
      <c r="O376" s="2">
        <v>56936280</v>
      </c>
      <c r="P376" s="2"/>
      <c r="Q376" s="2" t="s">
        <v>2664</v>
      </c>
      <c r="R376" s="2" t="s">
        <v>2665</v>
      </c>
      <c r="S376" s="2" t="s">
        <v>50</v>
      </c>
      <c r="T376" s="2" t="s">
        <v>229</v>
      </c>
      <c r="U376" s="2" t="s">
        <v>230</v>
      </c>
      <c r="V376" s="2" t="s">
        <v>59</v>
      </c>
      <c r="W376" s="2">
        <v>47</v>
      </c>
      <c r="X376" s="2">
        <v>42.1</v>
      </c>
      <c r="Y376" s="2" t="s">
        <v>751</v>
      </c>
      <c r="Z376" s="2" t="s">
        <v>2666</v>
      </c>
      <c r="AA376" s="2">
        <v>-0.81882458073213304</v>
      </c>
      <c r="AB376" s="2">
        <v>1.4769917078816499</v>
      </c>
      <c r="AC376" s="2">
        <v>332832.112579601</v>
      </c>
      <c r="AD376" s="2">
        <v>477787.846065955</v>
      </c>
      <c r="AE376" s="2">
        <v>323595.10608160798</v>
      </c>
      <c r="AF376" s="2">
        <v>345168.014526502</v>
      </c>
      <c r="AG376" s="2">
        <v>344014.18035396701</v>
      </c>
      <c r="AH376" s="2">
        <v>316730.43766522501</v>
      </c>
      <c r="AI376" s="2">
        <v>340251.69797693403</v>
      </c>
      <c r="AJ376" s="2">
        <v>327233.23887337203</v>
      </c>
      <c r="AK376" s="2">
        <v>455807.36156688503</v>
      </c>
      <c r="AL376" s="2">
        <v>493799.523551994</v>
      </c>
      <c r="AM376" s="2">
        <v>473193.78850869997</v>
      </c>
      <c r="AN376" s="2">
        <v>474879.26242533</v>
      </c>
      <c r="AO376" s="2">
        <v>483472.22350355901</v>
      </c>
      <c r="AP376" s="2">
        <v>485574.91683926299</v>
      </c>
    </row>
    <row r="377" spans="1:42" ht="14.5" x14ac:dyDescent="0.35">
      <c r="A377" s="2" t="s">
        <v>2667</v>
      </c>
      <c r="B377" s="2">
        <v>626.42349969295697</v>
      </c>
      <c r="C377" s="2">
        <v>11.346299999999999</v>
      </c>
      <c r="D377" s="2" t="s">
        <v>34</v>
      </c>
      <c r="E377" s="2" t="s">
        <v>2668</v>
      </c>
      <c r="F377" s="2">
        <v>55156</v>
      </c>
      <c r="G377" s="3" t="str">
        <f>HYPERLINK("http://funmeta.oebiotech.com/network/55156", "http://funmeta.oebiotech.com/network/55156")</f>
        <v>http://funmeta.oebiotech.com/network/55156</v>
      </c>
      <c r="H377" s="2" t="s">
        <v>2669</v>
      </c>
      <c r="I377" s="2"/>
      <c r="J377" s="2"/>
      <c r="K377" s="2"/>
      <c r="L377" s="2"/>
      <c r="M377" s="2"/>
      <c r="N377" s="2"/>
      <c r="O377" s="2">
        <v>4290702</v>
      </c>
      <c r="P377" s="2" t="s">
        <v>2670</v>
      </c>
      <c r="Q377" s="2" t="s">
        <v>2671</v>
      </c>
      <c r="R377" s="2" t="s">
        <v>2672</v>
      </c>
      <c r="S377" s="2" t="s">
        <v>50</v>
      </c>
      <c r="T377" s="2" t="s">
        <v>124</v>
      </c>
      <c r="U377" s="2" t="s">
        <v>523</v>
      </c>
      <c r="V377" s="2" t="s">
        <v>59</v>
      </c>
      <c r="W377" s="2">
        <v>43.2</v>
      </c>
      <c r="X377" s="2">
        <v>27.1</v>
      </c>
      <c r="Y377" s="2" t="s">
        <v>43</v>
      </c>
      <c r="Z377" s="2" t="s">
        <v>2673</v>
      </c>
      <c r="AA377" s="2">
        <v>-4.5352454294482101</v>
      </c>
      <c r="AB377" s="2">
        <v>1.4734759528342101</v>
      </c>
      <c r="AC377" s="2">
        <v>1612.4005300982201</v>
      </c>
      <c r="AD377" s="2">
        <v>145421.456266311</v>
      </c>
      <c r="AE377" s="2">
        <v>1455.18366326675</v>
      </c>
      <c r="AF377" s="2">
        <v>1529.8644470383999</v>
      </c>
      <c r="AG377" s="2">
        <v>2047.1239194243101</v>
      </c>
      <c r="AH377" s="2">
        <v>1797.14604728052</v>
      </c>
      <c r="AI377" s="2">
        <v>1744.6933602261399</v>
      </c>
      <c r="AJ377" s="2">
        <v>1100.3917433531701</v>
      </c>
      <c r="AK377" s="2">
        <v>128657.582787408</v>
      </c>
      <c r="AL377" s="2">
        <v>163137.093865537</v>
      </c>
      <c r="AM377" s="2">
        <v>163347.71240939901</v>
      </c>
      <c r="AN377" s="2">
        <v>131743.055215475</v>
      </c>
      <c r="AO377" s="2">
        <v>143956.94206656999</v>
      </c>
      <c r="AP377" s="2">
        <v>141686.35125347599</v>
      </c>
    </row>
    <row r="378" spans="1:42" ht="14.5" x14ac:dyDescent="0.35">
      <c r="A378" s="2" t="s">
        <v>2674</v>
      </c>
      <c r="B378" s="2">
        <v>293.06286643472703</v>
      </c>
      <c r="C378" s="2">
        <v>0.73473333333333302</v>
      </c>
      <c r="D378" s="2" t="s">
        <v>34</v>
      </c>
      <c r="E378" s="2" t="s">
        <v>2675</v>
      </c>
      <c r="F378" s="2">
        <v>82030</v>
      </c>
      <c r="G378" s="3" t="str">
        <f>HYPERLINK("http://funmeta.oebiotech.com/network/82030", "http://funmeta.oebiotech.com/network/82030")</f>
        <v>http://funmeta.oebiotech.com/network/82030</v>
      </c>
      <c r="H378" s="2" t="s">
        <v>2676</v>
      </c>
      <c r="I378" s="2">
        <v>1825</v>
      </c>
      <c r="J378" s="2"/>
      <c r="K378" s="2">
        <v>64681</v>
      </c>
      <c r="L378" s="2"/>
      <c r="M378" s="2"/>
      <c r="N378" s="2"/>
      <c r="O378" s="2">
        <v>87235</v>
      </c>
      <c r="P378" s="2" t="s">
        <v>2677</v>
      </c>
      <c r="Q378" s="2" t="s">
        <v>2678</v>
      </c>
      <c r="R378" s="2" t="s">
        <v>2679</v>
      </c>
      <c r="S378" s="2" t="s">
        <v>79</v>
      </c>
      <c r="T378" s="2" t="s">
        <v>80</v>
      </c>
      <c r="U378" s="2" t="s">
        <v>81</v>
      </c>
      <c r="V378" s="2" t="s">
        <v>59</v>
      </c>
      <c r="W378" s="2">
        <v>37.9</v>
      </c>
      <c r="X378" s="2">
        <v>0</v>
      </c>
      <c r="Y378" s="2" t="s">
        <v>194</v>
      </c>
      <c r="Z378" s="2" t="s">
        <v>2680</v>
      </c>
      <c r="AA378" s="2">
        <v>-1.13684111127128</v>
      </c>
      <c r="AB378" s="2">
        <v>1.47307664595968</v>
      </c>
      <c r="AC378" s="2">
        <v>384449.12664201501</v>
      </c>
      <c r="AD378" s="2">
        <v>542961.84102419205</v>
      </c>
      <c r="AE378" s="2">
        <v>387947.94835275097</v>
      </c>
      <c r="AF378" s="2">
        <v>404470.67572464002</v>
      </c>
      <c r="AG378" s="2">
        <v>396404.44675253303</v>
      </c>
      <c r="AH378" s="2">
        <v>371985.51283938898</v>
      </c>
      <c r="AI378" s="2">
        <v>384740.73205834703</v>
      </c>
      <c r="AJ378" s="2">
        <v>361145.44412443199</v>
      </c>
      <c r="AK378" s="2">
        <v>566219.41819950799</v>
      </c>
      <c r="AL378" s="2">
        <v>561295.386495288</v>
      </c>
      <c r="AM378" s="2">
        <v>575463.907489456</v>
      </c>
      <c r="AN378" s="2">
        <v>542332.40644687705</v>
      </c>
      <c r="AO378" s="2">
        <v>584151.52025447204</v>
      </c>
      <c r="AP378" s="2">
        <v>428308.40725955198</v>
      </c>
    </row>
    <row r="379" spans="1:42" ht="14.5" x14ac:dyDescent="0.35">
      <c r="A379" s="2" t="s">
        <v>2681</v>
      </c>
      <c r="B379" s="2">
        <v>918.67088656728299</v>
      </c>
      <c r="C379" s="2">
        <v>13.943949999999999</v>
      </c>
      <c r="D379" s="2" t="s">
        <v>34</v>
      </c>
      <c r="E379" s="2" t="s">
        <v>2682</v>
      </c>
      <c r="F379" s="2">
        <v>51995</v>
      </c>
      <c r="G379" s="3" t="str">
        <f>HYPERLINK("http://funmeta.oebiotech.com/network/51995", "http://funmeta.oebiotech.com/network/51995")</f>
        <v>http://funmeta.oebiotech.com/network/51995</v>
      </c>
      <c r="H379" s="2" t="s">
        <v>2683</v>
      </c>
      <c r="I379" s="2"/>
      <c r="J379" s="2"/>
      <c r="K379" s="2"/>
      <c r="L379" s="2" t="s">
        <v>687</v>
      </c>
      <c r="M379" s="2" t="s">
        <v>688</v>
      </c>
      <c r="N379" s="2" t="s">
        <v>689</v>
      </c>
      <c r="O379" s="2">
        <v>53481404</v>
      </c>
      <c r="P379" s="2" t="s">
        <v>2684</v>
      </c>
      <c r="Q379" s="2" t="s">
        <v>2685</v>
      </c>
      <c r="R379" s="2" t="s">
        <v>2686</v>
      </c>
      <c r="S379" s="2" t="s">
        <v>50</v>
      </c>
      <c r="T379" s="2" t="s">
        <v>693</v>
      </c>
      <c r="U379" s="2" t="s">
        <v>694</v>
      </c>
      <c r="V379" s="2" t="s">
        <v>59</v>
      </c>
      <c r="W379" s="2">
        <v>40.4</v>
      </c>
      <c r="X379" s="2">
        <v>16.2</v>
      </c>
      <c r="Y379" s="2" t="s">
        <v>394</v>
      </c>
      <c r="Z379" s="2" t="s">
        <v>2687</v>
      </c>
      <c r="AA379" s="2">
        <v>1.1183507870839899</v>
      </c>
      <c r="AB379" s="2">
        <v>1.47175934056646</v>
      </c>
      <c r="AC379" s="2">
        <v>869.44585489957899</v>
      </c>
      <c r="AD379" s="2">
        <v>145024.61887875301</v>
      </c>
      <c r="AE379" s="2">
        <v>570.28594133970705</v>
      </c>
      <c r="AF379" s="2">
        <v>987.25227322226897</v>
      </c>
      <c r="AG379" s="2">
        <v>1049.2248068551901</v>
      </c>
      <c r="AH379" s="2">
        <v>1308.6511781641</v>
      </c>
      <c r="AI379" s="2">
        <v>821.85399584558002</v>
      </c>
      <c r="AJ379" s="2">
        <v>479.40693397062699</v>
      </c>
      <c r="AK379" s="2">
        <v>143294.16728282001</v>
      </c>
      <c r="AL379" s="2">
        <v>118663.691097241</v>
      </c>
      <c r="AM379" s="2">
        <v>146689.98929796499</v>
      </c>
      <c r="AN379" s="2">
        <v>132702.428357697</v>
      </c>
      <c r="AO379" s="2">
        <v>153715.558109167</v>
      </c>
      <c r="AP379" s="2">
        <v>175081.879127628</v>
      </c>
    </row>
    <row r="380" spans="1:42" ht="14.5" x14ac:dyDescent="0.35">
      <c r="A380" s="2" t="s">
        <v>2688</v>
      </c>
      <c r="B380" s="2">
        <v>337.23466465543697</v>
      </c>
      <c r="C380" s="2">
        <v>10.2647666666667</v>
      </c>
      <c r="D380" s="2" t="s">
        <v>34</v>
      </c>
      <c r="E380" s="2" t="s">
        <v>2689</v>
      </c>
      <c r="F380" s="2">
        <v>3031</v>
      </c>
      <c r="G380" s="3" t="str">
        <f>HYPERLINK("http://funmeta.oebiotech.com/network/3031", "http://funmeta.oebiotech.com/network/3031")</f>
        <v>http://funmeta.oebiotech.com/network/3031</v>
      </c>
      <c r="H380" s="2"/>
      <c r="I380" s="2">
        <v>96895</v>
      </c>
      <c r="J380" s="2" t="s">
        <v>2690</v>
      </c>
      <c r="K380" s="2"/>
      <c r="L380" s="2"/>
      <c r="M380" s="2"/>
      <c r="N380" s="2"/>
      <c r="O380" s="2">
        <v>56935853</v>
      </c>
      <c r="P380" s="2"/>
      <c r="Q380" s="2" t="s">
        <v>2691</v>
      </c>
      <c r="R380" s="2" t="s">
        <v>2692</v>
      </c>
      <c r="S380" s="2" t="s">
        <v>50</v>
      </c>
      <c r="T380" s="2" t="s">
        <v>229</v>
      </c>
      <c r="U380" s="2" t="s">
        <v>433</v>
      </c>
      <c r="V380" s="2" t="s">
        <v>42</v>
      </c>
      <c r="W380" s="2">
        <v>48.9</v>
      </c>
      <c r="X380" s="2">
        <v>49</v>
      </c>
      <c r="Y380" s="2" t="s">
        <v>323</v>
      </c>
      <c r="Z380" s="2" t="s">
        <v>2693</v>
      </c>
      <c r="AA380" s="2">
        <v>-0.84517679973645998</v>
      </c>
      <c r="AB380" s="2">
        <v>1.47032760598096</v>
      </c>
      <c r="AC380" s="2">
        <v>300160.86974616197</v>
      </c>
      <c r="AD380" s="2">
        <v>445679.24864873401</v>
      </c>
      <c r="AE380" s="2">
        <v>299613.94660066499</v>
      </c>
      <c r="AF380" s="2">
        <v>306079.10485900799</v>
      </c>
      <c r="AG380" s="2">
        <v>307463.511699619</v>
      </c>
      <c r="AH380" s="2">
        <v>301379.750642873</v>
      </c>
      <c r="AI380" s="2">
        <v>297637.86821274098</v>
      </c>
      <c r="AJ380" s="2">
        <v>288791.03646206303</v>
      </c>
      <c r="AK380" s="2">
        <v>486095.692924765</v>
      </c>
      <c r="AL380" s="2">
        <v>443233.94471038901</v>
      </c>
      <c r="AM380" s="2">
        <v>442210.34768451698</v>
      </c>
      <c r="AN380" s="2">
        <v>435710.62959188002</v>
      </c>
      <c r="AO380" s="2">
        <v>454772.07268991298</v>
      </c>
      <c r="AP380" s="2">
        <v>412052.80429094</v>
      </c>
    </row>
    <row r="381" spans="1:42" ht="14.5" x14ac:dyDescent="0.35">
      <c r="A381" s="2" t="s">
        <v>2694</v>
      </c>
      <c r="B381" s="2">
        <v>677.28103564153298</v>
      </c>
      <c r="C381" s="2">
        <v>7.0835499999999998</v>
      </c>
      <c r="D381" s="2" t="s">
        <v>70</v>
      </c>
      <c r="E381" s="2" t="s">
        <v>2695</v>
      </c>
      <c r="F381" s="2">
        <v>44694</v>
      </c>
      <c r="G381" s="3" t="str">
        <f>HYPERLINK("http://funmeta.oebiotech.com/network/44694", "http://funmeta.oebiotech.com/network/44694")</f>
        <v>http://funmeta.oebiotech.com/network/44694</v>
      </c>
      <c r="H381" s="2"/>
      <c r="I381" s="2"/>
      <c r="J381" s="2" t="s">
        <v>2696</v>
      </c>
      <c r="K381" s="2"/>
      <c r="L381" s="2"/>
      <c r="M381" s="2"/>
      <c r="N381" s="2"/>
      <c r="O381" s="2">
        <v>10054800</v>
      </c>
      <c r="P381" s="2"/>
      <c r="Q381" s="2" t="s">
        <v>2697</v>
      </c>
      <c r="R381" s="2" t="s">
        <v>2698</v>
      </c>
      <c r="S381" s="2" t="s">
        <v>50</v>
      </c>
      <c r="T381" s="2" t="s">
        <v>124</v>
      </c>
      <c r="U381" s="2" t="s">
        <v>567</v>
      </c>
      <c r="V381" s="2" t="s">
        <v>42</v>
      </c>
      <c r="W381" s="2">
        <v>54.1</v>
      </c>
      <c r="X381" s="2">
        <v>73.099999999999994</v>
      </c>
      <c r="Y381" s="2" t="s">
        <v>408</v>
      </c>
      <c r="Z381" s="2" t="s">
        <v>2699</v>
      </c>
      <c r="AA381" s="2">
        <v>-0.70233435392080701</v>
      </c>
      <c r="AB381" s="2">
        <v>1.46875849960808</v>
      </c>
      <c r="AC381" s="2">
        <v>376983.85692503199</v>
      </c>
      <c r="AD381" s="2">
        <v>231163.24130323101</v>
      </c>
      <c r="AE381" s="2">
        <v>389754.00714259897</v>
      </c>
      <c r="AF381" s="2">
        <v>342247.62204794702</v>
      </c>
      <c r="AG381" s="2">
        <v>379522.73831314303</v>
      </c>
      <c r="AH381" s="2">
        <v>365188.87937529298</v>
      </c>
      <c r="AI381" s="2">
        <v>369126.91949704202</v>
      </c>
      <c r="AJ381" s="2">
        <v>416062.97517416498</v>
      </c>
      <c r="AK381" s="2">
        <v>220899.47400279599</v>
      </c>
      <c r="AL381" s="2">
        <v>244685.71877043301</v>
      </c>
      <c r="AM381" s="2">
        <v>250361.847388503</v>
      </c>
      <c r="AN381" s="2">
        <v>223339.61093200301</v>
      </c>
      <c r="AO381" s="2">
        <v>227067.538271625</v>
      </c>
      <c r="AP381" s="2">
        <v>220625.25845402401</v>
      </c>
    </row>
    <row r="382" spans="1:42" ht="14.5" x14ac:dyDescent="0.35">
      <c r="A382" s="2" t="s">
        <v>2700</v>
      </c>
      <c r="B382" s="2">
        <v>495.33132884862499</v>
      </c>
      <c r="C382" s="2">
        <v>5.01</v>
      </c>
      <c r="D382" s="2" t="s">
        <v>34</v>
      </c>
      <c r="E382" s="2" t="s">
        <v>2701</v>
      </c>
      <c r="F382" s="2">
        <v>44002</v>
      </c>
      <c r="G382" s="3" t="str">
        <f>HYPERLINK("http://funmeta.oebiotech.com/network/44002", "http://funmeta.oebiotech.com/network/44002")</f>
        <v>http://funmeta.oebiotech.com/network/44002</v>
      </c>
      <c r="H382" s="2"/>
      <c r="I382" s="2">
        <v>57720</v>
      </c>
      <c r="J382" s="2" t="s">
        <v>2702</v>
      </c>
      <c r="K382" s="2">
        <v>27620</v>
      </c>
      <c r="L382" s="2" t="s">
        <v>2703</v>
      </c>
      <c r="M382" s="2"/>
      <c r="N382" s="2"/>
      <c r="O382" s="2">
        <v>441830</v>
      </c>
      <c r="P382" s="2"/>
      <c r="Q382" s="2" t="s">
        <v>2704</v>
      </c>
      <c r="R382" s="2" t="s">
        <v>2705</v>
      </c>
      <c r="S382" s="2" t="s">
        <v>50</v>
      </c>
      <c r="T382" s="2" t="s">
        <v>124</v>
      </c>
      <c r="U382" s="2" t="s">
        <v>125</v>
      </c>
      <c r="V382" s="2" t="s">
        <v>42</v>
      </c>
      <c r="W382" s="2">
        <v>50.1</v>
      </c>
      <c r="X382" s="2">
        <v>53.3</v>
      </c>
      <c r="Y382" s="2" t="s">
        <v>394</v>
      </c>
      <c r="Z382" s="2" t="s">
        <v>2706</v>
      </c>
      <c r="AA382" s="2">
        <v>-0.60971205068080603</v>
      </c>
      <c r="AB382" s="2">
        <v>1.45701634200057</v>
      </c>
      <c r="AC382" s="2">
        <v>734644.42156832002</v>
      </c>
      <c r="AD382" s="2">
        <v>883055.18839992303</v>
      </c>
      <c r="AE382" s="2">
        <v>718260.48774368805</v>
      </c>
      <c r="AF382" s="2">
        <v>727136.175891525</v>
      </c>
      <c r="AG382" s="2">
        <v>744715.72986559197</v>
      </c>
      <c r="AH382" s="2">
        <v>701309.273137921</v>
      </c>
      <c r="AI382" s="2">
        <v>797809.17923305905</v>
      </c>
      <c r="AJ382" s="2">
        <v>718635.68353813398</v>
      </c>
      <c r="AK382" s="2">
        <v>855617.21703669801</v>
      </c>
      <c r="AL382" s="2">
        <v>864700.67063537601</v>
      </c>
      <c r="AM382" s="2">
        <v>868622.84427574696</v>
      </c>
      <c r="AN382" s="2">
        <v>901215.80697644397</v>
      </c>
      <c r="AO382" s="2">
        <v>932966.24658329599</v>
      </c>
      <c r="AP382" s="2">
        <v>875208.34489197505</v>
      </c>
    </row>
    <row r="383" spans="1:42" ht="14.5" x14ac:dyDescent="0.35">
      <c r="A383" s="2" t="s">
        <v>2707</v>
      </c>
      <c r="B383" s="2">
        <v>875.47977141121498</v>
      </c>
      <c r="C383" s="2">
        <v>5.7044666666666703</v>
      </c>
      <c r="D383" s="2" t="s">
        <v>34</v>
      </c>
      <c r="E383" s="2" t="s">
        <v>2708</v>
      </c>
      <c r="F383" s="2">
        <v>52293</v>
      </c>
      <c r="G383" s="3" t="str">
        <f>HYPERLINK("http://funmeta.oebiotech.com/network/52293", "http://funmeta.oebiotech.com/network/52293")</f>
        <v>http://funmeta.oebiotech.com/network/52293</v>
      </c>
      <c r="H383" s="2" t="s">
        <v>2709</v>
      </c>
      <c r="I383" s="2"/>
      <c r="J383" s="2"/>
      <c r="K383" s="2"/>
      <c r="L383" s="2"/>
      <c r="M383" s="2"/>
      <c r="N383" s="2"/>
      <c r="O383" s="2">
        <v>53481800</v>
      </c>
      <c r="P383" s="2"/>
      <c r="Q383" s="2" t="s">
        <v>2710</v>
      </c>
      <c r="R383" s="2" t="s">
        <v>2711</v>
      </c>
      <c r="S383" s="2" t="s">
        <v>50</v>
      </c>
      <c r="T383" s="2" t="s">
        <v>51</v>
      </c>
      <c r="U383" s="2" t="s">
        <v>1989</v>
      </c>
      <c r="V383" s="2" t="s">
        <v>59</v>
      </c>
      <c r="W383" s="2">
        <v>37</v>
      </c>
      <c r="X383" s="2">
        <v>0</v>
      </c>
      <c r="Y383" s="2" t="s">
        <v>470</v>
      </c>
      <c r="Z383" s="2" t="s">
        <v>2712</v>
      </c>
      <c r="AA383" s="2">
        <v>-1.4253328583105001</v>
      </c>
      <c r="AB383" s="2">
        <v>1.4553056157184201</v>
      </c>
      <c r="AC383" s="2">
        <v>590682.64546673</v>
      </c>
      <c r="AD383" s="2">
        <v>440927.92401347402</v>
      </c>
      <c r="AE383" s="2">
        <v>611899.32009271497</v>
      </c>
      <c r="AF383" s="2">
        <v>561198.11362634401</v>
      </c>
      <c r="AG383" s="2">
        <v>566520.285444482</v>
      </c>
      <c r="AH383" s="2">
        <v>624284.85706350103</v>
      </c>
      <c r="AI383" s="2">
        <v>614980.54585666698</v>
      </c>
      <c r="AJ383" s="2">
        <v>565212.75071667403</v>
      </c>
      <c r="AK383" s="2">
        <v>398182.90411696199</v>
      </c>
      <c r="AL383" s="2">
        <v>409158.61553142598</v>
      </c>
      <c r="AM383" s="2">
        <v>486936.25353682402</v>
      </c>
      <c r="AN383" s="2">
        <v>437335.74636519601</v>
      </c>
      <c r="AO383" s="2">
        <v>444356.50149765902</v>
      </c>
      <c r="AP383" s="2">
        <v>469597.52303277998</v>
      </c>
    </row>
    <row r="384" spans="1:42" ht="14.5" x14ac:dyDescent="0.35">
      <c r="A384" s="2" t="s">
        <v>2713</v>
      </c>
      <c r="B384" s="2">
        <v>443.24021948967902</v>
      </c>
      <c r="C384" s="2">
        <v>9.6350833333333306</v>
      </c>
      <c r="D384" s="2" t="s">
        <v>34</v>
      </c>
      <c r="E384" s="2" t="s">
        <v>2714</v>
      </c>
      <c r="F384" s="2">
        <v>56548</v>
      </c>
      <c r="G384" s="3" t="str">
        <f>HYPERLINK("http://funmeta.oebiotech.com/network/56548", "http://funmeta.oebiotech.com/network/56548")</f>
        <v>http://funmeta.oebiotech.com/network/56548</v>
      </c>
      <c r="H384" s="2" t="s">
        <v>2715</v>
      </c>
      <c r="I384" s="2">
        <v>88183</v>
      </c>
      <c r="J384" s="2"/>
      <c r="K384" s="2">
        <v>172662</v>
      </c>
      <c r="L384" s="2"/>
      <c r="M384" s="2"/>
      <c r="N384" s="2"/>
      <c r="O384" s="2">
        <v>131751255</v>
      </c>
      <c r="P384" s="2"/>
      <c r="Q384" s="2" t="s">
        <v>2716</v>
      </c>
      <c r="R384" s="2" t="s">
        <v>2717</v>
      </c>
      <c r="S384" s="2" t="s">
        <v>89</v>
      </c>
      <c r="T384" s="2" t="s">
        <v>2718</v>
      </c>
      <c r="U384" s="2" t="s">
        <v>2719</v>
      </c>
      <c r="V384" s="2" t="s">
        <v>59</v>
      </c>
      <c r="W384" s="2">
        <v>44.7</v>
      </c>
      <c r="X384" s="2">
        <v>26.6</v>
      </c>
      <c r="Y384" s="2" t="s">
        <v>323</v>
      </c>
      <c r="Z384" s="2" t="s">
        <v>2720</v>
      </c>
      <c r="AA384" s="2">
        <v>-0.45225856733949199</v>
      </c>
      <c r="AB384" s="2">
        <v>1.4515673208243101</v>
      </c>
      <c r="AC384" s="2">
        <v>139354.90058386201</v>
      </c>
      <c r="AD384" s="2">
        <v>282380.65228931501</v>
      </c>
      <c r="AE384" s="2">
        <v>132726.31103093899</v>
      </c>
      <c r="AF384" s="2">
        <v>144141.153039836</v>
      </c>
      <c r="AG384" s="2">
        <v>133951.24719181901</v>
      </c>
      <c r="AH384" s="2">
        <v>144355.03805289799</v>
      </c>
      <c r="AI384" s="2">
        <v>137922.51945106499</v>
      </c>
      <c r="AJ384" s="2">
        <v>143033.13473661401</v>
      </c>
      <c r="AK384" s="2">
        <v>284727.60385042703</v>
      </c>
      <c r="AL384" s="2">
        <v>231889.32885106999</v>
      </c>
      <c r="AM384" s="2">
        <v>279774.91024799901</v>
      </c>
      <c r="AN384" s="2">
        <v>276791.53231157002</v>
      </c>
      <c r="AO384" s="2">
        <v>301729.71084142098</v>
      </c>
      <c r="AP384" s="2">
        <v>319370.82763340097</v>
      </c>
    </row>
    <row r="385" spans="1:42" ht="14.5" x14ac:dyDescent="0.35">
      <c r="A385" s="2" t="s">
        <v>2721</v>
      </c>
      <c r="B385" s="2">
        <v>535.31592163138305</v>
      </c>
      <c r="C385" s="2">
        <v>12.2305333333333</v>
      </c>
      <c r="D385" s="2" t="s">
        <v>34</v>
      </c>
      <c r="E385" s="2" t="s">
        <v>2722</v>
      </c>
      <c r="F385" s="2">
        <v>27927</v>
      </c>
      <c r="G385" s="3" t="str">
        <f>HYPERLINK("http://funmeta.oebiotech.com/network/27927", "http://funmeta.oebiotech.com/network/27927")</f>
        <v>http://funmeta.oebiotech.com/network/27927</v>
      </c>
      <c r="H385" s="2"/>
      <c r="I385" s="2"/>
      <c r="J385" s="2" t="s">
        <v>2723</v>
      </c>
      <c r="K385" s="2">
        <v>138339</v>
      </c>
      <c r="L385" s="2"/>
      <c r="M385" s="2"/>
      <c r="N385" s="2"/>
      <c r="O385" s="2">
        <v>129626686</v>
      </c>
      <c r="P385" s="2"/>
      <c r="Q385" s="2" t="s">
        <v>2724</v>
      </c>
      <c r="R385" s="2" t="s">
        <v>2725</v>
      </c>
      <c r="S385" s="2" t="s">
        <v>50</v>
      </c>
      <c r="T385" s="2" t="s">
        <v>229</v>
      </c>
      <c r="U385" s="2" t="s">
        <v>766</v>
      </c>
      <c r="V385" s="2" t="s">
        <v>59</v>
      </c>
      <c r="W385" s="2">
        <v>36.700000000000003</v>
      </c>
      <c r="X385" s="2">
        <v>0.48199999999999998</v>
      </c>
      <c r="Y385" s="2" t="s">
        <v>43</v>
      </c>
      <c r="Z385" s="2" t="s">
        <v>2726</v>
      </c>
      <c r="AA385" s="2">
        <v>3.1744849623478699</v>
      </c>
      <c r="AB385" s="2">
        <v>1.4491772838983801</v>
      </c>
      <c r="AC385" s="2">
        <v>4.0519045594558802</v>
      </c>
      <c r="AD385" s="2">
        <v>138301.612840043</v>
      </c>
      <c r="AE385" s="2">
        <v>0.207595177386553</v>
      </c>
      <c r="AF385" s="2">
        <v>5.7232217814907802</v>
      </c>
      <c r="AG385" s="2">
        <v>3.7408193709194602</v>
      </c>
      <c r="AH385" s="2">
        <v>12.9178968071807</v>
      </c>
      <c r="AI385" s="2">
        <v>2.7106294003980101E-5</v>
      </c>
      <c r="AJ385" s="2">
        <v>1.72186711346378</v>
      </c>
      <c r="AK385" s="2">
        <v>127499.44336015701</v>
      </c>
      <c r="AL385" s="2">
        <v>126122.297950607</v>
      </c>
      <c r="AM385" s="2">
        <v>142090.79039071599</v>
      </c>
      <c r="AN385" s="2">
        <v>139620.15577823401</v>
      </c>
      <c r="AO385" s="2">
        <v>142836.09776318999</v>
      </c>
      <c r="AP385" s="2">
        <v>151640.89179735299</v>
      </c>
    </row>
    <row r="386" spans="1:42" ht="14.5" x14ac:dyDescent="0.35">
      <c r="A386" s="2" t="s">
        <v>2727</v>
      </c>
      <c r="B386" s="2">
        <v>723.38075368530895</v>
      </c>
      <c r="C386" s="2">
        <v>10.04975</v>
      </c>
      <c r="D386" s="2" t="s">
        <v>70</v>
      </c>
      <c r="E386" s="2" t="s">
        <v>2728</v>
      </c>
      <c r="F386" s="2">
        <v>64202</v>
      </c>
      <c r="G386" s="3" t="str">
        <f>HYPERLINK("http://funmeta.oebiotech.com/network/64202", "http://funmeta.oebiotech.com/network/64202")</f>
        <v>http://funmeta.oebiotech.com/network/64202</v>
      </c>
      <c r="H386" s="2" t="s">
        <v>2729</v>
      </c>
      <c r="I386" s="2"/>
      <c r="J386" s="2"/>
      <c r="K386" s="2"/>
      <c r="L386" s="2"/>
      <c r="M386" s="2"/>
      <c r="N386" s="2"/>
      <c r="O386" s="2">
        <v>131753023</v>
      </c>
      <c r="P386" s="2" t="s">
        <v>2730</v>
      </c>
      <c r="Q386" s="2" t="s">
        <v>2731</v>
      </c>
      <c r="R386" s="2" t="s">
        <v>2732</v>
      </c>
      <c r="S386" s="2" t="s">
        <v>50</v>
      </c>
      <c r="T386" s="2" t="s">
        <v>448</v>
      </c>
      <c r="U386" s="2" t="s">
        <v>449</v>
      </c>
      <c r="V386" s="2" t="s">
        <v>42</v>
      </c>
      <c r="W386" s="2">
        <v>51.5</v>
      </c>
      <c r="X386" s="2">
        <v>59.7</v>
      </c>
      <c r="Y386" s="2" t="s">
        <v>286</v>
      </c>
      <c r="Z386" s="2" t="s">
        <v>2733</v>
      </c>
      <c r="AA386" s="2">
        <v>-0.15583917100240199</v>
      </c>
      <c r="AB386" s="2">
        <v>1.44800670797594</v>
      </c>
      <c r="AC386" s="2">
        <v>340715.05341783102</v>
      </c>
      <c r="AD386" s="2">
        <v>481221.55503510602</v>
      </c>
      <c r="AE386" s="2">
        <v>350638.99851071998</v>
      </c>
      <c r="AF386" s="2">
        <v>348479.10708406498</v>
      </c>
      <c r="AG386" s="2">
        <v>327674.677256383</v>
      </c>
      <c r="AH386" s="2">
        <v>333231.31295095402</v>
      </c>
      <c r="AI386" s="2">
        <v>336901.05211026699</v>
      </c>
      <c r="AJ386" s="2">
        <v>347365.17259459599</v>
      </c>
      <c r="AK386" s="2">
        <v>475414.46001192799</v>
      </c>
      <c r="AL386" s="2">
        <v>453312.25954831199</v>
      </c>
      <c r="AM386" s="2">
        <v>472349.53721781803</v>
      </c>
      <c r="AN386" s="2">
        <v>478153.48231109901</v>
      </c>
      <c r="AO386" s="2">
        <v>514675.05924131098</v>
      </c>
      <c r="AP386" s="2">
        <v>493424.531880169</v>
      </c>
    </row>
    <row r="387" spans="1:42" ht="14.5" x14ac:dyDescent="0.35">
      <c r="A387" s="2" t="s">
        <v>2734</v>
      </c>
      <c r="B387" s="2">
        <v>363.06617893177997</v>
      </c>
      <c r="C387" s="2">
        <v>3.0346333333333302</v>
      </c>
      <c r="D387" s="2" t="s">
        <v>70</v>
      </c>
      <c r="E387" s="2" t="s">
        <v>2735</v>
      </c>
      <c r="F387" s="2">
        <v>203961</v>
      </c>
      <c r="G387" s="3" t="str">
        <f>HYPERLINK("http://funmeta.oebiotech.com/network/203961", "http://funmeta.oebiotech.com/network/203961")</f>
        <v>http://funmeta.oebiotech.com/network/203961</v>
      </c>
      <c r="H387" s="2" t="s">
        <v>2736</v>
      </c>
      <c r="I387" s="2"/>
      <c r="J387" s="2"/>
      <c r="K387" s="2"/>
      <c r="L387" s="2"/>
      <c r="M387" s="2"/>
      <c r="N387" s="2"/>
      <c r="O387" s="2">
        <v>53437714</v>
      </c>
      <c r="P387" s="2"/>
      <c r="Q387" s="2" t="s">
        <v>2737</v>
      </c>
      <c r="R387" s="2" t="s">
        <v>2738</v>
      </c>
      <c r="S387" s="2" t="s">
        <v>115</v>
      </c>
      <c r="T387" s="2" t="s">
        <v>116</v>
      </c>
      <c r="U387" s="2" t="s">
        <v>41</v>
      </c>
      <c r="V387" s="2" t="s">
        <v>59</v>
      </c>
      <c r="W387" s="2">
        <v>38.200000000000003</v>
      </c>
      <c r="X387" s="2">
        <v>0</v>
      </c>
      <c r="Y387" s="2" t="s">
        <v>408</v>
      </c>
      <c r="Z387" s="2" t="s">
        <v>2739</v>
      </c>
      <c r="AA387" s="2">
        <v>1.7232979923807299</v>
      </c>
      <c r="AB387" s="2">
        <v>1.43904302402585</v>
      </c>
      <c r="AC387" s="2">
        <v>254165.003045163</v>
      </c>
      <c r="AD387" s="2">
        <v>391460.76125904499</v>
      </c>
      <c r="AE387" s="2">
        <v>249515.11117053201</v>
      </c>
      <c r="AF387" s="2">
        <v>256419.580734338</v>
      </c>
      <c r="AG387" s="2">
        <v>255730.58465974199</v>
      </c>
      <c r="AH387" s="2">
        <v>238884.86344738401</v>
      </c>
      <c r="AI387" s="2">
        <v>250559.49055769501</v>
      </c>
      <c r="AJ387" s="2">
        <v>273880.38770128897</v>
      </c>
      <c r="AK387" s="2">
        <v>380656.19544922799</v>
      </c>
      <c r="AL387" s="2">
        <v>388699.77434264799</v>
      </c>
      <c r="AM387" s="2">
        <v>410925.20803946798</v>
      </c>
      <c r="AN387" s="2">
        <v>393943.17857992998</v>
      </c>
      <c r="AO387" s="2">
        <v>387164.23830338701</v>
      </c>
      <c r="AP387" s="2">
        <v>387375.97283961001</v>
      </c>
    </row>
    <row r="388" spans="1:42" ht="14.5" x14ac:dyDescent="0.35">
      <c r="A388" s="2" t="s">
        <v>2740</v>
      </c>
      <c r="B388" s="2">
        <v>353.12063048746802</v>
      </c>
      <c r="C388" s="2">
        <v>3.54918333333333</v>
      </c>
      <c r="D388" s="2" t="s">
        <v>34</v>
      </c>
      <c r="E388" s="2" t="s">
        <v>2741</v>
      </c>
      <c r="F388" s="2">
        <v>57344</v>
      </c>
      <c r="G388" s="3" t="str">
        <f>HYPERLINK("http://funmeta.oebiotech.com/network/57344", "http://funmeta.oebiotech.com/network/57344")</f>
        <v>http://funmeta.oebiotech.com/network/57344</v>
      </c>
      <c r="H388" s="2" t="s">
        <v>2742</v>
      </c>
      <c r="I388" s="2"/>
      <c r="J388" s="2"/>
      <c r="K388" s="2">
        <v>168169</v>
      </c>
      <c r="L388" s="2"/>
      <c r="M388" s="2"/>
      <c r="N388" s="2"/>
      <c r="O388" s="2">
        <v>85232921</v>
      </c>
      <c r="P388" s="2"/>
      <c r="Q388" s="2" t="s">
        <v>2743</v>
      </c>
      <c r="R388" s="2" t="s">
        <v>2744</v>
      </c>
      <c r="S388" s="2" t="s">
        <v>79</v>
      </c>
      <c r="T388" s="2" t="s">
        <v>80</v>
      </c>
      <c r="U388" s="2" t="s">
        <v>81</v>
      </c>
      <c r="V388" s="2" t="s">
        <v>59</v>
      </c>
      <c r="W388" s="2">
        <v>42.8</v>
      </c>
      <c r="X388" s="2">
        <v>18</v>
      </c>
      <c r="Y388" s="2" t="s">
        <v>376</v>
      </c>
      <c r="Z388" s="2" t="s">
        <v>2745</v>
      </c>
      <c r="AA388" s="2">
        <v>-0.175247008258543</v>
      </c>
      <c r="AB388" s="2">
        <v>1.43349304655059</v>
      </c>
      <c r="AC388" s="2">
        <v>391156.94000713102</v>
      </c>
      <c r="AD388" s="2">
        <v>532855.64642997901</v>
      </c>
      <c r="AE388" s="2">
        <v>387614.05504497502</v>
      </c>
      <c r="AF388" s="2">
        <v>424642.02182048198</v>
      </c>
      <c r="AG388" s="2">
        <v>397493.54590172198</v>
      </c>
      <c r="AH388" s="2">
        <v>349047.06148909702</v>
      </c>
      <c r="AI388" s="2">
        <v>379236.45649091701</v>
      </c>
      <c r="AJ388" s="2">
        <v>408908.49929559598</v>
      </c>
      <c r="AK388" s="2">
        <v>488833.62586250901</v>
      </c>
      <c r="AL388" s="2">
        <v>553810.49852876598</v>
      </c>
      <c r="AM388" s="2">
        <v>545071.644835221</v>
      </c>
      <c r="AN388" s="2">
        <v>542833.46219491796</v>
      </c>
      <c r="AO388" s="2">
        <v>537599.18163877504</v>
      </c>
      <c r="AP388" s="2">
        <v>528985.46551968204</v>
      </c>
    </row>
    <row r="389" spans="1:42" ht="14.5" x14ac:dyDescent="0.35">
      <c r="A389" s="2" t="s">
        <v>2746</v>
      </c>
      <c r="B389" s="2">
        <v>223.04512183828999</v>
      </c>
      <c r="C389" s="2">
        <v>0.72340000000000004</v>
      </c>
      <c r="D389" s="2" t="s">
        <v>70</v>
      </c>
      <c r="E389" s="2" t="s">
        <v>2747</v>
      </c>
      <c r="F389" s="2">
        <v>47552</v>
      </c>
      <c r="G389" s="3" t="str">
        <f>HYPERLINK("http://funmeta.oebiotech.com/network/47552", "http://funmeta.oebiotech.com/network/47552")</f>
        <v>http://funmeta.oebiotech.com/network/47552</v>
      </c>
      <c r="H389" s="2" t="s">
        <v>2748</v>
      </c>
      <c r="I389" s="2">
        <v>66316</v>
      </c>
      <c r="J389" s="2"/>
      <c r="K389" s="2">
        <v>27453</v>
      </c>
      <c r="L389" s="2" t="s">
        <v>2749</v>
      </c>
      <c r="M389" s="2"/>
      <c r="N389" s="2"/>
      <c r="O389" s="2">
        <v>440653</v>
      </c>
      <c r="P389" s="2"/>
      <c r="Q389" s="2" t="s">
        <v>2750</v>
      </c>
      <c r="R389" s="2" t="s">
        <v>2751</v>
      </c>
      <c r="S389" s="2" t="s">
        <v>79</v>
      </c>
      <c r="T389" s="2" t="s">
        <v>80</v>
      </c>
      <c r="U389" s="2" t="s">
        <v>81</v>
      </c>
      <c r="V389" s="2" t="s">
        <v>42</v>
      </c>
      <c r="W389" s="2">
        <v>54</v>
      </c>
      <c r="X389" s="2">
        <v>76.900000000000006</v>
      </c>
      <c r="Y389" s="2" t="s">
        <v>408</v>
      </c>
      <c r="Z389" s="2" t="s">
        <v>2752</v>
      </c>
      <c r="AA389" s="2">
        <v>-4.6002818066811697</v>
      </c>
      <c r="AB389" s="2">
        <v>1.4327167259179201</v>
      </c>
      <c r="AC389" s="2">
        <v>331139.991963665</v>
      </c>
      <c r="AD389" s="2">
        <v>487799.53276080202</v>
      </c>
      <c r="AE389" s="2">
        <v>293045.25118124002</v>
      </c>
      <c r="AF389" s="2">
        <v>365222.40819544898</v>
      </c>
      <c r="AG389" s="2">
        <v>326988.84129891399</v>
      </c>
      <c r="AH389" s="2">
        <v>329505.56845454703</v>
      </c>
      <c r="AI389" s="2">
        <v>347912.09283606597</v>
      </c>
      <c r="AJ389" s="2">
        <v>324165.789815775</v>
      </c>
      <c r="AK389" s="2">
        <v>542352.51233705296</v>
      </c>
      <c r="AL389" s="2">
        <v>587836.643374454</v>
      </c>
      <c r="AM389" s="2">
        <v>436059.14293072303</v>
      </c>
      <c r="AN389" s="2">
        <v>430905.847096237</v>
      </c>
      <c r="AO389" s="2">
        <v>498115.05891991599</v>
      </c>
      <c r="AP389" s="2">
        <v>431527.99190642702</v>
      </c>
    </row>
    <row r="390" spans="1:42" ht="14.5" x14ac:dyDescent="0.35">
      <c r="A390" s="2" t="s">
        <v>2753</v>
      </c>
      <c r="B390" s="2">
        <v>427.14179152852103</v>
      </c>
      <c r="C390" s="2">
        <v>0.75019999999999998</v>
      </c>
      <c r="D390" s="2" t="s">
        <v>34</v>
      </c>
      <c r="E390" s="2" t="s">
        <v>2754</v>
      </c>
      <c r="F390" s="2">
        <v>257593</v>
      </c>
      <c r="G390" s="3" t="str">
        <f>HYPERLINK("http://funmeta.oebiotech.com/network/257593", "http://funmeta.oebiotech.com/network/257593")</f>
        <v>http://funmeta.oebiotech.com/network/257593</v>
      </c>
      <c r="H390" s="2" t="s">
        <v>2755</v>
      </c>
      <c r="I390" s="2"/>
      <c r="J390" s="2"/>
      <c r="K390" s="2">
        <v>142432</v>
      </c>
      <c r="L390" s="2"/>
      <c r="M390" s="2"/>
      <c r="N390" s="2"/>
      <c r="O390" s="2"/>
      <c r="P390" s="2"/>
      <c r="Q390" s="2" t="s">
        <v>2756</v>
      </c>
      <c r="R390" s="2" t="s">
        <v>2757</v>
      </c>
      <c r="S390" s="2" t="s">
        <v>491</v>
      </c>
      <c r="T390" s="2" t="s">
        <v>2758</v>
      </c>
      <c r="U390" s="2" t="s">
        <v>41</v>
      </c>
      <c r="V390" s="2" t="s">
        <v>59</v>
      </c>
      <c r="W390" s="2">
        <v>37.299999999999997</v>
      </c>
      <c r="X390" s="2">
        <v>0</v>
      </c>
      <c r="Y390" s="2" t="s">
        <v>266</v>
      </c>
      <c r="Z390" s="2" t="s">
        <v>2759</v>
      </c>
      <c r="AA390" s="2">
        <v>-4.4894873842817402</v>
      </c>
      <c r="AB390" s="2">
        <v>1.43270130614891</v>
      </c>
      <c r="AC390" s="2">
        <v>989276.52225126198</v>
      </c>
      <c r="AD390" s="2">
        <v>1154991.1539817201</v>
      </c>
      <c r="AE390" s="2">
        <v>958538.754273845</v>
      </c>
      <c r="AF390" s="2">
        <v>966705.36171000695</v>
      </c>
      <c r="AG390" s="2">
        <v>1060039.0785759599</v>
      </c>
      <c r="AH390" s="2">
        <v>1013352.03419551</v>
      </c>
      <c r="AI390" s="2">
        <v>1004535.17426108</v>
      </c>
      <c r="AJ390" s="2">
        <v>932488.73049116903</v>
      </c>
      <c r="AK390" s="2">
        <v>1274052.97743702</v>
      </c>
      <c r="AL390" s="2">
        <v>1209793.87550427</v>
      </c>
      <c r="AM390" s="2">
        <v>1112853.2135282899</v>
      </c>
      <c r="AN390" s="2">
        <v>1073802.0903548</v>
      </c>
      <c r="AO390" s="2">
        <v>1173844.0051569799</v>
      </c>
      <c r="AP390" s="2">
        <v>1085600.7619089801</v>
      </c>
    </row>
    <row r="391" spans="1:42" ht="14.5" x14ac:dyDescent="0.35">
      <c r="A391" s="2" t="s">
        <v>2760</v>
      </c>
      <c r="B391" s="2">
        <v>577.29935762337402</v>
      </c>
      <c r="C391" s="2">
        <v>6.4626999999999999</v>
      </c>
      <c r="D391" s="2" t="s">
        <v>70</v>
      </c>
      <c r="E391" s="2" t="s">
        <v>2761</v>
      </c>
      <c r="F391" s="2">
        <v>7847</v>
      </c>
      <c r="G391" s="3" t="str">
        <f>HYPERLINK("http://funmeta.oebiotech.com/network/7847", "http://funmeta.oebiotech.com/network/7847")</f>
        <v>http://funmeta.oebiotech.com/network/7847</v>
      </c>
      <c r="H391" s="2"/>
      <c r="I391" s="2"/>
      <c r="J391" s="2" t="s">
        <v>2762</v>
      </c>
      <c r="K391" s="2"/>
      <c r="L391" s="2"/>
      <c r="M391" s="2"/>
      <c r="N391" s="2"/>
      <c r="O391" s="2">
        <v>23655746</v>
      </c>
      <c r="P391" s="2"/>
      <c r="Q391" s="2" t="s">
        <v>2763</v>
      </c>
      <c r="R391" s="2" t="s">
        <v>2764</v>
      </c>
      <c r="S391" s="2" t="s">
        <v>115</v>
      </c>
      <c r="T391" s="2" t="s">
        <v>1384</v>
      </c>
      <c r="U391" s="2" t="s">
        <v>41</v>
      </c>
      <c r="V391" s="2" t="s">
        <v>59</v>
      </c>
      <c r="W391" s="2">
        <v>44.1</v>
      </c>
      <c r="X391" s="2">
        <v>34.1</v>
      </c>
      <c r="Y391" s="2" t="s">
        <v>118</v>
      </c>
      <c r="Z391" s="2" t="s">
        <v>2765</v>
      </c>
      <c r="AA391" s="2">
        <v>-4.2600323182298601</v>
      </c>
      <c r="AB391" s="2">
        <v>1.4250227301168199</v>
      </c>
      <c r="AC391" s="2">
        <v>216904.63885755301</v>
      </c>
      <c r="AD391" s="2">
        <v>352052.94066742097</v>
      </c>
      <c r="AE391" s="2">
        <v>216883.944116775</v>
      </c>
      <c r="AF391" s="2">
        <v>209291.49107004501</v>
      </c>
      <c r="AG391" s="2">
        <v>222491.889603691</v>
      </c>
      <c r="AH391" s="2">
        <v>209117.83030066799</v>
      </c>
      <c r="AI391" s="2">
        <v>221915.977315125</v>
      </c>
      <c r="AJ391" s="2">
        <v>221726.700739016</v>
      </c>
      <c r="AK391" s="2">
        <v>336988.23051763402</v>
      </c>
      <c r="AL391" s="2">
        <v>368852.84556479799</v>
      </c>
      <c r="AM391" s="2">
        <v>342871.57605459698</v>
      </c>
      <c r="AN391" s="2">
        <v>345910.92352509103</v>
      </c>
      <c r="AO391" s="2">
        <v>376961.66280274402</v>
      </c>
      <c r="AP391" s="2">
        <v>340732.405539662</v>
      </c>
    </row>
    <row r="392" spans="1:42" ht="14.5" x14ac:dyDescent="0.35">
      <c r="A392" s="2" t="s">
        <v>2766</v>
      </c>
      <c r="B392" s="2">
        <v>893.33467518751399</v>
      </c>
      <c r="C392" s="2">
        <v>9.5617000000000001</v>
      </c>
      <c r="D392" s="2" t="s">
        <v>70</v>
      </c>
      <c r="E392" s="2" t="s">
        <v>2767</v>
      </c>
      <c r="F392" s="2">
        <v>204487</v>
      </c>
      <c r="G392" s="3" t="str">
        <f>HYPERLINK("http://funmeta.oebiotech.com/network/204487", "http://funmeta.oebiotech.com/network/204487")</f>
        <v>http://funmeta.oebiotech.com/network/204487</v>
      </c>
      <c r="H392" s="2" t="s">
        <v>2768</v>
      </c>
      <c r="I392" s="2">
        <v>436884</v>
      </c>
      <c r="J392" s="2"/>
      <c r="K392" s="2"/>
      <c r="L392" s="2"/>
      <c r="M392" s="2"/>
      <c r="N392" s="2"/>
      <c r="O392" s="2">
        <v>2724886</v>
      </c>
      <c r="P392" s="2"/>
      <c r="Q392" s="2" t="s">
        <v>2769</v>
      </c>
      <c r="R392" s="2" t="s">
        <v>2770</v>
      </c>
      <c r="S392" s="2" t="s">
        <v>41</v>
      </c>
      <c r="T392" s="2" t="s">
        <v>41</v>
      </c>
      <c r="U392" s="2" t="s">
        <v>41</v>
      </c>
      <c r="V392" s="2" t="s">
        <v>59</v>
      </c>
      <c r="W392" s="2">
        <v>39.9</v>
      </c>
      <c r="X392" s="2">
        <v>18.5</v>
      </c>
      <c r="Y392" s="2" t="s">
        <v>1395</v>
      </c>
      <c r="Z392" s="2" t="s">
        <v>2771</v>
      </c>
      <c r="AA392" s="2">
        <v>1.83161348238213</v>
      </c>
      <c r="AB392" s="2">
        <v>1.42100918632954</v>
      </c>
      <c r="AC392" s="2">
        <v>444408.81847542198</v>
      </c>
      <c r="AD392" s="2">
        <v>302559.50734658598</v>
      </c>
      <c r="AE392" s="2">
        <v>474916.36166755197</v>
      </c>
      <c r="AF392" s="2">
        <v>484964.60400332802</v>
      </c>
      <c r="AG392" s="2">
        <v>463387.697302491</v>
      </c>
      <c r="AH392" s="2">
        <v>435434.07444606198</v>
      </c>
      <c r="AI392" s="2">
        <v>408957.03196579101</v>
      </c>
      <c r="AJ392" s="2">
        <v>398793.14146731002</v>
      </c>
      <c r="AK392" s="2">
        <v>326864.02623974998</v>
      </c>
      <c r="AL392" s="2">
        <v>336989.565165448</v>
      </c>
      <c r="AM392" s="2">
        <v>305095.25850579498</v>
      </c>
      <c r="AN392" s="2">
        <v>276303.97702931397</v>
      </c>
      <c r="AO392" s="2">
        <v>270516.49730453099</v>
      </c>
      <c r="AP392" s="2">
        <v>299587.71983467799</v>
      </c>
    </row>
    <row r="393" spans="1:42" ht="14.5" x14ac:dyDescent="0.35">
      <c r="A393" s="2" t="s">
        <v>2772</v>
      </c>
      <c r="B393" s="2">
        <v>933.23097901573703</v>
      </c>
      <c r="C393" s="2">
        <v>4.84418333333333</v>
      </c>
      <c r="D393" s="2" t="s">
        <v>70</v>
      </c>
      <c r="E393" s="2" t="s">
        <v>2773</v>
      </c>
      <c r="F393" s="2">
        <v>32055</v>
      </c>
      <c r="G393" s="3" t="str">
        <f>HYPERLINK("http://funmeta.oebiotech.com/network/32055", "http://funmeta.oebiotech.com/network/32055")</f>
        <v>http://funmeta.oebiotech.com/network/32055</v>
      </c>
      <c r="H393" s="2"/>
      <c r="I393" s="2">
        <v>50384</v>
      </c>
      <c r="J393" s="2" t="s">
        <v>2774</v>
      </c>
      <c r="K393" s="2"/>
      <c r="L393" s="2"/>
      <c r="M393" s="2"/>
      <c r="N393" s="2"/>
      <c r="O393" s="2">
        <v>44259038</v>
      </c>
      <c r="P393" s="2"/>
      <c r="Q393" s="2" t="s">
        <v>2775</v>
      </c>
      <c r="R393" s="2" t="s">
        <v>2776</v>
      </c>
      <c r="S393" s="2" t="s">
        <v>115</v>
      </c>
      <c r="T393" s="2" t="s">
        <v>139</v>
      </c>
      <c r="U393" s="2" t="s">
        <v>140</v>
      </c>
      <c r="V393" s="2" t="s">
        <v>42</v>
      </c>
      <c r="W393" s="2">
        <v>53.5</v>
      </c>
      <c r="X393" s="2">
        <v>71.900000000000006</v>
      </c>
      <c r="Y393" s="2" t="s">
        <v>408</v>
      </c>
      <c r="Z393" s="2" t="s">
        <v>2777</v>
      </c>
      <c r="AA393" s="2">
        <v>0.397535969548095</v>
      </c>
      <c r="AB393" s="2">
        <v>1.4192103538338401</v>
      </c>
      <c r="AC393" s="2">
        <v>462009.42670543998</v>
      </c>
      <c r="AD393" s="2">
        <v>320312.16403368401</v>
      </c>
      <c r="AE393" s="2">
        <v>447368.37033625698</v>
      </c>
      <c r="AF393" s="2">
        <v>460631.16061529802</v>
      </c>
      <c r="AG393" s="2">
        <v>443257.83656911901</v>
      </c>
      <c r="AH393" s="2">
        <v>424484.195518105</v>
      </c>
      <c r="AI393" s="2">
        <v>465701.85563590401</v>
      </c>
      <c r="AJ393" s="2">
        <v>530613.14155795705</v>
      </c>
      <c r="AK393" s="2">
        <v>293412.71649087401</v>
      </c>
      <c r="AL393" s="2">
        <v>310080.22167246399</v>
      </c>
      <c r="AM393" s="2">
        <v>354566.59481762501</v>
      </c>
      <c r="AN393" s="2">
        <v>319022.364089949</v>
      </c>
      <c r="AO393" s="2">
        <v>320450.306105303</v>
      </c>
      <c r="AP393" s="2">
        <v>324340.78102588898</v>
      </c>
    </row>
    <row r="394" spans="1:42" ht="14.5" x14ac:dyDescent="0.35">
      <c r="A394" s="2" t="s">
        <v>2778</v>
      </c>
      <c r="B394" s="2">
        <v>951.58512854885396</v>
      </c>
      <c r="C394" s="2">
        <v>10.890933333333299</v>
      </c>
      <c r="D394" s="2" t="s">
        <v>34</v>
      </c>
      <c r="E394" s="2" t="s">
        <v>2779</v>
      </c>
      <c r="F394" s="2">
        <v>41</v>
      </c>
      <c r="G394" s="3" t="str">
        <f>HYPERLINK("http://funmeta.oebiotech.com/network/41", "http://funmeta.oebiotech.com/network/41")</f>
        <v>http://funmeta.oebiotech.com/network/41</v>
      </c>
      <c r="H394" s="2"/>
      <c r="I394" s="2"/>
      <c r="J394" s="2" t="s">
        <v>2780</v>
      </c>
      <c r="K394" s="2"/>
      <c r="L394" s="2"/>
      <c r="M394" s="2"/>
      <c r="N394" s="2"/>
      <c r="O394" s="2"/>
      <c r="P394" s="2"/>
      <c r="Q394" s="2" t="s">
        <v>2781</v>
      </c>
      <c r="R394" s="2" t="s">
        <v>2782</v>
      </c>
      <c r="S394" s="2" t="s">
        <v>89</v>
      </c>
      <c r="T394" s="2" t="s">
        <v>90</v>
      </c>
      <c r="U394" s="2" t="s">
        <v>469</v>
      </c>
      <c r="V394" s="2" t="s">
        <v>59</v>
      </c>
      <c r="W394" s="2">
        <v>37</v>
      </c>
      <c r="X394" s="2">
        <v>0</v>
      </c>
      <c r="Y394" s="2" t="s">
        <v>141</v>
      </c>
      <c r="Z394" s="2" t="s">
        <v>2783</v>
      </c>
      <c r="AA394" s="2">
        <v>-3.6793562375319802</v>
      </c>
      <c r="AB394" s="2">
        <v>1.41413334037675</v>
      </c>
      <c r="AC394" s="2">
        <v>2302.8762914041299</v>
      </c>
      <c r="AD394" s="2">
        <v>135281.140330102</v>
      </c>
      <c r="AE394" s="2">
        <v>2838.9398200307501</v>
      </c>
      <c r="AF394" s="2">
        <v>2148.2708632495001</v>
      </c>
      <c r="AG394" s="2">
        <v>2063.5879576315201</v>
      </c>
      <c r="AH394" s="2">
        <v>2640.8490515851699</v>
      </c>
      <c r="AI394" s="2">
        <v>1943.4949500521</v>
      </c>
      <c r="AJ394" s="2">
        <v>2182.11510587576</v>
      </c>
      <c r="AK394" s="2">
        <v>121764.46483132101</v>
      </c>
      <c r="AL394" s="2">
        <v>116589.801155109</v>
      </c>
      <c r="AM394" s="2">
        <v>166786.97050317901</v>
      </c>
      <c r="AN394" s="2">
        <v>132065.602400434</v>
      </c>
      <c r="AO394" s="2">
        <v>134224.97671055599</v>
      </c>
      <c r="AP394" s="2">
        <v>140255.02638001301</v>
      </c>
    </row>
    <row r="395" spans="1:42" ht="14.5" x14ac:dyDescent="0.35">
      <c r="A395" s="2" t="s">
        <v>2784</v>
      </c>
      <c r="B395" s="2">
        <v>447.31025598129401</v>
      </c>
      <c r="C395" s="2">
        <v>5.72068333333333</v>
      </c>
      <c r="D395" s="2" t="s">
        <v>34</v>
      </c>
      <c r="E395" s="2" t="s">
        <v>2785</v>
      </c>
      <c r="F395" s="2">
        <v>46503</v>
      </c>
      <c r="G395" s="3" t="str">
        <f>HYPERLINK("http://funmeta.oebiotech.com/network/46503", "http://funmeta.oebiotech.com/network/46503")</f>
        <v>http://funmeta.oebiotech.com/network/46503</v>
      </c>
      <c r="H395" s="2"/>
      <c r="I395" s="2">
        <v>84888</v>
      </c>
      <c r="J395" s="2" t="s">
        <v>2786</v>
      </c>
      <c r="K395" s="2"/>
      <c r="L395" s="2"/>
      <c r="M395" s="2"/>
      <c r="N395" s="2"/>
      <c r="O395" s="2">
        <v>52931536</v>
      </c>
      <c r="P395" s="2"/>
      <c r="Q395" s="2" t="s">
        <v>2787</v>
      </c>
      <c r="R395" s="2" t="s">
        <v>2788</v>
      </c>
      <c r="S395" s="2" t="s">
        <v>50</v>
      </c>
      <c r="T395" s="2" t="s">
        <v>124</v>
      </c>
      <c r="U395" s="2" t="s">
        <v>2789</v>
      </c>
      <c r="V395" s="2" t="s">
        <v>42</v>
      </c>
      <c r="W395" s="2">
        <v>50.8</v>
      </c>
      <c r="X395" s="2">
        <v>61.4</v>
      </c>
      <c r="Y395" s="2" t="s">
        <v>1115</v>
      </c>
      <c r="Z395" s="2" t="s">
        <v>416</v>
      </c>
      <c r="AA395" s="2">
        <v>-0.52743888221089497</v>
      </c>
      <c r="AB395" s="2">
        <v>1.4139217529118899</v>
      </c>
      <c r="AC395" s="2">
        <v>218685.959453313</v>
      </c>
      <c r="AD395" s="2">
        <v>350441.72846897901</v>
      </c>
      <c r="AE395" s="2">
        <v>219300.467696682</v>
      </c>
      <c r="AF395" s="2">
        <v>210244.83384622401</v>
      </c>
      <c r="AG395" s="2">
        <v>217325.19206755399</v>
      </c>
      <c r="AH395" s="2">
        <v>213991.05831359301</v>
      </c>
      <c r="AI395" s="2">
        <v>233386.699915245</v>
      </c>
      <c r="AJ395" s="2">
        <v>217867.50488058099</v>
      </c>
      <c r="AK395" s="2">
        <v>341796.15678770898</v>
      </c>
      <c r="AL395" s="2">
        <v>349646.82045248302</v>
      </c>
      <c r="AM395" s="2">
        <v>347079.58175953501</v>
      </c>
      <c r="AN395" s="2">
        <v>349137.30661083298</v>
      </c>
      <c r="AO395" s="2">
        <v>349879.91137435799</v>
      </c>
      <c r="AP395" s="2">
        <v>365110.59382895601</v>
      </c>
    </row>
    <row r="396" spans="1:42" ht="14.5" x14ac:dyDescent="0.35">
      <c r="A396" s="2" t="s">
        <v>2790</v>
      </c>
      <c r="B396" s="2">
        <v>515.318359621833</v>
      </c>
      <c r="C396" s="2">
        <v>12.3610166666667</v>
      </c>
      <c r="D396" s="2" t="s">
        <v>34</v>
      </c>
      <c r="E396" s="2" t="s">
        <v>2791</v>
      </c>
      <c r="F396" s="2">
        <v>8759</v>
      </c>
      <c r="G396" s="3" t="str">
        <f>HYPERLINK("http://funmeta.oebiotech.com/network/8759", "http://funmeta.oebiotech.com/network/8759")</f>
        <v>http://funmeta.oebiotech.com/network/8759</v>
      </c>
      <c r="H396" s="2"/>
      <c r="I396" s="2"/>
      <c r="J396" s="2" t="s">
        <v>2792</v>
      </c>
      <c r="K396" s="2">
        <v>66066</v>
      </c>
      <c r="L396" s="2"/>
      <c r="M396" s="2"/>
      <c r="N396" s="2"/>
      <c r="O396" s="2">
        <v>9828474</v>
      </c>
      <c r="P396" s="2"/>
      <c r="Q396" s="2" t="s">
        <v>2793</v>
      </c>
      <c r="R396" s="2" t="s">
        <v>2794</v>
      </c>
      <c r="S396" s="2" t="s">
        <v>50</v>
      </c>
      <c r="T396" s="2" t="s">
        <v>229</v>
      </c>
      <c r="U396" s="2" t="s">
        <v>645</v>
      </c>
      <c r="V396" s="2" t="s">
        <v>59</v>
      </c>
      <c r="W396" s="2">
        <v>41.8</v>
      </c>
      <c r="X396" s="2">
        <v>25.9</v>
      </c>
      <c r="Y396" s="2" t="s">
        <v>141</v>
      </c>
      <c r="Z396" s="2" t="s">
        <v>2795</v>
      </c>
      <c r="AA396" s="2">
        <v>-0.77871002559205105</v>
      </c>
      <c r="AB396" s="2">
        <v>1.4128290315562699</v>
      </c>
      <c r="AC396" s="2">
        <v>395.345971349264</v>
      </c>
      <c r="AD396" s="2">
        <v>132759.48404506399</v>
      </c>
      <c r="AE396" s="2">
        <v>753.36256288547804</v>
      </c>
      <c r="AF396" s="2">
        <v>322.670901155715</v>
      </c>
      <c r="AG396" s="2">
        <v>303.41681823213901</v>
      </c>
      <c r="AH396" s="2">
        <v>438.38883883840799</v>
      </c>
      <c r="AI396" s="2">
        <v>272.42203134163202</v>
      </c>
      <c r="AJ396" s="2">
        <v>281.81467564220998</v>
      </c>
      <c r="AK396" s="2">
        <v>136481.17987749999</v>
      </c>
      <c r="AL396" s="2">
        <v>119656.33815395201</v>
      </c>
      <c r="AM396" s="2">
        <v>120913.030744476</v>
      </c>
      <c r="AN396" s="2">
        <v>123897.38444886899</v>
      </c>
      <c r="AO396" s="2">
        <v>137067.723089659</v>
      </c>
      <c r="AP396" s="2">
        <v>158541.247955931</v>
      </c>
    </row>
    <row r="397" spans="1:42" ht="14.5" x14ac:dyDescent="0.35">
      <c r="A397" s="2" t="s">
        <v>2796</v>
      </c>
      <c r="B397" s="2">
        <v>148.0602836955</v>
      </c>
      <c r="C397" s="2">
        <v>0.71894999999999998</v>
      </c>
      <c r="D397" s="2" t="s">
        <v>34</v>
      </c>
      <c r="E397" s="2" t="s">
        <v>2797</v>
      </c>
      <c r="F397" s="2">
        <v>46895</v>
      </c>
      <c r="G397" s="3" t="str">
        <f>HYPERLINK("http://funmeta.oebiotech.com/network/46895", "http://funmeta.oebiotech.com/network/46895")</f>
        <v>http://funmeta.oebiotech.com/network/46895</v>
      </c>
      <c r="H397" s="2" t="s">
        <v>2798</v>
      </c>
      <c r="I397" s="2">
        <v>19</v>
      </c>
      <c r="J397" s="2"/>
      <c r="K397" s="2">
        <v>16015</v>
      </c>
      <c r="L397" s="2" t="s">
        <v>2799</v>
      </c>
      <c r="M397" s="2" t="s">
        <v>2800</v>
      </c>
      <c r="N397" s="2" t="s">
        <v>2801</v>
      </c>
      <c r="O397" s="2">
        <v>33032</v>
      </c>
      <c r="P397" s="2" t="s">
        <v>2802</v>
      </c>
      <c r="Q397" s="2" t="s">
        <v>2803</v>
      </c>
      <c r="R397" s="2" t="s">
        <v>2804</v>
      </c>
      <c r="S397" s="2" t="s">
        <v>89</v>
      </c>
      <c r="T397" s="2" t="s">
        <v>90</v>
      </c>
      <c r="U397" s="2" t="s">
        <v>99</v>
      </c>
      <c r="V397" s="2" t="s">
        <v>42</v>
      </c>
      <c r="W397" s="2">
        <v>56.5</v>
      </c>
      <c r="X397" s="2">
        <v>90</v>
      </c>
      <c r="Y397" s="2" t="s">
        <v>266</v>
      </c>
      <c r="Z397" s="2" t="s">
        <v>2805</v>
      </c>
      <c r="AA397" s="2">
        <v>-1.02349498705479</v>
      </c>
      <c r="AB397" s="2">
        <v>1.41140970069654</v>
      </c>
      <c r="AC397" s="2">
        <v>1839872.0560531099</v>
      </c>
      <c r="AD397" s="2">
        <v>1591221.41174927</v>
      </c>
      <c r="AE397" s="2">
        <v>1827929.25517314</v>
      </c>
      <c r="AF397" s="2">
        <v>1678833.9660166099</v>
      </c>
      <c r="AG397" s="2">
        <v>1929368.02832354</v>
      </c>
      <c r="AH397" s="2">
        <v>1624871.76655393</v>
      </c>
      <c r="AI397" s="2">
        <v>2126958.1920198398</v>
      </c>
      <c r="AJ397" s="2">
        <v>1851271.1282315999</v>
      </c>
      <c r="AK397" s="2">
        <v>1459267.5485426099</v>
      </c>
      <c r="AL397" s="2">
        <v>1380150.4673830201</v>
      </c>
      <c r="AM397" s="2">
        <v>1903811.5298427399</v>
      </c>
      <c r="AN397" s="2">
        <v>1416369.4792339399</v>
      </c>
      <c r="AO397" s="2">
        <v>1898493.7541794199</v>
      </c>
      <c r="AP397" s="2">
        <v>1489235.69131389</v>
      </c>
    </row>
    <row r="398" spans="1:42" ht="14.5" x14ac:dyDescent="0.35">
      <c r="A398" s="2" t="s">
        <v>2806</v>
      </c>
      <c r="B398" s="2">
        <v>574.99080645839695</v>
      </c>
      <c r="C398" s="2">
        <v>5.6720833333333296</v>
      </c>
      <c r="D398" s="2" t="s">
        <v>34</v>
      </c>
      <c r="E398" s="2" t="s">
        <v>2807</v>
      </c>
      <c r="F398" s="2">
        <v>210193</v>
      </c>
      <c r="G398" s="3" t="str">
        <f>HYPERLINK("http://funmeta.oebiotech.com/network/210193", "http://funmeta.oebiotech.com/network/210193")</f>
        <v>http://funmeta.oebiotech.com/network/210193</v>
      </c>
      <c r="H398" s="2" t="s">
        <v>2808</v>
      </c>
      <c r="I398" s="2"/>
      <c r="J398" s="2"/>
      <c r="K398" s="2">
        <v>83505</v>
      </c>
      <c r="L398" s="2"/>
      <c r="M398" s="2"/>
      <c r="N398" s="2"/>
      <c r="O398" s="2"/>
      <c r="P398" s="2"/>
      <c r="Q398" s="2" t="s">
        <v>2809</v>
      </c>
      <c r="R398" s="2" t="s">
        <v>2810</v>
      </c>
      <c r="S398" s="2" t="s">
        <v>2811</v>
      </c>
      <c r="T398" s="2" t="s">
        <v>2812</v>
      </c>
      <c r="U398" s="2" t="s">
        <v>2813</v>
      </c>
      <c r="V398" s="2" t="s">
        <v>59</v>
      </c>
      <c r="W398" s="2">
        <v>37</v>
      </c>
      <c r="X398" s="2">
        <v>0</v>
      </c>
      <c r="Y398" s="2" t="s">
        <v>43</v>
      </c>
      <c r="Z398" s="2" t="s">
        <v>2814</v>
      </c>
      <c r="AA398" s="2">
        <v>-3.5503925261788201</v>
      </c>
      <c r="AB398" s="2">
        <v>1.4094893817212799</v>
      </c>
      <c r="AC398" s="2">
        <v>858342.28682742198</v>
      </c>
      <c r="AD398" s="2">
        <v>712277.06825918599</v>
      </c>
      <c r="AE398" s="2">
        <v>856893.76661724597</v>
      </c>
      <c r="AF398" s="2">
        <v>844374.70123882499</v>
      </c>
      <c r="AG398" s="2">
        <v>826627.29865420004</v>
      </c>
      <c r="AH398" s="2">
        <v>911731.94920139795</v>
      </c>
      <c r="AI398" s="2">
        <v>895116.85684165801</v>
      </c>
      <c r="AJ398" s="2">
        <v>815309.14841120294</v>
      </c>
      <c r="AK398" s="2">
        <v>696713.70264545095</v>
      </c>
      <c r="AL398" s="2">
        <v>652394.03274503001</v>
      </c>
      <c r="AM398" s="2">
        <v>773652.49491603603</v>
      </c>
      <c r="AN398" s="2">
        <v>709115.15213340404</v>
      </c>
      <c r="AO398" s="2">
        <v>711323.92031479999</v>
      </c>
      <c r="AP398" s="2">
        <v>730463.106800396</v>
      </c>
    </row>
    <row r="399" spans="1:42" ht="14.5" x14ac:dyDescent="0.35">
      <c r="A399" s="2" t="s">
        <v>2815</v>
      </c>
      <c r="B399" s="2">
        <v>259.042333458771</v>
      </c>
      <c r="C399" s="2">
        <v>2.8855166666666698</v>
      </c>
      <c r="D399" s="2" t="s">
        <v>34</v>
      </c>
      <c r="E399" s="2" t="s">
        <v>2816</v>
      </c>
      <c r="F399" s="2">
        <v>82773</v>
      </c>
      <c r="G399" s="3" t="str">
        <f>HYPERLINK("http://funmeta.oebiotech.com/network/82773", "http://funmeta.oebiotech.com/network/82773")</f>
        <v>http://funmeta.oebiotech.com/network/82773</v>
      </c>
      <c r="H399" s="2" t="s">
        <v>2817</v>
      </c>
      <c r="I399" s="2"/>
      <c r="J399" s="2"/>
      <c r="K399" s="2">
        <v>133197</v>
      </c>
      <c r="L399" s="2"/>
      <c r="M399" s="2"/>
      <c r="N399" s="2"/>
      <c r="O399" s="2">
        <v>10443535</v>
      </c>
      <c r="P399" s="2"/>
      <c r="Q399" s="2" t="s">
        <v>2818</v>
      </c>
      <c r="R399" s="2" t="s">
        <v>2819</v>
      </c>
      <c r="S399" s="2" t="s">
        <v>79</v>
      </c>
      <c r="T399" s="2" t="s">
        <v>80</v>
      </c>
      <c r="U399" s="2" t="s">
        <v>2820</v>
      </c>
      <c r="V399" s="2" t="s">
        <v>59</v>
      </c>
      <c r="W399" s="2">
        <v>38.200000000000003</v>
      </c>
      <c r="X399" s="2">
        <v>0</v>
      </c>
      <c r="Y399" s="2" t="s">
        <v>141</v>
      </c>
      <c r="Z399" s="2" t="s">
        <v>2821</v>
      </c>
      <c r="AA399" s="2">
        <v>-2.9539714980789802E-2</v>
      </c>
      <c r="AB399" s="2">
        <v>1.40929825764384</v>
      </c>
      <c r="AC399" s="2">
        <v>764803.70462620701</v>
      </c>
      <c r="AD399" s="2">
        <v>921351.91001744801</v>
      </c>
      <c r="AE399" s="2">
        <v>708662.74226013501</v>
      </c>
      <c r="AF399" s="2">
        <v>736497.18517796404</v>
      </c>
      <c r="AG399" s="2">
        <v>749028.72814052296</v>
      </c>
      <c r="AH399" s="2">
        <v>745631.32978068804</v>
      </c>
      <c r="AI399" s="2">
        <v>803151.66990629199</v>
      </c>
      <c r="AJ399" s="2">
        <v>845850.57249163801</v>
      </c>
      <c r="AK399" s="2">
        <v>829792.68051712599</v>
      </c>
      <c r="AL399" s="2">
        <v>877179.50114126003</v>
      </c>
      <c r="AM399" s="2">
        <v>942986.18821116397</v>
      </c>
      <c r="AN399" s="2">
        <v>956968.60196120199</v>
      </c>
      <c r="AO399" s="2">
        <v>903870.15547817701</v>
      </c>
      <c r="AP399" s="2">
        <v>1017314.33279576</v>
      </c>
    </row>
    <row r="400" spans="1:42" ht="14.5" x14ac:dyDescent="0.35">
      <c r="A400" s="2" t="s">
        <v>2822</v>
      </c>
      <c r="B400" s="2">
        <v>502.409312012714</v>
      </c>
      <c r="C400" s="2">
        <v>12.628716666666699</v>
      </c>
      <c r="D400" s="2" t="s">
        <v>34</v>
      </c>
      <c r="E400" s="2" t="s">
        <v>2823</v>
      </c>
      <c r="F400" s="2">
        <v>18120</v>
      </c>
      <c r="G400" s="3" t="str">
        <f>HYPERLINK("http://funmeta.oebiotech.com/network/18120", "http://funmeta.oebiotech.com/network/18120")</f>
        <v>http://funmeta.oebiotech.com/network/18120</v>
      </c>
      <c r="H400" s="2"/>
      <c r="I400" s="2"/>
      <c r="J400" s="2" t="s">
        <v>2824</v>
      </c>
      <c r="K400" s="2"/>
      <c r="L400" s="2"/>
      <c r="M400" s="2"/>
      <c r="N400" s="2"/>
      <c r="O400" s="2"/>
      <c r="P400" s="2"/>
      <c r="Q400" s="2" t="s">
        <v>2825</v>
      </c>
      <c r="R400" s="2" t="s">
        <v>2826</v>
      </c>
      <c r="S400" s="2" t="s">
        <v>89</v>
      </c>
      <c r="T400" s="2" t="s">
        <v>90</v>
      </c>
      <c r="U400" s="2" t="s">
        <v>99</v>
      </c>
      <c r="V400" s="2" t="s">
        <v>59</v>
      </c>
      <c r="W400" s="2">
        <v>39.4</v>
      </c>
      <c r="X400" s="2">
        <v>6.29</v>
      </c>
      <c r="Y400" s="2" t="s">
        <v>394</v>
      </c>
      <c r="Z400" s="2" t="s">
        <v>2827</v>
      </c>
      <c r="AA400" s="2">
        <v>-1.8007578872847201</v>
      </c>
      <c r="AB400" s="2">
        <v>1.4039695012900699</v>
      </c>
      <c r="AC400" s="2">
        <v>162.76605446270599</v>
      </c>
      <c r="AD400" s="2">
        <v>130653.489052224</v>
      </c>
      <c r="AE400" s="2">
        <v>145.96968265526701</v>
      </c>
      <c r="AF400" s="2">
        <v>227.10995575509199</v>
      </c>
      <c r="AG400" s="2">
        <v>259.07445609465299</v>
      </c>
      <c r="AH400" s="2">
        <v>234.18750453911599</v>
      </c>
      <c r="AI400" s="2">
        <v>50.316401505854301</v>
      </c>
      <c r="AJ400" s="2">
        <v>59.938326226251803</v>
      </c>
      <c r="AK400" s="2">
        <v>142955.917762239</v>
      </c>
      <c r="AL400" s="2">
        <v>140955.167398883</v>
      </c>
      <c r="AM400" s="2">
        <v>141634.34273641501</v>
      </c>
      <c r="AN400" s="2">
        <v>126416.11634724399</v>
      </c>
      <c r="AO400" s="2">
        <v>120566.072028479</v>
      </c>
      <c r="AP400" s="2">
        <v>111393.318040087</v>
      </c>
    </row>
    <row r="401" spans="1:42" ht="14.5" x14ac:dyDescent="0.35">
      <c r="A401" s="2" t="s">
        <v>2828</v>
      </c>
      <c r="B401" s="2">
        <v>529.24297012463103</v>
      </c>
      <c r="C401" s="2">
        <v>9.1582833333333298</v>
      </c>
      <c r="D401" s="2" t="s">
        <v>34</v>
      </c>
      <c r="E401" s="2" t="s">
        <v>2829</v>
      </c>
      <c r="F401" s="2">
        <v>266984</v>
      </c>
      <c r="G401" s="3" t="str">
        <f>HYPERLINK("http://funmeta.oebiotech.com/network/266984", "http://funmeta.oebiotech.com/network/266984")</f>
        <v>http://funmeta.oebiotech.com/network/266984</v>
      </c>
      <c r="H401" s="2"/>
      <c r="I401" s="2">
        <v>44454</v>
      </c>
      <c r="J401" s="2"/>
      <c r="K401" s="2"/>
      <c r="L401" s="2"/>
      <c r="M401" s="2"/>
      <c r="N401" s="2"/>
      <c r="O401" s="2">
        <v>6710684</v>
      </c>
      <c r="P401" s="2" t="s">
        <v>2830</v>
      </c>
      <c r="Q401" s="2" t="s">
        <v>2831</v>
      </c>
      <c r="R401" s="2" t="s">
        <v>2832</v>
      </c>
      <c r="S401" s="2" t="s">
        <v>115</v>
      </c>
      <c r="T401" s="2" t="s">
        <v>2833</v>
      </c>
      <c r="U401" s="2" t="s">
        <v>41</v>
      </c>
      <c r="V401" s="2" t="s">
        <v>59</v>
      </c>
      <c r="W401" s="2">
        <v>41.7</v>
      </c>
      <c r="X401" s="2">
        <v>11.4</v>
      </c>
      <c r="Y401" s="2" t="s">
        <v>266</v>
      </c>
      <c r="Z401" s="2" t="s">
        <v>2834</v>
      </c>
      <c r="AA401" s="2">
        <v>-0.45252114493930101</v>
      </c>
      <c r="AB401" s="2">
        <v>1.4031322791699501</v>
      </c>
      <c r="AC401" s="2">
        <v>409626.16387029598</v>
      </c>
      <c r="AD401" s="2">
        <v>276461.60402739298</v>
      </c>
      <c r="AE401" s="2">
        <v>400474.68022508</v>
      </c>
      <c r="AF401" s="2">
        <v>407278.00246170303</v>
      </c>
      <c r="AG401" s="2">
        <v>438486.11622411699</v>
      </c>
      <c r="AH401" s="2">
        <v>402323.89189855702</v>
      </c>
      <c r="AI401" s="2">
        <v>392366.86192705698</v>
      </c>
      <c r="AJ401" s="2">
        <v>416827.430485263</v>
      </c>
      <c r="AK401" s="2">
        <v>262422.90028319001</v>
      </c>
      <c r="AL401" s="2">
        <v>312259.32095480699</v>
      </c>
      <c r="AM401" s="2">
        <v>286490.59717194497</v>
      </c>
      <c r="AN401" s="2">
        <v>248919.65682144099</v>
      </c>
      <c r="AO401" s="2">
        <v>266627.792874782</v>
      </c>
      <c r="AP401" s="2">
        <v>282049.35605819197</v>
      </c>
    </row>
    <row r="402" spans="1:42" ht="14.5" x14ac:dyDescent="0.35">
      <c r="A402" s="2" t="s">
        <v>2835</v>
      </c>
      <c r="B402" s="2">
        <v>846.31857544140996</v>
      </c>
      <c r="C402" s="2">
        <v>7.5886500000000003</v>
      </c>
      <c r="D402" s="2" t="s">
        <v>70</v>
      </c>
      <c r="E402" s="2" t="s">
        <v>2836</v>
      </c>
      <c r="F402" s="2">
        <v>204134</v>
      </c>
      <c r="G402" s="3" t="str">
        <f>HYPERLINK("http://funmeta.oebiotech.com/network/204134", "http://funmeta.oebiotech.com/network/204134")</f>
        <v>http://funmeta.oebiotech.com/network/204134</v>
      </c>
      <c r="H402" s="2" t="s">
        <v>2837</v>
      </c>
      <c r="I402" s="2"/>
      <c r="J402" s="2"/>
      <c r="K402" s="2"/>
      <c r="L402" s="2"/>
      <c r="M402" s="2"/>
      <c r="N402" s="2"/>
      <c r="O402" s="2">
        <v>13145965</v>
      </c>
      <c r="P402" s="2"/>
      <c r="Q402" s="2" t="s">
        <v>2838</v>
      </c>
      <c r="R402" s="2" t="s">
        <v>2839</v>
      </c>
      <c r="S402" s="2" t="s">
        <v>115</v>
      </c>
      <c r="T402" s="2" t="s">
        <v>2840</v>
      </c>
      <c r="U402" s="2" t="s">
        <v>41</v>
      </c>
      <c r="V402" s="2" t="s">
        <v>59</v>
      </c>
      <c r="W402" s="2">
        <v>46.2</v>
      </c>
      <c r="X402" s="2">
        <v>34.6</v>
      </c>
      <c r="Y402" s="2" t="s">
        <v>286</v>
      </c>
      <c r="Z402" s="2" t="s">
        <v>2841</v>
      </c>
      <c r="AA402" s="2">
        <v>-0.51412858267236405</v>
      </c>
      <c r="AB402" s="2">
        <v>1.40228294065123</v>
      </c>
      <c r="AC402" s="2">
        <v>284322.29710223101</v>
      </c>
      <c r="AD402" s="2">
        <v>417687.53411358298</v>
      </c>
      <c r="AE402" s="2">
        <v>303807.83440049301</v>
      </c>
      <c r="AF402" s="2">
        <v>262143.34537857899</v>
      </c>
      <c r="AG402" s="2">
        <v>287503.32316926902</v>
      </c>
      <c r="AH402" s="2">
        <v>268768.85044049902</v>
      </c>
      <c r="AI402" s="2">
        <v>295316.46699142299</v>
      </c>
      <c r="AJ402" s="2">
        <v>288393.96223312401</v>
      </c>
      <c r="AK402" s="2">
        <v>445283.03554397001</v>
      </c>
      <c r="AL402" s="2">
        <v>410866.18362014502</v>
      </c>
      <c r="AM402" s="2">
        <v>390988.71081019199</v>
      </c>
      <c r="AN402" s="2">
        <v>397360.12961716601</v>
      </c>
      <c r="AO402" s="2">
        <v>437757.31112018501</v>
      </c>
      <c r="AP402" s="2">
        <v>423869.833969837</v>
      </c>
    </row>
    <row r="403" spans="1:42" ht="14.5" x14ac:dyDescent="0.35">
      <c r="A403" s="2" t="s">
        <v>2842</v>
      </c>
      <c r="B403" s="2">
        <v>581.21573292455298</v>
      </c>
      <c r="C403" s="2">
        <v>6.5568666666666697</v>
      </c>
      <c r="D403" s="2" t="s">
        <v>70</v>
      </c>
      <c r="E403" s="2" t="s">
        <v>2843</v>
      </c>
      <c r="F403" s="2">
        <v>4531</v>
      </c>
      <c r="G403" s="3" t="str">
        <f>HYPERLINK("http://funmeta.oebiotech.com/network/4531", "http://funmeta.oebiotech.com/network/4531")</f>
        <v>http://funmeta.oebiotech.com/network/4531</v>
      </c>
      <c r="H403" s="2"/>
      <c r="I403" s="2">
        <v>36413</v>
      </c>
      <c r="J403" s="2" t="s">
        <v>2844</v>
      </c>
      <c r="K403" s="2">
        <v>73758</v>
      </c>
      <c r="L403" s="2"/>
      <c r="M403" s="2"/>
      <c r="N403" s="2"/>
      <c r="O403" s="2">
        <v>5283245</v>
      </c>
      <c r="P403" s="2"/>
      <c r="Q403" s="2" t="s">
        <v>2845</v>
      </c>
      <c r="R403" s="2" t="s">
        <v>2846</v>
      </c>
      <c r="S403" s="2" t="s">
        <v>50</v>
      </c>
      <c r="T403" s="2" t="s">
        <v>229</v>
      </c>
      <c r="U403" s="2" t="s">
        <v>766</v>
      </c>
      <c r="V403" s="2" t="s">
        <v>59</v>
      </c>
      <c r="W403" s="2">
        <v>45.7</v>
      </c>
      <c r="X403" s="2">
        <v>36</v>
      </c>
      <c r="Y403" s="2" t="s">
        <v>751</v>
      </c>
      <c r="Z403" s="2" t="s">
        <v>2847</v>
      </c>
      <c r="AA403" s="2">
        <v>-0.27620152999047098</v>
      </c>
      <c r="AB403" s="2">
        <v>1.40156260256981</v>
      </c>
      <c r="AC403" s="2">
        <v>332442.45925006998</v>
      </c>
      <c r="AD403" s="2">
        <v>201335.31823070199</v>
      </c>
      <c r="AE403" s="2">
        <v>342380.78929915198</v>
      </c>
      <c r="AF403" s="2">
        <v>319696.515141643</v>
      </c>
      <c r="AG403" s="2">
        <v>346840.93037928501</v>
      </c>
      <c r="AH403" s="2">
        <v>344173.55047632102</v>
      </c>
      <c r="AI403" s="2">
        <v>318527.03194696002</v>
      </c>
      <c r="AJ403" s="2">
        <v>323035.93825705902</v>
      </c>
      <c r="AK403" s="2">
        <v>187238.76173733399</v>
      </c>
      <c r="AL403" s="2">
        <v>225210.465501292</v>
      </c>
      <c r="AM403" s="2">
        <v>214465.77414704801</v>
      </c>
      <c r="AN403" s="2">
        <v>190628.98075148699</v>
      </c>
      <c r="AO403" s="2">
        <v>196446.998735659</v>
      </c>
      <c r="AP403" s="2">
        <v>194020.92851139201</v>
      </c>
    </row>
    <row r="404" spans="1:42" ht="14.5" x14ac:dyDescent="0.35">
      <c r="A404" s="2" t="s">
        <v>2848</v>
      </c>
      <c r="B404" s="2">
        <v>285.220835451227</v>
      </c>
      <c r="C404" s="2">
        <v>6.3021166666666701</v>
      </c>
      <c r="D404" s="2" t="s">
        <v>34</v>
      </c>
      <c r="E404" s="2" t="s">
        <v>2849</v>
      </c>
      <c r="F404" s="2">
        <v>254925</v>
      </c>
      <c r="G404" s="3" t="str">
        <f>HYPERLINK("http://funmeta.oebiotech.com/network/254925", "http://funmeta.oebiotech.com/network/254925")</f>
        <v>http://funmeta.oebiotech.com/network/254925</v>
      </c>
      <c r="H404" s="2" t="s">
        <v>2850</v>
      </c>
      <c r="I404" s="2">
        <v>67466</v>
      </c>
      <c r="J404" s="2"/>
      <c r="K404" s="2">
        <v>78258</v>
      </c>
      <c r="L404" s="2" t="s">
        <v>2851</v>
      </c>
      <c r="M404" s="2"/>
      <c r="N404" s="2"/>
      <c r="O404" s="2">
        <v>158755</v>
      </c>
      <c r="P404" s="2" t="s">
        <v>2852</v>
      </c>
      <c r="Q404" s="2" t="s">
        <v>2853</v>
      </c>
      <c r="R404" s="2" t="s">
        <v>2854</v>
      </c>
      <c r="S404" s="2" t="s">
        <v>50</v>
      </c>
      <c r="T404" s="2" t="s">
        <v>201</v>
      </c>
      <c r="U404" s="2" t="s">
        <v>241</v>
      </c>
      <c r="V404" s="2" t="s">
        <v>42</v>
      </c>
      <c r="W404" s="2">
        <v>55.2</v>
      </c>
      <c r="X404" s="2">
        <v>84.2</v>
      </c>
      <c r="Y404" s="2" t="s">
        <v>141</v>
      </c>
      <c r="Z404" s="2" t="s">
        <v>2855</v>
      </c>
      <c r="AA404" s="2">
        <v>-1.5104661333154401</v>
      </c>
      <c r="AB404" s="2">
        <v>1.4012609457137799</v>
      </c>
      <c r="AC404" s="2">
        <v>673553.58619172499</v>
      </c>
      <c r="AD404" s="2">
        <v>542597.75757489202</v>
      </c>
      <c r="AE404" s="2">
        <v>669061.26372374198</v>
      </c>
      <c r="AF404" s="2">
        <v>677788.515261575</v>
      </c>
      <c r="AG404" s="2">
        <v>682867.41922484897</v>
      </c>
      <c r="AH404" s="2">
        <v>686247.54297607101</v>
      </c>
      <c r="AI404" s="2">
        <v>652256.54315243603</v>
      </c>
      <c r="AJ404" s="2">
        <v>673100.23281167902</v>
      </c>
      <c r="AK404" s="2">
        <v>541066.58164121897</v>
      </c>
      <c r="AL404" s="2">
        <v>569106.721932129</v>
      </c>
      <c r="AM404" s="2">
        <v>550909.86887618597</v>
      </c>
      <c r="AN404" s="2">
        <v>520805.40123923798</v>
      </c>
      <c r="AO404" s="2">
        <v>541013.63084069302</v>
      </c>
      <c r="AP404" s="2">
        <v>532684.340919888</v>
      </c>
    </row>
    <row r="405" spans="1:42" ht="14.5" x14ac:dyDescent="0.35">
      <c r="A405" s="2" t="s">
        <v>2856</v>
      </c>
      <c r="B405" s="2">
        <v>341.11343813201</v>
      </c>
      <c r="C405" s="2">
        <v>3.8975</v>
      </c>
      <c r="D405" s="2" t="s">
        <v>70</v>
      </c>
      <c r="E405" s="2" t="s">
        <v>2857</v>
      </c>
      <c r="F405" s="2">
        <v>255868</v>
      </c>
      <c r="G405" s="3" t="str">
        <f>HYPERLINK("http://funmeta.oebiotech.com/network/255868", "http://funmeta.oebiotech.com/network/255868")</f>
        <v>http://funmeta.oebiotech.com/network/255868</v>
      </c>
      <c r="H405" s="2" t="s">
        <v>2858</v>
      </c>
      <c r="I405" s="2"/>
      <c r="J405" s="2"/>
      <c r="K405" s="2"/>
      <c r="L405" s="2"/>
      <c r="M405" s="2"/>
      <c r="N405" s="2"/>
      <c r="O405" s="2"/>
      <c r="P405" s="2"/>
      <c r="Q405" s="2" t="s">
        <v>2859</v>
      </c>
      <c r="R405" s="2" t="s">
        <v>2860</v>
      </c>
      <c r="S405" s="2" t="s">
        <v>89</v>
      </c>
      <c r="T405" s="2" t="s">
        <v>90</v>
      </c>
      <c r="U405" s="2" t="s">
        <v>99</v>
      </c>
      <c r="V405" s="2" t="s">
        <v>42</v>
      </c>
      <c r="W405" s="2">
        <v>52.4</v>
      </c>
      <c r="X405" s="2">
        <v>74.5</v>
      </c>
      <c r="Y405" s="2" t="s">
        <v>751</v>
      </c>
      <c r="Z405" s="2" t="s">
        <v>2861</v>
      </c>
      <c r="AA405" s="2">
        <v>-2.3800051795841002</v>
      </c>
      <c r="AB405" s="2">
        <v>1.4002123766030601</v>
      </c>
      <c r="AC405" s="2">
        <v>477079.35902040399</v>
      </c>
      <c r="AD405" s="2">
        <v>345826.90012710699</v>
      </c>
      <c r="AE405" s="2">
        <v>483390.14405255602</v>
      </c>
      <c r="AF405" s="2">
        <v>450806.054386787</v>
      </c>
      <c r="AG405" s="2">
        <v>495922.17467497598</v>
      </c>
      <c r="AH405" s="2">
        <v>485762.58626319998</v>
      </c>
      <c r="AI405" s="2">
        <v>458636.45397881302</v>
      </c>
      <c r="AJ405" s="2">
        <v>487958.74076608999</v>
      </c>
      <c r="AK405" s="2">
        <v>350759.23057569203</v>
      </c>
      <c r="AL405" s="2">
        <v>362347.35740029399</v>
      </c>
      <c r="AM405" s="2">
        <v>346411.401684426</v>
      </c>
      <c r="AN405" s="2">
        <v>349958.504158867</v>
      </c>
      <c r="AO405" s="2">
        <v>338047.461686711</v>
      </c>
      <c r="AP405" s="2">
        <v>327437.44525665301</v>
      </c>
    </row>
    <row r="406" spans="1:42" ht="14.5" x14ac:dyDescent="0.35">
      <c r="A406" s="2" t="s">
        <v>2862</v>
      </c>
      <c r="B406" s="2">
        <v>435.22342058249097</v>
      </c>
      <c r="C406" s="2">
        <v>4.3281833333333299</v>
      </c>
      <c r="D406" s="2" t="s">
        <v>70</v>
      </c>
      <c r="E406" s="2" t="s">
        <v>2863</v>
      </c>
      <c r="F406" s="2">
        <v>10230</v>
      </c>
      <c r="G406" s="3" t="str">
        <f>HYPERLINK("http://funmeta.oebiotech.com/network/10230", "http://funmeta.oebiotech.com/network/10230")</f>
        <v>http://funmeta.oebiotech.com/network/10230</v>
      </c>
      <c r="H406" s="2" t="s">
        <v>2864</v>
      </c>
      <c r="I406" s="2">
        <v>95598</v>
      </c>
      <c r="J406" s="2" t="s">
        <v>2865</v>
      </c>
      <c r="K406" s="2"/>
      <c r="L406" s="2"/>
      <c r="M406" s="2"/>
      <c r="N406" s="2"/>
      <c r="O406" s="2">
        <v>16745401</v>
      </c>
      <c r="P406" s="2"/>
      <c r="Q406" s="2" t="s">
        <v>2866</v>
      </c>
      <c r="R406" s="2" t="s">
        <v>2867</v>
      </c>
      <c r="S406" s="2" t="s">
        <v>50</v>
      </c>
      <c r="T406" s="2" t="s">
        <v>229</v>
      </c>
      <c r="U406" s="2" t="s">
        <v>230</v>
      </c>
      <c r="V406" s="2" t="s">
        <v>59</v>
      </c>
      <c r="W406" s="2">
        <v>41.9</v>
      </c>
      <c r="X406" s="2">
        <v>11.4</v>
      </c>
      <c r="Y406" s="2" t="s">
        <v>286</v>
      </c>
      <c r="Z406" s="2" t="s">
        <v>2868</v>
      </c>
      <c r="AA406" s="2">
        <v>-0.38525011904266598</v>
      </c>
      <c r="AB406" s="2">
        <v>1.39753394370035</v>
      </c>
      <c r="AC406" s="2">
        <v>1447820.8076157901</v>
      </c>
      <c r="AD406" s="2">
        <v>1592474.3581481201</v>
      </c>
      <c r="AE406" s="2">
        <v>1469031.35169087</v>
      </c>
      <c r="AF406" s="2">
        <v>1422954.4947524101</v>
      </c>
      <c r="AG406" s="2">
        <v>1408650.92201169</v>
      </c>
      <c r="AH406" s="2">
        <v>1440209.3852494899</v>
      </c>
      <c r="AI406" s="2">
        <v>1439707.3231311</v>
      </c>
      <c r="AJ406" s="2">
        <v>1506371.36885919</v>
      </c>
      <c r="AK406" s="2">
        <v>1553067.5140652701</v>
      </c>
      <c r="AL406" s="2">
        <v>1553360.93888435</v>
      </c>
      <c r="AM406" s="2">
        <v>1681772.0178300899</v>
      </c>
      <c r="AN406" s="2">
        <v>1588254.6474206799</v>
      </c>
      <c r="AO406" s="2">
        <v>1573632.3020168699</v>
      </c>
      <c r="AP406" s="2">
        <v>1604758.72867147</v>
      </c>
    </row>
    <row r="407" spans="1:42" ht="14.5" x14ac:dyDescent="0.35">
      <c r="A407" s="2" t="s">
        <v>2869</v>
      </c>
      <c r="B407" s="2">
        <v>478.29464542359301</v>
      </c>
      <c r="C407" s="2">
        <v>6.5183166666666699</v>
      </c>
      <c r="D407" s="2" t="s">
        <v>34</v>
      </c>
      <c r="E407" s="2" t="s">
        <v>2870</v>
      </c>
      <c r="F407" s="2">
        <v>33902</v>
      </c>
      <c r="G407" s="3" t="str">
        <f>HYPERLINK("http://funmeta.oebiotech.com/network/33902", "http://funmeta.oebiotech.com/network/33902")</f>
        <v>http://funmeta.oebiotech.com/network/33902</v>
      </c>
      <c r="H407" s="2"/>
      <c r="I407" s="2">
        <v>52215</v>
      </c>
      <c r="J407" s="2" t="s">
        <v>2871</v>
      </c>
      <c r="K407" s="2"/>
      <c r="L407" s="2"/>
      <c r="M407" s="2"/>
      <c r="N407" s="2"/>
      <c r="O407" s="2">
        <v>6536697</v>
      </c>
      <c r="P407" s="2"/>
      <c r="Q407" s="2" t="s">
        <v>2872</v>
      </c>
      <c r="R407" s="2" t="s">
        <v>2873</v>
      </c>
      <c r="S407" s="2" t="s">
        <v>148</v>
      </c>
      <c r="T407" s="2" t="s">
        <v>149</v>
      </c>
      <c r="U407" s="2" t="s">
        <v>2874</v>
      </c>
      <c r="V407" s="2" t="s">
        <v>59</v>
      </c>
      <c r="W407" s="2">
        <v>43.2</v>
      </c>
      <c r="X407" s="2">
        <v>20.7</v>
      </c>
      <c r="Y407" s="2" t="s">
        <v>43</v>
      </c>
      <c r="Z407" s="2" t="s">
        <v>2875</v>
      </c>
      <c r="AA407" s="2">
        <v>-1.1726797313178301</v>
      </c>
      <c r="AB407" s="2">
        <v>1.3970907748167301</v>
      </c>
      <c r="AC407" s="2">
        <v>462069.27966313099</v>
      </c>
      <c r="AD407" s="2">
        <v>330406.557973377</v>
      </c>
      <c r="AE407" s="2">
        <v>472644.73670807498</v>
      </c>
      <c r="AF407" s="2">
        <v>465709.84916584601</v>
      </c>
      <c r="AG407" s="2">
        <v>463017.58721319097</v>
      </c>
      <c r="AH407" s="2">
        <v>460718.72145205602</v>
      </c>
      <c r="AI407" s="2">
        <v>475370.43511926301</v>
      </c>
      <c r="AJ407" s="2">
        <v>434954.34832035401</v>
      </c>
      <c r="AK407" s="2">
        <v>327337.71891625499</v>
      </c>
      <c r="AL407" s="2">
        <v>353137.06464494998</v>
      </c>
      <c r="AM407" s="2">
        <v>342119.38690551202</v>
      </c>
      <c r="AN407" s="2">
        <v>335418.69665628398</v>
      </c>
      <c r="AO407" s="2">
        <v>327640.25448628701</v>
      </c>
      <c r="AP407" s="2">
        <v>296786.226230976</v>
      </c>
    </row>
    <row r="408" spans="1:42" ht="14.5" x14ac:dyDescent="0.35">
      <c r="A408" s="2" t="s">
        <v>2876</v>
      </c>
      <c r="B408" s="2">
        <v>663.29827861012404</v>
      </c>
      <c r="C408" s="2">
        <v>7.4253666666666698</v>
      </c>
      <c r="D408" s="2" t="s">
        <v>34</v>
      </c>
      <c r="E408" s="2" t="s">
        <v>2877</v>
      </c>
      <c r="F408" s="2">
        <v>210552</v>
      </c>
      <c r="G408" s="3" t="str">
        <f>HYPERLINK("http://funmeta.oebiotech.com/network/210552", "http://funmeta.oebiotech.com/network/210552")</f>
        <v>http://funmeta.oebiotech.com/network/210552</v>
      </c>
      <c r="H408" s="2" t="s">
        <v>2878</v>
      </c>
      <c r="I408" s="2"/>
      <c r="J408" s="2"/>
      <c r="K408" s="2"/>
      <c r="L408" s="2"/>
      <c r="M408" s="2"/>
      <c r="N408" s="2"/>
      <c r="O408" s="2">
        <v>281327</v>
      </c>
      <c r="P408" s="2"/>
      <c r="Q408" s="2" t="s">
        <v>2879</v>
      </c>
      <c r="R408" s="2" t="s">
        <v>2880</v>
      </c>
      <c r="S408" s="2" t="s">
        <v>50</v>
      </c>
      <c r="T408" s="2" t="s">
        <v>124</v>
      </c>
      <c r="U408" s="2" t="s">
        <v>929</v>
      </c>
      <c r="V408" s="2" t="s">
        <v>59</v>
      </c>
      <c r="W408" s="2">
        <v>38.6</v>
      </c>
      <c r="X408" s="2">
        <v>44.6</v>
      </c>
      <c r="Y408" s="2" t="s">
        <v>43</v>
      </c>
      <c r="Z408" s="2" t="s">
        <v>2881</v>
      </c>
      <c r="AA408" s="2">
        <v>3.19174778307505</v>
      </c>
      <c r="AB408" s="2">
        <v>1.3968978566185899</v>
      </c>
      <c r="AC408" s="2">
        <v>490746.72926323197</v>
      </c>
      <c r="AD408" s="2">
        <v>355851.703723218</v>
      </c>
      <c r="AE408" s="2">
        <v>513884.35958866699</v>
      </c>
      <c r="AF408" s="2">
        <v>483860.728662198</v>
      </c>
      <c r="AG408" s="2">
        <v>490808.99555962899</v>
      </c>
      <c r="AH408" s="2">
        <v>474672.73288170801</v>
      </c>
      <c r="AI408" s="2">
        <v>504335.40640817198</v>
      </c>
      <c r="AJ408" s="2">
        <v>476918.15247901698</v>
      </c>
      <c r="AK408" s="2">
        <v>328245.74353768397</v>
      </c>
      <c r="AL408" s="2">
        <v>386114.32448231301</v>
      </c>
      <c r="AM408" s="2">
        <v>359752.153906013</v>
      </c>
      <c r="AN408" s="2">
        <v>397047.99658827297</v>
      </c>
      <c r="AO408" s="2">
        <v>336500.33723916602</v>
      </c>
      <c r="AP408" s="2">
        <v>327449.66658585903</v>
      </c>
    </row>
    <row r="409" spans="1:42" ht="14.5" x14ac:dyDescent="0.35">
      <c r="A409" s="2" t="s">
        <v>2882</v>
      </c>
      <c r="B409" s="2">
        <v>818.49139346867196</v>
      </c>
      <c r="C409" s="2">
        <v>11.827999999999999</v>
      </c>
      <c r="D409" s="2" t="s">
        <v>34</v>
      </c>
      <c r="E409" s="2" t="s">
        <v>2883</v>
      </c>
      <c r="F409" s="2">
        <v>52288</v>
      </c>
      <c r="G409" s="3" t="str">
        <f>HYPERLINK("http://funmeta.oebiotech.com/network/52288", "http://funmeta.oebiotech.com/network/52288")</f>
        <v>http://funmeta.oebiotech.com/network/52288</v>
      </c>
      <c r="H409" s="2" t="s">
        <v>2884</v>
      </c>
      <c r="I409" s="2"/>
      <c r="J409" s="2"/>
      <c r="K409" s="2"/>
      <c r="L409" s="2"/>
      <c r="M409" s="2"/>
      <c r="N409" s="2"/>
      <c r="O409" s="2">
        <v>53481795</v>
      </c>
      <c r="P409" s="2"/>
      <c r="Q409" s="2" t="s">
        <v>2885</v>
      </c>
      <c r="R409" s="2" t="s">
        <v>2886</v>
      </c>
      <c r="S409" s="2" t="s">
        <v>50</v>
      </c>
      <c r="T409" s="2" t="s">
        <v>51</v>
      </c>
      <c r="U409" s="2" t="s">
        <v>1989</v>
      </c>
      <c r="V409" s="2" t="s">
        <v>59</v>
      </c>
      <c r="W409" s="2">
        <v>37.299999999999997</v>
      </c>
      <c r="X409" s="2">
        <v>0</v>
      </c>
      <c r="Y409" s="2" t="s">
        <v>43</v>
      </c>
      <c r="Z409" s="2" t="s">
        <v>2887</v>
      </c>
      <c r="AA409" s="2">
        <v>-3.6201023191215098</v>
      </c>
      <c r="AB409" s="2">
        <v>1.39454836954059</v>
      </c>
      <c r="AC409" s="2">
        <v>654.42965783898603</v>
      </c>
      <c r="AD409" s="2">
        <v>129591.22329485499</v>
      </c>
      <c r="AE409" s="2">
        <v>487.24409296781801</v>
      </c>
      <c r="AF409" s="2">
        <v>680.61652111674005</v>
      </c>
      <c r="AG409" s="2">
        <v>524.07050408022496</v>
      </c>
      <c r="AH409" s="2">
        <v>271.87456789884499</v>
      </c>
      <c r="AI409" s="2">
        <v>1038.67079618359</v>
      </c>
      <c r="AJ409" s="2">
        <v>924.10146478670003</v>
      </c>
      <c r="AK409" s="2">
        <v>133191.55431265701</v>
      </c>
      <c r="AL409" s="2">
        <v>110776.618945749</v>
      </c>
      <c r="AM409" s="2">
        <v>127954.884811314</v>
      </c>
      <c r="AN409" s="2">
        <v>121418.49475321001</v>
      </c>
      <c r="AO409" s="2">
        <v>129718.449105441</v>
      </c>
      <c r="AP409" s="2">
        <v>154487.33784075701</v>
      </c>
    </row>
    <row r="410" spans="1:42" ht="14.5" x14ac:dyDescent="0.35">
      <c r="A410" s="2" t="s">
        <v>2888</v>
      </c>
      <c r="B410" s="2">
        <v>809.14889447201404</v>
      </c>
      <c r="C410" s="2">
        <v>3.0156833333333299</v>
      </c>
      <c r="D410" s="2" t="s">
        <v>70</v>
      </c>
      <c r="E410" s="2" t="s">
        <v>2889</v>
      </c>
      <c r="F410" s="2">
        <v>58155</v>
      </c>
      <c r="G410" s="3" t="str">
        <f>HYPERLINK("http://funmeta.oebiotech.com/network/58155", "http://funmeta.oebiotech.com/network/58155")</f>
        <v>http://funmeta.oebiotech.com/network/58155</v>
      </c>
      <c r="H410" s="2" t="s">
        <v>2890</v>
      </c>
      <c r="I410" s="2"/>
      <c r="J410" s="2"/>
      <c r="K410" s="2"/>
      <c r="L410" s="2"/>
      <c r="M410" s="2"/>
      <c r="N410" s="2"/>
      <c r="O410" s="2">
        <v>131751515</v>
      </c>
      <c r="P410" s="2" t="s">
        <v>2891</v>
      </c>
      <c r="Q410" s="2" t="s">
        <v>2892</v>
      </c>
      <c r="R410" s="2" t="s">
        <v>2893</v>
      </c>
      <c r="S410" s="2" t="s">
        <v>79</v>
      </c>
      <c r="T410" s="2" t="s">
        <v>80</v>
      </c>
      <c r="U410" s="2" t="s">
        <v>81</v>
      </c>
      <c r="V410" s="2" t="s">
        <v>59</v>
      </c>
      <c r="W410" s="2">
        <v>43.4</v>
      </c>
      <c r="X410" s="2">
        <v>40.4</v>
      </c>
      <c r="Y410" s="2" t="s">
        <v>560</v>
      </c>
      <c r="Z410" s="2" t="s">
        <v>2894</v>
      </c>
      <c r="AA410" s="2">
        <v>4.3140362277306004</v>
      </c>
      <c r="AB410" s="2">
        <v>1.39452762448168</v>
      </c>
      <c r="AC410" s="2">
        <v>156506.985941889</v>
      </c>
      <c r="AD410" s="2">
        <v>285624.42340656603</v>
      </c>
      <c r="AE410" s="2">
        <v>149367.67187326399</v>
      </c>
      <c r="AF410" s="2">
        <v>145227.73509705899</v>
      </c>
      <c r="AG410" s="2">
        <v>163622.37759947899</v>
      </c>
      <c r="AH410" s="2">
        <v>150507.50601091399</v>
      </c>
      <c r="AI410" s="2">
        <v>158810.72682678499</v>
      </c>
      <c r="AJ410" s="2">
        <v>171505.898243834</v>
      </c>
      <c r="AK410" s="2">
        <v>262679.02975480398</v>
      </c>
      <c r="AL410" s="2">
        <v>280016.49245143798</v>
      </c>
      <c r="AM410" s="2">
        <v>287692.43948891503</v>
      </c>
      <c r="AN410" s="2">
        <v>295388.21767130302</v>
      </c>
      <c r="AO410" s="2">
        <v>290297.98435574898</v>
      </c>
      <c r="AP410" s="2">
        <v>297672.376717187</v>
      </c>
    </row>
    <row r="411" spans="1:42" ht="14.5" x14ac:dyDescent="0.35">
      <c r="A411" s="2" t="s">
        <v>2895</v>
      </c>
      <c r="B411" s="2">
        <v>247.16632805550299</v>
      </c>
      <c r="C411" s="2">
        <v>12.4172666666667</v>
      </c>
      <c r="D411" s="2" t="s">
        <v>34</v>
      </c>
      <c r="E411" s="2" t="s">
        <v>2896</v>
      </c>
      <c r="F411" s="2">
        <v>7787</v>
      </c>
      <c r="G411" s="3" t="str">
        <f>HYPERLINK("http://funmeta.oebiotech.com/network/7787", "http://funmeta.oebiotech.com/network/7787")</f>
        <v>http://funmeta.oebiotech.com/network/7787</v>
      </c>
      <c r="H411" s="2"/>
      <c r="I411" s="2">
        <v>97400</v>
      </c>
      <c r="J411" s="2" t="s">
        <v>2897</v>
      </c>
      <c r="K411" s="2"/>
      <c r="L411" s="2"/>
      <c r="M411" s="2"/>
      <c r="N411" s="2"/>
      <c r="O411" s="2">
        <v>10867948</v>
      </c>
      <c r="P411" s="2"/>
      <c r="Q411" s="2" t="s">
        <v>2898</v>
      </c>
      <c r="R411" s="2" t="s">
        <v>2899</v>
      </c>
      <c r="S411" s="2" t="s">
        <v>115</v>
      </c>
      <c r="T411" s="2" t="s">
        <v>1384</v>
      </c>
      <c r="U411" s="2" t="s">
        <v>41</v>
      </c>
      <c r="V411" s="2" t="s">
        <v>59</v>
      </c>
      <c r="W411" s="2">
        <v>45.1</v>
      </c>
      <c r="X411" s="2">
        <v>42.1</v>
      </c>
      <c r="Y411" s="2" t="s">
        <v>323</v>
      </c>
      <c r="Z411" s="2" t="s">
        <v>2900</v>
      </c>
      <c r="AA411" s="2">
        <v>-2.33133563144197</v>
      </c>
      <c r="AB411" s="2">
        <v>1.3924112334057199</v>
      </c>
      <c r="AC411" s="2">
        <v>577213.63330121303</v>
      </c>
      <c r="AD411" s="2">
        <v>445898.17458975298</v>
      </c>
      <c r="AE411" s="2">
        <v>561817.48571212403</v>
      </c>
      <c r="AF411" s="2">
        <v>590952.476061953</v>
      </c>
      <c r="AG411" s="2">
        <v>598099.89179721195</v>
      </c>
      <c r="AH411" s="2">
        <v>551650.38322532899</v>
      </c>
      <c r="AI411" s="2">
        <v>564131.28740530205</v>
      </c>
      <c r="AJ411" s="2">
        <v>596630.27560535702</v>
      </c>
      <c r="AK411" s="2">
        <v>478428.550616391</v>
      </c>
      <c r="AL411" s="2">
        <v>442175.68215313501</v>
      </c>
      <c r="AM411" s="2">
        <v>426059.15603798197</v>
      </c>
      <c r="AN411" s="2">
        <v>439434.10371299199</v>
      </c>
      <c r="AO411" s="2">
        <v>452297.61711420701</v>
      </c>
      <c r="AP411" s="2">
        <v>436993.93790381099</v>
      </c>
    </row>
    <row r="412" spans="1:42" ht="14.5" x14ac:dyDescent="0.35">
      <c r="A412" s="2" t="s">
        <v>2901</v>
      </c>
      <c r="B412" s="2">
        <v>517.24075766882595</v>
      </c>
      <c r="C412" s="2">
        <v>6.7632000000000003</v>
      </c>
      <c r="D412" s="2" t="s">
        <v>34</v>
      </c>
      <c r="E412" s="2" t="s">
        <v>2902</v>
      </c>
      <c r="F412" s="2">
        <v>57865</v>
      </c>
      <c r="G412" s="3" t="str">
        <f>HYPERLINK("http://funmeta.oebiotech.com/network/57865", "http://funmeta.oebiotech.com/network/57865")</f>
        <v>http://funmeta.oebiotech.com/network/57865</v>
      </c>
      <c r="H412" s="2" t="s">
        <v>2903</v>
      </c>
      <c r="I412" s="2">
        <v>89454</v>
      </c>
      <c r="J412" s="2"/>
      <c r="K412" s="2">
        <v>173236</v>
      </c>
      <c r="L412" s="2"/>
      <c r="M412" s="2"/>
      <c r="N412" s="2"/>
      <c r="O412" s="2">
        <v>131751476</v>
      </c>
      <c r="P412" s="2" t="s">
        <v>2904</v>
      </c>
      <c r="Q412" s="2" t="s">
        <v>2905</v>
      </c>
      <c r="R412" s="2" t="s">
        <v>2906</v>
      </c>
      <c r="S412" s="2" t="s">
        <v>50</v>
      </c>
      <c r="T412" s="2" t="s">
        <v>201</v>
      </c>
      <c r="U412" s="2" t="s">
        <v>265</v>
      </c>
      <c r="V412" s="2" t="s">
        <v>59</v>
      </c>
      <c r="W412" s="2">
        <v>46.4</v>
      </c>
      <c r="X412" s="2">
        <v>41.8</v>
      </c>
      <c r="Y412" s="2" t="s">
        <v>1115</v>
      </c>
      <c r="Z412" s="2" t="s">
        <v>2907</v>
      </c>
      <c r="AA412" s="2">
        <v>-9.2677242531865406E-2</v>
      </c>
      <c r="AB412" s="2">
        <v>1.3918155939235399</v>
      </c>
      <c r="AC412" s="2">
        <v>385844.98476962699</v>
      </c>
      <c r="AD412" s="2">
        <v>254188.702939268</v>
      </c>
      <c r="AE412" s="2">
        <v>375288.40295286401</v>
      </c>
      <c r="AF412" s="2">
        <v>391026.56868730602</v>
      </c>
      <c r="AG412" s="2">
        <v>399497.48730045301</v>
      </c>
      <c r="AH412" s="2">
        <v>361579.088669925</v>
      </c>
      <c r="AI412" s="2">
        <v>396100.75618268299</v>
      </c>
      <c r="AJ412" s="2">
        <v>391577.60482453002</v>
      </c>
      <c r="AK412" s="2">
        <v>245445.993669602</v>
      </c>
      <c r="AL412" s="2">
        <v>303205.205602234</v>
      </c>
      <c r="AM412" s="2">
        <v>240783.421620337</v>
      </c>
      <c r="AN412" s="2">
        <v>245574.60712525999</v>
      </c>
      <c r="AO412" s="2">
        <v>241943.90916713799</v>
      </c>
      <c r="AP412" s="2">
        <v>248179.080451038</v>
      </c>
    </row>
    <row r="413" spans="1:42" ht="14.5" x14ac:dyDescent="0.35">
      <c r="A413" s="2" t="s">
        <v>2908</v>
      </c>
      <c r="B413" s="2">
        <v>276.01632175883702</v>
      </c>
      <c r="C413" s="2">
        <v>1.79495</v>
      </c>
      <c r="D413" s="2" t="s">
        <v>34</v>
      </c>
      <c r="E413" s="2" t="s">
        <v>2909</v>
      </c>
      <c r="F413" s="2">
        <v>257643</v>
      </c>
      <c r="G413" s="3" t="str">
        <f>HYPERLINK("http://funmeta.oebiotech.com/network/257643", "http://funmeta.oebiotech.com/network/257643")</f>
        <v>http://funmeta.oebiotech.com/network/257643</v>
      </c>
      <c r="H413" s="2" t="s">
        <v>2910</v>
      </c>
      <c r="I413" s="2"/>
      <c r="J413" s="2"/>
      <c r="K413" s="2">
        <v>133740</v>
      </c>
      <c r="L413" s="2"/>
      <c r="M413" s="2"/>
      <c r="N413" s="2"/>
      <c r="O413" s="2">
        <v>122198225</v>
      </c>
      <c r="P413" s="2"/>
      <c r="Q413" s="2" t="s">
        <v>2911</v>
      </c>
      <c r="R413" s="2" t="s">
        <v>2912</v>
      </c>
      <c r="S413" s="2" t="s">
        <v>115</v>
      </c>
      <c r="T413" s="2" t="s">
        <v>116</v>
      </c>
      <c r="U413" s="2" t="s">
        <v>117</v>
      </c>
      <c r="V413" s="2" t="s">
        <v>59</v>
      </c>
      <c r="W413" s="2">
        <v>38.9</v>
      </c>
      <c r="X413" s="2">
        <v>2.73</v>
      </c>
      <c r="Y413" s="2" t="s">
        <v>43</v>
      </c>
      <c r="Z413" s="2" t="s">
        <v>2913</v>
      </c>
      <c r="AA413" s="2">
        <v>-3.5944189369432502</v>
      </c>
      <c r="AB413" s="2">
        <v>1.38855741570088</v>
      </c>
      <c r="AC413" s="2">
        <v>511208.41511891503</v>
      </c>
      <c r="AD413" s="2">
        <v>642552.37364511203</v>
      </c>
      <c r="AE413" s="2">
        <v>500065.17064225301</v>
      </c>
      <c r="AF413" s="2">
        <v>518221.53422258899</v>
      </c>
      <c r="AG413" s="2">
        <v>515707.71388889902</v>
      </c>
      <c r="AH413" s="2">
        <v>497109.34572896297</v>
      </c>
      <c r="AI413" s="2">
        <v>505756.45300821098</v>
      </c>
      <c r="AJ413" s="2">
        <v>530390.27322257299</v>
      </c>
      <c r="AK413" s="2">
        <v>652881.67465203803</v>
      </c>
      <c r="AL413" s="2">
        <v>670167.08639966405</v>
      </c>
      <c r="AM413" s="2">
        <v>657597.50865279499</v>
      </c>
      <c r="AN413" s="2">
        <v>644872.14876471797</v>
      </c>
      <c r="AO413" s="2">
        <v>630243.98143534805</v>
      </c>
      <c r="AP413" s="2">
        <v>599551.841966109</v>
      </c>
    </row>
    <row r="414" spans="1:42" ht="14.5" x14ac:dyDescent="0.35">
      <c r="A414" s="2" t="s">
        <v>2914</v>
      </c>
      <c r="B414" s="2">
        <v>437.03756701354803</v>
      </c>
      <c r="C414" s="2">
        <v>1.11073333333333</v>
      </c>
      <c r="D414" s="2" t="s">
        <v>34</v>
      </c>
      <c r="E414" s="2" t="s">
        <v>2915</v>
      </c>
      <c r="F414" s="2">
        <v>212807</v>
      </c>
      <c r="G414" s="3" t="str">
        <f>HYPERLINK("http://funmeta.oebiotech.com/network/212807", "http://funmeta.oebiotech.com/network/212807")</f>
        <v>http://funmeta.oebiotech.com/network/212807</v>
      </c>
      <c r="H414" s="2" t="s">
        <v>2916</v>
      </c>
      <c r="I414" s="2"/>
      <c r="J414" s="2"/>
      <c r="K414" s="2"/>
      <c r="L414" s="2"/>
      <c r="M414" s="2"/>
      <c r="N414" s="2"/>
      <c r="O414" s="2"/>
      <c r="P414" s="2"/>
      <c r="Q414" s="2" t="s">
        <v>2917</v>
      </c>
      <c r="R414" s="2" t="s">
        <v>2918</v>
      </c>
      <c r="S414" s="2" t="s">
        <v>41</v>
      </c>
      <c r="T414" s="2" t="s">
        <v>41</v>
      </c>
      <c r="U414" s="2" t="s">
        <v>41</v>
      </c>
      <c r="V414" s="2" t="s">
        <v>59</v>
      </c>
      <c r="W414" s="2">
        <v>42.8</v>
      </c>
      <c r="X414" s="2">
        <v>24.4</v>
      </c>
      <c r="Y414" s="2" t="s">
        <v>568</v>
      </c>
      <c r="Z414" s="2" t="s">
        <v>2919</v>
      </c>
      <c r="AA414" s="2">
        <v>0.32897583402119801</v>
      </c>
      <c r="AB414" s="2">
        <v>1.38808333077079</v>
      </c>
      <c r="AC414" s="2">
        <v>158203.68301367</v>
      </c>
      <c r="AD414" s="2">
        <v>287405.46343851998</v>
      </c>
      <c r="AE414" s="2">
        <v>161779.0931765</v>
      </c>
      <c r="AF414" s="2">
        <v>160606.18724091401</v>
      </c>
      <c r="AG414" s="2">
        <v>156357.93708594699</v>
      </c>
      <c r="AH414" s="2">
        <v>161987.32334119701</v>
      </c>
      <c r="AI414" s="2">
        <v>159037.02189967799</v>
      </c>
      <c r="AJ414" s="2">
        <v>149454.53533778401</v>
      </c>
      <c r="AK414" s="2">
        <v>313985.71804291301</v>
      </c>
      <c r="AL414" s="2">
        <v>252196.127354789</v>
      </c>
      <c r="AM414" s="2">
        <v>285133.96648606297</v>
      </c>
      <c r="AN414" s="2">
        <v>289287.59273534402</v>
      </c>
      <c r="AO414" s="2">
        <v>282193.906946478</v>
      </c>
      <c r="AP414" s="2">
        <v>301635.46906553401</v>
      </c>
    </row>
    <row r="415" spans="1:42" ht="14.5" x14ac:dyDescent="0.35">
      <c r="A415" s="2" t="s">
        <v>2920</v>
      </c>
      <c r="B415" s="2">
        <v>617.28091253460605</v>
      </c>
      <c r="C415" s="2">
        <v>4.5065833333333298</v>
      </c>
      <c r="D415" s="2" t="s">
        <v>70</v>
      </c>
      <c r="E415" s="2" t="s">
        <v>2921</v>
      </c>
      <c r="F415" s="2">
        <v>202620</v>
      </c>
      <c r="G415" s="3" t="str">
        <f>HYPERLINK("http://funmeta.oebiotech.com/network/202620", "http://funmeta.oebiotech.com/network/202620")</f>
        <v>http://funmeta.oebiotech.com/network/202620</v>
      </c>
      <c r="H415" s="2" t="s">
        <v>2922</v>
      </c>
      <c r="I415" s="2"/>
      <c r="J415" s="2"/>
      <c r="K415" s="2"/>
      <c r="L415" s="2"/>
      <c r="M415" s="2"/>
      <c r="N415" s="2"/>
      <c r="O415" s="2">
        <v>3653603</v>
      </c>
      <c r="P415" s="2"/>
      <c r="Q415" s="2" t="s">
        <v>2923</v>
      </c>
      <c r="R415" s="2" t="s">
        <v>2924</v>
      </c>
      <c r="S415" s="2" t="s">
        <v>41</v>
      </c>
      <c r="T415" s="2" t="s">
        <v>41</v>
      </c>
      <c r="U415" s="2" t="s">
        <v>41</v>
      </c>
      <c r="V415" s="2" t="s">
        <v>59</v>
      </c>
      <c r="W415" s="2">
        <v>43.8</v>
      </c>
      <c r="X415" s="2">
        <v>34.4</v>
      </c>
      <c r="Y415" s="2" t="s">
        <v>560</v>
      </c>
      <c r="Z415" s="2" t="s">
        <v>2925</v>
      </c>
      <c r="AA415" s="2">
        <v>1.26275168422078</v>
      </c>
      <c r="AB415" s="2">
        <v>1.3879300098573399</v>
      </c>
      <c r="AC415" s="2">
        <v>509937.98215727502</v>
      </c>
      <c r="AD415" s="2">
        <v>378590.327583317</v>
      </c>
      <c r="AE415" s="2">
        <v>506672.78304579499</v>
      </c>
      <c r="AF415" s="2">
        <v>506447.37377652898</v>
      </c>
      <c r="AG415" s="2">
        <v>498561.27471719298</v>
      </c>
      <c r="AH415" s="2">
        <v>507058.459020824</v>
      </c>
      <c r="AI415" s="2">
        <v>538480.74872561404</v>
      </c>
      <c r="AJ415" s="2">
        <v>502407.25365769799</v>
      </c>
      <c r="AK415" s="2">
        <v>358204.91812240903</v>
      </c>
      <c r="AL415" s="2">
        <v>402754.241954514</v>
      </c>
      <c r="AM415" s="2">
        <v>385593.07837262901</v>
      </c>
      <c r="AN415" s="2">
        <v>407703.58923846303</v>
      </c>
      <c r="AO415" s="2">
        <v>357566.72817790398</v>
      </c>
      <c r="AP415" s="2">
        <v>359719.40963398101</v>
      </c>
    </row>
    <row r="416" spans="1:42" ht="14.5" x14ac:dyDescent="0.35">
      <c r="A416" s="2" t="s">
        <v>2926</v>
      </c>
      <c r="B416" s="2">
        <v>249.03682676785101</v>
      </c>
      <c r="C416" s="2">
        <v>0.75019999999999998</v>
      </c>
      <c r="D416" s="2" t="s">
        <v>34</v>
      </c>
      <c r="E416" s="2" t="s">
        <v>2927</v>
      </c>
      <c r="F416" s="2">
        <v>212614</v>
      </c>
      <c r="G416" s="3" t="str">
        <f>HYPERLINK("http://funmeta.oebiotech.com/network/212614", "http://funmeta.oebiotech.com/network/212614")</f>
        <v>http://funmeta.oebiotech.com/network/212614</v>
      </c>
      <c r="H416" s="2" t="s">
        <v>2928</v>
      </c>
      <c r="I416" s="2"/>
      <c r="J416" s="2"/>
      <c r="K416" s="2"/>
      <c r="L416" s="2"/>
      <c r="M416" s="2"/>
      <c r="N416" s="2"/>
      <c r="O416" s="2"/>
      <c r="P416" s="2"/>
      <c r="Q416" s="2" t="s">
        <v>2929</v>
      </c>
      <c r="R416" s="2" t="s">
        <v>2930</v>
      </c>
      <c r="S416" s="2" t="s">
        <v>148</v>
      </c>
      <c r="T416" s="2" t="s">
        <v>149</v>
      </c>
      <c r="U416" s="2" t="s">
        <v>1593</v>
      </c>
      <c r="V416" s="2" t="s">
        <v>59</v>
      </c>
      <c r="W416" s="2">
        <v>40.6</v>
      </c>
      <c r="X416" s="2">
        <v>12</v>
      </c>
      <c r="Y416" s="2" t="s">
        <v>394</v>
      </c>
      <c r="Z416" s="2" t="s">
        <v>2931</v>
      </c>
      <c r="AA416" s="2">
        <v>-0.37506355114762802</v>
      </c>
      <c r="AB416" s="2">
        <v>1.3836767315518499</v>
      </c>
      <c r="AC416" s="2">
        <v>321038.14176122303</v>
      </c>
      <c r="AD416" s="2">
        <v>460212.90392162499</v>
      </c>
      <c r="AE416" s="2">
        <v>306645.017893499</v>
      </c>
      <c r="AF416" s="2">
        <v>340808.15445103397</v>
      </c>
      <c r="AG416" s="2">
        <v>338850.00555030099</v>
      </c>
      <c r="AH416" s="2">
        <v>308297.71617401001</v>
      </c>
      <c r="AI416" s="2">
        <v>317510.138942755</v>
      </c>
      <c r="AJ416" s="2">
        <v>314117.817555741</v>
      </c>
      <c r="AK416" s="2">
        <v>491291.73402989999</v>
      </c>
      <c r="AL416" s="2">
        <v>520156.05182440899</v>
      </c>
      <c r="AM416" s="2">
        <v>490737.61564560898</v>
      </c>
      <c r="AN416" s="2">
        <v>441123.79989606101</v>
      </c>
      <c r="AO416" s="2">
        <v>424666.90902211302</v>
      </c>
      <c r="AP416" s="2">
        <v>393301.31311165798</v>
      </c>
    </row>
    <row r="417" spans="1:42" ht="14.5" x14ac:dyDescent="0.35">
      <c r="A417" s="2" t="s">
        <v>2932</v>
      </c>
      <c r="B417" s="2">
        <v>962.60459004347103</v>
      </c>
      <c r="C417" s="2">
        <v>12.953900000000001</v>
      </c>
      <c r="D417" s="2" t="s">
        <v>34</v>
      </c>
      <c r="E417" s="2" t="s">
        <v>2933</v>
      </c>
      <c r="F417" s="2">
        <v>203560</v>
      </c>
      <c r="G417" s="3" t="str">
        <f>HYPERLINK("http://funmeta.oebiotech.com/network/203560", "http://funmeta.oebiotech.com/network/203560")</f>
        <v>http://funmeta.oebiotech.com/network/203560</v>
      </c>
      <c r="H417" s="2" t="s">
        <v>2934</v>
      </c>
      <c r="I417" s="2"/>
      <c r="J417" s="2"/>
      <c r="K417" s="2"/>
      <c r="L417" s="2"/>
      <c r="M417" s="2"/>
      <c r="N417" s="2"/>
      <c r="O417" s="2">
        <v>206186</v>
      </c>
      <c r="P417" s="2"/>
      <c r="Q417" s="2" t="s">
        <v>2935</v>
      </c>
      <c r="R417" s="2" t="s">
        <v>2936</v>
      </c>
      <c r="S417" s="2" t="s">
        <v>79</v>
      </c>
      <c r="T417" s="2" t="s">
        <v>80</v>
      </c>
      <c r="U417" s="2" t="s">
        <v>81</v>
      </c>
      <c r="V417" s="2" t="s">
        <v>59</v>
      </c>
      <c r="W417" s="2">
        <v>41.5</v>
      </c>
      <c r="X417" s="2">
        <v>14.7</v>
      </c>
      <c r="Y417" s="2" t="s">
        <v>470</v>
      </c>
      <c r="Z417" s="2" t="s">
        <v>2937</v>
      </c>
      <c r="AA417" s="2">
        <v>-9.1801401433545093E-2</v>
      </c>
      <c r="AB417" s="2">
        <v>1.3782691594231999</v>
      </c>
      <c r="AC417" s="2">
        <v>306060.96922863898</v>
      </c>
      <c r="AD417" s="2">
        <v>440054.98032856802</v>
      </c>
      <c r="AE417" s="2">
        <v>276388.76869409002</v>
      </c>
      <c r="AF417" s="2">
        <v>268878.749214674</v>
      </c>
      <c r="AG417" s="2">
        <v>302780.25143618498</v>
      </c>
      <c r="AH417" s="2">
        <v>333849.33745749103</v>
      </c>
      <c r="AI417" s="2">
        <v>315469.58532735897</v>
      </c>
      <c r="AJ417" s="2">
        <v>338999.12324203301</v>
      </c>
      <c r="AK417" s="2">
        <v>447954.59272065101</v>
      </c>
      <c r="AL417" s="2">
        <v>408030.08743337297</v>
      </c>
      <c r="AM417" s="2">
        <v>448013.809519723</v>
      </c>
      <c r="AN417" s="2">
        <v>400623.59654946899</v>
      </c>
      <c r="AO417" s="2">
        <v>458248.24052810401</v>
      </c>
      <c r="AP417" s="2">
        <v>477459.55522008502</v>
      </c>
    </row>
    <row r="418" spans="1:42" ht="14.5" x14ac:dyDescent="0.35">
      <c r="A418" s="2" t="s">
        <v>2938</v>
      </c>
      <c r="B418" s="2">
        <v>529.20439568005702</v>
      </c>
      <c r="C418" s="2">
        <v>5.0569833333333296</v>
      </c>
      <c r="D418" s="2" t="s">
        <v>34</v>
      </c>
      <c r="E418" s="2" t="s">
        <v>2939</v>
      </c>
      <c r="F418" s="2">
        <v>61601</v>
      </c>
      <c r="G418" s="3" t="str">
        <f>HYPERLINK("http://funmeta.oebiotech.com/network/61601", "http://funmeta.oebiotech.com/network/61601")</f>
        <v>http://funmeta.oebiotech.com/network/61601</v>
      </c>
      <c r="H418" s="2" t="s">
        <v>2940</v>
      </c>
      <c r="I418" s="2">
        <v>92907</v>
      </c>
      <c r="J418" s="2"/>
      <c r="K418" s="2"/>
      <c r="L418" s="2"/>
      <c r="M418" s="2"/>
      <c r="N418" s="2"/>
      <c r="O418" s="2">
        <v>131752314</v>
      </c>
      <c r="P418" s="2"/>
      <c r="Q418" s="2" t="s">
        <v>2941</v>
      </c>
      <c r="R418" s="2" t="s">
        <v>2942</v>
      </c>
      <c r="S418" s="2" t="s">
        <v>491</v>
      </c>
      <c r="T418" s="2" t="s">
        <v>2943</v>
      </c>
      <c r="U418" s="2" t="s">
        <v>41</v>
      </c>
      <c r="V418" s="2" t="s">
        <v>59</v>
      </c>
      <c r="W418" s="2">
        <v>42.4</v>
      </c>
      <c r="X418" s="2">
        <v>14.6</v>
      </c>
      <c r="Y418" s="2" t="s">
        <v>505</v>
      </c>
      <c r="Z418" s="2" t="s">
        <v>2944</v>
      </c>
      <c r="AA418" s="2">
        <v>-4.4024602862438499E-2</v>
      </c>
      <c r="AB418" s="2">
        <v>1.37728150624987</v>
      </c>
      <c r="AC418" s="2">
        <v>651016.38766638597</v>
      </c>
      <c r="AD418" s="2">
        <v>787354.57934234105</v>
      </c>
      <c r="AE418" s="2">
        <v>648439.91470470396</v>
      </c>
      <c r="AF418" s="2">
        <v>681974.01730198599</v>
      </c>
      <c r="AG418" s="2">
        <v>681107.30764993501</v>
      </c>
      <c r="AH418" s="2">
        <v>634169.81604407995</v>
      </c>
      <c r="AI418" s="2">
        <v>619589.37907593895</v>
      </c>
      <c r="AJ418" s="2">
        <v>640817.89122166904</v>
      </c>
      <c r="AK418" s="2">
        <v>828283.73075113702</v>
      </c>
      <c r="AL418" s="2">
        <v>752729.11315518303</v>
      </c>
      <c r="AM418" s="2">
        <v>843950.86305709404</v>
      </c>
      <c r="AN418" s="2">
        <v>772057.74339954101</v>
      </c>
      <c r="AO418" s="2">
        <v>763012.18223483698</v>
      </c>
      <c r="AP418" s="2">
        <v>764093.84345625294</v>
      </c>
    </row>
    <row r="419" spans="1:42" ht="14.5" x14ac:dyDescent="0.35">
      <c r="A419" s="2" t="s">
        <v>2945</v>
      </c>
      <c r="B419" s="2">
        <v>676.34534530686994</v>
      </c>
      <c r="C419" s="2">
        <v>7.4609833333333304</v>
      </c>
      <c r="D419" s="2" t="s">
        <v>34</v>
      </c>
      <c r="E419" s="2" t="s">
        <v>2946</v>
      </c>
      <c r="F419" s="2">
        <v>27966</v>
      </c>
      <c r="G419" s="3" t="str">
        <f>HYPERLINK("http://funmeta.oebiotech.com/network/27966", "http://funmeta.oebiotech.com/network/27966")</f>
        <v>http://funmeta.oebiotech.com/network/27966</v>
      </c>
      <c r="H419" s="2"/>
      <c r="I419" s="2"/>
      <c r="J419" s="2" t="s">
        <v>2947</v>
      </c>
      <c r="K419" s="2"/>
      <c r="L419" s="2"/>
      <c r="M419" s="2"/>
      <c r="N419" s="2"/>
      <c r="O419" s="2">
        <v>134812413</v>
      </c>
      <c r="P419" s="2"/>
      <c r="Q419" s="2" t="s">
        <v>2948</v>
      </c>
      <c r="R419" s="2" t="s">
        <v>2949</v>
      </c>
      <c r="S419" s="2" t="s">
        <v>50</v>
      </c>
      <c r="T419" s="2" t="s">
        <v>51</v>
      </c>
      <c r="U419" s="2" t="s">
        <v>66</v>
      </c>
      <c r="V419" s="2" t="s">
        <v>59</v>
      </c>
      <c r="W419" s="2">
        <v>44.1</v>
      </c>
      <c r="X419" s="2">
        <v>26.1</v>
      </c>
      <c r="Y419" s="2" t="s">
        <v>141</v>
      </c>
      <c r="Z419" s="2" t="s">
        <v>2950</v>
      </c>
      <c r="AA419" s="2">
        <v>-0.42392526874473602</v>
      </c>
      <c r="AB419" s="2">
        <v>1.3728267812428701</v>
      </c>
      <c r="AC419" s="2">
        <v>120359.63566781</v>
      </c>
      <c r="AD419" s="2">
        <v>245319.091766597</v>
      </c>
      <c r="AE419" s="2">
        <v>116500.132338914</v>
      </c>
      <c r="AF419" s="2">
        <v>117820.116717123</v>
      </c>
      <c r="AG419" s="2">
        <v>132356.62256595999</v>
      </c>
      <c r="AH419" s="2">
        <v>107955.82386619299</v>
      </c>
      <c r="AI419" s="2">
        <v>126008.563005014</v>
      </c>
      <c r="AJ419" s="2">
        <v>121516.555513659</v>
      </c>
      <c r="AK419" s="2">
        <v>233894.15106261201</v>
      </c>
      <c r="AL419" s="2">
        <v>232955.744508929</v>
      </c>
      <c r="AM419" s="2">
        <v>249675.55586876601</v>
      </c>
      <c r="AN419" s="2">
        <v>263453.02006497001</v>
      </c>
      <c r="AO419" s="2">
        <v>255221.03583062399</v>
      </c>
      <c r="AP419" s="2">
        <v>236715.043263678</v>
      </c>
    </row>
    <row r="420" spans="1:42" ht="14.5" x14ac:dyDescent="0.35">
      <c r="A420" s="2" t="s">
        <v>2951</v>
      </c>
      <c r="B420" s="2">
        <v>1018.6863641483</v>
      </c>
      <c r="C420" s="2">
        <v>12.7128333333333</v>
      </c>
      <c r="D420" s="2" t="s">
        <v>34</v>
      </c>
      <c r="E420" s="2" t="s">
        <v>2952</v>
      </c>
      <c r="F420" s="2">
        <v>240897</v>
      </c>
      <c r="G420" s="3" t="str">
        <f>HYPERLINK("http://funmeta.oebiotech.com/network/240897", "http://funmeta.oebiotech.com/network/240897")</f>
        <v>http://funmeta.oebiotech.com/network/240897</v>
      </c>
      <c r="H420" s="2" t="s">
        <v>2953</v>
      </c>
      <c r="I420" s="2"/>
      <c r="J420" s="2"/>
      <c r="K420" s="2"/>
      <c r="L420" s="2"/>
      <c r="M420" s="2"/>
      <c r="N420" s="2"/>
      <c r="O420" s="2"/>
      <c r="P420" s="2"/>
      <c r="Q420" s="2" t="s">
        <v>2954</v>
      </c>
      <c r="R420" s="2" t="s">
        <v>2955</v>
      </c>
      <c r="S420" s="2" t="s">
        <v>41</v>
      </c>
      <c r="T420" s="2" t="s">
        <v>41</v>
      </c>
      <c r="U420" s="2" t="s">
        <v>41</v>
      </c>
      <c r="V420" s="2" t="s">
        <v>59</v>
      </c>
      <c r="W420" s="2">
        <v>36.4</v>
      </c>
      <c r="X420" s="2">
        <v>0</v>
      </c>
      <c r="Y420" s="2" t="s">
        <v>470</v>
      </c>
      <c r="Z420" s="2" t="s">
        <v>2956</v>
      </c>
      <c r="AA420" s="2">
        <v>-2.5292903858556501</v>
      </c>
      <c r="AB420" s="2">
        <v>1.37196324445113</v>
      </c>
      <c r="AC420" s="2">
        <v>127.02407195150199</v>
      </c>
      <c r="AD420" s="2">
        <v>125074.51654977001</v>
      </c>
      <c r="AE420" s="2">
        <v>690.550997613454</v>
      </c>
      <c r="AF420" s="2">
        <v>3.1417196440850601</v>
      </c>
      <c r="AG420" s="2">
        <v>1.9550585619226499</v>
      </c>
      <c r="AH420" s="2">
        <v>4.3021658871442803</v>
      </c>
      <c r="AI420" s="2">
        <v>0.10431685667654</v>
      </c>
      <c r="AJ420" s="2">
        <v>62.090173145732301</v>
      </c>
      <c r="AK420" s="2">
        <v>128572.93456385699</v>
      </c>
      <c r="AL420" s="2">
        <v>110758.760050953</v>
      </c>
      <c r="AM420" s="2">
        <v>151199.19643738901</v>
      </c>
      <c r="AN420" s="2">
        <v>110464.985420592</v>
      </c>
      <c r="AO420" s="2">
        <v>121711.432827499</v>
      </c>
      <c r="AP420" s="2">
        <v>127739.78999833</v>
      </c>
    </row>
    <row r="421" spans="1:42" ht="14.5" x14ac:dyDescent="0.35">
      <c r="A421" s="2" t="s">
        <v>2957</v>
      </c>
      <c r="B421" s="2">
        <v>831.47053557142601</v>
      </c>
      <c r="C421" s="2">
        <v>11.65635</v>
      </c>
      <c r="D421" s="2" t="s">
        <v>34</v>
      </c>
      <c r="E421" s="2" t="s">
        <v>2958</v>
      </c>
      <c r="F421" s="2">
        <v>59227</v>
      </c>
      <c r="G421" s="3" t="str">
        <f>HYPERLINK("http://funmeta.oebiotech.com/network/59227", "http://funmeta.oebiotech.com/network/59227")</f>
        <v>http://funmeta.oebiotech.com/network/59227</v>
      </c>
      <c r="H421" s="2" t="s">
        <v>2959</v>
      </c>
      <c r="I421" s="2">
        <v>90645</v>
      </c>
      <c r="J421" s="2"/>
      <c r="K421" s="2"/>
      <c r="L421" s="2"/>
      <c r="M421" s="2"/>
      <c r="N421" s="2"/>
      <c r="O421" s="2">
        <v>131751716</v>
      </c>
      <c r="P421" s="2" t="s">
        <v>2960</v>
      </c>
      <c r="Q421" s="2" t="s">
        <v>2961</v>
      </c>
      <c r="R421" s="2" t="s">
        <v>2962</v>
      </c>
      <c r="S421" s="2" t="s">
        <v>50</v>
      </c>
      <c r="T421" s="2" t="s">
        <v>124</v>
      </c>
      <c r="U421" s="2" t="s">
        <v>523</v>
      </c>
      <c r="V421" s="2" t="s">
        <v>59</v>
      </c>
      <c r="W421" s="2">
        <v>38.1</v>
      </c>
      <c r="X421" s="2">
        <v>7.21</v>
      </c>
      <c r="Y421" s="2" t="s">
        <v>394</v>
      </c>
      <c r="Z421" s="2" t="s">
        <v>2963</v>
      </c>
      <c r="AA421" s="2">
        <v>-3.7653762821818701</v>
      </c>
      <c r="AB421" s="2">
        <v>1.3703804182181101</v>
      </c>
      <c r="AC421" s="2">
        <v>65181.074154275397</v>
      </c>
      <c r="AD421" s="2">
        <v>189432.879162572</v>
      </c>
      <c r="AE421" s="2">
        <v>66384.360430230605</v>
      </c>
      <c r="AF421" s="2">
        <v>63612.486333571404</v>
      </c>
      <c r="AG421" s="2">
        <v>63251.803209066296</v>
      </c>
      <c r="AH421" s="2">
        <v>64977.954097444199</v>
      </c>
      <c r="AI421" s="2">
        <v>66574.846556933597</v>
      </c>
      <c r="AJ421" s="2">
        <v>66284.994298406295</v>
      </c>
      <c r="AK421" s="2">
        <v>169183.10811313699</v>
      </c>
      <c r="AL421" s="2">
        <v>184897.14485271901</v>
      </c>
      <c r="AM421" s="2">
        <v>195609.95209885499</v>
      </c>
      <c r="AN421" s="2">
        <v>199625.89249304199</v>
      </c>
      <c r="AO421" s="2">
        <v>182536.03472965999</v>
      </c>
      <c r="AP421" s="2">
        <v>204745.14268801801</v>
      </c>
    </row>
    <row r="422" spans="1:42" ht="14.5" x14ac:dyDescent="0.35">
      <c r="A422" s="2" t="s">
        <v>2964</v>
      </c>
      <c r="B422" s="2">
        <v>800.38126065846404</v>
      </c>
      <c r="C422" s="2">
        <v>7.3159999999999998</v>
      </c>
      <c r="D422" s="2" t="s">
        <v>34</v>
      </c>
      <c r="E422" s="2" t="s">
        <v>2965</v>
      </c>
      <c r="F422" s="2">
        <v>209466</v>
      </c>
      <c r="G422" s="3" t="str">
        <f>HYPERLINK("http://funmeta.oebiotech.com/network/209466", "http://funmeta.oebiotech.com/network/209466")</f>
        <v>http://funmeta.oebiotech.com/network/209466</v>
      </c>
      <c r="H422" s="2" t="s">
        <v>2966</v>
      </c>
      <c r="I422" s="2"/>
      <c r="J422" s="2"/>
      <c r="K422" s="2"/>
      <c r="L422" s="2"/>
      <c r="M422" s="2"/>
      <c r="N422" s="2"/>
      <c r="O422" s="2"/>
      <c r="P422" s="2"/>
      <c r="Q422" s="2" t="s">
        <v>2967</v>
      </c>
      <c r="R422" s="2" t="s">
        <v>2968</v>
      </c>
      <c r="S422" s="2" t="s">
        <v>50</v>
      </c>
      <c r="T422" s="2" t="s">
        <v>51</v>
      </c>
      <c r="U422" s="2" t="s">
        <v>66</v>
      </c>
      <c r="V422" s="2" t="s">
        <v>59</v>
      </c>
      <c r="W422" s="2">
        <v>38.299999999999997</v>
      </c>
      <c r="X422" s="2">
        <v>6.6</v>
      </c>
      <c r="Y422" s="2" t="s">
        <v>394</v>
      </c>
      <c r="Z422" s="2" t="s">
        <v>2969</v>
      </c>
      <c r="AA422" s="2">
        <v>-3.6144927021039202</v>
      </c>
      <c r="AB422" s="2">
        <v>1.3695971541662499</v>
      </c>
      <c r="AC422" s="2">
        <v>194982.343854034</v>
      </c>
      <c r="AD422" s="2">
        <v>70813.130173742495</v>
      </c>
      <c r="AE422" s="2">
        <v>201697.595351992</v>
      </c>
      <c r="AF422" s="2">
        <v>202282.985933327</v>
      </c>
      <c r="AG422" s="2">
        <v>202494.74426994901</v>
      </c>
      <c r="AH422" s="2">
        <v>186047.33033628299</v>
      </c>
      <c r="AI422" s="2">
        <v>197812.79826429399</v>
      </c>
      <c r="AJ422" s="2">
        <v>179558.608968357</v>
      </c>
      <c r="AK422" s="2">
        <v>72716.507321693396</v>
      </c>
      <c r="AL422" s="2">
        <v>80432.483085708998</v>
      </c>
      <c r="AM422" s="2">
        <v>79571.4896779634</v>
      </c>
      <c r="AN422" s="2">
        <v>60558.8911153222</v>
      </c>
      <c r="AO422" s="2">
        <v>58480.737722551799</v>
      </c>
      <c r="AP422" s="2">
        <v>73118.672119215305</v>
      </c>
    </row>
    <row r="423" spans="1:42" ht="14.5" x14ac:dyDescent="0.35">
      <c r="A423" s="2" t="s">
        <v>2970</v>
      </c>
      <c r="B423" s="2">
        <v>229.154613549765</v>
      </c>
      <c r="C423" s="2">
        <v>1.06171666666667</v>
      </c>
      <c r="D423" s="2" t="s">
        <v>34</v>
      </c>
      <c r="E423" s="2" t="s">
        <v>2971</v>
      </c>
      <c r="F423" s="2">
        <v>207424</v>
      </c>
      <c r="G423" s="3" t="str">
        <f>HYPERLINK("http://funmeta.oebiotech.com/network/207424", "http://funmeta.oebiotech.com/network/207424")</f>
        <v>http://funmeta.oebiotech.com/network/207424</v>
      </c>
      <c r="H423" s="2" t="s">
        <v>2972</v>
      </c>
      <c r="I423" s="2"/>
      <c r="J423" s="2"/>
      <c r="K423" s="2"/>
      <c r="L423" s="2"/>
      <c r="M423" s="2"/>
      <c r="N423" s="2"/>
      <c r="O423" s="2">
        <v>3527720</v>
      </c>
      <c r="P423" s="2"/>
      <c r="Q423" s="2" t="s">
        <v>2973</v>
      </c>
      <c r="R423" s="2" t="s">
        <v>2974</v>
      </c>
      <c r="S423" s="2" t="s">
        <v>89</v>
      </c>
      <c r="T423" s="2" t="s">
        <v>90</v>
      </c>
      <c r="U423" s="2" t="s">
        <v>99</v>
      </c>
      <c r="V423" s="2" t="s">
        <v>59</v>
      </c>
      <c r="W423" s="2">
        <v>42.5</v>
      </c>
      <c r="X423" s="2">
        <v>14.8</v>
      </c>
      <c r="Y423" s="2" t="s">
        <v>394</v>
      </c>
      <c r="Z423" s="2" t="s">
        <v>2975</v>
      </c>
      <c r="AA423" s="2">
        <v>-0.24279004232249299</v>
      </c>
      <c r="AB423" s="2">
        <v>1.36798896081273</v>
      </c>
      <c r="AC423" s="2">
        <v>523747.15118654899</v>
      </c>
      <c r="AD423" s="2">
        <v>648680.70673165505</v>
      </c>
      <c r="AE423" s="2">
        <v>530549.93746012298</v>
      </c>
      <c r="AF423" s="2">
        <v>528333.52725182998</v>
      </c>
      <c r="AG423" s="2">
        <v>520730.68494724802</v>
      </c>
      <c r="AH423" s="2">
        <v>525311.81108568097</v>
      </c>
      <c r="AI423" s="2">
        <v>506466.419742845</v>
      </c>
      <c r="AJ423" s="2">
        <v>531090.526631566</v>
      </c>
      <c r="AK423" s="2">
        <v>637077.237072499</v>
      </c>
      <c r="AL423" s="2">
        <v>629811.76301703602</v>
      </c>
      <c r="AM423" s="2">
        <v>650886.89540367702</v>
      </c>
      <c r="AN423" s="2">
        <v>669570.95278486505</v>
      </c>
      <c r="AO423" s="2">
        <v>663641.54280638497</v>
      </c>
      <c r="AP423" s="2">
        <v>641095.84930546896</v>
      </c>
    </row>
    <row r="424" spans="1:42" ht="14.5" x14ac:dyDescent="0.35">
      <c r="A424" s="2" t="s">
        <v>2976</v>
      </c>
      <c r="B424" s="2">
        <v>313.23832908679901</v>
      </c>
      <c r="C424" s="2">
        <v>8.91503333333333</v>
      </c>
      <c r="D424" s="2" t="s">
        <v>70</v>
      </c>
      <c r="E424" s="2" t="s">
        <v>2977</v>
      </c>
      <c r="F424" s="2">
        <v>777</v>
      </c>
      <c r="G424" s="3" t="str">
        <f>HYPERLINK("http://funmeta.oebiotech.com/network/777", "http://funmeta.oebiotech.com/network/777")</f>
        <v>http://funmeta.oebiotech.com/network/777</v>
      </c>
      <c r="H424" s="2"/>
      <c r="I424" s="2">
        <v>34948</v>
      </c>
      <c r="J424" s="2" t="s">
        <v>2978</v>
      </c>
      <c r="K424" s="2"/>
      <c r="L424" s="2"/>
      <c r="M424" s="2"/>
      <c r="N424" s="2"/>
      <c r="O424" s="2">
        <v>152958</v>
      </c>
      <c r="P424" s="2"/>
      <c r="Q424" s="2" t="s">
        <v>2979</v>
      </c>
      <c r="R424" s="2" t="s">
        <v>2980</v>
      </c>
      <c r="S424" s="2" t="s">
        <v>50</v>
      </c>
      <c r="T424" s="2" t="s">
        <v>229</v>
      </c>
      <c r="U424" s="2" t="s">
        <v>433</v>
      </c>
      <c r="V424" s="2" t="s">
        <v>59</v>
      </c>
      <c r="W424" s="2">
        <v>45.2</v>
      </c>
      <c r="X424" s="2">
        <v>28.5</v>
      </c>
      <c r="Y424" s="2" t="s">
        <v>408</v>
      </c>
      <c r="Z424" s="2" t="s">
        <v>2981</v>
      </c>
      <c r="AA424" s="2">
        <v>-0.387893200677358</v>
      </c>
      <c r="AB424" s="2">
        <v>1.3674791396474699</v>
      </c>
      <c r="AC424" s="2">
        <v>10762.458292850801</v>
      </c>
      <c r="AD424" s="2">
        <v>133579.88212941799</v>
      </c>
      <c r="AE424" s="2">
        <v>10542.0236407186</v>
      </c>
      <c r="AF424" s="2">
        <v>10860.337723606401</v>
      </c>
      <c r="AG424" s="2">
        <v>10711.814000538099</v>
      </c>
      <c r="AH424" s="2">
        <v>12080.223391573199</v>
      </c>
      <c r="AI424" s="2">
        <v>10368.1824634032</v>
      </c>
      <c r="AJ424" s="2">
        <v>10012.168537265599</v>
      </c>
      <c r="AK424" s="2">
        <v>134828.86558860901</v>
      </c>
      <c r="AL424" s="2">
        <v>131479.99499283501</v>
      </c>
      <c r="AM424" s="2">
        <v>141139.75713333301</v>
      </c>
      <c r="AN424" s="2">
        <v>130015.894520225</v>
      </c>
      <c r="AO424" s="2">
        <v>130892.87027168</v>
      </c>
      <c r="AP424" s="2">
        <v>133121.910269824</v>
      </c>
    </row>
    <row r="425" spans="1:42" ht="14.5" x14ac:dyDescent="0.35">
      <c r="A425" s="2" t="s">
        <v>2982</v>
      </c>
      <c r="B425" s="2">
        <v>931.28645178908903</v>
      </c>
      <c r="C425" s="2">
        <v>4.0250666666666701</v>
      </c>
      <c r="D425" s="2" t="s">
        <v>70</v>
      </c>
      <c r="E425" s="2" t="s">
        <v>2983</v>
      </c>
      <c r="F425" s="2">
        <v>29024</v>
      </c>
      <c r="G425" s="3" t="str">
        <f>HYPERLINK("http://funmeta.oebiotech.com/network/29024", "http://funmeta.oebiotech.com/network/29024")</f>
        <v>http://funmeta.oebiotech.com/network/29024</v>
      </c>
      <c r="H425" s="2"/>
      <c r="I425" s="2"/>
      <c r="J425" s="2" t="s">
        <v>2984</v>
      </c>
      <c r="K425" s="2"/>
      <c r="L425" s="2"/>
      <c r="M425" s="2"/>
      <c r="N425" s="2"/>
      <c r="O425" s="2">
        <v>44257156</v>
      </c>
      <c r="P425" s="2"/>
      <c r="Q425" s="2" t="s">
        <v>2985</v>
      </c>
      <c r="R425" s="2" t="s">
        <v>2986</v>
      </c>
      <c r="S425" s="2" t="s">
        <v>115</v>
      </c>
      <c r="T425" s="2" t="s">
        <v>139</v>
      </c>
      <c r="U425" s="2" t="s">
        <v>140</v>
      </c>
      <c r="V425" s="2" t="s">
        <v>42</v>
      </c>
      <c r="W425" s="2">
        <v>52.1</v>
      </c>
      <c r="X425" s="2">
        <v>81.099999999999994</v>
      </c>
      <c r="Y425" s="2" t="s">
        <v>560</v>
      </c>
      <c r="Z425" s="2" t="s">
        <v>2987</v>
      </c>
      <c r="AA425" s="2">
        <v>-1.38912773192802</v>
      </c>
      <c r="AB425" s="2">
        <v>1.3674474229143601</v>
      </c>
      <c r="AC425" s="2">
        <v>240379.098917002</v>
      </c>
      <c r="AD425" s="2">
        <v>115694.056122223</v>
      </c>
      <c r="AE425" s="2">
        <v>241319.280619745</v>
      </c>
      <c r="AF425" s="2">
        <v>216613.063837511</v>
      </c>
      <c r="AG425" s="2">
        <v>236127.82784117301</v>
      </c>
      <c r="AH425" s="2">
        <v>259156.73371786901</v>
      </c>
      <c r="AI425" s="2">
        <v>237469.41496568499</v>
      </c>
      <c r="AJ425" s="2">
        <v>251588.27252003</v>
      </c>
      <c r="AK425" s="2">
        <v>103056.899599394</v>
      </c>
      <c r="AL425" s="2">
        <v>116709.94058089401</v>
      </c>
      <c r="AM425" s="2">
        <v>127643.332359908</v>
      </c>
      <c r="AN425" s="2">
        <v>108936.36954389</v>
      </c>
      <c r="AO425" s="2">
        <v>115776.40307227999</v>
      </c>
      <c r="AP425" s="2">
        <v>122041.39157696901</v>
      </c>
    </row>
    <row r="426" spans="1:42" ht="14.5" x14ac:dyDescent="0.35">
      <c r="A426" s="2" t="s">
        <v>2988</v>
      </c>
      <c r="B426" s="2">
        <v>461.12981133721303</v>
      </c>
      <c r="C426" s="2">
        <v>4.25878333333333</v>
      </c>
      <c r="D426" s="2" t="s">
        <v>70</v>
      </c>
      <c r="E426" s="2" t="s">
        <v>2989</v>
      </c>
      <c r="F426" s="2">
        <v>58238</v>
      </c>
      <c r="G426" s="3" t="str">
        <f>HYPERLINK("http://funmeta.oebiotech.com/network/58238", "http://funmeta.oebiotech.com/network/58238")</f>
        <v>http://funmeta.oebiotech.com/network/58238</v>
      </c>
      <c r="H426" s="2" t="s">
        <v>2990</v>
      </c>
      <c r="I426" s="2">
        <v>89745</v>
      </c>
      <c r="J426" s="2"/>
      <c r="K426" s="2">
        <v>169139</v>
      </c>
      <c r="L426" s="2"/>
      <c r="M426" s="2"/>
      <c r="N426" s="2"/>
      <c r="O426" s="2">
        <v>12442950</v>
      </c>
      <c r="P426" s="2" t="s">
        <v>2991</v>
      </c>
      <c r="Q426" s="2" t="s">
        <v>2992</v>
      </c>
      <c r="R426" s="2" t="s">
        <v>2993</v>
      </c>
      <c r="S426" s="2" t="s">
        <v>79</v>
      </c>
      <c r="T426" s="2" t="s">
        <v>80</v>
      </c>
      <c r="U426" s="2" t="s">
        <v>81</v>
      </c>
      <c r="V426" s="2" t="s">
        <v>42</v>
      </c>
      <c r="W426" s="2">
        <v>52.7</v>
      </c>
      <c r="X426" s="2">
        <v>70</v>
      </c>
      <c r="Y426" s="2" t="s">
        <v>408</v>
      </c>
      <c r="Z426" s="2" t="s">
        <v>2994</v>
      </c>
      <c r="AA426" s="2">
        <v>-0.60826303035097595</v>
      </c>
      <c r="AB426" s="2">
        <v>1.3659720672933799</v>
      </c>
      <c r="AC426" s="2">
        <v>177441.04160122099</v>
      </c>
      <c r="AD426" s="2">
        <v>53556.313278677102</v>
      </c>
      <c r="AE426" s="2">
        <v>164920.64792267399</v>
      </c>
      <c r="AF426" s="2">
        <v>178343.50758198</v>
      </c>
      <c r="AG426" s="2">
        <v>195673.621839067</v>
      </c>
      <c r="AH426" s="2">
        <v>191349.446311423</v>
      </c>
      <c r="AI426" s="2">
        <v>174354.71576131199</v>
      </c>
      <c r="AJ426" s="2">
        <v>160004.31019086801</v>
      </c>
      <c r="AK426" s="2">
        <v>47907.579528323397</v>
      </c>
      <c r="AL426" s="2">
        <v>48021.5917067173</v>
      </c>
      <c r="AM426" s="2">
        <v>59483.398266354699</v>
      </c>
      <c r="AN426" s="2">
        <v>52826.278545440902</v>
      </c>
      <c r="AO426" s="2">
        <v>54852.467393787301</v>
      </c>
      <c r="AP426" s="2">
        <v>58246.564231438701</v>
      </c>
    </row>
    <row r="427" spans="1:42" ht="14.5" x14ac:dyDescent="0.35">
      <c r="A427" s="2" t="s">
        <v>2995</v>
      </c>
      <c r="B427" s="2">
        <v>661.138219255217</v>
      </c>
      <c r="C427" s="2">
        <v>4.7931333333333299</v>
      </c>
      <c r="D427" s="2" t="s">
        <v>70</v>
      </c>
      <c r="E427" s="2" t="s">
        <v>2996</v>
      </c>
      <c r="F427" s="2">
        <v>32035</v>
      </c>
      <c r="G427" s="3" t="str">
        <f>HYPERLINK("http://funmeta.oebiotech.com/network/32035", "http://funmeta.oebiotech.com/network/32035")</f>
        <v>http://funmeta.oebiotech.com/network/32035</v>
      </c>
      <c r="H427" s="2"/>
      <c r="I427" s="2"/>
      <c r="J427" s="2" t="s">
        <v>2997</v>
      </c>
      <c r="K427" s="2"/>
      <c r="L427" s="2"/>
      <c r="M427" s="2"/>
      <c r="N427" s="2"/>
      <c r="O427" s="2">
        <v>5318765</v>
      </c>
      <c r="P427" s="2"/>
      <c r="Q427" s="2" t="s">
        <v>2998</v>
      </c>
      <c r="R427" s="2" t="s">
        <v>2999</v>
      </c>
      <c r="S427" s="2" t="s">
        <v>115</v>
      </c>
      <c r="T427" s="2" t="s">
        <v>139</v>
      </c>
      <c r="U427" s="2" t="s">
        <v>140</v>
      </c>
      <c r="V427" s="2" t="s">
        <v>42</v>
      </c>
      <c r="W427" s="2">
        <v>50.7</v>
      </c>
      <c r="X427" s="2">
        <v>62.4</v>
      </c>
      <c r="Y427" s="2" t="s">
        <v>751</v>
      </c>
      <c r="Z427" s="2" t="s">
        <v>3000</v>
      </c>
      <c r="AA427" s="2">
        <v>-4.1222767945915004</v>
      </c>
      <c r="AB427" s="2">
        <v>1.3659364957506099</v>
      </c>
      <c r="AC427" s="2">
        <v>459459.38793102698</v>
      </c>
      <c r="AD427" s="2">
        <v>332432.938252147</v>
      </c>
      <c r="AE427" s="2">
        <v>469546.71699618502</v>
      </c>
      <c r="AF427" s="2">
        <v>441552.40276238299</v>
      </c>
      <c r="AG427" s="2">
        <v>434910.97922820097</v>
      </c>
      <c r="AH427" s="2">
        <v>472087.39494873898</v>
      </c>
      <c r="AI427" s="2">
        <v>441062.55559840699</v>
      </c>
      <c r="AJ427" s="2">
        <v>497596.27805224701</v>
      </c>
      <c r="AK427" s="2">
        <v>314286.42921075103</v>
      </c>
      <c r="AL427" s="2">
        <v>344681.87867808499</v>
      </c>
      <c r="AM427" s="2">
        <v>339023.15608538501</v>
      </c>
      <c r="AN427" s="2">
        <v>319921.57160926302</v>
      </c>
      <c r="AO427" s="2">
        <v>330759.33475687198</v>
      </c>
      <c r="AP427" s="2">
        <v>345925.259172527</v>
      </c>
    </row>
    <row r="428" spans="1:42" ht="14.5" x14ac:dyDescent="0.35">
      <c r="A428" s="2" t="s">
        <v>3001</v>
      </c>
      <c r="B428" s="2">
        <v>597.230296559914</v>
      </c>
      <c r="C428" s="2">
        <v>4.9463833333333298</v>
      </c>
      <c r="D428" s="2" t="s">
        <v>34</v>
      </c>
      <c r="E428" s="2" t="s">
        <v>3002</v>
      </c>
      <c r="F428" s="2">
        <v>212519</v>
      </c>
      <c r="G428" s="3" t="str">
        <f>HYPERLINK("http://funmeta.oebiotech.com/network/212519", "http://funmeta.oebiotech.com/network/212519")</f>
        <v>http://funmeta.oebiotech.com/network/212519</v>
      </c>
      <c r="H428" s="2" t="s">
        <v>3003</v>
      </c>
      <c r="I428" s="2"/>
      <c r="J428" s="2"/>
      <c r="K428" s="2"/>
      <c r="L428" s="2"/>
      <c r="M428" s="2"/>
      <c r="N428" s="2"/>
      <c r="O428" s="2">
        <v>22556220</v>
      </c>
      <c r="P428" s="2"/>
      <c r="Q428" s="2" t="s">
        <v>3004</v>
      </c>
      <c r="R428" s="2" t="s">
        <v>3005</v>
      </c>
      <c r="S428" s="2" t="s">
        <v>50</v>
      </c>
      <c r="T428" s="2" t="s">
        <v>201</v>
      </c>
      <c r="U428" s="2" t="s">
        <v>210</v>
      </c>
      <c r="V428" s="2" t="s">
        <v>59</v>
      </c>
      <c r="W428" s="2">
        <v>47.2</v>
      </c>
      <c r="X428" s="2">
        <v>37.9</v>
      </c>
      <c r="Y428" s="2" t="s">
        <v>376</v>
      </c>
      <c r="Z428" s="2" t="s">
        <v>3006</v>
      </c>
      <c r="AA428" s="2">
        <v>-0.58538778030627403</v>
      </c>
      <c r="AB428" s="2">
        <v>1.36547320226147</v>
      </c>
      <c r="AC428" s="2">
        <v>1678125.1425727899</v>
      </c>
      <c r="AD428" s="2">
        <v>1847619.9635955</v>
      </c>
      <c r="AE428" s="2">
        <v>1723889.4064575799</v>
      </c>
      <c r="AF428" s="2">
        <v>1801320.7921959001</v>
      </c>
      <c r="AG428" s="2">
        <v>1625352.1026352099</v>
      </c>
      <c r="AH428" s="2">
        <v>1573490.02218967</v>
      </c>
      <c r="AI428" s="2">
        <v>1672638.74737238</v>
      </c>
      <c r="AJ428" s="2">
        <v>1672059.78458597</v>
      </c>
      <c r="AK428" s="2">
        <v>1978741.40926166</v>
      </c>
      <c r="AL428" s="2">
        <v>1819791.001125</v>
      </c>
      <c r="AM428" s="2">
        <v>1740896.0452233599</v>
      </c>
      <c r="AN428" s="2">
        <v>1925273.3949454301</v>
      </c>
      <c r="AO428" s="2">
        <v>1744230.2610382701</v>
      </c>
      <c r="AP428" s="2">
        <v>1876787.6699793099</v>
      </c>
    </row>
    <row r="429" spans="1:42" ht="14.5" x14ac:dyDescent="0.35">
      <c r="A429" s="2" t="s">
        <v>3007</v>
      </c>
      <c r="B429" s="2">
        <v>202.04419527936901</v>
      </c>
      <c r="C429" s="2">
        <v>3.7334833333333299</v>
      </c>
      <c r="D429" s="2" t="s">
        <v>34</v>
      </c>
      <c r="E429" s="2" t="s">
        <v>3008</v>
      </c>
      <c r="F429" s="2">
        <v>62463</v>
      </c>
      <c r="G429" s="3" t="str">
        <f>HYPERLINK("http://funmeta.oebiotech.com/network/62463", "http://funmeta.oebiotech.com/network/62463")</f>
        <v>http://funmeta.oebiotech.com/network/62463</v>
      </c>
      <c r="H429" s="2" t="s">
        <v>3009</v>
      </c>
      <c r="I429" s="2">
        <v>93758</v>
      </c>
      <c r="J429" s="2"/>
      <c r="K429" s="2">
        <v>169449</v>
      </c>
      <c r="L429" s="2"/>
      <c r="M429" s="2"/>
      <c r="N429" s="2"/>
      <c r="O429" s="2">
        <v>14632981</v>
      </c>
      <c r="P429" s="2" t="s">
        <v>3010</v>
      </c>
      <c r="Q429" s="2" t="s">
        <v>3011</v>
      </c>
      <c r="R429" s="2" t="s">
        <v>3012</v>
      </c>
      <c r="S429" s="2" t="s">
        <v>89</v>
      </c>
      <c r="T429" s="2" t="s">
        <v>90</v>
      </c>
      <c r="U429" s="2" t="s">
        <v>99</v>
      </c>
      <c r="V429" s="2" t="s">
        <v>42</v>
      </c>
      <c r="W429" s="2">
        <v>51.7</v>
      </c>
      <c r="X429" s="2">
        <v>70.099999999999994</v>
      </c>
      <c r="Y429" s="2" t="s">
        <v>141</v>
      </c>
      <c r="Z429" s="2" t="s">
        <v>3013</v>
      </c>
      <c r="AA429" s="2">
        <v>-7.5393633539067801</v>
      </c>
      <c r="AB429" s="2">
        <v>1.3640892877167301</v>
      </c>
      <c r="AC429" s="2">
        <v>886867.80157599004</v>
      </c>
      <c r="AD429" s="2">
        <v>1017574.87032615</v>
      </c>
      <c r="AE429" s="2">
        <v>870115.35381499003</v>
      </c>
      <c r="AF429" s="2">
        <v>901593.99079497997</v>
      </c>
      <c r="AG429" s="2">
        <v>888817.05280627403</v>
      </c>
      <c r="AH429" s="2">
        <v>905597.758173379</v>
      </c>
      <c r="AI429" s="2">
        <v>859978.36518183397</v>
      </c>
      <c r="AJ429" s="2">
        <v>895104.28868448199</v>
      </c>
      <c r="AK429" s="2">
        <v>1030970.96075331</v>
      </c>
      <c r="AL429" s="2">
        <v>1046062.6911387499</v>
      </c>
      <c r="AM429" s="2">
        <v>1010422.91481991</v>
      </c>
      <c r="AN429" s="2">
        <v>1004562.97210298</v>
      </c>
      <c r="AO429" s="2">
        <v>1051304.4046242901</v>
      </c>
      <c r="AP429" s="2">
        <v>962125.27851763298</v>
      </c>
    </row>
    <row r="430" spans="1:42" ht="14.5" x14ac:dyDescent="0.35">
      <c r="A430" s="2" t="s">
        <v>3014</v>
      </c>
      <c r="B430" s="2">
        <v>341.11348006119499</v>
      </c>
      <c r="C430" s="2">
        <v>4.1877333333333304</v>
      </c>
      <c r="D430" s="2" t="s">
        <v>70</v>
      </c>
      <c r="E430" s="2" t="s">
        <v>3015</v>
      </c>
      <c r="F430" s="2">
        <v>63609</v>
      </c>
      <c r="G430" s="3" t="str">
        <f>HYPERLINK("http://funmeta.oebiotech.com/network/63609", "http://funmeta.oebiotech.com/network/63609")</f>
        <v>http://funmeta.oebiotech.com/network/63609</v>
      </c>
      <c r="H430" s="2" t="s">
        <v>3016</v>
      </c>
      <c r="I430" s="2">
        <v>94945</v>
      </c>
      <c r="J430" s="2"/>
      <c r="K430" s="2">
        <v>166519</v>
      </c>
      <c r="L430" s="2"/>
      <c r="M430" s="2"/>
      <c r="N430" s="2"/>
      <c r="O430" s="2">
        <v>11099949</v>
      </c>
      <c r="P430" s="2"/>
      <c r="Q430" s="2" t="s">
        <v>3017</v>
      </c>
      <c r="R430" s="2" t="s">
        <v>3018</v>
      </c>
      <c r="S430" s="2" t="s">
        <v>491</v>
      </c>
      <c r="T430" s="2" t="s">
        <v>3019</v>
      </c>
      <c r="U430" s="2" t="s">
        <v>3020</v>
      </c>
      <c r="V430" s="2" t="s">
        <v>59</v>
      </c>
      <c r="W430" s="2">
        <v>38.799999999999997</v>
      </c>
      <c r="X430" s="2">
        <v>7.5</v>
      </c>
      <c r="Y430" s="2" t="s">
        <v>286</v>
      </c>
      <c r="Z430" s="2" t="s">
        <v>3021</v>
      </c>
      <c r="AA430" s="2">
        <v>-2.3827537709388702</v>
      </c>
      <c r="AB430" s="2">
        <v>1.3638207312199799</v>
      </c>
      <c r="AC430" s="2">
        <v>489910.77742143802</v>
      </c>
      <c r="AD430" s="2">
        <v>366269.74554434902</v>
      </c>
      <c r="AE430" s="2">
        <v>490752.55693956499</v>
      </c>
      <c r="AF430" s="2">
        <v>496720.00467753998</v>
      </c>
      <c r="AG430" s="2">
        <v>479623.42615956801</v>
      </c>
      <c r="AH430" s="2">
        <v>495670.20019586798</v>
      </c>
      <c r="AI430" s="2">
        <v>480114.86051477701</v>
      </c>
      <c r="AJ430" s="2">
        <v>496583.61604130798</v>
      </c>
      <c r="AK430" s="2">
        <v>361120.887237099</v>
      </c>
      <c r="AL430" s="2">
        <v>363466.63877623499</v>
      </c>
      <c r="AM430" s="2">
        <v>390017.017481877</v>
      </c>
      <c r="AN430" s="2">
        <v>352079.32643301599</v>
      </c>
      <c r="AO430" s="2">
        <v>373554.38427906903</v>
      </c>
      <c r="AP430" s="2">
        <v>357380.219058797</v>
      </c>
    </row>
    <row r="431" spans="1:42" ht="14.5" x14ac:dyDescent="0.35">
      <c r="A431" s="2" t="s">
        <v>3022</v>
      </c>
      <c r="B431" s="2">
        <v>429.29958849648</v>
      </c>
      <c r="C431" s="2">
        <v>4.8327999999999998</v>
      </c>
      <c r="D431" s="2" t="s">
        <v>34</v>
      </c>
      <c r="E431" s="2" t="s">
        <v>3023</v>
      </c>
      <c r="F431" s="2">
        <v>46550</v>
      </c>
      <c r="G431" s="3" t="str">
        <f>HYPERLINK("http://funmeta.oebiotech.com/network/46550", "http://funmeta.oebiotech.com/network/46550")</f>
        <v>http://funmeta.oebiotech.com/network/46550</v>
      </c>
      <c r="H431" s="2"/>
      <c r="I431" s="2"/>
      <c r="J431" s="2" t="s">
        <v>3024</v>
      </c>
      <c r="K431" s="2"/>
      <c r="L431" s="2"/>
      <c r="M431" s="2"/>
      <c r="N431" s="2"/>
      <c r="O431" s="2"/>
      <c r="P431" s="2"/>
      <c r="Q431" s="2" t="s">
        <v>3025</v>
      </c>
      <c r="R431" s="2" t="s">
        <v>3026</v>
      </c>
      <c r="S431" s="2" t="s">
        <v>50</v>
      </c>
      <c r="T431" s="2" t="s">
        <v>124</v>
      </c>
      <c r="U431" s="2" t="s">
        <v>125</v>
      </c>
      <c r="V431" s="2" t="s">
        <v>42</v>
      </c>
      <c r="W431" s="2">
        <v>52.4</v>
      </c>
      <c r="X431" s="2">
        <v>67.599999999999994</v>
      </c>
      <c r="Y431" s="2" t="s">
        <v>266</v>
      </c>
      <c r="Z431" s="2" t="s">
        <v>1409</v>
      </c>
      <c r="AA431" s="2">
        <v>-0.77906284561533001</v>
      </c>
      <c r="AB431" s="2">
        <v>1.3631578445187</v>
      </c>
      <c r="AC431" s="2">
        <v>438364.93361003202</v>
      </c>
      <c r="AD431" s="2">
        <v>589348.13982860604</v>
      </c>
      <c r="AE431" s="2">
        <v>467617.659203936</v>
      </c>
      <c r="AF431" s="2">
        <v>398823.75289225799</v>
      </c>
      <c r="AG431" s="2">
        <v>383546.41610948101</v>
      </c>
      <c r="AH431" s="2">
        <v>492303.03750020103</v>
      </c>
      <c r="AI431" s="2">
        <v>425565.61728097301</v>
      </c>
      <c r="AJ431" s="2">
        <v>462333.11867334403</v>
      </c>
      <c r="AK431" s="2">
        <v>457274.68600047799</v>
      </c>
      <c r="AL431" s="2">
        <v>655057.66945239203</v>
      </c>
      <c r="AM431" s="2">
        <v>556853.71954123897</v>
      </c>
      <c r="AN431" s="2">
        <v>595166.108311877</v>
      </c>
      <c r="AO431" s="2">
        <v>624665.76490643003</v>
      </c>
      <c r="AP431" s="2">
        <v>647070.89075922</v>
      </c>
    </row>
    <row r="432" spans="1:42" ht="14.5" x14ac:dyDescent="0.35">
      <c r="A432" s="2" t="s">
        <v>3027</v>
      </c>
      <c r="B432" s="2">
        <v>555.28389315186598</v>
      </c>
      <c r="C432" s="2">
        <v>11.4859666666667</v>
      </c>
      <c r="D432" s="2" t="s">
        <v>70</v>
      </c>
      <c r="E432" s="2" t="s">
        <v>3028</v>
      </c>
      <c r="F432" s="2">
        <v>18031</v>
      </c>
      <c r="G432" s="3" t="str">
        <f>HYPERLINK("http://funmeta.oebiotech.com/network/18031", "http://funmeta.oebiotech.com/network/18031")</f>
        <v>http://funmeta.oebiotech.com/network/18031</v>
      </c>
      <c r="H432" s="2"/>
      <c r="I432" s="2"/>
      <c r="J432" s="2" t="s">
        <v>3029</v>
      </c>
      <c r="K432" s="2"/>
      <c r="L432" s="2"/>
      <c r="M432" s="2"/>
      <c r="N432" s="2"/>
      <c r="O432" s="2">
        <v>101560606</v>
      </c>
      <c r="P432" s="2"/>
      <c r="Q432" s="2" t="s">
        <v>3030</v>
      </c>
      <c r="R432" s="2" t="s">
        <v>3031</v>
      </c>
      <c r="S432" s="2" t="s">
        <v>50</v>
      </c>
      <c r="T432" s="2" t="s">
        <v>448</v>
      </c>
      <c r="U432" s="2" t="s">
        <v>449</v>
      </c>
      <c r="V432" s="2" t="s">
        <v>42</v>
      </c>
      <c r="W432" s="2">
        <v>52.9</v>
      </c>
      <c r="X432" s="2">
        <v>70.8</v>
      </c>
      <c r="Y432" s="2" t="s">
        <v>118</v>
      </c>
      <c r="Z432" s="2" t="s">
        <v>3032</v>
      </c>
      <c r="AA432" s="2">
        <v>-1.0134442423821901</v>
      </c>
      <c r="AB432" s="2">
        <v>1.36273690675324</v>
      </c>
      <c r="AC432" s="2">
        <v>106216.07207852601</v>
      </c>
      <c r="AD432" s="2">
        <v>232699.26913347599</v>
      </c>
      <c r="AE432" s="2">
        <v>121443.926185245</v>
      </c>
      <c r="AF432" s="2">
        <v>87366.232434917998</v>
      </c>
      <c r="AG432" s="2">
        <v>94462.176508429198</v>
      </c>
      <c r="AH432" s="2">
        <v>116916.153021922</v>
      </c>
      <c r="AI432" s="2">
        <v>97437.486066977304</v>
      </c>
      <c r="AJ432" s="2">
        <v>119670.458253666</v>
      </c>
      <c r="AK432" s="2">
        <v>222128.35066525801</v>
      </c>
      <c r="AL432" s="2">
        <v>201495.82046367301</v>
      </c>
      <c r="AM432" s="2">
        <v>247061.197277603</v>
      </c>
      <c r="AN432" s="2">
        <v>224860.08103553101</v>
      </c>
      <c r="AO432" s="2">
        <v>270180.45089168003</v>
      </c>
      <c r="AP432" s="2">
        <v>230469.71446710901</v>
      </c>
    </row>
    <row r="433" spans="1:42" ht="14.5" x14ac:dyDescent="0.35">
      <c r="A433" s="2" t="s">
        <v>3033</v>
      </c>
      <c r="B433" s="2">
        <v>621.32556446395904</v>
      </c>
      <c r="C433" s="2">
        <v>5.6539333333333301</v>
      </c>
      <c r="D433" s="2" t="s">
        <v>70</v>
      </c>
      <c r="E433" s="2" t="s">
        <v>3034</v>
      </c>
      <c r="F433" s="2">
        <v>206914</v>
      </c>
      <c r="G433" s="3" t="str">
        <f>HYPERLINK("http://funmeta.oebiotech.com/network/206914", "http://funmeta.oebiotech.com/network/206914")</f>
        <v>http://funmeta.oebiotech.com/network/206914</v>
      </c>
      <c r="H433" s="2" t="s">
        <v>3035</v>
      </c>
      <c r="I433" s="2"/>
      <c r="J433" s="2"/>
      <c r="K433" s="2"/>
      <c r="L433" s="2"/>
      <c r="M433" s="2"/>
      <c r="N433" s="2"/>
      <c r="O433" s="2">
        <v>200145</v>
      </c>
      <c r="P433" s="2"/>
      <c r="Q433" s="2" t="s">
        <v>3036</v>
      </c>
      <c r="R433" s="2" t="s">
        <v>3037</v>
      </c>
      <c r="S433" s="2" t="s">
        <v>50</v>
      </c>
      <c r="T433" s="2" t="s">
        <v>124</v>
      </c>
      <c r="U433" s="2" t="s">
        <v>567</v>
      </c>
      <c r="V433" s="2" t="s">
        <v>59</v>
      </c>
      <c r="W433" s="2">
        <v>41.7</v>
      </c>
      <c r="X433" s="2">
        <v>16.399999999999999</v>
      </c>
      <c r="Y433" s="2" t="s">
        <v>408</v>
      </c>
      <c r="Z433" s="2" t="s">
        <v>3038</v>
      </c>
      <c r="AA433" s="2">
        <v>-4.2883801923829798</v>
      </c>
      <c r="AB433" s="2">
        <v>1.3615750455578</v>
      </c>
      <c r="AC433" s="2">
        <v>226033.00299383799</v>
      </c>
      <c r="AD433" s="2">
        <v>103406.02000543701</v>
      </c>
      <c r="AE433" s="2">
        <v>238404.93149257</v>
      </c>
      <c r="AF433" s="2">
        <v>223332.29519483901</v>
      </c>
      <c r="AG433" s="2">
        <v>223178.85412193701</v>
      </c>
      <c r="AH433" s="2">
        <v>242086.32849568001</v>
      </c>
      <c r="AI433" s="2">
        <v>219590.179206042</v>
      </c>
      <c r="AJ433" s="2">
        <v>209605.42945195801</v>
      </c>
      <c r="AK433" s="2">
        <v>99603.289112935105</v>
      </c>
      <c r="AL433" s="2">
        <v>103783.17461346</v>
      </c>
      <c r="AM433" s="2">
        <v>106080.157398089</v>
      </c>
      <c r="AN433" s="2">
        <v>104070.66984083501</v>
      </c>
      <c r="AO433" s="2">
        <v>105991.199132471</v>
      </c>
      <c r="AP433" s="2">
        <v>100907.62993483301</v>
      </c>
    </row>
    <row r="434" spans="1:42" ht="14.5" x14ac:dyDescent="0.35">
      <c r="A434" s="2" t="s">
        <v>3039</v>
      </c>
      <c r="B434" s="2">
        <v>589.26210735780501</v>
      </c>
      <c r="C434" s="2">
        <v>6.6395166666666698</v>
      </c>
      <c r="D434" s="2" t="s">
        <v>34</v>
      </c>
      <c r="E434" s="2" t="s">
        <v>3040</v>
      </c>
      <c r="F434" s="2">
        <v>54283</v>
      </c>
      <c r="G434" s="3" t="str">
        <f>HYPERLINK("http://funmeta.oebiotech.com/network/54283", "http://funmeta.oebiotech.com/network/54283")</f>
        <v>http://funmeta.oebiotech.com/network/54283</v>
      </c>
      <c r="H434" s="2" t="s">
        <v>3041</v>
      </c>
      <c r="I434" s="2"/>
      <c r="J434" s="2"/>
      <c r="K434" s="2"/>
      <c r="L434" s="2"/>
      <c r="M434" s="2"/>
      <c r="N434" s="2"/>
      <c r="O434" s="2">
        <v>494308</v>
      </c>
      <c r="P434" s="2" t="s">
        <v>3042</v>
      </c>
      <c r="Q434" s="2" t="s">
        <v>3043</v>
      </c>
      <c r="R434" s="2" t="s">
        <v>3044</v>
      </c>
      <c r="S434" s="2" t="s">
        <v>50</v>
      </c>
      <c r="T434" s="2" t="s">
        <v>124</v>
      </c>
      <c r="U434" s="2" t="s">
        <v>567</v>
      </c>
      <c r="V434" s="2" t="s">
        <v>59</v>
      </c>
      <c r="W434" s="2">
        <v>42.1</v>
      </c>
      <c r="X434" s="2">
        <v>31.4</v>
      </c>
      <c r="Y434" s="2" t="s">
        <v>323</v>
      </c>
      <c r="Z434" s="2" t="s">
        <v>3045</v>
      </c>
      <c r="AA434" s="2">
        <v>0.308183144960129</v>
      </c>
      <c r="AB434" s="2">
        <v>1.3612268774717</v>
      </c>
      <c r="AC434" s="2">
        <v>278807.52439617401</v>
      </c>
      <c r="AD434" s="2">
        <v>154356.86079959801</v>
      </c>
      <c r="AE434" s="2">
        <v>273686.22786816402</v>
      </c>
      <c r="AF434" s="2">
        <v>292555.33002659201</v>
      </c>
      <c r="AG434" s="2">
        <v>283158.70629538601</v>
      </c>
      <c r="AH434" s="2">
        <v>286170.58952592401</v>
      </c>
      <c r="AI434" s="2">
        <v>278417.147124874</v>
      </c>
      <c r="AJ434" s="2">
        <v>258857.14553610201</v>
      </c>
      <c r="AK434" s="2">
        <v>135153.61654923399</v>
      </c>
      <c r="AL434" s="2">
        <v>171817.340524889</v>
      </c>
      <c r="AM434" s="2">
        <v>180080.79164991001</v>
      </c>
      <c r="AN434" s="2">
        <v>143034.47806434901</v>
      </c>
      <c r="AO434" s="2">
        <v>152795.588247968</v>
      </c>
      <c r="AP434" s="2">
        <v>143259.349761235</v>
      </c>
    </row>
    <row r="435" spans="1:42" ht="14.5" x14ac:dyDescent="0.35">
      <c r="A435" s="2" t="s">
        <v>3046</v>
      </c>
      <c r="B435" s="2">
        <v>441.12121866700699</v>
      </c>
      <c r="C435" s="2">
        <v>0.76544999999999996</v>
      </c>
      <c r="D435" s="2" t="s">
        <v>34</v>
      </c>
      <c r="E435" s="2" t="s">
        <v>3047</v>
      </c>
      <c r="F435" s="2">
        <v>197302</v>
      </c>
      <c r="G435" s="3" t="str">
        <f>HYPERLINK("http://funmeta.oebiotech.com/network/197302", "http://funmeta.oebiotech.com/network/197302")</f>
        <v>http://funmeta.oebiotech.com/network/197302</v>
      </c>
      <c r="H435" s="2" t="s">
        <v>3048</v>
      </c>
      <c r="I435" s="2"/>
      <c r="J435" s="2"/>
      <c r="K435" s="2"/>
      <c r="L435" s="2"/>
      <c r="M435" s="2"/>
      <c r="N435" s="2"/>
      <c r="O435" s="2">
        <v>74087474</v>
      </c>
      <c r="P435" s="2"/>
      <c r="Q435" s="2" t="s">
        <v>3049</v>
      </c>
      <c r="R435" s="2" t="s">
        <v>3050</v>
      </c>
      <c r="S435" s="2" t="s">
        <v>1184</v>
      </c>
      <c r="T435" s="2" t="s">
        <v>3051</v>
      </c>
      <c r="U435" s="2" t="s">
        <v>41</v>
      </c>
      <c r="V435" s="2" t="s">
        <v>59</v>
      </c>
      <c r="W435" s="2">
        <v>37.5</v>
      </c>
      <c r="X435" s="2">
        <v>2.2799999999999998</v>
      </c>
      <c r="Y435" s="2" t="s">
        <v>394</v>
      </c>
      <c r="Z435" s="2" t="s">
        <v>3052</v>
      </c>
      <c r="AA435" s="2">
        <v>-0.36606578121657202</v>
      </c>
      <c r="AB435" s="2">
        <v>1.3599399676205901</v>
      </c>
      <c r="AC435" s="2">
        <v>510079.93895156099</v>
      </c>
      <c r="AD435" s="2">
        <v>635234.68549436505</v>
      </c>
      <c r="AE435" s="2">
        <v>510301.96355915797</v>
      </c>
      <c r="AF435" s="2">
        <v>485679.15532411501</v>
      </c>
      <c r="AG435" s="2">
        <v>529675.38118279702</v>
      </c>
      <c r="AH435" s="2">
        <v>528370.02827559202</v>
      </c>
      <c r="AI435" s="2">
        <v>496765.49932781298</v>
      </c>
      <c r="AJ435" s="2">
        <v>509687.606039893</v>
      </c>
      <c r="AK435" s="2">
        <v>639447.67910435004</v>
      </c>
      <c r="AL435" s="2">
        <v>663225.65264482005</v>
      </c>
      <c r="AM435" s="2">
        <v>638929.577094379</v>
      </c>
      <c r="AN435" s="2">
        <v>624437.73248112202</v>
      </c>
      <c r="AO435" s="2">
        <v>623452.35754748306</v>
      </c>
      <c r="AP435" s="2">
        <v>621915.11409403395</v>
      </c>
    </row>
    <row r="436" spans="1:42" ht="14.5" x14ac:dyDescent="0.35">
      <c r="A436" s="2" t="s">
        <v>3053</v>
      </c>
      <c r="B436" s="2">
        <v>433.11360420626801</v>
      </c>
      <c r="C436" s="2">
        <v>5.0231500000000002</v>
      </c>
      <c r="D436" s="2" t="s">
        <v>70</v>
      </c>
      <c r="E436" s="2" t="s">
        <v>3054</v>
      </c>
      <c r="F436" s="2">
        <v>34423</v>
      </c>
      <c r="G436" s="3" t="str">
        <f>HYPERLINK("http://funmeta.oebiotech.com/network/34423", "http://funmeta.oebiotech.com/network/34423")</f>
        <v>http://funmeta.oebiotech.com/network/34423</v>
      </c>
      <c r="H436" s="2"/>
      <c r="I436" s="2">
        <v>52730</v>
      </c>
      <c r="J436" s="2" t="s">
        <v>3055</v>
      </c>
      <c r="K436" s="2"/>
      <c r="L436" s="2"/>
      <c r="M436" s="2"/>
      <c r="N436" s="2"/>
      <c r="O436" s="2">
        <v>42607906</v>
      </c>
      <c r="P436" s="2"/>
      <c r="Q436" s="2" t="s">
        <v>3056</v>
      </c>
      <c r="R436" s="2" t="s">
        <v>3057</v>
      </c>
      <c r="S436" s="2" t="s">
        <v>115</v>
      </c>
      <c r="T436" s="2" t="s">
        <v>139</v>
      </c>
      <c r="U436" s="2" t="s">
        <v>140</v>
      </c>
      <c r="V436" s="2" t="s">
        <v>42</v>
      </c>
      <c r="W436" s="2">
        <v>50.7</v>
      </c>
      <c r="X436" s="2">
        <v>59.8</v>
      </c>
      <c r="Y436" s="2" t="s">
        <v>118</v>
      </c>
      <c r="Z436" s="2" t="s">
        <v>3058</v>
      </c>
      <c r="AA436" s="2">
        <v>-0.95886305212278</v>
      </c>
      <c r="AB436" s="2">
        <v>1.3560047164000899</v>
      </c>
      <c r="AC436" s="2">
        <v>273594.21510026202</v>
      </c>
      <c r="AD436" s="2">
        <v>397294.74261629698</v>
      </c>
      <c r="AE436" s="2">
        <v>265088.26630400697</v>
      </c>
      <c r="AF436" s="2">
        <v>303861.535320975</v>
      </c>
      <c r="AG436" s="2">
        <v>273043.16667237499</v>
      </c>
      <c r="AH436" s="2">
        <v>245333.365715116</v>
      </c>
      <c r="AI436" s="2">
        <v>274430.48751092103</v>
      </c>
      <c r="AJ436" s="2">
        <v>279808.46907817799</v>
      </c>
      <c r="AK436" s="2">
        <v>399249.76229621097</v>
      </c>
      <c r="AL436" s="2">
        <v>403113.33260101499</v>
      </c>
      <c r="AM436" s="2">
        <v>402170.71736495401</v>
      </c>
      <c r="AN436" s="2">
        <v>399105.185777359</v>
      </c>
      <c r="AO436" s="2">
        <v>378793.51888818998</v>
      </c>
      <c r="AP436" s="2">
        <v>401335.93877005199</v>
      </c>
    </row>
    <row r="437" spans="1:42" ht="14.5" x14ac:dyDescent="0.35">
      <c r="A437" s="2" t="s">
        <v>3059</v>
      </c>
      <c r="B437" s="2">
        <v>715.20132577680204</v>
      </c>
      <c r="C437" s="2">
        <v>4.0592666666666704</v>
      </c>
      <c r="D437" s="2" t="s">
        <v>70</v>
      </c>
      <c r="E437" s="2" t="s">
        <v>3060</v>
      </c>
      <c r="F437" s="2">
        <v>207227</v>
      </c>
      <c r="G437" s="3" t="str">
        <f>HYPERLINK("http://funmeta.oebiotech.com/network/207227", "http://funmeta.oebiotech.com/network/207227")</f>
        <v>http://funmeta.oebiotech.com/network/207227</v>
      </c>
      <c r="H437" s="2" t="s">
        <v>3061</v>
      </c>
      <c r="I437" s="2"/>
      <c r="J437" s="2"/>
      <c r="K437" s="2"/>
      <c r="L437" s="2"/>
      <c r="M437" s="2"/>
      <c r="N437" s="2"/>
      <c r="O437" s="2">
        <v>76118727</v>
      </c>
      <c r="P437" s="2"/>
      <c r="Q437" s="2" t="s">
        <v>3062</v>
      </c>
      <c r="R437" s="2" t="s">
        <v>3063</v>
      </c>
      <c r="S437" s="2" t="s">
        <v>491</v>
      </c>
      <c r="T437" s="2" t="s">
        <v>2251</v>
      </c>
      <c r="U437" s="2" t="s">
        <v>2252</v>
      </c>
      <c r="V437" s="2" t="s">
        <v>59</v>
      </c>
      <c r="W437" s="2">
        <v>37.299999999999997</v>
      </c>
      <c r="X437" s="2">
        <v>16.2</v>
      </c>
      <c r="Y437" s="2" t="s">
        <v>560</v>
      </c>
      <c r="Z437" s="2" t="s">
        <v>3064</v>
      </c>
      <c r="AA437" s="2">
        <v>-2.6579051019873701</v>
      </c>
      <c r="AB437" s="2">
        <v>1.35321581859958</v>
      </c>
      <c r="AC437" s="2">
        <v>153710.980115724</v>
      </c>
      <c r="AD437" s="2">
        <v>33213.515573801502</v>
      </c>
      <c r="AE437" s="2">
        <v>156942.82661464901</v>
      </c>
      <c r="AF437" s="2">
        <v>159003.55029462301</v>
      </c>
      <c r="AG437" s="2">
        <v>155833.44772426999</v>
      </c>
      <c r="AH437" s="2">
        <v>148977.992388221</v>
      </c>
      <c r="AI437" s="2">
        <v>138802.97823186</v>
      </c>
      <c r="AJ437" s="2">
        <v>162705.08544072401</v>
      </c>
      <c r="AK437" s="2">
        <v>37461.281288962302</v>
      </c>
      <c r="AL437" s="2">
        <v>31167.105525414299</v>
      </c>
      <c r="AM437" s="2">
        <v>34219.250200717397</v>
      </c>
      <c r="AN437" s="2">
        <v>33369.953613931502</v>
      </c>
      <c r="AO437" s="2">
        <v>29569.203347381401</v>
      </c>
      <c r="AP437" s="2">
        <v>33494.299466402001</v>
      </c>
    </row>
    <row r="438" spans="1:42" ht="14.5" x14ac:dyDescent="0.35">
      <c r="A438" s="2" t="s">
        <v>3065</v>
      </c>
      <c r="B438" s="2">
        <v>765.25672609245703</v>
      </c>
      <c r="C438" s="2">
        <v>4.1925499999999998</v>
      </c>
      <c r="D438" s="2" t="s">
        <v>34</v>
      </c>
      <c r="E438" s="2" t="s">
        <v>3066</v>
      </c>
      <c r="F438" s="2">
        <v>60168</v>
      </c>
      <c r="G438" s="3" t="str">
        <f>HYPERLINK("http://funmeta.oebiotech.com/network/60168", "http://funmeta.oebiotech.com/network/60168")</f>
        <v>http://funmeta.oebiotech.com/network/60168</v>
      </c>
      <c r="H438" s="2" t="s">
        <v>3067</v>
      </c>
      <c r="I438" s="2">
        <v>91550</v>
      </c>
      <c r="J438" s="2"/>
      <c r="K438" s="2"/>
      <c r="L438" s="2"/>
      <c r="M438" s="2"/>
      <c r="N438" s="2"/>
      <c r="O438" s="2">
        <v>226371</v>
      </c>
      <c r="P438" s="2" t="s">
        <v>3068</v>
      </c>
      <c r="Q438" s="2" t="s">
        <v>3069</v>
      </c>
      <c r="R438" s="2" t="s">
        <v>3070</v>
      </c>
      <c r="S438" s="2" t="s">
        <v>1184</v>
      </c>
      <c r="T438" s="2" t="s">
        <v>1185</v>
      </c>
      <c r="U438" s="2" t="s">
        <v>41</v>
      </c>
      <c r="V438" s="2" t="s">
        <v>59</v>
      </c>
      <c r="W438" s="2">
        <v>38.799999999999997</v>
      </c>
      <c r="X438" s="2">
        <v>1.02</v>
      </c>
      <c r="Y438" s="2" t="s">
        <v>568</v>
      </c>
      <c r="Z438" s="2" t="s">
        <v>3071</v>
      </c>
      <c r="AA438" s="2">
        <v>-1.22491382398098</v>
      </c>
      <c r="AB438" s="2">
        <v>1.35171548064809</v>
      </c>
      <c r="AC438" s="2">
        <v>193693.729797084</v>
      </c>
      <c r="AD438" s="2">
        <v>73185.3298438333</v>
      </c>
      <c r="AE438" s="2">
        <v>198582.32502721099</v>
      </c>
      <c r="AF438" s="2">
        <v>191809.52676804399</v>
      </c>
      <c r="AG438" s="2">
        <v>188499.81296676601</v>
      </c>
      <c r="AH438" s="2">
        <v>205849.049579176</v>
      </c>
      <c r="AI438" s="2">
        <v>186825.26553616201</v>
      </c>
      <c r="AJ438" s="2">
        <v>190596.39890514701</v>
      </c>
      <c r="AK438" s="2">
        <v>71107.416329062107</v>
      </c>
      <c r="AL438" s="2">
        <v>75718.272804408101</v>
      </c>
      <c r="AM438" s="2">
        <v>68618.639717172002</v>
      </c>
      <c r="AN438" s="2">
        <v>64225.129041822802</v>
      </c>
      <c r="AO438" s="2">
        <v>72967.162148032905</v>
      </c>
      <c r="AP438" s="2">
        <v>86475.359022501594</v>
      </c>
    </row>
    <row r="439" spans="1:42" ht="14.5" x14ac:dyDescent="0.35">
      <c r="A439" s="2" t="s">
        <v>3072</v>
      </c>
      <c r="B439" s="2">
        <v>795.30738225763605</v>
      </c>
      <c r="C439" s="2">
        <v>5.4683000000000002</v>
      </c>
      <c r="D439" s="2" t="s">
        <v>70</v>
      </c>
      <c r="E439" s="2" t="s">
        <v>3073</v>
      </c>
      <c r="F439" s="2">
        <v>47926</v>
      </c>
      <c r="G439" s="3" t="str">
        <f>HYPERLINK("http://funmeta.oebiotech.com/network/47926", "http://funmeta.oebiotech.com/network/47926")</f>
        <v>http://funmeta.oebiotech.com/network/47926</v>
      </c>
      <c r="H439" s="2" t="s">
        <v>3074</v>
      </c>
      <c r="I439" s="2"/>
      <c r="J439" s="2"/>
      <c r="K439" s="2"/>
      <c r="L439" s="2"/>
      <c r="M439" s="2"/>
      <c r="N439" s="2"/>
      <c r="O439" s="2">
        <v>22833598</v>
      </c>
      <c r="P439" s="2" t="s">
        <v>3075</v>
      </c>
      <c r="Q439" s="2" t="s">
        <v>3076</v>
      </c>
      <c r="R439" s="2" t="s">
        <v>3077</v>
      </c>
      <c r="S439" s="2" t="s">
        <v>50</v>
      </c>
      <c r="T439" s="2" t="s">
        <v>201</v>
      </c>
      <c r="U439" s="2" t="s">
        <v>241</v>
      </c>
      <c r="V439" s="2" t="s">
        <v>42</v>
      </c>
      <c r="W439" s="2">
        <v>52</v>
      </c>
      <c r="X439" s="2">
        <v>73.5</v>
      </c>
      <c r="Y439" s="2" t="s">
        <v>751</v>
      </c>
      <c r="Z439" s="2" t="s">
        <v>3078</v>
      </c>
      <c r="AA439" s="2">
        <v>-0.86712919023281798</v>
      </c>
      <c r="AB439" s="2">
        <v>1.3511458355933501</v>
      </c>
      <c r="AC439" s="2">
        <v>380882.440237934</v>
      </c>
      <c r="AD439" s="2">
        <v>505028.44536204298</v>
      </c>
      <c r="AE439" s="2">
        <v>404002.57061996398</v>
      </c>
      <c r="AF439" s="2">
        <v>368225.99750926998</v>
      </c>
      <c r="AG439" s="2">
        <v>380043.57378663099</v>
      </c>
      <c r="AH439" s="2">
        <v>364742.74968074798</v>
      </c>
      <c r="AI439" s="2">
        <v>368533.07957158698</v>
      </c>
      <c r="AJ439" s="2">
        <v>399746.67025940499</v>
      </c>
      <c r="AK439" s="2">
        <v>494056.08464599401</v>
      </c>
      <c r="AL439" s="2">
        <v>499658.03808239702</v>
      </c>
      <c r="AM439" s="2">
        <v>506853.60613204201</v>
      </c>
      <c r="AN439" s="2">
        <v>503981.60835548199</v>
      </c>
      <c r="AO439" s="2">
        <v>485082.57333874702</v>
      </c>
      <c r="AP439" s="2">
        <v>540538.76161759405</v>
      </c>
    </row>
    <row r="440" spans="1:42" ht="14.5" x14ac:dyDescent="0.35">
      <c r="A440" s="2" t="s">
        <v>3079</v>
      </c>
      <c r="B440" s="2">
        <v>916.48919637530298</v>
      </c>
      <c r="C440" s="2">
        <v>10.455550000000001</v>
      </c>
      <c r="D440" s="2" t="s">
        <v>34</v>
      </c>
      <c r="E440" s="2" t="s">
        <v>3080</v>
      </c>
      <c r="F440" s="2">
        <v>44550</v>
      </c>
      <c r="G440" s="3" t="str">
        <f>HYPERLINK("http://funmeta.oebiotech.com/network/44550", "http://funmeta.oebiotech.com/network/44550")</f>
        <v>http://funmeta.oebiotech.com/network/44550</v>
      </c>
      <c r="H440" s="2"/>
      <c r="I440" s="2"/>
      <c r="J440" s="2" t="s">
        <v>3081</v>
      </c>
      <c r="K440" s="2"/>
      <c r="L440" s="2"/>
      <c r="M440" s="2"/>
      <c r="N440" s="2"/>
      <c r="O440" s="2"/>
      <c r="P440" s="2"/>
      <c r="Q440" s="2" t="s">
        <v>3082</v>
      </c>
      <c r="R440" s="2" t="s">
        <v>3083</v>
      </c>
      <c r="S440" s="2" t="s">
        <v>41</v>
      </c>
      <c r="T440" s="2" t="s">
        <v>41</v>
      </c>
      <c r="U440" s="2" t="s">
        <v>41</v>
      </c>
      <c r="V440" s="2" t="s">
        <v>59</v>
      </c>
      <c r="W440" s="2">
        <v>37.700000000000003</v>
      </c>
      <c r="X440" s="2">
        <v>8.0399999999999999E-2</v>
      </c>
      <c r="Y440" s="2" t="s">
        <v>470</v>
      </c>
      <c r="Z440" s="2" t="s">
        <v>3084</v>
      </c>
      <c r="AA440" s="2">
        <v>-0.940003154132529</v>
      </c>
      <c r="AB440" s="2">
        <v>1.3492242968264501</v>
      </c>
      <c r="AC440" s="2">
        <v>223724.081526364</v>
      </c>
      <c r="AD440" s="2">
        <v>346934.16661051998</v>
      </c>
      <c r="AE440" s="2">
        <v>228947.56498922201</v>
      </c>
      <c r="AF440" s="2">
        <v>233507.06951769401</v>
      </c>
      <c r="AG440" s="2">
        <v>216478.88538566901</v>
      </c>
      <c r="AH440" s="2">
        <v>212637.90899768801</v>
      </c>
      <c r="AI440" s="2">
        <v>232715.10964585099</v>
      </c>
      <c r="AJ440" s="2">
        <v>218057.95062206301</v>
      </c>
      <c r="AK440" s="2">
        <v>324951.29196642002</v>
      </c>
      <c r="AL440" s="2">
        <v>319220.94042260997</v>
      </c>
      <c r="AM440" s="2">
        <v>354456.91846944398</v>
      </c>
      <c r="AN440" s="2">
        <v>339341.41154336103</v>
      </c>
      <c r="AO440" s="2">
        <v>365793.22937599203</v>
      </c>
      <c r="AP440" s="2">
        <v>377841.20788529201</v>
      </c>
    </row>
    <row r="441" spans="1:42" ht="14.5" x14ac:dyDescent="0.35">
      <c r="A441" s="2" t="s">
        <v>3085</v>
      </c>
      <c r="B441" s="2">
        <v>543.29279356869404</v>
      </c>
      <c r="C441" s="2">
        <v>8.7834500000000002</v>
      </c>
      <c r="D441" s="2" t="s">
        <v>34</v>
      </c>
      <c r="E441" s="2" t="s">
        <v>3086</v>
      </c>
      <c r="F441" s="2">
        <v>82677</v>
      </c>
      <c r="G441" s="3" t="str">
        <f>HYPERLINK("http://funmeta.oebiotech.com/network/82677", "http://funmeta.oebiotech.com/network/82677")</f>
        <v>http://funmeta.oebiotech.com/network/82677</v>
      </c>
      <c r="H441" s="2" t="s">
        <v>3087</v>
      </c>
      <c r="I441" s="2"/>
      <c r="J441" s="2"/>
      <c r="K441" s="2"/>
      <c r="L441" s="2"/>
      <c r="M441" s="2"/>
      <c r="N441" s="2"/>
      <c r="O441" s="2">
        <v>9826472</v>
      </c>
      <c r="P441" s="2"/>
      <c r="Q441" s="2" t="s">
        <v>3088</v>
      </c>
      <c r="R441" s="2" t="s">
        <v>3089</v>
      </c>
      <c r="S441" s="2" t="s">
        <v>50</v>
      </c>
      <c r="T441" s="2" t="s">
        <v>124</v>
      </c>
      <c r="U441" s="2" t="s">
        <v>567</v>
      </c>
      <c r="V441" s="2" t="s">
        <v>42</v>
      </c>
      <c r="W441" s="2">
        <v>55.7</v>
      </c>
      <c r="X441" s="2">
        <v>84.6</v>
      </c>
      <c r="Y441" s="2" t="s">
        <v>376</v>
      </c>
      <c r="Z441" s="2" t="s">
        <v>3090</v>
      </c>
      <c r="AA441" s="2">
        <v>-8.74083209630757E-2</v>
      </c>
      <c r="AB441" s="2">
        <v>1.3483789875679</v>
      </c>
      <c r="AC441" s="2">
        <v>138260.24444452499</v>
      </c>
      <c r="AD441" s="2">
        <v>18044.338214954802</v>
      </c>
      <c r="AE441" s="2">
        <v>141195.193875909</v>
      </c>
      <c r="AF441" s="2">
        <v>136356.911365654</v>
      </c>
      <c r="AG441" s="2">
        <v>138486.41811285599</v>
      </c>
      <c r="AH441" s="2">
        <v>128296.96684623</v>
      </c>
      <c r="AI441" s="2">
        <v>126482.78756981</v>
      </c>
      <c r="AJ441" s="2">
        <v>158743.18889668901</v>
      </c>
      <c r="AK441" s="2">
        <v>17739.180412954302</v>
      </c>
      <c r="AL441" s="2">
        <v>22135.146142971498</v>
      </c>
      <c r="AM441" s="2">
        <v>21941.8519171683</v>
      </c>
      <c r="AN441" s="2">
        <v>21331.031358717901</v>
      </c>
      <c r="AO441" s="2">
        <v>11106.9871927189</v>
      </c>
      <c r="AP441" s="2">
        <v>14011.8322651981</v>
      </c>
    </row>
    <row r="442" spans="1:42" ht="14.5" x14ac:dyDescent="0.35">
      <c r="A442" s="2" t="s">
        <v>3091</v>
      </c>
      <c r="B442" s="2">
        <v>245.092717908526</v>
      </c>
      <c r="C442" s="2">
        <v>4.84418333333333</v>
      </c>
      <c r="D442" s="2" t="s">
        <v>70</v>
      </c>
      <c r="E442" s="2" t="s">
        <v>3092</v>
      </c>
      <c r="F442" s="2">
        <v>52441</v>
      </c>
      <c r="G442" s="3" t="str">
        <f>HYPERLINK("http://funmeta.oebiotech.com/network/52441", "http://funmeta.oebiotech.com/network/52441")</f>
        <v>http://funmeta.oebiotech.com/network/52441</v>
      </c>
      <c r="H442" s="2" t="s">
        <v>3093</v>
      </c>
      <c r="I442" s="2"/>
      <c r="J442" s="2"/>
      <c r="K442" s="2">
        <v>74640</v>
      </c>
      <c r="L442" s="2"/>
      <c r="M442" s="2"/>
      <c r="N442" s="2"/>
      <c r="O442" s="2">
        <v>700653</v>
      </c>
      <c r="P442" s="2" t="s">
        <v>3094</v>
      </c>
      <c r="Q442" s="2" t="s">
        <v>3095</v>
      </c>
      <c r="R442" s="2" t="s">
        <v>3096</v>
      </c>
      <c r="S442" s="2" t="s">
        <v>89</v>
      </c>
      <c r="T442" s="2" t="s">
        <v>90</v>
      </c>
      <c r="U442" s="2" t="s">
        <v>99</v>
      </c>
      <c r="V442" s="2" t="s">
        <v>42</v>
      </c>
      <c r="W442" s="2">
        <v>53.9</v>
      </c>
      <c r="X442" s="2">
        <v>74.099999999999994</v>
      </c>
      <c r="Y442" s="2" t="s">
        <v>118</v>
      </c>
      <c r="Z442" s="2" t="s">
        <v>3097</v>
      </c>
      <c r="AA442" s="2">
        <v>-1.82030040245064</v>
      </c>
      <c r="AB442" s="2">
        <v>1.3401623128119799</v>
      </c>
      <c r="AC442" s="2">
        <v>440542.50095876999</v>
      </c>
      <c r="AD442" s="2">
        <v>319692.17244372802</v>
      </c>
      <c r="AE442" s="2">
        <v>467858.71192830702</v>
      </c>
      <c r="AF442" s="2">
        <v>434636.72343746002</v>
      </c>
      <c r="AG442" s="2">
        <v>428730.34842457803</v>
      </c>
      <c r="AH442" s="2">
        <v>429228.493117809</v>
      </c>
      <c r="AI442" s="2">
        <v>431315.930912707</v>
      </c>
      <c r="AJ442" s="2">
        <v>451484.79793176003</v>
      </c>
      <c r="AK442" s="2">
        <v>310215.030170782</v>
      </c>
      <c r="AL442" s="2">
        <v>307564.23972473003</v>
      </c>
      <c r="AM442" s="2">
        <v>345205.66346829402</v>
      </c>
      <c r="AN442" s="2">
        <v>309965.81262508599</v>
      </c>
      <c r="AO442" s="2">
        <v>318391.85484611097</v>
      </c>
      <c r="AP442" s="2">
        <v>326810.43382736499</v>
      </c>
    </row>
    <row r="443" spans="1:42" ht="14.5" x14ac:dyDescent="0.35">
      <c r="A443" s="2" t="s">
        <v>3098</v>
      </c>
      <c r="B443" s="2">
        <v>626.36819874330001</v>
      </c>
      <c r="C443" s="2">
        <v>7.2976999999999999</v>
      </c>
      <c r="D443" s="2" t="s">
        <v>34</v>
      </c>
      <c r="E443" s="2" t="s">
        <v>3099</v>
      </c>
      <c r="F443" s="2">
        <v>28029</v>
      </c>
      <c r="G443" s="3" t="str">
        <f>HYPERLINK("http://funmeta.oebiotech.com/network/28029", "http://funmeta.oebiotech.com/network/28029")</f>
        <v>http://funmeta.oebiotech.com/network/28029</v>
      </c>
      <c r="H443" s="2"/>
      <c r="I443" s="2"/>
      <c r="J443" s="2" t="s">
        <v>3100</v>
      </c>
      <c r="K443" s="2"/>
      <c r="L443" s="2"/>
      <c r="M443" s="2"/>
      <c r="N443" s="2"/>
      <c r="O443" s="2">
        <v>134812475</v>
      </c>
      <c r="P443" s="2"/>
      <c r="Q443" s="2" t="s">
        <v>3101</v>
      </c>
      <c r="R443" s="2" t="s">
        <v>3102</v>
      </c>
      <c r="S443" s="2" t="s">
        <v>50</v>
      </c>
      <c r="T443" s="2" t="s">
        <v>51</v>
      </c>
      <c r="U443" s="2" t="s">
        <v>738</v>
      </c>
      <c r="V443" s="2" t="s">
        <v>59</v>
      </c>
      <c r="W443" s="2">
        <v>38</v>
      </c>
      <c r="X443" s="2">
        <v>0</v>
      </c>
      <c r="Y443" s="2" t="s">
        <v>43</v>
      </c>
      <c r="Z443" s="2" t="s">
        <v>3103</v>
      </c>
      <c r="AA443" s="2">
        <v>2.9984725176617202</v>
      </c>
      <c r="AB443" s="2">
        <v>1.33765575596635</v>
      </c>
      <c r="AC443" s="2">
        <v>43957.998851599797</v>
      </c>
      <c r="AD443" s="2">
        <v>162018.63129484499</v>
      </c>
      <c r="AE443" s="2">
        <v>42032.025328300399</v>
      </c>
      <c r="AF443" s="2">
        <v>50582.6924341794</v>
      </c>
      <c r="AG443" s="2">
        <v>36094.578535700901</v>
      </c>
      <c r="AH443" s="2">
        <v>41721.152699050203</v>
      </c>
      <c r="AI443" s="2">
        <v>44195.735974814699</v>
      </c>
      <c r="AJ443" s="2">
        <v>49121.808137553096</v>
      </c>
      <c r="AK443" s="2">
        <v>155254.824786018</v>
      </c>
      <c r="AL443" s="2">
        <v>163164.956757254</v>
      </c>
      <c r="AM443" s="2">
        <v>158751.16625261199</v>
      </c>
      <c r="AN443" s="2">
        <v>155200.13044191699</v>
      </c>
      <c r="AO443" s="2">
        <v>163803.60745700801</v>
      </c>
      <c r="AP443" s="2">
        <v>175937.10207425899</v>
      </c>
    </row>
    <row r="444" spans="1:42" ht="14.5" x14ac:dyDescent="0.35">
      <c r="A444" s="2" t="s">
        <v>3104</v>
      </c>
      <c r="B444" s="2">
        <v>407.09551055854303</v>
      </c>
      <c r="C444" s="2">
        <v>4.1877333333333304</v>
      </c>
      <c r="D444" s="2" t="s">
        <v>70</v>
      </c>
      <c r="E444" s="2" t="s">
        <v>3105</v>
      </c>
      <c r="F444" s="2">
        <v>275924</v>
      </c>
      <c r="G444" s="3" t="str">
        <f>HYPERLINK("http://funmeta.oebiotech.com/network/275924", "http://funmeta.oebiotech.com/network/275924")</f>
        <v>http://funmeta.oebiotech.com/network/275924</v>
      </c>
      <c r="H444" s="2"/>
      <c r="I444" s="2">
        <v>67349</v>
      </c>
      <c r="J444" s="2"/>
      <c r="K444" s="2"/>
      <c r="L444" s="2" t="s">
        <v>3106</v>
      </c>
      <c r="M444" s="2"/>
      <c r="N444" s="2"/>
      <c r="O444" s="2">
        <v>441966</v>
      </c>
      <c r="P444" s="2" t="s">
        <v>3107</v>
      </c>
      <c r="Q444" s="2" t="s">
        <v>3108</v>
      </c>
      <c r="R444" s="2" t="s">
        <v>3109</v>
      </c>
      <c r="S444" s="2" t="s">
        <v>491</v>
      </c>
      <c r="T444" s="2" t="s">
        <v>2251</v>
      </c>
      <c r="U444" s="2" t="s">
        <v>2252</v>
      </c>
      <c r="V444" s="2" t="s">
        <v>59</v>
      </c>
      <c r="W444" s="2">
        <v>37.9</v>
      </c>
      <c r="X444" s="2">
        <v>0.90500000000000003</v>
      </c>
      <c r="Y444" s="2" t="s">
        <v>107</v>
      </c>
      <c r="Z444" s="2" t="s">
        <v>3110</v>
      </c>
      <c r="AA444" s="2">
        <v>-7.0076130519283097</v>
      </c>
      <c r="AB444" s="2">
        <v>1.3373275280827699</v>
      </c>
      <c r="AC444" s="2">
        <v>2580207.8307250598</v>
      </c>
      <c r="AD444" s="2">
        <v>2415105.8992143599</v>
      </c>
      <c r="AE444" s="2">
        <v>2554087.7861674302</v>
      </c>
      <c r="AF444" s="2">
        <v>2737499.96713597</v>
      </c>
      <c r="AG444" s="2">
        <v>2584982.9824535502</v>
      </c>
      <c r="AH444" s="2">
        <v>2564716.4790948099</v>
      </c>
      <c r="AI444" s="2">
        <v>2519980.87354019</v>
      </c>
      <c r="AJ444" s="2">
        <v>2519978.8959583798</v>
      </c>
      <c r="AK444" s="2">
        <v>2472252.7473152201</v>
      </c>
      <c r="AL444" s="2">
        <v>2420238.3533048001</v>
      </c>
      <c r="AM444" s="2">
        <v>2525123.98212888</v>
      </c>
      <c r="AN444" s="2">
        <v>2366204.3906155298</v>
      </c>
      <c r="AO444" s="2">
        <v>2462708.6074557402</v>
      </c>
      <c r="AP444" s="2">
        <v>2244107.3144660098</v>
      </c>
    </row>
    <row r="445" spans="1:42" ht="14.5" x14ac:dyDescent="0.35">
      <c r="A445" s="2" t="s">
        <v>3111</v>
      </c>
      <c r="B445" s="2">
        <v>303.10487453629798</v>
      </c>
      <c r="C445" s="2">
        <v>1.11073333333333</v>
      </c>
      <c r="D445" s="2" t="s">
        <v>34</v>
      </c>
      <c r="E445" s="2" t="s">
        <v>3112</v>
      </c>
      <c r="F445" s="2">
        <v>211549</v>
      </c>
      <c r="G445" s="3" t="str">
        <f>HYPERLINK("http://funmeta.oebiotech.com/network/211549", "http://funmeta.oebiotech.com/network/211549")</f>
        <v>http://funmeta.oebiotech.com/network/211549</v>
      </c>
      <c r="H445" s="2" t="s">
        <v>3113</v>
      </c>
      <c r="I445" s="2"/>
      <c r="J445" s="2"/>
      <c r="K445" s="2"/>
      <c r="L445" s="2"/>
      <c r="M445" s="2"/>
      <c r="N445" s="2"/>
      <c r="O445" s="2">
        <v>136010311</v>
      </c>
      <c r="P445" s="2"/>
      <c r="Q445" s="2" t="s">
        <v>3114</v>
      </c>
      <c r="R445" s="2" t="s">
        <v>3115</v>
      </c>
      <c r="S445" s="2" t="s">
        <v>41</v>
      </c>
      <c r="T445" s="2" t="s">
        <v>41</v>
      </c>
      <c r="U445" s="2" t="s">
        <v>41</v>
      </c>
      <c r="V445" s="2" t="s">
        <v>59</v>
      </c>
      <c r="W445" s="2">
        <v>39.4</v>
      </c>
      <c r="X445" s="2">
        <v>5.47</v>
      </c>
      <c r="Y445" s="2" t="s">
        <v>330</v>
      </c>
      <c r="Z445" s="2" t="s">
        <v>3116</v>
      </c>
      <c r="AA445" s="2">
        <v>-4.2848801446678397</v>
      </c>
      <c r="AB445" s="2">
        <v>1.3334560503249</v>
      </c>
      <c r="AC445" s="2">
        <v>195515.03752834501</v>
      </c>
      <c r="AD445" s="2">
        <v>315288.16398140998</v>
      </c>
      <c r="AE445" s="2">
        <v>200146.78187702299</v>
      </c>
      <c r="AF445" s="2">
        <v>188922.07820525701</v>
      </c>
      <c r="AG445" s="2">
        <v>189773.51876607299</v>
      </c>
      <c r="AH445" s="2">
        <v>191606.60167456901</v>
      </c>
      <c r="AI445" s="2">
        <v>206446.47278813101</v>
      </c>
      <c r="AJ445" s="2">
        <v>196194.77185901601</v>
      </c>
      <c r="AK445" s="2">
        <v>335580.87956450699</v>
      </c>
      <c r="AL445" s="2">
        <v>282679.52185406501</v>
      </c>
      <c r="AM445" s="2">
        <v>317366.33708181803</v>
      </c>
      <c r="AN445" s="2">
        <v>318270.17172914202</v>
      </c>
      <c r="AO445" s="2">
        <v>299443.09291733702</v>
      </c>
      <c r="AP445" s="2">
        <v>338388.98074159201</v>
      </c>
    </row>
    <row r="446" spans="1:42" ht="14.5" x14ac:dyDescent="0.35">
      <c r="A446" s="2" t="s">
        <v>3117</v>
      </c>
      <c r="B446" s="2">
        <v>537.19769303730197</v>
      </c>
      <c r="C446" s="2">
        <v>4.7579333333333302</v>
      </c>
      <c r="D446" s="2" t="s">
        <v>70</v>
      </c>
      <c r="E446" s="2" t="s">
        <v>3118</v>
      </c>
      <c r="F446" s="2">
        <v>57169</v>
      </c>
      <c r="G446" s="3" t="str">
        <f>HYPERLINK("http://funmeta.oebiotech.com/network/57169", "http://funmeta.oebiotech.com/network/57169")</f>
        <v>http://funmeta.oebiotech.com/network/57169</v>
      </c>
      <c r="H446" s="2" t="s">
        <v>3119</v>
      </c>
      <c r="I446" s="2">
        <v>88814</v>
      </c>
      <c r="J446" s="2"/>
      <c r="K446" s="2">
        <v>169115</v>
      </c>
      <c r="L446" s="2"/>
      <c r="M446" s="2"/>
      <c r="N446" s="2"/>
      <c r="O446" s="2">
        <v>131751348</v>
      </c>
      <c r="P446" s="2" t="s">
        <v>3120</v>
      </c>
      <c r="Q446" s="2" t="s">
        <v>3121</v>
      </c>
      <c r="R446" s="2" t="s">
        <v>3122</v>
      </c>
      <c r="S446" s="2" t="s">
        <v>1184</v>
      </c>
      <c r="T446" s="2" t="s">
        <v>1185</v>
      </c>
      <c r="U446" s="2" t="s">
        <v>41</v>
      </c>
      <c r="V446" s="2" t="s">
        <v>42</v>
      </c>
      <c r="W446" s="2">
        <v>58.3</v>
      </c>
      <c r="X446" s="2">
        <v>96.2</v>
      </c>
      <c r="Y446" s="2" t="s">
        <v>286</v>
      </c>
      <c r="Z446" s="2" t="s">
        <v>3123</v>
      </c>
      <c r="AA446" s="2">
        <v>-0.115917494547071</v>
      </c>
      <c r="AB446" s="2">
        <v>1.3333813257995799</v>
      </c>
      <c r="AC446" s="2">
        <v>634533.15285267297</v>
      </c>
      <c r="AD446" s="2">
        <v>763028.58117580204</v>
      </c>
      <c r="AE446" s="2">
        <v>630821.84715626296</v>
      </c>
      <c r="AF446" s="2">
        <v>684470.67055786203</v>
      </c>
      <c r="AG446" s="2">
        <v>630577.18120151397</v>
      </c>
      <c r="AH446" s="2">
        <v>611701.69188848406</v>
      </c>
      <c r="AI446" s="2">
        <v>616216.87548124697</v>
      </c>
      <c r="AJ446" s="2">
        <v>633410.65083066898</v>
      </c>
      <c r="AK446" s="2">
        <v>758422.98899708898</v>
      </c>
      <c r="AL446" s="2">
        <v>782058.40990533796</v>
      </c>
      <c r="AM446" s="2">
        <v>723697.74164594105</v>
      </c>
      <c r="AN446" s="2">
        <v>825290.21077648201</v>
      </c>
      <c r="AO446" s="2">
        <v>730517.68725632003</v>
      </c>
      <c r="AP446" s="2">
        <v>758184.44847364305</v>
      </c>
    </row>
    <row r="447" spans="1:42" ht="14.5" x14ac:dyDescent="0.35">
      <c r="A447" s="2" t="s">
        <v>3124</v>
      </c>
      <c r="B447" s="2">
        <v>337.07714028316599</v>
      </c>
      <c r="C447" s="2">
        <v>0.76995000000000002</v>
      </c>
      <c r="D447" s="2" t="s">
        <v>70</v>
      </c>
      <c r="E447" s="2" t="s">
        <v>3125</v>
      </c>
      <c r="F447" s="2">
        <v>208146</v>
      </c>
      <c r="G447" s="3" t="str">
        <f>HYPERLINK("http://funmeta.oebiotech.com/network/208146", "http://funmeta.oebiotech.com/network/208146")</f>
        <v>http://funmeta.oebiotech.com/network/208146</v>
      </c>
      <c r="H447" s="2" t="s">
        <v>3126</v>
      </c>
      <c r="I447" s="2"/>
      <c r="J447" s="2"/>
      <c r="K447" s="2"/>
      <c r="L447" s="2"/>
      <c r="M447" s="2"/>
      <c r="N447" s="2"/>
      <c r="O447" s="2">
        <v>54725703</v>
      </c>
      <c r="P447" s="2"/>
      <c r="Q447" s="2" t="s">
        <v>3127</v>
      </c>
      <c r="R447" s="2" t="s">
        <v>3128</v>
      </c>
      <c r="S447" s="2" t="s">
        <v>50</v>
      </c>
      <c r="T447" s="2" t="s">
        <v>229</v>
      </c>
      <c r="U447" s="2" t="s">
        <v>230</v>
      </c>
      <c r="V447" s="2" t="s">
        <v>59</v>
      </c>
      <c r="W447" s="2">
        <v>44</v>
      </c>
      <c r="X447" s="2">
        <v>24.6</v>
      </c>
      <c r="Y447" s="2" t="s">
        <v>286</v>
      </c>
      <c r="Z447" s="2" t="s">
        <v>3129</v>
      </c>
      <c r="AA447" s="2">
        <v>-1.46317459785268</v>
      </c>
      <c r="AB447" s="2">
        <v>1.33305989734948</v>
      </c>
      <c r="AC447" s="2">
        <v>490490.93448123097</v>
      </c>
      <c r="AD447" s="2">
        <v>669730.68103537499</v>
      </c>
      <c r="AE447" s="2">
        <v>628290.63858420902</v>
      </c>
      <c r="AF447" s="2">
        <v>383823.94517609401</v>
      </c>
      <c r="AG447" s="2">
        <v>372416.24765427702</v>
      </c>
      <c r="AH447" s="2">
        <v>440721.76029730699</v>
      </c>
      <c r="AI447" s="2">
        <v>492603.99941638601</v>
      </c>
      <c r="AJ447" s="2">
        <v>625089.01575911604</v>
      </c>
      <c r="AK447" s="2">
        <v>723466.83078980295</v>
      </c>
      <c r="AL447" s="2">
        <v>517228.62772115797</v>
      </c>
      <c r="AM447" s="2">
        <v>817685.24078291899</v>
      </c>
      <c r="AN447" s="2">
        <v>605324.57238438597</v>
      </c>
      <c r="AO447" s="2">
        <v>586442.07217546902</v>
      </c>
      <c r="AP447" s="2">
        <v>768236.74235851702</v>
      </c>
    </row>
    <row r="448" spans="1:42" ht="14.5" x14ac:dyDescent="0.35">
      <c r="A448" s="2" t="s">
        <v>3130</v>
      </c>
      <c r="B448" s="2">
        <v>555.29263173746006</v>
      </c>
      <c r="C448" s="2">
        <v>11.5300333333333</v>
      </c>
      <c r="D448" s="2" t="s">
        <v>34</v>
      </c>
      <c r="E448" s="2" t="s">
        <v>3131</v>
      </c>
      <c r="F448" s="2">
        <v>43466</v>
      </c>
      <c r="G448" s="3" t="str">
        <f>HYPERLINK("http://funmeta.oebiotech.com/network/43466", "http://funmeta.oebiotech.com/network/43466")</f>
        <v>http://funmeta.oebiotech.com/network/43466</v>
      </c>
      <c r="H448" s="2"/>
      <c r="I448" s="2">
        <v>41674</v>
      </c>
      <c r="J448" s="2" t="s">
        <v>3132</v>
      </c>
      <c r="K448" s="2"/>
      <c r="L448" s="2" t="s">
        <v>3133</v>
      </c>
      <c r="M448" s="2"/>
      <c r="N448" s="2"/>
      <c r="O448" s="2">
        <v>441819</v>
      </c>
      <c r="P448" s="2"/>
      <c r="Q448" s="2" t="s">
        <v>3134</v>
      </c>
      <c r="R448" s="2" t="s">
        <v>3135</v>
      </c>
      <c r="S448" s="2" t="s">
        <v>50</v>
      </c>
      <c r="T448" s="2" t="s">
        <v>124</v>
      </c>
      <c r="U448" s="2" t="s">
        <v>3136</v>
      </c>
      <c r="V448" s="2" t="s">
        <v>59</v>
      </c>
      <c r="W448" s="2">
        <v>43.6</v>
      </c>
      <c r="X448" s="2">
        <v>34.4</v>
      </c>
      <c r="Y448" s="2" t="s">
        <v>470</v>
      </c>
      <c r="Z448" s="2" t="s">
        <v>1049</v>
      </c>
      <c r="AA448" s="2">
        <v>-0.389458369973332</v>
      </c>
      <c r="AB448" s="2">
        <v>1.3290963023055999</v>
      </c>
      <c r="AC448" s="2">
        <v>121550.712819215</v>
      </c>
      <c r="AD448" s="2">
        <v>5093.5886480202498</v>
      </c>
      <c r="AE448" s="2">
        <v>120189.207725028</v>
      </c>
      <c r="AF448" s="2">
        <v>117350.716293219</v>
      </c>
      <c r="AG448" s="2">
        <v>115910.794065842</v>
      </c>
      <c r="AH448" s="2">
        <v>119958.082792552</v>
      </c>
      <c r="AI448" s="2">
        <v>116535.195503707</v>
      </c>
      <c r="AJ448" s="2">
        <v>139360.28053493999</v>
      </c>
      <c r="AK448" s="2">
        <v>6080.4789524672697</v>
      </c>
      <c r="AL448" s="2">
        <v>4722.4576789878402</v>
      </c>
      <c r="AM448" s="2">
        <v>5018.4604036521096</v>
      </c>
      <c r="AN448" s="2">
        <v>4974.7369100134601</v>
      </c>
      <c r="AO448" s="2">
        <v>5794.8099813256204</v>
      </c>
      <c r="AP448" s="2">
        <v>3970.5879616751799</v>
      </c>
    </row>
    <row r="449" spans="1:42" ht="14.5" x14ac:dyDescent="0.35">
      <c r="A449" s="2" t="s">
        <v>3137</v>
      </c>
      <c r="B449" s="2">
        <v>764.52944034626398</v>
      </c>
      <c r="C449" s="2">
        <v>14.2601333333333</v>
      </c>
      <c r="D449" s="2" t="s">
        <v>34</v>
      </c>
      <c r="E449" s="2" t="s">
        <v>3138</v>
      </c>
      <c r="F449" s="2">
        <v>18051</v>
      </c>
      <c r="G449" s="3" t="str">
        <f>HYPERLINK("http://funmeta.oebiotech.com/network/18051", "http://funmeta.oebiotech.com/network/18051")</f>
        <v>http://funmeta.oebiotech.com/network/18051</v>
      </c>
      <c r="H449" s="2"/>
      <c r="I449" s="2"/>
      <c r="J449" s="2" t="s">
        <v>3139</v>
      </c>
      <c r="K449" s="2"/>
      <c r="L449" s="2"/>
      <c r="M449" s="2"/>
      <c r="N449" s="2"/>
      <c r="O449" s="2">
        <v>52922097</v>
      </c>
      <c r="P449" s="2"/>
      <c r="Q449" s="2" t="s">
        <v>3140</v>
      </c>
      <c r="R449" s="2" t="s">
        <v>3141</v>
      </c>
      <c r="S449" s="2" t="s">
        <v>50</v>
      </c>
      <c r="T449" s="2" t="s">
        <v>448</v>
      </c>
      <c r="U449" s="2" t="s">
        <v>449</v>
      </c>
      <c r="V449" s="2" t="s">
        <v>59</v>
      </c>
      <c r="W449" s="2">
        <v>44.6</v>
      </c>
      <c r="X449" s="2">
        <v>27.1</v>
      </c>
      <c r="Y449" s="2" t="s">
        <v>470</v>
      </c>
      <c r="Z449" s="2" t="s">
        <v>3142</v>
      </c>
      <c r="AA449" s="2">
        <v>-1.71953056715765</v>
      </c>
      <c r="AB449" s="2">
        <v>1.32732746426929</v>
      </c>
      <c r="AC449" s="2">
        <v>653742.20940573199</v>
      </c>
      <c r="AD449" s="2">
        <v>515179.54503351398</v>
      </c>
      <c r="AE449" s="2">
        <v>635928.32562939497</v>
      </c>
      <c r="AF449" s="2">
        <v>680146.48553342</v>
      </c>
      <c r="AG449" s="2">
        <v>661047.16449890495</v>
      </c>
      <c r="AH449" s="2">
        <v>636018.57098650106</v>
      </c>
      <c r="AI449" s="2">
        <v>653590.98994903697</v>
      </c>
      <c r="AJ449" s="2">
        <v>655721.71983713598</v>
      </c>
      <c r="AK449" s="2">
        <v>653237.04466880101</v>
      </c>
      <c r="AL449" s="2">
        <v>503631.39068709599</v>
      </c>
      <c r="AM449" s="2">
        <v>459361.78055029898</v>
      </c>
      <c r="AN449" s="2">
        <v>473620.134106863</v>
      </c>
      <c r="AO449" s="2">
        <v>503696.13459632499</v>
      </c>
      <c r="AP449" s="2">
        <v>497530.78559170099</v>
      </c>
    </row>
    <row r="450" spans="1:42" ht="14.5" x14ac:dyDescent="0.35">
      <c r="A450" s="2" t="s">
        <v>3143</v>
      </c>
      <c r="B450" s="2">
        <v>443.15584734619603</v>
      </c>
      <c r="C450" s="2">
        <v>4.9511166666666702</v>
      </c>
      <c r="D450" s="2" t="s">
        <v>70</v>
      </c>
      <c r="E450" s="2" t="s">
        <v>3144</v>
      </c>
      <c r="F450" s="2">
        <v>35344</v>
      </c>
      <c r="G450" s="3" t="str">
        <f>HYPERLINK("http://funmeta.oebiotech.com/network/35344", "http://funmeta.oebiotech.com/network/35344")</f>
        <v>http://funmeta.oebiotech.com/network/35344</v>
      </c>
      <c r="H450" s="2"/>
      <c r="I450" s="2"/>
      <c r="J450" s="2" t="s">
        <v>3145</v>
      </c>
      <c r="K450" s="2"/>
      <c r="L450" s="2"/>
      <c r="M450" s="2"/>
      <c r="N450" s="2"/>
      <c r="O450" s="2"/>
      <c r="P450" s="2"/>
      <c r="Q450" s="2" t="s">
        <v>3146</v>
      </c>
      <c r="R450" s="2" t="s">
        <v>3147</v>
      </c>
      <c r="S450" s="2" t="s">
        <v>50</v>
      </c>
      <c r="T450" s="2" t="s">
        <v>201</v>
      </c>
      <c r="U450" s="2" t="s">
        <v>202</v>
      </c>
      <c r="V450" s="2" t="s">
        <v>42</v>
      </c>
      <c r="W450" s="2">
        <v>50.2</v>
      </c>
      <c r="X450" s="2">
        <v>54.3</v>
      </c>
      <c r="Y450" s="2" t="s">
        <v>751</v>
      </c>
      <c r="Z450" s="2" t="s">
        <v>3148</v>
      </c>
      <c r="AA450" s="2">
        <v>-8.2070056580876696E-2</v>
      </c>
      <c r="AB450" s="2">
        <v>1.32535478774255</v>
      </c>
      <c r="AC450" s="2">
        <v>157339.24584151601</v>
      </c>
      <c r="AD450" s="2">
        <v>273732.87462647102</v>
      </c>
      <c r="AE450" s="2">
        <v>159807.54472853499</v>
      </c>
      <c r="AF450" s="2">
        <v>151890.63472295101</v>
      </c>
      <c r="AG450" s="2">
        <v>167406.17264933899</v>
      </c>
      <c r="AH450" s="2">
        <v>150391.719384386</v>
      </c>
      <c r="AI450" s="2">
        <v>152557.04203574199</v>
      </c>
      <c r="AJ450" s="2">
        <v>161982.36152814201</v>
      </c>
      <c r="AK450" s="2">
        <v>274374.34970486403</v>
      </c>
      <c r="AL450" s="2">
        <v>279215.54046270798</v>
      </c>
      <c r="AM450" s="2">
        <v>284546.04392596899</v>
      </c>
      <c r="AN450" s="2">
        <v>276582.47735740797</v>
      </c>
      <c r="AO450" s="2">
        <v>273396.24238052598</v>
      </c>
      <c r="AP450" s="2">
        <v>254282.59392735001</v>
      </c>
    </row>
    <row r="451" spans="1:42" ht="14.5" x14ac:dyDescent="0.35">
      <c r="A451" s="2" t="s">
        <v>3149</v>
      </c>
      <c r="B451" s="2">
        <v>354.06671513388102</v>
      </c>
      <c r="C451" s="2">
        <v>1.79495</v>
      </c>
      <c r="D451" s="2" t="s">
        <v>34</v>
      </c>
      <c r="E451" s="2" t="s">
        <v>3150</v>
      </c>
      <c r="F451" s="2">
        <v>58741</v>
      </c>
      <c r="G451" s="3" t="str">
        <f>HYPERLINK("http://funmeta.oebiotech.com/network/58741", "http://funmeta.oebiotech.com/network/58741")</f>
        <v>http://funmeta.oebiotech.com/network/58741</v>
      </c>
      <c r="H451" s="2" t="s">
        <v>3151</v>
      </c>
      <c r="I451" s="2">
        <v>90191</v>
      </c>
      <c r="J451" s="2"/>
      <c r="K451" s="2"/>
      <c r="L451" s="2"/>
      <c r="M451" s="2"/>
      <c r="N451" s="2"/>
      <c r="O451" s="2">
        <v>3004297</v>
      </c>
      <c r="P451" s="2"/>
      <c r="Q451" s="2" t="s">
        <v>3152</v>
      </c>
      <c r="R451" s="2" t="s">
        <v>3153</v>
      </c>
      <c r="S451" s="2" t="s">
        <v>39</v>
      </c>
      <c r="T451" s="2" t="s">
        <v>3154</v>
      </c>
      <c r="U451" s="2" t="s">
        <v>41</v>
      </c>
      <c r="V451" s="2" t="s">
        <v>59</v>
      </c>
      <c r="W451" s="2">
        <v>38.4</v>
      </c>
      <c r="X451" s="2">
        <v>0</v>
      </c>
      <c r="Y451" s="2" t="s">
        <v>568</v>
      </c>
      <c r="Z451" s="2" t="s">
        <v>3155</v>
      </c>
      <c r="AA451" s="2">
        <v>-1.8747605617585801</v>
      </c>
      <c r="AB451" s="2">
        <v>1.3249387644989401</v>
      </c>
      <c r="AC451" s="2">
        <v>274276.19920226902</v>
      </c>
      <c r="AD451" s="2">
        <v>390242.79886898003</v>
      </c>
      <c r="AE451" s="2">
        <v>272302.90420634602</v>
      </c>
      <c r="AF451" s="2">
        <v>270590.79224379198</v>
      </c>
      <c r="AG451" s="2">
        <v>279241.741129526</v>
      </c>
      <c r="AH451" s="2">
        <v>261719.056217782</v>
      </c>
      <c r="AI451" s="2">
        <v>280269.036941831</v>
      </c>
      <c r="AJ451" s="2">
        <v>281533.66447433899</v>
      </c>
      <c r="AK451" s="2">
        <v>393092.15855908499</v>
      </c>
      <c r="AL451" s="2">
        <v>390812.01915014797</v>
      </c>
      <c r="AM451" s="2">
        <v>389879.29226137599</v>
      </c>
      <c r="AN451" s="2">
        <v>401942.196658122</v>
      </c>
      <c r="AO451" s="2">
        <v>389562.607275997</v>
      </c>
      <c r="AP451" s="2">
        <v>376168.51930915099</v>
      </c>
    </row>
    <row r="452" spans="1:42" ht="14.5" x14ac:dyDescent="0.35">
      <c r="A452" s="2" t="s">
        <v>3156</v>
      </c>
      <c r="B452" s="2">
        <v>393.29700830338197</v>
      </c>
      <c r="C452" s="2">
        <v>14.2794166666667</v>
      </c>
      <c r="D452" s="2" t="s">
        <v>34</v>
      </c>
      <c r="E452" s="2" t="s">
        <v>3157</v>
      </c>
      <c r="F452" s="2">
        <v>1985</v>
      </c>
      <c r="G452" s="3" t="str">
        <f>HYPERLINK("http://funmeta.oebiotech.com/network/1985", "http://funmeta.oebiotech.com/network/1985")</f>
        <v>http://funmeta.oebiotech.com/network/1985</v>
      </c>
      <c r="H452" s="2"/>
      <c r="I452" s="2"/>
      <c r="J452" s="2" t="s">
        <v>3158</v>
      </c>
      <c r="K452" s="2"/>
      <c r="L452" s="2"/>
      <c r="M452" s="2"/>
      <c r="N452" s="2"/>
      <c r="O452" s="2">
        <v>86100614</v>
      </c>
      <c r="P452" s="2"/>
      <c r="Q452" s="2" t="s">
        <v>3159</v>
      </c>
      <c r="R452" s="2" t="s">
        <v>3160</v>
      </c>
      <c r="S452" s="2" t="s">
        <v>50</v>
      </c>
      <c r="T452" s="2" t="s">
        <v>229</v>
      </c>
      <c r="U452" s="2" t="s">
        <v>433</v>
      </c>
      <c r="V452" s="2" t="s">
        <v>59</v>
      </c>
      <c r="W452" s="2">
        <v>44.7</v>
      </c>
      <c r="X452" s="2">
        <v>29.4</v>
      </c>
      <c r="Y452" s="2" t="s">
        <v>67</v>
      </c>
      <c r="Z452" s="2" t="s">
        <v>3161</v>
      </c>
      <c r="AA452" s="2">
        <v>-1.41018114850636</v>
      </c>
      <c r="AB452" s="2">
        <v>1.31880060232202</v>
      </c>
      <c r="AC452" s="2">
        <v>22154.634902105299</v>
      </c>
      <c r="AD452" s="2">
        <v>137087.91663398599</v>
      </c>
      <c r="AE452" s="2">
        <v>17875.222402800398</v>
      </c>
      <c r="AF452" s="2">
        <v>21860.539179276398</v>
      </c>
      <c r="AG452" s="2">
        <v>34644.711488686502</v>
      </c>
      <c r="AH452" s="2">
        <v>15401.875282766599</v>
      </c>
      <c r="AI452" s="2">
        <v>28344.475600809299</v>
      </c>
      <c r="AJ452" s="2">
        <v>14800.9854582927</v>
      </c>
      <c r="AK452" s="2">
        <v>129997.090463702</v>
      </c>
      <c r="AL452" s="2">
        <v>130135.081373971</v>
      </c>
      <c r="AM452" s="2">
        <v>134647.07742423299</v>
      </c>
      <c r="AN452" s="2">
        <v>135567.998094265</v>
      </c>
      <c r="AO452" s="2">
        <v>142515.55726789299</v>
      </c>
      <c r="AP452" s="2">
        <v>149664.695179854</v>
      </c>
    </row>
    <row r="453" spans="1:42" ht="14.5" x14ac:dyDescent="0.35">
      <c r="A453" s="2" t="s">
        <v>3162</v>
      </c>
      <c r="B453" s="2">
        <v>586.33794561211596</v>
      </c>
      <c r="C453" s="2">
        <v>7.1510833333333297</v>
      </c>
      <c r="D453" s="2" t="s">
        <v>34</v>
      </c>
      <c r="E453" s="2" t="s">
        <v>3163</v>
      </c>
      <c r="F453" s="2">
        <v>54311</v>
      </c>
      <c r="G453" s="3" t="str">
        <f>HYPERLINK("http://funmeta.oebiotech.com/network/54311", "http://funmeta.oebiotech.com/network/54311")</f>
        <v>http://funmeta.oebiotech.com/network/54311</v>
      </c>
      <c r="H453" s="2" t="s">
        <v>3164</v>
      </c>
      <c r="I453" s="2">
        <v>86203</v>
      </c>
      <c r="J453" s="2"/>
      <c r="K453" s="2">
        <v>176071</v>
      </c>
      <c r="L453" s="2"/>
      <c r="M453" s="2"/>
      <c r="N453" s="2"/>
      <c r="O453" s="2">
        <v>16058115</v>
      </c>
      <c r="P453" s="2" t="s">
        <v>3165</v>
      </c>
      <c r="Q453" s="2" t="s">
        <v>3166</v>
      </c>
      <c r="R453" s="2" t="s">
        <v>3167</v>
      </c>
      <c r="S453" s="2" t="s">
        <v>89</v>
      </c>
      <c r="T453" s="2" t="s">
        <v>90</v>
      </c>
      <c r="U453" s="2" t="s">
        <v>99</v>
      </c>
      <c r="V453" s="2" t="s">
        <v>42</v>
      </c>
      <c r="W453" s="2">
        <v>51.2</v>
      </c>
      <c r="X453" s="2">
        <v>68.7</v>
      </c>
      <c r="Y453" s="2" t="s">
        <v>43</v>
      </c>
      <c r="Z453" s="2" t="s">
        <v>3168</v>
      </c>
      <c r="AA453" s="2">
        <v>-1.4705100056778899</v>
      </c>
      <c r="AB453" s="2">
        <v>1.3187476307363499</v>
      </c>
      <c r="AC453" s="2">
        <v>100647.807343696</v>
      </c>
      <c r="AD453" s="2">
        <v>216253.28640046201</v>
      </c>
      <c r="AE453" s="2">
        <v>100530.655135762</v>
      </c>
      <c r="AF453" s="2">
        <v>101344.47635304301</v>
      </c>
      <c r="AG453" s="2">
        <v>98184.678538632099</v>
      </c>
      <c r="AH453" s="2">
        <v>96023.906284484707</v>
      </c>
      <c r="AI453" s="2">
        <v>108344.413772279</v>
      </c>
      <c r="AJ453" s="2">
        <v>99458.713977978099</v>
      </c>
      <c r="AK453" s="2">
        <v>209870.392069141</v>
      </c>
      <c r="AL453" s="2">
        <v>205590.34440824701</v>
      </c>
      <c r="AM453" s="2">
        <v>241559.92800462601</v>
      </c>
      <c r="AN453" s="2">
        <v>215642.13640455299</v>
      </c>
      <c r="AO453" s="2">
        <v>200694.25279646099</v>
      </c>
      <c r="AP453" s="2">
        <v>224162.664719744</v>
      </c>
    </row>
    <row r="454" spans="1:42" ht="14.5" x14ac:dyDescent="0.35">
      <c r="A454" s="2" t="s">
        <v>3169</v>
      </c>
      <c r="B454" s="2">
        <v>703.26073155055099</v>
      </c>
      <c r="C454" s="2">
        <v>7.9733000000000001</v>
      </c>
      <c r="D454" s="2" t="s">
        <v>70</v>
      </c>
      <c r="E454" s="2" t="s">
        <v>3170</v>
      </c>
      <c r="F454" s="2">
        <v>81835</v>
      </c>
      <c r="G454" s="3" t="str">
        <f>HYPERLINK("http://funmeta.oebiotech.com/network/81835", "http://funmeta.oebiotech.com/network/81835")</f>
        <v>http://funmeta.oebiotech.com/network/81835</v>
      </c>
      <c r="H454" s="2" t="s">
        <v>3171</v>
      </c>
      <c r="I454" s="2"/>
      <c r="J454" s="2"/>
      <c r="K454" s="2"/>
      <c r="L454" s="2"/>
      <c r="M454" s="2"/>
      <c r="N454" s="2"/>
      <c r="O454" s="2">
        <v>131769783</v>
      </c>
      <c r="P454" s="2"/>
      <c r="Q454" s="2" t="s">
        <v>3172</v>
      </c>
      <c r="R454" s="2" t="s">
        <v>3173</v>
      </c>
      <c r="S454" s="2" t="s">
        <v>89</v>
      </c>
      <c r="T454" s="2" t="s">
        <v>90</v>
      </c>
      <c r="U454" s="2" t="s">
        <v>99</v>
      </c>
      <c r="V454" s="2" t="s">
        <v>59</v>
      </c>
      <c r="W454" s="2">
        <v>45.4</v>
      </c>
      <c r="X454" s="2">
        <v>34.1</v>
      </c>
      <c r="Y454" s="2" t="s">
        <v>408</v>
      </c>
      <c r="Z454" s="2" t="s">
        <v>3174</v>
      </c>
      <c r="AA454" s="2">
        <v>4.0601259625341299</v>
      </c>
      <c r="AB454" s="2">
        <v>1.3177918575396499</v>
      </c>
      <c r="AC454" s="2">
        <v>263896.72902452899</v>
      </c>
      <c r="AD454" s="2">
        <v>381509.73332084401</v>
      </c>
      <c r="AE454" s="2">
        <v>256232.20215732799</v>
      </c>
      <c r="AF454" s="2">
        <v>251199.85794249101</v>
      </c>
      <c r="AG454" s="2">
        <v>269305.59756559599</v>
      </c>
      <c r="AH454" s="2">
        <v>260038.155346719</v>
      </c>
      <c r="AI454" s="2">
        <v>286198.984209213</v>
      </c>
      <c r="AJ454" s="2">
        <v>260405.57692582801</v>
      </c>
      <c r="AK454" s="2">
        <v>364212.58477219701</v>
      </c>
      <c r="AL454" s="2">
        <v>363629.24558228703</v>
      </c>
      <c r="AM454" s="2">
        <v>408264.18898704002</v>
      </c>
      <c r="AN454" s="2">
        <v>379466.21191610501</v>
      </c>
      <c r="AO454" s="2">
        <v>365898.06731847901</v>
      </c>
      <c r="AP454" s="2">
        <v>407588.10134895501</v>
      </c>
    </row>
    <row r="455" spans="1:42" ht="14.5" x14ac:dyDescent="0.35">
      <c r="A455" s="2" t="s">
        <v>3175</v>
      </c>
      <c r="B455" s="2">
        <v>594.34185887601996</v>
      </c>
      <c r="C455" s="2">
        <v>7.9005333333333301</v>
      </c>
      <c r="D455" s="2" t="s">
        <v>34</v>
      </c>
      <c r="E455" s="2" t="s">
        <v>3176</v>
      </c>
      <c r="F455" s="2">
        <v>28070</v>
      </c>
      <c r="G455" s="3" t="str">
        <f>HYPERLINK("http://funmeta.oebiotech.com/network/28070", "http://funmeta.oebiotech.com/network/28070")</f>
        <v>http://funmeta.oebiotech.com/network/28070</v>
      </c>
      <c r="H455" s="2"/>
      <c r="I455" s="2"/>
      <c r="J455" s="2" t="s">
        <v>3177</v>
      </c>
      <c r="K455" s="2"/>
      <c r="L455" s="2"/>
      <c r="M455" s="2"/>
      <c r="N455" s="2"/>
      <c r="O455" s="2">
        <v>134812515</v>
      </c>
      <c r="P455" s="2"/>
      <c r="Q455" s="2" t="s">
        <v>3178</v>
      </c>
      <c r="R455" s="2" t="s">
        <v>3179</v>
      </c>
      <c r="S455" s="2" t="s">
        <v>50</v>
      </c>
      <c r="T455" s="2" t="s">
        <v>51</v>
      </c>
      <c r="U455" s="2" t="s">
        <v>273</v>
      </c>
      <c r="V455" s="2" t="s">
        <v>59</v>
      </c>
      <c r="W455" s="2">
        <v>40.6</v>
      </c>
      <c r="X455" s="2">
        <v>13.5</v>
      </c>
      <c r="Y455" s="2" t="s">
        <v>43</v>
      </c>
      <c r="Z455" s="2" t="s">
        <v>3180</v>
      </c>
      <c r="AA455" s="2">
        <v>2.94799638381068</v>
      </c>
      <c r="AB455" s="2">
        <v>1.3125115401726599</v>
      </c>
      <c r="AC455" s="2">
        <v>154778.791560007</v>
      </c>
      <c r="AD455" s="2">
        <v>269930.07735388598</v>
      </c>
      <c r="AE455" s="2">
        <v>149960.50974953</v>
      </c>
      <c r="AF455" s="2">
        <v>165435.97939423501</v>
      </c>
      <c r="AG455" s="2">
        <v>155159.925431635</v>
      </c>
      <c r="AH455" s="2">
        <v>143510.03570099801</v>
      </c>
      <c r="AI455" s="2">
        <v>161962.701033847</v>
      </c>
      <c r="AJ455" s="2">
        <v>152643.598049797</v>
      </c>
      <c r="AK455" s="2">
        <v>268236.89847244998</v>
      </c>
      <c r="AL455" s="2">
        <v>280677.039367833</v>
      </c>
      <c r="AM455" s="2">
        <v>249576.84779484299</v>
      </c>
      <c r="AN455" s="2">
        <v>291357.797575965</v>
      </c>
      <c r="AO455" s="2">
        <v>274691.48675842403</v>
      </c>
      <c r="AP455" s="2">
        <v>255040.394153798</v>
      </c>
    </row>
    <row r="456" spans="1:42" ht="14.5" x14ac:dyDescent="0.35">
      <c r="A456" s="2" t="s">
        <v>3181</v>
      </c>
      <c r="B456" s="2">
        <v>229.154554022029</v>
      </c>
      <c r="C456" s="2">
        <v>0.78071666666666695</v>
      </c>
      <c r="D456" s="2" t="s">
        <v>34</v>
      </c>
      <c r="E456" s="2" t="s">
        <v>3182</v>
      </c>
      <c r="F456" s="2">
        <v>53098</v>
      </c>
      <c r="G456" s="3" t="str">
        <f>HYPERLINK("http://funmeta.oebiotech.com/network/53098", "http://funmeta.oebiotech.com/network/53098")</f>
        <v>http://funmeta.oebiotech.com/network/53098</v>
      </c>
      <c r="H456" s="2" t="s">
        <v>3183</v>
      </c>
      <c r="I456" s="2">
        <v>1176</v>
      </c>
      <c r="J456" s="2"/>
      <c r="K456" s="2">
        <v>83329</v>
      </c>
      <c r="L456" s="2" t="s">
        <v>3184</v>
      </c>
      <c r="M456" s="2"/>
      <c r="N456" s="2"/>
      <c r="O456" s="2">
        <v>4086</v>
      </c>
      <c r="P456" s="2" t="s">
        <v>3185</v>
      </c>
      <c r="Q456" s="2" t="s">
        <v>3186</v>
      </c>
      <c r="R456" s="2" t="s">
        <v>3187</v>
      </c>
      <c r="S456" s="2" t="s">
        <v>148</v>
      </c>
      <c r="T456" s="2" t="s">
        <v>392</v>
      </c>
      <c r="U456" s="2" t="s">
        <v>2045</v>
      </c>
      <c r="V456" s="2" t="s">
        <v>59</v>
      </c>
      <c r="W456" s="2">
        <v>40.1</v>
      </c>
      <c r="X456" s="2">
        <v>3.07</v>
      </c>
      <c r="Y456" s="2" t="s">
        <v>330</v>
      </c>
      <c r="Z456" s="2" t="s">
        <v>3188</v>
      </c>
      <c r="AA456" s="2">
        <v>-0.544316891673708</v>
      </c>
      <c r="AB456" s="2">
        <v>1.3121555732188499</v>
      </c>
      <c r="AC456" s="2">
        <v>438560.74482699402</v>
      </c>
      <c r="AD456" s="2">
        <v>554648.48146543698</v>
      </c>
      <c r="AE456" s="2">
        <v>432952.84916749003</v>
      </c>
      <c r="AF456" s="2">
        <v>437766.21663491102</v>
      </c>
      <c r="AG456" s="2">
        <v>448008.093293096</v>
      </c>
      <c r="AH456" s="2">
        <v>421363.86154947901</v>
      </c>
      <c r="AI456" s="2">
        <v>428859.13200638199</v>
      </c>
      <c r="AJ456" s="2">
        <v>462414.316310608</v>
      </c>
      <c r="AK456" s="2">
        <v>533794.96084046795</v>
      </c>
      <c r="AL456" s="2">
        <v>570495.70359714096</v>
      </c>
      <c r="AM456" s="2">
        <v>568559.52140220895</v>
      </c>
      <c r="AN456" s="2">
        <v>555349.93090317503</v>
      </c>
      <c r="AO456" s="2">
        <v>541774.992053914</v>
      </c>
      <c r="AP456" s="2">
        <v>557915.77999571804</v>
      </c>
    </row>
    <row r="457" spans="1:42" ht="14.5" x14ac:dyDescent="0.35">
      <c r="A457" s="2" t="s">
        <v>3189</v>
      </c>
      <c r="B457" s="2">
        <v>522.59687412307198</v>
      </c>
      <c r="C457" s="2">
        <v>12.113350000000001</v>
      </c>
      <c r="D457" s="2" t="s">
        <v>34</v>
      </c>
      <c r="E457" s="2" t="s">
        <v>3190</v>
      </c>
      <c r="F457" s="2">
        <v>9193</v>
      </c>
      <c r="G457" s="3" t="str">
        <f>HYPERLINK("http://funmeta.oebiotech.com/network/9193", "http://funmeta.oebiotech.com/network/9193")</f>
        <v>http://funmeta.oebiotech.com/network/9193</v>
      </c>
      <c r="H457" s="2"/>
      <c r="I457" s="2">
        <v>97494</v>
      </c>
      <c r="J457" s="2" t="s">
        <v>3191</v>
      </c>
      <c r="K457" s="2"/>
      <c r="L457" s="2"/>
      <c r="M457" s="2"/>
      <c r="N457" s="2"/>
      <c r="O457" s="2">
        <v>56936079</v>
      </c>
      <c r="P457" s="2"/>
      <c r="Q457" s="2" t="s">
        <v>3192</v>
      </c>
      <c r="R457" s="2" t="s">
        <v>3193</v>
      </c>
      <c r="S457" s="2" t="s">
        <v>3194</v>
      </c>
      <c r="T457" s="2" t="s">
        <v>3195</v>
      </c>
      <c r="U457" s="2" t="s">
        <v>3196</v>
      </c>
      <c r="V457" s="2" t="s">
        <v>59</v>
      </c>
      <c r="W457" s="2">
        <v>39.6</v>
      </c>
      <c r="X457" s="2">
        <v>6.36</v>
      </c>
      <c r="Y457" s="2" t="s">
        <v>43</v>
      </c>
      <c r="Z457" s="2" t="s">
        <v>3197</v>
      </c>
      <c r="AA457" s="2">
        <v>-0.70103373782402101</v>
      </c>
      <c r="AB457" s="2">
        <v>1.3096840937988401</v>
      </c>
      <c r="AC457" s="2">
        <v>413811.76499408903</v>
      </c>
      <c r="AD457" s="2">
        <v>298012.655854907</v>
      </c>
      <c r="AE457" s="2">
        <v>394148.24031813297</v>
      </c>
      <c r="AF457" s="2">
        <v>433381.88413880201</v>
      </c>
      <c r="AG457" s="2">
        <v>423965.04111089697</v>
      </c>
      <c r="AH457" s="2">
        <v>419334.94292186102</v>
      </c>
      <c r="AI457" s="2">
        <v>411277.02375377697</v>
      </c>
      <c r="AJ457" s="2">
        <v>400763.457721062</v>
      </c>
      <c r="AK457" s="2">
        <v>320697.09363304498</v>
      </c>
      <c r="AL457" s="2">
        <v>303450.32923331601</v>
      </c>
      <c r="AM457" s="2">
        <v>283266.624638504</v>
      </c>
      <c r="AN457" s="2">
        <v>298308.700404106</v>
      </c>
      <c r="AO457" s="2">
        <v>307467.84806250199</v>
      </c>
      <c r="AP457" s="2">
        <v>274885.33915797202</v>
      </c>
    </row>
    <row r="458" spans="1:42" ht="14.5" x14ac:dyDescent="0.35">
      <c r="A458" s="2" t="s">
        <v>3198</v>
      </c>
      <c r="B458" s="2">
        <v>503.26101853353799</v>
      </c>
      <c r="C458" s="2">
        <v>6.8522666666666696</v>
      </c>
      <c r="D458" s="2" t="s">
        <v>34</v>
      </c>
      <c r="E458" s="2" t="s">
        <v>3199</v>
      </c>
      <c r="F458" s="2">
        <v>209497</v>
      </c>
      <c r="G458" s="3" t="str">
        <f>HYPERLINK("http://funmeta.oebiotech.com/network/209497", "http://funmeta.oebiotech.com/network/209497")</f>
        <v>http://funmeta.oebiotech.com/network/209497</v>
      </c>
      <c r="H458" s="2" t="s">
        <v>3200</v>
      </c>
      <c r="I458" s="2"/>
      <c r="J458" s="2"/>
      <c r="K458" s="2"/>
      <c r="L458" s="2"/>
      <c r="M458" s="2"/>
      <c r="N458" s="2"/>
      <c r="O458" s="2">
        <v>4662580</v>
      </c>
      <c r="P458" s="2"/>
      <c r="Q458" s="2" t="s">
        <v>3201</v>
      </c>
      <c r="R458" s="2" t="s">
        <v>3202</v>
      </c>
      <c r="S458" s="2" t="s">
        <v>50</v>
      </c>
      <c r="T458" s="2" t="s">
        <v>201</v>
      </c>
      <c r="U458" s="2" t="s">
        <v>202</v>
      </c>
      <c r="V458" s="2" t="s">
        <v>42</v>
      </c>
      <c r="W458" s="2">
        <v>54.7</v>
      </c>
      <c r="X458" s="2">
        <v>84.2</v>
      </c>
      <c r="Y458" s="2" t="s">
        <v>470</v>
      </c>
      <c r="Z458" s="2" t="s">
        <v>3203</v>
      </c>
      <c r="AA458" s="2">
        <v>-1.0835222492361001</v>
      </c>
      <c r="AB458" s="2">
        <v>1.30909279589508</v>
      </c>
      <c r="AC458" s="2">
        <v>807957.69744303694</v>
      </c>
      <c r="AD458" s="2">
        <v>692635.69803005201</v>
      </c>
      <c r="AE458" s="2">
        <v>805425.31153290404</v>
      </c>
      <c r="AF458" s="2">
        <v>798925.81182138401</v>
      </c>
      <c r="AG458" s="2">
        <v>806793.28045719501</v>
      </c>
      <c r="AH458" s="2">
        <v>796615.24100935704</v>
      </c>
      <c r="AI458" s="2">
        <v>818642.78425897204</v>
      </c>
      <c r="AJ458" s="2">
        <v>821343.75557841</v>
      </c>
      <c r="AK458" s="2">
        <v>709274.55780746299</v>
      </c>
      <c r="AL458" s="2">
        <v>715441.62086314103</v>
      </c>
      <c r="AM458" s="2">
        <v>682413.46088849497</v>
      </c>
      <c r="AN458" s="2">
        <v>676388.48232574097</v>
      </c>
      <c r="AO458" s="2">
        <v>699008.70034651097</v>
      </c>
      <c r="AP458" s="2">
        <v>673287.36594896298</v>
      </c>
    </row>
    <row r="459" spans="1:42" ht="14.5" x14ac:dyDescent="0.35">
      <c r="A459" s="2" t="s">
        <v>3204</v>
      </c>
      <c r="B459" s="2">
        <v>603.22208850362699</v>
      </c>
      <c r="C459" s="2">
        <v>5.8043833333333303</v>
      </c>
      <c r="D459" s="2" t="s">
        <v>70</v>
      </c>
      <c r="E459" s="2" t="s">
        <v>3205</v>
      </c>
      <c r="F459" s="2">
        <v>4530</v>
      </c>
      <c r="G459" s="3" t="str">
        <f>HYPERLINK("http://funmeta.oebiotech.com/network/4530", "http://funmeta.oebiotech.com/network/4530")</f>
        <v>http://funmeta.oebiotech.com/network/4530</v>
      </c>
      <c r="H459" s="2"/>
      <c r="I459" s="2">
        <v>36412</v>
      </c>
      <c r="J459" s="2" t="s">
        <v>3206</v>
      </c>
      <c r="K459" s="2"/>
      <c r="L459" s="2"/>
      <c r="M459" s="2"/>
      <c r="N459" s="2"/>
      <c r="O459" s="2">
        <v>5283244</v>
      </c>
      <c r="P459" s="2"/>
      <c r="Q459" s="2" t="s">
        <v>3207</v>
      </c>
      <c r="R459" s="2" t="s">
        <v>3208</v>
      </c>
      <c r="S459" s="2" t="s">
        <v>50</v>
      </c>
      <c r="T459" s="2" t="s">
        <v>229</v>
      </c>
      <c r="U459" s="2" t="s">
        <v>766</v>
      </c>
      <c r="V459" s="2" t="s">
        <v>59</v>
      </c>
      <c r="W459" s="2">
        <v>39.700000000000003</v>
      </c>
      <c r="X459" s="2">
        <v>28.6</v>
      </c>
      <c r="Y459" s="2" t="s">
        <v>408</v>
      </c>
      <c r="Z459" s="2" t="s">
        <v>3209</v>
      </c>
      <c r="AA459" s="2">
        <v>1.27276567632571</v>
      </c>
      <c r="AB459" s="2">
        <v>1.3079944305446201</v>
      </c>
      <c r="AC459" s="2">
        <v>173199.731942137</v>
      </c>
      <c r="AD459" s="2">
        <v>60751.218847832301</v>
      </c>
      <c r="AE459" s="2">
        <v>174182.62603375499</v>
      </c>
      <c r="AF459" s="2">
        <v>171647.37234260599</v>
      </c>
      <c r="AG459" s="2">
        <v>176040.99817114699</v>
      </c>
      <c r="AH459" s="2">
        <v>174900.65676869801</v>
      </c>
      <c r="AI459" s="2">
        <v>167645.58290917499</v>
      </c>
      <c r="AJ459" s="2">
        <v>174781.15542743899</v>
      </c>
      <c r="AK459" s="2">
        <v>70502.873628031099</v>
      </c>
      <c r="AL459" s="2">
        <v>60295.613004977</v>
      </c>
      <c r="AM459" s="2">
        <v>62187.882267555797</v>
      </c>
      <c r="AN459" s="2">
        <v>53857.449189925603</v>
      </c>
      <c r="AO459" s="2">
        <v>60241.559349046198</v>
      </c>
      <c r="AP459" s="2">
        <v>57421.935647457904</v>
      </c>
    </row>
    <row r="460" spans="1:42" ht="14.5" x14ac:dyDescent="0.35">
      <c r="A460" s="2" t="s">
        <v>3210</v>
      </c>
      <c r="B460" s="2">
        <v>471.31021927644503</v>
      </c>
      <c r="C460" s="2">
        <v>6.8522666666666696</v>
      </c>
      <c r="D460" s="2" t="s">
        <v>34</v>
      </c>
      <c r="E460" s="2" t="s">
        <v>3211</v>
      </c>
      <c r="F460" s="2">
        <v>204761</v>
      </c>
      <c r="G460" s="3" t="str">
        <f>HYPERLINK("http://funmeta.oebiotech.com/network/204761", "http://funmeta.oebiotech.com/network/204761")</f>
        <v>http://funmeta.oebiotech.com/network/204761</v>
      </c>
      <c r="H460" s="2" t="s">
        <v>3212</v>
      </c>
      <c r="I460" s="2"/>
      <c r="J460" s="2"/>
      <c r="K460" s="2"/>
      <c r="L460" s="2"/>
      <c r="M460" s="2"/>
      <c r="N460" s="2"/>
      <c r="O460" s="2">
        <v>76008041</v>
      </c>
      <c r="P460" s="2"/>
      <c r="Q460" s="2" t="s">
        <v>3213</v>
      </c>
      <c r="R460" s="2" t="s">
        <v>3214</v>
      </c>
      <c r="S460" s="2" t="s">
        <v>50</v>
      </c>
      <c r="T460" s="2" t="s">
        <v>124</v>
      </c>
      <c r="U460" s="2" t="s">
        <v>125</v>
      </c>
      <c r="V460" s="2" t="s">
        <v>42</v>
      </c>
      <c r="W460" s="2">
        <v>51.5</v>
      </c>
      <c r="X460" s="2">
        <v>68.5</v>
      </c>
      <c r="Y460" s="2" t="s">
        <v>266</v>
      </c>
      <c r="Z460" s="2" t="s">
        <v>3215</v>
      </c>
      <c r="AA460" s="2">
        <v>-0.57668245538649399</v>
      </c>
      <c r="AB460" s="2">
        <v>1.30785808198544</v>
      </c>
      <c r="AC460" s="2">
        <v>173006.96398453199</v>
      </c>
      <c r="AD460" s="2">
        <v>59652.2706588609</v>
      </c>
      <c r="AE460" s="2">
        <v>165272.080726238</v>
      </c>
      <c r="AF460" s="2">
        <v>184754.84987444701</v>
      </c>
      <c r="AG460" s="2">
        <v>174149.28335871099</v>
      </c>
      <c r="AH460" s="2">
        <v>190112.77965164199</v>
      </c>
      <c r="AI460" s="2">
        <v>165677.92317699999</v>
      </c>
      <c r="AJ460" s="2">
        <v>158074.867119153</v>
      </c>
      <c r="AK460" s="2">
        <v>55026.889970757598</v>
      </c>
      <c r="AL460" s="2">
        <v>59815.040973666</v>
      </c>
      <c r="AM460" s="2">
        <v>56704.105028481499</v>
      </c>
      <c r="AN460" s="2">
        <v>64670.281426097499</v>
      </c>
      <c r="AO460" s="2">
        <v>61381.336997990598</v>
      </c>
      <c r="AP460" s="2">
        <v>60315.969556172</v>
      </c>
    </row>
    <row r="461" spans="1:42" ht="14.5" x14ac:dyDescent="0.35">
      <c r="A461" s="2" t="s">
        <v>3216</v>
      </c>
      <c r="B461" s="2">
        <v>593.29510754016803</v>
      </c>
      <c r="C461" s="2">
        <v>5.04155</v>
      </c>
      <c r="D461" s="2" t="s">
        <v>70</v>
      </c>
      <c r="E461" s="2" t="s">
        <v>3217</v>
      </c>
      <c r="F461" s="2">
        <v>266719</v>
      </c>
      <c r="G461" s="3" t="str">
        <f>HYPERLINK("http://funmeta.oebiotech.com/network/266719", "http://funmeta.oebiotech.com/network/266719")</f>
        <v>http://funmeta.oebiotech.com/network/266719</v>
      </c>
      <c r="H461" s="2"/>
      <c r="I461" s="2">
        <v>43835</v>
      </c>
      <c r="J461" s="2"/>
      <c r="K461" s="2"/>
      <c r="L461" s="2" t="s">
        <v>3218</v>
      </c>
      <c r="M461" s="2"/>
      <c r="N461" s="2"/>
      <c r="O461" s="2">
        <v>441853</v>
      </c>
      <c r="P461" s="2" t="s">
        <v>3219</v>
      </c>
      <c r="Q461" s="2" t="s">
        <v>3220</v>
      </c>
      <c r="R461" s="2" t="s">
        <v>3221</v>
      </c>
      <c r="S461" s="2" t="s">
        <v>50</v>
      </c>
      <c r="T461" s="2" t="s">
        <v>124</v>
      </c>
      <c r="U461" s="2" t="s">
        <v>567</v>
      </c>
      <c r="V461" s="2" t="s">
        <v>59</v>
      </c>
      <c r="W461" s="2">
        <v>38.5</v>
      </c>
      <c r="X461" s="2">
        <v>0</v>
      </c>
      <c r="Y461" s="2" t="s">
        <v>1395</v>
      </c>
      <c r="Z461" s="2" t="s">
        <v>3222</v>
      </c>
      <c r="AA461" s="2">
        <v>-2.9697634666168802</v>
      </c>
      <c r="AB461" s="2">
        <v>1.30541572207802</v>
      </c>
      <c r="AC461" s="2">
        <v>130110.626805772</v>
      </c>
      <c r="AD461" s="2">
        <v>252921.86696270501</v>
      </c>
      <c r="AE461" s="2">
        <v>132891.06777150001</v>
      </c>
      <c r="AF461" s="2">
        <v>125446.89630488399</v>
      </c>
      <c r="AG461" s="2">
        <v>131421.40473732</v>
      </c>
      <c r="AH461" s="2">
        <v>118219.927352785</v>
      </c>
      <c r="AI461" s="2">
        <v>141508.57175286001</v>
      </c>
      <c r="AJ461" s="2">
        <v>131175.89291528199</v>
      </c>
      <c r="AK461" s="2">
        <v>248698.81269058501</v>
      </c>
      <c r="AL461" s="2">
        <v>322091.87990196701</v>
      </c>
      <c r="AM461" s="2">
        <v>214908.31043542901</v>
      </c>
      <c r="AN461" s="2">
        <v>206281.34135665701</v>
      </c>
      <c r="AO461" s="2">
        <v>262320.60827671498</v>
      </c>
      <c r="AP461" s="2">
        <v>263230.24911487597</v>
      </c>
    </row>
    <row r="462" spans="1:42" ht="14.5" x14ac:dyDescent="0.35">
      <c r="A462" s="2" t="s">
        <v>3223</v>
      </c>
      <c r="B462" s="2">
        <v>548.290874152485</v>
      </c>
      <c r="C462" s="2">
        <v>4.7017833333333297</v>
      </c>
      <c r="D462" s="2" t="s">
        <v>34</v>
      </c>
      <c r="E462" s="2" t="s">
        <v>3224</v>
      </c>
      <c r="F462" s="2">
        <v>206918</v>
      </c>
      <c r="G462" s="3" t="str">
        <f>HYPERLINK("http://funmeta.oebiotech.com/network/206918", "http://funmeta.oebiotech.com/network/206918")</f>
        <v>http://funmeta.oebiotech.com/network/206918</v>
      </c>
      <c r="H462" s="2" t="s">
        <v>3225</v>
      </c>
      <c r="I462" s="2"/>
      <c r="J462" s="2"/>
      <c r="K462" s="2"/>
      <c r="L462" s="2"/>
      <c r="M462" s="2"/>
      <c r="N462" s="2"/>
      <c r="O462" s="2">
        <v>14631849</v>
      </c>
      <c r="P462" s="2"/>
      <c r="Q462" s="2" t="s">
        <v>3226</v>
      </c>
      <c r="R462" s="2" t="s">
        <v>3227</v>
      </c>
      <c r="S462" s="2" t="s">
        <v>41</v>
      </c>
      <c r="T462" s="2" t="s">
        <v>41</v>
      </c>
      <c r="U462" s="2" t="s">
        <v>41</v>
      </c>
      <c r="V462" s="2" t="s">
        <v>59</v>
      </c>
      <c r="W462" s="2">
        <v>36.799999999999997</v>
      </c>
      <c r="X462" s="2">
        <v>0</v>
      </c>
      <c r="Y462" s="2" t="s">
        <v>141</v>
      </c>
      <c r="Z462" s="2" t="s">
        <v>3228</v>
      </c>
      <c r="AA462" s="2">
        <v>1.33962665812198</v>
      </c>
      <c r="AB462" s="2">
        <v>1.30035465239117</v>
      </c>
      <c r="AC462" s="2">
        <v>114530.537200008</v>
      </c>
      <c r="AD462" s="2">
        <v>2962.5065444186598</v>
      </c>
      <c r="AE462" s="2">
        <v>128731.436641209</v>
      </c>
      <c r="AF462" s="2">
        <v>120267.37164927799</v>
      </c>
      <c r="AG462" s="2">
        <v>113655.779163821</v>
      </c>
      <c r="AH462" s="2">
        <v>105890.70918146599</v>
      </c>
      <c r="AI462" s="2">
        <v>99036.7220954152</v>
      </c>
      <c r="AJ462" s="2">
        <v>119601.20446886</v>
      </c>
      <c r="AK462" s="2">
        <v>3095.35021237504</v>
      </c>
      <c r="AL462" s="2">
        <v>2325.5261878143601</v>
      </c>
      <c r="AM462" s="2">
        <v>2428.3243543418898</v>
      </c>
      <c r="AN462" s="2">
        <v>2789.60830255152</v>
      </c>
      <c r="AO462" s="2">
        <v>2157.5700771996999</v>
      </c>
      <c r="AP462" s="2">
        <v>4978.66013222946</v>
      </c>
    </row>
    <row r="463" spans="1:42" ht="14.5" x14ac:dyDescent="0.35">
      <c r="A463" s="2" t="s">
        <v>3229</v>
      </c>
      <c r="B463" s="2">
        <v>371.221091195209</v>
      </c>
      <c r="C463" s="2">
        <v>5.0569833333333296</v>
      </c>
      <c r="D463" s="2" t="s">
        <v>34</v>
      </c>
      <c r="E463" s="2" t="s">
        <v>3230</v>
      </c>
      <c r="F463" s="2">
        <v>44646</v>
      </c>
      <c r="G463" s="3" t="str">
        <f>HYPERLINK("http://funmeta.oebiotech.com/network/44646", "http://funmeta.oebiotech.com/network/44646")</f>
        <v>http://funmeta.oebiotech.com/network/44646</v>
      </c>
      <c r="H463" s="2"/>
      <c r="I463" s="2">
        <v>57774</v>
      </c>
      <c r="J463" s="2" t="s">
        <v>3231</v>
      </c>
      <c r="K463" s="2">
        <v>38148</v>
      </c>
      <c r="L463" s="2"/>
      <c r="M463" s="2"/>
      <c r="N463" s="2"/>
      <c r="O463" s="2">
        <v>12302396</v>
      </c>
      <c r="P463" s="2"/>
      <c r="Q463" s="2" t="s">
        <v>3232</v>
      </c>
      <c r="R463" s="2" t="s">
        <v>3233</v>
      </c>
      <c r="S463" s="2" t="s">
        <v>50</v>
      </c>
      <c r="T463" s="2" t="s">
        <v>124</v>
      </c>
      <c r="U463" s="2" t="s">
        <v>567</v>
      </c>
      <c r="V463" s="2" t="s">
        <v>42</v>
      </c>
      <c r="W463" s="2">
        <v>50.5</v>
      </c>
      <c r="X463" s="2">
        <v>59</v>
      </c>
      <c r="Y463" s="2" t="s">
        <v>141</v>
      </c>
      <c r="Z463" s="2" t="s">
        <v>3234</v>
      </c>
      <c r="AA463" s="2">
        <v>-1.53178922142351</v>
      </c>
      <c r="AB463" s="2">
        <v>1.3002844928567401</v>
      </c>
      <c r="AC463" s="2">
        <v>125137.149792816</v>
      </c>
      <c r="AD463" s="2">
        <v>244034.417798804</v>
      </c>
      <c r="AE463" s="2">
        <v>122273.710857863</v>
      </c>
      <c r="AF463" s="2">
        <v>128235.143346365</v>
      </c>
      <c r="AG463" s="2">
        <v>123985.273810459</v>
      </c>
      <c r="AH463" s="2">
        <v>113325.907292734</v>
      </c>
      <c r="AI463" s="2">
        <v>135185.86544454499</v>
      </c>
      <c r="AJ463" s="2">
        <v>127816.99800493001</v>
      </c>
      <c r="AK463" s="2">
        <v>232509.125706886</v>
      </c>
      <c r="AL463" s="2">
        <v>289871.38323640299</v>
      </c>
      <c r="AM463" s="2">
        <v>207900.606043448</v>
      </c>
      <c r="AN463" s="2">
        <v>209519.70145141199</v>
      </c>
      <c r="AO463" s="2">
        <v>248651.672648968</v>
      </c>
      <c r="AP463" s="2">
        <v>275754.01770570502</v>
      </c>
    </row>
    <row r="464" spans="1:42" ht="14.5" x14ac:dyDescent="0.35">
      <c r="A464" s="2" t="s">
        <v>3235</v>
      </c>
      <c r="B464" s="2">
        <v>835.31470682914699</v>
      </c>
      <c r="C464" s="2">
        <v>5.5993333333333304</v>
      </c>
      <c r="D464" s="2" t="s">
        <v>70</v>
      </c>
      <c r="E464" s="2" t="s">
        <v>3236</v>
      </c>
      <c r="F464" s="2">
        <v>62380</v>
      </c>
      <c r="G464" s="3" t="str">
        <f>HYPERLINK("http://funmeta.oebiotech.com/network/62380", "http://funmeta.oebiotech.com/network/62380")</f>
        <v>http://funmeta.oebiotech.com/network/62380</v>
      </c>
      <c r="H464" s="2" t="s">
        <v>3237</v>
      </c>
      <c r="I464" s="2">
        <v>93674</v>
      </c>
      <c r="J464" s="2"/>
      <c r="K464" s="2">
        <v>168843</v>
      </c>
      <c r="L464" s="2"/>
      <c r="M464" s="2"/>
      <c r="N464" s="2"/>
      <c r="O464" s="2">
        <v>53495985</v>
      </c>
      <c r="P464" s="2"/>
      <c r="Q464" s="2" t="s">
        <v>3238</v>
      </c>
      <c r="R464" s="2" t="s">
        <v>3239</v>
      </c>
      <c r="S464" s="2" t="s">
        <v>115</v>
      </c>
      <c r="T464" s="2" t="s">
        <v>758</v>
      </c>
      <c r="U464" s="2" t="s">
        <v>1477</v>
      </c>
      <c r="V464" s="2" t="s">
        <v>59</v>
      </c>
      <c r="W464" s="2">
        <v>41.6</v>
      </c>
      <c r="X464" s="2">
        <v>30.9</v>
      </c>
      <c r="Y464" s="2" t="s">
        <v>560</v>
      </c>
      <c r="Z464" s="2" t="s">
        <v>3240</v>
      </c>
      <c r="AA464" s="2">
        <v>-4.2475319741851401</v>
      </c>
      <c r="AB464" s="2">
        <v>1.2996062089701601</v>
      </c>
      <c r="AC464" s="2">
        <v>229815.202653638</v>
      </c>
      <c r="AD464" s="2">
        <v>344184.39305294299</v>
      </c>
      <c r="AE464" s="2">
        <v>235021.34775184101</v>
      </c>
      <c r="AF464" s="2">
        <v>221116.19174511099</v>
      </c>
      <c r="AG464" s="2">
        <v>241413.334234182</v>
      </c>
      <c r="AH464" s="2">
        <v>212436.01013426</v>
      </c>
      <c r="AI464" s="2">
        <v>223581.101392824</v>
      </c>
      <c r="AJ464" s="2">
        <v>245323.23066361301</v>
      </c>
      <c r="AK464" s="2">
        <v>321154.27299542102</v>
      </c>
      <c r="AL464" s="2">
        <v>374886.68586690701</v>
      </c>
      <c r="AM464" s="2">
        <v>348501.87800243503</v>
      </c>
      <c r="AN464" s="2">
        <v>345153.12701636303</v>
      </c>
      <c r="AO464" s="2">
        <v>340547.77127340902</v>
      </c>
      <c r="AP464" s="2">
        <v>334862.62316312402</v>
      </c>
    </row>
    <row r="465" spans="1:42" ht="14.5" x14ac:dyDescent="0.35">
      <c r="A465" s="2" t="s">
        <v>3241</v>
      </c>
      <c r="B465" s="2">
        <v>329.12058209143999</v>
      </c>
      <c r="C465" s="2">
        <v>3.7704833333333299</v>
      </c>
      <c r="D465" s="2" t="s">
        <v>34</v>
      </c>
      <c r="E465" s="2" t="s">
        <v>3242</v>
      </c>
      <c r="F465" s="2">
        <v>198732</v>
      </c>
      <c r="G465" s="3" t="str">
        <f>HYPERLINK("http://funmeta.oebiotech.com/network/198732", "http://funmeta.oebiotech.com/network/198732")</f>
        <v>http://funmeta.oebiotech.com/network/198732</v>
      </c>
      <c r="H465" s="2" t="s">
        <v>3243</v>
      </c>
      <c r="I465" s="2"/>
      <c r="J465" s="2"/>
      <c r="K465" s="2"/>
      <c r="L465" s="2"/>
      <c r="M465" s="2"/>
      <c r="N465" s="2"/>
      <c r="O465" s="2"/>
      <c r="P465" s="2"/>
      <c r="Q465" s="2" t="s">
        <v>3244</v>
      </c>
      <c r="R465" s="2" t="s">
        <v>3245</v>
      </c>
      <c r="S465" s="2" t="s">
        <v>41</v>
      </c>
      <c r="T465" s="2" t="s">
        <v>41</v>
      </c>
      <c r="U465" s="2" t="s">
        <v>41</v>
      </c>
      <c r="V465" s="2" t="s">
        <v>59</v>
      </c>
      <c r="W465" s="2">
        <v>39.4</v>
      </c>
      <c r="X465" s="2">
        <v>6.86</v>
      </c>
      <c r="Y465" s="2" t="s">
        <v>568</v>
      </c>
      <c r="Z465" s="2" t="s">
        <v>3246</v>
      </c>
      <c r="AA465" s="2">
        <v>-4.7158071152238499</v>
      </c>
      <c r="AB465" s="2">
        <v>1.2986297133071401</v>
      </c>
      <c r="AC465" s="2">
        <v>596007.97981503396</v>
      </c>
      <c r="AD465" s="2">
        <v>711898.48272225098</v>
      </c>
      <c r="AE465" s="2">
        <v>574002.90407230204</v>
      </c>
      <c r="AF465" s="2">
        <v>602510.12653905596</v>
      </c>
      <c r="AG465" s="2">
        <v>623957.90840720094</v>
      </c>
      <c r="AH465" s="2">
        <v>557516.83866888401</v>
      </c>
      <c r="AI465" s="2">
        <v>611596.22993254103</v>
      </c>
      <c r="AJ465" s="2">
        <v>606463.87127021898</v>
      </c>
      <c r="AK465" s="2">
        <v>694958.71466481104</v>
      </c>
      <c r="AL465" s="2">
        <v>701284.72430760297</v>
      </c>
      <c r="AM465" s="2">
        <v>717094.00570747105</v>
      </c>
      <c r="AN465" s="2">
        <v>726341.06570798997</v>
      </c>
      <c r="AO465" s="2">
        <v>704441.91175052698</v>
      </c>
      <c r="AP465" s="2">
        <v>727270.474195107</v>
      </c>
    </row>
    <row r="466" spans="1:42" ht="14.5" x14ac:dyDescent="0.35">
      <c r="A466" s="2" t="s">
        <v>3247</v>
      </c>
      <c r="B466" s="2">
        <v>582.34206294014098</v>
      </c>
      <c r="C466" s="2">
        <v>7.7545166666666701</v>
      </c>
      <c r="D466" s="2" t="s">
        <v>34</v>
      </c>
      <c r="E466" s="2" t="s">
        <v>3248</v>
      </c>
      <c r="F466" s="2">
        <v>28048</v>
      </c>
      <c r="G466" s="3" t="str">
        <f>HYPERLINK("http://funmeta.oebiotech.com/network/28048", "http://funmeta.oebiotech.com/network/28048")</f>
        <v>http://funmeta.oebiotech.com/network/28048</v>
      </c>
      <c r="H466" s="2"/>
      <c r="I466" s="2"/>
      <c r="J466" s="2" t="s">
        <v>3249</v>
      </c>
      <c r="K466" s="2"/>
      <c r="L466" s="2"/>
      <c r="M466" s="2"/>
      <c r="N466" s="2"/>
      <c r="O466" s="2">
        <v>134812494</v>
      </c>
      <c r="P466" s="2"/>
      <c r="Q466" s="2" t="s">
        <v>3250</v>
      </c>
      <c r="R466" s="2" t="s">
        <v>3251</v>
      </c>
      <c r="S466" s="2" t="s">
        <v>50</v>
      </c>
      <c r="T466" s="2" t="s">
        <v>51</v>
      </c>
      <c r="U466" s="2" t="s">
        <v>273</v>
      </c>
      <c r="V466" s="2" t="s">
        <v>42</v>
      </c>
      <c r="W466" s="2">
        <v>48.1</v>
      </c>
      <c r="X466" s="2">
        <v>50</v>
      </c>
      <c r="Y466" s="2" t="s">
        <v>43</v>
      </c>
      <c r="Z466" s="2" t="s">
        <v>3252</v>
      </c>
      <c r="AA466" s="2">
        <v>3.37230506633147</v>
      </c>
      <c r="AB466" s="2">
        <v>1.2980662463638599</v>
      </c>
      <c r="AC466" s="2">
        <v>594129.56830062496</v>
      </c>
      <c r="AD466" s="2">
        <v>714483.61635867995</v>
      </c>
      <c r="AE466" s="2">
        <v>573680.76096677501</v>
      </c>
      <c r="AF466" s="2">
        <v>631091.209932192</v>
      </c>
      <c r="AG466" s="2">
        <v>610828.31631523499</v>
      </c>
      <c r="AH466" s="2">
        <v>553356.12362199603</v>
      </c>
      <c r="AI466" s="2">
        <v>596694.86423599999</v>
      </c>
      <c r="AJ466" s="2">
        <v>599126.13473155303</v>
      </c>
      <c r="AK466" s="2">
        <v>683450.64807817398</v>
      </c>
      <c r="AL466" s="2">
        <v>759638.93589518801</v>
      </c>
      <c r="AM466" s="2">
        <v>688842.31202789198</v>
      </c>
      <c r="AN466" s="2">
        <v>717974.94056873105</v>
      </c>
      <c r="AO466" s="2">
        <v>706785.99885769002</v>
      </c>
      <c r="AP466" s="2">
        <v>730208.86272440304</v>
      </c>
    </row>
    <row r="467" spans="1:42" ht="14.5" x14ac:dyDescent="0.35">
      <c r="A467" s="2" t="s">
        <v>3253</v>
      </c>
      <c r="B467" s="2">
        <v>421.16790806904999</v>
      </c>
      <c r="C467" s="2">
        <v>3.7521499999999999</v>
      </c>
      <c r="D467" s="2" t="s">
        <v>34</v>
      </c>
      <c r="E467" s="2" t="s">
        <v>3254</v>
      </c>
      <c r="F467" s="2">
        <v>29382</v>
      </c>
      <c r="G467" s="3" t="str">
        <f>HYPERLINK("http://funmeta.oebiotech.com/network/29382", "http://funmeta.oebiotech.com/network/29382")</f>
        <v>http://funmeta.oebiotech.com/network/29382</v>
      </c>
      <c r="H467" s="2" t="s">
        <v>3255</v>
      </c>
      <c r="I467" s="2">
        <v>44075</v>
      </c>
      <c r="J467" s="2" t="s">
        <v>3256</v>
      </c>
      <c r="K467" s="2"/>
      <c r="L467" s="2" t="s">
        <v>3257</v>
      </c>
      <c r="M467" s="2"/>
      <c r="N467" s="2"/>
      <c r="O467" s="2">
        <v>4871</v>
      </c>
      <c r="P467" s="2" t="s">
        <v>3258</v>
      </c>
      <c r="Q467" s="2" t="s">
        <v>3259</v>
      </c>
      <c r="R467" s="2" t="s">
        <v>3260</v>
      </c>
      <c r="S467" s="2" t="s">
        <v>115</v>
      </c>
      <c r="T467" s="2" t="s">
        <v>1371</v>
      </c>
      <c r="U467" s="2" t="s">
        <v>3261</v>
      </c>
      <c r="V467" s="2" t="s">
        <v>59</v>
      </c>
      <c r="W467" s="2">
        <v>40.299999999999997</v>
      </c>
      <c r="X467" s="2">
        <v>20.100000000000001</v>
      </c>
      <c r="Y467" s="2" t="s">
        <v>394</v>
      </c>
      <c r="Z467" s="2" t="s">
        <v>3262</v>
      </c>
      <c r="AA467" s="2">
        <v>7.9569011447913001</v>
      </c>
      <c r="AB467" s="2">
        <v>1.29396834697225</v>
      </c>
      <c r="AC467" s="2">
        <v>209543.47823844801</v>
      </c>
      <c r="AD467" s="2">
        <v>320188.180256397</v>
      </c>
      <c r="AE467" s="2">
        <v>206339.42409874301</v>
      </c>
      <c r="AF467" s="2">
        <v>203779.383009096</v>
      </c>
      <c r="AG467" s="2">
        <v>213562.814791532</v>
      </c>
      <c r="AH467" s="2">
        <v>205286.691742686</v>
      </c>
      <c r="AI467" s="2">
        <v>210776.996119833</v>
      </c>
      <c r="AJ467" s="2">
        <v>217515.55966879599</v>
      </c>
      <c r="AK467" s="2">
        <v>316581.844640397</v>
      </c>
      <c r="AL467" s="2">
        <v>308232.00816518802</v>
      </c>
      <c r="AM467" s="2">
        <v>320509.13081517501</v>
      </c>
      <c r="AN467" s="2">
        <v>338231.71612683102</v>
      </c>
      <c r="AO467" s="2">
        <v>317433.75717532</v>
      </c>
      <c r="AP467" s="2">
        <v>320140.62461547297</v>
      </c>
    </row>
    <row r="468" spans="1:42" ht="14.5" x14ac:dyDescent="0.35">
      <c r="A468" s="2" t="s">
        <v>3263</v>
      </c>
      <c r="B468" s="2">
        <v>261.05792616136199</v>
      </c>
      <c r="C468" s="2">
        <v>0.811483333333333</v>
      </c>
      <c r="D468" s="2" t="s">
        <v>34</v>
      </c>
      <c r="E468" s="2" t="s">
        <v>3264</v>
      </c>
      <c r="F468" s="2">
        <v>205487</v>
      </c>
      <c r="G468" s="3" t="str">
        <f>HYPERLINK("http://funmeta.oebiotech.com/network/205487", "http://funmeta.oebiotech.com/network/205487")</f>
        <v>http://funmeta.oebiotech.com/network/205487</v>
      </c>
      <c r="H468" s="2" t="s">
        <v>3265</v>
      </c>
      <c r="I468" s="2"/>
      <c r="J468" s="2"/>
      <c r="K468" s="2"/>
      <c r="L468" s="2"/>
      <c r="M468" s="2"/>
      <c r="N468" s="2"/>
      <c r="O468" s="2">
        <v>4636210</v>
      </c>
      <c r="P468" s="2"/>
      <c r="Q468" s="2" t="s">
        <v>3266</v>
      </c>
      <c r="R468" s="2" t="s">
        <v>3267</v>
      </c>
      <c r="S468" s="2" t="s">
        <v>79</v>
      </c>
      <c r="T468" s="2" t="s">
        <v>80</v>
      </c>
      <c r="U468" s="2" t="s">
        <v>81</v>
      </c>
      <c r="V468" s="2" t="s">
        <v>42</v>
      </c>
      <c r="W468" s="2">
        <v>54.2</v>
      </c>
      <c r="X468" s="2">
        <v>73.400000000000006</v>
      </c>
      <c r="Y468" s="2" t="s">
        <v>323</v>
      </c>
      <c r="Z468" s="2" t="s">
        <v>3268</v>
      </c>
      <c r="AA468" s="2">
        <v>-0.68015654491997302</v>
      </c>
      <c r="AB468" s="2">
        <v>1.2910872631366701</v>
      </c>
      <c r="AC468" s="2">
        <v>1140822.1212408701</v>
      </c>
      <c r="AD468" s="2">
        <v>1264574.4872807399</v>
      </c>
      <c r="AE468" s="2">
        <v>1107327.7405672299</v>
      </c>
      <c r="AF468" s="2">
        <v>1113234.5186258701</v>
      </c>
      <c r="AG468" s="2">
        <v>1133204.21420614</v>
      </c>
      <c r="AH468" s="2">
        <v>1138112.48574026</v>
      </c>
      <c r="AI468" s="2">
        <v>1171362.9354457599</v>
      </c>
      <c r="AJ468" s="2">
        <v>1181690.8328599499</v>
      </c>
      <c r="AK468" s="2">
        <v>1204606.10356422</v>
      </c>
      <c r="AL468" s="2">
        <v>1239461.4758765099</v>
      </c>
      <c r="AM468" s="2">
        <v>1275525.14862409</v>
      </c>
      <c r="AN468" s="2">
        <v>1265554.58327135</v>
      </c>
      <c r="AO468" s="2">
        <v>1269386.8607747799</v>
      </c>
      <c r="AP468" s="2">
        <v>1332912.75157347</v>
      </c>
    </row>
    <row r="469" spans="1:42" ht="14.5" x14ac:dyDescent="0.35">
      <c r="A469" s="2" t="s">
        <v>3269</v>
      </c>
      <c r="B469" s="2">
        <v>313.23827642449697</v>
      </c>
      <c r="C469" s="2">
        <v>9.6761166666666707</v>
      </c>
      <c r="D469" s="2" t="s">
        <v>70</v>
      </c>
      <c r="E469" s="2" t="s">
        <v>3270</v>
      </c>
      <c r="F469" s="2">
        <v>2963</v>
      </c>
      <c r="G469" s="3" t="str">
        <f>HYPERLINK("http://funmeta.oebiotech.com/network/2963", "http://funmeta.oebiotech.com/network/2963")</f>
        <v>http://funmeta.oebiotech.com/network/2963</v>
      </c>
      <c r="H469" s="2" t="s">
        <v>3271</v>
      </c>
      <c r="I469" s="2">
        <v>36010</v>
      </c>
      <c r="J469" s="2" t="s">
        <v>3272</v>
      </c>
      <c r="K469" s="2">
        <v>138258</v>
      </c>
      <c r="L469" s="2" t="s">
        <v>3273</v>
      </c>
      <c r="M469" s="2" t="s">
        <v>3274</v>
      </c>
      <c r="N469" s="2" t="s">
        <v>3275</v>
      </c>
      <c r="O469" s="2">
        <v>16061045</v>
      </c>
      <c r="P469" s="2" t="s">
        <v>3276</v>
      </c>
      <c r="Q469" s="2" t="s">
        <v>3277</v>
      </c>
      <c r="R469" s="2" t="s">
        <v>3278</v>
      </c>
      <c r="S469" s="2" t="s">
        <v>50</v>
      </c>
      <c r="T469" s="2" t="s">
        <v>229</v>
      </c>
      <c r="U469" s="2" t="s">
        <v>433</v>
      </c>
      <c r="V469" s="2" t="s">
        <v>42</v>
      </c>
      <c r="W469" s="2">
        <v>49.6</v>
      </c>
      <c r="X469" s="2">
        <v>52.7</v>
      </c>
      <c r="Y469" s="2" t="s">
        <v>118</v>
      </c>
      <c r="Z469" s="2" t="s">
        <v>2693</v>
      </c>
      <c r="AA469" s="2">
        <v>-0.49869296117588902</v>
      </c>
      <c r="AB469" s="2">
        <v>1.28463400756165</v>
      </c>
      <c r="AC469" s="2">
        <v>51743.493735416501</v>
      </c>
      <c r="AD469" s="2">
        <v>160379.18959483501</v>
      </c>
      <c r="AE469" s="2">
        <v>51428.508685197201</v>
      </c>
      <c r="AF469" s="2">
        <v>52589.217194720099</v>
      </c>
      <c r="AG469" s="2">
        <v>50201.174206297299</v>
      </c>
      <c r="AH469" s="2">
        <v>57287.794915361199</v>
      </c>
      <c r="AI469" s="2">
        <v>50421.1827732862</v>
      </c>
      <c r="AJ469" s="2">
        <v>48533.084637636697</v>
      </c>
      <c r="AK469" s="2">
        <v>162405.090341059</v>
      </c>
      <c r="AL469" s="2">
        <v>160599.612024831</v>
      </c>
      <c r="AM469" s="2">
        <v>165800.89829923699</v>
      </c>
      <c r="AN469" s="2">
        <v>161654.32666369801</v>
      </c>
      <c r="AO469" s="2">
        <v>163689.17751144199</v>
      </c>
      <c r="AP469" s="2">
        <v>148126.03272874199</v>
      </c>
    </row>
    <row r="470" spans="1:42" ht="14.5" x14ac:dyDescent="0.35">
      <c r="A470" s="2" t="s">
        <v>3279</v>
      </c>
      <c r="B470" s="2">
        <v>753.13141226306595</v>
      </c>
      <c r="C470" s="2">
        <v>1.79495</v>
      </c>
      <c r="D470" s="2" t="s">
        <v>34</v>
      </c>
      <c r="E470" s="2" t="s">
        <v>3280</v>
      </c>
      <c r="F470" s="2">
        <v>32023</v>
      </c>
      <c r="G470" s="3" t="str">
        <f>HYPERLINK("http://funmeta.oebiotech.com/network/32023", "http://funmeta.oebiotech.com/network/32023")</f>
        <v>http://funmeta.oebiotech.com/network/32023</v>
      </c>
      <c r="H470" s="2"/>
      <c r="I470" s="2"/>
      <c r="J470" s="2" t="s">
        <v>3281</v>
      </c>
      <c r="K470" s="2"/>
      <c r="L470" s="2"/>
      <c r="M470" s="2"/>
      <c r="N470" s="2"/>
      <c r="O470" s="2">
        <v>101936037</v>
      </c>
      <c r="P470" s="2"/>
      <c r="Q470" s="2" t="s">
        <v>3282</v>
      </c>
      <c r="R470" s="2" t="s">
        <v>3283</v>
      </c>
      <c r="S470" s="2" t="s">
        <v>115</v>
      </c>
      <c r="T470" s="2" t="s">
        <v>139</v>
      </c>
      <c r="U470" s="2" t="s">
        <v>140</v>
      </c>
      <c r="V470" s="2" t="s">
        <v>59</v>
      </c>
      <c r="W470" s="2">
        <v>46.1</v>
      </c>
      <c r="X470" s="2">
        <v>39.200000000000003</v>
      </c>
      <c r="Y470" s="2" t="s">
        <v>394</v>
      </c>
      <c r="Z470" s="2" t="s">
        <v>3284</v>
      </c>
      <c r="AA470" s="2">
        <v>2.2033133081298502</v>
      </c>
      <c r="AB470" s="2">
        <v>1.27843177505978</v>
      </c>
      <c r="AC470" s="2">
        <v>216182.69712943799</v>
      </c>
      <c r="AD470" s="2">
        <v>326001.614438174</v>
      </c>
      <c r="AE470" s="2">
        <v>223027.89862703401</v>
      </c>
      <c r="AF470" s="2">
        <v>223051.47110955699</v>
      </c>
      <c r="AG470" s="2">
        <v>221659.52661508601</v>
      </c>
      <c r="AH470" s="2">
        <v>187942.51134333501</v>
      </c>
      <c r="AI470" s="2">
        <v>207123.14694053301</v>
      </c>
      <c r="AJ470" s="2">
        <v>234291.62814108399</v>
      </c>
      <c r="AK470" s="2">
        <v>323715.36590842099</v>
      </c>
      <c r="AL470" s="2">
        <v>324504.84588093997</v>
      </c>
      <c r="AM470" s="2">
        <v>325991.02848575398</v>
      </c>
      <c r="AN470" s="2">
        <v>342132.03908259497</v>
      </c>
      <c r="AO470" s="2">
        <v>322491.91225502797</v>
      </c>
      <c r="AP470" s="2">
        <v>317174.49501630501</v>
      </c>
    </row>
    <row r="471" spans="1:42" ht="14.5" x14ac:dyDescent="0.35">
      <c r="A471" s="2" t="s">
        <v>3285</v>
      </c>
      <c r="B471" s="2">
        <v>510.32114631239199</v>
      </c>
      <c r="C471" s="2">
        <v>6.0772000000000004</v>
      </c>
      <c r="D471" s="2" t="s">
        <v>34</v>
      </c>
      <c r="E471" s="2" t="s">
        <v>3286</v>
      </c>
      <c r="F471" s="2">
        <v>198157</v>
      </c>
      <c r="G471" s="3" t="str">
        <f>HYPERLINK("http://funmeta.oebiotech.com/network/198157", "http://funmeta.oebiotech.com/network/198157")</f>
        <v>http://funmeta.oebiotech.com/network/198157</v>
      </c>
      <c r="H471" s="2" t="s">
        <v>3287</v>
      </c>
      <c r="I471" s="2"/>
      <c r="J471" s="2"/>
      <c r="K471" s="2"/>
      <c r="L471" s="2"/>
      <c r="M471" s="2"/>
      <c r="N471" s="2"/>
      <c r="O471" s="2"/>
      <c r="P471" s="2"/>
      <c r="Q471" s="2" t="s">
        <v>3288</v>
      </c>
      <c r="R471" s="2" t="s">
        <v>3289</v>
      </c>
      <c r="S471" s="2" t="s">
        <v>41</v>
      </c>
      <c r="T471" s="2" t="s">
        <v>41</v>
      </c>
      <c r="U471" s="2" t="s">
        <v>41</v>
      </c>
      <c r="V471" s="2" t="s">
        <v>59</v>
      </c>
      <c r="W471" s="2">
        <v>38.799999999999997</v>
      </c>
      <c r="X471" s="2">
        <v>3.17</v>
      </c>
      <c r="Y471" s="2" t="s">
        <v>323</v>
      </c>
      <c r="Z471" s="2" t="s">
        <v>3290</v>
      </c>
      <c r="AA471" s="2">
        <v>4.4160787188415798</v>
      </c>
      <c r="AB471" s="2">
        <v>1.27777850538187</v>
      </c>
      <c r="AC471" s="2">
        <v>508061.18361859402</v>
      </c>
      <c r="AD471" s="2">
        <v>617331.54585170699</v>
      </c>
      <c r="AE471" s="2">
        <v>517198.50442634401</v>
      </c>
      <c r="AF471" s="2">
        <v>515148.17130407202</v>
      </c>
      <c r="AG471" s="2">
        <v>495717.46922320098</v>
      </c>
      <c r="AH471" s="2">
        <v>514368.87759686599</v>
      </c>
      <c r="AI471" s="2">
        <v>509182.87220066402</v>
      </c>
      <c r="AJ471" s="2">
        <v>496751.206960415</v>
      </c>
      <c r="AK471" s="2">
        <v>601660.73232704296</v>
      </c>
      <c r="AL471" s="2">
        <v>619589.60506566602</v>
      </c>
      <c r="AM471" s="2">
        <v>619379.06675438804</v>
      </c>
      <c r="AN471" s="2">
        <v>615247.67658627604</v>
      </c>
      <c r="AO471" s="2">
        <v>606263.36033867102</v>
      </c>
      <c r="AP471" s="2">
        <v>641848.83403819497</v>
      </c>
    </row>
    <row r="472" spans="1:42" ht="14.5" x14ac:dyDescent="0.35">
      <c r="A472" s="2" t="s">
        <v>3291</v>
      </c>
      <c r="B472" s="2">
        <v>433.221839107037</v>
      </c>
      <c r="C472" s="2">
        <v>5.9177666666666697</v>
      </c>
      <c r="D472" s="2" t="s">
        <v>34</v>
      </c>
      <c r="E472" s="2" t="s">
        <v>3292</v>
      </c>
      <c r="F472" s="2">
        <v>205242</v>
      </c>
      <c r="G472" s="3" t="str">
        <f>HYPERLINK("http://funmeta.oebiotech.com/network/205242", "http://funmeta.oebiotech.com/network/205242")</f>
        <v>http://funmeta.oebiotech.com/network/205242</v>
      </c>
      <c r="H472" s="2" t="s">
        <v>3293</v>
      </c>
      <c r="I472" s="2"/>
      <c r="J472" s="2"/>
      <c r="K472" s="2"/>
      <c r="L472" s="2"/>
      <c r="M472" s="2"/>
      <c r="N472" s="2"/>
      <c r="O472" s="2">
        <v>76544800</v>
      </c>
      <c r="P472" s="2"/>
      <c r="Q472" s="2" t="s">
        <v>3294</v>
      </c>
      <c r="R472" s="2" t="s">
        <v>3295</v>
      </c>
      <c r="S472" s="2" t="s">
        <v>41</v>
      </c>
      <c r="T472" s="2" t="s">
        <v>41</v>
      </c>
      <c r="U472" s="2" t="s">
        <v>41</v>
      </c>
      <c r="V472" s="2" t="s">
        <v>42</v>
      </c>
      <c r="W472" s="2">
        <v>54</v>
      </c>
      <c r="X472" s="2">
        <v>79.400000000000006</v>
      </c>
      <c r="Y472" s="2" t="s">
        <v>266</v>
      </c>
      <c r="Z472" s="2" t="s">
        <v>3296</v>
      </c>
      <c r="AA472" s="2">
        <v>-0.53459853692574</v>
      </c>
      <c r="AB472" s="2">
        <v>1.2757583507393799</v>
      </c>
      <c r="AC472" s="2">
        <v>215105.383521829</v>
      </c>
      <c r="AD472" s="2">
        <v>107451.538525939</v>
      </c>
      <c r="AE472" s="2">
        <v>212049.51071655899</v>
      </c>
      <c r="AF472" s="2">
        <v>210360.90714293401</v>
      </c>
      <c r="AG472" s="2">
        <v>206071.57936242601</v>
      </c>
      <c r="AH472" s="2">
        <v>219331.54442929599</v>
      </c>
      <c r="AI472" s="2">
        <v>211982.324189017</v>
      </c>
      <c r="AJ472" s="2">
        <v>230836.435290742</v>
      </c>
      <c r="AK472" s="2">
        <v>102130.40028228299</v>
      </c>
      <c r="AL472" s="2">
        <v>115390.952095684</v>
      </c>
      <c r="AM472" s="2">
        <v>114078.10074605601</v>
      </c>
      <c r="AN472" s="2">
        <v>101069.267460897</v>
      </c>
      <c r="AO472" s="2">
        <v>107124.841426245</v>
      </c>
      <c r="AP472" s="2">
        <v>104915.669144467</v>
      </c>
    </row>
    <row r="473" spans="1:42" ht="14.5" x14ac:dyDescent="0.35">
      <c r="A473" s="2" t="s">
        <v>3297</v>
      </c>
      <c r="B473" s="2">
        <v>315.10838280712898</v>
      </c>
      <c r="C473" s="2">
        <v>4.2405333333333299</v>
      </c>
      <c r="D473" s="2" t="s">
        <v>70</v>
      </c>
      <c r="E473" s="2" t="s">
        <v>3298</v>
      </c>
      <c r="F473" s="2">
        <v>199136</v>
      </c>
      <c r="G473" s="3" t="str">
        <f>HYPERLINK("http://funmeta.oebiotech.com/network/199136", "http://funmeta.oebiotech.com/network/199136")</f>
        <v>http://funmeta.oebiotech.com/network/199136</v>
      </c>
      <c r="H473" s="2" t="s">
        <v>3299</v>
      </c>
      <c r="I473" s="2"/>
      <c r="J473" s="2"/>
      <c r="K473" s="2"/>
      <c r="L473" s="2"/>
      <c r="M473" s="2"/>
      <c r="N473" s="2"/>
      <c r="O473" s="2">
        <v>4984739</v>
      </c>
      <c r="P473" s="2"/>
      <c r="Q473" s="2" t="s">
        <v>3300</v>
      </c>
      <c r="R473" s="2" t="s">
        <v>3301</v>
      </c>
      <c r="S473" s="2" t="s">
        <v>79</v>
      </c>
      <c r="T473" s="2" t="s">
        <v>80</v>
      </c>
      <c r="U473" s="2" t="s">
        <v>81</v>
      </c>
      <c r="V473" s="2" t="s">
        <v>59</v>
      </c>
      <c r="W473" s="2">
        <v>46.2</v>
      </c>
      <c r="X473" s="2">
        <v>33</v>
      </c>
      <c r="Y473" s="2" t="s">
        <v>408</v>
      </c>
      <c r="Z473" s="2" t="s">
        <v>3302</v>
      </c>
      <c r="AA473" s="2">
        <v>-0.58626964030631901</v>
      </c>
      <c r="AB473" s="2">
        <v>1.26711372933346</v>
      </c>
      <c r="AC473" s="2">
        <v>232772.04598716</v>
      </c>
      <c r="AD473" s="2">
        <v>339191.71143056598</v>
      </c>
      <c r="AE473" s="2">
        <v>242462.690493275</v>
      </c>
      <c r="AF473" s="2">
        <v>223083.265405226</v>
      </c>
      <c r="AG473" s="2">
        <v>231203.75254405799</v>
      </c>
      <c r="AH473" s="2">
        <v>236892.22295277301</v>
      </c>
      <c r="AI473" s="2">
        <v>232590.84020518101</v>
      </c>
      <c r="AJ473" s="2">
        <v>230399.504322444</v>
      </c>
      <c r="AK473" s="2">
        <v>333194.94846030499</v>
      </c>
      <c r="AL473" s="2">
        <v>347652.11027725699</v>
      </c>
      <c r="AM473" s="2">
        <v>350781.74268718099</v>
      </c>
      <c r="AN473" s="2">
        <v>331538.58882379398</v>
      </c>
      <c r="AO473" s="2">
        <v>327802.72406078398</v>
      </c>
      <c r="AP473" s="2">
        <v>344180.15427407401</v>
      </c>
    </row>
    <row r="474" spans="1:42" ht="14.5" x14ac:dyDescent="0.35">
      <c r="A474" s="2" t="s">
        <v>3303</v>
      </c>
      <c r="B474" s="2">
        <v>523.32717015490698</v>
      </c>
      <c r="C474" s="2">
        <v>6.95231666666667</v>
      </c>
      <c r="D474" s="2" t="s">
        <v>70</v>
      </c>
      <c r="E474" s="2" t="s">
        <v>3304</v>
      </c>
      <c r="F474" s="2">
        <v>58190</v>
      </c>
      <c r="G474" s="3" t="str">
        <f>HYPERLINK("http://funmeta.oebiotech.com/network/58190", "http://funmeta.oebiotech.com/network/58190")</f>
        <v>http://funmeta.oebiotech.com/network/58190</v>
      </c>
      <c r="H474" s="2" t="s">
        <v>3305</v>
      </c>
      <c r="I474" s="2"/>
      <c r="J474" s="2"/>
      <c r="K474" s="2"/>
      <c r="L474" s="2"/>
      <c r="M474" s="2"/>
      <c r="N474" s="2"/>
      <c r="O474" s="2"/>
      <c r="P474" s="2" t="s">
        <v>3306</v>
      </c>
      <c r="Q474" s="2" t="s">
        <v>3307</v>
      </c>
      <c r="R474" s="2" t="s">
        <v>3308</v>
      </c>
      <c r="S474" s="2" t="s">
        <v>50</v>
      </c>
      <c r="T474" s="2" t="s">
        <v>124</v>
      </c>
      <c r="U474" s="2" t="s">
        <v>567</v>
      </c>
      <c r="V474" s="2" t="s">
        <v>59</v>
      </c>
      <c r="W474" s="2">
        <v>42.1</v>
      </c>
      <c r="X474" s="2">
        <v>16.8</v>
      </c>
      <c r="Y474" s="2" t="s">
        <v>408</v>
      </c>
      <c r="Z474" s="2" t="s">
        <v>2490</v>
      </c>
      <c r="AA474" s="2">
        <v>-0.98657459669103897</v>
      </c>
      <c r="AB474" s="2">
        <v>1.2655463367612401</v>
      </c>
      <c r="AC474" s="2">
        <v>413652.81648069801</v>
      </c>
      <c r="AD474" s="2">
        <v>521792.99736257002</v>
      </c>
      <c r="AE474" s="2">
        <v>407171.66109078302</v>
      </c>
      <c r="AF474" s="2">
        <v>407431.257914396</v>
      </c>
      <c r="AG474" s="2">
        <v>420721.65210749803</v>
      </c>
      <c r="AH474" s="2">
        <v>421229.82376902801</v>
      </c>
      <c r="AI474" s="2">
        <v>416505.19561208499</v>
      </c>
      <c r="AJ474" s="2">
        <v>408857.30839040002</v>
      </c>
      <c r="AK474" s="2">
        <v>490749.975629672</v>
      </c>
      <c r="AL474" s="2">
        <v>537239.41798582696</v>
      </c>
      <c r="AM474" s="2">
        <v>524280.08912798902</v>
      </c>
      <c r="AN474" s="2">
        <v>547095.04120412702</v>
      </c>
      <c r="AO474" s="2">
        <v>519786.16013108101</v>
      </c>
      <c r="AP474" s="2">
        <v>511607.30009672203</v>
      </c>
    </row>
    <row r="475" spans="1:42" ht="14.5" x14ac:dyDescent="0.35">
      <c r="A475" s="2" t="s">
        <v>3309</v>
      </c>
      <c r="B475" s="2">
        <v>402.10346939947999</v>
      </c>
      <c r="C475" s="2">
        <v>3.8975</v>
      </c>
      <c r="D475" s="2" t="s">
        <v>70</v>
      </c>
      <c r="E475" s="2" t="s">
        <v>3310</v>
      </c>
      <c r="F475" s="2">
        <v>61088</v>
      </c>
      <c r="G475" s="3" t="str">
        <f>HYPERLINK("http://funmeta.oebiotech.com/network/61088", "http://funmeta.oebiotech.com/network/61088")</f>
        <v>http://funmeta.oebiotech.com/network/61088</v>
      </c>
      <c r="H475" s="2" t="s">
        <v>3311</v>
      </c>
      <c r="I475" s="2">
        <v>92407</v>
      </c>
      <c r="J475" s="2"/>
      <c r="K475" s="2">
        <v>169624</v>
      </c>
      <c r="L475" s="2"/>
      <c r="M475" s="2"/>
      <c r="N475" s="2"/>
      <c r="O475" s="2">
        <v>77195081</v>
      </c>
      <c r="P475" s="2" t="s">
        <v>3312</v>
      </c>
      <c r="Q475" s="2" t="s">
        <v>3313</v>
      </c>
      <c r="R475" s="2" t="s">
        <v>3314</v>
      </c>
      <c r="S475" s="2" t="s">
        <v>79</v>
      </c>
      <c r="T475" s="2" t="s">
        <v>80</v>
      </c>
      <c r="U475" s="2" t="s">
        <v>81</v>
      </c>
      <c r="V475" s="2" t="s">
        <v>59</v>
      </c>
      <c r="W475" s="2">
        <v>44.8</v>
      </c>
      <c r="X475" s="2">
        <v>30</v>
      </c>
      <c r="Y475" s="2" t="s">
        <v>118</v>
      </c>
      <c r="Z475" s="2" t="s">
        <v>3315</v>
      </c>
      <c r="AA475" s="2">
        <v>-1.7728643813971201</v>
      </c>
      <c r="AB475" s="2">
        <v>1.2642179725034901</v>
      </c>
      <c r="AC475" s="2">
        <v>315621.00440090202</v>
      </c>
      <c r="AD475" s="2">
        <v>208382.256062392</v>
      </c>
      <c r="AE475" s="2">
        <v>317976.43424374302</v>
      </c>
      <c r="AF475" s="2">
        <v>296376.23849133099</v>
      </c>
      <c r="AG475" s="2">
        <v>326153.99654138001</v>
      </c>
      <c r="AH475" s="2">
        <v>303517.06806206203</v>
      </c>
      <c r="AI475" s="2">
        <v>330524.80382690602</v>
      </c>
      <c r="AJ475" s="2">
        <v>319177.48523999</v>
      </c>
      <c r="AK475" s="2">
        <v>208250.39239375899</v>
      </c>
      <c r="AL475" s="2">
        <v>225941.860154558</v>
      </c>
      <c r="AM475" s="2">
        <v>215469.22157754199</v>
      </c>
      <c r="AN475" s="2">
        <v>202206.536913788</v>
      </c>
      <c r="AO475" s="2">
        <v>192860.33676953099</v>
      </c>
      <c r="AP475" s="2">
        <v>205565.188565177</v>
      </c>
    </row>
    <row r="476" spans="1:42" ht="14.5" x14ac:dyDescent="0.35">
      <c r="A476" s="2" t="s">
        <v>3316</v>
      </c>
      <c r="B476" s="2">
        <v>626.36704902892996</v>
      </c>
      <c r="C476" s="2">
        <v>6.7985833333333296</v>
      </c>
      <c r="D476" s="2" t="s">
        <v>34</v>
      </c>
      <c r="E476" s="2" t="s">
        <v>3317</v>
      </c>
      <c r="F476" s="2">
        <v>28116</v>
      </c>
      <c r="G476" s="3" t="str">
        <f>HYPERLINK("http://funmeta.oebiotech.com/network/28116", "http://funmeta.oebiotech.com/network/28116")</f>
        <v>http://funmeta.oebiotech.com/network/28116</v>
      </c>
      <c r="H476" s="2"/>
      <c r="I476" s="2"/>
      <c r="J476" s="2" t="s">
        <v>3318</v>
      </c>
      <c r="K476" s="2"/>
      <c r="L476" s="2"/>
      <c r="M476" s="2"/>
      <c r="N476" s="2"/>
      <c r="O476" s="2"/>
      <c r="P476" s="2"/>
      <c r="Q476" s="2" t="s">
        <v>3319</v>
      </c>
      <c r="R476" s="2" t="s">
        <v>3320</v>
      </c>
      <c r="S476" s="2" t="s">
        <v>79</v>
      </c>
      <c r="T476" s="2" t="s">
        <v>80</v>
      </c>
      <c r="U476" s="2" t="s">
        <v>81</v>
      </c>
      <c r="V476" s="2" t="s">
        <v>59</v>
      </c>
      <c r="W476" s="2">
        <v>43.4</v>
      </c>
      <c r="X476" s="2">
        <v>27.7</v>
      </c>
      <c r="Y476" s="2" t="s">
        <v>141</v>
      </c>
      <c r="Z476" s="2" t="s">
        <v>3321</v>
      </c>
      <c r="AA476" s="2">
        <v>1.0481522342549501</v>
      </c>
      <c r="AB476" s="2">
        <v>1.26249088681971</v>
      </c>
      <c r="AC476" s="2">
        <v>34618.904111391799</v>
      </c>
      <c r="AD476" s="2">
        <v>140688.546223123</v>
      </c>
      <c r="AE476" s="2">
        <v>29791.530528583298</v>
      </c>
      <c r="AF476" s="2">
        <v>31831.193781316299</v>
      </c>
      <c r="AG476" s="2">
        <v>33910.1256449102</v>
      </c>
      <c r="AH476" s="2">
        <v>37595.793347864303</v>
      </c>
      <c r="AI476" s="2">
        <v>40095.893844276601</v>
      </c>
      <c r="AJ476" s="2">
        <v>34488.8875214</v>
      </c>
      <c r="AK476" s="2">
        <v>113489.93535647199</v>
      </c>
      <c r="AL476" s="2">
        <v>143909.984105109</v>
      </c>
      <c r="AM476" s="2">
        <v>139887.688249459</v>
      </c>
      <c r="AN476" s="2">
        <v>155421.206350483</v>
      </c>
      <c r="AO476" s="2">
        <v>146704.57496728699</v>
      </c>
      <c r="AP476" s="2">
        <v>144717.888309931</v>
      </c>
    </row>
    <row r="477" spans="1:42" ht="14.5" x14ac:dyDescent="0.35">
      <c r="A477" s="2" t="s">
        <v>3322</v>
      </c>
      <c r="B477" s="2">
        <v>367.10220454812401</v>
      </c>
      <c r="C477" s="2">
        <v>5.13601666666667</v>
      </c>
      <c r="D477" s="2" t="s">
        <v>34</v>
      </c>
      <c r="E477" s="2" t="s">
        <v>3323</v>
      </c>
      <c r="F477" s="2">
        <v>210688</v>
      </c>
      <c r="G477" s="3" t="str">
        <f>HYPERLINK("http://funmeta.oebiotech.com/network/210688", "http://funmeta.oebiotech.com/network/210688")</f>
        <v>http://funmeta.oebiotech.com/network/210688</v>
      </c>
      <c r="H477" s="2" t="s">
        <v>3324</v>
      </c>
      <c r="I477" s="2"/>
      <c r="J477" s="2"/>
      <c r="K477" s="2"/>
      <c r="L477" s="2"/>
      <c r="M477" s="2"/>
      <c r="N477" s="2"/>
      <c r="O477" s="2">
        <v>72988816</v>
      </c>
      <c r="P477" s="2"/>
      <c r="Q477" s="2" t="s">
        <v>3325</v>
      </c>
      <c r="R477" s="2" t="s">
        <v>3326</v>
      </c>
      <c r="S477" s="2" t="s">
        <v>79</v>
      </c>
      <c r="T477" s="2" t="s">
        <v>80</v>
      </c>
      <c r="U477" s="2" t="s">
        <v>81</v>
      </c>
      <c r="V477" s="2" t="s">
        <v>42</v>
      </c>
      <c r="W477" s="2">
        <v>51</v>
      </c>
      <c r="X477" s="2">
        <v>61.1</v>
      </c>
      <c r="Y477" s="2" t="s">
        <v>266</v>
      </c>
      <c r="Z477" s="2" t="s">
        <v>3327</v>
      </c>
      <c r="AA477" s="2">
        <v>-0.42075729354262298</v>
      </c>
      <c r="AB477" s="2">
        <v>1.26221820214492</v>
      </c>
      <c r="AC477" s="2">
        <v>73705.320348377601</v>
      </c>
      <c r="AD477" s="2">
        <v>181869.73083437301</v>
      </c>
      <c r="AE477" s="2">
        <v>62036.792624328002</v>
      </c>
      <c r="AF477" s="2">
        <v>73978.810430613201</v>
      </c>
      <c r="AG477" s="2">
        <v>104150.234787489</v>
      </c>
      <c r="AH477" s="2">
        <v>56581.0507317343</v>
      </c>
      <c r="AI477" s="2">
        <v>78929.892661547099</v>
      </c>
      <c r="AJ477" s="2">
        <v>66555.140854554105</v>
      </c>
      <c r="AK477" s="2">
        <v>156183.082521309</v>
      </c>
      <c r="AL477" s="2">
        <v>186323.148667075</v>
      </c>
      <c r="AM477" s="2">
        <v>193002.16111635201</v>
      </c>
      <c r="AN477" s="2">
        <v>193369.77586783801</v>
      </c>
      <c r="AO477" s="2">
        <v>172815.17981568901</v>
      </c>
      <c r="AP477" s="2">
        <v>189525.03701797701</v>
      </c>
    </row>
    <row r="478" spans="1:42" ht="14.5" x14ac:dyDescent="0.35">
      <c r="A478" s="2" t="s">
        <v>3328</v>
      </c>
      <c r="B478" s="2">
        <v>327.15888111360903</v>
      </c>
      <c r="C478" s="2">
        <v>4.7862166666666699</v>
      </c>
      <c r="D478" s="2" t="s">
        <v>34</v>
      </c>
      <c r="E478" s="2" t="s">
        <v>3329</v>
      </c>
      <c r="F478" s="2">
        <v>256380</v>
      </c>
      <c r="G478" s="3" t="str">
        <f>HYPERLINK("http://funmeta.oebiotech.com/network/256380", "http://funmeta.oebiotech.com/network/256380")</f>
        <v>http://funmeta.oebiotech.com/network/256380</v>
      </c>
      <c r="H478" s="2" t="s">
        <v>3330</v>
      </c>
      <c r="I478" s="2"/>
      <c r="J478" s="2"/>
      <c r="K478" s="2"/>
      <c r="L478" s="2"/>
      <c r="M478" s="2"/>
      <c r="N478" s="2"/>
      <c r="O478" s="2">
        <v>182210</v>
      </c>
      <c r="P478" s="2"/>
      <c r="Q478" s="2" t="s">
        <v>3331</v>
      </c>
      <c r="R478" s="2" t="s">
        <v>3332</v>
      </c>
      <c r="S478" s="2" t="s">
        <v>1184</v>
      </c>
      <c r="T478" s="2" t="s">
        <v>3333</v>
      </c>
      <c r="U478" s="2" t="s">
        <v>3334</v>
      </c>
      <c r="V478" s="2" t="s">
        <v>42</v>
      </c>
      <c r="W478" s="2">
        <v>53.2</v>
      </c>
      <c r="X478" s="2">
        <v>70.599999999999994</v>
      </c>
      <c r="Y478" s="2" t="s">
        <v>266</v>
      </c>
      <c r="Z478" s="2" t="s">
        <v>3335</v>
      </c>
      <c r="AA478" s="2">
        <v>-0.59420752044054903</v>
      </c>
      <c r="AB478" s="2">
        <v>1.26047355733593</v>
      </c>
      <c r="AC478" s="2">
        <v>926756.40271725901</v>
      </c>
      <c r="AD478" s="2">
        <v>1054314.2960411301</v>
      </c>
      <c r="AE478" s="2">
        <v>896977.85899192595</v>
      </c>
      <c r="AF478" s="2">
        <v>968171.40552847204</v>
      </c>
      <c r="AG478" s="2">
        <v>887580.69951732305</v>
      </c>
      <c r="AH478" s="2">
        <v>886887.770980453</v>
      </c>
      <c r="AI478" s="2">
        <v>958236.18202784099</v>
      </c>
      <c r="AJ478" s="2">
        <v>962684.49925753998</v>
      </c>
      <c r="AK478" s="2">
        <v>1102761.2577670999</v>
      </c>
      <c r="AL478" s="2">
        <v>1010279.1341249699</v>
      </c>
      <c r="AM478" s="2">
        <v>1084249.0896854</v>
      </c>
      <c r="AN478" s="2">
        <v>1092537.16781194</v>
      </c>
      <c r="AO478" s="2">
        <v>955918.90149020904</v>
      </c>
      <c r="AP478" s="2">
        <v>1080140.22536715</v>
      </c>
    </row>
    <row r="479" spans="1:42" ht="14.5" x14ac:dyDescent="0.35">
      <c r="A479" s="2" t="s">
        <v>3336</v>
      </c>
      <c r="B479" s="2">
        <v>371.11885109686602</v>
      </c>
      <c r="C479" s="2">
        <v>0.72340000000000004</v>
      </c>
      <c r="D479" s="2" t="s">
        <v>70</v>
      </c>
      <c r="E479" s="2" t="s">
        <v>3337</v>
      </c>
      <c r="F479" s="2">
        <v>63385</v>
      </c>
      <c r="G479" s="3" t="str">
        <f>HYPERLINK("http://funmeta.oebiotech.com/network/63385", "http://funmeta.oebiotech.com/network/63385")</f>
        <v>http://funmeta.oebiotech.com/network/63385</v>
      </c>
      <c r="H479" s="2" t="s">
        <v>3338</v>
      </c>
      <c r="I479" s="2"/>
      <c r="J479" s="2"/>
      <c r="K479" s="2">
        <v>167938</v>
      </c>
      <c r="L479" s="2"/>
      <c r="M479" s="2"/>
      <c r="N479" s="2"/>
      <c r="O479" s="2">
        <v>131752784</v>
      </c>
      <c r="P479" s="2" t="s">
        <v>3339</v>
      </c>
      <c r="Q479" s="2" t="s">
        <v>3340</v>
      </c>
      <c r="R479" s="2" t="s">
        <v>3341</v>
      </c>
      <c r="S479" s="2" t="s">
        <v>79</v>
      </c>
      <c r="T479" s="2" t="s">
        <v>80</v>
      </c>
      <c r="U479" s="2" t="s">
        <v>81</v>
      </c>
      <c r="V479" s="2" t="s">
        <v>42</v>
      </c>
      <c r="W479" s="2">
        <v>57.2</v>
      </c>
      <c r="X479" s="2">
        <v>90.5</v>
      </c>
      <c r="Y479" s="2" t="s">
        <v>408</v>
      </c>
      <c r="Z479" s="2" t="s">
        <v>1732</v>
      </c>
      <c r="AA479" s="2">
        <v>-1.98905830410875</v>
      </c>
      <c r="AB479" s="2">
        <v>1.2553739085101701</v>
      </c>
      <c r="AC479" s="2">
        <v>1403286.6290414799</v>
      </c>
      <c r="AD479" s="2">
        <v>1651987.4501743601</v>
      </c>
      <c r="AE479" s="2">
        <v>1189469.3508581701</v>
      </c>
      <c r="AF479" s="2">
        <v>1586329.0538038199</v>
      </c>
      <c r="AG479" s="2">
        <v>1659591.5936247101</v>
      </c>
      <c r="AH479" s="2">
        <v>1361490.1666201099</v>
      </c>
      <c r="AI479" s="2">
        <v>1291378.6825206699</v>
      </c>
      <c r="AJ479" s="2">
        <v>1331460.9268213699</v>
      </c>
      <c r="AK479" s="2">
        <v>1709053.2162297</v>
      </c>
      <c r="AL479" s="2">
        <v>2347886.2512381398</v>
      </c>
      <c r="AM479" s="2">
        <v>1452451.54054303</v>
      </c>
      <c r="AN479" s="2">
        <v>1539803.99230394</v>
      </c>
      <c r="AO479" s="2">
        <v>1557066.1861781499</v>
      </c>
      <c r="AP479" s="2">
        <v>1305663.51455319</v>
      </c>
    </row>
    <row r="480" spans="1:42" ht="14.5" x14ac:dyDescent="0.35">
      <c r="A480" s="2" t="s">
        <v>3342</v>
      </c>
      <c r="B480" s="2">
        <v>138.01843332930599</v>
      </c>
      <c r="C480" s="2">
        <v>5.5805999999999996</v>
      </c>
      <c r="D480" s="2" t="s">
        <v>70</v>
      </c>
      <c r="E480" s="2" t="s">
        <v>3343</v>
      </c>
      <c r="F480" s="2">
        <v>47464</v>
      </c>
      <c r="G480" s="3" t="str">
        <f>HYPERLINK("http://funmeta.oebiotech.com/network/47464", "http://funmeta.oebiotech.com/network/47464")</f>
        <v>http://funmeta.oebiotech.com/network/47464</v>
      </c>
      <c r="H480" s="2" t="s">
        <v>3344</v>
      </c>
      <c r="I480" s="2">
        <v>4100</v>
      </c>
      <c r="J480" s="2"/>
      <c r="K480" s="2">
        <v>16836</v>
      </c>
      <c r="L480" s="2" t="s">
        <v>3345</v>
      </c>
      <c r="M480" s="2" t="s">
        <v>3346</v>
      </c>
      <c r="N480" s="2" t="s">
        <v>3347</v>
      </c>
      <c r="O480" s="2">
        <v>980</v>
      </c>
      <c r="P480" s="2" t="s">
        <v>3348</v>
      </c>
      <c r="Q480" s="2" t="s">
        <v>3349</v>
      </c>
      <c r="R480" s="2" t="s">
        <v>3350</v>
      </c>
      <c r="S480" s="2" t="s">
        <v>148</v>
      </c>
      <c r="T480" s="2" t="s">
        <v>392</v>
      </c>
      <c r="U480" s="2" t="s">
        <v>1177</v>
      </c>
      <c r="V480" s="2" t="s">
        <v>42</v>
      </c>
      <c r="W480" s="2">
        <v>55.3</v>
      </c>
      <c r="X480" s="2">
        <v>93.6</v>
      </c>
      <c r="Y480" s="2" t="s">
        <v>118</v>
      </c>
      <c r="Z480" s="2" t="s">
        <v>3351</v>
      </c>
      <c r="AA480" s="2">
        <v>-8.8706728117646705</v>
      </c>
      <c r="AB480" s="2">
        <v>1.2538779483836699</v>
      </c>
      <c r="AC480" s="2">
        <v>108251.41286949599</v>
      </c>
      <c r="AD480" s="2">
        <v>212025.774460627</v>
      </c>
      <c r="AE480" s="2">
        <v>114916.75106569201</v>
      </c>
      <c r="AF480" s="2">
        <v>108933.873514144</v>
      </c>
      <c r="AG480" s="2">
        <v>104806.145084613</v>
      </c>
      <c r="AH480" s="2">
        <v>103609.846095848</v>
      </c>
      <c r="AI480" s="2">
        <v>106302.89946805801</v>
      </c>
      <c r="AJ480" s="2">
        <v>110938.961988621</v>
      </c>
      <c r="AK480" s="2">
        <v>223694.55986451099</v>
      </c>
      <c r="AL480" s="2">
        <v>216784.87803600999</v>
      </c>
      <c r="AM480" s="2">
        <v>209469.138908914</v>
      </c>
      <c r="AN480" s="2">
        <v>209201.69064328901</v>
      </c>
      <c r="AO480" s="2">
        <v>206102.78669633999</v>
      </c>
      <c r="AP480" s="2">
        <v>206901.59261469901</v>
      </c>
    </row>
    <row r="481" spans="1:42" ht="14.5" x14ac:dyDescent="0.35">
      <c r="A481" s="2" t="s">
        <v>3352</v>
      </c>
      <c r="B481" s="2">
        <v>665.242296873491</v>
      </c>
      <c r="C481" s="2">
        <v>6.1981666666666699</v>
      </c>
      <c r="D481" s="2" t="s">
        <v>70</v>
      </c>
      <c r="E481" s="2" t="s">
        <v>3353</v>
      </c>
      <c r="F481" s="2">
        <v>29031</v>
      </c>
      <c r="G481" s="3" t="str">
        <f>HYPERLINK("http://funmeta.oebiotech.com/network/29031", "http://funmeta.oebiotech.com/network/29031")</f>
        <v>http://funmeta.oebiotech.com/network/29031</v>
      </c>
      <c r="H481" s="2"/>
      <c r="I481" s="2"/>
      <c r="J481" s="2" t="s">
        <v>3354</v>
      </c>
      <c r="K481" s="2"/>
      <c r="L481" s="2"/>
      <c r="M481" s="2"/>
      <c r="N481" s="2"/>
      <c r="O481" s="2">
        <v>44257162</v>
      </c>
      <c r="P481" s="2"/>
      <c r="Q481" s="2" t="s">
        <v>3355</v>
      </c>
      <c r="R481" s="2" t="s">
        <v>3356</v>
      </c>
      <c r="S481" s="2" t="s">
        <v>115</v>
      </c>
      <c r="T481" s="2" t="s">
        <v>139</v>
      </c>
      <c r="U481" s="2" t="s">
        <v>140</v>
      </c>
      <c r="V481" s="2" t="s">
        <v>59</v>
      </c>
      <c r="W481" s="2">
        <v>39.299999999999997</v>
      </c>
      <c r="X481" s="2">
        <v>5.55</v>
      </c>
      <c r="Y481" s="2" t="s">
        <v>792</v>
      </c>
      <c r="Z481" s="2" t="s">
        <v>3357</v>
      </c>
      <c r="AA481" s="2">
        <v>-4.1986114747108196</v>
      </c>
      <c r="AB481" s="2">
        <v>1.2515602835525399</v>
      </c>
      <c r="AC481" s="2">
        <v>517811.63728683401</v>
      </c>
      <c r="AD481" s="2">
        <v>411695.99124998599</v>
      </c>
      <c r="AE481" s="2">
        <v>532352.82854893396</v>
      </c>
      <c r="AF481" s="2">
        <v>513408.52980735298</v>
      </c>
      <c r="AG481" s="2">
        <v>499600.49140146002</v>
      </c>
      <c r="AH481" s="2">
        <v>517643.95738841803</v>
      </c>
      <c r="AI481" s="2">
        <v>501438.00572885602</v>
      </c>
      <c r="AJ481" s="2">
        <v>542426.01084598096</v>
      </c>
      <c r="AK481" s="2">
        <v>394313.32495492598</v>
      </c>
      <c r="AL481" s="2">
        <v>420585.97856324899</v>
      </c>
      <c r="AM481" s="2">
        <v>422380.04415903799</v>
      </c>
      <c r="AN481" s="2">
        <v>401747.06985071301</v>
      </c>
      <c r="AO481" s="2">
        <v>427169.66546881601</v>
      </c>
      <c r="AP481" s="2">
        <v>403979.86450317199</v>
      </c>
    </row>
    <row r="482" spans="1:42" ht="14.5" x14ac:dyDescent="0.35">
      <c r="A482" s="2" t="s">
        <v>3358</v>
      </c>
      <c r="B482" s="2">
        <v>596.30648582582796</v>
      </c>
      <c r="C482" s="2">
        <v>9.10178333333333</v>
      </c>
      <c r="D482" s="2" t="s">
        <v>34</v>
      </c>
      <c r="E482" s="2" t="s">
        <v>3359</v>
      </c>
      <c r="F482" s="2">
        <v>44757</v>
      </c>
      <c r="G482" s="3" t="str">
        <f>HYPERLINK("http://funmeta.oebiotech.com/network/44757", "http://funmeta.oebiotech.com/network/44757")</f>
        <v>http://funmeta.oebiotech.com/network/44757</v>
      </c>
      <c r="H482" s="2"/>
      <c r="I482" s="2"/>
      <c r="J482" s="2" t="s">
        <v>3360</v>
      </c>
      <c r="K482" s="2"/>
      <c r="L482" s="2"/>
      <c r="M482" s="2"/>
      <c r="N482" s="2"/>
      <c r="O482" s="2"/>
      <c r="P482" s="2"/>
      <c r="Q482" s="2" t="s">
        <v>3361</v>
      </c>
      <c r="R482" s="2" t="s">
        <v>3362</v>
      </c>
      <c r="S482" s="2" t="s">
        <v>50</v>
      </c>
      <c r="T482" s="2" t="s">
        <v>124</v>
      </c>
      <c r="U482" s="2" t="s">
        <v>567</v>
      </c>
      <c r="V482" s="2" t="s">
        <v>42</v>
      </c>
      <c r="W482" s="2">
        <v>51.1</v>
      </c>
      <c r="X482" s="2">
        <v>59.5</v>
      </c>
      <c r="Y482" s="2" t="s">
        <v>330</v>
      </c>
      <c r="Z482" s="2" t="s">
        <v>1748</v>
      </c>
      <c r="AA482" s="2">
        <v>-8.9691716180510195E-2</v>
      </c>
      <c r="AB482" s="2">
        <v>1.2505636753165299</v>
      </c>
      <c r="AC482" s="2">
        <v>170617.85559692801</v>
      </c>
      <c r="AD482" s="2">
        <v>65632.377723893806</v>
      </c>
      <c r="AE482" s="2">
        <v>168541.14751873101</v>
      </c>
      <c r="AF482" s="2">
        <v>176960.73719173999</v>
      </c>
      <c r="AG482" s="2">
        <v>165396.894866341</v>
      </c>
      <c r="AH482" s="2">
        <v>180473.309465222</v>
      </c>
      <c r="AI482" s="2">
        <v>166010.898880222</v>
      </c>
      <c r="AJ482" s="2">
        <v>166324.14565931101</v>
      </c>
      <c r="AK482" s="2">
        <v>49910.3151644479</v>
      </c>
      <c r="AL482" s="2">
        <v>87027.720394212607</v>
      </c>
      <c r="AM482" s="2">
        <v>82211.782720253599</v>
      </c>
      <c r="AN482" s="2">
        <v>45750.797703307901</v>
      </c>
      <c r="AO482" s="2">
        <v>58367.5485821697</v>
      </c>
      <c r="AP482" s="2">
        <v>70526.101778971395</v>
      </c>
    </row>
    <row r="483" spans="1:42" ht="14.5" x14ac:dyDescent="0.35">
      <c r="A483" s="2" t="s">
        <v>3363</v>
      </c>
      <c r="B483" s="2">
        <v>865.45977120805105</v>
      </c>
      <c r="C483" s="2">
        <v>4.5826500000000001</v>
      </c>
      <c r="D483" s="2" t="s">
        <v>34</v>
      </c>
      <c r="E483" s="2" t="s">
        <v>3364</v>
      </c>
      <c r="F483" s="2">
        <v>225450</v>
      </c>
      <c r="G483" s="3" t="str">
        <f>HYPERLINK("http://funmeta.oebiotech.com/network/225450", "http://funmeta.oebiotech.com/network/225450")</f>
        <v>http://funmeta.oebiotech.com/network/225450</v>
      </c>
      <c r="H483" s="2" t="s">
        <v>3365</v>
      </c>
      <c r="I483" s="2"/>
      <c r="J483" s="2"/>
      <c r="K483" s="2"/>
      <c r="L483" s="2"/>
      <c r="M483" s="2"/>
      <c r="N483" s="2"/>
      <c r="O483" s="2"/>
      <c r="P483" s="2"/>
      <c r="Q483" s="2" t="s">
        <v>3366</v>
      </c>
      <c r="R483" s="2" t="s">
        <v>3367</v>
      </c>
      <c r="S483" s="2" t="s">
        <v>41</v>
      </c>
      <c r="T483" s="2" t="s">
        <v>41</v>
      </c>
      <c r="U483" s="2" t="s">
        <v>41</v>
      </c>
      <c r="V483" s="2" t="s">
        <v>59</v>
      </c>
      <c r="W483" s="2">
        <v>37.4</v>
      </c>
      <c r="X483" s="2">
        <v>0</v>
      </c>
      <c r="Y483" s="2" t="s">
        <v>470</v>
      </c>
      <c r="Z483" s="2" t="s">
        <v>3368</v>
      </c>
      <c r="AA483" s="2">
        <v>-0.569566300844628</v>
      </c>
      <c r="AB483" s="2">
        <v>1.2503856445633601</v>
      </c>
      <c r="AC483" s="2">
        <v>121539.92164080399</v>
      </c>
      <c r="AD483" s="2">
        <v>18496.855813256901</v>
      </c>
      <c r="AE483" s="2">
        <v>125668.332654365</v>
      </c>
      <c r="AF483" s="2">
        <v>134319.16905012599</v>
      </c>
      <c r="AG483" s="2">
        <v>116653.931320426</v>
      </c>
      <c r="AH483" s="2">
        <v>122584.11479826301</v>
      </c>
      <c r="AI483" s="2">
        <v>112987.765677959</v>
      </c>
      <c r="AJ483" s="2">
        <v>117026.21634368401</v>
      </c>
      <c r="AK483" s="2">
        <v>16282.5592195718</v>
      </c>
      <c r="AL483" s="2">
        <v>25459.080767274601</v>
      </c>
      <c r="AM483" s="2">
        <v>13035.907678134799</v>
      </c>
      <c r="AN483" s="2">
        <v>20619.3926824919</v>
      </c>
      <c r="AO483" s="2">
        <v>17974.448970771398</v>
      </c>
      <c r="AP483" s="2">
        <v>17609.745561296801</v>
      </c>
    </row>
    <row r="484" spans="1:42" ht="14.5" x14ac:dyDescent="0.35">
      <c r="A484" s="2" t="s">
        <v>3369</v>
      </c>
      <c r="B484" s="2">
        <v>587.22638243323195</v>
      </c>
      <c r="C484" s="2">
        <v>6.1981666666666699</v>
      </c>
      <c r="D484" s="2" t="s">
        <v>70</v>
      </c>
      <c r="E484" s="2" t="s">
        <v>3370</v>
      </c>
      <c r="F484" s="2">
        <v>205182</v>
      </c>
      <c r="G484" s="3" t="str">
        <f>HYPERLINK("http://funmeta.oebiotech.com/network/205182", "http://funmeta.oebiotech.com/network/205182")</f>
        <v>http://funmeta.oebiotech.com/network/205182</v>
      </c>
      <c r="H484" s="2" t="s">
        <v>3371</v>
      </c>
      <c r="I484" s="2"/>
      <c r="J484" s="2"/>
      <c r="K484" s="2"/>
      <c r="L484" s="2"/>
      <c r="M484" s="2"/>
      <c r="N484" s="2"/>
      <c r="O484" s="2">
        <v>23634523</v>
      </c>
      <c r="P484" s="2"/>
      <c r="Q484" s="2" t="s">
        <v>3372</v>
      </c>
      <c r="R484" s="2" t="s">
        <v>3373</v>
      </c>
      <c r="S484" s="2" t="s">
        <v>115</v>
      </c>
      <c r="T484" s="2" t="s">
        <v>575</v>
      </c>
      <c r="U484" s="2" t="s">
        <v>576</v>
      </c>
      <c r="V484" s="2" t="s">
        <v>59</v>
      </c>
      <c r="W484" s="2">
        <v>37.200000000000003</v>
      </c>
      <c r="X484" s="2">
        <v>1.2</v>
      </c>
      <c r="Y484" s="2" t="s">
        <v>408</v>
      </c>
      <c r="Z484" s="2" t="s">
        <v>3374</v>
      </c>
      <c r="AA484" s="2">
        <v>-4.1935381051666196</v>
      </c>
      <c r="AB484" s="2">
        <v>1.2495389800280701</v>
      </c>
      <c r="AC484" s="2">
        <v>534932.48670048302</v>
      </c>
      <c r="AD484" s="2">
        <v>427487.001870665</v>
      </c>
      <c r="AE484" s="2">
        <v>540129.81664261303</v>
      </c>
      <c r="AF484" s="2">
        <v>519357.97484044702</v>
      </c>
      <c r="AG484" s="2">
        <v>531307.77311221801</v>
      </c>
      <c r="AH484" s="2">
        <v>529437.61996131402</v>
      </c>
      <c r="AI484" s="2">
        <v>517249.83017178398</v>
      </c>
      <c r="AJ484" s="2">
        <v>572111.90547452203</v>
      </c>
      <c r="AK484" s="2">
        <v>410898.86070835002</v>
      </c>
      <c r="AL484" s="2">
        <v>430802.12425877497</v>
      </c>
      <c r="AM484" s="2">
        <v>458539.66623694799</v>
      </c>
      <c r="AN484" s="2">
        <v>429946.92924145301</v>
      </c>
      <c r="AO484" s="2">
        <v>421276.56555373402</v>
      </c>
      <c r="AP484" s="2">
        <v>413457.86522472801</v>
      </c>
    </row>
    <row r="485" spans="1:42" ht="14.5" x14ac:dyDescent="0.35">
      <c r="A485" s="2" t="s">
        <v>3375</v>
      </c>
      <c r="B485" s="2">
        <v>749.44348369637703</v>
      </c>
      <c r="C485" s="2">
        <v>11.727933333333301</v>
      </c>
      <c r="D485" s="2" t="s">
        <v>34</v>
      </c>
      <c r="E485" s="2" t="s">
        <v>3376</v>
      </c>
      <c r="F485" s="2">
        <v>62792</v>
      </c>
      <c r="G485" s="3" t="str">
        <f>HYPERLINK("http://funmeta.oebiotech.com/network/62792", "http://funmeta.oebiotech.com/network/62792")</f>
        <v>http://funmeta.oebiotech.com/network/62792</v>
      </c>
      <c r="H485" s="2" t="s">
        <v>3377</v>
      </c>
      <c r="I485" s="2">
        <v>94086</v>
      </c>
      <c r="J485" s="2"/>
      <c r="K485" s="2"/>
      <c r="L485" s="2"/>
      <c r="M485" s="2"/>
      <c r="N485" s="2"/>
      <c r="O485" s="2">
        <v>24721354</v>
      </c>
      <c r="P485" s="2" t="s">
        <v>3378</v>
      </c>
      <c r="Q485" s="2" t="s">
        <v>3379</v>
      </c>
      <c r="R485" s="2" t="s">
        <v>3380</v>
      </c>
      <c r="S485" s="2" t="s">
        <v>50</v>
      </c>
      <c r="T485" s="2" t="s">
        <v>201</v>
      </c>
      <c r="U485" s="2" t="s">
        <v>202</v>
      </c>
      <c r="V485" s="2" t="s">
        <v>59</v>
      </c>
      <c r="W485" s="2">
        <v>43.6</v>
      </c>
      <c r="X485" s="2">
        <v>36.6</v>
      </c>
      <c r="Y485" s="2" t="s">
        <v>141</v>
      </c>
      <c r="Z485" s="2" t="s">
        <v>3381</v>
      </c>
      <c r="AA485" s="2">
        <v>-4.6581289436262203</v>
      </c>
      <c r="AB485" s="2">
        <v>1.24875993292261</v>
      </c>
      <c r="AC485" s="2">
        <v>33667.799202852002</v>
      </c>
      <c r="AD485" s="2">
        <v>136873.65276366501</v>
      </c>
      <c r="AE485" s="2">
        <v>32712.879201594202</v>
      </c>
      <c r="AF485" s="2">
        <v>34580.8406223001</v>
      </c>
      <c r="AG485" s="2">
        <v>33390.217438241503</v>
      </c>
      <c r="AH485" s="2">
        <v>29936.340184676701</v>
      </c>
      <c r="AI485" s="2">
        <v>34992.176372397</v>
      </c>
      <c r="AJ485" s="2">
        <v>36394.341397902601</v>
      </c>
      <c r="AK485" s="2">
        <v>145242.84024647699</v>
      </c>
      <c r="AL485" s="2">
        <v>128724.014502355</v>
      </c>
      <c r="AM485" s="2">
        <v>142833.68349154899</v>
      </c>
      <c r="AN485" s="2">
        <v>125401.48060123999</v>
      </c>
      <c r="AO485" s="2">
        <v>129606.85293598101</v>
      </c>
      <c r="AP485" s="2">
        <v>149433.04480439</v>
      </c>
    </row>
    <row r="486" spans="1:42" ht="14.5" x14ac:dyDescent="0.35">
      <c r="A486" s="2" t="s">
        <v>3382</v>
      </c>
      <c r="B486" s="2">
        <v>695.21934493925801</v>
      </c>
      <c r="C486" s="2">
        <v>4.1877333333333304</v>
      </c>
      <c r="D486" s="2" t="s">
        <v>70</v>
      </c>
      <c r="E486" s="2" t="s">
        <v>3383</v>
      </c>
      <c r="F486" s="2">
        <v>58337</v>
      </c>
      <c r="G486" s="3" t="str">
        <f>HYPERLINK("http://funmeta.oebiotech.com/network/58337", "http://funmeta.oebiotech.com/network/58337")</f>
        <v>http://funmeta.oebiotech.com/network/58337</v>
      </c>
      <c r="H486" s="2" t="s">
        <v>3384</v>
      </c>
      <c r="I486" s="2">
        <v>89820</v>
      </c>
      <c r="J486" s="2"/>
      <c r="K486" s="2"/>
      <c r="L486" s="2"/>
      <c r="M486" s="2"/>
      <c r="N486" s="2"/>
      <c r="O486" s="2">
        <v>74960882</v>
      </c>
      <c r="P486" s="2"/>
      <c r="Q486" s="2" t="s">
        <v>3385</v>
      </c>
      <c r="R486" s="2" t="s">
        <v>3386</v>
      </c>
      <c r="S486" s="2" t="s">
        <v>115</v>
      </c>
      <c r="T486" s="2" t="s">
        <v>1095</v>
      </c>
      <c r="U486" s="2" t="s">
        <v>41</v>
      </c>
      <c r="V486" s="2" t="s">
        <v>42</v>
      </c>
      <c r="W486" s="2">
        <v>49.6</v>
      </c>
      <c r="X486" s="2">
        <v>52.6</v>
      </c>
      <c r="Y486" s="2" t="s">
        <v>408</v>
      </c>
      <c r="Z486" s="2" t="s">
        <v>3387</v>
      </c>
      <c r="AA486" s="2">
        <v>0.110050567963681</v>
      </c>
      <c r="AB486" s="2">
        <v>1.2478271531632901</v>
      </c>
      <c r="AC486" s="2">
        <v>160873.495818036</v>
      </c>
      <c r="AD486" s="2">
        <v>57750.568456729598</v>
      </c>
      <c r="AE486" s="2">
        <v>157341.23809691201</v>
      </c>
      <c r="AF486" s="2">
        <v>152437.096309263</v>
      </c>
      <c r="AG486" s="2">
        <v>165858.17992531901</v>
      </c>
      <c r="AH486" s="2">
        <v>168459.619241095</v>
      </c>
      <c r="AI486" s="2">
        <v>146726.81676100899</v>
      </c>
      <c r="AJ486" s="2">
        <v>174418.024574621</v>
      </c>
      <c r="AK486" s="2">
        <v>56378.780808807402</v>
      </c>
      <c r="AL486" s="2">
        <v>61678.934600714703</v>
      </c>
      <c r="AM486" s="2">
        <v>57672.068291569303</v>
      </c>
      <c r="AN486" s="2">
        <v>64033.610330269097</v>
      </c>
      <c r="AO486" s="2">
        <v>48592.915551454302</v>
      </c>
      <c r="AP486" s="2">
        <v>58147.101157562902</v>
      </c>
    </row>
    <row r="487" spans="1:42" ht="14.5" x14ac:dyDescent="0.35">
      <c r="A487" s="2" t="s">
        <v>3388</v>
      </c>
      <c r="B487" s="2">
        <v>627.22865712821897</v>
      </c>
      <c r="C487" s="2">
        <v>5.5064166666666701</v>
      </c>
      <c r="D487" s="2" t="s">
        <v>70</v>
      </c>
      <c r="E487" s="2" t="s">
        <v>3389</v>
      </c>
      <c r="F487" s="2">
        <v>62246</v>
      </c>
      <c r="G487" s="3" t="str">
        <f>HYPERLINK("http://funmeta.oebiotech.com/network/62246", "http://funmeta.oebiotech.com/network/62246")</f>
        <v>http://funmeta.oebiotech.com/network/62246</v>
      </c>
      <c r="H487" s="2" t="s">
        <v>3390</v>
      </c>
      <c r="I487" s="2">
        <v>93535</v>
      </c>
      <c r="J487" s="2"/>
      <c r="K487" s="2"/>
      <c r="L487" s="2"/>
      <c r="M487" s="2"/>
      <c r="N487" s="2"/>
      <c r="O487" s="2">
        <v>14521083</v>
      </c>
      <c r="P487" s="2" t="s">
        <v>3391</v>
      </c>
      <c r="Q487" s="2" t="s">
        <v>3392</v>
      </c>
      <c r="R487" s="2" t="s">
        <v>3393</v>
      </c>
      <c r="S487" s="2" t="s">
        <v>1184</v>
      </c>
      <c r="T487" s="2" t="s">
        <v>1185</v>
      </c>
      <c r="U487" s="2" t="s">
        <v>41</v>
      </c>
      <c r="V487" s="2" t="s">
        <v>42</v>
      </c>
      <c r="W487" s="2">
        <v>53.2</v>
      </c>
      <c r="X487" s="2">
        <v>68.400000000000006</v>
      </c>
      <c r="Y487" s="2" t="s">
        <v>408</v>
      </c>
      <c r="Z487" s="2" t="s">
        <v>3394</v>
      </c>
      <c r="AA487" s="2">
        <v>-1.3517219015103501</v>
      </c>
      <c r="AB487" s="2">
        <v>1.2470029854465701</v>
      </c>
      <c r="AC487" s="2">
        <v>312826.49711253098</v>
      </c>
      <c r="AD487" s="2">
        <v>419738.27810002101</v>
      </c>
      <c r="AE487" s="2">
        <v>325738.05314212298</v>
      </c>
      <c r="AF487" s="2">
        <v>289770.596022157</v>
      </c>
      <c r="AG487" s="2">
        <v>305885.641020198</v>
      </c>
      <c r="AH487" s="2">
        <v>308757.83443901001</v>
      </c>
      <c r="AI487" s="2">
        <v>312576.92235558998</v>
      </c>
      <c r="AJ487" s="2">
        <v>334229.93569610798</v>
      </c>
      <c r="AK487" s="2">
        <v>385748.06692948798</v>
      </c>
      <c r="AL487" s="2">
        <v>416398.40828752302</v>
      </c>
      <c r="AM487" s="2">
        <v>450931.21151606803</v>
      </c>
      <c r="AN487" s="2">
        <v>430879.19010190002</v>
      </c>
      <c r="AO487" s="2">
        <v>412734.90163033101</v>
      </c>
      <c r="AP487" s="2">
        <v>421737.89013481699</v>
      </c>
    </row>
    <row r="488" spans="1:42" ht="14.5" x14ac:dyDescent="0.35">
      <c r="A488" s="2" t="s">
        <v>3395</v>
      </c>
      <c r="B488" s="2">
        <v>744.48711242762397</v>
      </c>
      <c r="C488" s="2">
        <v>11.727933333333301</v>
      </c>
      <c r="D488" s="2" t="s">
        <v>34</v>
      </c>
      <c r="E488" s="2" t="s">
        <v>3396</v>
      </c>
      <c r="F488" s="2">
        <v>207721</v>
      </c>
      <c r="G488" s="3" t="str">
        <f>HYPERLINK("http://funmeta.oebiotech.com/network/207721", "http://funmeta.oebiotech.com/network/207721")</f>
        <v>http://funmeta.oebiotech.com/network/207721</v>
      </c>
      <c r="H488" s="2" t="s">
        <v>3397</v>
      </c>
      <c r="I488" s="2"/>
      <c r="J488" s="2"/>
      <c r="K488" s="2"/>
      <c r="L488" s="2"/>
      <c r="M488" s="2"/>
      <c r="N488" s="2"/>
      <c r="O488" s="2">
        <v>14487402</v>
      </c>
      <c r="P488" s="2"/>
      <c r="Q488" s="2" t="s">
        <v>3398</v>
      </c>
      <c r="R488" s="2" t="s">
        <v>3399</v>
      </c>
      <c r="S488" s="2" t="s">
        <v>79</v>
      </c>
      <c r="T488" s="2" t="s">
        <v>80</v>
      </c>
      <c r="U488" s="2" t="s">
        <v>81</v>
      </c>
      <c r="V488" s="2" t="s">
        <v>59</v>
      </c>
      <c r="W488" s="2">
        <v>38.299999999999997</v>
      </c>
      <c r="X488" s="2">
        <v>0</v>
      </c>
      <c r="Y488" s="2" t="s">
        <v>394</v>
      </c>
      <c r="Z488" s="2" t="s">
        <v>3400</v>
      </c>
      <c r="AA488" s="2">
        <v>-2.8792314983067699</v>
      </c>
      <c r="AB488" s="2">
        <v>1.2453669861357499</v>
      </c>
      <c r="AC488" s="2">
        <v>55867.859420808098</v>
      </c>
      <c r="AD488" s="2">
        <v>158227.414010929</v>
      </c>
      <c r="AE488" s="2">
        <v>57026.604981508499</v>
      </c>
      <c r="AF488" s="2">
        <v>55712.0829296027</v>
      </c>
      <c r="AG488" s="2">
        <v>54061.9730295931</v>
      </c>
      <c r="AH488" s="2">
        <v>49000.068014026598</v>
      </c>
      <c r="AI488" s="2">
        <v>57963.382449713397</v>
      </c>
      <c r="AJ488" s="2">
        <v>61443.045120404102</v>
      </c>
      <c r="AK488" s="2">
        <v>153840.09340410499</v>
      </c>
      <c r="AL488" s="2">
        <v>154471.822805376</v>
      </c>
      <c r="AM488" s="2">
        <v>173762.17912679701</v>
      </c>
      <c r="AN488" s="2">
        <v>159993.07548317601</v>
      </c>
      <c r="AO488" s="2">
        <v>157014.97514848399</v>
      </c>
      <c r="AP488" s="2">
        <v>150282.33809763601</v>
      </c>
    </row>
    <row r="489" spans="1:42" ht="14.5" x14ac:dyDescent="0.35">
      <c r="A489" s="2" t="s">
        <v>3401</v>
      </c>
      <c r="B489" s="2">
        <v>922.59248671183104</v>
      </c>
      <c r="C489" s="2">
        <v>11.102133333333301</v>
      </c>
      <c r="D489" s="2" t="s">
        <v>34</v>
      </c>
      <c r="E489" s="2" t="s">
        <v>3402</v>
      </c>
      <c r="F489" s="2">
        <v>237580</v>
      </c>
      <c r="G489" s="3" t="str">
        <f>HYPERLINK("http://funmeta.oebiotech.com/network/237580", "http://funmeta.oebiotech.com/network/237580")</f>
        <v>http://funmeta.oebiotech.com/network/237580</v>
      </c>
      <c r="H489" s="2" t="s">
        <v>3403</v>
      </c>
      <c r="I489" s="2"/>
      <c r="J489" s="2"/>
      <c r="K489" s="2"/>
      <c r="L489" s="2"/>
      <c r="M489" s="2"/>
      <c r="N489" s="2"/>
      <c r="O489" s="2"/>
      <c r="P489" s="2"/>
      <c r="Q489" s="2" t="s">
        <v>3404</v>
      </c>
      <c r="R489" s="2" t="s">
        <v>3405</v>
      </c>
      <c r="S489" s="2" t="s">
        <v>41</v>
      </c>
      <c r="T489" s="2" t="s">
        <v>41</v>
      </c>
      <c r="U489" s="2" t="s">
        <v>41</v>
      </c>
      <c r="V489" s="2" t="s">
        <v>59</v>
      </c>
      <c r="W489" s="2">
        <v>37.1</v>
      </c>
      <c r="X489" s="2">
        <v>0</v>
      </c>
      <c r="Y489" s="2" t="s">
        <v>340</v>
      </c>
      <c r="Z489" s="2" t="s">
        <v>3406</v>
      </c>
      <c r="AA489" s="2">
        <v>-1.0254117984211599</v>
      </c>
      <c r="AB489" s="2">
        <v>1.24416675121814</v>
      </c>
      <c r="AC489" s="2">
        <v>423.30261384356902</v>
      </c>
      <c r="AD489" s="2">
        <v>102975.083137697</v>
      </c>
      <c r="AE489" s="2">
        <v>508.24515364626399</v>
      </c>
      <c r="AF489" s="2">
        <v>296.721838170973</v>
      </c>
      <c r="AG489" s="2">
        <v>404.80878981122203</v>
      </c>
      <c r="AH489" s="2">
        <v>265.848591510711</v>
      </c>
      <c r="AI489" s="2">
        <v>410.99001847328401</v>
      </c>
      <c r="AJ489" s="2">
        <v>653.20129144896202</v>
      </c>
      <c r="AK489" s="2">
        <v>112285.154745587</v>
      </c>
      <c r="AL489" s="2">
        <v>101819.995939612</v>
      </c>
      <c r="AM489" s="2">
        <v>120120.193094118</v>
      </c>
      <c r="AN489" s="2">
        <v>95950.960629059497</v>
      </c>
      <c r="AO489" s="2">
        <v>91832.540845923504</v>
      </c>
      <c r="AP489" s="2">
        <v>95841.653571883202</v>
      </c>
    </row>
    <row r="490" spans="1:42" ht="14.5" x14ac:dyDescent="0.35">
      <c r="A490" s="2" t="s">
        <v>3407</v>
      </c>
      <c r="B490" s="2">
        <v>821.43417968595395</v>
      </c>
      <c r="C490" s="2">
        <v>4.5315500000000002</v>
      </c>
      <c r="D490" s="2" t="s">
        <v>34</v>
      </c>
      <c r="E490" s="2" t="s">
        <v>3408</v>
      </c>
      <c r="F490" s="2">
        <v>52301</v>
      </c>
      <c r="G490" s="3" t="str">
        <f>HYPERLINK("http://funmeta.oebiotech.com/network/52301", "http://funmeta.oebiotech.com/network/52301")</f>
        <v>http://funmeta.oebiotech.com/network/52301</v>
      </c>
      <c r="H490" s="2" t="s">
        <v>3409</v>
      </c>
      <c r="I490" s="2"/>
      <c r="J490" s="2"/>
      <c r="K490" s="2">
        <v>169479</v>
      </c>
      <c r="L490" s="2"/>
      <c r="M490" s="2"/>
      <c r="N490" s="2"/>
      <c r="O490" s="2">
        <v>53481808</v>
      </c>
      <c r="P490" s="2"/>
      <c r="Q490" s="2" t="s">
        <v>3410</v>
      </c>
      <c r="R490" s="2" t="s">
        <v>3411</v>
      </c>
      <c r="S490" s="2" t="s">
        <v>50</v>
      </c>
      <c r="T490" s="2" t="s">
        <v>51</v>
      </c>
      <c r="U490" s="2" t="s">
        <v>1989</v>
      </c>
      <c r="V490" s="2" t="s">
        <v>59</v>
      </c>
      <c r="W490" s="2">
        <v>37.6</v>
      </c>
      <c r="X490" s="2">
        <v>0</v>
      </c>
      <c r="Y490" s="2" t="s">
        <v>470</v>
      </c>
      <c r="Z490" s="2" t="s">
        <v>3412</v>
      </c>
      <c r="AA490" s="2">
        <v>0.17957738794203801</v>
      </c>
      <c r="AB490" s="2">
        <v>1.2434969206391</v>
      </c>
      <c r="AC490" s="2">
        <v>120536.803362782</v>
      </c>
      <c r="AD490" s="2">
        <v>18833.991866533001</v>
      </c>
      <c r="AE490" s="2">
        <v>121189.70283075501</v>
      </c>
      <c r="AF490" s="2">
        <v>113125.655695297</v>
      </c>
      <c r="AG490" s="2">
        <v>120078.53806652001</v>
      </c>
      <c r="AH490" s="2">
        <v>121965.078516497</v>
      </c>
      <c r="AI490" s="2">
        <v>123062.350896155</v>
      </c>
      <c r="AJ490" s="2">
        <v>123799.494171467</v>
      </c>
      <c r="AK490" s="2">
        <v>18921.2101640609</v>
      </c>
      <c r="AL490" s="2">
        <v>24039.819212733899</v>
      </c>
      <c r="AM490" s="2">
        <v>17196.267762201202</v>
      </c>
      <c r="AN490" s="2">
        <v>17023.342187336999</v>
      </c>
      <c r="AO490" s="2">
        <v>21082.59021867</v>
      </c>
      <c r="AP490" s="2">
        <v>14740.7216541949</v>
      </c>
    </row>
    <row r="491" spans="1:42" ht="14.5" x14ac:dyDescent="0.35">
      <c r="A491" s="2" t="s">
        <v>3413</v>
      </c>
      <c r="B491" s="2">
        <v>335.09446822724198</v>
      </c>
      <c r="C491" s="2">
        <v>0.75019999999999998</v>
      </c>
      <c r="D491" s="2" t="s">
        <v>34</v>
      </c>
      <c r="E491" s="2" t="s">
        <v>3414</v>
      </c>
      <c r="F491" s="2">
        <v>51460</v>
      </c>
      <c r="G491" s="3" t="str">
        <f>HYPERLINK("http://funmeta.oebiotech.com/network/51460", "http://funmeta.oebiotech.com/network/51460")</f>
        <v>http://funmeta.oebiotech.com/network/51460</v>
      </c>
      <c r="H491" s="2" t="s">
        <v>3415</v>
      </c>
      <c r="I491" s="2">
        <v>62416</v>
      </c>
      <c r="J491" s="2"/>
      <c r="K491" s="2">
        <v>145637</v>
      </c>
      <c r="L491" s="2"/>
      <c r="M491" s="2"/>
      <c r="N491" s="2"/>
      <c r="O491" s="2">
        <v>53481024</v>
      </c>
      <c r="P491" s="2"/>
      <c r="Q491" s="2" t="s">
        <v>3416</v>
      </c>
      <c r="R491" s="2" t="s">
        <v>3417</v>
      </c>
      <c r="S491" s="2" t="s">
        <v>79</v>
      </c>
      <c r="T491" s="2" t="s">
        <v>80</v>
      </c>
      <c r="U491" s="2" t="s">
        <v>81</v>
      </c>
      <c r="V491" s="2" t="s">
        <v>59</v>
      </c>
      <c r="W491" s="2">
        <v>39.9</v>
      </c>
      <c r="X491" s="2">
        <v>7.38</v>
      </c>
      <c r="Y491" s="2" t="s">
        <v>470</v>
      </c>
      <c r="Z491" s="2" t="s">
        <v>3418</v>
      </c>
      <c r="AA491" s="2">
        <v>-1.27934166495248</v>
      </c>
      <c r="AB491" s="2">
        <v>1.23889887665249</v>
      </c>
      <c r="AC491" s="2">
        <v>310843.12737863301</v>
      </c>
      <c r="AD491" s="2">
        <v>417223.21059869399</v>
      </c>
      <c r="AE491" s="2">
        <v>315899.25321795</v>
      </c>
      <c r="AF491" s="2">
        <v>334953.71102625801</v>
      </c>
      <c r="AG491" s="2">
        <v>320818.12045290298</v>
      </c>
      <c r="AH491" s="2">
        <v>283384.28678450501</v>
      </c>
      <c r="AI491" s="2">
        <v>311162.34711091901</v>
      </c>
      <c r="AJ491" s="2">
        <v>298841.04567926598</v>
      </c>
      <c r="AK491" s="2">
        <v>408843.27242589701</v>
      </c>
      <c r="AL491" s="2">
        <v>450099.94179670903</v>
      </c>
      <c r="AM491" s="2">
        <v>398009.60113070701</v>
      </c>
      <c r="AN491" s="2">
        <v>418227.21644403401</v>
      </c>
      <c r="AO491" s="2">
        <v>431140.07755168201</v>
      </c>
      <c r="AP491" s="2">
        <v>397019.15424313699</v>
      </c>
    </row>
    <row r="492" spans="1:42" ht="14.5" x14ac:dyDescent="0.35">
      <c r="A492" s="2" t="s">
        <v>3419</v>
      </c>
      <c r="B492" s="2">
        <v>301.125783989078</v>
      </c>
      <c r="C492" s="2">
        <v>3.3454666666666699</v>
      </c>
      <c r="D492" s="2" t="s">
        <v>34</v>
      </c>
      <c r="E492" s="2" t="s">
        <v>3420</v>
      </c>
      <c r="F492" s="2">
        <v>211379</v>
      </c>
      <c r="G492" s="3" t="str">
        <f>HYPERLINK("http://funmeta.oebiotech.com/network/211379", "http://funmeta.oebiotech.com/network/211379")</f>
        <v>http://funmeta.oebiotech.com/network/211379</v>
      </c>
      <c r="H492" s="2" t="s">
        <v>3421</v>
      </c>
      <c r="I492" s="2"/>
      <c r="J492" s="2"/>
      <c r="K492" s="2"/>
      <c r="L492" s="2"/>
      <c r="M492" s="2"/>
      <c r="N492" s="2"/>
      <c r="O492" s="2"/>
      <c r="P492" s="2"/>
      <c r="Q492" s="2" t="s">
        <v>3422</v>
      </c>
      <c r="R492" s="2" t="s">
        <v>3423</v>
      </c>
      <c r="S492" s="2" t="s">
        <v>41</v>
      </c>
      <c r="T492" s="2" t="s">
        <v>41</v>
      </c>
      <c r="U492" s="2" t="s">
        <v>41</v>
      </c>
      <c r="V492" s="2" t="s">
        <v>59</v>
      </c>
      <c r="W492" s="2">
        <v>41.1</v>
      </c>
      <c r="X492" s="2">
        <v>9.7799999999999994</v>
      </c>
      <c r="Y492" s="2" t="s">
        <v>43</v>
      </c>
      <c r="Z492" s="2" t="s">
        <v>3424</v>
      </c>
      <c r="AA492" s="2">
        <v>1.0241218664051599</v>
      </c>
      <c r="AB492" s="2">
        <v>1.23800118881522</v>
      </c>
      <c r="AC492" s="2">
        <v>396526.57455799001</v>
      </c>
      <c r="AD492" s="2">
        <v>501534.24891118502</v>
      </c>
      <c r="AE492" s="2">
        <v>391880.91260358598</v>
      </c>
      <c r="AF492" s="2">
        <v>382807.71424910403</v>
      </c>
      <c r="AG492" s="2">
        <v>386607.46769686602</v>
      </c>
      <c r="AH492" s="2">
        <v>396008.48096971598</v>
      </c>
      <c r="AI492" s="2">
        <v>408141.16811905499</v>
      </c>
      <c r="AJ492" s="2">
        <v>413713.70370961103</v>
      </c>
      <c r="AK492" s="2">
        <v>511355.69046701503</v>
      </c>
      <c r="AL492" s="2">
        <v>489261.448409862</v>
      </c>
      <c r="AM492" s="2">
        <v>511664.06700740597</v>
      </c>
      <c r="AN492" s="2">
        <v>487304.56618928601</v>
      </c>
      <c r="AO492" s="2">
        <v>474906.18518268998</v>
      </c>
      <c r="AP492" s="2">
        <v>534713.53621084895</v>
      </c>
    </row>
    <row r="493" spans="1:42" ht="14.5" x14ac:dyDescent="0.35">
      <c r="A493" s="2" t="s">
        <v>3425</v>
      </c>
      <c r="B493" s="2">
        <v>897.56588784622602</v>
      </c>
      <c r="C493" s="2">
        <v>11.7063166666667</v>
      </c>
      <c r="D493" s="2" t="s">
        <v>34</v>
      </c>
      <c r="E493" s="2" t="s">
        <v>3426</v>
      </c>
      <c r="F493" s="2">
        <v>229496</v>
      </c>
      <c r="G493" s="3" t="str">
        <f>HYPERLINK("http://funmeta.oebiotech.com/network/229496", "http://funmeta.oebiotech.com/network/229496")</f>
        <v>http://funmeta.oebiotech.com/network/229496</v>
      </c>
      <c r="H493" s="2" t="s">
        <v>3427</v>
      </c>
      <c r="I493" s="2"/>
      <c r="J493" s="2"/>
      <c r="K493" s="2"/>
      <c r="L493" s="2"/>
      <c r="M493" s="2"/>
      <c r="N493" s="2"/>
      <c r="O493" s="2"/>
      <c r="P493" s="2"/>
      <c r="Q493" s="2" t="s">
        <v>3428</v>
      </c>
      <c r="R493" s="2" t="s">
        <v>3429</v>
      </c>
      <c r="S493" s="2" t="s">
        <v>41</v>
      </c>
      <c r="T493" s="2" t="s">
        <v>41</v>
      </c>
      <c r="U493" s="2" t="s">
        <v>41</v>
      </c>
      <c r="V493" s="2" t="s">
        <v>59</v>
      </c>
      <c r="W493" s="2">
        <v>37.6</v>
      </c>
      <c r="X493" s="2">
        <v>25.1</v>
      </c>
      <c r="Y493" s="2" t="s">
        <v>394</v>
      </c>
      <c r="Z493" s="2" t="s">
        <v>652</v>
      </c>
      <c r="AA493" s="2">
        <v>-4.4584004346296</v>
      </c>
      <c r="AB493" s="2">
        <v>1.2368513495226301</v>
      </c>
      <c r="AC493" s="2">
        <v>1229.6246504057201</v>
      </c>
      <c r="AD493" s="2">
        <v>102073.564038103</v>
      </c>
      <c r="AE493" s="2">
        <v>2228.5393368728801</v>
      </c>
      <c r="AF493" s="2">
        <v>1036.5855422954701</v>
      </c>
      <c r="AG493" s="2">
        <v>743.61292997163002</v>
      </c>
      <c r="AH493" s="2">
        <v>1117.8020537157099</v>
      </c>
      <c r="AI493" s="2">
        <v>636.33452905057698</v>
      </c>
      <c r="AJ493" s="2">
        <v>1614.87351052808</v>
      </c>
      <c r="AK493" s="2">
        <v>94538.869429936094</v>
      </c>
      <c r="AL493" s="2">
        <v>90819.913732458997</v>
      </c>
      <c r="AM493" s="2">
        <v>109642.22119374201</v>
      </c>
      <c r="AN493" s="2">
        <v>101405.93871083501</v>
      </c>
      <c r="AO493" s="2">
        <v>110914.910826265</v>
      </c>
      <c r="AP493" s="2">
        <v>105119.53033538</v>
      </c>
    </row>
    <row r="494" spans="1:42" ht="14.5" x14ac:dyDescent="0.35">
      <c r="A494" s="2" t="s">
        <v>3430</v>
      </c>
      <c r="B494" s="2">
        <v>309.11897461215801</v>
      </c>
      <c r="C494" s="2">
        <v>1.5991</v>
      </c>
      <c r="D494" s="2" t="s">
        <v>70</v>
      </c>
      <c r="E494" s="2" t="s">
        <v>3431</v>
      </c>
      <c r="F494" s="2">
        <v>64288</v>
      </c>
      <c r="G494" s="3" t="str">
        <f>HYPERLINK("http://funmeta.oebiotech.com/network/64288", "http://funmeta.oebiotech.com/network/64288")</f>
        <v>http://funmeta.oebiotech.com/network/64288</v>
      </c>
      <c r="H494" s="2" t="s">
        <v>3432</v>
      </c>
      <c r="I494" s="2"/>
      <c r="J494" s="2"/>
      <c r="K494" s="2"/>
      <c r="L494" s="2"/>
      <c r="M494" s="2"/>
      <c r="N494" s="2"/>
      <c r="O494" s="2">
        <v>131753062</v>
      </c>
      <c r="P494" s="2"/>
      <c r="Q494" s="2" t="s">
        <v>3433</v>
      </c>
      <c r="R494" s="2" t="s">
        <v>3434</v>
      </c>
      <c r="S494" s="2" t="s">
        <v>50</v>
      </c>
      <c r="T494" s="2" t="s">
        <v>229</v>
      </c>
      <c r="U494" s="2" t="s">
        <v>230</v>
      </c>
      <c r="V494" s="2" t="s">
        <v>59</v>
      </c>
      <c r="W494" s="2">
        <v>47.5</v>
      </c>
      <c r="X494" s="2">
        <v>40.6</v>
      </c>
      <c r="Y494" s="2" t="s">
        <v>408</v>
      </c>
      <c r="Z494" s="2" t="s">
        <v>3435</v>
      </c>
      <c r="AA494" s="2">
        <v>-0.49687912259538197</v>
      </c>
      <c r="AB494" s="2">
        <v>1.23676330919791</v>
      </c>
      <c r="AC494" s="2">
        <v>401709.48345391999</v>
      </c>
      <c r="AD494" s="2">
        <v>510696.60513328202</v>
      </c>
      <c r="AE494" s="2">
        <v>407887.937018061</v>
      </c>
      <c r="AF494" s="2">
        <v>392282.51194990001</v>
      </c>
      <c r="AG494" s="2">
        <v>380014.71969231701</v>
      </c>
      <c r="AH494" s="2">
        <v>393513.84706108703</v>
      </c>
      <c r="AI494" s="2">
        <v>429203.199968806</v>
      </c>
      <c r="AJ494" s="2">
        <v>407354.68503335002</v>
      </c>
      <c r="AK494" s="2">
        <v>501397.60071687901</v>
      </c>
      <c r="AL494" s="2">
        <v>468200.23629119003</v>
      </c>
      <c r="AM494" s="2">
        <v>514815.57159613201</v>
      </c>
      <c r="AN494" s="2">
        <v>501563.71501624002</v>
      </c>
      <c r="AO494" s="2">
        <v>509554.50114341901</v>
      </c>
      <c r="AP494" s="2">
        <v>568648.00603583001</v>
      </c>
    </row>
    <row r="495" spans="1:42" ht="14.5" x14ac:dyDescent="0.35">
      <c r="A495" s="2" t="s">
        <v>3436</v>
      </c>
      <c r="B495" s="2">
        <v>565.11363510778199</v>
      </c>
      <c r="C495" s="2">
        <v>9.4771666666666707</v>
      </c>
      <c r="D495" s="2" t="s">
        <v>70</v>
      </c>
      <c r="E495" s="2" t="s">
        <v>3437</v>
      </c>
      <c r="F495" s="2">
        <v>29138</v>
      </c>
      <c r="G495" s="3" t="str">
        <f>HYPERLINK("http://funmeta.oebiotech.com/network/29138", "http://funmeta.oebiotech.com/network/29138")</f>
        <v>http://funmeta.oebiotech.com/network/29138</v>
      </c>
      <c r="H495" s="2" t="s">
        <v>3438</v>
      </c>
      <c r="I495" s="2">
        <v>43726</v>
      </c>
      <c r="J495" s="2" t="s">
        <v>3439</v>
      </c>
      <c r="K495" s="2">
        <v>79087</v>
      </c>
      <c r="L495" s="2"/>
      <c r="M495" s="2"/>
      <c r="N495" s="2"/>
      <c r="O495" s="2">
        <v>5318569</v>
      </c>
      <c r="P495" s="2" t="s">
        <v>3440</v>
      </c>
      <c r="Q495" s="2" t="s">
        <v>3441</v>
      </c>
      <c r="R495" s="2" t="s">
        <v>3442</v>
      </c>
      <c r="S495" s="2" t="s">
        <v>115</v>
      </c>
      <c r="T495" s="2" t="s">
        <v>139</v>
      </c>
      <c r="U495" s="2" t="s">
        <v>957</v>
      </c>
      <c r="V495" s="2" t="s">
        <v>42</v>
      </c>
      <c r="W495" s="2">
        <v>55.2</v>
      </c>
      <c r="X495" s="2">
        <v>86.2</v>
      </c>
      <c r="Y495" s="2" t="s">
        <v>498</v>
      </c>
      <c r="Z495" s="2" t="s">
        <v>3443</v>
      </c>
      <c r="AA495" s="2">
        <v>-0.68070457688249697</v>
      </c>
      <c r="AB495" s="2">
        <v>1.2353667560419299</v>
      </c>
      <c r="AC495" s="2">
        <v>954850.96140904096</v>
      </c>
      <c r="AD495" s="2">
        <v>765509.08511318604</v>
      </c>
      <c r="AE495" s="2">
        <v>807629.412359362</v>
      </c>
      <c r="AF495" s="2">
        <v>729703.144305525</v>
      </c>
      <c r="AG495" s="2">
        <v>813465.71527834004</v>
      </c>
      <c r="AH495" s="2">
        <v>1215707.6702707601</v>
      </c>
      <c r="AI495" s="2">
        <v>1147482.52653627</v>
      </c>
      <c r="AJ495" s="2">
        <v>1015117.29970399</v>
      </c>
      <c r="AK495" s="2">
        <v>659258.50662462902</v>
      </c>
      <c r="AL495" s="2">
        <v>755079.83847586904</v>
      </c>
      <c r="AM495" s="2">
        <v>742933.58224460494</v>
      </c>
      <c r="AN495" s="2">
        <v>826528.487660249</v>
      </c>
      <c r="AO495" s="2">
        <v>941705.20416869002</v>
      </c>
      <c r="AP495" s="2">
        <v>667548.89150507504</v>
      </c>
    </row>
    <row r="496" spans="1:42" ht="14.5" x14ac:dyDescent="0.35">
      <c r="A496" s="2" t="s">
        <v>3444</v>
      </c>
      <c r="B496" s="2">
        <v>139.03877288355801</v>
      </c>
      <c r="C496" s="2">
        <v>3.4080166666666698</v>
      </c>
      <c r="D496" s="2" t="s">
        <v>70</v>
      </c>
      <c r="E496" s="2" t="s">
        <v>3445</v>
      </c>
      <c r="F496" s="2">
        <v>144417</v>
      </c>
      <c r="G496" s="3" t="str">
        <f>HYPERLINK("http://funmeta.oebiotech.com/network/144417", "http://funmeta.oebiotech.com/network/144417")</f>
        <v>http://funmeta.oebiotech.com/network/144417</v>
      </c>
      <c r="H496" s="2" t="s">
        <v>3446</v>
      </c>
      <c r="I496" s="2">
        <v>44540</v>
      </c>
      <c r="J496" s="2"/>
      <c r="K496" s="2"/>
      <c r="L496" s="2"/>
      <c r="M496" s="2"/>
      <c r="N496" s="2"/>
      <c r="O496" s="2">
        <v>121805</v>
      </c>
      <c r="P496" s="2" t="s">
        <v>3447</v>
      </c>
      <c r="Q496" s="2" t="s">
        <v>3448</v>
      </c>
      <c r="R496" s="2" t="s">
        <v>3449</v>
      </c>
      <c r="S496" s="2" t="s">
        <v>148</v>
      </c>
      <c r="T496" s="2" t="s">
        <v>392</v>
      </c>
      <c r="U496" s="2" t="s">
        <v>3450</v>
      </c>
      <c r="V496" s="2" t="s">
        <v>42</v>
      </c>
      <c r="W496" s="2">
        <v>55.6</v>
      </c>
      <c r="X496" s="2">
        <v>88.6</v>
      </c>
      <c r="Y496" s="2" t="s">
        <v>118</v>
      </c>
      <c r="Z496" s="2" t="s">
        <v>3451</v>
      </c>
      <c r="AA496" s="2">
        <v>-9.2454426027688097</v>
      </c>
      <c r="AB496" s="2">
        <v>1.2346613534422299</v>
      </c>
      <c r="AC496" s="2">
        <v>801109.331360257</v>
      </c>
      <c r="AD496" s="2">
        <v>694530.02189206402</v>
      </c>
      <c r="AE496" s="2">
        <v>813218.49644619494</v>
      </c>
      <c r="AF496" s="2">
        <v>757820.65310313099</v>
      </c>
      <c r="AG496" s="2">
        <v>794230.69394982501</v>
      </c>
      <c r="AH496" s="2">
        <v>810442.08354144695</v>
      </c>
      <c r="AI496" s="2">
        <v>814835.65821148898</v>
      </c>
      <c r="AJ496" s="2">
        <v>816108.40290945605</v>
      </c>
      <c r="AK496" s="2">
        <v>688411.19624267996</v>
      </c>
      <c r="AL496" s="2">
        <v>694439.60642498196</v>
      </c>
      <c r="AM496" s="2">
        <v>725467.79127572803</v>
      </c>
      <c r="AN496" s="2">
        <v>704925.68996248802</v>
      </c>
      <c r="AO496" s="2">
        <v>677162.12596614996</v>
      </c>
      <c r="AP496" s="2">
        <v>676773.72148035804</v>
      </c>
    </row>
    <row r="497" spans="1:42" ht="14.5" x14ac:dyDescent="0.35">
      <c r="A497" s="2" t="s">
        <v>3452</v>
      </c>
      <c r="B497" s="2">
        <v>503.18893602455898</v>
      </c>
      <c r="C497" s="2">
        <v>4.3632666666666697</v>
      </c>
      <c r="D497" s="2" t="s">
        <v>34</v>
      </c>
      <c r="E497" s="2" t="s">
        <v>3453</v>
      </c>
      <c r="F497" s="2">
        <v>211689</v>
      </c>
      <c r="G497" s="3" t="str">
        <f>HYPERLINK("http://funmeta.oebiotech.com/network/211689", "http://funmeta.oebiotech.com/network/211689")</f>
        <v>http://funmeta.oebiotech.com/network/211689</v>
      </c>
      <c r="H497" s="2" t="s">
        <v>3454</v>
      </c>
      <c r="I497" s="2"/>
      <c r="J497" s="2"/>
      <c r="K497" s="2"/>
      <c r="L497" s="2"/>
      <c r="M497" s="2"/>
      <c r="N497" s="2"/>
      <c r="O497" s="2">
        <v>68004488</v>
      </c>
      <c r="P497" s="2"/>
      <c r="Q497" s="2" t="s">
        <v>3455</v>
      </c>
      <c r="R497" s="2" t="s">
        <v>3456</v>
      </c>
      <c r="S497" s="2" t="s">
        <v>41</v>
      </c>
      <c r="T497" s="2" t="s">
        <v>41</v>
      </c>
      <c r="U497" s="2" t="s">
        <v>41</v>
      </c>
      <c r="V497" s="2" t="s">
        <v>59</v>
      </c>
      <c r="W497" s="2">
        <v>42.6</v>
      </c>
      <c r="X497" s="2">
        <v>17.3</v>
      </c>
      <c r="Y497" s="2" t="s">
        <v>43</v>
      </c>
      <c r="Z497" s="2" t="s">
        <v>3457</v>
      </c>
      <c r="AA497" s="2">
        <v>0.922956128624698</v>
      </c>
      <c r="AB497" s="2">
        <v>1.2345264046036499</v>
      </c>
      <c r="AC497" s="2">
        <v>271600.34613983001</v>
      </c>
      <c r="AD497" s="2">
        <v>389348.62854641402</v>
      </c>
      <c r="AE497" s="2">
        <v>273038.43748035398</v>
      </c>
      <c r="AF497" s="2">
        <v>315596.652906982</v>
      </c>
      <c r="AG497" s="2">
        <v>251921.12755179399</v>
      </c>
      <c r="AH497" s="2">
        <v>244839.10678936401</v>
      </c>
      <c r="AI497" s="2">
        <v>280736.99688483903</v>
      </c>
      <c r="AJ497" s="2">
        <v>263469.75522564899</v>
      </c>
      <c r="AK497" s="2">
        <v>389551.043095803</v>
      </c>
      <c r="AL497" s="2">
        <v>376991.89973429701</v>
      </c>
      <c r="AM497" s="2">
        <v>405990.239007522</v>
      </c>
      <c r="AN497" s="2">
        <v>472008.242039498</v>
      </c>
      <c r="AO497" s="2">
        <v>312545.75519890001</v>
      </c>
      <c r="AP497" s="2">
        <v>379004.59220246703</v>
      </c>
    </row>
    <row r="498" spans="1:42" ht="14.5" x14ac:dyDescent="0.35">
      <c r="A498" s="2" t="s">
        <v>3458</v>
      </c>
      <c r="B498" s="2">
        <v>401.15699172382898</v>
      </c>
      <c r="C498" s="2">
        <v>4.89903333333333</v>
      </c>
      <c r="D498" s="2" t="s">
        <v>34</v>
      </c>
      <c r="E498" s="2" t="s">
        <v>3459</v>
      </c>
      <c r="F498" s="2">
        <v>58489</v>
      </c>
      <c r="G498" s="3" t="str">
        <f>HYPERLINK("http://funmeta.oebiotech.com/network/58489", "http://funmeta.oebiotech.com/network/58489")</f>
        <v>http://funmeta.oebiotech.com/network/58489</v>
      </c>
      <c r="H498" s="2" t="s">
        <v>3460</v>
      </c>
      <c r="I498" s="2"/>
      <c r="J498" s="2"/>
      <c r="K498" s="2"/>
      <c r="L498" s="2" t="s">
        <v>3461</v>
      </c>
      <c r="M498" s="2"/>
      <c r="N498" s="2"/>
      <c r="O498" s="2"/>
      <c r="P498" s="2" t="s">
        <v>3462</v>
      </c>
      <c r="Q498" s="2" t="s">
        <v>3463</v>
      </c>
      <c r="R498" s="2" t="s">
        <v>3464</v>
      </c>
      <c r="S498" s="2" t="s">
        <v>50</v>
      </c>
      <c r="T498" s="2" t="s">
        <v>201</v>
      </c>
      <c r="U498" s="2" t="s">
        <v>1217</v>
      </c>
      <c r="V498" s="2" t="s">
        <v>59</v>
      </c>
      <c r="W498" s="2">
        <v>39.299999999999997</v>
      </c>
      <c r="X498" s="2">
        <v>1.75</v>
      </c>
      <c r="Y498" s="2" t="s">
        <v>323</v>
      </c>
      <c r="Z498" s="2" t="s">
        <v>3465</v>
      </c>
      <c r="AA498" s="2">
        <v>-0.21717052405590301</v>
      </c>
      <c r="AB498" s="2">
        <v>1.2342778732906901</v>
      </c>
      <c r="AC498" s="2">
        <v>85384.676064204003</v>
      </c>
      <c r="AD498" s="2">
        <v>187835.201456115</v>
      </c>
      <c r="AE498" s="2">
        <v>83235.558982587696</v>
      </c>
      <c r="AF498" s="2">
        <v>94296.210761232302</v>
      </c>
      <c r="AG498" s="2">
        <v>90998.798475175499</v>
      </c>
      <c r="AH498" s="2">
        <v>76444.434577309003</v>
      </c>
      <c r="AI498" s="2">
        <v>83769.779285411394</v>
      </c>
      <c r="AJ498" s="2">
        <v>83563.274303508297</v>
      </c>
      <c r="AK498" s="2">
        <v>215147.111206879</v>
      </c>
      <c r="AL498" s="2">
        <v>187276.18008684501</v>
      </c>
      <c r="AM498" s="2">
        <v>172501.213570983</v>
      </c>
      <c r="AN498" s="2">
        <v>187872.14849630799</v>
      </c>
      <c r="AO498" s="2">
        <v>193368.252851895</v>
      </c>
      <c r="AP498" s="2">
        <v>170846.30252378</v>
      </c>
    </row>
    <row r="499" spans="1:42" ht="14.5" x14ac:dyDescent="0.35">
      <c r="A499" s="2" t="s">
        <v>3466</v>
      </c>
      <c r="B499" s="2">
        <v>557.23909924794395</v>
      </c>
      <c r="C499" s="2">
        <v>5.37571666666667</v>
      </c>
      <c r="D499" s="2" t="s">
        <v>70</v>
      </c>
      <c r="E499" s="2" t="s">
        <v>3467</v>
      </c>
      <c r="F499" s="2">
        <v>204218</v>
      </c>
      <c r="G499" s="3" t="str">
        <f>HYPERLINK("http://funmeta.oebiotech.com/network/204218", "http://funmeta.oebiotech.com/network/204218")</f>
        <v>http://funmeta.oebiotech.com/network/204218</v>
      </c>
      <c r="H499" s="2" t="s">
        <v>3468</v>
      </c>
      <c r="I499" s="2">
        <v>70115</v>
      </c>
      <c r="J499" s="2"/>
      <c r="K499" s="2"/>
      <c r="L499" s="2" t="s">
        <v>3469</v>
      </c>
      <c r="M499" s="2"/>
      <c r="N499" s="2"/>
      <c r="O499" s="2">
        <v>15284</v>
      </c>
      <c r="P499" s="2" t="s">
        <v>3470</v>
      </c>
      <c r="Q499" s="2" t="s">
        <v>3471</v>
      </c>
      <c r="R499" s="2" t="s">
        <v>3472</v>
      </c>
      <c r="S499" s="2" t="s">
        <v>148</v>
      </c>
      <c r="T499" s="2" t="s">
        <v>149</v>
      </c>
      <c r="U499" s="2" t="s">
        <v>3473</v>
      </c>
      <c r="V499" s="2" t="s">
        <v>59</v>
      </c>
      <c r="W499" s="2">
        <v>44.4</v>
      </c>
      <c r="X499" s="2">
        <v>27.4</v>
      </c>
      <c r="Y499" s="2" t="s">
        <v>286</v>
      </c>
      <c r="Z499" s="2" t="s">
        <v>3474</v>
      </c>
      <c r="AA499" s="2">
        <v>-0.23764800572216899</v>
      </c>
      <c r="AB499" s="2">
        <v>1.2339852334586801</v>
      </c>
      <c r="AC499" s="2">
        <v>774113.79143190105</v>
      </c>
      <c r="AD499" s="2">
        <v>661798.19335165701</v>
      </c>
      <c r="AE499" s="2">
        <v>753007.62542228703</v>
      </c>
      <c r="AF499" s="2">
        <v>809779.84468412295</v>
      </c>
      <c r="AG499" s="2">
        <v>764366.25474886503</v>
      </c>
      <c r="AH499" s="2">
        <v>742940.96727551904</v>
      </c>
      <c r="AI499" s="2">
        <v>803048.66033036495</v>
      </c>
      <c r="AJ499" s="2">
        <v>771539.39613024704</v>
      </c>
      <c r="AK499" s="2">
        <v>665466.81902488496</v>
      </c>
      <c r="AL499" s="2">
        <v>654050.719830952</v>
      </c>
      <c r="AM499" s="2">
        <v>678429.18182002404</v>
      </c>
      <c r="AN499" s="2">
        <v>703405.19914610498</v>
      </c>
      <c r="AO499" s="2">
        <v>600061.73145251197</v>
      </c>
      <c r="AP499" s="2">
        <v>669375.50883546402</v>
      </c>
    </row>
    <row r="500" spans="1:42" ht="14.5" x14ac:dyDescent="0.35">
      <c r="A500" s="2" t="s">
        <v>3475</v>
      </c>
      <c r="B500" s="2">
        <v>372.21637836330899</v>
      </c>
      <c r="C500" s="2">
        <v>6.2166833333333296</v>
      </c>
      <c r="D500" s="2" t="s">
        <v>34</v>
      </c>
      <c r="E500" s="2" t="s">
        <v>3476</v>
      </c>
      <c r="F500" s="2">
        <v>274777</v>
      </c>
      <c r="G500" s="3" t="str">
        <f>HYPERLINK("http://funmeta.oebiotech.com/network/274777", "http://funmeta.oebiotech.com/network/274777")</f>
        <v>http://funmeta.oebiotech.com/network/274777</v>
      </c>
      <c r="H500" s="2"/>
      <c r="I500" s="2">
        <v>65465</v>
      </c>
      <c r="J500" s="2"/>
      <c r="K500" s="2"/>
      <c r="L500" s="2"/>
      <c r="M500" s="2"/>
      <c r="N500" s="2"/>
      <c r="O500" s="2">
        <v>101804813</v>
      </c>
      <c r="P500" s="2"/>
      <c r="Q500" s="2" t="s">
        <v>3477</v>
      </c>
      <c r="R500" s="2" t="s">
        <v>3478</v>
      </c>
      <c r="S500" s="2" t="s">
        <v>491</v>
      </c>
      <c r="T500" s="2" t="s">
        <v>3479</v>
      </c>
      <c r="U500" s="2" t="s">
        <v>3480</v>
      </c>
      <c r="V500" s="2" t="s">
        <v>59</v>
      </c>
      <c r="W500" s="2">
        <v>38.4</v>
      </c>
      <c r="X500" s="2">
        <v>0</v>
      </c>
      <c r="Y500" s="2" t="s">
        <v>266</v>
      </c>
      <c r="Z500" s="2" t="s">
        <v>3481</v>
      </c>
      <c r="AA500" s="2">
        <v>-1.49910366854156</v>
      </c>
      <c r="AB500" s="2">
        <v>1.23339384732351</v>
      </c>
      <c r="AC500" s="2">
        <v>995266.38743769506</v>
      </c>
      <c r="AD500" s="2">
        <v>877428.174181754</v>
      </c>
      <c r="AE500" s="2">
        <v>997707.84800646303</v>
      </c>
      <c r="AF500" s="2">
        <v>1052134.38061746</v>
      </c>
      <c r="AG500" s="2">
        <v>957415.30676263303</v>
      </c>
      <c r="AH500" s="2">
        <v>973305.98087710899</v>
      </c>
      <c r="AI500" s="2">
        <v>934314.96549221606</v>
      </c>
      <c r="AJ500" s="2">
        <v>1056719.8428702899</v>
      </c>
      <c r="AK500" s="2">
        <v>849108.552645077</v>
      </c>
      <c r="AL500" s="2">
        <v>933273.50828155503</v>
      </c>
      <c r="AM500" s="2">
        <v>886720.48869854095</v>
      </c>
      <c r="AN500" s="2">
        <v>859258.89324543299</v>
      </c>
      <c r="AO500" s="2">
        <v>879945.46323910204</v>
      </c>
      <c r="AP500" s="2">
        <v>856262.13898081298</v>
      </c>
    </row>
    <row r="501" spans="1:42" ht="14.5" x14ac:dyDescent="0.35">
      <c r="A501" s="2" t="s">
        <v>3482</v>
      </c>
      <c r="B501" s="2">
        <v>719.34471253097797</v>
      </c>
      <c r="C501" s="2">
        <v>6.7070999999999996</v>
      </c>
      <c r="D501" s="2" t="s">
        <v>70</v>
      </c>
      <c r="E501" s="2" t="s">
        <v>3483</v>
      </c>
      <c r="F501" s="2">
        <v>27997</v>
      </c>
      <c r="G501" s="3" t="str">
        <f>HYPERLINK("http://funmeta.oebiotech.com/network/27997", "http://funmeta.oebiotech.com/network/27997")</f>
        <v>http://funmeta.oebiotech.com/network/27997</v>
      </c>
      <c r="H501" s="2"/>
      <c r="I501" s="2"/>
      <c r="J501" s="2" t="s">
        <v>3484</v>
      </c>
      <c r="K501" s="2"/>
      <c r="L501" s="2"/>
      <c r="M501" s="2"/>
      <c r="N501" s="2"/>
      <c r="O501" s="2">
        <v>134812444</v>
      </c>
      <c r="P501" s="2"/>
      <c r="Q501" s="2" t="s">
        <v>3485</v>
      </c>
      <c r="R501" s="2" t="s">
        <v>3486</v>
      </c>
      <c r="S501" s="2" t="s">
        <v>50</v>
      </c>
      <c r="T501" s="2" t="s">
        <v>51</v>
      </c>
      <c r="U501" s="2" t="s">
        <v>52</v>
      </c>
      <c r="V501" s="2" t="s">
        <v>59</v>
      </c>
      <c r="W501" s="2">
        <v>41.2</v>
      </c>
      <c r="X501" s="2">
        <v>18.8</v>
      </c>
      <c r="Y501" s="2" t="s">
        <v>751</v>
      </c>
      <c r="Z501" s="2" t="s">
        <v>3487</v>
      </c>
      <c r="AA501" s="2">
        <v>4.5991647999866396</v>
      </c>
      <c r="AB501" s="2">
        <v>1.2333063525153201</v>
      </c>
      <c r="AC501" s="2">
        <v>260735.95230659799</v>
      </c>
      <c r="AD501" s="2">
        <v>362418.42250969401</v>
      </c>
      <c r="AE501" s="2">
        <v>253952.18544084401</v>
      </c>
      <c r="AF501" s="2">
        <v>245638.07981297301</v>
      </c>
      <c r="AG501" s="2">
        <v>258511.321566528</v>
      </c>
      <c r="AH501" s="2">
        <v>256251.926726862</v>
      </c>
      <c r="AI501" s="2">
        <v>278312.95035451802</v>
      </c>
      <c r="AJ501" s="2">
        <v>271749.24993786501</v>
      </c>
      <c r="AK501" s="2">
        <v>348744.872903771</v>
      </c>
      <c r="AL501" s="2">
        <v>357281.10683564801</v>
      </c>
      <c r="AM501" s="2">
        <v>383518.895851532</v>
      </c>
      <c r="AN501" s="2">
        <v>360260.21954231203</v>
      </c>
      <c r="AO501" s="2">
        <v>366059.19282081001</v>
      </c>
      <c r="AP501" s="2">
        <v>358646.24710409099</v>
      </c>
    </row>
    <row r="502" spans="1:42" ht="14.5" x14ac:dyDescent="0.35">
      <c r="A502" s="2" t="s">
        <v>3488</v>
      </c>
      <c r="B502" s="2">
        <v>873.41216530492602</v>
      </c>
      <c r="C502" s="2">
        <v>9.3027999999999995</v>
      </c>
      <c r="D502" s="2" t="s">
        <v>70</v>
      </c>
      <c r="E502" s="2" t="s">
        <v>3489</v>
      </c>
      <c r="F502" s="2">
        <v>58363</v>
      </c>
      <c r="G502" s="3" t="str">
        <f>HYPERLINK("http://funmeta.oebiotech.com/network/58363", "http://funmeta.oebiotech.com/network/58363")</f>
        <v>http://funmeta.oebiotech.com/network/58363</v>
      </c>
      <c r="H502" s="2" t="s">
        <v>3490</v>
      </c>
      <c r="I502" s="2">
        <v>89845</v>
      </c>
      <c r="J502" s="2"/>
      <c r="K502" s="2"/>
      <c r="L502" s="2"/>
      <c r="M502" s="2"/>
      <c r="N502" s="2"/>
      <c r="O502" s="2">
        <v>75072220</v>
      </c>
      <c r="P502" s="2" t="s">
        <v>3491</v>
      </c>
      <c r="Q502" s="2" t="s">
        <v>3492</v>
      </c>
      <c r="R502" s="2" t="s">
        <v>3493</v>
      </c>
      <c r="S502" s="2" t="s">
        <v>50</v>
      </c>
      <c r="T502" s="2" t="s">
        <v>124</v>
      </c>
      <c r="U502" s="2" t="s">
        <v>567</v>
      </c>
      <c r="V502" s="2" t="s">
        <v>42</v>
      </c>
      <c r="W502" s="2">
        <v>57</v>
      </c>
      <c r="X502" s="2">
        <v>86.4</v>
      </c>
      <c r="Y502" s="2" t="s">
        <v>408</v>
      </c>
      <c r="Z502" s="2" t="s">
        <v>3494</v>
      </c>
      <c r="AA502" s="2">
        <v>-0.46854581056302602</v>
      </c>
      <c r="AB502" s="2">
        <v>1.2313285278688599</v>
      </c>
      <c r="AC502" s="2">
        <v>211205.19905110399</v>
      </c>
      <c r="AD502" s="2">
        <v>109564.570050486</v>
      </c>
      <c r="AE502" s="2">
        <v>193045.656141176</v>
      </c>
      <c r="AF502" s="2">
        <v>204222.240519568</v>
      </c>
      <c r="AG502" s="2">
        <v>225786.37620238401</v>
      </c>
      <c r="AH502" s="2">
        <v>231356.534480325</v>
      </c>
      <c r="AI502" s="2">
        <v>200764.59663319899</v>
      </c>
      <c r="AJ502" s="2">
        <v>212055.79032997499</v>
      </c>
      <c r="AK502" s="2">
        <v>113935.988138685</v>
      </c>
      <c r="AL502" s="2">
        <v>105542.348342257</v>
      </c>
      <c r="AM502" s="2">
        <v>117615.967163608</v>
      </c>
      <c r="AN502" s="2">
        <v>98499.428063462401</v>
      </c>
      <c r="AO502" s="2">
        <v>103420.48361674701</v>
      </c>
      <c r="AP502" s="2">
        <v>118373.204978158</v>
      </c>
    </row>
    <row r="503" spans="1:42" ht="14.5" x14ac:dyDescent="0.35">
      <c r="A503" s="2" t="s">
        <v>3495</v>
      </c>
      <c r="B503" s="2">
        <v>527.22571180657405</v>
      </c>
      <c r="C503" s="2">
        <v>5.5233833333333298</v>
      </c>
      <c r="D503" s="2" t="s">
        <v>34</v>
      </c>
      <c r="E503" s="2" t="s">
        <v>3496</v>
      </c>
      <c r="F503" s="2">
        <v>62092</v>
      </c>
      <c r="G503" s="3" t="str">
        <f>HYPERLINK("http://funmeta.oebiotech.com/network/62092", "http://funmeta.oebiotech.com/network/62092")</f>
        <v>http://funmeta.oebiotech.com/network/62092</v>
      </c>
      <c r="H503" s="2" t="s">
        <v>3497</v>
      </c>
      <c r="I503" s="2">
        <v>93385</v>
      </c>
      <c r="J503" s="2"/>
      <c r="K503" s="2">
        <v>172711</v>
      </c>
      <c r="L503" s="2"/>
      <c r="M503" s="2"/>
      <c r="N503" s="2"/>
      <c r="O503" s="2">
        <v>131752442</v>
      </c>
      <c r="P503" s="2"/>
      <c r="Q503" s="2" t="s">
        <v>3498</v>
      </c>
      <c r="R503" s="2" t="s">
        <v>3499</v>
      </c>
      <c r="S503" s="2" t="s">
        <v>50</v>
      </c>
      <c r="T503" s="2" t="s">
        <v>229</v>
      </c>
      <c r="U503" s="2" t="s">
        <v>230</v>
      </c>
      <c r="V503" s="2" t="s">
        <v>59</v>
      </c>
      <c r="W503" s="2">
        <v>38.9</v>
      </c>
      <c r="X503" s="2">
        <v>0.17899999999999999</v>
      </c>
      <c r="Y503" s="2" t="s">
        <v>340</v>
      </c>
      <c r="Z503" s="2" t="s">
        <v>3500</v>
      </c>
      <c r="AA503" s="2">
        <v>0.83202881092867198</v>
      </c>
      <c r="AB503" s="2">
        <v>1.2291786234618001</v>
      </c>
      <c r="AC503" s="2">
        <v>206283.845521357</v>
      </c>
      <c r="AD503" s="2">
        <v>106482.621361935</v>
      </c>
      <c r="AE503" s="2">
        <v>191434.248375664</v>
      </c>
      <c r="AF503" s="2">
        <v>217448.480841054</v>
      </c>
      <c r="AG503" s="2">
        <v>212821.69119937299</v>
      </c>
      <c r="AH503" s="2">
        <v>210312.80552398201</v>
      </c>
      <c r="AI503" s="2">
        <v>201401.97948968899</v>
      </c>
      <c r="AJ503" s="2">
        <v>204283.86769838</v>
      </c>
      <c r="AK503" s="2">
        <v>104536.817199043</v>
      </c>
      <c r="AL503" s="2">
        <v>106087.030793392</v>
      </c>
      <c r="AM503" s="2">
        <v>107643.25494298201</v>
      </c>
      <c r="AN503" s="2">
        <v>104422.972277152</v>
      </c>
      <c r="AO503" s="2">
        <v>106080.905475184</v>
      </c>
      <c r="AP503" s="2">
        <v>110124.747483856</v>
      </c>
    </row>
    <row r="504" spans="1:42" ht="14.5" x14ac:dyDescent="0.35">
      <c r="A504" s="2" t="s">
        <v>3501</v>
      </c>
      <c r="B504" s="2">
        <v>461.289177879156</v>
      </c>
      <c r="C504" s="2">
        <v>10.5277666666667</v>
      </c>
      <c r="D504" s="2" t="s">
        <v>34</v>
      </c>
      <c r="E504" s="2" t="s">
        <v>3502</v>
      </c>
      <c r="F504" s="2">
        <v>45006</v>
      </c>
      <c r="G504" s="3" t="str">
        <f>HYPERLINK("http://funmeta.oebiotech.com/network/45006", "http://funmeta.oebiotech.com/network/45006")</f>
        <v>http://funmeta.oebiotech.com/network/45006</v>
      </c>
      <c r="H504" s="2"/>
      <c r="I504" s="2">
        <v>41882</v>
      </c>
      <c r="J504" s="2" t="s">
        <v>3503</v>
      </c>
      <c r="K504" s="2">
        <v>31676</v>
      </c>
      <c r="L504" s="2" t="s">
        <v>3504</v>
      </c>
      <c r="M504" s="2"/>
      <c r="N504" s="2"/>
      <c r="O504" s="2">
        <v>107423</v>
      </c>
      <c r="P504" s="2"/>
      <c r="Q504" s="2" t="s">
        <v>3505</v>
      </c>
      <c r="R504" s="2" t="s">
        <v>3506</v>
      </c>
      <c r="S504" s="2" t="s">
        <v>50</v>
      </c>
      <c r="T504" s="2" t="s">
        <v>124</v>
      </c>
      <c r="U504" s="2" t="s">
        <v>929</v>
      </c>
      <c r="V504" s="2" t="s">
        <v>59</v>
      </c>
      <c r="W504" s="2">
        <v>46.9</v>
      </c>
      <c r="X504" s="2">
        <v>41.6</v>
      </c>
      <c r="Y504" s="2" t="s">
        <v>1008</v>
      </c>
      <c r="Z504" s="2" t="s">
        <v>3507</v>
      </c>
      <c r="AA504" s="2">
        <v>-1.2765052295214001</v>
      </c>
      <c r="AB504" s="2">
        <v>1.2285443847886</v>
      </c>
      <c r="AC504" s="2">
        <v>111849.47969203199</v>
      </c>
      <c r="AD504" s="2">
        <v>12457.0441690808</v>
      </c>
      <c r="AE504" s="2">
        <v>107992.36036655999</v>
      </c>
      <c r="AF504" s="2">
        <v>116606.103314286</v>
      </c>
      <c r="AG504" s="2">
        <v>113798.375038898</v>
      </c>
      <c r="AH504" s="2">
        <v>108174.11582371499</v>
      </c>
      <c r="AI504" s="2">
        <v>101215.53191803501</v>
      </c>
      <c r="AJ504" s="2">
        <v>123310.39169069999</v>
      </c>
      <c r="AK504" s="2">
        <v>13893.268126340899</v>
      </c>
      <c r="AL504" s="2">
        <v>14159.3443452703</v>
      </c>
      <c r="AM504" s="2">
        <v>11175.556261838299</v>
      </c>
      <c r="AN504" s="2">
        <v>12715.808193827401</v>
      </c>
      <c r="AO504" s="2">
        <v>11423.885363270299</v>
      </c>
      <c r="AP504" s="2">
        <v>11374.402723937401</v>
      </c>
    </row>
    <row r="505" spans="1:42" ht="14.5" x14ac:dyDescent="0.35">
      <c r="A505" s="2" t="s">
        <v>3508</v>
      </c>
      <c r="B505" s="2">
        <v>1037.51435591933</v>
      </c>
      <c r="C505" s="2">
        <v>10.611800000000001</v>
      </c>
      <c r="D505" s="2" t="s">
        <v>70</v>
      </c>
      <c r="E505" s="2" t="s">
        <v>3509</v>
      </c>
      <c r="F505" s="2">
        <v>236428</v>
      </c>
      <c r="G505" s="3" t="str">
        <f>HYPERLINK("http://funmeta.oebiotech.com/network/236428", "http://funmeta.oebiotech.com/network/236428")</f>
        <v>http://funmeta.oebiotech.com/network/236428</v>
      </c>
      <c r="H505" s="2" t="s">
        <v>3510</v>
      </c>
      <c r="I505" s="2"/>
      <c r="J505" s="2"/>
      <c r="K505" s="2"/>
      <c r="L505" s="2"/>
      <c r="M505" s="2"/>
      <c r="N505" s="2"/>
      <c r="O505" s="2"/>
      <c r="P505" s="2"/>
      <c r="Q505" s="2" t="s">
        <v>3511</v>
      </c>
      <c r="R505" s="2" t="s">
        <v>3512</v>
      </c>
      <c r="S505" s="2" t="s">
        <v>41</v>
      </c>
      <c r="T505" s="2" t="s">
        <v>41</v>
      </c>
      <c r="U505" s="2" t="s">
        <v>41</v>
      </c>
      <c r="V505" s="2" t="s">
        <v>42</v>
      </c>
      <c r="W505" s="2">
        <v>52.4</v>
      </c>
      <c r="X505" s="2">
        <v>72.8</v>
      </c>
      <c r="Y505" s="2" t="s">
        <v>408</v>
      </c>
      <c r="Z505" s="2" t="s">
        <v>3513</v>
      </c>
      <c r="AA505" s="2">
        <v>-3.5719615651529999</v>
      </c>
      <c r="AB505" s="2">
        <v>1.2282641208867999</v>
      </c>
      <c r="AC505" s="2">
        <v>153746.936045045</v>
      </c>
      <c r="AD505" s="2">
        <v>257220.37489595401</v>
      </c>
      <c r="AE505" s="2">
        <v>159501.673369681</v>
      </c>
      <c r="AF505" s="2">
        <v>145693.262843417</v>
      </c>
      <c r="AG505" s="2">
        <v>143973.64493587799</v>
      </c>
      <c r="AH505" s="2">
        <v>162752.331064659</v>
      </c>
      <c r="AI505" s="2">
        <v>151230.64941280099</v>
      </c>
      <c r="AJ505" s="2">
        <v>159330.054643835</v>
      </c>
      <c r="AK505" s="2">
        <v>233329.889644632</v>
      </c>
      <c r="AL505" s="2">
        <v>226516.36835258201</v>
      </c>
      <c r="AM505" s="2">
        <v>275738.09382908198</v>
      </c>
      <c r="AN505" s="2">
        <v>252234.52887802501</v>
      </c>
      <c r="AO505" s="2">
        <v>271235.45587896102</v>
      </c>
      <c r="AP505" s="2">
        <v>284267.912792444</v>
      </c>
    </row>
    <row r="506" spans="1:42" ht="14.5" x14ac:dyDescent="0.35">
      <c r="A506" s="2" t="s">
        <v>3514</v>
      </c>
      <c r="B506" s="2">
        <v>461.126692100637</v>
      </c>
      <c r="C506" s="2">
        <v>1.43973333333333</v>
      </c>
      <c r="D506" s="2" t="s">
        <v>34</v>
      </c>
      <c r="E506" s="2" t="s">
        <v>3515</v>
      </c>
      <c r="F506" s="2">
        <v>211781</v>
      </c>
      <c r="G506" s="3" t="str">
        <f>HYPERLINK("http://funmeta.oebiotech.com/network/211781", "http://funmeta.oebiotech.com/network/211781")</f>
        <v>http://funmeta.oebiotech.com/network/211781</v>
      </c>
      <c r="H506" s="2" t="s">
        <v>3516</v>
      </c>
      <c r="I506" s="2"/>
      <c r="J506" s="2"/>
      <c r="K506" s="2"/>
      <c r="L506" s="2"/>
      <c r="M506" s="2"/>
      <c r="N506" s="2"/>
      <c r="O506" s="2">
        <v>77987108</v>
      </c>
      <c r="P506" s="2"/>
      <c r="Q506" s="2" t="s">
        <v>3517</v>
      </c>
      <c r="R506" s="2" t="s">
        <v>3518</v>
      </c>
      <c r="S506" s="2" t="s">
        <v>491</v>
      </c>
      <c r="T506" s="2" t="s">
        <v>3519</v>
      </c>
      <c r="U506" s="2" t="s">
        <v>3520</v>
      </c>
      <c r="V506" s="2" t="s">
        <v>42</v>
      </c>
      <c r="W506" s="2">
        <v>48.7</v>
      </c>
      <c r="X506" s="2">
        <v>47</v>
      </c>
      <c r="Y506" s="2" t="s">
        <v>43</v>
      </c>
      <c r="Z506" s="2" t="s">
        <v>3521</v>
      </c>
      <c r="AA506" s="2">
        <v>-0.13711636831393101</v>
      </c>
      <c r="AB506" s="2">
        <v>1.2267164538620099</v>
      </c>
      <c r="AC506" s="2">
        <v>74903.413253767198</v>
      </c>
      <c r="AD506" s="2">
        <v>175911.748318347</v>
      </c>
      <c r="AE506" s="2">
        <v>74048.828520872703</v>
      </c>
      <c r="AF506" s="2">
        <v>73057.550357100394</v>
      </c>
      <c r="AG506" s="2">
        <v>74116.788023426998</v>
      </c>
      <c r="AH506" s="2">
        <v>73334.675806339903</v>
      </c>
      <c r="AI506" s="2">
        <v>76204.150772365407</v>
      </c>
      <c r="AJ506" s="2">
        <v>78658.486042497898</v>
      </c>
      <c r="AK506" s="2">
        <v>171661.333768682</v>
      </c>
      <c r="AL506" s="2">
        <v>146513.168267609</v>
      </c>
      <c r="AM506" s="2">
        <v>187592.938806544</v>
      </c>
      <c r="AN506" s="2">
        <v>179783.101727976</v>
      </c>
      <c r="AO506" s="2">
        <v>172363.22391852899</v>
      </c>
      <c r="AP506" s="2">
        <v>197556.723420742</v>
      </c>
    </row>
    <row r="507" spans="1:42" ht="14.5" x14ac:dyDescent="0.35">
      <c r="A507" s="2" t="s">
        <v>3522</v>
      </c>
      <c r="B507" s="2">
        <v>421.16330781857499</v>
      </c>
      <c r="C507" s="2">
        <v>4.3640166666666698</v>
      </c>
      <c r="D507" s="2" t="s">
        <v>70</v>
      </c>
      <c r="E507" s="2" t="s">
        <v>3523</v>
      </c>
      <c r="F507" s="2">
        <v>47586</v>
      </c>
      <c r="G507" s="3" t="str">
        <f>HYPERLINK("http://funmeta.oebiotech.com/network/47586", "http://funmeta.oebiotech.com/network/47586")</f>
        <v>http://funmeta.oebiotech.com/network/47586</v>
      </c>
      <c r="H507" s="2" t="s">
        <v>3524</v>
      </c>
      <c r="I507" s="2">
        <v>58045</v>
      </c>
      <c r="J507" s="2"/>
      <c r="K507" s="2"/>
      <c r="L507" s="2"/>
      <c r="M507" s="2"/>
      <c r="N507" s="2"/>
      <c r="O507" s="2">
        <v>1670</v>
      </c>
      <c r="P507" s="2" t="s">
        <v>3525</v>
      </c>
      <c r="Q507" s="2" t="s">
        <v>3526</v>
      </c>
      <c r="R507" s="2" t="s">
        <v>3527</v>
      </c>
      <c r="S507" s="2" t="s">
        <v>89</v>
      </c>
      <c r="T507" s="2" t="s">
        <v>90</v>
      </c>
      <c r="U507" s="2" t="s">
        <v>99</v>
      </c>
      <c r="V507" s="2" t="s">
        <v>59</v>
      </c>
      <c r="W507" s="2">
        <v>39.200000000000003</v>
      </c>
      <c r="X507" s="2">
        <v>9.2899999999999991</v>
      </c>
      <c r="Y507" s="2" t="s">
        <v>560</v>
      </c>
      <c r="Z507" s="2" t="s">
        <v>3528</v>
      </c>
      <c r="AA507" s="2">
        <v>3.9520926626105699</v>
      </c>
      <c r="AB507" s="2">
        <v>1.2253685576848199</v>
      </c>
      <c r="AC507" s="2">
        <v>620948.39058016101</v>
      </c>
      <c r="AD507" s="2">
        <v>515961.67687820998</v>
      </c>
      <c r="AE507" s="2">
        <v>602650.39165706804</v>
      </c>
      <c r="AF507" s="2">
        <v>635336.26676416397</v>
      </c>
      <c r="AG507" s="2">
        <v>589209.57425911399</v>
      </c>
      <c r="AH507" s="2">
        <v>651521.78629142197</v>
      </c>
      <c r="AI507" s="2">
        <v>631614.67444933904</v>
      </c>
      <c r="AJ507" s="2">
        <v>615357.65005986101</v>
      </c>
      <c r="AK507" s="2">
        <v>514351.650906856</v>
      </c>
      <c r="AL507" s="2">
        <v>517406.11664870102</v>
      </c>
      <c r="AM507" s="2">
        <v>546687.139055187</v>
      </c>
      <c r="AN507" s="2">
        <v>514801.47860984702</v>
      </c>
      <c r="AO507" s="2">
        <v>489933.49259044102</v>
      </c>
      <c r="AP507" s="2">
        <v>512590.183458229</v>
      </c>
    </row>
    <row r="508" spans="1:42" ht="14.5" x14ac:dyDescent="0.35">
      <c r="A508" s="2" t="s">
        <v>3529</v>
      </c>
      <c r="B508" s="2">
        <v>905.51070528137404</v>
      </c>
      <c r="C508" s="2">
        <v>12.326316666666701</v>
      </c>
      <c r="D508" s="2" t="s">
        <v>70</v>
      </c>
      <c r="E508" s="2" t="s">
        <v>3530</v>
      </c>
      <c r="F508" s="2">
        <v>215266</v>
      </c>
      <c r="G508" s="3" t="str">
        <f>HYPERLINK("http://funmeta.oebiotech.com/network/215266", "http://funmeta.oebiotech.com/network/215266")</f>
        <v>http://funmeta.oebiotech.com/network/215266</v>
      </c>
      <c r="H508" s="2" t="s">
        <v>3531</v>
      </c>
      <c r="I508" s="2"/>
      <c r="J508" s="2"/>
      <c r="K508" s="2"/>
      <c r="L508" s="2"/>
      <c r="M508" s="2"/>
      <c r="N508" s="2"/>
      <c r="O508" s="2"/>
      <c r="P508" s="2"/>
      <c r="Q508" s="2" t="s">
        <v>3532</v>
      </c>
      <c r="R508" s="2" t="s">
        <v>3533</v>
      </c>
      <c r="S508" s="2" t="s">
        <v>41</v>
      </c>
      <c r="T508" s="2" t="s">
        <v>41</v>
      </c>
      <c r="U508" s="2" t="s">
        <v>41</v>
      </c>
      <c r="V508" s="2" t="s">
        <v>42</v>
      </c>
      <c r="W508" s="2">
        <v>53</v>
      </c>
      <c r="X508" s="2">
        <v>76.8</v>
      </c>
      <c r="Y508" s="2" t="s">
        <v>751</v>
      </c>
      <c r="Z508" s="2" t="s">
        <v>3534</v>
      </c>
      <c r="AA508" s="2">
        <v>-1.43062014530475</v>
      </c>
      <c r="AB508" s="2">
        <v>1.22057365031166</v>
      </c>
      <c r="AC508" s="2">
        <v>495409.063410067</v>
      </c>
      <c r="AD508" s="2">
        <v>388801.57630037703</v>
      </c>
      <c r="AE508" s="2">
        <v>485359.95050991402</v>
      </c>
      <c r="AF508" s="2">
        <v>463712.30829374498</v>
      </c>
      <c r="AG508" s="2">
        <v>499982.24100947002</v>
      </c>
      <c r="AH508" s="2">
        <v>552068.87598643801</v>
      </c>
      <c r="AI508" s="2">
        <v>474081.880274867</v>
      </c>
      <c r="AJ508" s="2">
        <v>497249.12438597</v>
      </c>
      <c r="AK508" s="2">
        <v>422710.280562645</v>
      </c>
      <c r="AL508" s="2">
        <v>386107.103860709</v>
      </c>
      <c r="AM508" s="2">
        <v>364028.59991503798</v>
      </c>
      <c r="AN508" s="2">
        <v>382887.07922038098</v>
      </c>
      <c r="AO508" s="2">
        <v>383744.43532686698</v>
      </c>
      <c r="AP508" s="2">
        <v>393331.95891662501</v>
      </c>
    </row>
    <row r="509" spans="1:42" ht="14.5" x14ac:dyDescent="0.35">
      <c r="A509" s="2" t="s">
        <v>3535</v>
      </c>
      <c r="B509" s="2">
        <v>389.177997391085</v>
      </c>
      <c r="C509" s="2">
        <v>4.0871833333333303</v>
      </c>
      <c r="D509" s="2" t="s">
        <v>34</v>
      </c>
      <c r="E509" s="2" t="s">
        <v>3536</v>
      </c>
      <c r="F509" s="2">
        <v>63209</v>
      </c>
      <c r="G509" s="3" t="str">
        <f>HYPERLINK("http://funmeta.oebiotech.com/network/63209", "http://funmeta.oebiotech.com/network/63209")</f>
        <v>http://funmeta.oebiotech.com/network/63209</v>
      </c>
      <c r="H509" s="2" t="s">
        <v>3537</v>
      </c>
      <c r="I509" s="2">
        <v>94517</v>
      </c>
      <c r="J509" s="2"/>
      <c r="K509" s="2">
        <v>168373</v>
      </c>
      <c r="L509" s="2"/>
      <c r="M509" s="2"/>
      <c r="N509" s="2"/>
      <c r="O509" s="2">
        <v>85402711</v>
      </c>
      <c r="P509" s="2" t="s">
        <v>3538</v>
      </c>
      <c r="Q509" s="2" t="s">
        <v>3539</v>
      </c>
      <c r="R509" s="2" t="s">
        <v>3540</v>
      </c>
      <c r="S509" s="2" t="s">
        <v>50</v>
      </c>
      <c r="T509" s="2" t="s">
        <v>201</v>
      </c>
      <c r="U509" s="2" t="s">
        <v>202</v>
      </c>
      <c r="V509" s="2" t="s">
        <v>59</v>
      </c>
      <c r="W509" s="2">
        <v>45.2</v>
      </c>
      <c r="X509" s="2">
        <v>31.8</v>
      </c>
      <c r="Y509" s="2" t="s">
        <v>231</v>
      </c>
      <c r="Z509" s="2" t="s">
        <v>3541</v>
      </c>
      <c r="AA509" s="2">
        <v>-0.56207877691388897</v>
      </c>
      <c r="AB509" s="2">
        <v>1.2186610982197901</v>
      </c>
      <c r="AC509" s="2">
        <v>370588.13817606302</v>
      </c>
      <c r="AD509" s="2">
        <v>470657.30849581899</v>
      </c>
      <c r="AE509" s="2">
        <v>379187.08641348698</v>
      </c>
      <c r="AF509" s="2">
        <v>367393.89898437</v>
      </c>
      <c r="AG509" s="2">
        <v>365090.47516672598</v>
      </c>
      <c r="AH509" s="2">
        <v>375404.22291730897</v>
      </c>
      <c r="AI509" s="2">
        <v>373631.71040517499</v>
      </c>
      <c r="AJ509" s="2">
        <v>362821.43516931101</v>
      </c>
      <c r="AK509" s="2">
        <v>450634.36199398799</v>
      </c>
      <c r="AL509" s="2">
        <v>445663.33962110803</v>
      </c>
      <c r="AM509" s="2">
        <v>487860.10956957599</v>
      </c>
      <c r="AN509" s="2">
        <v>482001.48488963302</v>
      </c>
      <c r="AO509" s="2">
        <v>483059.36769372103</v>
      </c>
      <c r="AP509" s="2">
        <v>474725.18720689003</v>
      </c>
    </row>
    <row r="510" spans="1:42" ht="14.5" x14ac:dyDescent="0.35">
      <c r="A510" s="2" t="s">
        <v>3542</v>
      </c>
      <c r="B510" s="2">
        <v>471.022589465311</v>
      </c>
      <c r="C510" s="2">
        <v>1.82663333333333</v>
      </c>
      <c r="D510" s="2" t="s">
        <v>70</v>
      </c>
      <c r="E510" s="2" t="s">
        <v>3543</v>
      </c>
      <c r="F510" s="2">
        <v>33059</v>
      </c>
      <c r="G510" s="3" t="str">
        <f>HYPERLINK("http://funmeta.oebiotech.com/network/33059", "http://funmeta.oebiotech.com/network/33059")</f>
        <v>http://funmeta.oebiotech.com/network/33059</v>
      </c>
      <c r="H510" s="2"/>
      <c r="I510" s="2">
        <v>51386</v>
      </c>
      <c r="J510" s="2" t="s">
        <v>3544</v>
      </c>
      <c r="K510" s="2"/>
      <c r="L510" s="2"/>
      <c r="M510" s="2"/>
      <c r="N510" s="2"/>
      <c r="O510" s="2">
        <v>5323515</v>
      </c>
      <c r="P510" s="2"/>
      <c r="Q510" s="2" t="s">
        <v>3545</v>
      </c>
      <c r="R510" s="2" t="s">
        <v>3546</v>
      </c>
      <c r="S510" s="2" t="s">
        <v>115</v>
      </c>
      <c r="T510" s="2" t="s">
        <v>139</v>
      </c>
      <c r="U510" s="2" t="s">
        <v>1552</v>
      </c>
      <c r="V510" s="2" t="s">
        <v>42</v>
      </c>
      <c r="W510" s="2">
        <v>53.6</v>
      </c>
      <c r="X510" s="2">
        <v>72.8</v>
      </c>
      <c r="Y510" s="2" t="s">
        <v>408</v>
      </c>
      <c r="Z510" s="2" t="s">
        <v>3547</v>
      </c>
      <c r="AA510" s="2">
        <v>-3.0412927737510902</v>
      </c>
      <c r="AB510" s="2">
        <v>1.2144747638245501</v>
      </c>
      <c r="AC510" s="2">
        <v>307263.05722215399</v>
      </c>
      <c r="AD510" s="2">
        <v>406710.15671994002</v>
      </c>
      <c r="AE510" s="2">
        <v>303590.22432884498</v>
      </c>
      <c r="AF510" s="2">
        <v>314461.29965090501</v>
      </c>
      <c r="AG510" s="2">
        <v>303809.69459094497</v>
      </c>
      <c r="AH510" s="2">
        <v>303495.34916901699</v>
      </c>
      <c r="AI510" s="2">
        <v>291398.803463711</v>
      </c>
      <c r="AJ510" s="2">
        <v>326822.97212949902</v>
      </c>
      <c r="AK510" s="2">
        <v>398043.09039694199</v>
      </c>
      <c r="AL510" s="2">
        <v>424209.48998341302</v>
      </c>
      <c r="AM510" s="2">
        <v>409446.55382765399</v>
      </c>
      <c r="AN510" s="2">
        <v>418483.51488166198</v>
      </c>
      <c r="AO510" s="2">
        <v>394331.69611165603</v>
      </c>
      <c r="AP510" s="2">
        <v>395746.595118311</v>
      </c>
    </row>
    <row r="511" spans="1:42" ht="14.5" x14ac:dyDescent="0.35">
      <c r="A511" s="2" t="s">
        <v>3548</v>
      </c>
      <c r="B511" s="2">
        <v>478.15615790726298</v>
      </c>
      <c r="C511" s="2">
        <v>4.5612000000000004</v>
      </c>
      <c r="D511" s="2" t="s">
        <v>70</v>
      </c>
      <c r="E511" s="2" t="s">
        <v>3549</v>
      </c>
      <c r="F511" s="2">
        <v>281118</v>
      </c>
      <c r="G511" s="3" t="str">
        <f>HYPERLINK("http://funmeta.oebiotech.com/network/281118", "http://funmeta.oebiotech.com/network/281118")</f>
        <v>http://funmeta.oebiotech.com/network/281118</v>
      </c>
      <c r="H511" s="2"/>
      <c r="I511" s="2">
        <v>103477</v>
      </c>
      <c r="J511" s="2"/>
      <c r="K511" s="2"/>
      <c r="L511" s="2"/>
      <c r="M511" s="2"/>
      <c r="N511" s="2"/>
      <c r="O511" s="2">
        <v>10435235</v>
      </c>
      <c r="P511" s="2" t="s">
        <v>3550</v>
      </c>
      <c r="Q511" s="2" t="s">
        <v>3551</v>
      </c>
      <c r="R511" s="2" t="s">
        <v>3552</v>
      </c>
      <c r="S511" s="2" t="s">
        <v>89</v>
      </c>
      <c r="T511" s="2" t="s">
        <v>90</v>
      </c>
      <c r="U511" s="2" t="s">
        <v>99</v>
      </c>
      <c r="V511" s="2" t="s">
        <v>59</v>
      </c>
      <c r="W511" s="2">
        <v>38.6</v>
      </c>
      <c r="X511" s="2">
        <v>0.377</v>
      </c>
      <c r="Y511" s="2" t="s">
        <v>118</v>
      </c>
      <c r="Z511" s="2" t="s">
        <v>3553</v>
      </c>
      <c r="AA511" s="2">
        <v>-4.6504396290344499</v>
      </c>
      <c r="AB511" s="2">
        <v>1.21392366783147</v>
      </c>
      <c r="AC511" s="2">
        <v>419261.45778551901</v>
      </c>
      <c r="AD511" s="2">
        <v>522947.56824033801</v>
      </c>
      <c r="AE511" s="2">
        <v>453285.450868721</v>
      </c>
      <c r="AF511" s="2">
        <v>429839.724071423</v>
      </c>
      <c r="AG511" s="2">
        <v>427020.17798828299</v>
      </c>
      <c r="AH511" s="2">
        <v>395510.47125721897</v>
      </c>
      <c r="AI511" s="2">
        <v>403540.59516111802</v>
      </c>
      <c r="AJ511" s="2">
        <v>406372.32736634999</v>
      </c>
      <c r="AK511" s="2">
        <v>505756.71881776198</v>
      </c>
      <c r="AL511" s="2">
        <v>509375.04932174698</v>
      </c>
      <c r="AM511" s="2">
        <v>539735.37833965302</v>
      </c>
      <c r="AN511" s="2">
        <v>531849.54714681697</v>
      </c>
      <c r="AO511" s="2">
        <v>498078.61766447098</v>
      </c>
      <c r="AP511" s="2">
        <v>552890.09815157996</v>
      </c>
    </row>
    <row r="512" spans="1:42" ht="14.5" x14ac:dyDescent="0.35">
      <c r="A512" s="2" t="s">
        <v>3554</v>
      </c>
      <c r="B512" s="2">
        <v>264.122766985998</v>
      </c>
      <c r="C512" s="2">
        <v>8.7834500000000002</v>
      </c>
      <c r="D512" s="2" t="s">
        <v>34</v>
      </c>
      <c r="E512" s="2" t="s">
        <v>3555</v>
      </c>
      <c r="F512" s="2">
        <v>257088</v>
      </c>
      <c r="G512" s="3" t="str">
        <f>HYPERLINK("http://funmeta.oebiotech.com/network/257088", "http://funmeta.oebiotech.com/network/257088")</f>
        <v>http://funmeta.oebiotech.com/network/257088</v>
      </c>
      <c r="H512" s="2" t="s">
        <v>3556</v>
      </c>
      <c r="I512" s="2"/>
      <c r="J512" s="2"/>
      <c r="K512" s="2"/>
      <c r="L512" s="2"/>
      <c r="M512" s="2"/>
      <c r="N512" s="2"/>
      <c r="O512" s="2">
        <v>52940161</v>
      </c>
      <c r="P512" s="2"/>
      <c r="Q512" s="2" t="s">
        <v>3557</v>
      </c>
      <c r="R512" s="2" t="s">
        <v>3558</v>
      </c>
      <c r="S512" s="2" t="s">
        <v>148</v>
      </c>
      <c r="T512" s="2" t="s">
        <v>149</v>
      </c>
      <c r="U512" s="2" t="s">
        <v>3559</v>
      </c>
      <c r="V512" s="2" t="s">
        <v>42</v>
      </c>
      <c r="W512" s="2">
        <v>50</v>
      </c>
      <c r="X512" s="2">
        <v>54.1</v>
      </c>
      <c r="Y512" s="2" t="s">
        <v>440</v>
      </c>
      <c r="Z512" s="2" t="s">
        <v>3560</v>
      </c>
      <c r="AA512" s="2">
        <v>-1.0868872443081401</v>
      </c>
      <c r="AB512" s="2">
        <v>1.21384700954534</v>
      </c>
      <c r="AC512" s="2">
        <v>357590.639129168</v>
      </c>
      <c r="AD512" s="2">
        <v>257619.39875234899</v>
      </c>
      <c r="AE512" s="2">
        <v>363347.32055022201</v>
      </c>
      <c r="AF512" s="2">
        <v>373407.42033943301</v>
      </c>
      <c r="AG512" s="2">
        <v>338325.27090255998</v>
      </c>
      <c r="AH512" s="2">
        <v>334275.803028378</v>
      </c>
      <c r="AI512" s="2">
        <v>355887.64823937701</v>
      </c>
      <c r="AJ512" s="2">
        <v>380300.37171503599</v>
      </c>
      <c r="AK512" s="2">
        <v>264151.27413564001</v>
      </c>
      <c r="AL512" s="2">
        <v>257915.397930312</v>
      </c>
      <c r="AM512" s="2">
        <v>251879.789798257</v>
      </c>
      <c r="AN512" s="2">
        <v>266047.78776345903</v>
      </c>
      <c r="AO512" s="2">
        <v>243018.72869280499</v>
      </c>
      <c r="AP512" s="2">
        <v>262703.41419361997</v>
      </c>
    </row>
    <row r="513" spans="1:42" ht="14.5" x14ac:dyDescent="0.35">
      <c r="A513" s="2" t="s">
        <v>3561</v>
      </c>
      <c r="B513" s="2">
        <v>658.32168162564801</v>
      </c>
      <c r="C513" s="2">
        <v>5.8281166666666699</v>
      </c>
      <c r="D513" s="2" t="s">
        <v>34</v>
      </c>
      <c r="E513" s="2" t="s">
        <v>3562</v>
      </c>
      <c r="F513" s="2">
        <v>29111</v>
      </c>
      <c r="G513" s="3" t="str">
        <f>HYPERLINK("http://funmeta.oebiotech.com/network/29111", "http://funmeta.oebiotech.com/network/29111")</f>
        <v>http://funmeta.oebiotech.com/network/29111</v>
      </c>
      <c r="H513" s="2"/>
      <c r="I513" s="2"/>
      <c r="J513" s="2" t="s">
        <v>3563</v>
      </c>
      <c r="K513" s="2"/>
      <c r="L513" s="2"/>
      <c r="M513" s="2"/>
      <c r="N513" s="2"/>
      <c r="O513" s="2"/>
      <c r="P513" s="2"/>
      <c r="Q513" s="2" t="s">
        <v>3564</v>
      </c>
      <c r="R513" s="2" t="s">
        <v>3565</v>
      </c>
      <c r="S513" s="2" t="s">
        <v>115</v>
      </c>
      <c r="T513" s="2" t="s">
        <v>139</v>
      </c>
      <c r="U513" s="2" t="s">
        <v>1437</v>
      </c>
      <c r="V513" s="2" t="s">
        <v>59</v>
      </c>
      <c r="W513" s="2">
        <v>39.4</v>
      </c>
      <c r="X513" s="2">
        <v>5.98</v>
      </c>
      <c r="Y513" s="2" t="s">
        <v>43</v>
      </c>
      <c r="Z513" s="2" t="s">
        <v>3566</v>
      </c>
      <c r="AA513" s="2">
        <v>-0.79047288969933804</v>
      </c>
      <c r="AB513" s="2">
        <v>1.2119145512471201</v>
      </c>
      <c r="AC513" s="2">
        <v>343222.783635378</v>
      </c>
      <c r="AD513" s="2">
        <v>440637.855066552</v>
      </c>
      <c r="AE513" s="2">
        <v>346683.799085167</v>
      </c>
      <c r="AF513" s="2">
        <v>341142.83687897603</v>
      </c>
      <c r="AG513" s="2">
        <v>347795.07339798199</v>
      </c>
      <c r="AH513" s="2">
        <v>336999.06894767098</v>
      </c>
      <c r="AI513" s="2">
        <v>337345.24043874902</v>
      </c>
      <c r="AJ513" s="2">
        <v>349370.68306372297</v>
      </c>
      <c r="AK513" s="2">
        <v>426111.72881791199</v>
      </c>
      <c r="AL513" s="2">
        <v>438599.39870762703</v>
      </c>
      <c r="AM513" s="2">
        <v>453206.46486000699</v>
      </c>
      <c r="AN513" s="2">
        <v>446819.93296793499</v>
      </c>
      <c r="AO513" s="2">
        <v>434587.26651749498</v>
      </c>
      <c r="AP513" s="2">
        <v>444502.33852833603</v>
      </c>
    </row>
    <row r="514" spans="1:42" ht="14.5" x14ac:dyDescent="0.35">
      <c r="A514" s="2" t="s">
        <v>3567</v>
      </c>
      <c r="B514" s="2">
        <v>769.43719711493395</v>
      </c>
      <c r="C514" s="2">
        <v>11.08745</v>
      </c>
      <c r="D514" s="2" t="s">
        <v>70</v>
      </c>
      <c r="E514" s="2" t="s">
        <v>3568</v>
      </c>
      <c r="F514" s="2">
        <v>64446</v>
      </c>
      <c r="G514" s="3" t="str">
        <f>HYPERLINK("http://funmeta.oebiotech.com/network/64446", "http://funmeta.oebiotech.com/network/64446")</f>
        <v>http://funmeta.oebiotech.com/network/64446</v>
      </c>
      <c r="H514" s="2" t="s">
        <v>3569</v>
      </c>
      <c r="I514" s="2">
        <v>95760</v>
      </c>
      <c r="J514" s="2"/>
      <c r="K514" s="2"/>
      <c r="L514" s="2"/>
      <c r="M514" s="2"/>
      <c r="N514" s="2"/>
      <c r="O514" s="2">
        <v>131753117</v>
      </c>
      <c r="P514" s="2" t="s">
        <v>3570</v>
      </c>
      <c r="Q514" s="2" t="s">
        <v>3571</v>
      </c>
      <c r="R514" s="2" t="s">
        <v>3572</v>
      </c>
      <c r="S514" s="2" t="s">
        <v>50</v>
      </c>
      <c r="T514" s="2" t="s">
        <v>124</v>
      </c>
      <c r="U514" s="2" t="s">
        <v>523</v>
      </c>
      <c r="V514" s="2" t="s">
        <v>42</v>
      </c>
      <c r="W514" s="2">
        <v>57</v>
      </c>
      <c r="X514" s="2">
        <v>91.4</v>
      </c>
      <c r="Y514" s="2" t="s">
        <v>408</v>
      </c>
      <c r="Z514" s="2" t="s">
        <v>983</v>
      </c>
      <c r="AA514" s="2">
        <v>-1.0811696015651699</v>
      </c>
      <c r="AB514" s="2">
        <v>1.2114725034435501</v>
      </c>
      <c r="AC514" s="2">
        <v>362695.29236556002</v>
      </c>
      <c r="AD514" s="2">
        <v>465702.26993556297</v>
      </c>
      <c r="AE514" s="2">
        <v>380027.38935943099</v>
      </c>
      <c r="AF514" s="2">
        <v>352338.66761455801</v>
      </c>
      <c r="AG514" s="2">
        <v>358899.618753271</v>
      </c>
      <c r="AH514" s="2">
        <v>351471.39164895599</v>
      </c>
      <c r="AI514" s="2">
        <v>365118.61359878897</v>
      </c>
      <c r="AJ514" s="2">
        <v>368316.073218356</v>
      </c>
      <c r="AK514" s="2">
        <v>429356.29552852199</v>
      </c>
      <c r="AL514" s="2">
        <v>431548.21714589</v>
      </c>
      <c r="AM514" s="2">
        <v>480373.41210790799</v>
      </c>
      <c r="AN514" s="2">
        <v>488352.26759670302</v>
      </c>
      <c r="AO514" s="2">
        <v>466716.31536335801</v>
      </c>
      <c r="AP514" s="2">
        <v>497867.111870997</v>
      </c>
    </row>
    <row r="515" spans="1:42" ht="14.5" x14ac:dyDescent="0.35">
      <c r="A515" s="2" t="s">
        <v>3573</v>
      </c>
      <c r="B515" s="2">
        <v>531.29914652673006</v>
      </c>
      <c r="C515" s="2">
        <v>5.5233833333333298</v>
      </c>
      <c r="D515" s="2" t="s">
        <v>34</v>
      </c>
      <c r="E515" s="2" t="s">
        <v>3574</v>
      </c>
      <c r="F515" s="2">
        <v>46720</v>
      </c>
      <c r="G515" s="3" t="str">
        <f>HYPERLINK("http://funmeta.oebiotech.com/network/46720", "http://funmeta.oebiotech.com/network/46720")</f>
        <v>http://funmeta.oebiotech.com/network/46720</v>
      </c>
      <c r="H515" s="2"/>
      <c r="I515" s="2"/>
      <c r="J515" s="2" t="s">
        <v>3575</v>
      </c>
      <c r="K515" s="2"/>
      <c r="L515" s="2"/>
      <c r="M515" s="2"/>
      <c r="N515" s="2"/>
      <c r="O515" s="2"/>
      <c r="P515" s="2"/>
      <c r="Q515" s="2" t="s">
        <v>3576</v>
      </c>
      <c r="R515" s="2" t="s">
        <v>3577</v>
      </c>
      <c r="S515" s="2" t="s">
        <v>50</v>
      </c>
      <c r="T515" s="2" t="s">
        <v>124</v>
      </c>
      <c r="U515" s="2" t="s">
        <v>125</v>
      </c>
      <c r="V515" s="2" t="s">
        <v>59</v>
      </c>
      <c r="W515" s="2">
        <v>38.200000000000003</v>
      </c>
      <c r="X515" s="2">
        <v>14.6</v>
      </c>
      <c r="Y515" s="2" t="s">
        <v>141</v>
      </c>
      <c r="Z515" s="2" t="s">
        <v>3578</v>
      </c>
      <c r="AA515" s="2">
        <v>0.96782689613253703</v>
      </c>
      <c r="AB515" s="2">
        <v>1.21135862890086</v>
      </c>
      <c r="AC515" s="2">
        <v>773322.22555052396</v>
      </c>
      <c r="AD515" s="2">
        <v>662548.59115385602</v>
      </c>
      <c r="AE515" s="2">
        <v>782535.30610629194</v>
      </c>
      <c r="AF515" s="2">
        <v>779908.08641016902</v>
      </c>
      <c r="AG515" s="2">
        <v>738467.603479004</v>
      </c>
      <c r="AH515" s="2">
        <v>821269.37152307201</v>
      </c>
      <c r="AI515" s="2">
        <v>793768.27018111199</v>
      </c>
      <c r="AJ515" s="2">
        <v>723984.71560349502</v>
      </c>
      <c r="AK515" s="2">
        <v>633496.354358905</v>
      </c>
      <c r="AL515" s="2">
        <v>614515.44189882698</v>
      </c>
      <c r="AM515" s="2">
        <v>689743.45027975005</v>
      </c>
      <c r="AN515" s="2">
        <v>674602.02716416004</v>
      </c>
      <c r="AO515" s="2">
        <v>679162.15257552499</v>
      </c>
      <c r="AP515" s="2">
        <v>683772.12064596603</v>
      </c>
    </row>
    <row r="516" spans="1:42" ht="14.5" x14ac:dyDescent="0.35">
      <c r="A516" s="2" t="s">
        <v>3579</v>
      </c>
      <c r="B516" s="2">
        <v>927.49528734281398</v>
      </c>
      <c r="C516" s="2">
        <v>11.367800000000001</v>
      </c>
      <c r="D516" s="2" t="s">
        <v>70</v>
      </c>
      <c r="E516" s="2" t="s">
        <v>3580</v>
      </c>
      <c r="F516" s="2">
        <v>58802</v>
      </c>
      <c r="G516" s="3" t="str">
        <f>HYPERLINK("http://funmeta.oebiotech.com/network/58802", "http://funmeta.oebiotech.com/network/58802")</f>
        <v>http://funmeta.oebiotech.com/network/58802</v>
      </c>
      <c r="H516" s="2" t="s">
        <v>3581</v>
      </c>
      <c r="I516" s="2"/>
      <c r="J516" s="2"/>
      <c r="K516" s="2"/>
      <c r="L516" s="2"/>
      <c r="M516" s="2"/>
      <c r="N516" s="2"/>
      <c r="O516" s="2">
        <v>76152479</v>
      </c>
      <c r="P516" s="2" t="s">
        <v>3582</v>
      </c>
      <c r="Q516" s="2" t="s">
        <v>3583</v>
      </c>
      <c r="R516" s="2" t="s">
        <v>3584</v>
      </c>
      <c r="S516" s="2" t="s">
        <v>50</v>
      </c>
      <c r="T516" s="2" t="s">
        <v>201</v>
      </c>
      <c r="U516" s="2" t="s">
        <v>202</v>
      </c>
      <c r="V516" s="2" t="s">
        <v>42</v>
      </c>
      <c r="W516" s="2">
        <v>54.9</v>
      </c>
      <c r="X516" s="2">
        <v>79.400000000000006</v>
      </c>
      <c r="Y516" s="2" t="s">
        <v>408</v>
      </c>
      <c r="Z516" s="2" t="s">
        <v>3585</v>
      </c>
      <c r="AA516" s="2">
        <v>-0.68194323321232397</v>
      </c>
      <c r="AB516" s="2">
        <v>1.2109943447156699</v>
      </c>
      <c r="AC516" s="2">
        <v>287088.43189373298</v>
      </c>
      <c r="AD516" s="2">
        <v>188068.51659743401</v>
      </c>
      <c r="AE516" s="2">
        <v>293788.29055192502</v>
      </c>
      <c r="AF516" s="2">
        <v>264785.21162789903</v>
      </c>
      <c r="AG516" s="2">
        <v>301980.28753782099</v>
      </c>
      <c r="AH516" s="2">
        <v>288673.24818060902</v>
      </c>
      <c r="AI516" s="2">
        <v>297204.87940475199</v>
      </c>
      <c r="AJ516" s="2">
        <v>276098.67405939201</v>
      </c>
      <c r="AK516" s="2">
        <v>177970.144363603</v>
      </c>
      <c r="AL516" s="2">
        <v>179824.197222861</v>
      </c>
      <c r="AM516" s="2">
        <v>192504.65921072499</v>
      </c>
      <c r="AN516" s="2">
        <v>189639.07032137501</v>
      </c>
      <c r="AO516" s="2">
        <v>180739.81134944499</v>
      </c>
      <c r="AP516" s="2">
        <v>207733.21711659501</v>
      </c>
    </row>
    <row r="517" spans="1:42" ht="14.5" x14ac:dyDescent="0.35">
      <c r="A517" s="2" t="s">
        <v>3586</v>
      </c>
      <c r="B517" s="2">
        <v>268.10385672151801</v>
      </c>
      <c r="C517" s="2">
        <v>1.27495</v>
      </c>
      <c r="D517" s="2" t="s">
        <v>34</v>
      </c>
      <c r="E517" s="2" t="s">
        <v>3587</v>
      </c>
      <c r="F517" s="2">
        <v>46843</v>
      </c>
      <c r="G517" s="3" t="str">
        <f>HYPERLINK("http://funmeta.oebiotech.com/network/46843", "http://funmeta.oebiotech.com/network/46843")</f>
        <v>http://funmeta.oebiotech.com/network/46843</v>
      </c>
      <c r="H517" s="2" t="s">
        <v>3588</v>
      </c>
      <c r="I517" s="2">
        <v>86</v>
      </c>
      <c r="J517" s="2"/>
      <c r="K517" s="2">
        <v>16335</v>
      </c>
      <c r="L517" s="2" t="s">
        <v>3589</v>
      </c>
      <c r="M517" s="2" t="s">
        <v>3590</v>
      </c>
      <c r="N517" s="2" t="s">
        <v>3591</v>
      </c>
      <c r="O517" s="2">
        <v>60961</v>
      </c>
      <c r="P517" s="2" t="s">
        <v>3592</v>
      </c>
      <c r="Q517" s="2" t="s">
        <v>3593</v>
      </c>
      <c r="R517" s="2" t="s">
        <v>3594</v>
      </c>
      <c r="S517" s="2" t="s">
        <v>1444</v>
      </c>
      <c r="T517" s="2" t="s">
        <v>3595</v>
      </c>
      <c r="U517" s="2" t="s">
        <v>41</v>
      </c>
      <c r="V517" s="2" t="s">
        <v>42</v>
      </c>
      <c r="W517" s="2">
        <v>59</v>
      </c>
      <c r="X517" s="2">
        <v>98.6</v>
      </c>
      <c r="Y517" s="2" t="s">
        <v>394</v>
      </c>
      <c r="Z517" s="2" t="s">
        <v>3596</v>
      </c>
      <c r="AA517" s="2">
        <v>-0.65006268315037796</v>
      </c>
      <c r="AB517" s="2">
        <v>1.2105089018791499</v>
      </c>
      <c r="AC517" s="2">
        <v>3280740.59939192</v>
      </c>
      <c r="AD517" s="2">
        <v>3052275.1747924401</v>
      </c>
      <c r="AE517" s="2">
        <v>3347722.3670984702</v>
      </c>
      <c r="AF517" s="2">
        <v>3719859.42932365</v>
      </c>
      <c r="AG517" s="2">
        <v>3275276.2238415699</v>
      </c>
      <c r="AH517" s="2">
        <v>3340672.3963101702</v>
      </c>
      <c r="AI517" s="2">
        <v>3191133.1251268699</v>
      </c>
      <c r="AJ517" s="2">
        <v>2809780.0546507901</v>
      </c>
      <c r="AK517" s="2">
        <v>3225243.7530031102</v>
      </c>
      <c r="AL517" s="2">
        <v>2652335.5600654399</v>
      </c>
      <c r="AM517" s="2">
        <v>3035854.9879187099</v>
      </c>
      <c r="AN517" s="2">
        <v>3271560.3069211598</v>
      </c>
      <c r="AO517" s="2">
        <v>2886470.6426162901</v>
      </c>
      <c r="AP517" s="2">
        <v>3242185.7982299398</v>
      </c>
    </row>
    <row r="518" spans="1:42" ht="14.5" x14ac:dyDescent="0.35">
      <c r="A518" s="2" t="s">
        <v>3597</v>
      </c>
      <c r="B518" s="2">
        <v>477.24820624200203</v>
      </c>
      <c r="C518" s="2">
        <v>9.6715166666666708</v>
      </c>
      <c r="D518" s="2" t="s">
        <v>34</v>
      </c>
      <c r="E518" s="2" t="s">
        <v>3598</v>
      </c>
      <c r="F518" s="2">
        <v>37417</v>
      </c>
      <c r="G518" s="3" t="str">
        <f>HYPERLINK("http://funmeta.oebiotech.com/network/37417", "http://funmeta.oebiotech.com/network/37417")</f>
        <v>http://funmeta.oebiotech.com/network/37417</v>
      </c>
      <c r="H518" s="2" t="s">
        <v>3599</v>
      </c>
      <c r="I518" s="2">
        <v>2280</v>
      </c>
      <c r="J518" s="2" t="s">
        <v>3600</v>
      </c>
      <c r="K518" s="2">
        <v>28870</v>
      </c>
      <c r="L518" s="2" t="s">
        <v>3601</v>
      </c>
      <c r="M518" s="2" t="s">
        <v>3602</v>
      </c>
      <c r="N518" s="2" t="s">
        <v>3603</v>
      </c>
      <c r="O518" s="2">
        <v>56940677</v>
      </c>
      <c r="P518" s="2" t="s">
        <v>3604</v>
      </c>
      <c r="Q518" s="2" t="s">
        <v>3605</v>
      </c>
      <c r="R518" s="2" t="s">
        <v>3606</v>
      </c>
      <c r="S518" s="2" t="s">
        <v>50</v>
      </c>
      <c r="T518" s="2" t="s">
        <v>201</v>
      </c>
      <c r="U518" s="2" t="s">
        <v>202</v>
      </c>
      <c r="V518" s="2" t="s">
        <v>59</v>
      </c>
      <c r="W518" s="2">
        <v>47.5</v>
      </c>
      <c r="X518" s="2">
        <v>44.2</v>
      </c>
      <c r="Y518" s="2" t="s">
        <v>266</v>
      </c>
      <c r="Z518" s="2" t="s">
        <v>3607</v>
      </c>
      <c r="AA518" s="2">
        <v>-0.18541241580764001</v>
      </c>
      <c r="AB518" s="2">
        <v>1.2071954345729199</v>
      </c>
      <c r="AC518" s="2">
        <v>106114.62665839899</v>
      </c>
      <c r="AD518" s="2">
        <v>204260.59816935699</v>
      </c>
      <c r="AE518" s="2">
        <v>96524.821477159494</v>
      </c>
      <c r="AF518" s="2">
        <v>104727.006307052</v>
      </c>
      <c r="AG518" s="2">
        <v>111233.934841503</v>
      </c>
      <c r="AH518" s="2">
        <v>101808.605850558</v>
      </c>
      <c r="AI518" s="2">
        <v>108219.621060691</v>
      </c>
      <c r="AJ518" s="2">
        <v>114173.770413429</v>
      </c>
      <c r="AK518" s="2">
        <v>173948.95239082701</v>
      </c>
      <c r="AL518" s="2">
        <v>201523.03134074301</v>
      </c>
      <c r="AM518" s="2">
        <v>206729.52163519399</v>
      </c>
      <c r="AN518" s="2">
        <v>225078.94544873</v>
      </c>
      <c r="AO518" s="2">
        <v>204751.555975842</v>
      </c>
      <c r="AP518" s="2">
        <v>213531.58222480401</v>
      </c>
    </row>
    <row r="519" spans="1:42" ht="14.5" x14ac:dyDescent="0.35">
      <c r="A519" s="2" t="s">
        <v>3608</v>
      </c>
      <c r="B519" s="2">
        <v>373.21271387918802</v>
      </c>
      <c r="C519" s="2">
        <v>4.9783166666666698</v>
      </c>
      <c r="D519" s="2" t="s">
        <v>34</v>
      </c>
      <c r="E519" s="2" t="s">
        <v>3609</v>
      </c>
      <c r="F519" s="2">
        <v>199802</v>
      </c>
      <c r="G519" s="3" t="str">
        <f>HYPERLINK("http://funmeta.oebiotech.com/network/199802", "http://funmeta.oebiotech.com/network/199802")</f>
        <v>http://funmeta.oebiotech.com/network/199802</v>
      </c>
      <c r="H519" s="2" t="s">
        <v>3610</v>
      </c>
      <c r="I519" s="2"/>
      <c r="J519" s="2"/>
      <c r="K519" s="2"/>
      <c r="L519" s="2"/>
      <c r="M519" s="2"/>
      <c r="N519" s="2"/>
      <c r="O519" s="2">
        <v>127644</v>
      </c>
      <c r="P519" s="2"/>
      <c r="Q519" s="2" t="s">
        <v>3611</v>
      </c>
      <c r="R519" s="2" t="s">
        <v>3612</v>
      </c>
      <c r="S519" s="2" t="s">
        <v>491</v>
      </c>
      <c r="T519" s="2" t="s">
        <v>3613</v>
      </c>
      <c r="U519" s="2" t="s">
        <v>41</v>
      </c>
      <c r="V519" s="2" t="s">
        <v>59</v>
      </c>
      <c r="W519" s="2">
        <v>37.799999999999997</v>
      </c>
      <c r="X519" s="2">
        <v>14</v>
      </c>
      <c r="Y519" s="2" t="s">
        <v>340</v>
      </c>
      <c r="Z519" s="2" t="s">
        <v>3614</v>
      </c>
      <c r="AA519" s="2">
        <v>4.3266923173051497</v>
      </c>
      <c r="AB519" s="2">
        <v>1.2069471933617799</v>
      </c>
      <c r="AC519" s="2">
        <v>359966.24763753801</v>
      </c>
      <c r="AD519" s="2">
        <v>462126.04817063699</v>
      </c>
      <c r="AE519" s="2">
        <v>359151.40971814701</v>
      </c>
      <c r="AF519" s="2">
        <v>355109.252472024</v>
      </c>
      <c r="AG519" s="2">
        <v>362868.03067489399</v>
      </c>
      <c r="AH519" s="2">
        <v>391801.23288090201</v>
      </c>
      <c r="AI519" s="2">
        <v>363502.18708316103</v>
      </c>
      <c r="AJ519" s="2">
        <v>327365.37299609702</v>
      </c>
      <c r="AK519" s="2">
        <v>458252.06505459402</v>
      </c>
      <c r="AL519" s="2">
        <v>455163.89725866099</v>
      </c>
      <c r="AM519" s="2">
        <v>505957.77518732398</v>
      </c>
      <c r="AN519" s="2">
        <v>456141.60960952798</v>
      </c>
      <c r="AO519" s="2">
        <v>455214.620430896</v>
      </c>
      <c r="AP519" s="2">
        <v>442026.321482817</v>
      </c>
    </row>
    <row r="520" spans="1:42" ht="14.5" x14ac:dyDescent="0.35">
      <c r="A520" s="2" t="s">
        <v>3615</v>
      </c>
      <c r="B520" s="2">
        <v>617.26119492817998</v>
      </c>
      <c r="C520" s="2">
        <v>5.6539333333333301</v>
      </c>
      <c r="D520" s="2" t="s">
        <v>70</v>
      </c>
      <c r="E520" s="2" t="s">
        <v>3616</v>
      </c>
      <c r="F520" s="2">
        <v>82536</v>
      </c>
      <c r="G520" s="3" t="str">
        <f>HYPERLINK("http://funmeta.oebiotech.com/network/82536", "http://funmeta.oebiotech.com/network/82536")</f>
        <v>http://funmeta.oebiotech.com/network/82536</v>
      </c>
      <c r="H520" s="2" t="s">
        <v>3617</v>
      </c>
      <c r="I520" s="2">
        <v>71230</v>
      </c>
      <c r="J520" s="2"/>
      <c r="K520" s="2">
        <v>17158</v>
      </c>
      <c r="L520" s="2" t="s">
        <v>3618</v>
      </c>
      <c r="M520" s="2" t="s">
        <v>3619</v>
      </c>
      <c r="N520" s="2" t="s">
        <v>3620</v>
      </c>
      <c r="O520" s="2">
        <v>880</v>
      </c>
      <c r="P520" s="2" t="s">
        <v>3621</v>
      </c>
      <c r="Q520" s="2" t="s">
        <v>3622</v>
      </c>
      <c r="R520" s="2" t="s">
        <v>3623</v>
      </c>
      <c r="S520" s="2" t="s">
        <v>39</v>
      </c>
      <c r="T520" s="2" t="s">
        <v>3624</v>
      </c>
      <c r="U520" s="2" t="s">
        <v>41</v>
      </c>
      <c r="V520" s="2" t="s">
        <v>42</v>
      </c>
      <c r="W520" s="2">
        <v>48.1</v>
      </c>
      <c r="X520" s="2">
        <v>49.6</v>
      </c>
      <c r="Y520" s="2" t="s">
        <v>118</v>
      </c>
      <c r="Z520" s="2" t="s">
        <v>3625</v>
      </c>
      <c r="AA520" s="2">
        <v>-0.79711935869694694</v>
      </c>
      <c r="AB520" s="2">
        <v>1.2059086378471999</v>
      </c>
      <c r="AC520" s="2">
        <v>443345.58383756498</v>
      </c>
      <c r="AD520" s="2">
        <v>545028.66871944396</v>
      </c>
      <c r="AE520" s="2">
        <v>448971.80410921999</v>
      </c>
      <c r="AF520" s="2">
        <v>436438.00748583698</v>
      </c>
      <c r="AG520" s="2">
        <v>446578.989148964</v>
      </c>
      <c r="AH520" s="2">
        <v>437318.80623682</v>
      </c>
      <c r="AI520" s="2">
        <v>420279.42893275799</v>
      </c>
      <c r="AJ520" s="2">
        <v>470486.46711178799</v>
      </c>
      <c r="AK520" s="2">
        <v>515651.262436733</v>
      </c>
      <c r="AL520" s="2">
        <v>569119.407418338</v>
      </c>
      <c r="AM520" s="2">
        <v>559771.23996345501</v>
      </c>
      <c r="AN520" s="2">
        <v>566755.28697771102</v>
      </c>
      <c r="AO520" s="2">
        <v>534510.55363286403</v>
      </c>
      <c r="AP520" s="2">
        <v>524364.261887562</v>
      </c>
    </row>
    <row r="521" spans="1:42" ht="14.5" x14ac:dyDescent="0.35">
      <c r="A521" s="2" t="s">
        <v>3626</v>
      </c>
      <c r="B521" s="2">
        <v>367.10228505462101</v>
      </c>
      <c r="C521" s="2">
        <v>5.2829833333333296</v>
      </c>
      <c r="D521" s="2" t="s">
        <v>34</v>
      </c>
      <c r="E521" s="2" t="s">
        <v>3627</v>
      </c>
      <c r="F521" s="2">
        <v>54516</v>
      </c>
      <c r="G521" s="3" t="str">
        <f>HYPERLINK("http://funmeta.oebiotech.com/network/54516", "http://funmeta.oebiotech.com/network/54516")</f>
        <v>http://funmeta.oebiotech.com/network/54516</v>
      </c>
      <c r="H521" s="2" t="s">
        <v>3628</v>
      </c>
      <c r="I521" s="2">
        <v>86367</v>
      </c>
      <c r="J521" s="2"/>
      <c r="K521" s="2">
        <v>175691</v>
      </c>
      <c r="L521" s="2"/>
      <c r="M521" s="2"/>
      <c r="N521" s="2"/>
      <c r="O521" s="2">
        <v>131750885</v>
      </c>
      <c r="P521" s="2"/>
      <c r="Q521" s="2" t="s">
        <v>3629</v>
      </c>
      <c r="R521" s="2" t="s">
        <v>3630</v>
      </c>
      <c r="S521" s="2" t="s">
        <v>79</v>
      </c>
      <c r="T521" s="2" t="s">
        <v>80</v>
      </c>
      <c r="U521" s="2" t="s">
        <v>81</v>
      </c>
      <c r="V521" s="2" t="s">
        <v>42</v>
      </c>
      <c r="W521" s="2">
        <v>52.5</v>
      </c>
      <c r="X521" s="2">
        <v>68.7</v>
      </c>
      <c r="Y521" s="2" t="s">
        <v>242</v>
      </c>
      <c r="Z521" s="2" t="s">
        <v>3327</v>
      </c>
      <c r="AA521" s="2">
        <v>-0.2008513170098</v>
      </c>
      <c r="AB521" s="2">
        <v>1.2048759147063901</v>
      </c>
      <c r="AC521" s="2">
        <v>21704.071542145899</v>
      </c>
      <c r="AD521" s="2">
        <v>118536.454652188</v>
      </c>
      <c r="AE521" s="2">
        <v>14416.861695777699</v>
      </c>
      <c r="AF521" s="2">
        <v>20006.885237868399</v>
      </c>
      <c r="AG521" s="2">
        <v>35999.419067203002</v>
      </c>
      <c r="AH521" s="2">
        <v>18245.0897272699</v>
      </c>
      <c r="AI521" s="2">
        <v>22169.0106380053</v>
      </c>
      <c r="AJ521" s="2">
        <v>19387.162886751299</v>
      </c>
      <c r="AK521" s="2">
        <v>101575.96050668599</v>
      </c>
      <c r="AL521" s="2">
        <v>133076.68806175899</v>
      </c>
      <c r="AM521" s="2">
        <v>121146.935613854</v>
      </c>
      <c r="AN521" s="2">
        <v>112295.822967606</v>
      </c>
      <c r="AO521" s="2">
        <v>117050.017189252</v>
      </c>
      <c r="AP521" s="2">
        <v>126073.303573973</v>
      </c>
    </row>
    <row r="522" spans="1:42" ht="14.5" x14ac:dyDescent="0.35">
      <c r="A522" s="2" t="s">
        <v>3631</v>
      </c>
      <c r="B522" s="2">
        <v>332.33073946290102</v>
      </c>
      <c r="C522" s="2">
        <v>10.455550000000001</v>
      </c>
      <c r="D522" s="2" t="s">
        <v>34</v>
      </c>
      <c r="E522" s="2" t="s">
        <v>3632</v>
      </c>
      <c r="F522" s="2">
        <v>9294</v>
      </c>
      <c r="G522" s="3" t="str">
        <f>HYPERLINK("http://funmeta.oebiotech.com/network/9294", "http://funmeta.oebiotech.com/network/9294")</f>
        <v>http://funmeta.oebiotech.com/network/9294</v>
      </c>
      <c r="H522" s="2"/>
      <c r="I522" s="2">
        <v>97592</v>
      </c>
      <c r="J522" s="2" t="s">
        <v>3633</v>
      </c>
      <c r="K522" s="2"/>
      <c r="L522" s="2"/>
      <c r="M522" s="2"/>
      <c r="N522" s="2"/>
      <c r="O522" s="2">
        <v>11427023</v>
      </c>
      <c r="P522" s="2"/>
      <c r="Q522" s="2" t="s">
        <v>3634</v>
      </c>
      <c r="R522" s="2" t="s">
        <v>3635</v>
      </c>
      <c r="S522" s="2" t="s">
        <v>3194</v>
      </c>
      <c r="T522" s="2" t="s">
        <v>3195</v>
      </c>
      <c r="U522" s="2" t="s">
        <v>3196</v>
      </c>
      <c r="V522" s="2" t="s">
        <v>59</v>
      </c>
      <c r="W522" s="2">
        <v>39.4</v>
      </c>
      <c r="X522" s="2">
        <v>1.62</v>
      </c>
      <c r="Y522" s="2" t="s">
        <v>43</v>
      </c>
      <c r="Z522" s="2" t="s">
        <v>3636</v>
      </c>
      <c r="AA522" s="2">
        <v>-1.3913122618187801</v>
      </c>
      <c r="AB522" s="2">
        <v>1.2032784061692601</v>
      </c>
      <c r="AC522" s="2">
        <v>88471.389056065294</v>
      </c>
      <c r="AD522" s="2">
        <v>184323.19357408001</v>
      </c>
      <c r="AE522" s="2">
        <v>91898.197902939195</v>
      </c>
      <c r="AF522" s="2">
        <v>88206.314661607394</v>
      </c>
      <c r="AG522" s="2">
        <v>87984.813920167202</v>
      </c>
      <c r="AH522" s="2">
        <v>82772.806406947595</v>
      </c>
      <c r="AI522" s="2">
        <v>87380.857930446306</v>
      </c>
      <c r="AJ522" s="2">
        <v>92585.343514284003</v>
      </c>
      <c r="AK522" s="2">
        <v>192131.37775311299</v>
      </c>
      <c r="AL522" s="2">
        <v>173959.79748503299</v>
      </c>
      <c r="AM522" s="2">
        <v>183110.15710110101</v>
      </c>
      <c r="AN522" s="2">
        <v>178464.97840637801</v>
      </c>
      <c r="AO522" s="2">
        <v>180241.59414886701</v>
      </c>
      <c r="AP522" s="2">
        <v>198031.25654999001</v>
      </c>
    </row>
    <row r="523" spans="1:42" ht="14.5" x14ac:dyDescent="0.35">
      <c r="A523" s="2" t="s">
        <v>3637</v>
      </c>
      <c r="B523" s="2">
        <v>903.23494027944503</v>
      </c>
      <c r="C523" s="2">
        <v>3.8059833333333302</v>
      </c>
      <c r="D523" s="2" t="s">
        <v>70</v>
      </c>
      <c r="E523" s="2" t="s">
        <v>3638</v>
      </c>
      <c r="F523" s="2">
        <v>60701</v>
      </c>
      <c r="G523" s="3" t="str">
        <f>HYPERLINK("http://funmeta.oebiotech.com/network/60701", "http://funmeta.oebiotech.com/network/60701")</f>
        <v>http://funmeta.oebiotech.com/network/60701</v>
      </c>
      <c r="H523" s="2" t="s">
        <v>3639</v>
      </c>
      <c r="I523" s="2">
        <v>92030</v>
      </c>
      <c r="J523" s="2"/>
      <c r="K523" s="2"/>
      <c r="L523" s="2"/>
      <c r="M523" s="2"/>
      <c r="N523" s="2"/>
      <c r="O523" s="2">
        <v>131752133</v>
      </c>
      <c r="P523" s="2" t="s">
        <v>3640</v>
      </c>
      <c r="Q523" s="2" t="s">
        <v>3641</v>
      </c>
      <c r="R523" s="2" t="s">
        <v>3642</v>
      </c>
      <c r="S523" s="2" t="s">
        <v>39</v>
      </c>
      <c r="T523" s="2" t="s">
        <v>3643</v>
      </c>
      <c r="U523" s="2" t="s">
        <v>3644</v>
      </c>
      <c r="V523" s="2" t="s">
        <v>42</v>
      </c>
      <c r="W523" s="2">
        <v>49.8</v>
      </c>
      <c r="X523" s="2">
        <v>57.9</v>
      </c>
      <c r="Y523" s="2" t="s">
        <v>408</v>
      </c>
      <c r="Z523" s="2" t="s">
        <v>3645</v>
      </c>
      <c r="AA523" s="2">
        <v>4.2478689534557796</v>
      </c>
      <c r="AB523" s="2">
        <v>1.20308926280279</v>
      </c>
      <c r="AC523" s="2">
        <v>94780.771055773395</v>
      </c>
      <c r="AD523" s="2">
        <v>191351.278712748</v>
      </c>
      <c r="AE523" s="2">
        <v>97835.292295347899</v>
      </c>
      <c r="AF523" s="2">
        <v>89048.494092737601</v>
      </c>
      <c r="AG523" s="2">
        <v>98877.435871922193</v>
      </c>
      <c r="AH523" s="2">
        <v>90755.397636654598</v>
      </c>
      <c r="AI523" s="2">
        <v>96814.131222699201</v>
      </c>
      <c r="AJ523" s="2">
        <v>95353.875215278604</v>
      </c>
      <c r="AK523" s="2">
        <v>177477.693378608</v>
      </c>
      <c r="AL523" s="2">
        <v>179459.02496493599</v>
      </c>
      <c r="AM523" s="2">
        <v>195598.537820097</v>
      </c>
      <c r="AN523" s="2">
        <v>192964.80402787999</v>
      </c>
      <c r="AO523" s="2">
        <v>187751.663173762</v>
      </c>
      <c r="AP523" s="2">
        <v>214855.948911207</v>
      </c>
    </row>
    <row r="524" spans="1:42" ht="14.5" x14ac:dyDescent="0.35">
      <c r="A524" s="2" t="s">
        <v>3646</v>
      </c>
      <c r="B524" s="2">
        <v>315.15846633200101</v>
      </c>
      <c r="C524" s="2">
        <v>6.5888166666666699</v>
      </c>
      <c r="D524" s="2" t="s">
        <v>34</v>
      </c>
      <c r="E524" s="2" t="s">
        <v>3647</v>
      </c>
      <c r="F524" s="2">
        <v>62375</v>
      </c>
      <c r="G524" s="3" t="str">
        <f>HYPERLINK("http://funmeta.oebiotech.com/network/62375", "http://funmeta.oebiotech.com/network/62375")</f>
        <v>http://funmeta.oebiotech.com/network/62375</v>
      </c>
      <c r="H524" s="2" t="s">
        <v>3648</v>
      </c>
      <c r="I524" s="2">
        <v>93669</v>
      </c>
      <c r="J524" s="2"/>
      <c r="K524" s="2">
        <v>174283</v>
      </c>
      <c r="L524" s="2"/>
      <c r="M524" s="2"/>
      <c r="N524" s="2"/>
      <c r="O524" s="2">
        <v>13965524</v>
      </c>
      <c r="P524" s="2" t="s">
        <v>3649</v>
      </c>
      <c r="Q524" s="2" t="s">
        <v>3650</v>
      </c>
      <c r="R524" s="2" t="s">
        <v>3651</v>
      </c>
      <c r="S524" s="2" t="s">
        <v>115</v>
      </c>
      <c r="T524" s="2" t="s">
        <v>758</v>
      </c>
      <c r="U524" s="2" t="s">
        <v>41</v>
      </c>
      <c r="V524" s="2" t="s">
        <v>59</v>
      </c>
      <c r="W524" s="2">
        <v>46.9</v>
      </c>
      <c r="X524" s="2">
        <v>40.4</v>
      </c>
      <c r="Y524" s="2" t="s">
        <v>266</v>
      </c>
      <c r="Z524" s="2" t="s">
        <v>3652</v>
      </c>
      <c r="AA524" s="2">
        <v>-1.97128827715113</v>
      </c>
      <c r="AB524" s="2">
        <v>1.2025821492175099</v>
      </c>
      <c r="AC524" s="2">
        <v>2099863.8551421701</v>
      </c>
      <c r="AD524" s="2">
        <v>1948728.20189131</v>
      </c>
      <c r="AE524" s="2">
        <v>2076805.3329982599</v>
      </c>
      <c r="AF524" s="2">
        <v>2103075.7038865802</v>
      </c>
      <c r="AG524" s="2">
        <v>2227731.8040573699</v>
      </c>
      <c r="AH524" s="2">
        <v>2034271.96786739</v>
      </c>
      <c r="AI524" s="2">
        <v>1964523.2568866001</v>
      </c>
      <c r="AJ524" s="2">
        <v>2192775.0651568398</v>
      </c>
      <c r="AK524" s="2">
        <v>1999599.2227729601</v>
      </c>
      <c r="AL524" s="2">
        <v>2047602.2378829699</v>
      </c>
      <c r="AM524" s="2">
        <v>2086589.2223551101</v>
      </c>
      <c r="AN524" s="2">
        <v>1804039.0490314499</v>
      </c>
      <c r="AO524" s="2">
        <v>1904248.9906745099</v>
      </c>
      <c r="AP524" s="2">
        <v>1850290.4886308601</v>
      </c>
    </row>
    <row r="525" spans="1:42" ht="14.5" x14ac:dyDescent="0.35">
      <c r="A525" s="2" t="s">
        <v>3653</v>
      </c>
      <c r="B525" s="2">
        <v>411.19875228872701</v>
      </c>
      <c r="C525" s="2">
        <v>4.7541500000000001</v>
      </c>
      <c r="D525" s="2" t="s">
        <v>34</v>
      </c>
      <c r="E525" s="2" t="s">
        <v>3654</v>
      </c>
      <c r="F525" s="2">
        <v>60082</v>
      </c>
      <c r="G525" s="3" t="str">
        <f>HYPERLINK("http://funmeta.oebiotech.com/network/60082", "http://funmeta.oebiotech.com/network/60082")</f>
        <v>http://funmeta.oebiotech.com/network/60082</v>
      </c>
      <c r="H525" s="2" t="s">
        <v>3655</v>
      </c>
      <c r="I525" s="2">
        <v>91463</v>
      </c>
      <c r="J525" s="2"/>
      <c r="K525" s="2">
        <v>175106</v>
      </c>
      <c r="L525" s="2"/>
      <c r="M525" s="2"/>
      <c r="N525" s="2"/>
      <c r="O525" s="2">
        <v>72791584</v>
      </c>
      <c r="P525" s="2" t="s">
        <v>3656</v>
      </c>
      <c r="Q525" s="2" t="s">
        <v>3657</v>
      </c>
      <c r="R525" s="2" t="s">
        <v>3658</v>
      </c>
      <c r="S525" s="2" t="s">
        <v>50</v>
      </c>
      <c r="T525" s="2" t="s">
        <v>229</v>
      </c>
      <c r="U525" s="2" t="s">
        <v>230</v>
      </c>
      <c r="V525" s="2" t="s">
        <v>59</v>
      </c>
      <c r="W525" s="2">
        <v>46.4</v>
      </c>
      <c r="X525" s="2">
        <v>36.700000000000003</v>
      </c>
      <c r="Y525" s="2" t="s">
        <v>323</v>
      </c>
      <c r="Z525" s="2" t="s">
        <v>1270</v>
      </c>
      <c r="AA525" s="2">
        <v>-0.48008585135082499</v>
      </c>
      <c r="AB525" s="2">
        <v>1.1998433273092799</v>
      </c>
      <c r="AC525" s="2">
        <v>1395241.8964778499</v>
      </c>
      <c r="AD525" s="2">
        <v>1495715.89619081</v>
      </c>
      <c r="AE525" s="2">
        <v>1409922.07127934</v>
      </c>
      <c r="AF525" s="2">
        <v>1365336.7402196501</v>
      </c>
      <c r="AG525" s="2">
        <v>1423571.6585178601</v>
      </c>
      <c r="AH525" s="2">
        <v>1387779.4021198701</v>
      </c>
      <c r="AI525" s="2">
        <v>1398141.27912766</v>
      </c>
      <c r="AJ525" s="2">
        <v>1386700.22760269</v>
      </c>
      <c r="AK525" s="2">
        <v>1502554.58620119</v>
      </c>
      <c r="AL525" s="2">
        <v>1468791.9863501701</v>
      </c>
      <c r="AM525" s="2">
        <v>1516135.05830404</v>
      </c>
      <c r="AN525" s="2">
        <v>1476900.78152603</v>
      </c>
      <c r="AO525" s="2">
        <v>1493907.6725617601</v>
      </c>
      <c r="AP525" s="2">
        <v>1516005.2922016601</v>
      </c>
    </row>
    <row r="526" spans="1:42" ht="14.5" x14ac:dyDescent="0.35">
      <c r="A526" s="2" t="s">
        <v>3659</v>
      </c>
      <c r="B526" s="2">
        <v>321.23986767081402</v>
      </c>
      <c r="C526" s="2">
        <v>9.7274833333333302</v>
      </c>
      <c r="D526" s="2" t="s">
        <v>34</v>
      </c>
      <c r="E526" s="2" t="s">
        <v>3660</v>
      </c>
      <c r="F526" s="2">
        <v>266494</v>
      </c>
      <c r="G526" s="3" t="str">
        <f>HYPERLINK("http://funmeta.oebiotech.com/network/266494", "http://funmeta.oebiotech.com/network/266494")</f>
        <v>http://funmeta.oebiotech.com/network/266494</v>
      </c>
      <c r="H526" s="2"/>
      <c r="I526" s="2">
        <v>43393</v>
      </c>
      <c r="J526" s="2"/>
      <c r="K526" s="2"/>
      <c r="L526" s="2"/>
      <c r="M526" s="2"/>
      <c r="N526" s="2"/>
      <c r="O526" s="2">
        <v>6439476</v>
      </c>
      <c r="P526" s="2" t="s">
        <v>3661</v>
      </c>
      <c r="Q526" s="2" t="s">
        <v>3662</v>
      </c>
      <c r="R526" s="2" t="s">
        <v>3663</v>
      </c>
      <c r="S526" s="2" t="s">
        <v>50</v>
      </c>
      <c r="T526" s="2" t="s">
        <v>229</v>
      </c>
      <c r="U526" s="2" t="s">
        <v>766</v>
      </c>
      <c r="V526" s="2" t="s">
        <v>59</v>
      </c>
      <c r="W526" s="2">
        <v>39.5</v>
      </c>
      <c r="X526" s="2">
        <v>12.3</v>
      </c>
      <c r="Y526" s="2" t="s">
        <v>330</v>
      </c>
      <c r="Z526" s="2" t="s">
        <v>3664</v>
      </c>
      <c r="AA526" s="2">
        <v>-7.5496827704592997</v>
      </c>
      <c r="AB526" s="2">
        <v>1.1986367081420399</v>
      </c>
      <c r="AC526" s="2">
        <v>375023.69263786002</v>
      </c>
      <c r="AD526" s="2">
        <v>475222.34312704601</v>
      </c>
      <c r="AE526" s="2">
        <v>372739.429632121</v>
      </c>
      <c r="AF526" s="2">
        <v>389630.53838270798</v>
      </c>
      <c r="AG526" s="2">
        <v>379591.55397868302</v>
      </c>
      <c r="AH526" s="2">
        <v>374105.74024950899</v>
      </c>
      <c r="AI526" s="2">
        <v>373243.25915446598</v>
      </c>
      <c r="AJ526" s="2">
        <v>360831.63442967099</v>
      </c>
      <c r="AK526" s="2">
        <v>520100.92601871199</v>
      </c>
      <c r="AL526" s="2">
        <v>476432.08604159701</v>
      </c>
      <c r="AM526" s="2">
        <v>460711.59672814503</v>
      </c>
      <c r="AN526" s="2">
        <v>463019.14714322699</v>
      </c>
      <c r="AO526" s="2">
        <v>484893.81196924101</v>
      </c>
      <c r="AP526" s="2">
        <v>446176.49086135201</v>
      </c>
    </row>
    <row r="527" spans="1:42" ht="14.5" x14ac:dyDescent="0.35">
      <c r="A527" s="2" t="s">
        <v>3665</v>
      </c>
      <c r="B527" s="2">
        <v>667.42254399040996</v>
      </c>
      <c r="C527" s="2">
        <v>11.688883333333299</v>
      </c>
      <c r="D527" s="2" t="s">
        <v>34</v>
      </c>
      <c r="E527" s="2" t="s">
        <v>3666</v>
      </c>
      <c r="F527" s="2">
        <v>39710</v>
      </c>
      <c r="G527" s="3" t="str">
        <f>HYPERLINK("http://funmeta.oebiotech.com/network/39710", "http://funmeta.oebiotech.com/network/39710")</f>
        <v>http://funmeta.oebiotech.com/network/39710</v>
      </c>
      <c r="H527" s="2"/>
      <c r="I527" s="2">
        <v>103070</v>
      </c>
      <c r="J527" s="2" t="s">
        <v>3667</v>
      </c>
      <c r="K527" s="2"/>
      <c r="L527" s="2"/>
      <c r="M527" s="2"/>
      <c r="N527" s="2"/>
      <c r="O527" s="2">
        <v>70699014</v>
      </c>
      <c r="P527" s="2"/>
      <c r="Q527" s="2" t="s">
        <v>3668</v>
      </c>
      <c r="R527" s="2" t="s">
        <v>3669</v>
      </c>
      <c r="S527" s="2" t="s">
        <v>50</v>
      </c>
      <c r="T527" s="2" t="s">
        <v>693</v>
      </c>
      <c r="U527" s="2" t="s">
        <v>3670</v>
      </c>
      <c r="V527" s="2" t="s">
        <v>59</v>
      </c>
      <c r="W527" s="2">
        <v>36.299999999999997</v>
      </c>
      <c r="X527" s="2">
        <v>0</v>
      </c>
      <c r="Y527" s="2" t="s">
        <v>340</v>
      </c>
      <c r="Z527" s="2" t="s">
        <v>3671</v>
      </c>
      <c r="AA527" s="2">
        <v>2.1663640954241701</v>
      </c>
      <c r="AB527" s="2">
        <v>1.1979752571511699</v>
      </c>
      <c r="AC527" s="2">
        <v>2025.8837891231799</v>
      </c>
      <c r="AD527" s="2">
        <v>98683.876573311703</v>
      </c>
      <c r="AE527" s="2">
        <v>1560.3183299800601</v>
      </c>
      <c r="AF527" s="2">
        <v>1914.4389064464799</v>
      </c>
      <c r="AG527" s="2">
        <v>1764.86192085483</v>
      </c>
      <c r="AH527" s="2">
        <v>1662.52560639649</v>
      </c>
      <c r="AI527" s="2">
        <v>2583.37761370816</v>
      </c>
      <c r="AJ527" s="2">
        <v>2669.78035735304</v>
      </c>
      <c r="AK527" s="2">
        <v>94917.493720140294</v>
      </c>
      <c r="AL527" s="2">
        <v>68986.785185639194</v>
      </c>
      <c r="AM527" s="2">
        <v>116237.095742593</v>
      </c>
      <c r="AN527" s="2">
        <v>94180.950696008498</v>
      </c>
      <c r="AO527" s="2">
        <v>99944.526033599293</v>
      </c>
      <c r="AP527" s="2">
        <v>117836.40806189</v>
      </c>
    </row>
    <row r="528" spans="1:42" ht="14.5" x14ac:dyDescent="0.35">
      <c r="A528" s="2" t="s">
        <v>3672</v>
      </c>
      <c r="B528" s="2">
        <v>859.48019428985299</v>
      </c>
      <c r="C528" s="2">
        <v>10.792766666666701</v>
      </c>
      <c r="D528" s="2" t="s">
        <v>34</v>
      </c>
      <c r="E528" s="2" t="s">
        <v>3673</v>
      </c>
      <c r="F528" s="2">
        <v>58592</v>
      </c>
      <c r="G528" s="3" t="str">
        <f>HYPERLINK("http://funmeta.oebiotech.com/network/58592", "http://funmeta.oebiotech.com/network/58592")</f>
        <v>http://funmeta.oebiotech.com/network/58592</v>
      </c>
      <c r="H528" s="2" t="s">
        <v>3674</v>
      </c>
      <c r="I528" s="2"/>
      <c r="J528" s="2"/>
      <c r="K528" s="2"/>
      <c r="L528" s="2"/>
      <c r="M528" s="2"/>
      <c r="N528" s="2"/>
      <c r="O528" s="2">
        <v>73818330</v>
      </c>
      <c r="P528" s="2" t="s">
        <v>3675</v>
      </c>
      <c r="Q528" s="2" t="s">
        <v>3676</v>
      </c>
      <c r="R528" s="2" t="s">
        <v>3677</v>
      </c>
      <c r="S528" s="2" t="s">
        <v>50</v>
      </c>
      <c r="T528" s="2" t="s">
        <v>124</v>
      </c>
      <c r="U528" s="2" t="s">
        <v>523</v>
      </c>
      <c r="V528" s="2" t="s">
        <v>59</v>
      </c>
      <c r="W528" s="2">
        <v>44.6</v>
      </c>
      <c r="X528" s="2">
        <v>38.9</v>
      </c>
      <c r="Y528" s="2" t="s">
        <v>470</v>
      </c>
      <c r="Z528" s="2" t="s">
        <v>3678</v>
      </c>
      <c r="AA528" s="2">
        <v>-1.4744584781352399</v>
      </c>
      <c r="AB528" s="2">
        <v>1.1935748468201599</v>
      </c>
      <c r="AC528" s="2">
        <v>135802.555890558</v>
      </c>
      <c r="AD528" s="2">
        <v>231670.825339606</v>
      </c>
      <c r="AE528" s="2">
        <v>130122.989191738</v>
      </c>
      <c r="AF528" s="2">
        <v>122005.71674605399</v>
      </c>
      <c r="AG528" s="2">
        <v>138674.533877301</v>
      </c>
      <c r="AH528" s="2">
        <v>142616.848331188</v>
      </c>
      <c r="AI528" s="2">
        <v>132283.19379956901</v>
      </c>
      <c r="AJ528" s="2">
        <v>149112.05339749699</v>
      </c>
      <c r="AK528" s="2">
        <v>257478.08274849999</v>
      </c>
      <c r="AL528" s="2">
        <v>216419.083352494</v>
      </c>
      <c r="AM528" s="2">
        <v>229505.27837267099</v>
      </c>
      <c r="AN528" s="2">
        <v>225525.52290755801</v>
      </c>
      <c r="AO528" s="2">
        <v>233834.28450542199</v>
      </c>
      <c r="AP528" s="2">
        <v>227262.70015099301</v>
      </c>
    </row>
    <row r="529" spans="1:42" ht="14.5" x14ac:dyDescent="0.35">
      <c r="A529" s="2" t="s">
        <v>3679</v>
      </c>
      <c r="B529" s="2">
        <v>655.26107585735804</v>
      </c>
      <c r="C529" s="2">
        <v>5.84148333333333</v>
      </c>
      <c r="D529" s="2" t="s">
        <v>70</v>
      </c>
      <c r="E529" s="2" t="s">
        <v>3680</v>
      </c>
      <c r="F529" s="2">
        <v>210786</v>
      </c>
      <c r="G529" s="3" t="str">
        <f>HYPERLINK("http://funmeta.oebiotech.com/network/210786", "http://funmeta.oebiotech.com/network/210786")</f>
        <v>http://funmeta.oebiotech.com/network/210786</v>
      </c>
      <c r="H529" s="2" t="s">
        <v>3681</v>
      </c>
      <c r="I529" s="2"/>
      <c r="J529" s="2"/>
      <c r="K529" s="2"/>
      <c r="L529" s="2"/>
      <c r="M529" s="2"/>
      <c r="N529" s="2"/>
      <c r="O529" s="2">
        <v>162188</v>
      </c>
      <c r="P529" s="2"/>
      <c r="Q529" s="2" t="s">
        <v>3682</v>
      </c>
      <c r="R529" s="2" t="s">
        <v>3683</v>
      </c>
      <c r="S529" s="2" t="s">
        <v>148</v>
      </c>
      <c r="T529" s="2" t="s">
        <v>149</v>
      </c>
      <c r="U529" s="2" t="s">
        <v>3684</v>
      </c>
      <c r="V529" s="2" t="s">
        <v>59</v>
      </c>
      <c r="W529" s="2">
        <v>38</v>
      </c>
      <c r="X529" s="2">
        <v>3.49</v>
      </c>
      <c r="Y529" s="2" t="s">
        <v>560</v>
      </c>
      <c r="Z529" s="2" t="s">
        <v>3685</v>
      </c>
      <c r="AA529" s="2">
        <v>-0.19765676085350201</v>
      </c>
      <c r="AB529" s="2">
        <v>1.1918074645746399</v>
      </c>
      <c r="AC529" s="2">
        <v>173596.62686459499</v>
      </c>
      <c r="AD529" s="2">
        <v>79400.142207094803</v>
      </c>
      <c r="AE529" s="2">
        <v>186171.3171783</v>
      </c>
      <c r="AF529" s="2">
        <v>159754.51112283699</v>
      </c>
      <c r="AG529" s="2">
        <v>177024.68446823399</v>
      </c>
      <c r="AH529" s="2">
        <v>166510.513264307</v>
      </c>
      <c r="AI529" s="2">
        <v>176164.774358558</v>
      </c>
      <c r="AJ529" s="2">
        <v>175953.96079533399</v>
      </c>
      <c r="AK529" s="2">
        <v>74765.335572266995</v>
      </c>
      <c r="AL529" s="2">
        <v>81722.667944992703</v>
      </c>
      <c r="AM529" s="2">
        <v>83640.815749414498</v>
      </c>
      <c r="AN529" s="2">
        <v>82828.060011037902</v>
      </c>
      <c r="AO529" s="2">
        <v>81095.647096073095</v>
      </c>
      <c r="AP529" s="2">
        <v>72348.326868783901</v>
      </c>
    </row>
    <row r="530" spans="1:42" ht="14.5" x14ac:dyDescent="0.35">
      <c r="A530" s="2" t="s">
        <v>3686</v>
      </c>
      <c r="B530" s="2">
        <v>1027.52242372607</v>
      </c>
      <c r="C530" s="2">
        <v>4.7862166666666699</v>
      </c>
      <c r="D530" s="2" t="s">
        <v>34</v>
      </c>
      <c r="E530" s="2" t="s">
        <v>3687</v>
      </c>
      <c r="F530" s="2">
        <v>57085</v>
      </c>
      <c r="G530" s="3" t="str">
        <f>HYPERLINK("http://funmeta.oebiotech.com/network/57085", "http://funmeta.oebiotech.com/network/57085")</f>
        <v>http://funmeta.oebiotech.com/network/57085</v>
      </c>
      <c r="H530" s="2" t="s">
        <v>3688</v>
      </c>
      <c r="I530" s="2">
        <v>88738</v>
      </c>
      <c r="J530" s="2"/>
      <c r="K530" s="2"/>
      <c r="L530" s="2"/>
      <c r="M530" s="2"/>
      <c r="N530" s="2"/>
      <c r="O530" s="2">
        <v>85212395</v>
      </c>
      <c r="P530" s="2" t="s">
        <v>3689</v>
      </c>
      <c r="Q530" s="2" t="s">
        <v>3690</v>
      </c>
      <c r="R530" s="2" t="s">
        <v>3691</v>
      </c>
      <c r="S530" s="2" t="s">
        <v>50</v>
      </c>
      <c r="T530" s="2" t="s">
        <v>201</v>
      </c>
      <c r="U530" s="2" t="s">
        <v>210</v>
      </c>
      <c r="V530" s="2" t="s">
        <v>59</v>
      </c>
      <c r="W530" s="2">
        <v>39</v>
      </c>
      <c r="X530" s="2">
        <v>0</v>
      </c>
      <c r="Y530" s="2" t="s">
        <v>340</v>
      </c>
      <c r="Z530" s="2" t="s">
        <v>3692</v>
      </c>
      <c r="AA530" s="2">
        <v>-1.43119130696854</v>
      </c>
      <c r="AB530" s="2">
        <v>1.1905070904247099</v>
      </c>
      <c r="AC530" s="2">
        <v>134608.54183930199</v>
      </c>
      <c r="AD530" s="2">
        <v>231023.53945263801</v>
      </c>
      <c r="AE530" s="2">
        <v>129822.430169621</v>
      </c>
      <c r="AF530" s="2">
        <v>130127.298774993</v>
      </c>
      <c r="AG530" s="2">
        <v>111383.303781012</v>
      </c>
      <c r="AH530" s="2">
        <v>147047.61529277</v>
      </c>
      <c r="AI530" s="2">
        <v>143554.71291537001</v>
      </c>
      <c r="AJ530" s="2">
        <v>145715.89010204899</v>
      </c>
      <c r="AK530" s="2">
        <v>237367.558585577</v>
      </c>
      <c r="AL530" s="2">
        <v>255904.85885604401</v>
      </c>
      <c r="AM530" s="2">
        <v>212372.01818992299</v>
      </c>
      <c r="AN530" s="2">
        <v>223051.63747941001</v>
      </c>
      <c r="AO530" s="2">
        <v>222746.380193536</v>
      </c>
      <c r="AP530" s="2">
        <v>234698.78341134</v>
      </c>
    </row>
    <row r="531" spans="1:42" ht="14.5" x14ac:dyDescent="0.35">
      <c r="A531" s="2" t="s">
        <v>3693</v>
      </c>
      <c r="B531" s="2">
        <v>567.20801382163904</v>
      </c>
      <c r="C531" s="2">
        <v>4.6130500000000003</v>
      </c>
      <c r="D531" s="2" t="s">
        <v>70</v>
      </c>
      <c r="E531" s="2" t="s">
        <v>3694</v>
      </c>
      <c r="F531" s="2">
        <v>57170</v>
      </c>
      <c r="G531" s="3" t="str">
        <f>HYPERLINK("http://funmeta.oebiotech.com/network/57170", "http://funmeta.oebiotech.com/network/57170")</f>
        <v>http://funmeta.oebiotech.com/network/57170</v>
      </c>
      <c r="H531" s="2" t="s">
        <v>3695</v>
      </c>
      <c r="I531" s="2">
        <v>88815</v>
      </c>
      <c r="J531" s="2"/>
      <c r="K531" s="2"/>
      <c r="L531" s="2"/>
      <c r="M531" s="2"/>
      <c r="N531" s="2"/>
      <c r="O531" s="2">
        <v>85210374</v>
      </c>
      <c r="P531" s="2" t="s">
        <v>3696</v>
      </c>
      <c r="Q531" s="2" t="s">
        <v>3697</v>
      </c>
      <c r="R531" s="2" t="s">
        <v>3698</v>
      </c>
      <c r="S531" s="2" t="s">
        <v>1184</v>
      </c>
      <c r="T531" s="2" t="s">
        <v>1185</v>
      </c>
      <c r="U531" s="2" t="s">
        <v>41</v>
      </c>
      <c r="V531" s="2" t="s">
        <v>42</v>
      </c>
      <c r="W531" s="2">
        <v>55.6</v>
      </c>
      <c r="X531" s="2">
        <v>80.3</v>
      </c>
      <c r="Y531" s="2" t="s">
        <v>408</v>
      </c>
      <c r="Z531" s="2" t="s">
        <v>1096</v>
      </c>
      <c r="AA531" s="2">
        <v>-0.576308068697029</v>
      </c>
      <c r="AB531" s="2">
        <v>1.18927422529992</v>
      </c>
      <c r="AC531" s="2">
        <v>1273102.41272267</v>
      </c>
      <c r="AD531" s="2">
        <v>1143852.3265764201</v>
      </c>
      <c r="AE531" s="2">
        <v>1218151.50694774</v>
      </c>
      <c r="AF531" s="2">
        <v>1417557.52750093</v>
      </c>
      <c r="AG531" s="2">
        <v>1202523.36974699</v>
      </c>
      <c r="AH531" s="2">
        <v>1235496.93003222</v>
      </c>
      <c r="AI531" s="2">
        <v>1295080.96636715</v>
      </c>
      <c r="AJ531" s="2">
        <v>1269804.1757410199</v>
      </c>
      <c r="AK531" s="2">
        <v>1176123.9853075901</v>
      </c>
      <c r="AL531" s="2">
        <v>1134150.6155937701</v>
      </c>
      <c r="AM531" s="2">
        <v>1152469.0086161699</v>
      </c>
      <c r="AN531" s="2">
        <v>1204329.7093298901</v>
      </c>
      <c r="AO531" s="2">
        <v>1039597.83631808</v>
      </c>
      <c r="AP531" s="2">
        <v>1156442.8042930299</v>
      </c>
    </row>
    <row r="532" spans="1:42" ht="14.5" x14ac:dyDescent="0.35">
      <c r="A532" s="2" t="s">
        <v>3699</v>
      </c>
      <c r="B532" s="2">
        <v>559.28933017911504</v>
      </c>
      <c r="C532" s="2">
        <v>8.3613499999999998</v>
      </c>
      <c r="D532" s="2" t="s">
        <v>34</v>
      </c>
      <c r="E532" s="2" t="s">
        <v>3700</v>
      </c>
      <c r="F532" s="2">
        <v>44652</v>
      </c>
      <c r="G532" s="3" t="str">
        <f>HYPERLINK("http://funmeta.oebiotech.com/network/44652", "http://funmeta.oebiotech.com/network/44652")</f>
        <v>http://funmeta.oebiotech.com/network/44652</v>
      </c>
      <c r="H532" s="2"/>
      <c r="I532" s="2">
        <v>57779</v>
      </c>
      <c r="J532" s="2" t="s">
        <v>3701</v>
      </c>
      <c r="K532" s="2">
        <v>27481</v>
      </c>
      <c r="L532" s="2" t="s">
        <v>3702</v>
      </c>
      <c r="M532" s="2"/>
      <c r="N532" s="2"/>
      <c r="O532" s="2">
        <v>441868</v>
      </c>
      <c r="P532" s="2"/>
      <c r="Q532" s="2" t="s">
        <v>3703</v>
      </c>
      <c r="R532" s="2" t="s">
        <v>3704</v>
      </c>
      <c r="S532" s="2" t="s">
        <v>50</v>
      </c>
      <c r="T532" s="2" t="s">
        <v>124</v>
      </c>
      <c r="U532" s="2" t="s">
        <v>567</v>
      </c>
      <c r="V532" s="2" t="s">
        <v>42</v>
      </c>
      <c r="W532" s="2">
        <v>47.5</v>
      </c>
      <c r="X532" s="2">
        <v>45.5</v>
      </c>
      <c r="Y532" s="2" t="s">
        <v>323</v>
      </c>
      <c r="Z532" s="2" t="s">
        <v>3705</v>
      </c>
      <c r="AA532" s="2">
        <v>2.9396164602070902</v>
      </c>
      <c r="AB532" s="2">
        <v>1.18749327683211</v>
      </c>
      <c r="AC532" s="2">
        <v>114643.45610276501</v>
      </c>
      <c r="AD532" s="2">
        <v>209485.85083470799</v>
      </c>
      <c r="AE532" s="2">
        <v>100186.613106473</v>
      </c>
      <c r="AF532" s="2">
        <v>113344.36495405401</v>
      </c>
      <c r="AG532" s="2">
        <v>132784.65655853599</v>
      </c>
      <c r="AH532" s="2">
        <v>116690.241935509</v>
      </c>
      <c r="AI532" s="2">
        <v>108990.78790847601</v>
      </c>
      <c r="AJ532" s="2">
        <v>115864.072153545</v>
      </c>
      <c r="AK532" s="2">
        <v>209398.28112512801</v>
      </c>
      <c r="AL532" s="2">
        <v>188558.87137426101</v>
      </c>
      <c r="AM532" s="2">
        <v>207442.79459557799</v>
      </c>
      <c r="AN532" s="2">
        <v>229203.126998552</v>
      </c>
      <c r="AO532" s="2">
        <v>210835.58611592799</v>
      </c>
      <c r="AP532" s="2">
        <v>211476.444798799</v>
      </c>
    </row>
    <row r="533" spans="1:42" ht="14.5" x14ac:dyDescent="0.35">
      <c r="A533" s="2" t="s">
        <v>3706</v>
      </c>
      <c r="B533" s="2">
        <v>402.22550653316802</v>
      </c>
      <c r="C533" s="2">
        <v>4.9308666666666703</v>
      </c>
      <c r="D533" s="2" t="s">
        <v>34</v>
      </c>
      <c r="E533" s="2" t="s">
        <v>3707</v>
      </c>
      <c r="F533" s="2">
        <v>211741</v>
      </c>
      <c r="G533" s="3" t="str">
        <f>HYPERLINK("http://funmeta.oebiotech.com/network/211741", "http://funmeta.oebiotech.com/network/211741")</f>
        <v>http://funmeta.oebiotech.com/network/211741</v>
      </c>
      <c r="H533" s="2" t="s">
        <v>3708</v>
      </c>
      <c r="I533" s="2"/>
      <c r="J533" s="2"/>
      <c r="K533" s="2"/>
      <c r="L533" s="2"/>
      <c r="M533" s="2"/>
      <c r="N533" s="2"/>
      <c r="O533" s="2"/>
      <c r="P533" s="2"/>
      <c r="Q533" s="2" t="s">
        <v>3709</v>
      </c>
      <c r="R533" s="2" t="s">
        <v>3710</v>
      </c>
      <c r="S533" s="2" t="s">
        <v>41</v>
      </c>
      <c r="T533" s="2" t="s">
        <v>41</v>
      </c>
      <c r="U533" s="2" t="s">
        <v>41</v>
      </c>
      <c r="V533" s="2" t="s">
        <v>59</v>
      </c>
      <c r="W533" s="2">
        <v>36.4</v>
      </c>
      <c r="X533" s="2">
        <v>0</v>
      </c>
      <c r="Y533" s="2" t="s">
        <v>43</v>
      </c>
      <c r="Z533" s="2" t="s">
        <v>3711</v>
      </c>
      <c r="AA533" s="2">
        <v>1.80208809708859</v>
      </c>
      <c r="AB533" s="2">
        <v>1.1873105846815299</v>
      </c>
      <c r="AC533" s="2">
        <v>286875.37392239698</v>
      </c>
      <c r="AD533" s="2">
        <v>382080.734448843</v>
      </c>
      <c r="AE533" s="2">
        <v>304719.14907713002</v>
      </c>
      <c r="AF533" s="2">
        <v>291732.85791217902</v>
      </c>
      <c r="AG533" s="2">
        <v>292866.41170310101</v>
      </c>
      <c r="AH533" s="2">
        <v>284541.99461927701</v>
      </c>
      <c r="AI533" s="2">
        <v>280413.88582451199</v>
      </c>
      <c r="AJ533" s="2">
        <v>266977.94439818099</v>
      </c>
      <c r="AK533" s="2">
        <v>368289.880261946</v>
      </c>
      <c r="AL533" s="2">
        <v>376932.83045645501</v>
      </c>
      <c r="AM533" s="2">
        <v>403572.44925460801</v>
      </c>
      <c r="AN533" s="2">
        <v>383107.51343054202</v>
      </c>
      <c r="AO533" s="2">
        <v>386622.60175093799</v>
      </c>
      <c r="AP533" s="2">
        <v>373959.13153856999</v>
      </c>
    </row>
    <row r="534" spans="1:42" ht="14.5" x14ac:dyDescent="0.35">
      <c r="A534" s="2" t="s">
        <v>3712</v>
      </c>
      <c r="B534" s="2">
        <v>425.01726886314498</v>
      </c>
      <c r="C534" s="2">
        <v>3.0346333333333302</v>
      </c>
      <c r="D534" s="2" t="s">
        <v>70</v>
      </c>
      <c r="E534" s="2" t="s">
        <v>3713</v>
      </c>
      <c r="F534" s="2">
        <v>64832</v>
      </c>
      <c r="G534" s="3" t="str">
        <f>HYPERLINK("http://funmeta.oebiotech.com/network/64832", "http://funmeta.oebiotech.com/network/64832")</f>
        <v>http://funmeta.oebiotech.com/network/64832</v>
      </c>
      <c r="H534" s="2" t="s">
        <v>3714</v>
      </c>
      <c r="I534" s="2">
        <v>96130</v>
      </c>
      <c r="J534" s="2"/>
      <c r="K534" s="2"/>
      <c r="L534" s="2"/>
      <c r="M534" s="2"/>
      <c r="N534" s="2"/>
      <c r="O534" s="2">
        <v>102292996</v>
      </c>
      <c r="P534" s="2"/>
      <c r="Q534" s="2" t="s">
        <v>3715</v>
      </c>
      <c r="R534" s="2" t="s">
        <v>3716</v>
      </c>
      <c r="S534" s="2" t="s">
        <v>115</v>
      </c>
      <c r="T534" s="2" t="s">
        <v>1371</v>
      </c>
      <c r="U534" s="2" t="s">
        <v>3717</v>
      </c>
      <c r="V534" s="2" t="s">
        <v>42</v>
      </c>
      <c r="W534" s="2">
        <v>53.7</v>
      </c>
      <c r="X534" s="2">
        <v>76.099999999999994</v>
      </c>
      <c r="Y534" s="2" t="s">
        <v>408</v>
      </c>
      <c r="Z534" s="2" t="s">
        <v>3718</v>
      </c>
      <c r="AA534" s="2">
        <v>-2.9918612911103102</v>
      </c>
      <c r="AB534" s="2">
        <v>1.1866428324770899</v>
      </c>
      <c r="AC534" s="2">
        <v>232747.58308379501</v>
      </c>
      <c r="AD534" s="2">
        <v>327030.83867088601</v>
      </c>
      <c r="AE534" s="2">
        <v>236148.17247277699</v>
      </c>
      <c r="AF534" s="2">
        <v>240613.31424316301</v>
      </c>
      <c r="AG534" s="2">
        <v>232613.273809209</v>
      </c>
      <c r="AH534" s="2">
        <v>219353.56235702001</v>
      </c>
      <c r="AI534" s="2">
        <v>225880.73719476</v>
      </c>
      <c r="AJ534" s="2">
        <v>241876.438425842</v>
      </c>
      <c r="AK534" s="2">
        <v>327605.95418703399</v>
      </c>
      <c r="AL534" s="2">
        <v>332796.28718821303</v>
      </c>
      <c r="AM534" s="2">
        <v>344783.59300192201</v>
      </c>
      <c r="AN534" s="2">
        <v>325410.965598827</v>
      </c>
      <c r="AO534" s="2">
        <v>320713.64852354198</v>
      </c>
      <c r="AP534" s="2">
        <v>310874.58352577902</v>
      </c>
    </row>
    <row r="535" spans="1:42" ht="14.5" x14ac:dyDescent="0.35">
      <c r="A535" s="2" t="s">
        <v>3719</v>
      </c>
      <c r="B535" s="2">
        <v>333.11544000426397</v>
      </c>
      <c r="C535" s="2">
        <v>1.3287</v>
      </c>
      <c r="D535" s="2" t="s">
        <v>34</v>
      </c>
      <c r="E535" s="2" t="s">
        <v>3720</v>
      </c>
      <c r="F535" s="2">
        <v>56199</v>
      </c>
      <c r="G535" s="3" t="str">
        <f>HYPERLINK("http://funmeta.oebiotech.com/network/56199", "http://funmeta.oebiotech.com/network/56199")</f>
        <v>http://funmeta.oebiotech.com/network/56199</v>
      </c>
      <c r="H535" s="2" t="s">
        <v>3721</v>
      </c>
      <c r="I535" s="2">
        <v>87893</v>
      </c>
      <c r="J535" s="2"/>
      <c r="K535" s="2">
        <v>169679</v>
      </c>
      <c r="L535" s="2"/>
      <c r="M535" s="2"/>
      <c r="N535" s="2"/>
      <c r="O535" s="2">
        <v>14237625</v>
      </c>
      <c r="P535" s="2" t="s">
        <v>3722</v>
      </c>
      <c r="Q535" s="2" t="s">
        <v>3723</v>
      </c>
      <c r="R535" s="2" t="s">
        <v>3724</v>
      </c>
      <c r="S535" s="2" t="s">
        <v>79</v>
      </c>
      <c r="T535" s="2" t="s">
        <v>80</v>
      </c>
      <c r="U535" s="2" t="s">
        <v>81</v>
      </c>
      <c r="V535" s="2" t="s">
        <v>59</v>
      </c>
      <c r="W535" s="2">
        <v>43.7</v>
      </c>
      <c r="X535" s="2">
        <v>32.4</v>
      </c>
      <c r="Y535" s="2" t="s">
        <v>394</v>
      </c>
      <c r="Z535" s="2" t="s">
        <v>3725</v>
      </c>
      <c r="AA535" s="2">
        <v>-7.7343034323137001</v>
      </c>
      <c r="AB535" s="2">
        <v>1.1864371941952101</v>
      </c>
      <c r="AC535" s="2">
        <v>961270.74093716301</v>
      </c>
      <c r="AD535" s="2">
        <v>1068663.93979938</v>
      </c>
      <c r="AE535" s="2">
        <v>972472.58803608303</v>
      </c>
      <c r="AF535" s="2">
        <v>948156.43830734503</v>
      </c>
      <c r="AG535" s="2">
        <v>957613.245564671</v>
      </c>
      <c r="AH535" s="2">
        <v>926556.70266019402</v>
      </c>
      <c r="AI535" s="2">
        <v>959815.76424598298</v>
      </c>
      <c r="AJ535" s="2">
        <v>1003009.7068087</v>
      </c>
      <c r="AK535" s="2">
        <v>1067017.6539890501</v>
      </c>
      <c r="AL535" s="2">
        <v>1013550.43693154</v>
      </c>
      <c r="AM535" s="2">
        <v>1070526.8506423901</v>
      </c>
      <c r="AN535" s="2">
        <v>1063919.2810818499</v>
      </c>
      <c r="AO535" s="2">
        <v>1052739.7065715699</v>
      </c>
      <c r="AP535" s="2">
        <v>1144229.7095798899</v>
      </c>
    </row>
    <row r="536" spans="1:42" ht="14.5" x14ac:dyDescent="0.35">
      <c r="A536" s="2" t="s">
        <v>3726</v>
      </c>
      <c r="B536" s="2">
        <v>573.27033975533197</v>
      </c>
      <c r="C536" s="2">
        <v>7.7220166666666703</v>
      </c>
      <c r="D536" s="2" t="s">
        <v>70</v>
      </c>
      <c r="E536" s="2" t="s">
        <v>3727</v>
      </c>
      <c r="F536" s="2">
        <v>59634</v>
      </c>
      <c r="G536" s="3" t="str">
        <f>HYPERLINK("http://funmeta.oebiotech.com/network/59634", "http://funmeta.oebiotech.com/network/59634")</f>
        <v>http://funmeta.oebiotech.com/network/59634</v>
      </c>
      <c r="H536" s="2" t="s">
        <v>3728</v>
      </c>
      <c r="I536" s="2">
        <v>91030</v>
      </c>
      <c r="J536" s="2"/>
      <c r="K536" s="2"/>
      <c r="L536" s="2"/>
      <c r="M536" s="2"/>
      <c r="N536" s="2"/>
      <c r="O536" s="2">
        <v>131751865</v>
      </c>
      <c r="P536" s="2" t="s">
        <v>3729</v>
      </c>
      <c r="Q536" s="2" t="s">
        <v>3730</v>
      </c>
      <c r="R536" s="2" t="s">
        <v>3731</v>
      </c>
      <c r="S536" s="2" t="s">
        <v>50</v>
      </c>
      <c r="T536" s="2" t="s">
        <v>201</v>
      </c>
      <c r="U536" s="2" t="s">
        <v>210</v>
      </c>
      <c r="V536" s="2" t="s">
        <v>59</v>
      </c>
      <c r="W536" s="2">
        <v>40.700000000000003</v>
      </c>
      <c r="X536" s="2">
        <v>5.35</v>
      </c>
      <c r="Y536" s="2" t="s">
        <v>408</v>
      </c>
      <c r="Z536" s="2" t="s">
        <v>3732</v>
      </c>
      <c r="AA536" s="2">
        <v>-0.34329632970665003</v>
      </c>
      <c r="AB536" s="2">
        <v>1.1828182897941</v>
      </c>
      <c r="AC536" s="2">
        <v>134202.18571060899</v>
      </c>
      <c r="AD536" s="2">
        <v>39842.0088464008</v>
      </c>
      <c r="AE536" s="2">
        <v>118283.709164493</v>
      </c>
      <c r="AF536" s="2">
        <v>114707.561988876</v>
      </c>
      <c r="AG536" s="2">
        <v>142124.70670535299</v>
      </c>
      <c r="AH536" s="2">
        <v>158262.743372545</v>
      </c>
      <c r="AI536" s="2">
        <v>125514.337403039</v>
      </c>
      <c r="AJ536" s="2">
        <v>146320.055629351</v>
      </c>
      <c r="AK536" s="2">
        <v>38366.337280789201</v>
      </c>
      <c r="AL536" s="2">
        <v>45257.720830442297</v>
      </c>
      <c r="AM536" s="2">
        <v>37649.197557482403</v>
      </c>
      <c r="AN536" s="2">
        <v>38727.306783564003</v>
      </c>
      <c r="AO536" s="2">
        <v>40471.720421121703</v>
      </c>
      <c r="AP536" s="2">
        <v>38579.770205005399</v>
      </c>
    </row>
    <row r="537" spans="1:42" ht="14.5" x14ac:dyDescent="0.35">
      <c r="A537" s="2" t="s">
        <v>3733</v>
      </c>
      <c r="B537" s="2">
        <v>301.215927779146</v>
      </c>
      <c r="C537" s="2">
        <v>4.9463833333333298</v>
      </c>
      <c r="D537" s="2" t="s">
        <v>34</v>
      </c>
      <c r="E537" s="2" t="s">
        <v>3734</v>
      </c>
      <c r="F537" s="2">
        <v>60427</v>
      </c>
      <c r="G537" s="3" t="str">
        <f>HYPERLINK("http://funmeta.oebiotech.com/network/60427", "http://funmeta.oebiotech.com/network/60427")</f>
        <v>http://funmeta.oebiotech.com/network/60427</v>
      </c>
      <c r="H537" s="2" t="s">
        <v>3735</v>
      </c>
      <c r="I537" s="2">
        <v>91779</v>
      </c>
      <c r="J537" s="2"/>
      <c r="K537" s="2"/>
      <c r="L537" s="2"/>
      <c r="M537" s="2"/>
      <c r="N537" s="2"/>
      <c r="O537" s="2">
        <v>14191204</v>
      </c>
      <c r="P537" s="2" t="s">
        <v>3736</v>
      </c>
      <c r="Q537" s="2" t="s">
        <v>3737</v>
      </c>
      <c r="R537" s="2" t="s">
        <v>3738</v>
      </c>
      <c r="S537" s="2" t="s">
        <v>50</v>
      </c>
      <c r="T537" s="2" t="s">
        <v>201</v>
      </c>
      <c r="U537" s="2" t="s">
        <v>241</v>
      </c>
      <c r="V537" s="2" t="s">
        <v>42</v>
      </c>
      <c r="W537" s="2">
        <v>56</v>
      </c>
      <c r="X537" s="2">
        <v>84.7</v>
      </c>
      <c r="Y537" s="2" t="s">
        <v>141</v>
      </c>
      <c r="Z537" s="2" t="s">
        <v>3739</v>
      </c>
      <c r="AA537" s="2">
        <v>-0.87609853870672305</v>
      </c>
      <c r="AB537" s="2">
        <v>1.1827666137407999</v>
      </c>
      <c r="AC537" s="2">
        <v>5174323.5774204005</v>
      </c>
      <c r="AD537" s="2">
        <v>5034988.4468758795</v>
      </c>
      <c r="AE537" s="2">
        <v>5172498.29652505</v>
      </c>
      <c r="AF537" s="2">
        <v>5168555.2679155497</v>
      </c>
      <c r="AG537" s="2">
        <v>5240046.2961441996</v>
      </c>
      <c r="AH537" s="2">
        <v>5083033.9260043101</v>
      </c>
      <c r="AI537" s="2">
        <v>5123424.5735724103</v>
      </c>
      <c r="AJ537" s="2">
        <v>5258383.1043608598</v>
      </c>
      <c r="AK537" s="2">
        <v>4905473.3251928799</v>
      </c>
      <c r="AL537" s="2">
        <v>5156301.5514863804</v>
      </c>
      <c r="AM537" s="2">
        <v>5167780.3864778699</v>
      </c>
      <c r="AN537" s="2">
        <v>5021402.5783003401</v>
      </c>
      <c r="AO537" s="2">
        <v>4977218.4785349304</v>
      </c>
      <c r="AP537" s="2">
        <v>4981754.3612628998</v>
      </c>
    </row>
    <row r="538" spans="1:42" ht="14.5" x14ac:dyDescent="0.35">
      <c r="A538" s="2" t="s">
        <v>3740</v>
      </c>
      <c r="B538" s="2">
        <v>323.12863750681498</v>
      </c>
      <c r="C538" s="2">
        <v>8.3239999999999998</v>
      </c>
      <c r="D538" s="2" t="s">
        <v>70</v>
      </c>
      <c r="E538" s="2" t="s">
        <v>3741</v>
      </c>
      <c r="F538" s="2">
        <v>33503</v>
      </c>
      <c r="G538" s="3" t="str">
        <f>HYPERLINK("http://funmeta.oebiotech.com/network/33503", "http://funmeta.oebiotech.com/network/33503")</f>
        <v>http://funmeta.oebiotech.com/network/33503</v>
      </c>
      <c r="H538" s="2"/>
      <c r="I538" s="2">
        <v>51817</v>
      </c>
      <c r="J538" s="2" t="s">
        <v>3742</v>
      </c>
      <c r="K538" s="2"/>
      <c r="L538" s="2"/>
      <c r="M538" s="2"/>
      <c r="N538" s="2"/>
      <c r="O538" s="2">
        <v>14521665</v>
      </c>
      <c r="P538" s="2"/>
      <c r="Q538" s="2" t="s">
        <v>3743</v>
      </c>
      <c r="R538" s="2" t="s">
        <v>3744</v>
      </c>
      <c r="S538" s="2" t="s">
        <v>491</v>
      </c>
      <c r="T538" s="2" t="s">
        <v>2251</v>
      </c>
      <c r="U538" s="2" t="s">
        <v>2252</v>
      </c>
      <c r="V538" s="2" t="s">
        <v>42</v>
      </c>
      <c r="W538" s="2">
        <v>51.7</v>
      </c>
      <c r="X538" s="2">
        <v>62.9</v>
      </c>
      <c r="Y538" s="2" t="s">
        <v>118</v>
      </c>
      <c r="Z538" s="2" t="s">
        <v>3745</v>
      </c>
      <c r="AA538" s="2">
        <v>-0.75641306282083098</v>
      </c>
      <c r="AB538" s="2">
        <v>1.1826785119896299</v>
      </c>
      <c r="AC538" s="2">
        <v>104880.20126016501</v>
      </c>
      <c r="AD538" s="2">
        <v>9973.2312964316807</v>
      </c>
      <c r="AE538" s="2">
        <v>140823.9371708</v>
      </c>
      <c r="AF538" s="2">
        <v>96317.423881369497</v>
      </c>
      <c r="AG538" s="2">
        <v>107115.665810967</v>
      </c>
      <c r="AH538" s="2">
        <v>92059.519930091294</v>
      </c>
      <c r="AI538" s="2">
        <v>106350.586290013</v>
      </c>
      <c r="AJ538" s="2">
        <v>86614.074477751099</v>
      </c>
      <c r="AK538" s="2">
        <v>8656.7582706445392</v>
      </c>
      <c r="AL538" s="2">
        <v>14292.0405432428</v>
      </c>
      <c r="AM538" s="2">
        <v>11829.039624635499</v>
      </c>
      <c r="AN538" s="2">
        <v>4969.7313868082001</v>
      </c>
      <c r="AO538" s="2">
        <v>7949.13583907253</v>
      </c>
      <c r="AP538" s="2">
        <v>12142.6821141865</v>
      </c>
    </row>
    <row r="539" spans="1:42" ht="14.5" x14ac:dyDescent="0.35">
      <c r="A539" s="2" t="s">
        <v>3746</v>
      </c>
      <c r="B539" s="2">
        <v>379.09933555159898</v>
      </c>
      <c r="C539" s="2">
        <v>3.8783166666666702</v>
      </c>
      <c r="D539" s="2" t="s">
        <v>34</v>
      </c>
      <c r="E539" s="2" t="s">
        <v>3747</v>
      </c>
      <c r="F539" s="2">
        <v>207141</v>
      </c>
      <c r="G539" s="3" t="str">
        <f>HYPERLINK("http://funmeta.oebiotech.com/network/207141", "http://funmeta.oebiotech.com/network/207141")</f>
        <v>http://funmeta.oebiotech.com/network/207141</v>
      </c>
      <c r="H539" s="2" t="s">
        <v>3748</v>
      </c>
      <c r="I539" s="2"/>
      <c r="J539" s="2"/>
      <c r="K539" s="2"/>
      <c r="L539" s="2"/>
      <c r="M539" s="2"/>
      <c r="N539" s="2"/>
      <c r="O539" s="2">
        <v>354445</v>
      </c>
      <c r="P539" s="2"/>
      <c r="Q539" s="2" t="s">
        <v>3749</v>
      </c>
      <c r="R539" s="2" t="s">
        <v>3750</v>
      </c>
      <c r="S539" s="2" t="s">
        <v>79</v>
      </c>
      <c r="T539" s="2" t="s">
        <v>80</v>
      </c>
      <c r="U539" s="2" t="s">
        <v>81</v>
      </c>
      <c r="V539" s="2" t="s">
        <v>59</v>
      </c>
      <c r="W539" s="2">
        <v>43.6</v>
      </c>
      <c r="X539" s="2">
        <v>25.8</v>
      </c>
      <c r="Y539" s="2" t="s">
        <v>3751</v>
      </c>
      <c r="Z539" s="2" t="s">
        <v>3752</v>
      </c>
      <c r="AA539" s="2">
        <v>-1.73357830865431</v>
      </c>
      <c r="AB539" s="2">
        <v>1.1826248025719801</v>
      </c>
      <c r="AC539" s="2">
        <v>368351.06864220701</v>
      </c>
      <c r="AD539" s="2">
        <v>273288.41194247099</v>
      </c>
      <c r="AE539" s="2">
        <v>388543.71001808101</v>
      </c>
      <c r="AF539" s="2">
        <v>371669.99526633101</v>
      </c>
      <c r="AG539" s="2">
        <v>386084.12015891098</v>
      </c>
      <c r="AH539" s="2">
        <v>354744.32876439602</v>
      </c>
      <c r="AI539" s="2">
        <v>355607.82895951503</v>
      </c>
      <c r="AJ539" s="2">
        <v>353456.42868600698</v>
      </c>
      <c r="AK539" s="2">
        <v>268516.98519110098</v>
      </c>
      <c r="AL539" s="2">
        <v>261202.61613835601</v>
      </c>
      <c r="AM539" s="2">
        <v>260509.34559209301</v>
      </c>
      <c r="AN539" s="2">
        <v>289615.906001586</v>
      </c>
      <c r="AO539" s="2">
        <v>286666.96225166798</v>
      </c>
      <c r="AP539" s="2">
        <v>273218.65648002201</v>
      </c>
    </row>
    <row r="540" spans="1:42" ht="14.5" x14ac:dyDescent="0.35">
      <c r="A540" s="2" t="s">
        <v>3753</v>
      </c>
      <c r="B540" s="2">
        <v>467.15246196274302</v>
      </c>
      <c r="C540" s="2">
        <v>4.9617833333333303</v>
      </c>
      <c r="D540" s="2" t="s">
        <v>34</v>
      </c>
      <c r="E540" s="2" t="s">
        <v>3754</v>
      </c>
      <c r="F540" s="2">
        <v>28930</v>
      </c>
      <c r="G540" s="3" t="str">
        <f>HYPERLINK("http://funmeta.oebiotech.com/network/28930", "http://funmeta.oebiotech.com/network/28930")</f>
        <v>http://funmeta.oebiotech.com/network/28930</v>
      </c>
      <c r="H540" s="2"/>
      <c r="I540" s="2"/>
      <c r="J540" s="2" t="s">
        <v>3755</v>
      </c>
      <c r="K540" s="2"/>
      <c r="L540" s="2"/>
      <c r="M540" s="2"/>
      <c r="N540" s="2"/>
      <c r="O540" s="2">
        <v>14282770</v>
      </c>
      <c r="P540" s="2"/>
      <c r="Q540" s="2" t="s">
        <v>3756</v>
      </c>
      <c r="R540" s="2" t="s">
        <v>3757</v>
      </c>
      <c r="S540" s="2" t="s">
        <v>115</v>
      </c>
      <c r="T540" s="2" t="s">
        <v>139</v>
      </c>
      <c r="U540" s="2" t="s">
        <v>140</v>
      </c>
      <c r="V540" s="2" t="s">
        <v>59</v>
      </c>
      <c r="W540" s="2">
        <v>38.5</v>
      </c>
      <c r="X540" s="2">
        <v>12</v>
      </c>
      <c r="Y540" s="2" t="s">
        <v>394</v>
      </c>
      <c r="Z540" s="2" t="s">
        <v>2987</v>
      </c>
      <c r="AA540" s="2">
        <v>-4.9900904300076796</v>
      </c>
      <c r="AB540" s="2">
        <v>1.18202500154029</v>
      </c>
      <c r="AC540" s="2">
        <v>122504.101036393</v>
      </c>
      <c r="AD540" s="2">
        <v>215418.614691614</v>
      </c>
      <c r="AE540" s="2">
        <v>124520.175277723</v>
      </c>
      <c r="AF540" s="2">
        <v>123670.675844357</v>
      </c>
      <c r="AG540" s="2">
        <v>133228.09002768699</v>
      </c>
      <c r="AH540" s="2">
        <v>113163.11939424901</v>
      </c>
      <c r="AI540" s="2">
        <v>121006.787577924</v>
      </c>
      <c r="AJ540" s="2">
        <v>119435.758096417</v>
      </c>
      <c r="AK540" s="2">
        <v>211098.44139534299</v>
      </c>
      <c r="AL540" s="2">
        <v>230174.58177587399</v>
      </c>
      <c r="AM540" s="2">
        <v>222033.392246873</v>
      </c>
      <c r="AN540" s="2">
        <v>208848.41704733</v>
      </c>
      <c r="AO540" s="2">
        <v>213814.07434802101</v>
      </c>
      <c r="AP540" s="2">
        <v>206542.78133624399</v>
      </c>
    </row>
    <row r="541" spans="1:42" ht="14.5" x14ac:dyDescent="0.35">
      <c r="A541" s="2" t="s">
        <v>3758</v>
      </c>
      <c r="B541" s="2">
        <v>523.218354101866</v>
      </c>
      <c r="C541" s="2">
        <v>5.00538333333333</v>
      </c>
      <c r="D541" s="2" t="s">
        <v>70</v>
      </c>
      <c r="E541" s="2" t="s">
        <v>3759</v>
      </c>
      <c r="F541" s="2">
        <v>60731</v>
      </c>
      <c r="G541" s="3" t="str">
        <f>HYPERLINK("http://funmeta.oebiotech.com/network/60731", "http://funmeta.oebiotech.com/network/60731")</f>
        <v>http://funmeta.oebiotech.com/network/60731</v>
      </c>
      <c r="H541" s="2" t="s">
        <v>3760</v>
      </c>
      <c r="I541" s="2">
        <v>92059</v>
      </c>
      <c r="J541" s="2"/>
      <c r="K541" s="2">
        <v>139406</v>
      </c>
      <c r="L541" s="2"/>
      <c r="M541" s="2"/>
      <c r="N541" s="2"/>
      <c r="O541" s="2">
        <v>14704357</v>
      </c>
      <c r="P541" s="2" t="s">
        <v>3761</v>
      </c>
      <c r="Q541" s="2" t="s">
        <v>3762</v>
      </c>
      <c r="R541" s="2" t="s">
        <v>3763</v>
      </c>
      <c r="S541" s="2" t="s">
        <v>1184</v>
      </c>
      <c r="T541" s="2" t="s">
        <v>1185</v>
      </c>
      <c r="U541" s="2" t="s">
        <v>41</v>
      </c>
      <c r="V541" s="2" t="s">
        <v>59</v>
      </c>
      <c r="W541" s="2">
        <v>47</v>
      </c>
      <c r="X541" s="2">
        <v>38.6</v>
      </c>
      <c r="Y541" s="2" t="s">
        <v>118</v>
      </c>
      <c r="Z541" s="2" t="s">
        <v>3764</v>
      </c>
      <c r="AA541" s="2">
        <v>-0.25072368358069802</v>
      </c>
      <c r="AB541" s="2">
        <v>1.1814124186048001</v>
      </c>
      <c r="AC541" s="2">
        <v>563013.02091729699</v>
      </c>
      <c r="AD541" s="2">
        <v>453673.49483154598</v>
      </c>
      <c r="AE541" s="2">
        <v>558605.31457432103</v>
      </c>
      <c r="AF541" s="2">
        <v>600089.54605761298</v>
      </c>
      <c r="AG541" s="2">
        <v>578902.36720370397</v>
      </c>
      <c r="AH541" s="2">
        <v>549476.25359686301</v>
      </c>
      <c r="AI541" s="2">
        <v>553201.98762586503</v>
      </c>
      <c r="AJ541" s="2">
        <v>537802.65644541697</v>
      </c>
      <c r="AK541" s="2">
        <v>443474.22141601302</v>
      </c>
      <c r="AL541" s="2">
        <v>479712.38219772797</v>
      </c>
      <c r="AM541" s="2">
        <v>466816.54626234202</v>
      </c>
      <c r="AN541" s="2">
        <v>515456.88639408402</v>
      </c>
      <c r="AO541" s="2">
        <v>363624.32769047801</v>
      </c>
      <c r="AP541" s="2">
        <v>452956.60502863198</v>
      </c>
    </row>
    <row r="542" spans="1:42" ht="14.5" x14ac:dyDescent="0.35">
      <c r="A542" s="2" t="s">
        <v>3765</v>
      </c>
      <c r="B542" s="2">
        <v>318.16469132464601</v>
      </c>
      <c r="C542" s="2">
        <v>4.7703833333333296</v>
      </c>
      <c r="D542" s="2" t="s">
        <v>34</v>
      </c>
      <c r="E542" s="2" t="s">
        <v>3766</v>
      </c>
      <c r="F542" s="2">
        <v>52592</v>
      </c>
      <c r="G542" s="3" t="str">
        <f>HYPERLINK("http://funmeta.oebiotech.com/network/52592", "http://funmeta.oebiotech.com/network/52592")</f>
        <v>http://funmeta.oebiotech.com/network/52592</v>
      </c>
      <c r="H542" s="2" t="s">
        <v>3767</v>
      </c>
      <c r="I542" s="2">
        <v>2576</v>
      </c>
      <c r="J542" s="2"/>
      <c r="K542" s="2">
        <v>88206</v>
      </c>
      <c r="L542" s="2" t="s">
        <v>3768</v>
      </c>
      <c r="M542" s="2"/>
      <c r="N542" s="2"/>
      <c r="O542" s="2">
        <v>59768</v>
      </c>
      <c r="P542" s="2" t="s">
        <v>3769</v>
      </c>
      <c r="Q542" s="2" t="s">
        <v>3770</v>
      </c>
      <c r="R542" s="2" t="s">
        <v>3771</v>
      </c>
      <c r="S542" s="2" t="s">
        <v>148</v>
      </c>
      <c r="T542" s="2" t="s">
        <v>3772</v>
      </c>
      <c r="U542" s="2" t="s">
        <v>41</v>
      </c>
      <c r="V542" s="2" t="s">
        <v>59</v>
      </c>
      <c r="W542" s="2">
        <v>37.5</v>
      </c>
      <c r="X542" s="2">
        <v>6.66</v>
      </c>
      <c r="Y542" s="2" t="s">
        <v>67</v>
      </c>
      <c r="Z542" s="2" t="s">
        <v>3773</v>
      </c>
      <c r="AA542" s="2">
        <v>-9.7826959978741996</v>
      </c>
      <c r="AB542" s="2">
        <v>1.1814076712111099</v>
      </c>
      <c r="AC542" s="2">
        <v>321760.77477503399</v>
      </c>
      <c r="AD542" s="2">
        <v>429164.33395637799</v>
      </c>
      <c r="AE542" s="2">
        <v>300241.11723427603</v>
      </c>
      <c r="AF542" s="2">
        <v>331982.45994011802</v>
      </c>
      <c r="AG542" s="2">
        <v>321679.59299096401</v>
      </c>
      <c r="AH542" s="2">
        <v>342456.80136334797</v>
      </c>
      <c r="AI542" s="2">
        <v>342507.43541993998</v>
      </c>
      <c r="AJ542" s="2">
        <v>291697.24170155602</v>
      </c>
      <c r="AK542" s="2">
        <v>421849.663445757</v>
      </c>
      <c r="AL542" s="2">
        <v>441414.12137164897</v>
      </c>
      <c r="AM542" s="2">
        <v>502117.22702000698</v>
      </c>
      <c r="AN542" s="2">
        <v>369929.292237202</v>
      </c>
      <c r="AO542" s="2">
        <v>392226.229568946</v>
      </c>
      <c r="AP542" s="2">
        <v>447449.470094705</v>
      </c>
    </row>
    <row r="543" spans="1:42" ht="14.5" x14ac:dyDescent="0.35">
      <c r="A543" s="2" t="s">
        <v>3774</v>
      </c>
      <c r="B543" s="2">
        <v>507.29609058385398</v>
      </c>
      <c r="C543" s="2">
        <v>5.2455499999999997</v>
      </c>
      <c r="D543" s="2" t="s">
        <v>70</v>
      </c>
      <c r="E543" s="2" t="s">
        <v>3775</v>
      </c>
      <c r="F543" s="2">
        <v>59782</v>
      </c>
      <c r="G543" s="3" t="str">
        <f>HYPERLINK("http://funmeta.oebiotech.com/network/59782", "http://funmeta.oebiotech.com/network/59782")</f>
        <v>http://funmeta.oebiotech.com/network/59782</v>
      </c>
      <c r="H543" s="2" t="s">
        <v>3776</v>
      </c>
      <c r="I543" s="2">
        <v>91159</v>
      </c>
      <c r="J543" s="2"/>
      <c r="K543" s="2">
        <v>3684</v>
      </c>
      <c r="L543" s="2" t="s">
        <v>3777</v>
      </c>
      <c r="M543" s="2"/>
      <c r="N543" s="2"/>
      <c r="O543" s="2">
        <v>88881</v>
      </c>
      <c r="P543" s="2" t="s">
        <v>3778</v>
      </c>
      <c r="Q543" s="2" t="s">
        <v>3779</v>
      </c>
      <c r="R543" s="2" t="s">
        <v>3780</v>
      </c>
      <c r="S543" s="2" t="s">
        <v>50</v>
      </c>
      <c r="T543" s="2" t="s">
        <v>201</v>
      </c>
      <c r="U543" s="2" t="s">
        <v>210</v>
      </c>
      <c r="V543" s="2" t="s">
        <v>59</v>
      </c>
      <c r="W543" s="2">
        <v>46</v>
      </c>
      <c r="X543" s="2">
        <v>37</v>
      </c>
      <c r="Y543" s="2" t="s">
        <v>408</v>
      </c>
      <c r="Z543" s="2" t="s">
        <v>3781</v>
      </c>
      <c r="AA543" s="2">
        <v>-0.54369772465071597</v>
      </c>
      <c r="AB543" s="2">
        <v>1.1807582785433299</v>
      </c>
      <c r="AC543" s="2">
        <v>107237.053541314</v>
      </c>
      <c r="AD543" s="2">
        <v>200888.923865908</v>
      </c>
      <c r="AE543" s="2">
        <v>112643.42221642499</v>
      </c>
      <c r="AF543" s="2">
        <v>102369.11521487399</v>
      </c>
      <c r="AG543" s="2">
        <v>107071.629251823</v>
      </c>
      <c r="AH543" s="2">
        <v>99102.713479296202</v>
      </c>
      <c r="AI543" s="2">
        <v>113953.05108320501</v>
      </c>
      <c r="AJ543" s="2">
        <v>108282.390002259</v>
      </c>
      <c r="AK543" s="2">
        <v>192887.70807793899</v>
      </c>
      <c r="AL543" s="2">
        <v>213176.43108425499</v>
      </c>
      <c r="AM543" s="2">
        <v>184183.823883445</v>
      </c>
      <c r="AN543" s="2">
        <v>186508.941241088</v>
      </c>
      <c r="AO543" s="2">
        <v>215486.44947038399</v>
      </c>
      <c r="AP543" s="2">
        <v>213090.189438334</v>
      </c>
    </row>
    <row r="544" spans="1:42" ht="14.5" x14ac:dyDescent="0.35">
      <c r="A544" s="2" t="s">
        <v>3782</v>
      </c>
      <c r="B544" s="2">
        <v>429.299694128466</v>
      </c>
      <c r="C544" s="2">
        <v>5.7914500000000002</v>
      </c>
      <c r="D544" s="2" t="s">
        <v>34</v>
      </c>
      <c r="E544" s="2" t="s">
        <v>3783</v>
      </c>
      <c r="F544" s="2">
        <v>59371</v>
      </c>
      <c r="G544" s="3" t="str">
        <f>HYPERLINK("http://funmeta.oebiotech.com/network/59371", "http://funmeta.oebiotech.com/network/59371")</f>
        <v>http://funmeta.oebiotech.com/network/59371</v>
      </c>
      <c r="H544" s="2" t="s">
        <v>3784</v>
      </c>
      <c r="I544" s="2"/>
      <c r="J544" s="2"/>
      <c r="K544" s="2"/>
      <c r="L544" s="2"/>
      <c r="M544" s="2"/>
      <c r="N544" s="2"/>
      <c r="O544" s="2">
        <v>73829990</v>
      </c>
      <c r="P544" s="2" t="s">
        <v>3785</v>
      </c>
      <c r="Q544" s="2" t="s">
        <v>3786</v>
      </c>
      <c r="R544" s="2" t="s">
        <v>3787</v>
      </c>
      <c r="S544" s="2" t="s">
        <v>50</v>
      </c>
      <c r="T544" s="2" t="s">
        <v>201</v>
      </c>
      <c r="U544" s="2" t="s">
        <v>210</v>
      </c>
      <c r="V544" s="2" t="s">
        <v>42</v>
      </c>
      <c r="W544" s="2">
        <v>48.2</v>
      </c>
      <c r="X544" s="2">
        <v>48.1</v>
      </c>
      <c r="Y544" s="2" t="s">
        <v>266</v>
      </c>
      <c r="Z544" s="2" t="s">
        <v>3788</v>
      </c>
      <c r="AA544" s="2">
        <v>-0.56518496925738804</v>
      </c>
      <c r="AB544" s="2">
        <v>1.18023107122515</v>
      </c>
      <c r="AC544" s="2">
        <v>120109.278709814</v>
      </c>
      <c r="AD544" s="2">
        <v>211849.769660777</v>
      </c>
      <c r="AE544" s="2">
        <v>119942.433466812</v>
      </c>
      <c r="AF544" s="2">
        <v>124017.638687178</v>
      </c>
      <c r="AG544" s="2">
        <v>119686.32650123299</v>
      </c>
      <c r="AH544" s="2">
        <v>114196.929158521</v>
      </c>
      <c r="AI544" s="2">
        <v>122449.688045288</v>
      </c>
      <c r="AJ544" s="2">
        <v>120362.656399849</v>
      </c>
      <c r="AK544" s="2">
        <v>211134.340563145</v>
      </c>
      <c r="AL544" s="2">
        <v>216617.06624543399</v>
      </c>
      <c r="AM544" s="2">
        <v>213482.447870809</v>
      </c>
      <c r="AN544" s="2">
        <v>206691.382074914</v>
      </c>
      <c r="AO544" s="2">
        <v>206192.63556913901</v>
      </c>
      <c r="AP544" s="2">
        <v>216980.745641218</v>
      </c>
    </row>
    <row r="545" spans="1:42" ht="14.5" x14ac:dyDescent="0.35">
      <c r="A545" s="2" t="s">
        <v>3789</v>
      </c>
      <c r="B545" s="2">
        <v>493.35162006127501</v>
      </c>
      <c r="C545" s="2">
        <v>7.6815499999999997</v>
      </c>
      <c r="D545" s="2" t="s">
        <v>34</v>
      </c>
      <c r="E545" s="2" t="s">
        <v>3790</v>
      </c>
      <c r="F545" s="2">
        <v>58061</v>
      </c>
      <c r="G545" s="3" t="str">
        <f>HYPERLINK("http://funmeta.oebiotech.com/network/58061", "http://funmeta.oebiotech.com/network/58061")</f>
        <v>http://funmeta.oebiotech.com/network/58061</v>
      </c>
      <c r="H545" s="2" t="s">
        <v>3791</v>
      </c>
      <c r="I545" s="2">
        <v>89609</v>
      </c>
      <c r="J545" s="2"/>
      <c r="K545" s="2"/>
      <c r="L545" s="2"/>
      <c r="M545" s="2"/>
      <c r="N545" s="2"/>
      <c r="O545" s="2">
        <v>15340661</v>
      </c>
      <c r="P545" s="2" t="s">
        <v>3792</v>
      </c>
      <c r="Q545" s="2" t="s">
        <v>3793</v>
      </c>
      <c r="R545" s="2" t="s">
        <v>3794</v>
      </c>
      <c r="S545" s="2" t="s">
        <v>50</v>
      </c>
      <c r="T545" s="2" t="s">
        <v>124</v>
      </c>
      <c r="U545" s="2" t="s">
        <v>567</v>
      </c>
      <c r="V545" s="2" t="s">
        <v>42</v>
      </c>
      <c r="W545" s="2">
        <v>49.4</v>
      </c>
      <c r="X545" s="2">
        <v>56.3</v>
      </c>
      <c r="Y545" s="2" t="s">
        <v>394</v>
      </c>
      <c r="Z545" s="2" t="s">
        <v>3795</v>
      </c>
      <c r="AA545" s="2">
        <v>-1.5144407077675499</v>
      </c>
      <c r="AB545" s="2">
        <v>1.1796591608992699</v>
      </c>
      <c r="AC545" s="2">
        <v>269603.61939521402</v>
      </c>
      <c r="AD545" s="2">
        <v>172808.91892871601</v>
      </c>
      <c r="AE545" s="2">
        <v>236548.91416386099</v>
      </c>
      <c r="AF545" s="2">
        <v>262412.877851222</v>
      </c>
      <c r="AG545" s="2">
        <v>280132.36429702002</v>
      </c>
      <c r="AH545" s="2">
        <v>312805.96632982499</v>
      </c>
      <c r="AI545" s="2">
        <v>256658.066653343</v>
      </c>
      <c r="AJ545" s="2">
        <v>269063.52707601199</v>
      </c>
      <c r="AK545" s="2">
        <v>165514.141881043</v>
      </c>
      <c r="AL545" s="2">
        <v>170099.35834132301</v>
      </c>
      <c r="AM545" s="2">
        <v>168572.96580636199</v>
      </c>
      <c r="AN545" s="2">
        <v>179193.72254302001</v>
      </c>
      <c r="AO545" s="2">
        <v>171242.02732265199</v>
      </c>
      <c r="AP545" s="2">
        <v>182231.297677897</v>
      </c>
    </row>
    <row r="546" spans="1:42" ht="14.5" x14ac:dyDescent="0.35">
      <c r="A546" s="2" t="s">
        <v>3796</v>
      </c>
      <c r="B546" s="2">
        <v>822.60797159498497</v>
      </c>
      <c r="C546" s="2">
        <v>15.4525666666667</v>
      </c>
      <c r="D546" s="2" t="s">
        <v>34</v>
      </c>
      <c r="E546" s="2" t="s">
        <v>3797</v>
      </c>
      <c r="F546" s="2">
        <v>243797</v>
      </c>
      <c r="G546" s="3" t="str">
        <f>HYPERLINK("http://funmeta.oebiotech.com/network/243797", "http://funmeta.oebiotech.com/network/243797")</f>
        <v>http://funmeta.oebiotech.com/network/243797</v>
      </c>
      <c r="H546" s="2" t="s">
        <v>3798</v>
      </c>
      <c r="I546" s="2"/>
      <c r="J546" s="2"/>
      <c r="K546" s="2"/>
      <c r="L546" s="2"/>
      <c r="M546" s="2"/>
      <c r="N546" s="2"/>
      <c r="O546" s="2"/>
      <c r="P546" s="2"/>
      <c r="Q546" s="2" t="s">
        <v>3799</v>
      </c>
      <c r="R546" s="2" t="s">
        <v>3800</v>
      </c>
      <c r="S546" s="2" t="s">
        <v>41</v>
      </c>
      <c r="T546" s="2" t="s">
        <v>41</v>
      </c>
      <c r="U546" s="2" t="s">
        <v>41</v>
      </c>
      <c r="V546" s="2" t="s">
        <v>59</v>
      </c>
      <c r="W546" s="2">
        <v>38.299999999999997</v>
      </c>
      <c r="X546" s="2">
        <v>0</v>
      </c>
      <c r="Y546" s="2" t="s">
        <v>43</v>
      </c>
      <c r="Z546" s="2" t="s">
        <v>3801</v>
      </c>
      <c r="AA546" s="2">
        <v>-4.9634821125824597</v>
      </c>
      <c r="AB546" s="2">
        <v>1.1775783895644101</v>
      </c>
      <c r="AC546" s="2">
        <v>38838.210355563999</v>
      </c>
      <c r="AD546" s="2">
        <v>130676.77353429</v>
      </c>
      <c r="AE546" s="2">
        <v>33884.733346574001</v>
      </c>
      <c r="AF546" s="2">
        <v>31796.619089296299</v>
      </c>
      <c r="AG546" s="2">
        <v>36091.081106673701</v>
      </c>
      <c r="AH546" s="2">
        <v>41742.530447987803</v>
      </c>
      <c r="AI546" s="2">
        <v>41906.519025616602</v>
      </c>
      <c r="AJ546" s="2">
        <v>47607.779117235397</v>
      </c>
      <c r="AK546" s="2">
        <v>143870.14207472399</v>
      </c>
      <c r="AL546" s="2">
        <v>125985.003235985</v>
      </c>
      <c r="AM546" s="2">
        <v>126824.432576747</v>
      </c>
      <c r="AN546" s="2">
        <v>127581.094258039</v>
      </c>
      <c r="AO546" s="2">
        <v>137594.122415791</v>
      </c>
      <c r="AP546" s="2">
        <v>122205.84664445301</v>
      </c>
    </row>
    <row r="547" spans="1:42" ht="14.5" x14ac:dyDescent="0.35">
      <c r="A547" s="2" t="s">
        <v>3802</v>
      </c>
      <c r="B547" s="2">
        <v>631.20088705949797</v>
      </c>
      <c r="C547" s="2">
        <v>4.5663166666666699</v>
      </c>
      <c r="D547" s="2" t="s">
        <v>34</v>
      </c>
      <c r="E547" s="2" t="s">
        <v>3803</v>
      </c>
      <c r="F547" s="2">
        <v>34505</v>
      </c>
      <c r="G547" s="3" t="str">
        <f>HYPERLINK("http://funmeta.oebiotech.com/network/34505", "http://funmeta.oebiotech.com/network/34505")</f>
        <v>http://funmeta.oebiotech.com/network/34505</v>
      </c>
      <c r="H547" s="2"/>
      <c r="I547" s="2"/>
      <c r="J547" s="2" t="s">
        <v>3804</v>
      </c>
      <c r="K547" s="2"/>
      <c r="L547" s="2"/>
      <c r="M547" s="2"/>
      <c r="N547" s="2"/>
      <c r="O547" s="2">
        <v>637072</v>
      </c>
      <c r="P547" s="2"/>
      <c r="Q547" s="2" t="s">
        <v>3805</v>
      </c>
      <c r="R547" s="2" t="s">
        <v>3806</v>
      </c>
      <c r="S547" s="2" t="s">
        <v>115</v>
      </c>
      <c r="T547" s="2" t="s">
        <v>139</v>
      </c>
      <c r="U547" s="2" t="s">
        <v>140</v>
      </c>
      <c r="V547" s="2" t="s">
        <v>42</v>
      </c>
      <c r="W547" s="2">
        <v>51.1</v>
      </c>
      <c r="X547" s="2">
        <v>61.4</v>
      </c>
      <c r="Y547" s="2" t="s">
        <v>323</v>
      </c>
      <c r="Z547" s="2" t="s">
        <v>3807</v>
      </c>
      <c r="AA547" s="2">
        <v>1.9081405644574101</v>
      </c>
      <c r="AB547" s="2">
        <v>1.1752451664755099</v>
      </c>
      <c r="AC547" s="2">
        <v>211814.93348422501</v>
      </c>
      <c r="AD547" s="2">
        <v>119096.99518352401</v>
      </c>
      <c r="AE547" s="2">
        <v>232818.896786809</v>
      </c>
      <c r="AF547" s="2">
        <v>215151.04212341399</v>
      </c>
      <c r="AG547" s="2">
        <v>202171.581195648</v>
      </c>
      <c r="AH547" s="2">
        <v>216969.34564765799</v>
      </c>
      <c r="AI547" s="2">
        <v>192757.90590597599</v>
      </c>
      <c r="AJ547" s="2">
        <v>211020.82924584299</v>
      </c>
      <c r="AK547" s="2">
        <v>135023.08169088399</v>
      </c>
      <c r="AL547" s="2">
        <v>119064.78035623601</v>
      </c>
      <c r="AM547" s="2">
        <v>119179.506385945</v>
      </c>
      <c r="AN547" s="2">
        <v>121173.38425097401</v>
      </c>
      <c r="AO547" s="2">
        <v>108185.462328486</v>
      </c>
      <c r="AP547" s="2">
        <v>111955.756088619</v>
      </c>
    </row>
    <row r="548" spans="1:42" ht="14.5" x14ac:dyDescent="0.35">
      <c r="A548" s="2" t="s">
        <v>3808</v>
      </c>
      <c r="B548" s="2">
        <v>495.23762414425403</v>
      </c>
      <c r="C548" s="2">
        <v>5.6059000000000001</v>
      </c>
      <c r="D548" s="2" t="s">
        <v>34</v>
      </c>
      <c r="E548" s="2" t="s">
        <v>3809</v>
      </c>
      <c r="F548" s="2">
        <v>208745</v>
      </c>
      <c r="G548" s="3" t="str">
        <f>HYPERLINK("http://funmeta.oebiotech.com/network/208745", "http://funmeta.oebiotech.com/network/208745")</f>
        <v>http://funmeta.oebiotech.com/network/208745</v>
      </c>
      <c r="H548" s="2" t="s">
        <v>3810</v>
      </c>
      <c r="I548" s="2"/>
      <c r="J548" s="2"/>
      <c r="K548" s="2"/>
      <c r="L548" s="2"/>
      <c r="M548" s="2"/>
      <c r="N548" s="2"/>
      <c r="O548" s="2">
        <v>4474933</v>
      </c>
      <c r="P548" s="2"/>
      <c r="Q548" s="2" t="s">
        <v>3811</v>
      </c>
      <c r="R548" s="2" t="s">
        <v>3812</v>
      </c>
      <c r="S548" s="2" t="s">
        <v>50</v>
      </c>
      <c r="T548" s="2" t="s">
        <v>124</v>
      </c>
      <c r="U548" s="2" t="s">
        <v>929</v>
      </c>
      <c r="V548" s="2" t="s">
        <v>42</v>
      </c>
      <c r="W548" s="2">
        <v>48.6</v>
      </c>
      <c r="X548" s="2">
        <v>51.1</v>
      </c>
      <c r="Y548" s="2" t="s">
        <v>323</v>
      </c>
      <c r="Z548" s="2" t="s">
        <v>3813</v>
      </c>
      <c r="AA548" s="2">
        <v>4.8702843652797503</v>
      </c>
      <c r="AB548" s="2">
        <v>1.17400173264981</v>
      </c>
      <c r="AC548" s="2">
        <v>320093.640019004</v>
      </c>
      <c r="AD548" s="2">
        <v>418538.07251860201</v>
      </c>
      <c r="AE548" s="2">
        <v>327684.52426147799</v>
      </c>
      <c r="AF548" s="2">
        <v>299933.76863706601</v>
      </c>
      <c r="AG548" s="2">
        <v>331284.08503345097</v>
      </c>
      <c r="AH548" s="2">
        <v>307102.85370507598</v>
      </c>
      <c r="AI548" s="2">
        <v>299890.55477310298</v>
      </c>
      <c r="AJ548" s="2">
        <v>354666.05370384897</v>
      </c>
      <c r="AK548" s="2">
        <v>401833.10953491298</v>
      </c>
      <c r="AL548" s="2">
        <v>429127.78438023699</v>
      </c>
      <c r="AM548" s="2">
        <v>454279.73740630201</v>
      </c>
      <c r="AN548" s="2">
        <v>434148.59332245402</v>
      </c>
      <c r="AO548" s="2">
        <v>395686.24093424599</v>
      </c>
      <c r="AP548" s="2">
        <v>396152.969533458</v>
      </c>
    </row>
    <row r="549" spans="1:42" ht="14.5" x14ac:dyDescent="0.35">
      <c r="A549" s="2" t="s">
        <v>3814</v>
      </c>
      <c r="B549" s="2">
        <v>553.19240893593496</v>
      </c>
      <c r="C549" s="2">
        <v>4.4359166666666701</v>
      </c>
      <c r="D549" s="2" t="s">
        <v>70</v>
      </c>
      <c r="E549" s="2" t="s">
        <v>3815</v>
      </c>
      <c r="F549" s="2">
        <v>62073</v>
      </c>
      <c r="G549" s="3" t="str">
        <f>HYPERLINK("http://funmeta.oebiotech.com/network/62073", "http://funmeta.oebiotech.com/network/62073")</f>
        <v>http://funmeta.oebiotech.com/network/62073</v>
      </c>
      <c r="H549" s="2" t="s">
        <v>3816</v>
      </c>
      <c r="I549" s="2">
        <v>93365</v>
      </c>
      <c r="J549" s="2"/>
      <c r="K549" s="2">
        <v>168655</v>
      </c>
      <c r="L549" s="2"/>
      <c r="M549" s="2"/>
      <c r="N549" s="2"/>
      <c r="O549" s="2">
        <v>131752438</v>
      </c>
      <c r="P549" s="2"/>
      <c r="Q549" s="2" t="s">
        <v>3817</v>
      </c>
      <c r="R549" s="2" t="s">
        <v>3818</v>
      </c>
      <c r="S549" s="2" t="s">
        <v>115</v>
      </c>
      <c r="T549" s="2" t="s">
        <v>1095</v>
      </c>
      <c r="U549" s="2" t="s">
        <v>41</v>
      </c>
      <c r="V549" s="2" t="s">
        <v>42</v>
      </c>
      <c r="W549" s="2">
        <v>50</v>
      </c>
      <c r="X549" s="2">
        <v>54.9</v>
      </c>
      <c r="Y549" s="2" t="s">
        <v>1654</v>
      </c>
      <c r="Z549" s="2" t="s">
        <v>3819</v>
      </c>
      <c r="AA549" s="2">
        <v>-0.50330234582414801</v>
      </c>
      <c r="AB549" s="2">
        <v>1.17373510630879</v>
      </c>
      <c r="AC549" s="2">
        <v>930266.16742449405</v>
      </c>
      <c r="AD549" s="2">
        <v>804149.47295218694</v>
      </c>
      <c r="AE549" s="2">
        <v>891145.47716117604</v>
      </c>
      <c r="AF549" s="2">
        <v>1073446.3427923</v>
      </c>
      <c r="AG549" s="2">
        <v>912510.80504757306</v>
      </c>
      <c r="AH549" s="2">
        <v>850951.399642042</v>
      </c>
      <c r="AI549" s="2">
        <v>965791.09968244901</v>
      </c>
      <c r="AJ549" s="2">
        <v>887751.88022142602</v>
      </c>
      <c r="AK549" s="2">
        <v>812456.55506416399</v>
      </c>
      <c r="AL549" s="2">
        <v>823826.65711515897</v>
      </c>
      <c r="AM549" s="2">
        <v>767344.199624056</v>
      </c>
      <c r="AN549" s="2">
        <v>879182.41804802697</v>
      </c>
      <c r="AO549" s="2">
        <v>728134.068881004</v>
      </c>
      <c r="AP549" s="2">
        <v>813952.93898070999</v>
      </c>
    </row>
    <row r="550" spans="1:42" ht="14.5" x14ac:dyDescent="0.35">
      <c r="A550" s="2" t="s">
        <v>3820</v>
      </c>
      <c r="B550" s="2">
        <v>629.18715830752399</v>
      </c>
      <c r="C550" s="2">
        <v>4.5612000000000004</v>
      </c>
      <c r="D550" s="2" t="s">
        <v>70</v>
      </c>
      <c r="E550" s="2" t="s">
        <v>3821</v>
      </c>
      <c r="F550" s="2">
        <v>28865</v>
      </c>
      <c r="G550" s="3" t="str">
        <f>HYPERLINK("http://funmeta.oebiotech.com/network/28865", "http://funmeta.oebiotech.com/network/28865")</f>
        <v>http://funmeta.oebiotech.com/network/28865</v>
      </c>
      <c r="H550" s="2"/>
      <c r="I550" s="2"/>
      <c r="J550" s="2" t="s">
        <v>3822</v>
      </c>
      <c r="K550" s="2"/>
      <c r="L550" s="2"/>
      <c r="M550" s="2"/>
      <c r="N550" s="2"/>
      <c r="O550" s="2">
        <v>639294</v>
      </c>
      <c r="P550" s="2"/>
      <c r="Q550" s="2" t="s">
        <v>3823</v>
      </c>
      <c r="R550" s="2" t="s">
        <v>3824</v>
      </c>
      <c r="S550" s="2" t="s">
        <v>115</v>
      </c>
      <c r="T550" s="2" t="s">
        <v>139</v>
      </c>
      <c r="U550" s="2" t="s">
        <v>140</v>
      </c>
      <c r="V550" s="2" t="s">
        <v>42</v>
      </c>
      <c r="W550" s="2">
        <v>50.1</v>
      </c>
      <c r="X550" s="2">
        <v>56.8</v>
      </c>
      <c r="Y550" s="2" t="s">
        <v>408</v>
      </c>
      <c r="Z550" s="2" t="s">
        <v>3825</v>
      </c>
      <c r="AA550" s="2">
        <v>-0.72069683640816695</v>
      </c>
      <c r="AB550" s="2">
        <v>1.1712880956757501</v>
      </c>
      <c r="AC550" s="2">
        <v>162980.44527447299</v>
      </c>
      <c r="AD550" s="2">
        <v>71094.782130003106</v>
      </c>
      <c r="AE550" s="2">
        <v>190333.24217480401</v>
      </c>
      <c r="AF550" s="2">
        <v>165100.57348581799</v>
      </c>
      <c r="AG550" s="2">
        <v>161862.60516486201</v>
      </c>
      <c r="AH550" s="2">
        <v>154416.44066540099</v>
      </c>
      <c r="AI550" s="2">
        <v>146047.28509274501</v>
      </c>
      <c r="AJ550" s="2">
        <v>160122.52506320601</v>
      </c>
      <c r="AK550" s="2">
        <v>73681.128774598896</v>
      </c>
      <c r="AL550" s="2">
        <v>68408.126049020793</v>
      </c>
      <c r="AM550" s="2">
        <v>75974.748985784201</v>
      </c>
      <c r="AN550" s="2">
        <v>70764.486431759899</v>
      </c>
      <c r="AO550" s="2">
        <v>64064.164462963097</v>
      </c>
      <c r="AP550" s="2">
        <v>73676.038075891804</v>
      </c>
    </row>
    <row r="551" spans="1:42" ht="14.5" x14ac:dyDescent="0.35">
      <c r="A551" s="2" t="s">
        <v>3826</v>
      </c>
      <c r="B551" s="2">
        <v>239.148741327068</v>
      </c>
      <c r="C551" s="2">
        <v>3.7334833333333299</v>
      </c>
      <c r="D551" s="2" t="s">
        <v>34</v>
      </c>
      <c r="E551" s="2" t="s">
        <v>3827</v>
      </c>
      <c r="F551" s="2">
        <v>210130</v>
      </c>
      <c r="G551" s="3" t="str">
        <f>HYPERLINK("http://funmeta.oebiotech.com/network/210130", "http://funmeta.oebiotech.com/network/210130")</f>
        <v>http://funmeta.oebiotech.com/network/210130</v>
      </c>
      <c r="H551" s="2" t="s">
        <v>3828</v>
      </c>
      <c r="I551" s="2"/>
      <c r="J551" s="2"/>
      <c r="K551" s="2">
        <v>39631</v>
      </c>
      <c r="L551" s="2"/>
      <c r="M551" s="2"/>
      <c r="N551" s="2"/>
      <c r="O551" s="2"/>
      <c r="P551" s="2"/>
      <c r="Q551" s="2" t="s">
        <v>3829</v>
      </c>
      <c r="R551" s="2" t="s">
        <v>3830</v>
      </c>
      <c r="S551" s="2" t="s">
        <v>79</v>
      </c>
      <c r="T551" s="2" t="s">
        <v>80</v>
      </c>
      <c r="U551" s="2" t="s">
        <v>249</v>
      </c>
      <c r="V551" s="2" t="s">
        <v>59</v>
      </c>
      <c r="W551" s="2">
        <v>47.6</v>
      </c>
      <c r="X551" s="2">
        <v>41.7</v>
      </c>
      <c r="Y551" s="2" t="s">
        <v>3831</v>
      </c>
      <c r="Z551" s="2" t="s">
        <v>3832</v>
      </c>
      <c r="AA551" s="2">
        <v>-0.728674891519555</v>
      </c>
      <c r="AB551" s="2">
        <v>1.1702794671121799</v>
      </c>
      <c r="AC551" s="2">
        <v>134975.593495084</v>
      </c>
      <c r="AD551" s="2">
        <v>226722.88080782801</v>
      </c>
      <c r="AE551" s="2">
        <v>136766.40739969601</v>
      </c>
      <c r="AF551" s="2">
        <v>138378.613277898</v>
      </c>
      <c r="AG551" s="2">
        <v>132912.95847468</v>
      </c>
      <c r="AH551" s="2">
        <v>144525.83917366801</v>
      </c>
      <c r="AI551" s="2">
        <v>131061.831537936</v>
      </c>
      <c r="AJ551" s="2">
        <v>126207.911106624</v>
      </c>
      <c r="AK551" s="2">
        <v>207807.78919404099</v>
      </c>
      <c r="AL551" s="2">
        <v>216151.458176368</v>
      </c>
      <c r="AM551" s="2">
        <v>238461.90445574801</v>
      </c>
      <c r="AN551" s="2">
        <v>231323.15458329199</v>
      </c>
      <c r="AO551" s="2">
        <v>243551.53062141</v>
      </c>
      <c r="AP551" s="2">
        <v>223041.44781611001</v>
      </c>
    </row>
    <row r="552" spans="1:42" ht="14.5" x14ac:dyDescent="0.35">
      <c r="A552" s="2" t="s">
        <v>3833</v>
      </c>
      <c r="B552" s="2">
        <v>417.07650917065598</v>
      </c>
      <c r="C552" s="2">
        <v>2.9951666666666701</v>
      </c>
      <c r="D552" s="2" t="s">
        <v>34</v>
      </c>
      <c r="E552" s="2" t="s">
        <v>3834</v>
      </c>
      <c r="F552" s="2">
        <v>207710</v>
      </c>
      <c r="G552" s="3" t="str">
        <f>HYPERLINK("http://funmeta.oebiotech.com/network/207710", "http://funmeta.oebiotech.com/network/207710")</f>
        <v>http://funmeta.oebiotech.com/network/207710</v>
      </c>
      <c r="H552" s="2" t="s">
        <v>3835</v>
      </c>
      <c r="I552" s="2"/>
      <c r="J552" s="2"/>
      <c r="K552" s="2"/>
      <c r="L552" s="2"/>
      <c r="M552" s="2"/>
      <c r="N552" s="2"/>
      <c r="O552" s="2">
        <v>68618</v>
      </c>
      <c r="P552" s="2"/>
      <c r="Q552" s="2" t="s">
        <v>3836</v>
      </c>
      <c r="R552" s="2" t="s">
        <v>3837</v>
      </c>
      <c r="S552" s="2" t="s">
        <v>491</v>
      </c>
      <c r="T552" s="2" t="s">
        <v>2184</v>
      </c>
      <c r="U552" s="2" t="s">
        <v>3838</v>
      </c>
      <c r="V552" s="2" t="s">
        <v>59</v>
      </c>
      <c r="W552" s="2">
        <v>38.9</v>
      </c>
      <c r="X552" s="2">
        <v>0.17299999999999999</v>
      </c>
      <c r="Y552" s="2" t="s">
        <v>43</v>
      </c>
      <c r="Z552" s="2" t="s">
        <v>3839</v>
      </c>
      <c r="AA552" s="2">
        <v>-4.2381003995395297</v>
      </c>
      <c r="AB552" s="2">
        <v>1.1697007505322099</v>
      </c>
      <c r="AC552" s="2">
        <v>303472.77184921998</v>
      </c>
      <c r="AD552" s="2">
        <v>396125.134075596</v>
      </c>
      <c r="AE552" s="2">
        <v>311309.57668853598</v>
      </c>
      <c r="AF552" s="2">
        <v>319735.76666726801</v>
      </c>
      <c r="AG552" s="2">
        <v>299887.45844763599</v>
      </c>
      <c r="AH552" s="2">
        <v>277152.26793590601</v>
      </c>
      <c r="AI552" s="2">
        <v>298979.72202883498</v>
      </c>
      <c r="AJ552" s="2">
        <v>313771.839327141</v>
      </c>
      <c r="AK552" s="2">
        <v>405722.29276331398</v>
      </c>
      <c r="AL552" s="2">
        <v>387685.46498370299</v>
      </c>
      <c r="AM552" s="2">
        <v>396115.71600175498</v>
      </c>
      <c r="AN552" s="2">
        <v>389685.69431317999</v>
      </c>
      <c r="AO552" s="2">
        <v>409517.52299548098</v>
      </c>
      <c r="AP552" s="2">
        <v>388024.11339614203</v>
      </c>
    </row>
    <row r="553" spans="1:42" ht="14.5" x14ac:dyDescent="0.35">
      <c r="A553" s="2" t="s">
        <v>3840</v>
      </c>
      <c r="B553" s="2">
        <v>570.29026653605399</v>
      </c>
      <c r="C553" s="2">
        <v>6.2329333333333299</v>
      </c>
      <c r="D553" s="2" t="s">
        <v>34</v>
      </c>
      <c r="E553" s="2" t="s">
        <v>3841</v>
      </c>
      <c r="F553" s="2">
        <v>202438</v>
      </c>
      <c r="G553" s="3" t="str">
        <f>HYPERLINK("http://funmeta.oebiotech.com/network/202438", "http://funmeta.oebiotech.com/network/202438")</f>
        <v>http://funmeta.oebiotech.com/network/202438</v>
      </c>
      <c r="H553" s="2" t="s">
        <v>3842</v>
      </c>
      <c r="I553" s="2"/>
      <c r="J553" s="2"/>
      <c r="K553" s="2"/>
      <c r="L553" s="2"/>
      <c r="M553" s="2"/>
      <c r="N553" s="2"/>
      <c r="O553" s="2">
        <v>44568</v>
      </c>
      <c r="P553" s="2"/>
      <c r="Q553" s="2" t="s">
        <v>3843</v>
      </c>
      <c r="R553" s="2" t="s">
        <v>3844</v>
      </c>
      <c r="S553" s="2" t="s">
        <v>89</v>
      </c>
      <c r="T553" s="2" t="s">
        <v>90</v>
      </c>
      <c r="U553" s="2" t="s">
        <v>99</v>
      </c>
      <c r="V553" s="2" t="s">
        <v>59</v>
      </c>
      <c r="W553" s="2">
        <v>39.9</v>
      </c>
      <c r="X553" s="2">
        <v>14.1</v>
      </c>
      <c r="Y553" s="2" t="s">
        <v>394</v>
      </c>
      <c r="Z553" s="2" t="s">
        <v>3845</v>
      </c>
      <c r="AA553" s="2">
        <v>-3.44029400504852</v>
      </c>
      <c r="AB553" s="2">
        <v>1.1681556503120301</v>
      </c>
      <c r="AC553" s="2">
        <v>289036.34874894901</v>
      </c>
      <c r="AD553" s="2">
        <v>194542.546142281</v>
      </c>
      <c r="AE553" s="2">
        <v>301950.849198387</v>
      </c>
      <c r="AF553" s="2">
        <v>267753.512737029</v>
      </c>
      <c r="AG553" s="2">
        <v>276274.68178509199</v>
      </c>
      <c r="AH553" s="2">
        <v>299239.037550373</v>
      </c>
      <c r="AI553" s="2">
        <v>285344.14402559301</v>
      </c>
      <c r="AJ553" s="2">
        <v>303655.867197218</v>
      </c>
      <c r="AK553" s="2">
        <v>157827.015703446</v>
      </c>
      <c r="AL553" s="2">
        <v>194444.57063991201</v>
      </c>
      <c r="AM553" s="2">
        <v>211051.15939740499</v>
      </c>
      <c r="AN553" s="2">
        <v>196652.31528904001</v>
      </c>
      <c r="AO553" s="2">
        <v>207510.034501602</v>
      </c>
      <c r="AP553" s="2">
        <v>199770.18132227799</v>
      </c>
    </row>
    <row r="554" spans="1:42" ht="14.5" x14ac:dyDescent="0.35">
      <c r="A554" s="2" t="s">
        <v>3846</v>
      </c>
      <c r="B554" s="2">
        <v>644.30544720204102</v>
      </c>
      <c r="C554" s="2">
        <v>5.5064166666666701</v>
      </c>
      <c r="D554" s="2" t="s">
        <v>70</v>
      </c>
      <c r="E554" s="2" t="s">
        <v>3847</v>
      </c>
      <c r="F554" s="2">
        <v>203136</v>
      </c>
      <c r="G554" s="3" t="str">
        <f>HYPERLINK("http://funmeta.oebiotech.com/network/203136", "http://funmeta.oebiotech.com/network/203136")</f>
        <v>http://funmeta.oebiotech.com/network/203136</v>
      </c>
      <c r="H554" s="2" t="s">
        <v>3848</v>
      </c>
      <c r="I554" s="2"/>
      <c r="J554" s="2"/>
      <c r="K554" s="2"/>
      <c r="L554" s="2"/>
      <c r="M554" s="2"/>
      <c r="N554" s="2"/>
      <c r="O554" s="2">
        <v>2012</v>
      </c>
      <c r="P554" s="2"/>
      <c r="Q554" s="2" t="s">
        <v>3849</v>
      </c>
      <c r="R554" s="2" t="s">
        <v>3850</v>
      </c>
      <c r="S554" s="2" t="s">
        <v>50</v>
      </c>
      <c r="T554" s="2" t="s">
        <v>201</v>
      </c>
      <c r="U554" s="2" t="s">
        <v>241</v>
      </c>
      <c r="V554" s="2" t="s">
        <v>42</v>
      </c>
      <c r="W554" s="2">
        <v>48.9</v>
      </c>
      <c r="X554" s="2">
        <v>56.8</v>
      </c>
      <c r="Y554" s="2" t="s">
        <v>118</v>
      </c>
      <c r="Z554" s="2" t="s">
        <v>3851</v>
      </c>
      <c r="AA554" s="2">
        <v>-3.3901172442140002</v>
      </c>
      <c r="AB554" s="2">
        <v>1.1674139213308701</v>
      </c>
      <c r="AC554" s="2">
        <v>222636.074041218</v>
      </c>
      <c r="AD554" s="2">
        <v>313176.45006848901</v>
      </c>
      <c r="AE554" s="2">
        <v>226719.70827825999</v>
      </c>
      <c r="AF554" s="2">
        <v>218891.31904695899</v>
      </c>
      <c r="AG554" s="2">
        <v>221287.88080795499</v>
      </c>
      <c r="AH554" s="2">
        <v>225159.447289943</v>
      </c>
      <c r="AI554" s="2">
        <v>221096.321979973</v>
      </c>
      <c r="AJ554" s="2">
        <v>222661.76684421499</v>
      </c>
      <c r="AK554" s="2">
        <v>295004.29413396498</v>
      </c>
      <c r="AL554" s="2">
        <v>307928.514082284</v>
      </c>
      <c r="AM554" s="2">
        <v>328359.67052405601</v>
      </c>
      <c r="AN554" s="2">
        <v>316100.15375361498</v>
      </c>
      <c r="AO554" s="2">
        <v>319161.65370951802</v>
      </c>
      <c r="AP554" s="2">
        <v>312504.41420749802</v>
      </c>
    </row>
    <row r="555" spans="1:42" ht="14.5" x14ac:dyDescent="0.35">
      <c r="A555" s="2" t="s">
        <v>3852</v>
      </c>
      <c r="B555" s="2">
        <v>795.34149508558301</v>
      </c>
      <c r="C555" s="2">
        <v>6.4248000000000003</v>
      </c>
      <c r="D555" s="2" t="s">
        <v>70</v>
      </c>
      <c r="E555" s="2" t="s">
        <v>3853</v>
      </c>
      <c r="F555" s="2">
        <v>210982</v>
      </c>
      <c r="G555" s="3" t="str">
        <f>HYPERLINK("http://funmeta.oebiotech.com/network/210982", "http://funmeta.oebiotech.com/network/210982")</f>
        <v>http://funmeta.oebiotech.com/network/210982</v>
      </c>
      <c r="H555" s="2" t="s">
        <v>3854</v>
      </c>
      <c r="I555" s="2">
        <v>45539</v>
      </c>
      <c r="J555" s="2"/>
      <c r="K555" s="2"/>
      <c r="L555" s="2"/>
      <c r="M555" s="2"/>
      <c r="N555" s="2"/>
      <c r="O555" s="2">
        <v>2403</v>
      </c>
      <c r="P555" s="2" t="s">
        <v>3855</v>
      </c>
      <c r="Q555" s="2" t="s">
        <v>3856</v>
      </c>
      <c r="R555" s="2" t="s">
        <v>3857</v>
      </c>
      <c r="S555" s="2" t="s">
        <v>491</v>
      </c>
      <c r="T555" s="2" t="s">
        <v>2184</v>
      </c>
      <c r="U555" s="2" t="s">
        <v>3858</v>
      </c>
      <c r="V555" s="2" t="s">
        <v>59</v>
      </c>
      <c r="W555" s="2">
        <v>38.1</v>
      </c>
      <c r="X555" s="2">
        <v>4.5599999999999996</v>
      </c>
      <c r="Y555" s="2" t="s">
        <v>560</v>
      </c>
      <c r="Z555" s="2" t="s">
        <v>3859</v>
      </c>
      <c r="AA555" s="2">
        <v>0.27574591810313998</v>
      </c>
      <c r="AB555" s="2">
        <v>1.1629168293075201</v>
      </c>
      <c r="AC555" s="2">
        <v>154413.951684475</v>
      </c>
      <c r="AD555" s="2">
        <v>64566.448761839303</v>
      </c>
      <c r="AE555" s="2">
        <v>170835.21706709501</v>
      </c>
      <c r="AF555" s="2">
        <v>141500.69810604001</v>
      </c>
      <c r="AG555" s="2">
        <v>162167.07512381801</v>
      </c>
      <c r="AH555" s="2">
        <v>145370.542684343</v>
      </c>
      <c r="AI555" s="2">
        <v>146782.97003725701</v>
      </c>
      <c r="AJ555" s="2">
        <v>159827.2070883</v>
      </c>
      <c r="AK555" s="2">
        <v>65273.2060149311</v>
      </c>
      <c r="AL555" s="2">
        <v>66507.502110029105</v>
      </c>
      <c r="AM555" s="2">
        <v>63260.710237361702</v>
      </c>
      <c r="AN555" s="2">
        <v>66112.353002149306</v>
      </c>
      <c r="AO555" s="2">
        <v>63518.193603896201</v>
      </c>
      <c r="AP555" s="2">
        <v>62726.727602668303</v>
      </c>
    </row>
    <row r="556" spans="1:42" ht="14.5" x14ac:dyDescent="0.35">
      <c r="A556" s="2" t="s">
        <v>3860</v>
      </c>
      <c r="B556" s="2">
        <v>460.39912736743798</v>
      </c>
      <c r="C556" s="2">
        <v>13.3172833333333</v>
      </c>
      <c r="D556" s="2" t="s">
        <v>34</v>
      </c>
      <c r="E556" s="2" t="s">
        <v>3861</v>
      </c>
      <c r="F556" s="2">
        <v>113740</v>
      </c>
      <c r="G556" s="3" t="str">
        <f>HYPERLINK("http://funmeta.oebiotech.com/network/113740", "http://funmeta.oebiotech.com/network/113740")</f>
        <v>http://funmeta.oebiotech.com/network/113740</v>
      </c>
      <c r="H556" s="2" t="s">
        <v>3862</v>
      </c>
      <c r="I556" s="2"/>
      <c r="J556" s="2"/>
      <c r="K556" s="2"/>
      <c r="L556" s="2"/>
      <c r="M556" s="2"/>
      <c r="N556" s="2"/>
      <c r="O556" s="2">
        <v>131802090</v>
      </c>
      <c r="P556" s="2"/>
      <c r="Q556" s="2" t="s">
        <v>3863</v>
      </c>
      <c r="R556" s="2" t="s">
        <v>3864</v>
      </c>
      <c r="S556" s="2" t="s">
        <v>50</v>
      </c>
      <c r="T556" s="2" t="s">
        <v>448</v>
      </c>
      <c r="U556" s="2" t="s">
        <v>1864</v>
      </c>
      <c r="V556" s="2" t="s">
        <v>59</v>
      </c>
      <c r="W556" s="2">
        <v>38.9</v>
      </c>
      <c r="X556" s="2">
        <v>0</v>
      </c>
      <c r="Y556" s="2" t="s">
        <v>43</v>
      </c>
      <c r="Z556" s="2" t="s">
        <v>3865</v>
      </c>
      <c r="AA556" s="2">
        <v>-1.18197164517275</v>
      </c>
      <c r="AB556" s="2">
        <v>1.1627549535713899</v>
      </c>
      <c r="AC556" s="2">
        <v>680.43248817449603</v>
      </c>
      <c r="AD556" s="2">
        <v>90144.156008592894</v>
      </c>
      <c r="AE556" s="2">
        <v>2087.9498287812798</v>
      </c>
      <c r="AF556" s="2">
        <v>478.20171973731198</v>
      </c>
      <c r="AG556" s="2">
        <v>109.528817905214</v>
      </c>
      <c r="AH556" s="2">
        <v>91.524361945197597</v>
      </c>
      <c r="AI556" s="2">
        <v>683.68123732114304</v>
      </c>
      <c r="AJ556" s="2">
        <v>631.70896335683199</v>
      </c>
      <c r="AK556" s="2">
        <v>96612.093885682698</v>
      </c>
      <c r="AL556" s="2">
        <v>92421.241184455197</v>
      </c>
      <c r="AM556" s="2">
        <v>102326.044440813</v>
      </c>
      <c r="AN556" s="2">
        <v>86113.633819869501</v>
      </c>
      <c r="AO556" s="2">
        <v>86646.9148238177</v>
      </c>
      <c r="AP556" s="2">
        <v>76745.007896919196</v>
      </c>
    </row>
    <row r="557" spans="1:42" ht="14.5" x14ac:dyDescent="0.35">
      <c r="A557" s="2" t="s">
        <v>3866</v>
      </c>
      <c r="B557" s="2">
        <v>533.19987991040705</v>
      </c>
      <c r="C557" s="2">
        <v>4.4128166666666697</v>
      </c>
      <c r="D557" s="2" t="s">
        <v>34</v>
      </c>
      <c r="E557" s="2" t="s">
        <v>3867</v>
      </c>
      <c r="F557" s="2">
        <v>61976</v>
      </c>
      <c r="G557" s="3" t="str">
        <f>HYPERLINK("http://funmeta.oebiotech.com/network/61976", "http://funmeta.oebiotech.com/network/61976")</f>
        <v>http://funmeta.oebiotech.com/network/61976</v>
      </c>
      <c r="H557" s="2" t="s">
        <v>3868</v>
      </c>
      <c r="I557" s="2">
        <v>93270</v>
      </c>
      <c r="J557" s="2"/>
      <c r="K557" s="2"/>
      <c r="L557" s="2"/>
      <c r="M557" s="2"/>
      <c r="N557" s="2"/>
      <c r="O557" s="2">
        <v>156908046</v>
      </c>
      <c r="P557" s="2" t="s">
        <v>3869</v>
      </c>
      <c r="Q557" s="2" t="s">
        <v>3870</v>
      </c>
      <c r="R557" s="2" t="s">
        <v>3871</v>
      </c>
      <c r="S557" s="2" t="s">
        <v>50</v>
      </c>
      <c r="T557" s="2" t="s">
        <v>201</v>
      </c>
      <c r="U557" s="2" t="s">
        <v>202</v>
      </c>
      <c r="V557" s="2" t="s">
        <v>42</v>
      </c>
      <c r="W557" s="2">
        <v>52.6</v>
      </c>
      <c r="X557" s="2">
        <v>68.8</v>
      </c>
      <c r="Y557" s="2" t="s">
        <v>250</v>
      </c>
      <c r="Z557" s="2" t="s">
        <v>3872</v>
      </c>
      <c r="AA557" s="2">
        <v>1.0727440604216401</v>
      </c>
      <c r="AB557" s="2">
        <v>1.16147255345628</v>
      </c>
      <c r="AC557" s="2">
        <v>298697.323547696</v>
      </c>
      <c r="AD557" s="2">
        <v>402294.40013008501</v>
      </c>
      <c r="AE557" s="2">
        <v>292905.32033599599</v>
      </c>
      <c r="AF557" s="2">
        <v>346893.64979765197</v>
      </c>
      <c r="AG557" s="2">
        <v>270862.83905749401</v>
      </c>
      <c r="AH557" s="2">
        <v>292926.28711001598</v>
      </c>
      <c r="AI557" s="2">
        <v>299077.69691378</v>
      </c>
      <c r="AJ557" s="2">
        <v>289518.148071239</v>
      </c>
      <c r="AK557" s="2">
        <v>393815.71546845901</v>
      </c>
      <c r="AL557" s="2">
        <v>419961.49330967001</v>
      </c>
      <c r="AM557" s="2">
        <v>403680.775038402</v>
      </c>
      <c r="AN557" s="2">
        <v>471165.46793716098</v>
      </c>
      <c r="AO557" s="2">
        <v>346717.110218463</v>
      </c>
      <c r="AP557" s="2">
        <v>378425.838808353</v>
      </c>
    </row>
    <row r="558" spans="1:42" ht="14.5" x14ac:dyDescent="0.35">
      <c r="A558" s="2" t="s">
        <v>3873</v>
      </c>
      <c r="B558" s="2">
        <v>313.17930918929102</v>
      </c>
      <c r="C558" s="2">
        <v>7.9920499999999999</v>
      </c>
      <c r="D558" s="2" t="s">
        <v>34</v>
      </c>
      <c r="E558" s="2" t="s">
        <v>3874</v>
      </c>
      <c r="F558" s="2">
        <v>60428</v>
      </c>
      <c r="G558" s="3" t="str">
        <f>HYPERLINK("http://funmeta.oebiotech.com/network/60428", "http://funmeta.oebiotech.com/network/60428")</f>
        <v>http://funmeta.oebiotech.com/network/60428</v>
      </c>
      <c r="H558" s="2" t="s">
        <v>3875</v>
      </c>
      <c r="I558" s="2">
        <v>91780</v>
      </c>
      <c r="J558" s="2"/>
      <c r="K558" s="2">
        <v>169812</v>
      </c>
      <c r="L558" s="2"/>
      <c r="M558" s="2"/>
      <c r="N558" s="2"/>
      <c r="O558" s="2">
        <v>131752048</v>
      </c>
      <c r="P558" s="2" t="s">
        <v>3876</v>
      </c>
      <c r="Q558" s="2" t="s">
        <v>3877</v>
      </c>
      <c r="R558" s="2" t="s">
        <v>3878</v>
      </c>
      <c r="S558" s="2" t="s">
        <v>50</v>
      </c>
      <c r="T558" s="2" t="s">
        <v>201</v>
      </c>
      <c r="U558" s="2" t="s">
        <v>241</v>
      </c>
      <c r="V558" s="2" t="s">
        <v>42</v>
      </c>
      <c r="W558" s="2">
        <v>55.5</v>
      </c>
      <c r="X558" s="2">
        <v>83.4</v>
      </c>
      <c r="Y558" s="2" t="s">
        <v>266</v>
      </c>
      <c r="Z558" s="2" t="s">
        <v>3879</v>
      </c>
      <c r="AA558" s="2">
        <v>-1.5502693963262699</v>
      </c>
      <c r="AB558" s="2">
        <v>1.16077084340877</v>
      </c>
      <c r="AC558" s="2">
        <v>559796.28391060303</v>
      </c>
      <c r="AD558" s="2">
        <v>466936.77187541203</v>
      </c>
      <c r="AE558" s="2">
        <v>564888.03908303205</v>
      </c>
      <c r="AF558" s="2">
        <v>547919.12151233503</v>
      </c>
      <c r="AG558" s="2">
        <v>564961.08680970001</v>
      </c>
      <c r="AH558" s="2">
        <v>575682.74689072301</v>
      </c>
      <c r="AI558" s="2">
        <v>548026.44936139497</v>
      </c>
      <c r="AJ558" s="2">
        <v>557300.25980643602</v>
      </c>
      <c r="AK558" s="2">
        <v>428294.17882625503</v>
      </c>
      <c r="AL558" s="2">
        <v>467375.87205312599</v>
      </c>
      <c r="AM558" s="2">
        <v>480974.283039195</v>
      </c>
      <c r="AN558" s="2">
        <v>481335.99328177702</v>
      </c>
      <c r="AO558" s="2">
        <v>464193.29764166998</v>
      </c>
      <c r="AP558" s="2">
        <v>479447.00641045201</v>
      </c>
    </row>
    <row r="559" spans="1:42" ht="14.5" x14ac:dyDescent="0.35">
      <c r="A559" s="2" t="s">
        <v>3880</v>
      </c>
      <c r="B559" s="2">
        <v>373.149983887144</v>
      </c>
      <c r="C559" s="2">
        <v>4.22216666666667</v>
      </c>
      <c r="D559" s="2" t="s">
        <v>70</v>
      </c>
      <c r="E559" s="2" t="s">
        <v>3881</v>
      </c>
      <c r="F559" s="2">
        <v>63629</v>
      </c>
      <c r="G559" s="3" t="str">
        <f>HYPERLINK("http://funmeta.oebiotech.com/network/63629", "http://funmeta.oebiotech.com/network/63629")</f>
        <v>http://funmeta.oebiotech.com/network/63629</v>
      </c>
      <c r="H559" s="2" t="s">
        <v>3882</v>
      </c>
      <c r="I559" s="2">
        <v>94965</v>
      </c>
      <c r="J559" s="2"/>
      <c r="K559" s="2">
        <v>168174</v>
      </c>
      <c r="L559" s="2"/>
      <c r="M559" s="2"/>
      <c r="N559" s="2"/>
      <c r="O559" s="2">
        <v>73815069</v>
      </c>
      <c r="P559" s="2"/>
      <c r="Q559" s="2" t="s">
        <v>3883</v>
      </c>
      <c r="R559" s="2" t="s">
        <v>3884</v>
      </c>
      <c r="S559" s="2" t="s">
        <v>50</v>
      </c>
      <c r="T559" s="2" t="s">
        <v>201</v>
      </c>
      <c r="U559" s="2" t="s">
        <v>202</v>
      </c>
      <c r="V559" s="2" t="s">
        <v>42</v>
      </c>
      <c r="W559" s="2">
        <v>50.7</v>
      </c>
      <c r="X559" s="2">
        <v>57.7</v>
      </c>
      <c r="Y559" s="2" t="s">
        <v>408</v>
      </c>
      <c r="Z559" s="2" t="s">
        <v>767</v>
      </c>
      <c r="AA559" s="2">
        <v>-1.2862612299499201</v>
      </c>
      <c r="AB559" s="2">
        <v>1.16021824644542</v>
      </c>
      <c r="AC559" s="2">
        <v>206755.12096558799</v>
      </c>
      <c r="AD559" s="2">
        <v>296689.56179442001</v>
      </c>
      <c r="AE559" s="2">
        <v>222685.85876045801</v>
      </c>
      <c r="AF559" s="2">
        <v>200712.352704852</v>
      </c>
      <c r="AG559" s="2">
        <v>204054.198099131</v>
      </c>
      <c r="AH559" s="2">
        <v>207136.999127947</v>
      </c>
      <c r="AI559" s="2">
        <v>208777.319365289</v>
      </c>
      <c r="AJ559" s="2">
        <v>197163.99773585101</v>
      </c>
      <c r="AK559" s="2">
        <v>307234.57055549801</v>
      </c>
      <c r="AL559" s="2">
        <v>287517.74723649502</v>
      </c>
      <c r="AM559" s="2">
        <v>308353.57107423001</v>
      </c>
      <c r="AN559" s="2">
        <v>302276.09812679101</v>
      </c>
      <c r="AO559" s="2">
        <v>285163.49275550398</v>
      </c>
      <c r="AP559" s="2">
        <v>289591.89101800101</v>
      </c>
    </row>
    <row r="560" spans="1:42" ht="14.5" x14ac:dyDescent="0.35">
      <c r="A560" s="2" t="s">
        <v>3885</v>
      </c>
      <c r="B560" s="2">
        <v>422.05295911488201</v>
      </c>
      <c r="C560" s="2">
        <v>2.9951666666666701</v>
      </c>
      <c r="D560" s="2" t="s">
        <v>34</v>
      </c>
      <c r="E560" s="2" t="s">
        <v>3886</v>
      </c>
      <c r="F560" s="2">
        <v>257285</v>
      </c>
      <c r="G560" s="3" t="str">
        <f>HYPERLINK("http://funmeta.oebiotech.com/network/257285", "http://funmeta.oebiotech.com/network/257285")</f>
        <v>http://funmeta.oebiotech.com/network/257285</v>
      </c>
      <c r="H560" s="2" t="s">
        <v>3887</v>
      </c>
      <c r="I560" s="2"/>
      <c r="J560" s="2"/>
      <c r="K560" s="2"/>
      <c r="L560" s="2"/>
      <c r="M560" s="2"/>
      <c r="N560" s="2"/>
      <c r="O560" s="2"/>
      <c r="P560" s="2"/>
      <c r="Q560" s="2" t="s">
        <v>3888</v>
      </c>
      <c r="R560" s="2" t="s">
        <v>3889</v>
      </c>
      <c r="S560" s="2" t="s">
        <v>89</v>
      </c>
      <c r="T560" s="2" t="s">
        <v>1600</v>
      </c>
      <c r="U560" s="2" t="s">
        <v>3890</v>
      </c>
      <c r="V560" s="2" t="s">
        <v>59</v>
      </c>
      <c r="W560" s="2">
        <v>38.200000000000003</v>
      </c>
      <c r="X560" s="2">
        <v>2.88</v>
      </c>
      <c r="Y560" s="2" t="s">
        <v>323</v>
      </c>
      <c r="Z560" s="2" t="s">
        <v>3891</v>
      </c>
      <c r="AA560" s="2">
        <v>2.5699665974063199</v>
      </c>
      <c r="AB560" s="2">
        <v>1.1590723374224801</v>
      </c>
      <c r="AC560" s="2">
        <v>240966.63623645599</v>
      </c>
      <c r="AD560" s="2">
        <v>330655.89352325298</v>
      </c>
      <c r="AE560" s="2">
        <v>242589.51276638999</v>
      </c>
      <c r="AF560" s="2">
        <v>248517.377652872</v>
      </c>
      <c r="AG560" s="2">
        <v>247020.06506749601</v>
      </c>
      <c r="AH560" s="2">
        <v>227431.65745632601</v>
      </c>
      <c r="AI560" s="2">
        <v>232438.48381850301</v>
      </c>
      <c r="AJ560" s="2">
        <v>247802.72065715099</v>
      </c>
      <c r="AK560" s="2">
        <v>338692.30002546101</v>
      </c>
      <c r="AL560" s="2">
        <v>337082.078826215</v>
      </c>
      <c r="AM560" s="2">
        <v>327456.89750411198</v>
      </c>
      <c r="AN560" s="2">
        <v>324599.07643652399</v>
      </c>
      <c r="AO560" s="2">
        <v>336970.89554912498</v>
      </c>
      <c r="AP560" s="2">
        <v>319134.11279807898</v>
      </c>
    </row>
    <row r="561" spans="1:42" ht="14.5" x14ac:dyDescent="0.35">
      <c r="A561" s="2" t="s">
        <v>3892</v>
      </c>
      <c r="B561" s="2">
        <v>744.32254038651604</v>
      </c>
      <c r="C561" s="2">
        <v>5.8825333333333303</v>
      </c>
      <c r="D561" s="2" t="s">
        <v>34</v>
      </c>
      <c r="E561" s="2" t="s">
        <v>3893</v>
      </c>
      <c r="F561" s="2">
        <v>213196</v>
      </c>
      <c r="G561" s="3" t="str">
        <f>HYPERLINK("http://funmeta.oebiotech.com/network/213196", "http://funmeta.oebiotech.com/network/213196")</f>
        <v>http://funmeta.oebiotech.com/network/213196</v>
      </c>
      <c r="H561" s="2" t="s">
        <v>3894</v>
      </c>
      <c r="I561" s="2"/>
      <c r="J561" s="2"/>
      <c r="K561" s="2"/>
      <c r="L561" s="2"/>
      <c r="M561" s="2"/>
      <c r="N561" s="2"/>
      <c r="O561" s="2">
        <v>9961746</v>
      </c>
      <c r="P561" s="2"/>
      <c r="Q561" s="2" t="s">
        <v>3895</v>
      </c>
      <c r="R561" s="2" t="s">
        <v>3896</v>
      </c>
      <c r="S561" s="2" t="s">
        <v>89</v>
      </c>
      <c r="T561" s="2" t="s">
        <v>90</v>
      </c>
      <c r="U561" s="2" t="s">
        <v>99</v>
      </c>
      <c r="V561" s="2" t="s">
        <v>59</v>
      </c>
      <c r="W561" s="2">
        <v>39.5</v>
      </c>
      <c r="X561" s="2">
        <v>13.7</v>
      </c>
      <c r="Y561" s="2" t="s">
        <v>340</v>
      </c>
      <c r="Z561" s="2" t="s">
        <v>3897</v>
      </c>
      <c r="AA561" s="2">
        <v>8.2246097896311893E-3</v>
      </c>
      <c r="AB561" s="2">
        <v>1.15634110754516</v>
      </c>
      <c r="AC561" s="2">
        <v>115715.377767859</v>
      </c>
      <c r="AD561" s="2">
        <v>205197.79074316</v>
      </c>
      <c r="AE561" s="2">
        <v>113155.022176693</v>
      </c>
      <c r="AF561" s="2">
        <v>122811.73758923799</v>
      </c>
      <c r="AG561" s="2">
        <v>101943.281904494</v>
      </c>
      <c r="AH561" s="2">
        <v>103076.550986489</v>
      </c>
      <c r="AI561" s="2">
        <v>123136.030571543</v>
      </c>
      <c r="AJ561" s="2">
        <v>130169.643378696</v>
      </c>
      <c r="AK561" s="2">
        <v>191263.854172149</v>
      </c>
      <c r="AL561" s="2">
        <v>210338.48128224199</v>
      </c>
      <c r="AM561" s="2">
        <v>216760.60950901601</v>
      </c>
      <c r="AN561" s="2">
        <v>204662.91044498899</v>
      </c>
      <c r="AO561" s="2">
        <v>207253.57960308899</v>
      </c>
      <c r="AP561" s="2">
        <v>200907.30944747399</v>
      </c>
    </row>
    <row r="562" spans="1:42" ht="14.5" x14ac:dyDescent="0.35">
      <c r="A562" s="2" t="s">
        <v>3898</v>
      </c>
      <c r="B562" s="2">
        <v>765.18556013934904</v>
      </c>
      <c r="C562" s="2">
        <v>1.69431666666667</v>
      </c>
      <c r="D562" s="2" t="s">
        <v>70</v>
      </c>
      <c r="E562" s="2" t="s">
        <v>3899</v>
      </c>
      <c r="F562" s="2">
        <v>254786</v>
      </c>
      <c r="G562" s="3" t="str">
        <f>HYPERLINK("http://funmeta.oebiotech.com/network/254786", "http://funmeta.oebiotech.com/network/254786")</f>
        <v>http://funmeta.oebiotech.com/network/254786</v>
      </c>
      <c r="H562" s="2" t="s">
        <v>3900</v>
      </c>
      <c r="I562" s="2"/>
      <c r="J562" s="2"/>
      <c r="K562" s="2"/>
      <c r="L562" s="2"/>
      <c r="M562" s="2"/>
      <c r="N562" s="2"/>
      <c r="O562" s="2"/>
      <c r="P562" s="2"/>
      <c r="Q562" s="2" t="s">
        <v>3901</v>
      </c>
      <c r="R562" s="2" t="s">
        <v>3902</v>
      </c>
      <c r="S562" s="2" t="s">
        <v>115</v>
      </c>
      <c r="T562" s="2" t="s">
        <v>139</v>
      </c>
      <c r="U562" s="2" t="s">
        <v>140</v>
      </c>
      <c r="V562" s="2" t="s">
        <v>42</v>
      </c>
      <c r="W562" s="2">
        <v>52.5</v>
      </c>
      <c r="X562" s="2">
        <v>71.900000000000006</v>
      </c>
      <c r="Y562" s="2" t="s">
        <v>751</v>
      </c>
      <c r="Z562" s="2" t="s">
        <v>3903</v>
      </c>
      <c r="AA562" s="2">
        <v>-3.5794593069344698</v>
      </c>
      <c r="AB562" s="2">
        <v>1.154162185201</v>
      </c>
      <c r="AC562" s="2">
        <v>183735.01484396</v>
      </c>
      <c r="AD562" s="2">
        <v>274183.09945894597</v>
      </c>
      <c r="AE562" s="2">
        <v>181752.35807841</v>
      </c>
      <c r="AF562" s="2">
        <v>181469.93579809999</v>
      </c>
      <c r="AG562" s="2">
        <v>182254.73981202801</v>
      </c>
      <c r="AH562" s="2">
        <v>168221.222414296</v>
      </c>
      <c r="AI562" s="2">
        <v>177255.52924083301</v>
      </c>
      <c r="AJ562" s="2">
        <v>211456.30372009499</v>
      </c>
      <c r="AK562" s="2">
        <v>273475.149304475</v>
      </c>
      <c r="AL562" s="2">
        <v>253373.41756795801</v>
      </c>
      <c r="AM562" s="2">
        <v>282481.60874354502</v>
      </c>
      <c r="AN562" s="2">
        <v>283174.58318465599</v>
      </c>
      <c r="AO562" s="2">
        <v>268505.39314620901</v>
      </c>
      <c r="AP562" s="2">
        <v>284088.44480683299</v>
      </c>
    </row>
    <row r="563" spans="1:42" ht="14.5" x14ac:dyDescent="0.35">
      <c r="A563" s="2" t="s">
        <v>3904</v>
      </c>
      <c r="B563" s="2">
        <v>730.35755294129501</v>
      </c>
      <c r="C563" s="2">
        <v>8.8024666666666693</v>
      </c>
      <c r="D563" s="2" t="s">
        <v>34</v>
      </c>
      <c r="E563" s="2" t="s">
        <v>3905</v>
      </c>
      <c r="F563" s="2">
        <v>207699</v>
      </c>
      <c r="G563" s="3" t="str">
        <f>HYPERLINK("http://funmeta.oebiotech.com/network/207699", "http://funmeta.oebiotech.com/network/207699")</f>
        <v>http://funmeta.oebiotech.com/network/207699</v>
      </c>
      <c r="H563" s="2" t="s">
        <v>3906</v>
      </c>
      <c r="I563" s="2"/>
      <c r="J563" s="2"/>
      <c r="K563" s="2"/>
      <c r="L563" s="2"/>
      <c r="M563" s="2"/>
      <c r="N563" s="2"/>
      <c r="O563" s="2">
        <v>44290994</v>
      </c>
      <c r="P563" s="2"/>
      <c r="Q563" s="2" t="s">
        <v>3907</v>
      </c>
      <c r="R563" s="2" t="s">
        <v>3908</v>
      </c>
      <c r="S563" s="2" t="s">
        <v>41</v>
      </c>
      <c r="T563" s="2" t="s">
        <v>41</v>
      </c>
      <c r="U563" s="2" t="s">
        <v>41</v>
      </c>
      <c r="V563" s="2" t="s">
        <v>42</v>
      </c>
      <c r="W563" s="2">
        <v>48.8</v>
      </c>
      <c r="X563" s="2">
        <v>51.2</v>
      </c>
      <c r="Y563" s="2" t="s">
        <v>340</v>
      </c>
      <c r="Z563" s="2" t="s">
        <v>3909</v>
      </c>
      <c r="AA563" s="2">
        <v>-0.15070894431041401</v>
      </c>
      <c r="AB563" s="2">
        <v>1.1529059822193799</v>
      </c>
      <c r="AC563" s="2">
        <v>69166.7581924884</v>
      </c>
      <c r="AD563" s="2">
        <v>156982.74970826</v>
      </c>
      <c r="AE563" s="2">
        <v>65407.9841667492</v>
      </c>
      <c r="AF563" s="2">
        <v>67078.332704530098</v>
      </c>
      <c r="AG563" s="2">
        <v>70150.446543333193</v>
      </c>
      <c r="AH563" s="2">
        <v>63237.142054026699</v>
      </c>
      <c r="AI563" s="2">
        <v>75012.702565626401</v>
      </c>
      <c r="AJ563" s="2">
        <v>74113.941120664997</v>
      </c>
      <c r="AK563" s="2">
        <v>144722.028892528</v>
      </c>
      <c r="AL563" s="2">
        <v>155275.868256596</v>
      </c>
      <c r="AM563" s="2">
        <v>164699.566736646</v>
      </c>
      <c r="AN563" s="2">
        <v>165812.38681774001</v>
      </c>
      <c r="AO563" s="2">
        <v>155521.37527611799</v>
      </c>
      <c r="AP563" s="2">
        <v>155865.272269935</v>
      </c>
    </row>
    <row r="564" spans="1:42" ht="14.5" x14ac:dyDescent="0.35">
      <c r="A564" s="2" t="s">
        <v>3910</v>
      </c>
      <c r="B564" s="2">
        <v>553.24289223015205</v>
      </c>
      <c r="C564" s="2">
        <v>7.8272833333333303</v>
      </c>
      <c r="D564" s="2" t="s">
        <v>34</v>
      </c>
      <c r="E564" s="2" t="s">
        <v>3911</v>
      </c>
      <c r="F564" s="2">
        <v>209425</v>
      </c>
      <c r="G564" s="3" t="str">
        <f>HYPERLINK("http://funmeta.oebiotech.com/network/209425", "http://funmeta.oebiotech.com/network/209425")</f>
        <v>http://funmeta.oebiotech.com/network/209425</v>
      </c>
      <c r="H564" s="2" t="s">
        <v>3912</v>
      </c>
      <c r="I564" s="2"/>
      <c r="J564" s="2"/>
      <c r="K564" s="2"/>
      <c r="L564" s="2"/>
      <c r="M564" s="2"/>
      <c r="N564" s="2"/>
      <c r="O564" s="2">
        <v>71308244</v>
      </c>
      <c r="P564" s="2"/>
      <c r="Q564" s="2" t="s">
        <v>3913</v>
      </c>
      <c r="R564" s="2" t="s">
        <v>3914</v>
      </c>
      <c r="S564" s="2" t="s">
        <v>39</v>
      </c>
      <c r="T564" s="2" t="s">
        <v>3915</v>
      </c>
      <c r="U564" s="2" t="s">
        <v>41</v>
      </c>
      <c r="V564" s="2" t="s">
        <v>59</v>
      </c>
      <c r="W564" s="2">
        <v>38.4</v>
      </c>
      <c r="X564" s="2">
        <v>5.71</v>
      </c>
      <c r="Y564" s="2" t="s">
        <v>266</v>
      </c>
      <c r="Z564" s="2" t="s">
        <v>3916</v>
      </c>
      <c r="AA564" s="2">
        <v>-2.9011013937994901</v>
      </c>
      <c r="AB564" s="2">
        <v>1.1521161421795401</v>
      </c>
      <c r="AC564" s="2">
        <v>316523.07048630802</v>
      </c>
      <c r="AD564" s="2">
        <v>227641.69868379901</v>
      </c>
      <c r="AE564" s="2">
        <v>315828.05113438098</v>
      </c>
      <c r="AF564" s="2">
        <v>314116.54346712597</v>
      </c>
      <c r="AG564" s="2">
        <v>330708.82721324603</v>
      </c>
      <c r="AH564" s="2">
        <v>297658.95241190097</v>
      </c>
      <c r="AI564" s="2">
        <v>309790.52997598902</v>
      </c>
      <c r="AJ564" s="2">
        <v>331035.51871520397</v>
      </c>
      <c r="AK564" s="2">
        <v>224644.10839927199</v>
      </c>
      <c r="AL564" s="2">
        <v>232864.208215502</v>
      </c>
      <c r="AM564" s="2">
        <v>218384.81219734601</v>
      </c>
      <c r="AN564" s="2">
        <v>221024.824033351</v>
      </c>
      <c r="AO564" s="2">
        <v>236991.52983904301</v>
      </c>
      <c r="AP564" s="2">
        <v>231940.709418282</v>
      </c>
    </row>
    <row r="565" spans="1:42" ht="14.5" x14ac:dyDescent="0.35">
      <c r="A565" s="2" t="s">
        <v>3917</v>
      </c>
      <c r="B565" s="2">
        <v>1023.5547658138501</v>
      </c>
      <c r="C565" s="2">
        <v>4.9308666666666703</v>
      </c>
      <c r="D565" s="2" t="s">
        <v>34</v>
      </c>
      <c r="E565" s="2" t="s">
        <v>3918</v>
      </c>
      <c r="F565" s="2">
        <v>228952</v>
      </c>
      <c r="G565" s="3" t="str">
        <f>HYPERLINK("http://funmeta.oebiotech.com/network/228952", "http://funmeta.oebiotech.com/network/228952")</f>
        <v>http://funmeta.oebiotech.com/network/228952</v>
      </c>
      <c r="H565" s="2" t="s">
        <v>3919</v>
      </c>
      <c r="I565" s="2"/>
      <c r="J565" s="2"/>
      <c r="K565" s="2"/>
      <c r="L565" s="2"/>
      <c r="M565" s="2"/>
      <c r="N565" s="2"/>
      <c r="O565" s="2"/>
      <c r="P565" s="2"/>
      <c r="Q565" s="2" t="s">
        <v>3920</v>
      </c>
      <c r="R565" s="2" t="s">
        <v>3921</v>
      </c>
      <c r="S565" s="2" t="s">
        <v>41</v>
      </c>
      <c r="T565" s="2" t="s">
        <v>41</v>
      </c>
      <c r="U565" s="2" t="s">
        <v>41</v>
      </c>
      <c r="V565" s="2" t="s">
        <v>59</v>
      </c>
      <c r="W565" s="2">
        <v>42</v>
      </c>
      <c r="X565" s="2">
        <v>17.600000000000001</v>
      </c>
      <c r="Y565" s="2" t="s">
        <v>203</v>
      </c>
      <c r="Z565" s="2" t="s">
        <v>3922</v>
      </c>
      <c r="AA565" s="2">
        <v>0.22033047628108801</v>
      </c>
      <c r="AB565" s="2">
        <v>1.15113705584421</v>
      </c>
      <c r="AC565" s="2">
        <v>2021679.8653767901</v>
      </c>
      <c r="AD565" s="2">
        <v>1883919.01427702</v>
      </c>
      <c r="AE565" s="2">
        <v>2143211.89987292</v>
      </c>
      <c r="AF565" s="2">
        <v>2024484.3612291201</v>
      </c>
      <c r="AG565" s="2">
        <v>1989292.3710743501</v>
      </c>
      <c r="AH565" s="2">
        <v>2076340.5036188101</v>
      </c>
      <c r="AI565" s="2">
        <v>2014197.86095567</v>
      </c>
      <c r="AJ565" s="2">
        <v>1882552.1955098901</v>
      </c>
      <c r="AK565" s="2">
        <v>1745622.6219575901</v>
      </c>
      <c r="AL565" s="2">
        <v>1860007.6765084099</v>
      </c>
      <c r="AM565" s="2">
        <v>2029102.8583029499</v>
      </c>
      <c r="AN565" s="2">
        <v>1921751.16550761</v>
      </c>
      <c r="AO565" s="2">
        <v>1827579.5828448101</v>
      </c>
      <c r="AP565" s="2">
        <v>1919450.18054075</v>
      </c>
    </row>
    <row r="566" spans="1:42" ht="14.5" x14ac:dyDescent="0.35">
      <c r="A566" s="2" t="s">
        <v>3923</v>
      </c>
      <c r="B566" s="2">
        <v>553.184620124704</v>
      </c>
      <c r="C566" s="2">
        <v>4.5826500000000001</v>
      </c>
      <c r="D566" s="2" t="s">
        <v>34</v>
      </c>
      <c r="E566" s="2" t="s">
        <v>3924</v>
      </c>
      <c r="F566" s="2">
        <v>59615</v>
      </c>
      <c r="G566" s="3" t="str">
        <f>HYPERLINK("http://funmeta.oebiotech.com/network/59615", "http://funmeta.oebiotech.com/network/59615")</f>
        <v>http://funmeta.oebiotech.com/network/59615</v>
      </c>
      <c r="H566" s="2" t="s">
        <v>3925</v>
      </c>
      <c r="I566" s="2"/>
      <c r="J566" s="2"/>
      <c r="K566" s="2"/>
      <c r="L566" s="2" t="s">
        <v>3926</v>
      </c>
      <c r="M566" s="2"/>
      <c r="N566" s="2"/>
      <c r="O566" s="2">
        <v>326240</v>
      </c>
      <c r="P566" s="2" t="s">
        <v>3927</v>
      </c>
      <c r="Q566" s="2" t="s">
        <v>3928</v>
      </c>
      <c r="R566" s="2" t="s">
        <v>3929</v>
      </c>
      <c r="S566" s="2" t="s">
        <v>50</v>
      </c>
      <c r="T566" s="2" t="s">
        <v>201</v>
      </c>
      <c r="U566" s="2" t="s">
        <v>210</v>
      </c>
      <c r="V566" s="2" t="s">
        <v>59</v>
      </c>
      <c r="W566" s="2">
        <v>39.700000000000003</v>
      </c>
      <c r="X566" s="2">
        <v>15.6</v>
      </c>
      <c r="Y566" s="2" t="s">
        <v>340</v>
      </c>
      <c r="Z566" s="2" t="s">
        <v>3930</v>
      </c>
      <c r="AA566" s="2">
        <v>2.29352735248048</v>
      </c>
      <c r="AB566" s="2">
        <v>1.1510850862406501</v>
      </c>
      <c r="AC566" s="2">
        <v>98033.604133266505</v>
      </c>
      <c r="AD566" s="2">
        <v>10647.743075656501</v>
      </c>
      <c r="AE566" s="2">
        <v>98551.707235145994</v>
      </c>
      <c r="AF566" s="2">
        <v>109304.834866666</v>
      </c>
      <c r="AG566" s="2">
        <v>94745.479261565793</v>
      </c>
      <c r="AH566" s="2">
        <v>95868.188347206102</v>
      </c>
      <c r="AI566" s="2">
        <v>88828.753704588904</v>
      </c>
      <c r="AJ566" s="2">
        <v>100902.661384426</v>
      </c>
      <c r="AK566" s="2">
        <v>18311.602862453699</v>
      </c>
      <c r="AL566" s="2">
        <v>11142.7106039353</v>
      </c>
      <c r="AM566" s="2">
        <v>10030.946537563999</v>
      </c>
      <c r="AN566" s="2">
        <v>9944.9548371327801</v>
      </c>
      <c r="AO566" s="2">
        <v>7758.5920145192304</v>
      </c>
      <c r="AP566" s="2">
        <v>6697.6515983337304</v>
      </c>
    </row>
    <row r="567" spans="1:42" ht="14.5" x14ac:dyDescent="0.35">
      <c r="A567" s="2" t="s">
        <v>3931</v>
      </c>
      <c r="B567" s="2">
        <v>539.21311716837704</v>
      </c>
      <c r="C567" s="2">
        <v>4.4526833333333302</v>
      </c>
      <c r="D567" s="2" t="s">
        <v>70</v>
      </c>
      <c r="E567" s="2" t="s">
        <v>3932</v>
      </c>
      <c r="F567" s="2">
        <v>62219</v>
      </c>
      <c r="G567" s="3" t="str">
        <f>HYPERLINK("http://funmeta.oebiotech.com/network/62219", "http://funmeta.oebiotech.com/network/62219")</f>
        <v>http://funmeta.oebiotech.com/network/62219</v>
      </c>
      <c r="H567" s="2" t="s">
        <v>3933</v>
      </c>
      <c r="I567" s="2">
        <v>93502</v>
      </c>
      <c r="J567" s="2"/>
      <c r="K567" s="2"/>
      <c r="L567" s="2"/>
      <c r="M567" s="2"/>
      <c r="N567" s="2"/>
      <c r="O567" s="2">
        <v>131752485</v>
      </c>
      <c r="P567" s="2" t="s">
        <v>3934</v>
      </c>
      <c r="Q567" s="2" t="s">
        <v>3935</v>
      </c>
      <c r="R567" s="2" t="s">
        <v>3936</v>
      </c>
      <c r="S567" s="2" t="s">
        <v>79</v>
      </c>
      <c r="T567" s="2" t="s">
        <v>80</v>
      </c>
      <c r="U567" s="2" t="s">
        <v>81</v>
      </c>
      <c r="V567" s="2" t="s">
        <v>42</v>
      </c>
      <c r="W567" s="2">
        <v>55.4</v>
      </c>
      <c r="X567" s="2">
        <v>78.8</v>
      </c>
      <c r="Y567" s="2" t="s">
        <v>498</v>
      </c>
      <c r="Z567" s="2" t="s">
        <v>3937</v>
      </c>
      <c r="AA567" s="2">
        <v>-0.52383937736449004</v>
      </c>
      <c r="AB567" s="2">
        <v>1.1508660375370301</v>
      </c>
      <c r="AC567" s="2">
        <v>5492900.4227897301</v>
      </c>
      <c r="AD567" s="2">
        <v>5233722.1649976103</v>
      </c>
      <c r="AE567" s="2">
        <v>5382974.91983411</v>
      </c>
      <c r="AF567" s="2">
        <v>6227548.9770134697</v>
      </c>
      <c r="AG567" s="2">
        <v>5240091.1660550302</v>
      </c>
      <c r="AH567" s="2">
        <v>5172869.3937119003</v>
      </c>
      <c r="AI567" s="2">
        <v>5832420.1873191698</v>
      </c>
      <c r="AJ567" s="2">
        <v>5101497.8928047102</v>
      </c>
      <c r="AK567" s="2">
        <v>5307264.8667681301</v>
      </c>
      <c r="AL567" s="2">
        <v>5011104.1382830096</v>
      </c>
      <c r="AM567" s="2">
        <v>5074045.5786963496</v>
      </c>
      <c r="AN567" s="2">
        <v>5769337.8235371197</v>
      </c>
      <c r="AO567" s="2">
        <v>4851479.7559266798</v>
      </c>
      <c r="AP567" s="2">
        <v>5389100.8267743997</v>
      </c>
    </row>
    <row r="568" spans="1:42" ht="14.5" x14ac:dyDescent="0.35">
      <c r="A568" s="2" t="s">
        <v>3938</v>
      </c>
      <c r="B568" s="2">
        <v>541.28071208744097</v>
      </c>
      <c r="C568" s="2">
        <v>8.9648166666666693</v>
      </c>
      <c r="D568" s="2" t="s">
        <v>70</v>
      </c>
      <c r="E568" s="2" t="s">
        <v>3939</v>
      </c>
      <c r="F568" s="2">
        <v>33491</v>
      </c>
      <c r="G568" s="3" t="str">
        <f>HYPERLINK("http://funmeta.oebiotech.com/network/33491", "http://funmeta.oebiotech.com/network/33491")</f>
        <v>http://funmeta.oebiotech.com/network/33491</v>
      </c>
      <c r="H568" s="2"/>
      <c r="I568" s="2"/>
      <c r="J568" s="2" t="s">
        <v>3940</v>
      </c>
      <c r="K568" s="2"/>
      <c r="L568" s="2"/>
      <c r="M568" s="2"/>
      <c r="N568" s="2"/>
      <c r="O568" s="2"/>
      <c r="P568" s="2"/>
      <c r="Q568" s="2" t="s">
        <v>3941</v>
      </c>
      <c r="R568" s="2" t="s">
        <v>3942</v>
      </c>
      <c r="S568" s="2" t="s">
        <v>115</v>
      </c>
      <c r="T568" s="2" t="s">
        <v>139</v>
      </c>
      <c r="U568" s="2" t="s">
        <v>1806</v>
      </c>
      <c r="V568" s="2" t="s">
        <v>59</v>
      </c>
      <c r="W568" s="2">
        <v>40.4</v>
      </c>
      <c r="X568" s="2">
        <v>3.82</v>
      </c>
      <c r="Y568" s="2" t="s">
        <v>408</v>
      </c>
      <c r="Z568" s="2" t="s">
        <v>3943</v>
      </c>
      <c r="AA568" s="2">
        <v>4.0737446187849802E-2</v>
      </c>
      <c r="AB568" s="2">
        <v>1.1481311381849699</v>
      </c>
      <c r="AC568" s="2">
        <v>119416.87396099399</v>
      </c>
      <c r="AD568" s="2">
        <v>207224.683662547</v>
      </c>
      <c r="AE568" s="2">
        <v>114298.798346633</v>
      </c>
      <c r="AF568" s="2">
        <v>125549.286855534</v>
      </c>
      <c r="AG568" s="2">
        <v>120202.91695193401</v>
      </c>
      <c r="AH568" s="2">
        <v>130788.995656392</v>
      </c>
      <c r="AI568" s="2">
        <v>111166.50795255401</v>
      </c>
      <c r="AJ568" s="2">
        <v>114494.73800291801</v>
      </c>
      <c r="AK568" s="2">
        <v>217108.34017389201</v>
      </c>
      <c r="AL568" s="2">
        <v>215671.10483384499</v>
      </c>
      <c r="AM568" s="2">
        <v>209329.80749286199</v>
      </c>
      <c r="AN568" s="2">
        <v>199943.907478615</v>
      </c>
      <c r="AO568" s="2">
        <v>199409.13710498699</v>
      </c>
      <c r="AP568" s="2">
        <v>201885.804891084</v>
      </c>
    </row>
    <row r="569" spans="1:42" ht="14.5" x14ac:dyDescent="0.35">
      <c r="A569" s="2" t="s">
        <v>3944</v>
      </c>
      <c r="B569" s="2">
        <v>509.28791330263101</v>
      </c>
      <c r="C569" s="2">
        <v>12.0483666666667</v>
      </c>
      <c r="D569" s="2" t="s">
        <v>70</v>
      </c>
      <c r="E569" s="2" t="s">
        <v>3945</v>
      </c>
      <c r="F569" s="2">
        <v>26090</v>
      </c>
      <c r="G569" s="3" t="str">
        <f>HYPERLINK("http://funmeta.oebiotech.com/network/26090", "http://funmeta.oebiotech.com/network/26090")</f>
        <v>http://funmeta.oebiotech.com/network/26090</v>
      </c>
      <c r="H569" s="2" t="s">
        <v>3946</v>
      </c>
      <c r="I569" s="2">
        <v>82345</v>
      </c>
      <c r="J569" s="2" t="s">
        <v>3947</v>
      </c>
      <c r="K569" s="2"/>
      <c r="L569" s="2"/>
      <c r="M569" s="2"/>
      <c r="N569" s="2"/>
      <c r="O569" s="2">
        <v>52929759</v>
      </c>
      <c r="P569" s="2"/>
      <c r="Q569" s="2" t="s">
        <v>3948</v>
      </c>
      <c r="R569" s="2" t="s">
        <v>3949</v>
      </c>
      <c r="S569" s="2" t="s">
        <v>50</v>
      </c>
      <c r="T569" s="2" t="s">
        <v>51</v>
      </c>
      <c r="U569" s="2" t="s">
        <v>273</v>
      </c>
      <c r="V569" s="2" t="s">
        <v>59</v>
      </c>
      <c r="W569" s="2">
        <v>45.2</v>
      </c>
      <c r="X569" s="2">
        <v>31.2</v>
      </c>
      <c r="Y569" s="2" t="s">
        <v>408</v>
      </c>
      <c r="Z569" s="2" t="s">
        <v>3950</v>
      </c>
      <c r="AA569" s="2">
        <v>-1.24916986360988</v>
      </c>
      <c r="AB569" s="2">
        <v>1.14799344408657</v>
      </c>
      <c r="AC569" s="2">
        <v>83539.250063511994</v>
      </c>
      <c r="AD569" s="2">
        <v>172424.88604198</v>
      </c>
      <c r="AE569" s="2">
        <v>90813.468281015594</v>
      </c>
      <c r="AF569" s="2">
        <v>72680.562695922898</v>
      </c>
      <c r="AG569" s="2">
        <v>87240.068773004401</v>
      </c>
      <c r="AH569" s="2">
        <v>81256.575295353905</v>
      </c>
      <c r="AI569" s="2">
        <v>87469.053988281405</v>
      </c>
      <c r="AJ569" s="2">
        <v>81775.771347493501</v>
      </c>
      <c r="AK569" s="2">
        <v>189487.61697030201</v>
      </c>
      <c r="AL569" s="2">
        <v>172778.82210738599</v>
      </c>
      <c r="AM569" s="2">
        <v>163238.55780418901</v>
      </c>
      <c r="AN569" s="2">
        <v>152358.28061493201</v>
      </c>
      <c r="AO569" s="2">
        <v>167871.869322477</v>
      </c>
      <c r="AP569" s="2">
        <v>188814.169432592</v>
      </c>
    </row>
    <row r="570" spans="1:42" ht="14.5" x14ac:dyDescent="0.35">
      <c r="A570" s="2" t="s">
        <v>3951</v>
      </c>
      <c r="B570" s="2">
        <v>566.34600182991505</v>
      </c>
      <c r="C570" s="2">
        <v>10.661899999999999</v>
      </c>
      <c r="D570" s="2" t="s">
        <v>70</v>
      </c>
      <c r="E570" s="2" t="s">
        <v>3952</v>
      </c>
      <c r="F570" s="2">
        <v>19837</v>
      </c>
      <c r="G570" s="3" t="str">
        <f>HYPERLINK("http://funmeta.oebiotech.com/network/19837", "http://funmeta.oebiotech.com/network/19837")</f>
        <v>http://funmeta.oebiotech.com/network/19837</v>
      </c>
      <c r="H570" s="2" t="s">
        <v>3953</v>
      </c>
      <c r="I570" s="2">
        <v>40298</v>
      </c>
      <c r="J570" s="2" t="s">
        <v>3954</v>
      </c>
      <c r="K570" s="2">
        <v>28610</v>
      </c>
      <c r="L570" s="2"/>
      <c r="M570" s="2"/>
      <c r="N570" s="2"/>
      <c r="O570" s="2">
        <v>16081932</v>
      </c>
      <c r="P570" s="2" t="s">
        <v>3955</v>
      </c>
      <c r="Q570" s="2" t="s">
        <v>3956</v>
      </c>
      <c r="R570" s="2" t="s">
        <v>3957</v>
      </c>
      <c r="S570" s="2" t="s">
        <v>50</v>
      </c>
      <c r="T570" s="2" t="s">
        <v>51</v>
      </c>
      <c r="U570" s="2" t="s">
        <v>168</v>
      </c>
      <c r="V570" s="2" t="s">
        <v>42</v>
      </c>
      <c r="W570" s="2">
        <v>57.2</v>
      </c>
      <c r="X570" s="2">
        <v>87.3</v>
      </c>
      <c r="Y570" s="2" t="s">
        <v>408</v>
      </c>
      <c r="Z570" s="2" t="s">
        <v>2381</v>
      </c>
      <c r="AA570" s="2">
        <v>-0.65345863708504504</v>
      </c>
      <c r="AB570" s="2">
        <v>1.1476210070086399</v>
      </c>
      <c r="AC570" s="2">
        <v>153302.49691033</v>
      </c>
      <c r="AD570" s="2">
        <v>240782.58383503201</v>
      </c>
      <c r="AE570" s="2">
        <v>161972.59210628501</v>
      </c>
      <c r="AF570" s="2">
        <v>155690.394425123</v>
      </c>
      <c r="AG570" s="2">
        <v>154240.60165853499</v>
      </c>
      <c r="AH570" s="2">
        <v>141610.47778076699</v>
      </c>
      <c r="AI570" s="2">
        <v>151507.36172673901</v>
      </c>
      <c r="AJ570" s="2">
        <v>154793.55376453299</v>
      </c>
      <c r="AK570" s="2">
        <v>236449.34518364101</v>
      </c>
      <c r="AL570" s="2">
        <v>244259.936660835</v>
      </c>
      <c r="AM570" s="2">
        <v>232880.60950742301</v>
      </c>
      <c r="AN570" s="2">
        <v>234564.27218878601</v>
      </c>
      <c r="AO570" s="2">
        <v>244228.920239025</v>
      </c>
      <c r="AP570" s="2">
        <v>252312.419230481</v>
      </c>
    </row>
    <row r="571" spans="1:42" ht="14.5" x14ac:dyDescent="0.35">
      <c r="A571" s="2" t="s">
        <v>3958</v>
      </c>
      <c r="B571" s="2">
        <v>360.21445702078898</v>
      </c>
      <c r="C571" s="2">
        <v>4.9145166666666702</v>
      </c>
      <c r="D571" s="2" t="s">
        <v>34</v>
      </c>
      <c r="E571" s="2" t="s">
        <v>3959</v>
      </c>
      <c r="F571" s="2">
        <v>197817</v>
      </c>
      <c r="G571" s="3" t="str">
        <f>HYPERLINK("http://funmeta.oebiotech.com/network/197817", "http://funmeta.oebiotech.com/network/197817")</f>
        <v>http://funmeta.oebiotech.com/network/197817</v>
      </c>
      <c r="H571" s="2" t="s">
        <v>3960</v>
      </c>
      <c r="I571" s="2"/>
      <c r="J571" s="2"/>
      <c r="K571" s="2"/>
      <c r="L571" s="2"/>
      <c r="M571" s="2"/>
      <c r="N571" s="2"/>
      <c r="O571" s="2"/>
      <c r="P571" s="2"/>
      <c r="Q571" s="2" t="s">
        <v>3961</v>
      </c>
      <c r="R571" s="2" t="s">
        <v>3962</v>
      </c>
      <c r="S571" s="2" t="s">
        <v>41</v>
      </c>
      <c r="T571" s="2" t="s">
        <v>41</v>
      </c>
      <c r="U571" s="2" t="s">
        <v>41</v>
      </c>
      <c r="V571" s="2" t="s">
        <v>59</v>
      </c>
      <c r="W571" s="2">
        <v>38.6</v>
      </c>
      <c r="X571" s="2">
        <v>10.5</v>
      </c>
      <c r="Y571" s="2" t="s">
        <v>323</v>
      </c>
      <c r="Z571" s="2" t="s">
        <v>3963</v>
      </c>
      <c r="AA571" s="2">
        <v>-0.21391164524921699</v>
      </c>
      <c r="AB571" s="2">
        <v>1.14707243415817</v>
      </c>
      <c r="AC571" s="2">
        <v>239078.86563123899</v>
      </c>
      <c r="AD571" s="2">
        <v>337754.89110632398</v>
      </c>
      <c r="AE571" s="2">
        <v>225817.925616097</v>
      </c>
      <c r="AF571" s="2">
        <v>222968.451594224</v>
      </c>
      <c r="AG571" s="2">
        <v>262373.21592399501</v>
      </c>
      <c r="AH571" s="2">
        <v>299627.94063424499</v>
      </c>
      <c r="AI571" s="2">
        <v>212277.25823134801</v>
      </c>
      <c r="AJ571" s="2">
        <v>211408.401787524</v>
      </c>
      <c r="AK571" s="2">
        <v>292426.71862771001</v>
      </c>
      <c r="AL571" s="2">
        <v>338109.50135386398</v>
      </c>
      <c r="AM571" s="2">
        <v>349146.14957633201</v>
      </c>
      <c r="AN571" s="2">
        <v>349342.88559773401</v>
      </c>
      <c r="AO571" s="2">
        <v>340295.68697634601</v>
      </c>
      <c r="AP571" s="2">
        <v>357208.40450595901</v>
      </c>
    </row>
    <row r="572" spans="1:42" ht="14.5" x14ac:dyDescent="0.35">
      <c r="A572" s="2" t="s">
        <v>3964</v>
      </c>
      <c r="B572" s="2">
        <v>589.15619613980198</v>
      </c>
      <c r="C572" s="2">
        <v>4.1337999999999999</v>
      </c>
      <c r="D572" s="2" t="s">
        <v>70</v>
      </c>
      <c r="E572" s="2" t="s">
        <v>3965</v>
      </c>
      <c r="F572" s="2">
        <v>257371</v>
      </c>
      <c r="G572" s="3" t="str">
        <f>HYPERLINK("http://funmeta.oebiotech.com/network/257371", "http://funmeta.oebiotech.com/network/257371")</f>
        <v>http://funmeta.oebiotech.com/network/257371</v>
      </c>
      <c r="H572" s="2" t="s">
        <v>3966</v>
      </c>
      <c r="I572" s="2"/>
      <c r="J572" s="2"/>
      <c r="K572" s="2"/>
      <c r="L572" s="2"/>
      <c r="M572" s="2"/>
      <c r="N572" s="2"/>
      <c r="O572" s="2"/>
      <c r="P572" s="2"/>
      <c r="Q572" s="2" t="s">
        <v>3967</v>
      </c>
      <c r="R572" s="2" t="s">
        <v>3968</v>
      </c>
      <c r="S572" s="2" t="s">
        <v>115</v>
      </c>
      <c r="T572" s="2" t="s">
        <v>139</v>
      </c>
      <c r="U572" s="2" t="s">
        <v>140</v>
      </c>
      <c r="V572" s="2" t="s">
        <v>42</v>
      </c>
      <c r="W572" s="2">
        <v>54</v>
      </c>
      <c r="X572" s="2">
        <v>73.400000000000006</v>
      </c>
      <c r="Y572" s="2" t="s">
        <v>751</v>
      </c>
      <c r="Z572" s="2" t="s">
        <v>3969</v>
      </c>
      <c r="AA572" s="2">
        <v>-0.13657246422355401</v>
      </c>
      <c r="AB572" s="2">
        <v>1.14633595873326</v>
      </c>
      <c r="AC572" s="2">
        <v>465263.25936843298</v>
      </c>
      <c r="AD572" s="2">
        <v>374963.00511779898</v>
      </c>
      <c r="AE572" s="2">
        <v>444965.38875501603</v>
      </c>
      <c r="AF572" s="2">
        <v>458433.31840881798</v>
      </c>
      <c r="AG572" s="2">
        <v>458528.63938446803</v>
      </c>
      <c r="AH572" s="2">
        <v>468779.86768072698</v>
      </c>
      <c r="AI572" s="2">
        <v>474341.78684165498</v>
      </c>
      <c r="AJ572" s="2">
        <v>486530.55513991602</v>
      </c>
      <c r="AK572" s="2">
        <v>348063.26234192098</v>
      </c>
      <c r="AL572" s="2">
        <v>375522.42058592301</v>
      </c>
      <c r="AM572" s="2">
        <v>374010.26238295803</v>
      </c>
      <c r="AN572" s="2">
        <v>386693.48610782501</v>
      </c>
      <c r="AO572" s="2">
        <v>391104.80260476802</v>
      </c>
      <c r="AP572" s="2">
        <v>374383.79668339598</v>
      </c>
    </row>
    <row r="573" spans="1:42" ht="14.5" x14ac:dyDescent="0.35">
      <c r="A573" s="2" t="s">
        <v>3970</v>
      </c>
      <c r="B573" s="2">
        <v>774.42199908862904</v>
      </c>
      <c r="C573" s="2">
        <v>5.0258500000000002</v>
      </c>
      <c r="D573" s="2" t="s">
        <v>34</v>
      </c>
      <c r="E573" s="2" t="s">
        <v>3971</v>
      </c>
      <c r="F573" s="2">
        <v>211777</v>
      </c>
      <c r="G573" s="3" t="str">
        <f>HYPERLINK("http://funmeta.oebiotech.com/network/211777", "http://funmeta.oebiotech.com/network/211777")</f>
        <v>http://funmeta.oebiotech.com/network/211777</v>
      </c>
      <c r="H573" s="2" t="s">
        <v>3972</v>
      </c>
      <c r="I573" s="2"/>
      <c r="J573" s="2"/>
      <c r="K573" s="2"/>
      <c r="L573" s="2"/>
      <c r="M573" s="2"/>
      <c r="N573" s="2"/>
      <c r="O573" s="2">
        <v>14332099</v>
      </c>
      <c r="P573" s="2"/>
      <c r="Q573" s="2" t="s">
        <v>3973</v>
      </c>
      <c r="R573" s="2" t="s">
        <v>3974</v>
      </c>
      <c r="S573" s="2" t="s">
        <v>41</v>
      </c>
      <c r="T573" s="2" t="s">
        <v>41</v>
      </c>
      <c r="U573" s="2" t="s">
        <v>41</v>
      </c>
      <c r="V573" s="2" t="s">
        <v>59</v>
      </c>
      <c r="W573" s="2">
        <v>36.799999999999997</v>
      </c>
      <c r="X573" s="2">
        <v>0</v>
      </c>
      <c r="Y573" s="2" t="s">
        <v>470</v>
      </c>
      <c r="Z573" s="2" t="s">
        <v>3975</v>
      </c>
      <c r="AA573" s="2">
        <v>-1.72210477075934</v>
      </c>
      <c r="AB573" s="2">
        <v>1.14260956656506</v>
      </c>
      <c r="AC573" s="2">
        <v>598991.58950640599</v>
      </c>
      <c r="AD573" s="2">
        <v>503659.79146441398</v>
      </c>
      <c r="AE573" s="2">
        <v>633321.03688586503</v>
      </c>
      <c r="AF573" s="2">
        <v>611950.83075058903</v>
      </c>
      <c r="AG573" s="2">
        <v>602028.99797089503</v>
      </c>
      <c r="AH573" s="2">
        <v>582955.92040306504</v>
      </c>
      <c r="AI573" s="2">
        <v>596404.44516967202</v>
      </c>
      <c r="AJ573" s="2">
        <v>567288.30585834803</v>
      </c>
      <c r="AK573" s="2">
        <v>468986.26280494599</v>
      </c>
      <c r="AL573" s="2">
        <v>514203.51700410002</v>
      </c>
      <c r="AM573" s="2">
        <v>539224.94460061996</v>
      </c>
      <c r="AN573" s="2">
        <v>491043.356306726</v>
      </c>
      <c r="AO573" s="2">
        <v>528670.63085456099</v>
      </c>
      <c r="AP573" s="2">
        <v>479830.03721553198</v>
      </c>
    </row>
    <row r="574" spans="1:42" ht="14.5" x14ac:dyDescent="0.35">
      <c r="A574" s="2" t="s">
        <v>3976</v>
      </c>
      <c r="B574" s="2">
        <v>431.315477229191</v>
      </c>
      <c r="C574" s="2">
        <v>6.4480000000000004</v>
      </c>
      <c r="D574" s="2" t="s">
        <v>34</v>
      </c>
      <c r="E574" s="2" t="s">
        <v>3977</v>
      </c>
      <c r="F574" s="2">
        <v>43518</v>
      </c>
      <c r="G574" s="3" t="str">
        <f>HYPERLINK("http://funmeta.oebiotech.com/network/43518", "http://funmeta.oebiotech.com/network/43518")</f>
        <v>http://funmeta.oebiotech.com/network/43518</v>
      </c>
      <c r="H574" s="2"/>
      <c r="I574" s="2">
        <v>57627</v>
      </c>
      <c r="J574" s="2" t="s">
        <v>3978</v>
      </c>
      <c r="K574" s="2">
        <v>19566</v>
      </c>
      <c r="L574" s="2" t="s">
        <v>3979</v>
      </c>
      <c r="M574" s="2" t="s">
        <v>189</v>
      </c>
      <c r="N574" s="2" t="s">
        <v>190</v>
      </c>
      <c r="O574" s="2">
        <v>13939876</v>
      </c>
      <c r="P574" s="2"/>
      <c r="Q574" s="2" t="s">
        <v>3980</v>
      </c>
      <c r="R574" s="2" t="s">
        <v>3981</v>
      </c>
      <c r="S574" s="2" t="s">
        <v>50</v>
      </c>
      <c r="T574" s="2" t="s">
        <v>124</v>
      </c>
      <c r="U574" s="2" t="s">
        <v>125</v>
      </c>
      <c r="V574" s="2" t="s">
        <v>42</v>
      </c>
      <c r="W574" s="2">
        <v>55.4</v>
      </c>
      <c r="X574" s="2">
        <v>81.599999999999994</v>
      </c>
      <c r="Y574" s="2" t="s">
        <v>266</v>
      </c>
      <c r="Z574" s="2" t="s">
        <v>3982</v>
      </c>
      <c r="AA574" s="2">
        <v>-0.243196741515322</v>
      </c>
      <c r="AB574" s="2">
        <v>1.14232628527198</v>
      </c>
      <c r="AC574" s="2">
        <v>152553.25246237501</v>
      </c>
      <c r="AD574" s="2">
        <v>239566.23643852401</v>
      </c>
      <c r="AE574" s="2">
        <v>142198.241344215</v>
      </c>
      <c r="AF574" s="2">
        <v>145586.888002224</v>
      </c>
      <c r="AG574" s="2">
        <v>164822.25346140799</v>
      </c>
      <c r="AH574" s="2">
        <v>159506.02260624699</v>
      </c>
      <c r="AI574" s="2">
        <v>152497.21728429501</v>
      </c>
      <c r="AJ574" s="2">
        <v>150708.89207586099</v>
      </c>
      <c r="AK574" s="2">
        <v>231270.68962592899</v>
      </c>
      <c r="AL574" s="2">
        <v>244107.7050513</v>
      </c>
      <c r="AM574" s="2">
        <v>249981.31556321101</v>
      </c>
      <c r="AN574" s="2">
        <v>246783.402880932</v>
      </c>
      <c r="AO574" s="2">
        <v>238790.387715113</v>
      </c>
      <c r="AP574" s="2">
        <v>226463.91779466</v>
      </c>
    </row>
    <row r="575" spans="1:42" ht="14.5" x14ac:dyDescent="0.35">
      <c r="A575" s="2" t="s">
        <v>3983</v>
      </c>
      <c r="B575" s="2">
        <v>481.31563260195497</v>
      </c>
      <c r="C575" s="2">
        <v>5.7559333333333296</v>
      </c>
      <c r="D575" s="2" t="s">
        <v>34</v>
      </c>
      <c r="E575" s="2" t="s">
        <v>3984</v>
      </c>
      <c r="F575" s="2">
        <v>43753</v>
      </c>
      <c r="G575" s="3" t="str">
        <f>HYPERLINK("http://funmeta.oebiotech.com/network/43753", "http://funmeta.oebiotech.com/network/43753")</f>
        <v>http://funmeta.oebiotech.com/network/43753</v>
      </c>
      <c r="H575" s="2"/>
      <c r="I575" s="2"/>
      <c r="J575" s="2" t="s">
        <v>3985</v>
      </c>
      <c r="K575" s="2"/>
      <c r="L575" s="2"/>
      <c r="M575" s="2"/>
      <c r="N575" s="2"/>
      <c r="O575" s="2">
        <v>11070877</v>
      </c>
      <c r="P575" s="2"/>
      <c r="Q575" s="2" t="s">
        <v>3986</v>
      </c>
      <c r="R575" s="2" t="s">
        <v>3987</v>
      </c>
      <c r="S575" s="2" t="s">
        <v>50</v>
      </c>
      <c r="T575" s="2" t="s">
        <v>124</v>
      </c>
      <c r="U575" s="2" t="s">
        <v>125</v>
      </c>
      <c r="V575" s="2" t="s">
        <v>59</v>
      </c>
      <c r="W575" s="2">
        <v>43</v>
      </c>
      <c r="X575" s="2">
        <v>24.5</v>
      </c>
      <c r="Y575" s="2" t="s">
        <v>67</v>
      </c>
      <c r="Z575" s="2" t="s">
        <v>195</v>
      </c>
      <c r="AA575" s="2">
        <v>-0.72365552016914303</v>
      </c>
      <c r="AB575" s="2">
        <v>1.1421016790985701</v>
      </c>
      <c r="AC575" s="2">
        <v>59236.960404659199</v>
      </c>
      <c r="AD575" s="2">
        <v>147154.35866621099</v>
      </c>
      <c r="AE575" s="2">
        <v>60819.917310018704</v>
      </c>
      <c r="AF575" s="2">
        <v>61187.331781842498</v>
      </c>
      <c r="AG575" s="2">
        <v>54398.467189046103</v>
      </c>
      <c r="AH575" s="2">
        <v>56481.357201287799</v>
      </c>
      <c r="AI575" s="2">
        <v>62065.763496767002</v>
      </c>
      <c r="AJ575" s="2">
        <v>60468.925448993003</v>
      </c>
      <c r="AK575" s="2">
        <v>129058.60582160699</v>
      </c>
      <c r="AL575" s="2">
        <v>157936.470946138</v>
      </c>
      <c r="AM575" s="2">
        <v>144778.14665646799</v>
      </c>
      <c r="AN575" s="2">
        <v>129965.751214863</v>
      </c>
      <c r="AO575" s="2">
        <v>154045.60800193899</v>
      </c>
      <c r="AP575" s="2">
        <v>167141.56935624999</v>
      </c>
    </row>
    <row r="576" spans="1:42" ht="14.5" x14ac:dyDescent="0.35">
      <c r="A576" s="2" t="s">
        <v>3988</v>
      </c>
      <c r="B576" s="2">
        <v>351.068362686174</v>
      </c>
      <c r="C576" s="2">
        <v>0.73473333333333302</v>
      </c>
      <c r="D576" s="2" t="s">
        <v>34</v>
      </c>
      <c r="E576" s="2" t="s">
        <v>3989</v>
      </c>
      <c r="F576" s="2">
        <v>62208</v>
      </c>
      <c r="G576" s="3" t="str">
        <f>HYPERLINK("http://funmeta.oebiotech.com/network/62208", "http://funmeta.oebiotech.com/network/62208")</f>
        <v>http://funmeta.oebiotech.com/network/62208</v>
      </c>
      <c r="H576" s="2" t="s">
        <v>3990</v>
      </c>
      <c r="I576" s="2"/>
      <c r="J576" s="2"/>
      <c r="K576" s="2"/>
      <c r="L576" s="2"/>
      <c r="M576" s="2"/>
      <c r="N576" s="2"/>
      <c r="O576" s="2">
        <v>131752482</v>
      </c>
      <c r="P576" s="2" t="s">
        <v>3991</v>
      </c>
      <c r="Q576" s="2" t="s">
        <v>3992</v>
      </c>
      <c r="R576" s="2" t="s">
        <v>3993</v>
      </c>
      <c r="S576" s="2" t="s">
        <v>79</v>
      </c>
      <c r="T576" s="2" t="s">
        <v>80</v>
      </c>
      <c r="U576" s="2" t="s">
        <v>81</v>
      </c>
      <c r="V576" s="2" t="s">
        <v>59</v>
      </c>
      <c r="W576" s="2">
        <v>39.799999999999997</v>
      </c>
      <c r="X576" s="2">
        <v>4.32</v>
      </c>
      <c r="Y576" s="2" t="s">
        <v>340</v>
      </c>
      <c r="Z576" s="2" t="s">
        <v>3418</v>
      </c>
      <c r="AA576" s="2">
        <v>-1.4169267063151201</v>
      </c>
      <c r="AB576" s="2">
        <v>1.1420620863195601</v>
      </c>
      <c r="AC576" s="2">
        <v>139096.217893956</v>
      </c>
      <c r="AD576" s="2">
        <v>234199.85777074401</v>
      </c>
      <c r="AE576" s="2">
        <v>126222.772692743</v>
      </c>
      <c r="AF576" s="2">
        <v>131895.26223844499</v>
      </c>
      <c r="AG576" s="2">
        <v>158847.545805245</v>
      </c>
      <c r="AH576" s="2">
        <v>122191.577653431</v>
      </c>
      <c r="AI576" s="2">
        <v>149588.54354120599</v>
      </c>
      <c r="AJ576" s="2">
        <v>145831.60543266701</v>
      </c>
      <c r="AK576" s="2">
        <v>228570.96150672701</v>
      </c>
      <c r="AL576" s="2">
        <v>283966.300539524</v>
      </c>
      <c r="AM576" s="2">
        <v>250444.653982877</v>
      </c>
      <c r="AN576" s="2">
        <v>222640.283767227</v>
      </c>
      <c r="AO576" s="2">
        <v>233964.46306620599</v>
      </c>
      <c r="AP576" s="2">
        <v>185612.48376190499</v>
      </c>
    </row>
    <row r="577" spans="1:42" ht="14.5" x14ac:dyDescent="0.35">
      <c r="A577" s="2" t="s">
        <v>3994</v>
      </c>
      <c r="B577" s="2">
        <v>991.55764160527394</v>
      </c>
      <c r="C577" s="2">
        <v>11.670033333333301</v>
      </c>
      <c r="D577" s="2" t="s">
        <v>34</v>
      </c>
      <c r="E577" s="2" t="s">
        <v>3995</v>
      </c>
      <c r="F577" s="2">
        <v>231068</v>
      </c>
      <c r="G577" s="3" t="str">
        <f>HYPERLINK("http://funmeta.oebiotech.com/network/231068", "http://funmeta.oebiotech.com/network/231068")</f>
        <v>http://funmeta.oebiotech.com/network/231068</v>
      </c>
      <c r="H577" s="2" t="s">
        <v>3996</v>
      </c>
      <c r="I577" s="2"/>
      <c r="J577" s="2"/>
      <c r="K577" s="2"/>
      <c r="L577" s="2"/>
      <c r="M577" s="2"/>
      <c r="N577" s="2"/>
      <c r="O577" s="2"/>
      <c r="P577" s="2"/>
      <c r="Q577" s="2" t="s">
        <v>3997</v>
      </c>
      <c r="R577" s="2" t="s">
        <v>3998</v>
      </c>
      <c r="S577" s="2" t="s">
        <v>41</v>
      </c>
      <c r="T577" s="2" t="s">
        <v>41</v>
      </c>
      <c r="U577" s="2" t="s">
        <v>41</v>
      </c>
      <c r="V577" s="2" t="s">
        <v>59</v>
      </c>
      <c r="W577" s="2">
        <v>37.6</v>
      </c>
      <c r="X577" s="2">
        <v>8.4700000000000001E-3</v>
      </c>
      <c r="Y577" s="2" t="s">
        <v>394</v>
      </c>
      <c r="Z577" s="2" t="s">
        <v>3999</v>
      </c>
      <c r="AA577" s="2">
        <v>3.4390980007070202</v>
      </c>
      <c r="AB577" s="2">
        <v>1.1412366184195899</v>
      </c>
      <c r="AC577" s="2">
        <v>223495.882796739</v>
      </c>
      <c r="AD577" s="2">
        <v>135670.415665679</v>
      </c>
      <c r="AE577" s="2">
        <v>209711.45158690799</v>
      </c>
      <c r="AF577" s="2">
        <v>212955.503307701</v>
      </c>
      <c r="AG577" s="2">
        <v>237864.654238435</v>
      </c>
      <c r="AH577" s="2">
        <v>224816.098926565</v>
      </c>
      <c r="AI577" s="2">
        <v>231615.05077696301</v>
      </c>
      <c r="AJ577" s="2">
        <v>224012.537943862</v>
      </c>
      <c r="AK577" s="2">
        <v>132500.57798156401</v>
      </c>
      <c r="AL577" s="2">
        <v>141487.54710993599</v>
      </c>
      <c r="AM577" s="2">
        <v>115048.18340850199</v>
      </c>
      <c r="AN577" s="2">
        <v>132502.95703222699</v>
      </c>
      <c r="AO577" s="2">
        <v>144993.458798065</v>
      </c>
      <c r="AP577" s="2">
        <v>147489.76966378099</v>
      </c>
    </row>
    <row r="578" spans="1:42" ht="14.5" x14ac:dyDescent="0.35">
      <c r="A578" s="2" t="s">
        <v>4000</v>
      </c>
      <c r="B578" s="2">
        <v>686.41488083950003</v>
      </c>
      <c r="C578" s="2">
        <v>11.8135166666667</v>
      </c>
      <c r="D578" s="2" t="s">
        <v>34</v>
      </c>
      <c r="E578" s="2" t="s">
        <v>4001</v>
      </c>
      <c r="F578" s="2">
        <v>20114</v>
      </c>
      <c r="G578" s="3" t="str">
        <f>HYPERLINK("http://funmeta.oebiotech.com/network/20114", "http://funmeta.oebiotech.com/network/20114")</f>
        <v>http://funmeta.oebiotech.com/network/20114</v>
      </c>
      <c r="H578" s="2" t="s">
        <v>4002</v>
      </c>
      <c r="I578" s="2">
        <v>60300</v>
      </c>
      <c r="J578" s="2" t="s">
        <v>4003</v>
      </c>
      <c r="K578" s="2"/>
      <c r="L578" s="2" t="s">
        <v>594</v>
      </c>
      <c r="M578" s="2" t="s">
        <v>595</v>
      </c>
      <c r="N578" s="2" t="s">
        <v>596</v>
      </c>
      <c r="O578" s="2">
        <v>52924130</v>
      </c>
      <c r="P578" s="2"/>
      <c r="Q578" s="2" t="s">
        <v>4004</v>
      </c>
      <c r="R578" s="2" t="s">
        <v>4005</v>
      </c>
      <c r="S578" s="2" t="s">
        <v>50</v>
      </c>
      <c r="T578" s="2" t="s">
        <v>51</v>
      </c>
      <c r="U578" s="2" t="s">
        <v>257</v>
      </c>
      <c r="V578" s="2" t="s">
        <v>59</v>
      </c>
      <c r="W578" s="2">
        <v>37</v>
      </c>
      <c r="X578" s="2">
        <v>0</v>
      </c>
      <c r="Y578" s="2" t="s">
        <v>340</v>
      </c>
      <c r="Z578" s="2" t="s">
        <v>4006</v>
      </c>
      <c r="AA578" s="2">
        <v>-1.3621821795032401</v>
      </c>
      <c r="AB578" s="2">
        <v>1.1373888930256</v>
      </c>
      <c r="AC578" s="2">
        <v>2072.5739136838702</v>
      </c>
      <c r="AD578" s="2">
        <v>87257.427867556005</v>
      </c>
      <c r="AE578" s="2">
        <v>1710.0670063249399</v>
      </c>
      <c r="AF578" s="2">
        <v>2339.8257105500802</v>
      </c>
      <c r="AG578" s="2">
        <v>1857.5389130190899</v>
      </c>
      <c r="AH578" s="2">
        <v>2241.1090752105802</v>
      </c>
      <c r="AI578" s="2">
        <v>1652.6916208451601</v>
      </c>
      <c r="AJ578" s="2">
        <v>2634.2111561533602</v>
      </c>
      <c r="AK578" s="2">
        <v>80618.424442779506</v>
      </c>
      <c r="AL578" s="2">
        <v>81484.419544171004</v>
      </c>
      <c r="AM578" s="2">
        <v>90408.304538745593</v>
      </c>
      <c r="AN578" s="2">
        <v>85718.904746325206</v>
      </c>
      <c r="AO578" s="2">
        <v>96335.895396986394</v>
      </c>
      <c r="AP578" s="2">
        <v>88978.618536328606</v>
      </c>
    </row>
    <row r="579" spans="1:42" ht="14.5" x14ac:dyDescent="0.35">
      <c r="A579" s="2" t="s">
        <v>4007</v>
      </c>
      <c r="B579" s="2">
        <v>740.363891857873</v>
      </c>
      <c r="C579" s="2">
        <v>7.7732999999999999</v>
      </c>
      <c r="D579" s="2" t="s">
        <v>34</v>
      </c>
      <c r="E579" s="2" t="s">
        <v>4008</v>
      </c>
      <c r="F579" s="2">
        <v>208253</v>
      </c>
      <c r="G579" s="3" t="str">
        <f>HYPERLINK("http://funmeta.oebiotech.com/network/208253", "http://funmeta.oebiotech.com/network/208253")</f>
        <v>http://funmeta.oebiotech.com/network/208253</v>
      </c>
      <c r="H579" s="2" t="s">
        <v>4009</v>
      </c>
      <c r="I579" s="2"/>
      <c r="J579" s="2"/>
      <c r="K579" s="2"/>
      <c r="L579" s="2"/>
      <c r="M579" s="2"/>
      <c r="N579" s="2"/>
      <c r="O579" s="2">
        <v>53394899</v>
      </c>
      <c r="P579" s="2"/>
      <c r="Q579" s="2" t="s">
        <v>4010</v>
      </c>
      <c r="R579" s="2" t="s">
        <v>4011</v>
      </c>
      <c r="S579" s="2" t="s">
        <v>79</v>
      </c>
      <c r="T579" s="2" t="s">
        <v>80</v>
      </c>
      <c r="U579" s="2" t="s">
        <v>81</v>
      </c>
      <c r="V579" s="2" t="s">
        <v>42</v>
      </c>
      <c r="W579" s="2">
        <v>53.4</v>
      </c>
      <c r="X579" s="2">
        <v>79.8</v>
      </c>
      <c r="Y579" s="2" t="s">
        <v>340</v>
      </c>
      <c r="Z579" s="2" t="s">
        <v>4012</v>
      </c>
      <c r="AA579" s="2">
        <v>2.9837905877084698</v>
      </c>
      <c r="AB579" s="2">
        <v>1.1369247413741499</v>
      </c>
      <c r="AC579" s="2">
        <v>324573.27817073802</v>
      </c>
      <c r="AD579" s="2">
        <v>237009.98469060901</v>
      </c>
      <c r="AE579" s="2">
        <v>329925.48815031699</v>
      </c>
      <c r="AF579" s="2">
        <v>332790.38294007297</v>
      </c>
      <c r="AG579" s="2">
        <v>308010.62661565602</v>
      </c>
      <c r="AH579" s="2">
        <v>332763.23267865297</v>
      </c>
      <c r="AI579" s="2">
        <v>325632.086778756</v>
      </c>
      <c r="AJ579" s="2">
        <v>318317.85186097102</v>
      </c>
      <c r="AK579" s="2">
        <v>228326.695977856</v>
      </c>
      <c r="AL579" s="2">
        <v>255917.07420252499</v>
      </c>
      <c r="AM579" s="2">
        <v>234058.21862097899</v>
      </c>
      <c r="AN579" s="2">
        <v>213675.35025567599</v>
      </c>
      <c r="AO579" s="2">
        <v>244536.207485708</v>
      </c>
      <c r="AP579" s="2">
        <v>245546.361600909</v>
      </c>
    </row>
    <row r="580" spans="1:42" ht="14.5" x14ac:dyDescent="0.35">
      <c r="A580" s="2" t="s">
        <v>4013</v>
      </c>
      <c r="B580" s="2">
        <v>585.142216362515</v>
      </c>
      <c r="C580" s="2">
        <v>2.9951666666666701</v>
      </c>
      <c r="D580" s="2" t="s">
        <v>34</v>
      </c>
      <c r="E580" s="2" t="s">
        <v>4014</v>
      </c>
      <c r="F580" s="2">
        <v>209502</v>
      </c>
      <c r="G580" s="3" t="str">
        <f>HYPERLINK("http://funmeta.oebiotech.com/network/209502", "http://funmeta.oebiotech.com/network/209502")</f>
        <v>http://funmeta.oebiotech.com/network/209502</v>
      </c>
      <c r="H580" s="2" t="s">
        <v>4015</v>
      </c>
      <c r="I580" s="2"/>
      <c r="J580" s="2"/>
      <c r="K580" s="2"/>
      <c r="L580" s="2"/>
      <c r="M580" s="2"/>
      <c r="N580" s="2"/>
      <c r="O580" s="2">
        <v>76034218</v>
      </c>
      <c r="P580" s="2"/>
      <c r="Q580" s="2" t="s">
        <v>4016</v>
      </c>
      <c r="R580" s="2" t="s">
        <v>4017</v>
      </c>
      <c r="S580" s="2" t="s">
        <v>491</v>
      </c>
      <c r="T580" s="2" t="s">
        <v>2251</v>
      </c>
      <c r="U580" s="2" t="s">
        <v>2252</v>
      </c>
      <c r="V580" s="2" t="s">
        <v>59</v>
      </c>
      <c r="W580" s="2">
        <v>38</v>
      </c>
      <c r="X580" s="2">
        <v>1.84</v>
      </c>
      <c r="Y580" s="2" t="s">
        <v>394</v>
      </c>
      <c r="Z580" s="2" t="s">
        <v>4018</v>
      </c>
      <c r="AA580" s="2">
        <v>-4.7846256765564297</v>
      </c>
      <c r="AB580" s="2">
        <v>1.13675380397667</v>
      </c>
      <c r="AC580" s="2">
        <v>109107.750830662</v>
      </c>
      <c r="AD580" s="2">
        <v>197474.65449686701</v>
      </c>
      <c r="AE580" s="2">
        <v>99564.836017832</v>
      </c>
      <c r="AF580" s="2">
        <v>101364.10116537999</v>
      </c>
      <c r="AG580" s="2">
        <v>108494.285383257</v>
      </c>
      <c r="AH580" s="2">
        <v>104204.47295472999</v>
      </c>
      <c r="AI580" s="2">
        <v>115047.34595870999</v>
      </c>
      <c r="AJ580" s="2">
        <v>125971.463504065</v>
      </c>
      <c r="AK580" s="2">
        <v>175375.73145978199</v>
      </c>
      <c r="AL580" s="2">
        <v>184025.00814052101</v>
      </c>
      <c r="AM580" s="2">
        <v>210321.385410463</v>
      </c>
      <c r="AN580" s="2">
        <v>210104.664760883</v>
      </c>
      <c r="AO580" s="2">
        <v>184721.618147206</v>
      </c>
      <c r="AP580" s="2">
        <v>220299.51906234701</v>
      </c>
    </row>
    <row r="581" spans="1:42" ht="14.5" x14ac:dyDescent="0.35">
      <c r="A581" s="2" t="s">
        <v>4019</v>
      </c>
      <c r="B581" s="2">
        <v>503.22860176958602</v>
      </c>
      <c r="C581" s="2">
        <v>5.5245499999999996</v>
      </c>
      <c r="D581" s="2" t="s">
        <v>70</v>
      </c>
      <c r="E581" s="2" t="s">
        <v>4020</v>
      </c>
      <c r="F581" s="2">
        <v>199014</v>
      </c>
      <c r="G581" s="3" t="str">
        <f>HYPERLINK("http://funmeta.oebiotech.com/network/199014", "http://funmeta.oebiotech.com/network/199014")</f>
        <v>http://funmeta.oebiotech.com/network/199014</v>
      </c>
      <c r="H581" s="2" t="s">
        <v>4021</v>
      </c>
      <c r="I581" s="2"/>
      <c r="J581" s="2"/>
      <c r="K581" s="2"/>
      <c r="L581" s="2"/>
      <c r="M581" s="2"/>
      <c r="N581" s="2"/>
      <c r="O581" s="2">
        <v>3430</v>
      </c>
      <c r="P581" s="2"/>
      <c r="Q581" s="2" t="s">
        <v>4022</v>
      </c>
      <c r="R581" s="2" t="s">
        <v>4023</v>
      </c>
      <c r="S581" s="2" t="s">
        <v>50</v>
      </c>
      <c r="T581" s="2" t="s">
        <v>229</v>
      </c>
      <c r="U581" s="2" t="s">
        <v>433</v>
      </c>
      <c r="V581" s="2" t="s">
        <v>59</v>
      </c>
      <c r="W581" s="2">
        <v>44.9</v>
      </c>
      <c r="X581" s="2">
        <v>25.2</v>
      </c>
      <c r="Y581" s="2" t="s">
        <v>408</v>
      </c>
      <c r="Z581" s="2" t="s">
        <v>4024</v>
      </c>
      <c r="AA581" s="2">
        <v>-0.11899626955291</v>
      </c>
      <c r="AB581" s="2">
        <v>1.1335516528445</v>
      </c>
      <c r="AC581" s="2">
        <v>122104.76868948</v>
      </c>
      <c r="AD581" s="2">
        <v>37526.002863944203</v>
      </c>
      <c r="AE581" s="2">
        <v>121769.263657057</v>
      </c>
      <c r="AF581" s="2">
        <v>122634.401680971</v>
      </c>
      <c r="AG581" s="2">
        <v>116168.234963857</v>
      </c>
      <c r="AH581" s="2">
        <v>129789.91643939901</v>
      </c>
      <c r="AI581" s="2">
        <v>121453.504290447</v>
      </c>
      <c r="AJ581" s="2">
        <v>120813.291105148</v>
      </c>
      <c r="AK581" s="2">
        <v>36917.179733943201</v>
      </c>
      <c r="AL581" s="2">
        <v>37265.415124863997</v>
      </c>
      <c r="AM581" s="2">
        <v>34540.320045394103</v>
      </c>
      <c r="AN581" s="2">
        <v>37705.922278497499</v>
      </c>
      <c r="AO581" s="2">
        <v>36342.160254247603</v>
      </c>
      <c r="AP581" s="2">
        <v>42385.019746718703</v>
      </c>
    </row>
    <row r="582" spans="1:42" ht="14.5" x14ac:dyDescent="0.35">
      <c r="A582" s="2" t="s">
        <v>4025</v>
      </c>
      <c r="B582" s="2">
        <v>379.15721491537101</v>
      </c>
      <c r="C582" s="2">
        <v>2.9590666666666698</v>
      </c>
      <c r="D582" s="2" t="s">
        <v>34</v>
      </c>
      <c r="E582" s="2" t="s">
        <v>4026</v>
      </c>
      <c r="F582" s="2">
        <v>212489</v>
      </c>
      <c r="G582" s="3" t="str">
        <f>HYPERLINK("http://funmeta.oebiotech.com/network/212489", "http://funmeta.oebiotech.com/network/212489")</f>
        <v>http://funmeta.oebiotech.com/network/212489</v>
      </c>
      <c r="H582" s="2" t="s">
        <v>4027</v>
      </c>
      <c r="I582" s="2"/>
      <c r="J582" s="2"/>
      <c r="K582" s="2"/>
      <c r="L582" s="2"/>
      <c r="M582" s="2"/>
      <c r="N582" s="2"/>
      <c r="O582" s="2">
        <v>51249</v>
      </c>
      <c r="P582" s="2"/>
      <c r="Q582" s="2" t="s">
        <v>4028</v>
      </c>
      <c r="R582" s="2" t="s">
        <v>4029</v>
      </c>
      <c r="S582" s="2" t="s">
        <v>50</v>
      </c>
      <c r="T582" s="2" t="s">
        <v>229</v>
      </c>
      <c r="U582" s="2" t="s">
        <v>766</v>
      </c>
      <c r="V582" s="2" t="s">
        <v>59</v>
      </c>
      <c r="W582" s="2">
        <v>39.5</v>
      </c>
      <c r="X582" s="2">
        <v>11.4</v>
      </c>
      <c r="Y582" s="2" t="s">
        <v>141</v>
      </c>
      <c r="Z582" s="2" t="s">
        <v>4030</v>
      </c>
      <c r="AA582" s="2">
        <v>-0.39491540927695301</v>
      </c>
      <c r="AB582" s="2">
        <v>1.13101225279132</v>
      </c>
      <c r="AC582" s="2">
        <v>137628.16415002599</v>
      </c>
      <c r="AD582" s="2">
        <v>231351.72565314401</v>
      </c>
      <c r="AE582" s="2">
        <v>139527.012444878</v>
      </c>
      <c r="AF582" s="2">
        <v>140301.06038486899</v>
      </c>
      <c r="AG582" s="2">
        <v>153001.66489169499</v>
      </c>
      <c r="AH582" s="2">
        <v>121270.49477021099</v>
      </c>
      <c r="AI582" s="2">
        <v>132637.04136984699</v>
      </c>
      <c r="AJ582" s="2">
        <v>139031.711038657</v>
      </c>
      <c r="AK582" s="2">
        <v>187731.210286132</v>
      </c>
      <c r="AL582" s="2">
        <v>263335.83902595902</v>
      </c>
      <c r="AM582" s="2">
        <v>279025.21450202202</v>
      </c>
      <c r="AN582" s="2">
        <v>231626.09249659299</v>
      </c>
      <c r="AO582" s="2">
        <v>209268.53862925601</v>
      </c>
      <c r="AP582" s="2">
        <v>217123.458978904</v>
      </c>
    </row>
    <row r="583" spans="1:42" ht="14.5" x14ac:dyDescent="0.35">
      <c r="A583" s="2" t="s">
        <v>4031</v>
      </c>
      <c r="B583" s="2">
        <v>603.02362643529398</v>
      </c>
      <c r="C583" s="2">
        <v>5.7559333333333296</v>
      </c>
      <c r="D583" s="2" t="s">
        <v>34</v>
      </c>
      <c r="E583" s="2" t="s">
        <v>4032</v>
      </c>
      <c r="F583" s="2">
        <v>47307</v>
      </c>
      <c r="G583" s="3" t="str">
        <f>HYPERLINK("http://funmeta.oebiotech.com/network/47307", "http://funmeta.oebiotech.com/network/47307")</f>
        <v>http://funmeta.oebiotech.com/network/47307</v>
      </c>
      <c r="H583" s="2" t="s">
        <v>4033</v>
      </c>
      <c r="I583" s="2">
        <v>5884</v>
      </c>
      <c r="J583" s="2"/>
      <c r="K583" s="2">
        <v>17200</v>
      </c>
      <c r="L583" s="2" t="s">
        <v>4034</v>
      </c>
      <c r="M583" s="2" t="s">
        <v>4035</v>
      </c>
      <c r="N583" s="2" t="s">
        <v>4036</v>
      </c>
      <c r="O583" s="2">
        <v>17473</v>
      </c>
      <c r="P583" s="2" t="s">
        <v>4037</v>
      </c>
      <c r="Q583" s="2" t="s">
        <v>4038</v>
      </c>
      <c r="R583" s="2" t="s">
        <v>4039</v>
      </c>
      <c r="S583" s="2" t="s">
        <v>1444</v>
      </c>
      <c r="T583" s="2" t="s">
        <v>4040</v>
      </c>
      <c r="U583" s="2" t="s">
        <v>4041</v>
      </c>
      <c r="V583" s="2" t="s">
        <v>59</v>
      </c>
      <c r="W583" s="2">
        <v>36.5</v>
      </c>
      <c r="X583" s="2">
        <v>0</v>
      </c>
      <c r="Y583" s="2" t="s">
        <v>323</v>
      </c>
      <c r="Z583" s="2" t="s">
        <v>4042</v>
      </c>
      <c r="AA583" s="2">
        <v>0.207967144714446</v>
      </c>
      <c r="AB583" s="2">
        <v>1.1283384176843201</v>
      </c>
      <c r="AC583" s="2">
        <v>563777.79250202596</v>
      </c>
      <c r="AD583" s="2">
        <v>469050.014319457</v>
      </c>
      <c r="AE583" s="2">
        <v>592390.35291388398</v>
      </c>
      <c r="AF583" s="2">
        <v>565234.82189513196</v>
      </c>
      <c r="AG583" s="2">
        <v>534744.38400276296</v>
      </c>
      <c r="AH583" s="2">
        <v>610227.71345525002</v>
      </c>
      <c r="AI583" s="2">
        <v>562847.514549991</v>
      </c>
      <c r="AJ583" s="2">
        <v>517221.96819513798</v>
      </c>
      <c r="AK583" s="2">
        <v>446123.35431131697</v>
      </c>
      <c r="AL583" s="2">
        <v>450080.29981682898</v>
      </c>
      <c r="AM583" s="2">
        <v>487492.465821372</v>
      </c>
      <c r="AN583" s="2">
        <v>483504.60116459202</v>
      </c>
      <c r="AO583" s="2">
        <v>476136.27350136999</v>
      </c>
      <c r="AP583" s="2">
        <v>470963.09130126302</v>
      </c>
    </row>
    <row r="584" spans="1:42" ht="14.5" x14ac:dyDescent="0.35">
      <c r="A584" s="2" t="s">
        <v>4043</v>
      </c>
      <c r="B584" s="2">
        <v>549.166314794095</v>
      </c>
      <c r="C584" s="2">
        <v>0.72340000000000004</v>
      </c>
      <c r="D584" s="2" t="s">
        <v>70</v>
      </c>
      <c r="E584" s="2" t="s">
        <v>4044</v>
      </c>
      <c r="F584" s="2">
        <v>48127</v>
      </c>
      <c r="G584" s="3" t="str">
        <f>HYPERLINK("http://funmeta.oebiotech.com/network/48127", "http://funmeta.oebiotech.com/network/48127")</f>
        <v>http://funmeta.oebiotech.com/network/48127</v>
      </c>
      <c r="H584" s="2" t="s">
        <v>4045</v>
      </c>
      <c r="I584" s="2">
        <v>6945</v>
      </c>
      <c r="J584" s="2"/>
      <c r="K584" s="2"/>
      <c r="L584" s="2" t="s">
        <v>4046</v>
      </c>
      <c r="M584" s="2" t="s">
        <v>4047</v>
      </c>
      <c r="N584" s="2" t="s">
        <v>4048</v>
      </c>
      <c r="O584" s="2">
        <v>22833608</v>
      </c>
      <c r="P584" s="2" t="s">
        <v>4049</v>
      </c>
      <c r="Q584" s="2" t="s">
        <v>4050</v>
      </c>
      <c r="R584" s="2" t="s">
        <v>4051</v>
      </c>
      <c r="S584" s="2" t="s">
        <v>79</v>
      </c>
      <c r="T584" s="2" t="s">
        <v>80</v>
      </c>
      <c r="U584" s="2" t="s">
        <v>81</v>
      </c>
      <c r="V584" s="2" t="s">
        <v>42</v>
      </c>
      <c r="W584" s="2">
        <v>53.7</v>
      </c>
      <c r="X584" s="2">
        <v>77</v>
      </c>
      <c r="Y584" s="2" t="s">
        <v>408</v>
      </c>
      <c r="Z584" s="2" t="s">
        <v>543</v>
      </c>
      <c r="AA584" s="2">
        <v>-1.8307651616998999</v>
      </c>
      <c r="AB584" s="2">
        <v>1.1270166880358501</v>
      </c>
      <c r="AC584" s="2">
        <v>924546.92402677401</v>
      </c>
      <c r="AD584" s="2">
        <v>1063023.4355856001</v>
      </c>
      <c r="AE584" s="2">
        <v>957647.866161727</v>
      </c>
      <c r="AF584" s="2">
        <v>914267.75758225797</v>
      </c>
      <c r="AG584" s="2">
        <v>825599.09109463496</v>
      </c>
      <c r="AH584" s="2">
        <v>973462.78068541596</v>
      </c>
      <c r="AI584" s="2">
        <v>1012133.25731267</v>
      </c>
      <c r="AJ584" s="2">
        <v>864170.79132393701</v>
      </c>
      <c r="AK584" s="2">
        <v>1202855.3892950299</v>
      </c>
      <c r="AL584" s="2">
        <v>1230795.18514458</v>
      </c>
      <c r="AM584" s="2">
        <v>964522.40919981699</v>
      </c>
      <c r="AN584" s="2">
        <v>978409.60811074497</v>
      </c>
      <c r="AO584" s="2">
        <v>1045603.43504497</v>
      </c>
      <c r="AP584" s="2">
        <v>955954.58671844902</v>
      </c>
    </row>
    <row r="585" spans="1:42" ht="14.5" x14ac:dyDescent="0.35">
      <c r="A585" s="2" t="s">
        <v>4052</v>
      </c>
      <c r="B585" s="2">
        <v>497.23929578217599</v>
      </c>
      <c r="C585" s="2">
        <v>5.6913166666666699</v>
      </c>
      <c r="D585" s="2" t="s">
        <v>70</v>
      </c>
      <c r="E585" s="2" t="s">
        <v>4053</v>
      </c>
      <c r="F585" s="2">
        <v>3829</v>
      </c>
      <c r="G585" s="3" t="str">
        <f>HYPERLINK("http://funmeta.oebiotech.com/network/3829", "http://funmeta.oebiotech.com/network/3829")</f>
        <v>http://funmeta.oebiotech.com/network/3829</v>
      </c>
      <c r="H585" s="2"/>
      <c r="I585" s="2"/>
      <c r="J585" s="2" t="s">
        <v>4054</v>
      </c>
      <c r="K585" s="2"/>
      <c r="L585" s="2"/>
      <c r="M585" s="2"/>
      <c r="N585" s="2"/>
      <c r="O585" s="2">
        <v>118713851</v>
      </c>
      <c r="P585" s="2"/>
      <c r="Q585" s="2" t="s">
        <v>4055</v>
      </c>
      <c r="R585" s="2" t="s">
        <v>4056</v>
      </c>
      <c r="S585" s="2" t="s">
        <v>50</v>
      </c>
      <c r="T585" s="2" t="s">
        <v>229</v>
      </c>
      <c r="U585" s="2" t="s">
        <v>766</v>
      </c>
      <c r="V585" s="2" t="s">
        <v>42</v>
      </c>
      <c r="W585" s="2">
        <v>48.8</v>
      </c>
      <c r="X585" s="2">
        <v>45.3</v>
      </c>
      <c r="Y585" s="2" t="s">
        <v>408</v>
      </c>
      <c r="Z585" s="2" t="s">
        <v>4057</v>
      </c>
      <c r="AA585" s="2">
        <v>0.16540113207785301</v>
      </c>
      <c r="AB585" s="2">
        <v>1.12699791541837</v>
      </c>
      <c r="AC585" s="2">
        <v>439460.91423426103</v>
      </c>
      <c r="AD585" s="2">
        <v>335381.077229099</v>
      </c>
      <c r="AE585" s="2">
        <v>435585.15929447999</v>
      </c>
      <c r="AF585" s="2">
        <v>448619.39552237</v>
      </c>
      <c r="AG585" s="2">
        <v>441731.92817559303</v>
      </c>
      <c r="AH585" s="2">
        <v>431177.67960223398</v>
      </c>
      <c r="AI585" s="2">
        <v>426333.51032235997</v>
      </c>
      <c r="AJ585" s="2">
        <v>453317.81248852803</v>
      </c>
      <c r="AK585" s="2">
        <v>320159.524910559</v>
      </c>
      <c r="AL585" s="2">
        <v>451125.19344598002</v>
      </c>
      <c r="AM585" s="2">
        <v>345229.785663891</v>
      </c>
      <c r="AN585" s="2">
        <v>310494.92797914002</v>
      </c>
      <c r="AO585" s="2">
        <v>306555.86280176998</v>
      </c>
      <c r="AP585" s="2">
        <v>278721.168573256</v>
      </c>
    </row>
    <row r="586" spans="1:42" ht="14.5" x14ac:dyDescent="0.35">
      <c r="A586" s="2" t="s">
        <v>4058</v>
      </c>
      <c r="B586" s="2">
        <v>503.15207864418102</v>
      </c>
      <c r="C586" s="2">
        <v>5.1048166666666699</v>
      </c>
      <c r="D586" s="2" t="s">
        <v>34</v>
      </c>
      <c r="E586" s="2" t="s">
        <v>4059</v>
      </c>
      <c r="F586" s="2">
        <v>203264</v>
      </c>
      <c r="G586" s="3" t="str">
        <f>HYPERLINK("http://funmeta.oebiotech.com/network/203264", "http://funmeta.oebiotech.com/network/203264")</f>
        <v>http://funmeta.oebiotech.com/network/203264</v>
      </c>
      <c r="H586" s="2" t="s">
        <v>4060</v>
      </c>
      <c r="I586" s="2"/>
      <c r="J586" s="2"/>
      <c r="K586" s="2"/>
      <c r="L586" s="2"/>
      <c r="M586" s="2"/>
      <c r="N586" s="2"/>
      <c r="O586" s="2">
        <v>15558589</v>
      </c>
      <c r="P586" s="2"/>
      <c r="Q586" s="2" t="s">
        <v>4061</v>
      </c>
      <c r="R586" s="2" t="s">
        <v>4062</v>
      </c>
      <c r="S586" s="2" t="s">
        <v>50</v>
      </c>
      <c r="T586" s="2" t="s">
        <v>201</v>
      </c>
      <c r="U586" s="2" t="s">
        <v>202</v>
      </c>
      <c r="V586" s="2" t="s">
        <v>59</v>
      </c>
      <c r="W586" s="2">
        <v>39.4</v>
      </c>
      <c r="X586" s="2">
        <v>1.17</v>
      </c>
      <c r="Y586" s="2" t="s">
        <v>470</v>
      </c>
      <c r="Z586" s="2" t="s">
        <v>4063</v>
      </c>
      <c r="AA586" s="2">
        <v>-0.63259525757353596</v>
      </c>
      <c r="AB586" s="2">
        <v>1.12533093756924</v>
      </c>
      <c r="AC586" s="2">
        <v>287809.35376632202</v>
      </c>
      <c r="AD586" s="2">
        <v>203351.40682239301</v>
      </c>
      <c r="AE586" s="2">
        <v>300341.28126405401</v>
      </c>
      <c r="AF586" s="2">
        <v>283966.643406327</v>
      </c>
      <c r="AG586" s="2">
        <v>280015.77400407201</v>
      </c>
      <c r="AH586" s="2">
        <v>284146.568110839</v>
      </c>
      <c r="AI586" s="2">
        <v>277926.66577135102</v>
      </c>
      <c r="AJ586" s="2">
        <v>300459.190041291</v>
      </c>
      <c r="AK586" s="2">
        <v>215315.778659487</v>
      </c>
      <c r="AL586" s="2">
        <v>202987.47075797399</v>
      </c>
      <c r="AM586" s="2">
        <v>196913.292640158</v>
      </c>
      <c r="AN586" s="2">
        <v>197387.28868827599</v>
      </c>
      <c r="AO586" s="2">
        <v>197419.82661961199</v>
      </c>
      <c r="AP586" s="2">
        <v>210084.783568852</v>
      </c>
    </row>
    <row r="587" spans="1:42" ht="14.5" x14ac:dyDescent="0.35">
      <c r="A587" s="2" t="s">
        <v>4064</v>
      </c>
      <c r="B587" s="2">
        <v>557.27706547481205</v>
      </c>
      <c r="C587" s="2">
        <v>4.0355999999999996</v>
      </c>
      <c r="D587" s="2" t="s">
        <v>34</v>
      </c>
      <c r="E587" s="2" t="s">
        <v>4065</v>
      </c>
      <c r="F587" s="2">
        <v>43741</v>
      </c>
      <c r="G587" s="3" t="str">
        <f>HYPERLINK("http://funmeta.oebiotech.com/network/43741", "http://funmeta.oebiotech.com/network/43741")</f>
        <v>http://funmeta.oebiotech.com/network/43741</v>
      </c>
      <c r="H587" s="2"/>
      <c r="I587" s="2"/>
      <c r="J587" s="2" t="s">
        <v>4066</v>
      </c>
      <c r="K587" s="2"/>
      <c r="L587" s="2"/>
      <c r="M587" s="2"/>
      <c r="N587" s="2"/>
      <c r="O587" s="2"/>
      <c r="P587" s="2"/>
      <c r="Q587" s="2" t="s">
        <v>4067</v>
      </c>
      <c r="R587" s="2" t="s">
        <v>4068</v>
      </c>
      <c r="S587" s="2" t="s">
        <v>50</v>
      </c>
      <c r="T587" s="2" t="s">
        <v>201</v>
      </c>
      <c r="U587" s="2" t="s">
        <v>210</v>
      </c>
      <c r="V587" s="2" t="s">
        <v>59</v>
      </c>
      <c r="W587" s="2">
        <v>44.4</v>
      </c>
      <c r="X587" s="2">
        <v>42.2</v>
      </c>
      <c r="Y587" s="2" t="s">
        <v>141</v>
      </c>
      <c r="Z587" s="2" t="s">
        <v>2499</v>
      </c>
      <c r="AA587" s="2">
        <v>4.4511250178894501</v>
      </c>
      <c r="AB587" s="2">
        <v>1.1245762837703399</v>
      </c>
      <c r="AC587" s="2">
        <v>124584.77795787501</v>
      </c>
      <c r="AD587" s="2">
        <v>41006.874786968503</v>
      </c>
      <c r="AE587" s="2">
        <v>128992.53642829999</v>
      </c>
      <c r="AF587" s="2">
        <v>113733.105935648</v>
      </c>
      <c r="AG587" s="2">
        <v>123277.874201067</v>
      </c>
      <c r="AH587" s="2">
        <v>129267.964501476</v>
      </c>
      <c r="AI587" s="2">
        <v>130983.76618187501</v>
      </c>
      <c r="AJ587" s="2">
        <v>121253.420498887</v>
      </c>
      <c r="AK587" s="2">
        <v>45485.456961059797</v>
      </c>
      <c r="AL587" s="2">
        <v>39308.410180713203</v>
      </c>
      <c r="AM587" s="2">
        <v>42619.101807180698</v>
      </c>
      <c r="AN587" s="2">
        <v>37941.354998459297</v>
      </c>
      <c r="AO587" s="2">
        <v>39599.184107173598</v>
      </c>
      <c r="AP587" s="2">
        <v>41087.740667224702</v>
      </c>
    </row>
    <row r="588" spans="1:42" ht="14.5" x14ac:dyDescent="0.35">
      <c r="A588" s="2" t="s">
        <v>4069</v>
      </c>
      <c r="B588" s="2">
        <v>587.17438412093202</v>
      </c>
      <c r="C588" s="2">
        <v>5.1704666666666697</v>
      </c>
      <c r="D588" s="2" t="s">
        <v>70</v>
      </c>
      <c r="E588" s="2" t="s">
        <v>4070</v>
      </c>
      <c r="F588" s="2">
        <v>31813</v>
      </c>
      <c r="G588" s="3" t="str">
        <f>HYPERLINK("http://funmeta.oebiotech.com/network/31813", "http://funmeta.oebiotech.com/network/31813")</f>
        <v>http://funmeta.oebiotech.com/network/31813</v>
      </c>
      <c r="H588" s="2"/>
      <c r="I588" s="2"/>
      <c r="J588" s="2" t="s">
        <v>4071</v>
      </c>
      <c r="K588" s="2"/>
      <c r="L588" s="2"/>
      <c r="M588" s="2"/>
      <c r="N588" s="2"/>
      <c r="O588" s="2">
        <v>13964059</v>
      </c>
      <c r="P588" s="2"/>
      <c r="Q588" s="2" t="s">
        <v>4072</v>
      </c>
      <c r="R588" s="2" t="s">
        <v>4073</v>
      </c>
      <c r="S588" s="2" t="s">
        <v>115</v>
      </c>
      <c r="T588" s="2" t="s">
        <v>139</v>
      </c>
      <c r="U588" s="2" t="s">
        <v>140</v>
      </c>
      <c r="V588" s="2" t="s">
        <v>59</v>
      </c>
      <c r="W588" s="2">
        <v>45.7</v>
      </c>
      <c r="X588" s="2">
        <v>37.4</v>
      </c>
      <c r="Y588" s="2" t="s">
        <v>408</v>
      </c>
      <c r="Z588" s="2" t="s">
        <v>4074</v>
      </c>
      <c r="AA588" s="2">
        <v>-4.8517689570950999</v>
      </c>
      <c r="AB588" s="2">
        <v>1.1234483492518701</v>
      </c>
      <c r="AC588" s="2">
        <v>296123.81488179998</v>
      </c>
      <c r="AD588" s="2">
        <v>208672.105453008</v>
      </c>
      <c r="AE588" s="2">
        <v>294889.43985623098</v>
      </c>
      <c r="AF588" s="2">
        <v>324784.13016995601</v>
      </c>
      <c r="AG588" s="2">
        <v>283467.55172906001</v>
      </c>
      <c r="AH588" s="2">
        <v>278636.93751287903</v>
      </c>
      <c r="AI588" s="2">
        <v>295263.02299462201</v>
      </c>
      <c r="AJ588" s="2">
        <v>299701.80702805298</v>
      </c>
      <c r="AK588" s="2">
        <v>213055.98026936199</v>
      </c>
      <c r="AL588" s="2">
        <v>222384.60514856601</v>
      </c>
      <c r="AM588" s="2">
        <v>201317.41128029799</v>
      </c>
      <c r="AN588" s="2">
        <v>222568.78094021999</v>
      </c>
      <c r="AO588" s="2">
        <v>178199.01696691199</v>
      </c>
      <c r="AP588" s="2">
        <v>214506.83811269299</v>
      </c>
    </row>
    <row r="589" spans="1:42" ht="14.5" x14ac:dyDescent="0.35">
      <c r="A589" s="2" t="s">
        <v>4075</v>
      </c>
      <c r="B589" s="2">
        <v>917.49145242336397</v>
      </c>
      <c r="C589" s="2">
        <v>5.1048166666666699</v>
      </c>
      <c r="D589" s="2" t="s">
        <v>34</v>
      </c>
      <c r="E589" s="2" t="s">
        <v>4076</v>
      </c>
      <c r="F589" s="2">
        <v>225598</v>
      </c>
      <c r="G589" s="3" t="str">
        <f>HYPERLINK("http://funmeta.oebiotech.com/network/225598", "http://funmeta.oebiotech.com/network/225598")</f>
        <v>http://funmeta.oebiotech.com/network/225598</v>
      </c>
      <c r="H589" s="2" t="s">
        <v>4077</v>
      </c>
      <c r="I589" s="2"/>
      <c r="J589" s="2"/>
      <c r="K589" s="2"/>
      <c r="L589" s="2"/>
      <c r="M589" s="2"/>
      <c r="N589" s="2"/>
      <c r="O589" s="2"/>
      <c r="P589" s="2"/>
      <c r="Q589" s="2" t="s">
        <v>4078</v>
      </c>
      <c r="R589" s="2" t="s">
        <v>4079</v>
      </c>
      <c r="S589" s="2" t="s">
        <v>41</v>
      </c>
      <c r="T589" s="2" t="s">
        <v>41</v>
      </c>
      <c r="U589" s="2" t="s">
        <v>41</v>
      </c>
      <c r="V589" s="2" t="s">
        <v>59</v>
      </c>
      <c r="W589" s="2">
        <v>38.700000000000003</v>
      </c>
      <c r="X589" s="2">
        <v>0</v>
      </c>
      <c r="Y589" s="2" t="s">
        <v>376</v>
      </c>
      <c r="Z589" s="2" t="s">
        <v>4080</v>
      </c>
      <c r="AA589" s="2">
        <v>-0.11040337410406</v>
      </c>
      <c r="AB589" s="2">
        <v>1.1232517267925299</v>
      </c>
      <c r="AC589" s="2">
        <v>791220.788219537</v>
      </c>
      <c r="AD589" s="2">
        <v>898233.542714632</v>
      </c>
      <c r="AE589" s="2">
        <v>862077.73112510296</v>
      </c>
      <c r="AF589" s="2">
        <v>788400.93755380204</v>
      </c>
      <c r="AG589" s="2">
        <v>777910.43845774699</v>
      </c>
      <c r="AH589" s="2">
        <v>814818.15096987702</v>
      </c>
      <c r="AI589" s="2">
        <v>745626.716403606</v>
      </c>
      <c r="AJ589" s="2">
        <v>758490.75480708899</v>
      </c>
      <c r="AK589" s="2">
        <v>812588.93214692804</v>
      </c>
      <c r="AL589" s="2">
        <v>896193.74874739698</v>
      </c>
      <c r="AM589" s="2">
        <v>978062.57521793304</v>
      </c>
      <c r="AN589" s="2">
        <v>908826.90972202702</v>
      </c>
      <c r="AO589" s="2">
        <v>892864.42653917498</v>
      </c>
      <c r="AP589" s="2">
        <v>900864.66391432902</v>
      </c>
    </row>
    <row r="590" spans="1:42" ht="14.5" x14ac:dyDescent="0.35">
      <c r="A590" s="2" t="s">
        <v>4081</v>
      </c>
      <c r="B590" s="2">
        <v>561.32770833114603</v>
      </c>
      <c r="C590" s="2">
        <v>10.6826833333333</v>
      </c>
      <c r="D590" s="2" t="s">
        <v>70</v>
      </c>
      <c r="E590" s="2" t="s">
        <v>4082</v>
      </c>
      <c r="F590" s="2">
        <v>18021</v>
      </c>
      <c r="G590" s="3" t="str">
        <f>HYPERLINK("http://funmeta.oebiotech.com/network/18021", "http://funmeta.oebiotech.com/network/18021")</f>
        <v>http://funmeta.oebiotech.com/network/18021</v>
      </c>
      <c r="H590" s="2"/>
      <c r="I590" s="2"/>
      <c r="J590" s="2" t="s">
        <v>4083</v>
      </c>
      <c r="K590" s="2"/>
      <c r="L590" s="2"/>
      <c r="M590" s="2"/>
      <c r="N590" s="2"/>
      <c r="O590" s="2">
        <v>44631961</v>
      </c>
      <c r="P590" s="2"/>
      <c r="Q590" s="2" t="s">
        <v>4084</v>
      </c>
      <c r="R590" s="2" t="s">
        <v>4085</v>
      </c>
      <c r="S590" s="2" t="s">
        <v>50</v>
      </c>
      <c r="T590" s="2" t="s">
        <v>448</v>
      </c>
      <c r="U590" s="2" t="s">
        <v>449</v>
      </c>
      <c r="V590" s="2" t="s">
        <v>42</v>
      </c>
      <c r="W590" s="2">
        <v>53.1</v>
      </c>
      <c r="X590" s="2">
        <v>67.3</v>
      </c>
      <c r="Y590" s="2" t="s">
        <v>286</v>
      </c>
      <c r="Z590" s="2" t="s">
        <v>4086</v>
      </c>
      <c r="AA590" s="2">
        <v>-0.63458323249820003</v>
      </c>
      <c r="AB590" s="2">
        <v>1.1219979592774101</v>
      </c>
      <c r="AC590" s="2">
        <v>115150.718263421</v>
      </c>
      <c r="AD590" s="2">
        <v>200173.54345826901</v>
      </c>
      <c r="AE590" s="2">
        <v>128378.963294699</v>
      </c>
      <c r="AF590" s="2">
        <v>122919.763904316</v>
      </c>
      <c r="AG590" s="2">
        <v>108384.113824506</v>
      </c>
      <c r="AH590" s="2">
        <v>115808.98393111701</v>
      </c>
      <c r="AI590" s="2">
        <v>107660.238947153</v>
      </c>
      <c r="AJ590" s="2">
        <v>107752.24567873401</v>
      </c>
      <c r="AK590" s="2">
        <v>177386.39817707101</v>
      </c>
      <c r="AL590" s="2">
        <v>204647.52924752299</v>
      </c>
      <c r="AM590" s="2">
        <v>198460.584241776</v>
      </c>
      <c r="AN590" s="2">
        <v>207514.56995342</v>
      </c>
      <c r="AO590" s="2">
        <v>216316.607045154</v>
      </c>
      <c r="AP590" s="2">
        <v>196715.57208466899</v>
      </c>
    </row>
    <row r="591" spans="1:42" ht="14.5" x14ac:dyDescent="0.35">
      <c r="A591" s="2" t="s">
        <v>4087</v>
      </c>
      <c r="B591" s="2">
        <v>665.41823447927902</v>
      </c>
      <c r="C591" s="2">
        <v>12.113350000000001</v>
      </c>
      <c r="D591" s="2" t="s">
        <v>34</v>
      </c>
      <c r="E591" s="2" t="s">
        <v>4088</v>
      </c>
      <c r="F591" s="2">
        <v>25029</v>
      </c>
      <c r="G591" s="3" t="str">
        <f>HYPERLINK("http://funmeta.oebiotech.com/network/25029", "http://funmeta.oebiotech.com/network/25029")</f>
        <v>http://funmeta.oebiotech.com/network/25029</v>
      </c>
      <c r="H591" s="2" t="s">
        <v>4089</v>
      </c>
      <c r="I591" s="2">
        <v>81296</v>
      </c>
      <c r="J591" s="2" t="s">
        <v>4090</v>
      </c>
      <c r="K591" s="2"/>
      <c r="L591" s="2"/>
      <c r="M591" s="2"/>
      <c r="N591" s="2"/>
      <c r="O591" s="2">
        <v>52928723</v>
      </c>
      <c r="P591" s="2"/>
      <c r="Q591" s="2" t="s">
        <v>4091</v>
      </c>
      <c r="R591" s="2" t="s">
        <v>4092</v>
      </c>
      <c r="S591" s="2" t="s">
        <v>50</v>
      </c>
      <c r="T591" s="2" t="s">
        <v>51</v>
      </c>
      <c r="U591" s="2" t="s">
        <v>273</v>
      </c>
      <c r="V591" s="2" t="s">
        <v>59</v>
      </c>
      <c r="W591" s="2">
        <v>37.700000000000003</v>
      </c>
      <c r="X591" s="2">
        <v>0</v>
      </c>
      <c r="Y591" s="2" t="s">
        <v>394</v>
      </c>
      <c r="Z591" s="2" t="s">
        <v>4093</v>
      </c>
      <c r="AA591" s="2">
        <v>0.83157115715727603</v>
      </c>
      <c r="AB591" s="2">
        <v>1.12096064727142</v>
      </c>
      <c r="AC591" s="2">
        <v>161.23220924788501</v>
      </c>
      <c r="AD591" s="2">
        <v>83721.344283750193</v>
      </c>
      <c r="AE591" s="2">
        <v>235.07963198738699</v>
      </c>
      <c r="AF591" s="2">
        <v>210.608207802062</v>
      </c>
      <c r="AG591" s="2">
        <v>8.2919429155590301</v>
      </c>
      <c r="AH591" s="2">
        <v>184.33068530819699</v>
      </c>
      <c r="AI591" s="2">
        <v>310.493710048124</v>
      </c>
      <c r="AJ591" s="2">
        <v>18.5890774259803</v>
      </c>
      <c r="AK591" s="2">
        <v>76190.394362686304</v>
      </c>
      <c r="AL591" s="2">
        <v>69971.740303286497</v>
      </c>
      <c r="AM591" s="2">
        <v>99522.200909655294</v>
      </c>
      <c r="AN591" s="2">
        <v>81035.875105508894</v>
      </c>
      <c r="AO591" s="2">
        <v>81584.241849393104</v>
      </c>
      <c r="AP591" s="2">
        <v>94023.613171971097</v>
      </c>
    </row>
    <row r="592" spans="1:42" ht="14.5" x14ac:dyDescent="0.35">
      <c r="A592" s="2" t="s">
        <v>4094</v>
      </c>
      <c r="B592" s="2">
        <v>579.13548155469402</v>
      </c>
      <c r="C592" s="2">
        <v>4.6857333333333298</v>
      </c>
      <c r="D592" s="2" t="s">
        <v>70</v>
      </c>
      <c r="E592" s="2" t="s">
        <v>4095</v>
      </c>
      <c r="F592" s="2">
        <v>62782</v>
      </c>
      <c r="G592" s="3" t="str">
        <f>HYPERLINK("http://funmeta.oebiotech.com/network/62782", "http://funmeta.oebiotech.com/network/62782")</f>
        <v>http://funmeta.oebiotech.com/network/62782</v>
      </c>
      <c r="H592" s="2" t="s">
        <v>4096</v>
      </c>
      <c r="I592" s="2">
        <v>94076</v>
      </c>
      <c r="J592" s="2"/>
      <c r="K592" s="2">
        <v>176244</v>
      </c>
      <c r="L592" s="2"/>
      <c r="M592" s="2"/>
      <c r="N592" s="2"/>
      <c r="O592" s="2">
        <v>131752667</v>
      </c>
      <c r="P592" s="2" t="s">
        <v>4097</v>
      </c>
      <c r="Q592" s="2" t="s">
        <v>4098</v>
      </c>
      <c r="R592" s="2" t="s">
        <v>4099</v>
      </c>
      <c r="S592" s="2" t="s">
        <v>115</v>
      </c>
      <c r="T592" s="2" t="s">
        <v>139</v>
      </c>
      <c r="U592" s="2" t="s">
        <v>140</v>
      </c>
      <c r="V592" s="2" t="s">
        <v>42</v>
      </c>
      <c r="W592" s="2">
        <v>51.3</v>
      </c>
      <c r="X592" s="2">
        <v>57.7</v>
      </c>
      <c r="Y592" s="2" t="s">
        <v>498</v>
      </c>
      <c r="Z592" s="2" t="s">
        <v>4100</v>
      </c>
      <c r="AA592" s="2">
        <v>-0.107223020857905</v>
      </c>
      <c r="AB592" s="2">
        <v>1.1204991669928199</v>
      </c>
      <c r="AC592" s="2">
        <v>849577.85942749598</v>
      </c>
      <c r="AD592" s="2">
        <v>735551.58375947899</v>
      </c>
      <c r="AE592" s="2">
        <v>846670.73697071802</v>
      </c>
      <c r="AF592" s="2">
        <v>797477.612133004</v>
      </c>
      <c r="AG592" s="2">
        <v>778561.12500902498</v>
      </c>
      <c r="AH592" s="2">
        <v>824672.66869842098</v>
      </c>
      <c r="AI592" s="2">
        <v>855742.4306197</v>
      </c>
      <c r="AJ592" s="2">
        <v>994342.58313410601</v>
      </c>
      <c r="AK592" s="2">
        <v>697496.50333464402</v>
      </c>
      <c r="AL592" s="2">
        <v>753585.37302200496</v>
      </c>
      <c r="AM592" s="2">
        <v>769076.44549004</v>
      </c>
      <c r="AN592" s="2">
        <v>770512.62922716502</v>
      </c>
      <c r="AO592" s="2">
        <v>717597.06392478698</v>
      </c>
      <c r="AP592" s="2">
        <v>705041.48755823204</v>
      </c>
    </row>
    <row r="593" spans="1:42" ht="14.5" x14ac:dyDescent="0.35">
      <c r="A593" s="2" t="s">
        <v>4101</v>
      </c>
      <c r="B593" s="2">
        <v>508.43595875220399</v>
      </c>
      <c r="C593" s="2">
        <v>12.9343166666667</v>
      </c>
      <c r="D593" s="2" t="s">
        <v>34</v>
      </c>
      <c r="E593" s="2" t="s">
        <v>4102</v>
      </c>
      <c r="F593" s="2">
        <v>44638</v>
      </c>
      <c r="G593" s="3" t="str">
        <f>HYPERLINK("http://funmeta.oebiotech.com/network/44638", "http://funmeta.oebiotech.com/network/44638")</f>
        <v>http://funmeta.oebiotech.com/network/44638</v>
      </c>
      <c r="H593" s="2"/>
      <c r="I593" s="2">
        <v>84262</v>
      </c>
      <c r="J593" s="2" t="s">
        <v>4103</v>
      </c>
      <c r="K593" s="2"/>
      <c r="L593" s="2"/>
      <c r="M593" s="2"/>
      <c r="N593" s="2"/>
      <c r="O593" s="2">
        <v>52931490</v>
      </c>
      <c r="P593" s="2"/>
      <c r="Q593" s="2" t="s">
        <v>4104</v>
      </c>
      <c r="R593" s="2" t="s">
        <v>4105</v>
      </c>
      <c r="S593" s="2" t="s">
        <v>50</v>
      </c>
      <c r="T593" s="2" t="s">
        <v>124</v>
      </c>
      <c r="U593" s="2" t="s">
        <v>2789</v>
      </c>
      <c r="V593" s="2" t="s">
        <v>42</v>
      </c>
      <c r="W593" s="2">
        <v>51.1</v>
      </c>
      <c r="X593" s="2">
        <v>60.5</v>
      </c>
      <c r="Y593" s="2" t="s">
        <v>43</v>
      </c>
      <c r="Z593" s="2" t="s">
        <v>4106</v>
      </c>
      <c r="AA593" s="2">
        <v>-0.15698912871947901</v>
      </c>
      <c r="AB593" s="2">
        <v>1.11859288663127</v>
      </c>
      <c r="AC593" s="2">
        <v>102783.71057646599</v>
      </c>
      <c r="AD593" s="2">
        <v>18822.509461226698</v>
      </c>
      <c r="AE593" s="2">
        <v>103897.027094319</v>
      </c>
      <c r="AF593" s="2">
        <v>88112.347710280999</v>
      </c>
      <c r="AG593" s="2">
        <v>92123.704954202898</v>
      </c>
      <c r="AH593" s="2">
        <v>114763.893586372</v>
      </c>
      <c r="AI593" s="2">
        <v>98789.684014726503</v>
      </c>
      <c r="AJ593" s="2">
        <v>119015.60609889599</v>
      </c>
      <c r="AK593" s="2">
        <v>30375.536538089698</v>
      </c>
      <c r="AL593" s="2">
        <v>21208.943916362401</v>
      </c>
      <c r="AM593" s="2">
        <v>17148.254947390498</v>
      </c>
      <c r="AN593" s="2">
        <v>17955.603021570601</v>
      </c>
      <c r="AO593" s="2">
        <v>14298.6445299846</v>
      </c>
      <c r="AP593" s="2">
        <v>11948.073813962599</v>
      </c>
    </row>
    <row r="594" spans="1:42" ht="14.5" x14ac:dyDescent="0.35">
      <c r="A594" s="2" t="s">
        <v>4107</v>
      </c>
      <c r="B594" s="2">
        <v>533.23766614111696</v>
      </c>
      <c r="C594" s="2">
        <v>7.0129666666666699</v>
      </c>
      <c r="D594" s="2" t="s">
        <v>34</v>
      </c>
      <c r="E594" s="2" t="s">
        <v>4108</v>
      </c>
      <c r="F594" s="2">
        <v>10368</v>
      </c>
      <c r="G594" s="3" t="str">
        <f>HYPERLINK("http://funmeta.oebiotech.com/network/10368", "http://funmeta.oebiotech.com/network/10368")</f>
        <v>http://funmeta.oebiotech.com/network/10368</v>
      </c>
      <c r="H594" s="2"/>
      <c r="I594" s="2"/>
      <c r="J594" s="2" t="s">
        <v>4109</v>
      </c>
      <c r="K594" s="2">
        <v>79303</v>
      </c>
      <c r="L594" s="2"/>
      <c r="M594" s="2"/>
      <c r="N594" s="2"/>
      <c r="O594" s="2">
        <v>86289878</v>
      </c>
      <c r="P594" s="2"/>
      <c r="Q594" s="2" t="s">
        <v>4110</v>
      </c>
      <c r="R594" s="2" t="s">
        <v>4111</v>
      </c>
      <c r="S594" s="2" t="s">
        <v>50</v>
      </c>
      <c r="T594" s="2" t="s">
        <v>229</v>
      </c>
      <c r="U594" s="2" t="s">
        <v>230</v>
      </c>
      <c r="V594" s="2" t="s">
        <v>42</v>
      </c>
      <c r="W594" s="2">
        <v>48.3</v>
      </c>
      <c r="X594" s="2">
        <v>52.6</v>
      </c>
      <c r="Y594" s="2" t="s">
        <v>340</v>
      </c>
      <c r="Z594" s="2" t="s">
        <v>4112</v>
      </c>
      <c r="AA594" s="2">
        <v>3.6334172872733999</v>
      </c>
      <c r="AB594" s="2">
        <v>1.11812542416639</v>
      </c>
      <c r="AC594" s="2">
        <v>112389.27792068401</v>
      </c>
      <c r="AD594" s="2">
        <v>28112.575109328202</v>
      </c>
      <c r="AE594" s="2">
        <v>99665.524577227799</v>
      </c>
      <c r="AF594" s="2">
        <v>109912.01656457801</v>
      </c>
      <c r="AG594" s="2">
        <v>124145.00415957</v>
      </c>
      <c r="AH594" s="2">
        <v>108405.653364992</v>
      </c>
      <c r="AI594" s="2">
        <v>99103.788383212202</v>
      </c>
      <c r="AJ594" s="2">
        <v>133103.68047452401</v>
      </c>
      <c r="AK594" s="2">
        <v>41961.649852053197</v>
      </c>
      <c r="AL594" s="2">
        <v>36346.909335026801</v>
      </c>
      <c r="AM594" s="2">
        <v>21381.5448243748</v>
      </c>
      <c r="AN594" s="2">
        <v>19068.1694156634</v>
      </c>
      <c r="AO594" s="2">
        <v>24107.275027485201</v>
      </c>
      <c r="AP594" s="2">
        <v>25809.902201366</v>
      </c>
    </row>
    <row r="595" spans="1:42" ht="14.5" x14ac:dyDescent="0.35">
      <c r="A595" s="2" t="s">
        <v>4113</v>
      </c>
      <c r="B595" s="2">
        <v>404.24122627595602</v>
      </c>
      <c r="C595" s="2">
        <v>5.0414166666666702</v>
      </c>
      <c r="D595" s="2" t="s">
        <v>34</v>
      </c>
      <c r="E595" s="2" t="s">
        <v>4114</v>
      </c>
      <c r="F595" s="2">
        <v>83726</v>
      </c>
      <c r="G595" s="3" t="str">
        <f>HYPERLINK("http://funmeta.oebiotech.com/network/83726", "http://funmeta.oebiotech.com/network/83726")</f>
        <v>http://funmeta.oebiotech.com/network/83726</v>
      </c>
      <c r="H595" s="2" t="s">
        <v>4115</v>
      </c>
      <c r="I595" s="2"/>
      <c r="J595" s="2"/>
      <c r="K595" s="2">
        <v>87821</v>
      </c>
      <c r="L595" s="2"/>
      <c r="M595" s="2"/>
      <c r="N595" s="2"/>
      <c r="O595" s="2">
        <v>6435438</v>
      </c>
      <c r="P595" s="2" t="s">
        <v>4116</v>
      </c>
      <c r="Q595" s="2" t="s">
        <v>4117</v>
      </c>
      <c r="R595" s="2" t="s">
        <v>4118</v>
      </c>
      <c r="S595" s="2" t="s">
        <v>50</v>
      </c>
      <c r="T595" s="2" t="s">
        <v>229</v>
      </c>
      <c r="U595" s="2" t="s">
        <v>766</v>
      </c>
      <c r="V595" s="2" t="s">
        <v>59</v>
      </c>
      <c r="W595" s="2">
        <v>37.4</v>
      </c>
      <c r="X595" s="2">
        <v>28.8</v>
      </c>
      <c r="Y595" s="2" t="s">
        <v>43</v>
      </c>
      <c r="Z595" s="2" t="s">
        <v>4119</v>
      </c>
      <c r="AA595" s="2">
        <v>-4.9799780187993301</v>
      </c>
      <c r="AB595" s="2">
        <v>1.11806578195657</v>
      </c>
      <c r="AC595" s="2">
        <v>320886.683748613</v>
      </c>
      <c r="AD595" s="2">
        <v>406428.12756981701</v>
      </c>
      <c r="AE595" s="2">
        <v>326855.50894300401</v>
      </c>
      <c r="AF595" s="2">
        <v>312647.264646645</v>
      </c>
      <c r="AG595" s="2">
        <v>331172.44028405799</v>
      </c>
      <c r="AH595" s="2">
        <v>330318.31338369398</v>
      </c>
      <c r="AI595" s="2">
        <v>319903.74198521301</v>
      </c>
      <c r="AJ595" s="2">
        <v>304422.83324906399</v>
      </c>
      <c r="AK595" s="2">
        <v>388655.70417701697</v>
      </c>
      <c r="AL595" s="2">
        <v>396963.061186751</v>
      </c>
      <c r="AM595" s="2">
        <v>427485.27546252101</v>
      </c>
      <c r="AN595" s="2">
        <v>409087.277102558</v>
      </c>
      <c r="AO595" s="2">
        <v>391923.65078576602</v>
      </c>
      <c r="AP595" s="2">
        <v>424453.79670429003</v>
      </c>
    </row>
    <row r="596" spans="1:42" ht="14.5" x14ac:dyDescent="0.35">
      <c r="A596" s="2" t="s">
        <v>4120</v>
      </c>
      <c r="B596" s="2">
        <v>319.13625813539801</v>
      </c>
      <c r="C596" s="2">
        <v>3.3278166666666702</v>
      </c>
      <c r="D596" s="2" t="s">
        <v>34</v>
      </c>
      <c r="E596" s="2" t="s">
        <v>4121</v>
      </c>
      <c r="F596" s="2">
        <v>206907</v>
      </c>
      <c r="G596" s="3" t="str">
        <f>HYPERLINK("http://funmeta.oebiotech.com/network/206907", "http://funmeta.oebiotech.com/network/206907")</f>
        <v>http://funmeta.oebiotech.com/network/206907</v>
      </c>
      <c r="H596" s="2" t="s">
        <v>4122</v>
      </c>
      <c r="I596" s="2">
        <v>72509</v>
      </c>
      <c r="J596" s="2"/>
      <c r="K596" s="2"/>
      <c r="L596" s="2" t="s">
        <v>4123</v>
      </c>
      <c r="M596" s="2"/>
      <c r="N596" s="2"/>
      <c r="O596" s="2">
        <v>91727</v>
      </c>
      <c r="P596" s="2" t="s">
        <v>4124</v>
      </c>
      <c r="Q596" s="2" t="s">
        <v>4125</v>
      </c>
      <c r="R596" s="2" t="s">
        <v>4126</v>
      </c>
      <c r="S596" s="2" t="s">
        <v>148</v>
      </c>
      <c r="T596" s="2" t="s">
        <v>149</v>
      </c>
      <c r="U596" s="2" t="s">
        <v>3473</v>
      </c>
      <c r="V596" s="2" t="s">
        <v>59</v>
      </c>
      <c r="W596" s="2">
        <v>38.200000000000003</v>
      </c>
      <c r="X596" s="2">
        <v>4.3600000000000003</v>
      </c>
      <c r="Y596" s="2" t="s">
        <v>43</v>
      </c>
      <c r="Z596" s="2" t="s">
        <v>4127</v>
      </c>
      <c r="AA596" s="2">
        <v>-0.78340545134114803</v>
      </c>
      <c r="AB596" s="2">
        <v>1.11749150937862</v>
      </c>
      <c r="AC596" s="2">
        <v>149576.49549148601</v>
      </c>
      <c r="AD596" s="2">
        <v>233143.34249188899</v>
      </c>
      <c r="AE596" s="2">
        <v>149352.641930201</v>
      </c>
      <c r="AF596" s="2">
        <v>152576.706800577</v>
      </c>
      <c r="AG596" s="2">
        <v>145243.48232186501</v>
      </c>
      <c r="AH596" s="2">
        <v>141993.62877860601</v>
      </c>
      <c r="AI596" s="2">
        <v>151470.654582535</v>
      </c>
      <c r="AJ596" s="2">
        <v>156821.85853513001</v>
      </c>
      <c r="AK596" s="2">
        <v>218039.87084913999</v>
      </c>
      <c r="AL596" s="2">
        <v>236006.21932608</v>
      </c>
      <c r="AM596" s="2">
        <v>223899.21584346</v>
      </c>
      <c r="AN596" s="2">
        <v>231938.15794982901</v>
      </c>
      <c r="AO596" s="2">
        <v>236894.49262445001</v>
      </c>
      <c r="AP596" s="2">
        <v>252082.09835837301</v>
      </c>
    </row>
    <row r="597" spans="1:42" ht="14.5" x14ac:dyDescent="0.35">
      <c r="A597" s="2" t="s">
        <v>4128</v>
      </c>
      <c r="B597" s="2">
        <v>458.38324900479898</v>
      </c>
      <c r="C597" s="2">
        <v>12.628716666666699</v>
      </c>
      <c r="D597" s="2" t="s">
        <v>34</v>
      </c>
      <c r="E597" s="2" t="s">
        <v>4129</v>
      </c>
      <c r="F597" s="2">
        <v>54693</v>
      </c>
      <c r="G597" s="3" t="str">
        <f>HYPERLINK("http://funmeta.oebiotech.com/network/54693", "http://funmeta.oebiotech.com/network/54693")</f>
        <v>http://funmeta.oebiotech.com/network/54693</v>
      </c>
      <c r="H597" s="2" t="s">
        <v>4130</v>
      </c>
      <c r="I597" s="2">
        <v>86511</v>
      </c>
      <c r="J597" s="2"/>
      <c r="K597" s="2">
        <v>172680</v>
      </c>
      <c r="L597" s="2"/>
      <c r="M597" s="2"/>
      <c r="N597" s="2"/>
      <c r="O597" s="2">
        <v>71308241</v>
      </c>
      <c r="P597" s="2" t="s">
        <v>4131</v>
      </c>
      <c r="Q597" s="2" t="s">
        <v>4132</v>
      </c>
      <c r="R597" s="2" t="s">
        <v>4133</v>
      </c>
      <c r="S597" s="2" t="s">
        <v>50</v>
      </c>
      <c r="T597" s="2" t="s">
        <v>229</v>
      </c>
      <c r="U597" s="2" t="s">
        <v>1283</v>
      </c>
      <c r="V597" s="2" t="s">
        <v>59</v>
      </c>
      <c r="W597" s="2">
        <v>39.6</v>
      </c>
      <c r="X597" s="2">
        <v>4.7300000000000004</v>
      </c>
      <c r="Y597" s="2" t="s">
        <v>43</v>
      </c>
      <c r="Z597" s="2" t="s">
        <v>4134</v>
      </c>
      <c r="AA597" s="2">
        <v>-1.7058295978748801</v>
      </c>
      <c r="AB597" s="2">
        <v>1.1152377650505001</v>
      </c>
      <c r="AC597" s="2">
        <v>289.84867547916201</v>
      </c>
      <c r="AD597" s="2">
        <v>83672.839085257205</v>
      </c>
      <c r="AE597" s="2">
        <v>72.232644041780503</v>
      </c>
      <c r="AF597" s="2">
        <v>254.75069053087299</v>
      </c>
      <c r="AG597" s="2">
        <v>439.87385055561998</v>
      </c>
      <c r="AH597" s="2">
        <v>361.68330908048102</v>
      </c>
      <c r="AI597" s="2">
        <v>253.43269194884499</v>
      </c>
      <c r="AJ597" s="2">
        <v>357.11886671737102</v>
      </c>
      <c r="AK597" s="2">
        <v>98656.635350039796</v>
      </c>
      <c r="AL597" s="2">
        <v>93714.148749974993</v>
      </c>
      <c r="AM597" s="2">
        <v>91004.000033115604</v>
      </c>
      <c r="AN597" s="2">
        <v>82273.346392295702</v>
      </c>
      <c r="AO597" s="2">
        <v>71781.463647746699</v>
      </c>
      <c r="AP597" s="2">
        <v>64607.440338370499</v>
      </c>
    </row>
    <row r="598" spans="1:42" ht="14.5" x14ac:dyDescent="0.35">
      <c r="A598" s="2" t="s">
        <v>4135</v>
      </c>
      <c r="B598" s="2">
        <v>435.22325780016598</v>
      </c>
      <c r="C598" s="2">
        <v>5.84148333333333</v>
      </c>
      <c r="D598" s="2" t="s">
        <v>70</v>
      </c>
      <c r="E598" s="2" t="s">
        <v>4136</v>
      </c>
      <c r="F598" s="2">
        <v>274629</v>
      </c>
      <c r="G598" s="3" t="str">
        <f>HYPERLINK("http://funmeta.oebiotech.com/network/274629", "http://funmeta.oebiotech.com/network/274629")</f>
        <v>http://funmeta.oebiotech.com/network/274629</v>
      </c>
      <c r="H598" s="2"/>
      <c r="I598" s="2">
        <v>64768</v>
      </c>
      <c r="J598" s="2"/>
      <c r="K598" s="2"/>
      <c r="L598" s="2" t="s">
        <v>4137</v>
      </c>
      <c r="M598" s="2"/>
      <c r="N598" s="2"/>
      <c r="O598" s="2">
        <v>13889849</v>
      </c>
      <c r="P598" s="2" t="s">
        <v>4138</v>
      </c>
      <c r="Q598" s="2" t="s">
        <v>4139</v>
      </c>
      <c r="R598" s="2" t="s">
        <v>4140</v>
      </c>
      <c r="S598" s="2" t="s">
        <v>89</v>
      </c>
      <c r="T598" s="2" t="s">
        <v>90</v>
      </c>
      <c r="U598" s="2" t="s">
        <v>99</v>
      </c>
      <c r="V598" s="2" t="s">
        <v>59</v>
      </c>
      <c r="W598" s="2">
        <v>38.9</v>
      </c>
      <c r="X598" s="2">
        <v>2.7</v>
      </c>
      <c r="Y598" s="2" t="s">
        <v>498</v>
      </c>
      <c r="Z598" s="2" t="s">
        <v>4141</v>
      </c>
      <c r="AA598" s="2">
        <v>-3.7836058214067898</v>
      </c>
      <c r="AB598" s="2">
        <v>1.1147584862331501</v>
      </c>
      <c r="AC598" s="2">
        <v>430470.48739210702</v>
      </c>
      <c r="AD598" s="2">
        <v>343284.78581723099</v>
      </c>
      <c r="AE598" s="2">
        <v>440213.33771097602</v>
      </c>
      <c r="AF598" s="2">
        <v>420738.38972911501</v>
      </c>
      <c r="AG598" s="2">
        <v>460533.51665979001</v>
      </c>
      <c r="AH598" s="2">
        <v>406686.70953373302</v>
      </c>
      <c r="AI598" s="2">
        <v>432574.18728310202</v>
      </c>
      <c r="AJ598" s="2">
        <v>422076.78343592398</v>
      </c>
      <c r="AK598" s="2">
        <v>331723.10361206299</v>
      </c>
      <c r="AL598" s="2">
        <v>345688.63156596402</v>
      </c>
      <c r="AM598" s="2">
        <v>352029.80638305203</v>
      </c>
      <c r="AN598" s="2">
        <v>372506.66362995299</v>
      </c>
      <c r="AO598" s="2">
        <v>330305.73419732501</v>
      </c>
      <c r="AP598" s="2">
        <v>327454.77551503101</v>
      </c>
    </row>
    <row r="599" spans="1:42" ht="14.5" x14ac:dyDescent="0.35">
      <c r="A599" s="2" t="s">
        <v>4142</v>
      </c>
      <c r="B599" s="2">
        <v>369.07984719810503</v>
      </c>
      <c r="C599" s="2">
        <v>0.96353333333333302</v>
      </c>
      <c r="D599" s="2" t="s">
        <v>70</v>
      </c>
      <c r="E599" s="2" t="s">
        <v>4143</v>
      </c>
      <c r="F599" s="2">
        <v>199808</v>
      </c>
      <c r="G599" s="3" t="str">
        <f>HYPERLINK("http://funmeta.oebiotech.com/network/199808", "http://funmeta.oebiotech.com/network/199808")</f>
        <v>http://funmeta.oebiotech.com/network/199808</v>
      </c>
      <c r="H599" s="2" t="s">
        <v>4144</v>
      </c>
      <c r="I599" s="2"/>
      <c r="J599" s="2"/>
      <c r="K599" s="2"/>
      <c r="L599" s="2"/>
      <c r="M599" s="2"/>
      <c r="N599" s="2"/>
      <c r="O599" s="2">
        <v>115249</v>
      </c>
      <c r="P599" s="2"/>
      <c r="Q599" s="2" t="s">
        <v>4145</v>
      </c>
      <c r="R599" s="2" t="s">
        <v>4146</v>
      </c>
      <c r="S599" s="2" t="s">
        <v>89</v>
      </c>
      <c r="T599" s="2" t="s">
        <v>90</v>
      </c>
      <c r="U599" s="2" t="s">
        <v>99</v>
      </c>
      <c r="V599" s="2" t="s">
        <v>59</v>
      </c>
      <c r="W599" s="2">
        <v>40.6</v>
      </c>
      <c r="X599" s="2">
        <v>10.6</v>
      </c>
      <c r="Y599" s="2" t="s">
        <v>560</v>
      </c>
      <c r="Z599" s="2" t="s">
        <v>4147</v>
      </c>
      <c r="AA599" s="2">
        <v>-0.50745904998858404</v>
      </c>
      <c r="AB599" s="2">
        <v>1.11377823881158</v>
      </c>
      <c r="AC599" s="2">
        <v>172844.04403727301</v>
      </c>
      <c r="AD599" s="2">
        <v>263555.015494088</v>
      </c>
      <c r="AE599" s="2">
        <v>159864.383833645</v>
      </c>
      <c r="AF599" s="2">
        <v>170772.58748530399</v>
      </c>
      <c r="AG599" s="2">
        <v>196851.853931394</v>
      </c>
      <c r="AH599" s="2">
        <v>179748.34890495599</v>
      </c>
      <c r="AI599" s="2">
        <v>178043.39519538099</v>
      </c>
      <c r="AJ599" s="2">
        <v>151783.694872956</v>
      </c>
      <c r="AK599" s="2">
        <v>276383.85695687798</v>
      </c>
      <c r="AL599" s="2">
        <v>249330.54929538601</v>
      </c>
      <c r="AM599" s="2">
        <v>222398.975658051</v>
      </c>
      <c r="AN599" s="2">
        <v>248625.468179113</v>
      </c>
      <c r="AO599" s="2">
        <v>311373.21262258303</v>
      </c>
      <c r="AP599" s="2">
        <v>273218.03025251598</v>
      </c>
    </row>
    <row r="600" spans="1:42" ht="14.5" x14ac:dyDescent="0.35">
      <c r="A600" s="2" t="s">
        <v>4148</v>
      </c>
      <c r="B600" s="2">
        <v>293.12413601305502</v>
      </c>
      <c r="C600" s="2">
        <v>3.6547999999999998</v>
      </c>
      <c r="D600" s="2" t="s">
        <v>70</v>
      </c>
      <c r="E600" s="2" t="s">
        <v>4149</v>
      </c>
      <c r="F600" s="2">
        <v>56174</v>
      </c>
      <c r="G600" s="3" t="str">
        <f>HYPERLINK("http://funmeta.oebiotech.com/network/56174", "http://funmeta.oebiotech.com/network/56174")</f>
        <v>http://funmeta.oebiotech.com/network/56174</v>
      </c>
      <c r="H600" s="2" t="s">
        <v>4150</v>
      </c>
      <c r="I600" s="2">
        <v>87869</v>
      </c>
      <c r="J600" s="2"/>
      <c r="K600" s="2">
        <v>168793</v>
      </c>
      <c r="L600" s="2"/>
      <c r="M600" s="2"/>
      <c r="N600" s="2"/>
      <c r="O600" s="2">
        <v>76463850</v>
      </c>
      <c r="P600" s="2"/>
      <c r="Q600" s="2" t="s">
        <v>4151</v>
      </c>
      <c r="R600" s="2" t="s">
        <v>4152</v>
      </c>
      <c r="S600" s="2" t="s">
        <v>50</v>
      </c>
      <c r="T600" s="2" t="s">
        <v>229</v>
      </c>
      <c r="U600" s="2" t="s">
        <v>230</v>
      </c>
      <c r="V600" s="2" t="s">
        <v>42</v>
      </c>
      <c r="W600" s="2">
        <v>51.9</v>
      </c>
      <c r="X600" s="2">
        <v>60.9</v>
      </c>
      <c r="Y600" s="2" t="s">
        <v>118</v>
      </c>
      <c r="Z600" s="2" t="s">
        <v>4153</v>
      </c>
      <c r="AA600" s="2">
        <v>-0.18772885843477799</v>
      </c>
      <c r="AB600" s="2">
        <v>1.1077403406759301</v>
      </c>
      <c r="AC600" s="2">
        <v>182762.35238633599</v>
      </c>
      <c r="AD600" s="2">
        <v>264845.11254584102</v>
      </c>
      <c r="AE600" s="2">
        <v>181161.25001748899</v>
      </c>
      <c r="AF600" s="2">
        <v>178987.01441505901</v>
      </c>
      <c r="AG600" s="2">
        <v>180527.91896280801</v>
      </c>
      <c r="AH600" s="2">
        <v>174253.708334244</v>
      </c>
      <c r="AI600" s="2">
        <v>188131.02109404301</v>
      </c>
      <c r="AJ600" s="2">
        <v>193513.20149437099</v>
      </c>
      <c r="AK600" s="2">
        <v>267192.76896693499</v>
      </c>
      <c r="AL600" s="2">
        <v>250486.819654714</v>
      </c>
      <c r="AM600" s="2">
        <v>269846.06275743502</v>
      </c>
      <c r="AN600" s="2">
        <v>267764.22553818702</v>
      </c>
      <c r="AO600" s="2">
        <v>253233.56889179</v>
      </c>
      <c r="AP600" s="2">
        <v>280547.22946598299</v>
      </c>
    </row>
    <row r="601" spans="1:42" ht="14.5" x14ac:dyDescent="0.35">
      <c r="A601" s="2" t="s">
        <v>4154</v>
      </c>
      <c r="B601" s="2">
        <v>566.36842364898803</v>
      </c>
      <c r="C601" s="2">
        <v>10.208399999999999</v>
      </c>
      <c r="D601" s="2" t="s">
        <v>34</v>
      </c>
      <c r="E601" s="2" t="s">
        <v>4155</v>
      </c>
      <c r="F601" s="2">
        <v>43777</v>
      </c>
      <c r="G601" s="3" t="str">
        <f>HYPERLINK("http://funmeta.oebiotech.com/network/43777", "http://funmeta.oebiotech.com/network/43777")</f>
        <v>http://funmeta.oebiotech.com/network/43777</v>
      </c>
      <c r="H601" s="2"/>
      <c r="I601" s="2"/>
      <c r="J601" s="2" t="s">
        <v>4156</v>
      </c>
      <c r="K601" s="2"/>
      <c r="L601" s="2"/>
      <c r="M601" s="2"/>
      <c r="N601" s="2"/>
      <c r="O601" s="2"/>
      <c r="P601" s="2"/>
      <c r="Q601" s="2" t="s">
        <v>4157</v>
      </c>
      <c r="R601" s="2" t="s">
        <v>4158</v>
      </c>
      <c r="S601" s="2" t="s">
        <v>50</v>
      </c>
      <c r="T601" s="2" t="s">
        <v>124</v>
      </c>
      <c r="U601" s="2" t="s">
        <v>3136</v>
      </c>
      <c r="V601" s="2" t="s">
        <v>59</v>
      </c>
      <c r="W601" s="2">
        <v>44.4</v>
      </c>
      <c r="X601" s="2">
        <v>25</v>
      </c>
      <c r="Y601" s="2" t="s">
        <v>43</v>
      </c>
      <c r="Z601" s="2" t="s">
        <v>4159</v>
      </c>
      <c r="AA601" s="2">
        <v>-0.58427220488691101</v>
      </c>
      <c r="AB601" s="2">
        <v>1.1071190954358101</v>
      </c>
      <c r="AC601" s="2">
        <v>99318.012992023694</v>
      </c>
      <c r="AD601" s="2">
        <v>18749.742924641901</v>
      </c>
      <c r="AE601" s="2">
        <v>98989.200172158598</v>
      </c>
      <c r="AF601" s="2">
        <v>96447.928333070595</v>
      </c>
      <c r="AG601" s="2">
        <v>104580.599996573</v>
      </c>
      <c r="AH601" s="2">
        <v>97912.603489389105</v>
      </c>
      <c r="AI601" s="2">
        <v>95609.507286716005</v>
      </c>
      <c r="AJ601" s="2">
        <v>102368.23867423501</v>
      </c>
      <c r="AK601" s="2">
        <v>18460.814424171502</v>
      </c>
      <c r="AL601" s="2">
        <v>23797.909674058901</v>
      </c>
      <c r="AM601" s="2">
        <v>16222.567674819</v>
      </c>
      <c r="AN601" s="2">
        <v>19830.3837699615</v>
      </c>
      <c r="AO601" s="2">
        <v>18647.114483520101</v>
      </c>
      <c r="AP601" s="2">
        <v>15539.6675213202</v>
      </c>
    </row>
    <row r="602" spans="1:42" ht="14.5" x14ac:dyDescent="0.35">
      <c r="A602" s="2" t="s">
        <v>4160</v>
      </c>
      <c r="B602" s="2">
        <v>329.087490709843</v>
      </c>
      <c r="C602" s="2">
        <v>3.14611666666667</v>
      </c>
      <c r="D602" s="2" t="s">
        <v>70</v>
      </c>
      <c r="E602" s="2" t="s">
        <v>4161</v>
      </c>
      <c r="F602" s="2">
        <v>63764</v>
      </c>
      <c r="G602" s="3" t="str">
        <f>HYPERLINK("http://funmeta.oebiotech.com/network/63764", "http://funmeta.oebiotech.com/network/63764")</f>
        <v>http://funmeta.oebiotech.com/network/63764</v>
      </c>
      <c r="H602" s="2" t="s">
        <v>4162</v>
      </c>
      <c r="I602" s="2">
        <v>95099</v>
      </c>
      <c r="J602" s="2"/>
      <c r="K602" s="2">
        <v>167941</v>
      </c>
      <c r="L602" s="2"/>
      <c r="M602" s="2"/>
      <c r="N602" s="2"/>
      <c r="O602" s="2">
        <v>85305084</v>
      </c>
      <c r="P602" s="2" t="s">
        <v>4163</v>
      </c>
      <c r="Q602" s="2" t="s">
        <v>4164</v>
      </c>
      <c r="R602" s="2" t="s">
        <v>4165</v>
      </c>
      <c r="S602" s="2" t="s">
        <v>79</v>
      </c>
      <c r="T602" s="2" t="s">
        <v>80</v>
      </c>
      <c r="U602" s="2" t="s">
        <v>81</v>
      </c>
      <c r="V602" s="2" t="s">
        <v>59</v>
      </c>
      <c r="W602" s="2">
        <v>45</v>
      </c>
      <c r="X602" s="2">
        <v>29</v>
      </c>
      <c r="Y602" s="2" t="s">
        <v>286</v>
      </c>
      <c r="Z602" s="2" t="s">
        <v>4166</v>
      </c>
      <c r="AA602" s="2">
        <v>-0.95430521098360199</v>
      </c>
      <c r="AB602" s="2">
        <v>1.10438316679242</v>
      </c>
      <c r="AC602" s="2">
        <v>227077.13301532899</v>
      </c>
      <c r="AD602" s="2">
        <v>145712.58317843499</v>
      </c>
      <c r="AE602" s="2">
        <v>238809.082677022</v>
      </c>
      <c r="AF602" s="2">
        <v>229532.186144771</v>
      </c>
      <c r="AG602" s="2">
        <v>230837.89018925201</v>
      </c>
      <c r="AH602" s="2">
        <v>217406.993237485</v>
      </c>
      <c r="AI602" s="2">
        <v>212336.21923851001</v>
      </c>
      <c r="AJ602" s="2">
        <v>233540.42660493599</v>
      </c>
      <c r="AK602" s="2">
        <v>137807.042051228</v>
      </c>
      <c r="AL602" s="2">
        <v>142937.65055742601</v>
      </c>
      <c r="AM602" s="2">
        <v>152960.51159444201</v>
      </c>
      <c r="AN602" s="2">
        <v>154949.22710730499</v>
      </c>
      <c r="AO602" s="2">
        <v>140499.291921581</v>
      </c>
      <c r="AP602" s="2">
        <v>145121.77583862701</v>
      </c>
    </row>
    <row r="603" spans="1:42" ht="14.5" x14ac:dyDescent="0.35">
      <c r="A603" s="2" t="s">
        <v>4167</v>
      </c>
      <c r="B603" s="2">
        <v>390.98910094318802</v>
      </c>
      <c r="C603" s="2">
        <v>1.1107833333333299</v>
      </c>
      <c r="D603" s="2" t="s">
        <v>70</v>
      </c>
      <c r="E603" s="2" t="s">
        <v>4168</v>
      </c>
      <c r="F603" s="2">
        <v>202135</v>
      </c>
      <c r="G603" s="3" t="str">
        <f>HYPERLINK("http://funmeta.oebiotech.com/network/202135", "http://funmeta.oebiotech.com/network/202135")</f>
        <v>http://funmeta.oebiotech.com/network/202135</v>
      </c>
      <c r="H603" s="2" t="s">
        <v>4169</v>
      </c>
      <c r="I603" s="2"/>
      <c r="J603" s="2"/>
      <c r="K603" s="2">
        <v>93817</v>
      </c>
      <c r="L603" s="2"/>
      <c r="M603" s="2"/>
      <c r="N603" s="2"/>
      <c r="O603" s="2">
        <v>1830</v>
      </c>
      <c r="P603" s="2"/>
      <c r="Q603" s="2" t="s">
        <v>4170</v>
      </c>
      <c r="R603" s="2" t="s">
        <v>4171</v>
      </c>
      <c r="S603" s="2" t="s">
        <v>1444</v>
      </c>
      <c r="T603" s="2" t="s">
        <v>4172</v>
      </c>
      <c r="U603" s="2" t="s">
        <v>41</v>
      </c>
      <c r="V603" s="2" t="s">
        <v>59</v>
      </c>
      <c r="W603" s="2">
        <v>38.799999999999997</v>
      </c>
      <c r="X603" s="2">
        <v>1.27</v>
      </c>
      <c r="Y603" s="2" t="s">
        <v>118</v>
      </c>
      <c r="Z603" s="2" t="s">
        <v>4173</v>
      </c>
      <c r="AA603" s="2">
        <v>-4.5294579809217899</v>
      </c>
      <c r="AB603" s="2">
        <v>1.0984253463004601</v>
      </c>
      <c r="AC603" s="2">
        <v>509319.749866269</v>
      </c>
      <c r="AD603" s="2">
        <v>613656.54930184397</v>
      </c>
      <c r="AE603" s="2">
        <v>521466.74391102698</v>
      </c>
      <c r="AF603" s="2">
        <v>507931.875420767</v>
      </c>
      <c r="AG603" s="2">
        <v>496371.98018300999</v>
      </c>
      <c r="AH603" s="2">
        <v>488001.52244205301</v>
      </c>
      <c r="AI603" s="2">
        <v>511720.91437731701</v>
      </c>
      <c r="AJ603" s="2">
        <v>530425.46286344295</v>
      </c>
      <c r="AK603" s="2">
        <v>657928.23466591805</v>
      </c>
      <c r="AL603" s="2">
        <v>636435.77604981</v>
      </c>
      <c r="AM603" s="2">
        <v>479172.33842256299</v>
      </c>
      <c r="AN603" s="2">
        <v>653191.94609807502</v>
      </c>
      <c r="AO603" s="2">
        <v>625098.03313715104</v>
      </c>
      <c r="AP603" s="2">
        <v>630112.96743754903</v>
      </c>
    </row>
    <row r="604" spans="1:42" ht="14.5" x14ac:dyDescent="0.35">
      <c r="A604" s="2" t="s">
        <v>4174</v>
      </c>
      <c r="B604" s="2">
        <v>682.35786283049902</v>
      </c>
      <c r="C604" s="2">
        <v>8.4168333333333294</v>
      </c>
      <c r="D604" s="2" t="s">
        <v>34</v>
      </c>
      <c r="E604" s="2" t="s">
        <v>4175</v>
      </c>
      <c r="F604" s="2">
        <v>203794</v>
      </c>
      <c r="G604" s="3" t="str">
        <f>HYPERLINK("http://funmeta.oebiotech.com/network/203794", "http://funmeta.oebiotech.com/network/203794")</f>
        <v>http://funmeta.oebiotech.com/network/203794</v>
      </c>
      <c r="H604" s="2" t="s">
        <v>4176</v>
      </c>
      <c r="I604" s="2"/>
      <c r="J604" s="2"/>
      <c r="K604" s="2"/>
      <c r="L604" s="2"/>
      <c r="M604" s="2"/>
      <c r="N604" s="2"/>
      <c r="O604" s="2">
        <v>85798446</v>
      </c>
      <c r="P604" s="2"/>
      <c r="Q604" s="2" t="s">
        <v>4177</v>
      </c>
      <c r="R604" s="2" t="s">
        <v>4178</v>
      </c>
      <c r="S604" s="2" t="s">
        <v>41</v>
      </c>
      <c r="T604" s="2" t="s">
        <v>41</v>
      </c>
      <c r="U604" s="2" t="s">
        <v>41</v>
      </c>
      <c r="V604" s="2" t="s">
        <v>59</v>
      </c>
      <c r="W604" s="2">
        <v>39.799999999999997</v>
      </c>
      <c r="X604" s="2">
        <v>4.1900000000000004</v>
      </c>
      <c r="Y604" s="2" t="s">
        <v>67</v>
      </c>
      <c r="Z604" s="2" t="s">
        <v>4179</v>
      </c>
      <c r="AA604" s="2">
        <v>2.89851787449556</v>
      </c>
      <c r="AB604" s="2">
        <v>1.09821760382301</v>
      </c>
      <c r="AC604" s="2">
        <v>3036559.7277081199</v>
      </c>
      <c r="AD604" s="2">
        <v>3156902.2268004199</v>
      </c>
      <c r="AE604" s="2">
        <v>3146363.2076741802</v>
      </c>
      <c r="AF604" s="2">
        <v>2953075.1757747</v>
      </c>
      <c r="AG604" s="2">
        <v>3019141.0667841602</v>
      </c>
      <c r="AH604" s="2">
        <v>2979823.1584892501</v>
      </c>
      <c r="AI604" s="2">
        <v>3010342.3409323702</v>
      </c>
      <c r="AJ604" s="2">
        <v>3110613.4165940401</v>
      </c>
      <c r="AK604" s="2">
        <v>3214276.2707750699</v>
      </c>
      <c r="AL604" s="2">
        <v>3157112.2766990801</v>
      </c>
      <c r="AM604" s="2">
        <v>3076285.9194019102</v>
      </c>
      <c r="AN604" s="2">
        <v>3090099.7353638699</v>
      </c>
      <c r="AO604" s="2">
        <v>3268340.9314328199</v>
      </c>
      <c r="AP604" s="2">
        <v>3135298.2271297602</v>
      </c>
    </row>
    <row r="605" spans="1:42" ht="14.5" x14ac:dyDescent="0.35">
      <c r="A605" s="2" t="s">
        <v>4180</v>
      </c>
      <c r="B605" s="2">
        <v>583.27594530440797</v>
      </c>
      <c r="C605" s="2">
        <v>5.2455499999999997</v>
      </c>
      <c r="D605" s="2" t="s">
        <v>70</v>
      </c>
      <c r="E605" s="2" t="s">
        <v>4181</v>
      </c>
      <c r="F605" s="2">
        <v>44664</v>
      </c>
      <c r="G605" s="3" t="str">
        <f>HYPERLINK("http://funmeta.oebiotech.com/network/44664", "http://funmeta.oebiotech.com/network/44664")</f>
        <v>http://funmeta.oebiotech.com/network/44664</v>
      </c>
      <c r="H605" s="2" t="s">
        <v>4182</v>
      </c>
      <c r="I605" s="2">
        <v>1670</v>
      </c>
      <c r="J605" s="2" t="s">
        <v>4183</v>
      </c>
      <c r="K605" s="2">
        <v>472805</v>
      </c>
      <c r="L605" s="2" t="s">
        <v>4184</v>
      </c>
      <c r="M605" s="2" t="s">
        <v>4185</v>
      </c>
      <c r="N605" s="2" t="s">
        <v>4186</v>
      </c>
      <c r="O605" s="2">
        <v>52931492</v>
      </c>
      <c r="P605" s="2" t="s">
        <v>4187</v>
      </c>
      <c r="Q605" s="2" t="s">
        <v>4188</v>
      </c>
      <c r="R605" s="2" t="s">
        <v>4189</v>
      </c>
      <c r="S605" s="2" t="s">
        <v>50</v>
      </c>
      <c r="T605" s="2" t="s">
        <v>124</v>
      </c>
      <c r="U605" s="2" t="s">
        <v>567</v>
      </c>
      <c r="V605" s="2" t="s">
        <v>42</v>
      </c>
      <c r="W605" s="2">
        <v>53.7</v>
      </c>
      <c r="X605" s="2">
        <v>76.400000000000006</v>
      </c>
      <c r="Y605" s="2" t="s">
        <v>118</v>
      </c>
      <c r="Z605" s="2" t="s">
        <v>4190</v>
      </c>
      <c r="AA605" s="2">
        <v>-9.4319646197465107E-2</v>
      </c>
      <c r="AB605" s="2">
        <v>1.09633911334868</v>
      </c>
      <c r="AC605" s="2">
        <v>321485.26337106503</v>
      </c>
      <c r="AD605" s="2">
        <v>239464.01031051899</v>
      </c>
      <c r="AE605" s="2">
        <v>333817.29675959097</v>
      </c>
      <c r="AF605" s="2">
        <v>312775.24765745102</v>
      </c>
      <c r="AG605" s="2">
        <v>314244.62079744</v>
      </c>
      <c r="AH605" s="2">
        <v>328733.06986784103</v>
      </c>
      <c r="AI605" s="2">
        <v>313610.454781787</v>
      </c>
      <c r="AJ605" s="2">
        <v>325730.89036227902</v>
      </c>
      <c r="AK605" s="2">
        <v>220960.379494066</v>
      </c>
      <c r="AL605" s="2">
        <v>265572.36578614998</v>
      </c>
      <c r="AM605" s="2">
        <v>240790.52832933699</v>
      </c>
      <c r="AN605" s="2">
        <v>245830.16535733099</v>
      </c>
      <c r="AO605" s="2">
        <v>239002.717041025</v>
      </c>
      <c r="AP605" s="2">
        <v>224627.90585520599</v>
      </c>
    </row>
    <row r="606" spans="1:42" ht="14.5" x14ac:dyDescent="0.35">
      <c r="A606" s="2" t="s">
        <v>4191</v>
      </c>
      <c r="B606" s="2">
        <v>575.32497772520196</v>
      </c>
      <c r="C606" s="2">
        <v>5.6720833333333296</v>
      </c>
      <c r="D606" s="2" t="s">
        <v>34</v>
      </c>
      <c r="E606" s="2" t="s">
        <v>4192</v>
      </c>
      <c r="F606" s="2">
        <v>213184</v>
      </c>
      <c r="G606" s="3" t="str">
        <f>HYPERLINK("http://funmeta.oebiotech.com/network/213184", "http://funmeta.oebiotech.com/network/213184")</f>
        <v>http://funmeta.oebiotech.com/network/213184</v>
      </c>
      <c r="H606" s="2" t="s">
        <v>4193</v>
      </c>
      <c r="I606" s="2"/>
      <c r="J606" s="2"/>
      <c r="K606" s="2"/>
      <c r="L606" s="2"/>
      <c r="M606" s="2"/>
      <c r="N606" s="2"/>
      <c r="O606" s="2"/>
      <c r="P606" s="2"/>
      <c r="Q606" s="2" t="s">
        <v>4194</v>
      </c>
      <c r="R606" s="2" t="s">
        <v>4195</v>
      </c>
      <c r="S606" s="2" t="s">
        <v>89</v>
      </c>
      <c r="T606" s="2" t="s">
        <v>90</v>
      </c>
      <c r="U606" s="2" t="s">
        <v>99</v>
      </c>
      <c r="V606" s="2" t="s">
        <v>59</v>
      </c>
      <c r="W606" s="2">
        <v>37.200000000000003</v>
      </c>
      <c r="X606" s="2">
        <v>11.9</v>
      </c>
      <c r="Y606" s="2" t="s">
        <v>43</v>
      </c>
      <c r="Z606" s="2" t="s">
        <v>4196</v>
      </c>
      <c r="AA606" s="2">
        <v>1.86251400361533</v>
      </c>
      <c r="AB606" s="2">
        <v>1.0952158658412801</v>
      </c>
      <c r="AC606" s="2">
        <v>573391.83579419996</v>
      </c>
      <c r="AD606" s="2">
        <v>476823.42641456501</v>
      </c>
      <c r="AE606" s="2">
        <v>571998.364069334</v>
      </c>
      <c r="AF606" s="2">
        <v>533910.95692326198</v>
      </c>
      <c r="AG606" s="2">
        <v>555487.88969860005</v>
      </c>
      <c r="AH606" s="2">
        <v>640064.98560938705</v>
      </c>
      <c r="AI606" s="2">
        <v>610764.04444724601</v>
      </c>
      <c r="AJ606" s="2">
        <v>528124.774017371</v>
      </c>
      <c r="AK606" s="2">
        <v>477166.23084182403</v>
      </c>
      <c r="AL606" s="2">
        <v>446451.40634772799</v>
      </c>
      <c r="AM606" s="2">
        <v>520279.41852509603</v>
      </c>
      <c r="AN606" s="2">
        <v>485768.664166198</v>
      </c>
      <c r="AO606" s="2">
        <v>451411.959753551</v>
      </c>
      <c r="AP606" s="2">
        <v>479862.87885299098</v>
      </c>
    </row>
    <row r="607" spans="1:42" ht="14.5" x14ac:dyDescent="0.35">
      <c r="A607" s="2" t="s">
        <v>4197</v>
      </c>
      <c r="B607" s="2">
        <v>505.27686270905701</v>
      </c>
      <c r="C607" s="2">
        <v>6.2845833333333303</v>
      </c>
      <c r="D607" s="2" t="s">
        <v>34</v>
      </c>
      <c r="E607" s="2" t="s">
        <v>4198</v>
      </c>
      <c r="F607" s="2">
        <v>45801</v>
      </c>
      <c r="G607" s="3" t="str">
        <f>HYPERLINK("http://funmeta.oebiotech.com/network/45801", "http://funmeta.oebiotech.com/network/45801")</f>
        <v>http://funmeta.oebiotech.com/network/45801</v>
      </c>
      <c r="H607" s="2"/>
      <c r="I607" s="2">
        <v>42566</v>
      </c>
      <c r="J607" s="2" t="s">
        <v>4199</v>
      </c>
      <c r="K607" s="2"/>
      <c r="L607" s="2"/>
      <c r="M607" s="2"/>
      <c r="N607" s="2"/>
      <c r="O607" s="2">
        <v>24779635</v>
      </c>
      <c r="P607" s="2"/>
      <c r="Q607" s="2" t="s">
        <v>4200</v>
      </c>
      <c r="R607" s="2" t="s">
        <v>4201</v>
      </c>
      <c r="S607" s="2" t="s">
        <v>50</v>
      </c>
      <c r="T607" s="2" t="s">
        <v>124</v>
      </c>
      <c r="U607" s="2" t="s">
        <v>982</v>
      </c>
      <c r="V607" s="2" t="s">
        <v>59</v>
      </c>
      <c r="W607" s="2">
        <v>43.9</v>
      </c>
      <c r="X607" s="2">
        <v>39.700000000000003</v>
      </c>
      <c r="Y607" s="2" t="s">
        <v>1871</v>
      </c>
      <c r="Z607" s="2" t="s">
        <v>4202</v>
      </c>
      <c r="AA607" s="2">
        <v>4.5114845642443298</v>
      </c>
      <c r="AB607" s="2">
        <v>1.0937757906511001</v>
      </c>
      <c r="AC607" s="2">
        <v>1002599.5579213999</v>
      </c>
      <c r="AD607" s="2">
        <v>909923.60604560201</v>
      </c>
      <c r="AE607" s="2">
        <v>1024216.5019773199</v>
      </c>
      <c r="AF607" s="2">
        <v>1007606.98853823</v>
      </c>
      <c r="AG607" s="2">
        <v>1021275.45024513</v>
      </c>
      <c r="AH607" s="2">
        <v>980650.26072984806</v>
      </c>
      <c r="AI607" s="2">
        <v>993154.96089985105</v>
      </c>
      <c r="AJ607" s="2">
        <v>988693.18513802299</v>
      </c>
      <c r="AK607" s="2">
        <v>862050.60921917704</v>
      </c>
      <c r="AL607" s="2">
        <v>981834.84858972102</v>
      </c>
      <c r="AM607" s="2">
        <v>929134.88727096899</v>
      </c>
      <c r="AN607" s="2">
        <v>879421.122498399</v>
      </c>
      <c r="AO607" s="2">
        <v>912048.43217851501</v>
      </c>
      <c r="AP607" s="2">
        <v>895051.73651683098</v>
      </c>
    </row>
    <row r="608" spans="1:42" ht="14.5" x14ac:dyDescent="0.35">
      <c r="A608" s="2" t="s">
        <v>4203</v>
      </c>
      <c r="B608" s="2">
        <v>683.15848445378799</v>
      </c>
      <c r="C608" s="2">
        <v>4.0250666666666701</v>
      </c>
      <c r="D608" s="2" t="s">
        <v>70</v>
      </c>
      <c r="E608" s="2" t="s">
        <v>4204</v>
      </c>
      <c r="F608" s="2">
        <v>34545</v>
      </c>
      <c r="G608" s="3" t="str">
        <f>HYPERLINK("http://funmeta.oebiotech.com/network/34545", "http://funmeta.oebiotech.com/network/34545")</f>
        <v>http://funmeta.oebiotech.com/network/34545</v>
      </c>
      <c r="H608" s="2"/>
      <c r="I608" s="2"/>
      <c r="J608" s="2" t="s">
        <v>4205</v>
      </c>
      <c r="K608" s="2"/>
      <c r="L608" s="2"/>
      <c r="M608" s="2"/>
      <c r="N608" s="2"/>
      <c r="O608" s="2">
        <v>42607974</v>
      </c>
      <c r="P608" s="2"/>
      <c r="Q608" s="2" t="s">
        <v>4206</v>
      </c>
      <c r="R608" s="2" t="s">
        <v>4207</v>
      </c>
      <c r="S608" s="2" t="s">
        <v>115</v>
      </c>
      <c r="T608" s="2" t="s">
        <v>139</v>
      </c>
      <c r="U608" s="2" t="s">
        <v>140</v>
      </c>
      <c r="V608" s="2" t="s">
        <v>59</v>
      </c>
      <c r="W608" s="2">
        <v>39.700000000000003</v>
      </c>
      <c r="X608" s="2">
        <v>13.1</v>
      </c>
      <c r="Y608" s="2" t="s">
        <v>751</v>
      </c>
      <c r="Z608" s="2" t="s">
        <v>4208</v>
      </c>
      <c r="AA608" s="2">
        <v>-4.6626947199383402</v>
      </c>
      <c r="AB608" s="2">
        <v>1.0921248161771999</v>
      </c>
      <c r="AC608" s="2">
        <v>103804.604322802</v>
      </c>
      <c r="AD608" s="2">
        <v>184611.860524305</v>
      </c>
      <c r="AE608" s="2">
        <v>102418.159489727</v>
      </c>
      <c r="AF608" s="2">
        <v>100621.23696372499</v>
      </c>
      <c r="AG608" s="2">
        <v>107570.856691269</v>
      </c>
      <c r="AH608" s="2">
        <v>97804.606607379304</v>
      </c>
      <c r="AI608" s="2">
        <v>102279.27000609</v>
      </c>
      <c r="AJ608" s="2">
        <v>112133.49617862199</v>
      </c>
      <c r="AK608" s="2">
        <v>193138.62147041599</v>
      </c>
      <c r="AL608" s="2">
        <v>172071.166364668</v>
      </c>
      <c r="AM608" s="2">
        <v>194253.69616495201</v>
      </c>
      <c r="AN608" s="2">
        <v>163741.234704592</v>
      </c>
      <c r="AO608" s="2">
        <v>181124.399490335</v>
      </c>
      <c r="AP608" s="2">
        <v>203342.044950868</v>
      </c>
    </row>
    <row r="609" spans="1:42" ht="14.5" x14ac:dyDescent="0.35">
      <c r="A609" s="2" t="s">
        <v>4209</v>
      </c>
      <c r="B609" s="2">
        <v>133.01292859812099</v>
      </c>
      <c r="C609" s="2">
        <v>0.76995000000000002</v>
      </c>
      <c r="D609" s="2" t="s">
        <v>70</v>
      </c>
      <c r="E609" s="2" t="s">
        <v>4210</v>
      </c>
      <c r="F609" s="2">
        <v>257700</v>
      </c>
      <c r="G609" s="3" t="str">
        <f>HYPERLINK("http://funmeta.oebiotech.com/network/257700", "http://funmeta.oebiotech.com/network/257700")</f>
        <v>http://funmeta.oebiotech.com/network/257700</v>
      </c>
      <c r="H609" s="2" t="s">
        <v>4211</v>
      </c>
      <c r="I609" s="2">
        <v>118</v>
      </c>
      <c r="J609" s="2"/>
      <c r="K609" s="2"/>
      <c r="L609" s="2" t="s">
        <v>4212</v>
      </c>
      <c r="M609" s="2" t="s">
        <v>4213</v>
      </c>
      <c r="N609" s="2" t="s">
        <v>4214</v>
      </c>
      <c r="O609" s="2">
        <v>525</v>
      </c>
      <c r="P609" s="2" t="s">
        <v>4215</v>
      </c>
      <c r="Q609" s="2" t="s">
        <v>4216</v>
      </c>
      <c r="R609" s="2" t="s">
        <v>4217</v>
      </c>
      <c r="S609" s="2" t="s">
        <v>89</v>
      </c>
      <c r="T609" s="2" t="s">
        <v>4218</v>
      </c>
      <c r="U609" s="2" t="s">
        <v>4219</v>
      </c>
      <c r="V609" s="2" t="s">
        <v>42</v>
      </c>
      <c r="W609" s="2">
        <v>56.7</v>
      </c>
      <c r="X609" s="2">
        <v>94.3</v>
      </c>
      <c r="Y609" s="2" t="s">
        <v>792</v>
      </c>
      <c r="Z609" s="2" t="s">
        <v>4220</v>
      </c>
      <c r="AA609" s="2">
        <v>-9.8361820308912407</v>
      </c>
      <c r="AB609" s="2">
        <v>1.09099328878167</v>
      </c>
      <c r="AC609" s="2">
        <v>1669134.2742586799</v>
      </c>
      <c r="AD609" s="2">
        <v>1560611.6076871799</v>
      </c>
      <c r="AE609" s="2">
        <v>1802725.1053994601</v>
      </c>
      <c r="AF609" s="2">
        <v>1617263.5091550199</v>
      </c>
      <c r="AG609" s="2">
        <v>1606580.3790607499</v>
      </c>
      <c r="AH609" s="2">
        <v>1672570.00046236</v>
      </c>
      <c r="AI609" s="2">
        <v>1688600.4955619499</v>
      </c>
      <c r="AJ609" s="2">
        <v>1627066.1559125099</v>
      </c>
      <c r="AK609" s="2">
        <v>1607239.09225083</v>
      </c>
      <c r="AL609" s="2">
        <v>1523806.3871921501</v>
      </c>
      <c r="AM609" s="2">
        <v>1559070.2101724399</v>
      </c>
      <c r="AN609" s="2">
        <v>1524699.5734283801</v>
      </c>
      <c r="AO609" s="2">
        <v>1593047.45929284</v>
      </c>
      <c r="AP609" s="2">
        <v>1555806.9237864199</v>
      </c>
    </row>
    <row r="610" spans="1:42" ht="14.5" x14ac:dyDescent="0.35">
      <c r="A610" s="2" t="s">
        <v>4221</v>
      </c>
      <c r="B610" s="2">
        <v>569.260326529233</v>
      </c>
      <c r="C610" s="2">
        <v>6.2733666666666696</v>
      </c>
      <c r="D610" s="2" t="s">
        <v>70</v>
      </c>
      <c r="E610" s="2" t="s">
        <v>4222</v>
      </c>
      <c r="F610" s="2">
        <v>205205</v>
      </c>
      <c r="G610" s="3" t="str">
        <f>HYPERLINK("http://funmeta.oebiotech.com/network/205205", "http://funmeta.oebiotech.com/network/205205")</f>
        <v>http://funmeta.oebiotech.com/network/205205</v>
      </c>
      <c r="H610" s="2" t="s">
        <v>4223</v>
      </c>
      <c r="I610" s="2"/>
      <c r="J610" s="2"/>
      <c r="K610" s="2"/>
      <c r="L610" s="2"/>
      <c r="M610" s="2"/>
      <c r="N610" s="2"/>
      <c r="O610" s="2">
        <v>10052522</v>
      </c>
      <c r="P610" s="2"/>
      <c r="Q610" s="2" t="s">
        <v>4224</v>
      </c>
      <c r="R610" s="2" t="s">
        <v>4225</v>
      </c>
      <c r="S610" s="2" t="s">
        <v>41</v>
      </c>
      <c r="T610" s="2" t="s">
        <v>41</v>
      </c>
      <c r="U610" s="2" t="s">
        <v>41</v>
      </c>
      <c r="V610" s="2" t="s">
        <v>42</v>
      </c>
      <c r="W610" s="2">
        <v>49.3</v>
      </c>
      <c r="X610" s="2">
        <v>56.1</v>
      </c>
      <c r="Y610" s="2" t="s">
        <v>408</v>
      </c>
      <c r="Z610" s="2" t="s">
        <v>4226</v>
      </c>
      <c r="AA610" s="2">
        <v>-2.5964651111468999</v>
      </c>
      <c r="AB610" s="2">
        <v>1.0893370127589701</v>
      </c>
      <c r="AC610" s="2">
        <v>101692.56288130301</v>
      </c>
      <c r="AD610" s="2">
        <v>23396.642556825602</v>
      </c>
      <c r="AE610" s="2">
        <v>99523.715947104705</v>
      </c>
      <c r="AF610" s="2">
        <v>102076.434595078</v>
      </c>
      <c r="AG610" s="2">
        <v>108877.581456299</v>
      </c>
      <c r="AH610" s="2">
        <v>96498.657612289695</v>
      </c>
      <c r="AI610" s="2">
        <v>94350.261197348504</v>
      </c>
      <c r="AJ610" s="2">
        <v>108828.726479698</v>
      </c>
      <c r="AK610" s="2">
        <v>19547.528611493399</v>
      </c>
      <c r="AL610" s="2">
        <v>29300.299379099699</v>
      </c>
      <c r="AM610" s="2">
        <v>25625.674107275201</v>
      </c>
      <c r="AN610" s="2">
        <v>20370.188230663702</v>
      </c>
      <c r="AO610" s="2">
        <v>25635.876654518801</v>
      </c>
      <c r="AP610" s="2">
        <v>19900.2883579031</v>
      </c>
    </row>
    <row r="611" spans="1:42" ht="14.5" x14ac:dyDescent="0.35">
      <c r="A611" s="2" t="s">
        <v>4227</v>
      </c>
      <c r="B611" s="2">
        <v>713.26741851727502</v>
      </c>
      <c r="C611" s="2">
        <v>4.6673166666666699</v>
      </c>
      <c r="D611" s="2" t="s">
        <v>70</v>
      </c>
      <c r="E611" s="2" t="s">
        <v>4228</v>
      </c>
      <c r="F611" s="2">
        <v>60245</v>
      </c>
      <c r="G611" s="3" t="str">
        <f>HYPERLINK("http://funmeta.oebiotech.com/network/60245", "http://funmeta.oebiotech.com/network/60245")</f>
        <v>http://funmeta.oebiotech.com/network/60245</v>
      </c>
      <c r="H611" s="2" t="s">
        <v>4229</v>
      </c>
      <c r="I611" s="2">
        <v>91622</v>
      </c>
      <c r="J611" s="2"/>
      <c r="K611" s="2"/>
      <c r="L611" s="2"/>
      <c r="M611" s="2"/>
      <c r="N611" s="2"/>
      <c r="O611" s="2">
        <v>131752005</v>
      </c>
      <c r="P611" s="2"/>
      <c r="Q611" s="2" t="s">
        <v>4230</v>
      </c>
      <c r="R611" s="2" t="s">
        <v>4231</v>
      </c>
      <c r="S611" s="2" t="s">
        <v>115</v>
      </c>
      <c r="T611" s="2" t="s">
        <v>575</v>
      </c>
      <c r="U611" s="2" t="s">
        <v>4232</v>
      </c>
      <c r="V611" s="2" t="s">
        <v>42</v>
      </c>
      <c r="W611" s="2">
        <v>51.2</v>
      </c>
      <c r="X611" s="2">
        <v>62.6</v>
      </c>
      <c r="Y611" s="2" t="s">
        <v>408</v>
      </c>
      <c r="Z611" s="2" t="s">
        <v>4233</v>
      </c>
      <c r="AA611" s="2">
        <v>1.7881190759632599</v>
      </c>
      <c r="AB611" s="2">
        <v>1.0821027429324399</v>
      </c>
      <c r="AC611" s="2">
        <v>94725.176886071698</v>
      </c>
      <c r="AD611" s="2">
        <v>172729.45530217601</v>
      </c>
      <c r="AE611" s="2">
        <v>95380.206723527401</v>
      </c>
      <c r="AF611" s="2">
        <v>96167.886146409597</v>
      </c>
      <c r="AG611" s="2">
        <v>87466.732722851099</v>
      </c>
      <c r="AH611" s="2">
        <v>90520.986783087195</v>
      </c>
      <c r="AI611" s="2">
        <v>94688.471342438905</v>
      </c>
      <c r="AJ611" s="2">
        <v>104126.77759811599</v>
      </c>
      <c r="AK611" s="2">
        <v>168195.86380826699</v>
      </c>
      <c r="AL611" s="2">
        <v>170164.569132167</v>
      </c>
      <c r="AM611" s="2">
        <v>166748.083169928</v>
      </c>
      <c r="AN611" s="2">
        <v>181550.35786596101</v>
      </c>
      <c r="AO611" s="2">
        <v>163304.53865779901</v>
      </c>
      <c r="AP611" s="2">
        <v>186413.31917893299</v>
      </c>
    </row>
    <row r="612" spans="1:42" ht="14.5" x14ac:dyDescent="0.35">
      <c r="A612" s="2" t="s">
        <v>4234</v>
      </c>
      <c r="B612" s="2">
        <v>528.29596190423797</v>
      </c>
      <c r="C612" s="2">
        <v>6.0772000000000004</v>
      </c>
      <c r="D612" s="2" t="s">
        <v>34</v>
      </c>
      <c r="E612" s="2" t="s">
        <v>4235</v>
      </c>
      <c r="F612" s="2">
        <v>58467</v>
      </c>
      <c r="G612" s="3" t="str">
        <f>HYPERLINK("http://funmeta.oebiotech.com/network/58467", "http://funmeta.oebiotech.com/network/58467")</f>
        <v>http://funmeta.oebiotech.com/network/58467</v>
      </c>
      <c r="H612" s="2" t="s">
        <v>4236</v>
      </c>
      <c r="I612" s="2"/>
      <c r="J612" s="2"/>
      <c r="K612" s="2"/>
      <c r="L612" s="2" t="s">
        <v>4237</v>
      </c>
      <c r="M612" s="2"/>
      <c r="N612" s="2"/>
      <c r="O612" s="2">
        <v>5855402</v>
      </c>
      <c r="P612" s="2" t="s">
        <v>4238</v>
      </c>
      <c r="Q612" s="2" t="s">
        <v>4239</v>
      </c>
      <c r="R612" s="2" t="s">
        <v>4240</v>
      </c>
      <c r="S612" s="2" t="s">
        <v>89</v>
      </c>
      <c r="T612" s="2" t="s">
        <v>90</v>
      </c>
      <c r="U612" s="2" t="s">
        <v>99</v>
      </c>
      <c r="V612" s="2" t="s">
        <v>59</v>
      </c>
      <c r="W612" s="2">
        <v>40.1</v>
      </c>
      <c r="X612" s="2">
        <v>8.39</v>
      </c>
      <c r="Y612" s="2" t="s">
        <v>1115</v>
      </c>
      <c r="Z612" s="2" t="s">
        <v>4241</v>
      </c>
      <c r="AA612" s="2">
        <v>-1.7505930202689699</v>
      </c>
      <c r="AB612" s="2">
        <v>1.0809959179359201</v>
      </c>
      <c r="AC612" s="2">
        <v>79134.596534612501</v>
      </c>
      <c r="AD612" s="2">
        <v>156148.10267508501</v>
      </c>
      <c r="AE612" s="2">
        <v>75809.656304188102</v>
      </c>
      <c r="AF612" s="2">
        <v>76948.552005941703</v>
      </c>
      <c r="AG612" s="2">
        <v>79328.118846382597</v>
      </c>
      <c r="AH612" s="2">
        <v>73526.512732233401</v>
      </c>
      <c r="AI612" s="2">
        <v>86517.339586792295</v>
      </c>
      <c r="AJ612" s="2">
        <v>82677.399732136706</v>
      </c>
      <c r="AK612" s="2">
        <v>157139.62549422699</v>
      </c>
      <c r="AL612" s="2">
        <v>153498.359095355</v>
      </c>
      <c r="AM612" s="2">
        <v>164487.83500962501</v>
      </c>
      <c r="AN612" s="2">
        <v>154934.019735651</v>
      </c>
      <c r="AO612" s="2">
        <v>151866.413749014</v>
      </c>
      <c r="AP612" s="2">
        <v>154962.36296663599</v>
      </c>
    </row>
    <row r="613" spans="1:42" ht="14.5" x14ac:dyDescent="0.35">
      <c r="A613" s="2" t="s">
        <v>4242</v>
      </c>
      <c r="B613" s="2">
        <v>734.35075998875402</v>
      </c>
      <c r="C613" s="2">
        <v>8.2317499999999999</v>
      </c>
      <c r="D613" s="2" t="s">
        <v>34</v>
      </c>
      <c r="E613" s="2" t="s">
        <v>4243</v>
      </c>
      <c r="F613" s="2">
        <v>208462</v>
      </c>
      <c r="G613" s="3" t="str">
        <f>HYPERLINK("http://funmeta.oebiotech.com/network/208462", "http://funmeta.oebiotech.com/network/208462")</f>
        <v>http://funmeta.oebiotech.com/network/208462</v>
      </c>
      <c r="H613" s="2" t="s">
        <v>4244</v>
      </c>
      <c r="I613" s="2"/>
      <c r="J613" s="2"/>
      <c r="K613" s="2"/>
      <c r="L613" s="2"/>
      <c r="M613" s="2"/>
      <c r="N613" s="2"/>
      <c r="O613" s="2">
        <v>11399874</v>
      </c>
      <c r="P613" s="2"/>
      <c r="Q613" s="2" t="s">
        <v>4245</v>
      </c>
      <c r="R613" s="2" t="s">
        <v>4246</v>
      </c>
      <c r="S613" s="2" t="s">
        <v>1184</v>
      </c>
      <c r="T613" s="2" t="s">
        <v>3333</v>
      </c>
      <c r="U613" s="2" t="s">
        <v>3334</v>
      </c>
      <c r="V613" s="2" t="s">
        <v>59</v>
      </c>
      <c r="W613" s="2">
        <v>39.799999999999997</v>
      </c>
      <c r="X613" s="2">
        <v>7.61</v>
      </c>
      <c r="Y613" s="2" t="s">
        <v>43</v>
      </c>
      <c r="Z613" s="2" t="s">
        <v>4247</v>
      </c>
      <c r="AA613" s="2">
        <v>-3.8082100902777301</v>
      </c>
      <c r="AB613" s="2">
        <v>1.07891067604114</v>
      </c>
      <c r="AC613" s="2">
        <v>669957.584063794</v>
      </c>
      <c r="AD613" s="2">
        <v>758505.61576094199</v>
      </c>
      <c r="AE613" s="2">
        <v>653181.73865892901</v>
      </c>
      <c r="AF613" s="2">
        <v>717543.21679285704</v>
      </c>
      <c r="AG613" s="2">
        <v>669372.22873800201</v>
      </c>
      <c r="AH613" s="2">
        <v>649038.32120711601</v>
      </c>
      <c r="AI613" s="2">
        <v>650207.16494714201</v>
      </c>
      <c r="AJ613" s="2">
        <v>680402.83403872</v>
      </c>
      <c r="AK613" s="2">
        <v>748181.78930707602</v>
      </c>
      <c r="AL613" s="2">
        <v>771662.34049255005</v>
      </c>
      <c r="AM613" s="2">
        <v>810370.24018897396</v>
      </c>
      <c r="AN613" s="2">
        <v>757079.88964495505</v>
      </c>
      <c r="AO613" s="2">
        <v>731727.97837406397</v>
      </c>
      <c r="AP613" s="2">
        <v>732011.45655803196</v>
      </c>
    </row>
    <row r="614" spans="1:42" ht="14.5" x14ac:dyDescent="0.35">
      <c r="A614" s="2" t="s">
        <v>4248</v>
      </c>
      <c r="B614" s="2">
        <v>175.02381542292301</v>
      </c>
      <c r="C614" s="2">
        <v>4.7218999999999998</v>
      </c>
      <c r="D614" s="2" t="s">
        <v>70</v>
      </c>
      <c r="E614" s="2" t="s">
        <v>4249</v>
      </c>
      <c r="F614" s="2">
        <v>257716</v>
      </c>
      <c r="G614" s="3" t="str">
        <f>HYPERLINK("http://funmeta.oebiotech.com/network/257716", "http://funmeta.oebiotech.com/network/257716")</f>
        <v>http://funmeta.oebiotech.com/network/257716</v>
      </c>
      <c r="H614" s="2" t="s">
        <v>4250</v>
      </c>
      <c r="I614" s="2">
        <v>249</v>
      </c>
      <c r="J614" s="2"/>
      <c r="K614" s="2"/>
      <c r="L614" s="2" t="s">
        <v>4251</v>
      </c>
      <c r="M614" s="2" t="s">
        <v>4252</v>
      </c>
      <c r="N614" s="2" t="s">
        <v>4253</v>
      </c>
      <c r="O614" s="2">
        <v>5785</v>
      </c>
      <c r="P614" s="2" t="s">
        <v>4254</v>
      </c>
      <c r="Q614" s="2" t="s">
        <v>4255</v>
      </c>
      <c r="R614" s="2" t="s">
        <v>4256</v>
      </c>
      <c r="S614" s="2" t="s">
        <v>491</v>
      </c>
      <c r="T614" s="2" t="s">
        <v>2321</v>
      </c>
      <c r="U614" s="2" t="s">
        <v>2322</v>
      </c>
      <c r="V614" s="2" t="s">
        <v>42</v>
      </c>
      <c r="W614" s="2">
        <v>50.1</v>
      </c>
      <c r="X614" s="2">
        <v>58.9</v>
      </c>
      <c r="Y614" s="2" t="s">
        <v>118</v>
      </c>
      <c r="Z614" s="2" t="s">
        <v>4257</v>
      </c>
      <c r="AA614" s="2">
        <v>-5.6587353411369996</v>
      </c>
      <c r="AB614" s="2">
        <v>1.0780182008946499</v>
      </c>
      <c r="AC614" s="2">
        <v>109416.53870713001</v>
      </c>
      <c r="AD614" s="2">
        <v>186686.132676137</v>
      </c>
      <c r="AE614" s="2">
        <v>108624.039179286</v>
      </c>
      <c r="AF614" s="2">
        <v>100825.47989368399</v>
      </c>
      <c r="AG614" s="2">
        <v>102033.41236349499</v>
      </c>
      <c r="AH614" s="2">
        <v>120143.82339905501</v>
      </c>
      <c r="AI614" s="2">
        <v>113533.597246374</v>
      </c>
      <c r="AJ614" s="2">
        <v>111338.880160885</v>
      </c>
      <c r="AK614" s="2">
        <v>187642.52287418701</v>
      </c>
      <c r="AL614" s="2">
        <v>176984.47676701401</v>
      </c>
      <c r="AM614" s="2">
        <v>196134.568460009</v>
      </c>
      <c r="AN614" s="2">
        <v>180408.22956238</v>
      </c>
      <c r="AO614" s="2">
        <v>194655.66832118499</v>
      </c>
      <c r="AP614" s="2">
        <v>184291.33007204399</v>
      </c>
    </row>
    <row r="615" spans="1:42" ht="14.5" x14ac:dyDescent="0.35">
      <c r="A615" s="2" t="s">
        <v>4258</v>
      </c>
      <c r="B615" s="2">
        <v>345.16917811352698</v>
      </c>
      <c r="C615" s="2">
        <v>7.1174833333333298</v>
      </c>
      <c r="D615" s="2" t="s">
        <v>34</v>
      </c>
      <c r="E615" s="5" t="s">
        <v>4259</v>
      </c>
      <c r="F615" s="2">
        <v>257175</v>
      </c>
      <c r="G615" s="3" t="str">
        <f>HYPERLINK("http://funmeta.oebiotech.com/network/257175", "http://funmeta.oebiotech.com/network/257175")</f>
        <v>http://funmeta.oebiotech.com/network/257175</v>
      </c>
      <c r="H615" s="2" t="s">
        <v>4260</v>
      </c>
      <c r="I615" s="2"/>
      <c r="J615" s="2"/>
      <c r="K615" s="2"/>
      <c r="L615" s="2"/>
      <c r="M615" s="2"/>
      <c r="N615" s="2"/>
      <c r="O615" s="2">
        <v>14605565</v>
      </c>
      <c r="P615" s="2"/>
      <c r="Q615" s="2" t="s">
        <v>4261</v>
      </c>
      <c r="R615" s="2" t="s">
        <v>4262</v>
      </c>
      <c r="S615" s="2" t="s">
        <v>50</v>
      </c>
      <c r="T615" s="2" t="s">
        <v>201</v>
      </c>
      <c r="U615" s="2" t="s">
        <v>241</v>
      </c>
      <c r="V615" s="2" t="s">
        <v>42</v>
      </c>
      <c r="W615" s="2">
        <v>53.1</v>
      </c>
      <c r="X615" s="2">
        <v>72.7</v>
      </c>
      <c r="Y615" s="2" t="s">
        <v>141</v>
      </c>
      <c r="Z615" s="2" t="s">
        <v>4263</v>
      </c>
      <c r="AA615" s="2">
        <v>-1.303762933354</v>
      </c>
      <c r="AB615" s="2">
        <v>1.0765465106574399</v>
      </c>
      <c r="AC615" s="2">
        <v>178785.220796045</v>
      </c>
      <c r="AD615" s="2">
        <v>101907.304182839</v>
      </c>
      <c r="AE615" s="2">
        <v>184027.47694097101</v>
      </c>
      <c r="AF615" s="2">
        <v>177039.25535244</v>
      </c>
      <c r="AG615" s="2">
        <v>177148.04240410301</v>
      </c>
      <c r="AH615" s="2">
        <v>169147.64020609501</v>
      </c>
      <c r="AI615" s="2">
        <v>172340.08406295101</v>
      </c>
      <c r="AJ615" s="2">
        <v>193008.825809709</v>
      </c>
      <c r="AK615" s="2">
        <v>102456.296054989</v>
      </c>
      <c r="AL615" s="2">
        <v>100822.56453821799</v>
      </c>
      <c r="AM615" s="2">
        <v>106440.96068475</v>
      </c>
      <c r="AN615" s="2">
        <v>95506.771883655805</v>
      </c>
      <c r="AO615" s="2">
        <v>102602.425361513</v>
      </c>
      <c r="AP615" s="2">
        <v>103614.806573906</v>
      </c>
    </row>
    <row r="616" spans="1:42" ht="14.5" x14ac:dyDescent="0.35">
      <c r="A616" s="2" t="s">
        <v>4264</v>
      </c>
      <c r="B616" s="2">
        <v>389.19512836235702</v>
      </c>
      <c r="C616" s="2">
        <v>6.5547666666666702</v>
      </c>
      <c r="D616" s="2" t="s">
        <v>34</v>
      </c>
      <c r="E616" s="2" t="s">
        <v>4265</v>
      </c>
      <c r="F616" s="2">
        <v>208698</v>
      </c>
      <c r="G616" s="3" t="str">
        <f>HYPERLINK("http://funmeta.oebiotech.com/network/208698", "http://funmeta.oebiotech.com/network/208698")</f>
        <v>http://funmeta.oebiotech.com/network/208698</v>
      </c>
      <c r="H616" s="2" t="s">
        <v>4266</v>
      </c>
      <c r="I616" s="2"/>
      <c r="J616" s="2"/>
      <c r="K616" s="2"/>
      <c r="L616" s="2"/>
      <c r="M616" s="2"/>
      <c r="N616" s="2"/>
      <c r="O616" s="2"/>
      <c r="P616" s="2"/>
      <c r="Q616" s="2" t="s">
        <v>4267</v>
      </c>
      <c r="R616" s="2" t="s">
        <v>4268</v>
      </c>
      <c r="S616" s="2" t="s">
        <v>50</v>
      </c>
      <c r="T616" s="2" t="s">
        <v>124</v>
      </c>
      <c r="U616" s="2" t="s">
        <v>929</v>
      </c>
      <c r="V616" s="2" t="s">
        <v>42</v>
      </c>
      <c r="W616" s="2">
        <v>53.4</v>
      </c>
      <c r="X616" s="2">
        <v>76.5</v>
      </c>
      <c r="Y616" s="2" t="s">
        <v>394</v>
      </c>
      <c r="Z616" s="2" t="s">
        <v>4269</v>
      </c>
      <c r="AA616" s="2">
        <v>-1.89775017716197</v>
      </c>
      <c r="AB616" s="2">
        <v>1.0756989521153499</v>
      </c>
      <c r="AC616" s="2">
        <v>189772.60837456401</v>
      </c>
      <c r="AD616" s="2">
        <v>111560.997215731</v>
      </c>
      <c r="AE616" s="2">
        <v>207154.11968526299</v>
      </c>
      <c r="AF616" s="2">
        <v>186037.725986515</v>
      </c>
      <c r="AG616" s="2">
        <v>191282.780731901</v>
      </c>
      <c r="AH616" s="2">
        <v>195918.327516238</v>
      </c>
      <c r="AI616" s="2">
        <v>174049.17637146101</v>
      </c>
      <c r="AJ616" s="2">
        <v>184193.519956003</v>
      </c>
      <c r="AK616" s="2">
        <v>105745.901900508</v>
      </c>
      <c r="AL616" s="2">
        <v>131910.19888430001</v>
      </c>
      <c r="AM616" s="2">
        <v>101257.432538466</v>
      </c>
      <c r="AN616" s="2">
        <v>108295.989369216</v>
      </c>
      <c r="AO616" s="2">
        <v>117563.34415840999</v>
      </c>
      <c r="AP616" s="2">
        <v>104593.116443483</v>
      </c>
    </row>
    <row r="617" spans="1:42" ht="14.5" x14ac:dyDescent="0.35">
      <c r="A617" s="2" t="s">
        <v>4270</v>
      </c>
      <c r="B617" s="2">
        <v>379.19694397173703</v>
      </c>
      <c r="C617" s="2">
        <v>4.7579333333333302</v>
      </c>
      <c r="D617" s="2" t="s">
        <v>70</v>
      </c>
      <c r="E617" s="2" t="s">
        <v>4271</v>
      </c>
      <c r="F617" s="2">
        <v>57469</v>
      </c>
      <c r="G617" s="3" t="str">
        <f>HYPERLINK("http://funmeta.oebiotech.com/network/57469", "http://funmeta.oebiotech.com/network/57469")</f>
        <v>http://funmeta.oebiotech.com/network/57469</v>
      </c>
      <c r="H617" s="2" t="s">
        <v>4272</v>
      </c>
      <c r="I617" s="2">
        <v>89085</v>
      </c>
      <c r="J617" s="2"/>
      <c r="K617" s="2">
        <v>168717</v>
      </c>
      <c r="L617" s="2"/>
      <c r="M617" s="2"/>
      <c r="N617" s="2"/>
      <c r="O617" s="2">
        <v>85197903</v>
      </c>
      <c r="P617" s="2" t="s">
        <v>4273</v>
      </c>
      <c r="Q617" s="2" t="s">
        <v>4274</v>
      </c>
      <c r="R617" s="2" t="s">
        <v>4275</v>
      </c>
      <c r="S617" s="2" t="s">
        <v>50</v>
      </c>
      <c r="T617" s="2" t="s">
        <v>229</v>
      </c>
      <c r="U617" s="2" t="s">
        <v>230</v>
      </c>
      <c r="V617" s="2" t="s">
        <v>42</v>
      </c>
      <c r="W617" s="2">
        <v>50.9</v>
      </c>
      <c r="X617" s="2">
        <v>59.1</v>
      </c>
      <c r="Y617" s="2" t="s">
        <v>408</v>
      </c>
      <c r="Z617" s="2" t="s">
        <v>4276</v>
      </c>
      <c r="AA617" s="2">
        <v>-1.23338817310257</v>
      </c>
      <c r="AB617" s="2">
        <v>1.0750991633473901</v>
      </c>
      <c r="AC617" s="2">
        <v>65269.8516297272</v>
      </c>
      <c r="AD617" s="2">
        <v>141278.335548923</v>
      </c>
      <c r="AE617" s="2">
        <v>66393.826848383804</v>
      </c>
      <c r="AF617" s="2">
        <v>64033.772425018302</v>
      </c>
      <c r="AG617" s="2">
        <v>69396.033839265699</v>
      </c>
      <c r="AH617" s="2">
        <v>62197.520189853101</v>
      </c>
      <c r="AI617" s="2">
        <v>65029.599874085798</v>
      </c>
      <c r="AJ617" s="2">
        <v>64568.356601756401</v>
      </c>
      <c r="AK617" s="2">
        <v>144190.714406079</v>
      </c>
      <c r="AL617" s="2">
        <v>135840.374074413</v>
      </c>
      <c r="AM617" s="2">
        <v>142770.118413894</v>
      </c>
      <c r="AN617" s="2">
        <v>140407.635254789</v>
      </c>
      <c r="AO617" s="2">
        <v>141149.227335348</v>
      </c>
      <c r="AP617" s="2">
        <v>143311.94380901201</v>
      </c>
    </row>
    <row r="618" spans="1:42" ht="14.5" x14ac:dyDescent="0.35">
      <c r="A618" s="2" t="s">
        <v>4277</v>
      </c>
      <c r="B618" s="2">
        <v>905.30526585313203</v>
      </c>
      <c r="C618" s="2">
        <v>6.6499833333333296</v>
      </c>
      <c r="D618" s="2" t="s">
        <v>70</v>
      </c>
      <c r="E618" s="2" t="s">
        <v>4278</v>
      </c>
      <c r="F618" s="2">
        <v>203823</v>
      </c>
      <c r="G618" s="3" t="str">
        <f>HYPERLINK("http://funmeta.oebiotech.com/network/203823", "http://funmeta.oebiotech.com/network/203823")</f>
        <v>http://funmeta.oebiotech.com/network/203823</v>
      </c>
      <c r="H618" s="2" t="s">
        <v>4279</v>
      </c>
      <c r="I618" s="2"/>
      <c r="J618" s="2"/>
      <c r="K618" s="2">
        <v>167652</v>
      </c>
      <c r="L618" s="2"/>
      <c r="M618" s="2"/>
      <c r="N618" s="2"/>
      <c r="O618" s="2">
        <v>10138980</v>
      </c>
      <c r="P618" s="2"/>
      <c r="Q618" s="2" t="s">
        <v>4280</v>
      </c>
      <c r="R618" s="2" t="s">
        <v>4281</v>
      </c>
      <c r="S618" s="2" t="s">
        <v>148</v>
      </c>
      <c r="T618" s="2" t="s">
        <v>149</v>
      </c>
      <c r="U618" s="2" t="s">
        <v>4282</v>
      </c>
      <c r="V618" s="2" t="s">
        <v>59</v>
      </c>
      <c r="W618" s="2">
        <v>36.4</v>
      </c>
      <c r="X618" s="2">
        <v>0</v>
      </c>
      <c r="Y618" s="2" t="s">
        <v>560</v>
      </c>
      <c r="Z618" s="2" t="s">
        <v>4283</v>
      </c>
      <c r="AA618" s="2">
        <v>-4.4961932400763702</v>
      </c>
      <c r="AB618" s="2">
        <v>1.07424782413943</v>
      </c>
      <c r="AC618" s="2">
        <v>114026.46537537299</v>
      </c>
      <c r="AD618" s="2">
        <v>190442.95991499801</v>
      </c>
      <c r="AE618" s="2">
        <v>112508.93078381001</v>
      </c>
      <c r="AF618" s="2">
        <v>109534.363995529</v>
      </c>
      <c r="AG618" s="2">
        <v>110812.832884199</v>
      </c>
      <c r="AH618" s="2">
        <v>120938.22915405199</v>
      </c>
      <c r="AI618" s="2">
        <v>114206.439598681</v>
      </c>
      <c r="AJ618" s="2">
        <v>116157.995835967</v>
      </c>
      <c r="AK618" s="2">
        <v>193652.825845713</v>
      </c>
      <c r="AL618" s="2">
        <v>180940.904890217</v>
      </c>
      <c r="AM618" s="2">
        <v>195908.449204923</v>
      </c>
      <c r="AN618" s="2">
        <v>182463.585244496</v>
      </c>
      <c r="AO618" s="2">
        <v>191297.10862406099</v>
      </c>
      <c r="AP618" s="2">
        <v>198394.885680579</v>
      </c>
    </row>
    <row r="619" spans="1:42" ht="14.5" x14ac:dyDescent="0.35">
      <c r="A619" s="2" t="s">
        <v>4284</v>
      </c>
      <c r="B619" s="2">
        <v>725.29191693916903</v>
      </c>
      <c r="C619" s="2">
        <v>10.436733333333301</v>
      </c>
      <c r="D619" s="2" t="s">
        <v>34</v>
      </c>
      <c r="E619" s="2" t="s">
        <v>4285</v>
      </c>
      <c r="F619" s="2">
        <v>206233</v>
      </c>
      <c r="G619" s="3" t="str">
        <f>HYPERLINK("http://funmeta.oebiotech.com/network/206233", "http://funmeta.oebiotech.com/network/206233")</f>
        <v>http://funmeta.oebiotech.com/network/206233</v>
      </c>
      <c r="H619" s="2" t="s">
        <v>4286</v>
      </c>
      <c r="I619" s="2"/>
      <c r="J619" s="2"/>
      <c r="K619" s="2"/>
      <c r="L619" s="2"/>
      <c r="M619" s="2"/>
      <c r="N619" s="2"/>
      <c r="O619" s="2">
        <v>4291056</v>
      </c>
      <c r="P619" s="2"/>
      <c r="Q619" s="2" t="s">
        <v>4287</v>
      </c>
      <c r="R619" s="2" t="s">
        <v>4288</v>
      </c>
      <c r="S619" s="2" t="s">
        <v>89</v>
      </c>
      <c r="T619" s="2" t="s">
        <v>90</v>
      </c>
      <c r="U619" s="2" t="s">
        <v>99</v>
      </c>
      <c r="V619" s="2" t="s">
        <v>59</v>
      </c>
      <c r="W619" s="2">
        <v>39.9</v>
      </c>
      <c r="X619" s="2">
        <v>4.55</v>
      </c>
      <c r="Y619" s="2" t="s">
        <v>340</v>
      </c>
      <c r="Z619" s="2" t="s">
        <v>4289</v>
      </c>
      <c r="AA619" s="2">
        <v>1.7734383009824199</v>
      </c>
      <c r="AB619" s="2">
        <v>1.0737671067828001</v>
      </c>
      <c r="AC619" s="2">
        <v>48938.107886292601</v>
      </c>
      <c r="AD619" s="2">
        <v>126663.633187769</v>
      </c>
      <c r="AE619" s="2">
        <v>44568.564136195899</v>
      </c>
      <c r="AF619" s="2">
        <v>48313.994041201098</v>
      </c>
      <c r="AG619" s="2">
        <v>47688.170008477398</v>
      </c>
      <c r="AH619" s="2">
        <v>48838.087381493802</v>
      </c>
      <c r="AI619" s="2">
        <v>48495.7855562603</v>
      </c>
      <c r="AJ619" s="2">
        <v>55724.046194126997</v>
      </c>
      <c r="AK619" s="2">
        <v>123571.51407466301</v>
      </c>
      <c r="AL619" s="2">
        <v>111314.086456238</v>
      </c>
      <c r="AM619" s="2">
        <v>153720.75066375901</v>
      </c>
      <c r="AN619" s="2">
        <v>123022.75696184899</v>
      </c>
      <c r="AO619" s="2">
        <v>123625.627140326</v>
      </c>
      <c r="AP619" s="2">
        <v>124727.063829776</v>
      </c>
    </row>
    <row r="620" spans="1:42" ht="14.5" x14ac:dyDescent="0.35">
      <c r="A620" s="2" t="s">
        <v>4290</v>
      </c>
      <c r="B620" s="2">
        <v>194.11753771073299</v>
      </c>
      <c r="C620" s="2">
        <v>4.0355999999999996</v>
      </c>
      <c r="D620" s="2" t="s">
        <v>34</v>
      </c>
      <c r="E620" s="2" t="s">
        <v>4291</v>
      </c>
      <c r="F620" s="2">
        <v>53023</v>
      </c>
      <c r="G620" s="3" t="str">
        <f>HYPERLINK("http://funmeta.oebiotech.com/network/53023", "http://funmeta.oebiotech.com/network/53023")</f>
        <v>http://funmeta.oebiotech.com/network/53023</v>
      </c>
      <c r="H620" s="2" t="s">
        <v>4292</v>
      </c>
      <c r="I620" s="2">
        <v>1198</v>
      </c>
      <c r="J620" s="2"/>
      <c r="K620" s="2">
        <v>6839</v>
      </c>
      <c r="L620" s="2" t="s">
        <v>4293</v>
      </c>
      <c r="M620" s="2"/>
      <c r="N620" s="2"/>
      <c r="O620" s="2">
        <v>6082</v>
      </c>
      <c r="P620" s="2" t="s">
        <v>4294</v>
      </c>
      <c r="Q620" s="2" t="s">
        <v>4295</v>
      </c>
      <c r="R620" s="2" t="s">
        <v>4296</v>
      </c>
      <c r="S620" s="2" t="s">
        <v>148</v>
      </c>
      <c r="T620" s="2" t="s">
        <v>149</v>
      </c>
      <c r="U620" s="2" t="s">
        <v>4297</v>
      </c>
      <c r="V620" s="2" t="s">
        <v>42</v>
      </c>
      <c r="W620" s="2">
        <v>51.6</v>
      </c>
      <c r="X620" s="2">
        <v>59.9</v>
      </c>
      <c r="Y620" s="2" t="s">
        <v>141</v>
      </c>
      <c r="Z620" s="2" t="s">
        <v>3188</v>
      </c>
      <c r="AA620" s="2">
        <v>-8.2644313696759994E-2</v>
      </c>
      <c r="AB620" s="2">
        <v>1.07354909890675</v>
      </c>
      <c r="AC620" s="2">
        <v>251891.660114506</v>
      </c>
      <c r="AD620" s="2">
        <v>174764.09111938099</v>
      </c>
      <c r="AE620" s="2">
        <v>245315.639508049</v>
      </c>
      <c r="AF620" s="2">
        <v>253002.457073325</v>
      </c>
      <c r="AG620" s="2">
        <v>259865.42054000101</v>
      </c>
      <c r="AH620" s="2">
        <v>247520.35670588701</v>
      </c>
      <c r="AI620" s="2">
        <v>240967.901949416</v>
      </c>
      <c r="AJ620" s="2">
        <v>264678.184910357</v>
      </c>
      <c r="AK620" s="2">
        <v>161097.74518777101</v>
      </c>
      <c r="AL620" s="2">
        <v>176974.858361597</v>
      </c>
      <c r="AM620" s="2">
        <v>184822.457388615</v>
      </c>
      <c r="AN620" s="2">
        <v>176925.967878803</v>
      </c>
      <c r="AO620" s="2">
        <v>179585.66791613001</v>
      </c>
      <c r="AP620" s="2">
        <v>169177.849983369</v>
      </c>
    </row>
    <row r="621" spans="1:42" ht="14.5" x14ac:dyDescent="0.35">
      <c r="A621" s="2" t="s">
        <v>4298</v>
      </c>
      <c r="B621" s="2">
        <v>427.35688429377302</v>
      </c>
      <c r="C621" s="2">
        <v>12.9343166666667</v>
      </c>
      <c r="D621" s="2" t="s">
        <v>34</v>
      </c>
      <c r="E621" s="2" t="s">
        <v>4299</v>
      </c>
      <c r="F621" s="2">
        <v>51880</v>
      </c>
      <c r="G621" s="3" t="str">
        <f>HYPERLINK("http://funmeta.oebiotech.com/network/51880", "http://funmeta.oebiotech.com/network/51880")</f>
        <v>http://funmeta.oebiotech.com/network/51880</v>
      </c>
      <c r="H621" s="2" t="s">
        <v>4300</v>
      </c>
      <c r="I621" s="2"/>
      <c r="J621" s="2"/>
      <c r="K621" s="2"/>
      <c r="L621" s="2"/>
      <c r="M621" s="2"/>
      <c r="N621" s="2"/>
      <c r="O621" s="2">
        <v>25200700</v>
      </c>
      <c r="P621" s="2"/>
      <c r="Q621" s="2" t="s">
        <v>4301</v>
      </c>
      <c r="R621" s="2" t="s">
        <v>4302</v>
      </c>
      <c r="S621" s="2" t="s">
        <v>50</v>
      </c>
      <c r="T621" s="2" t="s">
        <v>201</v>
      </c>
      <c r="U621" s="2" t="s">
        <v>210</v>
      </c>
      <c r="V621" s="2" t="s">
        <v>59</v>
      </c>
      <c r="W621" s="2">
        <v>46.2</v>
      </c>
      <c r="X621" s="2">
        <v>34.5</v>
      </c>
      <c r="Y621" s="2" t="s">
        <v>394</v>
      </c>
      <c r="Z621" s="2" t="s">
        <v>4303</v>
      </c>
      <c r="AA621" s="2">
        <v>-0.40542431420920999</v>
      </c>
      <c r="AB621" s="2">
        <v>1.0732335269102999</v>
      </c>
      <c r="AC621" s="2">
        <v>92744.2637891864</v>
      </c>
      <c r="AD621" s="2">
        <v>16104.9918900753</v>
      </c>
      <c r="AE621" s="2">
        <v>99846.060474190002</v>
      </c>
      <c r="AF621" s="2">
        <v>91451.198479517901</v>
      </c>
      <c r="AG621" s="2">
        <v>78714.0606041422</v>
      </c>
      <c r="AH621" s="2">
        <v>94985.828168637003</v>
      </c>
      <c r="AI621" s="2">
        <v>86087.473330921493</v>
      </c>
      <c r="AJ621" s="2">
        <v>105380.96167771</v>
      </c>
      <c r="AK621" s="2">
        <v>23588.779822457702</v>
      </c>
      <c r="AL621" s="2">
        <v>16166.914486413199</v>
      </c>
      <c r="AM621" s="2">
        <v>14618.039696456301</v>
      </c>
      <c r="AN621" s="2">
        <v>13856.0863007271</v>
      </c>
      <c r="AO621" s="2">
        <v>14625.017853177</v>
      </c>
      <c r="AP621" s="2">
        <v>13775.1131812207</v>
      </c>
    </row>
    <row r="622" spans="1:42" ht="14.5" x14ac:dyDescent="0.35">
      <c r="A622" s="2" t="s">
        <v>4304</v>
      </c>
      <c r="B622" s="2">
        <v>769.22929933523403</v>
      </c>
      <c r="C622" s="2">
        <v>6.7822666666666702</v>
      </c>
      <c r="D622" s="2" t="s">
        <v>70</v>
      </c>
      <c r="E622" s="2" t="s">
        <v>4305</v>
      </c>
      <c r="F622" s="2">
        <v>256546</v>
      </c>
      <c r="G622" s="3" t="str">
        <f>HYPERLINK("http://funmeta.oebiotech.com/network/256546", "http://funmeta.oebiotech.com/network/256546")</f>
        <v>http://funmeta.oebiotech.com/network/256546</v>
      </c>
      <c r="H622" s="2" t="s">
        <v>4306</v>
      </c>
      <c r="I622" s="2"/>
      <c r="J622" s="2"/>
      <c r="K622" s="2"/>
      <c r="L622" s="2"/>
      <c r="M622" s="2"/>
      <c r="N622" s="2"/>
      <c r="O622" s="2"/>
      <c r="P622" s="2"/>
      <c r="Q622" s="2" t="s">
        <v>4307</v>
      </c>
      <c r="R622" s="2" t="s">
        <v>4308</v>
      </c>
      <c r="S622" s="2" t="s">
        <v>79</v>
      </c>
      <c r="T622" s="2" t="s">
        <v>80</v>
      </c>
      <c r="U622" s="2" t="s">
        <v>81</v>
      </c>
      <c r="V622" s="2" t="s">
        <v>59</v>
      </c>
      <c r="W622" s="2">
        <v>36.799999999999997</v>
      </c>
      <c r="X622" s="2">
        <v>0</v>
      </c>
      <c r="Y622" s="2" t="s">
        <v>118</v>
      </c>
      <c r="Z622" s="2" t="s">
        <v>4309</v>
      </c>
      <c r="AA622" s="2">
        <v>-3.2073048462351399</v>
      </c>
      <c r="AB622" s="2">
        <v>1.0721594489763999</v>
      </c>
      <c r="AC622" s="2">
        <v>399306.777885649</v>
      </c>
      <c r="AD622" s="2">
        <v>321603.788455097</v>
      </c>
      <c r="AE622" s="2">
        <v>401606.01185041002</v>
      </c>
      <c r="AF622" s="2">
        <v>379220.59958866</v>
      </c>
      <c r="AG622" s="2">
        <v>416148.31340792298</v>
      </c>
      <c r="AH622" s="2">
        <v>395425.10452103801</v>
      </c>
      <c r="AI622" s="2">
        <v>401499.55249517399</v>
      </c>
      <c r="AJ622" s="2">
        <v>401941.08545069199</v>
      </c>
      <c r="AK622" s="2">
        <v>306960.759923996</v>
      </c>
      <c r="AL622" s="2">
        <v>325142.36280607898</v>
      </c>
      <c r="AM622" s="2">
        <v>326613.34054345603</v>
      </c>
      <c r="AN622" s="2">
        <v>328897.960361754</v>
      </c>
      <c r="AO622" s="2">
        <v>325429.06885271601</v>
      </c>
      <c r="AP622" s="2">
        <v>316579.23824257898</v>
      </c>
    </row>
    <row r="623" spans="1:42" ht="14.5" x14ac:dyDescent="0.35">
      <c r="A623" s="2" t="s">
        <v>4310</v>
      </c>
      <c r="B623" s="2">
        <v>979.52841548938204</v>
      </c>
      <c r="C623" s="2">
        <v>4.8836000000000004</v>
      </c>
      <c r="D623" s="2" t="s">
        <v>34</v>
      </c>
      <c r="E623" s="2" t="s">
        <v>4311</v>
      </c>
      <c r="F623" s="2">
        <v>226425</v>
      </c>
      <c r="G623" s="3" t="str">
        <f>HYPERLINK("http://funmeta.oebiotech.com/network/226425", "http://funmeta.oebiotech.com/network/226425")</f>
        <v>http://funmeta.oebiotech.com/network/226425</v>
      </c>
      <c r="H623" s="2" t="s">
        <v>4312</v>
      </c>
      <c r="I623" s="2"/>
      <c r="J623" s="2"/>
      <c r="K623" s="2"/>
      <c r="L623" s="2"/>
      <c r="M623" s="2"/>
      <c r="N623" s="2"/>
      <c r="O623" s="2"/>
      <c r="P623" s="2"/>
      <c r="Q623" s="2" t="s">
        <v>4313</v>
      </c>
      <c r="R623" s="2" t="s">
        <v>4314</v>
      </c>
      <c r="S623" s="2" t="s">
        <v>41</v>
      </c>
      <c r="T623" s="2" t="s">
        <v>41</v>
      </c>
      <c r="U623" s="2" t="s">
        <v>41</v>
      </c>
      <c r="V623" s="2" t="s">
        <v>59</v>
      </c>
      <c r="W623" s="2">
        <v>40.1</v>
      </c>
      <c r="X623" s="2">
        <v>7.31</v>
      </c>
      <c r="Y623" s="2" t="s">
        <v>250</v>
      </c>
      <c r="Z623" s="2" t="s">
        <v>4315</v>
      </c>
      <c r="AA623" s="2">
        <v>8.8734899773408801E-2</v>
      </c>
      <c r="AB623" s="2">
        <v>1.0717845355736599</v>
      </c>
      <c r="AC623" s="2">
        <v>2026748.3310648999</v>
      </c>
      <c r="AD623" s="2">
        <v>1906346.0347344</v>
      </c>
      <c r="AE623" s="2">
        <v>2073360.28899416</v>
      </c>
      <c r="AF623" s="2">
        <v>2084005.27346973</v>
      </c>
      <c r="AG623" s="2">
        <v>1996695.1740626099</v>
      </c>
      <c r="AH623" s="2">
        <v>2085938.8632694101</v>
      </c>
      <c r="AI623" s="2">
        <v>2038836.81549519</v>
      </c>
      <c r="AJ623" s="2">
        <v>1881653.5710983099</v>
      </c>
      <c r="AK623" s="2">
        <v>1821667.93845354</v>
      </c>
      <c r="AL623" s="2">
        <v>1853471.44560919</v>
      </c>
      <c r="AM623" s="2">
        <v>2060447.95419385</v>
      </c>
      <c r="AN623" s="2">
        <v>1908362.85086147</v>
      </c>
      <c r="AO623" s="2">
        <v>1872066.69810206</v>
      </c>
      <c r="AP623" s="2">
        <v>1922059.3211862801</v>
      </c>
    </row>
    <row r="624" spans="1:42" ht="14.5" x14ac:dyDescent="0.35">
      <c r="A624" s="2" t="s">
        <v>4316</v>
      </c>
      <c r="B624" s="2">
        <v>496.33941739559498</v>
      </c>
      <c r="C624" s="2">
        <v>10.5652666666667</v>
      </c>
      <c r="D624" s="2" t="s">
        <v>34</v>
      </c>
      <c r="E624" s="2" t="s">
        <v>4317</v>
      </c>
      <c r="F624" s="2">
        <v>19859</v>
      </c>
      <c r="G624" s="3" t="str">
        <f>HYPERLINK("http://funmeta.oebiotech.com/network/19859", "http://funmeta.oebiotech.com/network/19859")</f>
        <v>http://funmeta.oebiotech.com/network/19859</v>
      </c>
      <c r="H624" s="2" t="s">
        <v>4318</v>
      </c>
      <c r="I624" s="2">
        <v>40340</v>
      </c>
      <c r="J624" s="2" t="s">
        <v>4319</v>
      </c>
      <c r="K624" s="2">
        <v>76078</v>
      </c>
      <c r="L624" s="2"/>
      <c r="M624" s="2"/>
      <c r="N624" s="2"/>
      <c r="O624" s="2">
        <v>15061532</v>
      </c>
      <c r="P624" s="2" t="s">
        <v>4320</v>
      </c>
      <c r="Q624" s="2" t="s">
        <v>4321</v>
      </c>
      <c r="R624" s="2" t="s">
        <v>4322</v>
      </c>
      <c r="S624" s="2" t="s">
        <v>50</v>
      </c>
      <c r="T624" s="2" t="s">
        <v>51</v>
      </c>
      <c r="U624" s="2" t="s">
        <v>168</v>
      </c>
      <c r="V624" s="2" t="s">
        <v>42</v>
      </c>
      <c r="W624" s="2">
        <v>57.3</v>
      </c>
      <c r="X624" s="2">
        <v>89</v>
      </c>
      <c r="Y624" s="2" t="s">
        <v>67</v>
      </c>
      <c r="Z624" s="2" t="s">
        <v>4323</v>
      </c>
      <c r="AA624" s="2">
        <v>-0.70379317530147101</v>
      </c>
      <c r="AB624" s="2">
        <v>1.07166237298964</v>
      </c>
      <c r="AC624" s="2">
        <v>347421.78375726298</v>
      </c>
      <c r="AD624" s="2">
        <v>434410.84463370999</v>
      </c>
      <c r="AE624" s="2">
        <v>350077.34341689601</v>
      </c>
      <c r="AF624" s="2">
        <v>376610.80380881001</v>
      </c>
      <c r="AG624" s="2">
        <v>365922.332882002</v>
      </c>
      <c r="AH624" s="2">
        <v>309198.52032462001</v>
      </c>
      <c r="AI624" s="2">
        <v>337541.20966635097</v>
      </c>
      <c r="AJ624" s="2">
        <v>345180.49244489998</v>
      </c>
      <c r="AK624" s="2">
        <v>473665.892566227</v>
      </c>
      <c r="AL624" s="2">
        <v>437558.02741099102</v>
      </c>
      <c r="AM624" s="2">
        <v>406533.27321178198</v>
      </c>
      <c r="AN624" s="2">
        <v>414790.33012897702</v>
      </c>
      <c r="AO624" s="2">
        <v>408420.927316193</v>
      </c>
      <c r="AP624" s="2">
        <v>465496.617168091</v>
      </c>
    </row>
    <row r="625" spans="1:42" ht="14.5" x14ac:dyDescent="0.35">
      <c r="A625" s="2" t="s">
        <v>4324</v>
      </c>
      <c r="B625" s="2">
        <v>670.32276929262503</v>
      </c>
      <c r="C625" s="2">
        <v>6.0486166666666703</v>
      </c>
      <c r="D625" s="2" t="s">
        <v>70</v>
      </c>
      <c r="E625" s="2" t="s">
        <v>4325</v>
      </c>
      <c r="F625" s="2">
        <v>210928</v>
      </c>
      <c r="G625" s="3" t="str">
        <f>HYPERLINK("http://funmeta.oebiotech.com/network/210928", "http://funmeta.oebiotech.com/network/210928")</f>
        <v>http://funmeta.oebiotech.com/network/210928</v>
      </c>
      <c r="H625" s="2" t="s">
        <v>4326</v>
      </c>
      <c r="I625" s="2"/>
      <c r="J625" s="2"/>
      <c r="K625" s="2"/>
      <c r="L625" s="2"/>
      <c r="M625" s="2"/>
      <c r="N625" s="2"/>
      <c r="O625" s="2">
        <v>615942</v>
      </c>
      <c r="P625" s="2"/>
      <c r="Q625" s="2" t="s">
        <v>4327</v>
      </c>
      <c r="R625" s="2" t="s">
        <v>4328</v>
      </c>
      <c r="S625" s="2" t="s">
        <v>50</v>
      </c>
      <c r="T625" s="2" t="s">
        <v>201</v>
      </c>
      <c r="U625" s="2" t="s">
        <v>1217</v>
      </c>
      <c r="V625" s="2" t="s">
        <v>42</v>
      </c>
      <c r="W625" s="2">
        <v>51.2</v>
      </c>
      <c r="X625" s="2">
        <v>63.3</v>
      </c>
      <c r="Y625" s="2" t="s">
        <v>286</v>
      </c>
      <c r="Z625" s="2" t="s">
        <v>4329</v>
      </c>
      <c r="AA625" s="2">
        <v>-0.824635888606707</v>
      </c>
      <c r="AB625" s="2">
        <v>1.0702728240077399</v>
      </c>
      <c r="AC625" s="2">
        <v>312776.57536785898</v>
      </c>
      <c r="AD625" s="2">
        <v>395128.501177178</v>
      </c>
      <c r="AE625" s="2">
        <v>315842.78301029198</v>
      </c>
      <c r="AF625" s="2">
        <v>296348.39179931401</v>
      </c>
      <c r="AG625" s="2">
        <v>338113.87134510302</v>
      </c>
      <c r="AH625" s="2">
        <v>296155.88319519302</v>
      </c>
      <c r="AI625" s="2">
        <v>294210.37223748199</v>
      </c>
      <c r="AJ625" s="2">
        <v>335988.150619769</v>
      </c>
      <c r="AK625" s="2">
        <v>397906.881887683</v>
      </c>
      <c r="AL625" s="2">
        <v>404365.43972260901</v>
      </c>
      <c r="AM625" s="2">
        <v>398736.97513323702</v>
      </c>
      <c r="AN625" s="2">
        <v>422958.53973651503</v>
      </c>
      <c r="AO625" s="2">
        <v>378969.84497958003</v>
      </c>
      <c r="AP625" s="2">
        <v>367833.32560344401</v>
      </c>
    </row>
    <row r="626" spans="1:42" ht="14.5" x14ac:dyDescent="0.35">
      <c r="A626" s="2" t="s">
        <v>4330</v>
      </c>
      <c r="B626" s="2">
        <v>575.35457532945804</v>
      </c>
      <c r="C626" s="2">
        <v>11.924616666666701</v>
      </c>
      <c r="D626" s="2" t="s">
        <v>34</v>
      </c>
      <c r="E626" s="2" t="s">
        <v>4331</v>
      </c>
      <c r="F626" s="2">
        <v>60062</v>
      </c>
      <c r="G626" s="3" t="str">
        <f>HYPERLINK("http://funmeta.oebiotech.com/network/60062", "http://funmeta.oebiotech.com/network/60062")</f>
        <v>http://funmeta.oebiotech.com/network/60062</v>
      </c>
      <c r="H626" s="2" t="s">
        <v>4332</v>
      </c>
      <c r="I626" s="2">
        <v>91443</v>
      </c>
      <c r="J626" s="2"/>
      <c r="K626" s="2"/>
      <c r="L626" s="2"/>
      <c r="M626" s="2"/>
      <c r="N626" s="2"/>
      <c r="O626" s="2">
        <v>73801614</v>
      </c>
      <c r="P626" s="2" t="s">
        <v>4333</v>
      </c>
      <c r="Q626" s="2" t="s">
        <v>4334</v>
      </c>
      <c r="R626" s="2" t="s">
        <v>4335</v>
      </c>
      <c r="S626" s="2" t="s">
        <v>50</v>
      </c>
      <c r="T626" s="2" t="s">
        <v>124</v>
      </c>
      <c r="U626" s="2" t="s">
        <v>4336</v>
      </c>
      <c r="V626" s="2" t="s">
        <v>59</v>
      </c>
      <c r="W626" s="2">
        <v>37.1</v>
      </c>
      <c r="X626" s="2">
        <v>0</v>
      </c>
      <c r="Y626" s="2" t="s">
        <v>323</v>
      </c>
      <c r="Z626" s="2" t="s">
        <v>4337</v>
      </c>
      <c r="AA626" s="2">
        <v>-1.5641337811903999</v>
      </c>
      <c r="AB626" s="2">
        <v>1.06951473198619</v>
      </c>
      <c r="AC626" s="2">
        <v>129.17021667248301</v>
      </c>
      <c r="AD626" s="2">
        <v>76757.034655998505</v>
      </c>
      <c r="AE626" s="2">
        <v>182.39887625698199</v>
      </c>
      <c r="AF626" s="2">
        <v>0.67356726526487098</v>
      </c>
      <c r="AG626" s="2">
        <v>152.980926084846</v>
      </c>
      <c r="AH626" s="2">
        <v>127.46733419224201</v>
      </c>
      <c r="AI626" s="2">
        <v>73.929996699133895</v>
      </c>
      <c r="AJ626" s="2">
        <v>237.57059953642701</v>
      </c>
      <c r="AK626" s="2">
        <v>61624.444787135202</v>
      </c>
      <c r="AL626" s="2">
        <v>62544.694199110701</v>
      </c>
      <c r="AM626" s="2">
        <v>87537.034612000498</v>
      </c>
      <c r="AN626" s="2">
        <v>73636.783967305499</v>
      </c>
      <c r="AO626" s="2">
        <v>86629.203013580205</v>
      </c>
      <c r="AP626" s="2">
        <v>88570.047356858995</v>
      </c>
    </row>
    <row r="627" spans="1:42" ht="14.5" x14ac:dyDescent="0.35">
      <c r="A627" s="2" t="s">
        <v>4338</v>
      </c>
      <c r="B627" s="2">
        <v>777.40205812430997</v>
      </c>
      <c r="C627" s="2">
        <v>9.7086333333333297</v>
      </c>
      <c r="D627" s="2" t="s">
        <v>34</v>
      </c>
      <c r="E627" s="2" t="s">
        <v>4339</v>
      </c>
      <c r="F627" s="2">
        <v>55634</v>
      </c>
      <c r="G627" s="3" t="str">
        <f>HYPERLINK("http://funmeta.oebiotech.com/network/55634", "http://funmeta.oebiotech.com/network/55634")</f>
        <v>http://funmeta.oebiotech.com/network/55634</v>
      </c>
      <c r="H627" s="2" t="s">
        <v>4340</v>
      </c>
      <c r="I627" s="2">
        <v>87283</v>
      </c>
      <c r="J627" s="2"/>
      <c r="K627" s="2"/>
      <c r="L627" s="2"/>
      <c r="M627" s="2"/>
      <c r="N627" s="2"/>
      <c r="O627" s="2">
        <v>85272666</v>
      </c>
      <c r="P627" s="2" t="s">
        <v>4341</v>
      </c>
      <c r="Q627" s="2" t="s">
        <v>4342</v>
      </c>
      <c r="R627" s="2" t="s">
        <v>4343</v>
      </c>
      <c r="S627" s="2" t="s">
        <v>50</v>
      </c>
      <c r="T627" s="2" t="s">
        <v>124</v>
      </c>
      <c r="U627" s="2" t="s">
        <v>523</v>
      </c>
      <c r="V627" s="2" t="s">
        <v>59</v>
      </c>
      <c r="W627" s="2">
        <v>41</v>
      </c>
      <c r="X627" s="2">
        <v>15.7</v>
      </c>
      <c r="Y627" s="2" t="s">
        <v>470</v>
      </c>
      <c r="Z627" s="2" t="s">
        <v>4344</v>
      </c>
      <c r="AA627" s="2">
        <v>-1.4835593380413501</v>
      </c>
      <c r="AB627" s="2">
        <v>1.06573941690816</v>
      </c>
      <c r="AC627" s="2">
        <v>270864.02004721999</v>
      </c>
      <c r="AD627" s="2">
        <v>350748.59353510698</v>
      </c>
      <c r="AE627" s="2">
        <v>254666.596436689</v>
      </c>
      <c r="AF627" s="2">
        <v>242710.42920243801</v>
      </c>
      <c r="AG627" s="2">
        <v>271680.98786182498</v>
      </c>
      <c r="AH627" s="2">
        <v>279024.85292022303</v>
      </c>
      <c r="AI627" s="2">
        <v>277786.53311690199</v>
      </c>
      <c r="AJ627" s="2">
        <v>299314.72074524203</v>
      </c>
      <c r="AK627" s="2">
        <v>345839.76804977999</v>
      </c>
      <c r="AL627" s="2">
        <v>347339.03700067301</v>
      </c>
      <c r="AM627" s="2">
        <v>338768.110348063</v>
      </c>
      <c r="AN627" s="2">
        <v>337354.69100974803</v>
      </c>
      <c r="AO627" s="2">
        <v>371951.05324427201</v>
      </c>
      <c r="AP627" s="2">
        <v>363238.90155810298</v>
      </c>
    </row>
    <row r="628" spans="1:42" ht="14.5" x14ac:dyDescent="0.35">
      <c r="A628" s="2" t="s">
        <v>4345</v>
      </c>
      <c r="B628" s="2">
        <v>591.17017642722203</v>
      </c>
      <c r="C628" s="2">
        <v>4.1233166666666703</v>
      </c>
      <c r="D628" s="2" t="s">
        <v>34</v>
      </c>
      <c r="E628" s="2" t="s">
        <v>4346</v>
      </c>
      <c r="F628" s="2">
        <v>60986</v>
      </c>
      <c r="G628" s="3" t="str">
        <f>HYPERLINK("http://funmeta.oebiotech.com/network/60986", "http://funmeta.oebiotech.com/network/60986")</f>
        <v>http://funmeta.oebiotech.com/network/60986</v>
      </c>
      <c r="H628" s="2" t="s">
        <v>4347</v>
      </c>
      <c r="I628" s="2">
        <v>92332</v>
      </c>
      <c r="J628" s="2"/>
      <c r="K628" s="2"/>
      <c r="L628" s="2"/>
      <c r="M628" s="2"/>
      <c r="N628" s="2"/>
      <c r="O628" s="2">
        <v>74977693</v>
      </c>
      <c r="P628" s="2" t="s">
        <v>4348</v>
      </c>
      <c r="Q628" s="2" t="s">
        <v>4349</v>
      </c>
      <c r="R628" s="2" t="s">
        <v>4350</v>
      </c>
      <c r="S628" s="2" t="s">
        <v>115</v>
      </c>
      <c r="T628" s="2" t="s">
        <v>139</v>
      </c>
      <c r="U628" s="2" t="s">
        <v>140</v>
      </c>
      <c r="V628" s="2" t="s">
        <v>42</v>
      </c>
      <c r="W628" s="2">
        <v>49.1</v>
      </c>
      <c r="X628" s="2">
        <v>50.4</v>
      </c>
      <c r="Y628" s="2" t="s">
        <v>67</v>
      </c>
      <c r="Z628" s="2" t="s">
        <v>4351</v>
      </c>
      <c r="AA628" s="2">
        <v>-1.1109474854714001</v>
      </c>
      <c r="AB628" s="2">
        <v>1.0623214241880701</v>
      </c>
      <c r="AC628" s="2">
        <v>545938.3787152</v>
      </c>
      <c r="AD628" s="2">
        <v>466936.42382611299</v>
      </c>
      <c r="AE628" s="2">
        <v>539772.87742880499</v>
      </c>
      <c r="AF628" s="2">
        <v>546260.62186416204</v>
      </c>
      <c r="AG628" s="2">
        <v>549508.77469479095</v>
      </c>
      <c r="AH628" s="2">
        <v>520051.64951350301</v>
      </c>
      <c r="AI628" s="2">
        <v>539183.50070977199</v>
      </c>
      <c r="AJ628" s="2">
        <v>580852.84808016499</v>
      </c>
      <c r="AK628" s="2">
        <v>461057.15276661201</v>
      </c>
      <c r="AL628" s="2">
        <v>460221.83366885001</v>
      </c>
      <c r="AM628" s="2">
        <v>482489.80880623101</v>
      </c>
      <c r="AN628" s="2">
        <v>456398.31132439501</v>
      </c>
      <c r="AO628" s="2">
        <v>479833.964835816</v>
      </c>
      <c r="AP628" s="2">
        <v>461617.47155477502</v>
      </c>
    </row>
    <row r="629" spans="1:42" ht="14.5" x14ac:dyDescent="0.35">
      <c r="A629" s="2" t="s">
        <v>4352</v>
      </c>
      <c r="B629" s="2">
        <v>525.16103285691202</v>
      </c>
      <c r="C629" s="2">
        <v>5.0964166666666699</v>
      </c>
      <c r="D629" s="2" t="s">
        <v>70</v>
      </c>
      <c r="E629" s="2" t="s">
        <v>4353</v>
      </c>
      <c r="F629" s="2">
        <v>209966</v>
      </c>
      <c r="G629" s="3" t="str">
        <f>HYPERLINK("http://funmeta.oebiotech.com/network/209966", "http://funmeta.oebiotech.com/network/209966")</f>
        <v>http://funmeta.oebiotech.com/network/209966</v>
      </c>
      <c r="H629" s="2" t="s">
        <v>4354</v>
      </c>
      <c r="I629" s="2"/>
      <c r="J629" s="2"/>
      <c r="K629" s="2"/>
      <c r="L629" s="2"/>
      <c r="M629" s="2"/>
      <c r="N629" s="2"/>
      <c r="O629" s="2">
        <v>425990</v>
      </c>
      <c r="P629" s="2"/>
      <c r="Q629" s="2" t="s">
        <v>4355</v>
      </c>
      <c r="R629" s="2" t="s">
        <v>4356</v>
      </c>
      <c r="S629" s="2" t="s">
        <v>50</v>
      </c>
      <c r="T629" s="2" t="s">
        <v>201</v>
      </c>
      <c r="U629" s="2" t="s">
        <v>202</v>
      </c>
      <c r="V629" s="2" t="s">
        <v>42</v>
      </c>
      <c r="W629" s="2">
        <v>49.1</v>
      </c>
      <c r="X629" s="2">
        <v>49.4</v>
      </c>
      <c r="Y629" s="2" t="s">
        <v>1395</v>
      </c>
      <c r="Z629" s="2" t="s">
        <v>4063</v>
      </c>
      <c r="AA629" s="2">
        <v>-0.69086142877511703</v>
      </c>
      <c r="AB629" s="2">
        <v>1.0583471286223201</v>
      </c>
      <c r="AC629" s="2">
        <v>204108.87677146299</v>
      </c>
      <c r="AD629" s="2">
        <v>129650.56147540201</v>
      </c>
      <c r="AE629" s="2">
        <v>205828.722316556</v>
      </c>
      <c r="AF629" s="2">
        <v>196013.897614505</v>
      </c>
      <c r="AG629" s="2">
        <v>200889.83104890599</v>
      </c>
      <c r="AH629" s="2">
        <v>203276.72980219001</v>
      </c>
      <c r="AI629" s="2">
        <v>214873.055006665</v>
      </c>
      <c r="AJ629" s="2">
        <v>203771.02483995701</v>
      </c>
      <c r="AK629" s="2">
        <v>139653.317170625</v>
      </c>
      <c r="AL629" s="2">
        <v>129200.69563402901</v>
      </c>
      <c r="AM629" s="2">
        <v>125420.419884502</v>
      </c>
      <c r="AN629" s="2">
        <v>122639.05372150399</v>
      </c>
      <c r="AO629" s="2">
        <v>126814.003107086</v>
      </c>
      <c r="AP629" s="2">
        <v>134175.879334667</v>
      </c>
    </row>
    <row r="630" spans="1:42" ht="14.5" x14ac:dyDescent="0.35">
      <c r="A630" s="2" t="s">
        <v>4357</v>
      </c>
      <c r="B630" s="2">
        <v>710.39869062503703</v>
      </c>
      <c r="C630" s="2">
        <v>5.37076666666667</v>
      </c>
      <c r="D630" s="2" t="s">
        <v>34</v>
      </c>
      <c r="E630" s="2" t="s">
        <v>4358</v>
      </c>
      <c r="F630" s="2">
        <v>27921</v>
      </c>
      <c r="G630" s="3" t="str">
        <f>HYPERLINK("http://funmeta.oebiotech.com/network/27921", "http://funmeta.oebiotech.com/network/27921")</f>
        <v>http://funmeta.oebiotech.com/network/27921</v>
      </c>
      <c r="H630" s="2"/>
      <c r="I630" s="2"/>
      <c r="J630" s="2" t="s">
        <v>4359</v>
      </c>
      <c r="K630" s="2"/>
      <c r="L630" s="2"/>
      <c r="M630" s="2"/>
      <c r="N630" s="2"/>
      <c r="O630" s="2">
        <v>134812378</v>
      </c>
      <c r="P630" s="2"/>
      <c r="Q630" s="2" t="s">
        <v>4360</v>
      </c>
      <c r="R630" s="2" t="s">
        <v>4361</v>
      </c>
      <c r="S630" s="2" t="s">
        <v>50</v>
      </c>
      <c r="T630" s="2" t="s">
        <v>51</v>
      </c>
      <c r="U630" s="2" t="s">
        <v>257</v>
      </c>
      <c r="V630" s="2" t="s">
        <v>59</v>
      </c>
      <c r="W630" s="2">
        <v>37.4</v>
      </c>
      <c r="X630" s="2">
        <v>4.83</v>
      </c>
      <c r="Y630" s="2" t="s">
        <v>323</v>
      </c>
      <c r="Z630" s="2" t="s">
        <v>4362</v>
      </c>
      <c r="AA630" s="2">
        <v>-2.4204928046591201</v>
      </c>
      <c r="AB630" s="2">
        <v>1.0582685731177801</v>
      </c>
      <c r="AC630" s="2">
        <v>384003.76461940998</v>
      </c>
      <c r="AD630" s="2">
        <v>297367.26104983402</v>
      </c>
      <c r="AE630" s="2">
        <v>397972.55094762001</v>
      </c>
      <c r="AF630" s="2">
        <v>387914.53233877302</v>
      </c>
      <c r="AG630" s="2">
        <v>345216.39703058999</v>
      </c>
      <c r="AH630" s="2">
        <v>434299.98962540901</v>
      </c>
      <c r="AI630" s="2">
        <v>392456.86959720397</v>
      </c>
      <c r="AJ630" s="2">
        <v>346162.24817686301</v>
      </c>
      <c r="AK630" s="2">
        <v>267808.78734709602</v>
      </c>
      <c r="AL630" s="2">
        <v>275010.827509353</v>
      </c>
      <c r="AM630" s="2">
        <v>327758.79215986398</v>
      </c>
      <c r="AN630" s="2">
        <v>311146.47395901999</v>
      </c>
      <c r="AO630" s="2">
        <v>309253.99875475297</v>
      </c>
      <c r="AP630" s="2">
        <v>293224.68656892102</v>
      </c>
    </row>
    <row r="631" spans="1:42" ht="14.5" x14ac:dyDescent="0.35">
      <c r="A631" s="2" t="s">
        <v>4363</v>
      </c>
      <c r="B631" s="2">
        <v>741.29777145976198</v>
      </c>
      <c r="C631" s="2">
        <v>6.5195166666666697</v>
      </c>
      <c r="D631" s="2" t="s">
        <v>70</v>
      </c>
      <c r="E631" s="2" t="s">
        <v>4364</v>
      </c>
      <c r="F631" s="2">
        <v>209059</v>
      </c>
      <c r="G631" s="3" t="str">
        <f>HYPERLINK("http://funmeta.oebiotech.com/network/209059", "http://funmeta.oebiotech.com/network/209059")</f>
        <v>http://funmeta.oebiotech.com/network/209059</v>
      </c>
      <c r="H631" s="2" t="s">
        <v>4365</v>
      </c>
      <c r="I631" s="2"/>
      <c r="J631" s="2"/>
      <c r="K631" s="2"/>
      <c r="L631" s="2"/>
      <c r="M631" s="2"/>
      <c r="N631" s="2"/>
      <c r="O631" s="2">
        <v>3111030</v>
      </c>
      <c r="P631" s="2"/>
      <c r="Q631" s="2" t="s">
        <v>4366</v>
      </c>
      <c r="R631" s="2" t="s">
        <v>4367</v>
      </c>
      <c r="S631" s="2" t="s">
        <v>41</v>
      </c>
      <c r="T631" s="2" t="s">
        <v>41</v>
      </c>
      <c r="U631" s="2" t="s">
        <v>41</v>
      </c>
      <c r="V631" s="2" t="s">
        <v>59</v>
      </c>
      <c r="W631" s="2">
        <v>41.4</v>
      </c>
      <c r="X631" s="2">
        <v>20.3</v>
      </c>
      <c r="Y631" s="2" t="s">
        <v>560</v>
      </c>
      <c r="Z631" s="2" t="s">
        <v>4368</v>
      </c>
      <c r="AA631" s="2">
        <v>1.02494068195944</v>
      </c>
      <c r="AB631" s="2">
        <v>1.0576895552465799</v>
      </c>
      <c r="AC631" s="2">
        <v>93311.029329117999</v>
      </c>
      <c r="AD631" s="2">
        <v>19677.015094624301</v>
      </c>
      <c r="AE631" s="2">
        <v>95756.895470892996</v>
      </c>
      <c r="AF631" s="2">
        <v>91564.254450873006</v>
      </c>
      <c r="AG631" s="2">
        <v>91841.927570116794</v>
      </c>
      <c r="AH631" s="2">
        <v>98057.998033523399</v>
      </c>
      <c r="AI631" s="2">
        <v>93291.099578151698</v>
      </c>
      <c r="AJ631" s="2">
        <v>89354.000871150201</v>
      </c>
      <c r="AK631" s="2">
        <v>18545.5153757517</v>
      </c>
      <c r="AL631" s="2">
        <v>18475.8536113109</v>
      </c>
      <c r="AM631" s="2">
        <v>18641.572080330901</v>
      </c>
      <c r="AN631" s="2">
        <v>24520.730617796598</v>
      </c>
      <c r="AO631" s="2">
        <v>20681.265398276799</v>
      </c>
      <c r="AP631" s="2">
        <v>17197.153484278599</v>
      </c>
    </row>
    <row r="632" spans="1:42" ht="14.5" x14ac:dyDescent="0.35">
      <c r="A632" s="2" t="s">
        <v>4369</v>
      </c>
      <c r="B632" s="2">
        <v>205.068110664583</v>
      </c>
      <c r="C632" s="2">
        <v>0.70245000000000002</v>
      </c>
      <c r="D632" s="2" t="s">
        <v>34</v>
      </c>
      <c r="E632" s="2" t="s">
        <v>4370</v>
      </c>
      <c r="F632" s="2">
        <v>47209</v>
      </c>
      <c r="G632" s="3" t="str">
        <f>HYPERLINK("http://funmeta.oebiotech.com/network/47209", "http://funmeta.oebiotech.com/network/47209")</f>
        <v>http://funmeta.oebiotech.com/network/47209</v>
      </c>
      <c r="H632" s="2" t="s">
        <v>4371</v>
      </c>
      <c r="I632" s="2">
        <v>142</v>
      </c>
      <c r="J632" s="2"/>
      <c r="K632" s="2">
        <v>16899</v>
      </c>
      <c r="L632" s="2" t="s">
        <v>4372</v>
      </c>
      <c r="M632" s="2" t="s">
        <v>4373</v>
      </c>
      <c r="N632" s="2" t="s">
        <v>4374</v>
      </c>
      <c r="O632" s="2">
        <v>6251</v>
      </c>
      <c r="P632" s="2" t="s">
        <v>4375</v>
      </c>
      <c r="Q632" s="2" t="s">
        <v>4376</v>
      </c>
      <c r="R632" s="2" t="s">
        <v>4377</v>
      </c>
      <c r="S632" s="2" t="s">
        <v>79</v>
      </c>
      <c r="T632" s="2" t="s">
        <v>80</v>
      </c>
      <c r="U632" s="2" t="s">
        <v>81</v>
      </c>
      <c r="V632" s="2" t="s">
        <v>59</v>
      </c>
      <c r="W632" s="2">
        <v>39.6</v>
      </c>
      <c r="X632" s="2">
        <v>0</v>
      </c>
      <c r="Y632" s="2" t="s">
        <v>323</v>
      </c>
      <c r="Z632" s="2" t="s">
        <v>4378</v>
      </c>
      <c r="AA632" s="2">
        <v>-0.81383205198271302</v>
      </c>
      <c r="AB632" s="2">
        <v>1.05740846402007</v>
      </c>
      <c r="AC632" s="2">
        <v>88035.407572250304</v>
      </c>
      <c r="AD632" s="2">
        <v>12198.753466783</v>
      </c>
      <c r="AE632" s="2">
        <v>81676.650449192006</v>
      </c>
      <c r="AF632" s="2">
        <v>73659.445530959798</v>
      </c>
      <c r="AG632" s="2">
        <v>102964.290885939</v>
      </c>
      <c r="AH632" s="2">
        <v>71467.951217796697</v>
      </c>
      <c r="AI632" s="2">
        <v>103079.296382215</v>
      </c>
      <c r="AJ632" s="2">
        <v>95364.810967399404</v>
      </c>
      <c r="AK632" s="2">
        <v>8291.5452564483203</v>
      </c>
      <c r="AL632" s="2">
        <v>10990.6513331183</v>
      </c>
      <c r="AM632" s="2">
        <v>18468.622601997598</v>
      </c>
      <c r="AN632" s="2">
        <v>10643.6185346929</v>
      </c>
      <c r="AO632" s="2">
        <v>12199.682439492901</v>
      </c>
      <c r="AP632" s="2">
        <v>12598.400634948001</v>
      </c>
    </row>
    <row r="633" spans="1:42" ht="14.5" x14ac:dyDescent="0.35">
      <c r="A633" s="2" t="s">
        <v>4379</v>
      </c>
      <c r="B633" s="2">
        <v>477.21164257684899</v>
      </c>
      <c r="C633" s="2">
        <v>5.0569833333333296</v>
      </c>
      <c r="D633" s="2" t="s">
        <v>34</v>
      </c>
      <c r="E633" s="2" t="s">
        <v>4380</v>
      </c>
      <c r="F633" s="2">
        <v>46629</v>
      </c>
      <c r="G633" s="3" t="str">
        <f>HYPERLINK("http://funmeta.oebiotech.com/network/46629", "http://funmeta.oebiotech.com/network/46629")</f>
        <v>http://funmeta.oebiotech.com/network/46629</v>
      </c>
      <c r="H633" s="2" t="s">
        <v>4381</v>
      </c>
      <c r="I633" s="2">
        <v>43172</v>
      </c>
      <c r="J633" s="2" t="s">
        <v>4382</v>
      </c>
      <c r="K633" s="2">
        <v>37450</v>
      </c>
      <c r="L633" s="2" t="s">
        <v>4383</v>
      </c>
      <c r="M633" s="2" t="s">
        <v>2454</v>
      </c>
      <c r="N633" s="2" t="s">
        <v>2455</v>
      </c>
      <c r="O633" s="2">
        <v>443077</v>
      </c>
      <c r="P633" s="2" t="s">
        <v>4384</v>
      </c>
      <c r="Q633" s="2" t="s">
        <v>4385</v>
      </c>
      <c r="R633" s="2" t="s">
        <v>4386</v>
      </c>
      <c r="S633" s="2" t="s">
        <v>50</v>
      </c>
      <c r="T633" s="2" t="s">
        <v>124</v>
      </c>
      <c r="U633" s="2" t="s">
        <v>523</v>
      </c>
      <c r="V633" s="2" t="s">
        <v>59</v>
      </c>
      <c r="W633" s="2">
        <v>47.6</v>
      </c>
      <c r="X633" s="2">
        <v>43.2</v>
      </c>
      <c r="Y633" s="2" t="s">
        <v>1008</v>
      </c>
      <c r="Z633" s="2" t="s">
        <v>4387</v>
      </c>
      <c r="AA633" s="2">
        <v>-0.55954397190219196</v>
      </c>
      <c r="AB633" s="2">
        <v>1.05659092429693</v>
      </c>
      <c r="AC633" s="2">
        <v>386811.44095753698</v>
      </c>
      <c r="AD633" s="2">
        <v>467790.98358587403</v>
      </c>
      <c r="AE633" s="2">
        <v>375461.33864036802</v>
      </c>
      <c r="AF633" s="2">
        <v>408790.14619302598</v>
      </c>
      <c r="AG633" s="2">
        <v>384416.49287544901</v>
      </c>
      <c r="AH633" s="2">
        <v>383391.94745234901</v>
      </c>
      <c r="AI633" s="2">
        <v>385745.34880037198</v>
      </c>
      <c r="AJ633" s="2">
        <v>383063.371783657</v>
      </c>
      <c r="AK633" s="2">
        <v>490851.83298575197</v>
      </c>
      <c r="AL633" s="2">
        <v>432068.65208774799</v>
      </c>
      <c r="AM633" s="2">
        <v>489526.87933230802</v>
      </c>
      <c r="AN633" s="2">
        <v>483921.11211332597</v>
      </c>
      <c r="AO633" s="2">
        <v>433422.48259382101</v>
      </c>
      <c r="AP633" s="2">
        <v>476954.942402291</v>
      </c>
    </row>
    <row r="634" spans="1:42" ht="14.5" x14ac:dyDescent="0.35">
      <c r="A634" s="2" t="s">
        <v>4388</v>
      </c>
      <c r="B634" s="2">
        <v>680.36951995665697</v>
      </c>
      <c r="C634" s="2">
        <v>4.9308666666666703</v>
      </c>
      <c r="D634" s="2" t="s">
        <v>34</v>
      </c>
      <c r="E634" s="2" t="s">
        <v>4389</v>
      </c>
      <c r="F634" s="2">
        <v>212479</v>
      </c>
      <c r="G634" s="3" t="str">
        <f>HYPERLINK("http://funmeta.oebiotech.com/network/212479", "http://funmeta.oebiotech.com/network/212479")</f>
        <v>http://funmeta.oebiotech.com/network/212479</v>
      </c>
      <c r="H634" s="2" t="s">
        <v>4390</v>
      </c>
      <c r="I634" s="2"/>
      <c r="J634" s="2"/>
      <c r="K634" s="2"/>
      <c r="L634" s="2"/>
      <c r="M634" s="2"/>
      <c r="N634" s="2"/>
      <c r="O634" s="2">
        <v>50587</v>
      </c>
      <c r="P634" s="2"/>
      <c r="Q634" s="2" t="s">
        <v>4391</v>
      </c>
      <c r="R634" s="2" t="s">
        <v>4392</v>
      </c>
      <c r="S634" s="2" t="s">
        <v>89</v>
      </c>
      <c r="T634" s="2" t="s">
        <v>90</v>
      </c>
      <c r="U634" s="2" t="s">
        <v>99</v>
      </c>
      <c r="V634" s="2" t="s">
        <v>59</v>
      </c>
      <c r="W634" s="2">
        <v>36</v>
      </c>
      <c r="X634" s="2">
        <v>0</v>
      </c>
      <c r="Y634" s="2" t="s">
        <v>394</v>
      </c>
      <c r="Z634" s="2" t="s">
        <v>4393</v>
      </c>
      <c r="AA634" s="2">
        <v>-4.5346235716055103</v>
      </c>
      <c r="AB634" s="2">
        <v>1.0531733482730801</v>
      </c>
      <c r="AC634" s="2">
        <v>74740.670342386395</v>
      </c>
      <c r="AD634" s="2">
        <v>2.7106294003980101E-5</v>
      </c>
      <c r="AE634" s="2">
        <v>99783.118305633005</v>
      </c>
      <c r="AF634" s="2">
        <v>70257.256334926496</v>
      </c>
      <c r="AG634" s="2">
        <v>71196.253339875198</v>
      </c>
      <c r="AH634" s="2">
        <v>62686.881793192297</v>
      </c>
      <c r="AI634" s="2">
        <v>62657.362799563998</v>
      </c>
      <c r="AJ634" s="2">
        <v>81863.149481127402</v>
      </c>
      <c r="AK634" s="2">
        <v>2.7106294003980101E-5</v>
      </c>
      <c r="AL634" s="2">
        <v>2.7106294003980101E-5</v>
      </c>
      <c r="AM634" s="2">
        <v>2.7106294003980101E-5</v>
      </c>
      <c r="AN634" s="2">
        <v>2.7106294003980101E-5</v>
      </c>
      <c r="AO634" s="2">
        <v>2.7106294003980101E-5</v>
      </c>
      <c r="AP634" s="2">
        <v>2.7106294003980101E-5</v>
      </c>
    </row>
    <row r="635" spans="1:42" ht="14.5" x14ac:dyDescent="0.35">
      <c r="A635" s="2" t="s">
        <v>4394</v>
      </c>
      <c r="B635" s="2">
        <v>623.16126226653398</v>
      </c>
      <c r="C635" s="2">
        <v>4.8264500000000004</v>
      </c>
      <c r="D635" s="2" t="s">
        <v>70</v>
      </c>
      <c r="E635" s="2" t="s">
        <v>4395</v>
      </c>
      <c r="F635" s="2">
        <v>62192</v>
      </c>
      <c r="G635" s="3" t="str">
        <f>HYPERLINK("http://funmeta.oebiotech.com/network/62192", "http://funmeta.oebiotech.com/network/62192")</f>
        <v>http://funmeta.oebiotech.com/network/62192</v>
      </c>
      <c r="H635" s="2" t="s">
        <v>4396</v>
      </c>
      <c r="I635" s="2"/>
      <c r="J635" s="2"/>
      <c r="K635" s="2"/>
      <c r="L635" s="2" t="s">
        <v>4397</v>
      </c>
      <c r="M635" s="2" t="s">
        <v>824</v>
      </c>
      <c r="N635" s="2" t="s">
        <v>4398</v>
      </c>
      <c r="O635" s="2">
        <v>5459217</v>
      </c>
      <c r="P635" s="2" t="s">
        <v>4399</v>
      </c>
      <c r="Q635" s="2" t="s">
        <v>4400</v>
      </c>
      <c r="R635" s="2" t="s">
        <v>4401</v>
      </c>
      <c r="S635" s="2" t="s">
        <v>115</v>
      </c>
      <c r="T635" s="2" t="s">
        <v>139</v>
      </c>
      <c r="U635" s="2" t="s">
        <v>140</v>
      </c>
      <c r="V635" s="2" t="s">
        <v>59</v>
      </c>
      <c r="W635" s="2">
        <v>44.4</v>
      </c>
      <c r="X635" s="2">
        <v>25.4</v>
      </c>
      <c r="Y635" s="2" t="s">
        <v>286</v>
      </c>
      <c r="Z635" s="2" t="s">
        <v>4402</v>
      </c>
      <c r="AA635" s="2">
        <v>-0.85830281201428105</v>
      </c>
      <c r="AB635" s="2">
        <v>1.05125069528003</v>
      </c>
      <c r="AC635" s="2">
        <v>620201.66539708001</v>
      </c>
      <c r="AD635" s="2">
        <v>703681.30807690101</v>
      </c>
      <c r="AE635" s="2">
        <v>633695.32796328794</v>
      </c>
      <c r="AF635" s="2">
        <v>617110.22661196499</v>
      </c>
      <c r="AG635" s="2">
        <v>615378.14108877606</v>
      </c>
      <c r="AH635" s="2">
        <v>590692.38901330903</v>
      </c>
      <c r="AI635" s="2">
        <v>623554.20875754696</v>
      </c>
      <c r="AJ635" s="2">
        <v>640779.69894759206</v>
      </c>
      <c r="AK635" s="2">
        <v>653658.25358310796</v>
      </c>
      <c r="AL635" s="2">
        <v>694681.87299356295</v>
      </c>
      <c r="AM635" s="2">
        <v>712744.23015358101</v>
      </c>
      <c r="AN635" s="2">
        <v>685297.75685080397</v>
      </c>
      <c r="AO635" s="2">
        <v>736761.70245485695</v>
      </c>
      <c r="AP635" s="2">
        <v>738944.03242549603</v>
      </c>
    </row>
    <row r="636" spans="1:42" ht="14.5" x14ac:dyDescent="0.35">
      <c r="A636" s="2" t="s">
        <v>4403</v>
      </c>
      <c r="B636" s="2">
        <v>559.25099930202703</v>
      </c>
      <c r="C636" s="2">
        <v>8.0464500000000001</v>
      </c>
      <c r="D636" s="2" t="s">
        <v>34</v>
      </c>
      <c r="E636" s="2" t="s">
        <v>4404</v>
      </c>
      <c r="F636" s="2">
        <v>44829</v>
      </c>
      <c r="G636" s="3" t="str">
        <f>HYPERLINK("http://funmeta.oebiotech.com/network/44829", "http://funmeta.oebiotech.com/network/44829")</f>
        <v>http://funmeta.oebiotech.com/network/44829</v>
      </c>
      <c r="H636" s="2"/>
      <c r="I636" s="2"/>
      <c r="J636" s="2" t="s">
        <v>4405</v>
      </c>
      <c r="K636" s="2"/>
      <c r="L636" s="2"/>
      <c r="M636" s="2"/>
      <c r="N636" s="2"/>
      <c r="O636" s="2"/>
      <c r="P636" s="2"/>
      <c r="Q636" s="2" t="s">
        <v>4406</v>
      </c>
      <c r="R636" s="2" t="s">
        <v>4407</v>
      </c>
      <c r="S636" s="2" t="s">
        <v>50</v>
      </c>
      <c r="T636" s="2" t="s">
        <v>124</v>
      </c>
      <c r="U636" s="2" t="s">
        <v>567</v>
      </c>
      <c r="V636" s="2" t="s">
        <v>42</v>
      </c>
      <c r="W636" s="2">
        <v>52.7</v>
      </c>
      <c r="X636" s="2">
        <v>77.3</v>
      </c>
      <c r="Y636" s="2" t="s">
        <v>394</v>
      </c>
      <c r="Z636" s="2" t="s">
        <v>4408</v>
      </c>
      <c r="AA636" s="2">
        <v>-4.9701059412650102</v>
      </c>
      <c r="AB636" s="2">
        <v>1.0490774945921699</v>
      </c>
      <c r="AC636" s="2">
        <v>159172.78602989001</v>
      </c>
      <c r="AD636" s="2">
        <v>86214.3996473679</v>
      </c>
      <c r="AE636" s="2">
        <v>156543.356881224</v>
      </c>
      <c r="AF636" s="2">
        <v>163092.79131801499</v>
      </c>
      <c r="AG636" s="2">
        <v>154009.45906492599</v>
      </c>
      <c r="AH636" s="2">
        <v>169950.97716451701</v>
      </c>
      <c r="AI636" s="2">
        <v>157409.70328986101</v>
      </c>
      <c r="AJ636" s="2">
        <v>154030.42846079799</v>
      </c>
      <c r="AK636" s="2">
        <v>79967.773016581094</v>
      </c>
      <c r="AL636" s="2">
        <v>94648.675314097898</v>
      </c>
      <c r="AM636" s="2">
        <v>89786.997729893701</v>
      </c>
      <c r="AN636" s="2">
        <v>81156.274881052101</v>
      </c>
      <c r="AO636" s="2">
        <v>83822.655346201602</v>
      </c>
      <c r="AP636" s="2">
        <v>87904.021596381193</v>
      </c>
    </row>
    <row r="637" spans="1:42" ht="14.5" x14ac:dyDescent="0.35">
      <c r="A637" s="2" t="s">
        <v>4409</v>
      </c>
      <c r="B637" s="2">
        <v>877.49627332117598</v>
      </c>
      <c r="C637" s="2">
        <v>5.1518499999999996</v>
      </c>
      <c r="D637" s="2" t="s">
        <v>34</v>
      </c>
      <c r="E637" s="2" t="s">
        <v>4410</v>
      </c>
      <c r="F637" s="2">
        <v>52319</v>
      </c>
      <c r="G637" s="3" t="str">
        <f>HYPERLINK("http://funmeta.oebiotech.com/network/52319", "http://funmeta.oebiotech.com/network/52319")</f>
        <v>http://funmeta.oebiotech.com/network/52319</v>
      </c>
      <c r="H637" s="2" t="s">
        <v>4411</v>
      </c>
      <c r="I637" s="2"/>
      <c r="J637" s="2"/>
      <c r="K637" s="2">
        <v>172841</v>
      </c>
      <c r="L637" s="2"/>
      <c r="M637" s="2"/>
      <c r="N637" s="2"/>
      <c r="O637" s="2">
        <v>53481825</v>
      </c>
      <c r="P637" s="2"/>
      <c r="Q637" s="2" t="s">
        <v>4412</v>
      </c>
      <c r="R637" s="2" t="s">
        <v>4413</v>
      </c>
      <c r="S637" s="2" t="s">
        <v>50</v>
      </c>
      <c r="T637" s="2" t="s">
        <v>51</v>
      </c>
      <c r="U637" s="2" t="s">
        <v>1989</v>
      </c>
      <c r="V637" s="2" t="s">
        <v>59</v>
      </c>
      <c r="W637" s="2">
        <v>38.4</v>
      </c>
      <c r="X637" s="2">
        <v>0</v>
      </c>
      <c r="Y637" s="2" t="s">
        <v>376</v>
      </c>
      <c r="Z637" s="2" t="s">
        <v>4414</v>
      </c>
      <c r="AA637" s="2">
        <v>-0.42508549039571297</v>
      </c>
      <c r="AB637" s="2">
        <v>1.0474395422641301</v>
      </c>
      <c r="AC637" s="2">
        <v>768899.91162257898</v>
      </c>
      <c r="AD637" s="2">
        <v>867849.80340311897</v>
      </c>
      <c r="AE637" s="2">
        <v>774215.88828184595</v>
      </c>
      <c r="AF637" s="2">
        <v>811998.89837309695</v>
      </c>
      <c r="AG637" s="2">
        <v>697834.73964627006</v>
      </c>
      <c r="AH637" s="2">
        <v>856484.513276777</v>
      </c>
      <c r="AI637" s="2">
        <v>766125.47178062703</v>
      </c>
      <c r="AJ637" s="2">
        <v>706739.95837685803</v>
      </c>
      <c r="AK637" s="2">
        <v>814043.04627168598</v>
      </c>
      <c r="AL637" s="2">
        <v>848395.17065381794</v>
      </c>
      <c r="AM637" s="2">
        <v>852199.59259735094</v>
      </c>
      <c r="AN637" s="2">
        <v>922303.741973661</v>
      </c>
      <c r="AO637" s="2">
        <v>909617.86690040503</v>
      </c>
      <c r="AP637" s="2">
        <v>860539.40202179097</v>
      </c>
    </row>
    <row r="638" spans="1:42" ht="14.5" x14ac:dyDescent="0.35">
      <c r="A638" s="2" t="s">
        <v>4415</v>
      </c>
      <c r="B638" s="2">
        <v>563.85647832001098</v>
      </c>
      <c r="C638" s="2">
        <v>11.599133333333301</v>
      </c>
      <c r="D638" s="2" t="s">
        <v>34</v>
      </c>
      <c r="E638" s="2" t="s">
        <v>4416</v>
      </c>
      <c r="F638" s="2">
        <v>47106</v>
      </c>
      <c r="G638" s="3" t="str">
        <f>HYPERLINK("http://funmeta.oebiotech.com/network/47106", "http://funmeta.oebiotech.com/network/47106")</f>
        <v>http://funmeta.oebiotech.com/network/47106</v>
      </c>
      <c r="H638" s="2" t="s">
        <v>4417</v>
      </c>
      <c r="I638" s="2">
        <v>103473</v>
      </c>
      <c r="J638" s="2"/>
      <c r="K638" s="2">
        <v>350682</v>
      </c>
      <c r="L638" s="2"/>
      <c r="M638" s="2"/>
      <c r="N638" s="2"/>
      <c r="O638" s="2">
        <v>123675</v>
      </c>
      <c r="P638" s="2" t="s">
        <v>4418</v>
      </c>
      <c r="Q638" s="2" t="s">
        <v>4419</v>
      </c>
      <c r="R638" s="2" t="s">
        <v>4420</v>
      </c>
      <c r="S638" s="2" t="s">
        <v>89</v>
      </c>
      <c r="T638" s="2" t="s">
        <v>90</v>
      </c>
      <c r="U638" s="2" t="s">
        <v>99</v>
      </c>
      <c r="V638" s="2" t="s">
        <v>59</v>
      </c>
      <c r="W638" s="2">
        <v>36.9</v>
      </c>
      <c r="X638" s="2">
        <v>0</v>
      </c>
      <c r="Y638" s="2" t="s">
        <v>340</v>
      </c>
      <c r="Z638" s="2" t="s">
        <v>4421</v>
      </c>
      <c r="AA638" s="2">
        <v>-0.15938462566714301</v>
      </c>
      <c r="AB638" s="2">
        <v>1.04645118255785</v>
      </c>
      <c r="AC638" s="2">
        <v>153.551073846995</v>
      </c>
      <c r="AD638" s="2">
        <v>72434.243531607601</v>
      </c>
      <c r="AE638" s="2">
        <v>192.659945919488</v>
      </c>
      <c r="AF638" s="2">
        <v>170.936928447101</v>
      </c>
      <c r="AG638" s="2">
        <v>222.88950497090701</v>
      </c>
      <c r="AH638" s="2">
        <v>139.397829135888</v>
      </c>
      <c r="AI638" s="2">
        <v>75.646579088843296</v>
      </c>
      <c r="AJ638" s="2">
        <v>119.775655519745</v>
      </c>
      <c r="AK638" s="2">
        <v>69881.498363709106</v>
      </c>
      <c r="AL638" s="2">
        <v>66605.5097752203</v>
      </c>
      <c r="AM638" s="2">
        <v>82601.578916758604</v>
      </c>
      <c r="AN638" s="2">
        <v>66219.158263732403</v>
      </c>
      <c r="AO638" s="2">
        <v>73207.784511056205</v>
      </c>
      <c r="AP638" s="2">
        <v>76089.931359168797</v>
      </c>
    </row>
    <row r="639" spans="1:42" ht="14.5" x14ac:dyDescent="0.35">
      <c r="A639" s="2" t="s">
        <v>4422</v>
      </c>
      <c r="B639" s="2">
        <v>653.25594228068803</v>
      </c>
      <c r="C639" s="2">
        <v>8.0464500000000001</v>
      </c>
      <c r="D639" s="2" t="s">
        <v>34</v>
      </c>
      <c r="E639" s="2" t="s">
        <v>4423</v>
      </c>
      <c r="F639" s="2">
        <v>280446</v>
      </c>
      <c r="G639" s="3" t="str">
        <f>HYPERLINK("http://funmeta.oebiotech.com/network/280446", "http://funmeta.oebiotech.com/network/280446")</f>
        <v>http://funmeta.oebiotech.com/network/280446</v>
      </c>
      <c r="H639" s="2"/>
      <c r="I639" s="2">
        <v>73546</v>
      </c>
      <c r="J639" s="2"/>
      <c r="K639" s="2"/>
      <c r="L639" s="2"/>
      <c r="M639" s="2"/>
      <c r="N639" s="2"/>
      <c r="O639" s="2">
        <v>3083352</v>
      </c>
      <c r="P639" s="2" t="s">
        <v>4424</v>
      </c>
      <c r="Q639" s="2" t="s">
        <v>4425</v>
      </c>
      <c r="R639" s="2" t="s">
        <v>4426</v>
      </c>
      <c r="S639" s="2" t="s">
        <v>50</v>
      </c>
      <c r="T639" s="2" t="s">
        <v>201</v>
      </c>
      <c r="U639" s="2" t="s">
        <v>241</v>
      </c>
      <c r="V639" s="2" t="s">
        <v>59</v>
      </c>
      <c r="W639" s="2">
        <v>40.9</v>
      </c>
      <c r="X639" s="2">
        <v>10.1</v>
      </c>
      <c r="Y639" s="2" t="s">
        <v>505</v>
      </c>
      <c r="Z639" s="2" t="s">
        <v>4427</v>
      </c>
      <c r="AA639" s="2">
        <v>-1.4361850959449201</v>
      </c>
      <c r="AB639" s="2">
        <v>1.0426867435408</v>
      </c>
      <c r="AC639" s="2">
        <v>1907645.4839795199</v>
      </c>
      <c r="AD639" s="2">
        <v>1753504.7270797701</v>
      </c>
      <c r="AE639" s="2">
        <v>1944396.9020304501</v>
      </c>
      <c r="AF639" s="2">
        <v>1952366.3199815501</v>
      </c>
      <c r="AG639" s="2">
        <v>2060943.8974853</v>
      </c>
      <c r="AH639" s="2">
        <v>1691897.83909686</v>
      </c>
      <c r="AI639" s="2">
        <v>1825280.68460573</v>
      </c>
      <c r="AJ639" s="2">
        <v>1970987.2606772101</v>
      </c>
      <c r="AK639" s="2">
        <v>1908453.0732557201</v>
      </c>
      <c r="AL639" s="2">
        <v>2047400.0704799399</v>
      </c>
      <c r="AM639" s="2">
        <v>1693055.18551832</v>
      </c>
      <c r="AN639" s="2">
        <v>1471550.3458342</v>
      </c>
      <c r="AO639" s="2">
        <v>1698526.1423615101</v>
      </c>
      <c r="AP639" s="2">
        <v>1702043.54502891</v>
      </c>
    </row>
    <row r="640" spans="1:42" ht="14.5" x14ac:dyDescent="0.35">
      <c r="A640" s="2" t="s">
        <v>4428</v>
      </c>
      <c r="B640" s="2">
        <v>875.43095890127302</v>
      </c>
      <c r="C640" s="2">
        <v>5.4735333333333296</v>
      </c>
      <c r="D640" s="2" t="s">
        <v>34</v>
      </c>
      <c r="E640" s="2" t="s">
        <v>4429</v>
      </c>
      <c r="F640" s="2">
        <v>227396</v>
      </c>
      <c r="G640" s="3" t="str">
        <f>HYPERLINK("http://funmeta.oebiotech.com/network/227396", "http://funmeta.oebiotech.com/network/227396")</f>
        <v>http://funmeta.oebiotech.com/network/227396</v>
      </c>
      <c r="H640" s="2" t="s">
        <v>4430</v>
      </c>
      <c r="I640" s="2"/>
      <c r="J640" s="2"/>
      <c r="K640" s="2"/>
      <c r="L640" s="2"/>
      <c r="M640" s="2"/>
      <c r="N640" s="2"/>
      <c r="O640" s="2"/>
      <c r="P640" s="2"/>
      <c r="Q640" s="2" t="s">
        <v>4431</v>
      </c>
      <c r="R640" s="2" t="s">
        <v>4432</v>
      </c>
      <c r="S640" s="2" t="s">
        <v>41</v>
      </c>
      <c r="T640" s="2" t="s">
        <v>41</v>
      </c>
      <c r="U640" s="2" t="s">
        <v>41</v>
      </c>
      <c r="V640" s="2" t="s">
        <v>59</v>
      </c>
      <c r="W640" s="2">
        <v>38.299999999999997</v>
      </c>
      <c r="X640" s="2">
        <v>0</v>
      </c>
      <c r="Y640" s="2" t="s">
        <v>67</v>
      </c>
      <c r="Z640" s="2" t="s">
        <v>4433</v>
      </c>
      <c r="AA640" s="2">
        <v>-0.90531808025649696</v>
      </c>
      <c r="AB640" s="2">
        <v>1.04215967347197</v>
      </c>
      <c r="AC640" s="2">
        <v>66261.686892579397</v>
      </c>
      <c r="AD640" s="2">
        <v>140188.03427574801</v>
      </c>
      <c r="AE640" s="2">
        <v>67864.937163123905</v>
      </c>
      <c r="AF640" s="2">
        <v>75006.6952097178</v>
      </c>
      <c r="AG640" s="2">
        <v>69256.944627064397</v>
      </c>
      <c r="AH640" s="2">
        <v>61652.544864118798</v>
      </c>
      <c r="AI640" s="2">
        <v>56205.6323735552</v>
      </c>
      <c r="AJ640" s="2">
        <v>67583.3671178964</v>
      </c>
      <c r="AK640" s="2">
        <v>120777.68962029</v>
      </c>
      <c r="AL640" s="2">
        <v>130243.300276562</v>
      </c>
      <c r="AM640" s="2">
        <v>139454.31777235601</v>
      </c>
      <c r="AN640" s="2">
        <v>140025.11992512899</v>
      </c>
      <c r="AO640" s="2">
        <v>150203.35585321399</v>
      </c>
      <c r="AP640" s="2">
        <v>160424.42220693501</v>
      </c>
    </row>
    <row r="641" spans="1:42" ht="14.5" x14ac:dyDescent="0.35">
      <c r="A641" s="2" t="s">
        <v>4434</v>
      </c>
      <c r="B641" s="2">
        <v>1015.52598850525</v>
      </c>
      <c r="C641" s="2">
        <v>11.1688166666667</v>
      </c>
      <c r="D641" s="2" t="s">
        <v>70</v>
      </c>
      <c r="E641" s="2" t="s">
        <v>4435</v>
      </c>
      <c r="F641" s="2">
        <v>204816</v>
      </c>
      <c r="G641" s="3" t="str">
        <f>HYPERLINK("http://funmeta.oebiotech.com/network/204816", "http://funmeta.oebiotech.com/network/204816")</f>
        <v>http://funmeta.oebiotech.com/network/204816</v>
      </c>
      <c r="H641" s="2" t="s">
        <v>4436</v>
      </c>
      <c r="I641" s="2"/>
      <c r="J641" s="2"/>
      <c r="K641" s="2"/>
      <c r="L641" s="2"/>
      <c r="M641" s="2"/>
      <c r="N641" s="2"/>
      <c r="O641" s="2">
        <v>74994278</v>
      </c>
      <c r="P641" s="2"/>
      <c r="Q641" s="2" t="s">
        <v>4437</v>
      </c>
      <c r="R641" s="2" t="s">
        <v>4438</v>
      </c>
      <c r="S641" s="2" t="s">
        <v>89</v>
      </c>
      <c r="T641" s="2" t="s">
        <v>90</v>
      </c>
      <c r="U641" s="2" t="s">
        <v>99</v>
      </c>
      <c r="V641" s="2" t="s">
        <v>42</v>
      </c>
      <c r="W641" s="2">
        <v>49.7</v>
      </c>
      <c r="X641" s="2">
        <v>52.6</v>
      </c>
      <c r="Y641" s="2" t="s">
        <v>118</v>
      </c>
      <c r="Z641" s="2" t="s">
        <v>4439</v>
      </c>
      <c r="AA641" s="2">
        <v>0.14475228066927301</v>
      </c>
      <c r="AB641" s="2">
        <v>1.04084608938865</v>
      </c>
      <c r="AC641" s="2">
        <v>169872.31280983001</v>
      </c>
      <c r="AD641" s="2">
        <v>247325.784571725</v>
      </c>
      <c r="AE641" s="2">
        <v>176730.538603669</v>
      </c>
      <c r="AF641" s="2">
        <v>161426.83020361399</v>
      </c>
      <c r="AG641" s="2">
        <v>174186.06205740801</v>
      </c>
      <c r="AH641" s="2">
        <v>170714.12980457899</v>
      </c>
      <c r="AI641" s="2">
        <v>154829.11530225701</v>
      </c>
      <c r="AJ641" s="2">
        <v>181347.200887454</v>
      </c>
      <c r="AK641" s="2">
        <v>209395.45066581399</v>
      </c>
      <c r="AL641" s="2">
        <v>234487.09115924401</v>
      </c>
      <c r="AM641" s="2">
        <v>247583.80598434599</v>
      </c>
      <c r="AN641" s="2">
        <v>280172.61503452703</v>
      </c>
      <c r="AO641" s="2">
        <v>262905.43780999503</v>
      </c>
      <c r="AP641" s="2">
        <v>249410.30677642301</v>
      </c>
    </row>
    <row r="642" spans="1:42" ht="14.5" x14ac:dyDescent="0.35">
      <c r="A642" s="2" t="s">
        <v>4440</v>
      </c>
      <c r="B642" s="2">
        <v>123.04392885225</v>
      </c>
      <c r="C642" s="2">
        <v>4.4964333333333304</v>
      </c>
      <c r="D642" s="2" t="s">
        <v>34</v>
      </c>
      <c r="E642" s="2" t="s">
        <v>4441</v>
      </c>
      <c r="F642" s="2">
        <v>51491</v>
      </c>
      <c r="G642" s="3" t="str">
        <f>HYPERLINK("http://funmeta.oebiotech.com/network/51491", "http://funmeta.oebiotech.com/network/51491")</f>
        <v>http://funmeta.oebiotech.com/network/51491</v>
      </c>
      <c r="H642" s="2" t="s">
        <v>4442</v>
      </c>
      <c r="I642" s="2">
        <v>62451</v>
      </c>
      <c r="J642" s="2"/>
      <c r="K642" s="2">
        <v>17597</v>
      </c>
      <c r="L642" s="2" t="s">
        <v>4443</v>
      </c>
      <c r="M642" s="2" t="s">
        <v>4444</v>
      </c>
      <c r="N642" s="2" t="s">
        <v>4445</v>
      </c>
      <c r="O642" s="2">
        <v>126</v>
      </c>
      <c r="P642" s="2" t="s">
        <v>4446</v>
      </c>
      <c r="Q642" s="2" t="s">
        <v>4447</v>
      </c>
      <c r="R642" s="2" t="s">
        <v>4448</v>
      </c>
      <c r="S642" s="2" t="s">
        <v>79</v>
      </c>
      <c r="T642" s="2" t="s">
        <v>80</v>
      </c>
      <c r="U642" s="2" t="s">
        <v>2820</v>
      </c>
      <c r="V642" s="2" t="s">
        <v>42</v>
      </c>
      <c r="W642" s="2">
        <v>56.5</v>
      </c>
      <c r="X642" s="2">
        <v>86.2</v>
      </c>
      <c r="Y642" s="2" t="s">
        <v>394</v>
      </c>
      <c r="Z642" s="2" t="s">
        <v>4449</v>
      </c>
      <c r="AA642" s="2">
        <v>-1.0407623871115701</v>
      </c>
      <c r="AB642" s="2">
        <v>1.03956333352674</v>
      </c>
      <c r="AC642" s="2">
        <v>76776.021021427194</v>
      </c>
      <c r="AD642" s="2">
        <v>148952.593653494</v>
      </c>
      <c r="AE642" s="2">
        <v>76130.951513056702</v>
      </c>
      <c r="AF642" s="2">
        <v>77262.827872831695</v>
      </c>
      <c r="AG642" s="2">
        <v>90165.228104944705</v>
      </c>
      <c r="AH642" s="2">
        <v>69607.967839247998</v>
      </c>
      <c r="AI642" s="2">
        <v>79893.173328301593</v>
      </c>
      <c r="AJ642" s="2">
        <v>67595.9774701805</v>
      </c>
      <c r="AK642" s="2">
        <v>140082.65378458999</v>
      </c>
      <c r="AL642" s="2">
        <v>158567.49330199501</v>
      </c>
      <c r="AM642" s="2">
        <v>144552.53092307999</v>
      </c>
      <c r="AN642" s="2">
        <v>150966.332814742</v>
      </c>
      <c r="AO642" s="2">
        <v>146762.29420135601</v>
      </c>
      <c r="AP642" s="2">
        <v>152784.25689519799</v>
      </c>
    </row>
    <row r="643" spans="1:42" ht="14.5" x14ac:dyDescent="0.35">
      <c r="A643" s="2" t="s">
        <v>4450</v>
      </c>
      <c r="B643" s="2">
        <v>373.20047186975302</v>
      </c>
      <c r="C643" s="2">
        <v>7.9920499999999999</v>
      </c>
      <c r="D643" s="2" t="s">
        <v>34</v>
      </c>
      <c r="E643" s="2" t="s">
        <v>4451</v>
      </c>
      <c r="F643" s="2">
        <v>45101</v>
      </c>
      <c r="G643" s="3" t="str">
        <f>HYPERLINK("http://funmeta.oebiotech.com/network/45101", "http://funmeta.oebiotech.com/network/45101")</f>
        <v>http://funmeta.oebiotech.com/network/45101</v>
      </c>
      <c r="H643" s="2"/>
      <c r="I643" s="2"/>
      <c r="J643" s="2" t="s">
        <v>4452</v>
      </c>
      <c r="K643" s="2"/>
      <c r="L643" s="2"/>
      <c r="M643" s="2"/>
      <c r="N643" s="2"/>
      <c r="O643" s="2"/>
      <c r="P643" s="2"/>
      <c r="Q643" s="2" t="s">
        <v>4453</v>
      </c>
      <c r="R643" s="2" t="s">
        <v>4454</v>
      </c>
      <c r="S643" s="2" t="s">
        <v>50</v>
      </c>
      <c r="T643" s="2" t="s">
        <v>201</v>
      </c>
      <c r="U643" s="2" t="s">
        <v>265</v>
      </c>
      <c r="V643" s="2" t="s">
        <v>42</v>
      </c>
      <c r="W643" s="2">
        <v>54.6</v>
      </c>
      <c r="X643" s="2">
        <v>79.7</v>
      </c>
      <c r="Y643" s="2" t="s">
        <v>266</v>
      </c>
      <c r="Z643" s="2" t="s">
        <v>4455</v>
      </c>
      <c r="AA643" s="2">
        <v>-1.2264339009413101</v>
      </c>
      <c r="AB643" s="2">
        <v>1.0387064955205201</v>
      </c>
      <c r="AC643" s="2">
        <v>418079.89092489699</v>
      </c>
      <c r="AD643" s="2">
        <v>342365.37444322201</v>
      </c>
      <c r="AE643" s="2">
        <v>417895.23219144897</v>
      </c>
      <c r="AF643" s="2">
        <v>409211.83782575902</v>
      </c>
      <c r="AG643" s="2">
        <v>414236.77049182</v>
      </c>
      <c r="AH643" s="2">
        <v>431794.479882724</v>
      </c>
      <c r="AI643" s="2">
        <v>416710.44901385199</v>
      </c>
      <c r="AJ643" s="2">
        <v>418630.57614377898</v>
      </c>
      <c r="AK643" s="2">
        <v>302089.0035782</v>
      </c>
      <c r="AL643" s="2">
        <v>342839.205658641</v>
      </c>
      <c r="AM643" s="2">
        <v>344887.298476892</v>
      </c>
      <c r="AN643" s="2">
        <v>356150.24084931199</v>
      </c>
      <c r="AO643" s="2">
        <v>352529.31866000901</v>
      </c>
      <c r="AP643" s="2">
        <v>355697.17943628097</v>
      </c>
    </row>
    <row r="644" spans="1:42" ht="14.5" x14ac:dyDescent="0.35">
      <c r="A644" s="2" t="s">
        <v>4456</v>
      </c>
      <c r="B644" s="2">
        <v>451.178455061394</v>
      </c>
      <c r="C644" s="2">
        <v>2.9590666666666698</v>
      </c>
      <c r="D644" s="2" t="s">
        <v>34</v>
      </c>
      <c r="E644" s="2" t="s">
        <v>4457</v>
      </c>
      <c r="F644" s="2">
        <v>47258</v>
      </c>
      <c r="G644" s="3" t="str">
        <f>HYPERLINK("http://funmeta.oebiotech.com/network/47258", "http://funmeta.oebiotech.com/network/47258")</f>
        <v>http://funmeta.oebiotech.com/network/47258</v>
      </c>
      <c r="H644" s="2" t="s">
        <v>4458</v>
      </c>
      <c r="I644" s="2">
        <v>5814</v>
      </c>
      <c r="J644" s="2"/>
      <c r="K644" s="2">
        <v>88539</v>
      </c>
      <c r="L644" s="2"/>
      <c r="M644" s="2"/>
      <c r="N644" s="2"/>
      <c r="O644" s="2">
        <v>105068</v>
      </c>
      <c r="P644" s="2" t="s">
        <v>4459</v>
      </c>
      <c r="Q644" s="2" t="s">
        <v>4460</v>
      </c>
      <c r="R644" s="2" t="s">
        <v>4461</v>
      </c>
      <c r="S644" s="2" t="s">
        <v>89</v>
      </c>
      <c r="T644" s="2" t="s">
        <v>90</v>
      </c>
      <c r="U644" s="2" t="s">
        <v>99</v>
      </c>
      <c r="V644" s="2" t="s">
        <v>59</v>
      </c>
      <c r="W644" s="2">
        <v>40.4</v>
      </c>
      <c r="X644" s="2">
        <v>11.4</v>
      </c>
      <c r="Y644" s="2" t="s">
        <v>323</v>
      </c>
      <c r="Z644" s="2" t="s">
        <v>4462</v>
      </c>
      <c r="AA644" s="2">
        <v>-3.4552179636872502</v>
      </c>
      <c r="AB644" s="2">
        <v>1.03643915860825</v>
      </c>
      <c r="AC644" s="2">
        <v>179395.03291742099</v>
      </c>
      <c r="AD644" s="2">
        <v>253674.978736388</v>
      </c>
      <c r="AE644" s="2">
        <v>174064.559415847</v>
      </c>
      <c r="AF644" s="2">
        <v>176809.19328951999</v>
      </c>
      <c r="AG644" s="2">
        <v>174308.05490716</v>
      </c>
      <c r="AH644" s="2">
        <v>159425.241829192</v>
      </c>
      <c r="AI644" s="2">
        <v>188872.93752106201</v>
      </c>
      <c r="AJ644" s="2">
        <v>202890.21054174501</v>
      </c>
      <c r="AK644" s="2">
        <v>233342.06018997999</v>
      </c>
      <c r="AL644" s="2">
        <v>257208.81028218599</v>
      </c>
      <c r="AM644" s="2">
        <v>254182.387287327</v>
      </c>
      <c r="AN644" s="2">
        <v>265139.09096600098</v>
      </c>
      <c r="AO644" s="2">
        <v>244827.07751462099</v>
      </c>
      <c r="AP644" s="2">
        <v>267350.44617821102</v>
      </c>
    </row>
    <row r="645" spans="1:42" ht="14.5" x14ac:dyDescent="0.35">
      <c r="A645" s="2" t="s">
        <v>4463</v>
      </c>
      <c r="B645" s="2">
        <v>448.18175123434298</v>
      </c>
      <c r="C645" s="2">
        <v>4.0871833333333303</v>
      </c>
      <c r="D645" s="2" t="s">
        <v>34</v>
      </c>
      <c r="E645" s="2" t="s">
        <v>4464</v>
      </c>
      <c r="F645" s="2">
        <v>201320</v>
      </c>
      <c r="G645" s="3" t="str">
        <f>HYPERLINK("http://funmeta.oebiotech.com/network/201320", "http://funmeta.oebiotech.com/network/201320")</f>
        <v>http://funmeta.oebiotech.com/network/201320</v>
      </c>
      <c r="H645" s="2" t="s">
        <v>4465</v>
      </c>
      <c r="I645" s="2"/>
      <c r="J645" s="2"/>
      <c r="K645" s="2"/>
      <c r="L645" s="2"/>
      <c r="M645" s="2"/>
      <c r="N645" s="2"/>
      <c r="O645" s="2">
        <v>119146</v>
      </c>
      <c r="P645" s="2"/>
      <c r="Q645" s="2" t="s">
        <v>4466</v>
      </c>
      <c r="R645" s="2" t="s">
        <v>4467</v>
      </c>
      <c r="S645" s="2" t="s">
        <v>41</v>
      </c>
      <c r="T645" s="2" t="s">
        <v>41</v>
      </c>
      <c r="U645" s="2" t="s">
        <v>41</v>
      </c>
      <c r="V645" s="2" t="s">
        <v>59</v>
      </c>
      <c r="W645" s="2">
        <v>41.2</v>
      </c>
      <c r="X645" s="2">
        <v>23.7</v>
      </c>
      <c r="Y645" s="2" t="s">
        <v>340</v>
      </c>
      <c r="Z645" s="2" t="s">
        <v>4468</v>
      </c>
      <c r="AA645" s="2">
        <v>4.97971755224766</v>
      </c>
      <c r="AB645" s="2">
        <v>1.0361553003948401</v>
      </c>
      <c r="AC645" s="2">
        <v>68229.124133847494</v>
      </c>
      <c r="AD645" s="2">
        <v>139261.29467618899</v>
      </c>
      <c r="AE645" s="2">
        <v>65699.302967412499</v>
      </c>
      <c r="AF645" s="2">
        <v>69570.296232491906</v>
      </c>
      <c r="AG645" s="2">
        <v>67016.121859714898</v>
      </c>
      <c r="AH645" s="2">
        <v>63160.399001967402</v>
      </c>
      <c r="AI645" s="2">
        <v>73209.048557593997</v>
      </c>
      <c r="AJ645" s="2">
        <v>70719.576183904006</v>
      </c>
      <c r="AK645" s="2">
        <v>140022.540162775</v>
      </c>
      <c r="AL645" s="2">
        <v>131052.395119323</v>
      </c>
      <c r="AM645" s="2">
        <v>133766.12978893399</v>
      </c>
      <c r="AN645" s="2">
        <v>141885.057268798</v>
      </c>
      <c r="AO645" s="2">
        <v>138732.03579957099</v>
      </c>
      <c r="AP645" s="2">
        <v>150109.60991773201</v>
      </c>
    </row>
    <row r="646" spans="1:42" ht="14.5" x14ac:dyDescent="0.35">
      <c r="A646" s="2" t="s">
        <v>4469</v>
      </c>
      <c r="B646" s="2">
        <v>697.17439374041999</v>
      </c>
      <c r="C646" s="2">
        <v>3.9884499999999998</v>
      </c>
      <c r="D646" s="2" t="s">
        <v>70</v>
      </c>
      <c r="E646" s="2" t="s">
        <v>4470</v>
      </c>
      <c r="F646" s="2">
        <v>212760</v>
      </c>
      <c r="G646" s="3" t="str">
        <f>HYPERLINK("http://funmeta.oebiotech.com/network/212760", "http://funmeta.oebiotech.com/network/212760")</f>
        <v>http://funmeta.oebiotech.com/network/212760</v>
      </c>
      <c r="H646" s="2" t="s">
        <v>4471</v>
      </c>
      <c r="I646" s="2">
        <v>70101</v>
      </c>
      <c r="J646" s="2"/>
      <c r="K646" s="2"/>
      <c r="L646" s="2" t="s">
        <v>4472</v>
      </c>
      <c r="M646" s="2"/>
      <c r="N646" s="2"/>
      <c r="O646" s="2">
        <v>124225</v>
      </c>
      <c r="P646" s="2" t="s">
        <v>4473</v>
      </c>
      <c r="Q646" s="2" t="s">
        <v>4474</v>
      </c>
      <c r="R646" s="2" t="s">
        <v>4475</v>
      </c>
      <c r="S646" s="2" t="s">
        <v>491</v>
      </c>
      <c r="T646" s="2" t="s">
        <v>1516</v>
      </c>
      <c r="U646" s="2" t="s">
        <v>2355</v>
      </c>
      <c r="V646" s="2" t="s">
        <v>59</v>
      </c>
      <c r="W646" s="2">
        <v>37.200000000000003</v>
      </c>
      <c r="X646" s="2">
        <v>1.34</v>
      </c>
      <c r="Y646" s="2" t="s">
        <v>560</v>
      </c>
      <c r="Z646" s="2" t="s">
        <v>4476</v>
      </c>
      <c r="AA646" s="2">
        <v>3.4216999614789199</v>
      </c>
      <c r="AB646" s="2">
        <v>1.03613007299538</v>
      </c>
      <c r="AC646" s="2">
        <v>211604.67145241</v>
      </c>
      <c r="AD646" s="2">
        <v>136810.224708208</v>
      </c>
      <c r="AE646" s="2">
        <v>209726.73099531399</v>
      </c>
      <c r="AF646" s="2">
        <v>196276.77242000701</v>
      </c>
      <c r="AG646" s="2">
        <v>201398.10368227001</v>
      </c>
      <c r="AH646" s="2">
        <v>248451.719391491</v>
      </c>
      <c r="AI646" s="2">
        <v>206545.122282386</v>
      </c>
      <c r="AJ646" s="2">
        <v>207229.579942991</v>
      </c>
      <c r="AK646" s="2">
        <v>150594.35042356901</v>
      </c>
      <c r="AL646" s="2">
        <v>136679.911463622</v>
      </c>
      <c r="AM646" s="2">
        <v>135842.05989111299</v>
      </c>
      <c r="AN646" s="2">
        <v>125008.908598158</v>
      </c>
      <c r="AO646" s="2">
        <v>130048.536258059</v>
      </c>
      <c r="AP646" s="2">
        <v>142687.58161473001</v>
      </c>
    </row>
    <row r="647" spans="1:42" ht="14.5" x14ac:dyDescent="0.35">
      <c r="A647" s="2" t="s">
        <v>4477</v>
      </c>
      <c r="B647" s="2">
        <v>608.31915013298703</v>
      </c>
      <c r="C647" s="2">
        <v>5.6884499999999996</v>
      </c>
      <c r="D647" s="2" t="s">
        <v>34</v>
      </c>
      <c r="E647" s="2" t="s">
        <v>4478</v>
      </c>
      <c r="F647" s="2">
        <v>241946</v>
      </c>
      <c r="G647" s="3" t="str">
        <f>HYPERLINK("http://funmeta.oebiotech.com/network/241946", "http://funmeta.oebiotech.com/network/241946")</f>
        <v>http://funmeta.oebiotech.com/network/241946</v>
      </c>
      <c r="H647" s="2" t="s">
        <v>4479</v>
      </c>
      <c r="I647" s="2"/>
      <c r="J647" s="2"/>
      <c r="K647" s="2"/>
      <c r="L647" s="2"/>
      <c r="M647" s="2"/>
      <c r="N647" s="2"/>
      <c r="O647" s="2"/>
      <c r="P647" s="2"/>
      <c r="Q647" s="2" t="s">
        <v>4480</v>
      </c>
      <c r="R647" s="2" t="s">
        <v>4481</v>
      </c>
      <c r="S647" s="2" t="s">
        <v>41</v>
      </c>
      <c r="T647" s="2" t="s">
        <v>41</v>
      </c>
      <c r="U647" s="2" t="s">
        <v>41</v>
      </c>
      <c r="V647" s="2" t="s">
        <v>59</v>
      </c>
      <c r="W647" s="2">
        <v>38.200000000000003</v>
      </c>
      <c r="X647" s="2">
        <v>0</v>
      </c>
      <c r="Y647" s="2" t="s">
        <v>394</v>
      </c>
      <c r="Z647" s="2" t="s">
        <v>4482</v>
      </c>
      <c r="AA647" s="2">
        <v>-0.45174870024334002</v>
      </c>
      <c r="AB647" s="2">
        <v>1.0340715742676301</v>
      </c>
      <c r="AC647" s="2">
        <v>60334.829938561001</v>
      </c>
      <c r="AD647" s="2">
        <v>131121.56585843299</v>
      </c>
      <c r="AE647" s="2">
        <v>58171.016098971399</v>
      </c>
      <c r="AF647" s="2">
        <v>58875.598612620997</v>
      </c>
      <c r="AG647" s="2">
        <v>58149.571772545001</v>
      </c>
      <c r="AH647" s="2">
        <v>54548.412435785598</v>
      </c>
      <c r="AI647" s="2">
        <v>65291.195116083101</v>
      </c>
      <c r="AJ647" s="2">
        <v>66973.185595360002</v>
      </c>
      <c r="AK647" s="2">
        <v>129670.564531442</v>
      </c>
      <c r="AL647" s="2">
        <v>140018.50489718601</v>
      </c>
      <c r="AM647" s="2">
        <v>134460.71185244099</v>
      </c>
      <c r="AN647" s="2">
        <v>131101.81161577199</v>
      </c>
      <c r="AO647" s="2">
        <v>129360.470721896</v>
      </c>
      <c r="AP647" s="2">
        <v>122117.33153186399</v>
      </c>
    </row>
    <row r="648" spans="1:42" ht="14.5" x14ac:dyDescent="0.35">
      <c r="A648" s="2" t="s">
        <v>4483</v>
      </c>
      <c r="B648" s="2">
        <v>578.41858385297905</v>
      </c>
      <c r="C648" s="2">
        <v>13.8068833333333</v>
      </c>
      <c r="D648" s="2" t="s">
        <v>34</v>
      </c>
      <c r="E648" s="2" t="s">
        <v>4484</v>
      </c>
      <c r="F648" s="2">
        <v>19890</v>
      </c>
      <c r="G648" s="3" t="str">
        <f>HYPERLINK("http://funmeta.oebiotech.com/network/19890", "http://funmeta.oebiotech.com/network/19890")</f>
        <v>http://funmeta.oebiotech.com/network/19890</v>
      </c>
      <c r="H648" s="2" t="s">
        <v>4485</v>
      </c>
      <c r="I648" s="2">
        <v>61708</v>
      </c>
      <c r="J648" s="2" t="s">
        <v>4486</v>
      </c>
      <c r="K648" s="2">
        <v>88684</v>
      </c>
      <c r="L648" s="2" t="s">
        <v>1451</v>
      </c>
      <c r="M648" s="2" t="s">
        <v>1452</v>
      </c>
      <c r="N648" s="2" t="s">
        <v>1453</v>
      </c>
      <c r="O648" s="2">
        <v>53480471</v>
      </c>
      <c r="P648" s="2"/>
      <c r="Q648" s="2" t="s">
        <v>4487</v>
      </c>
      <c r="R648" s="2" t="s">
        <v>4488</v>
      </c>
      <c r="S648" s="2" t="s">
        <v>50</v>
      </c>
      <c r="T648" s="2" t="s">
        <v>51</v>
      </c>
      <c r="U648" s="2" t="s">
        <v>168</v>
      </c>
      <c r="V648" s="2" t="s">
        <v>59</v>
      </c>
      <c r="W648" s="2">
        <v>36.9</v>
      </c>
      <c r="X648" s="2">
        <v>1.9900000000000001E-2</v>
      </c>
      <c r="Y648" s="2" t="s">
        <v>394</v>
      </c>
      <c r="Z648" s="2" t="s">
        <v>4489</v>
      </c>
      <c r="AA648" s="2">
        <v>0.98287929173386701</v>
      </c>
      <c r="AB648" s="2">
        <v>1.03303282965582</v>
      </c>
      <c r="AC648" s="2">
        <v>650.48596232828004</v>
      </c>
      <c r="AD648" s="2">
        <v>71705.045957540395</v>
      </c>
      <c r="AE648" s="2">
        <v>468.69035556120099</v>
      </c>
      <c r="AF648" s="2">
        <v>905.71473718904394</v>
      </c>
      <c r="AG648" s="2">
        <v>593.98790812382595</v>
      </c>
      <c r="AH648" s="2">
        <v>749.60353778727801</v>
      </c>
      <c r="AI648" s="2">
        <v>623.765380814217</v>
      </c>
      <c r="AJ648" s="2">
        <v>561.15385449411701</v>
      </c>
      <c r="AK648" s="2">
        <v>75198.3944991592</v>
      </c>
      <c r="AL648" s="2">
        <v>63565.447073325202</v>
      </c>
      <c r="AM648" s="2">
        <v>83791.7927826737</v>
      </c>
      <c r="AN648" s="2">
        <v>60212.449643508902</v>
      </c>
      <c r="AO648" s="2">
        <v>67351.743399383704</v>
      </c>
      <c r="AP648" s="2">
        <v>80110.448347191705</v>
      </c>
    </row>
    <row r="649" spans="1:42" ht="14.5" x14ac:dyDescent="0.35">
      <c r="A649" s="2" t="s">
        <v>4490</v>
      </c>
      <c r="B649" s="2">
        <v>767.45775698277703</v>
      </c>
      <c r="C649" s="2">
        <v>12.7194</v>
      </c>
      <c r="D649" s="2" t="s">
        <v>70</v>
      </c>
      <c r="E649" s="2" t="s">
        <v>4491</v>
      </c>
      <c r="F649" s="2">
        <v>63590</v>
      </c>
      <c r="G649" s="3" t="str">
        <f>HYPERLINK("http://funmeta.oebiotech.com/network/63590", "http://funmeta.oebiotech.com/network/63590")</f>
        <v>http://funmeta.oebiotech.com/network/63590</v>
      </c>
      <c r="H649" s="2" t="s">
        <v>4492</v>
      </c>
      <c r="I649" s="2"/>
      <c r="J649" s="2"/>
      <c r="K649" s="2"/>
      <c r="L649" s="2"/>
      <c r="M649" s="2"/>
      <c r="N649" s="2"/>
      <c r="O649" s="2">
        <v>73157192</v>
      </c>
      <c r="P649" s="2" t="s">
        <v>4493</v>
      </c>
      <c r="Q649" s="2" t="s">
        <v>4494</v>
      </c>
      <c r="R649" s="2" t="s">
        <v>4495</v>
      </c>
      <c r="S649" s="2" t="s">
        <v>50</v>
      </c>
      <c r="T649" s="2" t="s">
        <v>201</v>
      </c>
      <c r="U649" s="2" t="s">
        <v>202</v>
      </c>
      <c r="V649" s="2" t="s">
        <v>42</v>
      </c>
      <c r="W649" s="2">
        <v>48.2</v>
      </c>
      <c r="X649" s="2">
        <v>51.2</v>
      </c>
      <c r="Y649" s="2" t="s">
        <v>751</v>
      </c>
      <c r="Z649" s="2" t="s">
        <v>4496</v>
      </c>
      <c r="AA649" s="2">
        <v>-1.21912847133405</v>
      </c>
      <c r="AB649" s="2">
        <v>1.0315338169763499</v>
      </c>
      <c r="AC649" s="2">
        <v>34573.825010829001</v>
      </c>
      <c r="AD649" s="2">
        <v>105362.94798920699</v>
      </c>
      <c r="AE649" s="2">
        <v>32129.816649757398</v>
      </c>
      <c r="AF649" s="2">
        <v>30838.3051138382</v>
      </c>
      <c r="AG649" s="2">
        <v>30103.142892715201</v>
      </c>
      <c r="AH649" s="2">
        <v>40325.574280863002</v>
      </c>
      <c r="AI649" s="2">
        <v>36314.220252262101</v>
      </c>
      <c r="AJ649" s="2">
        <v>37731.890875538003</v>
      </c>
      <c r="AK649" s="2">
        <v>120952.86839506601</v>
      </c>
      <c r="AL649" s="2">
        <v>104895.302147911</v>
      </c>
      <c r="AM649" s="2">
        <v>98527.515386643106</v>
      </c>
      <c r="AN649" s="2">
        <v>106056.598352648</v>
      </c>
      <c r="AO649" s="2">
        <v>98668.202571369402</v>
      </c>
      <c r="AP649" s="2">
        <v>103077.201081602</v>
      </c>
    </row>
    <row r="650" spans="1:42" ht="14.5" x14ac:dyDescent="0.35">
      <c r="A650" s="2" t="s">
        <v>4497</v>
      </c>
      <c r="B650" s="2">
        <v>761.40694535315197</v>
      </c>
      <c r="C650" s="2">
        <v>10.490783333333299</v>
      </c>
      <c r="D650" s="2" t="s">
        <v>34</v>
      </c>
      <c r="E650" s="2" t="s">
        <v>4498</v>
      </c>
      <c r="F650" s="2">
        <v>54964</v>
      </c>
      <c r="G650" s="3" t="str">
        <f>HYPERLINK("http://funmeta.oebiotech.com/network/54964", "http://funmeta.oebiotech.com/network/54964")</f>
        <v>http://funmeta.oebiotech.com/network/54964</v>
      </c>
      <c r="H650" s="2" t="s">
        <v>4499</v>
      </c>
      <c r="I650" s="2">
        <v>86743</v>
      </c>
      <c r="J650" s="2"/>
      <c r="K650" s="2"/>
      <c r="L650" s="2"/>
      <c r="M650" s="2"/>
      <c r="N650" s="2"/>
      <c r="O650" s="2">
        <v>13964451</v>
      </c>
      <c r="P650" s="2"/>
      <c r="Q650" s="2" t="s">
        <v>4500</v>
      </c>
      <c r="R650" s="2" t="s">
        <v>4501</v>
      </c>
      <c r="S650" s="2" t="s">
        <v>50</v>
      </c>
      <c r="T650" s="2" t="s">
        <v>124</v>
      </c>
      <c r="U650" s="2" t="s">
        <v>523</v>
      </c>
      <c r="V650" s="2" t="s">
        <v>59</v>
      </c>
      <c r="W650" s="2">
        <v>37.799999999999997</v>
      </c>
      <c r="X650" s="2">
        <v>2.75</v>
      </c>
      <c r="Y650" s="2" t="s">
        <v>470</v>
      </c>
      <c r="Z650" s="2" t="s">
        <v>4502</v>
      </c>
      <c r="AA650" s="2">
        <v>-1.7840404875151401</v>
      </c>
      <c r="AB650" s="2">
        <v>1.0314155284249</v>
      </c>
      <c r="AC650" s="2">
        <v>96453.082841873897</v>
      </c>
      <c r="AD650" s="2">
        <v>168333.596867819</v>
      </c>
      <c r="AE650" s="2">
        <v>80744.510842240605</v>
      </c>
      <c r="AF650" s="2">
        <v>86553.211244435195</v>
      </c>
      <c r="AG650" s="2">
        <v>96280.275668361297</v>
      </c>
      <c r="AH650" s="2">
        <v>99172.110628022507</v>
      </c>
      <c r="AI650" s="2">
        <v>109700.18260729</v>
      </c>
      <c r="AJ650" s="2">
        <v>106268.20606089399</v>
      </c>
      <c r="AK650" s="2">
        <v>175977.85769196099</v>
      </c>
      <c r="AL650" s="2">
        <v>170776.43737286099</v>
      </c>
      <c r="AM650" s="2">
        <v>162257.91039911</v>
      </c>
      <c r="AN650" s="2">
        <v>153738.45599257899</v>
      </c>
      <c r="AO650" s="2">
        <v>174608.813458916</v>
      </c>
      <c r="AP650" s="2">
        <v>172642.10629148601</v>
      </c>
    </row>
    <row r="651" spans="1:42" ht="14.5" x14ac:dyDescent="0.35">
      <c r="A651" s="2" t="s">
        <v>4503</v>
      </c>
      <c r="B651" s="2">
        <v>540.33044406400097</v>
      </c>
      <c r="C651" s="2">
        <v>10.57375</v>
      </c>
      <c r="D651" s="2" t="s">
        <v>70</v>
      </c>
      <c r="E651" s="2" t="s">
        <v>4504</v>
      </c>
      <c r="F651" s="2">
        <v>19830</v>
      </c>
      <c r="G651" s="3" t="str">
        <f>HYPERLINK("http://funmeta.oebiotech.com/network/19830", "http://funmeta.oebiotech.com/network/19830")</f>
        <v>http://funmeta.oebiotech.com/network/19830</v>
      </c>
      <c r="H651" s="2" t="s">
        <v>4505</v>
      </c>
      <c r="I651" s="2">
        <v>40284</v>
      </c>
      <c r="J651" s="2" t="s">
        <v>4506</v>
      </c>
      <c r="K651" s="2">
        <v>72998</v>
      </c>
      <c r="L651" s="2" t="s">
        <v>1451</v>
      </c>
      <c r="M651" s="2" t="s">
        <v>1452</v>
      </c>
      <c r="N651" s="2" t="s">
        <v>1453</v>
      </c>
      <c r="O651" s="2">
        <v>460602</v>
      </c>
      <c r="P651" s="2" t="s">
        <v>4507</v>
      </c>
      <c r="Q651" s="2" t="s">
        <v>4508</v>
      </c>
      <c r="R651" s="2" t="s">
        <v>4509</v>
      </c>
      <c r="S651" s="2" t="s">
        <v>50</v>
      </c>
      <c r="T651" s="2" t="s">
        <v>51</v>
      </c>
      <c r="U651" s="2" t="s">
        <v>168</v>
      </c>
      <c r="V651" s="2" t="s">
        <v>42</v>
      </c>
      <c r="W651" s="2">
        <v>58.2</v>
      </c>
      <c r="X651" s="2">
        <v>92.2</v>
      </c>
      <c r="Y651" s="2" t="s">
        <v>408</v>
      </c>
      <c r="Z651" s="2" t="s">
        <v>4323</v>
      </c>
      <c r="AA651" s="2">
        <v>-0.501443424001771</v>
      </c>
      <c r="AB651" s="2">
        <v>1.02870483671588</v>
      </c>
      <c r="AC651" s="2">
        <v>149825.99236207001</v>
      </c>
      <c r="AD651" s="2">
        <v>224301.42039841</v>
      </c>
      <c r="AE651" s="2">
        <v>159912.25495858901</v>
      </c>
      <c r="AF651" s="2">
        <v>172130.27578682199</v>
      </c>
      <c r="AG651" s="2">
        <v>154247.13207882</v>
      </c>
      <c r="AH651" s="2">
        <v>131842.880987096</v>
      </c>
      <c r="AI651" s="2">
        <v>136492.46998667499</v>
      </c>
      <c r="AJ651" s="2">
        <v>144330.940374417</v>
      </c>
      <c r="AK651" s="2">
        <v>239243.10116075701</v>
      </c>
      <c r="AL651" s="2">
        <v>216460.31440264001</v>
      </c>
      <c r="AM651" s="2">
        <v>232461.32170088901</v>
      </c>
      <c r="AN651" s="2">
        <v>198355.47524958101</v>
      </c>
      <c r="AO651" s="2">
        <v>223704.50335867601</v>
      </c>
      <c r="AP651" s="2">
        <v>235583.80651791801</v>
      </c>
    </row>
    <row r="652" spans="1:42" ht="14.5" x14ac:dyDescent="0.35">
      <c r="A652" s="2" t="s">
        <v>4510</v>
      </c>
      <c r="B652" s="2">
        <v>297.09469735213901</v>
      </c>
      <c r="C652" s="2">
        <v>4.5315500000000002</v>
      </c>
      <c r="D652" s="2" t="s">
        <v>34</v>
      </c>
      <c r="E652" s="2" t="s">
        <v>4511</v>
      </c>
      <c r="F652" s="2">
        <v>52739</v>
      </c>
      <c r="G652" s="3" t="str">
        <f>HYPERLINK("http://funmeta.oebiotech.com/network/52739", "http://funmeta.oebiotech.com/network/52739")</f>
        <v>http://funmeta.oebiotech.com/network/52739</v>
      </c>
      <c r="H652" s="2" t="s">
        <v>4512</v>
      </c>
      <c r="I652" s="2">
        <v>66562</v>
      </c>
      <c r="J652" s="2"/>
      <c r="K652" s="2">
        <v>3696</v>
      </c>
      <c r="L652" s="2" t="s">
        <v>4513</v>
      </c>
      <c r="M652" s="2"/>
      <c r="N652" s="2"/>
      <c r="O652" s="2">
        <v>60613</v>
      </c>
      <c r="P652" s="2" t="s">
        <v>4514</v>
      </c>
      <c r="Q652" s="2" t="s">
        <v>4515</v>
      </c>
      <c r="R652" s="2" t="s">
        <v>4516</v>
      </c>
      <c r="S652" s="2" t="s">
        <v>491</v>
      </c>
      <c r="T652" s="2" t="s">
        <v>4517</v>
      </c>
      <c r="U652" s="2" t="s">
        <v>4518</v>
      </c>
      <c r="V652" s="2" t="s">
        <v>59</v>
      </c>
      <c r="W652" s="2">
        <v>42.7</v>
      </c>
      <c r="X652" s="2">
        <v>21.2</v>
      </c>
      <c r="Y652" s="2" t="s">
        <v>43</v>
      </c>
      <c r="Z652" s="2" t="s">
        <v>4519</v>
      </c>
      <c r="AA652" s="2">
        <v>-4.1209068626571401</v>
      </c>
      <c r="AB652" s="2">
        <v>1.0286842157329801</v>
      </c>
      <c r="AC652" s="2">
        <v>86449.044005371907</v>
      </c>
      <c r="AD652" s="2">
        <v>156542.628727973</v>
      </c>
      <c r="AE652" s="2">
        <v>81411.345264898802</v>
      </c>
      <c r="AF652" s="2">
        <v>83596.935966710298</v>
      </c>
      <c r="AG652" s="2">
        <v>82646.409754526394</v>
      </c>
      <c r="AH652" s="2">
        <v>91081.954365510799</v>
      </c>
      <c r="AI652" s="2">
        <v>92083.484070935607</v>
      </c>
      <c r="AJ652" s="2">
        <v>87874.1346096497</v>
      </c>
      <c r="AK652" s="2">
        <v>166504.06403051</v>
      </c>
      <c r="AL652" s="2">
        <v>157853.88007876699</v>
      </c>
      <c r="AM652" s="2">
        <v>155287.52810933499</v>
      </c>
      <c r="AN652" s="2">
        <v>151206.619923213</v>
      </c>
      <c r="AO652" s="2">
        <v>159898.83779047601</v>
      </c>
      <c r="AP652" s="2">
        <v>148504.84243553999</v>
      </c>
    </row>
    <row r="653" spans="1:42" ht="14.5" x14ac:dyDescent="0.35">
      <c r="A653" s="2" t="s">
        <v>4520</v>
      </c>
      <c r="B653" s="2">
        <v>467.30099069187702</v>
      </c>
      <c r="C653" s="2">
        <v>5.2179000000000002</v>
      </c>
      <c r="D653" s="2" t="s">
        <v>34</v>
      </c>
      <c r="E653" s="2" t="s">
        <v>4521</v>
      </c>
      <c r="F653" s="2">
        <v>206270</v>
      </c>
      <c r="G653" s="3" t="str">
        <f>HYPERLINK("http://funmeta.oebiotech.com/network/206270", "http://funmeta.oebiotech.com/network/206270")</f>
        <v>http://funmeta.oebiotech.com/network/206270</v>
      </c>
      <c r="H653" s="2" t="s">
        <v>4522</v>
      </c>
      <c r="I653" s="2"/>
      <c r="J653" s="2"/>
      <c r="K653" s="2"/>
      <c r="L653" s="2"/>
      <c r="M653" s="2"/>
      <c r="N653" s="2"/>
      <c r="O653" s="2">
        <v>45102599</v>
      </c>
      <c r="P653" s="2"/>
      <c r="Q653" s="2" t="s">
        <v>4523</v>
      </c>
      <c r="R653" s="2" t="s">
        <v>4524</v>
      </c>
      <c r="S653" s="2" t="s">
        <v>41</v>
      </c>
      <c r="T653" s="2" t="s">
        <v>41</v>
      </c>
      <c r="U653" s="2" t="s">
        <v>41</v>
      </c>
      <c r="V653" s="2" t="s">
        <v>59</v>
      </c>
      <c r="W653" s="2">
        <v>37.1</v>
      </c>
      <c r="X653" s="2">
        <v>2.79</v>
      </c>
      <c r="Y653" s="2" t="s">
        <v>440</v>
      </c>
      <c r="Z653" s="2" t="s">
        <v>4525</v>
      </c>
      <c r="AA653" s="2">
        <v>-1.5065259283340799</v>
      </c>
      <c r="AB653" s="2">
        <v>1.0282235160548501</v>
      </c>
      <c r="AC653" s="2">
        <v>389941.65481806401</v>
      </c>
      <c r="AD653" s="2">
        <v>468876.42116998101</v>
      </c>
      <c r="AE653" s="2">
        <v>395641.60038487398</v>
      </c>
      <c r="AF653" s="2">
        <v>400107.21631721599</v>
      </c>
      <c r="AG653" s="2">
        <v>380274.82286545599</v>
      </c>
      <c r="AH653" s="2">
        <v>420449.08980595</v>
      </c>
      <c r="AI653" s="2">
        <v>373748.36611211702</v>
      </c>
      <c r="AJ653" s="2">
        <v>369428.83342277003</v>
      </c>
      <c r="AK653" s="2">
        <v>433064.131573255</v>
      </c>
      <c r="AL653" s="2">
        <v>458280.952308084</v>
      </c>
      <c r="AM653" s="2">
        <v>515680.20241115103</v>
      </c>
      <c r="AN653" s="2">
        <v>467922.26907188498</v>
      </c>
      <c r="AO653" s="2">
        <v>476407.23398007301</v>
      </c>
      <c r="AP653" s="2">
        <v>461903.73767543602</v>
      </c>
    </row>
    <row r="654" spans="1:42" ht="14.5" x14ac:dyDescent="0.35">
      <c r="A654" s="2" t="s">
        <v>4526</v>
      </c>
      <c r="B654" s="2">
        <v>333.08220650504899</v>
      </c>
      <c r="C654" s="2">
        <v>1.0921333333333301</v>
      </c>
      <c r="D654" s="2" t="s">
        <v>70</v>
      </c>
      <c r="E654" s="2" t="s">
        <v>4527</v>
      </c>
      <c r="F654" s="2">
        <v>61739</v>
      </c>
      <c r="G654" s="3" t="str">
        <f>HYPERLINK("http://funmeta.oebiotech.com/network/61739", "http://funmeta.oebiotech.com/network/61739")</f>
        <v>http://funmeta.oebiotech.com/network/61739</v>
      </c>
      <c r="H654" s="2" t="s">
        <v>4528</v>
      </c>
      <c r="I654" s="2">
        <v>93061</v>
      </c>
      <c r="J654" s="2"/>
      <c r="K654" s="2">
        <v>168818</v>
      </c>
      <c r="L654" s="2"/>
      <c r="M654" s="2"/>
      <c r="N654" s="2"/>
      <c r="O654" s="2">
        <v>9835588</v>
      </c>
      <c r="P654" s="2" t="s">
        <v>4529</v>
      </c>
      <c r="Q654" s="2" t="s">
        <v>4530</v>
      </c>
      <c r="R654" s="2" t="s">
        <v>4531</v>
      </c>
      <c r="S654" s="2" t="s">
        <v>79</v>
      </c>
      <c r="T654" s="2" t="s">
        <v>80</v>
      </c>
      <c r="U654" s="2" t="s">
        <v>81</v>
      </c>
      <c r="V654" s="2" t="s">
        <v>42</v>
      </c>
      <c r="W654" s="2">
        <v>51.3</v>
      </c>
      <c r="X654" s="2">
        <v>60.9</v>
      </c>
      <c r="Y654" s="2" t="s">
        <v>286</v>
      </c>
      <c r="Z654" s="2" t="s">
        <v>4532</v>
      </c>
      <c r="AA654" s="2">
        <v>-1.78362431716988</v>
      </c>
      <c r="AB654" s="2">
        <v>1.02742712850532</v>
      </c>
      <c r="AC654" s="2">
        <v>249325.57958955001</v>
      </c>
      <c r="AD654" s="2">
        <v>178028.04886010001</v>
      </c>
      <c r="AE654" s="2">
        <v>253252.541243696</v>
      </c>
      <c r="AF654" s="2">
        <v>257013.40318348299</v>
      </c>
      <c r="AG654" s="2">
        <v>243835.102018712</v>
      </c>
      <c r="AH654" s="2">
        <v>240256.244201505</v>
      </c>
      <c r="AI654" s="2">
        <v>247280.42926612499</v>
      </c>
      <c r="AJ654" s="2">
        <v>254315.757623782</v>
      </c>
      <c r="AK654" s="2">
        <v>165956.043059597</v>
      </c>
      <c r="AL654" s="2">
        <v>174109.36257627801</v>
      </c>
      <c r="AM654" s="2">
        <v>185648.70701617101</v>
      </c>
      <c r="AN654" s="2">
        <v>163580.512482116</v>
      </c>
      <c r="AO654" s="2">
        <v>185535.68276328201</v>
      </c>
      <c r="AP654" s="2">
        <v>193337.98526315301</v>
      </c>
    </row>
    <row r="655" spans="1:42" ht="14.5" x14ac:dyDescent="0.35">
      <c r="A655" s="2" t="s">
        <v>4533</v>
      </c>
      <c r="B655" s="2">
        <v>164.10710374451699</v>
      </c>
      <c r="C655" s="2">
        <v>6.6395166666666698</v>
      </c>
      <c r="D655" s="2" t="s">
        <v>34</v>
      </c>
      <c r="E655" s="2" t="s">
        <v>4534</v>
      </c>
      <c r="F655" s="2">
        <v>211456</v>
      </c>
      <c r="G655" s="3" t="str">
        <f>HYPERLINK("http://funmeta.oebiotech.com/network/211456", "http://funmeta.oebiotech.com/network/211456")</f>
        <v>http://funmeta.oebiotech.com/network/211456</v>
      </c>
      <c r="H655" s="2" t="s">
        <v>4535</v>
      </c>
      <c r="I655" s="2"/>
      <c r="J655" s="2"/>
      <c r="K655" s="2"/>
      <c r="L655" s="2"/>
      <c r="M655" s="2"/>
      <c r="N655" s="2"/>
      <c r="O655" s="2"/>
      <c r="P655" s="2"/>
      <c r="Q655" s="2" t="s">
        <v>4536</v>
      </c>
      <c r="R655" s="2" t="s">
        <v>4537</v>
      </c>
      <c r="S655" s="2" t="s">
        <v>89</v>
      </c>
      <c r="T655" s="2" t="s">
        <v>90</v>
      </c>
      <c r="U655" s="2" t="s">
        <v>99</v>
      </c>
      <c r="V655" s="2" t="s">
        <v>42</v>
      </c>
      <c r="W655" s="2">
        <v>48.2</v>
      </c>
      <c r="X655" s="2">
        <v>50.9</v>
      </c>
      <c r="Y655" s="2" t="s">
        <v>141</v>
      </c>
      <c r="Z655" s="2" t="s">
        <v>4538</v>
      </c>
      <c r="AA655" s="2">
        <v>0.62541754938104399</v>
      </c>
      <c r="AB655" s="2">
        <v>1.0272016258148899</v>
      </c>
      <c r="AC655" s="2">
        <v>299329.89221278398</v>
      </c>
      <c r="AD655" s="2">
        <v>370290.99640246399</v>
      </c>
      <c r="AE655" s="2">
        <v>306767.375428289</v>
      </c>
      <c r="AF655" s="2">
        <v>310876.15224901901</v>
      </c>
      <c r="AG655" s="2">
        <v>307446.03204088699</v>
      </c>
      <c r="AH655" s="2">
        <v>291118.69287287001</v>
      </c>
      <c r="AI655" s="2">
        <v>289647.78500802402</v>
      </c>
      <c r="AJ655" s="2">
        <v>290123.31567761803</v>
      </c>
      <c r="AK655" s="2">
        <v>369146.27348480601</v>
      </c>
      <c r="AL655" s="2">
        <v>372095.71986288001</v>
      </c>
      <c r="AM655" s="2">
        <v>377967.337832789</v>
      </c>
      <c r="AN655" s="2">
        <v>371866.34338011802</v>
      </c>
      <c r="AO655" s="2">
        <v>360030.47512674402</v>
      </c>
      <c r="AP655" s="2">
        <v>370639.82872744597</v>
      </c>
    </row>
    <row r="656" spans="1:42" ht="14.5" x14ac:dyDescent="0.35">
      <c r="A656" s="2" t="s">
        <v>4539</v>
      </c>
      <c r="B656" s="2">
        <v>355.10326554437597</v>
      </c>
      <c r="C656" s="2">
        <v>4.1337999999999999</v>
      </c>
      <c r="D656" s="2" t="s">
        <v>70</v>
      </c>
      <c r="E656" s="2" t="s">
        <v>4540</v>
      </c>
      <c r="F656" s="2">
        <v>59702</v>
      </c>
      <c r="G656" s="3" t="str">
        <f>HYPERLINK("http://funmeta.oebiotech.com/network/59702", "http://funmeta.oebiotech.com/network/59702")</f>
        <v>http://funmeta.oebiotech.com/network/59702</v>
      </c>
      <c r="H656" s="2" t="s">
        <v>4541</v>
      </c>
      <c r="I656" s="2">
        <v>91086</v>
      </c>
      <c r="J656" s="2"/>
      <c r="K656" s="2">
        <v>174965</v>
      </c>
      <c r="L656" s="2"/>
      <c r="M656" s="2"/>
      <c r="N656" s="2"/>
      <c r="O656" s="2">
        <v>14345566</v>
      </c>
      <c r="P656" s="2" t="s">
        <v>4542</v>
      </c>
      <c r="Q656" s="2" t="s">
        <v>4543</v>
      </c>
      <c r="R656" s="2" t="s">
        <v>4544</v>
      </c>
      <c r="S656" s="2" t="s">
        <v>79</v>
      </c>
      <c r="T656" s="2" t="s">
        <v>80</v>
      </c>
      <c r="U656" s="2" t="s">
        <v>81</v>
      </c>
      <c r="V656" s="2" t="s">
        <v>42</v>
      </c>
      <c r="W656" s="2">
        <v>52.8</v>
      </c>
      <c r="X656" s="2">
        <v>67.2</v>
      </c>
      <c r="Y656" s="2" t="s">
        <v>408</v>
      </c>
      <c r="Z656" s="2" t="s">
        <v>4545</v>
      </c>
      <c r="AA656" s="2">
        <v>-0.61346849850929097</v>
      </c>
      <c r="AB656" s="2">
        <v>1.02673348745194</v>
      </c>
      <c r="AC656" s="2">
        <v>387165.32208364201</v>
      </c>
      <c r="AD656" s="2">
        <v>316283.593587148</v>
      </c>
      <c r="AE656" s="2">
        <v>378614.96470090502</v>
      </c>
      <c r="AF656" s="2">
        <v>387446.46351427399</v>
      </c>
      <c r="AG656" s="2">
        <v>384778.502070221</v>
      </c>
      <c r="AH656" s="2">
        <v>389214.932977991</v>
      </c>
      <c r="AI656" s="2">
        <v>395078.25390547398</v>
      </c>
      <c r="AJ656" s="2">
        <v>387858.81533299002</v>
      </c>
      <c r="AK656" s="2">
        <v>320225.32558942202</v>
      </c>
      <c r="AL656" s="2">
        <v>318173.95982414897</v>
      </c>
      <c r="AM656" s="2">
        <v>312233.30256859201</v>
      </c>
      <c r="AN656" s="2">
        <v>309570.63818294602</v>
      </c>
      <c r="AO656" s="2">
        <v>302949.20054778701</v>
      </c>
      <c r="AP656" s="2">
        <v>334549.13480999199</v>
      </c>
    </row>
    <row r="657" spans="1:42" ht="14.5" x14ac:dyDescent="0.35">
      <c r="A657" s="2" t="s">
        <v>4546</v>
      </c>
      <c r="B657" s="2">
        <v>603.24393421117395</v>
      </c>
      <c r="C657" s="2">
        <v>5.7290666666666699</v>
      </c>
      <c r="D657" s="2" t="s">
        <v>70</v>
      </c>
      <c r="E657" s="2" t="s">
        <v>4547</v>
      </c>
      <c r="F657" s="2">
        <v>254822</v>
      </c>
      <c r="G657" s="3" t="str">
        <f>HYPERLINK("http://funmeta.oebiotech.com/network/254822", "http://funmeta.oebiotech.com/network/254822")</f>
        <v>http://funmeta.oebiotech.com/network/254822</v>
      </c>
      <c r="H657" s="2" t="s">
        <v>4548</v>
      </c>
      <c r="I657" s="2"/>
      <c r="J657" s="2"/>
      <c r="K657" s="2"/>
      <c r="L657" s="2"/>
      <c r="M657" s="2"/>
      <c r="N657" s="2"/>
      <c r="O657" s="2">
        <v>59728532</v>
      </c>
      <c r="P657" s="2"/>
      <c r="Q657" s="2" t="s">
        <v>4549</v>
      </c>
      <c r="R657" s="2" t="s">
        <v>4550</v>
      </c>
      <c r="S657" s="2" t="s">
        <v>1184</v>
      </c>
      <c r="T657" s="2" t="s">
        <v>4551</v>
      </c>
      <c r="U657" s="2" t="s">
        <v>4552</v>
      </c>
      <c r="V657" s="2" t="s">
        <v>59</v>
      </c>
      <c r="W657" s="2">
        <v>37.299999999999997</v>
      </c>
      <c r="X657" s="2">
        <v>0</v>
      </c>
      <c r="Y657" s="2" t="s">
        <v>408</v>
      </c>
      <c r="Z657" s="2" t="s">
        <v>4408</v>
      </c>
      <c r="AA657" s="2">
        <v>-1.3722846256819601</v>
      </c>
      <c r="AB657" s="2">
        <v>1.02403459010397</v>
      </c>
      <c r="AC657" s="2">
        <v>123635.559331154</v>
      </c>
      <c r="AD657" s="2">
        <v>54609.472211704699</v>
      </c>
      <c r="AE657" s="2">
        <v>129835.73937223</v>
      </c>
      <c r="AF657" s="2">
        <v>122094.931329346</v>
      </c>
      <c r="AG657" s="2">
        <v>123338.62105508101</v>
      </c>
      <c r="AH657" s="2">
        <v>119334.08295426999</v>
      </c>
      <c r="AI657" s="2">
        <v>118597.18224609</v>
      </c>
      <c r="AJ657" s="2">
        <v>128612.799029909</v>
      </c>
      <c r="AK657" s="2">
        <v>55555.925768461901</v>
      </c>
      <c r="AL657" s="2">
        <v>53293.5271161747</v>
      </c>
      <c r="AM657" s="2">
        <v>56462.562689817198</v>
      </c>
      <c r="AN657" s="2">
        <v>52930.025515422902</v>
      </c>
      <c r="AO657" s="2">
        <v>53644.814254949</v>
      </c>
      <c r="AP657" s="2">
        <v>55769.977925402301</v>
      </c>
    </row>
    <row r="658" spans="1:42" ht="14.5" x14ac:dyDescent="0.35">
      <c r="A658" s="2" t="s">
        <v>4553</v>
      </c>
      <c r="B658" s="2">
        <v>365.08750086518302</v>
      </c>
      <c r="C658" s="2">
        <v>5.1153166666666703</v>
      </c>
      <c r="D658" s="2" t="s">
        <v>70</v>
      </c>
      <c r="E658" s="2" t="s">
        <v>4554</v>
      </c>
      <c r="F658" s="2">
        <v>54480</v>
      </c>
      <c r="G658" s="3" t="str">
        <f>HYPERLINK("http://funmeta.oebiotech.com/network/54480", "http://funmeta.oebiotech.com/network/54480")</f>
        <v>http://funmeta.oebiotech.com/network/54480</v>
      </c>
      <c r="H658" s="2" t="s">
        <v>4555</v>
      </c>
      <c r="I658" s="2">
        <v>86332</v>
      </c>
      <c r="J658" s="2"/>
      <c r="K658" s="2">
        <v>172617</v>
      </c>
      <c r="L658" s="2"/>
      <c r="M658" s="2"/>
      <c r="N658" s="2"/>
      <c r="O658" s="2">
        <v>12302276</v>
      </c>
      <c r="P658" s="2" t="s">
        <v>4556</v>
      </c>
      <c r="Q658" s="2" t="s">
        <v>4557</v>
      </c>
      <c r="R658" s="2" t="s">
        <v>4558</v>
      </c>
      <c r="S658" s="2" t="s">
        <v>115</v>
      </c>
      <c r="T658" s="2" t="s">
        <v>758</v>
      </c>
      <c r="U658" s="2" t="s">
        <v>759</v>
      </c>
      <c r="V658" s="2" t="s">
        <v>42</v>
      </c>
      <c r="W658" s="2">
        <v>55.3</v>
      </c>
      <c r="X658" s="2">
        <v>81.599999999999994</v>
      </c>
      <c r="Y658" s="2" t="s">
        <v>751</v>
      </c>
      <c r="Z658" s="2" t="s">
        <v>4559</v>
      </c>
      <c r="AA658" s="2">
        <v>-0.79366658385773603</v>
      </c>
      <c r="AB658" s="2">
        <v>1.0226707589908699</v>
      </c>
      <c r="AC658" s="2">
        <v>53960.156501875201</v>
      </c>
      <c r="AD658" s="2">
        <v>124422.654187979</v>
      </c>
      <c r="AE658" s="2">
        <v>45842.890055378099</v>
      </c>
      <c r="AF658" s="2">
        <v>53837.9379059602</v>
      </c>
      <c r="AG658" s="2">
        <v>72341.459998979597</v>
      </c>
      <c r="AH658" s="2">
        <v>44910.186210633401</v>
      </c>
      <c r="AI658" s="2">
        <v>56469.3971488143</v>
      </c>
      <c r="AJ658" s="2">
        <v>50359.067691485398</v>
      </c>
      <c r="AK658" s="2">
        <v>110335.47477464299</v>
      </c>
      <c r="AL658" s="2">
        <v>126418.89413664299</v>
      </c>
      <c r="AM658" s="2">
        <v>133732.56470811699</v>
      </c>
      <c r="AN658" s="2">
        <v>129615.400759809</v>
      </c>
      <c r="AO658" s="2">
        <v>122848.30535459401</v>
      </c>
      <c r="AP658" s="2">
        <v>123585.285394066</v>
      </c>
    </row>
    <row r="659" spans="1:42" ht="14.5" x14ac:dyDescent="0.35">
      <c r="A659" s="2" t="s">
        <v>4560</v>
      </c>
      <c r="B659" s="2">
        <v>698.31558202923395</v>
      </c>
      <c r="C659" s="2">
        <v>6.4298666666666699</v>
      </c>
      <c r="D659" s="2" t="s">
        <v>34</v>
      </c>
      <c r="E659" s="2" t="s">
        <v>4561</v>
      </c>
      <c r="F659" s="2">
        <v>197331</v>
      </c>
      <c r="G659" s="3" t="str">
        <f>HYPERLINK("http://funmeta.oebiotech.com/network/197331", "http://funmeta.oebiotech.com/network/197331")</f>
        <v>http://funmeta.oebiotech.com/network/197331</v>
      </c>
      <c r="H659" s="2" t="s">
        <v>4562</v>
      </c>
      <c r="I659" s="2"/>
      <c r="J659" s="2"/>
      <c r="K659" s="2"/>
      <c r="L659" s="2"/>
      <c r="M659" s="2"/>
      <c r="N659" s="2"/>
      <c r="O659" s="2"/>
      <c r="P659" s="2"/>
      <c r="Q659" s="2" t="s">
        <v>4563</v>
      </c>
      <c r="R659" s="2" t="s">
        <v>4564</v>
      </c>
      <c r="S659" s="2" t="s">
        <v>41</v>
      </c>
      <c r="T659" s="2" t="s">
        <v>41</v>
      </c>
      <c r="U659" s="2" t="s">
        <v>41</v>
      </c>
      <c r="V659" s="2" t="s">
        <v>59</v>
      </c>
      <c r="W659" s="2">
        <v>37.5</v>
      </c>
      <c r="X659" s="2">
        <v>4.79</v>
      </c>
      <c r="Y659" s="2" t="s">
        <v>323</v>
      </c>
      <c r="Z659" s="2" t="s">
        <v>4565</v>
      </c>
      <c r="AA659" s="2">
        <v>-3.6808586023374001</v>
      </c>
      <c r="AB659" s="2">
        <v>1.0213663151291801</v>
      </c>
      <c r="AC659" s="2">
        <v>249421.212902623</v>
      </c>
      <c r="AD659" s="2">
        <v>320201.95788024098</v>
      </c>
      <c r="AE659" s="2">
        <v>249385.696492772</v>
      </c>
      <c r="AF659" s="2">
        <v>257038.05119728501</v>
      </c>
      <c r="AG659" s="2">
        <v>243175.09168717099</v>
      </c>
      <c r="AH659" s="2">
        <v>252614.639935582</v>
      </c>
      <c r="AI659" s="2">
        <v>244287.98274407801</v>
      </c>
      <c r="AJ659" s="2">
        <v>250025.81535884901</v>
      </c>
      <c r="AK659" s="2">
        <v>301215.85025563801</v>
      </c>
      <c r="AL659" s="2">
        <v>322605.55234809499</v>
      </c>
      <c r="AM659" s="2">
        <v>343108.09229850699</v>
      </c>
      <c r="AN659" s="2">
        <v>317290.608140319</v>
      </c>
      <c r="AO659" s="2">
        <v>319670.07404540398</v>
      </c>
      <c r="AP659" s="2">
        <v>317321.57019348303</v>
      </c>
    </row>
    <row r="660" spans="1:42" ht="14.5" x14ac:dyDescent="0.35">
      <c r="A660" s="2" t="s">
        <v>4566</v>
      </c>
      <c r="B660" s="2">
        <v>1103.5022724416399</v>
      </c>
      <c r="C660" s="2">
        <v>5.2337999999999996</v>
      </c>
      <c r="D660" s="2" t="s">
        <v>34</v>
      </c>
      <c r="E660" s="2" t="s">
        <v>4567</v>
      </c>
      <c r="F660" s="2">
        <v>59350</v>
      </c>
      <c r="G660" s="3" t="str">
        <f>HYPERLINK("http://funmeta.oebiotech.com/network/59350", "http://funmeta.oebiotech.com/network/59350")</f>
        <v>http://funmeta.oebiotech.com/network/59350</v>
      </c>
      <c r="H660" s="2" t="s">
        <v>4568</v>
      </c>
      <c r="I660" s="2">
        <v>90766</v>
      </c>
      <c r="J660" s="2"/>
      <c r="K660" s="2"/>
      <c r="L660" s="2"/>
      <c r="M660" s="2"/>
      <c r="N660" s="2"/>
      <c r="O660" s="2">
        <v>73815120</v>
      </c>
      <c r="P660" s="2" t="s">
        <v>4569</v>
      </c>
      <c r="Q660" s="2" t="s">
        <v>4570</v>
      </c>
      <c r="R660" s="2" t="s">
        <v>4571</v>
      </c>
      <c r="S660" s="2" t="s">
        <v>50</v>
      </c>
      <c r="T660" s="2" t="s">
        <v>124</v>
      </c>
      <c r="U660" s="2" t="s">
        <v>523</v>
      </c>
      <c r="V660" s="2" t="s">
        <v>59</v>
      </c>
      <c r="W660" s="2">
        <v>38.700000000000003</v>
      </c>
      <c r="X660" s="2">
        <v>0</v>
      </c>
      <c r="Y660" s="2" t="s">
        <v>4572</v>
      </c>
      <c r="Z660" s="2" t="s">
        <v>4573</v>
      </c>
      <c r="AA660" s="2">
        <v>-1.15033886297003</v>
      </c>
      <c r="AB660" s="2">
        <v>1.02110846201714</v>
      </c>
      <c r="AC660" s="2">
        <v>214008.09015113799</v>
      </c>
      <c r="AD660" s="2">
        <v>292182.03291406902</v>
      </c>
      <c r="AE660" s="2">
        <v>213912.867114789</v>
      </c>
      <c r="AF660" s="2">
        <v>179858.26324152501</v>
      </c>
      <c r="AG660" s="2">
        <v>239691.68402939901</v>
      </c>
      <c r="AH660" s="2">
        <v>202786.30649776899</v>
      </c>
      <c r="AI660" s="2">
        <v>185429.605523223</v>
      </c>
      <c r="AJ660" s="2">
        <v>262369.814500126</v>
      </c>
      <c r="AK660" s="2">
        <v>291058.42958866298</v>
      </c>
      <c r="AL660" s="2">
        <v>294619.60917420202</v>
      </c>
      <c r="AM660" s="2">
        <v>297426.41386907501</v>
      </c>
      <c r="AN660" s="2">
        <v>285334.352557657</v>
      </c>
      <c r="AO660" s="2">
        <v>302513.90773792402</v>
      </c>
      <c r="AP660" s="2">
        <v>282139.48455689399</v>
      </c>
    </row>
    <row r="661" spans="1:42" ht="14.5" x14ac:dyDescent="0.35">
      <c r="A661" s="2" t="s">
        <v>4574</v>
      </c>
      <c r="B661" s="2">
        <v>335.219119173759</v>
      </c>
      <c r="C661" s="2">
        <v>9.6350833333333306</v>
      </c>
      <c r="D661" s="2" t="s">
        <v>34</v>
      </c>
      <c r="E661" s="2" t="s">
        <v>4575</v>
      </c>
      <c r="F661" s="2">
        <v>2972</v>
      </c>
      <c r="G661" s="3" t="str">
        <f>HYPERLINK("http://funmeta.oebiotech.com/network/2972", "http://funmeta.oebiotech.com/network/2972")</f>
        <v>http://funmeta.oebiotech.com/network/2972</v>
      </c>
      <c r="H661" s="2" t="s">
        <v>4576</v>
      </c>
      <c r="I661" s="2">
        <v>36019</v>
      </c>
      <c r="J661" s="2" t="s">
        <v>4577</v>
      </c>
      <c r="K661" s="2">
        <v>34498</v>
      </c>
      <c r="L661" s="2" t="s">
        <v>4578</v>
      </c>
      <c r="M661" s="2" t="s">
        <v>4579</v>
      </c>
      <c r="N661" s="2" t="s">
        <v>4580</v>
      </c>
      <c r="O661" s="2">
        <v>9548877</v>
      </c>
      <c r="P661" s="2" t="s">
        <v>4581</v>
      </c>
      <c r="Q661" s="2" t="s">
        <v>4582</v>
      </c>
      <c r="R661" s="2" t="s">
        <v>4583</v>
      </c>
      <c r="S661" s="2" t="s">
        <v>50</v>
      </c>
      <c r="T661" s="2" t="s">
        <v>229</v>
      </c>
      <c r="U661" s="2" t="s">
        <v>1360</v>
      </c>
      <c r="V661" s="2" t="s">
        <v>42</v>
      </c>
      <c r="W661" s="2">
        <v>49.3</v>
      </c>
      <c r="X661" s="2">
        <v>49.9</v>
      </c>
      <c r="Y661" s="2" t="s">
        <v>1115</v>
      </c>
      <c r="Z661" s="2" t="s">
        <v>4584</v>
      </c>
      <c r="AA661" s="2">
        <v>-0.51567975777717401</v>
      </c>
      <c r="AB661" s="2">
        <v>1.0210672382059101</v>
      </c>
      <c r="AC661" s="2">
        <v>267767.78732934402</v>
      </c>
      <c r="AD661" s="2">
        <v>339133.687916508</v>
      </c>
      <c r="AE661" s="2">
        <v>269248.52982711198</v>
      </c>
      <c r="AF661" s="2">
        <v>275000.67917875701</v>
      </c>
      <c r="AG661" s="2">
        <v>267279.263148739</v>
      </c>
      <c r="AH661" s="2">
        <v>271043.94015860598</v>
      </c>
      <c r="AI661" s="2">
        <v>264117.20942219702</v>
      </c>
      <c r="AJ661" s="2">
        <v>259917.10224065499</v>
      </c>
      <c r="AK661" s="2">
        <v>364492.38176622801</v>
      </c>
      <c r="AL661" s="2">
        <v>345315.068811187</v>
      </c>
      <c r="AM661" s="2">
        <v>332471.17641843198</v>
      </c>
      <c r="AN661" s="2">
        <v>331440.735003329</v>
      </c>
      <c r="AO661" s="2">
        <v>340429.90957320301</v>
      </c>
      <c r="AP661" s="2">
        <v>320652.85592666699</v>
      </c>
    </row>
    <row r="662" spans="1:42" ht="14.5" x14ac:dyDescent="0.35">
      <c r="A662" s="2" t="s">
        <v>4585</v>
      </c>
      <c r="B662" s="2">
        <v>537.26704836398903</v>
      </c>
      <c r="C662" s="2">
        <v>4.3289999999999997</v>
      </c>
      <c r="D662" s="2" t="s">
        <v>34</v>
      </c>
      <c r="E662" s="2" t="s">
        <v>4586</v>
      </c>
      <c r="F662" s="2">
        <v>59003</v>
      </c>
      <c r="G662" s="3" t="str">
        <f>HYPERLINK("http://funmeta.oebiotech.com/network/59003", "http://funmeta.oebiotech.com/network/59003")</f>
        <v>http://funmeta.oebiotech.com/network/59003</v>
      </c>
      <c r="H662" s="2" t="s">
        <v>4587</v>
      </c>
      <c r="I662" s="2"/>
      <c r="J662" s="2"/>
      <c r="K662" s="2"/>
      <c r="L662" s="2"/>
      <c r="M662" s="2"/>
      <c r="N662" s="2"/>
      <c r="O662" s="2">
        <v>131751664</v>
      </c>
      <c r="P662" s="2" t="s">
        <v>4588</v>
      </c>
      <c r="Q662" s="2" t="s">
        <v>4589</v>
      </c>
      <c r="R662" s="2" t="s">
        <v>4590</v>
      </c>
      <c r="S662" s="2" t="s">
        <v>50</v>
      </c>
      <c r="T662" s="2" t="s">
        <v>201</v>
      </c>
      <c r="U662" s="2" t="s">
        <v>202</v>
      </c>
      <c r="V662" s="2" t="s">
        <v>59</v>
      </c>
      <c r="W662" s="2">
        <v>46.7</v>
      </c>
      <c r="X662" s="2">
        <v>39.6</v>
      </c>
      <c r="Y662" s="2" t="s">
        <v>323</v>
      </c>
      <c r="Z662" s="2" t="s">
        <v>1463</v>
      </c>
      <c r="AA662" s="2">
        <v>5.86092752168062E-2</v>
      </c>
      <c r="AB662" s="2">
        <v>1.0204894356134899</v>
      </c>
      <c r="AC662" s="2">
        <v>3506175.3924115798</v>
      </c>
      <c r="AD662" s="2">
        <v>3413956.9801713498</v>
      </c>
      <c r="AE662" s="2">
        <v>3543891.9349156399</v>
      </c>
      <c r="AF662" s="2">
        <v>3485943.2606897899</v>
      </c>
      <c r="AG662" s="2">
        <v>3550636.1361762499</v>
      </c>
      <c r="AH662" s="2">
        <v>3459452.7638943102</v>
      </c>
      <c r="AI662" s="2">
        <v>3499346.6957536899</v>
      </c>
      <c r="AJ662" s="2">
        <v>3497781.5630398202</v>
      </c>
      <c r="AK662" s="2">
        <v>3414459.7202281398</v>
      </c>
      <c r="AL662" s="2">
        <v>3456017.1249399302</v>
      </c>
      <c r="AM662" s="2">
        <v>3426884.5266360701</v>
      </c>
      <c r="AN662" s="2">
        <v>3360146.74258016</v>
      </c>
      <c r="AO662" s="2">
        <v>3485746.3012402402</v>
      </c>
      <c r="AP662" s="2">
        <v>3340487.4654035601</v>
      </c>
    </row>
    <row r="663" spans="1:42" ht="14.5" x14ac:dyDescent="0.35">
      <c r="A663" s="2" t="s">
        <v>4591</v>
      </c>
      <c r="B663" s="2">
        <v>819.50255794603299</v>
      </c>
      <c r="C663" s="2">
        <v>10.9451</v>
      </c>
      <c r="D663" s="2" t="s">
        <v>34</v>
      </c>
      <c r="E663" s="2" t="s">
        <v>4592</v>
      </c>
      <c r="F663" s="2">
        <v>221681</v>
      </c>
      <c r="G663" s="3" t="str">
        <f>HYPERLINK("http://funmeta.oebiotech.com/network/221681", "http://funmeta.oebiotech.com/network/221681")</f>
        <v>http://funmeta.oebiotech.com/network/221681</v>
      </c>
      <c r="H663" s="2" t="s">
        <v>4593</v>
      </c>
      <c r="I663" s="2"/>
      <c r="J663" s="2"/>
      <c r="K663" s="2"/>
      <c r="L663" s="2"/>
      <c r="M663" s="2"/>
      <c r="N663" s="2"/>
      <c r="O663" s="2"/>
      <c r="P663" s="2"/>
      <c r="Q663" s="2" t="s">
        <v>4594</v>
      </c>
      <c r="R663" s="2" t="s">
        <v>4595</v>
      </c>
      <c r="S663" s="2" t="s">
        <v>41</v>
      </c>
      <c r="T663" s="2" t="s">
        <v>41</v>
      </c>
      <c r="U663" s="2" t="s">
        <v>41</v>
      </c>
      <c r="V663" s="2" t="s">
        <v>59</v>
      </c>
      <c r="W663" s="2">
        <v>36</v>
      </c>
      <c r="X663" s="2">
        <v>0</v>
      </c>
      <c r="Y663" s="2" t="s">
        <v>394</v>
      </c>
      <c r="Z663" s="2" t="s">
        <v>4596</v>
      </c>
      <c r="AA663" s="2">
        <v>0.91927859840414095</v>
      </c>
      <c r="AB663" s="2">
        <v>1.020101028022</v>
      </c>
      <c r="AC663" s="2">
        <v>8430.0092203693803</v>
      </c>
      <c r="AD663" s="2">
        <v>77310.937170460995</v>
      </c>
      <c r="AE663" s="2">
        <v>7309.8246964742902</v>
      </c>
      <c r="AF663" s="2">
        <v>7873.8100142246503</v>
      </c>
      <c r="AG663" s="2">
        <v>9581.4992120724692</v>
      </c>
      <c r="AH663" s="2">
        <v>10220.6716097312</v>
      </c>
      <c r="AI663" s="2">
        <v>7527.8564549013799</v>
      </c>
      <c r="AJ663" s="2">
        <v>8066.3933348123101</v>
      </c>
      <c r="AK663" s="2">
        <v>76550.302190188202</v>
      </c>
      <c r="AL663" s="2">
        <v>74835.136830344694</v>
      </c>
      <c r="AM663" s="2">
        <v>91025.646167350598</v>
      </c>
      <c r="AN663" s="2">
        <v>78177.654094640005</v>
      </c>
      <c r="AO663" s="2">
        <v>71540.044316799307</v>
      </c>
      <c r="AP663" s="2">
        <v>71736.839423443307</v>
      </c>
    </row>
    <row r="664" spans="1:42" ht="14.5" x14ac:dyDescent="0.35">
      <c r="A664" s="2" t="s">
        <v>4597</v>
      </c>
      <c r="B664" s="2">
        <v>311.13460351051901</v>
      </c>
      <c r="C664" s="2">
        <v>2.1060833333333302</v>
      </c>
      <c r="D664" s="2" t="s">
        <v>70</v>
      </c>
      <c r="E664" s="2" t="s">
        <v>4598</v>
      </c>
      <c r="F664" s="2">
        <v>48451</v>
      </c>
      <c r="G664" s="3" t="str">
        <f>HYPERLINK("http://funmeta.oebiotech.com/network/48451", "http://funmeta.oebiotech.com/network/48451")</f>
        <v>http://funmeta.oebiotech.com/network/48451</v>
      </c>
      <c r="H664" s="2" t="s">
        <v>4599</v>
      </c>
      <c r="I664" s="2">
        <v>58286</v>
      </c>
      <c r="J664" s="2"/>
      <c r="K664" s="2">
        <v>7735</v>
      </c>
      <c r="L664" s="2" t="s">
        <v>4600</v>
      </c>
      <c r="M664" s="2"/>
      <c r="N664" s="2"/>
      <c r="O664" s="2">
        <v>135398745</v>
      </c>
      <c r="P664" s="2" t="s">
        <v>4601</v>
      </c>
      <c r="Q664" s="2" t="s">
        <v>4602</v>
      </c>
      <c r="R664" s="2" t="s">
        <v>4603</v>
      </c>
      <c r="S664" s="2" t="s">
        <v>491</v>
      </c>
      <c r="T664" s="2" t="s">
        <v>2653</v>
      </c>
      <c r="U664" s="2" t="s">
        <v>41</v>
      </c>
      <c r="V664" s="2" t="s">
        <v>59</v>
      </c>
      <c r="W664" s="2">
        <v>39.799999999999997</v>
      </c>
      <c r="X664" s="2">
        <v>13.6</v>
      </c>
      <c r="Y664" s="2" t="s">
        <v>118</v>
      </c>
      <c r="Z664" s="2" t="s">
        <v>4604</v>
      </c>
      <c r="AA664" s="2">
        <v>3.2430291061154799</v>
      </c>
      <c r="AB664" s="2">
        <v>1.0198815824476199</v>
      </c>
      <c r="AC664" s="2">
        <v>544511.12396171305</v>
      </c>
      <c r="AD664" s="2">
        <v>467969.361076425</v>
      </c>
      <c r="AE664" s="2">
        <v>548671.226041844</v>
      </c>
      <c r="AF664" s="2">
        <v>502631.54290043202</v>
      </c>
      <c r="AG664" s="2">
        <v>552878.35772634298</v>
      </c>
      <c r="AH664" s="2">
        <v>560739.02002902096</v>
      </c>
      <c r="AI664" s="2">
        <v>557567.69126354298</v>
      </c>
      <c r="AJ664" s="2">
        <v>544578.90580909303</v>
      </c>
      <c r="AK664" s="2">
        <v>467890.53503459302</v>
      </c>
      <c r="AL664" s="2">
        <v>461243.72223189101</v>
      </c>
      <c r="AM664" s="2">
        <v>475823.87135285302</v>
      </c>
      <c r="AN664" s="2">
        <v>450001.10226649803</v>
      </c>
      <c r="AO664" s="2">
        <v>448351.04499778699</v>
      </c>
      <c r="AP664" s="2">
        <v>504505.89057493</v>
      </c>
    </row>
    <row r="665" spans="1:42" ht="14.5" x14ac:dyDescent="0.35">
      <c r="A665" s="2" t="s">
        <v>4605</v>
      </c>
      <c r="B665" s="2">
        <v>317.21091979059997</v>
      </c>
      <c r="C665" s="2">
        <v>4.3453166666666698</v>
      </c>
      <c r="D665" s="2" t="s">
        <v>34</v>
      </c>
      <c r="E665" s="2" t="s">
        <v>4606</v>
      </c>
      <c r="F665" s="2">
        <v>4069</v>
      </c>
      <c r="G665" s="3" t="str">
        <f>HYPERLINK("http://funmeta.oebiotech.com/network/4069", "http://funmeta.oebiotech.com/network/4069")</f>
        <v>http://funmeta.oebiotech.com/network/4069</v>
      </c>
      <c r="H665" s="2"/>
      <c r="I665" s="2">
        <v>36347</v>
      </c>
      <c r="J665" s="2" t="s">
        <v>4607</v>
      </c>
      <c r="K665" s="2">
        <v>90996</v>
      </c>
      <c r="L665" s="2"/>
      <c r="M665" s="2"/>
      <c r="N665" s="2"/>
      <c r="O665" s="2">
        <v>5283195</v>
      </c>
      <c r="P665" s="2" t="s">
        <v>4608</v>
      </c>
      <c r="Q665" s="2" t="s">
        <v>4609</v>
      </c>
      <c r="R665" s="2" t="s">
        <v>4610</v>
      </c>
      <c r="S665" s="2" t="s">
        <v>50</v>
      </c>
      <c r="T665" s="2" t="s">
        <v>229</v>
      </c>
      <c r="U665" s="2" t="s">
        <v>766</v>
      </c>
      <c r="V665" s="2" t="s">
        <v>42</v>
      </c>
      <c r="W665" s="2">
        <v>49.8</v>
      </c>
      <c r="X665" s="2">
        <v>53.5</v>
      </c>
      <c r="Y665" s="2" t="s">
        <v>141</v>
      </c>
      <c r="Z665" s="2" t="s">
        <v>4611</v>
      </c>
      <c r="AA665" s="2">
        <v>-0.60260639296926299</v>
      </c>
      <c r="AB665" s="2">
        <v>1.0198741299706999</v>
      </c>
      <c r="AC665" s="2">
        <v>2557819.1706173401</v>
      </c>
      <c r="AD665" s="2">
        <v>2467849.1354176602</v>
      </c>
      <c r="AE665" s="2">
        <v>2559332.9325807299</v>
      </c>
      <c r="AF665" s="2">
        <v>2549454.41401383</v>
      </c>
      <c r="AG665" s="2">
        <v>2601742.2048649099</v>
      </c>
      <c r="AH665" s="2">
        <v>2506202.97250885</v>
      </c>
      <c r="AI665" s="2">
        <v>2537375.13093436</v>
      </c>
      <c r="AJ665" s="2">
        <v>2592807.3688013698</v>
      </c>
      <c r="AK665" s="2">
        <v>2432272.33183893</v>
      </c>
      <c r="AL665" s="2">
        <v>2535040.37566231</v>
      </c>
      <c r="AM665" s="2">
        <v>2521775.2133636698</v>
      </c>
      <c r="AN665" s="2">
        <v>2464543.28643368</v>
      </c>
      <c r="AO665" s="2">
        <v>2421474.87977162</v>
      </c>
      <c r="AP665" s="2">
        <v>2431988.7254357301</v>
      </c>
    </row>
    <row r="666" spans="1:42" ht="14.5" x14ac:dyDescent="0.35">
      <c r="A666" s="2" t="s">
        <v>4612</v>
      </c>
      <c r="B666" s="2">
        <v>524.33703847830895</v>
      </c>
      <c r="C666" s="2">
        <v>7.8640499999999998</v>
      </c>
      <c r="D666" s="2" t="s">
        <v>34</v>
      </c>
      <c r="E666" s="2" t="s">
        <v>4613</v>
      </c>
      <c r="F666" s="2">
        <v>19960</v>
      </c>
      <c r="G666" s="3" t="str">
        <f>HYPERLINK("http://funmeta.oebiotech.com/network/19960", "http://funmeta.oebiotech.com/network/19960")</f>
        <v>http://funmeta.oebiotech.com/network/19960</v>
      </c>
      <c r="H666" s="2"/>
      <c r="I666" s="2">
        <v>40499</v>
      </c>
      <c r="J666" s="2" t="s">
        <v>4614</v>
      </c>
      <c r="K666" s="2">
        <v>137858</v>
      </c>
      <c r="L666" s="2"/>
      <c r="M666" s="2"/>
      <c r="N666" s="2"/>
      <c r="O666" s="2">
        <v>9546803</v>
      </c>
      <c r="P666" s="2"/>
      <c r="Q666" s="2" t="s">
        <v>4615</v>
      </c>
      <c r="R666" s="2" t="s">
        <v>4616</v>
      </c>
      <c r="S666" s="2" t="s">
        <v>50</v>
      </c>
      <c r="T666" s="2" t="s">
        <v>51</v>
      </c>
      <c r="U666" s="2" t="s">
        <v>257</v>
      </c>
      <c r="V666" s="2" t="s">
        <v>59</v>
      </c>
      <c r="W666" s="2">
        <v>38.5</v>
      </c>
      <c r="X666" s="2">
        <v>2.37</v>
      </c>
      <c r="Y666" s="2" t="s">
        <v>394</v>
      </c>
      <c r="Z666" s="2" t="s">
        <v>4617</v>
      </c>
      <c r="AA666" s="2">
        <v>4.5054998263044501</v>
      </c>
      <c r="AB666" s="2">
        <v>1.0195962459555401</v>
      </c>
      <c r="AC666" s="2">
        <v>55047.394984169398</v>
      </c>
      <c r="AD666" s="2">
        <v>123637.29217535999</v>
      </c>
      <c r="AE666" s="2">
        <v>54775.622752543801</v>
      </c>
      <c r="AF666" s="2">
        <v>53152.853358435998</v>
      </c>
      <c r="AG666" s="2">
        <v>58501.922027299799</v>
      </c>
      <c r="AH666" s="2">
        <v>51779.209239221898</v>
      </c>
      <c r="AI666" s="2">
        <v>55226.707259849703</v>
      </c>
      <c r="AJ666" s="2">
        <v>56848.055267664997</v>
      </c>
      <c r="AK666" s="2">
        <v>124702.834871643</v>
      </c>
      <c r="AL666" s="2">
        <v>114504.01646201601</v>
      </c>
      <c r="AM666" s="2">
        <v>125631.605869976</v>
      </c>
      <c r="AN666" s="2">
        <v>122170.381620097</v>
      </c>
      <c r="AO666" s="2">
        <v>124401.477941226</v>
      </c>
      <c r="AP666" s="2">
        <v>130413.436287203</v>
      </c>
    </row>
    <row r="667" spans="1:42" ht="14.5" x14ac:dyDescent="0.35">
      <c r="A667" s="2" t="s">
        <v>4618</v>
      </c>
      <c r="B667" s="2">
        <v>385.12910187423802</v>
      </c>
      <c r="C667" s="2">
        <v>5.0599499999999997</v>
      </c>
      <c r="D667" s="2" t="s">
        <v>70</v>
      </c>
      <c r="E667" s="2" t="s">
        <v>4619</v>
      </c>
      <c r="F667" s="2">
        <v>34237</v>
      </c>
      <c r="G667" s="3" t="str">
        <f>HYPERLINK("http://funmeta.oebiotech.com/network/34237", "http://funmeta.oebiotech.com/network/34237")</f>
        <v>http://funmeta.oebiotech.com/network/34237</v>
      </c>
      <c r="H667" s="2"/>
      <c r="I667" s="2">
        <v>52545</v>
      </c>
      <c r="J667" s="2" t="s">
        <v>4620</v>
      </c>
      <c r="K667" s="2"/>
      <c r="L667" s="2"/>
      <c r="M667" s="2"/>
      <c r="N667" s="2"/>
      <c r="O667" s="2">
        <v>10914766</v>
      </c>
      <c r="P667" s="2"/>
      <c r="Q667" s="2" t="s">
        <v>4621</v>
      </c>
      <c r="R667" s="2" t="s">
        <v>4622</v>
      </c>
      <c r="S667" s="2" t="s">
        <v>115</v>
      </c>
      <c r="T667" s="2" t="s">
        <v>139</v>
      </c>
      <c r="U667" s="2" t="s">
        <v>1437</v>
      </c>
      <c r="V667" s="2" t="s">
        <v>42</v>
      </c>
      <c r="W667" s="2">
        <v>55.3</v>
      </c>
      <c r="X667" s="2">
        <v>80.3</v>
      </c>
      <c r="Y667" s="2" t="s">
        <v>408</v>
      </c>
      <c r="Z667" s="2" t="s">
        <v>4623</v>
      </c>
      <c r="AA667" s="2">
        <v>-0.51372830991249296</v>
      </c>
      <c r="AB667" s="2">
        <v>1.01896242873876</v>
      </c>
      <c r="AC667" s="2">
        <v>439341.35405411298</v>
      </c>
      <c r="AD667" s="2">
        <v>356790.83090147399</v>
      </c>
      <c r="AE667" s="2">
        <v>487888.90371825401</v>
      </c>
      <c r="AF667" s="2">
        <v>420781.24226957402</v>
      </c>
      <c r="AG667" s="2">
        <v>402362.88437815802</v>
      </c>
      <c r="AH667" s="2">
        <v>466288.547485205</v>
      </c>
      <c r="AI667" s="2">
        <v>425658.76710743102</v>
      </c>
      <c r="AJ667" s="2">
        <v>433067.77936605801</v>
      </c>
      <c r="AK667" s="2">
        <v>402373.16190894699</v>
      </c>
      <c r="AL667" s="2">
        <v>348587.56494659802</v>
      </c>
      <c r="AM667" s="2">
        <v>370742.94269126101</v>
      </c>
      <c r="AN667" s="2">
        <v>342394.00636762299</v>
      </c>
      <c r="AO667" s="2">
        <v>364598.37236092001</v>
      </c>
      <c r="AP667" s="2">
        <v>312048.93713349698</v>
      </c>
    </row>
    <row r="668" spans="1:42" ht="14.5" x14ac:dyDescent="0.35">
      <c r="A668" s="2" t="s">
        <v>4624</v>
      </c>
      <c r="B668" s="2">
        <v>577.26396508404002</v>
      </c>
      <c r="C668" s="2">
        <v>9.5044666666666693</v>
      </c>
      <c r="D668" s="2" t="s">
        <v>34</v>
      </c>
      <c r="E668" s="2" t="s">
        <v>4625</v>
      </c>
      <c r="F668" s="2">
        <v>196974</v>
      </c>
      <c r="G668" s="3" t="str">
        <f>HYPERLINK("http://funmeta.oebiotech.com/network/196974", "http://funmeta.oebiotech.com/network/196974")</f>
        <v>http://funmeta.oebiotech.com/network/196974</v>
      </c>
      <c r="H668" s="2" t="s">
        <v>4626</v>
      </c>
      <c r="I668" s="2"/>
      <c r="J668" s="2"/>
      <c r="K668" s="2"/>
      <c r="L668" s="2"/>
      <c r="M668" s="2"/>
      <c r="N668" s="2"/>
      <c r="O668" s="2">
        <v>11387605</v>
      </c>
      <c r="P668" s="2" t="s">
        <v>4627</v>
      </c>
      <c r="Q668" s="2" t="s">
        <v>4628</v>
      </c>
      <c r="R668" s="2" t="s">
        <v>4629</v>
      </c>
      <c r="S668" s="2" t="s">
        <v>148</v>
      </c>
      <c r="T668" s="2" t="s">
        <v>149</v>
      </c>
      <c r="U668" s="2" t="s">
        <v>4630</v>
      </c>
      <c r="V668" s="2" t="s">
        <v>59</v>
      </c>
      <c r="W668" s="2">
        <v>39.200000000000003</v>
      </c>
      <c r="X668" s="2">
        <v>0</v>
      </c>
      <c r="Y668" s="2" t="s">
        <v>67</v>
      </c>
      <c r="Z668" s="2" t="s">
        <v>4631</v>
      </c>
      <c r="AA668" s="2">
        <v>-1.0475530600723999</v>
      </c>
      <c r="AB668" s="2">
        <v>1.0187957475068401</v>
      </c>
      <c r="AC668" s="2">
        <v>96208.489948201401</v>
      </c>
      <c r="AD668" s="2">
        <v>26106.830171074998</v>
      </c>
      <c r="AE668" s="2">
        <v>92442.308175486498</v>
      </c>
      <c r="AF668" s="2">
        <v>90552.577042081306</v>
      </c>
      <c r="AG668" s="2">
        <v>95050.575142214206</v>
      </c>
      <c r="AH668" s="2">
        <v>99548.737632277203</v>
      </c>
      <c r="AI668" s="2">
        <v>80083.778017484205</v>
      </c>
      <c r="AJ668" s="2">
        <v>119572.963679665</v>
      </c>
      <c r="AK668" s="2">
        <v>28790.9650507476</v>
      </c>
      <c r="AL668" s="2">
        <v>28008.602602136401</v>
      </c>
      <c r="AM668" s="2">
        <v>26884.540411152098</v>
      </c>
      <c r="AN668" s="2">
        <v>20132.275199084499</v>
      </c>
      <c r="AO668" s="2">
        <v>31346.9552986286</v>
      </c>
      <c r="AP668" s="2">
        <v>21477.642464701101</v>
      </c>
    </row>
    <row r="669" spans="1:42" ht="14.5" x14ac:dyDescent="0.35">
      <c r="A669" s="2" t="s">
        <v>4632</v>
      </c>
      <c r="B669" s="2">
        <v>449.27575541531399</v>
      </c>
      <c r="C669" s="2">
        <v>6.0108166666666696</v>
      </c>
      <c r="D669" s="2" t="s">
        <v>70</v>
      </c>
      <c r="E669" s="2" t="s">
        <v>4633</v>
      </c>
      <c r="F669" s="2">
        <v>10313</v>
      </c>
      <c r="G669" s="3" t="str">
        <f>HYPERLINK("http://funmeta.oebiotech.com/network/10313", "http://funmeta.oebiotech.com/network/10313")</f>
        <v>http://funmeta.oebiotech.com/network/10313</v>
      </c>
      <c r="H669" s="2"/>
      <c r="I669" s="2"/>
      <c r="J669" s="2" t="s">
        <v>4634</v>
      </c>
      <c r="K669" s="2">
        <v>79233</v>
      </c>
      <c r="L669" s="2"/>
      <c r="M669" s="2"/>
      <c r="N669" s="2"/>
      <c r="O669" s="2">
        <v>86289822</v>
      </c>
      <c r="P669" s="2"/>
      <c r="Q669" s="2" t="s">
        <v>4635</v>
      </c>
      <c r="R669" s="2" t="s">
        <v>4636</v>
      </c>
      <c r="S669" s="2" t="s">
        <v>50</v>
      </c>
      <c r="T669" s="2" t="s">
        <v>229</v>
      </c>
      <c r="U669" s="2" t="s">
        <v>433</v>
      </c>
      <c r="V669" s="2" t="s">
        <v>59</v>
      </c>
      <c r="W669" s="2">
        <v>48.3</v>
      </c>
      <c r="X669" s="2">
        <v>43.4</v>
      </c>
      <c r="Y669" s="2" t="s">
        <v>408</v>
      </c>
      <c r="Z669" s="2" t="s">
        <v>4637</v>
      </c>
      <c r="AA669" s="2">
        <v>0.36837476604562203</v>
      </c>
      <c r="AB669" s="2">
        <v>1.0186384104631701</v>
      </c>
      <c r="AC669" s="2">
        <v>182775.228043009</v>
      </c>
      <c r="AD669" s="2">
        <v>113824.591537898</v>
      </c>
      <c r="AE669" s="2">
        <v>197046.971495821</v>
      </c>
      <c r="AF669" s="2">
        <v>181097.044237842</v>
      </c>
      <c r="AG669" s="2">
        <v>181233.820492564</v>
      </c>
      <c r="AH669" s="2">
        <v>175293.76416375299</v>
      </c>
      <c r="AI669" s="2">
        <v>178818.31641641899</v>
      </c>
      <c r="AJ669" s="2">
        <v>183161.451451656</v>
      </c>
      <c r="AK669" s="2">
        <v>114928.181923613</v>
      </c>
      <c r="AL669" s="2">
        <v>109449.652927602</v>
      </c>
      <c r="AM669" s="2">
        <v>120689.53357794799</v>
      </c>
      <c r="AN669" s="2">
        <v>114628.958367921</v>
      </c>
      <c r="AO669" s="2">
        <v>108078.151426182</v>
      </c>
      <c r="AP669" s="2">
        <v>115173.07100411999</v>
      </c>
    </row>
    <row r="670" spans="1:42" ht="14.5" x14ac:dyDescent="0.35">
      <c r="A670" s="2" t="s">
        <v>4638</v>
      </c>
      <c r="B670" s="2">
        <v>116.07046291517899</v>
      </c>
      <c r="C670" s="2">
        <v>0.73473333333333302</v>
      </c>
      <c r="D670" s="2" t="s">
        <v>34</v>
      </c>
      <c r="E670" s="2" t="s">
        <v>4639</v>
      </c>
      <c r="F670" s="2">
        <v>46904</v>
      </c>
      <c r="G670" s="3" t="str">
        <f>HYPERLINK("http://funmeta.oebiotech.com/network/46904", "http://funmeta.oebiotech.com/network/46904")</f>
        <v>http://funmeta.oebiotech.com/network/46904</v>
      </c>
      <c r="H670" s="2" t="s">
        <v>4640</v>
      </c>
      <c r="I670" s="2">
        <v>29</v>
      </c>
      <c r="J670" s="2"/>
      <c r="K670" s="2">
        <v>17203</v>
      </c>
      <c r="L670" s="2" t="s">
        <v>4641</v>
      </c>
      <c r="M670" s="2" t="s">
        <v>4642</v>
      </c>
      <c r="N670" s="2" t="s">
        <v>4643</v>
      </c>
      <c r="O670" s="2">
        <v>145742</v>
      </c>
      <c r="P670" s="2" t="s">
        <v>4644</v>
      </c>
      <c r="Q670" s="2" t="s">
        <v>4645</v>
      </c>
      <c r="R670" s="2" t="s">
        <v>4646</v>
      </c>
      <c r="S670" s="2" t="s">
        <v>89</v>
      </c>
      <c r="T670" s="2" t="s">
        <v>90</v>
      </c>
      <c r="U670" s="2" t="s">
        <v>99</v>
      </c>
      <c r="V670" s="2" t="s">
        <v>42</v>
      </c>
      <c r="W670" s="2">
        <v>57.5</v>
      </c>
      <c r="X670" s="2">
        <v>95.4</v>
      </c>
      <c r="Y670" s="2" t="s">
        <v>394</v>
      </c>
      <c r="Z670" s="2" t="s">
        <v>4647</v>
      </c>
      <c r="AA670" s="2">
        <v>-1.23453208289104</v>
      </c>
      <c r="AB670" s="2">
        <v>1.0152455702126599</v>
      </c>
      <c r="AC670" s="2">
        <v>230812.98281622501</v>
      </c>
      <c r="AD670" s="2">
        <v>157554.823607725</v>
      </c>
      <c r="AE670" s="2">
        <v>214250.91583678601</v>
      </c>
      <c r="AF670" s="2">
        <v>258155.40655623699</v>
      </c>
      <c r="AG670" s="2">
        <v>215157.93437064101</v>
      </c>
      <c r="AH670" s="2">
        <v>255929.873107058</v>
      </c>
      <c r="AI670" s="2">
        <v>203511.419974474</v>
      </c>
      <c r="AJ670" s="2">
        <v>237872.34705215099</v>
      </c>
      <c r="AK670" s="2">
        <v>150667.34006546301</v>
      </c>
      <c r="AL670" s="2">
        <v>160095.68331364699</v>
      </c>
      <c r="AM670" s="2">
        <v>168493.53971196001</v>
      </c>
      <c r="AN670" s="2">
        <v>159485.27960156801</v>
      </c>
      <c r="AO670" s="2">
        <v>149298.66417847201</v>
      </c>
      <c r="AP670" s="2">
        <v>157288.43477524299</v>
      </c>
    </row>
    <row r="671" spans="1:42" ht="14.5" x14ac:dyDescent="0.35">
      <c r="A671" s="2" t="s">
        <v>4648</v>
      </c>
      <c r="B671" s="2">
        <v>308.07732075468903</v>
      </c>
      <c r="C671" s="2">
        <v>4.22216666666667</v>
      </c>
      <c r="D671" s="2" t="s">
        <v>70</v>
      </c>
      <c r="E671" s="2" t="s">
        <v>4649</v>
      </c>
      <c r="F671" s="2">
        <v>63959</v>
      </c>
      <c r="G671" s="3" t="str">
        <f>HYPERLINK("http://funmeta.oebiotech.com/network/63959", "http://funmeta.oebiotech.com/network/63959")</f>
        <v>http://funmeta.oebiotech.com/network/63959</v>
      </c>
      <c r="H671" s="2" t="s">
        <v>4650</v>
      </c>
      <c r="I671" s="2">
        <v>95292</v>
      </c>
      <c r="J671" s="2"/>
      <c r="K671" s="2">
        <v>174954</v>
      </c>
      <c r="L671" s="2"/>
      <c r="M671" s="2"/>
      <c r="N671" s="2"/>
      <c r="O671" s="2">
        <v>24891364</v>
      </c>
      <c r="P671" s="2" t="s">
        <v>4651</v>
      </c>
      <c r="Q671" s="2" t="s">
        <v>4652</v>
      </c>
      <c r="R671" s="2" t="s">
        <v>4653</v>
      </c>
      <c r="S671" s="2" t="s">
        <v>89</v>
      </c>
      <c r="T671" s="2" t="s">
        <v>90</v>
      </c>
      <c r="U671" s="2" t="s">
        <v>99</v>
      </c>
      <c r="V671" s="2" t="s">
        <v>42</v>
      </c>
      <c r="W671" s="2">
        <v>50.8</v>
      </c>
      <c r="X671" s="2">
        <v>59.1</v>
      </c>
      <c r="Y671" s="2" t="s">
        <v>118</v>
      </c>
      <c r="Z671" s="2" t="s">
        <v>4654</v>
      </c>
      <c r="AA671" s="2">
        <v>-0.82383875914730498</v>
      </c>
      <c r="AB671" s="2">
        <v>1.0146519569210499</v>
      </c>
      <c r="AC671" s="2">
        <v>126163.967773071</v>
      </c>
      <c r="AD671" s="2">
        <v>57603.171829617597</v>
      </c>
      <c r="AE671" s="2">
        <v>136147.48116778699</v>
      </c>
      <c r="AF671" s="2">
        <v>120211.55178248</v>
      </c>
      <c r="AG671" s="2">
        <v>119635.539136198</v>
      </c>
      <c r="AH671" s="2">
        <v>135383.43040655999</v>
      </c>
      <c r="AI671" s="2">
        <v>123799.792104033</v>
      </c>
      <c r="AJ671" s="2">
        <v>121806.012041366</v>
      </c>
      <c r="AK671" s="2">
        <v>57465.287491954601</v>
      </c>
      <c r="AL671" s="2">
        <v>56047.158982156703</v>
      </c>
      <c r="AM671" s="2">
        <v>67412.379733245296</v>
      </c>
      <c r="AN671" s="2">
        <v>55507.807964472799</v>
      </c>
      <c r="AO671" s="2">
        <v>52488.847928832103</v>
      </c>
      <c r="AP671" s="2">
        <v>56697.548877044203</v>
      </c>
    </row>
    <row r="672" spans="1:42" ht="14.5" x14ac:dyDescent="0.35">
      <c r="A672" s="2" t="s">
        <v>4655</v>
      </c>
      <c r="B672" s="2">
        <v>179.055021525597</v>
      </c>
      <c r="C672" s="2">
        <v>0.75453333333333295</v>
      </c>
      <c r="D672" s="2" t="s">
        <v>70</v>
      </c>
      <c r="E672" s="2" t="s">
        <v>4656</v>
      </c>
      <c r="F672" s="2">
        <v>257706</v>
      </c>
      <c r="G672" s="3" t="str">
        <f>HYPERLINK("http://funmeta.oebiotech.com/network/257706", "http://funmeta.oebiotech.com/network/257706")</f>
        <v>http://funmeta.oebiotech.com/network/257706</v>
      </c>
      <c r="H672" s="2"/>
      <c r="I672" s="2">
        <v>144</v>
      </c>
      <c r="J672" s="2"/>
      <c r="K672" s="2"/>
      <c r="L672" s="2" t="s">
        <v>4657</v>
      </c>
      <c r="M672" s="2" t="s">
        <v>4658</v>
      </c>
      <c r="N672" s="2" t="s">
        <v>4659</v>
      </c>
      <c r="O672" s="2">
        <v>892</v>
      </c>
      <c r="P672" s="2" t="s">
        <v>4660</v>
      </c>
      <c r="Q672" s="2" t="s">
        <v>4661</v>
      </c>
      <c r="R672" s="2" t="s">
        <v>4662</v>
      </c>
      <c r="S672" s="2" t="s">
        <v>79</v>
      </c>
      <c r="T672" s="2" t="s">
        <v>80</v>
      </c>
      <c r="U672" s="2" t="s">
        <v>2021</v>
      </c>
      <c r="V672" s="2" t="s">
        <v>42</v>
      </c>
      <c r="W672" s="2">
        <v>49.2</v>
      </c>
      <c r="X672" s="2">
        <v>54.5</v>
      </c>
      <c r="Y672" s="2" t="s">
        <v>118</v>
      </c>
      <c r="Z672" s="2" t="s">
        <v>4663</v>
      </c>
      <c r="AA672" s="2">
        <v>-6.0542268728717001</v>
      </c>
      <c r="AB672" s="2">
        <v>1.01255261908232</v>
      </c>
      <c r="AC672" s="2">
        <v>767336.42538622394</v>
      </c>
      <c r="AD672" s="2">
        <v>871955.81444091699</v>
      </c>
      <c r="AE672" s="2">
        <v>673439.17463448294</v>
      </c>
      <c r="AF672" s="2">
        <v>893623.25625152001</v>
      </c>
      <c r="AG672" s="2">
        <v>767494.45275993401</v>
      </c>
      <c r="AH672" s="2">
        <v>785230.29559335101</v>
      </c>
      <c r="AI672" s="2">
        <v>748646.61841704894</v>
      </c>
      <c r="AJ672" s="2">
        <v>735584.75466100697</v>
      </c>
      <c r="AK672" s="2">
        <v>909692.01881271403</v>
      </c>
      <c r="AL672" s="2">
        <v>927229.53244914801</v>
      </c>
      <c r="AM672" s="2">
        <v>813335.34324666404</v>
      </c>
      <c r="AN672" s="2">
        <v>898875.53530887805</v>
      </c>
      <c r="AO672" s="2">
        <v>907108.46638667898</v>
      </c>
      <c r="AP672" s="2">
        <v>775493.99044141604</v>
      </c>
    </row>
    <row r="673" spans="1:42" ht="14.5" x14ac:dyDescent="0.35">
      <c r="A673" s="2" t="s">
        <v>4664</v>
      </c>
      <c r="B673" s="2">
        <v>349.18423002708198</v>
      </c>
      <c r="C673" s="2">
        <v>4.8018000000000001</v>
      </c>
      <c r="D673" s="2" t="s">
        <v>34</v>
      </c>
      <c r="E673" s="2" t="s">
        <v>4665</v>
      </c>
      <c r="F673" s="2">
        <v>62745</v>
      </c>
      <c r="G673" s="3" t="str">
        <f>HYPERLINK("http://funmeta.oebiotech.com/network/62745", "http://funmeta.oebiotech.com/network/62745")</f>
        <v>http://funmeta.oebiotech.com/network/62745</v>
      </c>
      <c r="H673" s="2" t="s">
        <v>4666</v>
      </c>
      <c r="I673" s="2">
        <v>94041</v>
      </c>
      <c r="J673" s="2"/>
      <c r="K673" s="2">
        <v>168265</v>
      </c>
      <c r="L673" s="2"/>
      <c r="M673" s="2"/>
      <c r="N673" s="2"/>
      <c r="O673" s="2">
        <v>73809752</v>
      </c>
      <c r="P673" s="2" t="s">
        <v>4667</v>
      </c>
      <c r="Q673" s="2" t="s">
        <v>4668</v>
      </c>
      <c r="R673" s="2" t="s">
        <v>4669</v>
      </c>
      <c r="S673" s="2" t="s">
        <v>50</v>
      </c>
      <c r="T673" s="2" t="s">
        <v>201</v>
      </c>
      <c r="U673" s="2" t="s">
        <v>202</v>
      </c>
      <c r="V673" s="2" t="s">
        <v>59</v>
      </c>
      <c r="W673" s="2">
        <v>42.7</v>
      </c>
      <c r="X673" s="2">
        <v>29.4</v>
      </c>
      <c r="Y673" s="2" t="s">
        <v>67</v>
      </c>
      <c r="Z673" s="2" t="s">
        <v>4670</v>
      </c>
      <c r="AA673" s="2">
        <v>-4.2054857007309696</v>
      </c>
      <c r="AB673" s="2">
        <v>1.0113792429118</v>
      </c>
      <c r="AC673" s="2">
        <v>251459.431613986</v>
      </c>
      <c r="AD673" s="2">
        <v>320782.96031214902</v>
      </c>
      <c r="AE673" s="2">
        <v>252601.89888830701</v>
      </c>
      <c r="AF673" s="2">
        <v>248072.12620653299</v>
      </c>
      <c r="AG673" s="2">
        <v>240324.944501983</v>
      </c>
      <c r="AH673" s="2">
        <v>260805.143748195</v>
      </c>
      <c r="AI673" s="2">
        <v>268324.42817958299</v>
      </c>
      <c r="AJ673" s="2">
        <v>238628.04815931601</v>
      </c>
      <c r="AK673" s="2">
        <v>312236.64910864597</v>
      </c>
      <c r="AL673" s="2">
        <v>317420.40838282701</v>
      </c>
      <c r="AM673" s="2">
        <v>338797.527970756</v>
      </c>
      <c r="AN673" s="2">
        <v>322260.48035636701</v>
      </c>
      <c r="AO673" s="2">
        <v>318022.82159988798</v>
      </c>
      <c r="AP673" s="2">
        <v>315959.87445440999</v>
      </c>
    </row>
    <row r="674" spans="1:42" ht="14.5" x14ac:dyDescent="0.35">
      <c r="A674" s="2" t="s">
        <v>4671</v>
      </c>
      <c r="B674" s="2">
        <v>682.434703260682</v>
      </c>
      <c r="C674" s="2">
        <v>11.65635</v>
      </c>
      <c r="D674" s="2" t="s">
        <v>34</v>
      </c>
      <c r="E674" s="2" t="s">
        <v>4672</v>
      </c>
      <c r="F674" s="2">
        <v>256959</v>
      </c>
      <c r="G674" s="3" t="str">
        <f>HYPERLINK("http://funmeta.oebiotech.com/network/256959", "http://funmeta.oebiotech.com/network/256959")</f>
        <v>http://funmeta.oebiotech.com/network/256959</v>
      </c>
      <c r="H674" s="2" t="s">
        <v>4673</v>
      </c>
      <c r="I674" s="2"/>
      <c r="J674" s="2"/>
      <c r="K674" s="2">
        <v>84454</v>
      </c>
      <c r="L674" s="2"/>
      <c r="M674" s="2"/>
      <c r="N674" s="2"/>
      <c r="O674" s="2">
        <v>25244125</v>
      </c>
      <c r="P674" s="2"/>
      <c r="Q674" s="2" t="s">
        <v>4674</v>
      </c>
      <c r="R674" s="2" t="s">
        <v>4675</v>
      </c>
      <c r="S674" s="2" t="s">
        <v>50</v>
      </c>
      <c r="T674" s="2" t="s">
        <v>201</v>
      </c>
      <c r="U674" s="2" t="s">
        <v>4676</v>
      </c>
      <c r="V674" s="2" t="s">
        <v>59</v>
      </c>
      <c r="W674" s="2">
        <v>36.799999999999997</v>
      </c>
      <c r="X674" s="2">
        <v>0</v>
      </c>
      <c r="Y674" s="2" t="s">
        <v>340</v>
      </c>
      <c r="Z674" s="2" t="s">
        <v>4677</v>
      </c>
      <c r="AA674" s="2">
        <v>-1.6944278707026199</v>
      </c>
      <c r="AB674" s="2">
        <v>1.0108737818731399</v>
      </c>
      <c r="AC674" s="2">
        <v>190.96355462787201</v>
      </c>
      <c r="AD674" s="2">
        <v>69596.228557463706</v>
      </c>
      <c r="AE674" s="2">
        <v>166.65600706587</v>
      </c>
      <c r="AF674" s="2">
        <v>192.98724722446099</v>
      </c>
      <c r="AG674" s="2">
        <v>313.702815585915</v>
      </c>
      <c r="AH674" s="2">
        <v>350.81145495652601</v>
      </c>
      <c r="AI674" s="2">
        <v>56.144538019873302</v>
      </c>
      <c r="AJ674" s="2">
        <v>65.479264914583794</v>
      </c>
      <c r="AK674" s="2">
        <v>67320.154482409896</v>
      </c>
      <c r="AL674" s="2">
        <v>51398.272290823101</v>
      </c>
      <c r="AM674" s="2">
        <v>92987.066080844306</v>
      </c>
      <c r="AN674" s="2">
        <v>63675.776083162797</v>
      </c>
      <c r="AO674" s="2">
        <v>62404.911349392001</v>
      </c>
      <c r="AP674" s="2">
        <v>79791.1910581501</v>
      </c>
    </row>
    <row r="675" spans="1:42" ht="14.5" x14ac:dyDescent="0.35">
      <c r="A675" s="2" t="s">
        <v>4678</v>
      </c>
      <c r="B675" s="2">
        <v>519.25880367024399</v>
      </c>
      <c r="C675" s="2">
        <v>9.1206166666666704</v>
      </c>
      <c r="D675" s="2" t="s">
        <v>34</v>
      </c>
      <c r="E675" s="2" t="s">
        <v>4679</v>
      </c>
      <c r="F675" s="2">
        <v>54985</v>
      </c>
      <c r="G675" s="3" t="str">
        <f>HYPERLINK("http://funmeta.oebiotech.com/network/54985", "http://funmeta.oebiotech.com/network/54985")</f>
        <v>http://funmeta.oebiotech.com/network/54985</v>
      </c>
      <c r="H675" s="2" t="s">
        <v>4680</v>
      </c>
      <c r="I675" s="2"/>
      <c r="J675" s="2"/>
      <c r="K675" s="2"/>
      <c r="L675" s="2"/>
      <c r="M675" s="2"/>
      <c r="N675" s="2"/>
      <c r="O675" s="2">
        <v>131750971</v>
      </c>
      <c r="P675" s="2" t="s">
        <v>4681</v>
      </c>
      <c r="Q675" s="2" t="s">
        <v>4682</v>
      </c>
      <c r="R675" s="2" t="s">
        <v>4683</v>
      </c>
      <c r="S675" s="2" t="s">
        <v>491</v>
      </c>
      <c r="T675" s="2" t="s">
        <v>2251</v>
      </c>
      <c r="U675" s="2" t="s">
        <v>2252</v>
      </c>
      <c r="V675" s="2" t="s">
        <v>59</v>
      </c>
      <c r="W675" s="2">
        <v>42.2</v>
      </c>
      <c r="X675" s="2">
        <v>14.6</v>
      </c>
      <c r="Y675" s="2" t="s">
        <v>394</v>
      </c>
      <c r="Z675" s="2" t="s">
        <v>4684</v>
      </c>
      <c r="AA675" s="2">
        <v>-0.10719978154177601</v>
      </c>
      <c r="AB675" s="2">
        <v>1.0091702386926</v>
      </c>
      <c r="AC675" s="2">
        <v>119070.954256326</v>
      </c>
      <c r="AD675" s="2">
        <v>50564.497419676001</v>
      </c>
      <c r="AE675" s="2">
        <v>116586.164966223</v>
      </c>
      <c r="AF675" s="2">
        <v>120998.622683865</v>
      </c>
      <c r="AG675" s="2">
        <v>124136.496670986</v>
      </c>
      <c r="AH675" s="2">
        <v>122740.502095666</v>
      </c>
      <c r="AI675" s="2">
        <v>114713.770231249</v>
      </c>
      <c r="AJ675" s="2">
        <v>115250.168889968</v>
      </c>
      <c r="AK675" s="2">
        <v>38468.681010314001</v>
      </c>
      <c r="AL675" s="2">
        <v>66636.360236921406</v>
      </c>
      <c r="AM675" s="2">
        <v>62198.505796886697</v>
      </c>
      <c r="AN675" s="2">
        <v>40389.276626305902</v>
      </c>
      <c r="AO675" s="2">
        <v>43340.033483637097</v>
      </c>
      <c r="AP675" s="2">
        <v>52354.127363991101</v>
      </c>
    </row>
    <row r="676" spans="1:42" ht="14.5" x14ac:dyDescent="0.35">
      <c r="A676" s="2" t="s">
        <v>4685</v>
      </c>
      <c r="B676" s="2">
        <v>343.18989142301598</v>
      </c>
      <c r="C676" s="2">
        <v>7.0664166666666697</v>
      </c>
      <c r="D676" s="2" t="s">
        <v>34</v>
      </c>
      <c r="E676" s="2" t="s">
        <v>4686</v>
      </c>
      <c r="F676" s="2">
        <v>54464</v>
      </c>
      <c r="G676" s="3" t="str">
        <f>HYPERLINK("http://funmeta.oebiotech.com/network/54464", "http://funmeta.oebiotech.com/network/54464")</f>
        <v>http://funmeta.oebiotech.com/network/54464</v>
      </c>
      <c r="H676" s="2" t="s">
        <v>4687</v>
      </c>
      <c r="I676" s="2">
        <v>86320</v>
      </c>
      <c r="J676" s="2"/>
      <c r="K676" s="2">
        <v>66032</v>
      </c>
      <c r="L676" s="2"/>
      <c r="M676" s="2"/>
      <c r="N676" s="2"/>
      <c r="O676" s="2">
        <v>5319454</v>
      </c>
      <c r="P676" s="2" t="s">
        <v>4688</v>
      </c>
      <c r="Q676" s="2" t="s">
        <v>4689</v>
      </c>
      <c r="R676" s="2" t="s">
        <v>4690</v>
      </c>
      <c r="S676" s="2" t="s">
        <v>115</v>
      </c>
      <c r="T676" s="2" t="s">
        <v>575</v>
      </c>
      <c r="U676" s="2" t="s">
        <v>576</v>
      </c>
      <c r="V676" s="2" t="s">
        <v>59</v>
      </c>
      <c r="W676" s="2">
        <v>40.1</v>
      </c>
      <c r="X676" s="2">
        <v>10.7</v>
      </c>
      <c r="Y676" s="2" t="s">
        <v>266</v>
      </c>
      <c r="Z676" s="2" t="s">
        <v>4691</v>
      </c>
      <c r="AA676" s="2">
        <v>-1.4446097138223299</v>
      </c>
      <c r="AB676" s="2">
        <v>1.00570464200754</v>
      </c>
      <c r="AC676" s="2">
        <v>97960.781857353504</v>
      </c>
      <c r="AD676" s="2">
        <v>30990.9302422326</v>
      </c>
      <c r="AE676" s="2">
        <v>96191.451530001097</v>
      </c>
      <c r="AF676" s="2">
        <v>96832.723677924703</v>
      </c>
      <c r="AG676" s="2">
        <v>106620.454858985</v>
      </c>
      <c r="AH676" s="2">
        <v>97179.109758095699</v>
      </c>
      <c r="AI676" s="2">
        <v>85631.720066744499</v>
      </c>
      <c r="AJ676" s="2">
        <v>105309.23125236999</v>
      </c>
      <c r="AK676" s="2">
        <v>31231.577196706399</v>
      </c>
      <c r="AL676" s="2">
        <v>35808.891946402997</v>
      </c>
      <c r="AM676" s="2">
        <v>29507.572974520499</v>
      </c>
      <c r="AN676" s="2">
        <v>30045.7236416368</v>
      </c>
      <c r="AO676" s="2">
        <v>32029.380667236201</v>
      </c>
      <c r="AP676" s="2">
        <v>27322.435026892799</v>
      </c>
    </row>
    <row r="677" spans="1:42" ht="14.5" x14ac:dyDescent="0.35">
      <c r="A677" s="2" t="s">
        <v>4692</v>
      </c>
      <c r="B677" s="2">
        <v>518.07147475063505</v>
      </c>
      <c r="C677" s="2">
        <v>3.4003333333333301</v>
      </c>
      <c r="D677" s="2" t="s">
        <v>34</v>
      </c>
      <c r="E677" s="2" t="s">
        <v>4693</v>
      </c>
      <c r="F677" s="2">
        <v>199240</v>
      </c>
      <c r="G677" s="3" t="str">
        <f>HYPERLINK("http://funmeta.oebiotech.com/network/199240", "http://funmeta.oebiotech.com/network/199240")</f>
        <v>http://funmeta.oebiotech.com/network/199240</v>
      </c>
      <c r="H677" s="2" t="s">
        <v>4694</v>
      </c>
      <c r="I677" s="2"/>
      <c r="J677" s="2"/>
      <c r="K677" s="2"/>
      <c r="L677" s="2"/>
      <c r="M677" s="2"/>
      <c r="N677" s="2"/>
      <c r="O677" s="2">
        <v>14215297</v>
      </c>
      <c r="P677" s="2"/>
      <c r="Q677" s="2" t="s">
        <v>4695</v>
      </c>
      <c r="R677" s="2" t="s">
        <v>4696</v>
      </c>
      <c r="S677" s="2" t="s">
        <v>41</v>
      </c>
      <c r="T677" s="2" t="s">
        <v>41</v>
      </c>
      <c r="U677" s="2" t="s">
        <v>41</v>
      </c>
      <c r="V677" s="2" t="s">
        <v>59</v>
      </c>
      <c r="W677" s="2">
        <v>38.5</v>
      </c>
      <c r="X677" s="2">
        <v>9.9600000000000001E-3</v>
      </c>
      <c r="Y677" s="2" t="s">
        <v>340</v>
      </c>
      <c r="Z677" s="2" t="s">
        <v>4697</v>
      </c>
      <c r="AA677" s="2">
        <v>1.2609794182040801</v>
      </c>
      <c r="AB677" s="2">
        <v>1.0026847142716899</v>
      </c>
      <c r="AC677" s="2">
        <v>401669.10781883099</v>
      </c>
      <c r="AD677" s="2">
        <v>324448.84523723298</v>
      </c>
      <c r="AE677" s="2">
        <v>385049.93108381901</v>
      </c>
      <c r="AF677" s="2">
        <v>392606.16235686</v>
      </c>
      <c r="AG677" s="2">
        <v>439880.04952502501</v>
      </c>
      <c r="AH677" s="2">
        <v>444362.887515284</v>
      </c>
      <c r="AI677" s="2">
        <v>376373.47992393601</v>
      </c>
      <c r="AJ677" s="2">
        <v>371742.13650806301</v>
      </c>
      <c r="AK677" s="2">
        <v>341826.94981640897</v>
      </c>
      <c r="AL677" s="2">
        <v>348434.12953156501</v>
      </c>
      <c r="AM677" s="2">
        <v>322438.23706017598</v>
      </c>
      <c r="AN677" s="2">
        <v>295669.51644382998</v>
      </c>
      <c r="AO677" s="2">
        <v>312498.58500009699</v>
      </c>
      <c r="AP677" s="2">
        <v>325825.65357132</v>
      </c>
    </row>
    <row r="678" spans="1:42" ht="14.5" x14ac:dyDescent="0.35">
      <c r="A678" s="2" t="s">
        <v>4698</v>
      </c>
      <c r="B678" s="2">
        <v>559.25470324119999</v>
      </c>
      <c r="C678" s="2">
        <v>7.5277166666666702</v>
      </c>
      <c r="D678" s="2" t="s">
        <v>70</v>
      </c>
      <c r="E678" s="2" t="s">
        <v>4699</v>
      </c>
      <c r="F678" s="2">
        <v>60189</v>
      </c>
      <c r="G678" s="3" t="str">
        <f>HYPERLINK("http://funmeta.oebiotech.com/network/60189", "http://funmeta.oebiotech.com/network/60189")</f>
        <v>http://funmeta.oebiotech.com/network/60189</v>
      </c>
      <c r="H678" s="2" t="s">
        <v>4700</v>
      </c>
      <c r="I678" s="2"/>
      <c r="J678" s="2"/>
      <c r="K678" s="2"/>
      <c r="L678" s="2"/>
      <c r="M678" s="2"/>
      <c r="N678" s="2"/>
      <c r="O678" s="2">
        <v>14258974</v>
      </c>
      <c r="P678" s="2" t="s">
        <v>4701</v>
      </c>
      <c r="Q678" s="2" t="s">
        <v>4702</v>
      </c>
      <c r="R678" s="2" t="s">
        <v>4703</v>
      </c>
      <c r="S678" s="2" t="s">
        <v>50</v>
      </c>
      <c r="T678" s="2" t="s">
        <v>201</v>
      </c>
      <c r="U678" s="2" t="s">
        <v>210</v>
      </c>
      <c r="V678" s="2" t="s">
        <v>59</v>
      </c>
      <c r="W678" s="2">
        <v>39.799999999999997</v>
      </c>
      <c r="X678" s="2">
        <v>5.0900000000000001E-2</v>
      </c>
      <c r="Y678" s="2" t="s">
        <v>286</v>
      </c>
      <c r="Z678" s="2" t="s">
        <v>1782</v>
      </c>
      <c r="AA678" s="2">
        <v>-0.32630386811669798</v>
      </c>
      <c r="AB678" s="2">
        <v>1.0023664568365001</v>
      </c>
      <c r="AC678" s="2">
        <v>206373.27849067899</v>
      </c>
      <c r="AD678" s="2">
        <v>276510.59294411499</v>
      </c>
      <c r="AE678" s="2">
        <v>215796.06202049201</v>
      </c>
      <c r="AF678" s="2">
        <v>195798.796427789</v>
      </c>
      <c r="AG678" s="2">
        <v>213526.47241212201</v>
      </c>
      <c r="AH678" s="2">
        <v>196379.87359705</v>
      </c>
      <c r="AI678" s="2">
        <v>212151.83621566801</v>
      </c>
      <c r="AJ678" s="2">
        <v>204586.63027095099</v>
      </c>
      <c r="AK678" s="2">
        <v>265188.555239568</v>
      </c>
      <c r="AL678" s="2">
        <v>293208.60609734198</v>
      </c>
      <c r="AM678" s="2">
        <v>279397.48234808201</v>
      </c>
      <c r="AN678" s="2">
        <v>301680.22268029902</v>
      </c>
      <c r="AO678" s="2">
        <v>258851.180247137</v>
      </c>
      <c r="AP678" s="2">
        <v>260737.51105226201</v>
      </c>
    </row>
    <row r="679" spans="1:42" ht="14.5" x14ac:dyDescent="0.35">
      <c r="A679" s="2" t="s">
        <v>4704</v>
      </c>
      <c r="B679" s="2">
        <v>545.38353956230799</v>
      </c>
      <c r="C679" s="2">
        <v>11.0825666666667</v>
      </c>
      <c r="D679" s="2" t="s">
        <v>34</v>
      </c>
      <c r="E679" s="2" t="s">
        <v>4705</v>
      </c>
      <c r="F679" s="2">
        <v>250359</v>
      </c>
      <c r="G679" s="3" t="str">
        <f>HYPERLINK("http://funmeta.oebiotech.com/network/250359", "http://funmeta.oebiotech.com/network/250359")</f>
        <v>http://funmeta.oebiotech.com/network/250359</v>
      </c>
      <c r="H679" s="2" t="s">
        <v>4706</v>
      </c>
      <c r="I679" s="2"/>
      <c r="J679" s="2"/>
      <c r="K679" s="2"/>
      <c r="L679" s="2"/>
      <c r="M679" s="2"/>
      <c r="N679" s="2"/>
      <c r="O679" s="2"/>
      <c r="P679" s="2"/>
      <c r="Q679" s="2" t="s">
        <v>4707</v>
      </c>
      <c r="R679" s="2" t="s">
        <v>4708</v>
      </c>
      <c r="S679" s="2" t="s">
        <v>41</v>
      </c>
      <c r="T679" s="2" t="s">
        <v>41</v>
      </c>
      <c r="U679" s="2" t="s">
        <v>41</v>
      </c>
      <c r="V679" s="2" t="s">
        <v>42</v>
      </c>
      <c r="W679" s="2">
        <v>52.9</v>
      </c>
      <c r="X679" s="2">
        <v>75.900000000000006</v>
      </c>
      <c r="Y679" s="2" t="s">
        <v>323</v>
      </c>
      <c r="Z679" s="2" t="s">
        <v>4709</v>
      </c>
      <c r="AA679" s="2">
        <v>4.3634531078330197</v>
      </c>
      <c r="AB679" s="2">
        <v>1.0022975890269299</v>
      </c>
      <c r="AC679" s="2">
        <v>80173.052657010907</v>
      </c>
      <c r="AD679" s="2">
        <v>146892.102146088</v>
      </c>
      <c r="AE679" s="2">
        <v>77650.213426774601</v>
      </c>
      <c r="AF679" s="2">
        <v>83204.704009486799</v>
      </c>
      <c r="AG679" s="2">
        <v>82112.993380536398</v>
      </c>
      <c r="AH679" s="2">
        <v>77834.808829143207</v>
      </c>
      <c r="AI679" s="2">
        <v>77442.274579096207</v>
      </c>
      <c r="AJ679" s="2">
        <v>82793.321717028201</v>
      </c>
      <c r="AK679" s="2">
        <v>135221.136019728</v>
      </c>
      <c r="AL679" s="2">
        <v>141727.41207080201</v>
      </c>
      <c r="AM679" s="2">
        <v>155553.39382255601</v>
      </c>
      <c r="AN679" s="2">
        <v>147054.90797815201</v>
      </c>
      <c r="AO679" s="2">
        <v>147577.933345756</v>
      </c>
      <c r="AP679" s="2">
        <v>154217.829639534</v>
      </c>
    </row>
    <row r="680" spans="1:42" ht="14.5" x14ac:dyDescent="0.35">
      <c r="A680" s="2" t="s">
        <v>4710</v>
      </c>
      <c r="B680" s="2">
        <v>683.25323776283096</v>
      </c>
      <c r="C680" s="2">
        <v>5.04155</v>
      </c>
      <c r="D680" s="2" t="s">
        <v>70</v>
      </c>
      <c r="E680" s="2" t="s">
        <v>4711</v>
      </c>
      <c r="F680" s="2">
        <v>63806</v>
      </c>
      <c r="G680" s="3" t="str">
        <f>HYPERLINK("http://funmeta.oebiotech.com/network/63806", "http://funmeta.oebiotech.com/network/63806")</f>
        <v>http://funmeta.oebiotech.com/network/63806</v>
      </c>
      <c r="H680" s="2" t="s">
        <v>4712</v>
      </c>
      <c r="I680" s="2">
        <v>95141</v>
      </c>
      <c r="J680" s="2"/>
      <c r="K680" s="2"/>
      <c r="L680" s="2"/>
      <c r="M680" s="2"/>
      <c r="N680" s="2"/>
      <c r="O680" s="2">
        <v>127870</v>
      </c>
      <c r="P680" s="2" t="s">
        <v>4713</v>
      </c>
      <c r="Q680" s="2" t="s">
        <v>4714</v>
      </c>
      <c r="R680" s="2" t="s">
        <v>4715</v>
      </c>
      <c r="S680" s="2" t="s">
        <v>50</v>
      </c>
      <c r="T680" s="2" t="s">
        <v>201</v>
      </c>
      <c r="U680" s="2" t="s">
        <v>1217</v>
      </c>
      <c r="V680" s="2" t="s">
        <v>42</v>
      </c>
      <c r="W680" s="2">
        <v>48.1</v>
      </c>
      <c r="X680" s="2">
        <v>56.4</v>
      </c>
      <c r="Y680" s="2" t="s">
        <v>560</v>
      </c>
      <c r="Z680" s="2" t="s">
        <v>4716</v>
      </c>
      <c r="AA680" s="2">
        <v>-3.53830243349933</v>
      </c>
      <c r="AB680" s="2">
        <v>1.00183657339317</v>
      </c>
      <c r="AC680" s="2">
        <v>153205.596807686</v>
      </c>
      <c r="AD680" s="2">
        <v>219831.380714214</v>
      </c>
      <c r="AE680" s="2">
        <v>156408.91946578099</v>
      </c>
      <c r="AF680" s="2">
        <v>154798.545792569</v>
      </c>
      <c r="AG680" s="2">
        <v>152573.48241733701</v>
      </c>
      <c r="AH680" s="2">
        <v>146150.63374207</v>
      </c>
      <c r="AI680" s="2">
        <v>152521.55781253401</v>
      </c>
      <c r="AJ680" s="2">
        <v>156780.441615827</v>
      </c>
      <c r="AK680" s="2">
        <v>219387.70745289701</v>
      </c>
      <c r="AL680" s="2">
        <v>213669.71056560101</v>
      </c>
      <c r="AM680" s="2">
        <v>233619.760674488</v>
      </c>
      <c r="AN680" s="2">
        <v>218976.238334002</v>
      </c>
      <c r="AO680" s="2">
        <v>217507.70992977999</v>
      </c>
      <c r="AP680" s="2">
        <v>215827.15732851901</v>
      </c>
    </row>
    <row r="681" spans="1:42" ht="14.5" x14ac:dyDescent="0.35">
      <c r="A681" s="2" t="s">
        <v>4717</v>
      </c>
      <c r="B681" s="2">
        <v>441.17648249064899</v>
      </c>
      <c r="C681" s="2">
        <v>4.5236333333333301</v>
      </c>
      <c r="D681" s="2" t="s">
        <v>70</v>
      </c>
      <c r="E681" s="2" t="s">
        <v>4718</v>
      </c>
      <c r="F681" s="2">
        <v>60297</v>
      </c>
      <c r="G681" s="3" t="str">
        <f>HYPERLINK("http://funmeta.oebiotech.com/network/60297", "http://funmeta.oebiotech.com/network/60297")</f>
        <v>http://funmeta.oebiotech.com/network/60297</v>
      </c>
      <c r="H681" s="2" t="s">
        <v>4719</v>
      </c>
      <c r="I681" s="2">
        <v>91668</v>
      </c>
      <c r="J681" s="2"/>
      <c r="K681" s="2"/>
      <c r="L681" s="2"/>
      <c r="M681" s="2"/>
      <c r="N681" s="2"/>
      <c r="O681" s="2">
        <v>53462478</v>
      </c>
      <c r="P681" s="2" t="s">
        <v>4720</v>
      </c>
      <c r="Q681" s="2" t="s">
        <v>4721</v>
      </c>
      <c r="R681" s="2" t="s">
        <v>4722</v>
      </c>
      <c r="S681" s="2" t="s">
        <v>79</v>
      </c>
      <c r="T681" s="2" t="s">
        <v>80</v>
      </c>
      <c r="U681" s="2" t="s">
        <v>81</v>
      </c>
      <c r="V681" s="2" t="s">
        <v>42</v>
      </c>
      <c r="W681" s="2">
        <v>52.3</v>
      </c>
      <c r="X681" s="2">
        <v>64.900000000000006</v>
      </c>
      <c r="Y681" s="2" t="s">
        <v>408</v>
      </c>
      <c r="Z681" s="2" t="s">
        <v>4723</v>
      </c>
      <c r="AA681" s="2">
        <v>-0.34891802546615502</v>
      </c>
      <c r="AB681" s="2">
        <v>1.0000459496501199</v>
      </c>
      <c r="AC681" s="2">
        <v>209311.553479522</v>
      </c>
      <c r="AD681" s="2">
        <v>276872.08230653103</v>
      </c>
      <c r="AE681" s="2">
        <v>201557.37487171101</v>
      </c>
      <c r="AF681" s="2">
        <v>215210.239542403</v>
      </c>
      <c r="AG681" s="2">
        <v>207447.323313751</v>
      </c>
      <c r="AH681" s="2">
        <v>203020.78476456701</v>
      </c>
      <c r="AI681" s="2">
        <v>214579.912094684</v>
      </c>
      <c r="AJ681" s="2">
        <v>214053.686290018</v>
      </c>
      <c r="AK681" s="2">
        <v>260889.68894711701</v>
      </c>
      <c r="AL681" s="2">
        <v>282261.09088456503</v>
      </c>
      <c r="AM681" s="2">
        <v>279655.78464034299</v>
      </c>
      <c r="AN681" s="2">
        <v>291113.11976745602</v>
      </c>
      <c r="AO681" s="2">
        <v>264504.54829140898</v>
      </c>
      <c r="AP681" s="2">
        <v>282808.26130829699</v>
      </c>
    </row>
    <row r="682" spans="1:42" ht="14.5" x14ac:dyDescent="0.35">
      <c r="A682" s="2" t="s">
        <v>4724</v>
      </c>
      <c r="B682" s="2">
        <v>435.129456135959</v>
      </c>
      <c r="C682" s="2">
        <v>4.8801333333333297</v>
      </c>
      <c r="D682" s="2" t="s">
        <v>70</v>
      </c>
      <c r="E682" s="2" t="s">
        <v>4725</v>
      </c>
      <c r="F682" s="2">
        <v>55356</v>
      </c>
      <c r="G682" s="3" t="str">
        <f>HYPERLINK("http://funmeta.oebiotech.com/network/55356", "http://funmeta.oebiotech.com/network/55356")</f>
        <v>http://funmeta.oebiotech.com/network/55356</v>
      </c>
      <c r="H682" s="2" t="s">
        <v>4726</v>
      </c>
      <c r="I682" s="2">
        <v>87064</v>
      </c>
      <c r="J682" s="2"/>
      <c r="K682" s="2">
        <v>175954</v>
      </c>
      <c r="L682" s="2"/>
      <c r="M682" s="2"/>
      <c r="N682" s="2"/>
      <c r="O682" s="2">
        <v>131751049</v>
      </c>
      <c r="P682" s="2" t="s">
        <v>4727</v>
      </c>
      <c r="Q682" s="2" t="s">
        <v>4728</v>
      </c>
      <c r="R682" s="2" t="s">
        <v>4729</v>
      </c>
      <c r="S682" s="2" t="s">
        <v>115</v>
      </c>
      <c r="T682" s="2" t="s">
        <v>4730</v>
      </c>
      <c r="U682" s="2" t="s">
        <v>4731</v>
      </c>
      <c r="V682" s="2" t="s">
        <v>42</v>
      </c>
      <c r="W682" s="2">
        <v>56</v>
      </c>
      <c r="X682" s="2">
        <v>81.3</v>
      </c>
      <c r="Y682" s="2" t="s">
        <v>4732</v>
      </c>
      <c r="Z682" s="2" t="s">
        <v>4733</v>
      </c>
      <c r="AA682" s="2">
        <v>-0.54954823960211496</v>
      </c>
      <c r="AB682" s="2">
        <v>0.99971618389327099</v>
      </c>
      <c r="AC682" s="2">
        <v>490598.65938401001</v>
      </c>
      <c r="AD682" s="2">
        <v>411633.39565625403</v>
      </c>
      <c r="AE682" s="2">
        <v>479655.99952972401</v>
      </c>
      <c r="AF682" s="2">
        <v>436153.810041185</v>
      </c>
      <c r="AG682" s="2">
        <v>530372.18222193304</v>
      </c>
      <c r="AH682" s="2">
        <v>494165.59478130098</v>
      </c>
      <c r="AI682" s="2">
        <v>492669.52357135201</v>
      </c>
      <c r="AJ682" s="2">
        <v>510574.84615856799</v>
      </c>
      <c r="AK682" s="2">
        <v>372816.559933357</v>
      </c>
      <c r="AL682" s="2">
        <v>406900.21453151299</v>
      </c>
      <c r="AM682" s="2">
        <v>404086.83409900399</v>
      </c>
      <c r="AN682" s="2">
        <v>411465.47373187402</v>
      </c>
      <c r="AO682" s="2">
        <v>449496.62487198599</v>
      </c>
      <c r="AP682" s="2">
        <v>425034.66676979302</v>
      </c>
    </row>
    <row r="683" spans="1:42" ht="14.5" x14ac:dyDescent="0.35">
      <c r="A683" s="2" t="s">
        <v>4734</v>
      </c>
      <c r="B683" s="2">
        <v>808.31822343327804</v>
      </c>
      <c r="C683" s="2">
        <v>7.7650499999999996</v>
      </c>
      <c r="D683" s="2" t="s">
        <v>70</v>
      </c>
      <c r="E683" s="2" t="s">
        <v>4735</v>
      </c>
      <c r="F683" s="2">
        <v>203123</v>
      </c>
      <c r="G683" s="3" t="str">
        <f>HYPERLINK("http://funmeta.oebiotech.com/network/203123", "http://funmeta.oebiotech.com/network/203123")</f>
        <v>http://funmeta.oebiotech.com/network/203123</v>
      </c>
      <c r="H683" s="2" t="s">
        <v>4736</v>
      </c>
      <c r="I683" s="2"/>
      <c r="J683" s="2"/>
      <c r="K683" s="2"/>
      <c r="L683" s="2"/>
      <c r="M683" s="2"/>
      <c r="N683" s="2"/>
      <c r="O683" s="2">
        <v>4574589</v>
      </c>
      <c r="P683" s="2"/>
      <c r="Q683" s="2" t="s">
        <v>4737</v>
      </c>
      <c r="R683" s="2" t="s">
        <v>4738</v>
      </c>
      <c r="S683" s="2" t="s">
        <v>115</v>
      </c>
      <c r="T683" s="2" t="s">
        <v>2840</v>
      </c>
      <c r="U683" s="2" t="s">
        <v>41</v>
      </c>
      <c r="V683" s="2" t="s">
        <v>59</v>
      </c>
      <c r="W683" s="2">
        <v>47.7</v>
      </c>
      <c r="X683" s="2">
        <v>41.7</v>
      </c>
      <c r="Y683" s="2" t="s">
        <v>118</v>
      </c>
      <c r="Z683" s="2" t="s">
        <v>4739</v>
      </c>
      <c r="AA683" s="2">
        <v>-0.45725523611134899</v>
      </c>
      <c r="AB683" s="2">
        <v>0.99930008784733604</v>
      </c>
      <c r="AC683" s="2">
        <v>194121.144452885</v>
      </c>
      <c r="AD683" s="2">
        <v>126252.31362175501</v>
      </c>
      <c r="AE683" s="2">
        <v>202424.994452221</v>
      </c>
      <c r="AF683" s="2">
        <v>180177.50544680099</v>
      </c>
      <c r="AG683" s="2">
        <v>186029.19176605501</v>
      </c>
      <c r="AH683" s="2">
        <v>192018.268659297</v>
      </c>
      <c r="AI683" s="2">
        <v>193717.30522847801</v>
      </c>
      <c r="AJ683" s="2">
        <v>210359.60116446001</v>
      </c>
      <c r="AK683" s="2">
        <v>122870.48214239901</v>
      </c>
      <c r="AL683" s="2">
        <v>132551.05949292</v>
      </c>
      <c r="AM683" s="2">
        <v>120159.824274299</v>
      </c>
      <c r="AN683" s="2">
        <v>140821.905897783</v>
      </c>
      <c r="AO683" s="2">
        <v>122432.298631314</v>
      </c>
      <c r="AP683" s="2">
        <v>118678.311291814</v>
      </c>
    </row>
    <row r="684" spans="1:42" ht="14.5" x14ac:dyDescent="0.35">
      <c r="A684" s="2" t="s">
        <v>4740</v>
      </c>
      <c r="B684" s="2">
        <v>781.43269287746898</v>
      </c>
      <c r="C684" s="2">
        <v>10.5277666666667</v>
      </c>
      <c r="D684" s="2" t="s">
        <v>34</v>
      </c>
      <c r="E684" s="2" t="s">
        <v>4741</v>
      </c>
      <c r="F684" s="2">
        <v>203509</v>
      </c>
      <c r="G684" s="3" t="str">
        <f>HYPERLINK("http://funmeta.oebiotech.com/network/203509", "http://funmeta.oebiotech.com/network/203509")</f>
        <v>http://funmeta.oebiotech.com/network/203509</v>
      </c>
      <c r="H684" s="2" t="s">
        <v>4742</v>
      </c>
      <c r="I684" s="2"/>
      <c r="J684" s="2"/>
      <c r="K684" s="2"/>
      <c r="L684" s="2"/>
      <c r="M684" s="2"/>
      <c r="N684" s="2"/>
      <c r="O684" s="2">
        <v>9810764</v>
      </c>
      <c r="P684" s="2"/>
      <c r="Q684" s="2" t="s">
        <v>4743</v>
      </c>
      <c r="R684" s="2" t="s">
        <v>4744</v>
      </c>
      <c r="S684" s="2" t="s">
        <v>50</v>
      </c>
      <c r="T684" s="2" t="s">
        <v>124</v>
      </c>
      <c r="U684" s="2" t="s">
        <v>523</v>
      </c>
      <c r="V684" s="2" t="s">
        <v>42</v>
      </c>
      <c r="W684" s="2">
        <v>52.9</v>
      </c>
      <c r="X684" s="2">
        <v>75.5</v>
      </c>
      <c r="Y684" s="2" t="s">
        <v>470</v>
      </c>
      <c r="Z684" s="2" t="s">
        <v>4745</v>
      </c>
      <c r="AA684" s="2">
        <v>-2.3529621612254399</v>
      </c>
      <c r="AB684" s="2">
        <v>0.99769677081067398</v>
      </c>
      <c r="AC684" s="2">
        <v>369058.88871213002</v>
      </c>
      <c r="AD684" s="2">
        <v>441434.84213106002</v>
      </c>
      <c r="AE684" s="2">
        <v>368634.64999531797</v>
      </c>
      <c r="AF684" s="2">
        <v>372129.57650135999</v>
      </c>
      <c r="AG684" s="2">
        <v>382843.11551778601</v>
      </c>
      <c r="AH684" s="2">
        <v>343353.64567744202</v>
      </c>
      <c r="AI684" s="2">
        <v>372617.90401573799</v>
      </c>
      <c r="AJ684" s="2">
        <v>374774.44056513702</v>
      </c>
      <c r="AK684" s="2">
        <v>412393.49160885002</v>
      </c>
      <c r="AL684" s="2">
        <v>413331.30488063698</v>
      </c>
      <c r="AM684" s="2">
        <v>442525.43496735097</v>
      </c>
      <c r="AN684" s="2">
        <v>452219.69218056399</v>
      </c>
      <c r="AO684" s="2">
        <v>462467.90690767899</v>
      </c>
      <c r="AP684" s="2">
        <v>465671.22224128002</v>
      </c>
    </row>
    <row r="685" spans="1:42" ht="14.5" x14ac:dyDescent="0.35">
      <c r="A685" s="2" t="s">
        <v>4746</v>
      </c>
      <c r="B685" s="2">
        <v>581.22214312270899</v>
      </c>
      <c r="C685" s="2">
        <v>6.8197000000000001</v>
      </c>
      <c r="D685" s="2" t="s">
        <v>70</v>
      </c>
      <c r="E685" s="2" t="s">
        <v>4747</v>
      </c>
      <c r="F685" s="2">
        <v>204311</v>
      </c>
      <c r="G685" s="3" t="str">
        <f>HYPERLINK("http://funmeta.oebiotech.com/network/204311", "http://funmeta.oebiotech.com/network/204311")</f>
        <v>http://funmeta.oebiotech.com/network/204311</v>
      </c>
      <c r="H685" s="2" t="s">
        <v>4748</v>
      </c>
      <c r="I685" s="2"/>
      <c r="J685" s="2"/>
      <c r="K685" s="2"/>
      <c r="L685" s="2"/>
      <c r="M685" s="2"/>
      <c r="N685" s="2"/>
      <c r="O685" s="2">
        <v>68314881</v>
      </c>
      <c r="P685" s="2"/>
      <c r="Q685" s="2" t="s">
        <v>4749</v>
      </c>
      <c r="R685" s="2" t="s">
        <v>4750</v>
      </c>
      <c r="S685" s="2" t="s">
        <v>50</v>
      </c>
      <c r="T685" s="2" t="s">
        <v>201</v>
      </c>
      <c r="U685" s="2" t="s">
        <v>202</v>
      </c>
      <c r="V685" s="2" t="s">
        <v>59</v>
      </c>
      <c r="W685" s="2">
        <v>44.1</v>
      </c>
      <c r="X685" s="2">
        <v>26.7</v>
      </c>
      <c r="Y685" s="2" t="s">
        <v>408</v>
      </c>
      <c r="Z685" s="2" t="s">
        <v>4751</v>
      </c>
      <c r="AA685" s="2">
        <v>-3.3972947598227901</v>
      </c>
      <c r="AB685" s="2">
        <v>0.99700372950941296</v>
      </c>
      <c r="AC685" s="2">
        <v>103095.467925327</v>
      </c>
      <c r="AD685" s="2">
        <v>37328.436615517203</v>
      </c>
      <c r="AE685" s="2">
        <v>99571.603110879398</v>
      </c>
      <c r="AF685" s="2">
        <v>96120.379411681395</v>
      </c>
      <c r="AG685" s="2">
        <v>103896.49827543899</v>
      </c>
      <c r="AH685" s="2">
        <v>100736.56105662401</v>
      </c>
      <c r="AI685" s="2">
        <v>110559.75936424101</v>
      </c>
      <c r="AJ685" s="2">
        <v>107688.006333097</v>
      </c>
      <c r="AK685" s="2">
        <v>33524.808436325598</v>
      </c>
      <c r="AL685" s="2">
        <v>40453.015750674</v>
      </c>
      <c r="AM685" s="2">
        <v>37983.028131084298</v>
      </c>
      <c r="AN685" s="2">
        <v>35773.320535616098</v>
      </c>
      <c r="AO685" s="2">
        <v>38892.679407415402</v>
      </c>
      <c r="AP685" s="2">
        <v>37343.7674319875</v>
      </c>
    </row>
    <row r="686" spans="1:42" ht="14.5" x14ac:dyDescent="0.35">
      <c r="A686" s="2" t="s">
        <v>4752</v>
      </c>
      <c r="B686" s="2">
        <v>289.01735104050903</v>
      </c>
      <c r="C686" s="2">
        <v>0.85473333333333301</v>
      </c>
      <c r="D686" s="2" t="s">
        <v>70</v>
      </c>
      <c r="E686" s="2" t="s">
        <v>4753</v>
      </c>
      <c r="F686" s="2">
        <v>64771</v>
      </c>
      <c r="G686" s="3" t="str">
        <f>HYPERLINK("http://funmeta.oebiotech.com/network/64771", "http://funmeta.oebiotech.com/network/64771")</f>
        <v>http://funmeta.oebiotech.com/network/64771</v>
      </c>
      <c r="H686" s="2" t="s">
        <v>4754</v>
      </c>
      <c r="I686" s="2">
        <v>96070</v>
      </c>
      <c r="J686" s="2"/>
      <c r="K686" s="2">
        <v>168842</v>
      </c>
      <c r="L686" s="2"/>
      <c r="M686" s="2"/>
      <c r="N686" s="2"/>
      <c r="O686" s="2">
        <v>129848988</v>
      </c>
      <c r="P686" s="2"/>
      <c r="Q686" s="2" t="s">
        <v>4755</v>
      </c>
      <c r="R686" s="2" t="s">
        <v>4756</v>
      </c>
      <c r="S686" s="2" t="s">
        <v>115</v>
      </c>
      <c r="T686" s="2" t="s">
        <v>4730</v>
      </c>
      <c r="U686" s="2" t="s">
        <v>41</v>
      </c>
      <c r="V686" s="2" t="s">
        <v>59</v>
      </c>
      <c r="W686" s="2">
        <v>39.299999999999997</v>
      </c>
      <c r="X686" s="2">
        <v>8.61</v>
      </c>
      <c r="Y686" s="2" t="s">
        <v>751</v>
      </c>
      <c r="Z686" s="2" t="s">
        <v>4757</v>
      </c>
      <c r="AA686" s="2">
        <v>-0.86659403249304201</v>
      </c>
      <c r="AB686" s="2">
        <v>0.99398030053250297</v>
      </c>
      <c r="AC686" s="2">
        <v>268887.96825846698</v>
      </c>
      <c r="AD686" s="2">
        <v>199661.58343703501</v>
      </c>
      <c r="AE686" s="2">
        <v>268560.01529022201</v>
      </c>
      <c r="AF686" s="2">
        <v>265708.91191535199</v>
      </c>
      <c r="AG686" s="2">
        <v>276823.367237575</v>
      </c>
      <c r="AH686" s="2">
        <v>282129.58330770797</v>
      </c>
      <c r="AI686" s="2">
        <v>265912.930162551</v>
      </c>
      <c r="AJ686" s="2">
        <v>254193.00163739201</v>
      </c>
      <c r="AK686" s="2">
        <v>212403.45971374001</v>
      </c>
      <c r="AL686" s="2">
        <v>191292.20646641499</v>
      </c>
      <c r="AM686" s="2">
        <v>168945.59340517299</v>
      </c>
      <c r="AN686" s="2">
        <v>198062.54641307399</v>
      </c>
      <c r="AO686" s="2">
        <v>216949.79650891901</v>
      </c>
      <c r="AP686" s="2">
        <v>210315.898114888</v>
      </c>
    </row>
    <row r="687" spans="1:42" ht="14.5" x14ac:dyDescent="0.35">
      <c r="A687" s="2" t="s">
        <v>4758</v>
      </c>
      <c r="B687" s="2">
        <v>393.20576710873598</v>
      </c>
      <c r="C687" s="2">
        <v>9.7274833333333302</v>
      </c>
      <c r="D687" s="2" t="s">
        <v>34</v>
      </c>
      <c r="E687" s="2" t="s">
        <v>4759</v>
      </c>
      <c r="F687" s="2">
        <v>34081</v>
      </c>
      <c r="G687" s="3" t="str">
        <f>HYPERLINK("http://funmeta.oebiotech.com/network/34081", "http://funmeta.oebiotech.com/network/34081")</f>
        <v>http://funmeta.oebiotech.com/network/34081</v>
      </c>
      <c r="H687" s="2"/>
      <c r="I687" s="2">
        <v>52393</v>
      </c>
      <c r="J687" s="2" t="s">
        <v>4760</v>
      </c>
      <c r="K687" s="2"/>
      <c r="L687" s="2"/>
      <c r="M687" s="2"/>
      <c r="N687" s="2"/>
      <c r="O687" s="2">
        <v>14527030</v>
      </c>
      <c r="P687" s="2"/>
      <c r="Q687" s="2" t="s">
        <v>4761</v>
      </c>
      <c r="R687" s="2" t="s">
        <v>4762</v>
      </c>
      <c r="S687" s="2" t="s">
        <v>148</v>
      </c>
      <c r="T687" s="2" t="s">
        <v>149</v>
      </c>
      <c r="U687" s="2" t="s">
        <v>41</v>
      </c>
      <c r="V687" s="2" t="s">
        <v>42</v>
      </c>
      <c r="W687" s="2">
        <v>48.9</v>
      </c>
      <c r="X687" s="2">
        <v>51.5</v>
      </c>
      <c r="Y687" s="2" t="s">
        <v>141</v>
      </c>
      <c r="Z687" s="2" t="s">
        <v>4763</v>
      </c>
      <c r="AA687" s="2">
        <v>-0.65503426773199103</v>
      </c>
      <c r="AB687" s="2">
        <v>0.99324254072905604</v>
      </c>
      <c r="AC687" s="2">
        <v>66347.709713751494</v>
      </c>
      <c r="AD687" s="2">
        <v>1392.99525549891</v>
      </c>
      <c r="AE687" s="2">
        <v>67072.656210513102</v>
      </c>
      <c r="AF687" s="2">
        <v>64183.530443717602</v>
      </c>
      <c r="AG687" s="2">
        <v>72921.447257563894</v>
      </c>
      <c r="AH687" s="2">
        <v>70638.351660989705</v>
      </c>
      <c r="AI687" s="2">
        <v>62033.807201855299</v>
      </c>
      <c r="AJ687" s="2">
        <v>61236.4655078695</v>
      </c>
      <c r="AK687" s="2">
        <v>1476.60668366803</v>
      </c>
      <c r="AL687" s="2">
        <v>1084.3514892528699</v>
      </c>
      <c r="AM687" s="2">
        <v>2446.2600554297001</v>
      </c>
      <c r="AN687" s="2">
        <v>807.38345504898496</v>
      </c>
      <c r="AO687" s="2">
        <v>1223.38307041998</v>
      </c>
      <c r="AP687" s="2">
        <v>1319.98677917389</v>
      </c>
    </row>
    <row r="688" spans="1:42" ht="14.5" x14ac:dyDescent="0.35">
      <c r="A688" s="2" t="s">
        <v>4764</v>
      </c>
      <c r="B688" s="2">
        <v>461.28950457142298</v>
      </c>
      <c r="C688" s="2">
        <v>4.4289500000000004</v>
      </c>
      <c r="D688" s="2" t="s">
        <v>34</v>
      </c>
      <c r="E688" s="2" t="s">
        <v>4765</v>
      </c>
      <c r="F688" s="2">
        <v>55628</v>
      </c>
      <c r="G688" s="3" t="str">
        <f>HYPERLINK("http://funmeta.oebiotech.com/network/55628", "http://funmeta.oebiotech.com/network/55628")</f>
        <v>http://funmeta.oebiotech.com/network/55628</v>
      </c>
      <c r="H688" s="2" t="s">
        <v>4766</v>
      </c>
      <c r="I688" s="2"/>
      <c r="J688" s="2"/>
      <c r="K688" s="2"/>
      <c r="L688" s="2"/>
      <c r="M688" s="2"/>
      <c r="N688" s="2"/>
      <c r="O688" s="2">
        <v>78385463</v>
      </c>
      <c r="P688" s="2" t="s">
        <v>4767</v>
      </c>
      <c r="Q688" s="2" t="s">
        <v>4768</v>
      </c>
      <c r="R688" s="2" t="s">
        <v>4769</v>
      </c>
      <c r="S688" s="2" t="s">
        <v>491</v>
      </c>
      <c r="T688" s="2" t="s">
        <v>2943</v>
      </c>
      <c r="U688" s="2" t="s">
        <v>41</v>
      </c>
      <c r="V688" s="2" t="s">
        <v>59</v>
      </c>
      <c r="W688" s="2">
        <v>38.799999999999997</v>
      </c>
      <c r="X688" s="2">
        <v>0</v>
      </c>
      <c r="Y688" s="2" t="s">
        <v>394</v>
      </c>
      <c r="Z688" s="2" t="s">
        <v>3507</v>
      </c>
      <c r="AA688" s="2">
        <v>-0.56674051927726299</v>
      </c>
      <c r="AB688" s="2">
        <v>0.99277060095693204</v>
      </c>
      <c r="AC688" s="2">
        <v>93006.541399370893</v>
      </c>
      <c r="AD688" s="2">
        <v>163187.49616849699</v>
      </c>
      <c r="AE688" s="2">
        <v>93259.806228807094</v>
      </c>
      <c r="AF688" s="2">
        <v>89544.670230430202</v>
      </c>
      <c r="AG688" s="2">
        <v>99704.448823275699</v>
      </c>
      <c r="AH688" s="2">
        <v>86317.715581732497</v>
      </c>
      <c r="AI688" s="2">
        <v>96891.542327378993</v>
      </c>
      <c r="AJ688" s="2">
        <v>92321.065204600905</v>
      </c>
      <c r="AK688" s="2">
        <v>159096.61697682299</v>
      </c>
      <c r="AL688" s="2">
        <v>186122.33129119701</v>
      </c>
      <c r="AM688" s="2">
        <v>139932.48837160101</v>
      </c>
      <c r="AN688" s="2">
        <v>135335.20504378801</v>
      </c>
      <c r="AO688" s="2">
        <v>181548.918969402</v>
      </c>
      <c r="AP688" s="2">
        <v>177089.416358171</v>
      </c>
    </row>
    <row r="689" spans="1:42" ht="14.5" x14ac:dyDescent="0.35">
      <c r="A689" s="2" t="s">
        <v>4770</v>
      </c>
      <c r="B689" s="2">
        <v>461.23925426598697</v>
      </c>
      <c r="C689" s="2">
        <v>5.4683000000000002</v>
      </c>
      <c r="D689" s="2" t="s">
        <v>70</v>
      </c>
      <c r="E689" s="2" t="s">
        <v>4771</v>
      </c>
      <c r="F689" s="2">
        <v>206327</v>
      </c>
      <c r="G689" s="3" t="str">
        <f>HYPERLINK("http://funmeta.oebiotech.com/network/206327", "http://funmeta.oebiotech.com/network/206327")</f>
        <v>http://funmeta.oebiotech.com/network/206327</v>
      </c>
      <c r="H689" s="2" t="s">
        <v>4772</v>
      </c>
      <c r="I689" s="2"/>
      <c r="J689" s="2"/>
      <c r="K689" s="2"/>
      <c r="L689" s="2"/>
      <c r="M689" s="2"/>
      <c r="N689" s="2"/>
      <c r="O689" s="2">
        <v>10549838</v>
      </c>
      <c r="P689" s="2"/>
      <c r="Q689" s="2" t="s">
        <v>4773</v>
      </c>
      <c r="R689" s="2" t="s">
        <v>4774</v>
      </c>
      <c r="S689" s="2" t="s">
        <v>89</v>
      </c>
      <c r="T689" s="2" t="s">
        <v>90</v>
      </c>
      <c r="U689" s="2" t="s">
        <v>99</v>
      </c>
      <c r="V689" s="2" t="s">
        <v>59</v>
      </c>
      <c r="W689" s="2">
        <v>45</v>
      </c>
      <c r="X689" s="2">
        <v>34.5</v>
      </c>
      <c r="Y689" s="2" t="s">
        <v>286</v>
      </c>
      <c r="Z689" s="2" t="s">
        <v>4775</v>
      </c>
      <c r="AA689" s="2">
        <v>-3.1330970434710501</v>
      </c>
      <c r="AB689" s="2">
        <v>0.98704788437415103</v>
      </c>
      <c r="AC689" s="2">
        <v>186237.27071341701</v>
      </c>
      <c r="AD689" s="2">
        <v>121400.31066437199</v>
      </c>
      <c r="AE689" s="2">
        <v>190427.09288400901</v>
      </c>
      <c r="AF689" s="2">
        <v>182630.379026148</v>
      </c>
      <c r="AG689" s="2">
        <v>185856.77410975401</v>
      </c>
      <c r="AH689" s="2">
        <v>197393.213225285</v>
      </c>
      <c r="AI689" s="2">
        <v>180897.82700147101</v>
      </c>
      <c r="AJ689" s="2">
        <v>180218.33803383599</v>
      </c>
      <c r="AK689" s="2">
        <v>112444.04608636499</v>
      </c>
      <c r="AL689" s="2">
        <v>120451.40996867399</v>
      </c>
      <c r="AM689" s="2">
        <v>126633.23609416001</v>
      </c>
      <c r="AN689" s="2">
        <v>119915.430861185</v>
      </c>
      <c r="AO689" s="2">
        <v>127612.69889765</v>
      </c>
      <c r="AP689" s="2">
        <v>121345.042078196</v>
      </c>
    </row>
    <row r="690" spans="1:42" ht="14.5" x14ac:dyDescent="0.35">
      <c r="A690" s="2" t="s">
        <v>4776</v>
      </c>
      <c r="B690" s="2">
        <v>783.21630638802401</v>
      </c>
      <c r="C690" s="2">
        <v>3.4003333333333301</v>
      </c>
      <c r="D690" s="2" t="s">
        <v>34</v>
      </c>
      <c r="E690" s="2" t="s">
        <v>4777</v>
      </c>
      <c r="F690" s="2">
        <v>61840</v>
      </c>
      <c r="G690" s="3" t="str">
        <f>HYPERLINK("http://funmeta.oebiotech.com/network/61840", "http://funmeta.oebiotech.com/network/61840")</f>
        <v>http://funmeta.oebiotech.com/network/61840</v>
      </c>
      <c r="H690" s="2" t="s">
        <v>4778</v>
      </c>
      <c r="I690" s="2"/>
      <c r="J690" s="2"/>
      <c r="K690" s="2"/>
      <c r="L690" s="2"/>
      <c r="M690" s="2"/>
      <c r="N690" s="2"/>
      <c r="O690" s="2">
        <v>131752376</v>
      </c>
      <c r="P690" s="2" t="s">
        <v>4779</v>
      </c>
      <c r="Q690" s="2" t="s">
        <v>4780</v>
      </c>
      <c r="R690" s="2" t="s">
        <v>4781</v>
      </c>
      <c r="S690" s="2" t="s">
        <v>115</v>
      </c>
      <c r="T690" s="2" t="s">
        <v>139</v>
      </c>
      <c r="U690" s="2" t="s">
        <v>140</v>
      </c>
      <c r="V690" s="2" t="s">
        <v>59</v>
      </c>
      <c r="W690" s="2">
        <v>37.6</v>
      </c>
      <c r="X690" s="2">
        <v>1.02</v>
      </c>
      <c r="Y690" s="2" t="s">
        <v>141</v>
      </c>
      <c r="Z690" s="2" t="s">
        <v>4782</v>
      </c>
      <c r="AA690" s="2">
        <v>4.0183926099303502</v>
      </c>
      <c r="AB690" s="2">
        <v>0.98457652121887196</v>
      </c>
      <c r="AC690" s="2">
        <v>187138.248234575</v>
      </c>
      <c r="AD690" s="2">
        <v>121975.73268796199</v>
      </c>
      <c r="AE690" s="2">
        <v>185130.44425733099</v>
      </c>
      <c r="AF690" s="2">
        <v>182638.43395193</v>
      </c>
      <c r="AG690" s="2">
        <v>194304.513114075</v>
      </c>
      <c r="AH690" s="2">
        <v>185948.60425937001</v>
      </c>
      <c r="AI690" s="2">
        <v>183742.732711016</v>
      </c>
      <c r="AJ690" s="2">
        <v>191064.76111372499</v>
      </c>
      <c r="AK690" s="2">
        <v>109997.57909031901</v>
      </c>
      <c r="AL690" s="2">
        <v>114892.31872159299</v>
      </c>
      <c r="AM690" s="2">
        <v>113711.27349783599</v>
      </c>
      <c r="AN690" s="2">
        <v>129582.546508453</v>
      </c>
      <c r="AO690" s="2">
        <v>130337.313059586</v>
      </c>
      <c r="AP690" s="2">
        <v>133333.36524998301</v>
      </c>
    </row>
    <row r="691" spans="1:42" ht="14.5" x14ac:dyDescent="0.35">
      <c r="A691" s="2" t="s">
        <v>4783</v>
      </c>
      <c r="B691" s="2">
        <v>907.36037975025499</v>
      </c>
      <c r="C691" s="2">
        <v>7.1213833333333296</v>
      </c>
      <c r="D691" s="2" t="s">
        <v>70</v>
      </c>
      <c r="E691" s="2" t="s">
        <v>4784</v>
      </c>
      <c r="F691" s="2">
        <v>83587</v>
      </c>
      <c r="G691" s="3" t="str">
        <f>HYPERLINK("http://funmeta.oebiotech.com/network/83587", "http://funmeta.oebiotech.com/network/83587")</f>
        <v>http://funmeta.oebiotech.com/network/83587</v>
      </c>
      <c r="H691" s="2" t="s">
        <v>4785</v>
      </c>
      <c r="I691" s="2"/>
      <c r="J691" s="2"/>
      <c r="K691" s="2"/>
      <c r="L691" s="2"/>
      <c r="M691" s="2"/>
      <c r="N691" s="2"/>
      <c r="O691" s="2">
        <v>134819285</v>
      </c>
      <c r="P691" s="2" t="s">
        <v>4786</v>
      </c>
      <c r="Q691" s="2" t="s">
        <v>4787</v>
      </c>
      <c r="R691" s="2" t="s">
        <v>4788</v>
      </c>
      <c r="S691" s="2" t="s">
        <v>79</v>
      </c>
      <c r="T691" s="2" t="s">
        <v>80</v>
      </c>
      <c r="U691" s="2" t="s">
        <v>81</v>
      </c>
      <c r="V691" s="2" t="s">
        <v>42</v>
      </c>
      <c r="W691" s="2">
        <v>48.7</v>
      </c>
      <c r="X691" s="2">
        <v>61.1</v>
      </c>
      <c r="Y691" s="2" t="s">
        <v>560</v>
      </c>
      <c r="Z691" s="2" t="s">
        <v>4789</v>
      </c>
      <c r="AA691" s="2">
        <v>-0.152067418558473</v>
      </c>
      <c r="AB691" s="2">
        <v>0.98444746687331497</v>
      </c>
      <c r="AC691" s="2">
        <v>49331.377805152399</v>
      </c>
      <c r="AD691" s="2">
        <v>113202.155610987</v>
      </c>
      <c r="AE691" s="2">
        <v>55398.263499478002</v>
      </c>
      <c r="AF691" s="2">
        <v>45644.364466707302</v>
      </c>
      <c r="AG691" s="2">
        <v>49053.394399629302</v>
      </c>
      <c r="AH691" s="2">
        <v>46205.458944895101</v>
      </c>
      <c r="AI691" s="2">
        <v>51255.368747662498</v>
      </c>
      <c r="AJ691" s="2">
        <v>48431.416772541903</v>
      </c>
      <c r="AK691" s="2">
        <v>111049.13156759999</v>
      </c>
      <c r="AL691" s="2">
        <v>110459.221570981</v>
      </c>
      <c r="AM691" s="2">
        <v>117091.980602732</v>
      </c>
      <c r="AN691" s="2">
        <v>118883.588458222</v>
      </c>
      <c r="AO691" s="2">
        <v>111155.131820954</v>
      </c>
      <c r="AP691" s="2">
        <v>110573.87964543</v>
      </c>
    </row>
    <row r="692" spans="1:42" ht="14.5" x14ac:dyDescent="0.35">
      <c r="A692" s="2" t="s">
        <v>4790</v>
      </c>
      <c r="B692" s="2">
        <v>451.21092094750901</v>
      </c>
      <c r="C692" s="2">
        <v>6.13035</v>
      </c>
      <c r="D692" s="2" t="s">
        <v>34</v>
      </c>
      <c r="E692" s="2" t="s">
        <v>4791</v>
      </c>
      <c r="F692" s="2">
        <v>34657</v>
      </c>
      <c r="G692" s="3" t="str">
        <f>HYPERLINK("http://funmeta.oebiotech.com/network/34657", "http://funmeta.oebiotech.com/network/34657")</f>
        <v>http://funmeta.oebiotech.com/network/34657</v>
      </c>
      <c r="H692" s="2"/>
      <c r="I692" s="2">
        <v>52966</v>
      </c>
      <c r="J692" s="2" t="s">
        <v>4792</v>
      </c>
      <c r="K692" s="2">
        <v>140141</v>
      </c>
      <c r="L692" s="2"/>
      <c r="M692" s="2"/>
      <c r="N692" s="2"/>
      <c r="O692" s="2">
        <v>42608029</v>
      </c>
      <c r="P692" s="2"/>
      <c r="Q692" s="2" t="s">
        <v>4793</v>
      </c>
      <c r="R692" s="2" t="s">
        <v>4794</v>
      </c>
      <c r="S692" s="2" t="s">
        <v>115</v>
      </c>
      <c r="T692" s="2" t="s">
        <v>139</v>
      </c>
      <c r="U692" s="2" t="s">
        <v>1437</v>
      </c>
      <c r="V692" s="2" t="s">
        <v>42</v>
      </c>
      <c r="W692" s="2">
        <v>49.5</v>
      </c>
      <c r="X692" s="2">
        <v>55.6</v>
      </c>
      <c r="Y692" s="2" t="s">
        <v>141</v>
      </c>
      <c r="Z692" s="2" t="s">
        <v>4795</v>
      </c>
      <c r="AA692" s="2">
        <v>-1.26900227541871</v>
      </c>
      <c r="AB692" s="2">
        <v>0.98361705563417501</v>
      </c>
      <c r="AC692" s="2">
        <v>131841.745109343</v>
      </c>
      <c r="AD692" s="2">
        <v>67586.400401783103</v>
      </c>
      <c r="AE692" s="2">
        <v>136750.35366440201</v>
      </c>
      <c r="AF692" s="2">
        <v>125320.37663509201</v>
      </c>
      <c r="AG692" s="2">
        <v>133944.09765864399</v>
      </c>
      <c r="AH692" s="2">
        <v>127148.509184386</v>
      </c>
      <c r="AI692" s="2">
        <v>126316.87658147499</v>
      </c>
      <c r="AJ692" s="2">
        <v>141570.25693206099</v>
      </c>
      <c r="AK692" s="2">
        <v>66693.373163205804</v>
      </c>
      <c r="AL692" s="2">
        <v>62255.071975831801</v>
      </c>
      <c r="AM692" s="2">
        <v>70168.084801558594</v>
      </c>
      <c r="AN692" s="2">
        <v>72274.665882001893</v>
      </c>
      <c r="AO692" s="2">
        <v>62870.004454798902</v>
      </c>
      <c r="AP692" s="2">
        <v>71257.202133301893</v>
      </c>
    </row>
    <row r="693" spans="1:42" ht="14.5" x14ac:dyDescent="0.35">
      <c r="A693" s="2" t="s">
        <v>4796</v>
      </c>
      <c r="B693" s="2">
        <v>263.12760075508999</v>
      </c>
      <c r="C693" s="2">
        <v>4.5143500000000003</v>
      </c>
      <c r="D693" s="2" t="s">
        <v>34</v>
      </c>
      <c r="E693" s="2" t="s">
        <v>4797</v>
      </c>
      <c r="F693" s="2">
        <v>64250</v>
      </c>
      <c r="G693" s="3" t="str">
        <f>HYPERLINK("http://funmeta.oebiotech.com/network/64250", "http://funmeta.oebiotech.com/network/64250")</f>
        <v>http://funmeta.oebiotech.com/network/64250</v>
      </c>
      <c r="H693" s="2" t="s">
        <v>4798</v>
      </c>
      <c r="I693" s="2">
        <v>95572</v>
      </c>
      <c r="J693" s="2"/>
      <c r="K693" s="2">
        <v>168729</v>
      </c>
      <c r="L693" s="2"/>
      <c r="M693" s="2"/>
      <c r="N693" s="2"/>
      <c r="O693" s="2">
        <v>5260103</v>
      </c>
      <c r="P693" s="2" t="s">
        <v>4799</v>
      </c>
      <c r="Q693" s="2" t="s">
        <v>4800</v>
      </c>
      <c r="R693" s="2" t="s">
        <v>4801</v>
      </c>
      <c r="S693" s="2" t="s">
        <v>50</v>
      </c>
      <c r="T693" s="2" t="s">
        <v>201</v>
      </c>
      <c r="U693" s="2" t="s">
        <v>1217</v>
      </c>
      <c r="V693" s="2" t="s">
        <v>42</v>
      </c>
      <c r="W693" s="2">
        <v>54.3</v>
      </c>
      <c r="X693" s="2">
        <v>76.5</v>
      </c>
      <c r="Y693" s="2" t="s">
        <v>141</v>
      </c>
      <c r="Z693" s="2" t="s">
        <v>4802</v>
      </c>
      <c r="AA693" s="2">
        <v>-0.65945597455129701</v>
      </c>
      <c r="AB693" s="2">
        <v>0.98361025090998699</v>
      </c>
      <c r="AC693" s="2">
        <v>137927.64629986999</v>
      </c>
      <c r="AD693" s="2">
        <v>202629.48549969401</v>
      </c>
      <c r="AE693" s="2">
        <v>133008.98317608799</v>
      </c>
      <c r="AF693" s="2">
        <v>140411.07942242199</v>
      </c>
      <c r="AG693" s="2">
        <v>141432.70841350901</v>
      </c>
      <c r="AH693" s="2">
        <v>129341.509813914</v>
      </c>
      <c r="AI693" s="2">
        <v>144171.086287479</v>
      </c>
      <c r="AJ693" s="2">
        <v>139200.51068581</v>
      </c>
      <c r="AK693" s="2">
        <v>212239.67400712901</v>
      </c>
      <c r="AL693" s="2">
        <v>207259.36723759101</v>
      </c>
      <c r="AM693" s="2">
        <v>205632.84685470801</v>
      </c>
      <c r="AN693" s="2">
        <v>189175.91546669701</v>
      </c>
      <c r="AO693" s="2">
        <v>199185.67292784</v>
      </c>
      <c r="AP693" s="2">
        <v>202283.436504196</v>
      </c>
    </row>
    <row r="694" spans="1:42" ht="14.5" x14ac:dyDescent="0.35">
      <c r="A694" s="2" t="s">
        <v>4803</v>
      </c>
      <c r="B694" s="2">
        <v>465.102091832361</v>
      </c>
      <c r="C694" s="2">
        <v>3.95061666666667</v>
      </c>
      <c r="D694" s="2" t="s">
        <v>70</v>
      </c>
      <c r="E694" s="2" t="s">
        <v>4804</v>
      </c>
      <c r="F694" s="2">
        <v>33446</v>
      </c>
      <c r="G694" s="3" t="str">
        <f>HYPERLINK("http://funmeta.oebiotech.com/network/33446", "http://funmeta.oebiotech.com/network/33446")</f>
        <v>http://funmeta.oebiotech.com/network/33446</v>
      </c>
      <c r="H694" s="2"/>
      <c r="I694" s="2">
        <v>51773</v>
      </c>
      <c r="J694" s="2" t="s">
        <v>4805</v>
      </c>
      <c r="K694" s="2"/>
      <c r="L694" s="2"/>
      <c r="M694" s="2"/>
      <c r="N694" s="2"/>
      <c r="O694" s="2">
        <v>44260074</v>
      </c>
      <c r="P694" s="2"/>
      <c r="Q694" s="2" t="s">
        <v>4806</v>
      </c>
      <c r="R694" s="2" t="s">
        <v>4807</v>
      </c>
      <c r="S694" s="2" t="s">
        <v>115</v>
      </c>
      <c r="T694" s="2" t="s">
        <v>139</v>
      </c>
      <c r="U694" s="2" t="s">
        <v>1552</v>
      </c>
      <c r="V694" s="2" t="s">
        <v>59</v>
      </c>
      <c r="W694" s="2">
        <v>41.4</v>
      </c>
      <c r="X694" s="2">
        <v>13.8</v>
      </c>
      <c r="Y694" s="2" t="s">
        <v>1654</v>
      </c>
      <c r="Z694" s="2" t="s">
        <v>4808</v>
      </c>
      <c r="AA694" s="2">
        <v>-4.1843632725714404</v>
      </c>
      <c r="AB694" s="2">
        <v>0.98255655809061204</v>
      </c>
      <c r="AC694" s="2">
        <v>803061.07050502696</v>
      </c>
      <c r="AD694" s="2">
        <v>901194.62107059499</v>
      </c>
      <c r="AE694" s="2">
        <v>727552.81677622104</v>
      </c>
      <c r="AF694" s="2">
        <v>866041.12303201098</v>
      </c>
      <c r="AG694" s="2">
        <v>769566.22449913598</v>
      </c>
      <c r="AH694" s="2">
        <v>738074.398911834</v>
      </c>
      <c r="AI694" s="2">
        <v>903816.46114889998</v>
      </c>
      <c r="AJ694" s="2">
        <v>813315.39866206294</v>
      </c>
      <c r="AK694" s="2">
        <v>955788.27735059406</v>
      </c>
      <c r="AL694" s="2">
        <v>847271.75155333395</v>
      </c>
      <c r="AM694" s="2">
        <v>936825.47656188498</v>
      </c>
      <c r="AN694" s="2">
        <v>879142.73149891396</v>
      </c>
      <c r="AO694" s="2">
        <v>826224.75701907603</v>
      </c>
      <c r="AP694" s="2">
        <v>961914.73243976396</v>
      </c>
    </row>
    <row r="695" spans="1:42" ht="14.5" x14ac:dyDescent="0.35">
      <c r="A695" s="2" t="s">
        <v>4809</v>
      </c>
      <c r="B695" s="2">
        <v>447.09311476037601</v>
      </c>
      <c r="C695" s="2">
        <v>4.9343500000000002</v>
      </c>
      <c r="D695" s="2" t="s">
        <v>70</v>
      </c>
      <c r="E695" s="2" t="s">
        <v>4810</v>
      </c>
      <c r="F695" s="2">
        <v>31814</v>
      </c>
      <c r="G695" s="3" t="str">
        <f>HYPERLINK("http://funmeta.oebiotech.com/network/31814", "http://funmeta.oebiotech.com/network/31814")</f>
        <v>http://funmeta.oebiotech.com/network/31814</v>
      </c>
      <c r="H695" s="2" t="s">
        <v>4811</v>
      </c>
      <c r="I695" s="2">
        <v>45733</v>
      </c>
      <c r="J695" s="2" t="s">
        <v>4812</v>
      </c>
      <c r="K695" s="2">
        <v>30200</v>
      </c>
      <c r="L695" s="2" t="s">
        <v>4813</v>
      </c>
      <c r="M695" s="2" t="s">
        <v>824</v>
      </c>
      <c r="N695" s="2" t="s">
        <v>4398</v>
      </c>
      <c r="O695" s="2">
        <v>5282102</v>
      </c>
      <c r="P695" s="2" t="s">
        <v>4814</v>
      </c>
      <c r="Q695" s="2" t="s">
        <v>4815</v>
      </c>
      <c r="R695" s="2" t="s">
        <v>4816</v>
      </c>
      <c r="S695" s="2" t="s">
        <v>115</v>
      </c>
      <c r="T695" s="2" t="s">
        <v>139</v>
      </c>
      <c r="U695" s="2" t="s">
        <v>140</v>
      </c>
      <c r="V695" s="2" t="s">
        <v>42</v>
      </c>
      <c r="W695" s="2">
        <v>56.9</v>
      </c>
      <c r="X695" s="2">
        <v>86.9</v>
      </c>
      <c r="Y695" s="2" t="s">
        <v>498</v>
      </c>
      <c r="Z695" s="2" t="s">
        <v>4817</v>
      </c>
      <c r="AA695" s="2">
        <v>-0.37996869231477998</v>
      </c>
      <c r="AB695" s="2">
        <v>0.98219575235611301</v>
      </c>
      <c r="AC695" s="2">
        <v>166408.465842743</v>
      </c>
      <c r="AD695" s="2">
        <v>101795.437950754</v>
      </c>
      <c r="AE695" s="2">
        <v>175528.43447198201</v>
      </c>
      <c r="AF695" s="2">
        <v>170022.434219113</v>
      </c>
      <c r="AG695" s="2">
        <v>150214.986257223</v>
      </c>
      <c r="AH695" s="2">
        <v>162433.759619385</v>
      </c>
      <c r="AI695" s="2">
        <v>167358.35368955199</v>
      </c>
      <c r="AJ695" s="2">
        <v>172892.82679920099</v>
      </c>
      <c r="AK695" s="2">
        <v>97427.588865414902</v>
      </c>
      <c r="AL695" s="2">
        <v>100255.85529732201</v>
      </c>
      <c r="AM695" s="2">
        <v>102643.555075539</v>
      </c>
      <c r="AN695" s="2">
        <v>107866.124020031</v>
      </c>
      <c r="AO695" s="2">
        <v>98257.881997454097</v>
      </c>
      <c r="AP695" s="2">
        <v>104321.622448763</v>
      </c>
    </row>
    <row r="696" spans="1:42" ht="14.5" x14ac:dyDescent="0.35">
      <c r="A696" s="2" t="s">
        <v>4818</v>
      </c>
      <c r="B696" s="2">
        <v>627.29966768374095</v>
      </c>
      <c r="C696" s="2">
        <v>10.2578333333333</v>
      </c>
      <c r="D696" s="2" t="s">
        <v>70</v>
      </c>
      <c r="E696" s="2" t="s">
        <v>4819</v>
      </c>
      <c r="F696" s="2">
        <v>276596</v>
      </c>
      <c r="G696" s="3" t="str">
        <f>HYPERLINK("http://funmeta.oebiotech.com/network/276596", "http://funmeta.oebiotech.com/network/276596")</f>
        <v>http://funmeta.oebiotech.com/network/276596</v>
      </c>
      <c r="H696" s="2"/>
      <c r="I696" s="2">
        <v>68104</v>
      </c>
      <c r="J696" s="2"/>
      <c r="K696" s="2"/>
      <c r="L696" s="2" t="s">
        <v>4820</v>
      </c>
      <c r="M696" s="2"/>
      <c r="N696" s="2"/>
      <c r="O696" s="2">
        <v>5281632</v>
      </c>
      <c r="P696" s="2" t="s">
        <v>4821</v>
      </c>
      <c r="Q696" s="2" t="s">
        <v>4822</v>
      </c>
      <c r="R696" s="2" t="s">
        <v>4823</v>
      </c>
      <c r="S696" s="2" t="s">
        <v>491</v>
      </c>
      <c r="T696" s="2" t="s">
        <v>2251</v>
      </c>
      <c r="U696" s="2" t="s">
        <v>2252</v>
      </c>
      <c r="V696" s="2" t="s">
        <v>59</v>
      </c>
      <c r="W696" s="2">
        <v>37</v>
      </c>
      <c r="X696" s="2">
        <v>1.1000000000000001</v>
      </c>
      <c r="Y696" s="2" t="s">
        <v>118</v>
      </c>
      <c r="Z696" s="2" t="s">
        <v>4824</v>
      </c>
      <c r="AA696" s="2">
        <v>5.2932182528185896</v>
      </c>
      <c r="AB696" s="2">
        <v>0.98189464490757306</v>
      </c>
      <c r="AC696" s="2">
        <v>164010.45169456399</v>
      </c>
      <c r="AD696" s="2">
        <v>99572.051627654902</v>
      </c>
      <c r="AE696" s="2">
        <v>178175.01688940701</v>
      </c>
      <c r="AF696" s="2">
        <v>163441.840968795</v>
      </c>
      <c r="AG696" s="2">
        <v>160215.79778841499</v>
      </c>
      <c r="AH696" s="2">
        <v>161698.27486081401</v>
      </c>
      <c r="AI696" s="2">
        <v>156276.233119332</v>
      </c>
      <c r="AJ696" s="2">
        <v>164255.54654062001</v>
      </c>
      <c r="AK696" s="2">
        <v>86368.611312825102</v>
      </c>
      <c r="AL696" s="2">
        <v>104662.59503016299</v>
      </c>
      <c r="AM696" s="2">
        <v>101269.884577262</v>
      </c>
      <c r="AN696" s="2">
        <v>99211.172211998201</v>
      </c>
      <c r="AO696" s="2">
        <v>101278.767889914</v>
      </c>
      <c r="AP696" s="2">
        <v>104641.278743767</v>
      </c>
    </row>
    <row r="697" spans="1:42" ht="14.5" x14ac:dyDescent="0.35">
      <c r="A697" s="2" t="s">
        <v>4825</v>
      </c>
      <c r="B697" s="2">
        <v>531.22003637826299</v>
      </c>
      <c r="C697" s="2">
        <v>5.8468499999999999</v>
      </c>
      <c r="D697" s="2" t="s">
        <v>34</v>
      </c>
      <c r="E697" s="2" t="s">
        <v>4826</v>
      </c>
      <c r="F697" s="2">
        <v>274693</v>
      </c>
      <c r="G697" s="3" t="str">
        <f>HYPERLINK("http://funmeta.oebiotech.com/network/274693", "http://funmeta.oebiotech.com/network/274693")</f>
        <v>http://funmeta.oebiotech.com/network/274693</v>
      </c>
      <c r="H697" s="2"/>
      <c r="I697" s="2">
        <v>64898</v>
      </c>
      <c r="J697" s="2"/>
      <c r="K697" s="2"/>
      <c r="L697" s="2"/>
      <c r="M697" s="2"/>
      <c r="N697" s="2"/>
      <c r="O697" s="2">
        <v>192401</v>
      </c>
      <c r="P697" s="2"/>
      <c r="Q697" s="2" t="s">
        <v>4827</v>
      </c>
      <c r="R697" s="2" t="s">
        <v>4828</v>
      </c>
      <c r="S697" s="2" t="s">
        <v>50</v>
      </c>
      <c r="T697" s="2" t="s">
        <v>51</v>
      </c>
      <c r="U697" s="2" t="s">
        <v>52</v>
      </c>
      <c r="V697" s="2" t="s">
        <v>59</v>
      </c>
      <c r="W697" s="2">
        <v>38.799999999999997</v>
      </c>
      <c r="X697" s="2">
        <v>0</v>
      </c>
      <c r="Y697" s="2" t="s">
        <v>394</v>
      </c>
      <c r="Z697" s="2" t="s">
        <v>4829</v>
      </c>
      <c r="AA697" s="2">
        <v>-0.12822916358129499</v>
      </c>
      <c r="AB697" s="2">
        <v>0.98182572509155897</v>
      </c>
      <c r="AC697" s="2">
        <v>147416.926936904</v>
      </c>
      <c r="AD697" s="2">
        <v>83339.782684788501</v>
      </c>
      <c r="AE697" s="2">
        <v>140658.20530878901</v>
      </c>
      <c r="AF697" s="2">
        <v>152200.72610294601</v>
      </c>
      <c r="AG697" s="2">
        <v>156875.38019988299</v>
      </c>
      <c r="AH697" s="2">
        <v>139630.69074511301</v>
      </c>
      <c r="AI697" s="2">
        <v>142033.54672459199</v>
      </c>
      <c r="AJ697" s="2">
        <v>153103.01254009901</v>
      </c>
      <c r="AK697" s="2">
        <v>87109.327697046901</v>
      </c>
      <c r="AL697" s="2">
        <v>85501.147282430495</v>
      </c>
      <c r="AM697" s="2">
        <v>87954.150808836697</v>
      </c>
      <c r="AN697" s="2">
        <v>78577.012349050303</v>
      </c>
      <c r="AO697" s="2">
        <v>83056.921148453403</v>
      </c>
      <c r="AP697" s="2">
        <v>77840.1368229129</v>
      </c>
    </row>
    <row r="698" spans="1:42" ht="14.5" x14ac:dyDescent="0.35">
      <c r="A698" s="2" t="s">
        <v>4830</v>
      </c>
      <c r="B698" s="2">
        <v>277.144222630613</v>
      </c>
      <c r="C698" s="2">
        <v>5.71</v>
      </c>
      <c r="D698" s="2" t="s">
        <v>70</v>
      </c>
      <c r="E698" s="2" t="s">
        <v>4831</v>
      </c>
      <c r="F698" s="2">
        <v>57495</v>
      </c>
      <c r="G698" s="3" t="str">
        <f>HYPERLINK("http://funmeta.oebiotech.com/network/57495", "http://funmeta.oebiotech.com/network/57495")</f>
        <v>http://funmeta.oebiotech.com/network/57495</v>
      </c>
      <c r="H698" s="2" t="s">
        <v>4832</v>
      </c>
      <c r="I698" s="2">
        <v>69881</v>
      </c>
      <c r="J698" s="2"/>
      <c r="K698" s="2">
        <v>34687</v>
      </c>
      <c r="L698" s="2" t="s">
        <v>4833</v>
      </c>
      <c r="M698" s="2"/>
      <c r="N698" s="2"/>
      <c r="O698" s="2">
        <v>3026</v>
      </c>
      <c r="P698" s="2" t="s">
        <v>4834</v>
      </c>
      <c r="Q698" s="2" t="s">
        <v>4835</v>
      </c>
      <c r="R698" s="2" t="s">
        <v>4836</v>
      </c>
      <c r="S698" s="2" t="s">
        <v>148</v>
      </c>
      <c r="T698" s="2" t="s">
        <v>149</v>
      </c>
      <c r="U698" s="2" t="s">
        <v>1593</v>
      </c>
      <c r="V698" s="2" t="s">
        <v>42</v>
      </c>
      <c r="W698" s="2">
        <v>51</v>
      </c>
      <c r="X698" s="2">
        <v>60</v>
      </c>
      <c r="Y698" s="2" t="s">
        <v>498</v>
      </c>
      <c r="Z698" s="2" t="s">
        <v>4837</v>
      </c>
      <c r="AA698" s="2">
        <v>-1.1149349281529599</v>
      </c>
      <c r="AB698" s="2">
        <v>0.98013661445285005</v>
      </c>
      <c r="AC698" s="2">
        <v>52760.998758399801</v>
      </c>
      <c r="AD698" s="2">
        <v>117055.87361982001</v>
      </c>
      <c r="AE698" s="2">
        <v>55016.488968589001</v>
      </c>
      <c r="AF698" s="2">
        <v>50599.766480607002</v>
      </c>
      <c r="AG698" s="2">
        <v>55302.671243622397</v>
      </c>
      <c r="AH698" s="2">
        <v>50733.282502286696</v>
      </c>
      <c r="AI698" s="2">
        <v>50920.094758128202</v>
      </c>
      <c r="AJ698" s="2">
        <v>53993.688597165499</v>
      </c>
      <c r="AK698" s="2">
        <v>124693.308305603</v>
      </c>
      <c r="AL698" s="2">
        <v>124255.421369592</v>
      </c>
      <c r="AM698" s="2">
        <v>118178.236366376</v>
      </c>
      <c r="AN698" s="2">
        <v>112321.21740172101</v>
      </c>
      <c r="AO698" s="2">
        <v>122608.313091306</v>
      </c>
      <c r="AP698" s="2">
        <v>100278.745184322</v>
      </c>
    </row>
    <row r="699" spans="1:42" ht="14.5" x14ac:dyDescent="0.35">
      <c r="A699" s="2" t="s">
        <v>4838</v>
      </c>
      <c r="B699" s="2">
        <v>392.13132037650098</v>
      </c>
      <c r="C699" s="2">
        <v>4.2085666666666697</v>
      </c>
      <c r="D699" s="2" t="s">
        <v>34</v>
      </c>
      <c r="E699" s="2" t="s">
        <v>4839</v>
      </c>
      <c r="F699" s="2">
        <v>56409</v>
      </c>
      <c r="G699" s="3" t="str">
        <f>HYPERLINK("http://funmeta.oebiotech.com/network/56409", "http://funmeta.oebiotech.com/network/56409")</f>
        <v>http://funmeta.oebiotech.com/network/56409</v>
      </c>
      <c r="H699" s="2" t="s">
        <v>4840</v>
      </c>
      <c r="I699" s="2">
        <v>88060</v>
      </c>
      <c r="J699" s="2"/>
      <c r="K699" s="2">
        <v>174923</v>
      </c>
      <c r="L699" s="2"/>
      <c r="M699" s="2"/>
      <c r="N699" s="2"/>
      <c r="O699" s="2">
        <v>101920262</v>
      </c>
      <c r="P699" s="2" t="s">
        <v>4841</v>
      </c>
      <c r="Q699" s="2" t="s">
        <v>4842</v>
      </c>
      <c r="R699" s="2" t="s">
        <v>4843</v>
      </c>
      <c r="S699" s="2" t="s">
        <v>79</v>
      </c>
      <c r="T699" s="2" t="s">
        <v>80</v>
      </c>
      <c r="U699" s="2" t="s">
        <v>81</v>
      </c>
      <c r="V699" s="2" t="s">
        <v>59</v>
      </c>
      <c r="W699" s="2">
        <v>40.299999999999997</v>
      </c>
      <c r="X699" s="2">
        <v>8.5299999999999994</v>
      </c>
      <c r="Y699" s="2" t="s">
        <v>323</v>
      </c>
      <c r="Z699" s="2" t="s">
        <v>4844</v>
      </c>
      <c r="AA699" s="2">
        <v>-0.72330464765037505</v>
      </c>
      <c r="AB699" s="2">
        <v>0.97984016078914904</v>
      </c>
      <c r="AC699" s="2">
        <v>123615.705323405</v>
      </c>
      <c r="AD699" s="2">
        <v>187726.64123658801</v>
      </c>
      <c r="AE699" s="2">
        <v>119933.29068637099</v>
      </c>
      <c r="AF699" s="2">
        <v>127478.31558002799</v>
      </c>
      <c r="AG699" s="2">
        <v>129479.162250396</v>
      </c>
      <c r="AH699" s="2">
        <v>115095.228105897</v>
      </c>
      <c r="AI699" s="2">
        <v>128285.463273998</v>
      </c>
      <c r="AJ699" s="2">
        <v>121422.772043741</v>
      </c>
      <c r="AK699" s="2">
        <v>185229.031862301</v>
      </c>
      <c r="AL699" s="2">
        <v>177397.54929506901</v>
      </c>
      <c r="AM699" s="2">
        <v>186187.92192692001</v>
      </c>
      <c r="AN699" s="2">
        <v>195796.05060052601</v>
      </c>
      <c r="AO699" s="2">
        <v>198864.07546325499</v>
      </c>
      <c r="AP699" s="2">
        <v>182885.21827145401</v>
      </c>
    </row>
    <row r="700" spans="1:42" ht="14.5" x14ac:dyDescent="0.35">
      <c r="A700" s="2" t="s">
        <v>4845</v>
      </c>
      <c r="B700" s="2">
        <v>533.23833165908604</v>
      </c>
      <c r="C700" s="2">
        <v>5.7665166666666696</v>
      </c>
      <c r="D700" s="2" t="s">
        <v>70</v>
      </c>
      <c r="E700" s="2" t="s">
        <v>4846</v>
      </c>
      <c r="F700" s="2">
        <v>53352</v>
      </c>
      <c r="G700" s="3" t="str">
        <f>HYPERLINK("http://funmeta.oebiotech.com/network/53352", "http://funmeta.oebiotech.com/network/53352")</f>
        <v>http://funmeta.oebiotech.com/network/53352</v>
      </c>
      <c r="H700" s="2" t="s">
        <v>4847</v>
      </c>
      <c r="I700" s="2"/>
      <c r="J700" s="2"/>
      <c r="K700" s="2"/>
      <c r="L700" s="2"/>
      <c r="M700" s="2"/>
      <c r="N700" s="2"/>
      <c r="O700" s="2">
        <v>52421</v>
      </c>
      <c r="P700" s="2" t="s">
        <v>4848</v>
      </c>
      <c r="Q700" s="2" t="s">
        <v>4849</v>
      </c>
      <c r="R700" s="2" t="s">
        <v>4850</v>
      </c>
      <c r="S700" s="2" t="s">
        <v>50</v>
      </c>
      <c r="T700" s="2" t="s">
        <v>124</v>
      </c>
      <c r="U700" s="2" t="s">
        <v>929</v>
      </c>
      <c r="V700" s="2" t="s">
        <v>42</v>
      </c>
      <c r="W700" s="2">
        <v>48.7</v>
      </c>
      <c r="X700" s="2">
        <v>47.5</v>
      </c>
      <c r="Y700" s="2" t="s">
        <v>286</v>
      </c>
      <c r="Z700" s="2" t="s">
        <v>1724</v>
      </c>
      <c r="AA700" s="2">
        <v>-1.8214813597933499</v>
      </c>
      <c r="AB700" s="2">
        <v>0.976774529988502</v>
      </c>
      <c r="AC700" s="2">
        <v>99593.249790399102</v>
      </c>
      <c r="AD700" s="2">
        <v>164917.09944886999</v>
      </c>
      <c r="AE700" s="2">
        <v>99330.152970508803</v>
      </c>
      <c r="AF700" s="2">
        <v>95242.609026565304</v>
      </c>
      <c r="AG700" s="2">
        <v>95772.710507196301</v>
      </c>
      <c r="AH700" s="2">
        <v>107188.534887399</v>
      </c>
      <c r="AI700" s="2">
        <v>98793.755451093297</v>
      </c>
      <c r="AJ700" s="2">
        <v>101231.735899632</v>
      </c>
      <c r="AK700" s="2">
        <v>155070.627537352</v>
      </c>
      <c r="AL700" s="2">
        <v>179390.229274604</v>
      </c>
      <c r="AM700" s="2">
        <v>153881.56710161301</v>
      </c>
      <c r="AN700" s="2">
        <v>165107.204070885</v>
      </c>
      <c r="AO700" s="2">
        <v>185199.41688010801</v>
      </c>
      <c r="AP700" s="2">
        <v>150853.55182865899</v>
      </c>
    </row>
    <row r="701" spans="1:42" ht="14.5" x14ac:dyDescent="0.35">
      <c r="A701" s="2" t="s">
        <v>4851</v>
      </c>
      <c r="B701" s="2">
        <v>473.17869146638498</v>
      </c>
      <c r="C701" s="2">
        <v>4.6168333333333296</v>
      </c>
      <c r="D701" s="2" t="s">
        <v>34</v>
      </c>
      <c r="E701" s="2" t="s">
        <v>4852</v>
      </c>
      <c r="F701" s="2">
        <v>36078</v>
      </c>
      <c r="G701" s="3" t="str">
        <f>HYPERLINK("http://funmeta.oebiotech.com/network/36078", "http://funmeta.oebiotech.com/network/36078")</f>
        <v>http://funmeta.oebiotech.com/network/36078</v>
      </c>
      <c r="H701" s="2"/>
      <c r="I701" s="2">
        <v>53685</v>
      </c>
      <c r="J701" s="2" t="s">
        <v>4853</v>
      </c>
      <c r="K701" s="2"/>
      <c r="L701" s="2"/>
      <c r="M701" s="2"/>
      <c r="N701" s="2"/>
      <c r="O701" s="2">
        <v>42608249</v>
      </c>
      <c r="P701" s="2"/>
      <c r="Q701" s="2" t="s">
        <v>4854</v>
      </c>
      <c r="R701" s="2" t="s">
        <v>4855</v>
      </c>
      <c r="S701" s="2" t="s">
        <v>89</v>
      </c>
      <c r="T701" s="2" t="s">
        <v>90</v>
      </c>
      <c r="U701" s="2" t="s">
        <v>91</v>
      </c>
      <c r="V701" s="2" t="s">
        <v>59</v>
      </c>
      <c r="W701" s="2">
        <v>38.799999999999997</v>
      </c>
      <c r="X701" s="2">
        <v>1.82</v>
      </c>
      <c r="Y701" s="2" t="s">
        <v>323</v>
      </c>
      <c r="Z701" s="2" t="s">
        <v>4856</v>
      </c>
      <c r="AA701" s="2">
        <v>1.0845406340204999</v>
      </c>
      <c r="AB701" s="2">
        <v>0.97562263365497204</v>
      </c>
      <c r="AC701" s="2">
        <v>155266.371507014</v>
      </c>
      <c r="AD701" s="2">
        <v>221806.07306861301</v>
      </c>
      <c r="AE701" s="2">
        <v>147478.019595575</v>
      </c>
      <c r="AF701" s="2">
        <v>178061.492339477</v>
      </c>
      <c r="AG701" s="2">
        <v>144711.80461394001</v>
      </c>
      <c r="AH701" s="2">
        <v>153860.54980527301</v>
      </c>
      <c r="AI701" s="2">
        <v>153848.85173696699</v>
      </c>
      <c r="AJ701" s="2">
        <v>153637.51095084901</v>
      </c>
      <c r="AK701" s="2">
        <v>223669.07373433601</v>
      </c>
      <c r="AL701" s="2">
        <v>232021.483342208</v>
      </c>
      <c r="AM701" s="2">
        <v>227352.29771148801</v>
      </c>
      <c r="AN701" s="2">
        <v>238919.363031891</v>
      </c>
      <c r="AO701" s="2">
        <v>199239.13829219001</v>
      </c>
      <c r="AP701" s="2">
        <v>209635.08229956601</v>
      </c>
    </row>
    <row r="702" spans="1:42" ht="14.5" x14ac:dyDescent="0.35">
      <c r="A702" s="2" t="s">
        <v>4857</v>
      </c>
      <c r="B702" s="2">
        <v>371.19723344722502</v>
      </c>
      <c r="C702" s="2">
        <v>4.8662333333333301</v>
      </c>
      <c r="D702" s="2" t="s">
        <v>34</v>
      </c>
      <c r="E702" s="2" t="s">
        <v>4858</v>
      </c>
      <c r="F702" s="2">
        <v>1164</v>
      </c>
      <c r="G702" s="3" t="str">
        <f>HYPERLINK("http://funmeta.oebiotech.com/network/1164", "http://funmeta.oebiotech.com/network/1164")</f>
        <v>http://funmeta.oebiotech.com/network/1164</v>
      </c>
      <c r="H702" s="2"/>
      <c r="I702" s="2">
        <v>74337</v>
      </c>
      <c r="J702" s="2" t="s">
        <v>4859</v>
      </c>
      <c r="K702" s="2"/>
      <c r="L702" s="2"/>
      <c r="M702" s="2"/>
      <c r="N702" s="2"/>
      <c r="O702" s="2">
        <v>9543644</v>
      </c>
      <c r="P702" s="2"/>
      <c r="Q702" s="2" t="s">
        <v>4860</v>
      </c>
      <c r="R702" s="2" t="s">
        <v>4861</v>
      </c>
      <c r="S702" s="2" t="s">
        <v>50</v>
      </c>
      <c r="T702" s="2" t="s">
        <v>229</v>
      </c>
      <c r="U702" s="2" t="s">
        <v>433</v>
      </c>
      <c r="V702" s="2" t="s">
        <v>59</v>
      </c>
      <c r="W702" s="2">
        <v>37.700000000000003</v>
      </c>
      <c r="X702" s="2">
        <v>7.99</v>
      </c>
      <c r="Y702" s="2" t="s">
        <v>568</v>
      </c>
      <c r="Z702" s="2" t="s">
        <v>4862</v>
      </c>
      <c r="AA702" s="2">
        <v>-2.6345385642046599</v>
      </c>
      <c r="AB702" s="2">
        <v>0.97376123863475195</v>
      </c>
      <c r="AC702" s="2">
        <v>289126.60784360702</v>
      </c>
      <c r="AD702" s="2">
        <v>356163.610719327</v>
      </c>
      <c r="AE702" s="2">
        <v>284130.97570953303</v>
      </c>
      <c r="AF702" s="2">
        <v>281207.036793384</v>
      </c>
      <c r="AG702" s="2">
        <v>300502.68282436801</v>
      </c>
      <c r="AH702" s="2">
        <v>312168.77722918597</v>
      </c>
      <c r="AI702" s="2">
        <v>295358.98037140298</v>
      </c>
      <c r="AJ702" s="2">
        <v>261391.194133766</v>
      </c>
      <c r="AK702" s="2">
        <v>363414.08906363999</v>
      </c>
      <c r="AL702" s="2">
        <v>352800.742923957</v>
      </c>
      <c r="AM702" s="2">
        <v>375966.53439742402</v>
      </c>
      <c r="AN702" s="2">
        <v>345596.18285920302</v>
      </c>
      <c r="AO702" s="2">
        <v>349815.54350543802</v>
      </c>
      <c r="AP702" s="2">
        <v>349388.57156629901</v>
      </c>
    </row>
    <row r="703" spans="1:42" ht="14.5" x14ac:dyDescent="0.35">
      <c r="A703" s="2" t="s">
        <v>4863</v>
      </c>
      <c r="B703" s="2">
        <v>188.070599236569</v>
      </c>
      <c r="C703" s="2">
        <v>3.6785666666666699</v>
      </c>
      <c r="D703" s="2" t="s">
        <v>34</v>
      </c>
      <c r="E703" s="2" t="s">
        <v>4864</v>
      </c>
      <c r="F703" s="2">
        <v>47188</v>
      </c>
      <c r="G703" s="3" t="str">
        <f>HYPERLINK("http://funmeta.oebiotech.com/network/47188", "http://funmeta.oebiotech.com/network/47188")</f>
        <v>http://funmeta.oebiotech.com/network/47188</v>
      </c>
      <c r="H703" s="2" t="s">
        <v>4865</v>
      </c>
      <c r="I703" s="2"/>
      <c r="J703" s="2"/>
      <c r="K703" s="2">
        <v>132244</v>
      </c>
      <c r="L703" s="2"/>
      <c r="M703" s="2"/>
      <c r="N703" s="2"/>
      <c r="O703" s="2">
        <v>5375048</v>
      </c>
      <c r="P703" s="2" t="s">
        <v>4866</v>
      </c>
      <c r="Q703" s="2" t="s">
        <v>4867</v>
      </c>
      <c r="R703" s="2" t="s">
        <v>4868</v>
      </c>
      <c r="S703" s="2" t="s">
        <v>491</v>
      </c>
      <c r="T703" s="2" t="s">
        <v>2184</v>
      </c>
      <c r="U703" s="2" t="s">
        <v>3838</v>
      </c>
      <c r="V703" s="2" t="s">
        <v>59</v>
      </c>
      <c r="W703" s="2">
        <v>45.3</v>
      </c>
      <c r="X703" s="2">
        <v>33.299999999999997</v>
      </c>
      <c r="Y703" s="2" t="s">
        <v>1008</v>
      </c>
      <c r="Z703" s="2" t="s">
        <v>4869</v>
      </c>
      <c r="AA703" s="2">
        <v>-3.0620544353383301E-2</v>
      </c>
      <c r="AB703" s="2">
        <v>0.97286834198651495</v>
      </c>
      <c r="AC703" s="2">
        <v>202250.00961603899</v>
      </c>
      <c r="AD703" s="2">
        <v>137170.966109186</v>
      </c>
      <c r="AE703" s="2">
        <v>201809.43769111301</v>
      </c>
      <c r="AF703" s="2">
        <v>206530.40495737101</v>
      </c>
      <c r="AG703" s="2">
        <v>196680.15596552499</v>
      </c>
      <c r="AH703" s="2">
        <v>230018.15567256199</v>
      </c>
      <c r="AI703" s="2">
        <v>188896.04073811899</v>
      </c>
      <c r="AJ703" s="2">
        <v>189565.86267154399</v>
      </c>
      <c r="AK703" s="2">
        <v>133093.68291637499</v>
      </c>
      <c r="AL703" s="2">
        <v>134188.465841</v>
      </c>
      <c r="AM703" s="2">
        <v>145074.00778387199</v>
      </c>
      <c r="AN703" s="2">
        <v>141325.36912570099</v>
      </c>
      <c r="AO703" s="2">
        <v>133146.51609956799</v>
      </c>
      <c r="AP703" s="2">
        <v>136197.75488859799</v>
      </c>
    </row>
    <row r="704" spans="1:42" ht="14.5" x14ac:dyDescent="0.35">
      <c r="A704" s="2" t="s">
        <v>4870</v>
      </c>
      <c r="B704" s="2">
        <v>449.20301647880802</v>
      </c>
      <c r="C704" s="2">
        <v>4.09636666666667</v>
      </c>
      <c r="D704" s="2" t="s">
        <v>70</v>
      </c>
      <c r="E704" s="2" t="s">
        <v>4871</v>
      </c>
      <c r="F704" s="2">
        <v>515700</v>
      </c>
      <c r="G704" s="3" t="str">
        <f>HYPERLINK("http://funmeta.oebiotech.com/network/515700", "http://funmeta.oebiotech.com/network/515700")</f>
        <v>http://funmeta.oebiotech.com/network/515700</v>
      </c>
      <c r="H704" s="2"/>
      <c r="I704" s="2">
        <v>96514</v>
      </c>
      <c r="J704" s="2"/>
      <c r="K704" s="2"/>
      <c r="L704" s="2"/>
      <c r="M704" s="2"/>
      <c r="N704" s="2"/>
      <c r="O704" s="2">
        <v>9803828</v>
      </c>
      <c r="P704" s="2" t="s">
        <v>4872</v>
      </c>
      <c r="Q704" s="2" t="s">
        <v>4873</v>
      </c>
      <c r="R704" s="2" t="s">
        <v>4874</v>
      </c>
      <c r="S704" s="2" t="s">
        <v>148</v>
      </c>
      <c r="T704" s="2" t="s">
        <v>149</v>
      </c>
      <c r="U704" s="2" t="s">
        <v>4875</v>
      </c>
      <c r="V704" s="2" t="s">
        <v>59</v>
      </c>
      <c r="W704" s="2">
        <v>42.8</v>
      </c>
      <c r="X704" s="2">
        <v>33.799999999999997</v>
      </c>
      <c r="Y704" s="2" t="s">
        <v>286</v>
      </c>
      <c r="Z704" s="2" t="s">
        <v>4876</v>
      </c>
      <c r="AA704" s="2">
        <v>5.9597017224357502</v>
      </c>
      <c r="AB704" s="2">
        <v>0.97081501862937203</v>
      </c>
      <c r="AC704" s="2">
        <v>225581.593122135</v>
      </c>
      <c r="AD704" s="2">
        <v>289562.65966695402</v>
      </c>
      <c r="AE704" s="2">
        <v>228829.11365812999</v>
      </c>
      <c r="AF704" s="2">
        <v>221434.05190753401</v>
      </c>
      <c r="AG704" s="2">
        <v>221012.666531044</v>
      </c>
      <c r="AH704" s="2">
        <v>218938.990874148</v>
      </c>
      <c r="AI704" s="2">
        <v>233566.87953679799</v>
      </c>
      <c r="AJ704" s="2">
        <v>229707.85622515701</v>
      </c>
      <c r="AK704" s="2">
        <v>291379.823413715</v>
      </c>
      <c r="AL704" s="2">
        <v>281031.180801054</v>
      </c>
      <c r="AM704" s="2">
        <v>298424.34867708798</v>
      </c>
      <c r="AN704" s="2">
        <v>282264.14876624697</v>
      </c>
      <c r="AO704" s="2">
        <v>276130.62792958401</v>
      </c>
      <c r="AP704" s="2">
        <v>308145.828414038</v>
      </c>
    </row>
    <row r="705" spans="1:42" ht="14.5" x14ac:dyDescent="0.35">
      <c r="A705" s="2" t="s">
        <v>4877</v>
      </c>
      <c r="B705" s="2">
        <v>415.22332368978499</v>
      </c>
      <c r="C705" s="2">
        <v>4.9946333333333301</v>
      </c>
      <c r="D705" s="2" t="s">
        <v>34</v>
      </c>
      <c r="E705" s="2" t="s">
        <v>4878</v>
      </c>
      <c r="F705" s="2">
        <v>26099</v>
      </c>
      <c r="G705" s="3" t="str">
        <f>HYPERLINK("http://funmeta.oebiotech.com/network/26099", "http://funmeta.oebiotech.com/network/26099")</f>
        <v>http://funmeta.oebiotech.com/network/26099</v>
      </c>
      <c r="H705" s="2" t="s">
        <v>4879</v>
      </c>
      <c r="I705" s="2">
        <v>82354</v>
      </c>
      <c r="J705" s="2" t="s">
        <v>4880</v>
      </c>
      <c r="K705" s="2">
        <v>74831</v>
      </c>
      <c r="L705" s="2"/>
      <c r="M705" s="2"/>
      <c r="N705" s="2"/>
      <c r="O705" s="2">
        <v>52929766</v>
      </c>
      <c r="P705" s="2"/>
      <c r="Q705" s="2" t="s">
        <v>4881</v>
      </c>
      <c r="R705" s="2" t="s">
        <v>4882</v>
      </c>
      <c r="S705" s="2" t="s">
        <v>50</v>
      </c>
      <c r="T705" s="2" t="s">
        <v>51</v>
      </c>
      <c r="U705" s="2" t="s">
        <v>273</v>
      </c>
      <c r="V705" s="2" t="s">
        <v>59</v>
      </c>
      <c r="W705" s="2">
        <v>42.6</v>
      </c>
      <c r="X705" s="2">
        <v>29.4</v>
      </c>
      <c r="Y705" s="2" t="s">
        <v>141</v>
      </c>
      <c r="Z705" s="2" t="s">
        <v>4883</v>
      </c>
      <c r="AA705" s="2">
        <v>-2.4945503256706498</v>
      </c>
      <c r="AB705" s="2">
        <v>0.97078713530250105</v>
      </c>
      <c r="AC705" s="2">
        <v>290528.38889221702</v>
      </c>
      <c r="AD705" s="2">
        <v>360190.14986337197</v>
      </c>
      <c r="AE705" s="2">
        <v>298448.80992356897</v>
      </c>
      <c r="AF705" s="2">
        <v>278648.392470119</v>
      </c>
      <c r="AG705" s="2">
        <v>305276.765018854</v>
      </c>
      <c r="AH705" s="2">
        <v>313741.83096197702</v>
      </c>
      <c r="AI705" s="2">
        <v>281419.776080704</v>
      </c>
      <c r="AJ705" s="2">
        <v>265634.75889808103</v>
      </c>
      <c r="AK705" s="2">
        <v>339028.89570217498</v>
      </c>
      <c r="AL705" s="2">
        <v>354298.74393183697</v>
      </c>
      <c r="AM705" s="2">
        <v>392676.60625564301</v>
      </c>
      <c r="AN705" s="2">
        <v>363714.41345626599</v>
      </c>
      <c r="AO705" s="2">
        <v>374410.66259666701</v>
      </c>
      <c r="AP705" s="2">
        <v>337011.57723764202</v>
      </c>
    </row>
    <row r="706" spans="1:42" ht="14.5" x14ac:dyDescent="0.35">
      <c r="A706" s="2" t="s">
        <v>4884</v>
      </c>
      <c r="B706" s="2">
        <v>546.88393412955304</v>
      </c>
      <c r="C706" s="2">
        <v>12.953900000000001</v>
      </c>
      <c r="D706" s="2" t="s">
        <v>34</v>
      </c>
      <c r="E706" s="2" t="s">
        <v>4885</v>
      </c>
      <c r="F706" s="2">
        <v>210196</v>
      </c>
      <c r="G706" s="3" t="str">
        <f>HYPERLINK("http://funmeta.oebiotech.com/network/210196", "http://funmeta.oebiotech.com/network/210196")</f>
        <v>http://funmeta.oebiotech.com/network/210196</v>
      </c>
      <c r="H706" s="2" t="s">
        <v>4886</v>
      </c>
      <c r="I706" s="2">
        <v>337803</v>
      </c>
      <c r="J706" s="2"/>
      <c r="K706" s="2"/>
      <c r="L706" s="2"/>
      <c r="M706" s="2"/>
      <c r="N706" s="2"/>
      <c r="O706" s="2">
        <v>10491</v>
      </c>
      <c r="P706" s="2"/>
      <c r="Q706" s="2" t="s">
        <v>4887</v>
      </c>
      <c r="R706" s="2" t="s">
        <v>4888</v>
      </c>
      <c r="S706" s="2" t="s">
        <v>2811</v>
      </c>
      <c r="T706" s="2" t="s">
        <v>4889</v>
      </c>
      <c r="U706" s="2" t="s">
        <v>41</v>
      </c>
      <c r="V706" s="2" t="s">
        <v>59</v>
      </c>
      <c r="W706" s="2">
        <v>38.1</v>
      </c>
      <c r="X706" s="2">
        <v>0</v>
      </c>
      <c r="Y706" s="2" t="s">
        <v>394</v>
      </c>
      <c r="Z706" s="2" t="s">
        <v>4890</v>
      </c>
      <c r="AA706" s="2">
        <v>-1.22745974780634</v>
      </c>
      <c r="AB706" s="2">
        <v>0.96971591627811604</v>
      </c>
      <c r="AC706" s="2">
        <v>80.227471371068702</v>
      </c>
      <c r="AD706" s="2">
        <v>62304.732879023402</v>
      </c>
      <c r="AE706" s="2">
        <v>128.381078941597</v>
      </c>
      <c r="AF706" s="2">
        <v>49.257465249126497</v>
      </c>
      <c r="AG706" s="2">
        <v>158.06644966902201</v>
      </c>
      <c r="AH706" s="2">
        <v>2.7106294003980101E-5</v>
      </c>
      <c r="AI706" s="2">
        <v>62.943842077381902</v>
      </c>
      <c r="AJ706" s="2">
        <v>82.715965182990999</v>
      </c>
      <c r="AK706" s="2">
        <v>61037.680020350199</v>
      </c>
      <c r="AL706" s="2">
        <v>55921.814344006103</v>
      </c>
      <c r="AM706" s="2">
        <v>70520.740087873797</v>
      </c>
      <c r="AN706" s="2">
        <v>55376.664756668302</v>
      </c>
      <c r="AO706" s="2">
        <v>62050.122599668503</v>
      </c>
      <c r="AP706" s="2">
        <v>68921.375465573699</v>
      </c>
    </row>
    <row r="707" spans="1:42" ht="14.5" x14ac:dyDescent="0.35">
      <c r="A707" s="2" t="s">
        <v>4891</v>
      </c>
      <c r="B707" s="2">
        <v>610.37288190500306</v>
      </c>
      <c r="C707" s="2">
        <v>8.8958999999999993</v>
      </c>
      <c r="D707" s="2" t="s">
        <v>34</v>
      </c>
      <c r="E707" s="2" t="s">
        <v>4892</v>
      </c>
      <c r="F707" s="2">
        <v>210241</v>
      </c>
      <c r="G707" s="3" t="str">
        <f>HYPERLINK("http://funmeta.oebiotech.com/network/210241", "http://funmeta.oebiotech.com/network/210241")</f>
        <v>http://funmeta.oebiotech.com/network/210241</v>
      </c>
      <c r="H707" s="2" t="s">
        <v>4893</v>
      </c>
      <c r="I707" s="2"/>
      <c r="J707" s="2"/>
      <c r="K707" s="2"/>
      <c r="L707" s="2"/>
      <c r="M707" s="2"/>
      <c r="N707" s="2"/>
      <c r="O707" s="2">
        <v>11365502</v>
      </c>
      <c r="P707" s="2"/>
      <c r="Q707" s="2" t="s">
        <v>4894</v>
      </c>
      <c r="R707" s="2" t="s">
        <v>4895</v>
      </c>
      <c r="S707" s="2" t="s">
        <v>50</v>
      </c>
      <c r="T707" s="2" t="s">
        <v>51</v>
      </c>
      <c r="U707" s="2" t="s">
        <v>168</v>
      </c>
      <c r="V707" s="2" t="s">
        <v>59</v>
      </c>
      <c r="W707" s="2">
        <v>38.799999999999997</v>
      </c>
      <c r="X707" s="2">
        <v>4.88</v>
      </c>
      <c r="Y707" s="2" t="s">
        <v>394</v>
      </c>
      <c r="Z707" s="2" t="s">
        <v>4896</v>
      </c>
      <c r="AA707" s="2">
        <v>2.3333282812382898</v>
      </c>
      <c r="AB707" s="2">
        <v>0.96947416816668397</v>
      </c>
      <c r="AC707" s="2">
        <v>36463.2194399933</v>
      </c>
      <c r="AD707" s="2">
        <v>99080.428743951794</v>
      </c>
      <c r="AE707" s="2">
        <v>38110.768951138103</v>
      </c>
      <c r="AF707" s="2">
        <v>37205.437762303503</v>
      </c>
      <c r="AG707" s="2">
        <v>37888.335817147999</v>
      </c>
      <c r="AH707" s="2">
        <v>34887.1568515174</v>
      </c>
      <c r="AI707" s="2">
        <v>36269.236015722301</v>
      </c>
      <c r="AJ707" s="2">
        <v>34418.381242130301</v>
      </c>
      <c r="AK707" s="2">
        <v>85519.474917749802</v>
      </c>
      <c r="AL707" s="2">
        <v>99584.873560756998</v>
      </c>
      <c r="AM707" s="2">
        <v>94063.608835478793</v>
      </c>
      <c r="AN707" s="2">
        <v>101064.16383786801</v>
      </c>
      <c r="AO707" s="2">
        <v>109649.756061601</v>
      </c>
      <c r="AP707" s="2">
        <v>104600.695250256</v>
      </c>
    </row>
    <row r="708" spans="1:42" ht="14.5" x14ac:dyDescent="0.35">
      <c r="A708" s="2" t="s">
        <v>4897</v>
      </c>
      <c r="B708" s="2">
        <v>858.35570615852305</v>
      </c>
      <c r="C708" s="2">
        <v>9.4001166666666691</v>
      </c>
      <c r="D708" s="2" t="s">
        <v>70</v>
      </c>
      <c r="E708" s="2" t="s">
        <v>4898</v>
      </c>
      <c r="F708" s="2">
        <v>203124</v>
      </c>
      <c r="G708" s="3" t="str">
        <f>HYPERLINK("http://funmeta.oebiotech.com/network/203124", "http://funmeta.oebiotech.com/network/203124")</f>
        <v>http://funmeta.oebiotech.com/network/203124</v>
      </c>
      <c r="H708" s="2" t="s">
        <v>4899</v>
      </c>
      <c r="I708" s="2"/>
      <c r="J708" s="2"/>
      <c r="K708" s="2"/>
      <c r="L708" s="2"/>
      <c r="M708" s="2"/>
      <c r="N708" s="2"/>
      <c r="O708" s="2"/>
      <c r="P708" s="2"/>
      <c r="Q708" s="2" t="s">
        <v>4900</v>
      </c>
      <c r="R708" s="2" t="s">
        <v>4901</v>
      </c>
      <c r="S708" s="2" t="s">
        <v>115</v>
      </c>
      <c r="T708" s="2" t="s">
        <v>2840</v>
      </c>
      <c r="U708" s="2" t="s">
        <v>41</v>
      </c>
      <c r="V708" s="2" t="s">
        <v>42</v>
      </c>
      <c r="W708" s="2">
        <v>49.4</v>
      </c>
      <c r="X708" s="2">
        <v>54.9</v>
      </c>
      <c r="Y708" s="2" t="s">
        <v>408</v>
      </c>
      <c r="Z708" s="2" t="s">
        <v>4902</v>
      </c>
      <c r="AA708" s="2">
        <v>0.40969267329261699</v>
      </c>
      <c r="AB708" s="2">
        <v>0.96704047929302905</v>
      </c>
      <c r="AC708" s="2">
        <v>85208.450798262696</v>
      </c>
      <c r="AD708" s="2">
        <v>22872.761259833602</v>
      </c>
      <c r="AE708" s="2">
        <v>85250.593238198795</v>
      </c>
      <c r="AF708" s="2">
        <v>90070.792304337796</v>
      </c>
      <c r="AG708" s="2">
        <v>92241.364382613596</v>
      </c>
      <c r="AH708" s="2">
        <v>89965.370656563406</v>
      </c>
      <c r="AI708" s="2">
        <v>73352.602530717093</v>
      </c>
      <c r="AJ708" s="2">
        <v>80369.981677145202</v>
      </c>
      <c r="AK708" s="2">
        <v>21429.084810051299</v>
      </c>
      <c r="AL708" s="2">
        <v>35835.209886919802</v>
      </c>
      <c r="AM708" s="2">
        <v>20013.948744113099</v>
      </c>
      <c r="AN708" s="2">
        <v>19372.553176903599</v>
      </c>
      <c r="AO708" s="2">
        <v>22391.721340706899</v>
      </c>
      <c r="AP708" s="2">
        <v>18194.0496003068</v>
      </c>
    </row>
    <row r="709" spans="1:42" ht="14.5" x14ac:dyDescent="0.35">
      <c r="A709" s="2" t="s">
        <v>4903</v>
      </c>
      <c r="B709" s="2">
        <v>755.20142003557601</v>
      </c>
      <c r="C709" s="2">
        <v>4.0250666666666701</v>
      </c>
      <c r="D709" s="2" t="s">
        <v>70</v>
      </c>
      <c r="E709" s="2" t="s">
        <v>4904</v>
      </c>
      <c r="F709" s="2">
        <v>31963</v>
      </c>
      <c r="G709" s="3" t="str">
        <f>HYPERLINK("http://funmeta.oebiotech.com/network/31963", "http://funmeta.oebiotech.com/network/31963")</f>
        <v>http://funmeta.oebiotech.com/network/31963</v>
      </c>
      <c r="H709" s="2"/>
      <c r="I709" s="2"/>
      <c r="J709" s="2" t="s">
        <v>4905</v>
      </c>
      <c r="K709" s="2"/>
      <c r="L709" s="2"/>
      <c r="M709" s="2"/>
      <c r="N709" s="2"/>
      <c r="O709" s="2">
        <v>21607144</v>
      </c>
      <c r="P709" s="2"/>
      <c r="Q709" s="2" t="s">
        <v>4906</v>
      </c>
      <c r="R709" s="2" t="s">
        <v>4907</v>
      </c>
      <c r="S709" s="2" t="s">
        <v>115</v>
      </c>
      <c r="T709" s="2" t="s">
        <v>139</v>
      </c>
      <c r="U709" s="2" t="s">
        <v>140</v>
      </c>
      <c r="V709" s="2" t="s">
        <v>42</v>
      </c>
      <c r="W709" s="2">
        <v>49.1</v>
      </c>
      <c r="X709" s="2">
        <v>57.8</v>
      </c>
      <c r="Y709" s="2" t="s">
        <v>408</v>
      </c>
      <c r="Z709" s="2" t="s">
        <v>4908</v>
      </c>
      <c r="AA709" s="2">
        <v>-3.65697535975821</v>
      </c>
      <c r="AB709" s="2">
        <v>0.966999166764693</v>
      </c>
      <c r="AC709" s="2">
        <v>138704.59368134799</v>
      </c>
      <c r="AD709" s="2">
        <v>76348.125965148894</v>
      </c>
      <c r="AE709" s="2">
        <v>139723.09583671801</v>
      </c>
      <c r="AF709" s="2">
        <v>137972.306073018</v>
      </c>
      <c r="AG709" s="2">
        <v>139834.794981315</v>
      </c>
      <c r="AH709" s="2">
        <v>137402.81328386901</v>
      </c>
      <c r="AI709" s="2">
        <v>134734.509573841</v>
      </c>
      <c r="AJ709" s="2">
        <v>142560.04233932699</v>
      </c>
      <c r="AK709" s="2">
        <v>71517.474154519601</v>
      </c>
      <c r="AL709" s="2">
        <v>64612.385620587404</v>
      </c>
      <c r="AM709" s="2">
        <v>89165.568279714702</v>
      </c>
      <c r="AN709" s="2">
        <v>77704.478979935899</v>
      </c>
      <c r="AO709" s="2">
        <v>77718.880684705495</v>
      </c>
      <c r="AP709" s="2">
        <v>77369.968071430296</v>
      </c>
    </row>
    <row r="710" spans="1:42" ht="14.5" x14ac:dyDescent="0.35">
      <c r="A710" s="2" t="s">
        <v>4909</v>
      </c>
      <c r="B710" s="2">
        <v>499.14539775640799</v>
      </c>
      <c r="C710" s="2">
        <v>0.76995000000000002</v>
      </c>
      <c r="D710" s="2" t="s">
        <v>70</v>
      </c>
      <c r="E710" s="2" t="s">
        <v>4910</v>
      </c>
      <c r="F710" s="2">
        <v>83690</v>
      </c>
      <c r="G710" s="3" t="str">
        <f>HYPERLINK("http://funmeta.oebiotech.com/network/83690", "http://funmeta.oebiotech.com/network/83690")</f>
        <v>http://funmeta.oebiotech.com/network/83690</v>
      </c>
      <c r="H710" s="2" t="s">
        <v>4911</v>
      </c>
      <c r="I710" s="2"/>
      <c r="J710" s="2"/>
      <c r="K710" s="2">
        <v>57455</v>
      </c>
      <c r="L710" s="2"/>
      <c r="M710" s="2"/>
      <c r="N710" s="2"/>
      <c r="O710" s="2"/>
      <c r="P710" s="2"/>
      <c r="Q710" s="2" t="s">
        <v>4912</v>
      </c>
      <c r="R710" s="2" t="s">
        <v>4913</v>
      </c>
      <c r="S710" s="2" t="s">
        <v>491</v>
      </c>
      <c r="T710" s="2" t="s">
        <v>4914</v>
      </c>
      <c r="U710" s="2" t="s">
        <v>4915</v>
      </c>
      <c r="V710" s="2" t="s">
        <v>59</v>
      </c>
      <c r="W710" s="2">
        <v>38.299999999999997</v>
      </c>
      <c r="X710" s="2">
        <v>0</v>
      </c>
      <c r="Y710" s="2" t="s">
        <v>408</v>
      </c>
      <c r="Z710" s="2" t="s">
        <v>4916</v>
      </c>
      <c r="AA710" s="2">
        <v>-0.68591360242205801</v>
      </c>
      <c r="AB710" s="2">
        <v>0.96686748655601895</v>
      </c>
      <c r="AC710" s="2">
        <v>51437.5200467053</v>
      </c>
      <c r="AD710" s="2">
        <v>115721.066073371</v>
      </c>
      <c r="AE710" s="2">
        <v>58709.108934800897</v>
      </c>
      <c r="AF710" s="2">
        <v>46191.894356299999</v>
      </c>
      <c r="AG710" s="2">
        <v>48987.605706435497</v>
      </c>
      <c r="AH710" s="2">
        <v>53268.219977994297</v>
      </c>
      <c r="AI710" s="2">
        <v>52346.520431181001</v>
      </c>
      <c r="AJ710" s="2">
        <v>49121.770873520298</v>
      </c>
      <c r="AK710" s="2">
        <v>112237.66274566</v>
      </c>
      <c r="AL710" s="2">
        <v>94555.651644267593</v>
      </c>
      <c r="AM710" s="2">
        <v>114012.634672132</v>
      </c>
      <c r="AN710" s="2">
        <v>116512.928619771</v>
      </c>
      <c r="AO710" s="2">
        <v>114865.768088125</v>
      </c>
      <c r="AP710" s="2">
        <v>142141.750670273</v>
      </c>
    </row>
    <row r="711" spans="1:42" ht="14.5" x14ac:dyDescent="0.35">
      <c r="A711" s="2" t="s">
        <v>4917</v>
      </c>
      <c r="B711" s="2">
        <v>911.49628333946998</v>
      </c>
      <c r="C711" s="2">
        <v>10.910600000000001</v>
      </c>
      <c r="D711" s="2" t="s">
        <v>34</v>
      </c>
      <c r="E711" s="2" t="s">
        <v>4918</v>
      </c>
      <c r="F711" s="2">
        <v>534667</v>
      </c>
      <c r="G711" s="3" t="str">
        <f>HYPERLINK("http://funmeta.oebiotech.com/network/534667", "http://funmeta.oebiotech.com/network/534667")</f>
        <v>http://funmeta.oebiotech.com/network/534667</v>
      </c>
      <c r="H711" s="2"/>
      <c r="I711" s="2">
        <v>984964</v>
      </c>
      <c r="J711" s="2"/>
      <c r="K711" s="2"/>
      <c r="L711" s="2"/>
      <c r="M711" s="2"/>
      <c r="N711" s="2"/>
      <c r="O711" s="2">
        <v>195801</v>
      </c>
      <c r="P711" s="2"/>
      <c r="Q711" s="2" t="s">
        <v>4919</v>
      </c>
      <c r="R711" s="2" t="s">
        <v>4920</v>
      </c>
      <c r="S711" s="2" t="s">
        <v>50</v>
      </c>
      <c r="T711" s="2" t="s">
        <v>201</v>
      </c>
      <c r="U711" s="2" t="s">
        <v>202</v>
      </c>
      <c r="V711" s="2" t="s">
        <v>59</v>
      </c>
      <c r="W711" s="2">
        <v>37.1</v>
      </c>
      <c r="X711" s="2">
        <v>0</v>
      </c>
      <c r="Y711" s="2" t="s">
        <v>440</v>
      </c>
      <c r="Z711" s="2" t="s">
        <v>4921</v>
      </c>
      <c r="AA711" s="2">
        <v>-3.9473118454833802</v>
      </c>
      <c r="AB711" s="2">
        <v>0.96665488173897696</v>
      </c>
      <c r="AC711" s="2">
        <v>49336.883069276897</v>
      </c>
      <c r="AD711" s="2">
        <v>112195.74011965199</v>
      </c>
      <c r="AE711" s="2">
        <v>44814.734817114899</v>
      </c>
      <c r="AF711" s="2">
        <v>49152.345215995498</v>
      </c>
      <c r="AG711" s="2">
        <v>48176.431195870297</v>
      </c>
      <c r="AH711" s="2">
        <v>50097.9325647074</v>
      </c>
      <c r="AI711" s="2">
        <v>46224.450509174603</v>
      </c>
      <c r="AJ711" s="2">
        <v>57555.404112798496</v>
      </c>
      <c r="AK711" s="2">
        <v>97464.147494863704</v>
      </c>
      <c r="AL711" s="2">
        <v>100169.641640503</v>
      </c>
      <c r="AM711" s="2">
        <v>117435.589549886</v>
      </c>
      <c r="AN711" s="2">
        <v>120876.148893745</v>
      </c>
      <c r="AO711" s="2">
        <v>119916.599941579</v>
      </c>
      <c r="AP711" s="2">
        <v>117312.31319733799</v>
      </c>
    </row>
    <row r="712" spans="1:42" ht="14.5" x14ac:dyDescent="0.35">
      <c r="A712" s="2" t="s">
        <v>4922</v>
      </c>
      <c r="B712" s="2">
        <v>443.17679206842598</v>
      </c>
      <c r="C712" s="2">
        <v>3.7494000000000001</v>
      </c>
      <c r="D712" s="2" t="s">
        <v>70</v>
      </c>
      <c r="E712" s="2" t="s">
        <v>4923</v>
      </c>
      <c r="F712" s="2">
        <v>210110</v>
      </c>
      <c r="G712" s="3" t="str">
        <f>HYPERLINK("http://funmeta.oebiotech.com/network/210110", "http://funmeta.oebiotech.com/network/210110")</f>
        <v>http://funmeta.oebiotech.com/network/210110</v>
      </c>
      <c r="H712" s="2" t="s">
        <v>4924</v>
      </c>
      <c r="I712" s="2"/>
      <c r="J712" s="2"/>
      <c r="K712" s="2"/>
      <c r="L712" s="2"/>
      <c r="M712" s="2"/>
      <c r="N712" s="2"/>
      <c r="O712" s="2">
        <v>20480250</v>
      </c>
      <c r="P712" s="2"/>
      <c r="Q712" s="2" t="s">
        <v>4925</v>
      </c>
      <c r="R712" s="2" t="s">
        <v>4926</v>
      </c>
      <c r="S712" s="2" t="s">
        <v>41</v>
      </c>
      <c r="T712" s="2" t="s">
        <v>41</v>
      </c>
      <c r="U712" s="2" t="s">
        <v>41</v>
      </c>
      <c r="V712" s="2" t="s">
        <v>42</v>
      </c>
      <c r="W712" s="2">
        <v>51.9</v>
      </c>
      <c r="X712" s="2">
        <v>74.099999999999994</v>
      </c>
      <c r="Y712" s="2" t="s">
        <v>751</v>
      </c>
      <c r="Z712" s="2" t="s">
        <v>4927</v>
      </c>
      <c r="AA712" s="2">
        <v>2.0383431101435199</v>
      </c>
      <c r="AB712" s="2">
        <v>0.96524734858196304</v>
      </c>
      <c r="AC712" s="2">
        <v>113743.528108104</v>
      </c>
      <c r="AD712" s="2">
        <v>176674.25817545201</v>
      </c>
      <c r="AE712" s="2">
        <v>108279.573711933</v>
      </c>
      <c r="AF712" s="2">
        <v>112395.99024938499</v>
      </c>
      <c r="AG712" s="2">
        <v>106842.48034916801</v>
      </c>
      <c r="AH712" s="2">
        <v>115643.575205733</v>
      </c>
      <c r="AI712" s="2">
        <v>123537.195102179</v>
      </c>
      <c r="AJ712" s="2">
        <v>115762.35403022901</v>
      </c>
      <c r="AK712" s="2">
        <v>168243.163173009</v>
      </c>
      <c r="AL712" s="2">
        <v>174277.308747823</v>
      </c>
      <c r="AM712" s="2">
        <v>177252.53127748199</v>
      </c>
      <c r="AN712" s="2">
        <v>182202.902378995</v>
      </c>
      <c r="AO712" s="2">
        <v>163561.75316194099</v>
      </c>
      <c r="AP712" s="2">
        <v>194507.89031346</v>
      </c>
    </row>
    <row r="713" spans="1:42" ht="14.5" x14ac:dyDescent="0.35">
      <c r="A713" s="2" t="s">
        <v>4928</v>
      </c>
      <c r="B713" s="2">
        <v>377.048737131905</v>
      </c>
      <c r="C713" s="2">
        <v>4.84418333333333</v>
      </c>
      <c r="D713" s="2" t="s">
        <v>70</v>
      </c>
      <c r="E713" s="2" t="s">
        <v>4929</v>
      </c>
      <c r="F713" s="2">
        <v>48770</v>
      </c>
      <c r="G713" s="3" t="str">
        <f>HYPERLINK("http://funmeta.oebiotech.com/network/48770", "http://funmeta.oebiotech.com/network/48770")</f>
        <v>http://funmeta.oebiotech.com/network/48770</v>
      </c>
      <c r="H713" s="2" t="s">
        <v>4930</v>
      </c>
      <c r="I713" s="2"/>
      <c r="J713" s="2"/>
      <c r="K713" s="2">
        <v>28806</v>
      </c>
      <c r="L713" s="2" t="s">
        <v>4931</v>
      </c>
      <c r="M713" s="2" t="s">
        <v>4932</v>
      </c>
      <c r="N713" s="2" t="s">
        <v>4933</v>
      </c>
      <c r="O713" s="2">
        <v>91531</v>
      </c>
      <c r="P713" s="2" t="s">
        <v>4934</v>
      </c>
      <c r="Q713" s="2" t="s">
        <v>4935</v>
      </c>
      <c r="R713" s="2" t="s">
        <v>4936</v>
      </c>
      <c r="S713" s="2" t="s">
        <v>1444</v>
      </c>
      <c r="T713" s="2" t="s">
        <v>4937</v>
      </c>
      <c r="U713" s="2" t="s">
        <v>4938</v>
      </c>
      <c r="V713" s="2" t="s">
        <v>42</v>
      </c>
      <c r="W713" s="2">
        <v>46.4</v>
      </c>
      <c r="X713" s="2">
        <v>46.6</v>
      </c>
      <c r="Y713" s="2" t="s">
        <v>1654</v>
      </c>
      <c r="Z713" s="2" t="s">
        <v>4939</v>
      </c>
      <c r="AA713" s="2">
        <v>-4.9725350336295699</v>
      </c>
      <c r="AB713" s="2">
        <v>0.965234467995987</v>
      </c>
      <c r="AC713" s="2">
        <v>623989.54760297004</v>
      </c>
      <c r="AD713" s="2">
        <v>559217.27962767798</v>
      </c>
      <c r="AE713" s="2">
        <v>639134.98550071695</v>
      </c>
      <c r="AF713" s="2">
        <v>631628.18641317298</v>
      </c>
      <c r="AG713" s="2">
        <v>620539.12353635696</v>
      </c>
      <c r="AH713" s="2">
        <v>621390.98708387301</v>
      </c>
      <c r="AI713" s="2">
        <v>601543.91484790703</v>
      </c>
      <c r="AJ713" s="2">
        <v>629700.08823579503</v>
      </c>
      <c r="AK713" s="2">
        <v>550132.59792395704</v>
      </c>
      <c r="AL713" s="2">
        <v>557270.50771973899</v>
      </c>
      <c r="AM713" s="2">
        <v>577637.80079468002</v>
      </c>
      <c r="AN713" s="2">
        <v>545133.19394473196</v>
      </c>
      <c r="AO713" s="2">
        <v>572126.69442917698</v>
      </c>
      <c r="AP713" s="2">
        <v>553002.88295378198</v>
      </c>
    </row>
    <row r="714" spans="1:42" ht="14.5" x14ac:dyDescent="0.35">
      <c r="A714" s="2" t="s">
        <v>4940</v>
      </c>
      <c r="B714" s="2">
        <v>453.12485157881798</v>
      </c>
      <c r="C714" s="2">
        <v>2.08728333333333</v>
      </c>
      <c r="D714" s="2" t="s">
        <v>70</v>
      </c>
      <c r="E714" s="2" t="s">
        <v>4941</v>
      </c>
      <c r="F714" s="2">
        <v>62997</v>
      </c>
      <c r="G714" s="3" t="str">
        <f>HYPERLINK("http://funmeta.oebiotech.com/network/62997", "http://funmeta.oebiotech.com/network/62997")</f>
        <v>http://funmeta.oebiotech.com/network/62997</v>
      </c>
      <c r="H714" s="2" t="s">
        <v>4942</v>
      </c>
      <c r="I714" s="2">
        <v>94294</v>
      </c>
      <c r="J714" s="2"/>
      <c r="K714" s="2">
        <v>168540</v>
      </c>
      <c r="L714" s="2"/>
      <c r="M714" s="2"/>
      <c r="N714" s="2"/>
      <c r="O714" s="2">
        <v>78382737</v>
      </c>
      <c r="P714" s="2" t="s">
        <v>4943</v>
      </c>
      <c r="Q714" s="2" t="s">
        <v>4944</v>
      </c>
      <c r="R714" s="2" t="s">
        <v>4945</v>
      </c>
      <c r="S714" s="2" t="s">
        <v>79</v>
      </c>
      <c r="T714" s="2" t="s">
        <v>80</v>
      </c>
      <c r="U714" s="2" t="s">
        <v>81</v>
      </c>
      <c r="V714" s="2" t="s">
        <v>42</v>
      </c>
      <c r="W714" s="2">
        <v>48.6</v>
      </c>
      <c r="X714" s="2">
        <v>47.6</v>
      </c>
      <c r="Y714" s="2" t="s">
        <v>751</v>
      </c>
      <c r="Z714" s="2" t="s">
        <v>4946</v>
      </c>
      <c r="AA714" s="2">
        <v>-0.270029611912741</v>
      </c>
      <c r="AB714" s="2">
        <v>0.96451024835723498</v>
      </c>
      <c r="AC714" s="2">
        <v>45970.649127094497</v>
      </c>
      <c r="AD714" s="2">
        <v>107621.822579837</v>
      </c>
      <c r="AE714" s="2">
        <v>43353.691906169501</v>
      </c>
      <c r="AF714" s="2">
        <v>43643.337318079502</v>
      </c>
      <c r="AG714" s="2">
        <v>48606.032252229401</v>
      </c>
      <c r="AH714" s="2">
        <v>44722.7500689101</v>
      </c>
      <c r="AI714" s="2">
        <v>46797.0249711875</v>
      </c>
      <c r="AJ714" s="2">
        <v>48701.058245991197</v>
      </c>
      <c r="AK714" s="2">
        <v>102639.384240514</v>
      </c>
      <c r="AL714" s="2">
        <v>101541.507481493</v>
      </c>
      <c r="AM714" s="2">
        <v>107138.660269834</v>
      </c>
      <c r="AN714" s="2">
        <v>106807.567688372</v>
      </c>
      <c r="AO714" s="2">
        <v>107760.805780426</v>
      </c>
      <c r="AP714" s="2">
        <v>119843.010018384</v>
      </c>
    </row>
    <row r="715" spans="1:42" ht="14.5" x14ac:dyDescent="0.35">
      <c r="A715" s="2" t="s">
        <v>4947</v>
      </c>
      <c r="B715" s="2">
        <v>961.51748897990603</v>
      </c>
      <c r="C715" s="2">
        <v>5.1684333333333301</v>
      </c>
      <c r="D715" s="2" t="s">
        <v>34</v>
      </c>
      <c r="E715" s="2" t="s">
        <v>4948</v>
      </c>
      <c r="F715" s="2">
        <v>226371</v>
      </c>
      <c r="G715" s="3" t="str">
        <f>HYPERLINK("http://funmeta.oebiotech.com/network/226371", "http://funmeta.oebiotech.com/network/226371")</f>
        <v>http://funmeta.oebiotech.com/network/226371</v>
      </c>
      <c r="H715" s="2" t="s">
        <v>4949</v>
      </c>
      <c r="I715" s="2"/>
      <c r="J715" s="2"/>
      <c r="K715" s="2"/>
      <c r="L715" s="2"/>
      <c r="M715" s="2"/>
      <c r="N715" s="2"/>
      <c r="O715" s="2"/>
      <c r="P715" s="2"/>
      <c r="Q715" s="2" t="s">
        <v>4950</v>
      </c>
      <c r="R715" s="2" t="s">
        <v>4951</v>
      </c>
      <c r="S715" s="2" t="s">
        <v>41</v>
      </c>
      <c r="T715" s="2" t="s">
        <v>41</v>
      </c>
      <c r="U715" s="2" t="s">
        <v>41</v>
      </c>
      <c r="V715" s="2" t="s">
        <v>59</v>
      </c>
      <c r="W715" s="2">
        <v>38.1</v>
      </c>
      <c r="X715" s="2">
        <v>0</v>
      </c>
      <c r="Y715" s="2" t="s">
        <v>376</v>
      </c>
      <c r="Z715" s="2" t="s">
        <v>4952</v>
      </c>
      <c r="AA715" s="2">
        <v>-0.29508678815043698</v>
      </c>
      <c r="AB715" s="2">
        <v>0.96174112390438404</v>
      </c>
      <c r="AC715" s="2">
        <v>573580.72484898497</v>
      </c>
      <c r="AD715" s="2">
        <v>647426.57440820104</v>
      </c>
      <c r="AE715" s="2">
        <v>578127.35372847598</v>
      </c>
      <c r="AF715" s="2">
        <v>592009.48983466497</v>
      </c>
      <c r="AG715" s="2">
        <v>558859.36582858698</v>
      </c>
      <c r="AH715" s="2">
        <v>597834.28131029604</v>
      </c>
      <c r="AI715" s="2">
        <v>575725.57539145194</v>
      </c>
      <c r="AJ715" s="2">
        <v>538928.28300043696</v>
      </c>
      <c r="AK715" s="2">
        <v>614314.61033670697</v>
      </c>
      <c r="AL715" s="2">
        <v>601414.81171348202</v>
      </c>
      <c r="AM715" s="2">
        <v>693489.65266132099</v>
      </c>
      <c r="AN715" s="2">
        <v>666933.37182785105</v>
      </c>
      <c r="AO715" s="2">
        <v>653695.14888566895</v>
      </c>
      <c r="AP715" s="2">
        <v>654711.85102417402</v>
      </c>
    </row>
    <row r="716" spans="1:42" ht="14.5" x14ac:dyDescent="0.35">
      <c r="A716" s="2" t="s">
        <v>4953</v>
      </c>
      <c r="B716" s="2">
        <v>152.03413988749901</v>
      </c>
      <c r="C716" s="2">
        <v>6.6881166666666703</v>
      </c>
      <c r="D716" s="2" t="s">
        <v>70</v>
      </c>
      <c r="E716" s="2" t="s">
        <v>4954</v>
      </c>
      <c r="F716" s="2">
        <v>211140</v>
      </c>
      <c r="G716" s="3" t="str">
        <f>HYPERLINK("http://funmeta.oebiotech.com/network/211140", "http://funmeta.oebiotech.com/network/211140")</f>
        <v>http://funmeta.oebiotech.com/network/211140</v>
      </c>
      <c r="H716" s="2" t="s">
        <v>4955</v>
      </c>
      <c r="I716" s="2">
        <v>69005</v>
      </c>
      <c r="J716" s="2"/>
      <c r="K716" s="2">
        <v>45615</v>
      </c>
      <c r="L716" s="2" t="s">
        <v>4956</v>
      </c>
      <c r="M716" s="2"/>
      <c r="N716" s="2"/>
      <c r="O716" s="2">
        <v>66644</v>
      </c>
      <c r="P716" s="2" t="s">
        <v>4957</v>
      </c>
      <c r="Q716" s="2" t="s">
        <v>4958</v>
      </c>
      <c r="R716" s="2" t="s">
        <v>4959</v>
      </c>
      <c r="S716" s="2" t="s">
        <v>148</v>
      </c>
      <c r="T716" s="2" t="s">
        <v>149</v>
      </c>
      <c r="U716" s="2" t="s">
        <v>1593</v>
      </c>
      <c r="V716" s="2" t="s">
        <v>59</v>
      </c>
      <c r="W716" s="2">
        <v>39</v>
      </c>
      <c r="X716" s="2">
        <v>5.61</v>
      </c>
      <c r="Y716" s="2" t="s">
        <v>118</v>
      </c>
      <c r="Z716" s="2" t="s">
        <v>4960</v>
      </c>
      <c r="AA716" s="2">
        <v>-7.6891566441557</v>
      </c>
      <c r="AB716" s="2">
        <v>0.95820017554673098</v>
      </c>
      <c r="AC716" s="2">
        <v>36434.356424255602</v>
      </c>
      <c r="AD716" s="2">
        <v>97082.999789203503</v>
      </c>
      <c r="AE716" s="2">
        <v>38166.748227975899</v>
      </c>
      <c r="AF716" s="2">
        <v>37745.1026073838</v>
      </c>
      <c r="AG716" s="2">
        <v>34433.378397364198</v>
      </c>
      <c r="AH716" s="2">
        <v>33495.571830480403</v>
      </c>
      <c r="AI716" s="2">
        <v>35305.6700247224</v>
      </c>
      <c r="AJ716" s="2">
        <v>39459.667457606804</v>
      </c>
      <c r="AK716" s="2">
        <v>105170.90647502001</v>
      </c>
      <c r="AL716" s="2">
        <v>99209.229038921403</v>
      </c>
      <c r="AM716" s="2">
        <v>94410.728527433705</v>
      </c>
      <c r="AN716" s="2">
        <v>96348.575736550905</v>
      </c>
      <c r="AO716" s="2">
        <v>93314.324431785295</v>
      </c>
      <c r="AP716" s="2">
        <v>94044.234525509499</v>
      </c>
    </row>
    <row r="717" spans="1:42" ht="14.5" x14ac:dyDescent="0.35">
      <c r="A717" s="2" t="s">
        <v>4961</v>
      </c>
      <c r="B717" s="2">
        <v>489.122252317527</v>
      </c>
      <c r="C717" s="2">
        <v>1.9925666666666699</v>
      </c>
      <c r="D717" s="2" t="s">
        <v>70</v>
      </c>
      <c r="E717" s="2" t="s">
        <v>4962</v>
      </c>
      <c r="F717" s="2">
        <v>211776</v>
      </c>
      <c r="G717" s="3" t="str">
        <f>HYPERLINK("http://funmeta.oebiotech.com/network/211776", "http://funmeta.oebiotech.com/network/211776")</f>
        <v>http://funmeta.oebiotech.com/network/211776</v>
      </c>
      <c r="H717" s="2" t="s">
        <v>4963</v>
      </c>
      <c r="I717" s="2"/>
      <c r="J717" s="2"/>
      <c r="K717" s="2"/>
      <c r="L717" s="2"/>
      <c r="M717" s="2"/>
      <c r="N717" s="2"/>
      <c r="O717" s="2">
        <v>11476297</v>
      </c>
      <c r="P717" s="2"/>
      <c r="Q717" s="2" t="s">
        <v>4964</v>
      </c>
      <c r="R717" s="2" t="s">
        <v>4965</v>
      </c>
      <c r="S717" s="2" t="s">
        <v>148</v>
      </c>
      <c r="T717" s="2" t="s">
        <v>149</v>
      </c>
      <c r="U717" s="2" t="s">
        <v>4966</v>
      </c>
      <c r="V717" s="2" t="s">
        <v>59</v>
      </c>
      <c r="W717" s="2">
        <v>40.5</v>
      </c>
      <c r="X717" s="2">
        <v>18</v>
      </c>
      <c r="Y717" s="2" t="s">
        <v>286</v>
      </c>
      <c r="Z717" s="2" t="s">
        <v>4967</v>
      </c>
      <c r="AA717" s="2">
        <v>4.9985206069251502</v>
      </c>
      <c r="AB717" s="2">
        <v>0.95800455390150996</v>
      </c>
      <c r="AC717" s="2">
        <v>249462.062894031</v>
      </c>
      <c r="AD717" s="2">
        <v>187681.224704044</v>
      </c>
      <c r="AE717" s="2">
        <v>249234.51185438799</v>
      </c>
      <c r="AF717" s="2">
        <v>255279.180886021</v>
      </c>
      <c r="AG717" s="2">
        <v>239633.366477075</v>
      </c>
      <c r="AH717" s="2">
        <v>244857.43441105701</v>
      </c>
      <c r="AI717" s="2">
        <v>254785.360400209</v>
      </c>
      <c r="AJ717" s="2">
        <v>252982.52333543499</v>
      </c>
      <c r="AK717" s="2">
        <v>189976.211990079</v>
      </c>
      <c r="AL717" s="2">
        <v>180627.113431251</v>
      </c>
      <c r="AM717" s="2">
        <v>181226.77046878799</v>
      </c>
      <c r="AN717" s="2">
        <v>187981.94277144101</v>
      </c>
      <c r="AO717" s="2">
        <v>182541.93734873601</v>
      </c>
      <c r="AP717" s="2">
        <v>203733.37221396601</v>
      </c>
    </row>
    <row r="718" spans="1:42" ht="14.5" x14ac:dyDescent="0.35">
      <c r="A718" s="2" t="s">
        <v>4968</v>
      </c>
      <c r="B718" s="2">
        <v>675.28649012620099</v>
      </c>
      <c r="C718" s="2">
        <v>4.7931333333333299</v>
      </c>
      <c r="D718" s="2" t="s">
        <v>70</v>
      </c>
      <c r="E718" s="2" t="s">
        <v>4969</v>
      </c>
      <c r="F718" s="2">
        <v>47488</v>
      </c>
      <c r="G718" s="3" t="str">
        <f>HYPERLINK("http://funmeta.oebiotech.com/network/47488", "http://funmeta.oebiotech.com/network/47488")</f>
        <v>http://funmeta.oebiotech.com/network/47488</v>
      </c>
      <c r="H718" s="2" t="s">
        <v>4970</v>
      </c>
      <c r="I718" s="2">
        <v>6127</v>
      </c>
      <c r="J718" s="2"/>
      <c r="K718" s="2">
        <v>63860</v>
      </c>
      <c r="L718" s="2"/>
      <c r="M718" s="2"/>
      <c r="N718" s="2"/>
      <c r="O718" s="2">
        <v>3035848</v>
      </c>
      <c r="P718" s="2" t="s">
        <v>4971</v>
      </c>
      <c r="Q718" s="2" t="s">
        <v>4972</v>
      </c>
      <c r="R718" s="2" t="s">
        <v>4973</v>
      </c>
      <c r="S718" s="2" t="s">
        <v>79</v>
      </c>
      <c r="T718" s="2" t="s">
        <v>80</v>
      </c>
      <c r="U718" s="2" t="s">
        <v>81</v>
      </c>
      <c r="V718" s="2" t="s">
        <v>42</v>
      </c>
      <c r="W718" s="2">
        <v>46.9</v>
      </c>
      <c r="X718" s="2">
        <v>59</v>
      </c>
      <c r="Y718" s="2" t="s">
        <v>560</v>
      </c>
      <c r="Z718" s="2" t="s">
        <v>4974</v>
      </c>
      <c r="AA718" s="2">
        <v>-2.6708836661278501</v>
      </c>
      <c r="AB718" s="2">
        <v>0.95695241619139904</v>
      </c>
      <c r="AC718" s="2">
        <v>218777.22167112501</v>
      </c>
      <c r="AD718" s="2">
        <v>156704.11056022299</v>
      </c>
      <c r="AE718" s="2">
        <v>225196.045899836</v>
      </c>
      <c r="AF718" s="2">
        <v>207671.11720167301</v>
      </c>
      <c r="AG718" s="2">
        <v>217166.38235205199</v>
      </c>
      <c r="AH718" s="2">
        <v>223358.89134394401</v>
      </c>
      <c r="AI718" s="2">
        <v>214443.904430939</v>
      </c>
      <c r="AJ718" s="2">
        <v>224826.98879830501</v>
      </c>
      <c r="AK718" s="2">
        <v>148672.932596322</v>
      </c>
      <c r="AL718" s="2">
        <v>153063.56037066301</v>
      </c>
      <c r="AM718" s="2">
        <v>173094.82838091001</v>
      </c>
      <c r="AN718" s="2">
        <v>164716.50839682901</v>
      </c>
      <c r="AO718" s="2">
        <v>152060.91519283401</v>
      </c>
      <c r="AP718" s="2">
        <v>148615.918423778</v>
      </c>
    </row>
    <row r="719" spans="1:42" ht="14.5" x14ac:dyDescent="0.35">
      <c r="A719" s="2" t="s">
        <v>4975</v>
      </c>
      <c r="B719" s="2">
        <v>313.18086718937798</v>
      </c>
      <c r="C719" s="2">
        <v>10.04975</v>
      </c>
      <c r="D719" s="2" t="s">
        <v>70</v>
      </c>
      <c r="E719" s="2" t="s">
        <v>4976</v>
      </c>
      <c r="F719" s="2">
        <v>200070</v>
      </c>
      <c r="G719" s="3" t="str">
        <f>HYPERLINK("http://funmeta.oebiotech.com/network/200070", "http://funmeta.oebiotech.com/network/200070")</f>
        <v>http://funmeta.oebiotech.com/network/200070</v>
      </c>
      <c r="H719" s="2" t="s">
        <v>4977</v>
      </c>
      <c r="I719" s="2"/>
      <c r="J719" s="2"/>
      <c r="K719" s="2"/>
      <c r="L719" s="2"/>
      <c r="M719" s="2"/>
      <c r="N719" s="2"/>
      <c r="O719" s="2">
        <v>4262071</v>
      </c>
      <c r="P719" s="2"/>
      <c r="Q719" s="2" t="s">
        <v>4978</v>
      </c>
      <c r="R719" s="2" t="s">
        <v>4979</v>
      </c>
      <c r="S719" s="2" t="s">
        <v>50</v>
      </c>
      <c r="T719" s="2" t="s">
        <v>201</v>
      </c>
      <c r="U719" s="2" t="s">
        <v>1217</v>
      </c>
      <c r="V719" s="2" t="s">
        <v>59</v>
      </c>
      <c r="W719" s="2">
        <v>45.1</v>
      </c>
      <c r="X719" s="2">
        <v>29.6</v>
      </c>
      <c r="Y719" s="2" t="s">
        <v>751</v>
      </c>
      <c r="Z719" s="2" t="s">
        <v>4980</v>
      </c>
      <c r="AA719" s="2">
        <v>-0.15372369985831899</v>
      </c>
      <c r="AB719" s="2">
        <v>0.95678045811209</v>
      </c>
      <c r="AC719" s="2">
        <v>65097.7522784623</v>
      </c>
      <c r="AD719" s="2">
        <v>4456.99671167826</v>
      </c>
      <c r="AE719" s="2">
        <v>62864.173327125398</v>
      </c>
      <c r="AF719" s="2">
        <v>61409.814459618901</v>
      </c>
      <c r="AG719" s="2">
        <v>77686.2627613277</v>
      </c>
      <c r="AH719" s="2">
        <v>59190.711222585604</v>
      </c>
      <c r="AI719" s="2">
        <v>65340.362641634099</v>
      </c>
      <c r="AJ719" s="2">
        <v>64095.1892584819</v>
      </c>
      <c r="AK719" s="2">
        <v>4386.2675675681403</v>
      </c>
      <c r="AL719" s="2">
        <v>4118.0288255319601</v>
      </c>
      <c r="AM719" s="2">
        <v>3304.72720533033</v>
      </c>
      <c r="AN719" s="2">
        <v>4078.2442114957298</v>
      </c>
      <c r="AO719" s="2">
        <v>7078.5511152710696</v>
      </c>
      <c r="AP719" s="2">
        <v>3776.1613448723301</v>
      </c>
    </row>
    <row r="720" spans="1:42" ht="14.5" x14ac:dyDescent="0.35">
      <c r="A720" s="2" t="s">
        <v>4981</v>
      </c>
      <c r="B720" s="2">
        <v>463.178344046066</v>
      </c>
      <c r="C720" s="2">
        <v>3.9142333333333301</v>
      </c>
      <c r="D720" s="2" t="s">
        <v>34</v>
      </c>
      <c r="E720" s="2" t="s">
        <v>4982</v>
      </c>
      <c r="F720" s="2">
        <v>205899</v>
      </c>
      <c r="G720" s="3" t="str">
        <f>HYPERLINK("http://funmeta.oebiotech.com/network/205899", "http://funmeta.oebiotech.com/network/205899")</f>
        <v>http://funmeta.oebiotech.com/network/205899</v>
      </c>
      <c r="H720" s="2" t="s">
        <v>4983</v>
      </c>
      <c r="I720" s="2"/>
      <c r="J720" s="2"/>
      <c r="K720" s="2">
        <v>4534</v>
      </c>
      <c r="L720" s="2" t="s">
        <v>4984</v>
      </c>
      <c r="M720" s="2"/>
      <c r="N720" s="2"/>
      <c r="O720" s="2"/>
      <c r="P720" s="2"/>
      <c r="Q720" s="2" t="s">
        <v>4985</v>
      </c>
      <c r="R720" s="2" t="s">
        <v>4986</v>
      </c>
      <c r="S720" s="2" t="s">
        <v>148</v>
      </c>
      <c r="T720" s="2" t="s">
        <v>149</v>
      </c>
      <c r="U720" s="2" t="s">
        <v>4987</v>
      </c>
      <c r="V720" s="2" t="s">
        <v>59</v>
      </c>
      <c r="W720" s="2">
        <v>42</v>
      </c>
      <c r="X720" s="2">
        <v>22.3</v>
      </c>
      <c r="Y720" s="2" t="s">
        <v>340</v>
      </c>
      <c r="Z720" s="2" t="s">
        <v>4988</v>
      </c>
      <c r="AA720" s="2">
        <v>0.25416207788629003</v>
      </c>
      <c r="AB720" s="2">
        <v>0.95615736112174998</v>
      </c>
      <c r="AC720" s="2">
        <v>200147.661105676</v>
      </c>
      <c r="AD720" s="2">
        <v>261237.358042857</v>
      </c>
      <c r="AE720" s="2">
        <v>196885.19702548801</v>
      </c>
      <c r="AF720" s="2">
        <v>191175.46816391699</v>
      </c>
      <c r="AG720" s="2">
        <v>207624.95836139799</v>
      </c>
      <c r="AH720" s="2">
        <v>200429.89832437399</v>
      </c>
      <c r="AI720" s="2">
        <v>200274.026881119</v>
      </c>
      <c r="AJ720" s="2">
        <v>204496.417877762</v>
      </c>
      <c r="AK720" s="2">
        <v>246689.909188096</v>
      </c>
      <c r="AL720" s="2">
        <v>261493.68540416201</v>
      </c>
      <c r="AM720" s="2">
        <v>265907.11565809598</v>
      </c>
      <c r="AN720" s="2">
        <v>263508.81078718702</v>
      </c>
      <c r="AO720" s="2">
        <v>266734.10867530497</v>
      </c>
      <c r="AP720" s="2">
        <v>263090.518544299</v>
      </c>
    </row>
    <row r="721" spans="1:42" ht="14.5" x14ac:dyDescent="0.35">
      <c r="A721" s="2" t="s">
        <v>4989</v>
      </c>
      <c r="B721" s="2">
        <v>511.21792445321199</v>
      </c>
      <c r="C721" s="2">
        <v>6.7822666666666702</v>
      </c>
      <c r="D721" s="2" t="s">
        <v>70</v>
      </c>
      <c r="E721" s="2" t="s">
        <v>4990</v>
      </c>
      <c r="F721" s="2">
        <v>36023</v>
      </c>
      <c r="G721" s="3" t="str">
        <f>HYPERLINK("http://funmeta.oebiotech.com/network/36023", "http://funmeta.oebiotech.com/network/36023")</f>
        <v>http://funmeta.oebiotech.com/network/36023</v>
      </c>
      <c r="H721" s="2"/>
      <c r="I721" s="2"/>
      <c r="J721" s="2" t="s">
        <v>4991</v>
      </c>
      <c r="K721" s="2">
        <v>28153</v>
      </c>
      <c r="L721" s="2"/>
      <c r="M721" s="2"/>
      <c r="N721" s="2"/>
      <c r="O721" s="2">
        <v>16019961</v>
      </c>
      <c r="P721" s="2"/>
      <c r="Q721" s="2"/>
      <c r="R721" s="2" t="s">
        <v>4992</v>
      </c>
      <c r="S721" s="2" t="s">
        <v>50</v>
      </c>
      <c r="T721" s="2" t="s">
        <v>201</v>
      </c>
      <c r="U721" s="2" t="s">
        <v>202</v>
      </c>
      <c r="V721" s="2" t="s">
        <v>59</v>
      </c>
      <c r="W721" s="2">
        <v>40.5</v>
      </c>
      <c r="X721" s="2">
        <v>5.54</v>
      </c>
      <c r="Y721" s="2" t="s">
        <v>118</v>
      </c>
      <c r="Z721" s="2" t="s">
        <v>4993</v>
      </c>
      <c r="AA721" s="2">
        <v>-1.0953851014590501</v>
      </c>
      <c r="AB721" s="2">
        <v>0.95485643203242698</v>
      </c>
      <c r="AC721" s="2">
        <v>242588.286173598</v>
      </c>
      <c r="AD721" s="2">
        <v>181823.79879915999</v>
      </c>
      <c r="AE721" s="2">
        <v>252972.96303328601</v>
      </c>
      <c r="AF721" s="2">
        <v>236654.45704610299</v>
      </c>
      <c r="AG721" s="2">
        <v>241531.99182877</v>
      </c>
      <c r="AH721" s="2">
        <v>243853.42797718599</v>
      </c>
      <c r="AI721" s="2">
        <v>231586.367930176</v>
      </c>
      <c r="AJ721" s="2">
        <v>248930.50922606399</v>
      </c>
      <c r="AK721" s="2">
        <v>177503.813368779</v>
      </c>
      <c r="AL721" s="2">
        <v>187822.21204354201</v>
      </c>
      <c r="AM721" s="2">
        <v>186800.10432293799</v>
      </c>
      <c r="AN721" s="2">
        <v>179790.11501213099</v>
      </c>
      <c r="AO721" s="2">
        <v>180938.21647541999</v>
      </c>
      <c r="AP721" s="2">
        <v>178088.331572147</v>
      </c>
    </row>
    <row r="722" spans="1:42" ht="14.5" x14ac:dyDescent="0.35">
      <c r="A722" s="2" t="s">
        <v>4994</v>
      </c>
      <c r="B722" s="2">
        <v>393.22812881394901</v>
      </c>
      <c r="C722" s="2">
        <v>9.5718166666666704</v>
      </c>
      <c r="D722" s="2" t="s">
        <v>70</v>
      </c>
      <c r="E722" s="2" t="s">
        <v>4995</v>
      </c>
      <c r="F722" s="2">
        <v>7876</v>
      </c>
      <c r="G722" s="3" t="str">
        <f>HYPERLINK("http://funmeta.oebiotech.com/network/7876", "http://funmeta.oebiotech.com/network/7876")</f>
        <v>http://funmeta.oebiotech.com/network/7876</v>
      </c>
      <c r="H722" s="2"/>
      <c r="I722" s="2"/>
      <c r="J722" s="2" t="s">
        <v>4996</v>
      </c>
      <c r="K722" s="2"/>
      <c r="L722" s="2"/>
      <c r="M722" s="2"/>
      <c r="N722" s="2"/>
      <c r="O722" s="2"/>
      <c r="P722" s="2"/>
      <c r="Q722" s="2" t="s">
        <v>4997</v>
      </c>
      <c r="R722" s="2" t="s">
        <v>4998</v>
      </c>
      <c r="S722" s="2" t="s">
        <v>50</v>
      </c>
      <c r="T722" s="2" t="s">
        <v>229</v>
      </c>
      <c r="U722" s="2" t="s">
        <v>1283</v>
      </c>
      <c r="V722" s="2" t="s">
        <v>59</v>
      </c>
      <c r="W722" s="2">
        <v>46.1</v>
      </c>
      <c r="X722" s="2">
        <v>34.1</v>
      </c>
      <c r="Y722" s="2" t="s">
        <v>408</v>
      </c>
      <c r="Z722" s="2" t="s">
        <v>4999</v>
      </c>
      <c r="AA722" s="2">
        <v>-0.38354107515570102</v>
      </c>
      <c r="AB722" s="2">
        <v>0.95425176652879395</v>
      </c>
      <c r="AC722" s="2">
        <v>79437.002335480007</v>
      </c>
      <c r="AD722" s="2">
        <v>14750.1627892299</v>
      </c>
      <c r="AE722" s="2">
        <v>110435.617921011</v>
      </c>
      <c r="AF722" s="2">
        <v>71208.531032395695</v>
      </c>
      <c r="AG722" s="2">
        <v>77176.507290775495</v>
      </c>
      <c r="AH722" s="2">
        <v>98230.1928814188</v>
      </c>
      <c r="AI722" s="2">
        <v>54275.5082806676</v>
      </c>
      <c r="AJ722" s="2">
        <v>65295.656606611403</v>
      </c>
      <c r="AK722" s="2">
        <v>10974.6161533177</v>
      </c>
      <c r="AL722" s="2">
        <v>22074.856850624001</v>
      </c>
      <c r="AM722" s="2">
        <v>18777.9635550973</v>
      </c>
      <c r="AN722" s="2">
        <v>12282.037582520399</v>
      </c>
      <c r="AO722" s="2">
        <v>11904.8481233687</v>
      </c>
      <c r="AP722" s="2">
        <v>12486.6544704513</v>
      </c>
    </row>
    <row r="723" spans="1:42" ht="14.5" x14ac:dyDescent="0.35">
      <c r="A723" s="2" t="s">
        <v>5000</v>
      </c>
      <c r="B723" s="2">
        <v>691.25636494921298</v>
      </c>
      <c r="C723" s="2">
        <v>4.6661999999999999</v>
      </c>
      <c r="D723" s="2" t="s">
        <v>34</v>
      </c>
      <c r="E723" s="2" t="s">
        <v>5001</v>
      </c>
      <c r="F723" s="2">
        <v>32729</v>
      </c>
      <c r="G723" s="3" t="str">
        <f>HYPERLINK("http://funmeta.oebiotech.com/network/32729", "http://funmeta.oebiotech.com/network/32729")</f>
        <v>http://funmeta.oebiotech.com/network/32729</v>
      </c>
      <c r="H723" s="2"/>
      <c r="I723" s="2"/>
      <c r="J723" s="2" t="s">
        <v>5002</v>
      </c>
      <c r="K723" s="2"/>
      <c r="L723" s="2"/>
      <c r="M723" s="2"/>
      <c r="N723" s="2"/>
      <c r="O723" s="2">
        <v>102075243</v>
      </c>
      <c r="P723" s="2"/>
      <c r="Q723" s="2" t="s">
        <v>5003</v>
      </c>
      <c r="R723" s="2" t="s">
        <v>5004</v>
      </c>
      <c r="S723" s="2" t="s">
        <v>115</v>
      </c>
      <c r="T723" s="2" t="s">
        <v>139</v>
      </c>
      <c r="U723" s="2" t="s">
        <v>140</v>
      </c>
      <c r="V723" s="2" t="s">
        <v>59</v>
      </c>
      <c r="W723" s="2">
        <v>37</v>
      </c>
      <c r="X723" s="2">
        <v>0</v>
      </c>
      <c r="Y723" s="2" t="s">
        <v>1249</v>
      </c>
      <c r="Z723" s="2" t="s">
        <v>5005</v>
      </c>
      <c r="AA723" s="2">
        <v>-4.7549610345237099</v>
      </c>
      <c r="AB723" s="2">
        <v>0.95297567119874205</v>
      </c>
      <c r="AC723" s="2">
        <v>49332.868557180402</v>
      </c>
      <c r="AD723" s="2">
        <v>110140.216369977</v>
      </c>
      <c r="AE723" s="2">
        <v>53901.890748760903</v>
      </c>
      <c r="AF723" s="2">
        <v>51552.985055848003</v>
      </c>
      <c r="AG723" s="2">
        <v>43727.487674292701</v>
      </c>
      <c r="AH723" s="2">
        <v>51180.451207873899</v>
      </c>
      <c r="AI723" s="2">
        <v>51106.168890654502</v>
      </c>
      <c r="AJ723" s="2">
        <v>44528.227765652598</v>
      </c>
      <c r="AK723" s="2">
        <v>119799.939528694</v>
      </c>
      <c r="AL723" s="2">
        <v>104673.18303101</v>
      </c>
      <c r="AM723" s="2">
        <v>119840.364478815</v>
      </c>
      <c r="AN723" s="2">
        <v>98024.663916699399</v>
      </c>
      <c r="AO723" s="2">
        <v>107801.537321868</v>
      </c>
      <c r="AP723" s="2">
        <v>110701.609942775</v>
      </c>
    </row>
    <row r="724" spans="1:42" ht="14.5" x14ac:dyDescent="0.35">
      <c r="A724" s="2" t="s">
        <v>5006</v>
      </c>
      <c r="B724" s="2">
        <v>481.16987587775998</v>
      </c>
      <c r="C724" s="2">
        <v>3.7887</v>
      </c>
      <c r="D724" s="2" t="s">
        <v>34</v>
      </c>
      <c r="E724" s="2" t="s">
        <v>5007</v>
      </c>
      <c r="F724" s="2">
        <v>60754</v>
      </c>
      <c r="G724" s="3" t="str">
        <f>HYPERLINK("http://funmeta.oebiotech.com/network/60754", "http://funmeta.oebiotech.com/network/60754")</f>
        <v>http://funmeta.oebiotech.com/network/60754</v>
      </c>
      <c r="H724" s="2" t="s">
        <v>5008</v>
      </c>
      <c r="I724" s="2">
        <v>92080</v>
      </c>
      <c r="J724" s="2"/>
      <c r="K724" s="2">
        <v>167976</v>
      </c>
      <c r="L724" s="2"/>
      <c r="M724" s="2"/>
      <c r="N724" s="2"/>
      <c r="O724" s="2">
        <v>131752154</v>
      </c>
      <c r="P724" s="2" t="s">
        <v>5009</v>
      </c>
      <c r="Q724" s="2" t="s">
        <v>5010</v>
      </c>
      <c r="R724" s="2" t="s">
        <v>5011</v>
      </c>
      <c r="S724" s="2" t="s">
        <v>79</v>
      </c>
      <c r="T724" s="2" t="s">
        <v>80</v>
      </c>
      <c r="U724" s="2" t="s">
        <v>81</v>
      </c>
      <c r="V724" s="2" t="s">
        <v>59</v>
      </c>
      <c r="W724" s="2">
        <v>43.7</v>
      </c>
      <c r="X724" s="2">
        <v>28.3</v>
      </c>
      <c r="Y724" s="2" t="s">
        <v>470</v>
      </c>
      <c r="Z724" s="2" t="s">
        <v>5012</v>
      </c>
      <c r="AA724" s="2">
        <v>4.0233647929174801</v>
      </c>
      <c r="AB724" s="2">
        <v>0.95295712951418698</v>
      </c>
      <c r="AC724" s="2">
        <v>141856.658907231</v>
      </c>
      <c r="AD724" s="2">
        <v>81581.343535266496</v>
      </c>
      <c r="AE724" s="2">
        <v>140505.814529497</v>
      </c>
      <c r="AF724" s="2">
        <v>135045.31424828499</v>
      </c>
      <c r="AG724" s="2">
        <v>138039.91235553299</v>
      </c>
      <c r="AH724" s="2">
        <v>148015.26190919901</v>
      </c>
      <c r="AI724" s="2">
        <v>145940.420761758</v>
      </c>
      <c r="AJ724" s="2">
        <v>143593.22963911301</v>
      </c>
      <c r="AK724" s="2">
        <v>79174.809816785695</v>
      </c>
      <c r="AL724" s="2">
        <v>78547.811868936406</v>
      </c>
      <c r="AM724" s="2">
        <v>89192.110415554198</v>
      </c>
      <c r="AN724" s="2">
        <v>82804.842208964998</v>
      </c>
      <c r="AO724" s="2">
        <v>78644.489401091996</v>
      </c>
      <c r="AP724" s="2">
        <v>81123.997500265396</v>
      </c>
    </row>
    <row r="725" spans="1:42" ht="14.5" x14ac:dyDescent="0.35">
      <c r="A725" s="2" t="s">
        <v>5013</v>
      </c>
      <c r="B725" s="2">
        <v>397.222747764318</v>
      </c>
      <c r="C725" s="2">
        <v>4.5951666666666702</v>
      </c>
      <c r="D725" s="2" t="s">
        <v>70</v>
      </c>
      <c r="E725" s="2" t="s">
        <v>5014</v>
      </c>
      <c r="F725" s="2">
        <v>59220</v>
      </c>
      <c r="G725" s="3" t="str">
        <f>HYPERLINK("http://funmeta.oebiotech.com/network/59220", "http://funmeta.oebiotech.com/network/59220")</f>
        <v>http://funmeta.oebiotech.com/network/59220</v>
      </c>
      <c r="H725" s="2" t="s">
        <v>5015</v>
      </c>
      <c r="I725" s="2"/>
      <c r="J725" s="2"/>
      <c r="K725" s="2"/>
      <c r="L725" s="2"/>
      <c r="M725" s="2"/>
      <c r="N725" s="2"/>
      <c r="O725" s="2">
        <v>131751710</v>
      </c>
      <c r="P725" s="2"/>
      <c r="Q725" s="2" t="s">
        <v>5016</v>
      </c>
      <c r="R725" s="2" t="s">
        <v>5017</v>
      </c>
      <c r="S725" s="2" t="s">
        <v>50</v>
      </c>
      <c r="T725" s="2" t="s">
        <v>201</v>
      </c>
      <c r="U725" s="2" t="s">
        <v>636</v>
      </c>
      <c r="V725" s="2" t="s">
        <v>59</v>
      </c>
      <c r="W725" s="2">
        <v>41.7</v>
      </c>
      <c r="X725" s="2">
        <v>14.8</v>
      </c>
      <c r="Y725" s="2" t="s">
        <v>408</v>
      </c>
      <c r="Z725" s="2" t="s">
        <v>5018</v>
      </c>
      <c r="AA725" s="2">
        <v>-1.2186237593425</v>
      </c>
      <c r="AB725" s="2">
        <v>0.95046970610534798</v>
      </c>
      <c r="AC725" s="2">
        <v>272502.80731584999</v>
      </c>
      <c r="AD725" s="2">
        <v>211688.784773594</v>
      </c>
      <c r="AE725" s="2">
        <v>284397.36155633</v>
      </c>
      <c r="AF725" s="2">
        <v>270929.81598159799</v>
      </c>
      <c r="AG725" s="2">
        <v>266090.22714720998</v>
      </c>
      <c r="AH725" s="2">
        <v>266590.78746077802</v>
      </c>
      <c r="AI725" s="2">
        <v>274591.164332007</v>
      </c>
      <c r="AJ725" s="2">
        <v>272417.48741717899</v>
      </c>
      <c r="AK725" s="2">
        <v>215827.06991953499</v>
      </c>
      <c r="AL725" s="2">
        <v>226461.02674263599</v>
      </c>
      <c r="AM725" s="2">
        <v>212109.84859528599</v>
      </c>
      <c r="AN725" s="2">
        <v>200358.17646736099</v>
      </c>
      <c r="AO725" s="2">
        <v>208169.168161062</v>
      </c>
      <c r="AP725" s="2">
        <v>207207.41875568399</v>
      </c>
    </row>
    <row r="726" spans="1:42" ht="14.5" x14ac:dyDescent="0.35">
      <c r="A726" s="2" t="s">
        <v>5019</v>
      </c>
      <c r="B726" s="2">
        <v>645.76463860448905</v>
      </c>
      <c r="C726" s="2">
        <v>12.7016333333333</v>
      </c>
      <c r="D726" s="2" t="s">
        <v>34</v>
      </c>
      <c r="E726" s="2" t="s">
        <v>5020</v>
      </c>
      <c r="F726" s="2">
        <v>201387</v>
      </c>
      <c r="G726" s="3" t="str">
        <f>HYPERLINK("http://funmeta.oebiotech.com/network/201387", "http://funmeta.oebiotech.com/network/201387")</f>
        <v>http://funmeta.oebiotech.com/network/201387</v>
      </c>
      <c r="H726" s="2" t="s">
        <v>5021</v>
      </c>
      <c r="I726" s="2"/>
      <c r="J726" s="2"/>
      <c r="K726" s="2"/>
      <c r="L726" s="2"/>
      <c r="M726" s="2"/>
      <c r="N726" s="2"/>
      <c r="O726" s="2">
        <v>165262</v>
      </c>
      <c r="P726" s="2"/>
      <c r="Q726" s="2" t="s">
        <v>5022</v>
      </c>
      <c r="R726" s="2" t="s">
        <v>5023</v>
      </c>
      <c r="S726" s="2" t="s">
        <v>148</v>
      </c>
      <c r="T726" s="2" t="s">
        <v>149</v>
      </c>
      <c r="U726" s="2" t="s">
        <v>5024</v>
      </c>
      <c r="V726" s="2" t="s">
        <v>59</v>
      </c>
      <c r="W726" s="2">
        <v>38.9</v>
      </c>
      <c r="X726" s="2">
        <v>0</v>
      </c>
      <c r="Y726" s="2" t="s">
        <v>340</v>
      </c>
      <c r="Z726" s="2" t="s">
        <v>5025</v>
      </c>
      <c r="AA726" s="2">
        <v>2.0729981333519301</v>
      </c>
      <c r="AB726" s="2">
        <v>0.95002009756930605</v>
      </c>
      <c r="AC726" s="2">
        <v>21.9337267426937</v>
      </c>
      <c r="AD726" s="2">
        <v>60934.0214144196</v>
      </c>
      <c r="AE726" s="2">
        <v>131.602224924692</v>
      </c>
      <c r="AF726" s="2">
        <v>2.7106294003980101E-5</v>
      </c>
      <c r="AG726" s="2">
        <v>2.7106294003980101E-5</v>
      </c>
      <c r="AH726" s="2">
        <v>2.7106294003980101E-5</v>
      </c>
      <c r="AI726" s="2">
        <v>2.7106294003980101E-5</v>
      </c>
      <c r="AJ726" s="2">
        <v>2.7106294003980101E-5</v>
      </c>
      <c r="AK726" s="2">
        <v>59129.679057476496</v>
      </c>
      <c r="AL726" s="2">
        <v>42482.454487409799</v>
      </c>
      <c r="AM726" s="2">
        <v>70930.446429796299</v>
      </c>
      <c r="AN726" s="2">
        <v>59034.2646985104</v>
      </c>
      <c r="AO726" s="2">
        <v>58204.3996727833</v>
      </c>
      <c r="AP726" s="2">
        <v>75822.884140541501</v>
      </c>
    </row>
    <row r="727" spans="1:42" ht="14.5" x14ac:dyDescent="0.35">
      <c r="A727" s="2" t="s">
        <v>5026</v>
      </c>
      <c r="B727" s="2">
        <v>933.50653810901895</v>
      </c>
      <c r="C727" s="2">
        <v>10.9087833333333</v>
      </c>
      <c r="D727" s="2" t="s">
        <v>70</v>
      </c>
      <c r="E727" s="2" t="s">
        <v>5027</v>
      </c>
      <c r="F727" s="2">
        <v>58413</v>
      </c>
      <c r="G727" s="3" t="str">
        <f>HYPERLINK("http://funmeta.oebiotech.com/network/58413", "http://funmeta.oebiotech.com/network/58413")</f>
        <v>http://funmeta.oebiotech.com/network/58413</v>
      </c>
      <c r="H727" s="2" t="s">
        <v>5028</v>
      </c>
      <c r="I727" s="2">
        <v>89886</v>
      </c>
      <c r="J727" s="2"/>
      <c r="K727" s="2"/>
      <c r="L727" s="2"/>
      <c r="M727" s="2"/>
      <c r="N727" s="2"/>
      <c r="O727" s="2">
        <v>74029732</v>
      </c>
      <c r="P727" s="2" t="s">
        <v>5029</v>
      </c>
      <c r="Q727" s="2" t="s">
        <v>5030</v>
      </c>
      <c r="R727" s="2" t="s">
        <v>5031</v>
      </c>
      <c r="S727" s="2" t="s">
        <v>50</v>
      </c>
      <c r="T727" s="2" t="s">
        <v>124</v>
      </c>
      <c r="U727" s="2" t="s">
        <v>523</v>
      </c>
      <c r="V727" s="2" t="s">
        <v>59</v>
      </c>
      <c r="W727" s="2">
        <v>37.6</v>
      </c>
      <c r="X727" s="2">
        <v>0</v>
      </c>
      <c r="Y727" s="2" t="s">
        <v>118</v>
      </c>
      <c r="Z727" s="2" t="s">
        <v>5032</v>
      </c>
      <c r="AA727" s="2">
        <v>9.0173014204307997E-2</v>
      </c>
      <c r="AB727" s="2">
        <v>0.94831994459756297</v>
      </c>
      <c r="AC727" s="2">
        <v>39746.671817221999</v>
      </c>
      <c r="AD727" s="2">
        <v>99308.921802558601</v>
      </c>
      <c r="AE727" s="2">
        <v>42873.453077057296</v>
      </c>
      <c r="AF727" s="2">
        <v>34020.333899024103</v>
      </c>
      <c r="AG727" s="2">
        <v>40005.6811592206</v>
      </c>
      <c r="AH727" s="2">
        <v>40922.692636838197</v>
      </c>
      <c r="AI727" s="2">
        <v>38694.075993585597</v>
      </c>
      <c r="AJ727" s="2">
        <v>41963.794137605997</v>
      </c>
      <c r="AK727" s="2">
        <v>89298.707496294504</v>
      </c>
      <c r="AL727" s="2">
        <v>95983.870463658095</v>
      </c>
      <c r="AM727" s="2">
        <v>99554.797638784803</v>
      </c>
      <c r="AN727" s="2">
        <v>104951.558418146</v>
      </c>
      <c r="AO727" s="2">
        <v>103761.92387356699</v>
      </c>
      <c r="AP727" s="2">
        <v>102302.67292490099</v>
      </c>
    </row>
    <row r="728" spans="1:42" ht="14.5" x14ac:dyDescent="0.35">
      <c r="A728" s="2" t="s">
        <v>5033</v>
      </c>
      <c r="B728" s="2">
        <v>352.06705228172899</v>
      </c>
      <c r="C728" s="2">
        <v>4.0250666666666701</v>
      </c>
      <c r="D728" s="2" t="s">
        <v>70</v>
      </c>
      <c r="E728" s="2" t="s">
        <v>5034</v>
      </c>
      <c r="F728" s="2">
        <v>209449</v>
      </c>
      <c r="G728" s="3" t="str">
        <f>HYPERLINK("http://funmeta.oebiotech.com/network/209449", "http://funmeta.oebiotech.com/network/209449")</f>
        <v>http://funmeta.oebiotech.com/network/209449</v>
      </c>
      <c r="H728" s="2" t="s">
        <v>5035</v>
      </c>
      <c r="I728" s="2"/>
      <c r="J728" s="2"/>
      <c r="K728" s="2"/>
      <c r="L728" s="2"/>
      <c r="M728" s="2"/>
      <c r="N728" s="2"/>
      <c r="O728" s="2">
        <v>619061</v>
      </c>
      <c r="P728" s="2"/>
      <c r="Q728" s="2" t="s">
        <v>5036</v>
      </c>
      <c r="R728" s="2" t="s">
        <v>5037</v>
      </c>
      <c r="S728" s="2" t="s">
        <v>39</v>
      </c>
      <c r="T728" s="2" t="s">
        <v>5038</v>
      </c>
      <c r="U728" s="2" t="s">
        <v>5039</v>
      </c>
      <c r="V728" s="2" t="s">
        <v>59</v>
      </c>
      <c r="W728" s="2">
        <v>39.700000000000003</v>
      </c>
      <c r="X728" s="2">
        <v>0.41</v>
      </c>
      <c r="Y728" s="2" t="s">
        <v>408</v>
      </c>
      <c r="Z728" s="2" t="s">
        <v>5040</v>
      </c>
      <c r="AA728" s="2">
        <v>-1.14745112467507</v>
      </c>
      <c r="AB728" s="2">
        <v>0.94696597684600103</v>
      </c>
      <c r="AC728" s="2">
        <v>519042.866580198</v>
      </c>
      <c r="AD728" s="2">
        <v>448370.768463507</v>
      </c>
      <c r="AE728" s="2">
        <v>504815.39366154303</v>
      </c>
      <c r="AF728" s="2">
        <v>492586.79746607598</v>
      </c>
      <c r="AG728" s="2">
        <v>545608.86088320601</v>
      </c>
      <c r="AH728" s="2">
        <v>539864.31045419397</v>
      </c>
      <c r="AI728" s="2">
        <v>492324.28161838697</v>
      </c>
      <c r="AJ728" s="2">
        <v>539057.55539778003</v>
      </c>
      <c r="AK728" s="2">
        <v>419035.90191516501</v>
      </c>
      <c r="AL728" s="2">
        <v>447442.11706281599</v>
      </c>
      <c r="AM728" s="2">
        <v>491441.24506359303</v>
      </c>
      <c r="AN728" s="2">
        <v>428962.55630704499</v>
      </c>
      <c r="AO728" s="2">
        <v>435664.11644807202</v>
      </c>
      <c r="AP728" s="2">
        <v>467678.67398435099</v>
      </c>
    </row>
    <row r="729" spans="1:42" ht="14.5" x14ac:dyDescent="0.35">
      <c r="A729" s="2" t="s">
        <v>5041</v>
      </c>
      <c r="B729" s="2">
        <v>642.362334930477</v>
      </c>
      <c r="C729" s="2">
        <v>8.1380666666666706</v>
      </c>
      <c r="D729" s="2" t="s">
        <v>34</v>
      </c>
      <c r="E729" s="2" t="s">
        <v>5042</v>
      </c>
      <c r="F729" s="2">
        <v>205380</v>
      </c>
      <c r="G729" s="3" t="str">
        <f>HYPERLINK("http://funmeta.oebiotech.com/network/205380", "http://funmeta.oebiotech.com/network/205380")</f>
        <v>http://funmeta.oebiotech.com/network/205380</v>
      </c>
      <c r="H729" s="2" t="s">
        <v>5043</v>
      </c>
      <c r="I729" s="2"/>
      <c r="J729" s="2"/>
      <c r="K729" s="2"/>
      <c r="L729" s="2"/>
      <c r="M729" s="2"/>
      <c r="N729" s="2"/>
      <c r="O729" s="2">
        <v>21983464</v>
      </c>
      <c r="P729" s="2"/>
      <c r="Q729" s="2" t="s">
        <v>5044</v>
      </c>
      <c r="R729" s="2" t="s">
        <v>5045</v>
      </c>
      <c r="S729" s="2" t="s">
        <v>89</v>
      </c>
      <c r="T729" s="2" t="s">
        <v>1600</v>
      </c>
      <c r="U729" s="2" t="s">
        <v>3890</v>
      </c>
      <c r="V729" s="2" t="s">
        <v>59</v>
      </c>
      <c r="W729" s="2">
        <v>38.5</v>
      </c>
      <c r="X729" s="2">
        <v>2.48</v>
      </c>
      <c r="Y729" s="2" t="s">
        <v>43</v>
      </c>
      <c r="Z729" s="2" t="s">
        <v>5046</v>
      </c>
      <c r="AA729" s="2">
        <v>2.1809458108653499</v>
      </c>
      <c r="AB729" s="2">
        <v>0.94661969159154702</v>
      </c>
      <c r="AC729" s="2">
        <v>81019.224678428596</v>
      </c>
      <c r="AD729" s="2">
        <v>140321.41921733401</v>
      </c>
      <c r="AE729" s="2">
        <v>81762.789552177695</v>
      </c>
      <c r="AF729" s="2">
        <v>77441.197552297104</v>
      </c>
      <c r="AG729" s="2">
        <v>79743.160252515299</v>
      </c>
      <c r="AH729" s="2">
        <v>82651.391193752701</v>
      </c>
      <c r="AI729" s="2">
        <v>77033.287452114702</v>
      </c>
      <c r="AJ729" s="2">
        <v>87483.522067714002</v>
      </c>
      <c r="AK729" s="2">
        <v>139999.99168437099</v>
      </c>
      <c r="AL729" s="2">
        <v>137013.17388298901</v>
      </c>
      <c r="AM729" s="2">
        <v>138130.06196797601</v>
      </c>
      <c r="AN729" s="2">
        <v>144415.410667485</v>
      </c>
      <c r="AO729" s="2">
        <v>147333.08083817901</v>
      </c>
      <c r="AP729" s="2">
        <v>135036.796263002</v>
      </c>
    </row>
    <row r="730" spans="1:42" ht="14.5" x14ac:dyDescent="0.35">
      <c r="A730" s="2" t="s">
        <v>5047</v>
      </c>
      <c r="B730" s="2">
        <v>380.212252910144</v>
      </c>
      <c r="C730" s="2">
        <v>4.8662333333333301</v>
      </c>
      <c r="D730" s="2" t="s">
        <v>34</v>
      </c>
      <c r="E730" s="2" t="s">
        <v>5048</v>
      </c>
      <c r="F730" s="2">
        <v>23</v>
      </c>
      <c r="G730" s="3" t="str">
        <f>HYPERLINK("http://funmeta.oebiotech.com/network/23", "http://funmeta.oebiotech.com/network/23")</f>
        <v>http://funmeta.oebiotech.com/network/23</v>
      </c>
      <c r="H730" s="2"/>
      <c r="I730" s="2"/>
      <c r="J730" s="2" t="s">
        <v>5049</v>
      </c>
      <c r="K730" s="2"/>
      <c r="L730" s="2"/>
      <c r="M730" s="2"/>
      <c r="N730" s="2"/>
      <c r="O730" s="2">
        <v>101857685</v>
      </c>
      <c r="P730" s="2"/>
      <c r="Q730" s="2" t="s">
        <v>5050</v>
      </c>
      <c r="R730" s="2" t="s">
        <v>5051</v>
      </c>
      <c r="S730" s="2" t="s">
        <v>50</v>
      </c>
      <c r="T730" s="2" t="s">
        <v>229</v>
      </c>
      <c r="U730" s="2" t="s">
        <v>433</v>
      </c>
      <c r="V730" s="2" t="s">
        <v>59</v>
      </c>
      <c r="W730" s="2">
        <v>36.1</v>
      </c>
      <c r="X730" s="2">
        <v>0</v>
      </c>
      <c r="Y730" s="2" t="s">
        <v>43</v>
      </c>
      <c r="Z730" s="2" t="s">
        <v>5052</v>
      </c>
      <c r="AA730" s="2">
        <v>-4.9398087059983604</v>
      </c>
      <c r="AB730" s="2">
        <v>0.94582196121008899</v>
      </c>
      <c r="AC730" s="2">
        <v>212741.06839068601</v>
      </c>
      <c r="AD730" s="2">
        <v>275277.13143047201</v>
      </c>
      <c r="AE730" s="2">
        <v>220129.72205172601</v>
      </c>
      <c r="AF730" s="2">
        <v>207041.04970413799</v>
      </c>
      <c r="AG730" s="2">
        <v>215984.53153504501</v>
      </c>
      <c r="AH730" s="2">
        <v>230391.69060834299</v>
      </c>
      <c r="AI730" s="2">
        <v>208063.14908929699</v>
      </c>
      <c r="AJ730" s="2">
        <v>194836.26735556801</v>
      </c>
      <c r="AK730" s="2">
        <v>275448.55502377503</v>
      </c>
      <c r="AL730" s="2">
        <v>279500.117074929</v>
      </c>
      <c r="AM730" s="2">
        <v>289674.607509578</v>
      </c>
      <c r="AN730" s="2">
        <v>269422.84077727399</v>
      </c>
      <c r="AO730" s="2">
        <v>284210.20079031202</v>
      </c>
      <c r="AP730" s="2">
        <v>253406.46740696501</v>
      </c>
    </row>
    <row r="731" spans="1:42" ht="14.5" x14ac:dyDescent="0.35">
      <c r="A731" s="2" t="s">
        <v>5053</v>
      </c>
      <c r="B731" s="2">
        <v>683.15933647547399</v>
      </c>
      <c r="C731" s="2">
        <v>3.7303666666666699</v>
      </c>
      <c r="D731" s="2" t="s">
        <v>70</v>
      </c>
      <c r="E731" s="2" t="s">
        <v>5054</v>
      </c>
      <c r="F731" s="2">
        <v>211767</v>
      </c>
      <c r="G731" s="3" t="str">
        <f>HYPERLINK("http://funmeta.oebiotech.com/network/211767", "http://funmeta.oebiotech.com/network/211767")</f>
        <v>http://funmeta.oebiotech.com/network/211767</v>
      </c>
      <c r="H731" s="2" t="s">
        <v>5055</v>
      </c>
      <c r="I731" s="2"/>
      <c r="J731" s="2"/>
      <c r="K731" s="2"/>
      <c r="L731" s="2"/>
      <c r="M731" s="2"/>
      <c r="N731" s="2"/>
      <c r="O731" s="2">
        <v>423972</v>
      </c>
      <c r="P731" s="2"/>
      <c r="Q731" s="2" t="s">
        <v>5056</v>
      </c>
      <c r="R731" s="2" t="s">
        <v>5057</v>
      </c>
      <c r="S731" s="2" t="s">
        <v>491</v>
      </c>
      <c r="T731" s="2" t="s">
        <v>2251</v>
      </c>
      <c r="U731" s="2" t="s">
        <v>2252</v>
      </c>
      <c r="V731" s="2" t="s">
        <v>59</v>
      </c>
      <c r="W731" s="2">
        <v>42.6</v>
      </c>
      <c r="X731" s="2">
        <v>20.5</v>
      </c>
      <c r="Y731" s="2" t="s">
        <v>408</v>
      </c>
      <c r="Z731" s="2" t="s">
        <v>5058</v>
      </c>
      <c r="AA731" s="2">
        <v>-3.7953130417612901</v>
      </c>
      <c r="AB731" s="2">
        <v>0.94503007375645598</v>
      </c>
      <c r="AC731" s="2">
        <v>104361.800250528</v>
      </c>
      <c r="AD731" s="2">
        <v>164322.96723510401</v>
      </c>
      <c r="AE731" s="2">
        <v>100332.726412861</v>
      </c>
      <c r="AF731" s="2">
        <v>101946.209316953</v>
      </c>
      <c r="AG731" s="2">
        <v>108630.973965171</v>
      </c>
      <c r="AH731" s="2">
        <v>101606.140763282</v>
      </c>
      <c r="AI731" s="2">
        <v>106549.464769397</v>
      </c>
      <c r="AJ731" s="2">
        <v>107105.286275504</v>
      </c>
      <c r="AK731" s="2">
        <v>150699.157401982</v>
      </c>
      <c r="AL731" s="2">
        <v>155554.686549381</v>
      </c>
      <c r="AM731" s="2">
        <v>176209.700234638</v>
      </c>
      <c r="AN731" s="2">
        <v>165697.927021107</v>
      </c>
      <c r="AO731" s="2">
        <v>164287.23641637599</v>
      </c>
      <c r="AP731" s="2">
        <v>173489.095787142</v>
      </c>
    </row>
    <row r="732" spans="1:42" ht="14.5" x14ac:dyDescent="0.35">
      <c r="A732" s="2" t="s">
        <v>5059</v>
      </c>
      <c r="B732" s="2">
        <v>413.21479238772599</v>
      </c>
      <c r="C732" s="2">
        <v>5.0258500000000002</v>
      </c>
      <c r="D732" s="2" t="s">
        <v>34</v>
      </c>
      <c r="E732" s="2" t="s">
        <v>5060</v>
      </c>
      <c r="F732" s="2">
        <v>64657</v>
      </c>
      <c r="G732" s="3" t="str">
        <f>HYPERLINK("http://funmeta.oebiotech.com/network/64657", "http://funmeta.oebiotech.com/network/64657")</f>
        <v>http://funmeta.oebiotech.com/network/64657</v>
      </c>
      <c r="H732" s="2" t="s">
        <v>5061</v>
      </c>
      <c r="I732" s="2">
        <v>95958</v>
      </c>
      <c r="J732" s="2"/>
      <c r="K732" s="2">
        <v>175123</v>
      </c>
      <c r="L732" s="2"/>
      <c r="M732" s="2"/>
      <c r="N732" s="2"/>
      <c r="O732" s="2">
        <v>85161713</v>
      </c>
      <c r="P732" s="2" t="s">
        <v>5062</v>
      </c>
      <c r="Q732" s="2" t="s">
        <v>5063</v>
      </c>
      <c r="R732" s="2" t="s">
        <v>5064</v>
      </c>
      <c r="S732" s="2" t="s">
        <v>50</v>
      </c>
      <c r="T732" s="2" t="s">
        <v>229</v>
      </c>
      <c r="U732" s="2" t="s">
        <v>230</v>
      </c>
      <c r="V732" s="2" t="s">
        <v>59</v>
      </c>
      <c r="W732" s="2">
        <v>47.6</v>
      </c>
      <c r="X732" s="2">
        <v>44.3</v>
      </c>
      <c r="Y732" s="2" t="s">
        <v>470</v>
      </c>
      <c r="Z732" s="2" t="s">
        <v>2868</v>
      </c>
      <c r="AA732" s="2">
        <v>0.521905756913565</v>
      </c>
      <c r="AB732" s="2">
        <v>0.94483671113518397</v>
      </c>
      <c r="AC732" s="2">
        <v>430625.92598393501</v>
      </c>
      <c r="AD732" s="2">
        <v>491835.37203162903</v>
      </c>
      <c r="AE732" s="2">
        <v>437169.49318259401</v>
      </c>
      <c r="AF732" s="2">
        <v>423342.306937635</v>
      </c>
      <c r="AG732" s="2">
        <v>427679.14934976498</v>
      </c>
      <c r="AH732" s="2">
        <v>420296.28411296802</v>
      </c>
      <c r="AI732" s="2">
        <v>429998.50523037597</v>
      </c>
      <c r="AJ732" s="2">
        <v>445269.81709027302</v>
      </c>
      <c r="AK732" s="2">
        <v>481181.70333650598</v>
      </c>
      <c r="AL732" s="2">
        <v>478999.166744171</v>
      </c>
      <c r="AM732" s="2">
        <v>496854.66098167602</v>
      </c>
      <c r="AN732" s="2">
        <v>486420.857975917</v>
      </c>
      <c r="AO732" s="2">
        <v>500991.50286815298</v>
      </c>
      <c r="AP732" s="2">
        <v>506564.34028335201</v>
      </c>
    </row>
    <row r="733" spans="1:42" ht="14.5" x14ac:dyDescent="0.35">
      <c r="A733" s="2" t="s">
        <v>5065</v>
      </c>
      <c r="B733" s="2">
        <v>553.22809230284201</v>
      </c>
      <c r="C733" s="2">
        <v>6.1235166666666698</v>
      </c>
      <c r="D733" s="2" t="s">
        <v>70</v>
      </c>
      <c r="E733" s="2" t="s">
        <v>5066</v>
      </c>
      <c r="F733" s="2">
        <v>61978</v>
      </c>
      <c r="G733" s="3" t="str">
        <f>HYPERLINK("http://funmeta.oebiotech.com/network/61978", "http://funmeta.oebiotech.com/network/61978")</f>
        <v>http://funmeta.oebiotech.com/network/61978</v>
      </c>
      <c r="H733" s="2" t="s">
        <v>5067</v>
      </c>
      <c r="I733" s="2">
        <v>93272</v>
      </c>
      <c r="J733" s="2"/>
      <c r="K733" s="2"/>
      <c r="L733" s="2"/>
      <c r="M733" s="2"/>
      <c r="N733" s="2"/>
      <c r="O733" s="2">
        <v>156908048</v>
      </c>
      <c r="P733" s="2" t="s">
        <v>5068</v>
      </c>
      <c r="Q733" s="2" t="s">
        <v>5069</v>
      </c>
      <c r="R733" s="2" t="s">
        <v>5070</v>
      </c>
      <c r="S733" s="2" t="s">
        <v>50</v>
      </c>
      <c r="T733" s="2" t="s">
        <v>201</v>
      </c>
      <c r="U733" s="2" t="s">
        <v>202</v>
      </c>
      <c r="V733" s="2" t="s">
        <v>59</v>
      </c>
      <c r="W733" s="2">
        <v>46.8</v>
      </c>
      <c r="X733" s="2">
        <v>44.5</v>
      </c>
      <c r="Y733" s="2" t="s">
        <v>408</v>
      </c>
      <c r="Z733" s="2" t="s">
        <v>5071</v>
      </c>
      <c r="AA733" s="2">
        <v>-1.88480743208269</v>
      </c>
      <c r="AB733" s="2">
        <v>0.94413489958157104</v>
      </c>
      <c r="AC733" s="2">
        <v>136191.81984430301</v>
      </c>
      <c r="AD733" s="2">
        <v>77234.726327326993</v>
      </c>
      <c r="AE733" s="2">
        <v>139764.820190506</v>
      </c>
      <c r="AF733" s="2">
        <v>131867.17147096101</v>
      </c>
      <c r="AG733" s="2">
        <v>138594.108424245</v>
      </c>
      <c r="AH733" s="2">
        <v>140153.04537047099</v>
      </c>
      <c r="AI733" s="2">
        <v>126755.920423822</v>
      </c>
      <c r="AJ733" s="2">
        <v>140015.853185813</v>
      </c>
      <c r="AK733" s="2">
        <v>75688.569410729804</v>
      </c>
      <c r="AL733" s="2">
        <v>78863.796381113905</v>
      </c>
      <c r="AM733" s="2">
        <v>74065.809869755903</v>
      </c>
      <c r="AN733" s="2">
        <v>82464.300508771106</v>
      </c>
      <c r="AO733" s="2">
        <v>74728.542588965094</v>
      </c>
      <c r="AP733" s="2">
        <v>77597.339204626405</v>
      </c>
    </row>
    <row r="734" spans="1:42" ht="14.5" x14ac:dyDescent="0.35">
      <c r="A734" s="2" t="s">
        <v>5072</v>
      </c>
      <c r="B734" s="2">
        <v>479.19217017204102</v>
      </c>
      <c r="C734" s="2">
        <v>4.3640166666666698</v>
      </c>
      <c r="D734" s="2" t="s">
        <v>70</v>
      </c>
      <c r="E734" s="2" t="s">
        <v>5073</v>
      </c>
      <c r="F734" s="2">
        <v>59705</v>
      </c>
      <c r="G734" s="3" t="str">
        <f>HYPERLINK("http://funmeta.oebiotech.com/network/59705", "http://funmeta.oebiotech.com/network/59705")</f>
        <v>http://funmeta.oebiotech.com/network/59705</v>
      </c>
      <c r="H734" s="2" t="s">
        <v>5074</v>
      </c>
      <c r="I734" s="2"/>
      <c r="J734" s="2"/>
      <c r="K734" s="2"/>
      <c r="L734" s="2"/>
      <c r="M734" s="2"/>
      <c r="N734" s="2"/>
      <c r="O734" s="2">
        <v>75224910</v>
      </c>
      <c r="P734" s="2" t="s">
        <v>5075</v>
      </c>
      <c r="Q734" s="2" t="s">
        <v>5076</v>
      </c>
      <c r="R734" s="2" t="s">
        <v>5077</v>
      </c>
      <c r="S734" s="2" t="s">
        <v>50</v>
      </c>
      <c r="T734" s="2" t="s">
        <v>201</v>
      </c>
      <c r="U734" s="2" t="s">
        <v>636</v>
      </c>
      <c r="V734" s="2" t="s">
        <v>42</v>
      </c>
      <c r="W734" s="2">
        <v>51</v>
      </c>
      <c r="X734" s="2">
        <v>56.5</v>
      </c>
      <c r="Y734" s="2" t="s">
        <v>408</v>
      </c>
      <c r="Z734" s="2" t="s">
        <v>5078</v>
      </c>
      <c r="AA734" s="2">
        <v>-0.231731721089633</v>
      </c>
      <c r="AB734" s="2">
        <v>0.94370621641921504</v>
      </c>
      <c r="AC734" s="2">
        <v>328848.94561961398</v>
      </c>
      <c r="AD734" s="2">
        <v>410767.71340206801</v>
      </c>
      <c r="AE734" s="2">
        <v>335496.75985132501</v>
      </c>
      <c r="AF734" s="2">
        <v>372339.61842645501</v>
      </c>
      <c r="AG734" s="2">
        <v>282628.30251129001</v>
      </c>
      <c r="AH734" s="2">
        <v>334485.86838826799</v>
      </c>
      <c r="AI734" s="2">
        <v>347399.74047143699</v>
      </c>
      <c r="AJ734" s="2">
        <v>300743.38406890701</v>
      </c>
      <c r="AK734" s="2">
        <v>393243.91373828601</v>
      </c>
      <c r="AL734" s="2">
        <v>438641.41182647902</v>
      </c>
      <c r="AM734" s="2">
        <v>425901.222544157</v>
      </c>
      <c r="AN734" s="2">
        <v>487931.67671647703</v>
      </c>
      <c r="AO734" s="2">
        <v>327161.214315283</v>
      </c>
      <c r="AP734" s="2">
        <v>391726.84127172898</v>
      </c>
    </row>
    <row r="735" spans="1:42" ht="14.5" x14ac:dyDescent="0.35">
      <c r="A735" s="2" t="s">
        <v>5079</v>
      </c>
      <c r="B735" s="2">
        <v>539.24969945906798</v>
      </c>
      <c r="C735" s="2">
        <v>7.1024166666666702</v>
      </c>
      <c r="D735" s="2" t="s">
        <v>70</v>
      </c>
      <c r="E735" s="2" t="s">
        <v>5080</v>
      </c>
      <c r="F735" s="2">
        <v>50918</v>
      </c>
      <c r="G735" s="3" t="str">
        <f>HYPERLINK("http://funmeta.oebiotech.com/network/50918", "http://funmeta.oebiotech.com/network/50918")</f>
        <v>http://funmeta.oebiotech.com/network/50918</v>
      </c>
      <c r="H735" s="2" t="s">
        <v>5081</v>
      </c>
      <c r="I735" s="2">
        <v>61672</v>
      </c>
      <c r="J735" s="2"/>
      <c r="K735" s="2">
        <v>88728</v>
      </c>
      <c r="L735" s="2" t="s">
        <v>1994</v>
      </c>
      <c r="M735" s="2" t="s">
        <v>1995</v>
      </c>
      <c r="N735" s="2" t="s">
        <v>1996</v>
      </c>
      <c r="O735" s="2">
        <v>167918</v>
      </c>
      <c r="P735" s="2" t="s">
        <v>5082</v>
      </c>
      <c r="Q735" s="2" t="s">
        <v>5083</v>
      </c>
      <c r="R735" s="2" t="s">
        <v>5084</v>
      </c>
      <c r="S735" s="2" t="s">
        <v>50</v>
      </c>
      <c r="T735" s="2" t="s">
        <v>124</v>
      </c>
      <c r="U735" s="2" t="s">
        <v>523</v>
      </c>
      <c r="V735" s="2" t="s">
        <v>42</v>
      </c>
      <c r="W735" s="2">
        <v>54.1</v>
      </c>
      <c r="X735" s="2">
        <v>78.3</v>
      </c>
      <c r="Y735" s="2" t="s">
        <v>118</v>
      </c>
      <c r="Z735" s="2" t="s">
        <v>5085</v>
      </c>
      <c r="AA735" s="2">
        <v>-0.15956643177021401</v>
      </c>
      <c r="AB735" s="2">
        <v>0.94353998193852395</v>
      </c>
      <c r="AC735" s="2">
        <v>93231.754925960398</v>
      </c>
      <c r="AD735" s="2">
        <v>34486.141963921698</v>
      </c>
      <c r="AE735" s="2">
        <v>92896.574440615703</v>
      </c>
      <c r="AF735" s="2">
        <v>90777.903086203602</v>
      </c>
      <c r="AG735" s="2">
        <v>92271.6077908273</v>
      </c>
      <c r="AH735" s="2">
        <v>91358.831609825094</v>
      </c>
      <c r="AI735" s="2">
        <v>98067.281862672593</v>
      </c>
      <c r="AJ735" s="2">
        <v>94018.330765617793</v>
      </c>
      <c r="AK735" s="2">
        <v>30306.1880350791</v>
      </c>
      <c r="AL735" s="2">
        <v>40243.9984181869</v>
      </c>
      <c r="AM735" s="2">
        <v>35895.726158024801</v>
      </c>
      <c r="AN735" s="2">
        <v>34889.948953036001</v>
      </c>
      <c r="AO735" s="2">
        <v>33937.025300882</v>
      </c>
      <c r="AP735" s="2">
        <v>31643.964918321301</v>
      </c>
    </row>
    <row r="736" spans="1:42" ht="14.5" x14ac:dyDescent="0.35">
      <c r="A736" s="2" t="s">
        <v>5086</v>
      </c>
      <c r="B736" s="2">
        <v>449.20283145977902</v>
      </c>
      <c r="C736" s="2">
        <v>3.6357833333333298</v>
      </c>
      <c r="D736" s="2" t="s">
        <v>70</v>
      </c>
      <c r="E736" s="2" t="s">
        <v>5087</v>
      </c>
      <c r="F736" s="2">
        <v>63182</v>
      </c>
      <c r="G736" s="3" t="str">
        <f>HYPERLINK("http://funmeta.oebiotech.com/network/63182", "http://funmeta.oebiotech.com/network/63182")</f>
        <v>http://funmeta.oebiotech.com/network/63182</v>
      </c>
      <c r="H736" s="2" t="s">
        <v>5088</v>
      </c>
      <c r="I736" s="2"/>
      <c r="J736" s="2"/>
      <c r="K736" s="2"/>
      <c r="L736" s="2"/>
      <c r="M736" s="2"/>
      <c r="N736" s="2"/>
      <c r="O736" s="2">
        <v>131752765</v>
      </c>
      <c r="P736" s="2" t="s">
        <v>5089</v>
      </c>
      <c r="Q736" s="2" t="s">
        <v>5090</v>
      </c>
      <c r="R736" s="2" t="s">
        <v>5091</v>
      </c>
      <c r="S736" s="2" t="s">
        <v>50</v>
      </c>
      <c r="T736" s="2" t="s">
        <v>201</v>
      </c>
      <c r="U736" s="2" t="s">
        <v>202</v>
      </c>
      <c r="V736" s="2" t="s">
        <v>42</v>
      </c>
      <c r="W736" s="2">
        <v>54.4</v>
      </c>
      <c r="X736" s="2">
        <v>75.900000000000006</v>
      </c>
      <c r="Y736" s="2" t="s">
        <v>408</v>
      </c>
      <c r="Z736" s="2" t="s">
        <v>5092</v>
      </c>
      <c r="AA736" s="2">
        <v>-9.9269052965352995E-3</v>
      </c>
      <c r="AB736" s="2">
        <v>0.94087363260677703</v>
      </c>
      <c r="AC736" s="2">
        <v>238782.33071266301</v>
      </c>
      <c r="AD736" s="2">
        <v>177533.66248318399</v>
      </c>
      <c r="AE736" s="2">
        <v>237385.98550458701</v>
      </c>
      <c r="AF736" s="2">
        <v>240490.25084282199</v>
      </c>
      <c r="AG736" s="2">
        <v>232406.38554134499</v>
      </c>
      <c r="AH736" s="2">
        <v>230712.172237925</v>
      </c>
      <c r="AI736" s="2">
        <v>258447.262456258</v>
      </c>
      <c r="AJ736" s="2">
        <v>233251.92769304101</v>
      </c>
      <c r="AK736" s="2">
        <v>175915.95973478199</v>
      </c>
      <c r="AL736" s="2">
        <v>179341.55249276801</v>
      </c>
      <c r="AM736" s="2">
        <v>172123.79244039499</v>
      </c>
      <c r="AN736" s="2">
        <v>167220.77914396001</v>
      </c>
      <c r="AO736" s="2">
        <v>171111.93039522</v>
      </c>
      <c r="AP736" s="2">
        <v>199487.96069197799</v>
      </c>
    </row>
    <row r="737" spans="1:42" ht="14.5" x14ac:dyDescent="0.35">
      <c r="A737" s="2" t="s">
        <v>5093</v>
      </c>
      <c r="B737" s="2">
        <v>707.25300591509404</v>
      </c>
      <c r="C737" s="2">
        <v>7.0647833333333301</v>
      </c>
      <c r="D737" s="2" t="s">
        <v>70</v>
      </c>
      <c r="E737" s="2" t="s">
        <v>5094</v>
      </c>
      <c r="F737" s="2">
        <v>54947</v>
      </c>
      <c r="G737" s="3" t="str">
        <f>HYPERLINK("http://funmeta.oebiotech.com/network/54947", "http://funmeta.oebiotech.com/network/54947")</f>
        <v>http://funmeta.oebiotech.com/network/54947</v>
      </c>
      <c r="H737" s="2" t="s">
        <v>5095</v>
      </c>
      <c r="I737" s="2"/>
      <c r="J737" s="2"/>
      <c r="K737" s="2"/>
      <c r="L737" s="2"/>
      <c r="M737" s="2"/>
      <c r="N737" s="2"/>
      <c r="O737" s="2">
        <v>72551239</v>
      </c>
      <c r="P737" s="2" t="s">
        <v>5096</v>
      </c>
      <c r="Q737" s="2" t="s">
        <v>5097</v>
      </c>
      <c r="R737" s="2" t="s">
        <v>5098</v>
      </c>
      <c r="S737" s="2" t="s">
        <v>115</v>
      </c>
      <c r="T737" s="2" t="s">
        <v>575</v>
      </c>
      <c r="U737" s="2" t="s">
        <v>576</v>
      </c>
      <c r="V737" s="2" t="s">
        <v>59</v>
      </c>
      <c r="W737" s="2">
        <v>37.299999999999997</v>
      </c>
      <c r="X737" s="2">
        <v>0.52800000000000002</v>
      </c>
      <c r="Y737" s="2" t="s">
        <v>408</v>
      </c>
      <c r="Z737" s="2" t="s">
        <v>5099</v>
      </c>
      <c r="AA737" s="2">
        <v>4.8625786299966203</v>
      </c>
      <c r="AB737" s="2">
        <v>0.93912825426989999</v>
      </c>
      <c r="AC737" s="2">
        <v>81838.877768308303</v>
      </c>
      <c r="AD737" s="2">
        <v>23637.457803923498</v>
      </c>
      <c r="AE737" s="2">
        <v>81114.3683619699</v>
      </c>
      <c r="AF737" s="2">
        <v>75507.593959755497</v>
      </c>
      <c r="AG737" s="2">
        <v>85738.389343063405</v>
      </c>
      <c r="AH737" s="2">
        <v>87770.984881091703</v>
      </c>
      <c r="AI737" s="2">
        <v>76649.736703805407</v>
      </c>
      <c r="AJ737" s="2">
        <v>84252.193360164107</v>
      </c>
      <c r="AK737" s="2">
        <v>22036.437838312399</v>
      </c>
      <c r="AL737" s="2">
        <v>24868.536194153301</v>
      </c>
      <c r="AM737" s="2">
        <v>25361.897008188502</v>
      </c>
      <c r="AN737" s="2">
        <v>22498.448952014402</v>
      </c>
      <c r="AO737" s="2">
        <v>24593.241546759</v>
      </c>
      <c r="AP737" s="2">
        <v>22466.185284113599</v>
      </c>
    </row>
    <row r="738" spans="1:42" ht="14.5" x14ac:dyDescent="0.35">
      <c r="A738" s="2" t="s">
        <v>5100</v>
      </c>
      <c r="B738" s="2">
        <v>391.10233307845402</v>
      </c>
      <c r="C738" s="2">
        <v>0.73909999999999998</v>
      </c>
      <c r="D738" s="2" t="s">
        <v>70</v>
      </c>
      <c r="E738" s="2" t="s">
        <v>5101</v>
      </c>
      <c r="F738" s="2">
        <v>29944</v>
      </c>
      <c r="G738" s="3" t="str">
        <f>HYPERLINK("http://funmeta.oebiotech.com/network/29944", "http://funmeta.oebiotech.com/network/29944")</f>
        <v>http://funmeta.oebiotech.com/network/29944</v>
      </c>
      <c r="H738" s="2"/>
      <c r="I738" s="2">
        <v>48298</v>
      </c>
      <c r="J738" s="2" t="s">
        <v>5102</v>
      </c>
      <c r="K738" s="2"/>
      <c r="L738" s="2"/>
      <c r="M738" s="2"/>
      <c r="N738" s="2"/>
      <c r="O738" s="2">
        <v>10405331</v>
      </c>
      <c r="P738" s="2"/>
      <c r="Q738" s="2" t="s">
        <v>5103</v>
      </c>
      <c r="R738" s="2" t="s">
        <v>5104</v>
      </c>
      <c r="S738" s="2" t="s">
        <v>115</v>
      </c>
      <c r="T738" s="2" t="s">
        <v>1371</v>
      </c>
      <c r="U738" s="2" t="s">
        <v>5105</v>
      </c>
      <c r="V738" s="2" t="s">
        <v>59</v>
      </c>
      <c r="W738" s="2">
        <v>39.6</v>
      </c>
      <c r="X738" s="2">
        <v>10.7</v>
      </c>
      <c r="Y738" s="2" t="s">
        <v>1395</v>
      </c>
      <c r="Z738" s="2" t="s">
        <v>5106</v>
      </c>
      <c r="AA738" s="2">
        <v>-3.2438274680278498</v>
      </c>
      <c r="AB738" s="2">
        <v>0.93895024134084604</v>
      </c>
      <c r="AC738" s="2">
        <v>1150141.8491505401</v>
      </c>
      <c r="AD738" s="2">
        <v>1305174.3403400099</v>
      </c>
      <c r="AE738" s="2">
        <v>965531.47103761404</v>
      </c>
      <c r="AF738" s="2">
        <v>1376421.94483523</v>
      </c>
      <c r="AG738" s="2">
        <v>1058530.08961547</v>
      </c>
      <c r="AH738" s="2">
        <v>1255101.91730371</v>
      </c>
      <c r="AI738" s="2">
        <v>1298736.61190605</v>
      </c>
      <c r="AJ738" s="2">
        <v>946529.06020518101</v>
      </c>
      <c r="AK738" s="2">
        <v>1133106.3009680801</v>
      </c>
      <c r="AL738" s="2">
        <v>1265032.38017</v>
      </c>
      <c r="AM738" s="2">
        <v>1101985.7243502201</v>
      </c>
      <c r="AN738" s="2">
        <v>1559987.2674762199</v>
      </c>
      <c r="AO738" s="2">
        <v>1661011.6868578601</v>
      </c>
      <c r="AP738" s="2">
        <v>1109922.6822176799</v>
      </c>
    </row>
    <row r="739" spans="1:42" ht="14.5" x14ac:dyDescent="0.35">
      <c r="A739" s="2" t="s">
        <v>5107</v>
      </c>
      <c r="B739" s="2">
        <v>552.29473942373602</v>
      </c>
      <c r="C739" s="2">
        <v>6.3200166666666702</v>
      </c>
      <c r="D739" s="2" t="s">
        <v>34</v>
      </c>
      <c r="E739" s="2" t="s">
        <v>5108</v>
      </c>
      <c r="F739" s="2">
        <v>219629</v>
      </c>
      <c r="G739" s="3" t="str">
        <f>HYPERLINK("http://funmeta.oebiotech.com/network/219629", "http://funmeta.oebiotech.com/network/219629")</f>
        <v>http://funmeta.oebiotech.com/network/219629</v>
      </c>
      <c r="H739" s="2" t="s">
        <v>5109</v>
      </c>
      <c r="I739" s="2"/>
      <c r="J739" s="2"/>
      <c r="K739" s="2"/>
      <c r="L739" s="2"/>
      <c r="M739" s="2"/>
      <c r="N739" s="2"/>
      <c r="O739" s="2"/>
      <c r="P739" s="2"/>
      <c r="Q739" s="2" t="s">
        <v>5110</v>
      </c>
      <c r="R739" s="2" t="s">
        <v>5111</v>
      </c>
      <c r="S739" s="2" t="s">
        <v>41</v>
      </c>
      <c r="T739" s="2" t="s">
        <v>41</v>
      </c>
      <c r="U739" s="2" t="s">
        <v>41</v>
      </c>
      <c r="V739" s="2" t="s">
        <v>59</v>
      </c>
      <c r="W739" s="2">
        <v>43.4</v>
      </c>
      <c r="X739" s="2">
        <v>26.3</v>
      </c>
      <c r="Y739" s="2" t="s">
        <v>43</v>
      </c>
      <c r="Z739" s="2" t="s">
        <v>5112</v>
      </c>
      <c r="AA739" s="2">
        <v>2.8631956146860702</v>
      </c>
      <c r="AB739" s="2">
        <v>0.93698609105778896</v>
      </c>
      <c r="AC739" s="2">
        <v>130482.122050456</v>
      </c>
      <c r="AD739" s="2">
        <v>72002.948928846294</v>
      </c>
      <c r="AE739" s="2">
        <v>134413.57133196801</v>
      </c>
      <c r="AF739" s="2">
        <v>134961.39104386899</v>
      </c>
      <c r="AG739" s="2">
        <v>123140.869134774</v>
      </c>
      <c r="AH739" s="2">
        <v>140266.723441674</v>
      </c>
      <c r="AI739" s="2">
        <v>127089.711487705</v>
      </c>
      <c r="AJ739" s="2">
        <v>123020.465862749</v>
      </c>
      <c r="AK739" s="2">
        <v>70724.082547894795</v>
      </c>
      <c r="AL739" s="2">
        <v>73025.939549925402</v>
      </c>
      <c r="AM739" s="2">
        <v>71683.432541794493</v>
      </c>
      <c r="AN739" s="2">
        <v>74833.105047828998</v>
      </c>
      <c r="AO739" s="2">
        <v>65414.1382591117</v>
      </c>
      <c r="AP739" s="2">
        <v>76336.995626522505</v>
      </c>
    </row>
    <row r="740" spans="1:42" ht="14.5" x14ac:dyDescent="0.35">
      <c r="A740" s="2" t="s">
        <v>5113</v>
      </c>
      <c r="B740" s="2">
        <v>243.196152788159</v>
      </c>
      <c r="C740" s="2">
        <v>10.2578333333333</v>
      </c>
      <c r="D740" s="2" t="s">
        <v>70</v>
      </c>
      <c r="E740" s="2" t="s">
        <v>5114</v>
      </c>
      <c r="F740" s="2">
        <v>1950</v>
      </c>
      <c r="G740" s="3" t="str">
        <f>HYPERLINK("http://funmeta.oebiotech.com/network/1950", "http://funmeta.oebiotech.com/network/1950")</f>
        <v>http://funmeta.oebiotech.com/network/1950</v>
      </c>
      <c r="H740" s="2" t="s">
        <v>5115</v>
      </c>
      <c r="I740" s="2">
        <v>6579</v>
      </c>
      <c r="J740" s="2" t="s">
        <v>5116</v>
      </c>
      <c r="K740" s="2">
        <v>59270</v>
      </c>
      <c r="L740" s="2"/>
      <c r="M740" s="2"/>
      <c r="N740" s="2"/>
      <c r="O740" s="2">
        <v>1563</v>
      </c>
      <c r="P740" s="2" t="s">
        <v>5117</v>
      </c>
      <c r="Q740" s="2" t="s">
        <v>5118</v>
      </c>
      <c r="R740" s="2" t="s">
        <v>5119</v>
      </c>
      <c r="S740" s="2" t="s">
        <v>50</v>
      </c>
      <c r="T740" s="2" t="s">
        <v>229</v>
      </c>
      <c r="U740" s="2" t="s">
        <v>433</v>
      </c>
      <c r="V740" s="2" t="s">
        <v>59</v>
      </c>
      <c r="W740" s="2">
        <v>44.2</v>
      </c>
      <c r="X740" s="2">
        <v>25.7</v>
      </c>
      <c r="Y740" s="2" t="s">
        <v>118</v>
      </c>
      <c r="Z740" s="2" t="s">
        <v>5120</v>
      </c>
      <c r="AA740" s="2">
        <v>-1.701596800763</v>
      </c>
      <c r="AB740" s="2">
        <v>0.93613519125081301</v>
      </c>
      <c r="AC740" s="2">
        <v>233922.729182943</v>
      </c>
      <c r="AD740" s="2">
        <v>295194.48786371702</v>
      </c>
      <c r="AE740" s="2">
        <v>236523.16519156299</v>
      </c>
      <c r="AF740" s="2">
        <v>240573.43000657801</v>
      </c>
      <c r="AG740" s="2">
        <v>231849.10465846199</v>
      </c>
      <c r="AH740" s="2">
        <v>234490.835776822</v>
      </c>
      <c r="AI740" s="2">
        <v>236589.129515796</v>
      </c>
      <c r="AJ740" s="2">
        <v>223510.70994843799</v>
      </c>
      <c r="AK740" s="2">
        <v>314911.65048450098</v>
      </c>
      <c r="AL740" s="2">
        <v>307274.36812943203</v>
      </c>
      <c r="AM740" s="2">
        <v>298877.63004867302</v>
      </c>
      <c r="AN740" s="2">
        <v>289377.79756894603</v>
      </c>
      <c r="AO740" s="2">
        <v>292646.57450650597</v>
      </c>
      <c r="AP740" s="2">
        <v>268078.90644424298</v>
      </c>
    </row>
    <row r="741" spans="1:42" ht="14.5" x14ac:dyDescent="0.35">
      <c r="A741" s="2" t="s">
        <v>5121</v>
      </c>
      <c r="B741" s="2">
        <v>492.29804256517201</v>
      </c>
      <c r="C741" s="2">
        <v>12.9343166666667</v>
      </c>
      <c r="D741" s="2" t="s">
        <v>34</v>
      </c>
      <c r="E741" s="2" t="s">
        <v>5122</v>
      </c>
      <c r="F741" s="2">
        <v>210220</v>
      </c>
      <c r="G741" s="3" t="str">
        <f>HYPERLINK("http://funmeta.oebiotech.com/network/210220", "http://funmeta.oebiotech.com/network/210220")</f>
        <v>http://funmeta.oebiotech.com/network/210220</v>
      </c>
      <c r="H741" s="2" t="s">
        <v>5123</v>
      </c>
      <c r="I741" s="2"/>
      <c r="J741" s="2"/>
      <c r="K741" s="2"/>
      <c r="L741" s="2"/>
      <c r="M741" s="2"/>
      <c r="N741" s="2"/>
      <c r="O741" s="2">
        <v>4451503</v>
      </c>
      <c r="P741" s="2"/>
      <c r="Q741" s="2" t="s">
        <v>5124</v>
      </c>
      <c r="R741" s="2" t="s">
        <v>5125</v>
      </c>
      <c r="S741" s="2" t="s">
        <v>50</v>
      </c>
      <c r="T741" s="2" t="s">
        <v>124</v>
      </c>
      <c r="U741" s="2" t="s">
        <v>125</v>
      </c>
      <c r="V741" s="2" t="s">
        <v>59</v>
      </c>
      <c r="W741" s="2">
        <v>36.4</v>
      </c>
      <c r="X741" s="2">
        <v>0</v>
      </c>
      <c r="Y741" s="2" t="s">
        <v>43</v>
      </c>
      <c r="Z741" s="2" t="s">
        <v>5126</v>
      </c>
      <c r="AA741" s="2">
        <v>-1.91380019499344</v>
      </c>
      <c r="AB741" s="2">
        <v>0.93499984258019198</v>
      </c>
      <c r="AC741" s="2">
        <v>909.37538356053096</v>
      </c>
      <c r="AD741" s="2">
        <v>58632.602442752701</v>
      </c>
      <c r="AE741" s="2">
        <v>963.14597478765302</v>
      </c>
      <c r="AF741" s="2">
        <v>1075.0219660906901</v>
      </c>
      <c r="AG741" s="2">
        <v>1036.37696934976</v>
      </c>
      <c r="AH741" s="2">
        <v>797.54395665455104</v>
      </c>
      <c r="AI741" s="2">
        <v>758.06015152696102</v>
      </c>
      <c r="AJ741" s="2">
        <v>826.10328295357294</v>
      </c>
      <c r="AK741" s="2">
        <v>52458.476333499399</v>
      </c>
      <c r="AL741" s="2">
        <v>56480.727323712497</v>
      </c>
      <c r="AM741" s="2">
        <v>54844.274989543301</v>
      </c>
      <c r="AN741" s="2">
        <v>59167.0391452861</v>
      </c>
      <c r="AO741" s="2">
        <v>62987.460013746997</v>
      </c>
      <c r="AP741" s="2">
        <v>65857.636850727693</v>
      </c>
    </row>
    <row r="742" spans="1:42" ht="14.5" x14ac:dyDescent="0.35">
      <c r="A742" s="2" t="s">
        <v>5127</v>
      </c>
      <c r="B742" s="2">
        <v>451.12216951354702</v>
      </c>
      <c r="C742" s="2">
        <v>4.2251833333333302</v>
      </c>
      <c r="D742" s="2" t="s">
        <v>34</v>
      </c>
      <c r="E742" s="2" t="s">
        <v>5128</v>
      </c>
      <c r="F742" s="2">
        <v>205356</v>
      </c>
      <c r="G742" s="3" t="str">
        <f>HYPERLINK("http://funmeta.oebiotech.com/network/205356", "http://funmeta.oebiotech.com/network/205356")</f>
        <v>http://funmeta.oebiotech.com/network/205356</v>
      </c>
      <c r="H742" s="2" t="s">
        <v>5129</v>
      </c>
      <c r="I742" s="2"/>
      <c r="J742" s="2"/>
      <c r="K742" s="2"/>
      <c r="L742" s="2"/>
      <c r="M742" s="2"/>
      <c r="N742" s="2"/>
      <c r="O742" s="2"/>
      <c r="P742" s="2"/>
      <c r="Q742" s="2" t="s">
        <v>5130</v>
      </c>
      <c r="R742" s="2" t="s">
        <v>5131</v>
      </c>
      <c r="S742" s="2" t="s">
        <v>41</v>
      </c>
      <c r="T742" s="2" t="s">
        <v>41</v>
      </c>
      <c r="U742" s="2" t="s">
        <v>41</v>
      </c>
      <c r="V742" s="2" t="s">
        <v>42</v>
      </c>
      <c r="W742" s="2">
        <v>46.6</v>
      </c>
      <c r="X742" s="2">
        <v>45.9</v>
      </c>
      <c r="Y742" s="2" t="s">
        <v>394</v>
      </c>
      <c r="Z742" s="2" t="s">
        <v>2471</v>
      </c>
      <c r="AA742" s="2">
        <v>-2.9291083499999102</v>
      </c>
      <c r="AB742" s="2">
        <v>0.93194233645496305</v>
      </c>
      <c r="AC742" s="2">
        <v>108062.34245666501</v>
      </c>
      <c r="AD742" s="2">
        <v>166427.35535171599</v>
      </c>
      <c r="AE742" s="2">
        <v>106107.768133427</v>
      </c>
      <c r="AF742" s="2">
        <v>107157.17867931499</v>
      </c>
      <c r="AG742" s="2">
        <v>111236.84878959801</v>
      </c>
      <c r="AH742" s="2">
        <v>100612.89258755</v>
      </c>
      <c r="AI742" s="2">
        <v>116335.46522476101</v>
      </c>
      <c r="AJ742" s="2">
        <v>106923.90132533701</v>
      </c>
      <c r="AK742" s="2">
        <v>168482.554160253</v>
      </c>
      <c r="AL742" s="2">
        <v>154009.645960719</v>
      </c>
      <c r="AM742" s="2">
        <v>178204.75664709101</v>
      </c>
      <c r="AN742" s="2">
        <v>165074.43042842401</v>
      </c>
      <c r="AO742" s="2">
        <v>158804.67048595799</v>
      </c>
      <c r="AP742" s="2">
        <v>173988.074427852</v>
      </c>
    </row>
    <row r="743" spans="1:42" ht="14.5" x14ac:dyDescent="0.35">
      <c r="A743" s="2" t="s">
        <v>5132</v>
      </c>
      <c r="B743" s="2">
        <v>543.18344273448304</v>
      </c>
      <c r="C743" s="2">
        <v>5.0414166666666702</v>
      </c>
      <c r="D743" s="2" t="s">
        <v>34</v>
      </c>
      <c r="E743" s="2" t="s">
        <v>5133</v>
      </c>
      <c r="F743" s="2">
        <v>63779</v>
      </c>
      <c r="G743" s="3" t="str">
        <f>HYPERLINK("http://funmeta.oebiotech.com/network/63779", "http://funmeta.oebiotech.com/network/63779")</f>
        <v>http://funmeta.oebiotech.com/network/63779</v>
      </c>
      <c r="H743" s="2" t="s">
        <v>5134</v>
      </c>
      <c r="I743" s="2">
        <v>95114</v>
      </c>
      <c r="J743" s="2"/>
      <c r="K743" s="2"/>
      <c r="L743" s="2"/>
      <c r="M743" s="2"/>
      <c r="N743" s="2"/>
      <c r="O743" s="2">
        <v>131752879</v>
      </c>
      <c r="P743" s="2" t="s">
        <v>5135</v>
      </c>
      <c r="Q743" s="2" t="s">
        <v>5136</v>
      </c>
      <c r="R743" s="2" t="s">
        <v>5137</v>
      </c>
      <c r="S743" s="2" t="s">
        <v>115</v>
      </c>
      <c r="T743" s="2" t="s">
        <v>1095</v>
      </c>
      <c r="U743" s="2" t="s">
        <v>41</v>
      </c>
      <c r="V743" s="2" t="s">
        <v>59</v>
      </c>
      <c r="W743" s="2">
        <v>38.6</v>
      </c>
      <c r="X743" s="2">
        <v>0</v>
      </c>
      <c r="Y743" s="2" t="s">
        <v>323</v>
      </c>
      <c r="Z743" s="2" t="s">
        <v>1218</v>
      </c>
      <c r="AA743" s="2">
        <v>-0.46095630466236198</v>
      </c>
      <c r="AB743" s="2">
        <v>0.93178392891850204</v>
      </c>
      <c r="AC743" s="2">
        <v>211642.941694051</v>
      </c>
      <c r="AD743" s="2">
        <v>272710.22820305399</v>
      </c>
      <c r="AE743" s="2">
        <v>208165.727688165</v>
      </c>
      <c r="AF743" s="2">
        <v>223111.19348015799</v>
      </c>
      <c r="AG743" s="2">
        <v>213221.78743951299</v>
      </c>
      <c r="AH743" s="2">
        <v>209549.63197441399</v>
      </c>
      <c r="AI743" s="2">
        <v>208302.48017008501</v>
      </c>
      <c r="AJ743" s="2">
        <v>207506.829411971</v>
      </c>
      <c r="AK743" s="2">
        <v>291630.31266496202</v>
      </c>
      <c r="AL743" s="2">
        <v>260043.30810778501</v>
      </c>
      <c r="AM743" s="2">
        <v>284865.61528308003</v>
      </c>
      <c r="AN743" s="2">
        <v>282465.47403674998</v>
      </c>
      <c r="AO743" s="2">
        <v>245891.948444565</v>
      </c>
      <c r="AP743" s="2">
        <v>271364.71068118</v>
      </c>
    </row>
    <row r="744" spans="1:42" ht="14.5" x14ac:dyDescent="0.35">
      <c r="A744" s="2" t="s">
        <v>5138</v>
      </c>
      <c r="B744" s="2">
        <v>641.20846254941102</v>
      </c>
      <c r="C744" s="2">
        <v>4.0429833333333303</v>
      </c>
      <c r="D744" s="2" t="s">
        <v>70</v>
      </c>
      <c r="E744" s="2" t="s">
        <v>5139</v>
      </c>
      <c r="F744" s="2">
        <v>28985</v>
      </c>
      <c r="G744" s="3" t="str">
        <f>HYPERLINK("http://funmeta.oebiotech.com/network/28985", "http://funmeta.oebiotech.com/network/28985")</f>
        <v>http://funmeta.oebiotech.com/network/28985</v>
      </c>
      <c r="H744" s="2"/>
      <c r="I744" s="2"/>
      <c r="J744" s="2" t="s">
        <v>5140</v>
      </c>
      <c r="K744" s="2"/>
      <c r="L744" s="2"/>
      <c r="M744" s="2"/>
      <c r="N744" s="2"/>
      <c r="O744" s="2">
        <v>21636258</v>
      </c>
      <c r="P744" s="2"/>
      <c r="Q744" s="2" t="s">
        <v>5141</v>
      </c>
      <c r="R744" s="2" t="s">
        <v>5142</v>
      </c>
      <c r="S744" s="2" t="s">
        <v>115</v>
      </c>
      <c r="T744" s="2" t="s">
        <v>139</v>
      </c>
      <c r="U744" s="2" t="s">
        <v>140</v>
      </c>
      <c r="V744" s="2" t="s">
        <v>59</v>
      </c>
      <c r="W744" s="2">
        <v>43.4</v>
      </c>
      <c r="X744" s="2">
        <v>24.4</v>
      </c>
      <c r="Y744" s="2" t="s">
        <v>118</v>
      </c>
      <c r="Z744" s="2" t="s">
        <v>5143</v>
      </c>
      <c r="AA744" s="2">
        <v>-0.383282593810786</v>
      </c>
      <c r="AB744" s="2">
        <v>0.93127989626745999</v>
      </c>
      <c r="AC744" s="2">
        <v>138860.34852007899</v>
      </c>
      <c r="AD744" s="2">
        <v>79436.802460442006</v>
      </c>
      <c r="AE744" s="2">
        <v>130803.818870852</v>
      </c>
      <c r="AF744" s="2">
        <v>122653.18856161</v>
      </c>
      <c r="AG744" s="2">
        <v>150025.674859786</v>
      </c>
      <c r="AH744" s="2">
        <v>142155.10879876101</v>
      </c>
      <c r="AI744" s="2">
        <v>133110.71389689899</v>
      </c>
      <c r="AJ744" s="2">
        <v>154413.58613256601</v>
      </c>
      <c r="AK744" s="2">
        <v>72564.756470718305</v>
      </c>
      <c r="AL744" s="2">
        <v>75309.921382232205</v>
      </c>
      <c r="AM744" s="2">
        <v>89948.600427036406</v>
      </c>
      <c r="AN744" s="2">
        <v>74172.887964393594</v>
      </c>
      <c r="AO744" s="2">
        <v>81438.083274037606</v>
      </c>
      <c r="AP744" s="2">
        <v>83186.565244233905</v>
      </c>
    </row>
    <row r="745" spans="1:42" ht="14.5" x14ac:dyDescent="0.35">
      <c r="A745" s="2" t="s">
        <v>5144</v>
      </c>
      <c r="B745" s="2">
        <v>524.30019430643199</v>
      </c>
      <c r="C745" s="2">
        <v>6.3200166666666702</v>
      </c>
      <c r="D745" s="2" t="s">
        <v>34</v>
      </c>
      <c r="E745" s="2" t="s">
        <v>5145</v>
      </c>
      <c r="F745" s="2">
        <v>34560</v>
      </c>
      <c r="G745" s="3" t="str">
        <f>HYPERLINK("http://funmeta.oebiotech.com/network/34560", "http://funmeta.oebiotech.com/network/34560")</f>
        <v>http://funmeta.oebiotech.com/network/34560</v>
      </c>
      <c r="H745" s="2"/>
      <c r="I745" s="2">
        <v>52868</v>
      </c>
      <c r="J745" s="2" t="s">
        <v>5146</v>
      </c>
      <c r="K745" s="2"/>
      <c r="L745" s="2"/>
      <c r="M745" s="2"/>
      <c r="N745" s="2"/>
      <c r="O745" s="2">
        <v>42607986</v>
      </c>
      <c r="P745" s="2"/>
      <c r="Q745" s="2" t="s">
        <v>5147</v>
      </c>
      <c r="R745" s="2" t="s">
        <v>5148</v>
      </c>
      <c r="S745" s="2" t="s">
        <v>115</v>
      </c>
      <c r="T745" s="2" t="s">
        <v>139</v>
      </c>
      <c r="U745" s="2" t="s">
        <v>1437</v>
      </c>
      <c r="V745" s="2" t="s">
        <v>42</v>
      </c>
      <c r="W745" s="2">
        <v>49.2</v>
      </c>
      <c r="X745" s="2">
        <v>54.3</v>
      </c>
      <c r="Y745" s="2" t="s">
        <v>43</v>
      </c>
      <c r="Z745" s="2" t="s">
        <v>5149</v>
      </c>
      <c r="AA745" s="2">
        <v>-0.92867940862124199</v>
      </c>
      <c r="AB745" s="2">
        <v>0.93088395648450695</v>
      </c>
      <c r="AC745" s="2">
        <v>175467.97608706501</v>
      </c>
      <c r="AD745" s="2">
        <v>117760.106607772</v>
      </c>
      <c r="AE745" s="2">
        <v>166017.00967045999</v>
      </c>
      <c r="AF745" s="2">
        <v>181416.98866025</v>
      </c>
      <c r="AG745" s="2">
        <v>183569.26708285301</v>
      </c>
      <c r="AH745" s="2">
        <v>176757.083075036</v>
      </c>
      <c r="AI745" s="2">
        <v>175100.38032686</v>
      </c>
      <c r="AJ745" s="2">
        <v>169947.127706931</v>
      </c>
      <c r="AK745" s="2">
        <v>114503.785654853</v>
      </c>
      <c r="AL745" s="2">
        <v>126292.103683547</v>
      </c>
      <c r="AM745" s="2">
        <v>118135.929249979</v>
      </c>
      <c r="AN745" s="2">
        <v>112833.287526995</v>
      </c>
      <c r="AO745" s="2">
        <v>117437.23301770601</v>
      </c>
      <c r="AP745" s="2">
        <v>117358.300513553</v>
      </c>
    </row>
    <row r="746" spans="1:42" ht="14.5" x14ac:dyDescent="0.35">
      <c r="A746" s="2" t="s">
        <v>5150</v>
      </c>
      <c r="B746" s="2">
        <v>611.30710427844599</v>
      </c>
      <c r="C746" s="2">
        <v>7.8744333333333296</v>
      </c>
      <c r="D746" s="2" t="s">
        <v>70</v>
      </c>
      <c r="E746" s="2" t="s">
        <v>5151</v>
      </c>
      <c r="F746" s="2">
        <v>35971</v>
      </c>
      <c r="G746" s="3" t="str">
        <f>HYPERLINK("http://funmeta.oebiotech.com/network/35971", "http://funmeta.oebiotech.com/network/35971")</f>
        <v>http://funmeta.oebiotech.com/network/35971</v>
      </c>
      <c r="H746" s="2"/>
      <c r="I746" s="2"/>
      <c r="J746" s="2" t="s">
        <v>5152</v>
      </c>
      <c r="K746" s="2"/>
      <c r="L746" s="2"/>
      <c r="M746" s="2"/>
      <c r="N746" s="2"/>
      <c r="O746" s="2"/>
      <c r="P746" s="2"/>
      <c r="Q746" s="2" t="s">
        <v>5153</v>
      </c>
      <c r="R746" s="2" t="s">
        <v>5154</v>
      </c>
      <c r="S746" s="2" t="s">
        <v>50</v>
      </c>
      <c r="T746" s="2" t="s">
        <v>201</v>
      </c>
      <c r="U746" s="2" t="s">
        <v>202</v>
      </c>
      <c r="V746" s="2" t="s">
        <v>42</v>
      </c>
      <c r="W746" s="2">
        <v>49.2</v>
      </c>
      <c r="X746" s="2">
        <v>48.4</v>
      </c>
      <c r="Y746" s="2" t="s">
        <v>408</v>
      </c>
      <c r="Z746" s="2" t="s">
        <v>5155</v>
      </c>
      <c r="AA746" s="2">
        <v>-0.34656404932962798</v>
      </c>
      <c r="AB746" s="2">
        <v>0.93055736595990601</v>
      </c>
      <c r="AC746" s="2">
        <v>84172.424751001701</v>
      </c>
      <c r="AD746" s="2">
        <v>27084.717768663999</v>
      </c>
      <c r="AE746" s="2">
        <v>85872.252699728997</v>
      </c>
      <c r="AF746" s="2">
        <v>79271.098979608898</v>
      </c>
      <c r="AG746" s="2">
        <v>82777.466339173305</v>
      </c>
      <c r="AH746" s="2">
        <v>89063.574918960294</v>
      </c>
      <c r="AI746" s="2">
        <v>80673.428455563306</v>
      </c>
      <c r="AJ746" s="2">
        <v>87376.727112975495</v>
      </c>
      <c r="AK746" s="2">
        <v>28774.086563779001</v>
      </c>
      <c r="AL746" s="2">
        <v>30119.465488070498</v>
      </c>
      <c r="AM746" s="2">
        <v>26887.999228172801</v>
      </c>
      <c r="AN746" s="2">
        <v>25569.2674965884</v>
      </c>
      <c r="AO746" s="2">
        <v>28022.5989466338</v>
      </c>
      <c r="AP746" s="2">
        <v>23134.888888739799</v>
      </c>
    </row>
    <row r="747" spans="1:42" ht="14.5" x14ac:dyDescent="0.35">
      <c r="A747" s="2" t="s">
        <v>5156</v>
      </c>
      <c r="B747" s="2">
        <v>301.14086433609799</v>
      </c>
      <c r="C747" s="2">
        <v>3.2354333333333298</v>
      </c>
      <c r="D747" s="2" t="s">
        <v>34</v>
      </c>
      <c r="E747" s="2" t="s">
        <v>5157</v>
      </c>
      <c r="F747" s="2">
        <v>52230</v>
      </c>
      <c r="G747" s="3" t="str">
        <f>HYPERLINK("http://funmeta.oebiotech.com/network/52230", "http://funmeta.oebiotech.com/network/52230")</f>
        <v>http://funmeta.oebiotech.com/network/52230</v>
      </c>
      <c r="H747" s="2" t="s">
        <v>5158</v>
      </c>
      <c r="I747" s="2">
        <v>44802</v>
      </c>
      <c r="J747" s="2"/>
      <c r="K747" s="2">
        <v>17243</v>
      </c>
      <c r="L747" s="2" t="s">
        <v>5159</v>
      </c>
      <c r="M747" s="2"/>
      <c r="N747" s="2"/>
      <c r="O747" s="2">
        <v>20393</v>
      </c>
      <c r="P747" s="2" t="s">
        <v>5160</v>
      </c>
      <c r="Q747" s="2" t="s">
        <v>5161</v>
      </c>
      <c r="R747" s="2" t="s">
        <v>5162</v>
      </c>
      <c r="S747" s="2" t="s">
        <v>148</v>
      </c>
      <c r="T747" s="2" t="s">
        <v>149</v>
      </c>
      <c r="U747" s="2" t="s">
        <v>1593</v>
      </c>
      <c r="V747" s="2" t="s">
        <v>59</v>
      </c>
      <c r="W747" s="2">
        <v>39.4</v>
      </c>
      <c r="X747" s="2">
        <v>1.08</v>
      </c>
      <c r="Y747" s="2" t="s">
        <v>323</v>
      </c>
      <c r="Z747" s="2" t="s">
        <v>4837</v>
      </c>
      <c r="AA747" s="2">
        <v>-0.59509834786081495</v>
      </c>
      <c r="AB747" s="2">
        <v>0.92916393069613201</v>
      </c>
      <c r="AC747" s="2">
        <v>897656.440043248</v>
      </c>
      <c r="AD747" s="2">
        <v>983155.79200930102</v>
      </c>
      <c r="AE747" s="2">
        <v>890436.05303598603</v>
      </c>
      <c r="AF747" s="2">
        <v>924423.71114829101</v>
      </c>
      <c r="AG747" s="2">
        <v>928804.89356375905</v>
      </c>
      <c r="AH747" s="2">
        <v>896075.62109623</v>
      </c>
      <c r="AI747" s="2">
        <v>891039.05878376297</v>
      </c>
      <c r="AJ747" s="2">
        <v>855159.30263146095</v>
      </c>
      <c r="AK747" s="2">
        <v>1054042.8713640899</v>
      </c>
      <c r="AL747" s="2">
        <v>1028839.13267104</v>
      </c>
      <c r="AM747" s="2">
        <v>925795.66357095703</v>
      </c>
      <c r="AN747" s="2">
        <v>951695.96852946805</v>
      </c>
      <c r="AO747" s="2">
        <v>1046180.05033916</v>
      </c>
      <c r="AP747" s="2">
        <v>892381.06558109098</v>
      </c>
    </row>
    <row r="748" spans="1:42" ht="14.5" x14ac:dyDescent="0.35">
      <c r="A748" s="2" t="s">
        <v>5163</v>
      </c>
      <c r="B748" s="2">
        <v>287.05455795358301</v>
      </c>
      <c r="C748" s="2">
        <v>4.8018000000000001</v>
      </c>
      <c r="D748" s="2" t="s">
        <v>34</v>
      </c>
      <c r="E748" s="2" t="s">
        <v>5164</v>
      </c>
      <c r="F748" s="2">
        <v>30096</v>
      </c>
      <c r="G748" s="3" t="str">
        <f>HYPERLINK("http://funmeta.oebiotech.com/network/30096", "http://funmeta.oebiotech.com/network/30096")</f>
        <v>http://funmeta.oebiotech.com/network/30096</v>
      </c>
      <c r="H748" s="2" t="s">
        <v>5165</v>
      </c>
      <c r="I748" s="2">
        <v>3410</v>
      </c>
      <c r="J748" s="2" t="s">
        <v>5166</v>
      </c>
      <c r="K748" s="2">
        <v>28499</v>
      </c>
      <c r="L748" s="2" t="s">
        <v>5167</v>
      </c>
      <c r="M748" s="2" t="s">
        <v>5168</v>
      </c>
      <c r="N748" s="2" t="s">
        <v>5169</v>
      </c>
      <c r="O748" s="2">
        <v>5280863</v>
      </c>
      <c r="P748" s="2" t="s">
        <v>5170</v>
      </c>
      <c r="Q748" s="2" t="s">
        <v>5171</v>
      </c>
      <c r="R748" s="2" t="s">
        <v>5172</v>
      </c>
      <c r="S748" s="2" t="s">
        <v>115</v>
      </c>
      <c r="T748" s="2" t="s">
        <v>139</v>
      </c>
      <c r="U748" s="2" t="s">
        <v>1806</v>
      </c>
      <c r="V748" s="2" t="s">
        <v>59</v>
      </c>
      <c r="W748" s="2">
        <v>40.299999999999997</v>
      </c>
      <c r="X748" s="2">
        <v>6.39</v>
      </c>
      <c r="Y748" s="2" t="s">
        <v>394</v>
      </c>
      <c r="Z748" s="2" t="s">
        <v>5173</v>
      </c>
      <c r="AA748" s="2">
        <v>-1.59594506918182</v>
      </c>
      <c r="AB748" s="2">
        <v>0.92809856770588905</v>
      </c>
      <c r="AC748" s="2">
        <v>245679.49001509801</v>
      </c>
      <c r="AD748" s="2">
        <v>186333.202214577</v>
      </c>
      <c r="AE748" s="2">
        <v>245573.90070352101</v>
      </c>
      <c r="AF748" s="2">
        <v>244286.77092936999</v>
      </c>
      <c r="AG748" s="2">
        <v>227476.957202702</v>
      </c>
      <c r="AH748" s="2">
        <v>237623.55200694301</v>
      </c>
      <c r="AI748" s="2">
        <v>250184.00234634901</v>
      </c>
      <c r="AJ748" s="2">
        <v>268931.75690170203</v>
      </c>
      <c r="AK748" s="2">
        <v>187613.686742463</v>
      </c>
      <c r="AL748" s="2">
        <v>183792.68928115399</v>
      </c>
      <c r="AM748" s="2">
        <v>189464.15215392099</v>
      </c>
      <c r="AN748" s="2">
        <v>179636.75649383399</v>
      </c>
      <c r="AO748" s="2">
        <v>186697.10526261199</v>
      </c>
      <c r="AP748" s="2">
        <v>190794.82335347901</v>
      </c>
    </row>
    <row r="749" spans="1:42" ht="14.5" x14ac:dyDescent="0.35">
      <c r="A749" s="2" t="s">
        <v>5174</v>
      </c>
      <c r="B749" s="2">
        <v>303.23152841362401</v>
      </c>
      <c r="C749" s="2">
        <v>5.3342833333333299</v>
      </c>
      <c r="D749" s="2" t="s">
        <v>34</v>
      </c>
      <c r="E749" s="2" t="s">
        <v>5175</v>
      </c>
      <c r="F749" s="2">
        <v>3968</v>
      </c>
      <c r="G749" s="3" t="str">
        <f>HYPERLINK("http://funmeta.oebiotech.com/network/3968", "http://funmeta.oebiotech.com/network/3968")</f>
        <v>http://funmeta.oebiotech.com/network/3968</v>
      </c>
      <c r="H749" s="2" t="s">
        <v>5176</v>
      </c>
      <c r="I749" s="2">
        <v>3843</v>
      </c>
      <c r="J749" s="2" t="s">
        <v>5177</v>
      </c>
      <c r="K749" s="2">
        <v>34306</v>
      </c>
      <c r="L749" s="2" t="s">
        <v>5178</v>
      </c>
      <c r="M749" s="2" t="s">
        <v>5179</v>
      </c>
      <c r="N749" s="2" t="s">
        <v>5180</v>
      </c>
      <c r="O749" s="2">
        <v>5283157</v>
      </c>
      <c r="P749" s="2" t="s">
        <v>5181</v>
      </c>
      <c r="Q749" s="2" t="s">
        <v>5182</v>
      </c>
      <c r="R749" s="2" t="s">
        <v>5183</v>
      </c>
      <c r="S749" s="2" t="s">
        <v>50</v>
      </c>
      <c r="T749" s="2" t="s">
        <v>229</v>
      </c>
      <c r="U749" s="2" t="s">
        <v>433</v>
      </c>
      <c r="V749" s="2" t="s">
        <v>42</v>
      </c>
      <c r="W749" s="2">
        <v>55.8</v>
      </c>
      <c r="X749" s="2">
        <v>84</v>
      </c>
      <c r="Y749" s="2" t="s">
        <v>141</v>
      </c>
      <c r="Z749" s="2" t="s">
        <v>5184</v>
      </c>
      <c r="AA749" s="2">
        <v>-1.0249383957482801</v>
      </c>
      <c r="AB749" s="2">
        <v>0.92743043146997695</v>
      </c>
      <c r="AC749" s="2">
        <v>689360.672198341</v>
      </c>
      <c r="AD749" s="2">
        <v>626331.96409738495</v>
      </c>
      <c r="AE749" s="2">
        <v>697245.46117090003</v>
      </c>
      <c r="AF749" s="2">
        <v>681797.62972927606</v>
      </c>
      <c r="AG749" s="2">
        <v>698356.05301860801</v>
      </c>
      <c r="AH749" s="2">
        <v>669942.224926478</v>
      </c>
      <c r="AI749" s="2">
        <v>682548.03475758003</v>
      </c>
      <c r="AJ749" s="2">
        <v>706274.62958720606</v>
      </c>
      <c r="AK749" s="2">
        <v>607352.86527244805</v>
      </c>
      <c r="AL749" s="2">
        <v>649841.85634108097</v>
      </c>
      <c r="AM749" s="2">
        <v>654212.04522770201</v>
      </c>
      <c r="AN749" s="2">
        <v>621277.96895838797</v>
      </c>
      <c r="AO749" s="2">
        <v>609467.64095446805</v>
      </c>
      <c r="AP749" s="2">
        <v>615839.40783022495</v>
      </c>
    </row>
    <row r="750" spans="1:42" ht="14.5" x14ac:dyDescent="0.35">
      <c r="A750" s="2" t="s">
        <v>5185</v>
      </c>
      <c r="B750" s="2">
        <v>371.16738209604</v>
      </c>
      <c r="C750" s="2">
        <v>4.1410833333333299</v>
      </c>
      <c r="D750" s="2" t="s">
        <v>34</v>
      </c>
      <c r="E750" s="2" t="s">
        <v>5186</v>
      </c>
      <c r="F750" s="2">
        <v>204294</v>
      </c>
      <c r="G750" s="3" t="str">
        <f>HYPERLINK("http://funmeta.oebiotech.com/network/204294", "http://funmeta.oebiotech.com/network/204294")</f>
        <v>http://funmeta.oebiotech.com/network/204294</v>
      </c>
      <c r="H750" s="2" t="s">
        <v>5187</v>
      </c>
      <c r="I750" s="2"/>
      <c r="J750" s="2"/>
      <c r="K750" s="2">
        <v>91549</v>
      </c>
      <c r="L750" s="2"/>
      <c r="M750" s="2"/>
      <c r="N750" s="2"/>
      <c r="O750" s="2">
        <v>108046</v>
      </c>
      <c r="P750" s="2"/>
      <c r="Q750" s="2" t="s">
        <v>5188</v>
      </c>
      <c r="R750" s="2" t="s">
        <v>5189</v>
      </c>
      <c r="S750" s="2" t="s">
        <v>491</v>
      </c>
      <c r="T750" s="2" t="s">
        <v>5190</v>
      </c>
      <c r="U750" s="2" t="s">
        <v>5191</v>
      </c>
      <c r="V750" s="2" t="s">
        <v>59</v>
      </c>
      <c r="W750" s="2">
        <v>39.4</v>
      </c>
      <c r="X750" s="2">
        <v>4.83</v>
      </c>
      <c r="Y750" s="2" t="s">
        <v>5192</v>
      </c>
      <c r="Z750" s="2" t="s">
        <v>5193</v>
      </c>
      <c r="AA750" s="2">
        <v>-0.94931646613596599</v>
      </c>
      <c r="AB750" s="2">
        <v>0.92718548075504403</v>
      </c>
      <c r="AC750" s="2">
        <v>500406.04490786197</v>
      </c>
      <c r="AD750" s="2">
        <v>565651.41284393996</v>
      </c>
      <c r="AE750" s="2">
        <v>489146.20077720599</v>
      </c>
      <c r="AF750" s="2">
        <v>491470.24528868101</v>
      </c>
      <c r="AG750" s="2">
        <v>537338.37384212401</v>
      </c>
      <c r="AH750" s="2">
        <v>461736.45549337001</v>
      </c>
      <c r="AI750" s="2">
        <v>505615.43194486498</v>
      </c>
      <c r="AJ750" s="2">
        <v>517129.56210092298</v>
      </c>
      <c r="AK750" s="2">
        <v>574505.79792421299</v>
      </c>
      <c r="AL750" s="2">
        <v>586522.28699398797</v>
      </c>
      <c r="AM750" s="2">
        <v>550014.16982379905</v>
      </c>
      <c r="AN750" s="2">
        <v>564017.76458893402</v>
      </c>
      <c r="AO750" s="2">
        <v>559095.01662900497</v>
      </c>
      <c r="AP750" s="2">
        <v>559753.44110370195</v>
      </c>
    </row>
    <row r="751" spans="1:42" ht="14.5" x14ac:dyDescent="0.35">
      <c r="A751" s="2" t="s">
        <v>5194</v>
      </c>
      <c r="B751" s="2">
        <v>271.13233355078103</v>
      </c>
      <c r="C751" s="2">
        <v>6.5547666666666702</v>
      </c>
      <c r="D751" s="2" t="s">
        <v>34</v>
      </c>
      <c r="E751" s="2" t="s">
        <v>5195</v>
      </c>
      <c r="F751" s="2">
        <v>34101</v>
      </c>
      <c r="G751" s="3" t="str">
        <f>HYPERLINK("http://funmeta.oebiotech.com/network/34101", "http://funmeta.oebiotech.com/network/34101")</f>
        <v>http://funmeta.oebiotech.com/network/34101</v>
      </c>
      <c r="H751" s="2"/>
      <c r="I751" s="2">
        <v>52413</v>
      </c>
      <c r="J751" s="2" t="s">
        <v>5196</v>
      </c>
      <c r="K751" s="2"/>
      <c r="L751" s="2"/>
      <c r="M751" s="2"/>
      <c r="N751" s="2"/>
      <c r="O751" s="2">
        <v>15747331</v>
      </c>
      <c r="P751" s="2"/>
      <c r="Q751" s="2" t="s">
        <v>5197</v>
      </c>
      <c r="R751" s="2" t="s">
        <v>5198</v>
      </c>
      <c r="S751" s="2" t="s">
        <v>148</v>
      </c>
      <c r="T751" s="2" t="s">
        <v>149</v>
      </c>
      <c r="U751" s="2" t="s">
        <v>41</v>
      </c>
      <c r="V751" s="2" t="s">
        <v>59</v>
      </c>
      <c r="W751" s="2">
        <v>44.1</v>
      </c>
      <c r="X751" s="2">
        <v>31.5</v>
      </c>
      <c r="Y751" s="2" t="s">
        <v>266</v>
      </c>
      <c r="Z751" s="2" t="s">
        <v>5199</v>
      </c>
      <c r="AA751" s="2">
        <v>-1.98913827497909</v>
      </c>
      <c r="AB751" s="2">
        <v>0.92685835829113405</v>
      </c>
      <c r="AC751" s="2">
        <v>155742.006687399</v>
      </c>
      <c r="AD751" s="2">
        <v>98705.202823167303</v>
      </c>
      <c r="AE751" s="2">
        <v>157946.70298685701</v>
      </c>
      <c r="AF751" s="2">
        <v>160759.92043860399</v>
      </c>
      <c r="AG751" s="2">
        <v>157834.83727325301</v>
      </c>
      <c r="AH751" s="2">
        <v>154611.39817076499</v>
      </c>
      <c r="AI751" s="2">
        <v>152231.24346727101</v>
      </c>
      <c r="AJ751" s="2">
        <v>151067.93778764299</v>
      </c>
      <c r="AK751" s="2">
        <v>92414.750147767496</v>
      </c>
      <c r="AL751" s="2">
        <v>108122.36903799701</v>
      </c>
      <c r="AM751" s="2">
        <v>104917.45580448001</v>
      </c>
      <c r="AN751" s="2">
        <v>96422.136524517395</v>
      </c>
      <c r="AO751" s="2">
        <v>95683.952964763506</v>
      </c>
      <c r="AP751" s="2">
        <v>94670.552459478204</v>
      </c>
    </row>
    <row r="752" spans="1:42" ht="14.5" x14ac:dyDescent="0.35">
      <c r="A752" s="2" t="s">
        <v>5200</v>
      </c>
      <c r="B752" s="2">
        <v>488.16133515771799</v>
      </c>
      <c r="C752" s="2">
        <v>0.72340000000000004</v>
      </c>
      <c r="D752" s="2" t="s">
        <v>70</v>
      </c>
      <c r="E752" s="2" t="s">
        <v>5201</v>
      </c>
      <c r="F752" s="2">
        <v>210222</v>
      </c>
      <c r="G752" s="3" t="str">
        <f>HYPERLINK("http://funmeta.oebiotech.com/network/210222", "http://funmeta.oebiotech.com/network/210222")</f>
        <v>http://funmeta.oebiotech.com/network/210222</v>
      </c>
      <c r="H752" s="2" t="s">
        <v>5202</v>
      </c>
      <c r="I752" s="2"/>
      <c r="J752" s="2"/>
      <c r="K752" s="2">
        <v>93776</v>
      </c>
      <c r="L752" s="2"/>
      <c r="M752" s="2"/>
      <c r="N752" s="2"/>
      <c r="O752" s="2">
        <v>49831043</v>
      </c>
      <c r="P752" s="2"/>
      <c r="Q752" s="2" t="s">
        <v>5203</v>
      </c>
      <c r="R752" s="2" t="s">
        <v>5204</v>
      </c>
      <c r="S752" s="2" t="s">
        <v>148</v>
      </c>
      <c r="T752" s="2" t="s">
        <v>5205</v>
      </c>
      <c r="U752" s="2" t="s">
        <v>41</v>
      </c>
      <c r="V752" s="2" t="s">
        <v>59</v>
      </c>
      <c r="W752" s="2">
        <v>37.1</v>
      </c>
      <c r="X752" s="2">
        <v>0</v>
      </c>
      <c r="Y752" s="2" t="s">
        <v>408</v>
      </c>
      <c r="Z752" s="2" t="s">
        <v>5206</v>
      </c>
      <c r="AA752" s="2">
        <v>0.91836182297048197</v>
      </c>
      <c r="AB752" s="2">
        <v>0.92277704075425904</v>
      </c>
      <c r="AC752" s="2">
        <v>626682.83033399004</v>
      </c>
      <c r="AD752" s="2">
        <v>521267.5077813</v>
      </c>
      <c r="AE752" s="2">
        <v>475042.12295848801</v>
      </c>
      <c r="AF752" s="2">
        <v>740889.048132592</v>
      </c>
      <c r="AG752" s="2">
        <v>586433.76165759098</v>
      </c>
      <c r="AH752" s="2">
        <v>674371.55173607299</v>
      </c>
      <c r="AI752" s="2">
        <v>625062.24460305704</v>
      </c>
      <c r="AJ752" s="2">
        <v>658298.25291613804</v>
      </c>
      <c r="AK752" s="2">
        <v>647888.84436599398</v>
      </c>
      <c r="AL752" s="2">
        <v>500515.61556864198</v>
      </c>
      <c r="AM752" s="2">
        <v>408955.72537369502</v>
      </c>
      <c r="AN752" s="2">
        <v>547985.38347146695</v>
      </c>
      <c r="AO752" s="2">
        <v>595816.84554398805</v>
      </c>
      <c r="AP752" s="2">
        <v>426442.63236401201</v>
      </c>
    </row>
    <row r="753" spans="1:42" ht="14.5" x14ac:dyDescent="0.35">
      <c r="A753" s="2" t="s">
        <v>5207</v>
      </c>
      <c r="B753" s="2">
        <v>539.24947859487804</v>
      </c>
      <c r="C753" s="2">
        <v>5.8043833333333303</v>
      </c>
      <c r="D753" s="2" t="s">
        <v>70</v>
      </c>
      <c r="E753" s="2" t="s">
        <v>5208</v>
      </c>
      <c r="F753" s="2">
        <v>199285</v>
      </c>
      <c r="G753" s="3" t="str">
        <f>HYPERLINK("http://funmeta.oebiotech.com/network/199285", "http://funmeta.oebiotech.com/network/199285")</f>
        <v>http://funmeta.oebiotech.com/network/199285</v>
      </c>
      <c r="H753" s="2" t="s">
        <v>5209</v>
      </c>
      <c r="I753" s="2"/>
      <c r="J753" s="2"/>
      <c r="K753" s="2"/>
      <c r="L753" s="2"/>
      <c r="M753" s="2"/>
      <c r="N753" s="2"/>
      <c r="O753" s="2">
        <v>73219405</v>
      </c>
      <c r="P753" s="2"/>
      <c r="Q753" s="2" t="s">
        <v>5210</v>
      </c>
      <c r="R753" s="2" t="s">
        <v>5211</v>
      </c>
      <c r="S753" s="2" t="s">
        <v>89</v>
      </c>
      <c r="T753" s="2" t="s">
        <v>90</v>
      </c>
      <c r="U753" s="2" t="s">
        <v>99</v>
      </c>
      <c r="V753" s="2" t="s">
        <v>42</v>
      </c>
      <c r="W753" s="2">
        <v>48</v>
      </c>
      <c r="X753" s="2">
        <v>50.8</v>
      </c>
      <c r="Y753" s="2" t="s">
        <v>408</v>
      </c>
      <c r="Z753" s="2" t="s">
        <v>5212</v>
      </c>
      <c r="AA753" s="2">
        <v>-3.3272084690057602</v>
      </c>
      <c r="AB753" s="2">
        <v>0.92043630917414998</v>
      </c>
      <c r="AC753" s="2">
        <v>506091.13096352899</v>
      </c>
      <c r="AD753" s="2">
        <v>445572.25014826702</v>
      </c>
      <c r="AE753" s="2">
        <v>515689.290524479</v>
      </c>
      <c r="AF753" s="2">
        <v>478583.21832251298</v>
      </c>
      <c r="AG753" s="2">
        <v>515174.35733459803</v>
      </c>
      <c r="AH753" s="2">
        <v>492824.25461251498</v>
      </c>
      <c r="AI753" s="2">
        <v>512841.10115928802</v>
      </c>
      <c r="AJ753" s="2">
        <v>521434.56382778002</v>
      </c>
      <c r="AK753" s="2">
        <v>429748.54331345001</v>
      </c>
      <c r="AL753" s="2">
        <v>457773.33251744497</v>
      </c>
      <c r="AM753" s="2">
        <v>455108.86163888098</v>
      </c>
      <c r="AN753" s="2">
        <v>441122.79722335102</v>
      </c>
      <c r="AO753" s="2">
        <v>451568.28866954398</v>
      </c>
      <c r="AP753" s="2">
        <v>438111.67752693099</v>
      </c>
    </row>
    <row r="754" spans="1:42" ht="14.5" x14ac:dyDescent="0.35">
      <c r="A754" s="2" t="s">
        <v>5213</v>
      </c>
      <c r="B754" s="2">
        <v>239.076573300935</v>
      </c>
      <c r="C754" s="2">
        <v>0.73909999999999998</v>
      </c>
      <c r="D754" s="2" t="s">
        <v>70</v>
      </c>
      <c r="E754" s="2" t="s">
        <v>5214</v>
      </c>
      <c r="F754" s="2">
        <v>54818</v>
      </c>
      <c r="G754" s="3" t="str">
        <f>HYPERLINK("http://funmeta.oebiotech.com/network/54818", "http://funmeta.oebiotech.com/network/54818")</f>
        <v>http://funmeta.oebiotech.com/network/54818</v>
      </c>
      <c r="H754" s="2" t="s">
        <v>5215</v>
      </c>
      <c r="I754" s="2"/>
      <c r="J754" s="2"/>
      <c r="K754" s="2">
        <v>174239</v>
      </c>
      <c r="L754" s="2"/>
      <c r="M754" s="2"/>
      <c r="N754" s="2"/>
      <c r="O754" s="2">
        <v>18618152</v>
      </c>
      <c r="P754" s="2"/>
      <c r="Q754" s="2" t="s">
        <v>5216</v>
      </c>
      <c r="R754" s="2" t="s">
        <v>5217</v>
      </c>
      <c r="S754" s="2" t="s">
        <v>79</v>
      </c>
      <c r="T754" s="2" t="s">
        <v>80</v>
      </c>
      <c r="U754" s="2" t="s">
        <v>81</v>
      </c>
      <c r="V754" s="2" t="s">
        <v>42</v>
      </c>
      <c r="W754" s="2">
        <v>50.7</v>
      </c>
      <c r="X754" s="2">
        <v>59.8</v>
      </c>
      <c r="Y754" s="2" t="s">
        <v>118</v>
      </c>
      <c r="Z754" s="2" t="s">
        <v>5218</v>
      </c>
      <c r="AA754" s="2">
        <v>-2.7812566685813098</v>
      </c>
      <c r="AB754" s="2">
        <v>0.91809445895938802</v>
      </c>
      <c r="AC754" s="2">
        <v>2678614.8275678498</v>
      </c>
      <c r="AD754" s="2">
        <v>2787645.71442112</v>
      </c>
      <c r="AE754" s="2">
        <v>2586486.8171260101</v>
      </c>
      <c r="AF754" s="2">
        <v>2740125.0173486401</v>
      </c>
      <c r="AG754" s="2">
        <v>2603092.2405443299</v>
      </c>
      <c r="AH754" s="2">
        <v>2678938.7259775698</v>
      </c>
      <c r="AI754" s="2">
        <v>2787457.4238785598</v>
      </c>
      <c r="AJ754" s="2">
        <v>2675588.74053196</v>
      </c>
      <c r="AK754" s="2">
        <v>2832811.82856926</v>
      </c>
      <c r="AL754" s="2">
        <v>2996686.66944054</v>
      </c>
      <c r="AM754" s="2">
        <v>2788581.19487361</v>
      </c>
      <c r="AN754" s="2">
        <v>2721079.8003850598</v>
      </c>
      <c r="AO754" s="2">
        <v>2748826.5146558699</v>
      </c>
      <c r="AP754" s="2">
        <v>2637888.2786023701</v>
      </c>
    </row>
    <row r="755" spans="1:42" ht="14.5" x14ac:dyDescent="0.35">
      <c r="A755" s="2" t="s">
        <v>5219</v>
      </c>
      <c r="B755" s="2">
        <v>489.35446978974699</v>
      </c>
      <c r="C755" s="2">
        <v>12.0614166666667</v>
      </c>
      <c r="D755" s="2" t="s">
        <v>34</v>
      </c>
      <c r="E755" s="2" t="s">
        <v>5220</v>
      </c>
      <c r="F755" s="2">
        <v>257055</v>
      </c>
      <c r="G755" s="3" t="str">
        <f>HYPERLINK("http://funmeta.oebiotech.com/network/257055", "http://funmeta.oebiotech.com/network/257055")</f>
        <v>http://funmeta.oebiotech.com/network/257055</v>
      </c>
      <c r="H755" s="2" t="s">
        <v>5221</v>
      </c>
      <c r="I755" s="2"/>
      <c r="J755" s="2"/>
      <c r="K755" s="2"/>
      <c r="L755" s="2"/>
      <c r="M755" s="2"/>
      <c r="N755" s="2"/>
      <c r="O755" s="2">
        <v>73197911</v>
      </c>
      <c r="P755" s="2"/>
      <c r="Q755" s="2" t="s">
        <v>5222</v>
      </c>
      <c r="R755" s="2" t="s">
        <v>5223</v>
      </c>
      <c r="S755" s="2" t="s">
        <v>50</v>
      </c>
      <c r="T755" s="2" t="s">
        <v>124</v>
      </c>
      <c r="U755" s="2" t="s">
        <v>125</v>
      </c>
      <c r="V755" s="2" t="s">
        <v>42</v>
      </c>
      <c r="W755" s="2">
        <v>54.1</v>
      </c>
      <c r="X755" s="2">
        <v>74.599999999999994</v>
      </c>
      <c r="Y755" s="2" t="s">
        <v>1115</v>
      </c>
      <c r="Z755" s="2" t="s">
        <v>5224</v>
      </c>
      <c r="AA755" s="2">
        <v>-1.23420611546023</v>
      </c>
      <c r="AB755" s="2">
        <v>0.91793484454992802</v>
      </c>
      <c r="AC755" s="2">
        <v>636131.20465375006</v>
      </c>
      <c r="AD755" s="2">
        <v>728352.75835248199</v>
      </c>
      <c r="AE755" s="2">
        <v>668368.17328382004</v>
      </c>
      <c r="AF755" s="2">
        <v>634684.10379555298</v>
      </c>
      <c r="AG755" s="2">
        <v>672765.23042640998</v>
      </c>
      <c r="AH755" s="2">
        <v>597223.81370430905</v>
      </c>
      <c r="AI755" s="2">
        <v>616540.41292742803</v>
      </c>
      <c r="AJ755" s="2">
        <v>627205.49378498003</v>
      </c>
      <c r="AK755" s="2">
        <v>909438.36972768803</v>
      </c>
      <c r="AL755" s="2">
        <v>699104.06189955398</v>
      </c>
      <c r="AM755" s="2">
        <v>691185.32108087302</v>
      </c>
      <c r="AN755" s="2">
        <v>682647.43454642</v>
      </c>
      <c r="AO755" s="2">
        <v>685954.44194688206</v>
      </c>
      <c r="AP755" s="2">
        <v>701786.92091347196</v>
      </c>
    </row>
    <row r="756" spans="1:42" ht="14.5" x14ac:dyDescent="0.35">
      <c r="A756" s="2" t="s">
        <v>5225</v>
      </c>
      <c r="B756" s="2">
        <v>347.18465609729998</v>
      </c>
      <c r="C756" s="2">
        <v>7.1174833333333298</v>
      </c>
      <c r="D756" s="2" t="s">
        <v>34</v>
      </c>
      <c r="E756" s="5" t="s">
        <v>5226</v>
      </c>
      <c r="F756" s="2">
        <v>58966</v>
      </c>
      <c r="G756" s="3" t="str">
        <f>HYPERLINK("http://funmeta.oebiotech.com/network/58966", "http://funmeta.oebiotech.com/network/58966")</f>
        <v>http://funmeta.oebiotech.com/network/58966</v>
      </c>
      <c r="H756" s="2" t="s">
        <v>5227</v>
      </c>
      <c r="I756" s="2">
        <v>53645</v>
      </c>
      <c r="J756" s="2"/>
      <c r="K756" s="2">
        <v>29596</v>
      </c>
      <c r="L756" s="2" t="s">
        <v>5228</v>
      </c>
      <c r="M756" s="2"/>
      <c r="N756" s="2"/>
      <c r="O756" s="2">
        <v>14605568</v>
      </c>
      <c r="P756" s="2" t="s">
        <v>5229</v>
      </c>
      <c r="Q756" s="2" t="s">
        <v>5230</v>
      </c>
      <c r="R756" s="2" t="s">
        <v>5231</v>
      </c>
      <c r="S756" s="2" t="s">
        <v>50</v>
      </c>
      <c r="T756" s="2" t="s">
        <v>201</v>
      </c>
      <c r="U756" s="2" t="s">
        <v>241</v>
      </c>
      <c r="V756" s="2" t="s">
        <v>42</v>
      </c>
      <c r="W756" s="2">
        <v>49.9</v>
      </c>
      <c r="X756" s="2">
        <v>62.4</v>
      </c>
      <c r="Y756" s="2" t="s">
        <v>266</v>
      </c>
      <c r="Z756" s="2" t="s">
        <v>5232</v>
      </c>
      <c r="AA756" s="2">
        <v>-1.8610838214543499</v>
      </c>
      <c r="AB756" s="2">
        <v>0.91542390351783798</v>
      </c>
      <c r="AC756" s="2">
        <v>136790.73609101301</v>
      </c>
      <c r="AD756" s="2">
        <v>81328.562819041705</v>
      </c>
      <c r="AE756" s="2">
        <v>140093.837024087</v>
      </c>
      <c r="AF756" s="2">
        <v>136522.631987845</v>
      </c>
      <c r="AG756" s="2">
        <v>136509.24456819001</v>
      </c>
      <c r="AH756" s="2">
        <v>129197.976670827</v>
      </c>
      <c r="AI756" s="2">
        <v>134089.77348899699</v>
      </c>
      <c r="AJ756" s="2">
        <v>144330.95280613401</v>
      </c>
      <c r="AK756" s="2">
        <v>78290.411761455194</v>
      </c>
      <c r="AL756" s="2">
        <v>85449.636131314197</v>
      </c>
      <c r="AM756" s="2">
        <v>80554.703718216304</v>
      </c>
      <c r="AN756" s="2">
        <v>78559.225002783103</v>
      </c>
      <c r="AO756" s="2">
        <v>79761.649007578293</v>
      </c>
      <c r="AP756" s="2">
        <v>85355.751292903398</v>
      </c>
    </row>
    <row r="757" spans="1:42" ht="14.5" x14ac:dyDescent="0.35">
      <c r="A757" s="2" t="s">
        <v>5233</v>
      </c>
      <c r="B757" s="2">
        <v>473.10481370829098</v>
      </c>
      <c r="C757" s="2">
        <v>4.5991</v>
      </c>
      <c r="D757" s="2" t="s">
        <v>34</v>
      </c>
      <c r="E757" s="2" t="s">
        <v>5234</v>
      </c>
      <c r="F757" s="2">
        <v>58017</v>
      </c>
      <c r="G757" s="3" t="str">
        <f>HYPERLINK("http://funmeta.oebiotech.com/network/58017", "http://funmeta.oebiotech.com/network/58017")</f>
        <v>http://funmeta.oebiotech.com/network/58017</v>
      </c>
      <c r="H757" s="2" t="s">
        <v>5235</v>
      </c>
      <c r="I757" s="2">
        <v>71696</v>
      </c>
      <c r="J757" s="2"/>
      <c r="K757" s="2">
        <v>38200</v>
      </c>
      <c r="L757" s="2" t="s">
        <v>5236</v>
      </c>
      <c r="M757" s="2"/>
      <c r="N757" s="2"/>
      <c r="O757" s="2">
        <v>119258</v>
      </c>
      <c r="P757" s="2" t="s">
        <v>5237</v>
      </c>
      <c r="Q757" s="2" t="s">
        <v>5238</v>
      </c>
      <c r="R757" s="2" t="s">
        <v>5239</v>
      </c>
      <c r="S757" s="2" t="s">
        <v>115</v>
      </c>
      <c r="T757" s="2" t="s">
        <v>139</v>
      </c>
      <c r="U757" s="2" t="s">
        <v>140</v>
      </c>
      <c r="V757" s="2" t="s">
        <v>59</v>
      </c>
      <c r="W757" s="2">
        <v>39.799999999999997</v>
      </c>
      <c r="X757" s="2">
        <v>4.6100000000000003</v>
      </c>
      <c r="Y757" s="2" t="s">
        <v>323</v>
      </c>
      <c r="Z757" s="2" t="s">
        <v>2471</v>
      </c>
      <c r="AA757" s="2">
        <v>-1.3740727251251801</v>
      </c>
      <c r="AB757" s="2">
        <v>0.91515328127856199</v>
      </c>
      <c r="AC757" s="2">
        <v>60006.850077615702</v>
      </c>
      <c r="AD757" s="2">
        <v>4688.1193406543998</v>
      </c>
      <c r="AE757" s="2">
        <v>60850.752496894303</v>
      </c>
      <c r="AF757" s="2">
        <v>56415.655324577798</v>
      </c>
      <c r="AG757" s="2">
        <v>62154.223156247303</v>
      </c>
      <c r="AH757" s="2">
        <v>65430.285676428502</v>
      </c>
      <c r="AI757" s="2">
        <v>50610.013177888002</v>
      </c>
      <c r="AJ757" s="2">
        <v>64580.170633658097</v>
      </c>
      <c r="AK757" s="2">
        <v>4374.2766047946498</v>
      </c>
      <c r="AL757" s="2">
        <v>4526.9304938968198</v>
      </c>
      <c r="AM757" s="2">
        <v>3919.7693573759998</v>
      </c>
      <c r="AN757" s="2">
        <v>4662.6279639414997</v>
      </c>
      <c r="AO757" s="2">
        <v>5612.8848138204703</v>
      </c>
      <c r="AP757" s="2">
        <v>5032.2268100969604</v>
      </c>
    </row>
    <row r="758" spans="1:42" ht="14.5" x14ac:dyDescent="0.35">
      <c r="A758" s="2" t="s">
        <v>5240</v>
      </c>
      <c r="B758" s="2">
        <v>385.23697015908198</v>
      </c>
      <c r="C758" s="2">
        <v>10.792766666666701</v>
      </c>
      <c r="D758" s="2" t="s">
        <v>34</v>
      </c>
      <c r="E758" s="2" t="s">
        <v>5241</v>
      </c>
      <c r="F758" s="2">
        <v>43780</v>
      </c>
      <c r="G758" s="3" t="str">
        <f>HYPERLINK("http://funmeta.oebiotech.com/network/43780", "http://funmeta.oebiotech.com/network/43780")</f>
        <v>http://funmeta.oebiotech.com/network/43780</v>
      </c>
      <c r="H758" s="2"/>
      <c r="I758" s="2"/>
      <c r="J758" s="2" t="s">
        <v>5242</v>
      </c>
      <c r="K758" s="2"/>
      <c r="L758" s="2"/>
      <c r="M758" s="2"/>
      <c r="N758" s="2"/>
      <c r="O758" s="2"/>
      <c r="P758" s="2"/>
      <c r="Q758" s="2" t="s">
        <v>5243</v>
      </c>
      <c r="R758" s="2" t="s">
        <v>5244</v>
      </c>
      <c r="S758" s="2" t="s">
        <v>50</v>
      </c>
      <c r="T758" s="2" t="s">
        <v>124</v>
      </c>
      <c r="U758" s="2" t="s">
        <v>5245</v>
      </c>
      <c r="V758" s="2" t="s">
        <v>42</v>
      </c>
      <c r="W758" s="2">
        <v>52.8</v>
      </c>
      <c r="X758" s="2">
        <v>69.7</v>
      </c>
      <c r="Y758" s="2" t="s">
        <v>266</v>
      </c>
      <c r="Z758" s="2" t="s">
        <v>5246</v>
      </c>
      <c r="AA758" s="2">
        <v>-0.90935394386955004</v>
      </c>
      <c r="AB758" s="2">
        <v>0.91495394128316998</v>
      </c>
      <c r="AC758" s="2">
        <v>68665.600370764107</v>
      </c>
      <c r="AD758" s="2">
        <v>13146.555384666201</v>
      </c>
      <c r="AE758" s="2">
        <v>64660.487463432</v>
      </c>
      <c r="AF758" s="2">
        <v>69518.494436257301</v>
      </c>
      <c r="AG758" s="2">
        <v>70572.210553381999</v>
      </c>
      <c r="AH758" s="2">
        <v>67154.681436890707</v>
      </c>
      <c r="AI758" s="2">
        <v>60741.6957607191</v>
      </c>
      <c r="AJ758" s="2">
        <v>79346.032573903503</v>
      </c>
      <c r="AK758" s="2">
        <v>10991.640822301501</v>
      </c>
      <c r="AL758" s="2">
        <v>18744.092213502801</v>
      </c>
      <c r="AM758" s="2">
        <v>10826.4632189726</v>
      </c>
      <c r="AN758" s="2">
        <v>12539.821029598201</v>
      </c>
      <c r="AO758" s="2">
        <v>13500.406284107899</v>
      </c>
      <c r="AP758" s="2">
        <v>12276.908739514</v>
      </c>
    </row>
    <row r="759" spans="1:42" ht="14.5" x14ac:dyDescent="0.35">
      <c r="A759" s="2" t="s">
        <v>5247</v>
      </c>
      <c r="B759" s="2">
        <v>386.36237146254001</v>
      </c>
      <c r="C759" s="2">
        <v>11.4614333333333</v>
      </c>
      <c r="D759" s="2" t="s">
        <v>34</v>
      </c>
      <c r="E759" s="2" t="s">
        <v>5248</v>
      </c>
      <c r="F759" s="2">
        <v>2146</v>
      </c>
      <c r="G759" s="3" t="str">
        <f>HYPERLINK("http://funmeta.oebiotech.com/network/2146", "http://funmeta.oebiotech.com/network/2146")</f>
        <v>http://funmeta.oebiotech.com/network/2146</v>
      </c>
      <c r="H759" s="2"/>
      <c r="I759" s="2">
        <v>74783</v>
      </c>
      <c r="J759" s="2" t="s">
        <v>5249</v>
      </c>
      <c r="K759" s="2"/>
      <c r="L759" s="2"/>
      <c r="M759" s="2"/>
      <c r="N759" s="2"/>
      <c r="O759" s="2">
        <v>5312933</v>
      </c>
      <c r="P759" s="2"/>
      <c r="Q759" s="2" t="s">
        <v>5250</v>
      </c>
      <c r="R759" s="2" t="s">
        <v>5251</v>
      </c>
      <c r="S759" s="2" t="s">
        <v>50</v>
      </c>
      <c r="T759" s="2" t="s">
        <v>229</v>
      </c>
      <c r="U759" s="2" t="s">
        <v>433</v>
      </c>
      <c r="V759" s="2" t="s">
        <v>59</v>
      </c>
      <c r="W759" s="2">
        <v>39.200000000000003</v>
      </c>
      <c r="X759" s="2">
        <v>1.84</v>
      </c>
      <c r="Y759" s="2" t="s">
        <v>43</v>
      </c>
      <c r="Z759" s="2" t="s">
        <v>5252</v>
      </c>
      <c r="AA759" s="2">
        <v>-1.35568244227166</v>
      </c>
      <c r="AB759" s="2">
        <v>0.91363341495185502</v>
      </c>
      <c r="AC759" s="2">
        <v>126453.396724523</v>
      </c>
      <c r="AD759" s="2">
        <v>68543.438118691207</v>
      </c>
      <c r="AE759" s="2">
        <v>131283.33077730701</v>
      </c>
      <c r="AF759" s="2">
        <v>121730.03811376401</v>
      </c>
      <c r="AG759" s="2">
        <v>124739.246215868</v>
      </c>
      <c r="AH759" s="2">
        <v>127661.101134685</v>
      </c>
      <c r="AI759" s="2">
        <v>126749.957276427</v>
      </c>
      <c r="AJ759" s="2">
        <v>126556.706829085</v>
      </c>
      <c r="AK759" s="2">
        <v>91879.104074024901</v>
      </c>
      <c r="AL759" s="2">
        <v>81965.026592430193</v>
      </c>
      <c r="AM759" s="2">
        <v>58873.708561961597</v>
      </c>
      <c r="AN759" s="2">
        <v>67396.874300667594</v>
      </c>
      <c r="AO759" s="2">
        <v>58896.301847720701</v>
      </c>
      <c r="AP759" s="2">
        <v>52249.613335342299</v>
      </c>
    </row>
    <row r="760" spans="1:42" ht="14.5" x14ac:dyDescent="0.35">
      <c r="A760" s="2" t="s">
        <v>5253</v>
      </c>
      <c r="B760" s="2">
        <v>909.47991334637697</v>
      </c>
      <c r="C760" s="2">
        <v>10.471816666666699</v>
      </c>
      <c r="D760" s="2" t="s">
        <v>34</v>
      </c>
      <c r="E760" s="2" t="s">
        <v>5254</v>
      </c>
      <c r="F760" s="2">
        <v>44558</v>
      </c>
      <c r="G760" s="3" t="str">
        <f>HYPERLINK("http://funmeta.oebiotech.com/network/44558", "http://funmeta.oebiotech.com/network/44558")</f>
        <v>http://funmeta.oebiotech.com/network/44558</v>
      </c>
      <c r="H760" s="2"/>
      <c r="I760" s="2"/>
      <c r="J760" s="2" t="s">
        <v>5255</v>
      </c>
      <c r="K760" s="2"/>
      <c r="L760" s="2"/>
      <c r="M760" s="2"/>
      <c r="N760" s="2"/>
      <c r="O760" s="2"/>
      <c r="P760" s="2"/>
      <c r="Q760" s="2" t="s">
        <v>5256</v>
      </c>
      <c r="R760" s="2" t="s">
        <v>5257</v>
      </c>
      <c r="S760" s="2" t="s">
        <v>50</v>
      </c>
      <c r="T760" s="2" t="s">
        <v>124</v>
      </c>
      <c r="U760" s="2" t="s">
        <v>523</v>
      </c>
      <c r="V760" s="2" t="s">
        <v>59</v>
      </c>
      <c r="W760" s="2">
        <v>41.4</v>
      </c>
      <c r="X760" s="2">
        <v>13.9</v>
      </c>
      <c r="Y760" s="2" t="s">
        <v>470</v>
      </c>
      <c r="Z760" s="2" t="s">
        <v>5258</v>
      </c>
      <c r="AA760" s="2">
        <v>-2.15257219389337</v>
      </c>
      <c r="AB760" s="2">
        <v>0.91306959164588697</v>
      </c>
      <c r="AC760" s="2">
        <v>433476.06482993101</v>
      </c>
      <c r="AD760" s="2">
        <v>370598.22392087302</v>
      </c>
      <c r="AE760" s="2">
        <v>435163.85983966902</v>
      </c>
      <c r="AF760" s="2">
        <v>455821.77947357</v>
      </c>
      <c r="AG760" s="2">
        <v>429858.97972301801</v>
      </c>
      <c r="AH760" s="2">
        <v>398684.57202373998</v>
      </c>
      <c r="AI760" s="2">
        <v>418930.615136109</v>
      </c>
      <c r="AJ760" s="2">
        <v>462396.58278348099</v>
      </c>
      <c r="AK760" s="2">
        <v>354512.59813607199</v>
      </c>
      <c r="AL760" s="2">
        <v>373832.02678183798</v>
      </c>
      <c r="AM760" s="2">
        <v>375906.67100367002</v>
      </c>
      <c r="AN760" s="2">
        <v>385405.93928547797</v>
      </c>
      <c r="AO760" s="2">
        <v>383703.13628337497</v>
      </c>
      <c r="AP760" s="2">
        <v>350228.97203480703</v>
      </c>
    </row>
    <row r="761" spans="1:42" ht="14.5" x14ac:dyDescent="0.35">
      <c r="A761" s="2" t="s">
        <v>5259</v>
      </c>
      <c r="B761" s="2">
        <v>417.238800424305</v>
      </c>
      <c r="C761" s="2">
        <v>5.1048166666666699</v>
      </c>
      <c r="D761" s="2" t="s">
        <v>34</v>
      </c>
      <c r="E761" s="2" t="s">
        <v>5260</v>
      </c>
      <c r="F761" s="2">
        <v>201021</v>
      </c>
      <c r="G761" s="3" t="str">
        <f>HYPERLINK("http://funmeta.oebiotech.com/network/201021", "http://funmeta.oebiotech.com/network/201021")</f>
        <v>http://funmeta.oebiotech.com/network/201021</v>
      </c>
      <c r="H761" s="2" t="s">
        <v>5261</v>
      </c>
      <c r="I761" s="2"/>
      <c r="J761" s="2"/>
      <c r="K761" s="2"/>
      <c r="L761" s="2"/>
      <c r="M761" s="2"/>
      <c r="N761" s="2"/>
      <c r="O761" s="2">
        <v>631051</v>
      </c>
      <c r="P761" s="2"/>
      <c r="Q761" s="2" t="s">
        <v>5262</v>
      </c>
      <c r="R761" s="2" t="s">
        <v>5263</v>
      </c>
      <c r="S761" s="2" t="s">
        <v>50</v>
      </c>
      <c r="T761" s="2" t="s">
        <v>124</v>
      </c>
      <c r="U761" s="2" t="s">
        <v>1136</v>
      </c>
      <c r="V761" s="2" t="s">
        <v>59</v>
      </c>
      <c r="W761" s="2">
        <v>41.5</v>
      </c>
      <c r="X761" s="2">
        <v>24.1</v>
      </c>
      <c r="Y761" s="2" t="s">
        <v>43</v>
      </c>
      <c r="Z761" s="2" t="s">
        <v>5264</v>
      </c>
      <c r="AA761" s="2">
        <v>1.0066559918414</v>
      </c>
      <c r="AB761" s="2">
        <v>0.91194151786029098</v>
      </c>
      <c r="AC761" s="2">
        <v>177743.59936914401</v>
      </c>
      <c r="AD761" s="2">
        <v>236728.86844715901</v>
      </c>
      <c r="AE761" s="2">
        <v>188436.025060699</v>
      </c>
      <c r="AF761" s="2">
        <v>174522.07379923499</v>
      </c>
      <c r="AG761" s="2">
        <v>170476.79353797299</v>
      </c>
      <c r="AH761" s="2">
        <v>186808.51518423401</v>
      </c>
      <c r="AI761" s="2">
        <v>182229.19908269</v>
      </c>
      <c r="AJ761" s="2">
        <v>163988.989550033</v>
      </c>
      <c r="AK761" s="2">
        <v>226233.118432552</v>
      </c>
      <c r="AL761" s="2">
        <v>226915.56923246701</v>
      </c>
      <c r="AM761" s="2">
        <v>267393.65346762002</v>
      </c>
      <c r="AN761" s="2">
        <v>232576.61377757799</v>
      </c>
      <c r="AO761" s="2">
        <v>224262.24746643801</v>
      </c>
      <c r="AP761" s="2">
        <v>242992.00830630001</v>
      </c>
    </row>
    <row r="762" spans="1:42" ht="14.5" x14ac:dyDescent="0.35">
      <c r="A762" s="2" t="s">
        <v>5265</v>
      </c>
      <c r="B762" s="2">
        <v>1049.5316514445799</v>
      </c>
      <c r="C762" s="2">
        <v>4.7765333333333304</v>
      </c>
      <c r="D762" s="2" t="s">
        <v>70</v>
      </c>
      <c r="E762" s="2" t="s">
        <v>5266</v>
      </c>
      <c r="F762" s="2">
        <v>62084</v>
      </c>
      <c r="G762" s="3" t="str">
        <f>HYPERLINK("http://funmeta.oebiotech.com/network/62084", "http://funmeta.oebiotech.com/network/62084")</f>
        <v>http://funmeta.oebiotech.com/network/62084</v>
      </c>
      <c r="H762" s="2" t="s">
        <v>5267</v>
      </c>
      <c r="I762" s="2">
        <v>93376</v>
      </c>
      <c r="J762" s="2"/>
      <c r="K762" s="2"/>
      <c r="L762" s="2"/>
      <c r="M762" s="2"/>
      <c r="N762" s="2"/>
      <c r="O762" s="2">
        <v>74376401</v>
      </c>
      <c r="P762" s="2" t="s">
        <v>5268</v>
      </c>
      <c r="Q762" s="2" t="s">
        <v>5269</v>
      </c>
      <c r="R762" s="2" t="s">
        <v>5270</v>
      </c>
      <c r="S762" s="2" t="s">
        <v>50</v>
      </c>
      <c r="T762" s="2" t="s">
        <v>201</v>
      </c>
      <c r="U762" s="2" t="s">
        <v>202</v>
      </c>
      <c r="V762" s="2" t="s">
        <v>59</v>
      </c>
      <c r="W762" s="2">
        <v>38.799999999999997</v>
      </c>
      <c r="X762" s="2">
        <v>0</v>
      </c>
      <c r="Y762" s="2" t="s">
        <v>751</v>
      </c>
      <c r="Z762" s="2" t="s">
        <v>5271</v>
      </c>
      <c r="AA762" s="2">
        <v>-0.95188767020827003</v>
      </c>
      <c r="AB762" s="2">
        <v>0.91173975622575298</v>
      </c>
      <c r="AC762" s="2">
        <v>102946.07763923499</v>
      </c>
      <c r="AD762" s="2">
        <v>163829.75472782299</v>
      </c>
      <c r="AE762" s="2">
        <v>110017.199598943</v>
      </c>
      <c r="AF762" s="2">
        <v>107472.98628110799</v>
      </c>
      <c r="AG762" s="2">
        <v>101964.96584680599</v>
      </c>
      <c r="AH762" s="2">
        <v>88578.611437524494</v>
      </c>
      <c r="AI762" s="2">
        <v>95434.565555446403</v>
      </c>
      <c r="AJ762" s="2">
        <v>114208.13711558</v>
      </c>
      <c r="AK762" s="2">
        <v>149162.395467597</v>
      </c>
      <c r="AL762" s="2">
        <v>184863.58407570701</v>
      </c>
      <c r="AM762" s="2">
        <v>128850.17001907701</v>
      </c>
      <c r="AN762" s="2">
        <v>176799.60642798099</v>
      </c>
      <c r="AO762" s="2">
        <v>171000.66015010199</v>
      </c>
      <c r="AP762" s="2">
        <v>172302.112226472</v>
      </c>
    </row>
    <row r="763" spans="1:42" ht="14.5" x14ac:dyDescent="0.35">
      <c r="A763" s="2" t="s">
        <v>5272</v>
      </c>
      <c r="B763" s="2">
        <v>174.08722491330499</v>
      </c>
      <c r="C763" s="2">
        <v>0.76544999999999996</v>
      </c>
      <c r="D763" s="2" t="s">
        <v>34</v>
      </c>
      <c r="E763" s="2" t="s">
        <v>5273</v>
      </c>
      <c r="F763" s="2">
        <v>54346</v>
      </c>
      <c r="G763" s="3" t="str">
        <f>HYPERLINK("http://funmeta.oebiotech.com/network/54346", "http://funmeta.oebiotech.com/network/54346")</f>
        <v>http://funmeta.oebiotech.com/network/54346</v>
      </c>
      <c r="H763" s="2" t="s">
        <v>5274</v>
      </c>
      <c r="I763" s="2">
        <v>86233</v>
      </c>
      <c r="J763" s="2"/>
      <c r="K763" s="2">
        <v>168371</v>
      </c>
      <c r="L763" s="2"/>
      <c r="M763" s="2"/>
      <c r="N763" s="2"/>
      <c r="O763" s="2">
        <v>87253507</v>
      </c>
      <c r="P763" s="2" t="s">
        <v>5275</v>
      </c>
      <c r="Q763" s="2" t="s">
        <v>5276</v>
      </c>
      <c r="R763" s="2" t="s">
        <v>5277</v>
      </c>
      <c r="S763" s="2" t="s">
        <v>89</v>
      </c>
      <c r="T763" s="2" t="s">
        <v>90</v>
      </c>
      <c r="U763" s="2" t="s">
        <v>99</v>
      </c>
      <c r="V763" s="2" t="s">
        <v>59</v>
      </c>
      <c r="W763" s="2">
        <v>45.9</v>
      </c>
      <c r="X763" s="2">
        <v>33.5</v>
      </c>
      <c r="Y763" s="2" t="s">
        <v>141</v>
      </c>
      <c r="Z763" s="2" t="s">
        <v>5278</v>
      </c>
      <c r="AA763" s="2">
        <v>-0.48535219519352601</v>
      </c>
      <c r="AB763" s="2">
        <v>0.91104327060219703</v>
      </c>
      <c r="AC763" s="2">
        <v>72635.2235493427</v>
      </c>
      <c r="AD763" s="2">
        <v>17173.816663380701</v>
      </c>
      <c r="AE763" s="2">
        <v>72617.830141949002</v>
      </c>
      <c r="AF763" s="2">
        <v>85891.120387176095</v>
      </c>
      <c r="AG763" s="2">
        <v>79283.049077452699</v>
      </c>
      <c r="AH763" s="2">
        <v>66037.759853316296</v>
      </c>
      <c r="AI763" s="2">
        <v>60951.696973035498</v>
      </c>
      <c r="AJ763" s="2">
        <v>71029.884863126499</v>
      </c>
      <c r="AK763" s="2">
        <v>17415.435466802701</v>
      </c>
      <c r="AL763" s="2">
        <v>15596.203888853001</v>
      </c>
      <c r="AM763" s="2">
        <v>19839.6903430479</v>
      </c>
      <c r="AN763" s="2">
        <v>16580.640464384302</v>
      </c>
      <c r="AO763" s="2">
        <v>16932.077541081799</v>
      </c>
      <c r="AP763" s="2">
        <v>16678.852276114601</v>
      </c>
    </row>
    <row r="764" spans="1:42" ht="14.5" x14ac:dyDescent="0.35">
      <c r="A764" s="2" t="s">
        <v>5279</v>
      </c>
      <c r="B764" s="2">
        <v>377.08165853542999</v>
      </c>
      <c r="C764" s="2">
        <v>4.1877333333333304</v>
      </c>
      <c r="D764" s="2" t="s">
        <v>70</v>
      </c>
      <c r="E764" s="2" t="s">
        <v>5280</v>
      </c>
      <c r="F764" s="2">
        <v>52909</v>
      </c>
      <c r="G764" s="3" t="str">
        <f>HYPERLINK("http://funmeta.oebiotech.com/network/52909", "http://funmeta.oebiotech.com/network/52909")</f>
        <v>http://funmeta.oebiotech.com/network/52909</v>
      </c>
      <c r="H764" s="2" t="s">
        <v>5281</v>
      </c>
      <c r="I764" s="2">
        <v>3946</v>
      </c>
      <c r="J764" s="2"/>
      <c r="K764" s="2">
        <v>3393</v>
      </c>
      <c r="L764" s="2" t="s">
        <v>5282</v>
      </c>
      <c r="M764" s="2"/>
      <c r="N764" s="2"/>
      <c r="O764" s="2">
        <v>20824</v>
      </c>
      <c r="P764" s="2" t="s">
        <v>5283</v>
      </c>
      <c r="Q764" s="2" t="s">
        <v>5284</v>
      </c>
      <c r="R764" s="2" t="s">
        <v>5285</v>
      </c>
      <c r="S764" s="2" t="s">
        <v>89</v>
      </c>
      <c r="T764" s="2" t="s">
        <v>90</v>
      </c>
      <c r="U764" s="2" t="s">
        <v>99</v>
      </c>
      <c r="V764" s="2" t="s">
        <v>59</v>
      </c>
      <c r="W764" s="2">
        <v>38.9</v>
      </c>
      <c r="X764" s="2">
        <v>4.8899999999999997</v>
      </c>
      <c r="Y764" s="2" t="s">
        <v>118</v>
      </c>
      <c r="Z764" s="2" t="s">
        <v>5286</v>
      </c>
      <c r="AA764" s="2">
        <v>0.99887500622588099</v>
      </c>
      <c r="AB764" s="2">
        <v>0.91069443601442102</v>
      </c>
      <c r="AC764" s="2">
        <v>252566.68500143499</v>
      </c>
      <c r="AD764" s="2">
        <v>196600.618357414</v>
      </c>
      <c r="AE764" s="2">
        <v>248552.94450314701</v>
      </c>
      <c r="AF764" s="2">
        <v>252833.777146849</v>
      </c>
      <c r="AG764" s="2">
        <v>245201.582784372</v>
      </c>
      <c r="AH764" s="2">
        <v>247484.120519624</v>
      </c>
      <c r="AI764" s="2">
        <v>252389.72394865099</v>
      </c>
      <c r="AJ764" s="2">
        <v>268937.96110596502</v>
      </c>
      <c r="AK764" s="2">
        <v>197237.77988174799</v>
      </c>
      <c r="AL764" s="2">
        <v>202762.13318646699</v>
      </c>
      <c r="AM764" s="2">
        <v>199720.90711513301</v>
      </c>
      <c r="AN764" s="2">
        <v>200572.37430428801</v>
      </c>
      <c r="AO764" s="2">
        <v>191424.44959420501</v>
      </c>
      <c r="AP764" s="2">
        <v>187886.06606264401</v>
      </c>
    </row>
    <row r="765" spans="1:42" ht="14.5" x14ac:dyDescent="0.35">
      <c r="A765" s="2" t="s">
        <v>5287</v>
      </c>
      <c r="B765" s="2">
        <v>743.103021715105</v>
      </c>
      <c r="C765" s="2">
        <v>1.79495</v>
      </c>
      <c r="D765" s="2" t="s">
        <v>34</v>
      </c>
      <c r="E765" s="2" t="s">
        <v>5288</v>
      </c>
      <c r="F765" s="2">
        <v>213079</v>
      </c>
      <c r="G765" s="3" t="str">
        <f>HYPERLINK("http://funmeta.oebiotech.com/network/213079", "http://funmeta.oebiotech.com/network/213079")</f>
        <v>http://funmeta.oebiotech.com/network/213079</v>
      </c>
      <c r="H765" s="2" t="s">
        <v>5289</v>
      </c>
      <c r="I765" s="2"/>
      <c r="J765" s="2"/>
      <c r="K765" s="2"/>
      <c r="L765" s="2"/>
      <c r="M765" s="2"/>
      <c r="N765" s="2"/>
      <c r="O765" s="2">
        <v>408832</v>
      </c>
      <c r="P765" s="2"/>
      <c r="Q765" s="2" t="s">
        <v>5290</v>
      </c>
      <c r="R765" s="2" t="s">
        <v>5291</v>
      </c>
      <c r="S765" s="2" t="s">
        <v>148</v>
      </c>
      <c r="T765" s="2" t="s">
        <v>149</v>
      </c>
      <c r="U765" s="2" t="s">
        <v>5292</v>
      </c>
      <c r="V765" s="2" t="s">
        <v>59</v>
      </c>
      <c r="W765" s="2">
        <v>36.200000000000003</v>
      </c>
      <c r="X765" s="2">
        <v>0</v>
      </c>
      <c r="Y765" s="2" t="s">
        <v>141</v>
      </c>
      <c r="Z765" s="2" t="s">
        <v>5293</v>
      </c>
      <c r="AA765" s="2">
        <v>-2.2096040533633801</v>
      </c>
      <c r="AB765" s="2">
        <v>0.91038810498196898</v>
      </c>
      <c r="AC765" s="2">
        <v>124381.209817529</v>
      </c>
      <c r="AD765" s="2">
        <v>179922.81700447699</v>
      </c>
      <c r="AE765" s="2">
        <v>126524.928997339</v>
      </c>
      <c r="AF765" s="2">
        <v>122309.44463826501</v>
      </c>
      <c r="AG765" s="2">
        <v>125090.117269886</v>
      </c>
      <c r="AH765" s="2">
        <v>113712.07440342</v>
      </c>
      <c r="AI765" s="2">
        <v>124881.516645244</v>
      </c>
      <c r="AJ765" s="2">
        <v>133769.176951022</v>
      </c>
      <c r="AK765" s="2">
        <v>180930.84820278801</v>
      </c>
      <c r="AL765" s="2">
        <v>177306.048849146</v>
      </c>
      <c r="AM765" s="2">
        <v>188277.04801572399</v>
      </c>
      <c r="AN765" s="2">
        <v>184379.09607261801</v>
      </c>
      <c r="AO765" s="2">
        <v>179150.65205195601</v>
      </c>
      <c r="AP765" s="2">
        <v>169493.20883462799</v>
      </c>
    </row>
    <row r="766" spans="1:42" ht="14.5" x14ac:dyDescent="0.35">
      <c r="A766" s="2" t="s">
        <v>5294</v>
      </c>
      <c r="B766" s="2">
        <v>612.249594228511</v>
      </c>
      <c r="C766" s="2">
        <v>7.8272833333333303</v>
      </c>
      <c r="D766" s="2" t="s">
        <v>34</v>
      </c>
      <c r="E766" s="2" t="s">
        <v>5295</v>
      </c>
      <c r="F766" s="2">
        <v>58881</v>
      </c>
      <c r="G766" s="3" t="str">
        <f>HYPERLINK("http://funmeta.oebiotech.com/network/58881", "http://funmeta.oebiotech.com/network/58881")</f>
        <v>http://funmeta.oebiotech.com/network/58881</v>
      </c>
      <c r="H766" s="2" t="s">
        <v>5296</v>
      </c>
      <c r="I766" s="2"/>
      <c r="J766" s="2"/>
      <c r="K766" s="2"/>
      <c r="L766" s="2" t="s">
        <v>5297</v>
      </c>
      <c r="M766" s="2"/>
      <c r="N766" s="2"/>
      <c r="O766" s="2">
        <v>73156985</v>
      </c>
      <c r="P766" s="2" t="s">
        <v>5298</v>
      </c>
      <c r="Q766" s="2" t="s">
        <v>5299</v>
      </c>
      <c r="R766" s="2" t="s">
        <v>5300</v>
      </c>
      <c r="S766" s="2" t="s">
        <v>79</v>
      </c>
      <c r="T766" s="2" t="s">
        <v>80</v>
      </c>
      <c r="U766" s="2" t="s">
        <v>81</v>
      </c>
      <c r="V766" s="2" t="s">
        <v>59</v>
      </c>
      <c r="W766" s="2">
        <v>44.9</v>
      </c>
      <c r="X766" s="2">
        <v>39.799999999999997</v>
      </c>
      <c r="Y766" s="2" t="s">
        <v>43</v>
      </c>
      <c r="Z766" s="2" t="s">
        <v>5301</v>
      </c>
      <c r="AA766" s="2">
        <v>-0.36423306450856002</v>
      </c>
      <c r="AB766" s="2">
        <v>0.90978070786160403</v>
      </c>
      <c r="AC766" s="2">
        <v>134846.510064417</v>
      </c>
      <c r="AD766" s="2">
        <v>79938.579312603499</v>
      </c>
      <c r="AE766" s="2">
        <v>134511.30071511201</v>
      </c>
      <c r="AF766" s="2">
        <v>134581.17099118701</v>
      </c>
      <c r="AG766" s="2">
        <v>136748.202847298</v>
      </c>
      <c r="AH766" s="2">
        <v>125399.540994098</v>
      </c>
      <c r="AI766" s="2">
        <v>139875.54413266599</v>
      </c>
      <c r="AJ766" s="2">
        <v>137963.30070614099</v>
      </c>
      <c r="AK766" s="2">
        <v>81638.645313579895</v>
      </c>
      <c r="AL766" s="2">
        <v>84223.871313063704</v>
      </c>
      <c r="AM766" s="2">
        <v>74768.896977687094</v>
      </c>
      <c r="AN766" s="2">
        <v>82710.853839207004</v>
      </c>
      <c r="AO766" s="2">
        <v>77490.498911942996</v>
      </c>
      <c r="AP766" s="2">
        <v>78798.709520140605</v>
      </c>
    </row>
    <row r="767" spans="1:42" ht="14.5" x14ac:dyDescent="0.35">
      <c r="A767" s="2" t="s">
        <v>5302</v>
      </c>
      <c r="B767" s="2">
        <v>471.22304363253801</v>
      </c>
      <c r="C767" s="2">
        <v>4.4359166666666701</v>
      </c>
      <c r="D767" s="2" t="s">
        <v>70</v>
      </c>
      <c r="E767" s="2" t="s">
        <v>5303</v>
      </c>
      <c r="F767" s="2">
        <v>255048</v>
      </c>
      <c r="G767" s="3" t="str">
        <f>HYPERLINK("http://funmeta.oebiotech.com/network/255048", "http://funmeta.oebiotech.com/network/255048")</f>
        <v>http://funmeta.oebiotech.com/network/255048</v>
      </c>
      <c r="H767" s="2" t="s">
        <v>5304</v>
      </c>
      <c r="I767" s="2"/>
      <c r="J767" s="2"/>
      <c r="K767" s="2"/>
      <c r="L767" s="2"/>
      <c r="M767" s="2"/>
      <c r="N767" s="2"/>
      <c r="O767" s="2"/>
      <c r="P767" s="2"/>
      <c r="Q767" s="2" t="s">
        <v>5305</v>
      </c>
      <c r="R767" s="2" t="s">
        <v>5306</v>
      </c>
      <c r="S767" s="2" t="s">
        <v>50</v>
      </c>
      <c r="T767" s="2" t="s">
        <v>201</v>
      </c>
      <c r="U767" s="2" t="s">
        <v>202</v>
      </c>
      <c r="V767" s="2" t="s">
        <v>42</v>
      </c>
      <c r="W767" s="2">
        <v>54.1</v>
      </c>
      <c r="X767" s="2">
        <v>74.5</v>
      </c>
      <c r="Y767" s="2" t="s">
        <v>408</v>
      </c>
      <c r="Z767" s="2" t="s">
        <v>5307</v>
      </c>
      <c r="AA767" s="2">
        <v>-1.23710215739012</v>
      </c>
      <c r="AB767" s="2">
        <v>0.90929607818097502</v>
      </c>
      <c r="AC767" s="2">
        <v>195833.36377769499</v>
      </c>
      <c r="AD767" s="2">
        <v>252837.83564323201</v>
      </c>
      <c r="AE767" s="2">
        <v>195726.42073134499</v>
      </c>
      <c r="AF767" s="2">
        <v>199257.27909153799</v>
      </c>
      <c r="AG767" s="2">
        <v>200733.062971176</v>
      </c>
      <c r="AH767" s="2">
        <v>185029.336528688</v>
      </c>
      <c r="AI767" s="2">
        <v>187267.249065871</v>
      </c>
      <c r="AJ767" s="2">
        <v>206986.83427755299</v>
      </c>
      <c r="AK767" s="2">
        <v>242952.68940596501</v>
      </c>
      <c r="AL767" s="2">
        <v>255496.876363797</v>
      </c>
      <c r="AM767" s="2">
        <v>245587.33458639</v>
      </c>
      <c r="AN767" s="2">
        <v>254869.15304374899</v>
      </c>
      <c r="AO767" s="2">
        <v>272889.640836759</v>
      </c>
      <c r="AP767" s="2">
        <v>245231.31962273101</v>
      </c>
    </row>
    <row r="768" spans="1:42" ht="14.5" x14ac:dyDescent="0.35">
      <c r="A768" s="2" t="s">
        <v>5308</v>
      </c>
      <c r="B768" s="2">
        <v>637.21096976705996</v>
      </c>
      <c r="C768" s="2">
        <v>4.7931333333333299</v>
      </c>
      <c r="D768" s="2" t="s">
        <v>70</v>
      </c>
      <c r="E768" s="2" t="s">
        <v>5309</v>
      </c>
      <c r="F768" s="2">
        <v>62109</v>
      </c>
      <c r="G768" s="3" t="str">
        <f>HYPERLINK("http://funmeta.oebiotech.com/network/62109", "http://funmeta.oebiotech.com/network/62109")</f>
        <v>http://funmeta.oebiotech.com/network/62109</v>
      </c>
      <c r="H768" s="2" t="s">
        <v>5310</v>
      </c>
      <c r="I768" s="2"/>
      <c r="J768" s="2"/>
      <c r="K768" s="2"/>
      <c r="L768" s="2"/>
      <c r="M768" s="2"/>
      <c r="N768" s="2"/>
      <c r="O768" s="2">
        <v>131752451</v>
      </c>
      <c r="P768" s="2" t="s">
        <v>5311</v>
      </c>
      <c r="Q768" s="2" t="s">
        <v>5312</v>
      </c>
      <c r="R768" s="2" t="s">
        <v>5313</v>
      </c>
      <c r="S768" s="2" t="s">
        <v>115</v>
      </c>
      <c r="T768" s="2" t="s">
        <v>116</v>
      </c>
      <c r="U768" s="2" t="s">
        <v>117</v>
      </c>
      <c r="V768" s="2" t="s">
        <v>59</v>
      </c>
      <c r="W768" s="2">
        <v>44</v>
      </c>
      <c r="X768" s="2">
        <v>33.299999999999997</v>
      </c>
      <c r="Y768" s="2" t="s">
        <v>286</v>
      </c>
      <c r="Z768" s="2" t="s">
        <v>5314</v>
      </c>
      <c r="AA768" s="2">
        <v>-4.7690600886569499</v>
      </c>
      <c r="AB768" s="2">
        <v>0.90874142354834997</v>
      </c>
      <c r="AC768" s="2">
        <v>299951.980790906</v>
      </c>
      <c r="AD768" s="2">
        <v>358305.47302394803</v>
      </c>
      <c r="AE768" s="2">
        <v>297362.818663479</v>
      </c>
      <c r="AF768" s="2">
        <v>295261.77476662101</v>
      </c>
      <c r="AG768" s="2">
        <v>289586.10395868903</v>
      </c>
      <c r="AH768" s="2">
        <v>309890.28624541499</v>
      </c>
      <c r="AI768" s="2">
        <v>307364.73644179199</v>
      </c>
      <c r="AJ768" s="2">
        <v>300246.16466943797</v>
      </c>
      <c r="AK768" s="2">
        <v>358999.28322128899</v>
      </c>
      <c r="AL768" s="2">
        <v>384867.94997490902</v>
      </c>
      <c r="AM768" s="2">
        <v>338643.93939019798</v>
      </c>
      <c r="AN768" s="2">
        <v>367451.56975982903</v>
      </c>
      <c r="AO768" s="2">
        <v>345885.58965781098</v>
      </c>
      <c r="AP768" s="2">
        <v>353984.50613965502</v>
      </c>
    </row>
    <row r="769" spans="1:42" ht="14.5" x14ac:dyDescent="0.35">
      <c r="A769" s="2" t="s">
        <v>5315</v>
      </c>
      <c r="B769" s="2">
        <v>338.16204814458098</v>
      </c>
      <c r="C769" s="2">
        <v>4.7359166666666699</v>
      </c>
      <c r="D769" s="2" t="s">
        <v>34</v>
      </c>
      <c r="E769" s="2" t="s">
        <v>5316</v>
      </c>
      <c r="F769" s="2">
        <v>205947</v>
      </c>
      <c r="G769" s="3" t="str">
        <f>HYPERLINK("http://funmeta.oebiotech.com/network/205947", "http://funmeta.oebiotech.com/network/205947")</f>
        <v>http://funmeta.oebiotech.com/network/205947</v>
      </c>
      <c r="H769" s="2" t="s">
        <v>5317</v>
      </c>
      <c r="I769" s="2"/>
      <c r="J769" s="2"/>
      <c r="K769" s="2"/>
      <c r="L769" s="2"/>
      <c r="M769" s="2"/>
      <c r="N769" s="2"/>
      <c r="O769" s="2">
        <v>128682</v>
      </c>
      <c r="P769" s="2"/>
      <c r="Q769" s="2" t="s">
        <v>5318</v>
      </c>
      <c r="R769" s="2" t="s">
        <v>5319</v>
      </c>
      <c r="S769" s="2" t="s">
        <v>491</v>
      </c>
      <c r="T769" s="2" t="s">
        <v>1516</v>
      </c>
      <c r="U769" s="2" t="s">
        <v>5320</v>
      </c>
      <c r="V769" s="2" t="s">
        <v>59</v>
      </c>
      <c r="W769" s="2">
        <v>36.5</v>
      </c>
      <c r="X769" s="2">
        <v>1.02</v>
      </c>
      <c r="Y769" s="2" t="s">
        <v>67</v>
      </c>
      <c r="Z769" s="2" t="s">
        <v>5321</v>
      </c>
      <c r="AA769" s="2">
        <v>-2.2851641384597898</v>
      </c>
      <c r="AB769" s="2">
        <v>0.90840173580211803</v>
      </c>
      <c r="AC769" s="2">
        <v>188621.169622363</v>
      </c>
      <c r="AD769" s="2">
        <v>248526.02629857499</v>
      </c>
      <c r="AE769" s="2">
        <v>182225.99146593301</v>
      </c>
      <c r="AF769" s="2">
        <v>180699.46019138</v>
      </c>
      <c r="AG769" s="2">
        <v>194015.60606763</v>
      </c>
      <c r="AH769" s="2">
        <v>212910.01479169299</v>
      </c>
      <c r="AI769" s="2">
        <v>202802.58832487901</v>
      </c>
      <c r="AJ769" s="2">
        <v>159073.356892663</v>
      </c>
      <c r="AK769" s="2">
        <v>241501.242050676</v>
      </c>
      <c r="AL769" s="2">
        <v>240625.281616889</v>
      </c>
      <c r="AM769" s="2">
        <v>272454.61752344802</v>
      </c>
      <c r="AN769" s="2">
        <v>247706.03190008199</v>
      </c>
      <c r="AO769" s="2">
        <v>248746.81580302701</v>
      </c>
      <c r="AP769" s="2">
        <v>240122.16889732899</v>
      </c>
    </row>
    <row r="770" spans="1:42" ht="14.5" x14ac:dyDescent="0.35">
      <c r="A770" s="2" t="s">
        <v>5322</v>
      </c>
      <c r="B770" s="2">
        <v>393.11526940662202</v>
      </c>
      <c r="C770" s="2">
        <v>4.1233166666666703</v>
      </c>
      <c r="D770" s="2" t="s">
        <v>34</v>
      </c>
      <c r="E770" s="2" t="s">
        <v>5323</v>
      </c>
      <c r="F770" s="2">
        <v>81997</v>
      </c>
      <c r="G770" s="3" t="str">
        <f>HYPERLINK("http://funmeta.oebiotech.com/network/81997", "http://funmeta.oebiotech.com/network/81997")</f>
        <v>http://funmeta.oebiotech.com/network/81997</v>
      </c>
      <c r="H770" s="2" t="s">
        <v>5324</v>
      </c>
      <c r="I770" s="2"/>
      <c r="J770" s="2"/>
      <c r="K770" s="2">
        <v>88704</v>
      </c>
      <c r="L770" s="2"/>
      <c r="M770" s="2"/>
      <c r="N770" s="2"/>
      <c r="O770" s="2">
        <v>124202082</v>
      </c>
      <c r="P770" s="2"/>
      <c r="Q770" s="2" t="s">
        <v>5325</v>
      </c>
      <c r="R770" s="2" t="s">
        <v>5326</v>
      </c>
      <c r="S770" s="2" t="s">
        <v>79</v>
      </c>
      <c r="T770" s="2" t="s">
        <v>80</v>
      </c>
      <c r="U770" s="2" t="s">
        <v>81</v>
      </c>
      <c r="V770" s="2" t="s">
        <v>59</v>
      </c>
      <c r="W770" s="2">
        <v>39.700000000000003</v>
      </c>
      <c r="X770" s="2">
        <v>4.95</v>
      </c>
      <c r="Y770" s="2" t="s">
        <v>67</v>
      </c>
      <c r="Z770" s="2" t="s">
        <v>5327</v>
      </c>
      <c r="AA770" s="2">
        <v>-0.90119206338260405</v>
      </c>
      <c r="AB770" s="2">
        <v>0.90592033758106205</v>
      </c>
      <c r="AC770" s="2">
        <v>110911.209843306</v>
      </c>
      <c r="AD770" s="2">
        <v>56272.746401747099</v>
      </c>
      <c r="AE770" s="2">
        <v>118296.431531864</v>
      </c>
      <c r="AF770" s="2">
        <v>111997.130108778</v>
      </c>
      <c r="AG770" s="2">
        <v>114995.544917219</v>
      </c>
      <c r="AH770" s="2">
        <v>115956.47107742701</v>
      </c>
      <c r="AI770" s="2">
        <v>104867.829913204</v>
      </c>
      <c r="AJ770" s="2">
        <v>99353.851511345099</v>
      </c>
      <c r="AK770" s="2">
        <v>60050.248971943503</v>
      </c>
      <c r="AL770" s="2">
        <v>55866.263428678198</v>
      </c>
      <c r="AM770" s="2">
        <v>57225.526003256098</v>
      </c>
      <c r="AN770" s="2">
        <v>56101.0042635063</v>
      </c>
      <c r="AO770" s="2">
        <v>51888.423259018302</v>
      </c>
      <c r="AP770" s="2">
        <v>56505.012484079998</v>
      </c>
    </row>
    <row r="771" spans="1:42" ht="14.5" x14ac:dyDescent="0.35">
      <c r="A771" s="2" t="s">
        <v>5328</v>
      </c>
      <c r="B771" s="2">
        <v>309.09648648492401</v>
      </c>
      <c r="C771" s="2">
        <v>3.9142333333333301</v>
      </c>
      <c r="D771" s="2" t="s">
        <v>34</v>
      </c>
      <c r="E771" s="2" t="s">
        <v>5329</v>
      </c>
      <c r="F771" s="2">
        <v>63832</v>
      </c>
      <c r="G771" s="3" t="str">
        <f>HYPERLINK("http://funmeta.oebiotech.com/network/63832", "http://funmeta.oebiotech.com/network/63832")</f>
        <v>http://funmeta.oebiotech.com/network/63832</v>
      </c>
      <c r="H771" s="2" t="s">
        <v>5330</v>
      </c>
      <c r="I771" s="2">
        <v>95167</v>
      </c>
      <c r="J771" s="2"/>
      <c r="K771" s="2">
        <v>174940</v>
      </c>
      <c r="L771" s="2"/>
      <c r="M771" s="2"/>
      <c r="N771" s="2"/>
      <c r="O771" s="2">
        <v>22297980</v>
      </c>
      <c r="P771" s="2" t="s">
        <v>5331</v>
      </c>
      <c r="Q771" s="2" t="s">
        <v>5332</v>
      </c>
      <c r="R771" s="2" t="s">
        <v>5333</v>
      </c>
      <c r="S771" s="2" t="s">
        <v>148</v>
      </c>
      <c r="T771" s="2" t="s">
        <v>149</v>
      </c>
      <c r="U771" s="2" t="s">
        <v>1593</v>
      </c>
      <c r="V771" s="2" t="s">
        <v>42</v>
      </c>
      <c r="W771" s="2">
        <v>48.7</v>
      </c>
      <c r="X771" s="2">
        <v>48.5</v>
      </c>
      <c r="Y771" s="2" t="s">
        <v>394</v>
      </c>
      <c r="Z771" s="2" t="s">
        <v>5334</v>
      </c>
      <c r="AA771" s="2">
        <v>-1.27494440579487</v>
      </c>
      <c r="AB771" s="2">
        <v>0.90512677109594397</v>
      </c>
      <c r="AC771" s="2">
        <v>192843.268697983</v>
      </c>
      <c r="AD771" s="2">
        <v>138327.32662860001</v>
      </c>
      <c r="AE771" s="2">
        <v>191116.28987751101</v>
      </c>
      <c r="AF771" s="2">
        <v>191221.03672620401</v>
      </c>
      <c r="AG771" s="2">
        <v>207111.89026749899</v>
      </c>
      <c r="AH771" s="2">
        <v>191030.903238492</v>
      </c>
      <c r="AI771" s="2">
        <v>187992.82502836999</v>
      </c>
      <c r="AJ771" s="2">
        <v>188586.66704982301</v>
      </c>
      <c r="AK771" s="2">
        <v>143667.564786631</v>
      </c>
      <c r="AL771" s="2">
        <v>139840.335324274</v>
      </c>
      <c r="AM771" s="2">
        <v>137067.67768254899</v>
      </c>
      <c r="AN771" s="2">
        <v>136798.23027427899</v>
      </c>
      <c r="AO771" s="2">
        <v>136372.99748973901</v>
      </c>
      <c r="AP771" s="2">
        <v>136217.154214126</v>
      </c>
    </row>
    <row r="772" spans="1:42" ht="14.5" x14ac:dyDescent="0.35">
      <c r="A772" s="2" t="s">
        <v>5335</v>
      </c>
      <c r="B772" s="2">
        <v>741.18619309473104</v>
      </c>
      <c r="C772" s="2">
        <v>3.7118500000000001</v>
      </c>
      <c r="D772" s="2" t="s">
        <v>70</v>
      </c>
      <c r="E772" s="2" t="s">
        <v>5336</v>
      </c>
      <c r="F772" s="2">
        <v>30387</v>
      </c>
      <c r="G772" s="3" t="str">
        <f>HYPERLINK("http://funmeta.oebiotech.com/network/30387", "http://funmeta.oebiotech.com/network/30387")</f>
        <v>http://funmeta.oebiotech.com/network/30387</v>
      </c>
      <c r="H772" s="2"/>
      <c r="I772" s="2"/>
      <c r="J772" s="2" t="s">
        <v>5337</v>
      </c>
      <c r="K772" s="2"/>
      <c r="L772" s="2"/>
      <c r="M772" s="2"/>
      <c r="N772" s="2"/>
      <c r="O772" s="2">
        <v>102076718</v>
      </c>
      <c r="P772" s="2"/>
      <c r="Q772" s="2" t="s">
        <v>5338</v>
      </c>
      <c r="R772" s="2" t="s">
        <v>5339</v>
      </c>
      <c r="S772" s="2" t="s">
        <v>115</v>
      </c>
      <c r="T772" s="2" t="s">
        <v>139</v>
      </c>
      <c r="U772" s="2" t="s">
        <v>140</v>
      </c>
      <c r="V772" s="2" t="s">
        <v>42</v>
      </c>
      <c r="W772" s="2">
        <v>52.2</v>
      </c>
      <c r="X772" s="2">
        <v>72.8</v>
      </c>
      <c r="Y772" s="2" t="s">
        <v>408</v>
      </c>
      <c r="Z772" s="2" t="s">
        <v>5340</v>
      </c>
      <c r="AA772" s="2">
        <v>-3.1228276124151302</v>
      </c>
      <c r="AB772" s="2">
        <v>0.90344205869351701</v>
      </c>
      <c r="AC772" s="2">
        <v>250302.03432675501</v>
      </c>
      <c r="AD772" s="2">
        <v>306383.44731167302</v>
      </c>
      <c r="AE772" s="2">
        <v>249676.724079165</v>
      </c>
      <c r="AF772" s="2">
        <v>246443.69952063201</v>
      </c>
      <c r="AG772" s="2">
        <v>243697.09169552501</v>
      </c>
      <c r="AH772" s="2">
        <v>250706.28976536699</v>
      </c>
      <c r="AI772" s="2">
        <v>259295.58324334701</v>
      </c>
      <c r="AJ772" s="2">
        <v>251992.817656492</v>
      </c>
      <c r="AK772" s="2">
        <v>307222.14053777797</v>
      </c>
      <c r="AL772" s="2">
        <v>291022.900361104</v>
      </c>
      <c r="AM772" s="2">
        <v>319633.10997550498</v>
      </c>
      <c r="AN772" s="2">
        <v>311828.18610934902</v>
      </c>
      <c r="AO772" s="2">
        <v>290050.51819857198</v>
      </c>
      <c r="AP772" s="2">
        <v>318543.82868773298</v>
      </c>
    </row>
    <row r="773" spans="1:42" ht="14.5" x14ac:dyDescent="0.35">
      <c r="A773" s="2" t="s">
        <v>5341</v>
      </c>
      <c r="B773" s="2">
        <v>400.94450040519803</v>
      </c>
      <c r="C773" s="2">
        <v>1.0921333333333301</v>
      </c>
      <c r="D773" s="2" t="s">
        <v>70</v>
      </c>
      <c r="E773" s="2" t="s">
        <v>5342</v>
      </c>
      <c r="F773" s="2">
        <v>47417</v>
      </c>
      <c r="G773" s="3" t="str">
        <f>HYPERLINK("http://funmeta.oebiotech.com/network/47417", "http://funmeta.oebiotech.com/network/47417")</f>
        <v>http://funmeta.oebiotech.com/network/47417</v>
      </c>
      <c r="H773" s="2" t="s">
        <v>5343</v>
      </c>
      <c r="I773" s="2">
        <v>63282</v>
      </c>
      <c r="J773" s="2"/>
      <c r="K773" s="2">
        <v>18228</v>
      </c>
      <c r="L773" s="2" t="s">
        <v>5344</v>
      </c>
      <c r="M773" s="2" t="s">
        <v>5345</v>
      </c>
      <c r="N773" s="2" t="s">
        <v>5346</v>
      </c>
      <c r="O773" s="2">
        <v>439455</v>
      </c>
      <c r="P773" s="2" t="s">
        <v>5347</v>
      </c>
      <c r="Q773" s="2" t="s">
        <v>5348</v>
      </c>
      <c r="R773" s="2" t="s">
        <v>5349</v>
      </c>
      <c r="S773" s="2" t="s">
        <v>79</v>
      </c>
      <c r="T773" s="2" t="s">
        <v>80</v>
      </c>
      <c r="U773" s="2" t="s">
        <v>2021</v>
      </c>
      <c r="V773" s="2" t="s">
        <v>59</v>
      </c>
      <c r="W773" s="2">
        <v>44.3</v>
      </c>
      <c r="X773" s="2">
        <v>27.8</v>
      </c>
      <c r="Y773" s="2" t="s">
        <v>751</v>
      </c>
      <c r="Z773" s="2" t="s">
        <v>5350</v>
      </c>
      <c r="AA773" s="2">
        <v>-9.0815878685691104E-2</v>
      </c>
      <c r="AB773" s="2">
        <v>0.90000485706408495</v>
      </c>
      <c r="AC773" s="2">
        <v>147097.38675709299</v>
      </c>
      <c r="AD773" s="2">
        <v>203820.490843854</v>
      </c>
      <c r="AE773" s="2">
        <v>155727.93616074001</v>
      </c>
      <c r="AF773" s="2">
        <v>149336.94821912001</v>
      </c>
      <c r="AG773" s="2">
        <v>138998.97484107001</v>
      </c>
      <c r="AH773" s="2">
        <v>138668.70302625501</v>
      </c>
      <c r="AI773" s="2">
        <v>145640.13898888</v>
      </c>
      <c r="AJ773" s="2">
        <v>154211.61930649501</v>
      </c>
      <c r="AK773" s="2">
        <v>218607.44563232001</v>
      </c>
      <c r="AL773" s="2">
        <v>204989.61342611999</v>
      </c>
      <c r="AM773" s="2">
        <v>178021.33665293001</v>
      </c>
      <c r="AN773" s="2">
        <v>216394.04512928001</v>
      </c>
      <c r="AO773" s="2">
        <v>201513.529921721</v>
      </c>
      <c r="AP773" s="2">
        <v>203396.97430075399</v>
      </c>
    </row>
    <row r="774" spans="1:42" ht="14.5" x14ac:dyDescent="0.35">
      <c r="A774" s="2" t="s">
        <v>5351</v>
      </c>
      <c r="B774" s="2">
        <v>761.32143147147599</v>
      </c>
      <c r="C774" s="2">
        <v>5.7854333333333301</v>
      </c>
      <c r="D774" s="2" t="s">
        <v>70</v>
      </c>
      <c r="E774" s="2" t="s">
        <v>5352</v>
      </c>
      <c r="F774" s="2">
        <v>58110</v>
      </c>
      <c r="G774" s="3" t="str">
        <f>HYPERLINK("http://funmeta.oebiotech.com/network/58110", "http://funmeta.oebiotech.com/network/58110")</f>
        <v>http://funmeta.oebiotech.com/network/58110</v>
      </c>
      <c r="H774" s="2" t="s">
        <v>5353</v>
      </c>
      <c r="I774" s="2">
        <v>89644</v>
      </c>
      <c r="J774" s="2"/>
      <c r="K774" s="2">
        <v>168031</v>
      </c>
      <c r="L774" s="2"/>
      <c r="M774" s="2"/>
      <c r="N774" s="2"/>
      <c r="O774" s="2">
        <v>14132229</v>
      </c>
      <c r="P774" s="2" t="s">
        <v>5354</v>
      </c>
      <c r="Q774" s="2" t="s">
        <v>5355</v>
      </c>
      <c r="R774" s="2" t="s">
        <v>5356</v>
      </c>
      <c r="S774" s="2" t="s">
        <v>50</v>
      </c>
      <c r="T774" s="2" t="s">
        <v>229</v>
      </c>
      <c r="U774" s="2" t="s">
        <v>230</v>
      </c>
      <c r="V774" s="2" t="s">
        <v>42</v>
      </c>
      <c r="W774" s="2">
        <v>40.5</v>
      </c>
      <c r="X774" s="2">
        <v>52.1</v>
      </c>
      <c r="Y774" s="2" t="s">
        <v>560</v>
      </c>
      <c r="Z774" s="2" t="s">
        <v>5357</v>
      </c>
      <c r="AA774" s="2">
        <v>2.2507020130184898</v>
      </c>
      <c r="AB774" s="2">
        <v>0.89966825102532799</v>
      </c>
      <c r="AC774" s="2">
        <v>78967.265917819794</v>
      </c>
      <c r="AD774" s="2">
        <v>132775.26828485</v>
      </c>
      <c r="AE774" s="2">
        <v>82223.726688290102</v>
      </c>
      <c r="AF774" s="2">
        <v>74658.476956772094</v>
      </c>
      <c r="AG774" s="2">
        <v>78105.672133903994</v>
      </c>
      <c r="AH774" s="2">
        <v>74190.917084833898</v>
      </c>
      <c r="AI774" s="2">
        <v>78366.219832800707</v>
      </c>
      <c r="AJ774" s="2">
        <v>86258.582810318199</v>
      </c>
      <c r="AK774" s="2">
        <v>128074.384461008</v>
      </c>
      <c r="AL774" s="2">
        <v>126522.103343147</v>
      </c>
      <c r="AM774" s="2">
        <v>139030.08537618001</v>
      </c>
      <c r="AN774" s="2">
        <v>138837.86089615701</v>
      </c>
      <c r="AO774" s="2">
        <v>129889.338283772</v>
      </c>
      <c r="AP774" s="2">
        <v>134297.83734883301</v>
      </c>
    </row>
    <row r="775" spans="1:42" ht="14.5" x14ac:dyDescent="0.35">
      <c r="A775" s="2" t="s">
        <v>5358</v>
      </c>
      <c r="B775" s="2">
        <v>691.28154542291998</v>
      </c>
      <c r="C775" s="2">
        <v>4.4710000000000001</v>
      </c>
      <c r="D775" s="2" t="s">
        <v>70</v>
      </c>
      <c r="E775" s="2" t="s">
        <v>5359</v>
      </c>
      <c r="F775" s="2">
        <v>56990</v>
      </c>
      <c r="G775" s="3" t="str">
        <f>HYPERLINK("http://funmeta.oebiotech.com/network/56990", "http://funmeta.oebiotech.com/network/56990")</f>
        <v>http://funmeta.oebiotech.com/network/56990</v>
      </c>
      <c r="H775" s="2" t="s">
        <v>5360</v>
      </c>
      <c r="I775" s="2">
        <v>88645</v>
      </c>
      <c r="J775" s="2"/>
      <c r="K775" s="2">
        <v>175380</v>
      </c>
      <c r="L775" s="2"/>
      <c r="M775" s="2"/>
      <c r="N775" s="2"/>
      <c r="O775" s="2">
        <v>100927764</v>
      </c>
      <c r="P775" s="2"/>
      <c r="Q775" s="2" t="s">
        <v>5361</v>
      </c>
      <c r="R775" s="2" t="s">
        <v>5362</v>
      </c>
      <c r="S775" s="2" t="s">
        <v>148</v>
      </c>
      <c r="T775" s="2" t="s">
        <v>149</v>
      </c>
      <c r="U775" s="2" t="s">
        <v>5024</v>
      </c>
      <c r="V775" s="2" t="s">
        <v>59</v>
      </c>
      <c r="W775" s="2">
        <v>37.1</v>
      </c>
      <c r="X775" s="2">
        <v>0</v>
      </c>
      <c r="Y775" s="2" t="s">
        <v>560</v>
      </c>
      <c r="Z775" s="2" t="s">
        <v>5363</v>
      </c>
      <c r="AA775" s="2">
        <v>4.1459511817722303</v>
      </c>
      <c r="AB775" s="2">
        <v>0.89894608712081103</v>
      </c>
      <c r="AC775" s="2">
        <v>148500.439416106</v>
      </c>
      <c r="AD775" s="2">
        <v>93757.152130576404</v>
      </c>
      <c r="AE775" s="2">
        <v>154344.743020319</v>
      </c>
      <c r="AF775" s="2">
        <v>135325.88453370699</v>
      </c>
      <c r="AG775" s="2">
        <v>144933.56454477899</v>
      </c>
      <c r="AH775" s="2">
        <v>151635.94658897599</v>
      </c>
      <c r="AI775" s="2">
        <v>151672.38521912301</v>
      </c>
      <c r="AJ775" s="2">
        <v>153090.11258973301</v>
      </c>
      <c r="AK775" s="2">
        <v>86507.785052021005</v>
      </c>
      <c r="AL775" s="2">
        <v>102536.689951429</v>
      </c>
      <c r="AM775" s="2">
        <v>87012.446207946807</v>
      </c>
      <c r="AN775" s="2">
        <v>104227.13330992901</v>
      </c>
      <c r="AO775" s="2">
        <v>91612.784391202993</v>
      </c>
      <c r="AP775" s="2">
        <v>90646.073870929496</v>
      </c>
    </row>
    <row r="776" spans="1:42" ht="14.5" x14ac:dyDescent="0.35">
      <c r="A776" s="2" t="s">
        <v>5364</v>
      </c>
      <c r="B776" s="2">
        <v>879.36247010166198</v>
      </c>
      <c r="C776" s="2">
        <v>9.6226833333333293</v>
      </c>
      <c r="D776" s="2" t="s">
        <v>70</v>
      </c>
      <c r="E776" s="2" t="s">
        <v>5365</v>
      </c>
      <c r="F776" s="2">
        <v>63150</v>
      </c>
      <c r="G776" s="3" t="str">
        <f>HYPERLINK("http://funmeta.oebiotech.com/network/63150", "http://funmeta.oebiotech.com/network/63150")</f>
        <v>http://funmeta.oebiotech.com/network/63150</v>
      </c>
      <c r="H776" s="2" t="s">
        <v>5366</v>
      </c>
      <c r="I776" s="2">
        <v>94457</v>
      </c>
      <c r="J776" s="2"/>
      <c r="K776" s="2"/>
      <c r="L776" s="2"/>
      <c r="M776" s="2"/>
      <c r="N776" s="2"/>
      <c r="O776" s="2">
        <v>5319262</v>
      </c>
      <c r="P776" s="2"/>
      <c r="Q776" s="2" t="s">
        <v>5367</v>
      </c>
      <c r="R776" s="2" t="s">
        <v>5368</v>
      </c>
      <c r="S776" s="2" t="s">
        <v>491</v>
      </c>
      <c r="T776" s="2" t="s">
        <v>2251</v>
      </c>
      <c r="U776" s="2" t="s">
        <v>2252</v>
      </c>
      <c r="V776" s="2" t="s">
        <v>59</v>
      </c>
      <c r="W776" s="2">
        <v>38.9</v>
      </c>
      <c r="X776" s="2">
        <v>0</v>
      </c>
      <c r="Y776" s="2" t="s">
        <v>560</v>
      </c>
      <c r="Z776" s="2" t="s">
        <v>5369</v>
      </c>
      <c r="AA776" s="2">
        <v>3.11241093998462</v>
      </c>
      <c r="AB776" s="2">
        <v>0.89850661804075904</v>
      </c>
      <c r="AC776" s="2">
        <v>209647.19192231601</v>
      </c>
      <c r="AD776" s="2">
        <v>150802.973470425</v>
      </c>
      <c r="AE776" s="2">
        <v>224077.989382509</v>
      </c>
      <c r="AF776" s="2">
        <v>198699.011592633</v>
      </c>
      <c r="AG776" s="2">
        <v>201903.95315325999</v>
      </c>
      <c r="AH776" s="2">
        <v>192908.69392826501</v>
      </c>
      <c r="AI776" s="2">
        <v>234675.07833847401</v>
      </c>
      <c r="AJ776" s="2">
        <v>205618.425138755</v>
      </c>
      <c r="AK776" s="2">
        <v>152422.96703782701</v>
      </c>
      <c r="AL776" s="2">
        <v>155847.97191375401</v>
      </c>
      <c r="AM776" s="2">
        <v>165235.99681127301</v>
      </c>
      <c r="AN776" s="2">
        <v>154846.48322721501</v>
      </c>
      <c r="AO776" s="2">
        <v>152101.241110898</v>
      </c>
      <c r="AP776" s="2">
        <v>124363.18072158001</v>
      </c>
    </row>
    <row r="777" spans="1:42" ht="14.5" x14ac:dyDescent="0.35">
      <c r="A777" s="2" t="s">
        <v>5370</v>
      </c>
      <c r="B777" s="2">
        <v>589.48217706675405</v>
      </c>
      <c r="C777" s="2">
        <v>13.4561833333333</v>
      </c>
      <c r="D777" s="2" t="s">
        <v>34</v>
      </c>
      <c r="E777" s="2" t="s">
        <v>5371</v>
      </c>
      <c r="F777" s="2">
        <v>56351</v>
      </c>
      <c r="G777" s="3" t="str">
        <f>HYPERLINK("http://funmeta.oebiotech.com/network/56351", "http://funmeta.oebiotech.com/network/56351")</f>
        <v>http://funmeta.oebiotech.com/network/56351</v>
      </c>
      <c r="H777" s="2" t="s">
        <v>5372</v>
      </c>
      <c r="I777" s="2"/>
      <c r="J777" s="2"/>
      <c r="K777" s="2"/>
      <c r="L777" s="2"/>
      <c r="M777" s="2"/>
      <c r="N777" s="2"/>
      <c r="O777" s="2">
        <v>85105044</v>
      </c>
      <c r="P777" s="2" t="s">
        <v>5373</v>
      </c>
      <c r="Q777" s="2" t="s">
        <v>5374</v>
      </c>
      <c r="R777" s="2" t="s">
        <v>5375</v>
      </c>
      <c r="S777" s="2" t="s">
        <v>50</v>
      </c>
      <c r="T777" s="2" t="s">
        <v>229</v>
      </c>
      <c r="U777" s="2" t="s">
        <v>1283</v>
      </c>
      <c r="V777" s="2" t="s">
        <v>59</v>
      </c>
      <c r="W777" s="2">
        <v>43.6</v>
      </c>
      <c r="X777" s="2">
        <v>28.7</v>
      </c>
      <c r="Y777" s="2" t="s">
        <v>141</v>
      </c>
      <c r="Z777" s="2" t="s">
        <v>5376</v>
      </c>
      <c r="AA777" s="2">
        <v>-0.78240433087195405</v>
      </c>
      <c r="AB777" s="2">
        <v>0.898388014255178</v>
      </c>
      <c r="AC777" s="2">
        <v>46862.852177576002</v>
      </c>
      <c r="AD777" s="2">
        <v>100680.49969140301</v>
      </c>
      <c r="AE777" s="2">
        <v>41511.349966449903</v>
      </c>
      <c r="AF777" s="2">
        <v>44493.577614262198</v>
      </c>
      <c r="AG777" s="2">
        <v>46773.045041604797</v>
      </c>
      <c r="AH777" s="2">
        <v>51445.107567622101</v>
      </c>
      <c r="AI777" s="2">
        <v>45154.042725851403</v>
      </c>
      <c r="AJ777" s="2">
        <v>51799.990149665799</v>
      </c>
      <c r="AK777" s="2">
        <v>96067.740525406902</v>
      </c>
      <c r="AL777" s="2">
        <v>93843.682527326499</v>
      </c>
      <c r="AM777" s="2">
        <v>113070.33474871299</v>
      </c>
      <c r="AN777" s="2">
        <v>99924.523306995499</v>
      </c>
      <c r="AO777" s="2">
        <v>101736.670449028</v>
      </c>
      <c r="AP777" s="2">
        <v>99440.046590949394</v>
      </c>
    </row>
    <row r="778" spans="1:42" ht="14.5" x14ac:dyDescent="0.35">
      <c r="A778" s="2" t="s">
        <v>5377</v>
      </c>
      <c r="B778" s="2">
        <v>448.26713486883801</v>
      </c>
      <c r="C778" s="2">
        <v>5.1518499999999996</v>
      </c>
      <c r="D778" s="2" t="s">
        <v>34</v>
      </c>
      <c r="E778" s="2" t="s">
        <v>5378</v>
      </c>
      <c r="F778" s="2">
        <v>198031</v>
      </c>
      <c r="G778" s="3" t="str">
        <f>HYPERLINK("http://funmeta.oebiotech.com/network/198031", "http://funmeta.oebiotech.com/network/198031")</f>
        <v>http://funmeta.oebiotech.com/network/198031</v>
      </c>
      <c r="H778" s="2" t="s">
        <v>5379</v>
      </c>
      <c r="I778" s="2"/>
      <c r="J778" s="2"/>
      <c r="K778" s="2"/>
      <c r="L778" s="2"/>
      <c r="M778" s="2"/>
      <c r="N778" s="2"/>
      <c r="O778" s="2"/>
      <c r="P778" s="2"/>
      <c r="Q778" s="2" t="s">
        <v>5380</v>
      </c>
      <c r="R778" s="2" t="s">
        <v>5381</v>
      </c>
      <c r="S778" s="2" t="s">
        <v>41</v>
      </c>
      <c r="T778" s="2" t="s">
        <v>41</v>
      </c>
      <c r="U778" s="2" t="s">
        <v>41</v>
      </c>
      <c r="V778" s="2" t="s">
        <v>59</v>
      </c>
      <c r="W778" s="2">
        <v>37.700000000000003</v>
      </c>
      <c r="X778" s="2">
        <v>7.99</v>
      </c>
      <c r="Y778" s="2" t="s">
        <v>323</v>
      </c>
      <c r="Z778" s="2" t="s">
        <v>5382</v>
      </c>
      <c r="AA778" s="2">
        <v>0.41435497773054097</v>
      </c>
      <c r="AB778" s="2">
        <v>0.898112837952451</v>
      </c>
      <c r="AC778" s="2">
        <v>173918.69107028499</v>
      </c>
      <c r="AD778" s="2">
        <v>237215.53223185701</v>
      </c>
      <c r="AE778" s="2">
        <v>176787.933767685</v>
      </c>
      <c r="AF778" s="2">
        <v>167864.56557623699</v>
      </c>
      <c r="AG778" s="2">
        <v>173708.056822299</v>
      </c>
      <c r="AH778" s="2">
        <v>172332.02973902901</v>
      </c>
      <c r="AI778" s="2">
        <v>193789.447220136</v>
      </c>
      <c r="AJ778" s="2">
        <v>159030.11329632599</v>
      </c>
      <c r="AK778" s="2">
        <v>206008.15167338701</v>
      </c>
      <c r="AL778" s="2">
        <v>231344.789020069</v>
      </c>
      <c r="AM778" s="2">
        <v>294450.68642094702</v>
      </c>
      <c r="AN778" s="2">
        <v>221245.233379554</v>
      </c>
      <c r="AO778" s="2">
        <v>244877.02063309401</v>
      </c>
      <c r="AP778" s="2">
        <v>225367.31226408901</v>
      </c>
    </row>
    <row r="779" spans="1:42" ht="14.5" x14ac:dyDescent="0.35">
      <c r="A779" s="2" t="s">
        <v>5383</v>
      </c>
      <c r="B779" s="2">
        <v>725.39611204092898</v>
      </c>
      <c r="C779" s="2">
        <v>10.5087833333333</v>
      </c>
      <c r="D779" s="2" t="s">
        <v>70</v>
      </c>
      <c r="E779" s="2" t="s">
        <v>5384</v>
      </c>
      <c r="F779" s="2">
        <v>64203</v>
      </c>
      <c r="G779" s="3" t="str">
        <f>HYPERLINK("http://funmeta.oebiotech.com/network/64203", "http://funmeta.oebiotech.com/network/64203")</f>
        <v>http://funmeta.oebiotech.com/network/64203</v>
      </c>
      <c r="H779" s="2" t="s">
        <v>5385</v>
      </c>
      <c r="I779" s="2"/>
      <c r="J779" s="2"/>
      <c r="K779" s="2"/>
      <c r="L779" s="2"/>
      <c r="M779" s="2"/>
      <c r="N779" s="2"/>
      <c r="O779" s="2">
        <v>131753024</v>
      </c>
      <c r="P779" s="2" t="s">
        <v>5386</v>
      </c>
      <c r="Q779" s="2" t="s">
        <v>5387</v>
      </c>
      <c r="R779" s="2" t="s">
        <v>5388</v>
      </c>
      <c r="S779" s="2" t="s">
        <v>50</v>
      </c>
      <c r="T779" s="2" t="s">
        <v>448</v>
      </c>
      <c r="U779" s="2" t="s">
        <v>449</v>
      </c>
      <c r="V779" s="2" t="s">
        <v>42</v>
      </c>
      <c r="W779" s="2">
        <v>54.3</v>
      </c>
      <c r="X779" s="2">
        <v>73.5</v>
      </c>
      <c r="Y779" s="2" t="s">
        <v>286</v>
      </c>
      <c r="Z779" s="2" t="s">
        <v>5389</v>
      </c>
      <c r="AA779" s="2">
        <v>-0.584109493789993</v>
      </c>
      <c r="AB779" s="2">
        <v>0.89681971223446399</v>
      </c>
      <c r="AC779" s="2">
        <v>185975.01516062301</v>
      </c>
      <c r="AD779" s="2">
        <v>128881.279537878</v>
      </c>
      <c r="AE779" s="2">
        <v>207155.82637664699</v>
      </c>
      <c r="AF779" s="2">
        <v>178437.05850553399</v>
      </c>
      <c r="AG779" s="2">
        <v>183690.62015832201</v>
      </c>
      <c r="AH779" s="2">
        <v>168070.09715235801</v>
      </c>
      <c r="AI779" s="2">
        <v>174535.20518128001</v>
      </c>
      <c r="AJ779" s="2">
        <v>203961.28358959401</v>
      </c>
      <c r="AK779" s="2">
        <v>117355.15823903801</v>
      </c>
      <c r="AL779" s="2">
        <v>133223.38287366301</v>
      </c>
      <c r="AM779" s="2">
        <v>140643.06591465601</v>
      </c>
      <c r="AN779" s="2">
        <v>120114.27610690201</v>
      </c>
      <c r="AO779" s="2">
        <v>136879.34015334901</v>
      </c>
      <c r="AP779" s="2">
        <v>125072.453939657</v>
      </c>
    </row>
    <row r="780" spans="1:42" ht="14.5" x14ac:dyDescent="0.35">
      <c r="A780" s="2" t="s">
        <v>5390</v>
      </c>
      <c r="B780" s="2">
        <v>347.18468267284999</v>
      </c>
      <c r="C780" s="2">
        <v>7.4427000000000003</v>
      </c>
      <c r="D780" s="2" t="s">
        <v>34</v>
      </c>
      <c r="E780" s="2" t="s">
        <v>5391</v>
      </c>
      <c r="F780" s="2">
        <v>35891</v>
      </c>
      <c r="G780" s="3" t="str">
        <f>HYPERLINK("http://funmeta.oebiotech.com/network/35891", "http://funmeta.oebiotech.com/network/35891")</f>
        <v>http://funmeta.oebiotech.com/network/35891</v>
      </c>
      <c r="H780" s="2"/>
      <c r="I780" s="2"/>
      <c r="J780" s="2" t="s">
        <v>5392</v>
      </c>
      <c r="K780" s="2"/>
      <c r="L780" s="2"/>
      <c r="M780" s="2"/>
      <c r="N780" s="2"/>
      <c r="O780" s="2">
        <v>21778843</v>
      </c>
      <c r="P780" s="2"/>
      <c r="Q780" s="2" t="s">
        <v>5393</v>
      </c>
      <c r="R780" s="2" t="s">
        <v>5394</v>
      </c>
      <c r="S780" s="2" t="s">
        <v>491</v>
      </c>
      <c r="T780" s="2" t="s">
        <v>2321</v>
      </c>
      <c r="U780" s="2" t="s">
        <v>2322</v>
      </c>
      <c r="V780" s="2" t="s">
        <v>42</v>
      </c>
      <c r="W780" s="2">
        <v>53.4</v>
      </c>
      <c r="X780" s="2">
        <v>77.900000000000006</v>
      </c>
      <c r="Y780" s="2" t="s">
        <v>141</v>
      </c>
      <c r="Z780" s="2" t="s">
        <v>1309</v>
      </c>
      <c r="AA780" s="2">
        <v>-1.69607859483042</v>
      </c>
      <c r="AB780" s="2">
        <v>0.89640496137556103</v>
      </c>
      <c r="AC780" s="2">
        <v>56618.0449917597</v>
      </c>
      <c r="AD780" s="2">
        <v>3557.277272329</v>
      </c>
      <c r="AE780" s="2">
        <v>62611.329424490803</v>
      </c>
      <c r="AF780" s="2">
        <v>56089.853964096998</v>
      </c>
      <c r="AG780" s="2">
        <v>57704.007566735498</v>
      </c>
      <c r="AH780" s="2">
        <v>59937.549192686201</v>
      </c>
      <c r="AI780" s="2">
        <v>54941.4656096135</v>
      </c>
      <c r="AJ780" s="2">
        <v>48424.064192935301</v>
      </c>
      <c r="AK780" s="2">
        <v>3887.57611867278</v>
      </c>
      <c r="AL780" s="2">
        <v>3856.70074871815</v>
      </c>
      <c r="AM780" s="2">
        <v>3346.6987666161199</v>
      </c>
      <c r="AN780" s="2">
        <v>3084.54017052986</v>
      </c>
      <c r="AO780" s="2">
        <v>2584.47713418696</v>
      </c>
      <c r="AP780" s="2">
        <v>4583.6706952501499</v>
      </c>
    </row>
    <row r="781" spans="1:42" ht="14.5" x14ac:dyDescent="0.35">
      <c r="A781" s="2" t="s">
        <v>5395</v>
      </c>
      <c r="B781" s="2">
        <v>598.33721608342796</v>
      </c>
      <c r="C781" s="2">
        <v>6.9794999999999998</v>
      </c>
      <c r="D781" s="2" t="s">
        <v>34</v>
      </c>
      <c r="E781" s="2" t="s">
        <v>5396</v>
      </c>
      <c r="F781" s="2">
        <v>28117</v>
      </c>
      <c r="G781" s="3" t="str">
        <f>HYPERLINK("http://funmeta.oebiotech.com/network/28117", "http://funmeta.oebiotech.com/network/28117")</f>
        <v>http://funmeta.oebiotech.com/network/28117</v>
      </c>
      <c r="H781" s="2"/>
      <c r="I781" s="2"/>
      <c r="J781" s="2" t="s">
        <v>5397</v>
      </c>
      <c r="K781" s="2"/>
      <c r="L781" s="2"/>
      <c r="M781" s="2"/>
      <c r="N781" s="2"/>
      <c r="O781" s="2"/>
      <c r="P781" s="2"/>
      <c r="Q781" s="2" t="s">
        <v>5398</v>
      </c>
      <c r="R781" s="2" t="s">
        <v>5399</v>
      </c>
      <c r="S781" s="2" t="s">
        <v>79</v>
      </c>
      <c r="T781" s="2" t="s">
        <v>80</v>
      </c>
      <c r="U781" s="2" t="s">
        <v>81</v>
      </c>
      <c r="V781" s="2" t="s">
        <v>42</v>
      </c>
      <c r="W781" s="2">
        <v>53.5</v>
      </c>
      <c r="X781" s="2">
        <v>76.599999999999994</v>
      </c>
      <c r="Y781" s="2" t="s">
        <v>141</v>
      </c>
      <c r="Z781" s="2" t="s">
        <v>5400</v>
      </c>
      <c r="AA781" s="2">
        <v>3.48025128451834</v>
      </c>
      <c r="AB781" s="2">
        <v>0.89586584453141105</v>
      </c>
      <c r="AC781" s="2">
        <v>466807.58383154002</v>
      </c>
      <c r="AD781" s="2">
        <v>404459.32836785301</v>
      </c>
      <c r="AE781" s="2">
        <v>460947.37184797099</v>
      </c>
      <c r="AF781" s="2">
        <v>473383.03751350503</v>
      </c>
      <c r="AG781" s="2">
        <v>499631.59445983701</v>
      </c>
      <c r="AH781" s="2">
        <v>418011.52162370703</v>
      </c>
      <c r="AI781" s="2">
        <v>457234.97225095797</v>
      </c>
      <c r="AJ781" s="2">
        <v>491637.00529326202</v>
      </c>
      <c r="AK781" s="2">
        <v>386452.29076851002</v>
      </c>
      <c r="AL781" s="2">
        <v>419232.272905413</v>
      </c>
      <c r="AM781" s="2">
        <v>406029.59106015199</v>
      </c>
      <c r="AN781" s="2">
        <v>402080.556248957</v>
      </c>
      <c r="AO781" s="2">
        <v>411112.30401563598</v>
      </c>
      <c r="AP781" s="2">
        <v>401848.95520845201</v>
      </c>
    </row>
    <row r="782" spans="1:42" ht="14.5" x14ac:dyDescent="0.35">
      <c r="A782" s="2" t="s">
        <v>5401</v>
      </c>
      <c r="B782" s="2">
        <v>801.27969403007398</v>
      </c>
      <c r="C782" s="2">
        <v>5.00538333333333</v>
      </c>
      <c r="D782" s="2" t="s">
        <v>70</v>
      </c>
      <c r="E782" s="2" t="s">
        <v>5402</v>
      </c>
      <c r="F782" s="2">
        <v>211835</v>
      </c>
      <c r="G782" s="3" t="str">
        <f>HYPERLINK("http://funmeta.oebiotech.com/network/211835", "http://funmeta.oebiotech.com/network/211835")</f>
        <v>http://funmeta.oebiotech.com/network/211835</v>
      </c>
      <c r="H782" s="2" t="s">
        <v>5403</v>
      </c>
      <c r="I782" s="2">
        <v>58459</v>
      </c>
      <c r="J782" s="2"/>
      <c r="K782" s="2"/>
      <c r="L782" s="2"/>
      <c r="M782" s="2"/>
      <c r="N782" s="2"/>
      <c r="O782" s="2">
        <v>4300193</v>
      </c>
      <c r="P782" s="2" t="s">
        <v>5404</v>
      </c>
      <c r="Q782" s="2" t="s">
        <v>5405</v>
      </c>
      <c r="R782" s="2" t="s">
        <v>5406</v>
      </c>
      <c r="S782" s="2" t="s">
        <v>79</v>
      </c>
      <c r="T782" s="2" t="s">
        <v>80</v>
      </c>
      <c r="U782" s="2" t="s">
        <v>81</v>
      </c>
      <c r="V782" s="2" t="s">
        <v>59</v>
      </c>
      <c r="W782" s="2">
        <v>39.1</v>
      </c>
      <c r="X782" s="2">
        <v>0</v>
      </c>
      <c r="Y782" s="2" t="s">
        <v>751</v>
      </c>
      <c r="Z782" s="2" t="s">
        <v>5407</v>
      </c>
      <c r="AA782" s="2">
        <v>1.76670714415495</v>
      </c>
      <c r="AB782" s="2">
        <v>0.89542063383965098</v>
      </c>
      <c r="AC782" s="2">
        <v>219124.20088774501</v>
      </c>
      <c r="AD782" s="2">
        <v>163553.259344575</v>
      </c>
      <c r="AE782" s="2">
        <v>233814.83370098501</v>
      </c>
      <c r="AF782" s="2">
        <v>216304.66392403201</v>
      </c>
      <c r="AG782" s="2">
        <v>220370.01353462</v>
      </c>
      <c r="AH782" s="2">
        <v>215248.53045005901</v>
      </c>
      <c r="AI782" s="2">
        <v>211928.51002604901</v>
      </c>
      <c r="AJ782" s="2">
        <v>217078.65369072699</v>
      </c>
      <c r="AK782" s="2">
        <v>151957.99889618799</v>
      </c>
      <c r="AL782" s="2">
        <v>178571.059022545</v>
      </c>
      <c r="AM782" s="2">
        <v>169969.101532145</v>
      </c>
      <c r="AN782" s="2">
        <v>168022.877089666</v>
      </c>
      <c r="AO782" s="2">
        <v>143917.49947534699</v>
      </c>
      <c r="AP782" s="2">
        <v>168881.020051561</v>
      </c>
    </row>
    <row r="783" spans="1:42" ht="14.5" x14ac:dyDescent="0.35">
      <c r="A783" s="2" t="s">
        <v>5408</v>
      </c>
      <c r="B783" s="2">
        <v>573.23093757646802</v>
      </c>
      <c r="C783" s="2">
        <v>5.8468499999999999</v>
      </c>
      <c r="D783" s="2" t="s">
        <v>34</v>
      </c>
      <c r="E783" s="2" t="s">
        <v>5409</v>
      </c>
      <c r="F783" s="2">
        <v>54661</v>
      </c>
      <c r="G783" s="3" t="str">
        <f>HYPERLINK("http://funmeta.oebiotech.com/network/54661", "http://funmeta.oebiotech.com/network/54661")</f>
        <v>http://funmeta.oebiotech.com/network/54661</v>
      </c>
      <c r="H783" s="2" t="s">
        <v>5410</v>
      </c>
      <c r="I783" s="2">
        <v>86477</v>
      </c>
      <c r="J783" s="2"/>
      <c r="K783" s="2">
        <v>168825</v>
      </c>
      <c r="L783" s="2"/>
      <c r="M783" s="2"/>
      <c r="N783" s="2"/>
      <c r="O783" s="2">
        <v>85219381</v>
      </c>
      <c r="P783" s="2" t="s">
        <v>5411</v>
      </c>
      <c r="Q783" s="2" t="s">
        <v>5412</v>
      </c>
      <c r="R783" s="2" t="s">
        <v>5413</v>
      </c>
      <c r="S783" s="2" t="s">
        <v>50</v>
      </c>
      <c r="T783" s="2" t="s">
        <v>229</v>
      </c>
      <c r="U783" s="2" t="s">
        <v>230</v>
      </c>
      <c r="V783" s="2" t="s">
        <v>59</v>
      </c>
      <c r="W783" s="2">
        <v>38.5</v>
      </c>
      <c r="X783" s="2">
        <v>0</v>
      </c>
      <c r="Y783" s="2" t="s">
        <v>340</v>
      </c>
      <c r="Z783" s="2" t="s">
        <v>5414</v>
      </c>
      <c r="AA783" s="2">
        <v>0.28583953166531501</v>
      </c>
      <c r="AB783" s="2">
        <v>0.89519618809440904</v>
      </c>
      <c r="AC783" s="2">
        <v>53995.912055774199</v>
      </c>
      <c r="AD783" s="2">
        <v>1277.6987256831701</v>
      </c>
      <c r="AE783" s="2">
        <v>54793.104581651103</v>
      </c>
      <c r="AF783" s="2">
        <v>53736.114943462897</v>
      </c>
      <c r="AG783" s="2">
        <v>56255.355366501703</v>
      </c>
      <c r="AH783" s="2">
        <v>50009.435232666801</v>
      </c>
      <c r="AI783" s="2">
        <v>50578.198769425901</v>
      </c>
      <c r="AJ783" s="2">
        <v>58603.263440936898</v>
      </c>
      <c r="AK783" s="2">
        <v>3106.9569769058398</v>
      </c>
      <c r="AL783" s="2">
        <v>852.72433682921405</v>
      </c>
      <c r="AM783" s="2">
        <v>1838.38321154802</v>
      </c>
      <c r="AN783" s="2">
        <v>998.84967279767204</v>
      </c>
      <c r="AO783" s="2">
        <v>2.7106294003980101E-5</v>
      </c>
      <c r="AP783" s="2">
        <v>869.27812891199403</v>
      </c>
    </row>
    <row r="784" spans="1:42" ht="14.5" x14ac:dyDescent="0.35">
      <c r="A784" s="2" t="s">
        <v>5415</v>
      </c>
      <c r="B784" s="2">
        <v>759.30784255274796</v>
      </c>
      <c r="C784" s="2">
        <v>5.4498833333333296</v>
      </c>
      <c r="D784" s="2" t="s">
        <v>70</v>
      </c>
      <c r="E784" s="2" t="s">
        <v>5416</v>
      </c>
      <c r="F784" s="2">
        <v>61332</v>
      </c>
      <c r="G784" s="3" t="str">
        <f>HYPERLINK("http://funmeta.oebiotech.com/network/61332", "http://funmeta.oebiotech.com/network/61332")</f>
        <v>http://funmeta.oebiotech.com/network/61332</v>
      </c>
      <c r="H784" s="2" t="s">
        <v>5417</v>
      </c>
      <c r="I784" s="2"/>
      <c r="J784" s="2"/>
      <c r="K784" s="2"/>
      <c r="L784" s="2"/>
      <c r="M784" s="2"/>
      <c r="N784" s="2"/>
      <c r="O784" s="2">
        <v>131752249</v>
      </c>
      <c r="P784" s="2" t="s">
        <v>5418</v>
      </c>
      <c r="Q784" s="2" t="s">
        <v>5419</v>
      </c>
      <c r="R784" s="2" t="s">
        <v>5420</v>
      </c>
      <c r="S784" s="2" t="s">
        <v>491</v>
      </c>
      <c r="T784" s="2" t="s">
        <v>2184</v>
      </c>
      <c r="U784" s="2" t="s">
        <v>5421</v>
      </c>
      <c r="V784" s="2" t="s">
        <v>42</v>
      </c>
      <c r="W784" s="2">
        <v>46.4</v>
      </c>
      <c r="X784" s="2">
        <v>52.5</v>
      </c>
      <c r="Y784" s="2" t="s">
        <v>560</v>
      </c>
      <c r="Z784" s="2" t="s">
        <v>5422</v>
      </c>
      <c r="AA784" s="2">
        <v>-2.0823528497918402</v>
      </c>
      <c r="AB784" s="2">
        <v>0.89347672500783304</v>
      </c>
      <c r="AC784" s="2">
        <v>176740.530920775</v>
      </c>
      <c r="AD784" s="2">
        <v>231115.88905822899</v>
      </c>
      <c r="AE784" s="2">
        <v>190191.726340119</v>
      </c>
      <c r="AF784" s="2">
        <v>159743.65784965901</v>
      </c>
      <c r="AG784" s="2">
        <v>177335.64005603199</v>
      </c>
      <c r="AH784" s="2">
        <v>172060.552640996</v>
      </c>
      <c r="AI784" s="2">
        <v>178340.657848815</v>
      </c>
      <c r="AJ784" s="2">
        <v>182770.95078903201</v>
      </c>
      <c r="AK784" s="2">
        <v>228054.13923652301</v>
      </c>
      <c r="AL784" s="2">
        <v>226965.777937812</v>
      </c>
      <c r="AM784" s="2">
        <v>242015.57836403299</v>
      </c>
      <c r="AN784" s="2">
        <v>229610.711255203</v>
      </c>
      <c r="AO784" s="2">
        <v>225938.98044928699</v>
      </c>
      <c r="AP784" s="2">
        <v>234110.14710651699</v>
      </c>
    </row>
    <row r="785" spans="1:42" ht="14.5" x14ac:dyDescent="0.35">
      <c r="A785" s="2" t="s">
        <v>5423</v>
      </c>
      <c r="B785" s="2">
        <v>445.258153732381</v>
      </c>
      <c r="C785" s="2">
        <v>10.792766666666701</v>
      </c>
      <c r="D785" s="2" t="s">
        <v>34</v>
      </c>
      <c r="E785" s="2" t="s">
        <v>5424</v>
      </c>
      <c r="F785" s="2">
        <v>50906</v>
      </c>
      <c r="G785" s="3" t="str">
        <f>HYPERLINK("http://funmeta.oebiotech.com/network/50906", "http://funmeta.oebiotech.com/network/50906")</f>
        <v>http://funmeta.oebiotech.com/network/50906</v>
      </c>
      <c r="H785" s="2" t="s">
        <v>5425</v>
      </c>
      <c r="I785" s="2">
        <v>61659</v>
      </c>
      <c r="J785" s="2"/>
      <c r="K785" s="2">
        <v>88739</v>
      </c>
      <c r="L785" s="2" t="s">
        <v>1994</v>
      </c>
      <c r="M785" s="2" t="s">
        <v>1995</v>
      </c>
      <c r="N785" s="2" t="s">
        <v>1996</v>
      </c>
      <c r="O785" s="2">
        <v>6440956</v>
      </c>
      <c r="P785" s="2"/>
      <c r="Q785" s="2" t="s">
        <v>5426</v>
      </c>
      <c r="R785" s="2" t="s">
        <v>5427</v>
      </c>
      <c r="S785" s="2" t="s">
        <v>50</v>
      </c>
      <c r="T785" s="2" t="s">
        <v>201</v>
      </c>
      <c r="U785" s="2" t="s">
        <v>202</v>
      </c>
      <c r="V785" s="2" t="s">
        <v>59</v>
      </c>
      <c r="W785" s="2">
        <v>43.6</v>
      </c>
      <c r="X785" s="2">
        <v>24.3</v>
      </c>
      <c r="Y785" s="2" t="s">
        <v>141</v>
      </c>
      <c r="Z785" s="2" t="s">
        <v>5428</v>
      </c>
      <c r="AA785" s="2">
        <v>-0.674018988130623</v>
      </c>
      <c r="AB785" s="2">
        <v>0.89206013667863404</v>
      </c>
      <c r="AC785" s="2">
        <v>71527.8392935624</v>
      </c>
      <c r="AD785" s="2">
        <v>18894.565985131201</v>
      </c>
      <c r="AE785" s="2">
        <v>65574.935345768899</v>
      </c>
      <c r="AF785" s="2">
        <v>73989.787669075697</v>
      </c>
      <c r="AG785" s="2">
        <v>75715.117213246107</v>
      </c>
      <c r="AH785" s="2">
        <v>70238.103307320096</v>
      </c>
      <c r="AI785" s="2">
        <v>68391.935004623505</v>
      </c>
      <c r="AJ785" s="2">
        <v>75257.157221340196</v>
      </c>
      <c r="AK785" s="2">
        <v>16987.6673959031</v>
      </c>
      <c r="AL785" s="2">
        <v>26132.962460668699</v>
      </c>
      <c r="AM785" s="2">
        <v>15414.3268520622</v>
      </c>
      <c r="AN785" s="2">
        <v>17965.7613432744</v>
      </c>
      <c r="AO785" s="2">
        <v>20331.3891915106</v>
      </c>
      <c r="AP785" s="2">
        <v>16535.288667368099</v>
      </c>
    </row>
    <row r="786" spans="1:42" ht="14.5" x14ac:dyDescent="0.35">
      <c r="A786" s="2" t="s">
        <v>5429</v>
      </c>
      <c r="B786" s="2">
        <v>655.36944658642199</v>
      </c>
      <c r="C786" s="2">
        <v>6.6313500000000003</v>
      </c>
      <c r="D786" s="2" t="s">
        <v>70</v>
      </c>
      <c r="E786" s="2" t="s">
        <v>5430</v>
      </c>
      <c r="F786" s="2">
        <v>46798</v>
      </c>
      <c r="G786" s="3" t="str">
        <f>HYPERLINK("http://funmeta.oebiotech.com/network/46798", "http://funmeta.oebiotech.com/network/46798")</f>
        <v>http://funmeta.oebiotech.com/network/46798</v>
      </c>
      <c r="H786" s="2"/>
      <c r="I786" s="2"/>
      <c r="J786" s="2" t="s">
        <v>5431</v>
      </c>
      <c r="K786" s="2"/>
      <c r="L786" s="2"/>
      <c r="M786" s="2"/>
      <c r="N786" s="2"/>
      <c r="O786" s="2"/>
      <c r="P786" s="2"/>
      <c r="Q786" s="2" t="s">
        <v>5432</v>
      </c>
      <c r="R786" s="2" t="s">
        <v>5433</v>
      </c>
      <c r="S786" s="2" t="s">
        <v>50</v>
      </c>
      <c r="T786" s="2" t="s">
        <v>124</v>
      </c>
      <c r="U786" s="2" t="s">
        <v>723</v>
      </c>
      <c r="V786" s="2" t="s">
        <v>42</v>
      </c>
      <c r="W786" s="2">
        <v>53.4</v>
      </c>
      <c r="X786" s="2">
        <v>70.2</v>
      </c>
      <c r="Y786" s="2" t="s">
        <v>408</v>
      </c>
      <c r="Z786" s="2" t="s">
        <v>5434</v>
      </c>
      <c r="AA786" s="2">
        <v>-0.74415468470429202</v>
      </c>
      <c r="AB786" s="2">
        <v>0.89205614804557098</v>
      </c>
      <c r="AC786" s="2">
        <v>154189.124634376</v>
      </c>
      <c r="AD786" s="2">
        <v>208614.05676997101</v>
      </c>
      <c r="AE786" s="2">
        <v>161952.69366375299</v>
      </c>
      <c r="AF786" s="2">
        <v>138855.51134110201</v>
      </c>
      <c r="AG786" s="2">
        <v>151950.89089819399</v>
      </c>
      <c r="AH786" s="2">
        <v>155887.335998086</v>
      </c>
      <c r="AI786" s="2">
        <v>161327.96740193199</v>
      </c>
      <c r="AJ786" s="2">
        <v>155160.34850318599</v>
      </c>
      <c r="AK786" s="2">
        <v>210571.849465201</v>
      </c>
      <c r="AL786" s="2">
        <v>195491.70178480601</v>
      </c>
      <c r="AM786" s="2">
        <v>217309.80112126001</v>
      </c>
      <c r="AN786" s="2">
        <v>212167.98991618201</v>
      </c>
      <c r="AO786" s="2">
        <v>197612.49087583201</v>
      </c>
      <c r="AP786" s="2">
        <v>218530.507456544</v>
      </c>
    </row>
    <row r="787" spans="1:42" ht="14.5" x14ac:dyDescent="0.35">
      <c r="A787" s="2" t="s">
        <v>5435</v>
      </c>
      <c r="B787" s="2">
        <v>671.36389117158205</v>
      </c>
      <c r="C787" s="2">
        <v>5.84148333333333</v>
      </c>
      <c r="D787" s="2" t="s">
        <v>70</v>
      </c>
      <c r="E787" s="2" t="s">
        <v>5436</v>
      </c>
      <c r="F787" s="2">
        <v>43528</v>
      </c>
      <c r="G787" s="3" t="str">
        <f>HYPERLINK("http://funmeta.oebiotech.com/network/43528", "http://funmeta.oebiotech.com/network/43528")</f>
        <v>http://funmeta.oebiotech.com/network/43528</v>
      </c>
      <c r="H787" s="2"/>
      <c r="I787" s="2"/>
      <c r="J787" s="2" t="s">
        <v>5437</v>
      </c>
      <c r="K787" s="2">
        <v>23890</v>
      </c>
      <c r="L787" s="2"/>
      <c r="M787" s="2"/>
      <c r="N787" s="2"/>
      <c r="O787" s="2">
        <v>152743334</v>
      </c>
      <c r="P787" s="2"/>
      <c r="Q787" s="2" t="s">
        <v>5438</v>
      </c>
      <c r="R787" s="2" t="s">
        <v>5439</v>
      </c>
      <c r="S787" s="2" t="s">
        <v>50</v>
      </c>
      <c r="T787" s="2" t="s">
        <v>124</v>
      </c>
      <c r="U787" s="2" t="s">
        <v>523</v>
      </c>
      <c r="V787" s="2" t="s">
        <v>42</v>
      </c>
      <c r="W787" s="2">
        <v>56.2</v>
      </c>
      <c r="X787" s="2">
        <v>91.3</v>
      </c>
      <c r="Y787" s="2" t="s">
        <v>408</v>
      </c>
      <c r="Z787" s="2" t="s">
        <v>2406</v>
      </c>
      <c r="AA787" s="2">
        <v>-1.47556612960856</v>
      </c>
      <c r="AB787" s="2">
        <v>0.89083786980853097</v>
      </c>
      <c r="AC787" s="2">
        <v>99964.881887960699</v>
      </c>
      <c r="AD787" s="2">
        <v>153660.019186469</v>
      </c>
      <c r="AE787" s="2">
        <v>99012.647619001204</v>
      </c>
      <c r="AF787" s="2">
        <v>97175.550156004101</v>
      </c>
      <c r="AG787" s="2">
        <v>93389.211596655805</v>
      </c>
      <c r="AH787" s="2">
        <v>94158.023562331204</v>
      </c>
      <c r="AI787" s="2">
        <v>113854.894804646</v>
      </c>
      <c r="AJ787" s="2">
        <v>102198.963589126</v>
      </c>
      <c r="AK787" s="2">
        <v>149577.87176314901</v>
      </c>
      <c r="AL787" s="2">
        <v>162185.79309936799</v>
      </c>
      <c r="AM787" s="2">
        <v>140342.180828918</v>
      </c>
      <c r="AN787" s="2">
        <v>154621.07878466099</v>
      </c>
      <c r="AO787" s="2">
        <v>155154.11303348199</v>
      </c>
      <c r="AP787" s="2">
        <v>160079.077609239</v>
      </c>
    </row>
    <row r="788" spans="1:42" ht="14.5" x14ac:dyDescent="0.35">
      <c r="A788" s="2" t="s">
        <v>5440</v>
      </c>
      <c r="B788" s="2">
        <v>375.12945987482198</v>
      </c>
      <c r="C788" s="2">
        <v>3.53996666666667</v>
      </c>
      <c r="D788" s="2" t="s">
        <v>70</v>
      </c>
      <c r="E788" s="2" t="s">
        <v>5441</v>
      </c>
      <c r="F788" s="2">
        <v>202666</v>
      </c>
      <c r="G788" s="3" t="str">
        <f>HYPERLINK("http://funmeta.oebiotech.com/network/202666", "http://funmeta.oebiotech.com/network/202666")</f>
        <v>http://funmeta.oebiotech.com/network/202666</v>
      </c>
      <c r="H788" s="2" t="s">
        <v>5442</v>
      </c>
      <c r="I788" s="2"/>
      <c r="J788" s="2"/>
      <c r="K788" s="2"/>
      <c r="L788" s="2"/>
      <c r="M788" s="2"/>
      <c r="N788" s="2"/>
      <c r="O788" s="2">
        <v>4430509</v>
      </c>
      <c r="P788" s="2"/>
      <c r="Q788" s="2" t="s">
        <v>5443</v>
      </c>
      <c r="R788" s="2" t="s">
        <v>5444</v>
      </c>
      <c r="S788" s="2" t="s">
        <v>50</v>
      </c>
      <c r="T788" s="2" t="s">
        <v>201</v>
      </c>
      <c r="U788" s="2" t="s">
        <v>202</v>
      </c>
      <c r="V788" s="2" t="s">
        <v>42</v>
      </c>
      <c r="W788" s="2">
        <v>55.7</v>
      </c>
      <c r="X788" s="2">
        <v>83.5</v>
      </c>
      <c r="Y788" s="2" t="s">
        <v>286</v>
      </c>
      <c r="Z788" s="2" t="s">
        <v>2072</v>
      </c>
      <c r="AA788" s="2">
        <v>-0.56005787053576095</v>
      </c>
      <c r="AB788" s="2">
        <v>0.89019601209855403</v>
      </c>
      <c r="AC788" s="2">
        <v>193210.497351545</v>
      </c>
      <c r="AD788" s="2">
        <v>248396.73396969101</v>
      </c>
      <c r="AE788" s="2">
        <v>196665.450306891</v>
      </c>
      <c r="AF788" s="2">
        <v>200526.48481329699</v>
      </c>
      <c r="AG788" s="2">
        <v>193750.42129540999</v>
      </c>
      <c r="AH788" s="2">
        <v>186461.401836943</v>
      </c>
      <c r="AI788" s="2">
        <v>185496.11640675901</v>
      </c>
      <c r="AJ788" s="2">
        <v>196363.10944996899</v>
      </c>
      <c r="AK788" s="2">
        <v>222765.70264523101</v>
      </c>
      <c r="AL788" s="2">
        <v>260759.157917851</v>
      </c>
      <c r="AM788" s="2">
        <v>255053.26374159899</v>
      </c>
      <c r="AN788" s="2">
        <v>247498.019550397</v>
      </c>
      <c r="AO788" s="2">
        <v>247757.501621431</v>
      </c>
      <c r="AP788" s="2">
        <v>256546.758341637</v>
      </c>
    </row>
    <row r="789" spans="1:42" ht="14.5" x14ac:dyDescent="0.35">
      <c r="A789" s="2" t="s">
        <v>5445</v>
      </c>
      <c r="B789" s="2">
        <v>246.24233126919199</v>
      </c>
      <c r="C789" s="2">
        <v>6.7110666666666701</v>
      </c>
      <c r="D789" s="2" t="s">
        <v>34</v>
      </c>
      <c r="E789" s="2" t="s">
        <v>5446</v>
      </c>
      <c r="F789" s="2">
        <v>61</v>
      </c>
      <c r="G789" s="3" t="str">
        <f>HYPERLINK("http://funmeta.oebiotech.com/network/61", "http://funmeta.oebiotech.com/network/61")</f>
        <v>http://funmeta.oebiotech.com/network/61</v>
      </c>
      <c r="H789" s="2" t="s">
        <v>5447</v>
      </c>
      <c r="I789" s="2">
        <v>196</v>
      </c>
      <c r="J789" s="2" t="s">
        <v>5448</v>
      </c>
      <c r="K789" s="2">
        <v>28875</v>
      </c>
      <c r="L789" s="2" t="s">
        <v>5449</v>
      </c>
      <c r="M789" s="2" t="s">
        <v>5450</v>
      </c>
      <c r="N789" s="2" t="s">
        <v>5451</v>
      </c>
      <c r="O789" s="2">
        <v>11005</v>
      </c>
      <c r="P789" s="2" t="s">
        <v>5452</v>
      </c>
      <c r="Q789" s="2" t="s">
        <v>5453</v>
      </c>
      <c r="R789" s="2" t="s">
        <v>5454</v>
      </c>
      <c r="S789" s="2" t="s">
        <v>50</v>
      </c>
      <c r="T789" s="2" t="s">
        <v>229</v>
      </c>
      <c r="U789" s="2" t="s">
        <v>433</v>
      </c>
      <c r="V789" s="2" t="s">
        <v>42</v>
      </c>
      <c r="W789" s="2">
        <v>48.7</v>
      </c>
      <c r="X789" s="2">
        <v>48.5</v>
      </c>
      <c r="Y789" s="2" t="s">
        <v>43</v>
      </c>
      <c r="Z789" s="2" t="s">
        <v>5455</v>
      </c>
      <c r="AA789" s="2">
        <v>-1.8596901005119399</v>
      </c>
      <c r="AB789" s="2">
        <v>0.88959501711455402</v>
      </c>
      <c r="AC789" s="2">
        <v>167586.47407470801</v>
      </c>
      <c r="AD789" s="2">
        <v>241296.55655447699</v>
      </c>
      <c r="AE789" s="2">
        <v>187264.08522682</v>
      </c>
      <c r="AF789" s="2">
        <v>106138.665540528</v>
      </c>
      <c r="AG789" s="2">
        <v>198207.117657219</v>
      </c>
      <c r="AH789" s="2">
        <v>98816.489267469398</v>
      </c>
      <c r="AI789" s="2">
        <v>181735.15980492701</v>
      </c>
      <c r="AJ789" s="2">
        <v>233357.32695128201</v>
      </c>
      <c r="AK789" s="2">
        <v>237322.70362369099</v>
      </c>
      <c r="AL789" s="2">
        <v>245673.83515125999</v>
      </c>
      <c r="AM789" s="2">
        <v>216854.12457267099</v>
      </c>
      <c r="AN789" s="2">
        <v>281789.938473202</v>
      </c>
      <c r="AO789" s="2">
        <v>237950.336697925</v>
      </c>
      <c r="AP789" s="2">
        <v>228188.40080811299</v>
      </c>
    </row>
    <row r="790" spans="1:42" ht="14.5" x14ac:dyDescent="0.35">
      <c r="A790" s="2" t="s">
        <v>5456</v>
      </c>
      <c r="B790" s="2">
        <v>309.27800658340999</v>
      </c>
      <c r="C790" s="2">
        <v>13.2977333333333</v>
      </c>
      <c r="D790" s="2" t="s">
        <v>34</v>
      </c>
      <c r="E790" s="2" t="s">
        <v>5457</v>
      </c>
      <c r="F790" s="2">
        <v>2133</v>
      </c>
      <c r="G790" s="3" t="str">
        <f>HYPERLINK("http://funmeta.oebiotech.com/network/2133", "http://funmeta.oebiotech.com/network/2133")</f>
        <v>http://funmeta.oebiotech.com/network/2133</v>
      </c>
      <c r="H790" s="2"/>
      <c r="I790" s="2">
        <v>74770</v>
      </c>
      <c r="J790" s="2" t="s">
        <v>5458</v>
      </c>
      <c r="K790" s="2"/>
      <c r="L790" s="2"/>
      <c r="M790" s="2"/>
      <c r="N790" s="2"/>
      <c r="O790" s="2">
        <v>5312920</v>
      </c>
      <c r="P790" s="2"/>
      <c r="Q790" s="2" t="s">
        <v>5459</v>
      </c>
      <c r="R790" s="2" t="s">
        <v>5460</v>
      </c>
      <c r="S790" s="2" t="s">
        <v>50</v>
      </c>
      <c r="T790" s="2" t="s">
        <v>229</v>
      </c>
      <c r="U790" s="2" t="s">
        <v>433</v>
      </c>
      <c r="V790" s="2" t="s">
        <v>59</v>
      </c>
      <c r="W790" s="2">
        <v>46.9</v>
      </c>
      <c r="X790" s="2">
        <v>42.5</v>
      </c>
      <c r="Y790" s="2" t="s">
        <v>141</v>
      </c>
      <c r="Z790" s="2" t="s">
        <v>5461</v>
      </c>
      <c r="AA790" s="2">
        <v>-2.4526136810159702</v>
      </c>
      <c r="AB790" s="2">
        <v>0.88831259863516299</v>
      </c>
      <c r="AC790" s="2">
        <v>1482.45876924861</v>
      </c>
      <c r="AD790" s="2">
        <v>53389.282874387303</v>
      </c>
      <c r="AE790" s="2">
        <v>1479.16086318932</v>
      </c>
      <c r="AF790" s="2">
        <v>1418.92948215005</v>
      </c>
      <c r="AG790" s="2">
        <v>1429.2550913110499</v>
      </c>
      <c r="AH790" s="2">
        <v>1713.33529858006</v>
      </c>
      <c r="AI790" s="2">
        <v>1488.5514783501501</v>
      </c>
      <c r="AJ790" s="2">
        <v>1365.5204019110599</v>
      </c>
      <c r="AK790" s="2">
        <v>53045.505571870897</v>
      </c>
      <c r="AL790" s="2">
        <v>50795.389690414799</v>
      </c>
      <c r="AM790" s="2">
        <v>59215.822422957302</v>
      </c>
      <c r="AN790" s="2">
        <v>51664.825717286098</v>
      </c>
      <c r="AO790" s="2">
        <v>52086.915221070398</v>
      </c>
      <c r="AP790" s="2">
        <v>53527.238622724501</v>
      </c>
    </row>
    <row r="791" spans="1:42" ht="14.5" x14ac:dyDescent="0.35">
      <c r="A791" s="2" t="s">
        <v>5462</v>
      </c>
      <c r="B791" s="2">
        <v>617.25616711790997</v>
      </c>
      <c r="C791" s="2">
        <v>11.102133333333301</v>
      </c>
      <c r="D791" s="2" t="s">
        <v>34</v>
      </c>
      <c r="E791" s="2" t="s">
        <v>5463</v>
      </c>
      <c r="F791" s="2">
        <v>289923</v>
      </c>
      <c r="G791" s="3" t="str">
        <f>HYPERLINK("http://funmeta.oebiotech.com/network/289923", "http://funmeta.oebiotech.com/network/289923")</f>
        <v>http://funmeta.oebiotech.com/network/289923</v>
      </c>
      <c r="H791" s="2"/>
      <c r="I791" s="2">
        <v>985270</v>
      </c>
      <c r="J791" s="2"/>
      <c r="K791" s="2"/>
      <c r="L791" s="2"/>
      <c r="M791" s="2"/>
      <c r="N791" s="2"/>
      <c r="O791" s="2">
        <v>21637600</v>
      </c>
      <c r="P791" s="2"/>
      <c r="Q791" s="2" t="s">
        <v>5464</v>
      </c>
      <c r="R791" s="2" t="s">
        <v>5465</v>
      </c>
      <c r="S791" s="2" t="s">
        <v>115</v>
      </c>
      <c r="T791" s="2" t="s">
        <v>575</v>
      </c>
      <c r="U791" s="2" t="s">
        <v>576</v>
      </c>
      <c r="V791" s="2" t="s">
        <v>59</v>
      </c>
      <c r="W791" s="2">
        <v>38.799999999999997</v>
      </c>
      <c r="X791" s="2">
        <v>0</v>
      </c>
      <c r="Y791" s="2" t="s">
        <v>323</v>
      </c>
      <c r="Z791" s="2" t="s">
        <v>569</v>
      </c>
      <c r="AA791" s="2">
        <v>-1.14484403768304</v>
      </c>
      <c r="AB791" s="2">
        <v>0.88720613683721705</v>
      </c>
      <c r="AC791" s="2">
        <v>60716.2684678226</v>
      </c>
      <c r="AD791" s="2">
        <v>9016.9011057358402</v>
      </c>
      <c r="AE791" s="2">
        <v>61919.874185293702</v>
      </c>
      <c r="AF791" s="2">
        <v>60870.202656323803</v>
      </c>
      <c r="AG791" s="2">
        <v>59529.203319711902</v>
      </c>
      <c r="AH791" s="2">
        <v>59254.178867420203</v>
      </c>
      <c r="AI791" s="2">
        <v>59404.0591240578</v>
      </c>
      <c r="AJ791" s="2">
        <v>63320.092654127999</v>
      </c>
      <c r="AK791" s="2">
        <v>7417.8314830810205</v>
      </c>
      <c r="AL791" s="2">
        <v>10187.5029124475</v>
      </c>
      <c r="AM791" s="2">
        <v>8186.9610769404198</v>
      </c>
      <c r="AN791" s="2">
        <v>9003.2334778876993</v>
      </c>
      <c r="AO791" s="2">
        <v>10673.2004663759</v>
      </c>
      <c r="AP791" s="2">
        <v>8632.6772176824797</v>
      </c>
    </row>
    <row r="792" spans="1:42" ht="14.5" x14ac:dyDescent="0.35">
      <c r="A792" s="2" t="s">
        <v>5466</v>
      </c>
      <c r="B792" s="2">
        <v>754.42507616972603</v>
      </c>
      <c r="C792" s="2">
        <v>5.4735333333333296</v>
      </c>
      <c r="D792" s="2" t="s">
        <v>34</v>
      </c>
      <c r="E792" s="2" t="s">
        <v>5467</v>
      </c>
      <c r="F792" s="2">
        <v>213825</v>
      </c>
      <c r="G792" s="3" t="str">
        <f>HYPERLINK("http://funmeta.oebiotech.com/network/213825", "http://funmeta.oebiotech.com/network/213825")</f>
        <v>http://funmeta.oebiotech.com/network/213825</v>
      </c>
      <c r="H792" s="2" t="s">
        <v>5468</v>
      </c>
      <c r="I792" s="2"/>
      <c r="J792" s="2"/>
      <c r="K792" s="2"/>
      <c r="L792" s="2"/>
      <c r="M792" s="2"/>
      <c r="N792" s="2"/>
      <c r="O792" s="2"/>
      <c r="P792" s="2"/>
      <c r="Q792" s="2" t="s">
        <v>5469</v>
      </c>
      <c r="R792" s="2" t="s">
        <v>5470</v>
      </c>
      <c r="S792" s="2" t="s">
        <v>41</v>
      </c>
      <c r="T792" s="2" t="s">
        <v>41</v>
      </c>
      <c r="U792" s="2" t="s">
        <v>41</v>
      </c>
      <c r="V792" s="2" t="s">
        <v>59</v>
      </c>
      <c r="W792" s="2">
        <v>36.5</v>
      </c>
      <c r="X792" s="2">
        <v>0</v>
      </c>
      <c r="Y792" s="2" t="s">
        <v>323</v>
      </c>
      <c r="Z792" s="2" t="s">
        <v>5471</v>
      </c>
      <c r="AA792" s="2">
        <v>-2.0412915153632398</v>
      </c>
      <c r="AB792" s="2">
        <v>0.88652368135364101</v>
      </c>
      <c r="AC792" s="2">
        <v>265066.32433407998</v>
      </c>
      <c r="AD792" s="2">
        <v>210381.03110654</v>
      </c>
      <c r="AE792" s="2">
        <v>259936.722622906</v>
      </c>
      <c r="AF792" s="2">
        <v>269774.40735512198</v>
      </c>
      <c r="AG792" s="2">
        <v>266107.11558827001</v>
      </c>
      <c r="AH792" s="2">
        <v>263500.66021890898</v>
      </c>
      <c r="AI792" s="2">
        <v>277948.30704475602</v>
      </c>
      <c r="AJ792" s="2">
        <v>253130.733174519</v>
      </c>
      <c r="AK792" s="2">
        <v>199281.88842829599</v>
      </c>
      <c r="AL792" s="2">
        <v>202643.71204676601</v>
      </c>
      <c r="AM792" s="2">
        <v>220606.93351601801</v>
      </c>
      <c r="AN792" s="2">
        <v>209694.85285874401</v>
      </c>
      <c r="AO792" s="2">
        <v>201742.31399885201</v>
      </c>
      <c r="AP792" s="2">
        <v>228316.48579056701</v>
      </c>
    </row>
    <row r="793" spans="1:42" ht="14.5" x14ac:dyDescent="0.35">
      <c r="A793" s="2" t="s">
        <v>5472</v>
      </c>
      <c r="B793" s="2">
        <v>455.22829933174</v>
      </c>
      <c r="C793" s="2">
        <v>5.3939333333333304</v>
      </c>
      <c r="D793" s="2" t="s">
        <v>70</v>
      </c>
      <c r="E793" s="2" t="s">
        <v>5473</v>
      </c>
      <c r="F793" s="2">
        <v>3830</v>
      </c>
      <c r="G793" s="3" t="str">
        <f>HYPERLINK("http://funmeta.oebiotech.com/network/3830", "http://funmeta.oebiotech.com/network/3830")</f>
        <v>http://funmeta.oebiotech.com/network/3830</v>
      </c>
      <c r="H793" s="2"/>
      <c r="I793" s="2"/>
      <c r="J793" s="2" t="s">
        <v>5474</v>
      </c>
      <c r="K793" s="2"/>
      <c r="L793" s="2"/>
      <c r="M793" s="2"/>
      <c r="N793" s="2"/>
      <c r="O793" s="2">
        <v>118713850</v>
      </c>
      <c r="P793" s="2"/>
      <c r="Q793" s="2" t="s">
        <v>5475</v>
      </c>
      <c r="R793" s="2" t="s">
        <v>5476</v>
      </c>
      <c r="S793" s="2" t="s">
        <v>50</v>
      </c>
      <c r="T793" s="2" t="s">
        <v>229</v>
      </c>
      <c r="U793" s="2" t="s">
        <v>766</v>
      </c>
      <c r="V793" s="2" t="s">
        <v>42</v>
      </c>
      <c r="W793" s="2">
        <v>53.4</v>
      </c>
      <c r="X793" s="2">
        <v>69.400000000000006</v>
      </c>
      <c r="Y793" s="2" t="s">
        <v>408</v>
      </c>
      <c r="Z793" s="2" t="s">
        <v>5477</v>
      </c>
      <c r="AA793" s="2">
        <v>-0.870158608487132</v>
      </c>
      <c r="AB793" s="2">
        <v>0.88518150603428802</v>
      </c>
      <c r="AC793" s="2">
        <v>129532.048357388</v>
      </c>
      <c r="AD793" s="2">
        <v>71480.416891316403</v>
      </c>
      <c r="AE793" s="2">
        <v>133359.42676970601</v>
      </c>
      <c r="AF793" s="2">
        <v>127795.447927413</v>
      </c>
      <c r="AG793" s="2">
        <v>138294.77164622201</v>
      </c>
      <c r="AH793" s="2">
        <v>124228.445503418</v>
      </c>
      <c r="AI793" s="2">
        <v>117630.09413691</v>
      </c>
      <c r="AJ793" s="2">
        <v>135884.10416065701</v>
      </c>
      <c r="AK793" s="2">
        <v>101777.456737377</v>
      </c>
      <c r="AL793" s="2">
        <v>98806.774510904899</v>
      </c>
      <c r="AM793" s="2">
        <v>60951.521410101603</v>
      </c>
      <c r="AN793" s="2">
        <v>53198.116830683197</v>
      </c>
      <c r="AO793" s="2">
        <v>65753.662389344798</v>
      </c>
      <c r="AP793" s="2">
        <v>48394.9694694871</v>
      </c>
    </row>
    <row r="794" spans="1:42" ht="14.5" x14ac:dyDescent="0.35">
      <c r="A794" s="2" t="s">
        <v>5478</v>
      </c>
      <c r="B794" s="2">
        <v>634.33433671576699</v>
      </c>
      <c r="C794" s="2">
        <v>7.5713999999999997</v>
      </c>
      <c r="D794" s="2" t="s">
        <v>34</v>
      </c>
      <c r="E794" s="2" t="s">
        <v>5479</v>
      </c>
      <c r="F794" s="2">
        <v>241940</v>
      </c>
      <c r="G794" s="3" t="str">
        <f>HYPERLINK("http://funmeta.oebiotech.com/network/241940", "http://funmeta.oebiotech.com/network/241940")</f>
        <v>http://funmeta.oebiotech.com/network/241940</v>
      </c>
      <c r="H794" s="2" t="s">
        <v>5480</v>
      </c>
      <c r="I794" s="2"/>
      <c r="J794" s="2"/>
      <c r="K794" s="2"/>
      <c r="L794" s="2"/>
      <c r="M794" s="2"/>
      <c r="N794" s="2"/>
      <c r="O794" s="2"/>
      <c r="P794" s="2"/>
      <c r="Q794" s="2" t="s">
        <v>5481</v>
      </c>
      <c r="R794" s="2" t="s">
        <v>5482</v>
      </c>
      <c r="S794" s="2" t="s">
        <v>41</v>
      </c>
      <c r="T794" s="2" t="s">
        <v>41</v>
      </c>
      <c r="U794" s="2" t="s">
        <v>41</v>
      </c>
      <c r="V794" s="2" t="s">
        <v>59</v>
      </c>
      <c r="W794" s="2">
        <v>41.2</v>
      </c>
      <c r="X794" s="2">
        <v>19.3</v>
      </c>
      <c r="Y794" s="2" t="s">
        <v>141</v>
      </c>
      <c r="Z794" s="2" t="s">
        <v>670</v>
      </c>
      <c r="AA794" s="2">
        <v>-1.1327991341407999</v>
      </c>
      <c r="AB794" s="2">
        <v>0.884106361797802</v>
      </c>
      <c r="AC794" s="2">
        <v>42528.250073816598</v>
      </c>
      <c r="AD794" s="2">
        <v>95564.487427530898</v>
      </c>
      <c r="AE794" s="2">
        <v>39492.720340622698</v>
      </c>
      <c r="AF794" s="2">
        <v>51722.2704298998</v>
      </c>
      <c r="AG794" s="2">
        <v>38345.292255651599</v>
      </c>
      <c r="AH794" s="2">
        <v>36930.285966943004</v>
      </c>
      <c r="AI794" s="2">
        <v>39481.975546507798</v>
      </c>
      <c r="AJ794" s="2">
        <v>49196.955903274502</v>
      </c>
      <c r="AK794" s="2">
        <v>93623.230824572398</v>
      </c>
      <c r="AL794" s="2">
        <v>100070.837849444</v>
      </c>
      <c r="AM794" s="2">
        <v>81456.989227978003</v>
      </c>
      <c r="AN794" s="2">
        <v>92021.349278367998</v>
      </c>
      <c r="AO794" s="2">
        <v>103086.274396355</v>
      </c>
      <c r="AP794" s="2">
        <v>103128.242988468</v>
      </c>
    </row>
    <row r="795" spans="1:42" ht="14.5" x14ac:dyDescent="0.35">
      <c r="A795" s="2" t="s">
        <v>5483</v>
      </c>
      <c r="B795" s="2">
        <v>369.15188275457899</v>
      </c>
      <c r="C795" s="2">
        <v>4.6168333333333296</v>
      </c>
      <c r="D795" s="2" t="s">
        <v>34</v>
      </c>
      <c r="E795" s="2" t="s">
        <v>5484</v>
      </c>
      <c r="F795" s="2">
        <v>61583</v>
      </c>
      <c r="G795" s="3" t="str">
        <f>HYPERLINK("http://funmeta.oebiotech.com/network/61583", "http://funmeta.oebiotech.com/network/61583")</f>
        <v>http://funmeta.oebiotech.com/network/61583</v>
      </c>
      <c r="H795" s="2" t="s">
        <v>5485</v>
      </c>
      <c r="I795" s="2">
        <v>92890</v>
      </c>
      <c r="J795" s="2"/>
      <c r="K795" s="2"/>
      <c r="L795" s="2"/>
      <c r="M795" s="2"/>
      <c r="N795" s="2"/>
      <c r="O795" s="2">
        <v>14020067</v>
      </c>
      <c r="P795" s="2" t="s">
        <v>5486</v>
      </c>
      <c r="Q795" s="2" t="s">
        <v>5487</v>
      </c>
      <c r="R795" s="2" t="s">
        <v>5488</v>
      </c>
      <c r="S795" s="2" t="s">
        <v>50</v>
      </c>
      <c r="T795" s="2" t="s">
        <v>201</v>
      </c>
      <c r="U795" s="2" t="s">
        <v>202</v>
      </c>
      <c r="V795" s="2" t="s">
        <v>59</v>
      </c>
      <c r="W795" s="2">
        <v>46.3</v>
      </c>
      <c r="X795" s="2">
        <v>43.9</v>
      </c>
      <c r="Y795" s="2" t="s">
        <v>376</v>
      </c>
      <c r="Z795" s="2" t="s">
        <v>5489</v>
      </c>
      <c r="AA795" s="2">
        <v>-0.30539309976509699</v>
      </c>
      <c r="AB795" s="2">
        <v>0.88324603798752699</v>
      </c>
      <c r="AC795" s="2">
        <v>509238.35129823099</v>
      </c>
      <c r="AD795" s="2">
        <v>567467.664399356</v>
      </c>
      <c r="AE795" s="2">
        <v>511712.37855665502</v>
      </c>
      <c r="AF795" s="2">
        <v>528121.66701488302</v>
      </c>
      <c r="AG795" s="2">
        <v>528485.15226844198</v>
      </c>
      <c r="AH795" s="2">
        <v>496725.148267143</v>
      </c>
      <c r="AI795" s="2">
        <v>495316.963708091</v>
      </c>
      <c r="AJ795" s="2">
        <v>495068.79797416902</v>
      </c>
      <c r="AK795" s="2">
        <v>596759.42231672094</v>
      </c>
      <c r="AL795" s="2">
        <v>565646.55835967802</v>
      </c>
      <c r="AM795" s="2">
        <v>566614.03014330706</v>
      </c>
      <c r="AN795" s="2">
        <v>569616.21458898298</v>
      </c>
      <c r="AO795" s="2">
        <v>564834.760543118</v>
      </c>
      <c r="AP795" s="2">
        <v>541335.00044433202</v>
      </c>
    </row>
    <row r="796" spans="1:42" ht="14.5" x14ac:dyDescent="0.35">
      <c r="A796" s="2" t="s">
        <v>5490</v>
      </c>
      <c r="B796" s="2">
        <v>379.09992339577298</v>
      </c>
      <c r="C796" s="2">
        <v>2.6402666666666699</v>
      </c>
      <c r="D796" s="2" t="s">
        <v>34</v>
      </c>
      <c r="E796" s="2" t="s">
        <v>5491</v>
      </c>
      <c r="F796" s="2">
        <v>60595</v>
      </c>
      <c r="G796" s="3" t="str">
        <f>HYPERLINK("http://funmeta.oebiotech.com/network/60595", "http://funmeta.oebiotech.com/network/60595")</f>
        <v>http://funmeta.oebiotech.com/network/60595</v>
      </c>
      <c r="H796" s="2" t="s">
        <v>5492</v>
      </c>
      <c r="I796" s="2">
        <v>91926</v>
      </c>
      <c r="J796" s="2"/>
      <c r="K796" s="2">
        <v>168886</v>
      </c>
      <c r="L796" s="2"/>
      <c r="M796" s="2"/>
      <c r="N796" s="2"/>
      <c r="O796" s="2">
        <v>13962927</v>
      </c>
      <c r="P796" s="2" t="s">
        <v>5493</v>
      </c>
      <c r="Q796" s="2" t="s">
        <v>5494</v>
      </c>
      <c r="R796" s="2" t="s">
        <v>5495</v>
      </c>
      <c r="S796" s="2" t="s">
        <v>115</v>
      </c>
      <c r="T796" s="2" t="s">
        <v>116</v>
      </c>
      <c r="U796" s="2" t="s">
        <v>117</v>
      </c>
      <c r="V796" s="2" t="s">
        <v>59</v>
      </c>
      <c r="W796" s="2">
        <v>44.7</v>
      </c>
      <c r="X796" s="2">
        <v>27.7</v>
      </c>
      <c r="Y796" s="2" t="s">
        <v>67</v>
      </c>
      <c r="Z796" s="2" t="s">
        <v>3752</v>
      </c>
      <c r="AA796" s="2">
        <v>-8.2844083241448693E-2</v>
      </c>
      <c r="AB796" s="2">
        <v>0.88148700224038101</v>
      </c>
      <c r="AC796" s="2">
        <v>119177.450489379</v>
      </c>
      <c r="AD796" s="2">
        <v>172908.37203418399</v>
      </c>
      <c r="AE796" s="2">
        <v>114100.897045051</v>
      </c>
      <c r="AF796" s="2">
        <v>123159.55571857</v>
      </c>
      <c r="AG796" s="2">
        <v>124803.295829287</v>
      </c>
      <c r="AH796" s="2">
        <v>103589.576101889</v>
      </c>
      <c r="AI796" s="2">
        <v>116372.27702471901</v>
      </c>
      <c r="AJ796" s="2">
        <v>133039.10121676099</v>
      </c>
      <c r="AK796" s="2">
        <v>176264.139310072</v>
      </c>
      <c r="AL796" s="2">
        <v>178275.21389936499</v>
      </c>
      <c r="AM796" s="2">
        <v>180952.87461810801</v>
      </c>
      <c r="AN796" s="2">
        <v>178436.48277507501</v>
      </c>
      <c r="AO796" s="2">
        <v>157595.10674668101</v>
      </c>
      <c r="AP796" s="2">
        <v>165926.414855804</v>
      </c>
    </row>
    <row r="797" spans="1:42" ht="14.5" x14ac:dyDescent="0.35">
      <c r="A797" s="2" t="s">
        <v>5496</v>
      </c>
      <c r="B797" s="2">
        <v>673.212323352005</v>
      </c>
      <c r="C797" s="2">
        <v>5.97258333333333</v>
      </c>
      <c r="D797" s="2" t="s">
        <v>70</v>
      </c>
      <c r="E797" s="2" t="s">
        <v>5497</v>
      </c>
      <c r="F797" s="2">
        <v>32095</v>
      </c>
      <c r="G797" s="3" t="str">
        <f>HYPERLINK("http://funmeta.oebiotech.com/network/32095", "http://funmeta.oebiotech.com/network/32095")</f>
        <v>http://funmeta.oebiotech.com/network/32095</v>
      </c>
      <c r="H797" s="2"/>
      <c r="I797" s="2"/>
      <c r="J797" s="2" t="s">
        <v>5498</v>
      </c>
      <c r="K797" s="2"/>
      <c r="L797" s="2"/>
      <c r="M797" s="2"/>
      <c r="N797" s="2"/>
      <c r="O797" s="2">
        <v>102075698</v>
      </c>
      <c r="P797" s="2"/>
      <c r="Q797" s="2" t="s">
        <v>5499</v>
      </c>
      <c r="R797" s="2" t="s">
        <v>5500</v>
      </c>
      <c r="S797" s="2" t="s">
        <v>115</v>
      </c>
      <c r="T797" s="2" t="s">
        <v>139</v>
      </c>
      <c r="U797" s="2" t="s">
        <v>140</v>
      </c>
      <c r="V797" s="2" t="s">
        <v>59</v>
      </c>
      <c r="W797" s="2">
        <v>42.1</v>
      </c>
      <c r="X797" s="2">
        <v>18.8</v>
      </c>
      <c r="Y797" s="2" t="s">
        <v>751</v>
      </c>
      <c r="Z797" s="2" t="s">
        <v>5501</v>
      </c>
      <c r="AA797" s="2">
        <v>-2.1246121680310499</v>
      </c>
      <c r="AB797" s="2">
        <v>0.88147239298509406</v>
      </c>
      <c r="AC797" s="2">
        <v>58347.560239966799</v>
      </c>
      <c r="AD797" s="2">
        <v>6921.92002168617</v>
      </c>
      <c r="AE797" s="2">
        <v>67284.841650594404</v>
      </c>
      <c r="AF797" s="2">
        <v>56626.215970750498</v>
      </c>
      <c r="AG797" s="2">
        <v>59005.9724357632</v>
      </c>
      <c r="AH797" s="2">
        <v>55212.0314832531</v>
      </c>
      <c r="AI797" s="2">
        <v>50363.442258825999</v>
      </c>
      <c r="AJ797" s="2">
        <v>61592.857640613503</v>
      </c>
      <c r="AK797" s="2">
        <v>8573.0348898191696</v>
      </c>
      <c r="AL797" s="2">
        <v>7998.5001561754398</v>
      </c>
      <c r="AM797" s="2">
        <v>7886.3625098558296</v>
      </c>
      <c r="AN797" s="2">
        <v>5859.0967765734704</v>
      </c>
      <c r="AO797" s="2">
        <v>6190.8313915662702</v>
      </c>
      <c r="AP797" s="2">
        <v>5023.6944061268396</v>
      </c>
    </row>
    <row r="798" spans="1:42" ht="14.5" x14ac:dyDescent="0.35">
      <c r="A798" s="2" t="s">
        <v>5502</v>
      </c>
      <c r="B798" s="2">
        <v>768.37347033106096</v>
      </c>
      <c r="C798" s="2">
        <v>9.1767166666666693</v>
      </c>
      <c r="D798" s="2" t="s">
        <v>34</v>
      </c>
      <c r="E798" s="2" t="s">
        <v>5503</v>
      </c>
      <c r="F798" s="2">
        <v>206473</v>
      </c>
      <c r="G798" s="3" t="str">
        <f>HYPERLINK("http://funmeta.oebiotech.com/network/206473", "http://funmeta.oebiotech.com/network/206473")</f>
        <v>http://funmeta.oebiotech.com/network/206473</v>
      </c>
      <c r="H798" s="2" t="s">
        <v>5504</v>
      </c>
      <c r="I798" s="2"/>
      <c r="J798" s="2"/>
      <c r="K798" s="2"/>
      <c r="L798" s="2"/>
      <c r="M798" s="2"/>
      <c r="N798" s="2"/>
      <c r="O798" s="2">
        <v>6331630</v>
      </c>
      <c r="P798" s="2"/>
      <c r="Q798" s="2" t="s">
        <v>5505</v>
      </c>
      <c r="R798" s="2" t="s">
        <v>5506</v>
      </c>
      <c r="S798" s="2" t="s">
        <v>491</v>
      </c>
      <c r="T798" s="2" t="s">
        <v>559</v>
      </c>
      <c r="U798" s="2" t="s">
        <v>41</v>
      </c>
      <c r="V798" s="2" t="s">
        <v>59</v>
      </c>
      <c r="W798" s="2">
        <v>44.5</v>
      </c>
      <c r="X798" s="2">
        <v>35.200000000000003</v>
      </c>
      <c r="Y798" s="2" t="s">
        <v>340</v>
      </c>
      <c r="Z798" s="2" t="s">
        <v>5507</v>
      </c>
      <c r="AA798" s="2">
        <v>2.05719885412215</v>
      </c>
      <c r="AB798" s="2">
        <v>0.88102431082557997</v>
      </c>
      <c r="AC798" s="2">
        <v>37104.520076968998</v>
      </c>
      <c r="AD798" s="2">
        <v>89130.177300336902</v>
      </c>
      <c r="AE798" s="2">
        <v>36726.017471379397</v>
      </c>
      <c r="AF798" s="2">
        <v>38866.9834697154</v>
      </c>
      <c r="AG798" s="2">
        <v>40794.853723611297</v>
      </c>
      <c r="AH798" s="2">
        <v>31091.702699731799</v>
      </c>
      <c r="AI798" s="2">
        <v>38043.057002374197</v>
      </c>
      <c r="AJ798" s="2">
        <v>37104.506095001903</v>
      </c>
      <c r="AK798" s="2">
        <v>91473.946850182503</v>
      </c>
      <c r="AL798" s="2">
        <v>87342.682578887805</v>
      </c>
      <c r="AM798" s="2">
        <v>90098.318183194104</v>
      </c>
      <c r="AN798" s="2">
        <v>102102.423697982</v>
      </c>
      <c r="AO798" s="2">
        <v>86086.070794069703</v>
      </c>
      <c r="AP798" s="2">
        <v>77677.621697705297</v>
      </c>
    </row>
    <row r="799" spans="1:42" ht="14.5" x14ac:dyDescent="0.35">
      <c r="A799" s="2" t="s">
        <v>5508</v>
      </c>
      <c r="B799" s="2">
        <v>776.43748476906603</v>
      </c>
      <c r="C799" s="2">
        <v>5.5233833333333298</v>
      </c>
      <c r="D799" s="2" t="s">
        <v>34</v>
      </c>
      <c r="E799" s="2" t="s">
        <v>5509</v>
      </c>
      <c r="F799" s="2">
        <v>234048</v>
      </c>
      <c r="G799" s="3" t="str">
        <f>HYPERLINK("http://funmeta.oebiotech.com/network/234048", "http://funmeta.oebiotech.com/network/234048")</f>
        <v>http://funmeta.oebiotech.com/network/234048</v>
      </c>
      <c r="H799" s="2" t="s">
        <v>5510</v>
      </c>
      <c r="I799" s="2"/>
      <c r="J799" s="2"/>
      <c r="K799" s="2"/>
      <c r="L799" s="2"/>
      <c r="M799" s="2"/>
      <c r="N799" s="2"/>
      <c r="O799" s="2"/>
      <c r="P799" s="2"/>
      <c r="Q799" s="2" t="s">
        <v>5511</v>
      </c>
      <c r="R799" s="2" t="s">
        <v>5512</v>
      </c>
      <c r="S799" s="2" t="s">
        <v>41</v>
      </c>
      <c r="T799" s="2" t="s">
        <v>41</v>
      </c>
      <c r="U799" s="2" t="s">
        <v>41</v>
      </c>
      <c r="V799" s="2" t="s">
        <v>59</v>
      </c>
      <c r="W799" s="2">
        <v>36.200000000000003</v>
      </c>
      <c r="X799" s="2">
        <v>0</v>
      </c>
      <c r="Y799" s="2" t="s">
        <v>394</v>
      </c>
      <c r="Z799" s="2" t="s">
        <v>5513</v>
      </c>
      <c r="AA799" s="2">
        <v>3.90820885982391</v>
      </c>
      <c r="AB799" s="2">
        <v>0.88098705870101202</v>
      </c>
      <c r="AC799" s="2">
        <v>222565.752311477</v>
      </c>
      <c r="AD799" s="2">
        <v>166659.29101569901</v>
      </c>
      <c r="AE799" s="2">
        <v>224497.65074041899</v>
      </c>
      <c r="AF799" s="2">
        <v>213065.82515701701</v>
      </c>
      <c r="AG799" s="2">
        <v>214083.60755471099</v>
      </c>
      <c r="AH799" s="2">
        <v>248114.780819743</v>
      </c>
      <c r="AI799" s="2">
        <v>235096.86070887701</v>
      </c>
      <c r="AJ799" s="2">
        <v>200535.788888095</v>
      </c>
      <c r="AK799" s="2">
        <v>166124.35549270699</v>
      </c>
      <c r="AL799" s="2">
        <v>151399.72803189201</v>
      </c>
      <c r="AM799" s="2">
        <v>175168.49189708399</v>
      </c>
      <c r="AN799" s="2">
        <v>170025.96409573199</v>
      </c>
      <c r="AO799" s="2">
        <v>167098.69140983501</v>
      </c>
      <c r="AP799" s="2">
        <v>170138.51516694299</v>
      </c>
    </row>
    <row r="800" spans="1:42" ht="14.5" x14ac:dyDescent="0.35">
      <c r="A800" s="2" t="s">
        <v>5514</v>
      </c>
      <c r="B800" s="2">
        <v>603.17013035386697</v>
      </c>
      <c r="C800" s="2">
        <v>4.5065833333333298</v>
      </c>
      <c r="D800" s="2" t="s">
        <v>70</v>
      </c>
      <c r="E800" s="2" t="s">
        <v>5515</v>
      </c>
      <c r="F800" s="2">
        <v>31058</v>
      </c>
      <c r="G800" s="3" t="str">
        <f>HYPERLINK("http://funmeta.oebiotech.com/network/31058", "http://funmeta.oebiotech.com/network/31058")</f>
        <v>http://funmeta.oebiotech.com/network/31058</v>
      </c>
      <c r="H800" s="2"/>
      <c r="I800" s="2"/>
      <c r="J800" s="2" t="s">
        <v>5516</v>
      </c>
      <c r="K800" s="2"/>
      <c r="L800" s="2"/>
      <c r="M800" s="2"/>
      <c r="N800" s="2"/>
      <c r="O800" s="2">
        <v>10675379</v>
      </c>
      <c r="P800" s="2"/>
      <c r="Q800" s="2" t="s">
        <v>5517</v>
      </c>
      <c r="R800" s="2" t="s">
        <v>5518</v>
      </c>
      <c r="S800" s="2" t="s">
        <v>115</v>
      </c>
      <c r="T800" s="2" t="s">
        <v>139</v>
      </c>
      <c r="U800" s="2" t="s">
        <v>140</v>
      </c>
      <c r="V800" s="2" t="s">
        <v>59</v>
      </c>
      <c r="W800" s="2">
        <v>42.2</v>
      </c>
      <c r="X800" s="2">
        <v>30.6</v>
      </c>
      <c r="Y800" s="2" t="s">
        <v>751</v>
      </c>
      <c r="Z800" s="2" t="s">
        <v>5519</v>
      </c>
      <c r="AA800" s="2">
        <v>-2.8912560103348799</v>
      </c>
      <c r="AB800" s="2">
        <v>0.87976686683628602</v>
      </c>
      <c r="AC800" s="2">
        <v>158461.59052432101</v>
      </c>
      <c r="AD800" s="2">
        <v>212384.616050029</v>
      </c>
      <c r="AE800" s="2">
        <v>155648.334711017</v>
      </c>
      <c r="AF800" s="2">
        <v>166956.76262025701</v>
      </c>
      <c r="AG800" s="2">
        <v>149566.93964323701</v>
      </c>
      <c r="AH800" s="2">
        <v>154565.107101295</v>
      </c>
      <c r="AI800" s="2">
        <v>169592.895074067</v>
      </c>
      <c r="AJ800" s="2">
        <v>154439.50399605199</v>
      </c>
      <c r="AK800" s="2">
        <v>215361.46537439199</v>
      </c>
      <c r="AL800" s="2">
        <v>214395.12340415601</v>
      </c>
      <c r="AM800" s="2">
        <v>204758.45323237401</v>
      </c>
      <c r="AN800" s="2">
        <v>223033.11871662899</v>
      </c>
      <c r="AO800" s="2">
        <v>190731.65140437699</v>
      </c>
      <c r="AP800" s="2">
        <v>226027.88416824499</v>
      </c>
    </row>
    <row r="801" spans="1:42" ht="14.5" x14ac:dyDescent="0.35">
      <c r="A801" s="2" t="s">
        <v>5520</v>
      </c>
      <c r="B801" s="2">
        <v>431.19198086976797</v>
      </c>
      <c r="C801" s="2">
        <v>5.7290666666666699</v>
      </c>
      <c r="D801" s="2" t="s">
        <v>70</v>
      </c>
      <c r="E801" s="2" t="s">
        <v>5521</v>
      </c>
      <c r="F801" s="2">
        <v>54663</v>
      </c>
      <c r="G801" s="3" t="str">
        <f>HYPERLINK("http://funmeta.oebiotech.com/network/54663", "http://funmeta.oebiotech.com/network/54663")</f>
        <v>http://funmeta.oebiotech.com/network/54663</v>
      </c>
      <c r="H801" s="2" t="s">
        <v>5522</v>
      </c>
      <c r="I801" s="2">
        <v>86479</v>
      </c>
      <c r="J801" s="2"/>
      <c r="K801" s="2">
        <v>168230</v>
      </c>
      <c r="L801" s="2"/>
      <c r="M801" s="2"/>
      <c r="N801" s="2"/>
      <c r="O801" s="2">
        <v>13857517</v>
      </c>
      <c r="P801" s="2"/>
      <c r="Q801" s="2" t="s">
        <v>5523</v>
      </c>
      <c r="R801" s="2" t="s">
        <v>5524</v>
      </c>
      <c r="S801" s="2" t="s">
        <v>50</v>
      </c>
      <c r="T801" s="2" t="s">
        <v>229</v>
      </c>
      <c r="U801" s="2" t="s">
        <v>230</v>
      </c>
      <c r="V801" s="2" t="s">
        <v>42</v>
      </c>
      <c r="W801" s="2">
        <v>52.3</v>
      </c>
      <c r="X801" s="2">
        <v>63.2</v>
      </c>
      <c r="Y801" s="2" t="s">
        <v>408</v>
      </c>
      <c r="Z801" s="2" t="s">
        <v>5525</v>
      </c>
      <c r="AA801" s="2">
        <v>-0.75070757351139195</v>
      </c>
      <c r="AB801" s="2">
        <v>0.87559218446485398</v>
      </c>
      <c r="AC801" s="2">
        <v>428007.391123045</v>
      </c>
      <c r="AD801" s="2">
        <v>372763.23572246497</v>
      </c>
      <c r="AE801" s="2">
        <v>441911.414534093</v>
      </c>
      <c r="AF801" s="2">
        <v>411025.72657174699</v>
      </c>
      <c r="AG801" s="2">
        <v>424937.91011154198</v>
      </c>
      <c r="AH801" s="2">
        <v>425847.02030583698</v>
      </c>
      <c r="AI801" s="2">
        <v>425750.39303646499</v>
      </c>
      <c r="AJ801" s="2">
        <v>438571.88217858702</v>
      </c>
      <c r="AK801" s="2">
        <v>367780.910881866</v>
      </c>
      <c r="AL801" s="2">
        <v>354263.98235414998</v>
      </c>
      <c r="AM801" s="2">
        <v>396743.34541563498</v>
      </c>
      <c r="AN801" s="2">
        <v>363542.380369658</v>
      </c>
      <c r="AO801" s="2">
        <v>367923.81918566901</v>
      </c>
      <c r="AP801" s="2">
        <v>386324.97612781002</v>
      </c>
    </row>
    <row r="802" spans="1:42" ht="14.5" x14ac:dyDescent="0.35">
      <c r="A802" s="2" t="s">
        <v>5526</v>
      </c>
      <c r="B802" s="2">
        <v>766.54531450418096</v>
      </c>
      <c r="C802" s="2">
        <v>14.7672833333333</v>
      </c>
      <c r="D802" s="2" t="s">
        <v>34</v>
      </c>
      <c r="E802" s="2" t="s">
        <v>5527</v>
      </c>
      <c r="F802" s="2">
        <v>55264</v>
      </c>
      <c r="G802" s="3" t="str">
        <f>HYPERLINK("http://funmeta.oebiotech.com/network/55264", "http://funmeta.oebiotech.com/network/55264")</f>
        <v>http://funmeta.oebiotech.com/network/55264</v>
      </c>
      <c r="H802" s="2" t="s">
        <v>5528</v>
      </c>
      <c r="I802" s="2">
        <v>86986</v>
      </c>
      <c r="J802" s="2"/>
      <c r="K802" s="2"/>
      <c r="L802" s="2"/>
      <c r="M802" s="2"/>
      <c r="N802" s="2"/>
      <c r="O802" s="2">
        <v>3053530</v>
      </c>
      <c r="P802" s="2" t="s">
        <v>5529</v>
      </c>
      <c r="Q802" s="2" t="s">
        <v>5530</v>
      </c>
      <c r="R802" s="2" t="s">
        <v>5531</v>
      </c>
      <c r="S802" s="2" t="s">
        <v>50</v>
      </c>
      <c r="T802" s="2" t="s">
        <v>201</v>
      </c>
      <c r="U802" s="2" t="s">
        <v>202</v>
      </c>
      <c r="V802" s="2" t="s">
        <v>59</v>
      </c>
      <c r="W802" s="2">
        <v>39.299999999999997</v>
      </c>
      <c r="X802" s="2">
        <v>0</v>
      </c>
      <c r="Y802" s="2" t="s">
        <v>43</v>
      </c>
      <c r="Z802" s="2" t="s">
        <v>5532</v>
      </c>
      <c r="AA802" s="2">
        <v>-1.4155146235140701</v>
      </c>
      <c r="AB802" s="2">
        <v>0.87449454067826404</v>
      </c>
      <c r="AC802" s="2">
        <v>34777.129630436997</v>
      </c>
      <c r="AD802" s="2">
        <v>86180.411388958702</v>
      </c>
      <c r="AE802" s="2">
        <v>32157.4380609943</v>
      </c>
      <c r="AF802" s="2">
        <v>33988.524293324699</v>
      </c>
      <c r="AG802" s="2">
        <v>33765.174165522301</v>
      </c>
      <c r="AH802" s="2">
        <v>35780.534728230203</v>
      </c>
      <c r="AI802" s="2">
        <v>34421.411164599602</v>
      </c>
      <c r="AJ802" s="2">
        <v>38549.695369950598</v>
      </c>
      <c r="AK802" s="2">
        <v>91764.978430206102</v>
      </c>
      <c r="AL802" s="2">
        <v>70569.936066435606</v>
      </c>
      <c r="AM802" s="2">
        <v>84132.906304111195</v>
      </c>
      <c r="AN802" s="2">
        <v>84002.068409692001</v>
      </c>
      <c r="AO802" s="2">
        <v>93413.872226264895</v>
      </c>
      <c r="AP802" s="2">
        <v>93198.706897042706</v>
      </c>
    </row>
    <row r="803" spans="1:42" ht="14.5" x14ac:dyDescent="0.35">
      <c r="A803" s="2" t="s">
        <v>5533</v>
      </c>
      <c r="B803" s="2">
        <v>615.49805293150996</v>
      </c>
      <c r="C803" s="2">
        <v>15.4168</v>
      </c>
      <c r="D803" s="2" t="s">
        <v>34</v>
      </c>
      <c r="E803" s="2" t="s">
        <v>5534</v>
      </c>
      <c r="F803" s="2">
        <v>48988</v>
      </c>
      <c r="G803" s="3" t="str">
        <f>HYPERLINK("http://funmeta.oebiotech.com/network/48988", "http://funmeta.oebiotech.com/network/48988")</f>
        <v>http://funmeta.oebiotech.com/network/48988</v>
      </c>
      <c r="H803" s="2" t="s">
        <v>5535</v>
      </c>
      <c r="I803" s="2">
        <v>58667</v>
      </c>
      <c r="J803" s="2"/>
      <c r="K803" s="2"/>
      <c r="L803" s="2"/>
      <c r="M803" s="2"/>
      <c r="N803" s="2"/>
      <c r="O803" s="2">
        <v>53477967</v>
      </c>
      <c r="P803" s="2"/>
      <c r="Q803" s="2" t="s">
        <v>5536</v>
      </c>
      <c r="R803" s="2" t="s">
        <v>5537</v>
      </c>
      <c r="S803" s="2" t="s">
        <v>50</v>
      </c>
      <c r="T803" s="2" t="s">
        <v>448</v>
      </c>
      <c r="U803" s="2" t="s">
        <v>1864</v>
      </c>
      <c r="V803" s="2" t="s">
        <v>42</v>
      </c>
      <c r="W803" s="2">
        <v>52.1</v>
      </c>
      <c r="X803" s="2">
        <v>69.5</v>
      </c>
      <c r="Y803" s="2" t="s">
        <v>394</v>
      </c>
      <c r="Z803" s="2" t="s">
        <v>5538</v>
      </c>
      <c r="AA803" s="2">
        <v>-0.40474945872065798</v>
      </c>
      <c r="AB803" s="2">
        <v>0.87441386033179702</v>
      </c>
      <c r="AC803" s="2">
        <v>27633.086512063699</v>
      </c>
      <c r="AD803" s="2">
        <v>81563.105927134005</v>
      </c>
      <c r="AE803" s="2">
        <v>27950.618990028499</v>
      </c>
      <c r="AF803" s="2">
        <v>21497.405617119399</v>
      </c>
      <c r="AG803" s="2">
        <v>24701.020382367202</v>
      </c>
      <c r="AH803" s="2">
        <v>34024.620884049502</v>
      </c>
      <c r="AI803" s="2">
        <v>29821.471845163702</v>
      </c>
      <c r="AJ803" s="2">
        <v>27803.381353654098</v>
      </c>
      <c r="AK803" s="2">
        <v>68354.956174289196</v>
      </c>
      <c r="AL803" s="2">
        <v>68720.752497375099</v>
      </c>
      <c r="AM803" s="2">
        <v>65773.993302080096</v>
      </c>
      <c r="AN803" s="2">
        <v>87478.238062457298</v>
      </c>
      <c r="AO803" s="2">
        <v>104540.824901941</v>
      </c>
      <c r="AP803" s="2">
        <v>94509.870624661198</v>
      </c>
    </row>
    <row r="804" spans="1:42" ht="14.5" x14ac:dyDescent="0.35">
      <c r="A804" s="2" t="s">
        <v>5539</v>
      </c>
      <c r="B804" s="2">
        <v>771.30826511161297</v>
      </c>
      <c r="C804" s="2">
        <v>5.2266333333333304</v>
      </c>
      <c r="D804" s="2" t="s">
        <v>70</v>
      </c>
      <c r="E804" s="2" t="s">
        <v>5540</v>
      </c>
      <c r="F804" s="2">
        <v>63123</v>
      </c>
      <c r="G804" s="3" t="str">
        <f>HYPERLINK("http://funmeta.oebiotech.com/network/63123", "http://funmeta.oebiotech.com/network/63123")</f>
        <v>http://funmeta.oebiotech.com/network/63123</v>
      </c>
      <c r="H804" s="2" t="s">
        <v>5541</v>
      </c>
      <c r="I804" s="2">
        <v>94431</v>
      </c>
      <c r="J804" s="2"/>
      <c r="K804" s="2"/>
      <c r="L804" s="2"/>
      <c r="M804" s="2"/>
      <c r="N804" s="2"/>
      <c r="O804" s="2">
        <v>85262693</v>
      </c>
      <c r="P804" s="2"/>
      <c r="Q804" s="2" t="s">
        <v>5542</v>
      </c>
      <c r="R804" s="2" t="s">
        <v>5543</v>
      </c>
      <c r="S804" s="2" t="s">
        <v>50</v>
      </c>
      <c r="T804" s="2" t="s">
        <v>201</v>
      </c>
      <c r="U804" s="2" t="s">
        <v>202</v>
      </c>
      <c r="V804" s="2" t="s">
        <v>59</v>
      </c>
      <c r="W804" s="2">
        <v>46.9</v>
      </c>
      <c r="X804" s="2">
        <v>37.5</v>
      </c>
      <c r="Y804" s="2" t="s">
        <v>408</v>
      </c>
      <c r="Z804" s="2" t="s">
        <v>5544</v>
      </c>
      <c r="AA804" s="2">
        <v>0.24331921778048701</v>
      </c>
      <c r="AB804" s="2">
        <v>0.87286635234423104</v>
      </c>
      <c r="AC804" s="2">
        <v>60961.875757913796</v>
      </c>
      <c r="AD804" s="2">
        <v>111334.745245536</v>
      </c>
      <c r="AE804" s="2">
        <v>67076.567309830803</v>
      </c>
      <c r="AF804" s="2">
        <v>60184.907420181502</v>
      </c>
      <c r="AG804" s="2">
        <v>57149.737283606999</v>
      </c>
      <c r="AH804" s="2">
        <v>59506.194079545698</v>
      </c>
      <c r="AI804" s="2">
        <v>59874.231825582501</v>
      </c>
      <c r="AJ804" s="2">
        <v>61979.616628735203</v>
      </c>
      <c r="AK804" s="2">
        <v>111095.415449147</v>
      </c>
      <c r="AL804" s="2">
        <v>105206.17811814501</v>
      </c>
      <c r="AM804" s="2">
        <v>115676.408744396</v>
      </c>
      <c r="AN804" s="2">
        <v>111376.53994357699</v>
      </c>
      <c r="AO804" s="2">
        <v>110367.051196231</v>
      </c>
      <c r="AP804" s="2">
        <v>114286.878021718</v>
      </c>
    </row>
    <row r="805" spans="1:42" ht="14.5" x14ac:dyDescent="0.35">
      <c r="A805" s="2" t="s">
        <v>5545</v>
      </c>
      <c r="B805" s="2">
        <v>475.14545822035899</v>
      </c>
      <c r="C805" s="2">
        <v>3.53996666666667</v>
      </c>
      <c r="D805" s="2" t="s">
        <v>70</v>
      </c>
      <c r="E805" s="2" t="s">
        <v>5546</v>
      </c>
      <c r="F805" s="2">
        <v>358169</v>
      </c>
      <c r="G805" s="3" t="str">
        <f>HYPERLINK("http://funmeta.oebiotech.com/network/358169", "http://funmeta.oebiotech.com/network/358169")</f>
        <v>http://funmeta.oebiotech.com/network/358169</v>
      </c>
      <c r="H805" s="2"/>
      <c r="I805" s="2">
        <v>433577</v>
      </c>
      <c r="J805" s="2"/>
      <c r="K805" s="2"/>
      <c r="L805" s="2"/>
      <c r="M805" s="2"/>
      <c r="N805" s="2"/>
      <c r="O805" s="2">
        <v>3038513</v>
      </c>
      <c r="P805" s="2"/>
      <c r="Q805" s="2" t="s">
        <v>5547</v>
      </c>
      <c r="R805" s="2" t="s">
        <v>5548</v>
      </c>
      <c r="S805" s="2" t="s">
        <v>79</v>
      </c>
      <c r="T805" s="2" t="s">
        <v>80</v>
      </c>
      <c r="U805" s="2" t="s">
        <v>81</v>
      </c>
      <c r="V805" s="2" t="s">
        <v>59</v>
      </c>
      <c r="W805" s="2">
        <v>42.5</v>
      </c>
      <c r="X805" s="2">
        <v>15.6</v>
      </c>
      <c r="Y805" s="2" t="s">
        <v>286</v>
      </c>
      <c r="Z805" s="2" t="s">
        <v>5549</v>
      </c>
      <c r="AA805" s="2">
        <v>-0.53827212297444205</v>
      </c>
      <c r="AB805" s="2">
        <v>0.87221979429771501</v>
      </c>
      <c r="AC805" s="2">
        <v>214907.889955597</v>
      </c>
      <c r="AD805" s="2">
        <v>163102.26051589599</v>
      </c>
      <c r="AE805" s="2">
        <v>221168.02220805301</v>
      </c>
      <c r="AF805" s="2">
        <v>218167.051409495</v>
      </c>
      <c r="AG805" s="2">
        <v>208589.92827959399</v>
      </c>
      <c r="AH805" s="2">
        <v>212969.77300165099</v>
      </c>
      <c r="AI805" s="2">
        <v>218059.041397322</v>
      </c>
      <c r="AJ805" s="2">
        <v>210493.52343746499</v>
      </c>
      <c r="AK805" s="2">
        <v>150243.65309239301</v>
      </c>
      <c r="AL805" s="2">
        <v>164922.76440906501</v>
      </c>
      <c r="AM805" s="2">
        <v>156578.409743511</v>
      </c>
      <c r="AN805" s="2">
        <v>167042.02453954201</v>
      </c>
      <c r="AO805" s="2">
        <v>160787.86439292101</v>
      </c>
      <c r="AP805" s="2">
        <v>179038.84691794499</v>
      </c>
    </row>
    <row r="806" spans="1:42" ht="14.5" x14ac:dyDescent="0.35">
      <c r="A806" s="2" t="s">
        <v>5550</v>
      </c>
      <c r="B806" s="2">
        <v>539.31893082473698</v>
      </c>
      <c r="C806" s="2">
        <v>10.6795333333333</v>
      </c>
      <c r="D806" s="2" t="s">
        <v>34</v>
      </c>
      <c r="E806" s="2" t="s">
        <v>5551</v>
      </c>
      <c r="F806" s="2">
        <v>44057</v>
      </c>
      <c r="G806" s="3" t="str">
        <f>HYPERLINK("http://funmeta.oebiotech.com/network/44057", "http://funmeta.oebiotech.com/network/44057")</f>
        <v>http://funmeta.oebiotech.com/network/44057</v>
      </c>
      <c r="H806" s="2"/>
      <c r="I806" s="2">
        <v>84028</v>
      </c>
      <c r="J806" s="2" t="s">
        <v>5552</v>
      </c>
      <c r="K806" s="2"/>
      <c r="L806" s="2"/>
      <c r="M806" s="2"/>
      <c r="N806" s="2"/>
      <c r="O806" s="2">
        <v>52931370</v>
      </c>
      <c r="P806" s="2"/>
      <c r="Q806" s="2" t="s">
        <v>5553</v>
      </c>
      <c r="R806" s="2" t="s">
        <v>5554</v>
      </c>
      <c r="S806" s="2" t="s">
        <v>50</v>
      </c>
      <c r="T806" s="2" t="s">
        <v>124</v>
      </c>
      <c r="U806" s="2" t="s">
        <v>125</v>
      </c>
      <c r="V806" s="2" t="s">
        <v>59</v>
      </c>
      <c r="W806" s="2">
        <v>45.3</v>
      </c>
      <c r="X806" s="2">
        <v>30.5</v>
      </c>
      <c r="Y806" s="2" t="s">
        <v>323</v>
      </c>
      <c r="Z806" s="2" t="s">
        <v>4086</v>
      </c>
      <c r="AA806" s="2">
        <v>-0.23816300278666599</v>
      </c>
      <c r="AB806" s="2">
        <v>0.87097810231571204</v>
      </c>
      <c r="AC806" s="2">
        <v>82969.454741542999</v>
      </c>
      <c r="AD806" s="2">
        <v>133596.183645977</v>
      </c>
      <c r="AE806" s="2">
        <v>86272.086166998197</v>
      </c>
      <c r="AF806" s="2">
        <v>86798.761091021996</v>
      </c>
      <c r="AG806" s="2">
        <v>84408.525443220205</v>
      </c>
      <c r="AH806" s="2">
        <v>82200.248248414806</v>
      </c>
      <c r="AI806" s="2">
        <v>76155.060488226605</v>
      </c>
      <c r="AJ806" s="2">
        <v>81982.047011376198</v>
      </c>
      <c r="AK806" s="2">
        <v>131134.007366345</v>
      </c>
      <c r="AL806" s="2">
        <v>138419.86235727201</v>
      </c>
      <c r="AM806" s="2">
        <v>126022.41647582001</v>
      </c>
      <c r="AN806" s="2">
        <v>134361.08829332501</v>
      </c>
      <c r="AO806" s="2">
        <v>140875.64695208901</v>
      </c>
      <c r="AP806" s="2">
        <v>130764.080431008</v>
      </c>
    </row>
    <row r="807" spans="1:42" ht="14.5" x14ac:dyDescent="0.35">
      <c r="A807" s="2" t="s">
        <v>5555</v>
      </c>
      <c r="B807" s="2">
        <v>1041.6528019715099</v>
      </c>
      <c r="C807" s="2">
        <v>11.232416666666699</v>
      </c>
      <c r="D807" s="2" t="s">
        <v>34</v>
      </c>
      <c r="E807" s="2" t="s">
        <v>5556</v>
      </c>
      <c r="F807" s="2">
        <v>27515</v>
      </c>
      <c r="G807" s="3" t="str">
        <f>HYPERLINK("http://funmeta.oebiotech.com/network/27515", "http://funmeta.oebiotech.com/network/27515")</f>
        <v>http://funmeta.oebiotech.com/network/27515</v>
      </c>
      <c r="H807" s="2"/>
      <c r="I807" s="2"/>
      <c r="J807" s="2" t="s">
        <v>5557</v>
      </c>
      <c r="K807" s="2"/>
      <c r="L807" s="2"/>
      <c r="M807" s="2"/>
      <c r="N807" s="2"/>
      <c r="O807" s="2">
        <v>126457405</v>
      </c>
      <c r="P807" s="2"/>
      <c r="Q807" s="2" t="s">
        <v>5558</v>
      </c>
      <c r="R807" s="2" t="s">
        <v>5559</v>
      </c>
      <c r="S807" s="2" t="s">
        <v>50</v>
      </c>
      <c r="T807" s="2" t="s">
        <v>51</v>
      </c>
      <c r="U807" s="2" t="s">
        <v>52</v>
      </c>
      <c r="V807" s="2" t="s">
        <v>59</v>
      </c>
      <c r="W807" s="2">
        <v>37.299999999999997</v>
      </c>
      <c r="X807" s="2">
        <v>0</v>
      </c>
      <c r="Y807" s="2" t="s">
        <v>394</v>
      </c>
      <c r="Z807" s="2" t="s">
        <v>5560</v>
      </c>
      <c r="AA807" s="2">
        <v>4.1057824943612502</v>
      </c>
      <c r="AB807" s="2">
        <v>0.87042245511151195</v>
      </c>
      <c r="AC807" s="2">
        <v>1480.57380915466</v>
      </c>
      <c r="AD807" s="2">
        <v>51595.228363919799</v>
      </c>
      <c r="AE807" s="2">
        <v>1803.5882445109501</v>
      </c>
      <c r="AF807" s="2">
        <v>2342.0855309886201</v>
      </c>
      <c r="AG807" s="2">
        <v>1345.3431318174601</v>
      </c>
      <c r="AH807" s="2">
        <v>896.04302939351601</v>
      </c>
      <c r="AI807" s="2">
        <v>1082.8168512332199</v>
      </c>
      <c r="AJ807" s="2">
        <v>1413.56606698421</v>
      </c>
      <c r="AK807" s="2">
        <v>54500.5834953718</v>
      </c>
      <c r="AL807" s="2">
        <v>48774.576095137301</v>
      </c>
      <c r="AM807" s="2">
        <v>59952.415875767998</v>
      </c>
      <c r="AN807" s="2">
        <v>46543.003193117802</v>
      </c>
      <c r="AO807" s="2">
        <v>49082.266873943903</v>
      </c>
      <c r="AP807" s="2">
        <v>50718.524650180101</v>
      </c>
    </row>
    <row r="808" spans="1:42" ht="14.5" x14ac:dyDescent="0.35">
      <c r="A808" s="2" t="s">
        <v>5561</v>
      </c>
      <c r="B808" s="2">
        <v>346.07751357753199</v>
      </c>
      <c r="C808" s="2">
        <v>4.1524000000000001</v>
      </c>
      <c r="D808" s="2" t="s">
        <v>70</v>
      </c>
      <c r="E808" s="2" t="s">
        <v>5562</v>
      </c>
      <c r="F808" s="2">
        <v>200309</v>
      </c>
      <c r="G808" s="3" t="str">
        <f>HYPERLINK("http://funmeta.oebiotech.com/network/200309", "http://funmeta.oebiotech.com/network/200309")</f>
        <v>http://funmeta.oebiotech.com/network/200309</v>
      </c>
      <c r="H808" s="2" t="s">
        <v>5563</v>
      </c>
      <c r="I808" s="2"/>
      <c r="J808" s="2"/>
      <c r="K808" s="2"/>
      <c r="L808" s="2"/>
      <c r="M808" s="2"/>
      <c r="N808" s="2"/>
      <c r="O808" s="2">
        <v>219973</v>
      </c>
      <c r="P808" s="2"/>
      <c r="Q808" s="2" t="s">
        <v>5564</v>
      </c>
      <c r="R808" s="2" t="s">
        <v>5565</v>
      </c>
      <c r="S808" s="2" t="s">
        <v>79</v>
      </c>
      <c r="T808" s="2" t="s">
        <v>80</v>
      </c>
      <c r="U808" s="2" t="s">
        <v>81</v>
      </c>
      <c r="V808" s="2" t="s">
        <v>59</v>
      </c>
      <c r="W808" s="2">
        <v>41.3</v>
      </c>
      <c r="X808" s="2">
        <v>10.199999999999999</v>
      </c>
      <c r="Y808" s="2" t="s">
        <v>408</v>
      </c>
      <c r="Z808" s="2" t="s">
        <v>5566</v>
      </c>
      <c r="AA808" s="2">
        <v>-1.51366796815148</v>
      </c>
      <c r="AB808" s="2">
        <v>0.86980655328758505</v>
      </c>
      <c r="AC808" s="2">
        <v>119628.152170186</v>
      </c>
      <c r="AD808" s="2">
        <v>170238.43701242699</v>
      </c>
      <c r="AE808" s="2">
        <v>120453.50244689301</v>
      </c>
      <c r="AF808" s="2">
        <v>115970.489203679</v>
      </c>
      <c r="AG808" s="2">
        <v>114738.54405533199</v>
      </c>
      <c r="AH808" s="2">
        <v>121827.264712748</v>
      </c>
      <c r="AI808" s="2">
        <v>123459.646991442</v>
      </c>
      <c r="AJ808" s="2">
        <v>121319.465611023</v>
      </c>
      <c r="AK808" s="2">
        <v>178282.33407953399</v>
      </c>
      <c r="AL808" s="2">
        <v>161869.19905537201</v>
      </c>
      <c r="AM808" s="2">
        <v>175460.18749408799</v>
      </c>
      <c r="AN808" s="2">
        <v>165866.12325860799</v>
      </c>
      <c r="AO808" s="2">
        <v>163444.45433703199</v>
      </c>
      <c r="AP808" s="2">
        <v>176508.32384992999</v>
      </c>
    </row>
    <row r="809" spans="1:42" ht="14.5" x14ac:dyDescent="0.35">
      <c r="A809" s="2" t="s">
        <v>5567</v>
      </c>
      <c r="B809" s="2">
        <v>483.21923268446398</v>
      </c>
      <c r="C809" s="2">
        <v>6.3948166666666699</v>
      </c>
      <c r="D809" s="2" t="s">
        <v>34</v>
      </c>
      <c r="E809" s="2" t="s">
        <v>5568</v>
      </c>
      <c r="F809" s="2">
        <v>267523</v>
      </c>
      <c r="G809" s="3" t="str">
        <f>HYPERLINK("http://funmeta.oebiotech.com/network/267523", "http://funmeta.oebiotech.com/network/267523")</f>
        <v>http://funmeta.oebiotech.com/network/267523</v>
      </c>
      <c r="H809" s="2"/>
      <c r="I809" s="2">
        <v>45609</v>
      </c>
      <c r="J809" s="2"/>
      <c r="K809" s="2"/>
      <c r="L809" s="2"/>
      <c r="M809" s="2"/>
      <c r="N809" s="2"/>
      <c r="O809" s="2">
        <v>5312153</v>
      </c>
      <c r="P809" s="2" t="s">
        <v>5569</v>
      </c>
      <c r="Q809" s="2" t="s">
        <v>5570</v>
      </c>
      <c r="R809" s="2" t="s">
        <v>5571</v>
      </c>
      <c r="S809" s="2" t="s">
        <v>50</v>
      </c>
      <c r="T809" s="2" t="s">
        <v>229</v>
      </c>
      <c r="U809" s="2" t="s">
        <v>766</v>
      </c>
      <c r="V809" s="2" t="s">
        <v>59</v>
      </c>
      <c r="W809" s="2">
        <v>36</v>
      </c>
      <c r="X809" s="2">
        <v>0</v>
      </c>
      <c r="Y809" s="2" t="s">
        <v>43</v>
      </c>
      <c r="Z809" s="2" t="s">
        <v>5572</v>
      </c>
      <c r="AA809" s="2">
        <v>7.0592105966022096</v>
      </c>
      <c r="AB809" s="2">
        <v>0.86977018778698301</v>
      </c>
      <c r="AC809" s="2">
        <v>77715.862392704395</v>
      </c>
      <c r="AD809" s="2">
        <v>27660.797504111899</v>
      </c>
      <c r="AE809" s="2">
        <v>79016.901683777003</v>
      </c>
      <c r="AF809" s="2">
        <v>74322.824000254899</v>
      </c>
      <c r="AG809" s="2">
        <v>75251.039024085301</v>
      </c>
      <c r="AH809" s="2">
        <v>82099.210211131998</v>
      </c>
      <c r="AI809" s="2">
        <v>71479.040063995606</v>
      </c>
      <c r="AJ809" s="2">
        <v>84126.159372981507</v>
      </c>
      <c r="AK809" s="2">
        <v>26945.589413048099</v>
      </c>
      <c r="AL809" s="2">
        <v>27008.578077157399</v>
      </c>
      <c r="AM809" s="2">
        <v>31319.603767205499</v>
      </c>
      <c r="AN809" s="2">
        <v>28498.854576439899</v>
      </c>
      <c r="AO809" s="2">
        <v>25919.2884747719</v>
      </c>
      <c r="AP809" s="2">
        <v>26272.870716048601</v>
      </c>
    </row>
    <row r="810" spans="1:42" ht="14.5" x14ac:dyDescent="0.35">
      <c r="A810" s="2" t="s">
        <v>5573</v>
      </c>
      <c r="B810" s="2">
        <v>460.268891029261</v>
      </c>
      <c r="C810" s="2">
        <v>9.6350833333333306</v>
      </c>
      <c r="D810" s="2" t="s">
        <v>34</v>
      </c>
      <c r="E810" s="2" t="s">
        <v>5574</v>
      </c>
      <c r="F810" s="2">
        <v>199069</v>
      </c>
      <c r="G810" s="3" t="str">
        <f>HYPERLINK("http://funmeta.oebiotech.com/network/199069", "http://funmeta.oebiotech.com/network/199069")</f>
        <v>http://funmeta.oebiotech.com/network/199069</v>
      </c>
      <c r="H810" s="2" t="s">
        <v>5575</v>
      </c>
      <c r="I810" s="2"/>
      <c r="J810" s="2"/>
      <c r="K810" s="2"/>
      <c r="L810" s="2"/>
      <c r="M810" s="2"/>
      <c r="N810" s="2"/>
      <c r="O810" s="2">
        <v>120682</v>
      </c>
      <c r="P810" s="2"/>
      <c r="Q810" s="2" t="s">
        <v>5576</v>
      </c>
      <c r="R810" s="2" t="s">
        <v>5577</v>
      </c>
      <c r="S810" s="2" t="s">
        <v>50</v>
      </c>
      <c r="T810" s="2" t="s">
        <v>201</v>
      </c>
      <c r="U810" s="2" t="s">
        <v>241</v>
      </c>
      <c r="V810" s="2" t="s">
        <v>59</v>
      </c>
      <c r="W810" s="2">
        <v>38.700000000000003</v>
      </c>
      <c r="X810" s="2">
        <v>0.94599999999999995</v>
      </c>
      <c r="Y810" s="2" t="s">
        <v>67</v>
      </c>
      <c r="Z810" s="2" t="s">
        <v>5578</v>
      </c>
      <c r="AA810" s="2">
        <v>4.4191053043986601</v>
      </c>
      <c r="AB810" s="2">
        <v>0.86829582713608999</v>
      </c>
      <c r="AC810" s="2">
        <v>883969.55763996602</v>
      </c>
      <c r="AD810" s="2">
        <v>1066574.9869401599</v>
      </c>
      <c r="AE810" s="2">
        <v>891738.17384079704</v>
      </c>
      <c r="AF810" s="2">
        <v>803414.94459079194</v>
      </c>
      <c r="AG810" s="2">
        <v>894769.51774763397</v>
      </c>
      <c r="AH810" s="2">
        <v>851819.53438684205</v>
      </c>
      <c r="AI810" s="2">
        <v>1024485.4867318301</v>
      </c>
      <c r="AJ810" s="2">
        <v>837589.68854190304</v>
      </c>
      <c r="AK810" s="2">
        <v>832199.22389228898</v>
      </c>
      <c r="AL810" s="2">
        <v>2014620.4674320901</v>
      </c>
      <c r="AM810" s="2">
        <v>1018461.17005687</v>
      </c>
      <c r="AN810" s="2">
        <v>1069682.3479160401</v>
      </c>
      <c r="AO810" s="2">
        <v>847043.65654988901</v>
      </c>
      <c r="AP810" s="2">
        <v>617443.05579375802</v>
      </c>
    </row>
    <row r="811" spans="1:42" ht="14.5" x14ac:dyDescent="0.35">
      <c r="A811" s="2" t="s">
        <v>5579</v>
      </c>
      <c r="B811" s="2">
        <v>593.19911562477705</v>
      </c>
      <c r="C811" s="2">
        <v>5.37076666666667</v>
      </c>
      <c r="D811" s="2" t="s">
        <v>34</v>
      </c>
      <c r="E811" s="2" t="s">
        <v>5580</v>
      </c>
      <c r="F811" s="2">
        <v>62257</v>
      </c>
      <c r="G811" s="3" t="str">
        <f>HYPERLINK("http://funmeta.oebiotech.com/network/62257", "http://funmeta.oebiotech.com/network/62257")</f>
        <v>http://funmeta.oebiotech.com/network/62257</v>
      </c>
      <c r="H811" s="2" t="s">
        <v>5581</v>
      </c>
      <c r="I811" s="2">
        <v>93545</v>
      </c>
      <c r="J811" s="2"/>
      <c r="K811" s="2">
        <v>169215</v>
      </c>
      <c r="L811" s="2"/>
      <c r="M811" s="2"/>
      <c r="N811" s="2"/>
      <c r="O811" s="2">
        <v>14521028</v>
      </c>
      <c r="P811" s="2" t="s">
        <v>5582</v>
      </c>
      <c r="Q811" s="2" t="s">
        <v>5583</v>
      </c>
      <c r="R811" s="2" t="s">
        <v>5584</v>
      </c>
      <c r="S811" s="2" t="s">
        <v>1184</v>
      </c>
      <c r="T811" s="2" t="s">
        <v>1185</v>
      </c>
      <c r="U811" s="2" t="s">
        <v>41</v>
      </c>
      <c r="V811" s="2" t="s">
        <v>59</v>
      </c>
      <c r="W811" s="2">
        <v>38.6</v>
      </c>
      <c r="X811" s="2">
        <v>0</v>
      </c>
      <c r="Y811" s="2" t="s">
        <v>340</v>
      </c>
      <c r="Z811" s="2" t="s">
        <v>5585</v>
      </c>
      <c r="AA811" s="2">
        <v>-0.66597692153324395</v>
      </c>
      <c r="AB811" s="2">
        <v>0.86302864123925704</v>
      </c>
      <c r="AC811" s="2">
        <v>90024.399371605905</v>
      </c>
      <c r="AD811" s="2">
        <v>141568.17190118099</v>
      </c>
      <c r="AE811" s="2">
        <v>89718.415867785996</v>
      </c>
      <c r="AF811" s="2">
        <v>101323.96970682</v>
      </c>
      <c r="AG811" s="2">
        <v>80400.4777153826</v>
      </c>
      <c r="AH811" s="2">
        <v>79143.0939026337</v>
      </c>
      <c r="AI811" s="2">
        <v>93724.1926499478</v>
      </c>
      <c r="AJ811" s="2">
        <v>95836.246387065301</v>
      </c>
      <c r="AK811" s="2">
        <v>157993.10045291</v>
      </c>
      <c r="AL811" s="2">
        <v>137021.323991432</v>
      </c>
      <c r="AM811" s="2">
        <v>130449.541838032</v>
      </c>
      <c r="AN811" s="2">
        <v>144827.452859009</v>
      </c>
      <c r="AO811" s="2">
        <v>133382.51789176301</v>
      </c>
      <c r="AP811" s="2">
        <v>145735.09437394</v>
      </c>
    </row>
    <row r="812" spans="1:42" ht="14.5" x14ac:dyDescent="0.35">
      <c r="A812" s="2" t="s">
        <v>5586</v>
      </c>
      <c r="B812" s="2">
        <v>196.09685416089599</v>
      </c>
      <c r="C812" s="2">
        <v>1.7403833333333301</v>
      </c>
      <c r="D812" s="2" t="s">
        <v>34</v>
      </c>
      <c r="E812" s="2" t="s">
        <v>5587</v>
      </c>
      <c r="F812" s="2">
        <v>266908</v>
      </c>
      <c r="G812" s="3" t="str">
        <f>HYPERLINK("http://funmeta.oebiotech.com/network/266908", "http://funmeta.oebiotech.com/network/266908")</f>
        <v>http://funmeta.oebiotech.com/network/266908</v>
      </c>
      <c r="H812" s="2"/>
      <c r="I812" s="2">
        <v>44267</v>
      </c>
      <c r="J812" s="2"/>
      <c r="K812" s="2"/>
      <c r="L812" s="2"/>
      <c r="M812" s="2"/>
      <c r="N812" s="2"/>
      <c r="O812" s="2">
        <v>78457</v>
      </c>
      <c r="P812" s="2" t="s">
        <v>5588</v>
      </c>
      <c r="Q812" s="2" t="s">
        <v>5589</v>
      </c>
      <c r="R812" s="2" t="s">
        <v>5590</v>
      </c>
      <c r="S812" s="2" t="s">
        <v>89</v>
      </c>
      <c r="T812" s="2" t="s">
        <v>90</v>
      </c>
      <c r="U812" s="2" t="s">
        <v>99</v>
      </c>
      <c r="V812" s="2" t="s">
        <v>42</v>
      </c>
      <c r="W812" s="2">
        <v>48.7</v>
      </c>
      <c r="X812" s="2">
        <v>45.6</v>
      </c>
      <c r="Y812" s="2" t="s">
        <v>67</v>
      </c>
      <c r="Z812" s="2" t="s">
        <v>5591</v>
      </c>
      <c r="AA812" s="2">
        <v>0.17657792148856999</v>
      </c>
      <c r="AB812" s="2">
        <v>0.86300669541956299</v>
      </c>
      <c r="AC812" s="2">
        <v>248233.350923244</v>
      </c>
      <c r="AD812" s="2">
        <v>197548.38759561599</v>
      </c>
      <c r="AE812" s="2">
        <v>255283.07933616999</v>
      </c>
      <c r="AF812" s="2">
        <v>245084.88414682701</v>
      </c>
      <c r="AG812" s="2">
        <v>248933.41934934899</v>
      </c>
      <c r="AH812" s="2">
        <v>234819.60028489199</v>
      </c>
      <c r="AI812" s="2">
        <v>247775.13834296999</v>
      </c>
      <c r="AJ812" s="2">
        <v>257503.98407925799</v>
      </c>
      <c r="AK812" s="2">
        <v>187758.53949267999</v>
      </c>
      <c r="AL812" s="2">
        <v>196006.938894847</v>
      </c>
      <c r="AM812" s="2">
        <v>206802.74681723799</v>
      </c>
      <c r="AN812" s="2">
        <v>203885.58619243599</v>
      </c>
      <c r="AO812" s="2">
        <v>193419.34998126599</v>
      </c>
      <c r="AP812" s="2">
        <v>197417.16419523201</v>
      </c>
    </row>
    <row r="813" spans="1:42" ht="14.5" x14ac:dyDescent="0.35">
      <c r="A813" s="2" t="s">
        <v>5592</v>
      </c>
      <c r="B813" s="2">
        <v>767.42163057569405</v>
      </c>
      <c r="C813" s="2">
        <v>11.459766666666701</v>
      </c>
      <c r="D813" s="2" t="s">
        <v>70</v>
      </c>
      <c r="E813" s="2" t="s">
        <v>5593</v>
      </c>
      <c r="F813" s="2">
        <v>44552</v>
      </c>
      <c r="G813" s="3" t="str">
        <f>HYPERLINK("http://funmeta.oebiotech.com/network/44552", "http://funmeta.oebiotech.com/network/44552")</f>
        <v>http://funmeta.oebiotech.com/network/44552</v>
      </c>
      <c r="H813" s="2"/>
      <c r="I813" s="2"/>
      <c r="J813" s="2" t="s">
        <v>5594</v>
      </c>
      <c r="K813" s="2"/>
      <c r="L813" s="2"/>
      <c r="M813" s="2"/>
      <c r="N813" s="2"/>
      <c r="O813" s="2"/>
      <c r="P813" s="2"/>
      <c r="Q813" s="2" t="s">
        <v>5595</v>
      </c>
      <c r="R813" s="2" t="s">
        <v>5596</v>
      </c>
      <c r="S813" s="2" t="s">
        <v>41</v>
      </c>
      <c r="T813" s="2" t="s">
        <v>41</v>
      </c>
      <c r="U813" s="2" t="s">
        <v>41</v>
      </c>
      <c r="V813" s="2" t="s">
        <v>42</v>
      </c>
      <c r="W813" s="2">
        <v>52.6</v>
      </c>
      <c r="X813" s="2">
        <v>75.900000000000006</v>
      </c>
      <c r="Y813" s="2" t="s">
        <v>118</v>
      </c>
      <c r="Z813" s="2" t="s">
        <v>5597</v>
      </c>
      <c r="AA813" s="2">
        <v>-0.91058259542821296</v>
      </c>
      <c r="AB813" s="2">
        <v>0.86290701936908598</v>
      </c>
      <c r="AC813" s="2">
        <v>137918.56939339099</v>
      </c>
      <c r="AD813" s="2">
        <v>188468.67213351501</v>
      </c>
      <c r="AE813" s="2">
        <v>142949.679750918</v>
      </c>
      <c r="AF813" s="2">
        <v>143458.125818967</v>
      </c>
      <c r="AG813" s="2">
        <v>128974.079752299</v>
      </c>
      <c r="AH813" s="2">
        <v>124668.806252871</v>
      </c>
      <c r="AI813" s="2">
        <v>141092.344382323</v>
      </c>
      <c r="AJ813" s="2">
        <v>146368.38040297001</v>
      </c>
      <c r="AK813" s="2">
        <v>183255.926189538</v>
      </c>
      <c r="AL813" s="2">
        <v>184307.920096316</v>
      </c>
      <c r="AM813" s="2">
        <v>188135.98034815601</v>
      </c>
      <c r="AN813" s="2">
        <v>186504.78381549701</v>
      </c>
      <c r="AO813" s="2">
        <v>189620.074914378</v>
      </c>
      <c r="AP813" s="2">
        <v>198987.347437202</v>
      </c>
    </row>
    <row r="814" spans="1:42" ht="14.5" x14ac:dyDescent="0.35">
      <c r="A814" s="2" t="s">
        <v>5598</v>
      </c>
      <c r="B814" s="2">
        <v>919.50589803689002</v>
      </c>
      <c r="C814" s="2">
        <v>5.8104500000000003</v>
      </c>
      <c r="D814" s="2" t="s">
        <v>34</v>
      </c>
      <c r="E814" s="2" t="s">
        <v>5599</v>
      </c>
      <c r="F814" s="2">
        <v>225700</v>
      </c>
      <c r="G814" s="3" t="str">
        <f>HYPERLINK("http://funmeta.oebiotech.com/network/225700", "http://funmeta.oebiotech.com/network/225700")</f>
        <v>http://funmeta.oebiotech.com/network/225700</v>
      </c>
      <c r="H814" s="2" t="s">
        <v>5600</v>
      </c>
      <c r="I814" s="2"/>
      <c r="J814" s="2"/>
      <c r="K814" s="2"/>
      <c r="L814" s="2"/>
      <c r="M814" s="2"/>
      <c r="N814" s="2"/>
      <c r="O814" s="2"/>
      <c r="P814" s="2"/>
      <c r="Q814" s="2" t="s">
        <v>5601</v>
      </c>
      <c r="R814" s="2" t="s">
        <v>5602</v>
      </c>
      <c r="S814" s="2" t="s">
        <v>41</v>
      </c>
      <c r="T814" s="2" t="s">
        <v>41</v>
      </c>
      <c r="U814" s="2" t="s">
        <v>41</v>
      </c>
      <c r="V814" s="2" t="s">
        <v>59</v>
      </c>
      <c r="W814" s="2">
        <v>37</v>
      </c>
      <c r="X814" s="2">
        <v>0</v>
      </c>
      <c r="Y814" s="2" t="s">
        <v>470</v>
      </c>
      <c r="Z814" s="2" t="s">
        <v>5603</v>
      </c>
      <c r="AA814" s="2">
        <v>-1.45363140229796</v>
      </c>
      <c r="AB814" s="2">
        <v>0.86288473459016601</v>
      </c>
      <c r="AC814" s="2">
        <v>231645.642224607</v>
      </c>
      <c r="AD814" s="2">
        <v>174154.80471528901</v>
      </c>
      <c r="AE814" s="2">
        <v>247549.89169620199</v>
      </c>
      <c r="AF814" s="2">
        <v>222013.347063216</v>
      </c>
      <c r="AG814" s="2">
        <v>217977.700904214</v>
      </c>
      <c r="AH814" s="2">
        <v>270143.03615502402</v>
      </c>
      <c r="AI814" s="2">
        <v>230191.02580181501</v>
      </c>
      <c r="AJ814" s="2">
        <v>201998.85172717099</v>
      </c>
      <c r="AK814" s="2">
        <v>150188.72748251399</v>
      </c>
      <c r="AL814" s="2">
        <v>171759.20364501301</v>
      </c>
      <c r="AM814" s="2">
        <v>184877.056447668</v>
      </c>
      <c r="AN814" s="2">
        <v>182387.46783144801</v>
      </c>
      <c r="AO814" s="2">
        <v>172701.356319446</v>
      </c>
      <c r="AP814" s="2">
        <v>183015.016565645</v>
      </c>
    </row>
    <row r="815" spans="1:42" ht="14.5" x14ac:dyDescent="0.35">
      <c r="A815" s="2" t="s">
        <v>5604</v>
      </c>
      <c r="B815" s="2">
        <v>1072.5612345581301</v>
      </c>
      <c r="C815" s="2">
        <v>9.0830166666666692</v>
      </c>
      <c r="D815" s="2" t="s">
        <v>34</v>
      </c>
      <c r="E815" s="2" t="s">
        <v>5605</v>
      </c>
      <c r="F815" s="2">
        <v>247245</v>
      </c>
      <c r="G815" s="3" t="str">
        <f>HYPERLINK("http://funmeta.oebiotech.com/network/247245", "http://funmeta.oebiotech.com/network/247245")</f>
        <v>http://funmeta.oebiotech.com/network/247245</v>
      </c>
      <c r="H815" s="2" t="s">
        <v>5606</v>
      </c>
      <c r="I815" s="2"/>
      <c r="J815" s="2"/>
      <c r="K815" s="2"/>
      <c r="L815" s="2"/>
      <c r="M815" s="2"/>
      <c r="N815" s="2"/>
      <c r="O815" s="2"/>
      <c r="P815" s="2"/>
      <c r="Q815" s="2" t="s">
        <v>5607</v>
      </c>
      <c r="R815" s="2" t="s">
        <v>5608</v>
      </c>
      <c r="S815" s="2" t="s">
        <v>41</v>
      </c>
      <c r="T815" s="2" t="s">
        <v>41</v>
      </c>
      <c r="U815" s="2" t="s">
        <v>41</v>
      </c>
      <c r="V815" s="2" t="s">
        <v>59</v>
      </c>
      <c r="W815" s="2">
        <v>43.5</v>
      </c>
      <c r="X815" s="2">
        <v>24.1</v>
      </c>
      <c r="Y815" s="2" t="s">
        <v>323</v>
      </c>
      <c r="Z815" s="2" t="s">
        <v>5609</v>
      </c>
      <c r="AA815" s="2">
        <v>0.19706755017697999</v>
      </c>
      <c r="AB815" s="2">
        <v>0.86225131180126702</v>
      </c>
      <c r="AC815" s="2">
        <v>83367.889173179501</v>
      </c>
      <c r="AD815" s="2">
        <v>34193.7339241851</v>
      </c>
      <c r="AE815" s="2">
        <v>88239.465304218902</v>
      </c>
      <c r="AF815" s="2">
        <v>80010.467313051995</v>
      </c>
      <c r="AG815" s="2">
        <v>80934.042006395699</v>
      </c>
      <c r="AH815" s="2">
        <v>83143.7446845175</v>
      </c>
      <c r="AI815" s="2">
        <v>79875.347384935303</v>
      </c>
      <c r="AJ815" s="2">
        <v>88004.268345957695</v>
      </c>
      <c r="AK815" s="2">
        <v>30102.476768616099</v>
      </c>
      <c r="AL815" s="2">
        <v>34256.968611753997</v>
      </c>
      <c r="AM815" s="2">
        <v>34297.0905677255</v>
      </c>
      <c r="AN815" s="2">
        <v>39084.914289992499</v>
      </c>
      <c r="AO815" s="2">
        <v>34489.644862280402</v>
      </c>
      <c r="AP815" s="2">
        <v>32931.308444741997</v>
      </c>
    </row>
    <row r="816" spans="1:42" ht="14.5" x14ac:dyDescent="0.35">
      <c r="A816" s="2" t="s">
        <v>5610</v>
      </c>
      <c r="B816" s="2">
        <v>655.07120751112097</v>
      </c>
      <c r="C816" s="2">
        <v>11.442033333333301</v>
      </c>
      <c r="D816" s="2" t="s">
        <v>34</v>
      </c>
      <c r="E816" s="2" t="s">
        <v>5611</v>
      </c>
      <c r="F816" s="2">
        <v>57808</v>
      </c>
      <c r="G816" s="3" t="str">
        <f>HYPERLINK("http://funmeta.oebiotech.com/network/57808", "http://funmeta.oebiotech.com/network/57808")</f>
        <v>http://funmeta.oebiotech.com/network/57808</v>
      </c>
      <c r="H816" s="2" t="s">
        <v>5612</v>
      </c>
      <c r="I816" s="2">
        <v>89396</v>
      </c>
      <c r="J816" s="2"/>
      <c r="K816" s="2">
        <v>172773</v>
      </c>
      <c r="L816" s="2"/>
      <c r="M816" s="2"/>
      <c r="N816" s="2"/>
      <c r="O816" s="2">
        <v>74977604</v>
      </c>
      <c r="P816" s="2"/>
      <c r="Q816" s="2" t="s">
        <v>5613</v>
      </c>
      <c r="R816" s="2" t="s">
        <v>5614</v>
      </c>
      <c r="S816" s="2" t="s">
        <v>115</v>
      </c>
      <c r="T816" s="2" t="s">
        <v>139</v>
      </c>
      <c r="U816" s="2" t="s">
        <v>140</v>
      </c>
      <c r="V816" s="2" t="s">
        <v>59</v>
      </c>
      <c r="W816" s="2">
        <v>37.5</v>
      </c>
      <c r="X816" s="2">
        <v>0</v>
      </c>
      <c r="Y816" s="2" t="s">
        <v>340</v>
      </c>
      <c r="Z816" s="2" t="s">
        <v>5615</v>
      </c>
      <c r="AA816" s="2">
        <v>2.6208920895178398</v>
      </c>
      <c r="AB816" s="2">
        <v>0.86134893410609903</v>
      </c>
      <c r="AC816" s="2">
        <v>50.587462025251398</v>
      </c>
      <c r="AD816" s="2">
        <v>49703.733697084703</v>
      </c>
      <c r="AE816" s="2">
        <v>103.820036788682</v>
      </c>
      <c r="AF816" s="2">
        <v>2.7106294003980101E-5</v>
      </c>
      <c r="AG816" s="2">
        <v>2.7106294003980101E-5</v>
      </c>
      <c r="AH816" s="2">
        <v>2.7106294003980101E-5</v>
      </c>
      <c r="AI816" s="2">
        <v>60.310015380753299</v>
      </c>
      <c r="AJ816" s="2">
        <v>139.39463866319099</v>
      </c>
      <c r="AK816" s="2">
        <v>43667.405094100999</v>
      </c>
      <c r="AL816" s="2">
        <v>41699.5856639868</v>
      </c>
      <c r="AM816" s="2">
        <v>57896.531868762897</v>
      </c>
      <c r="AN816" s="2">
        <v>49550.658295786801</v>
      </c>
      <c r="AO816" s="2">
        <v>44727.671903663897</v>
      </c>
      <c r="AP816" s="2">
        <v>60680.549356207099</v>
      </c>
    </row>
    <row r="817" spans="1:42" ht="14.5" x14ac:dyDescent="0.35">
      <c r="A817" s="2" t="s">
        <v>5616</v>
      </c>
      <c r="B817" s="2">
        <v>311.16377248456803</v>
      </c>
      <c r="C817" s="2">
        <v>5.8468499999999999</v>
      </c>
      <c r="D817" s="2" t="s">
        <v>34</v>
      </c>
      <c r="E817" s="2" t="s">
        <v>5617</v>
      </c>
      <c r="F817" s="2">
        <v>63892</v>
      </c>
      <c r="G817" s="3" t="str">
        <f>HYPERLINK("http://funmeta.oebiotech.com/network/63892", "http://funmeta.oebiotech.com/network/63892")</f>
        <v>http://funmeta.oebiotech.com/network/63892</v>
      </c>
      <c r="H817" s="2" t="s">
        <v>5618</v>
      </c>
      <c r="I817" s="2"/>
      <c r="J817" s="2"/>
      <c r="K817" s="2"/>
      <c r="L817" s="2"/>
      <c r="M817" s="2"/>
      <c r="N817" s="2"/>
      <c r="O817" s="2"/>
      <c r="P817" s="2" t="s">
        <v>5619</v>
      </c>
      <c r="Q817" s="2" t="s">
        <v>5620</v>
      </c>
      <c r="R817" s="2" t="s">
        <v>5621</v>
      </c>
      <c r="S817" s="2" t="s">
        <v>50</v>
      </c>
      <c r="T817" s="2" t="s">
        <v>201</v>
      </c>
      <c r="U817" s="2" t="s">
        <v>5622</v>
      </c>
      <c r="V817" s="2" t="s">
        <v>42</v>
      </c>
      <c r="W817" s="2">
        <v>52.1</v>
      </c>
      <c r="X817" s="2">
        <v>67.400000000000006</v>
      </c>
      <c r="Y817" s="2" t="s">
        <v>266</v>
      </c>
      <c r="Z817" s="2" t="s">
        <v>5623</v>
      </c>
      <c r="AA817" s="2">
        <v>-1.2143597457192199</v>
      </c>
      <c r="AB817" s="2">
        <v>0.86123583391383796</v>
      </c>
      <c r="AC817" s="2">
        <v>155441.91605608701</v>
      </c>
      <c r="AD817" s="2">
        <v>106458.61331318801</v>
      </c>
      <c r="AE817" s="2">
        <v>156977.95472350201</v>
      </c>
      <c r="AF817" s="2">
        <v>155486.75764118001</v>
      </c>
      <c r="AG817" s="2">
        <v>156393.13822391201</v>
      </c>
      <c r="AH817" s="2">
        <v>150150.48045455199</v>
      </c>
      <c r="AI817" s="2">
        <v>154641.08187502701</v>
      </c>
      <c r="AJ817" s="2">
        <v>159002.083418347</v>
      </c>
      <c r="AK817" s="2">
        <v>110505.14203680601</v>
      </c>
      <c r="AL817" s="2">
        <v>107015.049557665</v>
      </c>
      <c r="AM817" s="2">
        <v>108303.323595204</v>
      </c>
      <c r="AN817" s="2">
        <v>107748.904106028</v>
      </c>
      <c r="AO817" s="2">
        <v>103618.00371678799</v>
      </c>
      <c r="AP817" s="2">
        <v>101561.256866638</v>
      </c>
    </row>
    <row r="818" spans="1:42" ht="14.5" x14ac:dyDescent="0.35">
      <c r="A818" s="2" t="s">
        <v>5624</v>
      </c>
      <c r="B818" s="2">
        <v>327.160005822887</v>
      </c>
      <c r="C818" s="2">
        <v>9.1537000000000006</v>
      </c>
      <c r="D818" s="2" t="s">
        <v>70</v>
      </c>
      <c r="E818" s="2" t="s">
        <v>5625</v>
      </c>
      <c r="F818" s="2">
        <v>57162</v>
      </c>
      <c r="G818" s="3" t="str">
        <f>HYPERLINK("http://funmeta.oebiotech.com/network/57162", "http://funmeta.oebiotech.com/network/57162")</f>
        <v>http://funmeta.oebiotech.com/network/57162</v>
      </c>
      <c r="H818" s="2" t="s">
        <v>5626</v>
      </c>
      <c r="I818" s="2">
        <v>88808</v>
      </c>
      <c r="J818" s="2"/>
      <c r="K818" s="2">
        <v>175397</v>
      </c>
      <c r="L818" s="2"/>
      <c r="M818" s="2"/>
      <c r="N818" s="2"/>
      <c r="O818" s="2">
        <v>131751346</v>
      </c>
      <c r="P818" s="2" t="s">
        <v>5627</v>
      </c>
      <c r="Q818" s="2" t="s">
        <v>5628</v>
      </c>
      <c r="R818" s="2" t="s">
        <v>5629</v>
      </c>
      <c r="S818" s="2" t="s">
        <v>50</v>
      </c>
      <c r="T818" s="2" t="s">
        <v>201</v>
      </c>
      <c r="U818" s="2" t="s">
        <v>1217</v>
      </c>
      <c r="V818" s="2" t="s">
        <v>59</v>
      </c>
      <c r="W818" s="2">
        <v>43.4</v>
      </c>
      <c r="X818" s="2">
        <v>21.3</v>
      </c>
      <c r="Y818" s="2" t="s">
        <v>751</v>
      </c>
      <c r="Z818" s="2" t="s">
        <v>5232</v>
      </c>
      <c r="AA818" s="2">
        <v>-0.51126507414801503</v>
      </c>
      <c r="AB818" s="2">
        <v>0.861042223385731</v>
      </c>
      <c r="AC818" s="2">
        <v>76359.884588896093</v>
      </c>
      <c r="AD818" s="2">
        <v>1138.2305928231201</v>
      </c>
      <c r="AE818" s="2">
        <v>33865.004870377699</v>
      </c>
      <c r="AF818" s="2">
        <v>214115.942706773</v>
      </c>
      <c r="AG818" s="2">
        <v>56013.034594067001</v>
      </c>
      <c r="AH818" s="2">
        <v>71695.406804684404</v>
      </c>
      <c r="AI818" s="2">
        <v>18955.044955674399</v>
      </c>
      <c r="AJ818" s="2">
        <v>63514.873601800296</v>
      </c>
      <c r="AK818" s="2">
        <v>54.089455681564999</v>
      </c>
      <c r="AL818" s="2">
        <v>957.248258066792</v>
      </c>
      <c r="AM818" s="2">
        <v>188.91580210529099</v>
      </c>
      <c r="AN818" s="2">
        <v>587.73329406109701</v>
      </c>
      <c r="AO818" s="2">
        <v>4832.10306700819</v>
      </c>
      <c r="AP818" s="2">
        <v>209.29368001580701</v>
      </c>
    </row>
    <row r="819" spans="1:42" ht="14.5" x14ac:dyDescent="0.35">
      <c r="A819" s="2" t="s">
        <v>5630</v>
      </c>
      <c r="B819" s="2">
        <v>732.41158789799101</v>
      </c>
      <c r="C819" s="2">
        <v>5.4227666666666696</v>
      </c>
      <c r="D819" s="2" t="s">
        <v>34</v>
      </c>
      <c r="E819" s="2" t="s">
        <v>5631</v>
      </c>
      <c r="F819" s="2">
        <v>27967</v>
      </c>
      <c r="G819" s="3" t="str">
        <f>HYPERLINK("http://funmeta.oebiotech.com/network/27967", "http://funmeta.oebiotech.com/network/27967")</f>
        <v>http://funmeta.oebiotech.com/network/27967</v>
      </c>
      <c r="H819" s="2"/>
      <c r="I819" s="2"/>
      <c r="J819" s="2" t="s">
        <v>5632</v>
      </c>
      <c r="K819" s="2"/>
      <c r="L819" s="2"/>
      <c r="M819" s="2"/>
      <c r="N819" s="2"/>
      <c r="O819" s="2">
        <v>134812414</v>
      </c>
      <c r="P819" s="2"/>
      <c r="Q819" s="2" t="s">
        <v>5633</v>
      </c>
      <c r="R819" s="2" t="s">
        <v>5634</v>
      </c>
      <c r="S819" s="2" t="s">
        <v>50</v>
      </c>
      <c r="T819" s="2" t="s">
        <v>51</v>
      </c>
      <c r="U819" s="2" t="s">
        <v>66</v>
      </c>
      <c r="V819" s="2" t="s">
        <v>59</v>
      </c>
      <c r="W819" s="2">
        <v>39.5</v>
      </c>
      <c r="X819" s="2">
        <v>18.3</v>
      </c>
      <c r="Y819" s="2" t="s">
        <v>394</v>
      </c>
      <c r="Z819" s="2" t="s">
        <v>5635</v>
      </c>
      <c r="AA819" s="2">
        <v>4.5780745453056904</v>
      </c>
      <c r="AB819" s="2">
        <v>0.86102095387301503</v>
      </c>
      <c r="AC819" s="2">
        <v>328791.37149043899</v>
      </c>
      <c r="AD819" s="2">
        <v>272033.37895281601</v>
      </c>
      <c r="AE819" s="2">
        <v>339661.39640358201</v>
      </c>
      <c r="AF819" s="2">
        <v>332530.246574155</v>
      </c>
      <c r="AG819" s="2">
        <v>316570.93171207298</v>
      </c>
      <c r="AH819" s="2">
        <v>355745.84970067302</v>
      </c>
      <c r="AI819" s="2">
        <v>332155.22782553401</v>
      </c>
      <c r="AJ819" s="2">
        <v>296084.576726617</v>
      </c>
      <c r="AK819" s="2">
        <v>255991.41297161701</v>
      </c>
      <c r="AL819" s="2">
        <v>264625.14709410502</v>
      </c>
      <c r="AM819" s="2">
        <v>294288.26191720797</v>
      </c>
      <c r="AN819" s="2">
        <v>288935.24259844999</v>
      </c>
      <c r="AO819" s="2">
        <v>269815.75590165099</v>
      </c>
      <c r="AP819" s="2">
        <v>258544.45323386701</v>
      </c>
    </row>
    <row r="820" spans="1:42" ht="14.5" x14ac:dyDescent="0.35">
      <c r="A820" s="2" t="s">
        <v>5636</v>
      </c>
      <c r="B820" s="2">
        <v>766.54534418809601</v>
      </c>
      <c r="C820" s="2">
        <v>14.551116666666699</v>
      </c>
      <c r="D820" s="2" t="s">
        <v>34</v>
      </c>
      <c r="E820" s="2" t="s">
        <v>5637</v>
      </c>
      <c r="F820" s="2">
        <v>40013</v>
      </c>
      <c r="G820" s="3" t="str">
        <f>HYPERLINK("http://funmeta.oebiotech.com/network/40013", "http://funmeta.oebiotech.com/network/40013")</f>
        <v>http://funmeta.oebiotech.com/network/40013</v>
      </c>
      <c r="H820" s="2"/>
      <c r="I820" s="2"/>
      <c r="J820" s="2" t="s">
        <v>5638</v>
      </c>
      <c r="K820" s="2"/>
      <c r="L820" s="2"/>
      <c r="M820" s="2"/>
      <c r="N820" s="2"/>
      <c r="O820" s="2">
        <v>10327690</v>
      </c>
      <c r="P820" s="2"/>
      <c r="Q820" s="2" t="s">
        <v>5639</v>
      </c>
      <c r="R820" s="2" t="s">
        <v>5640</v>
      </c>
      <c r="S820" s="2" t="s">
        <v>50</v>
      </c>
      <c r="T820" s="2" t="s">
        <v>693</v>
      </c>
      <c r="U820" s="2" t="s">
        <v>694</v>
      </c>
      <c r="V820" s="2" t="s">
        <v>59</v>
      </c>
      <c r="W820" s="2">
        <v>39.299999999999997</v>
      </c>
      <c r="X820" s="2">
        <v>0</v>
      </c>
      <c r="Y820" s="2" t="s">
        <v>323</v>
      </c>
      <c r="Z820" s="2" t="s">
        <v>5641</v>
      </c>
      <c r="AA820" s="2">
        <v>1.8503523929922401</v>
      </c>
      <c r="AB820" s="2">
        <v>0.86091718816485896</v>
      </c>
      <c r="AC820" s="2">
        <v>27883.729081826801</v>
      </c>
      <c r="AD820" s="2">
        <v>77081.117823476598</v>
      </c>
      <c r="AE820" s="2">
        <v>25913.985113888899</v>
      </c>
      <c r="AF820" s="2">
        <v>26619.436228820501</v>
      </c>
      <c r="AG820" s="2">
        <v>27025.793961450301</v>
      </c>
      <c r="AH820" s="2">
        <v>28969.989571313999</v>
      </c>
      <c r="AI820" s="2">
        <v>27956.5991819019</v>
      </c>
      <c r="AJ820" s="2">
        <v>30816.570433585199</v>
      </c>
      <c r="AK820" s="2">
        <v>81612.752127086002</v>
      </c>
      <c r="AL820" s="2">
        <v>74956.882374332403</v>
      </c>
      <c r="AM820" s="2">
        <v>74127.175461267907</v>
      </c>
      <c r="AN820" s="2">
        <v>72208.168478456006</v>
      </c>
      <c r="AO820" s="2">
        <v>86163.916837356301</v>
      </c>
      <c r="AP820" s="2">
        <v>73417.811662361099</v>
      </c>
    </row>
    <row r="821" spans="1:42" ht="14.5" x14ac:dyDescent="0.35">
      <c r="A821" s="2" t="s">
        <v>5642</v>
      </c>
      <c r="B821" s="2">
        <v>229.180401818929</v>
      </c>
      <c r="C821" s="2">
        <v>9.7717833333333299</v>
      </c>
      <c r="D821" s="2" t="s">
        <v>70</v>
      </c>
      <c r="E821" s="2" t="s">
        <v>5643</v>
      </c>
      <c r="F821" s="2">
        <v>56840</v>
      </c>
      <c r="G821" s="3" t="str">
        <f>HYPERLINK("http://funmeta.oebiotech.com/network/56840", "http://funmeta.oebiotech.com/network/56840")</f>
        <v>http://funmeta.oebiotech.com/network/56840</v>
      </c>
      <c r="H821" s="2" t="s">
        <v>5644</v>
      </c>
      <c r="I821" s="2">
        <v>88516</v>
      </c>
      <c r="J821" s="2"/>
      <c r="K821" s="2"/>
      <c r="L821" s="2"/>
      <c r="M821" s="2"/>
      <c r="N821" s="2"/>
      <c r="O821" s="2">
        <v>14614417</v>
      </c>
      <c r="P821" s="2" t="s">
        <v>5645</v>
      </c>
      <c r="Q821" s="2" t="s">
        <v>5646</v>
      </c>
      <c r="R821" s="2" t="s">
        <v>5647</v>
      </c>
      <c r="S821" s="2" t="s">
        <v>50</v>
      </c>
      <c r="T821" s="2" t="s">
        <v>201</v>
      </c>
      <c r="U821" s="2" t="s">
        <v>265</v>
      </c>
      <c r="V821" s="2" t="s">
        <v>59</v>
      </c>
      <c r="W821" s="2">
        <v>41.5</v>
      </c>
      <c r="X821" s="2">
        <v>11.7</v>
      </c>
      <c r="Y821" s="2" t="s">
        <v>408</v>
      </c>
      <c r="Z821" s="2" t="s">
        <v>5648</v>
      </c>
      <c r="AA821" s="2">
        <v>-2.8039564419722001</v>
      </c>
      <c r="AB821" s="2">
        <v>0.85935670245689799</v>
      </c>
      <c r="AC821" s="2">
        <v>232439.84957168301</v>
      </c>
      <c r="AD821" s="2">
        <v>285666.44119742297</v>
      </c>
      <c r="AE821" s="2">
        <v>231402.052133891</v>
      </c>
      <c r="AF821" s="2">
        <v>239461.78718246301</v>
      </c>
      <c r="AG821" s="2">
        <v>231636.342291729</v>
      </c>
      <c r="AH821" s="2">
        <v>238404.83490026201</v>
      </c>
      <c r="AI821" s="2">
        <v>228130.219151492</v>
      </c>
      <c r="AJ821" s="2">
        <v>225603.86177025901</v>
      </c>
      <c r="AK821" s="2">
        <v>311448.19573420699</v>
      </c>
      <c r="AL821" s="2">
        <v>298125.17332692997</v>
      </c>
      <c r="AM821" s="2">
        <v>282208.37280701002</v>
      </c>
      <c r="AN821" s="2">
        <v>276806.97841128998</v>
      </c>
      <c r="AO821" s="2">
        <v>284590.13555501198</v>
      </c>
      <c r="AP821" s="2">
        <v>260819.79135009201</v>
      </c>
    </row>
    <row r="822" spans="1:42" ht="14.5" x14ac:dyDescent="0.35">
      <c r="A822" s="2" t="s">
        <v>5649</v>
      </c>
      <c r="B822" s="2">
        <v>293.21209946438501</v>
      </c>
      <c r="C822" s="2">
        <v>10.24235</v>
      </c>
      <c r="D822" s="2" t="s">
        <v>70</v>
      </c>
      <c r="E822" s="2" t="s">
        <v>5650</v>
      </c>
      <c r="F822" s="2">
        <v>2983</v>
      </c>
      <c r="G822" s="3" t="str">
        <f>HYPERLINK("http://funmeta.oebiotech.com/network/2983", "http://funmeta.oebiotech.com/network/2983")</f>
        <v>http://funmeta.oebiotech.com/network/2983</v>
      </c>
      <c r="H822" s="2"/>
      <c r="I822" s="2">
        <v>36030</v>
      </c>
      <c r="J822" s="2" t="s">
        <v>5651</v>
      </c>
      <c r="K822" s="2">
        <v>80447</v>
      </c>
      <c r="L822" s="2" t="s">
        <v>5652</v>
      </c>
      <c r="M822" s="2" t="s">
        <v>5653</v>
      </c>
      <c r="N822" s="2" t="s">
        <v>5654</v>
      </c>
      <c r="O822" s="2">
        <v>6439873</v>
      </c>
      <c r="P822" s="2" t="s">
        <v>5655</v>
      </c>
      <c r="Q822" s="2" t="s">
        <v>5656</v>
      </c>
      <c r="R822" s="2" t="s">
        <v>5657</v>
      </c>
      <c r="S822" s="2" t="s">
        <v>50</v>
      </c>
      <c r="T822" s="2" t="s">
        <v>229</v>
      </c>
      <c r="U822" s="2" t="s">
        <v>1360</v>
      </c>
      <c r="V822" s="2" t="s">
        <v>42</v>
      </c>
      <c r="W822" s="2">
        <v>52.5</v>
      </c>
      <c r="X822" s="2">
        <v>66.3</v>
      </c>
      <c r="Y822" s="2" t="s">
        <v>118</v>
      </c>
      <c r="Z822" s="2" t="s">
        <v>5658</v>
      </c>
      <c r="AA822" s="2">
        <v>-0.404202975968524</v>
      </c>
      <c r="AB822" s="2">
        <v>0.85729065606578303</v>
      </c>
      <c r="AC822" s="2">
        <v>89161.559298716704</v>
      </c>
      <c r="AD822" s="2">
        <v>40327.408089746998</v>
      </c>
      <c r="AE822" s="2">
        <v>95436.984731271397</v>
      </c>
      <c r="AF822" s="2">
        <v>82327.795638381605</v>
      </c>
      <c r="AG822" s="2">
        <v>84386.755115630905</v>
      </c>
      <c r="AH822" s="2">
        <v>94147.280409055704</v>
      </c>
      <c r="AI822" s="2">
        <v>86419.301964188198</v>
      </c>
      <c r="AJ822" s="2">
        <v>92251.237933772602</v>
      </c>
      <c r="AK822" s="2">
        <v>39682.974568270103</v>
      </c>
      <c r="AL822" s="2">
        <v>40279.495036944703</v>
      </c>
      <c r="AM822" s="2">
        <v>44496.590924468503</v>
      </c>
      <c r="AN822" s="2">
        <v>40903.389036766603</v>
      </c>
      <c r="AO822" s="2">
        <v>39087.768486142697</v>
      </c>
      <c r="AP822" s="2">
        <v>37514.230485889297</v>
      </c>
    </row>
    <row r="823" spans="1:42" ht="14.5" x14ac:dyDescent="0.35">
      <c r="A823" s="2" t="s">
        <v>5659</v>
      </c>
      <c r="B823" s="2">
        <v>557.17989110418102</v>
      </c>
      <c r="C823" s="2">
        <v>4.9166499999999997</v>
      </c>
      <c r="D823" s="2" t="s">
        <v>70</v>
      </c>
      <c r="E823" s="2" t="s">
        <v>5660</v>
      </c>
      <c r="F823" s="2">
        <v>4540</v>
      </c>
      <c r="G823" s="3" t="str">
        <f>HYPERLINK("http://funmeta.oebiotech.com/network/4540", "http://funmeta.oebiotech.com/network/4540")</f>
        <v>http://funmeta.oebiotech.com/network/4540</v>
      </c>
      <c r="H823" s="2"/>
      <c r="I823" s="2">
        <v>36422</v>
      </c>
      <c r="J823" s="2" t="s">
        <v>5661</v>
      </c>
      <c r="K823" s="2"/>
      <c r="L823" s="2"/>
      <c r="M823" s="2"/>
      <c r="N823" s="2"/>
      <c r="O823" s="2">
        <v>5283254</v>
      </c>
      <c r="P823" s="2"/>
      <c r="Q823" s="2" t="s">
        <v>5662</v>
      </c>
      <c r="R823" s="2" t="s">
        <v>5663</v>
      </c>
      <c r="S823" s="2" t="s">
        <v>50</v>
      </c>
      <c r="T823" s="2" t="s">
        <v>229</v>
      </c>
      <c r="U823" s="2" t="s">
        <v>766</v>
      </c>
      <c r="V823" s="2" t="s">
        <v>59</v>
      </c>
      <c r="W823" s="2">
        <v>41.2</v>
      </c>
      <c r="X823" s="2">
        <v>12.1</v>
      </c>
      <c r="Y823" s="2" t="s">
        <v>408</v>
      </c>
      <c r="Z823" s="2" t="s">
        <v>5664</v>
      </c>
      <c r="AA823" s="2">
        <v>0.73782432832532696</v>
      </c>
      <c r="AB823" s="2">
        <v>0.85596374362592398</v>
      </c>
      <c r="AC823" s="2">
        <v>183187.03798766399</v>
      </c>
      <c r="AD823" s="2">
        <v>129646.607188404</v>
      </c>
      <c r="AE823" s="2">
        <v>178840.36110730199</v>
      </c>
      <c r="AF823" s="2">
        <v>215483.455303202</v>
      </c>
      <c r="AG823" s="2">
        <v>169350.935575601</v>
      </c>
      <c r="AH823" s="2">
        <v>176016.877922705</v>
      </c>
      <c r="AI823" s="2">
        <v>178009.470533513</v>
      </c>
      <c r="AJ823" s="2">
        <v>181421.12748366399</v>
      </c>
      <c r="AK823" s="2">
        <v>127853.891646423</v>
      </c>
      <c r="AL823" s="2">
        <v>132190.28885352201</v>
      </c>
      <c r="AM823" s="2">
        <v>126079.87730341899</v>
      </c>
      <c r="AN823" s="2">
        <v>149454.13919029199</v>
      </c>
      <c r="AO823" s="2">
        <v>111160.635197671</v>
      </c>
      <c r="AP823" s="2">
        <v>131140.81093909501</v>
      </c>
    </row>
    <row r="824" spans="1:42" ht="14.5" x14ac:dyDescent="0.35">
      <c r="A824" s="2" t="s">
        <v>5665</v>
      </c>
      <c r="B824" s="2">
        <v>167.03394020226699</v>
      </c>
      <c r="C824" s="2">
        <v>5.0778999999999996</v>
      </c>
      <c r="D824" s="2" t="s">
        <v>70</v>
      </c>
      <c r="E824" s="2" t="s">
        <v>5666</v>
      </c>
      <c r="F824" s="2">
        <v>54554</v>
      </c>
      <c r="G824" s="3" t="str">
        <f>HYPERLINK("http://funmeta.oebiotech.com/network/54554", "http://funmeta.oebiotech.com/network/54554")</f>
        <v>http://funmeta.oebiotech.com/network/54554</v>
      </c>
      <c r="H824" s="2" t="s">
        <v>5667</v>
      </c>
      <c r="I824" s="2">
        <v>44660</v>
      </c>
      <c r="J824" s="2"/>
      <c r="K824" s="2">
        <v>64344</v>
      </c>
      <c r="L824" s="2"/>
      <c r="M824" s="2"/>
      <c r="N824" s="2"/>
      <c r="O824" s="2">
        <v>68073</v>
      </c>
      <c r="P824" s="2" t="s">
        <v>5668</v>
      </c>
      <c r="Q824" s="2" t="s">
        <v>5669</v>
      </c>
      <c r="R824" s="2" t="s">
        <v>5670</v>
      </c>
      <c r="S824" s="2" t="s">
        <v>79</v>
      </c>
      <c r="T824" s="2" t="s">
        <v>80</v>
      </c>
      <c r="U824" s="2" t="s">
        <v>2820</v>
      </c>
      <c r="V824" s="2" t="s">
        <v>42</v>
      </c>
      <c r="W824" s="2">
        <v>53.6</v>
      </c>
      <c r="X824" s="2">
        <v>75.8</v>
      </c>
      <c r="Y824" s="2" t="s">
        <v>118</v>
      </c>
      <c r="Z824" s="2" t="s">
        <v>5671</v>
      </c>
      <c r="AA824" s="2">
        <v>-6.2014194559692504</v>
      </c>
      <c r="AB824" s="2">
        <v>0.85579192874357202</v>
      </c>
      <c r="AC824" s="2">
        <v>79959.4234349935</v>
      </c>
      <c r="AD824" s="2">
        <v>132117.93596285599</v>
      </c>
      <c r="AE824" s="2">
        <v>78162.479511092606</v>
      </c>
      <c r="AF824" s="2">
        <v>74820.3529920156</v>
      </c>
      <c r="AG824" s="2">
        <v>96512.163675938995</v>
      </c>
      <c r="AH824" s="2">
        <v>72366.088066518903</v>
      </c>
      <c r="AI824" s="2">
        <v>73099.050653910701</v>
      </c>
      <c r="AJ824" s="2">
        <v>84796.405710484207</v>
      </c>
      <c r="AK824" s="2">
        <v>133749.18954673401</v>
      </c>
      <c r="AL824" s="2">
        <v>154877.76337236899</v>
      </c>
      <c r="AM824" s="2">
        <v>127314.79262894701</v>
      </c>
      <c r="AN824" s="2">
        <v>131356.59110793599</v>
      </c>
      <c r="AO824" s="2">
        <v>133102.12398715399</v>
      </c>
      <c r="AP824" s="2">
        <v>112307.155133997</v>
      </c>
    </row>
    <row r="825" spans="1:42" ht="14.5" x14ac:dyDescent="0.35">
      <c r="A825" s="2" t="s">
        <v>5672</v>
      </c>
      <c r="B825" s="2">
        <v>339.06623438207401</v>
      </c>
      <c r="C825" s="2">
        <v>3.4080166666666698</v>
      </c>
      <c r="D825" s="2" t="s">
        <v>70</v>
      </c>
      <c r="E825" s="2" t="s">
        <v>5673</v>
      </c>
      <c r="F825" s="2">
        <v>30284</v>
      </c>
      <c r="G825" s="3" t="str">
        <f>HYPERLINK("http://funmeta.oebiotech.com/network/30284", "http://funmeta.oebiotech.com/network/30284")</f>
        <v>http://funmeta.oebiotech.com/network/30284</v>
      </c>
      <c r="H825" s="2"/>
      <c r="I825" s="2">
        <v>48622</v>
      </c>
      <c r="J825" s="2" t="s">
        <v>5674</v>
      </c>
      <c r="K825" s="2"/>
      <c r="L825" s="2"/>
      <c r="M825" s="2"/>
      <c r="N825" s="2"/>
      <c r="O825" s="2">
        <v>5575368</v>
      </c>
      <c r="P825" s="2"/>
      <c r="Q825" s="2" t="s">
        <v>5675</v>
      </c>
      <c r="R825" s="2" t="s">
        <v>5676</v>
      </c>
      <c r="S825" s="2" t="s">
        <v>115</v>
      </c>
      <c r="T825" s="2" t="s">
        <v>139</v>
      </c>
      <c r="U825" s="2" t="s">
        <v>1806</v>
      </c>
      <c r="V825" s="2" t="s">
        <v>59</v>
      </c>
      <c r="W825" s="2">
        <v>38.200000000000003</v>
      </c>
      <c r="X825" s="2">
        <v>2.95</v>
      </c>
      <c r="Y825" s="2" t="s">
        <v>751</v>
      </c>
      <c r="Z825" s="2" t="s">
        <v>5677</v>
      </c>
      <c r="AA825" s="2">
        <v>-0.13417156205834299</v>
      </c>
      <c r="AB825" s="2">
        <v>0.85460171067923496</v>
      </c>
      <c r="AC825" s="2">
        <v>360071.59322891798</v>
      </c>
      <c r="AD825" s="2">
        <v>308673.41883563501</v>
      </c>
      <c r="AE825" s="2">
        <v>364289.26891242497</v>
      </c>
      <c r="AF825" s="2">
        <v>355449.57726422203</v>
      </c>
      <c r="AG825" s="2">
        <v>359096.859967759</v>
      </c>
      <c r="AH825" s="2">
        <v>353888.95852143201</v>
      </c>
      <c r="AI825" s="2">
        <v>356780.88729287899</v>
      </c>
      <c r="AJ825" s="2">
        <v>370924.00741479202</v>
      </c>
      <c r="AK825" s="2">
        <v>306931.57033558399</v>
      </c>
      <c r="AL825" s="2">
        <v>304616.283882563</v>
      </c>
      <c r="AM825" s="2">
        <v>335838.52394003799</v>
      </c>
      <c r="AN825" s="2">
        <v>307731.18952658598</v>
      </c>
      <c r="AO825" s="2">
        <v>297520.218960447</v>
      </c>
      <c r="AP825" s="2">
        <v>299402.72636859003</v>
      </c>
    </row>
    <row r="826" spans="1:42" ht="14.5" x14ac:dyDescent="0.35">
      <c r="A826" s="2" t="s">
        <v>5678</v>
      </c>
      <c r="B826" s="2">
        <v>739.25599457309295</v>
      </c>
      <c r="C826" s="2">
        <v>5.1518499999999996</v>
      </c>
      <c r="D826" s="2" t="s">
        <v>34</v>
      </c>
      <c r="E826" s="2" t="s">
        <v>5679</v>
      </c>
      <c r="F826" s="2">
        <v>61656</v>
      </c>
      <c r="G826" s="3" t="str">
        <f>HYPERLINK("http://funmeta.oebiotech.com/network/61656", "http://funmeta.oebiotech.com/network/61656")</f>
        <v>http://funmeta.oebiotech.com/network/61656</v>
      </c>
      <c r="H826" s="2" t="s">
        <v>5680</v>
      </c>
      <c r="I826" s="2">
        <v>92957</v>
      </c>
      <c r="J826" s="2"/>
      <c r="K826" s="2">
        <v>168525</v>
      </c>
      <c r="L826" s="2"/>
      <c r="M826" s="2"/>
      <c r="N826" s="2"/>
      <c r="O826" s="2">
        <v>131752318</v>
      </c>
      <c r="P826" s="2" t="s">
        <v>5681</v>
      </c>
      <c r="Q826" s="2" t="s">
        <v>5682</v>
      </c>
      <c r="R826" s="2" t="s">
        <v>5683</v>
      </c>
      <c r="S826" s="2" t="s">
        <v>491</v>
      </c>
      <c r="T826" s="2" t="s">
        <v>492</v>
      </c>
      <c r="U826" s="2" t="s">
        <v>41</v>
      </c>
      <c r="V826" s="2" t="s">
        <v>59</v>
      </c>
      <c r="W826" s="2">
        <v>37.4</v>
      </c>
      <c r="X826" s="2">
        <v>0</v>
      </c>
      <c r="Y826" s="2" t="s">
        <v>323</v>
      </c>
      <c r="Z826" s="2" t="s">
        <v>5684</v>
      </c>
      <c r="AA826" s="2">
        <v>-3.6078942056318901</v>
      </c>
      <c r="AB826" s="2">
        <v>0.85312993133003101</v>
      </c>
      <c r="AC826" s="2">
        <v>116133.662232583</v>
      </c>
      <c r="AD826" s="2">
        <v>169723.67609498801</v>
      </c>
      <c r="AE826" s="2">
        <v>105640.17629927299</v>
      </c>
      <c r="AF826" s="2">
        <v>126605.839063558</v>
      </c>
      <c r="AG826" s="2">
        <v>109973.829890801</v>
      </c>
      <c r="AH826" s="2">
        <v>106725.07948810401</v>
      </c>
      <c r="AI826" s="2">
        <v>122223.80364929</v>
      </c>
      <c r="AJ826" s="2">
        <v>125633.245004471</v>
      </c>
      <c r="AK826" s="2">
        <v>185545.976355005</v>
      </c>
      <c r="AL826" s="2">
        <v>161636.33962294899</v>
      </c>
      <c r="AM826" s="2">
        <v>152873.86886100899</v>
      </c>
      <c r="AN826" s="2">
        <v>196974.519669172</v>
      </c>
      <c r="AO826" s="2">
        <v>148222.487834803</v>
      </c>
      <c r="AP826" s="2">
        <v>173088.86422699099</v>
      </c>
    </row>
    <row r="827" spans="1:42" ht="14.5" x14ac:dyDescent="0.35">
      <c r="A827" s="2" t="s">
        <v>5685</v>
      </c>
      <c r="B827" s="2">
        <v>585.31179077429397</v>
      </c>
      <c r="C827" s="2">
        <v>4.9873666666666701</v>
      </c>
      <c r="D827" s="2" t="s">
        <v>70</v>
      </c>
      <c r="E827" s="2" t="s">
        <v>5686</v>
      </c>
      <c r="F827" s="2">
        <v>46298</v>
      </c>
      <c r="G827" s="3" t="str">
        <f>HYPERLINK("http://funmeta.oebiotech.com/network/46298", "http://funmeta.oebiotech.com/network/46298")</f>
        <v>http://funmeta.oebiotech.com/network/46298</v>
      </c>
      <c r="H827" s="2"/>
      <c r="I827" s="2"/>
      <c r="J827" s="2" t="s">
        <v>5687</v>
      </c>
      <c r="K827" s="2"/>
      <c r="L827" s="2"/>
      <c r="M827" s="2"/>
      <c r="N827" s="2"/>
      <c r="O827" s="2"/>
      <c r="P827" s="2"/>
      <c r="Q827" s="2" t="s">
        <v>5688</v>
      </c>
      <c r="R827" s="2" t="s">
        <v>5689</v>
      </c>
      <c r="S827" s="2" t="s">
        <v>50</v>
      </c>
      <c r="T827" s="2" t="s">
        <v>124</v>
      </c>
      <c r="U827" s="2" t="s">
        <v>125</v>
      </c>
      <c r="V827" s="2" t="s">
        <v>59</v>
      </c>
      <c r="W827" s="2">
        <v>43.3</v>
      </c>
      <c r="X827" s="2">
        <v>27.6</v>
      </c>
      <c r="Y827" s="2" t="s">
        <v>408</v>
      </c>
      <c r="Z827" s="2" t="s">
        <v>5690</v>
      </c>
      <c r="AA827" s="2">
        <v>2.8002853994357602</v>
      </c>
      <c r="AB827" s="2">
        <v>0.85088194522320904</v>
      </c>
      <c r="AC827" s="2">
        <v>187011.76091956199</v>
      </c>
      <c r="AD827" s="2">
        <v>236162.28124618699</v>
      </c>
      <c r="AE827" s="2">
        <v>191537.74877506701</v>
      </c>
      <c r="AF827" s="2">
        <v>186953.92770802701</v>
      </c>
      <c r="AG827" s="2">
        <v>185010.628431875</v>
      </c>
      <c r="AH827" s="2">
        <v>177038.64372094101</v>
      </c>
      <c r="AI827" s="2">
        <v>183557.60118831601</v>
      </c>
      <c r="AJ827" s="2">
        <v>197972.01569314499</v>
      </c>
      <c r="AK827" s="2">
        <v>225024.47824038801</v>
      </c>
      <c r="AL827" s="2">
        <v>241529.395248888</v>
      </c>
      <c r="AM827" s="2">
        <v>238148.052633621</v>
      </c>
      <c r="AN827" s="2">
        <v>243676.14040332101</v>
      </c>
      <c r="AO827" s="2">
        <v>230695.78805919999</v>
      </c>
      <c r="AP827" s="2">
        <v>237899.832891703</v>
      </c>
    </row>
    <row r="828" spans="1:42" ht="14.5" x14ac:dyDescent="0.35">
      <c r="A828" s="2" t="s">
        <v>5691</v>
      </c>
      <c r="B828" s="2">
        <v>329.01230470035898</v>
      </c>
      <c r="C828" s="2">
        <v>0.80284999999999995</v>
      </c>
      <c r="D828" s="2" t="s">
        <v>70</v>
      </c>
      <c r="E828" s="2" t="s">
        <v>5692</v>
      </c>
      <c r="F828" s="2">
        <v>267258</v>
      </c>
      <c r="G828" s="3" t="str">
        <f>HYPERLINK("http://funmeta.oebiotech.com/network/267258", "http://funmeta.oebiotech.com/network/267258")</f>
        <v>http://funmeta.oebiotech.com/network/267258</v>
      </c>
      <c r="H828" s="2"/>
      <c r="I828" s="2">
        <v>45119</v>
      </c>
      <c r="J828" s="2"/>
      <c r="K828" s="2"/>
      <c r="L828" s="2"/>
      <c r="M828" s="2"/>
      <c r="N828" s="2"/>
      <c r="O828" s="2">
        <v>4613280</v>
      </c>
      <c r="P828" s="2" t="s">
        <v>5693</v>
      </c>
      <c r="Q828" s="2" t="s">
        <v>5694</v>
      </c>
      <c r="R828" s="2" t="s">
        <v>5695</v>
      </c>
      <c r="S828" s="2" t="s">
        <v>491</v>
      </c>
      <c r="T828" s="2" t="s">
        <v>5696</v>
      </c>
      <c r="U828" s="2" t="s">
        <v>5697</v>
      </c>
      <c r="V828" s="2" t="s">
        <v>59</v>
      </c>
      <c r="W828" s="2">
        <v>40</v>
      </c>
      <c r="X828" s="2">
        <v>13.7</v>
      </c>
      <c r="Y828" s="2" t="s">
        <v>792</v>
      </c>
      <c r="Z828" s="2" t="s">
        <v>5698</v>
      </c>
      <c r="AA828" s="2">
        <v>-7.84408425421364</v>
      </c>
      <c r="AB828" s="2">
        <v>0.85033756737271204</v>
      </c>
      <c r="AC828" s="2">
        <v>261237.98835153101</v>
      </c>
      <c r="AD828" s="2">
        <v>211110.00187387801</v>
      </c>
      <c r="AE828" s="2">
        <v>269918.83628680097</v>
      </c>
      <c r="AF828" s="2">
        <v>253890.45689200601</v>
      </c>
      <c r="AG828" s="2">
        <v>265244.85778861801</v>
      </c>
      <c r="AH828" s="2">
        <v>253287.614823935</v>
      </c>
      <c r="AI828" s="2">
        <v>254667.15922020099</v>
      </c>
      <c r="AJ828" s="2">
        <v>270419.00509762601</v>
      </c>
      <c r="AK828" s="2">
        <v>205480.49911881</v>
      </c>
      <c r="AL828" s="2">
        <v>214689.801923619</v>
      </c>
      <c r="AM828" s="2">
        <v>193476.110783752</v>
      </c>
      <c r="AN828" s="2">
        <v>213132.642957317</v>
      </c>
      <c r="AO828" s="2">
        <v>225635.77099537401</v>
      </c>
      <c r="AP828" s="2">
        <v>214245.18546439399</v>
      </c>
    </row>
    <row r="829" spans="1:42" ht="14.5" x14ac:dyDescent="0.35">
      <c r="A829" s="2" t="s">
        <v>5699</v>
      </c>
      <c r="B829" s="2">
        <v>449.10760832423398</v>
      </c>
      <c r="C829" s="2">
        <v>4.9308666666666703</v>
      </c>
      <c r="D829" s="2" t="s">
        <v>34</v>
      </c>
      <c r="E829" s="2" t="s">
        <v>5700</v>
      </c>
      <c r="F829" s="2">
        <v>61852</v>
      </c>
      <c r="G829" s="3" t="str">
        <f>HYPERLINK("http://funmeta.oebiotech.com/network/61852", "http://funmeta.oebiotech.com/network/61852")</f>
        <v>http://funmeta.oebiotech.com/network/61852</v>
      </c>
      <c r="H829" s="2" t="s">
        <v>5701</v>
      </c>
      <c r="I829" s="2">
        <v>49082</v>
      </c>
      <c r="J829" s="2"/>
      <c r="K829" s="2"/>
      <c r="L829" s="2"/>
      <c r="M829" s="2"/>
      <c r="N829" s="2"/>
      <c r="O829" s="2">
        <v>12304737</v>
      </c>
      <c r="P829" s="2" t="s">
        <v>5702</v>
      </c>
      <c r="Q829" s="2" t="s">
        <v>5703</v>
      </c>
      <c r="R829" s="2" t="s">
        <v>5704</v>
      </c>
      <c r="S829" s="2" t="s">
        <v>115</v>
      </c>
      <c r="T829" s="2" t="s">
        <v>139</v>
      </c>
      <c r="U829" s="2" t="s">
        <v>140</v>
      </c>
      <c r="V829" s="2" t="s">
        <v>42</v>
      </c>
      <c r="W829" s="2">
        <v>58</v>
      </c>
      <c r="X829" s="2">
        <v>94.4</v>
      </c>
      <c r="Y829" s="2" t="s">
        <v>67</v>
      </c>
      <c r="Z829" s="2" t="s">
        <v>4817</v>
      </c>
      <c r="AA829" s="2">
        <v>-0.512305374717552</v>
      </c>
      <c r="AB829" s="2">
        <v>0.85007955555692705</v>
      </c>
      <c r="AC829" s="2">
        <v>157385.874823449</v>
      </c>
      <c r="AD829" s="2">
        <v>108500.488730721</v>
      </c>
      <c r="AE829" s="2">
        <v>170562.55499570401</v>
      </c>
      <c r="AF829" s="2">
        <v>154858.31892831699</v>
      </c>
      <c r="AG829" s="2">
        <v>163372.93919913701</v>
      </c>
      <c r="AH829" s="2">
        <v>147018.866312183</v>
      </c>
      <c r="AI829" s="2">
        <v>151408.15748066799</v>
      </c>
      <c r="AJ829" s="2">
        <v>157094.412024688</v>
      </c>
      <c r="AK829" s="2">
        <v>105650.756938936</v>
      </c>
      <c r="AL829" s="2">
        <v>102739.595782832</v>
      </c>
      <c r="AM829" s="2">
        <v>114526.72743148499</v>
      </c>
      <c r="AN829" s="2">
        <v>107635.746456436</v>
      </c>
      <c r="AO829" s="2">
        <v>106004.61277993</v>
      </c>
      <c r="AP829" s="2">
        <v>114445.492994705</v>
      </c>
    </row>
    <row r="830" spans="1:42" ht="14.5" x14ac:dyDescent="0.35">
      <c r="A830" s="2" t="s">
        <v>5705</v>
      </c>
      <c r="B830" s="2">
        <v>653.28999529238104</v>
      </c>
      <c r="C830" s="2">
        <v>10.5277666666667</v>
      </c>
      <c r="D830" s="2" t="s">
        <v>34</v>
      </c>
      <c r="E830" s="2" t="s">
        <v>5706</v>
      </c>
      <c r="F830" s="2">
        <v>17994</v>
      </c>
      <c r="G830" s="3" t="str">
        <f>HYPERLINK("http://funmeta.oebiotech.com/network/17994", "http://funmeta.oebiotech.com/network/17994")</f>
        <v>http://funmeta.oebiotech.com/network/17994</v>
      </c>
      <c r="H830" s="2"/>
      <c r="I830" s="2"/>
      <c r="J830" s="2" t="s">
        <v>5707</v>
      </c>
      <c r="K830" s="2"/>
      <c r="L830" s="2"/>
      <c r="M830" s="2"/>
      <c r="N830" s="2"/>
      <c r="O830" s="2">
        <v>137323896</v>
      </c>
      <c r="P830" s="2"/>
      <c r="Q830" s="2" t="s">
        <v>5708</v>
      </c>
      <c r="R830" s="2" t="s">
        <v>5709</v>
      </c>
      <c r="S830" s="2" t="s">
        <v>50</v>
      </c>
      <c r="T830" s="2" t="s">
        <v>229</v>
      </c>
      <c r="U830" s="2" t="s">
        <v>1914</v>
      </c>
      <c r="V830" s="2" t="s">
        <v>59</v>
      </c>
      <c r="W830" s="2">
        <v>36.700000000000003</v>
      </c>
      <c r="X830" s="2">
        <v>0</v>
      </c>
      <c r="Y830" s="2" t="s">
        <v>340</v>
      </c>
      <c r="Z830" s="2" t="s">
        <v>5710</v>
      </c>
      <c r="AA830" s="2">
        <v>4.0424902994087999</v>
      </c>
      <c r="AB830" s="2">
        <v>0.84889031619600996</v>
      </c>
      <c r="AC830" s="2">
        <v>48569.712211442296</v>
      </c>
      <c r="AD830" s="2">
        <v>971.50954122829103</v>
      </c>
      <c r="AE830" s="2">
        <v>47811.381589570097</v>
      </c>
      <c r="AF830" s="2">
        <v>46440.608917698803</v>
      </c>
      <c r="AG830" s="2">
        <v>52523.389678123698</v>
      </c>
      <c r="AH830" s="2">
        <v>44382.693166685996</v>
      </c>
      <c r="AI830" s="2">
        <v>44452.915401841899</v>
      </c>
      <c r="AJ830" s="2">
        <v>55807.284514733503</v>
      </c>
      <c r="AK830" s="2">
        <v>879.34331551200603</v>
      </c>
      <c r="AL830" s="2">
        <v>1490.8075962349401</v>
      </c>
      <c r="AM830" s="2">
        <v>521.39315068333701</v>
      </c>
      <c r="AN830" s="2">
        <v>837.22516846400299</v>
      </c>
      <c r="AO830" s="2">
        <v>1299.8212068031801</v>
      </c>
      <c r="AP830" s="2">
        <v>800.46680967227996</v>
      </c>
    </row>
    <row r="831" spans="1:42" ht="14.5" x14ac:dyDescent="0.35">
      <c r="A831" s="2" t="s">
        <v>5711</v>
      </c>
      <c r="B831" s="2">
        <v>909.48573736333503</v>
      </c>
      <c r="C831" s="2">
        <v>4.64978333333333</v>
      </c>
      <c r="D831" s="2" t="s">
        <v>34</v>
      </c>
      <c r="E831" s="2" t="s">
        <v>5712</v>
      </c>
      <c r="F831" s="2">
        <v>225760</v>
      </c>
      <c r="G831" s="3" t="str">
        <f>HYPERLINK("http://funmeta.oebiotech.com/network/225760", "http://funmeta.oebiotech.com/network/225760")</f>
        <v>http://funmeta.oebiotech.com/network/225760</v>
      </c>
      <c r="H831" s="2" t="s">
        <v>5713</v>
      </c>
      <c r="I831" s="2"/>
      <c r="J831" s="2"/>
      <c r="K831" s="2"/>
      <c r="L831" s="2"/>
      <c r="M831" s="2"/>
      <c r="N831" s="2"/>
      <c r="O831" s="2"/>
      <c r="P831" s="2"/>
      <c r="Q831" s="2" t="s">
        <v>5714</v>
      </c>
      <c r="R831" s="2" t="s">
        <v>5715</v>
      </c>
      <c r="S831" s="2" t="s">
        <v>41</v>
      </c>
      <c r="T831" s="2" t="s">
        <v>41</v>
      </c>
      <c r="U831" s="2" t="s">
        <v>41</v>
      </c>
      <c r="V831" s="2" t="s">
        <v>59</v>
      </c>
      <c r="W831" s="2">
        <v>36.700000000000003</v>
      </c>
      <c r="X831" s="2">
        <v>0</v>
      </c>
      <c r="Y831" s="2" t="s">
        <v>323</v>
      </c>
      <c r="Z831" s="2" t="s">
        <v>5716</v>
      </c>
      <c r="AA831" s="2">
        <v>-0.82170099079924197</v>
      </c>
      <c r="AB831" s="2">
        <v>0.84823434987277702</v>
      </c>
      <c r="AC831" s="2">
        <v>53217.810641478602</v>
      </c>
      <c r="AD831" s="2">
        <v>5628.9924849651497</v>
      </c>
      <c r="AE831" s="2">
        <v>49033.757240576597</v>
      </c>
      <c r="AF831" s="2">
        <v>52160.1348094594</v>
      </c>
      <c r="AG831" s="2">
        <v>50523.002778304501</v>
      </c>
      <c r="AH831" s="2">
        <v>58979.724627432202</v>
      </c>
      <c r="AI831" s="2">
        <v>54712.120136975798</v>
      </c>
      <c r="AJ831" s="2">
        <v>53898.124256123097</v>
      </c>
      <c r="AK831" s="2">
        <v>8548.5632987893805</v>
      </c>
      <c r="AL831" s="2">
        <v>1514.7930687271601</v>
      </c>
      <c r="AM831" s="2">
        <v>4136.76756376704</v>
      </c>
      <c r="AN831" s="2">
        <v>5817.9450249542197</v>
      </c>
      <c r="AO831" s="2">
        <v>6369.9308212945798</v>
      </c>
      <c r="AP831" s="2">
        <v>7385.9551322585403</v>
      </c>
    </row>
    <row r="832" spans="1:42" ht="14.5" x14ac:dyDescent="0.35">
      <c r="A832" s="2" t="s">
        <v>5717</v>
      </c>
      <c r="B832" s="2">
        <v>430.11401181530903</v>
      </c>
      <c r="C832" s="2">
        <v>5.0778999999999996</v>
      </c>
      <c r="D832" s="2" t="s">
        <v>70</v>
      </c>
      <c r="E832" s="2" t="s">
        <v>5718</v>
      </c>
      <c r="F832" s="2">
        <v>58763</v>
      </c>
      <c r="G832" s="3" t="str">
        <f>HYPERLINK("http://funmeta.oebiotech.com/network/58763", "http://funmeta.oebiotech.com/network/58763")</f>
        <v>http://funmeta.oebiotech.com/network/58763</v>
      </c>
      <c r="H832" s="2" t="s">
        <v>5719</v>
      </c>
      <c r="I832" s="2">
        <v>90215</v>
      </c>
      <c r="J832" s="2"/>
      <c r="K832" s="2">
        <v>169111</v>
      </c>
      <c r="L832" s="2"/>
      <c r="M832" s="2"/>
      <c r="N832" s="2"/>
      <c r="O832" s="2">
        <v>14482215</v>
      </c>
      <c r="P832" s="2" t="s">
        <v>5720</v>
      </c>
      <c r="Q832" s="2" t="s">
        <v>5721</v>
      </c>
      <c r="R832" s="2" t="s">
        <v>5722</v>
      </c>
      <c r="S832" s="2" t="s">
        <v>1444</v>
      </c>
      <c r="T832" s="2" t="s">
        <v>4937</v>
      </c>
      <c r="U832" s="2" t="s">
        <v>5723</v>
      </c>
      <c r="V832" s="2" t="s">
        <v>59</v>
      </c>
      <c r="W832" s="2">
        <v>38.9</v>
      </c>
      <c r="X832" s="2">
        <v>0</v>
      </c>
      <c r="Y832" s="2" t="s">
        <v>286</v>
      </c>
      <c r="Z832" s="2" t="s">
        <v>5724</v>
      </c>
      <c r="AA832" s="2">
        <v>1.5980013238287301</v>
      </c>
      <c r="AB832" s="2">
        <v>0.848232692298171</v>
      </c>
      <c r="AC832" s="2">
        <v>11500.248511358301</v>
      </c>
      <c r="AD832" s="2">
        <v>59163.3968136763</v>
      </c>
      <c r="AE832" s="2">
        <v>14316.107848591701</v>
      </c>
      <c r="AF832" s="2">
        <v>11148.392917414199</v>
      </c>
      <c r="AG832" s="2">
        <v>14493.7389051871</v>
      </c>
      <c r="AH832" s="2">
        <v>9465.9809674913704</v>
      </c>
      <c r="AI832" s="2">
        <v>10759.142323488801</v>
      </c>
      <c r="AJ832" s="2">
        <v>8818.1281059766807</v>
      </c>
      <c r="AK832" s="2">
        <v>52113.8359867498</v>
      </c>
      <c r="AL832" s="2">
        <v>58464.672217247098</v>
      </c>
      <c r="AM832" s="2">
        <v>62640.6139340839</v>
      </c>
      <c r="AN832" s="2">
        <v>65394.501489396003</v>
      </c>
      <c r="AO832" s="2">
        <v>56547.944940884503</v>
      </c>
      <c r="AP832" s="2">
        <v>59818.812313696297</v>
      </c>
    </row>
    <row r="833" spans="1:42" ht="14.5" x14ac:dyDescent="0.35">
      <c r="A833" s="2" t="s">
        <v>5725</v>
      </c>
      <c r="B833" s="2">
        <v>345.16925073492598</v>
      </c>
      <c r="C833" s="2">
        <v>6.0954833333333296</v>
      </c>
      <c r="D833" s="2" t="s">
        <v>34</v>
      </c>
      <c r="E833" s="2" t="s">
        <v>5726</v>
      </c>
      <c r="F833" s="2">
        <v>62053</v>
      </c>
      <c r="G833" s="3" t="str">
        <f>HYPERLINK("http://funmeta.oebiotech.com/network/62053", "http://funmeta.oebiotech.com/network/62053")</f>
        <v>http://funmeta.oebiotech.com/network/62053</v>
      </c>
      <c r="H833" s="2" t="s">
        <v>5727</v>
      </c>
      <c r="I833" s="2"/>
      <c r="J833" s="2"/>
      <c r="K833" s="2"/>
      <c r="L833" s="2"/>
      <c r="M833" s="2"/>
      <c r="N833" s="2"/>
      <c r="O833" s="2">
        <v>131752430</v>
      </c>
      <c r="P833" s="2"/>
      <c r="Q833" s="2" t="s">
        <v>5728</v>
      </c>
      <c r="R833" s="2" t="s">
        <v>5729</v>
      </c>
      <c r="S833" s="2" t="s">
        <v>50</v>
      </c>
      <c r="T833" s="2" t="s">
        <v>229</v>
      </c>
      <c r="U833" s="2" t="s">
        <v>1914</v>
      </c>
      <c r="V833" s="2" t="s">
        <v>42</v>
      </c>
      <c r="W833" s="2">
        <v>48.6</v>
      </c>
      <c r="X833" s="2">
        <v>50.2</v>
      </c>
      <c r="Y833" s="2" t="s">
        <v>266</v>
      </c>
      <c r="Z833" s="2" t="s">
        <v>3335</v>
      </c>
      <c r="AA833" s="2">
        <v>-1.1609768661028099</v>
      </c>
      <c r="AB833" s="2">
        <v>0.84683696679736298</v>
      </c>
      <c r="AC833" s="2">
        <v>143165.22193518799</v>
      </c>
      <c r="AD833" s="2">
        <v>95423.811608247706</v>
      </c>
      <c r="AE833" s="2">
        <v>138757.26261384899</v>
      </c>
      <c r="AF833" s="2">
        <v>144384.238087176</v>
      </c>
      <c r="AG833" s="2">
        <v>141337.81824966101</v>
      </c>
      <c r="AH833" s="2">
        <v>140260.81420553001</v>
      </c>
      <c r="AI833" s="2">
        <v>143305.05014344599</v>
      </c>
      <c r="AJ833" s="2">
        <v>150946.14831146799</v>
      </c>
      <c r="AK833" s="2">
        <v>90104.287953757506</v>
      </c>
      <c r="AL833" s="2">
        <v>99733.128702793401</v>
      </c>
      <c r="AM833" s="2">
        <v>100812.728271482</v>
      </c>
      <c r="AN833" s="2">
        <v>94068.464597683196</v>
      </c>
      <c r="AO833" s="2">
        <v>90408.453947356305</v>
      </c>
      <c r="AP833" s="2">
        <v>97415.806176414102</v>
      </c>
    </row>
    <row r="834" spans="1:42" ht="14.5" x14ac:dyDescent="0.35">
      <c r="A834" s="2" t="s">
        <v>5730</v>
      </c>
      <c r="B834" s="2">
        <v>522.31954163596299</v>
      </c>
      <c r="C834" s="2">
        <v>5.5233833333333298</v>
      </c>
      <c r="D834" s="2" t="s">
        <v>34</v>
      </c>
      <c r="E834" s="2" t="s">
        <v>5731</v>
      </c>
      <c r="F834" s="2">
        <v>199505</v>
      </c>
      <c r="G834" s="3" t="str">
        <f>HYPERLINK("http://funmeta.oebiotech.com/network/199505", "http://funmeta.oebiotech.com/network/199505")</f>
        <v>http://funmeta.oebiotech.com/network/199505</v>
      </c>
      <c r="H834" s="2" t="s">
        <v>5732</v>
      </c>
      <c r="I834" s="2"/>
      <c r="J834" s="2"/>
      <c r="K834" s="2"/>
      <c r="L834" s="2"/>
      <c r="M834" s="2"/>
      <c r="N834" s="2"/>
      <c r="O834" s="2">
        <v>75959204</v>
      </c>
      <c r="P834" s="2"/>
      <c r="Q834" s="2" t="s">
        <v>5733</v>
      </c>
      <c r="R834" s="2" t="s">
        <v>5734</v>
      </c>
      <c r="S834" s="2" t="s">
        <v>50</v>
      </c>
      <c r="T834" s="2" t="s">
        <v>51</v>
      </c>
      <c r="U834" s="2" t="s">
        <v>66</v>
      </c>
      <c r="V834" s="2" t="s">
        <v>59</v>
      </c>
      <c r="W834" s="2">
        <v>36</v>
      </c>
      <c r="X834" s="2">
        <v>3.42</v>
      </c>
      <c r="Y834" s="2" t="s">
        <v>141</v>
      </c>
      <c r="Z834" s="2" t="s">
        <v>5735</v>
      </c>
      <c r="AA834" s="2">
        <v>0.94761815906134805</v>
      </c>
      <c r="AB834" s="2">
        <v>0.84601139065146802</v>
      </c>
      <c r="AC834" s="2">
        <v>201399.588756396</v>
      </c>
      <c r="AD834" s="2">
        <v>150229.30179115199</v>
      </c>
      <c r="AE834" s="2">
        <v>215104.137732028</v>
      </c>
      <c r="AF834" s="2">
        <v>194116.97061411</v>
      </c>
      <c r="AG834" s="2">
        <v>188662.37886264999</v>
      </c>
      <c r="AH834" s="2">
        <v>220130.98182814699</v>
      </c>
      <c r="AI834" s="2">
        <v>197360.03807798901</v>
      </c>
      <c r="AJ834" s="2">
        <v>193023.02542345101</v>
      </c>
      <c r="AK834" s="2">
        <v>132046.64678687399</v>
      </c>
      <c r="AL834" s="2">
        <v>161846.61810398501</v>
      </c>
      <c r="AM834" s="2">
        <v>146563.844855562</v>
      </c>
      <c r="AN834" s="2">
        <v>144257.01616002599</v>
      </c>
      <c r="AO834" s="2">
        <v>157084.02212280399</v>
      </c>
      <c r="AP834" s="2">
        <v>159577.66271766101</v>
      </c>
    </row>
    <row r="835" spans="1:42" ht="14.5" x14ac:dyDescent="0.35">
      <c r="A835" s="2" t="s">
        <v>5736</v>
      </c>
      <c r="B835" s="2">
        <v>749.26542502709401</v>
      </c>
      <c r="C835" s="2">
        <v>6.5379166666666704</v>
      </c>
      <c r="D835" s="2" t="s">
        <v>70</v>
      </c>
      <c r="E835" s="2" t="s">
        <v>5737</v>
      </c>
      <c r="F835" s="2">
        <v>203273</v>
      </c>
      <c r="G835" s="3" t="str">
        <f>HYPERLINK("http://funmeta.oebiotech.com/network/203273", "http://funmeta.oebiotech.com/network/203273")</f>
        <v>http://funmeta.oebiotech.com/network/203273</v>
      </c>
      <c r="H835" s="2" t="s">
        <v>5738</v>
      </c>
      <c r="I835" s="2"/>
      <c r="J835" s="2"/>
      <c r="K835" s="2"/>
      <c r="L835" s="2"/>
      <c r="M835" s="2"/>
      <c r="N835" s="2"/>
      <c r="O835" s="2">
        <v>84036</v>
      </c>
      <c r="P835" s="2"/>
      <c r="Q835" s="2" t="s">
        <v>5739</v>
      </c>
      <c r="R835" s="2" t="s">
        <v>5740</v>
      </c>
      <c r="S835" s="2" t="s">
        <v>115</v>
      </c>
      <c r="T835" s="2" t="s">
        <v>2840</v>
      </c>
      <c r="U835" s="2" t="s">
        <v>41</v>
      </c>
      <c r="V835" s="2" t="s">
        <v>42</v>
      </c>
      <c r="W835" s="2">
        <v>50.3</v>
      </c>
      <c r="X835" s="2">
        <v>59</v>
      </c>
      <c r="Y835" s="2" t="s">
        <v>118</v>
      </c>
      <c r="Z835" s="2" t="s">
        <v>5741</v>
      </c>
      <c r="AA835" s="2">
        <v>-2.8469051857547698</v>
      </c>
      <c r="AB835" s="2">
        <v>0.84556673386363301</v>
      </c>
      <c r="AC835" s="2">
        <v>159252.569851042</v>
      </c>
      <c r="AD835" s="2">
        <v>110618.63498667099</v>
      </c>
      <c r="AE835" s="2">
        <v>160466.65352189899</v>
      </c>
      <c r="AF835" s="2">
        <v>156099.88005513299</v>
      </c>
      <c r="AG835" s="2">
        <v>161211.81650213501</v>
      </c>
      <c r="AH835" s="2">
        <v>147956.67165309901</v>
      </c>
      <c r="AI835" s="2">
        <v>155989.46869249101</v>
      </c>
      <c r="AJ835" s="2">
        <v>173790.92868149199</v>
      </c>
      <c r="AK835" s="2">
        <v>103684.441810695</v>
      </c>
      <c r="AL835" s="2">
        <v>110903.82952193401</v>
      </c>
      <c r="AM835" s="2">
        <v>120718.385101005</v>
      </c>
      <c r="AN835" s="2">
        <v>112119.637877904</v>
      </c>
      <c r="AO835" s="2">
        <v>107135.642250948</v>
      </c>
      <c r="AP835" s="2">
        <v>109149.87335754</v>
      </c>
    </row>
    <row r="836" spans="1:42" ht="14.5" x14ac:dyDescent="0.35">
      <c r="A836" s="2" t="s">
        <v>5742</v>
      </c>
      <c r="B836" s="2">
        <v>1162.5693551041099</v>
      </c>
      <c r="C836" s="2">
        <v>7.53433333333333</v>
      </c>
      <c r="D836" s="2" t="s">
        <v>34</v>
      </c>
      <c r="E836" s="2" t="s">
        <v>5743</v>
      </c>
      <c r="F836" s="2">
        <v>246246</v>
      </c>
      <c r="G836" s="3" t="str">
        <f>HYPERLINK("http://funmeta.oebiotech.com/network/246246", "http://funmeta.oebiotech.com/network/246246")</f>
        <v>http://funmeta.oebiotech.com/network/246246</v>
      </c>
      <c r="H836" s="2" t="s">
        <v>5744</v>
      </c>
      <c r="I836" s="2"/>
      <c r="J836" s="2"/>
      <c r="K836" s="2"/>
      <c r="L836" s="2"/>
      <c r="M836" s="2"/>
      <c r="N836" s="2"/>
      <c r="O836" s="2"/>
      <c r="P836" s="2"/>
      <c r="Q836" s="2" t="s">
        <v>5745</v>
      </c>
      <c r="R836" s="2" t="s">
        <v>5746</v>
      </c>
      <c r="S836" s="2" t="s">
        <v>41</v>
      </c>
      <c r="T836" s="2" t="s">
        <v>41</v>
      </c>
      <c r="U836" s="2" t="s">
        <v>41</v>
      </c>
      <c r="V836" s="2" t="s">
        <v>59</v>
      </c>
      <c r="W836" s="2">
        <v>37.700000000000003</v>
      </c>
      <c r="X836" s="2">
        <v>0</v>
      </c>
      <c r="Y836" s="2" t="s">
        <v>340</v>
      </c>
      <c r="Z836" s="2" t="s">
        <v>5747</v>
      </c>
      <c r="AA836" s="2">
        <v>-2.1265848704099901</v>
      </c>
      <c r="AB836" s="2">
        <v>0.84533947648687602</v>
      </c>
      <c r="AC836" s="2">
        <v>48648.343996855998</v>
      </c>
      <c r="AD836" s="2">
        <v>97617.237258988098</v>
      </c>
      <c r="AE836" s="2">
        <v>45455.513851089803</v>
      </c>
      <c r="AF836" s="2">
        <v>41626.291189390897</v>
      </c>
      <c r="AG836" s="2">
        <v>50559.163432252899</v>
      </c>
      <c r="AH836" s="2">
        <v>45612.142520186499</v>
      </c>
      <c r="AI836" s="2">
        <v>55318.289657677196</v>
      </c>
      <c r="AJ836" s="2">
        <v>53318.663330538999</v>
      </c>
      <c r="AK836" s="2">
        <v>91384.911121723693</v>
      </c>
      <c r="AL836" s="2">
        <v>98101.646072824296</v>
      </c>
      <c r="AM836" s="2">
        <v>113726.004388324</v>
      </c>
      <c r="AN836" s="2">
        <v>105947.00525885299</v>
      </c>
      <c r="AO836" s="2">
        <v>84531.181690528494</v>
      </c>
      <c r="AP836" s="2">
        <v>92012.675021675197</v>
      </c>
    </row>
    <row r="837" spans="1:42" ht="14.5" x14ac:dyDescent="0.35">
      <c r="A837" s="2" t="s">
        <v>5748</v>
      </c>
      <c r="B837" s="2">
        <v>1167.43717811235</v>
      </c>
      <c r="C837" s="2">
        <v>5.4735333333333296</v>
      </c>
      <c r="D837" s="2" t="s">
        <v>34</v>
      </c>
      <c r="E837" s="2" t="s">
        <v>5749</v>
      </c>
      <c r="F837" s="2">
        <v>50799</v>
      </c>
      <c r="G837" s="3" t="str">
        <f>HYPERLINK("http://funmeta.oebiotech.com/network/50799", "http://funmeta.oebiotech.com/network/50799")</f>
        <v>http://funmeta.oebiotech.com/network/50799</v>
      </c>
      <c r="H837" s="2" t="s">
        <v>5750</v>
      </c>
      <c r="I837" s="2"/>
      <c r="J837" s="2"/>
      <c r="K837" s="2"/>
      <c r="L837" s="2" t="s">
        <v>5751</v>
      </c>
      <c r="M837" s="2"/>
      <c r="N837" s="2"/>
      <c r="O837" s="2"/>
      <c r="P837" s="2"/>
      <c r="Q837" s="2" t="s">
        <v>5752</v>
      </c>
      <c r="R837" s="2" t="s">
        <v>5753</v>
      </c>
      <c r="S837" s="2" t="s">
        <v>50</v>
      </c>
      <c r="T837" s="2" t="s">
        <v>51</v>
      </c>
      <c r="U837" s="2" t="s">
        <v>5754</v>
      </c>
      <c r="V837" s="2" t="s">
        <v>59</v>
      </c>
      <c r="W837" s="2">
        <v>37.799999999999997</v>
      </c>
      <c r="X837" s="2">
        <v>0</v>
      </c>
      <c r="Y837" s="2" t="s">
        <v>340</v>
      </c>
      <c r="Z837" s="2" t="s">
        <v>5755</v>
      </c>
      <c r="AA837" s="2">
        <v>1.99301385451308</v>
      </c>
      <c r="AB837" s="2">
        <v>0.84490581942163301</v>
      </c>
      <c r="AC837" s="2">
        <v>35298.6060971193</v>
      </c>
      <c r="AD837" s="2">
        <v>85631.1668167155</v>
      </c>
      <c r="AE837" s="2">
        <v>40732.587006565103</v>
      </c>
      <c r="AF837" s="2">
        <v>36608.2828961021</v>
      </c>
      <c r="AG837" s="2">
        <v>32978.009548731301</v>
      </c>
      <c r="AH837" s="2">
        <v>35063.030362989703</v>
      </c>
      <c r="AI837" s="2">
        <v>35281.916614150097</v>
      </c>
      <c r="AJ837" s="2">
        <v>31127.810154177299</v>
      </c>
      <c r="AK837" s="2">
        <v>76981.842603033307</v>
      </c>
      <c r="AL837" s="2">
        <v>93210.453081669606</v>
      </c>
      <c r="AM837" s="2">
        <v>74441.4628618727</v>
      </c>
      <c r="AN837" s="2">
        <v>69064.759765244395</v>
      </c>
      <c r="AO837" s="2">
        <v>92177.161146400002</v>
      </c>
      <c r="AP837" s="2">
        <v>107911.32144207299</v>
      </c>
    </row>
    <row r="838" spans="1:42" ht="14.5" x14ac:dyDescent="0.35">
      <c r="A838" s="2" t="s">
        <v>5756</v>
      </c>
      <c r="B838" s="2">
        <v>753.44229609332001</v>
      </c>
      <c r="C838" s="2">
        <v>12.108933333333299</v>
      </c>
      <c r="D838" s="2" t="s">
        <v>70</v>
      </c>
      <c r="E838" s="2" t="s">
        <v>5757</v>
      </c>
      <c r="F838" s="2">
        <v>46804</v>
      </c>
      <c r="G838" s="3" t="str">
        <f>HYPERLINK("http://funmeta.oebiotech.com/network/46804", "http://funmeta.oebiotech.com/network/46804")</f>
        <v>http://funmeta.oebiotech.com/network/46804</v>
      </c>
      <c r="H838" s="2"/>
      <c r="I838" s="2"/>
      <c r="J838" s="2" t="s">
        <v>5758</v>
      </c>
      <c r="K838" s="2"/>
      <c r="L838" s="2"/>
      <c r="M838" s="2"/>
      <c r="N838" s="2"/>
      <c r="O838" s="2">
        <v>21632586</v>
      </c>
      <c r="P838" s="2"/>
      <c r="Q838" s="2" t="s">
        <v>5759</v>
      </c>
      <c r="R838" s="2" t="s">
        <v>5760</v>
      </c>
      <c r="S838" s="2" t="s">
        <v>50</v>
      </c>
      <c r="T838" s="2" t="s">
        <v>124</v>
      </c>
      <c r="U838" s="2" t="s">
        <v>5761</v>
      </c>
      <c r="V838" s="2" t="s">
        <v>42</v>
      </c>
      <c r="W838" s="2">
        <v>51.6</v>
      </c>
      <c r="X838" s="2">
        <v>67.099999999999994</v>
      </c>
      <c r="Y838" s="2" t="s">
        <v>751</v>
      </c>
      <c r="Z838" s="2" t="s">
        <v>5762</v>
      </c>
      <c r="AA838" s="2">
        <v>-0.99634981308219694</v>
      </c>
      <c r="AB838" s="2">
        <v>0.84398854170743298</v>
      </c>
      <c r="AC838" s="2">
        <v>88078.944257291398</v>
      </c>
      <c r="AD838" s="2">
        <v>138461.93291290299</v>
      </c>
      <c r="AE838" s="2">
        <v>82174.0664771624</v>
      </c>
      <c r="AF838" s="2">
        <v>81623.683446872907</v>
      </c>
      <c r="AG838" s="2">
        <v>99485.728675614504</v>
      </c>
      <c r="AH838" s="2">
        <v>77544.032137683796</v>
      </c>
      <c r="AI838" s="2">
        <v>95556.402996610093</v>
      </c>
      <c r="AJ838" s="2">
        <v>92089.7518098047</v>
      </c>
      <c r="AK838" s="2">
        <v>131884.38318063601</v>
      </c>
      <c r="AL838" s="2">
        <v>129796.630141969</v>
      </c>
      <c r="AM838" s="2">
        <v>131217.97243516601</v>
      </c>
      <c r="AN838" s="2">
        <v>130734.27282610501</v>
      </c>
      <c r="AO838" s="2">
        <v>144150.92828072299</v>
      </c>
      <c r="AP838" s="2">
        <v>162987.410612821</v>
      </c>
    </row>
    <row r="839" spans="1:42" ht="14.5" x14ac:dyDescent="0.35">
      <c r="A839" s="2" t="s">
        <v>5763</v>
      </c>
      <c r="B839" s="2">
        <v>825.31808597158795</v>
      </c>
      <c r="C839" s="2">
        <v>5.6357333333333299</v>
      </c>
      <c r="D839" s="2" t="s">
        <v>70</v>
      </c>
      <c r="E839" s="2" t="s">
        <v>5764</v>
      </c>
      <c r="F839" s="2">
        <v>46810</v>
      </c>
      <c r="G839" s="3" t="str">
        <f>HYPERLINK("http://funmeta.oebiotech.com/network/46810", "http://funmeta.oebiotech.com/network/46810")</f>
        <v>http://funmeta.oebiotech.com/network/46810</v>
      </c>
      <c r="H839" s="2"/>
      <c r="I839" s="2"/>
      <c r="J839" s="2" t="s">
        <v>5765</v>
      </c>
      <c r="K839" s="2"/>
      <c r="L839" s="2"/>
      <c r="M839" s="2"/>
      <c r="N839" s="2"/>
      <c r="O839" s="2">
        <v>101383561</v>
      </c>
      <c r="P839" s="2"/>
      <c r="Q839" s="2" t="s">
        <v>5766</v>
      </c>
      <c r="R839" s="2" t="s">
        <v>5767</v>
      </c>
      <c r="S839" s="2" t="s">
        <v>50</v>
      </c>
      <c r="T839" s="2" t="s">
        <v>124</v>
      </c>
      <c r="U839" s="2" t="s">
        <v>125</v>
      </c>
      <c r="V839" s="2" t="s">
        <v>42</v>
      </c>
      <c r="W839" s="2">
        <v>47.7</v>
      </c>
      <c r="X839" s="2">
        <v>51.6</v>
      </c>
      <c r="Y839" s="2" t="s">
        <v>408</v>
      </c>
      <c r="Z839" s="2" t="s">
        <v>5768</v>
      </c>
      <c r="AA839" s="2">
        <v>3.3148339010034902</v>
      </c>
      <c r="AB839" s="2">
        <v>0.84382380045600702</v>
      </c>
      <c r="AC839" s="2">
        <v>564152.36995625799</v>
      </c>
      <c r="AD839" s="2">
        <v>626186.56387717801</v>
      </c>
      <c r="AE839" s="2">
        <v>580229.18742780003</v>
      </c>
      <c r="AF839" s="2">
        <v>522587.32820883498</v>
      </c>
      <c r="AG839" s="2">
        <v>589366.92093849403</v>
      </c>
      <c r="AH839" s="2">
        <v>561171.06315862795</v>
      </c>
      <c r="AI839" s="2">
        <v>552886.36357972596</v>
      </c>
      <c r="AJ839" s="2">
        <v>578673.35642406798</v>
      </c>
      <c r="AK839" s="2">
        <v>588483.79437783605</v>
      </c>
      <c r="AL839" s="2">
        <v>617362.26801858202</v>
      </c>
      <c r="AM839" s="2">
        <v>672314.88011041202</v>
      </c>
      <c r="AN839" s="2">
        <v>610636.64182923594</v>
      </c>
      <c r="AO839" s="2">
        <v>664993.36555955606</v>
      </c>
      <c r="AP839" s="2">
        <v>603328.43336744804</v>
      </c>
    </row>
    <row r="840" spans="1:42" ht="14.5" x14ac:dyDescent="0.35">
      <c r="A840" s="2" t="s">
        <v>5769</v>
      </c>
      <c r="B840" s="2">
        <v>929.47503290280497</v>
      </c>
      <c r="C840" s="2">
        <v>10.7203</v>
      </c>
      <c r="D840" s="2" t="s">
        <v>70</v>
      </c>
      <c r="E840" s="2" t="s">
        <v>5770</v>
      </c>
      <c r="F840" s="2">
        <v>54281</v>
      </c>
      <c r="G840" s="3" t="str">
        <f>HYPERLINK("http://funmeta.oebiotech.com/network/54281", "http://funmeta.oebiotech.com/network/54281")</f>
        <v>http://funmeta.oebiotech.com/network/54281</v>
      </c>
      <c r="H840" s="2" t="s">
        <v>5771</v>
      </c>
      <c r="I840" s="2"/>
      <c r="J840" s="2"/>
      <c r="K840" s="2"/>
      <c r="L840" s="2" t="s">
        <v>5772</v>
      </c>
      <c r="M840" s="2"/>
      <c r="N840" s="2"/>
      <c r="O840" s="2">
        <v>4483040</v>
      </c>
      <c r="P840" s="2" t="s">
        <v>5773</v>
      </c>
      <c r="Q840" s="2" t="s">
        <v>5774</v>
      </c>
      <c r="R840" s="2" t="s">
        <v>5775</v>
      </c>
      <c r="S840" s="2" t="s">
        <v>50</v>
      </c>
      <c r="T840" s="2" t="s">
        <v>124</v>
      </c>
      <c r="U840" s="2" t="s">
        <v>523</v>
      </c>
      <c r="V840" s="2" t="s">
        <v>42</v>
      </c>
      <c r="W840" s="2">
        <v>51</v>
      </c>
      <c r="X840" s="2">
        <v>68.7</v>
      </c>
      <c r="Y840" s="2" t="s">
        <v>408</v>
      </c>
      <c r="Z840" s="2" t="s">
        <v>5776</v>
      </c>
      <c r="AA840" s="2">
        <v>-0.13658779248369701</v>
      </c>
      <c r="AB840" s="2">
        <v>0.84362737640877705</v>
      </c>
      <c r="AC840" s="2">
        <v>154369.13823586999</v>
      </c>
      <c r="AD840" s="2">
        <v>204549.74964375899</v>
      </c>
      <c r="AE840" s="2">
        <v>155582.732976242</v>
      </c>
      <c r="AF840" s="2">
        <v>148036.93940211399</v>
      </c>
      <c r="AG840" s="2">
        <v>144882.81261131601</v>
      </c>
      <c r="AH840" s="2">
        <v>154520.13591831701</v>
      </c>
      <c r="AI840" s="2">
        <v>160431.311367238</v>
      </c>
      <c r="AJ840" s="2">
        <v>162760.89713999099</v>
      </c>
      <c r="AK840" s="2">
        <v>182599.23852555899</v>
      </c>
      <c r="AL840" s="2">
        <v>194003.463837466</v>
      </c>
      <c r="AM840" s="2">
        <v>211131.45491206201</v>
      </c>
      <c r="AN840" s="2">
        <v>207257.45966831499</v>
      </c>
      <c r="AO840" s="2">
        <v>209223.934547332</v>
      </c>
      <c r="AP840" s="2">
        <v>223082.94637182099</v>
      </c>
    </row>
    <row r="841" spans="1:42" ht="14.5" x14ac:dyDescent="0.35">
      <c r="A841" s="2" t="s">
        <v>5777</v>
      </c>
      <c r="B841" s="2">
        <v>370.11413858340501</v>
      </c>
      <c r="C841" s="2">
        <v>3.6547999999999998</v>
      </c>
      <c r="D841" s="2" t="s">
        <v>70</v>
      </c>
      <c r="E841" s="2" t="s">
        <v>5778</v>
      </c>
      <c r="F841" s="2">
        <v>83556</v>
      </c>
      <c r="G841" s="3" t="str">
        <f>HYPERLINK("http://funmeta.oebiotech.com/network/83556", "http://funmeta.oebiotech.com/network/83556")</f>
        <v>http://funmeta.oebiotech.com/network/83556</v>
      </c>
      <c r="H841" s="2" t="s">
        <v>5779</v>
      </c>
      <c r="I841" s="2"/>
      <c r="J841" s="2"/>
      <c r="K841" s="2"/>
      <c r="L841" s="2"/>
      <c r="M841" s="2"/>
      <c r="N841" s="2"/>
      <c r="O841" s="2">
        <v>10948689</v>
      </c>
      <c r="P841" s="2"/>
      <c r="Q841" s="2" t="s">
        <v>5780</v>
      </c>
      <c r="R841" s="2" t="s">
        <v>5781</v>
      </c>
      <c r="S841" s="2" t="s">
        <v>79</v>
      </c>
      <c r="T841" s="2" t="s">
        <v>80</v>
      </c>
      <c r="U841" s="2" t="s">
        <v>81</v>
      </c>
      <c r="V841" s="2" t="s">
        <v>59</v>
      </c>
      <c r="W841" s="2">
        <v>47.3</v>
      </c>
      <c r="X841" s="2">
        <v>39.6</v>
      </c>
      <c r="Y841" s="2" t="s">
        <v>118</v>
      </c>
      <c r="Z841" s="2" t="s">
        <v>5782</v>
      </c>
      <c r="AA841" s="2">
        <v>-0.58266316731301804</v>
      </c>
      <c r="AB841" s="2">
        <v>0.84335449396432205</v>
      </c>
      <c r="AC841" s="2">
        <v>85916.305759492505</v>
      </c>
      <c r="AD841" s="2">
        <v>133314.942525361</v>
      </c>
      <c r="AE841" s="2">
        <v>85956.527785873506</v>
      </c>
      <c r="AF841" s="2">
        <v>85496.601904126801</v>
      </c>
      <c r="AG841" s="2">
        <v>83729.185778639599</v>
      </c>
      <c r="AH841" s="2">
        <v>79902.259119311304</v>
      </c>
      <c r="AI841" s="2">
        <v>92595.815011164595</v>
      </c>
      <c r="AJ841" s="2">
        <v>87817.444957839296</v>
      </c>
      <c r="AK841" s="2">
        <v>126951.06223615</v>
      </c>
      <c r="AL841" s="2">
        <v>136336.90392074399</v>
      </c>
      <c r="AM841" s="2">
        <v>130195.371455235</v>
      </c>
      <c r="AN841" s="2">
        <v>132018.36932596299</v>
      </c>
      <c r="AO841" s="2">
        <v>132215.09027132299</v>
      </c>
      <c r="AP841" s="2">
        <v>142172.85794274899</v>
      </c>
    </row>
    <row r="842" spans="1:42" ht="14.5" x14ac:dyDescent="0.35">
      <c r="A842" s="2" t="s">
        <v>5783</v>
      </c>
      <c r="B842" s="2">
        <v>591.27835987542301</v>
      </c>
      <c r="C842" s="2">
        <v>6.26755</v>
      </c>
      <c r="D842" s="2" t="s">
        <v>34</v>
      </c>
      <c r="E842" s="2" t="s">
        <v>5784</v>
      </c>
      <c r="F842" s="2">
        <v>58188</v>
      </c>
      <c r="G842" s="3" t="str">
        <f>HYPERLINK("http://funmeta.oebiotech.com/network/58188", "http://funmeta.oebiotech.com/network/58188")</f>
        <v>http://funmeta.oebiotech.com/network/58188</v>
      </c>
      <c r="H842" s="2" t="s">
        <v>5785</v>
      </c>
      <c r="I842" s="2">
        <v>89704</v>
      </c>
      <c r="J842" s="2"/>
      <c r="K842" s="2"/>
      <c r="L842" s="2"/>
      <c r="M842" s="2"/>
      <c r="N842" s="2"/>
      <c r="O842" s="2">
        <v>3729509</v>
      </c>
      <c r="P842" s="2" t="s">
        <v>5786</v>
      </c>
      <c r="Q842" s="2" t="s">
        <v>5787</v>
      </c>
      <c r="R842" s="2" t="s">
        <v>5788</v>
      </c>
      <c r="S842" s="2" t="s">
        <v>50</v>
      </c>
      <c r="T842" s="2" t="s">
        <v>124</v>
      </c>
      <c r="U842" s="2" t="s">
        <v>567</v>
      </c>
      <c r="V842" s="2" t="s">
        <v>59</v>
      </c>
      <c r="W842" s="2">
        <v>45.3</v>
      </c>
      <c r="X842" s="2">
        <v>35.799999999999997</v>
      </c>
      <c r="Y842" s="2" t="s">
        <v>323</v>
      </c>
      <c r="Z842" s="2" t="s">
        <v>5789</v>
      </c>
      <c r="AA842" s="2">
        <v>1.36720938615759</v>
      </c>
      <c r="AB842" s="2">
        <v>0.84331958919383498</v>
      </c>
      <c r="AC842" s="2">
        <v>256619.65139073</v>
      </c>
      <c r="AD842" s="2">
        <v>307196.60665294703</v>
      </c>
      <c r="AE842" s="2">
        <v>250492.14409642699</v>
      </c>
      <c r="AF842" s="2">
        <v>245984.45950966401</v>
      </c>
      <c r="AG842" s="2">
        <v>245497.13290914299</v>
      </c>
      <c r="AH842" s="2">
        <v>263561.83677557</v>
      </c>
      <c r="AI842" s="2">
        <v>269469.79773347802</v>
      </c>
      <c r="AJ842" s="2">
        <v>264712.537320095</v>
      </c>
      <c r="AK842" s="2">
        <v>294774.764569811</v>
      </c>
      <c r="AL842" s="2">
        <v>310131.13236204901</v>
      </c>
      <c r="AM842" s="2">
        <v>301242.62827060802</v>
      </c>
      <c r="AN842" s="2">
        <v>304653.10344253201</v>
      </c>
      <c r="AO842" s="2">
        <v>300490.43221378099</v>
      </c>
      <c r="AP842" s="2">
        <v>331887.57905890001</v>
      </c>
    </row>
    <row r="843" spans="1:42" ht="14.5" x14ac:dyDescent="0.35">
      <c r="A843" s="2" t="s">
        <v>5790</v>
      </c>
      <c r="B843" s="2">
        <v>667.44132332935897</v>
      </c>
      <c r="C843" s="2">
        <v>11.232416666666699</v>
      </c>
      <c r="D843" s="2" t="s">
        <v>34</v>
      </c>
      <c r="E843" s="2" t="s">
        <v>5791</v>
      </c>
      <c r="F843" s="2">
        <v>62362</v>
      </c>
      <c r="G843" s="3" t="str">
        <f>HYPERLINK("http://funmeta.oebiotech.com/network/62362", "http://funmeta.oebiotech.com/network/62362")</f>
        <v>http://funmeta.oebiotech.com/network/62362</v>
      </c>
      <c r="H843" s="2" t="s">
        <v>5792</v>
      </c>
      <c r="I843" s="2">
        <v>93656</v>
      </c>
      <c r="J843" s="2"/>
      <c r="K843" s="2"/>
      <c r="L843" s="2"/>
      <c r="M843" s="2"/>
      <c r="N843" s="2"/>
      <c r="O843" s="2">
        <v>131752528</v>
      </c>
      <c r="P843" s="2" t="s">
        <v>5793</v>
      </c>
      <c r="Q843" s="2" t="s">
        <v>5794</v>
      </c>
      <c r="R843" s="2" t="s">
        <v>5795</v>
      </c>
      <c r="S843" s="2" t="s">
        <v>50</v>
      </c>
      <c r="T843" s="2" t="s">
        <v>201</v>
      </c>
      <c r="U843" s="2" t="s">
        <v>210</v>
      </c>
      <c r="V843" s="2" t="s">
        <v>59</v>
      </c>
      <c r="W843" s="2">
        <v>37.1</v>
      </c>
      <c r="X843" s="2">
        <v>0</v>
      </c>
      <c r="Y843" s="2" t="s">
        <v>394</v>
      </c>
      <c r="Z843" s="2" t="s">
        <v>5796</v>
      </c>
      <c r="AA843" s="2">
        <v>-0.377061297121422</v>
      </c>
      <c r="AB843" s="2">
        <v>0.84317864879153204</v>
      </c>
      <c r="AC843" s="2">
        <v>28488.680505566299</v>
      </c>
      <c r="AD843" s="2">
        <v>76152.487208217601</v>
      </c>
      <c r="AE843" s="2">
        <v>27939.817413691599</v>
      </c>
      <c r="AF843" s="2">
        <v>28904.718731454599</v>
      </c>
      <c r="AG843" s="2">
        <v>28854.278319228699</v>
      </c>
      <c r="AH843" s="2">
        <v>28955.315441798299</v>
      </c>
      <c r="AI843" s="2">
        <v>27095.799657444401</v>
      </c>
      <c r="AJ843" s="2">
        <v>29182.153469780002</v>
      </c>
      <c r="AK843" s="2">
        <v>66618.117041424994</v>
      </c>
      <c r="AL843" s="2">
        <v>66067.552495763404</v>
      </c>
      <c r="AM843" s="2">
        <v>85851.132568145404</v>
      </c>
      <c r="AN843" s="2">
        <v>78876.188685816</v>
      </c>
      <c r="AO843" s="2">
        <v>79797.933451486504</v>
      </c>
      <c r="AP843" s="2">
        <v>79703.999006669095</v>
      </c>
    </row>
    <row r="844" spans="1:42" ht="14.5" x14ac:dyDescent="0.35">
      <c r="A844" s="2" t="s">
        <v>5797</v>
      </c>
      <c r="B844" s="2">
        <v>573.25515164478497</v>
      </c>
      <c r="C844" s="2">
        <v>3.8975</v>
      </c>
      <c r="D844" s="2" t="s">
        <v>70</v>
      </c>
      <c r="E844" s="2" t="s">
        <v>5798</v>
      </c>
      <c r="F844" s="2">
        <v>61918</v>
      </c>
      <c r="G844" s="3" t="str">
        <f>HYPERLINK("http://funmeta.oebiotech.com/network/61918", "http://funmeta.oebiotech.com/network/61918")</f>
        <v>http://funmeta.oebiotech.com/network/61918</v>
      </c>
      <c r="H844" s="2" t="s">
        <v>5799</v>
      </c>
      <c r="I844" s="2"/>
      <c r="J844" s="2"/>
      <c r="K844" s="2">
        <v>175953</v>
      </c>
      <c r="L844" s="2"/>
      <c r="M844" s="2"/>
      <c r="N844" s="2"/>
      <c r="O844" s="2">
        <v>14780961</v>
      </c>
      <c r="P844" s="2" t="s">
        <v>5800</v>
      </c>
      <c r="Q844" s="2" t="s">
        <v>5801</v>
      </c>
      <c r="R844" s="2" t="s">
        <v>5802</v>
      </c>
      <c r="S844" s="2" t="s">
        <v>50</v>
      </c>
      <c r="T844" s="2" t="s">
        <v>201</v>
      </c>
      <c r="U844" s="2" t="s">
        <v>202</v>
      </c>
      <c r="V844" s="2" t="s">
        <v>42</v>
      </c>
      <c r="W844" s="2">
        <v>54.3</v>
      </c>
      <c r="X844" s="2">
        <v>78.3</v>
      </c>
      <c r="Y844" s="2" t="s">
        <v>408</v>
      </c>
      <c r="Z844" s="2" t="s">
        <v>5803</v>
      </c>
      <c r="AA844" s="2">
        <v>-0.21452278369785399</v>
      </c>
      <c r="AB844" s="2">
        <v>0.84308421634777697</v>
      </c>
      <c r="AC844" s="2">
        <v>152171.03471604601</v>
      </c>
      <c r="AD844" s="2">
        <v>199811.84829403699</v>
      </c>
      <c r="AE844" s="2">
        <v>155775.40530352201</v>
      </c>
      <c r="AF844" s="2">
        <v>147712.21866502799</v>
      </c>
      <c r="AG844" s="2">
        <v>147100.302721082</v>
      </c>
      <c r="AH844" s="2">
        <v>156726.672397708</v>
      </c>
      <c r="AI844" s="2">
        <v>147978.06860546599</v>
      </c>
      <c r="AJ844" s="2">
        <v>157733.54060347099</v>
      </c>
      <c r="AK844" s="2">
        <v>204449.07009309501</v>
      </c>
      <c r="AL844" s="2">
        <v>205715.24897491699</v>
      </c>
      <c r="AM844" s="2">
        <v>196703.494466259</v>
      </c>
      <c r="AN844" s="2">
        <v>192719.367180186</v>
      </c>
      <c r="AO844" s="2">
        <v>196458.42131807099</v>
      </c>
      <c r="AP844" s="2">
        <v>202825.487731692</v>
      </c>
    </row>
    <row r="845" spans="1:42" ht="14.5" x14ac:dyDescent="0.35">
      <c r="A845" s="2" t="s">
        <v>5804</v>
      </c>
      <c r="B845" s="2">
        <v>437.14493782605803</v>
      </c>
      <c r="C845" s="2">
        <v>4.7765333333333304</v>
      </c>
      <c r="D845" s="2" t="s">
        <v>70</v>
      </c>
      <c r="E845" s="2" t="s">
        <v>5805</v>
      </c>
      <c r="F845" s="2">
        <v>58687</v>
      </c>
      <c r="G845" s="3" t="str">
        <f>HYPERLINK("http://funmeta.oebiotech.com/network/58687", "http://funmeta.oebiotech.com/network/58687")</f>
        <v>http://funmeta.oebiotech.com/network/58687</v>
      </c>
      <c r="H845" s="2" t="s">
        <v>5806</v>
      </c>
      <c r="I845" s="2">
        <v>90146</v>
      </c>
      <c r="J845" s="2"/>
      <c r="K845" s="2">
        <v>168903</v>
      </c>
      <c r="L845" s="2"/>
      <c r="M845" s="2"/>
      <c r="N845" s="2"/>
      <c r="O845" s="2">
        <v>14524534</v>
      </c>
      <c r="P845" s="2" t="s">
        <v>5807</v>
      </c>
      <c r="Q845" s="2" t="s">
        <v>5808</v>
      </c>
      <c r="R845" s="2" t="s">
        <v>5809</v>
      </c>
      <c r="S845" s="2" t="s">
        <v>79</v>
      </c>
      <c r="T845" s="2" t="s">
        <v>80</v>
      </c>
      <c r="U845" s="2" t="s">
        <v>81</v>
      </c>
      <c r="V845" s="2" t="s">
        <v>59</v>
      </c>
      <c r="W845" s="2">
        <v>40.6</v>
      </c>
      <c r="X845" s="2">
        <v>13.1</v>
      </c>
      <c r="Y845" s="2" t="s">
        <v>286</v>
      </c>
      <c r="Z845" s="2" t="s">
        <v>5810</v>
      </c>
      <c r="AA845" s="2">
        <v>-0.873602859780642</v>
      </c>
      <c r="AB845" s="2">
        <v>0.84265644226172598</v>
      </c>
      <c r="AC845" s="2">
        <v>32502.2304394694</v>
      </c>
      <c r="AD845" s="2">
        <v>79719.597267154604</v>
      </c>
      <c r="AE845" s="2">
        <v>34705.535549257198</v>
      </c>
      <c r="AF845" s="2">
        <v>33034.304522793398</v>
      </c>
      <c r="AG845" s="2">
        <v>34975.914541930601</v>
      </c>
      <c r="AH845" s="2">
        <v>31084.212080523699</v>
      </c>
      <c r="AI845" s="2">
        <v>29306.360387455599</v>
      </c>
      <c r="AJ845" s="2">
        <v>31907.0555548558</v>
      </c>
      <c r="AK845" s="2">
        <v>78549.051188007696</v>
      </c>
      <c r="AL845" s="2">
        <v>75267.853686904404</v>
      </c>
      <c r="AM845" s="2">
        <v>77944.306686359894</v>
      </c>
      <c r="AN845" s="2">
        <v>85783.849484079401</v>
      </c>
      <c r="AO845" s="2">
        <v>87314.596955429195</v>
      </c>
      <c r="AP845" s="2">
        <v>73457.925602146803</v>
      </c>
    </row>
    <row r="846" spans="1:42" ht="14.5" x14ac:dyDescent="0.35">
      <c r="A846" s="2" t="s">
        <v>5811</v>
      </c>
      <c r="B846" s="2">
        <v>485.25046863454401</v>
      </c>
      <c r="C846" s="2">
        <v>10.471816666666699</v>
      </c>
      <c r="D846" s="2" t="s">
        <v>34</v>
      </c>
      <c r="E846" s="2" t="s">
        <v>5812</v>
      </c>
      <c r="F846" s="2">
        <v>58379</v>
      </c>
      <c r="G846" s="3" t="str">
        <f>HYPERLINK("http://funmeta.oebiotech.com/network/58379", "http://funmeta.oebiotech.com/network/58379")</f>
        <v>http://funmeta.oebiotech.com/network/58379</v>
      </c>
      <c r="H846" s="2" t="s">
        <v>5813</v>
      </c>
      <c r="I846" s="2"/>
      <c r="J846" s="2"/>
      <c r="K846" s="2"/>
      <c r="L846" s="2"/>
      <c r="M846" s="2"/>
      <c r="N846" s="2"/>
      <c r="O846" s="2">
        <v>74821938</v>
      </c>
      <c r="P846" s="2" t="s">
        <v>5814</v>
      </c>
      <c r="Q846" s="2" t="s">
        <v>5815</v>
      </c>
      <c r="R846" s="2" t="s">
        <v>5816</v>
      </c>
      <c r="S846" s="2" t="s">
        <v>50</v>
      </c>
      <c r="T846" s="2" t="s">
        <v>124</v>
      </c>
      <c r="U846" s="2" t="s">
        <v>567</v>
      </c>
      <c r="V846" s="2" t="s">
        <v>59</v>
      </c>
      <c r="W846" s="2">
        <v>37.1</v>
      </c>
      <c r="X846" s="2">
        <v>0</v>
      </c>
      <c r="Y846" s="2" t="s">
        <v>266</v>
      </c>
      <c r="Z846" s="2" t="s">
        <v>5817</v>
      </c>
      <c r="AA846" s="2">
        <v>-5.7964199991221603</v>
      </c>
      <c r="AB846" s="2">
        <v>0.841702436043547</v>
      </c>
      <c r="AC846" s="2">
        <v>58573.207247414502</v>
      </c>
      <c r="AD846" s="2">
        <v>11896.8429517107</v>
      </c>
      <c r="AE846" s="2">
        <v>57526.534854422098</v>
      </c>
      <c r="AF846" s="2">
        <v>62304.942706135203</v>
      </c>
      <c r="AG846" s="2">
        <v>58554.460227450203</v>
      </c>
      <c r="AH846" s="2">
        <v>55689.156997396203</v>
      </c>
      <c r="AI846" s="2">
        <v>55217.079096242</v>
      </c>
      <c r="AJ846" s="2">
        <v>62147.069602841497</v>
      </c>
      <c r="AK846" s="2">
        <v>10989.8223804957</v>
      </c>
      <c r="AL846" s="2">
        <v>14065.7466347154</v>
      </c>
      <c r="AM846" s="2">
        <v>11445.1249785112</v>
      </c>
      <c r="AN846" s="2">
        <v>13830.600153920401</v>
      </c>
      <c r="AO846" s="2">
        <v>12353.9885383698</v>
      </c>
      <c r="AP846" s="2">
        <v>8695.7750242517704</v>
      </c>
    </row>
    <row r="847" spans="1:42" ht="14.5" x14ac:dyDescent="0.35">
      <c r="A847" s="2" t="s">
        <v>5818</v>
      </c>
      <c r="B847" s="2">
        <v>385.129010521721</v>
      </c>
      <c r="C847" s="2">
        <v>5.6357333333333299</v>
      </c>
      <c r="D847" s="2" t="s">
        <v>70</v>
      </c>
      <c r="E847" s="2" t="s">
        <v>5819</v>
      </c>
      <c r="F847" s="2">
        <v>257375</v>
      </c>
      <c r="G847" s="3" t="str">
        <f>HYPERLINK("http://funmeta.oebiotech.com/network/257375", "http://funmeta.oebiotech.com/network/257375")</f>
        <v>http://funmeta.oebiotech.com/network/257375</v>
      </c>
      <c r="H847" s="2" t="s">
        <v>5820</v>
      </c>
      <c r="I847" s="2"/>
      <c r="J847" s="2"/>
      <c r="K847" s="2"/>
      <c r="L847" s="2"/>
      <c r="M847" s="2"/>
      <c r="N847" s="2"/>
      <c r="O847" s="2"/>
      <c r="P847" s="2"/>
      <c r="Q847" s="2" t="s">
        <v>5821</v>
      </c>
      <c r="R847" s="2" t="s">
        <v>5822</v>
      </c>
      <c r="S847" s="2" t="s">
        <v>1184</v>
      </c>
      <c r="T847" s="2" t="s">
        <v>3333</v>
      </c>
      <c r="U847" s="2" t="s">
        <v>41</v>
      </c>
      <c r="V847" s="2" t="s">
        <v>59</v>
      </c>
      <c r="W847" s="2">
        <v>41.7</v>
      </c>
      <c r="X847" s="2">
        <v>15</v>
      </c>
      <c r="Y847" s="2" t="s">
        <v>1648</v>
      </c>
      <c r="Z847" s="2" t="s">
        <v>5823</v>
      </c>
      <c r="AA847" s="2">
        <v>-0.65838509632453401</v>
      </c>
      <c r="AB847" s="2">
        <v>0.84152788030438497</v>
      </c>
      <c r="AC847" s="2">
        <v>279623.19042280002</v>
      </c>
      <c r="AD847" s="2">
        <v>223887.97320447501</v>
      </c>
      <c r="AE847" s="2">
        <v>314888.066090904</v>
      </c>
      <c r="AF847" s="2">
        <v>265103.92627673701</v>
      </c>
      <c r="AG847" s="2">
        <v>256540.22661924799</v>
      </c>
      <c r="AH847" s="2">
        <v>295532.66652643</v>
      </c>
      <c r="AI847" s="2">
        <v>277720.903404916</v>
      </c>
      <c r="AJ847" s="2">
        <v>267953.35361856798</v>
      </c>
      <c r="AK847" s="2">
        <v>256152.77759696901</v>
      </c>
      <c r="AL847" s="2">
        <v>226135.85430443499</v>
      </c>
      <c r="AM847" s="2">
        <v>222025.75868125699</v>
      </c>
      <c r="AN847" s="2">
        <v>211981.8560722</v>
      </c>
      <c r="AO847" s="2">
        <v>226349.45081592599</v>
      </c>
      <c r="AP847" s="2">
        <v>200682.141756064</v>
      </c>
    </row>
    <row r="848" spans="1:42" ht="14.5" x14ac:dyDescent="0.35">
      <c r="A848" s="2" t="s">
        <v>5824</v>
      </c>
      <c r="B848" s="2">
        <v>236.14892185277401</v>
      </c>
      <c r="C848" s="2">
        <v>0.75019999999999998</v>
      </c>
      <c r="D848" s="2" t="s">
        <v>34</v>
      </c>
      <c r="E848" s="2" t="s">
        <v>5825</v>
      </c>
      <c r="F848" s="2">
        <v>47004</v>
      </c>
      <c r="G848" s="3" t="str">
        <f>HYPERLINK("http://funmeta.oebiotech.com/network/47004", "http://funmeta.oebiotech.com/network/47004")</f>
        <v>http://funmeta.oebiotech.com/network/47004</v>
      </c>
      <c r="H848" s="2" t="s">
        <v>5826</v>
      </c>
      <c r="I848" s="2"/>
      <c r="J848" s="2"/>
      <c r="K848" s="2"/>
      <c r="L848" s="2"/>
      <c r="M848" s="2"/>
      <c r="N848" s="2"/>
      <c r="O848" s="2">
        <v>124350389</v>
      </c>
      <c r="P848" s="2" t="s">
        <v>5827</v>
      </c>
      <c r="Q848" s="2" t="s">
        <v>5828</v>
      </c>
      <c r="R848" s="2" t="s">
        <v>5829</v>
      </c>
      <c r="S848" s="2" t="s">
        <v>89</v>
      </c>
      <c r="T848" s="2" t="s">
        <v>4218</v>
      </c>
      <c r="U848" s="2" t="s">
        <v>5830</v>
      </c>
      <c r="V848" s="2" t="s">
        <v>59</v>
      </c>
      <c r="W848" s="2">
        <v>41.8</v>
      </c>
      <c r="X848" s="2">
        <v>13.8</v>
      </c>
      <c r="Y848" s="2" t="s">
        <v>43</v>
      </c>
      <c r="Z848" s="2" t="s">
        <v>5831</v>
      </c>
      <c r="AA848" s="2">
        <v>-1.5008213562478501</v>
      </c>
      <c r="AB848" s="2">
        <v>0.84100958059127595</v>
      </c>
      <c r="AC848" s="2">
        <v>64610.877542995899</v>
      </c>
      <c r="AD848" s="2">
        <v>17652.766609448201</v>
      </c>
      <c r="AE848" s="2">
        <v>70306.250081705497</v>
      </c>
      <c r="AF848" s="2">
        <v>71927.342983990893</v>
      </c>
      <c r="AG848" s="2">
        <v>63265.7600508822</v>
      </c>
      <c r="AH848" s="2">
        <v>63467.025945116002</v>
      </c>
      <c r="AI848" s="2">
        <v>56289.503444916299</v>
      </c>
      <c r="AJ848" s="2">
        <v>62409.382751364697</v>
      </c>
      <c r="AK848" s="2">
        <v>18739.512221806799</v>
      </c>
      <c r="AL848" s="2">
        <v>14248.618723634299</v>
      </c>
      <c r="AM848" s="2">
        <v>20193.7773802015</v>
      </c>
      <c r="AN848" s="2">
        <v>15702.1214116505</v>
      </c>
      <c r="AO848" s="2">
        <v>19972.633566477602</v>
      </c>
      <c r="AP848" s="2">
        <v>17059.936352918699</v>
      </c>
    </row>
    <row r="849" spans="1:42" ht="14.5" x14ac:dyDescent="0.35">
      <c r="A849" s="2" t="s">
        <v>5832</v>
      </c>
      <c r="B849" s="2">
        <v>139.002544666755</v>
      </c>
      <c r="C849" s="2">
        <v>1.06171666666667</v>
      </c>
      <c r="D849" s="2" t="s">
        <v>34</v>
      </c>
      <c r="E849" s="2" t="s">
        <v>5833</v>
      </c>
      <c r="F849" s="2">
        <v>201268</v>
      </c>
      <c r="G849" s="3" t="str">
        <f>HYPERLINK("http://funmeta.oebiotech.com/network/201268", "http://funmeta.oebiotech.com/network/201268")</f>
        <v>http://funmeta.oebiotech.com/network/201268</v>
      </c>
      <c r="H849" s="2" t="s">
        <v>5834</v>
      </c>
      <c r="I849" s="2"/>
      <c r="J849" s="2"/>
      <c r="K849" s="2"/>
      <c r="L849" s="2"/>
      <c r="M849" s="2"/>
      <c r="N849" s="2"/>
      <c r="O849" s="2">
        <v>3010943</v>
      </c>
      <c r="P849" s="2"/>
      <c r="Q849" s="2" t="s">
        <v>5835</v>
      </c>
      <c r="R849" s="2" t="s">
        <v>5836</v>
      </c>
      <c r="S849" s="2" t="s">
        <v>41</v>
      </c>
      <c r="T849" s="2" t="s">
        <v>41</v>
      </c>
      <c r="U849" s="2" t="s">
        <v>41</v>
      </c>
      <c r="V849" s="2" t="s">
        <v>42</v>
      </c>
      <c r="W849" s="2">
        <v>51</v>
      </c>
      <c r="X849" s="2">
        <v>56.4</v>
      </c>
      <c r="Y849" s="2" t="s">
        <v>141</v>
      </c>
      <c r="Z849" s="2" t="s">
        <v>5837</v>
      </c>
      <c r="AA849" s="2">
        <v>-0.25838337831344999</v>
      </c>
      <c r="AB849" s="2">
        <v>0.84099459886196004</v>
      </c>
      <c r="AC849" s="2">
        <v>95209.065133299096</v>
      </c>
      <c r="AD849" s="2">
        <v>142706.34850629099</v>
      </c>
      <c r="AE849" s="2">
        <v>95604.505298744101</v>
      </c>
      <c r="AF849" s="2">
        <v>89126.8467155377</v>
      </c>
      <c r="AG849" s="2">
        <v>93798.293214667006</v>
      </c>
      <c r="AH849" s="2">
        <v>102282.93070323599</v>
      </c>
      <c r="AI849" s="2">
        <v>92923.118223805694</v>
      </c>
      <c r="AJ849" s="2">
        <v>97518.6966438042</v>
      </c>
      <c r="AK849" s="2">
        <v>143577.404449592</v>
      </c>
      <c r="AL849" s="2">
        <v>134914.254584654</v>
      </c>
      <c r="AM849" s="2">
        <v>143898.658556943</v>
      </c>
      <c r="AN849" s="2">
        <v>155393.30632352</v>
      </c>
      <c r="AO849" s="2">
        <v>140241.758767241</v>
      </c>
      <c r="AP849" s="2">
        <v>138212.708355796</v>
      </c>
    </row>
    <row r="850" spans="1:42" ht="14.5" x14ac:dyDescent="0.35">
      <c r="A850" s="2" t="s">
        <v>5838</v>
      </c>
      <c r="B850" s="2">
        <v>317.21196990265997</v>
      </c>
      <c r="C850" s="2">
        <v>10.3984166666667</v>
      </c>
      <c r="D850" s="2" t="s">
        <v>70</v>
      </c>
      <c r="E850" s="2" t="s">
        <v>5839</v>
      </c>
      <c r="F850" s="2">
        <v>59193</v>
      </c>
      <c r="G850" s="3" t="str">
        <f>HYPERLINK("http://funmeta.oebiotech.com/network/59193", "http://funmeta.oebiotech.com/network/59193")</f>
        <v>http://funmeta.oebiotech.com/network/59193</v>
      </c>
      <c r="H850" s="2" t="s">
        <v>5840</v>
      </c>
      <c r="I850" s="2"/>
      <c r="J850" s="2"/>
      <c r="K850" s="2"/>
      <c r="L850" s="2"/>
      <c r="M850" s="2"/>
      <c r="N850" s="2"/>
      <c r="O850" s="2">
        <v>14330184</v>
      </c>
      <c r="P850" s="2" t="s">
        <v>5841</v>
      </c>
      <c r="Q850" s="2" t="s">
        <v>5842</v>
      </c>
      <c r="R850" s="2" t="s">
        <v>5843</v>
      </c>
      <c r="S850" s="2" t="s">
        <v>79</v>
      </c>
      <c r="T850" s="2" t="s">
        <v>80</v>
      </c>
      <c r="U850" s="2" t="s">
        <v>2021</v>
      </c>
      <c r="V850" s="2" t="s">
        <v>59</v>
      </c>
      <c r="W850" s="2">
        <v>46.2</v>
      </c>
      <c r="X850" s="2">
        <v>35.4</v>
      </c>
      <c r="Y850" s="2" t="s">
        <v>118</v>
      </c>
      <c r="Z850" s="2" t="s">
        <v>3739</v>
      </c>
      <c r="AA850" s="2">
        <v>-0.78086391227409602</v>
      </c>
      <c r="AB850" s="2">
        <v>0.84029001990730001</v>
      </c>
      <c r="AC850" s="2">
        <v>49240.860856995103</v>
      </c>
      <c r="AD850" s="2">
        <v>2232.0218564018801</v>
      </c>
      <c r="AE850" s="2">
        <v>52720.981861615102</v>
      </c>
      <c r="AF850" s="2">
        <v>57894.482762146697</v>
      </c>
      <c r="AG850" s="2">
        <v>45801.6963434629</v>
      </c>
      <c r="AH850" s="2">
        <v>54243.934579541703</v>
      </c>
      <c r="AI850" s="2">
        <v>40944.856199309303</v>
      </c>
      <c r="AJ850" s="2">
        <v>43839.213395895102</v>
      </c>
      <c r="AK850" s="2">
        <v>939.75999882958899</v>
      </c>
      <c r="AL850" s="2">
        <v>1758.6934934092501</v>
      </c>
      <c r="AM850" s="2">
        <v>4197.4434104503098</v>
      </c>
      <c r="AN850" s="2">
        <v>1191.9635934189801</v>
      </c>
      <c r="AO850" s="2">
        <v>3075.6319886768001</v>
      </c>
      <c r="AP850" s="2">
        <v>2228.6386536263399</v>
      </c>
    </row>
    <row r="851" spans="1:42" ht="14.5" x14ac:dyDescent="0.35">
      <c r="A851" s="2" t="s">
        <v>5844</v>
      </c>
      <c r="B851" s="2">
        <v>691.25962146684299</v>
      </c>
      <c r="C851" s="2">
        <v>4.0250666666666701</v>
      </c>
      <c r="D851" s="2" t="s">
        <v>70</v>
      </c>
      <c r="E851" s="2" t="s">
        <v>5845</v>
      </c>
      <c r="F851" s="2">
        <v>54949</v>
      </c>
      <c r="G851" s="3" t="str">
        <f>HYPERLINK("http://funmeta.oebiotech.com/network/54949", "http://funmeta.oebiotech.com/network/54949")</f>
        <v>http://funmeta.oebiotech.com/network/54949</v>
      </c>
      <c r="H851" s="2" t="s">
        <v>5846</v>
      </c>
      <c r="I851" s="2"/>
      <c r="J851" s="2"/>
      <c r="K851" s="2"/>
      <c r="L851" s="2"/>
      <c r="M851" s="2"/>
      <c r="N851" s="2"/>
      <c r="O851" s="2">
        <v>72550349</v>
      </c>
      <c r="P851" s="2" t="s">
        <v>5847</v>
      </c>
      <c r="Q851" s="2" t="s">
        <v>5848</v>
      </c>
      <c r="R851" s="2" t="s">
        <v>5849</v>
      </c>
      <c r="S851" s="2" t="s">
        <v>115</v>
      </c>
      <c r="T851" s="2" t="s">
        <v>575</v>
      </c>
      <c r="U851" s="2" t="s">
        <v>576</v>
      </c>
      <c r="V851" s="2" t="s">
        <v>59</v>
      </c>
      <c r="W851" s="2">
        <v>36.9</v>
      </c>
      <c r="X851" s="2">
        <v>0</v>
      </c>
      <c r="Y851" s="2" t="s">
        <v>1395</v>
      </c>
      <c r="Z851" s="2" t="s">
        <v>5850</v>
      </c>
      <c r="AA851" s="2">
        <v>7.3506734040817197</v>
      </c>
      <c r="AB851" s="2">
        <v>0.84002829837230597</v>
      </c>
      <c r="AC851" s="2">
        <v>298652.94642072398</v>
      </c>
      <c r="AD851" s="2">
        <v>357320.46130780899</v>
      </c>
      <c r="AE851" s="2">
        <v>304934.47188043501</v>
      </c>
      <c r="AF851" s="2">
        <v>284078.94318217301</v>
      </c>
      <c r="AG851" s="2">
        <v>302092.22056927398</v>
      </c>
      <c r="AH851" s="2">
        <v>309998.50202145102</v>
      </c>
      <c r="AI851" s="2">
        <v>307808.06783570501</v>
      </c>
      <c r="AJ851" s="2">
        <v>283005.473035303</v>
      </c>
      <c r="AK851" s="2">
        <v>339739.929224647</v>
      </c>
      <c r="AL851" s="2">
        <v>368182.90289764298</v>
      </c>
      <c r="AM851" s="2">
        <v>376808.65422758198</v>
      </c>
      <c r="AN851" s="2">
        <v>305189.39394115302</v>
      </c>
      <c r="AO851" s="2">
        <v>352840.734847104</v>
      </c>
      <c r="AP851" s="2">
        <v>401161.15270872501</v>
      </c>
    </row>
    <row r="852" spans="1:42" ht="14.5" x14ac:dyDescent="0.35">
      <c r="A852" s="2" t="s">
        <v>5851</v>
      </c>
      <c r="B852" s="2">
        <v>215.164627450826</v>
      </c>
      <c r="C852" s="2">
        <v>9.1675166666666694</v>
      </c>
      <c r="D852" s="2" t="s">
        <v>70</v>
      </c>
      <c r="E852" s="2" t="s">
        <v>5852</v>
      </c>
      <c r="F852" s="2">
        <v>1684</v>
      </c>
      <c r="G852" s="3" t="str">
        <f>HYPERLINK("http://funmeta.oebiotech.com/network/1684", "http://funmeta.oebiotech.com/network/1684")</f>
        <v>http://funmeta.oebiotech.com/network/1684</v>
      </c>
      <c r="H852" s="2" t="s">
        <v>5853</v>
      </c>
      <c r="I852" s="2">
        <v>6465</v>
      </c>
      <c r="J852" s="2" t="s">
        <v>5854</v>
      </c>
      <c r="K852" s="2">
        <v>39567</v>
      </c>
      <c r="L852" s="2" t="s">
        <v>5855</v>
      </c>
      <c r="M852" s="2"/>
      <c r="N852" s="2"/>
      <c r="O852" s="2">
        <v>79034</v>
      </c>
      <c r="P852" s="2" t="s">
        <v>5856</v>
      </c>
      <c r="Q852" s="2" t="s">
        <v>5857</v>
      </c>
      <c r="R852" s="2" t="s">
        <v>5858</v>
      </c>
      <c r="S852" s="2" t="s">
        <v>89</v>
      </c>
      <c r="T852" s="2" t="s">
        <v>4218</v>
      </c>
      <c r="U852" s="2" t="s">
        <v>5830</v>
      </c>
      <c r="V852" s="2" t="s">
        <v>59</v>
      </c>
      <c r="W852" s="2">
        <v>40.799999999999997</v>
      </c>
      <c r="X852" s="2">
        <v>9.85</v>
      </c>
      <c r="Y852" s="2" t="s">
        <v>118</v>
      </c>
      <c r="Z852" s="2" t="s">
        <v>5859</v>
      </c>
      <c r="AA852" s="2">
        <v>-2.9640467758295799</v>
      </c>
      <c r="AB852" s="2">
        <v>0.83966050789660596</v>
      </c>
      <c r="AC852" s="2">
        <v>230142.635781066</v>
      </c>
      <c r="AD852" s="2">
        <v>280224.40529497899</v>
      </c>
      <c r="AE852" s="2">
        <v>226849.683965253</v>
      </c>
      <c r="AF852" s="2">
        <v>233062.320223363</v>
      </c>
      <c r="AG852" s="2">
        <v>235754.95646848599</v>
      </c>
      <c r="AH852" s="2">
        <v>233673.278063834</v>
      </c>
      <c r="AI852" s="2">
        <v>232218.19854477301</v>
      </c>
      <c r="AJ852" s="2">
        <v>219297.37742068799</v>
      </c>
      <c r="AK852" s="2">
        <v>298830.84649104002</v>
      </c>
      <c r="AL852" s="2">
        <v>286861.78761975799</v>
      </c>
      <c r="AM852" s="2">
        <v>290340.05047871498</v>
      </c>
      <c r="AN852" s="2">
        <v>271334.57748433901</v>
      </c>
      <c r="AO852" s="2">
        <v>276120.01266969403</v>
      </c>
      <c r="AP852" s="2">
        <v>257859.157026325</v>
      </c>
    </row>
    <row r="853" spans="1:42" ht="14.5" x14ac:dyDescent="0.35">
      <c r="A853" s="2" t="s">
        <v>5860</v>
      </c>
      <c r="B853" s="2">
        <v>490.36606811647101</v>
      </c>
      <c r="C853" s="2">
        <v>13.9061</v>
      </c>
      <c r="D853" s="2" t="s">
        <v>34</v>
      </c>
      <c r="E853" s="2" t="s">
        <v>5861</v>
      </c>
      <c r="F853" s="2">
        <v>19922</v>
      </c>
      <c r="G853" s="3" t="str">
        <f>HYPERLINK("http://funmeta.oebiotech.com/network/19922", "http://funmeta.oebiotech.com/network/19922")</f>
        <v>http://funmeta.oebiotech.com/network/19922</v>
      </c>
      <c r="H853" s="2" t="s">
        <v>5862</v>
      </c>
      <c r="I853" s="2">
        <v>40405</v>
      </c>
      <c r="J853" s="2" t="s">
        <v>5863</v>
      </c>
      <c r="K853" s="2">
        <v>133662</v>
      </c>
      <c r="L853" s="2" t="s">
        <v>1451</v>
      </c>
      <c r="M853" s="2" t="s">
        <v>1452</v>
      </c>
      <c r="N853" s="2" t="s">
        <v>1453</v>
      </c>
      <c r="O853" s="2">
        <v>24779527</v>
      </c>
      <c r="P853" s="2"/>
      <c r="Q853" s="2" t="s">
        <v>5864</v>
      </c>
      <c r="R853" s="2" t="s">
        <v>5865</v>
      </c>
      <c r="S853" s="2" t="s">
        <v>50</v>
      </c>
      <c r="T853" s="2" t="s">
        <v>51</v>
      </c>
      <c r="U853" s="2" t="s">
        <v>168</v>
      </c>
      <c r="V853" s="2" t="s">
        <v>59</v>
      </c>
      <c r="W853" s="2">
        <v>42.7</v>
      </c>
      <c r="X853" s="2">
        <v>27.3</v>
      </c>
      <c r="Y853" s="2" t="s">
        <v>141</v>
      </c>
      <c r="Z853" s="2" t="s">
        <v>5866</v>
      </c>
      <c r="AA853" s="2">
        <v>0.94858505155592299</v>
      </c>
      <c r="AB853" s="2">
        <v>0.83791011141524996</v>
      </c>
      <c r="AC853" s="2">
        <v>236.39587241701301</v>
      </c>
      <c r="AD853" s="2">
        <v>46943.6691145324</v>
      </c>
      <c r="AE853" s="2">
        <v>167.92281043634</v>
      </c>
      <c r="AF853" s="2">
        <v>179.58455955037601</v>
      </c>
      <c r="AG853" s="2">
        <v>308.68986186970398</v>
      </c>
      <c r="AH853" s="2">
        <v>506.09004649256201</v>
      </c>
      <c r="AI853" s="2">
        <v>177.452395532114</v>
      </c>
      <c r="AJ853" s="2">
        <v>78.6355606209802</v>
      </c>
      <c r="AK853" s="2">
        <v>51000.393290403699</v>
      </c>
      <c r="AL853" s="2">
        <v>34284.376790443501</v>
      </c>
      <c r="AM853" s="2">
        <v>47996.919285797201</v>
      </c>
      <c r="AN853" s="2">
        <v>48237.484199452098</v>
      </c>
      <c r="AO853" s="2">
        <v>50460.978232367503</v>
      </c>
      <c r="AP853" s="2">
        <v>49681.862888730298</v>
      </c>
    </row>
    <row r="854" spans="1:42" ht="14.5" x14ac:dyDescent="0.35">
      <c r="A854" s="2" t="s">
        <v>5867</v>
      </c>
      <c r="B854" s="2">
        <v>451.13723829824397</v>
      </c>
      <c r="C854" s="2">
        <v>4.5612000000000004</v>
      </c>
      <c r="D854" s="2" t="s">
        <v>70</v>
      </c>
      <c r="E854" s="2" t="s">
        <v>5868</v>
      </c>
      <c r="F854" s="2">
        <v>257213</v>
      </c>
      <c r="G854" s="3" t="str">
        <f>HYPERLINK("http://funmeta.oebiotech.com/network/257213", "http://funmeta.oebiotech.com/network/257213")</f>
        <v>http://funmeta.oebiotech.com/network/257213</v>
      </c>
      <c r="H854" s="2" t="s">
        <v>5869</v>
      </c>
      <c r="I854" s="2"/>
      <c r="J854" s="2"/>
      <c r="K854" s="2"/>
      <c r="L854" s="2"/>
      <c r="M854" s="2"/>
      <c r="N854" s="2"/>
      <c r="O854" s="2">
        <v>74413465</v>
      </c>
      <c r="P854" s="2"/>
      <c r="Q854" s="2" t="s">
        <v>5870</v>
      </c>
      <c r="R854" s="2" t="s">
        <v>5871</v>
      </c>
      <c r="S854" s="2" t="s">
        <v>89</v>
      </c>
      <c r="T854" s="2" t="s">
        <v>90</v>
      </c>
      <c r="U854" s="2" t="s">
        <v>99</v>
      </c>
      <c r="V854" s="2" t="s">
        <v>59</v>
      </c>
      <c r="W854" s="2">
        <v>39.6</v>
      </c>
      <c r="X854" s="2">
        <v>10.3</v>
      </c>
      <c r="Y854" s="2" t="s">
        <v>560</v>
      </c>
      <c r="Z854" s="2" t="s">
        <v>5872</v>
      </c>
      <c r="AA854" s="2">
        <v>3.1400576054135598</v>
      </c>
      <c r="AB854" s="2">
        <v>0.83686361957178101</v>
      </c>
      <c r="AC854" s="2">
        <v>184757.425847498</v>
      </c>
      <c r="AD854" s="2">
        <v>234240.09099071499</v>
      </c>
      <c r="AE854" s="2">
        <v>202501.28938853901</v>
      </c>
      <c r="AF854" s="2">
        <v>175676.66468050799</v>
      </c>
      <c r="AG854" s="2">
        <v>196686.39455979201</v>
      </c>
      <c r="AH854" s="2">
        <v>180447.17922023399</v>
      </c>
      <c r="AI854" s="2">
        <v>173067.93057579701</v>
      </c>
      <c r="AJ854" s="2">
        <v>180165.09666012001</v>
      </c>
      <c r="AK854" s="2">
        <v>226120.140288953</v>
      </c>
      <c r="AL854" s="2">
        <v>227590.65347329</v>
      </c>
      <c r="AM854" s="2">
        <v>243082.71392384899</v>
      </c>
      <c r="AN854" s="2">
        <v>236867.51936467699</v>
      </c>
      <c r="AO854" s="2">
        <v>225758.49748951601</v>
      </c>
      <c r="AP854" s="2">
        <v>246021.02140400701</v>
      </c>
    </row>
    <row r="855" spans="1:42" ht="14.5" x14ac:dyDescent="0.35">
      <c r="A855" s="2" t="s">
        <v>5873</v>
      </c>
      <c r="B855" s="2">
        <v>222.076486254429</v>
      </c>
      <c r="C855" s="2">
        <v>3.8797333333333301</v>
      </c>
      <c r="D855" s="2" t="s">
        <v>70</v>
      </c>
      <c r="E855" s="2" t="s">
        <v>5874</v>
      </c>
      <c r="F855" s="2">
        <v>63278</v>
      </c>
      <c r="G855" s="3" t="str">
        <f>HYPERLINK("http://funmeta.oebiotech.com/network/63278", "http://funmeta.oebiotech.com/network/63278")</f>
        <v>http://funmeta.oebiotech.com/network/63278</v>
      </c>
      <c r="H855" s="2" t="s">
        <v>5875</v>
      </c>
      <c r="I855" s="2">
        <v>94586</v>
      </c>
      <c r="J855" s="2"/>
      <c r="K855" s="2"/>
      <c r="L855" s="2"/>
      <c r="M855" s="2"/>
      <c r="N855" s="2"/>
      <c r="O855" s="2">
        <v>131752775</v>
      </c>
      <c r="P855" s="2"/>
      <c r="Q855" s="2" t="s">
        <v>5876</v>
      </c>
      <c r="R855" s="2" t="s">
        <v>5877</v>
      </c>
      <c r="S855" s="2" t="s">
        <v>491</v>
      </c>
      <c r="T855" s="2" t="s">
        <v>2621</v>
      </c>
      <c r="U855" s="2" t="s">
        <v>41</v>
      </c>
      <c r="V855" s="2" t="s">
        <v>42</v>
      </c>
      <c r="W855" s="2">
        <v>54</v>
      </c>
      <c r="X855" s="2">
        <v>75.5</v>
      </c>
      <c r="Y855" s="2" t="s">
        <v>408</v>
      </c>
      <c r="Z855" s="2" t="s">
        <v>5878</v>
      </c>
      <c r="AA855" s="2">
        <v>-3.9260010780196199</v>
      </c>
      <c r="AB855" s="2">
        <v>0.83588314613493397</v>
      </c>
      <c r="AC855" s="2">
        <v>262126.83294289201</v>
      </c>
      <c r="AD855" s="2">
        <v>215481.50447111699</v>
      </c>
      <c r="AE855" s="2">
        <v>262574.41129222902</v>
      </c>
      <c r="AF855" s="2">
        <v>259744.43708309901</v>
      </c>
      <c r="AG855" s="2">
        <v>269497.914550588</v>
      </c>
      <c r="AH855" s="2">
        <v>256102.06037326</v>
      </c>
      <c r="AI855" s="2">
        <v>266180.92930499098</v>
      </c>
      <c r="AJ855" s="2">
        <v>258661.245053185</v>
      </c>
      <c r="AK855" s="2">
        <v>218381.12968721599</v>
      </c>
      <c r="AL855" s="2">
        <v>220271.56520857499</v>
      </c>
      <c r="AM855" s="2">
        <v>219659.03143660701</v>
      </c>
      <c r="AN855" s="2">
        <v>213889.92805022499</v>
      </c>
      <c r="AO855" s="2">
        <v>209929.164820682</v>
      </c>
      <c r="AP855" s="2">
        <v>210758.2076234</v>
      </c>
    </row>
    <row r="856" spans="1:42" ht="14.5" x14ac:dyDescent="0.35">
      <c r="A856" s="2" t="s">
        <v>5879</v>
      </c>
      <c r="B856" s="2">
        <v>531.280913476107</v>
      </c>
      <c r="C856" s="2">
        <v>9.4909666666666705</v>
      </c>
      <c r="D856" s="2" t="s">
        <v>70</v>
      </c>
      <c r="E856" s="2" t="s">
        <v>5880</v>
      </c>
      <c r="F856" s="2">
        <v>18020</v>
      </c>
      <c r="G856" s="3" t="str">
        <f>HYPERLINK("http://funmeta.oebiotech.com/network/18020", "http://funmeta.oebiotech.com/network/18020")</f>
        <v>http://funmeta.oebiotech.com/network/18020</v>
      </c>
      <c r="H856" s="2"/>
      <c r="I856" s="2"/>
      <c r="J856" s="2" t="s">
        <v>5881</v>
      </c>
      <c r="K856" s="2"/>
      <c r="L856" s="2"/>
      <c r="M856" s="2"/>
      <c r="N856" s="2"/>
      <c r="O856" s="2">
        <v>102119785</v>
      </c>
      <c r="P856" s="2"/>
      <c r="Q856" s="2" t="s">
        <v>5882</v>
      </c>
      <c r="R856" s="2" t="s">
        <v>5883</v>
      </c>
      <c r="S856" s="2" t="s">
        <v>50</v>
      </c>
      <c r="T856" s="2" t="s">
        <v>448</v>
      </c>
      <c r="U856" s="2" t="s">
        <v>449</v>
      </c>
      <c r="V856" s="2" t="s">
        <v>59</v>
      </c>
      <c r="W856" s="2">
        <v>47.3</v>
      </c>
      <c r="X856" s="2">
        <v>38.1</v>
      </c>
      <c r="Y856" s="2" t="s">
        <v>286</v>
      </c>
      <c r="Z856" s="2" t="s">
        <v>5884</v>
      </c>
      <c r="AA856" s="2">
        <v>-0.35435521021922101</v>
      </c>
      <c r="AB856" s="2">
        <v>0.83541097871918901</v>
      </c>
      <c r="AC856" s="2">
        <v>83564.956436237902</v>
      </c>
      <c r="AD856" s="2">
        <v>37347.480532533897</v>
      </c>
      <c r="AE856" s="2">
        <v>90146.769434888396</v>
      </c>
      <c r="AF856" s="2">
        <v>82063.199106128697</v>
      </c>
      <c r="AG856" s="2">
        <v>83977.192006645899</v>
      </c>
      <c r="AH856" s="2">
        <v>76320.061935046804</v>
      </c>
      <c r="AI856" s="2">
        <v>85338.010072832898</v>
      </c>
      <c r="AJ856" s="2">
        <v>83544.506061884997</v>
      </c>
      <c r="AK856" s="2">
        <v>35929.7139488264</v>
      </c>
      <c r="AL856" s="2">
        <v>37323.785922655799</v>
      </c>
      <c r="AM856" s="2">
        <v>38933.026458121203</v>
      </c>
      <c r="AN856" s="2">
        <v>36762.366502367498</v>
      </c>
      <c r="AO856" s="2">
        <v>39632.350558706901</v>
      </c>
      <c r="AP856" s="2">
        <v>35503.639804525403</v>
      </c>
    </row>
    <row r="857" spans="1:42" ht="14.5" x14ac:dyDescent="0.35">
      <c r="A857" s="2" t="s">
        <v>5885</v>
      </c>
      <c r="B857" s="2">
        <v>943.62466151180001</v>
      </c>
      <c r="C857" s="2">
        <v>10.490783333333299</v>
      </c>
      <c r="D857" s="2" t="s">
        <v>34</v>
      </c>
      <c r="E857" s="2" t="s">
        <v>5886</v>
      </c>
      <c r="F857" s="2">
        <v>24003</v>
      </c>
      <c r="G857" s="3" t="str">
        <f>HYPERLINK("http://funmeta.oebiotech.com/network/24003", "http://funmeta.oebiotech.com/network/24003")</f>
        <v>http://funmeta.oebiotech.com/network/24003</v>
      </c>
      <c r="H857" s="2"/>
      <c r="I857" s="2"/>
      <c r="J857" s="2" t="s">
        <v>5887</v>
      </c>
      <c r="K857" s="2"/>
      <c r="L857" s="2"/>
      <c r="M857" s="2"/>
      <c r="N857" s="2"/>
      <c r="O857" s="2">
        <v>52927741</v>
      </c>
      <c r="P857" s="2"/>
      <c r="Q857" s="2" t="s">
        <v>5888</v>
      </c>
      <c r="R857" s="2" t="s">
        <v>5889</v>
      </c>
      <c r="S857" s="2" t="s">
        <v>50</v>
      </c>
      <c r="T857" s="2" t="s">
        <v>51</v>
      </c>
      <c r="U857" s="2" t="s">
        <v>52</v>
      </c>
      <c r="V857" s="2" t="s">
        <v>59</v>
      </c>
      <c r="W857" s="2">
        <v>38.799999999999997</v>
      </c>
      <c r="X857" s="2">
        <v>0</v>
      </c>
      <c r="Y857" s="2" t="s">
        <v>323</v>
      </c>
      <c r="Z857" s="2" t="s">
        <v>5890</v>
      </c>
      <c r="AA857" s="2">
        <v>6.6437822728463103E-2</v>
      </c>
      <c r="AB857" s="2">
        <v>0.83517082928044595</v>
      </c>
      <c r="AC857" s="2">
        <v>4048.2331367143802</v>
      </c>
      <c r="AD857" s="2">
        <v>50288.578390590897</v>
      </c>
      <c r="AE857" s="2">
        <v>1229.6941543028699</v>
      </c>
      <c r="AF857" s="2">
        <v>4082.87961349958</v>
      </c>
      <c r="AG857" s="2">
        <v>2738.3582361363101</v>
      </c>
      <c r="AH857" s="2">
        <v>5755.8336436438804</v>
      </c>
      <c r="AI857" s="2">
        <v>3699.8988109880902</v>
      </c>
      <c r="AJ857" s="2">
        <v>6782.7343617155402</v>
      </c>
      <c r="AK857" s="2">
        <v>51220.988942155702</v>
      </c>
      <c r="AL857" s="2">
        <v>47624.113150003701</v>
      </c>
      <c r="AM857" s="2">
        <v>45023.028953774599</v>
      </c>
      <c r="AN857" s="2">
        <v>46416.995270331303</v>
      </c>
      <c r="AO857" s="2">
        <v>56037.758400151703</v>
      </c>
      <c r="AP857" s="2">
        <v>55408.585627128297</v>
      </c>
    </row>
    <row r="858" spans="1:42" ht="14.5" x14ac:dyDescent="0.35">
      <c r="A858" s="2" t="s">
        <v>5891</v>
      </c>
      <c r="B858" s="2">
        <v>429.17639353109598</v>
      </c>
      <c r="C858" s="2">
        <v>5.3939333333333304</v>
      </c>
      <c r="D858" s="2" t="s">
        <v>70</v>
      </c>
      <c r="E858" s="2" t="s">
        <v>5892</v>
      </c>
      <c r="F858" s="2">
        <v>197028</v>
      </c>
      <c r="G858" s="3" t="str">
        <f>HYPERLINK("http://funmeta.oebiotech.com/network/197028", "http://funmeta.oebiotech.com/network/197028")</f>
        <v>http://funmeta.oebiotech.com/network/197028</v>
      </c>
      <c r="H858" s="2" t="s">
        <v>5893</v>
      </c>
      <c r="I858" s="2">
        <v>604</v>
      </c>
      <c r="J858" s="2"/>
      <c r="K858" s="2">
        <v>63918</v>
      </c>
      <c r="L858" s="2"/>
      <c r="M858" s="2"/>
      <c r="N858" s="2"/>
      <c r="O858" s="2">
        <v>6917864</v>
      </c>
      <c r="P858" s="2" t="s">
        <v>5894</v>
      </c>
      <c r="Q858" s="2" t="s">
        <v>5895</v>
      </c>
      <c r="R858" s="2" t="s">
        <v>5896</v>
      </c>
      <c r="S858" s="2" t="s">
        <v>50</v>
      </c>
      <c r="T858" s="2" t="s">
        <v>201</v>
      </c>
      <c r="U858" s="2" t="s">
        <v>636</v>
      </c>
      <c r="V858" s="2" t="s">
        <v>59</v>
      </c>
      <c r="W858" s="2">
        <v>47.9</v>
      </c>
      <c r="X858" s="2">
        <v>42.6</v>
      </c>
      <c r="Y858" s="2" t="s">
        <v>408</v>
      </c>
      <c r="Z858" s="2" t="s">
        <v>5897</v>
      </c>
      <c r="AA858" s="2">
        <v>-0.59137456311529801</v>
      </c>
      <c r="AB858" s="2">
        <v>0.83301754148810703</v>
      </c>
      <c r="AC858" s="2">
        <v>66204.390036201803</v>
      </c>
      <c r="AD858" s="2">
        <v>20342.179393897299</v>
      </c>
      <c r="AE858" s="2">
        <v>67161.369324219704</v>
      </c>
      <c r="AF858" s="2">
        <v>61516.714919321203</v>
      </c>
      <c r="AG858" s="2">
        <v>69637.422263187895</v>
      </c>
      <c r="AH858" s="2">
        <v>61785.266050757702</v>
      </c>
      <c r="AI858" s="2">
        <v>65301.186344766</v>
      </c>
      <c r="AJ858" s="2">
        <v>71824.381314958096</v>
      </c>
      <c r="AK858" s="2">
        <v>19995.396833582301</v>
      </c>
      <c r="AL858" s="2">
        <v>21693.524424036001</v>
      </c>
      <c r="AM858" s="2">
        <v>20084.103820349399</v>
      </c>
      <c r="AN858" s="2">
        <v>21041.845042609599</v>
      </c>
      <c r="AO858" s="2">
        <v>21174.6363644548</v>
      </c>
      <c r="AP858" s="2">
        <v>18063.569878351998</v>
      </c>
    </row>
    <row r="859" spans="1:42" ht="14.5" x14ac:dyDescent="0.35">
      <c r="A859" s="2" t="s">
        <v>5898</v>
      </c>
      <c r="B859" s="2">
        <v>698.31547184625504</v>
      </c>
      <c r="C859" s="2">
        <v>6.1423166666666704</v>
      </c>
      <c r="D859" s="2" t="s">
        <v>70</v>
      </c>
      <c r="E859" s="2" t="s">
        <v>5899</v>
      </c>
      <c r="F859" s="2">
        <v>27945</v>
      </c>
      <c r="G859" s="3" t="str">
        <f>HYPERLINK("http://funmeta.oebiotech.com/network/27945", "http://funmeta.oebiotech.com/network/27945")</f>
        <v>http://funmeta.oebiotech.com/network/27945</v>
      </c>
      <c r="H859" s="2"/>
      <c r="I859" s="2"/>
      <c r="J859" s="2" t="s">
        <v>5900</v>
      </c>
      <c r="K859" s="2"/>
      <c r="L859" s="2"/>
      <c r="M859" s="2"/>
      <c r="N859" s="2"/>
      <c r="O859" s="2">
        <v>134812392</v>
      </c>
      <c r="P859" s="2"/>
      <c r="Q859" s="2" t="s">
        <v>5901</v>
      </c>
      <c r="R859" s="2" t="s">
        <v>5902</v>
      </c>
      <c r="S859" s="2" t="s">
        <v>50</v>
      </c>
      <c r="T859" s="2" t="s">
        <v>51</v>
      </c>
      <c r="U859" s="2" t="s">
        <v>66</v>
      </c>
      <c r="V859" s="2" t="s">
        <v>59</v>
      </c>
      <c r="W859" s="2">
        <v>39.5</v>
      </c>
      <c r="X859" s="2">
        <v>8.75</v>
      </c>
      <c r="Y859" s="2" t="s">
        <v>408</v>
      </c>
      <c r="Z859" s="2" t="s">
        <v>5903</v>
      </c>
      <c r="AA859" s="2">
        <v>-0.548554715101089</v>
      </c>
      <c r="AB859" s="2">
        <v>0.83298020509394799</v>
      </c>
      <c r="AC859" s="2">
        <v>45044.548357008003</v>
      </c>
      <c r="AD859" s="2">
        <v>90878.964351791699</v>
      </c>
      <c r="AE859" s="2">
        <v>44703.6057046598</v>
      </c>
      <c r="AF859" s="2">
        <v>46155.849956811398</v>
      </c>
      <c r="AG859" s="2">
        <v>44268.0760672303</v>
      </c>
      <c r="AH859" s="2">
        <v>47354.404133093303</v>
      </c>
      <c r="AI859" s="2">
        <v>49790.049086065097</v>
      </c>
      <c r="AJ859" s="2">
        <v>37995.305194188397</v>
      </c>
      <c r="AK859" s="2">
        <v>86663.191169392303</v>
      </c>
      <c r="AL859" s="2">
        <v>89786.030398059505</v>
      </c>
      <c r="AM859" s="2">
        <v>91010.854611773801</v>
      </c>
      <c r="AN859" s="2">
        <v>93076.643281813303</v>
      </c>
      <c r="AO859" s="2">
        <v>92454.135908863405</v>
      </c>
      <c r="AP859" s="2">
        <v>92282.930740847703</v>
      </c>
    </row>
    <row r="860" spans="1:42" ht="14.5" x14ac:dyDescent="0.35">
      <c r="A860" s="2" t="s">
        <v>5904</v>
      </c>
      <c r="B860" s="2">
        <v>589.24975089057898</v>
      </c>
      <c r="C860" s="2">
        <v>4.8801333333333297</v>
      </c>
      <c r="D860" s="2" t="s">
        <v>70</v>
      </c>
      <c r="E860" s="2" t="s">
        <v>5905</v>
      </c>
      <c r="F860" s="2">
        <v>59061</v>
      </c>
      <c r="G860" s="3" t="str">
        <f>HYPERLINK("http://funmeta.oebiotech.com/network/59061", "http://funmeta.oebiotech.com/network/59061")</f>
        <v>http://funmeta.oebiotech.com/network/59061</v>
      </c>
      <c r="H860" s="2" t="s">
        <v>5906</v>
      </c>
      <c r="I860" s="2">
        <v>90493</v>
      </c>
      <c r="J860" s="2"/>
      <c r="K860" s="2"/>
      <c r="L860" s="2"/>
      <c r="M860" s="2"/>
      <c r="N860" s="2"/>
      <c r="O860" s="2">
        <v>12880074</v>
      </c>
      <c r="P860" s="2" t="s">
        <v>5907</v>
      </c>
      <c r="Q860" s="2" t="s">
        <v>5908</v>
      </c>
      <c r="R860" s="2" t="s">
        <v>5909</v>
      </c>
      <c r="S860" s="2" t="s">
        <v>50</v>
      </c>
      <c r="T860" s="2" t="s">
        <v>201</v>
      </c>
      <c r="U860" s="2" t="s">
        <v>202</v>
      </c>
      <c r="V860" s="2" t="s">
        <v>42</v>
      </c>
      <c r="W860" s="2">
        <v>47.4</v>
      </c>
      <c r="X860" s="2">
        <v>46.2</v>
      </c>
      <c r="Y860" s="2" t="s">
        <v>408</v>
      </c>
      <c r="Z860" s="2" t="s">
        <v>5910</v>
      </c>
      <c r="AA860" s="2">
        <v>-0.78768099942099201</v>
      </c>
      <c r="AB860" s="2">
        <v>0.83281364248933798</v>
      </c>
      <c r="AC860" s="2">
        <v>239317.667850809</v>
      </c>
      <c r="AD860" s="2">
        <v>287861.16402242199</v>
      </c>
      <c r="AE860" s="2">
        <v>243904.763734256</v>
      </c>
      <c r="AF860" s="2">
        <v>247852.24390297901</v>
      </c>
      <c r="AG860" s="2">
        <v>240698.22678685101</v>
      </c>
      <c r="AH860" s="2">
        <v>240570.84412423501</v>
      </c>
      <c r="AI860" s="2">
        <v>226344.88807769501</v>
      </c>
      <c r="AJ860" s="2">
        <v>236535.04047883701</v>
      </c>
      <c r="AK860" s="2">
        <v>281937.38976501999</v>
      </c>
      <c r="AL860" s="2">
        <v>275247.65588897699</v>
      </c>
      <c r="AM860" s="2">
        <v>302244.30503253901</v>
      </c>
      <c r="AN860" s="2">
        <v>302884.98690079199</v>
      </c>
      <c r="AO860" s="2">
        <v>281378.91431184299</v>
      </c>
      <c r="AP860" s="2">
        <v>283473.73223535903</v>
      </c>
    </row>
    <row r="861" spans="1:42" ht="14.5" x14ac:dyDescent="0.35">
      <c r="A861" s="2" t="s">
        <v>5911</v>
      </c>
      <c r="B861" s="2">
        <v>361.06937054321298</v>
      </c>
      <c r="C861" s="2">
        <v>1.82663333333333</v>
      </c>
      <c r="D861" s="2" t="s">
        <v>70</v>
      </c>
      <c r="E861" s="2" t="s">
        <v>5912</v>
      </c>
      <c r="F861" s="2">
        <v>273762</v>
      </c>
      <c r="G861" s="3" t="str">
        <f>HYPERLINK("http://funmeta.oebiotech.com/network/273762", "http://funmeta.oebiotech.com/network/273762")</f>
        <v>http://funmeta.oebiotech.com/network/273762</v>
      </c>
      <c r="H861" s="2"/>
      <c r="I861" s="2">
        <v>63075</v>
      </c>
      <c r="J861" s="2"/>
      <c r="K861" s="2"/>
      <c r="L861" s="2"/>
      <c r="M861" s="2"/>
      <c r="N861" s="2"/>
      <c r="O861" s="2">
        <v>3006531</v>
      </c>
      <c r="P861" s="2" t="s">
        <v>5913</v>
      </c>
      <c r="Q861" s="2" t="s">
        <v>5914</v>
      </c>
      <c r="R861" s="2" t="s">
        <v>5915</v>
      </c>
      <c r="S861" s="2" t="s">
        <v>5916</v>
      </c>
      <c r="T861" s="2" t="s">
        <v>5917</v>
      </c>
      <c r="U861" s="2" t="s">
        <v>5918</v>
      </c>
      <c r="V861" s="2" t="s">
        <v>59</v>
      </c>
      <c r="W861" s="2">
        <v>37.5</v>
      </c>
      <c r="X861" s="2">
        <v>0</v>
      </c>
      <c r="Y861" s="2" t="s">
        <v>751</v>
      </c>
      <c r="Z861" s="2" t="s">
        <v>5919</v>
      </c>
      <c r="AA861" s="2">
        <v>-1.5124892919381401</v>
      </c>
      <c r="AB861" s="2">
        <v>0.83211571592655398</v>
      </c>
      <c r="AC861" s="2">
        <v>119780.39594859599</v>
      </c>
      <c r="AD861" s="2">
        <v>166385.31314175899</v>
      </c>
      <c r="AE861" s="2">
        <v>122327.30769494599</v>
      </c>
      <c r="AF861" s="2">
        <v>120645.878642778</v>
      </c>
      <c r="AG861" s="2">
        <v>122827.688471024</v>
      </c>
      <c r="AH861" s="2">
        <v>111436.098648652</v>
      </c>
      <c r="AI861" s="2">
        <v>112777.92693704</v>
      </c>
      <c r="AJ861" s="2">
        <v>128667.47529713799</v>
      </c>
      <c r="AK861" s="2">
        <v>166504.39576086</v>
      </c>
      <c r="AL861" s="2">
        <v>165791.51985498299</v>
      </c>
      <c r="AM861" s="2">
        <v>173954.432481172</v>
      </c>
      <c r="AN861" s="2">
        <v>166861.32465647301</v>
      </c>
      <c r="AO861" s="2">
        <v>160175.0278825</v>
      </c>
      <c r="AP861" s="2">
        <v>165025.17821456899</v>
      </c>
    </row>
    <row r="862" spans="1:42" ht="14.5" x14ac:dyDescent="0.35">
      <c r="A862" s="2" t="s">
        <v>5920</v>
      </c>
      <c r="B862" s="2">
        <v>589.19044758822895</v>
      </c>
      <c r="C862" s="2">
        <v>4.9166499999999997</v>
      </c>
      <c r="D862" s="2" t="s">
        <v>70</v>
      </c>
      <c r="E862" s="2" t="s">
        <v>5921</v>
      </c>
      <c r="F862" s="2">
        <v>34316</v>
      </c>
      <c r="G862" s="3" t="str">
        <f>HYPERLINK("http://funmeta.oebiotech.com/network/34316", "http://funmeta.oebiotech.com/network/34316")</f>
        <v>http://funmeta.oebiotech.com/network/34316</v>
      </c>
      <c r="H862" s="2"/>
      <c r="I862" s="2"/>
      <c r="J862" s="2" t="s">
        <v>5922</v>
      </c>
      <c r="K862" s="2"/>
      <c r="L862" s="2"/>
      <c r="M862" s="2"/>
      <c r="N862" s="2"/>
      <c r="O862" s="2">
        <v>190959</v>
      </c>
      <c r="P862" s="2"/>
      <c r="Q862" s="2" t="s">
        <v>5923</v>
      </c>
      <c r="R862" s="2" t="s">
        <v>5924</v>
      </c>
      <c r="S862" s="2" t="s">
        <v>115</v>
      </c>
      <c r="T862" s="2" t="s">
        <v>139</v>
      </c>
      <c r="U862" s="2" t="s">
        <v>140</v>
      </c>
      <c r="V862" s="2" t="s">
        <v>59</v>
      </c>
      <c r="W862" s="2">
        <v>43.7</v>
      </c>
      <c r="X862" s="2">
        <v>28.9</v>
      </c>
      <c r="Y862" s="2" t="s">
        <v>286</v>
      </c>
      <c r="Z862" s="2" t="s">
        <v>5925</v>
      </c>
      <c r="AA862" s="2">
        <v>-3.7565649815433302</v>
      </c>
      <c r="AB862" s="2">
        <v>0.83202318992951296</v>
      </c>
      <c r="AC862" s="2">
        <v>325387.64281840302</v>
      </c>
      <c r="AD862" s="2">
        <v>268536.46022586699</v>
      </c>
      <c r="AE862" s="2">
        <v>322206.569481135</v>
      </c>
      <c r="AF862" s="2">
        <v>374643.15930414799</v>
      </c>
      <c r="AG862" s="2">
        <v>301120.82782103098</v>
      </c>
      <c r="AH862" s="2">
        <v>308763.30960307003</v>
      </c>
      <c r="AI862" s="2">
        <v>333153.99464237399</v>
      </c>
      <c r="AJ862" s="2">
        <v>312437.996058658</v>
      </c>
      <c r="AK862" s="2">
        <v>267427.60561512498</v>
      </c>
      <c r="AL862" s="2">
        <v>274854.17478056799</v>
      </c>
      <c r="AM862" s="2">
        <v>262010.472853974</v>
      </c>
      <c r="AN862" s="2">
        <v>302055.06806257198</v>
      </c>
      <c r="AO862" s="2">
        <v>242806.80298985599</v>
      </c>
      <c r="AP862" s="2">
        <v>262064.63705310799</v>
      </c>
    </row>
    <row r="863" spans="1:42" ht="14.5" x14ac:dyDescent="0.35">
      <c r="A863" s="2" t="s">
        <v>5926</v>
      </c>
      <c r="B863" s="2">
        <v>655.23855700062904</v>
      </c>
      <c r="C863" s="2">
        <v>5.1704666666666697</v>
      </c>
      <c r="D863" s="2" t="s">
        <v>70</v>
      </c>
      <c r="E863" s="2" t="s">
        <v>5927</v>
      </c>
      <c r="F863" s="2">
        <v>81968</v>
      </c>
      <c r="G863" s="3" t="str">
        <f>HYPERLINK("http://funmeta.oebiotech.com/network/81968", "http://funmeta.oebiotech.com/network/81968")</f>
        <v>http://funmeta.oebiotech.com/network/81968</v>
      </c>
      <c r="H863" s="2" t="s">
        <v>5928</v>
      </c>
      <c r="I863" s="2"/>
      <c r="J863" s="2"/>
      <c r="K863" s="2"/>
      <c r="L863" s="2"/>
      <c r="M863" s="2"/>
      <c r="N863" s="2"/>
      <c r="O863" s="2"/>
      <c r="P863" s="2"/>
      <c r="Q863" s="2" t="s">
        <v>5929</v>
      </c>
      <c r="R863" s="2" t="s">
        <v>5930</v>
      </c>
      <c r="S863" s="2" t="s">
        <v>491</v>
      </c>
      <c r="T863" s="2" t="s">
        <v>492</v>
      </c>
      <c r="U863" s="2" t="s">
        <v>5931</v>
      </c>
      <c r="V863" s="2" t="s">
        <v>59</v>
      </c>
      <c r="W863" s="2">
        <v>40.1</v>
      </c>
      <c r="X863" s="2">
        <v>14.9</v>
      </c>
      <c r="Y863" s="2" t="s">
        <v>408</v>
      </c>
      <c r="Z863" s="2" t="s">
        <v>5932</v>
      </c>
      <c r="AA863" s="2">
        <v>-3.9251853016372098</v>
      </c>
      <c r="AB863" s="2">
        <v>0.83006179359861598</v>
      </c>
      <c r="AC863" s="2">
        <v>176372.12383976899</v>
      </c>
      <c r="AD863" s="2">
        <v>224375.99138214201</v>
      </c>
      <c r="AE863" s="2">
        <v>185300.14223835099</v>
      </c>
      <c r="AF863" s="2">
        <v>172947.133751655</v>
      </c>
      <c r="AG863" s="2">
        <v>181483.77506865401</v>
      </c>
      <c r="AH863" s="2">
        <v>164637.676353168</v>
      </c>
      <c r="AI863" s="2">
        <v>181108.51833834301</v>
      </c>
      <c r="AJ863" s="2">
        <v>172755.49728844399</v>
      </c>
      <c r="AK863" s="2">
        <v>217542.93689248501</v>
      </c>
      <c r="AL863" s="2">
        <v>240601.59197638399</v>
      </c>
      <c r="AM863" s="2">
        <v>215799.16252896501</v>
      </c>
      <c r="AN863" s="2">
        <v>230861.295746135</v>
      </c>
      <c r="AO863" s="2">
        <v>212906.71780083899</v>
      </c>
      <c r="AP863" s="2">
        <v>228544.243348046</v>
      </c>
    </row>
    <row r="864" spans="1:42" ht="14.5" x14ac:dyDescent="0.35">
      <c r="A864" s="2" t="s">
        <v>5933</v>
      </c>
      <c r="B864" s="2">
        <v>941.60843293921698</v>
      </c>
      <c r="C864" s="2">
        <v>10.2647666666667</v>
      </c>
      <c r="D864" s="2" t="s">
        <v>34</v>
      </c>
      <c r="E864" s="2" t="s">
        <v>5934</v>
      </c>
      <c r="F864" s="2">
        <v>36652</v>
      </c>
      <c r="G864" s="3" t="str">
        <f>HYPERLINK("http://funmeta.oebiotech.com/network/36652", "http://funmeta.oebiotech.com/network/36652")</f>
        <v>http://funmeta.oebiotech.com/network/36652</v>
      </c>
      <c r="H864" s="2"/>
      <c r="I864" s="2"/>
      <c r="J864" s="2" t="s">
        <v>5935</v>
      </c>
      <c r="K864" s="2"/>
      <c r="L864" s="2"/>
      <c r="M864" s="2"/>
      <c r="N864" s="2"/>
      <c r="O864" s="2"/>
      <c r="P864" s="2"/>
      <c r="Q864" s="2" t="s">
        <v>5936</v>
      </c>
      <c r="R864" s="2" t="s">
        <v>5937</v>
      </c>
      <c r="S864" s="2" t="s">
        <v>41</v>
      </c>
      <c r="T864" s="2" t="s">
        <v>41</v>
      </c>
      <c r="U864" s="2" t="s">
        <v>41</v>
      </c>
      <c r="V864" s="2" t="s">
        <v>59</v>
      </c>
      <c r="W864" s="2">
        <v>44.7</v>
      </c>
      <c r="X864" s="2">
        <v>37.200000000000003</v>
      </c>
      <c r="Y864" s="2" t="s">
        <v>340</v>
      </c>
      <c r="Z864" s="2" t="s">
        <v>5938</v>
      </c>
      <c r="AA864" s="2">
        <v>3.1400959122724701</v>
      </c>
      <c r="AB864" s="2">
        <v>0.82957918971697797</v>
      </c>
      <c r="AC864" s="2">
        <v>99928.023332671495</v>
      </c>
      <c r="AD864" s="2">
        <v>146834.693002024</v>
      </c>
      <c r="AE864" s="2">
        <v>102538.69472830401</v>
      </c>
      <c r="AF864" s="2">
        <v>98666.440752238705</v>
      </c>
      <c r="AG864" s="2">
        <v>99846.923725518602</v>
      </c>
      <c r="AH864" s="2">
        <v>95711.403521331798</v>
      </c>
      <c r="AI864" s="2">
        <v>98640.603071955993</v>
      </c>
      <c r="AJ864" s="2">
        <v>104164.07419668</v>
      </c>
      <c r="AK864" s="2">
        <v>145235.970627823</v>
      </c>
      <c r="AL864" s="2">
        <v>132649.97836003799</v>
      </c>
      <c r="AM864" s="2">
        <v>139970.111783164</v>
      </c>
      <c r="AN864" s="2">
        <v>149900.84822187701</v>
      </c>
      <c r="AO864" s="2">
        <v>152468.643420562</v>
      </c>
      <c r="AP864" s="2">
        <v>160782.60559867899</v>
      </c>
    </row>
    <row r="865" spans="1:42" ht="14.5" x14ac:dyDescent="0.35">
      <c r="A865" s="2" t="s">
        <v>5939</v>
      </c>
      <c r="B865" s="2">
        <v>746.33878029003097</v>
      </c>
      <c r="C865" s="2">
        <v>5.7854333333333301</v>
      </c>
      <c r="D865" s="2" t="s">
        <v>70</v>
      </c>
      <c r="E865" s="2" t="s">
        <v>5940</v>
      </c>
      <c r="F865" s="2">
        <v>28280</v>
      </c>
      <c r="G865" s="3" t="str">
        <f>HYPERLINK("http://funmeta.oebiotech.com/network/28280", "http://funmeta.oebiotech.com/network/28280")</f>
        <v>http://funmeta.oebiotech.com/network/28280</v>
      </c>
      <c r="H865" s="2"/>
      <c r="I865" s="2"/>
      <c r="J865" s="2" t="s">
        <v>5941</v>
      </c>
      <c r="K865" s="2"/>
      <c r="L865" s="2"/>
      <c r="M865" s="2"/>
      <c r="N865" s="2"/>
      <c r="O865" s="2"/>
      <c r="P865" s="2"/>
      <c r="Q865" s="2" t="s">
        <v>5942</v>
      </c>
      <c r="R865" s="2" t="s">
        <v>5943</v>
      </c>
      <c r="S865" s="2" t="s">
        <v>41</v>
      </c>
      <c r="T865" s="2" t="s">
        <v>41</v>
      </c>
      <c r="U865" s="2" t="s">
        <v>41</v>
      </c>
      <c r="V865" s="2" t="s">
        <v>42</v>
      </c>
      <c r="W865" s="2">
        <v>50.6</v>
      </c>
      <c r="X865" s="2">
        <v>64.7</v>
      </c>
      <c r="Y865" s="2" t="s">
        <v>792</v>
      </c>
      <c r="Z865" s="2" t="s">
        <v>5944</v>
      </c>
      <c r="AA865" s="2">
        <v>-0.71685748840710795</v>
      </c>
      <c r="AB865" s="2">
        <v>0.82924804452170697</v>
      </c>
      <c r="AC865" s="2">
        <v>355851.34270044498</v>
      </c>
      <c r="AD865" s="2">
        <v>404704.495592069</v>
      </c>
      <c r="AE865" s="2">
        <v>370285.904014147</v>
      </c>
      <c r="AF865" s="2">
        <v>345083.99035326199</v>
      </c>
      <c r="AG865" s="2">
        <v>348310.25555842998</v>
      </c>
      <c r="AH865" s="2">
        <v>360390.60810032598</v>
      </c>
      <c r="AI865" s="2">
        <v>346076.27038725099</v>
      </c>
      <c r="AJ865" s="2">
        <v>364961.02778925101</v>
      </c>
      <c r="AK865" s="2">
        <v>405797.55581016903</v>
      </c>
      <c r="AL865" s="2">
        <v>397680.023302102</v>
      </c>
      <c r="AM865" s="2">
        <v>421207.36780409701</v>
      </c>
      <c r="AN865" s="2">
        <v>393288.12562990899</v>
      </c>
      <c r="AO865" s="2">
        <v>414706.85608943098</v>
      </c>
      <c r="AP865" s="2">
        <v>395547.04491670599</v>
      </c>
    </row>
    <row r="866" spans="1:42" ht="14.5" x14ac:dyDescent="0.35">
      <c r="A866" s="2" t="s">
        <v>5945</v>
      </c>
      <c r="B866" s="2">
        <v>295.04567860191997</v>
      </c>
      <c r="C866" s="2">
        <v>4.3823499999999997</v>
      </c>
      <c r="D866" s="2" t="s">
        <v>70</v>
      </c>
      <c r="E866" s="2" t="s">
        <v>5946</v>
      </c>
      <c r="F866" s="2">
        <v>50881</v>
      </c>
      <c r="G866" s="3" t="str">
        <f>HYPERLINK("http://funmeta.oebiotech.com/network/50881", "http://funmeta.oebiotech.com/network/50881")</f>
        <v>http://funmeta.oebiotech.com/network/50881</v>
      </c>
      <c r="H866" s="2" t="s">
        <v>5947</v>
      </c>
      <c r="I866" s="2">
        <v>619</v>
      </c>
      <c r="J866" s="2"/>
      <c r="K866" s="2">
        <v>73961</v>
      </c>
      <c r="L866" s="2"/>
      <c r="M866" s="2"/>
      <c r="N866" s="2"/>
      <c r="O866" s="2">
        <v>3084023</v>
      </c>
      <c r="P866" s="2" t="s">
        <v>5948</v>
      </c>
      <c r="Q866" s="2" t="s">
        <v>5949</v>
      </c>
      <c r="R866" s="2" t="s">
        <v>5950</v>
      </c>
      <c r="S866" s="2" t="s">
        <v>79</v>
      </c>
      <c r="T866" s="2" t="s">
        <v>80</v>
      </c>
      <c r="U866" s="2" t="s">
        <v>81</v>
      </c>
      <c r="V866" s="2" t="s">
        <v>42</v>
      </c>
      <c r="W866" s="2">
        <v>48.5</v>
      </c>
      <c r="X866" s="2">
        <v>47.2</v>
      </c>
      <c r="Y866" s="2" t="s">
        <v>751</v>
      </c>
      <c r="Z866" s="2" t="s">
        <v>5951</v>
      </c>
      <c r="AA866" s="2">
        <v>-0.835190542349593</v>
      </c>
      <c r="AB866" s="2">
        <v>0.82637451250758698</v>
      </c>
      <c r="AC866" s="2">
        <v>84881.049646965999</v>
      </c>
      <c r="AD866" s="2">
        <v>39584.563883886403</v>
      </c>
      <c r="AE866" s="2">
        <v>82223.425458408994</v>
      </c>
      <c r="AF866" s="2">
        <v>78756.382474166807</v>
      </c>
      <c r="AG866" s="2">
        <v>87421.391430631702</v>
      </c>
      <c r="AH866" s="2">
        <v>84277.533498280405</v>
      </c>
      <c r="AI866" s="2">
        <v>83871.733390864305</v>
      </c>
      <c r="AJ866" s="2">
        <v>92735.831629443695</v>
      </c>
      <c r="AK866" s="2">
        <v>39817.292835212298</v>
      </c>
      <c r="AL866" s="2">
        <v>43629.509602459897</v>
      </c>
      <c r="AM866" s="2">
        <v>40059.533324247903</v>
      </c>
      <c r="AN866" s="2">
        <v>37194.535116307699</v>
      </c>
      <c r="AO866" s="2">
        <v>39182.525979972801</v>
      </c>
      <c r="AP866" s="2">
        <v>37623.9864451178</v>
      </c>
    </row>
    <row r="867" spans="1:42" ht="14.5" x14ac:dyDescent="0.35">
      <c r="A867" s="2" t="s">
        <v>5952</v>
      </c>
      <c r="B867" s="2">
        <v>446.145361154905</v>
      </c>
      <c r="C867" s="2">
        <v>4.8801333333333297</v>
      </c>
      <c r="D867" s="2" t="s">
        <v>70</v>
      </c>
      <c r="E867" s="2" t="s">
        <v>5953</v>
      </c>
      <c r="F867" s="2">
        <v>55850</v>
      </c>
      <c r="G867" s="3" t="str">
        <f>HYPERLINK("http://funmeta.oebiotech.com/network/55850", "http://funmeta.oebiotech.com/network/55850")</f>
        <v>http://funmeta.oebiotech.com/network/55850</v>
      </c>
      <c r="H867" s="2" t="s">
        <v>5954</v>
      </c>
      <c r="I867" s="2">
        <v>87528</v>
      </c>
      <c r="J867" s="2"/>
      <c r="K867" s="2">
        <v>169902</v>
      </c>
      <c r="L867" s="2"/>
      <c r="M867" s="2"/>
      <c r="N867" s="2"/>
      <c r="O867" s="2">
        <v>102003358</v>
      </c>
      <c r="P867" s="2" t="s">
        <v>5955</v>
      </c>
      <c r="Q867" s="2" t="s">
        <v>5956</v>
      </c>
      <c r="R867" s="2" t="s">
        <v>5957</v>
      </c>
      <c r="S867" s="2" t="s">
        <v>491</v>
      </c>
      <c r="T867" s="2" t="s">
        <v>1516</v>
      </c>
      <c r="U867" s="2" t="s">
        <v>5958</v>
      </c>
      <c r="V867" s="2" t="s">
        <v>59</v>
      </c>
      <c r="W867" s="2">
        <v>44.5</v>
      </c>
      <c r="X867" s="2">
        <v>28.3</v>
      </c>
      <c r="Y867" s="2" t="s">
        <v>408</v>
      </c>
      <c r="Z867" s="2" t="s">
        <v>5959</v>
      </c>
      <c r="AA867" s="2">
        <v>-0.73238512150194301</v>
      </c>
      <c r="AB867" s="2">
        <v>0.82595740305321796</v>
      </c>
      <c r="AC867" s="2">
        <v>180596.275673116</v>
      </c>
      <c r="AD867" s="2">
        <v>227069.05162237</v>
      </c>
      <c r="AE867" s="2">
        <v>185259.74770844801</v>
      </c>
      <c r="AF867" s="2">
        <v>174648.09395774201</v>
      </c>
      <c r="AG867" s="2">
        <v>182483.87430085099</v>
      </c>
      <c r="AH867" s="2">
        <v>176581.94990855799</v>
      </c>
      <c r="AI867" s="2">
        <v>183863.611559643</v>
      </c>
      <c r="AJ867" s="2">
        <v>180740.37660345601</v>
      </c>
      <c r="AK867" s="2">
        <v>226682.11356750899</v>
      </c>
      <c r="AL867" s="2">
        <v>220346.90670117701</v>
      </c>
      <c r="AM867" s="2">
        <v>217896.206499678</v>
      </c>
      <c r="AN867" s="2">
        <v>228273.32724445901</v>
      </c>
      <c r="AO867" s="2">
        <v>225060.414335493</v>
      </c>
      <c r="AP867" s="2">
        <v>244155.34138590601</v>
      </c>
    </row>
    <row r="868" spans="1:42" ht="14.5" x14ac:dyDescent="0.35">
      <c r="A868" s="2" t="s">
        <v>5960</v>
      </c>
      <c r="B868" s="2">
        <v>541.207556759569</v>
      </c>
      <c r="C868" s="2">
        <v>6.9333</v>
      </c>
      <c r="D868" s="2" t="s">
        <v>70</v>
      </c>
      <c r="E868" s="2" t="s">
        <v>5961</v>
      </c>
      <c r="F868" s="2">
        <v>64405</v>
      </c>
      <c r="G868" s="3" t="str">
        <f>HYPERLINK("http://funmeta.oebiotech.com/network/64405", "http://funmeta.oebiotech.com/network/64405")</f>
        <v>http://funmeta.oebiotech.com/network/64405</v>
      </c>
      <c r="H868" s="2" t="s">
        <v>5962</v>
      </c>
      <c r="I868" s="2">
        <v>95721</v>
      </c>
      <c r="J868" s="2"/>
      <c r="K868" s="2"/>
      <c r="L868" s="2"/>
      <c r="M868" s="2"/>
      <c r="N868" s="2"/>
      <c r="O868" s="2">
        <v>131753103</v>
      </c>
      <c r="P868" s="2" t="s">
        <v>5963</v>
      </c>
      <c r="Q868" s="2" t="s">
        <v>5964</v>
      </c>
      <c r="R868" s="2" t="s">
        <v>5965</v>
      </c>
      <c r="S868" s="2" t="s">
        <v>79</v>
      </c>
      <c r="T868" s="2" t="s">
        <v>80</v>
      </c>
      <c r="U868" s="2" t="s">
        <v>2820</v>
      </c>
      <c r="V868" s="2" t="s">
        <v>59</v>
      </c>
      <c r="W868" s="2">
        <v>39.799999999999997</v>
      </c>
      <c r="X868" s="2">
        <v>7.66</v>
      </c>
      <c r="Y868" s="2" t="s">
        <v>286</v>
      </c>
      <c r="Z868" s="2" t="s">
        <v>5966</v>
      </c>
      <c r="AA868" s="2">
        <v>-0.67149429465402599</v>
      </c>
      <c r="AB868" s="2">
        <v>0.82535601208225495</v>
      </c>
      <c r="AC868" s="2">
        <v>66505.663342049302</v>
      </c>
      <c r="AD868" s="2">
        <v>21440.8086439748</v>
      </c>
      <c r="AE868" s="2">
        <v>62287.474097727201</v>
      </c>
      <c r="AF868" s="2">
        <v>62343.861817207398</v>
      </c>
      <c r="AG868" s="2">
        <v>70094.1856113799</v>
      </c>
      <c r="AH868" s="2">
        <v>66151.158564254903</v>
      </c>
      <c r="AI868" s="2">
        <v>66640.476202391204</v>
      </c>
      <c r="AJ868" s="2">
        <v>71516.823759335399</v>
      </c>
      <c r="AK868" s="2">
        <v>24777.916062101602</v>
      </c>
      <c r="AL868" s="2">
        <v>24243.675347467299</v>
      </c>
      <c r="AM868" s="2">
        <v>19735.724567176701</v>
      </c>
      <c r="AN868" s="2">
        <v>21052.653755876199</v>
      </c>
      <c r="AO868" s="2">
        <v>19459.187226677801</v>
      </c>
      <c r="AP868" s="2">
        <v>19375.6949045492</v>
      </c>
    </row>
    <row r="869" spans="1:42" ht="14.5" x14ac:dyDescent="0.35">
      <c r="A869" s="2" t="s">
        <v>5967</v>
      </c>
      <c r="B869" s="2">
        <v>280.154299751292</v>
      </c>
      <c r="C869" s="2">
        <v>9.0083833333333292</v>
      </c>
      <c r="D869" s="2" t="s">
        <v>34</v>
      </c>
      <c r="E869" s="2" t="s">
        <v>5968</v>
      </c>
      <c r="F869" s="2">
        <v>35757</v>
      </c>
      <c r="G869" s="3" t="str">
        <f>HYPERLINK("http://funmeta.oebiotech.com/network/35757", "http://funmeta.oebiotech.com/network/35757")</f>
        <v>http://funmeta.oebiotech.com/network/35757</v>
      </c>
      <c r="H869" s="2"/>
      <c r="I869" s="2">
        <v>53513</v>
      </c>
      <c r="J869" s="2" t="s">
        <v>5969</v>
      </c>
      <c r="K869" s="2">
        <v>6692</v>
      </c>
      <c r="L869" s="2" t="s">
        <v>5970</v>
      </c>
      <c r="M869" s="2"/>
      <c r="N869" s="2"/>
      <c r="O869" s="2">
        <v>330358</v>
      </c>
      <c r="P869" s="2"/>
      <c r="Q869" s="2" t="s">
        <v>5971</v>
      </c>
      <c r="R869" s="2" t="s">
        <v>5972</v>
      </c>
      <c r="S869" s="2" t="s">
        <v>491</v>
      </c>
      <c r="T869" s="2" t="s">
        <v>5973</v>
      </c>
      <c r="U869" s="2" t="s">
        <v>5974</v>
      </c>
      <c r="V869" s="2" t="s">
        <v>59</v>
      </c>
      <c r="W869" s="2">
        <v>45.4</v>
      </c>
      <c r="X869" s="2">
        <v>29.9</v>
      </c>
      <c r="Y869" s="2" t="s">
        <v>43</v>
      </c>
      <c r="Z869" s="2" t="s">
        <v>5975</v>
      </c>
      <c r="AA869" s="2">
        <v>-0.13289386742307599</v>
      </c>
      <c r="AB869" s="2">
        <v>0.82474978330511906</v>
      </c>
      <c r="AC869" s="2">
        <v>89850.821357087698</v>
      </c>
      <c r="AD869" s="2">
        <v>136098.96038643399</v>
      </c>
      <c r="AE869" s="2">
        <v>89914.599689716793</v>
      </c>
      <c r="AF869" s="2">
        <v>91752.896416225907</v>
      </c>
      <c r="AG869" s="2">
        <v>88662.883045367198</v>
      </c>
      <c r="AH869" s="2">
        <v>80297.828791236097</v>
      </c>
      <c r="AI869" s="2">
        <v>89031.402607160897</v>
      </c>
      <c r="AJ869" s="2">
        <v>99445.317592819105</v>
      </c>
      <c r="AK869" s="2">
        <v>139263.95618401299</v>
      </c>
      <c r="AL869" s="2">
        <v>141686.014576724</v>
      </c>
      <c r="AM869" s="2">
        <v>128904.143038885</v>
      </c>
      <c r="AN869" s="2">
        <v>138646.613509724</v>
      </c>
      <c r="AO869" s="2">
        <v>125283.967136532</v>
      </c>
      <c r="AP869" s="2">
        <v>142809.067872724</v>
      </c>
    </row>
    <row r="870" spans="1:42" ht="14.5" x14ac:dyDescent="0.35">
      <c r="A870" s="2" t="s">
        <v>5976</v>
      </c>
      <c r="B870" s="2">
        <v>411.28912721609203</v>
      </c>
      <c r="C870" s="2">
        <v>5.4400500000000003</v>
      </c>
      <c r="D870" s="2" t="s">
        <v>34</v>
      </c>
      <c r="E870" s="2" t="s">
        <v>5977</v>
      </c>
      <c r="F870" s="2">
        <v>82110</v>
      </c>
      <c r="G870" s="3" t="str">
        <f>HYPERLINK("http://funmeta.oebiotech.com/network/82110", "http://funmeta.oebiotech.com/network/82110")</f>
        <v>http://funmeta.oebiotech.com/network/82110</v>
      </c>
      <c r="H870" s="2" t="s">
        <v>5978</v>
      </c>
      <c r="I870" s="2"/>
      <c r="J870" s="2"/>
      <c r="K870" s="2"/>
      <c r="L870" s="2"/>
      <c r="M870" s="2"/>
      <c r="N870" s="2"/>
      <c r="O870" s="2">
        <v>131769836</v>
      </c>
      <c r="P870" s="2"/>
      <c r="Q870" s="2" t="s">
        <v>5979</v>
      </c>
      <c r="R870" s="2" t="s">
        <v>5980</v>
      </c>
      <c r="S870" s="2" t="s">
        <v>50</v>
      </c>
      <c r="T870" s="2" t="s">
        <v>124</v>
      </c>
      <c r="U870" s="2" t="s">
        <v>982</v>
      </c>
      <c r="V870" s="2" t="s">
        <v>42</v>
      </c>
      <c r="W870" s="2">
        <v>53</v>
      </c>
      <c r="X870" s="2">
        <v>71.2</v>
      </c>
      <c r="Y870" s="2" t="s">
        <v>141</v>
      </c>
      <c r="Z870" s="2" t="s">
        <v>3788</v>
      </c>
      <c r="AA870" s="2">
        <v>-0.57039256294228202</v>
      </c>
      <c r="AB870" s="2">
        <v>0.82467715584086498</v>
      </c>
      <c r="AC870" s="2">
        <v>72924.2413976768</v>
      </c>
      <c r="AD870" s="2">
        <v>118208.619591118</v>
      </c>
      <c r="AE870" s="2">
        <v>71217.069884741504</v>
      </c>
      <c r="AF870" s="2">
        <v>72298.282318335201</v>
      </c>
      <c r="AG870" s="2">
        <v>68068.843729180793</v>
      </c>
      <c r="AH870" s="2">
        <v>73148.967881498902</v>
      </c>
      <c r="AI870" s="2">
        <v>76697.400079518498</v>
      </c>
      <c r="AJ870" s="2">
        <v>76114.884492785699</v>
      </c>
      <c r="AK870" s="2">
        <v>119657.69459349</v>
      </c>
      <c r="AL870" s="2">
        <v>119524.263451701</v>
      </c>
      <c r="AM870" s="2">
        <v>114261.24483307901</v>
      </c>
      <c r="AN870" s="2">
        <v>116027.88898692001</v>
      </c>
      <c r="AO870" s="2">
        <v>112502.24609094601</v>
      </c>
      <c r="AP870" s="2">
        <v>127278.37959056901</v>
      </c>
    </row>
    <row r="871" spans="1:42" ht="14.5" x14ac:dyDescent="0.35">
      <c r="A871" s="2" t="s">
        <v>5981</v>
      </c>
      <c r="B871" s="2">
        <v>393.24999325353099</v>
      </c>
      <c r="C871" s="2">
        <v>5.0414166666666702</v>
      </c>
      <c r="D871" s="2" t="s">
        <v>34</v>
      </c>
      <c r="E871" s="2" t="s">
        <v>5982</v>
      </c>
      <c r="F871" s="2">
        <v>257558</v>
      </c>
      <c r="G871" s="3" t="str">
        <f>HYPERLINK("http://funmeta.oebiotech.com/network/257558", "http://funmeta.oebiotech.com/network/257558")</f>
        <v>http://funmeta.oebiotech.com/network/257558</v>
      </c>
      <c r="H871" s="2" t="s">
        <v>5983</v>
      </c>
      <c r="I871" s="2"/>
      <c r="J871" s="2"/>
      <c r="K871" s="2"/>
      <c r="L871" s="2"/>
      <c r="M871" s="2"/>
      <c r="N871" s="2"/>
      <c r="O871" s="2">
        <v>18223318</v>
      </c>
      <c r="P871" s="2"/>
      <c r="Q871" s="2" t="s">
        <v>5984</v>
      </c>
      <c r="R871" s="2" t="s">
        <v>5985</v>
      </c>
      <c r="S871" s="2" t="s">
        <v>89</v>
      </c>
      <c r="T871" s="2" t="s">
        <v>90</v>
      </c>
      <c r="U871" s="2" t="s">
        <v>99</v>
      </c>
      <c r="V871" s="2" t="s">
        <v>59</v>
      </c>
      <c r="W871" s="2">
        <v>36.299999999999997</v>
      </c>
      <c r="X871" s="2">
        <v>0</v>
      </c>
      <c r="Y871" s="2" t="s">
        <v>43</v>
      </c>
      <c r="Z871" s="2" t="s">
        <v>5986</v>
      </c>
      <c r="AA871" s="2">
        <v>0.96291482128945605</v>
      </c>
      <c r="AB871" s="2">
        <v>0.82403080318063304</v>
      </c>
      <c r="AC871" s="2">
        <v>176566.515966445</v>
      </c>
      <c r="AD871" s="2">
        <v>225778.22191169599</v>
      </c>
      <c r="AE871" s="2">
        <v>182842.68864975599</v>
      </c>
      <c r="AF871" s="2">
        <v>178866.264191536</v>
      </c>
      <c r="AG871" s="2">
        <v>183987.36059487</v>
      </c>
      <c r="AH871" s="2">
        <v>187084.553673357</v>
      </c>
      <c r="AI871" s="2">
        <v>165417.97799155</v>
      </c>
      <c r="AJ871" s="2">
        <v>161200.250697604</v>
      </c>
      <c r="AK871" s="2">
        <v>211226.21587349099</v>
      </c>
      <c r="AL871" s="2">
        <v>218025.59233953001</v>
      </c>
      <c r="AM871" s="2">
        <v>251648.31602442</v>
      </c>
      <c r="AN871" s="2">
        <v>220034.664388323</v>
      </c>
      <c r="AO871" s="2">
        <v>223824.16579061601</v>
      </c>
      <c r="AP871" s="2">
        <v>229910.377053798</v>
      </c>
    </row>
    <row r="872" spans="1:42" ht="14.5" x14ac:dyDescent="0.35">
      <c r="A872" s="2" t="s">
        <v>5987</v>
      </c>
      <c r="B872" s="2">
        <v>791.489639843855</v>
      </c>
      <c r="C872" s="2">
        <v>5.1527500000000002</v>
      </c>
      <c r="D872" s="2" t="s">
        <v>70</v>
      </c>
      <c r="E872" s="2" t="s">
        <v>5988</v>
      </c>
      <c r="F872" s="2">
        <v>134943</v>
      </c>
      <c r="G872" s="3" t="str">
        <f>HYPERLINK("http://funmeta.oebiotech.com/network/134943", "http://funmeta.oebiotech.com/network/134943")</f>
        <v>http://funmeta.oebiotech.com/network/134943</v>
      </c>
      <c r="H872" s="2" t="s">
        <v>5989</v>
      </c>
      <c r="I872" s="2"/>
      <c r="J872" s="2"/>
      <c r="K872" s="2"/>
      <c r="L872" s="2"/>
      <c r="M872" s="2"/>
      <c r="N872" s="2"/>
      <c r="O872" s="2">
        <v>131821926</v>
      </c>
      <c r="P872" s="2"/>
      <c r="Q872" s="2" t="s">
        <v>5990</v>
      </c>
      <c r="R872" s="2" t="s">
        <v>5991</v>
      </c>
      <c r="S872" s="2" t="s">
        <v>50</v>
      </c>
      <c r="T872" s="2" t="s">
        <v>51</v>
      </c>
      <c r="U872" s="2" t="s">
        <v>273</v>
      </c>
      <c r="V872" s="2" t="s">
        <v>59</v>
      </c>
      <c r="W872" s="2">
        <v>38</v>
      </c>
      <c r="X872" s="2">
        <v>7.7200000000000003E-3</v>
      </c>
      <c r="Y872" s="2" t="s">
        <v>408</v>
      </c>
      <c r="Z872" s="2" t="s">
        <v>5992</v>
      </c>
      <c r="AA872" s="2">
        <v>3.7255896432212401</v>
      </c>
      <c r="AB872" s="2">
        <v>0.82327194975272699</v>
      </c>
      <c r="AC872" s="2">
        <v>228549.72940912901</v>
      </c>
      <c r="AD872" s="2">
        <v>286528.29152718699</v>
      </c>
      <c r="AE872" s="2">
        <v>248973.177800137</v>
      </c>
      <c r="AF872" s="2">
        <v>264896.00036402</v>
      </c>
      <c r="AG872" s="2">
        <v>252369.75633254001</v>
      </c>
      <c r="AH872" s="2">
        <v>191272.91036828101</v>
      </c>
      <c r="AI872" s="2">
        <v>191035.252989186</v>
      </c>
      <c r="AJ872" s="2">
        <v>222751.278600611</v>
      </c>
      <c r="AK872" s="2">
        <v>296888.073474815</v>
      </c>
      <c r="AL872" s="2">
        <v>313968.86444892001</v>
      </c>
      <c r="AM872" s="2">
        <v>280203.462847471</v>
      </c>
      <c r="AN872" s="2">
        <v>281519.76108717499</v>
      </c>
      <c r="AO872" s="2">
        <v>280854.04251990002</v>
      </c>
      <c r="AP872" s="2">
        <v>265735.54478483798</v>
      </c>
    </row>
    <row r="873" spans="1:42" ht="14.5" x14ac:dyDescent="0.35">
      <c r="A873" s="2" t="s">
        <v>5993</v>
      </c>
      <c r="B873" s="2">
        <v>556.29132212643299</v>
      </c>
      <c r="C873" s="2">
        <v>5.5617999999999999</v>
      </c>
      <c r="D873" s="2" t="s">
        <v>70</v>
      </c>
      <c r="E873" s="2" t="s">
        <v>5994</v>
      </c>
      <c r="F873" s="2">
        <v>59250</v>
      </c>
      <c r="G873" s="3" t="str">
        <f>HYPERLINK("http://funmeta.oebiotech.com/network/59250", "http://funmeta.oebiotech.com/network/59250")</f>
        <v>http://funmeta.oebiotech.com/network/59250</v>
      </c>
      <c r="H873" s="2" t="s">
        <v>5995</v>
      </c>
      <c r="I873" s="2"/>
      <c r="J873" s="2"/>
      <c r="K873" s="2"/>
      <c r="L873" s="2"/>
      <c r="M873" s="2"/>
      <c r="N873" s="2"/>
      <c r="O873" s="2">
        <v>131751726</v>
      </c>
      <c r="P873" s="2" t="s">
        <v>5996</v>
      </c>
      <c r="Q873" s="2" t="s">
        <v>5997</v>
      </c>
      <c r="R873" s="2" t="s">
        <v>5998</v>
      </c>
      <c r="S873" s="2" t="s">
        <v>39</v>
      </c>
      <c r="T873" s="2" t="s">
        <v>5999</v>
      </c>
      <c r="U873" s="2" t="s">
        <v>41</v>
      </c>
      <c r="V873" s="2" t="s">
        <v>59</v>
      </c>
      <c r="W873" s="2">
        <v>47.2</v>
      </c>
      <c r="X873" s="2">
        <v>41.7</v>
      </c>
      <c r="Y873" s="2" t="s">
        <v>408</v>
      </c>
      <c r="Z873" s="2" t="s">
        <v>6000</v>
      </c>
      <c r="AA873" s="2">
        <v>-0.525687606480434</v>
      </c>
      <c r="AB873" s="2">
        <v>0.82299950820808299</v>
      </c>
      <c r="AC873" s="2">
        <v>66598.396760923497</v>
      </c>
      <c r="AD873" s="2">
        <v>111775.89147942601</v>
      </c>
      <c r="AE873" s="2">
        <v>72336.341893396399</v>
      </c>
      <c r="AF873" s="2">
        <v>64741.075953676002</v>
      </c>
      <c r="AG873" s="2">
        <v>61842.354996407499</v>
      </c>
      <c r="AH873" s="2">
        <v>63072.654063271897</v>
      </c>
      <c r="AI873" s="2">
        <v>68218.090792304996</v>
      </c>
      <c r="AJ873" s="2">
        <v>69379.862866484196</v>
      </c>
      <c r="AK873" s="2">
        <v>114434.82211487</v>
      </c>
      <c r="AL873" s="2">
        <v>106869.35950591</v>
      </c>
      <c r="AM873" s="2">
        <v>116902.366907314</v>
      </c>
      <c r="AN873" s="2">
        <v>104183.491725785</v>
      </c>
      <c r="AO873" s="2">
        <v>115411.62799244899</v>
      </c>
      <c r="AP873" s="2">
        <v>112853.680630228</v>
      </c>
    </row>
    <row r="874" spans="1:42" ht="14.5" x14ac:dyDescent="0.35">
      <c r="A874" s="2" t="s">
        <v>6001</v>
      </c>
      <c r="B874" s="2">
        <v>347.186050538605</v>
      </c>
      <c r="C874" s="2">
        <v>6.1607333333333303</v>
      </c>
      <c r="D874" s="2" t="s">
        <v>70</v>
      </c>
      <c r="E874" s="2" t="s">
        <v>6002</v>
      </c>
      <c r="F874" s="2">
        <v>36074</v>
      </c>
      <c r="G874" s="3" t="str">
        <f>HYPERLINK("http://funmeta.oebiotech.com/network/36074", "http://funmeta.oebiotech.com/network/36074")</f>
        <v>http://funmeta.oebiotech.com/network/36074</v>
      </c>
      <c r="H874" s="2"/>
      <c r="I874" s="2">
        <v>53681</v>
      </c>
      <c r="J874" s="2" t="s">
        <v>6003</v>
      </c>
      <c r="K874" s="2"/>
      <c r="L874" s="2"/>
      <c r="M874" s="2"/>
      <c r="N874" s="2"/>
      <c r="O874" s="2">
        <v>42608245</v>
      </c>
      <c r="P874" s="2"/>
      <c r="Q874" s="2" t="s">
        <v>6004</v>
      </c>
      <c r="R874" s="2" t="s">
        <v>6005</v>
      </c>
      <c r="S874" s="2" t="s">
        <v>50</v>
      </c>
      <c r="T874" s="2" t="s">
        <v>201</v>
      </c>
      <c r="U874" s="2" t="s">
        <v>241</v>
      </c>
      <c r="V874" s="2" t="s">
        <v>42</v>
      </c>
      <c r="W874" s="2">
        <v>56.2</v>
      </c>
      <c r="X874" s="2">
        <v>87.4</v>
      </c>
      <c r="Y874" s="2" t="s">
        <v>751</v>
      </c>
      <c r="Z874" s="2" t="s">
        <v>6006</v>
      </c>
      <c r="AA874" s="2">
        <v>-0.94761561517914195</v>
      </c>
      <c r="AB874" s="2">
        <v>0.82238117071917205</v>
      </c>
      <c r="AC874" s="2">
        <v>47191.9473793379</v>
      </c>
      <c r="AD874" s="2">
        <v>2419.1280802727401</v>
      </c>
      <c r="AE874" s="2">
        <v>46040.404093699297</v>
      </c>
      <c r="AF874" s="2">
        <v>43263.436339566499</v>
      </c>
      <c r="AG874" s="2">
        <v>55490.807008930104</v>
      </c>
      <c r="AH874" s="2">
        <v>43891.937338809097</v>
      </c>
      <c r="AI874" s="2">
        <v>43982.831603570397</v>
      </c>
      <c r="AJ874" s="2">
        <v>50482.267891452102</v>
      </c>
      <c r="AK874" s="2">
        <v>1454.1852903522499</v>
      </c>
      <c r="AL874" s="2">
        <v>2029.4668837325301</v>
      </c>
      <c r="AM874" s="2">
        <v>3708.75354279054</v>
      </c>
      <c r="AN874" s="2">
        <v>1511.7640029087199</v>
      </c>
      <c r="AO874" s="2">
        <v>3234.3810486692801</v>
      </c>
      <c r="AP874" s="2">
        <v>2576.2177131830899</v>
      </c>
    </row>
    <row r="875" spans="1:42" ht="14.5" x14ac:dyDescent="0.35">
      <c r="A875" s="2" t="s">
        <v>6007</v>
      </c>
      <c r="B875" s="2">
        <v>717.29763202551703</v>
      </c>
      <c r="C875" s="2">
        <v>5.4125166666666704</v>
      </c>
      <c r="D875" s="2" t="s">
        <v>70</v>
      </c>
      <c r="E875" s="2" t="s">
        <v>6008</v>
      </c>
      <c r="F875" s="2">
        <v>35927</v>
      </c>
      <c r="G875" s="3" t="str">
        <f>HYPERLINK("http://funmeta.oebiotech.com/network/35927", "http://funmeta.oebiotech.com/network/35927")</f>
        <v>http://funmeta.oebiotech.com/network/35927</v>
      </c>
      <c r="H875" s="2"/>
      <c r="I875" s="2"/>
      <c r="J875" s="2" t="s">
        <v>6009</v>
      </c>
      <c r="K875" s="2"/>
      <c r="L875" s="2"/>
      <c r="M875" s="2"/>
      <c r="N875" s="2"/>
      <c r="O875" s="2"/>
      <c r="P875" s="2"/>
      <c r="Q875" s="2" t="s">
        <v>6010</v>
      </c>
      <c r="R875" s="2" t="s">
        <v>6011</v>
      </c>
      <c r="S875" s="2" t="s">
        <v>50</v>
      </c>
      <c r="T875" s="2" t="s">
        <v>201</v>
      </c>
      <c r="U875" s="2" t="s">
        <v>241</v>
      </c>
      <c r="V875" s="2" t="s">
        <v>42</v>
      </c>
      <c r="W875" s="2">
        <v>57.4</v>
      </c>
      <c r="X875" s="2">
        <v>90.9</v>
      </c>
      <c r="Y875" s="2" t="s">
        <v>408</v>
      </c>
      <c r="Z875" s="2" t="s">
        <v>6012</v>
      </c>
      <c r="AA875" s="2">
        <v>0.16112281188459601</v>
      </c>
      <c r="AB875" s="2">
        <v>0.82177414046804698</v>
      </c>
      <c r="AC875" s="2">
        <v>209480.37601309901</v>
      </c>
      <c r="AD875" s="2">
        <v>161073.142232955</v>
      </c>
      <c r="AE875" s="2">
        <v>206130.96646966101</v>
      </c>
      <c r="AF875" s="2">
        <v>197189.30701913501</v>
      </c>
      <c r="AG875" s="2">
        <v>207922.50995484801</v>
      </c>
      <c r="AH875" s="2">
        <v>196953.27019161999</v>
      </c>
      <c r="AI875" s="2">
        <v>211281.41649754299</v>
      </c>
      <c r="AJ875" s="2">
        <v>237404.78594578701</v>
      </c>
      <c r="AK875" s="2">
        <v>155354.75810259301</v>
      </c>
      <c r="AL875" s="2">
        <v>159981.039521792</v>
      </c>
      <c r="AM875" s="2">
        <v>170520.43006648301</v>
      </c>
      <c r="AN875" s="2">
        <v>167360.817697716</v>
      </c>
      <c r="AO875" s="2">
        <v>154730.60835611599</v>
      </c>
      <c r="AP875" s="2">
        <v>158491.19965303101</v>
      </c>
    </row>
    <row r="876" spans="1:42" ht="14.5" x14ac:dyDescent="0.35">
      <c r="A876" s="2" t="s">
        <v>6013</v>
      </c>
      <c r="B876" s="2">
        <v>793.30369366588502</v>
      </c>
      <c r="C876" s="2">
        <v>4.9946333333333301</v>
      </c>
      <c r="D876" s="2" t="s">
        <v>34</v>
      </c>
      <c r="E876" s="2" t="s">
        <v>6014</v>
      </c>
      <c r="F876" s="2">
        <v>257380</v>
      </c>
      <c r="G876" s="3" t="str">
        <f>HYPERLINK("http://funmeta.oebiotech.com/network/257380", "http://funmeta.oebiotech.com/network/257380")</f>
        <v>http://funmeta.oebiotech.com/network/257380</v>
      </c>
      <c r="H876" s="2" t="s">
        <v>6015</v>
      </c>
      <c r="I876" s="2"/>
      <c r="J876" s="2"/>
      <c r="K876" s="2"/>
      <c r="L876" s="2"/>
      <c r="M876" s="2"/>
      <c r="N876" s="2"/>
      <c r="O876" s="2"/>
      <c r="P876" s="2"/>
      <c r="Q876" s="2" t="s">
        <v>6016</v>
      </c>
      <c r="R876" s="2" t="s">
        <v>6017</v>
      </c>
      <c r="S876" s="2" t="s">
        <v>1184</v>
      </c>
      <c r="T876" s="2" t="s">
        <v>3333</v>
      </c>
      <c r="U876" s="2" t="s">
        <v>41</v>
      </c>
      <c r="V876" s="2" t="s">
        <v>59</v>
      </c>
      <c r="W876" s="2">
        <v>37.700000000000003</v>
      </c>
      <c r="X876" s="2">
        <v>0</v>
      </c>
      <c r="Y876" s="2" t="s">
        <v>141</v>
      </c>
      <c r="Z876" s="2" t="s">
        <v>6018</v>
      </c>
      <c r="AA876" s="2">
        <v>-3.5833211798288702</v>
      </c>
      <c r="AB876" s="2">
        <v>0.82050137582052096</v>
      </c>
      <c r="AC876" s="2">
        <v>213116.59518196099</v>
      </c>
      <c r="AD876" s="2">
        <v>266540.27244053403</v>
      </c>
      <c r="AE876" s="2">
        <v>218081.03265783601</v>
      </c>
      <c r="AF876" s="2">
        <v>231738.08712119301</v>
      </c>
      <c r="AG876" s="2">
        <v>194762.96546564801</v>
      </c>
      <c r="AH876" s="2">
        <v>196757.80579188801</v>
      </c>
      <c r="AI876" s="2">
        <v>221530.14447021001</v>
      </c>
      <c r="AJ876" s="2">
        <v>215829.53558499101</v>
      </c>
      <c r="AK876" s="2">
        <v>292963.17860605702</v>
      </c>
      <c r="AL876" s="2">
        <v>245094.324113932</v>
      </c>
      <c r="AM876" s="2">
        <v>245808.67837774701</v>
      </c>
      <c r="AN876" s="2">
        <v>283954.74265304703</v>
      </c>
      <c r="AO876" s="2">
        <v>242619.189763645</v>
      </c>
      <c r="AP876" s="2">
        <v>288801.52112877398</v>
      </c>
    </row>
    <row r="877" spans="1:42" ht="14.5" x14ac:dyDescent="0.35">
      <c r="A877" s="2" t="s">
        <v>6019</v>
      </c>
      <c r="B877" s="2">
        <v>461.28960132729998</v>
      </c>
      <c r="C877" s="2">
        <v>5.48966666666667</v>
      </c>
      <c r="D877" s="2" t="s">
        <v>34</v>
      </c>
      <c r="E877" s="2" t="s">
        <v>6020</v>
      </c>
      <c r="F877" s="2">
        <v>43794</v>
      </c>
      <c r="G877" s="3" t="str">
        <f>HYPERLINK("http://funmeta.oebiotech.com/network/43794", "http://funmeta.oebiotech.com/network/43794")</f>
        <v>http://funmeta.oebiotech.com/network/43794</v>
      </c>
      <c r="H877" s="2"/>
      <c r="I877" s="2"/>
      <c r="J877" s="2" t="s">
        <v>6021</v>
      </c>
      <c r="K877" s="2"/>
      <c r="L877" s="2"/>
      <c r="M877" s="2"/>
      <c r="N877" s="2"/>
      <c r="O877" s="2"/>
      <c r="P877" s="2"/>
      <c r="Q877" s="2" t="s">
        <v>6022</v>
      </c>
      <c r="R877" s="2" t="s">
        <v>6023</v>
      </c>
      <c r="S877" s="2" t="s">
        <v>50</v>
      </c>
      <c r="T877" s="2" t="s">
        <v>124</v>
      </c>
      <c r="U877" s="2" t="s">
        <v>125</v>
      </c>
      <c r="V877" s="2" t="s">
        <v>42</v>
      </c>
      <c r="W877" s="2">
        <v>49</v>
      </c>
      <c r="X877" s="2">
        <v>51.3</v>
      </c>
      <c r="Y877" s="2" t="s">
        <v>266</v>
      </c>
      <c r="Z877" s="2" t="s">
        <v>6024</v>
      </c>
      <c r="AA877" s="2">
        <v>-0.34310880868243299</v>
      </c>
      <c r="AB877" s="2">
        <v>0.82048829195025996</v>
      </c>
      <c r="AC877" s="2">
        <v>47486.097853496598</v>
      </c>
      <c r="AD877" s="2">
        <v>92170.465569961496</v>
      </c>
      <c r="AE877" s="2">
        <v>45182.407225830801</v>
      </c>
      <c r="AF877" s="2">
        <v>45094.071773642398</v>
      </c>
      <c r="AG877" s="2">
        <v>51216.139055383501</v>
      </c>
      <c r="AH877" s="2">
        <v>44496.306034448702</v>
      </c>
      <c r="AI877" s="2">
        <v>48807.2955698355</v>
      </c>
      <c r="AJ877" s="2">
        <v>50120.367461838898</v>
      </c>
      <c r="AK877" s="2">
        <v>93273.538402296006</v>
      </c>
      <c r="AL877" s="2">
        <v>93610.501961264497</v>
      </c>
      <c r="AM877" s="2">
        <v>87010.104528711599</v>
      </c>
      <c r="AN877" s="2">
        <v>88436.365472767706</v>
      </c>
      <c r="AO877" s="2">
        <v>91855.804337664798</v>
      </c>
      <c r="AP877" s="2">
        <v>98836.478717064107</v>
      </c>
    </row>
    <row r="878" spans="1:42" ht="14.5" x14ac:dyDescent="0.35">
      <c r="A878" s="2" t="s">
        <v>6025</v>
      </c>
      <c r="B878" s="2">
        <v>264.12287021242298</v>
      </c>
      <c r="C878" s="2">
        <v>9.5614333333333299</v>
      </c>
      <c r="D878" s="2" t="s">
        <v>34</v>
      </c>
      <c r="E878" s="2" t="s">
        <v>6026</v>
      </c>
      <c r="F878" s="2">
        <v>204298</v>
      </c>
      <c r="G878" s="3" t="str">
        <f>HYPERLINK("http://funmeta.oebiotech.com/network/204298", "http://funmeta.oebiotech.com/network/204298")</f>
        <v>http://funmeta.oebiotech.com/network/204298</v>
      </c>
      <c r="H878" s="2" t="s">
        <v>6027</v>
      </c>
      <c r="I878" s="2"/>
      <c r="J878" s="2"/>
      <c r="K878" s="2"/>
      <c r="L878" s="2"/>
      <c r="M878" s="2"/>
      <c r="N878" s="2"/>
      <c r="O878" s="2">
        <v>16760348</v>
      </c>
      <c r="P878" s="2"/>
      <c r="Q878" s="2" t="s">
        <v>6028</v>
      </c>
      <c r="R878" s="2" t="s">
        <v>6029</v>
      </c>
      <c r="S878" s="2" t="s">
        <v>89</v>
      </c>
      <c r="T878" s="2" t="s">
        <v>2718</v>
      </c>
      <c r="U878" s="2" t="s">
        <v>6030</v>
      </c>
      <c r="V878" s="2" t="s">
        <v>59</v>
      </c>
      <c r="W878" s="2">
        <v>38.6</v>
      </c>
      <c r="X878" s="2">
        <v>2.0299999999999998</v>
      </c>
      <c r="Y878" s="2" t="s">
        <v>266</v>
      </c>
      <c r="Z878" s="2" t="s">
        <v>6031</v>
      </c>
      <c r="AA878" s="2">
        <v>-4.9678277303095797</v>
      </c>
      <c r="AB878" s="2">
        <v>0.81910597916502503</v>
      </c>
      <c r="AC878" s="2">
        <v>155989.86293202199</v>
      </c>
      <c r="AD878" s="2">
        <v>201580.676049281</v>
      </c>
      <c r="AE878" s="2">
        <v>154554.924880773</v>
      </c>
      <c r="AF878" s="2">
        <v>152489.515686525</v>
      </c>
      <c r="AG878" s="2">
        <v>158825.920149376</v>
      </c>
      <c r="AH878" s="2">
        <v>147018.11237918201</v>
      </c>
      <c r="AI878" s="2">
        <v>156359.74615348299</v>
      </c>
      <c r="AJ878" s="2">
        <v>166690.95834279599</v>
      </c>
      <c r="AK878" s="2">
        <v>194924.63611188001</v>
      </c>
      <c r="AL878" s="2">
        <v>209027.574299114</v>
      </c>
      <c r="AM878" s="2">
        <v>192588.312360134</v>
      </c>
      <c r="AN878" s="2">
        <v>201488.16399784101</v>
      </c>
      <c r="AO878" s="2">
        <v>203936.59750030801</v>
      </c>
      <c r="AP878" s="2">
        <v>207518.77202640599</v>
      </c>
    </row>
    <row r="879" spans="1:42" ht="14.5" x14ac:dyDescent="0.35">
      <c r="A879" s="2" t="s">
        <v>6032</v>
      </c>
      <c r="B879" s="2">
        <v>509.27205600406</v>
      </c>
      <c r="C879" s="2">
        <v>9.5044666666666693</v>
      </c>
      <c r="D879" s="2" t="s">
        <v>34</v>
      </c>
      <c r="E879" s="2" t="s">
        <v>6033</v>
      </c>
      <c r="F879" s="2">
        <v>250010</v>
      </c>
      <c r="G879" s="3" t="str">
        <f>HYPERLINK("http://funmeta.oebiotech.com/network/250010", "http://funmeta.oebiotech.com/network/250010")</f>
        <v>http://funmeta.oebiotech.com/network/250010</v>
      </c>
      <c r="H879" s="2" t="s">
        <v>6034</v>
      </c>
      <c r="I879" s="2"/>
      <c r="J879" s="2"/>
      <c r="K879" s="2"/>
      <c r="L879" s="2"/>
      <c r="M879" s="2"/>
      <c r="N879" s="2"/>
      <c r="O879" s="2"/>
      <c r="P879" s="2"/>
      <c r="Q879" s="2" t="s">
        <v>6035</v>
      </c>
      <c r="R879" s="2" t="s">
        <v>6036</v>
      </c>
      <c r="S879" s="2" t="s">
        <v>41</v>
      </c>
      <c r="T879" s="2" t="s">
        <v>41</v>
      </c>
      <c r="U879" s="2" t="s">
        <v>41</v>
      </c>
      <c r="V879" s="2" t="s">
        <v>59</v>
      </c>
      <c r="W879" s="2">
        <v>44.2</v>
      </c>
      <c r="X879" s="2">
        <v>24.2</v>
      </c>
      <c r="Y879" s="2" t="s">
        <v>505</v>
      </c>
      <c r="Z879" s="2" t="s">
        <v>5884</v>
      </c>
      <c r="AA879" s="2">
        <v>-9.7883190346279098E-2</v>
      </c>
      <c r="AB879" s="2">
        <v>0.81752780819403204</v>
      </c>
      <c r="AC879" s="2">
        <v>74899.257987300094</v>
      </c>
      <c r="AD879" s="2">
        <v>30868.163767019501</v>
      </c>
      <c r="AE879" s="2">
        <v>76952.327986720105</v>
      </c>
      <c r="AF879" s="2">
        <v>73482.594146766904</v>
      </c>
      <c r="AG879" s="2">
        <v>76410.577428274599</v>
      </c>
      <c r="AH879" s="2">
        <v>70497.093458606003</v>
      </c>
      <c r="AI879" s="2">
        <v>73872.213709558695</v>
      </c>
      <c r="AJ879" s="2">
        <v>78180.741193874404</v>
      </c>
      <c r="AK879" s="2">
        <v>28381.817189322599</v>
      </c>
      <c r="AL879" s="2">
        <v>32467.8938066874</v>
      </c>
      <c r="AM879" s="2">
        <v>31241.688066291499</v>
      </c>
      <c r="AN879" s="2">
        <v>31540.638856738999</v>
      </c>
      <c r="AO879" s="2">
        <v>31847.8382817165</v>
      </c>
      <c r="AP879" s="2">
        <v>29729.106401360099</v>
      </c>
    </row>
    <row r="880" spans="1:42" ht="14.5" x14ac:dyDescent="0.35">
      <c r="A880" s="2" t="s">
        <v>6037</v>
      </c>
      <c r="B880" s="2">
        <v>454.27912887056499</v>
      </c>
      <c r="C880" s="2">
        <v>7.5713999999999997</v>
      </c>
      <c r="D880" s="2" t="s">
        <v>34</v>
      </c>
      <c r="E880" s="2" t="s">
        <v>6038</v>
      </c>
      <c r="F880" s="2">
        <v>39005</v>
      </c>
      <c r="G880" s="3" t="str">
        <f>HYPERLINK("http://funmeta.oebiotech.com/network/39005", "http://funmeta.oebiotech.com/network/39005")</f>
        <v>http://funmeta.oebiotech.com/network/39005</v>
      </c>
      <c r="H880" s="2"/>
      <c r="I880" s="2">
        <v>53963</v>
      </c>
      <c r="J880" s="2" t="s">
        <v>6039</v>
      </c>
      <c r="K880" s="2"/>
      <c r="L880" s="2"/>
      <c r="M880" s="2"/>
      <c r="N880" s="2"/>
      <c r="O880" s="2">
        <v>42608379</v>
      </c>
      <c r="P880" s="2"/>
      <c r="Q880" s="2" t="s">
        <v>6040</v>
      </c>
      <c r="R880" s="2" t="s">
        <v>6041</v>
      </c>
      <c r="S880" s="2" t="s">
        <v>50</v>
      </c>
      <c r="T880" s="2" t="s">
        <v>229</v>
      </c>
      <c r="U880" s="2" t="s">
        <v>433</v>
      </c>
      <c r="V880" s="2" t="s">
        <v>59</v>
      </c>
      <c r="W880" s="2">
        <v>41.5</v>
      </c>
      <c r="X880" s="2">
        <v>24.7</v>
      </c>
      <c r="Y880" s="2" t="s">
        <v>323</v>
      </c>
      <c r="Z880" s="2" t="s">
        <v>6042</v>
      </c>
      <c r="AA880" s="2">
        <v>3.72264669491762</v>
      </c>
      <c r="AB880" s="2">
        <v>0.81748692155608205</v>
      </c>
      <c r="AC880" s="2">
        <v>34826.319717536397</v>
      </c>
      <c r="AD880" s="2">
        <v>80279.956488013297</v>
      </c>
      <c r="AE880" s="2">
        <v>29855.753743653499</v>
      </c>
      <c r="AF880" s="2">
        <v>31773.344510815899</v>
      </c>
      <c r="AG880" s="2">
        <v>31272.4626085458</v>
      </c>
      <c r="AH880" s="2">
        <v>42383.176882099797</v>
      </c>
      <c r="AI880" s="2">
        <v>42695.032367419</v>
      </c>
      <c r="AJ880" s="2">
        <v>30978.148192684599</v>
      </c>
      <c r="AK880" s="2">
        <v>71917.529712144795</v>
      </c>
      <c r="AL880" s="2">
        <v>71166.410038887203</v>
      </c>
      <c r="AM880" s="2">
        <v>83062.364048428295</v>
      </c>
      <c r="AN880" s="2">
        <v>88808.371765060496</v>
      </c>
      <c r="AO880" s="2">
        <v>90526.840834874107</v>
      </c>
      <c r="AP880" s="2">
        <v>76198.222528685001</v>
      </c>
    </row>
    <row r="881" spans="1:42" ht="14.5" x14ac:dyDescent="0.35">
      <c r="A881" s="2" t="s">
        <v>6043</v>
      </c>
      <c r="B881" s="2">
        <v>587.059848330563</v>
      </c>
      <c r="C881" s="2">
        <v>12.083883333333301</v>
      </c>
      <c r="D881" s="2" t="s">
        <v>34</v>
      </c>
      <c r="E881" s="2" t="s">
        <v>6044</v>
      </c>
      <c r="F881" s="2">
        <v>202860</v>
      </c>
      <c r="G881" s="3" t="str">
        <f>HYPERLINK("http://funmeta.oebiotech.com/network/202860", "http://funmeta.oebiotech.com/network/202860")</f>
        <v>http://funmeta.oebiotech.com/network/202860</v>
      </c>
      <c r="H881" s="2" t="s">
        <v>6045</v>
      </c>
      <c r="I881" s="2"/>
      <c r="J881" s="2"/>
      <c r="K881" s="2"/>
      <c r="L881" s="2"/>
      <c r="M881" s="2"/>
      <c r="N881" s="2"/>
      <c r="O881" s="2">
        <v>124761</v>
      </c>
      <c r="P881" s="2"/>
      <c r="Q881" s="2" t="s">
        <v>6046</v>
      </c>
      <c r="R881" s="2" t="s">
        <v>6047</v>
      </c>
      <c r="S881" s="2" t="s">
        <v>89</v>
      </c>
      <c r="T881" s="2" t="s">
        <v>6048</v>
      </c>
      <c r="U881" s="2" t="s">
        <v>6049</v>
      </c>
      <c r="V881" s="2" t="s">
        <v>59</v>
      </c>
      <c r="W881" s="2">
        <v>36.799999999999997</v>
      </c>
      <c r="X881" s="2">
        <v>0</v>
      </c>
      <c r="Y881" s="2" t="s">
        <v>340</v>
      </c>
      <c r="Z881" s="2" t="s">
        <v>6050</v>
      </c>
      <c r="AA881" s="2">
        <v>-5.2453510166514901E-2</v>
      </c>
      <c r="AB881" s="2">
        <v>0.81617660459212005</v>
      </c>
      <c r="AC881" s="2">
        <v>36.439902878311202</v>
      </c>
      <c r="AD881" s="2">
        <v>44879.887389789103</v>
      </c>
      <c r="AE881" s="2">
        <v>218.63928173839699</v>
      </c>
      <c r="AF881" s="2">
        <v>2.7106294003980101E-5</v>
      </c>
      <c r="AG881" s="2">
        <v>2.7106294003980101E-5</v>
      </c>
      <c r="AH881" s="2">
        <v>2.7106294003980101E-5</v>
      </c>
      <c r="AI881" s="2">
        <v>2.7106294003980101E-5</v>
      </c>
      <c r="AJ881" s="2">
        <v>2.7106294003980101E-5</v>
      </c>
      <c r="AK881" s="2">
        <v>45166.601370206801</v>
      </c>
      <c r="AL881" s="2">
        <v>33083.457265457298</v>
      </c>
      <c r="AM881" s="2">
        <v>52336.455339274296</v>
      </c>
      <c r="AN881" s="2">
        <v>38377.726293638298</v>
      </c>
      <c r="AO881" s="2">
        <v>46086.693271641801</v>
      </c>
      <c r="AP881" s="2">
        <v>54228.3907985162</v>
      </c>
    </row>
    <row r="882" spans="1:42" ht="14.5" x14ac:dyDescent="0.35">
      <c r="A882" s="2" t="s">
        <v>6051</v>
      </c>
      <c r="B882" s="2">
        <v>349.125788794622</v>
      </c>
      <c r="C882" s="2">
        <v>4.3289999999999997</v>
      </c>
      <c r="D882" s="2" t="s">
        <v>34</v>
      </c>
      <c r="E882" s="2" t="s">
        <v>6052</v>
      </c>
      <c r="F882" s="2">
        <v>209324</v>
      </c>
      <c r="G882" s="3" t="str">
        <f>HYPERLINK("http://funmeta.oebiotech.com/network/209324", "http://funmeta.oebiotech.com/network/209324")</f>
        <v>http://funmeta.oebiotech.com/network/209324</v>
      </c>
      <c r="H882" s="2" t="s">
        <v>6053</v>
      </c>
      <c r="I882" s="2"/>
      <c r="J882" s="2"/>
      <c r="K882" s="2"/>
      <c r="L882" s="2"/>
      <c r="M882" s="2"/>
      <c r="N882" s="2"/>
      <c r="O882" s="2">
        <v>346530</v>
      </c>
      <c r="P882" s="2"/>
      <c r="Q882" s="2" t="s">
        <v>6054</v>
      </c>
      <c r="R882" s="2" t="s">
        <v>6055</v>
      </c>
      <c r="S882" s="2" t="s">
        <v>41</v>
      </c>
      <c r="T882" s="2" t="s">
        <v>41</v>
      </c>
      <c r="U882" s="2" t="s">
        <v>41</v>
      </c>
      <c r="V882" s="2" t="s">
        <v>59</v>
      </c>
      <c r="W882" s="2">
        <v>41</v>
      </c>
      <c r="X882" s="2">
        <v>10.1</v>
      </c>
      <c r="Y882" s="2" t="s">
        <v>376</v>
      </c>
      <c r="Z882" s="2" t="s">
        <v>6056</v>
      </c>
      <c r="AA882" s="2">
        <v>4.6214268841400501E-2</v>
      </c>
      <c r="AB882" s="2">
        <v>0.81596773386479504</v>
      </c>
      <c r="AC882" s="2">
        <v>44115.0622934985</v>
      </c>
      <c r="AD882" s="2">
        <v>88078.313219767093</v>
      </c>
      <c r="AE882" s="2">
        <v>41563.314916208998</v>
      </c>
      <c r="AF882" s="2">
        <v>45704.061015849002</v>
      </c>
      <c r="AG882" s="2">
        <v>44711.100744520299</v>
      </c>
      <c r="AH882" s="2">
        <v>40572.622340845599</v>
      </c>
      <c r="AI882" s="2">
        <v>48029.851563204997</v>
      </c>
      <c r="AJ882" s="2">
        <v>44109.423180361897</v>
      </c>
      <c r="AK882" s="2">
        <v>91024.833250418204</v>
      </c>
      <c r="AL882" s="2">
        <v>84076.978554151705</v>
      </c>
      <c r="AM882" s="2">
        <v>84734.586791443799</v>
      </c>
      <c r="AN882" s="2">
        <v>89645.574958173602</v>
      </c>
      <c r="AO882" s="2">
        <v>87568.055140335302</v>
      </c>
      <c r="AP882" s="2">
        <v>91419.850624079801</v>
      </c>
    </row>
    <row r="883" spans="1:42" ht="14.5" x14ac:dyDescent="0.35">
      <c r="A883" s="2" t="s">
        <v>6057</v>
      </c>
      <c r="B883" s="2">
        <v>445.36735326747402</v>
      </c>
      <c r="C883" s="2">
        <v>12.9343166666667</v>
      </c>
      <c r="D883" s="2" t="s">
        <v>34</v>
      </c>
      <c r="E883" s="2" t="s">
        <v>6058</v>
      </c>
      <c r="F883" s="2">
        <v>45584</v>
      </c>
      <c r="G883" s="3" t="str">
        <f>HYPERLINK("http://funmeta.oebiotech.com/network/45584", "http://funmeta.oebiotech.com/network/45584")</f>
        <v>http://funmeta.oebiotech.com/network/45584</v>
      </c>
      <c r="H883" s="2"/>
      <c r="I883" s="2"/>
      <c r="J883" s="2" t="s">
        <v>6059</v>
      </c>
      <c r="K883" s="2"/>
      <c r="L883" s="2"/>
      <c r="M883" s="2"/>
      <c r="N883" s="2"/>
      <c r="O883" s="2">
        <v>9547527</v>
      </c>
      <c r="P883" s="2"/>
      <c r="Q883" s="2" t="s">
        <v>6060</v>
      </c>
      <c r="R883" s="2" t="s">
        <v>6061</v>
      </c>
      <c r="S883" s="2" t="s">
        <v>50</v>
      </c>
      <c r="T883" s="2" t="s">
        <v>124</v>
      </c>
      <c r="U883" s="2" t="s">
        <v>982</v>
      </c>
      <c r="V883" s="2" t="s">
        <v>42</v>
      </c>
      <c r="W883" s="2">
        <v>53.8</v>
      </c>
      <c r="X883" s="2">
        <v>74.400000000000006</v>
      </c>
      <c r="Y883" s="2" t="s">
        <v>394</v>
      </c>
      <c r="Z883" s="2" t="s">
        <v>6062</v>
      </c>
      <c r="AA883" s="2">
        <v>-0.60438013569706295</v>
      </c>
      <c r="AB883" s="2">
        <v>0.81576449945711405</v>
      </c>
      <c r="AC883" s="2">
        <v>63197.341981972</v>
      </c>
      <c r="AD883" s="2">
        <v>18363.6156863871</v>
      </c>
      <c r="AE883" s="2">
        <v>68773.099772575006</v>
      </c>
      <c r="AF883" s="2">
        <v>57859.477126655802</v>
      </c>
      <c r="AG883" s="2">
        <v>55847.826346360896</v>
      </c>
      <c r="AH883" s="2">
        <v>65537.185891298097</v>
      </c>
      <c r="AI883" s="2">
        <v>59896.455500108998</v>
      </c>
      <c r="AJ883" s="2">
        <v>71270.007254833195</v>
      </c>
      <c r="AK883" s="2">
        <v>29006.1895632858</v>
      </c>
      <c r="AL883" s="2">
        <v>18052.964256342701</v>
      </c>
      <c r="AM883" s="2">
        <v>17164.251109229601</v>
      </c>
      <c r="AN883" s="2">
        <v>15663.2400568674</v>
      </c>
      <c r="AO883" s="2">
        <v>15031.674837378499</v>
      </c>
      <c r="AP883" s="2">
        <v>15263.3742952188</v>
      </c>
    </row>
    <row r="884" spans="1:42" ht="14.5" x14ac:dyDescent="0.35">
      <c r="A884" s="2" t="s">
        <v>6063</v>
      </c>
      <c r="B884" s="2">
        <v>549.10367767042806</v>
      </c>
      <c r="C884" s="2">
        <v>9.1276333333333302</v>
      </c>
      <c r="D884" s="2" t="s">
        <v>70</v>
      </c>
      <c r="E884" s="2" t="s">
        <v>6064</v>
      </c>
      <c r="F884" s="2">
        <v>60735</v>
      </c>
      <c r="G884" s="3" t="str">
        <f>HYPERLINK("http://funmeta.oebiotech.com/network/60735", "http://funmeta.oebiotech.com/network/60735")</f>
        <v>http://funmeta.oebiotech.com/network/60735</v>
      </c>
      <c r="H884" s="2" t="s">
        <v>6065</v>
      </c>
      <c r="I884" s="2">
        <v>92063</v>
      </c>
      <c r="J884" s="2"/>
      <c r="K884" s="2"/>
      <c r="L884" s="2"/>
      <c r="M884" s="2"/>
      <c r="N884" s="2"/>
      <c r="O884" s="2">
        <v>78384671</v>
      </c>
      <c r="P884" s="2"/>
      <c r="Q884" s="2" t="s">
        <v>6066</v>
      </c>
      <c r="R884" s="2" t="s">
        <v>6067</v>
      </c>
      <c r="S884" s="2" t="s">
        <v>148</v>
      </c>
      <c r="T884" s="2" t="s">
        <v>6068</v>
      </c>
      <c r="U884" s="2" t="s">
        <v>6069</v>
      </c>
      <c r="V884" s="2" t="s">
        <v>59</v>
      </c>
      <c r="W884" s="2">
        <v>41.7</v>
      </c>
      <c r="X884" s="2">
        <v>15.7</v>
      </c>
      <c r="Y884" s="2" t="s">
        <v>751</v>
      </c>
      <c r="Z884" s="2" t="s">
        <v>6070</v>
      </c>
      <c r="AA884" s="2">
        <v>-0.30281106116096002</v>
      </c>
      <c r="AB884" s="2">
        <v>0.81531329751440695</v>
      </c>
      <c r="AC884" s="2">
        <v>190107.524361271</v>
      </c>
      <c r="AD884" s="2">
        <v>251557.31343232901</v>
      </c>
      <c r="AE884" s="2">
        <v>218423.18027854199</v>
      </c>
      <c r="AF884" s="2">
        <v>229836.38662683699</v>
      </c>
      <c r="AG884" s="2">
        <v>218890.48742600801</v>
      </c>
      <c r="AH884" s="2">
        <v>134159.41503522301</v>
      </c>
      <c r="AI884" s="2">
        <v>136056.47008936899</v>
      </c>
      <c r="AJ884" s="2">
        <v>203279.20671164599</v>
      </c>
      <c r="AK884" s="2">
        <v>264566.62476183998</v>
      </c>
      <c r="AL884" s="2">
        <v>251855.61692298501</v>
      </c>
      <c r="AM884" s="2">
        <v>251267.102584515</v>
      </c>
      <c r="AN884" s="2">
        <v>237099.74449187799</v>
      </c>
      <c r="AO884" s="2">
        <v>236001.42846809301</v>
      </c>
      <c r="AP884" s="2">
        <v>268553.36336466199</v>
      </c>
    </row>
    <row r="885" spans="1:42" ht="14.5" x14ac:dyDescent="0.35">
      <c r="A885" s="2" t="s">
        <v>6071</v>
      </c>
      <c r="B885" s="2">
        <v>347.12336751632</v>
      </c>
      <c r="C885" s="2">
        <v>4.8018000000000001</v>
      </c>
      <c r="D885" s="2" t="s">
        <v>34</v>
      </c>
      <c r="E885" s="2" t="s">
        <v>6072</v>
      </c>
      <c r="F885" s="2">
        <v>61945</v>
      </c>
      <c r="G885" s="3" t="str">
        <f>HYPERLINK("http://funmeta.oebiotech.com/network/61945", "http://funmeta.oebiotech.com/network/61945")</f>
        <v>http://funmeta.oebiotech.com/network/61945</v>
      </c>
      <c r="H885" s="2" t="s">
        <v>6073</v>
      </c>
      <c r="I885" s="2">
        <v>93245</v>
      </c>
      <c r="J885" s="2"/>
      <c r="K885" s="2">
        <v>167489</v>
      </c>
      <c r="L885" s="2"/>
      <c r="M885" s="2"/>
      <c r="N885" s="2"/>
      <c r="O885" s="2">
        <v>10087955</v>
      </c>
      <c r="P885" s="2" t="s">
        <v>6074</v>
      </c>
      <c r="Q885" s="2" t="s">
        <v>6075</v>
      </c>
      <c r="R885" s="2" t="s">
        <v>6076</v>
      </c>
      <c r="S885" s="2" t="s">
        <v>115</v>
      </c>
      <c r="T885" s="2" t="s">
        <v>116</v>
      </c>
      <c r="U885" s="2" t="s">
        <v>117</v>
      </c>
      <c r="V885" s="2" t="s">
        <v>59</v>
      </c>
      <c r="W885" s="2">
        <v>46.2</v>
      </c>
      <c r="X885" s="2">
        <v>36.200000000000003</v>
      </c>
      <c r="Y885" s="2" t="s">
        <v>43</v>
      </c>
      <c r="Z885" s="2" t="s">
        <v>6077</v>
      </c>
      <c r="AA885" s="2">
        <v>-1.2009388493708599</v>
      </c>
      <c r="AB885" s="2">
        <v>0.81272198846309596</v>
      </c>
      <c r="AC885" s="2">
        <v>279681.97180119302</v>
      </c>
      <c r="AD885" s="2">
        <v>329005.835973643</v>
      </c>
      <c r="AE885" s="2">
        <v>270711.10637270298</v>
      </c>
      <c r="AF885" s="2">
        <v>292981.90628940001</v>
      </c>
      <c r="AG885" s="2">
        <v>282615.63350324897</v>
      </c>
      <c r="AH885" s="2">
        <v>270553.62874411902</v>
      </c>
      <c r="AI885" s="2">
        <v>290895.83451791102</v>
      </c>
      <c r="AJ885" s="2">
        <v>270333.72137977602</v>
      </c>
      <c r="AK885" s="2">
        <v>326597.168306957</v>
      </c>
      <c r="AL885" s="2">
        <v>313902.83025317203</v>
      </c>
      <c r="AM885" s="2">
        <v>345412.72753047198</v>
      </c>
      <c r="AN885" s="2">
        <v>325328.98188324302</v>
      </c>
      <c r="AO885" s="2">
        <v>307768.263118717</v>
      </c>
      <c r="AP885" s="2">
        <v>355025.04474929703</v>
      </c>
    </row>
    <row r="886" spans="1:42" ht="14.5" x14ac:dyDescent="0.35">
      <c r="A886" s="2" t="s">
        <v>6078</v>
      </c>
      <c r="B886" s="2">
        <v>258.094619667556</v>
      </c>
      <c r="C886" s="2">
        <v>0.75019999999999998</v>
      </c>
      <c r="D886" s="2" t="s">
        <v>34</v>
      </c>
      <c r="E886" s="2" t="s">
        <v>6079</v>
      </c>
      <c r="F886" s="2">
        <v>209315</v>
      </c>
      <c r="G886" s="3" t="str">
        <f>HYPERLINK("http://funmeta.oebiotech.com/network/209315", "http://funmeta.oebiotech.com/network/209315")</f>
        <v>http://funmeta.oebiotech.com/network/209315</v>
      </c>
      <c r="H886" s="2" t="s">
        <v>6080</v>
      </c>
      <c r="I886" s="2"/>
      <c r="J886" s="2"/>
      <c r="K886" s="2"/>
      <c r="L886" s="2"/>
      <c r="M886" s="2"/>
      <c r="N886" s="2"/>
      <c r="O886" s="2"/>
      <c r="P886" s="2"/>
      <c r="Q886" s="2" t="s">
        <v>6081</v>
      </c>
      <c r="R886" s="2" t="s">
        <v>6082</v>
      </c>
      <c r="S886" s="2" t="s">
        <v>41</v>
      </c>
      <c r="T886" s="2" t="s">
        <v>41</v>
      </c>
      <c r="U886" s="2" t="s">
        <v>41</v>
      </c>
      <c r="V886" s="2" t="s">
        <v>42</v>
      </c>
      <c r="W886" s="2">
        <v>49</v>
      </c>
      <c r="X886" s="2">
        <v>48.5</v>
      </c>
      <c r="Y886" s="2" t="s">
        <v>323</v>
      </c>
      <c r="Z886" s="2" t="s">
        <v>6083</v>
      </c>
      <c r="AA886" s="2">
        <v>-0.80083079480900199</v>
      </c>
      <c r="AB886" s="2">
        <v>0.81244501924830304</v>
      </c>
      <c r="AC886" s="2">
        <v>437321.39744364301</v>
      </c>
      <c r="AD886" s="2">
        <v>498096.27642240602</v>
      </c>
      <c r="AE886" s="2">
        <v>413840.42112288502</v>
      </c>
      <c r="AF886" s="2">
        <v>490980.40143737098</v>
      </c>
      <c r="AG886" s="2">
        <v>433791.91968947701</v>
      </c>
      <c r="AH886" s="2">
        <v>427833.69118074601</v>
      </c>
      <c r="AI886" s="2">
        <v>418647.93351114599</v>
      </c>
      <c r="AJ886" s="2">
        <v>438834.01772023097</v>
      </c>
      <c r="AK886" s="2">
        <v>515695.851718619</v>
      </c>
      <c r="AL886" s="2">
        <v>541198.38321550295</v>
      </c>
      <c r="AM886" s="2">
        <v>506317.96671434102</v>
      </c>
      <c r="AN886" s="2">
        <v>476422.41700835997</v>
      </c>
      <c r="AO886" s="2">
        <v>510669.25818822702</v>
      </c>
      <c r="AP886" s="2">
        <v>438273.78168938402</v>
      </c>
    </row>
    <row r="887" spans="1:42" ht="14.5" x14ac:dyDescent="0.35">
      <c r="A887" s="2" t="s">
        <v>6084</v>
      </c>
      <c r="B887" s="2">
        <v>331.10325942288699</v>
      </c>
      <c r="C887" s="2">
        <v>1.69431666666667</v>
      </c>
      <c r="D887" s="2" t="s">
        <v>70</v>
      </c>
      <c r="E887" s="2" t="s">
        <v>6085</v>
      </c>
      <c r="F887" s="2">
        <v>62282</v>
      </c>
      <c r="G887" s="3" t="str">
        <f>HYPERLINK("http://funmeta.oebiotech.com/network/62282", "http://funmeta.oebiotech.com/network/62282")</f>
        <v>http://funmeta.oebiotech.com/network/62282</v>
      </c>
      <c r="H887" s="2" t="s">
        <v>6086</v>
      </c>
      <c r="I887" s="2">
        <v>93573</v>
      </c>
      <c r="J887" s="2"/>
      <c r="K887" s="2">
        <v>174738</v>
      </c>
      <c r="L887" s="2"/>
      <c r="M887" s="2"/>
      <c r="N887" s="2"/>
      <c r="O887" s="2">
        <v>131752499</v>
      </c>
      <c r="P887" s="2"/>
      <c r="Q887" s="2" t="s">
        <v>6087</v>
      </c>
      <c r="R887" s="2" t="s">
        <v>6088</v>
      </c>
      <c r="S887" s="2" t="s">
        <v>50</v>
      </c>
      <c r="T887" s="2" t="s">
        <v>229</v>
      </c>
      <c r="U887" s="2" t="s">
        <v>230</v>
      </c>
      <c r="V887" s="2" t="s">
        <v>59</v>
      </c>
      <c r="W887" s="2">
        <v>42</v>
      </c>
      <c r="X887" s="2">
        <v>13.7</v>
      </c>
      <c r="Y887" s="2" t="s">
        <v>408</v>
      </c>
      <c r="Z887" s="2" t="s">
        <v>6089</v>
      </c>
      <c r="AA887" s="2">
        <v>-0.68632536814782796</v>
      </c>
      <c r="AB887" s="2">
        <v>0.81090740674348905</v>
      </c>
      <c r="AC887" s="2">
        <v>40288.993934261503</v>
      </c>
      <c r="AD887" s="2">
        <v>83883.995696636295</v>
      </c>
      <c r="AE887" s="2">
        <v>38855.522076179601</v>
      </c>
      <c r="AF887" s="2">
        <v>41718.900349438598</v>
      </c>
      <c r="AG887" s="2">
        <v>41270.1569039846</v>
      </c>
      <c r="AH887" s="2">
        <v>38742.507480916101</v>
      </c>
      <c r="AI887" s="2">
        <v>39480.628715982399</v>
      </c>
      <c r="AJ887" s="2">
        <v>41666.248079067598</v>
      </c>
      <c r="AK887" s="2">
        <v>76878.250983785198</v>
      </c>
      <c r="AL887" s="2">
        <v>81153.467426371193</v>
      </c>
      <c r="AM887" s="2">
        <v>86751.906656084204</v>
      </c>
      <c r="AN887" s="2">
        <v>84426.4277918632</v>
      </c>
      <c r="AO887" s="2">
        <v>83406.084901777198</v>
      </c>
      <c r="AP887" s="2">
        <v>90687.836419936793</v>
      </c>
    </row>
    <row r="888" spans="1:42" ht="14.5" x14ac:dyDescent="0.35">
      <c r="A888" s="2" t="s">
        <v>6090</v>
      </c>
      <c r="B888" s="2">
        <v>614.33346365377395</v>
      </c>
      <c r="C888" s="2">
        <v>6.0057166666666699</v>
      </c>
      <c r="D888" s="2" t="s">
        <v>34</v>
      </c>
      <c r="E888" s="2" t="s">
        <v>6091</v>
      </c>
      <c r="F888" s="2">
        <v>275810</v>
      </c>
      <c r="G888" s="3" t="str">
        <f>HYPERLINK("http://funmeta.oebiotech.com/network/275810", "http://funmeta.oebiotech.com/network/275810")</f>
        <v>http://funmeta.oebiotech.com/network/275810</v>
      </c>
      <c r="H888" s="2"/>
      <c r="I888" s="2">
        <v>67197</v>
      </c>
      <c r="J888" s="2"/>
      <c r="K888" s="2"/>
      <c r="L888" s="2" t="s">
        <v>6092</v>
      </c>
      <c r="M888" s="2"/>
      <c r="N888" s="2"/>
      <c r="O888" s="2">
        <v>6437066</v>
      </c>
      <c r="P888" s="2" t="s">
        <v>6093</v>
      </c>
      <c r="Q888" s="2" t="s">
        <v>6094</v>
      </c>
      <c r="R888" s="2" t="s">
        <v>6095</v>
      </c>
      <c r="S888" s="2" t="s">
        <v>50</v>
      </c>
      <c r="T888" s="2" t="s">
        <v>201</v>
      </c>
      <c r="U888" s="2" t="s">
        <v>210</v>
      </c>
      <c r="V888" s="2" t="s">
        <v>59</v>
      </c>
      <c r="W888" s="2">
        <v>37.299999999999997</v>
      </c>
      <c r="X888" s="2">
        <v>0</v>
      </c>
      <c r="Y888" s="2" t="s">
        <v>43</v>
      </c>
      <c r="Z888" s="2" t="s">
        <v>6096</v>
      </c>
      <c r="AA888" s="2">
        <v>1.8533278101886801</v>
      </c>
      <c r="AB888" s="2">
        <v>0.81065446661410201</v>
      </c>
      <c r="AC888" s="2">
        <v>35463.007684188902</v>
      </c>
      <c r="AD888" s="2">
        <v>79508.340757309401</v>
      </c>
      <c r="AE888" s="2">
        <v>33128.766869701802</v>
      </c>
      <c r="AF888" s="2">
        <v>34097.620972590703</v>
      </c>
      <c r="AG888" s="2">
        <v>37050.209792017798</v>
      </c>
      <c r="AH888" s="2">
        <v>32367.217632423999</v>
      </c>
      <c r="AI888" s="2">
        <v>38764.381581488</v>
      </c>
      <c r="AJ888" s="2">
        <v>37369.849256911199</v>
      </c>
      <c r="AK888" s="2">
        <v>77036.660823855098</v>
      </c>
      <c r="AL888" s="2">
        <v>72013.920285002998</v>
      </c>
      <c r="AM888" s="2">
        <v>72105.629720444995</v>
      </c>
      <c r="AN888" s="2">
        <v>89536.820113659196</v>
      </c>
      <c r="AO888" s="2">
        <v>81982.077126212898</v>
      </c>
      <c r="AP888" s="2">
        <v>84374.936474681104</v>
      </c>
    </row>
    <row r="889" spans="1:42" ht="14.5" x14ac:dyDescent="0.35">
      <c r="A889" s="2" t="s">
        <v>6097</v>
      </c>
      <c r="B889" s="2">
        <v>441.29968917743798</v>
      </c>
      <c r="C889" s="2">
        <v>5.01</v>
      </c>
      <c r="D889" s="2" t="s">
        <v>34</v>
      </c>
      <c r="E889" s="2" t="s">
        <v>6098</v>
      </c>
      <c r="F889" s="2">
        <v>58389</v>
      </c>
      <c r="G889" s="3" t="str">
        <f>HYPERLINK("http://funmeta.oebiotech.com/network/58389", "http://funmeta.oebiotech.com/network/58389")</f>
        <v>http://funmeta.oebiotech.com/network/58389</v>
      </c>
      <c r="H889" s="2" t="s">
        <v>6099</v>
      </c>
      <c r="I889" s="2"/>
      <c r="J889" s="2"/>
      <c r="K889" s="2"/>
      <c r="L889" s="2"/>
      <c r="M889" s="2"/>
      <c r="N889" s="2"/>
      <c r="O889" s="2">
        <v>131751551</v>
      </c>
      <c r="P889" s="2" t="s">
        <v>6100</v>
      </c>
      <c r="Q889" s="2" t="s">
        <v>6101</v>
      </c>
      <c r="R889" s="2" t="s">
        <v>6102</v>
      </c>
      <c r="S889" s="2" t="s">
        <v>50</v>
      </c>
      <c r="T889" s="2" t="s">
        <v>201</v>
      </c>
      <c r="U889" s="2" t="s">
        <v>241</v>
      </c>
      <c r="V889" s="2" t="s">
        <v>59</v>
      </c>
      <c r="W889" s="2">
        <v>43.4</v>
      </c>
      <c r="X889" s="2">
        <v>21.6</v>
      </c>
      <c r="Y889" s="2" t="s">
        <v>266</v>
      </c>
      <c r="Z889" s="2" t="s">
        <v>6103</v>
      </c>
      <c r="AA889" s="2">
        <v>-0.56102593723256</v>
      </c>
      <c r="AB889" s="2">
        <v>0.81004512037469201</v>
      </c>
      <c r="AC889" s="2">
        <v>259362.671639092</v>
      </c>
      <c r="AD889" s="2">
        <v>305641.14012079098</v>
      </c>
      <c r="AE889" s="2">
        <v>251212.309034968</v>
      </c>
      <c r="AF889" s="2">
        <v>262652.32482095598</v>
      </c>
      <c r="AG889" s="2">
        <v>276527.84533314698</v>
      </c>
      <c r="AH889" s="2">
        <v>263892.47915695602</v>
      </c>
      <c r="AI889" s="2">
        <v>249516.67716687699</v>
      </c>
      <c r="AJ889" s="2">
        <v>252374.39432164701</v>
      </c>
      <c r="AK889" s="2">
        <v>290104.67407597002</v>
      </c>
      <c r="AL889" s="2">
        <v>299973.53138724301</v>
      </c>
      <c r="AM889" s="2">
        <v>305579.03972375602</v>
      </c>
      <c r="AN889" s="2">
        <v>311015.63402585802</v>
      </c>
      <c r="AO889" s="2">
        <v>313183.63887402799</v>
      </c>
      <c r="AP889" s="2">
        <v>313990.32263789198</v>
      </c>
    </row>
    <row r="890" spans="1:42" ht="14.5" x14ac:dyDescent="0.35">
      <c r="A890" s="2" t="s">
        <v>6104</v>
      </c>
      <c r="B890" s="2">
        <v>561.29181523908301</v>
      </c>
      <c r="C890" s="2">
        <v>4.7765333333333304</v>
      </c>
      <c r="D890" s="2" t="s">
        <v>70</v>
      </c>
      <c r="E890" s="2" t="s">
        <v>6105</v>
      </c>
      <c r="F890" s="2">
        <v>28265</v>
      </c>
      <c r="G890" s="3" t="str">
        <f>HYPERLINK("http://funmeta.oebiotech.com/network/28265", "http://funmeta.oebiotech.com/network/28265")</f>
        <v>http://funmeta.oebiotech.com/network/28265</v>
      </c>
      <c r="H890" s="2"/>
      <c r="I890" s="2">
        <v>40996</v>
      </c>
      <c r="J890" s="2" t="s">
        <v>6106</v>
      </c>
      <c r="K890" s="2">
        <v>29614</v>
      </c>
      <c r="L890" s="2" t="s">
        <v>6107</v>
      </c>
      <c r="M890" s="2" t="s">
        <v>2604</v>
      </c>
      <c r="N890" s="2" t="s">
        <v>2605</v>
      </c>
      <c r="O890" s="2">
        <v>443565</v>
      </c>
      <c r="P890" s="2"/>
      <c r="Q890" s="2" t="s">
        <v>6108</v>
      </c>
      <c r="R890" s="2" t="s">
        <v>6109</v>
      </c>
      <c r="S890" s="2" t="s">
        <v>115</v>
      </c>
      <c r="T890" s="2" t="s">
        <v>1384</v>
      </c>
      <c r="U890" s="2" t="s">
        <v>41</v>
      </c>
      <c r="V890" s="2" t="s">
        <v>42</v>
      </c>
      <c r="W890" s="2">
        <v>51.4</v>
      </c>
      <c r="X890" s="2">
        <v>58.9</v>
      </c>
      <c r="Y890" s="2" t="s">
        <v>408</v>
      </c>
      <c r="Z890" s="2" t="s">
        <v>6110</v>
      </c>
      <c r="AA890" s="2">
        <v>0.31912549679628799</v>
      </c>
      <c r="AB890" s="2">
        <v>0.80898609624865803</v>
      </c>
      <c r="AC890" s="2">
        <v>1589531.05369336</v>
      </c>
      <c r="AD890" s="2">
        <v>1528525.0961388999</v>
      </c>
      <c r="AE890" s="2">
        <v>1636290.93091348</v>
      </c>
      <c r="AF890" s="2">
        <v>1584698.6936898499</v>
      </c>
      <c r="AG890" s="2">
        <v>1585569.2240420701</v>
      </c>
      <c r="AH890" s="2">
        <v>1573103.12623651</v>
      </c>
      <c r="AI890" s="2">
        <v>1554382.1747055301</v>
      </c>
      <c r="AJ890" s="2">
        <v>1603142.1725727301</v>
      </c>
      <c r="AK890" s="2">
        <v>1460309.1525924399</v>
      </c>
      <c r="AL890" s="2">
        <v>1537994.30964529</v>
      </c>
      <c r="AM890" s="2">
        <v>1582224.4066024199</v>
      </c>
      <c r="AN890" s="2">
        <v>1524578.8985874699</v>
      </c>
      <c r="AO890" s="2">
        <v>1530395.21910347</v>
      </c>
      <c r="AP890" s="2">
        <v>1535648.59030233</v>
      </c>
    </row>
    <row r="891" spans="1:42" ht="14.5" x14ac:dyDescent="0.35">
      <c r="A891" s="2" t="s">
        <v>6111</v>
      </c>
      <c r="B891" s="2">
        <v>311.22263412345302</v>
      </c>
      <c r="C891" s="2">
        <v>9.5480833333333308</v>
      </c>
      <c r="D891" s="2" t="s">
        <v>70</v>
      </c>
      <c r="E891" s="2" t="s">
        <v>6112</v>
      </c>
      <c r="F891" s="2">
        <v>2989</v>
      </c>
      <c r="G891" s="3" t="str">
        <f>HYPERLINK("http://funmeta.oebiotech.com/network/2989", "http://funmeta.oebiotech.com/network/2989")</f>
        <v>http://funmeta.oebiotech.com/network/2989</v>
      </c>
      <c r="H891" s="2" t="s">
        <v>6113</v>
      </c>
      <c r="I891" s="2">
        <v>36036</v>
      </c>
      <c r="J891" s="2" t="s">
        <v>6114</v>
      </c>
      <c r="K891" s="2">
        <v>15655</v>
      </c>
      <c r="L891" s="2" t="s">
        <v>6115</v>
      </c>
      <c r="M891" s="2" t="s">
        <v>4579</v>
      </c>
      <c r="N891" s="2" t="s">
        <v>4580</v>
      </c>
      <c r="O891" s="2">
        <v>5280720</v>
      </c>
      <c r="P891" s="2" t="s">
        <v>6116</v>
      </c>
      <c r="Q891" s="2" t="s">
        <v>6117</v>
      </c>
      <c r="R891" s="2" t="s">
        <v>6118</v>
      </c>
      <c r="S891" s="2" t="s">
        <v>50</v>
      </c>
      <c r="T891" s="2" t="s">
        <v>229</v>
      </c>
      <c r="U891" s="2" t="s">
        <v>1360</v>
      </c>
      <c r="V891" s="2" t="s">
        <v>42</v>
      </c>
      <c r="W891" s="2">
        <v>50.8</v>
      </c>
      <c r="X891" s="2">
        <v>58.6</v>
      </c>
      <c r="Y891" s="2" t="s">
        <v>118</v>
      </c>
      <c r="Z891" s="2" t="s">
        <v>4584</v>
      </c>
      <c r="AA891" s="2">
        <v>-0.47704896530176299</v>
      </c>
      <c r="AB891" s="2">
        <v>0.80537950841745698</v>
      </c>
      <c r="AC891" s="2">
        <v>37811.416850895301</v>
      </c>
      <c r="AD891" s="2">
        <v>80684.929985584298</v>
      </c>
      <c r="AE891" s="2">
        <v>39405.499002925098</v>
      </c>
      <c r="AF891" s="2">
        <v>38197.702397690598</v>
      </c>
      <c r="AG891" s="2">
        <v>37040.314347561602</v>
      </c>
      <c r="AH891" s="2">
        <v>40529.1471487585</v>
      </c>
      <c r="AI891" s="2">
        <v>35306.6700426104</v>
      </c>
      <c r="AJ891" s="2">
        <v>36389.168165825402</v>
      </c>
      <c r="AK891" s="2">
        <v>81296.934607389194</v>
      </c>
      <c r="AL891" s="2">
        <v>82095.514111322307</v>
      </c>
      <c r="AM891" s="2">
        <v>83610.972084349894</v>
      </c>
      <c r="AN891" s="2">
        <v>80596.529261768694</v>
      </c>
      <c r="AO891" s="2">
        <v>82336.087531000798</v>
      </c>
      <c r="AP891" s="2">
        <v>74173.542317675194</v>
      </c>
    </row>
    <row r="892" spans="1:42" ht="14.5" x14ac:dyDescent="0.35">
      <c r="A892" s="2" t="s">
        <v>6119</v>
      </c>
      <c r="B892" s="2">
        <v>772.45601651920697</v>
      </c>
      <c r="C892" s="2">
        <v>11.57925</v>
      </c>
      <c r="D892" s="2" t="s">
        <v>70</v>
      </c>
      <c r="E892" s="2" t="s">
        <v>6120</v>
      </c>
      <c r="F892" s="2">
        <v>214640</v>
      </c>
      <c r="G892" s="3" t="str">
        <f>HYPERLINK("http://funmeta.oebiotech.com/network/214640", "http://funmeta.oebiotech.com/network/214640")</f>
        <v>http://funmeta.oebiotech.com/network/214640</v>
      </c>
      <c r="H892" s="2" t="s">
        <v>6121</v>
      </c>
      <c r="I892" s="2"/>
      <c r="J892" s="2"/>
      <c r="K892" s="2"/>
      <c r="L892" s="2"/>
      <c r="M892" s="2"/>
      <c r="N892" s="2"/>
      <c r="O892" s="2"/>
      <c r="P892" s="2"/>
      <c r="Q892" s="2" t="s">
        <v>6122</v>
      </c>
      <c r="R892" s="2" t="s">
        <v>6123</v>
      </c>
      <c r="S892" s="2" t="s">
        <v>41</v>
      </c>
      <c r="T892" s="2" t="s">
        <v>41</v>
      </c>
      <c r="U892" s="2" t="s">
        <v>41</v>
      </c>
      <c r="V892" s="2" t="s">
        <v>59</v>
      </c>
      <c r="W892" s="2">
        <v>36</v>
      </c>
      <c r="X892" s="2">
        <v>0</v>
      </c>
      <c r="Y892" s="2" t="s">
        <v>751</v>
      </c>
      <c r="Z892" s="2" t="s">
        <v>6124</v>
      </c>
      <c r="AA892" s="2">
        <v>0.15611877214683401</v>
      </c>
      <c r="AB892" s="2">
        <v>0.80528128080351702</v>
      </c>
      <c r="AC892" s="2">
        <v>10138.192632848801</v>
      </c>
      <c r="AD892" s="2">
        <v>53046.236908614002</v>
      </c>
      <c r="AE892" s="2">
        <v>9384.1833783445709</v>
      </c>
      <c r="AF892" s="2">
        <v>9652.7168529667506</v>
      </c>
      <c r="AG892" s="2">
        <v>9479.7999010270596</v>
      </c>
      <c r="AH892" s="2">
        <v>10154.178831630799</v>
      </c>
      <c r="AI892" s="2">
        <v>11665.183841386</v>
      </c>
      <c r="AJ892" s="2">
        <v>10493.0929917376</v>
      </c>
      <c r="AK892" s="2">
        <v>49316.027327251599</v>
      </c>
      <c r="AL892" s="2">
        <v>47046.504844594798</v>
      </c>
      <c r="AM892" s="2">
        <v>54039.499471400297</v>
      </c>
      <c r="AN892" s="2">
        <v>51750.030399873103</v>
      </c>
      <c r="AO892" s="2">
        <v>58911.177159394698</v>
      </c>
      <c r="AP892" s="2">
        <v>57214.1822491696</v>
      </c>
    </row>
    <row r="893" spans="1:42" ht="14.5" x14ac:dyDescent="0.35">
      <c r="A893" s="2" t="s">
        <v>6125</v>
      </c>
      <c r="B893" s="2">
        <v>770.30179504133298</v>
      </c>
      <c r="C893" s="2">
        <v>5.4498833333333296</v>
      </c>
      <c r="D893" s="2" t="s">
        <v>70</v>
      </c>
      <c r="E893" s="2" t="s">
        <v>6126</v>
      </c>
      <c r="F893" s="2">
        <v>201258</v>
      </c>
      <c r="G893" s="3" t="str">
        <f>HYPERLINK("http://funmeta.oebiotech.com/network/201258", "http://funmeta.oebiotech.com/network/201258")</f>
        <v>http://funmeta.oebiotech.com/network/201258</v>
      </c>
      <c r="H893" s="2" t="s">
        <v>6127</v>
      </c>
      <c r="I893" s="2"/>
      <c r="J893" s="2"/>
      <c r="K893" s="2"/>
      <c r="L893" s="2"/>
      <c r="M893" s="2"/>
      <c r="N893" s="2"/>
      <c r="O893" s="2">
        <v>3629916</v>
      </c>
      <c r="P893" s="2"/>
      <c r="Q893" s="2" t="s">
        <v>6128</v>
      </c>
      <c r="R893" s="2" t="s">
        <v>6129</v>
      </c>
      <c r="S893" s="2" t="s">
        <v>115</v>
      </c>
      <c r="T893" s="2" t="s">
        <v>6130</v>
      </c>
      <c r="U893" s="2" t="s">
        <v>41</v>
      </c>
      <c r="V893" s="2" t="s">
        <v>59</v>
      </c>
      <c r="W893" s="2">
        <v>39.200000000000003</v>
      </c>
      <c r="X893" s="2">
        <v>4.62</v>
      </c>
      <c r="Y893" s="2" t="s">
        <v>408</v>
      </c>
      <c r="Z893" s="2" t="s">
        <v>6131</v>
      </c>
      <c r="AA893" s="2">
        <v>-1.58332763155255</v>
      </c>
      <c r="AB893" s="2">
        <v>0.80349273156406398</v>
      </c>
      <c r="AC893" s="2">
        <v>85209.085081296595</v>
      </c>
      <c r="AD893" s="2">
        <v>128731.05858322501</v>
      </c>
      <c r="AE893" s="2">
        <v>89936.144722813799</v>
      </c>
      <c r="AF893" s="2">
        <v>82119.237580479399</v>
      </c>
      <c r="AG893" s="2">
        <v>85455.079301260499</v>
      </c>
      <c r="AH893" s="2">
        <v>78195.720453046699</v>
      </c>
      <c r="AI893" s="2">
        <v>87100.966638999904</v>
      </c>
      <c r="AJ893" s="2">
        <v>88447.361791179501</v>
      </c>
      <c r="AK893" s="2">
        <v>120842.509255606</v>
      </c>
      <c r="AL893" s="2">
        <v>134105.83468220499</v>
      </c>
      <c r="AM893" s="2">
        <v>138210.06408973801</v>
      </c>
      <c r="AN893" s="2">
        <v>122473.362807139</v>
      </c>
      <c r="AO893" s="2">
        <v>128909.530338759</v>
      </c>
      <c r="AP893" s="2">
        <v>127845.05032590299</v>
      </c>
    </row>
    <row r="894" spans="1:42" ht="14.5" x14ac:dyDescent="0.35">
      <c r="A894" s="2" t="s">
        <v>6132</v>
      </c>
      <c r="B894" s="2">
        <v>460.15745024557998</v>
      </c>
      <c r="C894" s="2">
        <v>5.1048166666666699</v>
      </c>
      <c r="D894" s="2" t="s">
        <v>34</v>
      </c>
      <c r="E894" s="2" t="s">
        <v>6133</v>
      </c>
      <c r="F894" s="2">
        <v>267495</v>
      </c>
      <c r="G894" s="3" t="str">
        <f>HYPERLINK("http://funmeta.oebiotech.com/network/267495", "http://funmeta.oebiotech.com/network/267495")</f>
        <v>http://funmeta.oebiotech.com/network/267495</v>
      </c>
      <c r="H894" s="2"/>
      <c r="I894" s="2">
        <v>45560</v>
      </c>
      <c r="J894" s="2"/>
      <c r="K894" s="2"/>
      <c r="L894" s="2"/>
      <c r="M894" s="2"/>
      <c r="N894" s="2"/>
      <c r="O894" s="2">
        <v>16739265</v>
      </c>
      <c r="P894" s="2" t="s">
        <v>6134</v>
      </c>
      <c r="Q894" s="2" t="s">
        <v>6135</v>
      </c>
      <c r="R894" s="2" t="s">
        <v>6136</v>
      </c>
      <c r="S894" s="2" t="s">
        <v>491</v>
      </c>
      <c r="T894" s="2" t="s">
        <v>2184</v>
      </c>
      <c r="U894" s="2" t="s">
        <v>6137</v>
      </c>
      <c r="V894" s="2" t="s">
        <v>59</v>
      </c>
      <c r="W894" s="2">
        <v>37</v>
      </c>
      <c r="X894" s="2">
        <v>0</v>
      </c>
      <c r="Y894" s="2" t="s">
        <v>340</v>
      </c>
      <c r="Z894" s="2" t="s">
        <v>6138</v>
      </c>
      <c r="AA894" s="2">
        <v>6.8589072750321396</v>
      </c>
      <c r="AB894" s="2">
        <v>0.80048436043387206</v>
      </c>
      <c r="AC894" s="2">
        <v>4339.92343504983</v>
      </c>
      <c r="AD894" s="2">
        <v>46586.193329207803</v>
      </c>
      <c r="AE894" s="2">
        <v>4682.0706730246702</v>
      </c>
      <c r="AF894" s="2">
        <v>2899.7385586692099</v>
      </c>
      <c r="AG894" s="2">
        <v>5818.4883902423999</v>
      </c>
      <c r="AH894" s="2">
        <v>2836.5175602910199</v>
      </c>
      <c r="AI894" s="2">
        <v>4799.57586774028</v>
      </c>
      <c r="AJ894" s="2">
        <v>5003.1495603313997</v>
      </c>
      <c r="AK894" s="2">
        <v>45052.1206117642</v>
      </c>
      <c r="AL894" s="2">
        <v>49180.518320947704</v>
      </c>
      <c r="AM894" s="2">
        <v>44530.538616953898</v>
      </c>
      <c r="AN894" s="2">
        <v>44954.557787101003</v>
      </c>
      <c r="AO894" s="2">
        <v>51203.453665466099</v>
      </c>
      <c r="AP894" s="2">
        <v>44595.970973013602</v>
      </c>
    </row>
    <row r="895" spans="1:42" ht="14.5" x14ac:dyDescent="0.35">
      <c r="A895" s="2" t="s">
        <v>6139</v>
      </c>
      <c r="B895" s="2">
        <v>735.26874791906596</v>
      </c>
      <c r="C895" s="2">
        <v>5.5993333333333304</v>
      </c>
      <c r="D895" s="2" t="s">
        <v>70</v>
      </c>
      <c r="E895" s="2" t="s">
        <v>6140</v>
      </c>
      <c r="F895" s="2">
        <v>212132</v>
      </c>
      <c r="G895" s="3" t="str">
        <f>HYPERLINK("http://funmeta.oebiotech.com/network/212132", "http://funmeta.oebiotech.com/network/212132")</f>
        <v>http://funmeta.oebiotech.com/network/212132</v>
      </c>
      <c r="H895" s="2" t="s">
        <v>6141</v>
      </c>
      <c r="I895" s="2"/>
      <c r="J895" s="2"/>
      <c r="K895" s="2"/>
      <c r="L895" s="2"/>
      <c r="M895" s="2"/>
      <c r="N895" s="2"/>
      <c r="O895" s="2"/>
      <c r="P895" s="2"/>
      <c r="Q895" s="2" t="s">
        <v>6142</v>
      </c>
      <c r="R895" s="2" t="s">
        <v>6143</v>
      </c>
      <c r="S895" s="2" t="s">
        <v>148</v>
      </c>
      <c r="T895" s="2" t="s">
        <v>149</v>
      </c>
      <c r="U895" s="2" t="s">
        <v>3473</v>
      </c>
      <c r="V895" s="2" t="s">
        <v>59</v>
      </c>
      <c r="W895" s="2">
        <v>38.1</v>
      </c>
      <c r="X895" s="2">
        <v>0</v>
      </c>
      <c r="Y895" s="2" t="s">
        <v>560</v>
      </c>
      <c r="Z895" s="2" t="s">
        <v>6144</v>
      </c>
      <c r="AA895" s="2">
        <v>2.1470981104515499</v>
      </c>
      <c r="AB895" s="2">
        <v>0.79999617883796303</v>
      </c>
      <c r="AC895" s="2">
        <v>64627.371329937101</v>
      </c>
      <c r="AD895" s="2">
        <v>22113.0148851589</v>
      </c>
      <c r="AE895" s="2">
        <v>68806.999336670604</v>
      </c>
      <c r="AF895" s="2">
        <v>66227.467917833404</v>
      </c>
      <c r="AG895" s="2">
        <v>61498.358567946998</v>
      </c>
      <c r="AH895" s="2">
        <v>62981.192026997604</v>
      </c>
      <c r="AI895" s="2">
        <v>57527.930561670102</v>
      </c>
      <c r="AJ895" s="2">
        <v>70722.279568504106</v>
      </c>
      <c r="AK895" s="2">
        <v>19236.678383904899</v>
      </c>
      <c r="AL895" s="2">
        <v>20760.854800438701</v>
      </c>
      <c r="AM895" s="2">
        <v>23987.834595982298</v>
      </c>
      <c r="AN895" s="2">
        <v>25981.050953836198</v>
      </c>
      <c r="AO895" s="2">
        <v>20702.3115481124</v>
      </c>
      <c r="AP895" s="2">
        <v>22009.359028678798</v>
      </c>
    </row>
    <row r="896" spans="1:42" ht="14.5" x14ac:dyDescent="0.35">
      <c r="A896" s="2" t="s">
        <v>6145</v>
      </c>
      <c r="B896" s="2">
        <v>281.24735604287201</v>
      </c>
      <c r="C896" s="2">
        <v>9.7086333333333297</v>
      </c>
      <c r="D896" s="2" t="s">
        <v>34</v>
      </c>
      <c r="E896" s="2" t="s">
        <v>6146</v>
      </c>
      <c r="F896" s="2">
        <v>628</v>
      </c>
      <c r="G896" s="3" t="str">
        <f>HYPERLINK("http://funmeta.oebiotech.com/network/628", "http://funmeta.oebiotech.com/network/628")</f>
        <v>http://funmeta.oebiotech.com/network/628</v>
      </c>
      <c r="H896" s="2" t="s">
        <v>6147</v>
      </c>
      <c r="I896" s="2">
        <v>191</v>
      </c>
      <c r="J896" s="2" t="s">
        <v>6148</v>
      </c>
      <c r="K896" s="2">
        <v>17351</v>
      </c>
      <c r="L896" s="2" t="s">
        <v>6149</v>
      </c>
      <c r="M896" s="2" t="s">
        <v>6150</v>
      </c>
      <c r="N896" s="2" t="s">
        <v>6151</v>
      </c>
      <c r="O896" s="2">
        <v>5280450</v>
      </c>
      <c r="P896" s="2" t="s">
        <v>6152</v>
      </c>
      <c r="Q896" s="2" t="s">
        <v>6153</v>
      </c>
      <c r="R896" s="2" t="s">
        <v>6154</v>
      </c>
      <c r="S896" s="2" t="s">
        <v>50</v>
      </c>
      <c r="T896" s="2" t="s">
        <v>229</v>
      </c>
      <c r="U896" s="2" t="s">
        <v>1360</v>
      </c>
      <c r="V896" s="2" t="s">
        <v>42</v>
      </c>
      <c r="W896" s="2">
        <v>51.4</v>
      </c>
      <c r="X896" s="2">
        <v>61.2</v>
      </c>
      <c r="Y896" s="2" t="s">
        <v>394</v>
      </c>
      <c r="Z896" s="2" t="s">
        <v>6155</v>
      </c>
      <c r="AA896" s="2">
        <v>-0.53759050740546399</v>
      </c>
      <c r="AB896" s="2">
        <v>0.79955176288340701</v>
      </c>
      <c r="AC896" s="2">
        <v>232246.19679699701</v>
      </c>
      <c r="AD896" s="2">
        <v>276753.57468048099</v>
      </c>
      <c r="AE896" s="2">
        <v>234786.89970136201</v>
      </c>
      <c r="AF896" s="2">
        <v>236838.64106621299</v>
      </c>
      <c r="AG896" s="2">
        <v>236736.363181989</v>
      </c>
      <c r="AH896" s="2">
        <v>230621.169711461</v>
      </c>
      <c r="AI896" s="2">
        <v>228170.64166626299</v>
      </c>
      <c r="AJ896" s="2">
        <v>226323.46545469499</v>
      </c>
      <c r="AK896" s="2">
        <v>292478.25536408002</v>
      </c>
      <c r="AL896" s="2">
        <v>283712.14246702997</v>
      </c>
      <c r="AM896" s="2">
        <v>272035.22387504001</v>
      </c>
      <c r="AN896" s="2">
        <v>272167.16065257002</v>
      </c>
      <c r="AO896" s="2">
        <v>279245.39553533099</v>
      </c>
      <c r="AP896" s="2">
        <v>260883.270188836</v>
      </c>
    </row>
    <row r="897" spans="1:42" ht="14.5" x14ac:dyDescent="0.35">
      <c r="A897" s="2" t="s">
        <v>6156</v>
      </c>
      <c r="B897" s="2">
        <v>682.32191305812103</v>
      </c>
      <c r="C897" s="2">
        <v>6.2504</v>
      </c>
      <c r="D897" s="2" t="s">
        <v>34</v>
      </c>
      <c r="E897" s="2" t="s">
        <v>6157</v>
      </c>
      <c r="F897" s="2">
        <v>47940</v>
      </c>
      <c r="G897" s="3" t="str">
        <f>HYPERLINK("http://funmeta.oebiotech.com/network/47940", "http://funmeta.oebiotech.com/network/47940")</f>
        <v>http://funmeta.oebiotech.com/network/47940</v>
      </c>
      <c r="H897" s="2" t="s">
        <v>6158</v>
      </c>
      <c r="I897" s="2"/>
      <c r="J897" s="2"/>
      <c r="K897" s="2"/>
      <c r="L897" s="2"/>
      <c r="M897" s="2"/>
      <c r="N897" s="2"/>
      <c r="O897" s="2">
        <v>5283812</v>
      </c>
      <c r="P897" s="2" t="s">
        <v>6159</v>
      </c>
      <c r="Q897" s="2" t="s">
        <v>6160</v>
      </c>
      <c r="R897" s="2" t="s">
        <v>6161</v>
      </c>
      <c r="S897" s="2" t="s">
        <v>50</v>
      </c>
      <c r="T897" s="2" t="s">
        <v>124</v>
      </c>
      <c r="U897" s="2" t="s">
        <v>125</v>
      </c>
      <c r="V897" s="2" t="s">
        <v>59</v>
      </c>
      <c r="W897" s="2">
        <v>41.1</v>
      </c>
      <c r="X897" s="2">
        <v>19.399999999999999</v>
      </c>
      <c r="Y897" s="2" t="s">
        <v>323</v>
      </c>
      <c r="Z897" s="2" t="s">
        <v>6162</v>
      </c>
      <c r="AA897" s="2">
        <v>-1.88090053844607</v>
      </c>
      <c r="AB897" s="2">
        <v>0.79954693391422405</v>
      </c>
      <c r="AC897" s="2">
        <v>278357.65728256397</v>
      </c>
      <c r="AD897" s="2">
        <v>324711.80856805103</v>
      </c>
      <c r="AE897" s="2">
        <v>279177.69636653998</v>
      </c>
      <c r="AF897" s="2">
        <v>287212.23220038001</v>
      </c>
      <c r="AG897" s="2">
        <v>293283.00273294398</v>
      </c>
      <c r="AH897" s="2">
        <v>262261.51452344097</v>
      </c>
      <c r="AI897" s="2">
        <v>274921.534985409</v>
      </c>
      <c r="AJ897" s="2">
        <v>273289.96288667101</v>
      </c>
      <c r="AK897" s="2">
        <v>307179.302091891</v>
      </c>
      <c r="AL897" s="2">
        <v>313166.71462002298</v>
      </c>
      <c r="AM897" s="2">
        <v>332203.86718359002</v>
      </c>
      <c r="AN897" s="2">
        <v>338606.07888440898</v>
      </c>
      <c r="AO897" s="2">
        <v>321125.34642847301</v>
      </c>
      <c r="AP897" s="2">
        <v>335989.54219991702</v>
      </c>
    </row>
    <row r="898" spans="1:42" ht="14.5" x14ac:dyDescent="0.35">
      <c r="A898" s="2" t="s">
        <v>6163</v>
      </c>
      <c r="B898" s="2">
        <v>486.93845619217001</v>
      </c>
      <c r="C898" s="2">
        <v>5.3873333333333298</v>
      </c>
      <c r="D898" s="2" t="s">
        <v>34</v>
      </c>
      <c r="E898" s="2" t="s">
        <v>6164</v>
      </c>
      <c r="F898" s="2">
        <v>256306</v>
      </c>
      <c r="G898" s="3" t="str">
        <f>HYPERLINK("http://funmeta.oebiotech.com/network/256306", "http://funmeta.oebiotech.com/network/256306")</f>
        <v>http://funmeta.oebiotech.com/network/256306</v>
      </c>
      <c r="H898" s="2" t="s">
        <v>6165</v>
      </c>
      <c r="I898" s="2"/>
      <c r="J898" s="2"/>
      <c r="K898" s="2"/>
      <c r="L898" s="2"/>
      <c r="M898" s="2"/>
      <c r="N898" s="2"/>
      <c r="O898" s="2"/>
      <c r="P898" s="2"/>
      <c r="Q898" s="2" t="s">
        <v>6166</v>
      </c>
      <c r="R898" s="2" t="s">
        <v>6167</v>
      </c>
      <c r="S898" s="2" t="s">
        <v>89</v>
      </c>
      <c r="T898" s="2" t="s">
        <v>90</v>
      </c>
      <c r="U898" s="2" t="s">
        <v>91</v>
      </c>
      <c r="V898" s="2" t="s">
        <v>59</v>
      </c>
      <c r="W898" s="2">
        <v>36.799999999999997</v>
      </c>
      <c r="X898" s="2">
        <v>0</v>
      </c>
      <c r="Y898" s="2" t="s">
        <v>141</v>
      </c>
      <c r="Z898" s="2" t="s">
        <v>6168</v>
      </c>
      <c r="AA898" s="2">
        <v>-6.6842622364235799E-2</v>
      </c>
      <c r="AB898" s="2">
        <v>0.79950581634232099</v>
      </c>
      <c r="AC898" s="2">
        <v>596120.86936701101</v>
      </c>
      <c r="AD898" s="2">
        <v>537535.30520729697</v>
      </c>
      <c r="AE898" s="2">
        <v>624209.45534091501</v>
      </c>
      <c r="AF898" s="2">
        <v>592374.47618011199</v>
      </c>
      <c r="AG898" s="2">
        <v>589534.98340520798</v>
      </c>
      <c r="AH898" s="2">
        <v>621073.33321341197</v>
      </c>
      <c r="AI898" s="2">
        <v>617371.37135356001</v>
      </c>
      <c r="AJ898" s="2">
        <v>532161.59670886095</v>
      </c>
      <c r="AK898" s="2">
        <v>540220.749852621</v>
      </c>
      <c r="AL898" s="2">
        <v>520831.94046781998</v>
      </c>
      <c r="AM898" s="2">
        <v>586510.374492559</v>
      </c>
      <c r="AN898" s="2">
        <v>508733.78821293899</v>
      </c>
      <c r="AO898" s="2">
        <v>538584.353160928</v>
      </c>
      <c r="AP898" s="2">
        <v>530330.62505691405</v>
      </c>
    </row>
    <row r="899" spans="1:42" ht="14.5" x14ac:dyDescent="0.35">
      <c r="A899" s="2" t="s">
        <v>6169</v>
      </c>
      <c r="B899" s="2">
        <v>340.103597632407</v>
      </c>
      <c r="C899" s="2">
        <v>3.6547999999999998</v>
      </c>
      <c r="D899" s="2" t="s">
        <v>70</v>
      </c>
      <c r="E899" s="2" t="s">
        <v>6170</v>
      </c>
      <c r="F899" s="2">
        <v>54407</v>
      </c>
      <c r="G899" s="3" t="str">
        <f>HYPERLINK("http://funmeta.oebiotech.com/network/54407", "http://funmeta.oebiotech.com/network/54407")</f>
        <v>http://funmeta.oebiotech.com/network/54407</v>
      </c>
      <c r="H899" s="2" t="s">
        <v>6171</v>
      </c>
      <c r="I899" s="2">
        <v>86279</v>
      </c>
      <c r="J899" s="2"/>
      <c r="K899" s="2">
        <v>168194</v>
      </c>
      <c r="L899" s="2"/>
      <c r="M899" s="2"/>
      <c r="N899" s="2"/>
      <c r="O899" s="2">
        <v>72983473</v>
      </c>
      <c r="P899" s="2" t="s">
        <v>6172</v>
      </c>
      <c r="Q899" s="2" t="s">
        <v>6173</v>
      </c>
      <c r="R899" s="2" t="s">
        <v>6174</v>
      </c>
      <c r="S899" s="2" t="s">
        <v>89</v>
      </c>
      <c r="T899" s="2" t="s">
        <v>90</v>
      </c>
      <c r="U899" s="2" t="s">
        <v>99</v>
      </c>
      <c r="V899" s="2" t="s">
        <v>59</v>
      </c>
      <c r="W899" s="2">
        <v>45.1</v>
      </c>
      <c r="X899" s="2">
        <v>29.5</v>
      </c>
      <c r="Y899" s="2" t="s">
        <v>751</v>
      </c>
      <c r="Z899" s="2" t="s">
        <v>6175</v>
      </c>
      <c r="AA899" s="2">
        <v>-0.53603538949170104</v>
      </c>
      <c r="AB899" s="2">
        <v>0.79874446739839799</v>
      </c>
      <c r="AC899" s="2">
        <v>16784.174150796101</v>
      </c>
      <c r="AD899" s="2">
        <v>58832.829886924701</v>
      </c>
      <c r="AE899" s="2">
        <v>16712.653032064201</v>
      </c>
      <c r="AF899" s="2">
        <v>17822.490839563801</v>
      </c>
      <c r="AG899" s="2">
        <v>17052.162222864201</v>
      </c>
      <c r="AH899" s="2">
        <v>16055.944755730499</v>
      </c>
      <c r="AI899" s="2">
        <v>18288.124280328899</v>
      </c>
      <c r="AJ899" s="2">
        <v>14773.6697742252</v>
      </c>
      <c r="AK899" s="2">
        <v>53315.391055783497</v>
      </c>
      <c r="AL899" s="2">
        <v>57441.077266421198</v>
      </c>
      <c r="AM899" s="2">
        <v>61396.980195241304</v>
      </c>
      <c r="AN899" s="2">
        <v>60734.052651710197</v>
      </c>
      <c r="AO899" s="2">
        <v>58633.661429254098</v>
      </c>
      <c r="AP899" s="2">
        <v>61475.816723137701</v>
      </c>
    </row>
    <row r="900" spans="1:42" ht="14.5" x14ac:dyDescent="0.35">
      <c r="A900" s="2" t="s">
        <v>6176</v>
      </c>
      <c r="B900" s="2">
        <v>513.25204265291097</v>
      </c>
      <c r="C900" s="2">
        <v>3.9142333333333301</v>
      </c>
      <c r="D900" s="2" t="s">
        <v>34</v>
      </c>
      <c r="E900" s="2" t="s">
        <v>6177</v>
      </c>
      <c r="F900" s="2">
        <v>62098</v>
      </c>
      <c r="G900" s="3" t="str">
        <f>HYPERLINK("http://funmeta.oebiotech.com/network/62098", "http://funmeta.oebiotech.com/network/62098")</f>
        <v>http://funmeta.oebiotech.com/network/62098</v>
      </c>
      <c r="H900" s="2" t="s">
        <v>6178</v>
      </c>
      <c r="I900" s="2">
        <v>93391</v>
      </c>
      <c r="J900" s="2"/>
      <c r="K900" s="2">
        <v>168026</v>
      </c>
      <c r="L900" s="2"/>
      <c r="M900" s="2"/>
      <c r="N900" s="2"/>
      <c r="O900" s="2">
        <v>73981596</v>
      </c>
      <c r="P900" s="2"/>
      <c r="Q900" s="2" t="s">
        <v>6179</v>
      </c>
      <c r="R900" s="2" t="s">
        <v>6180</v>
      </c>
      <c r="S900" s="2" t="s">
        <v>50</v>
      </c>
      <c r="T900" s="2" t="s">
        <v>229</v>
      </c>
      <c r="U900" s="2" t="s">
        <v>230</v>
      </c>
      <c r="V900" s="2" t="s">
        <v>59</v>
      </c>
      <c r="W900" s="2">
        <v>37</v>
      </c>
      <c r="X900" s="2">
        <v>0</v>
      </c>
      <c r="Y900" s="2" t="s">
        <v>394</v>
      </c>
      <c r="Z900" s="2" t="s">
        <v>6181</v>
      </c>
      <c r="AA900" s="2">
        <v>-4.1486170152215802</v>
      </c>
      <c r="AB900" s="2">
        <v>0.79699681102136399</v>
      </c>
      <c r="AC900" s="2">
        <v>53798.557331555603</v>
      </c>
      <c r="AD900" s="2">
        <v>11584.5460862812</v>
      </c>
      <c r="AE900" s="2">
        <v>56173.8631405829</v>
      </c>
      <c r="AF900" s="2">
        <v>46400.4826563967</v>
      </c>
      <c r="AG900" s="2">
        <v>60095.2288272074</v>
      </c>
      <c r="AH900" s="2">
        <v>57314.062083503602</v>
      </c>
      <c r="AI900" s="2">
        <v>49221.708151251703</v>
      </c>
      <c r="AJ900" s="2">
        <v>53585.999130391101</v>
      </c>
      <c r="AK900" s="2">
        <v>11331.6396654334</v>
      </c>
      <c r="AL900" s="2">
        <v>14214.954429200799</v>
      </c>
      <c r="AM900" s="2">
        <v>13970.0644669128</v>
      </c>
      <c r="AN900" s="2">
        <v>10934.0518760585</v>
      </c>
      <c r="AO900" s="2">
        <v>9529.4373804863008</v>
      </c>
      <c r="AP900" s="2">
        <v>9527.1286995955306</v>
      </c>
    </row>
    <row r="901" spans="1:42" ht="14.5" x14ac:dyDescent="0.35">
      <c r="A901" s="2" t="s">
        <v>6182</v>
      </c>
      <c r="B901" s="2">
        <v>327.15997615512703</v>
      </c>
      <c r="C901" s="2">
        <v>8.3517666666666699</v>
      </c>
      <c r="D901" s="2" t="s">
        <v>70</v>
      </c>
      <c r="E901" s="2" t="s">
        <v>6183</v>
      </c>
      <c r="F901" s="2">
        <v>60368</v>
      </c>
      <c r="G901" s="3" t="str">
        <f>HYPERLINK("http://funmeta.oebiotech.com/network/60368", "http://funmeta.oebiotech.com/network/60368")</f>
        <v>http://funmeta.oebiotech.com/network/60368</v>
      </c>
      <c r="H901" s="2" t="s">
        <v>6184</v>
      </c>
      <c r="I901" s="2">
        <v>91726</v>
      </c>
      <c r="J901" s="2"/>
      <c r="K901" s="2">
        <v>175404</v>
      </c>
      <c r="L901" s="2"/>
      <c r="M901" s="2"/>
      <c r="N901" s="2"/>
      <c r="O901" s="2">
        <v>131752037</v>
      </c>
      <c r="P901" s="2"/>
      <c r="Q901" s="2" t="s">
        <v>6185</v>
      </c>
      <c r="R901" s="2" t="s">
        <v>6186</v>
      </c>
      <c r="S901" s="2" t="s">
        <v>50</v>
      </c>
      <c r="T901" s="2" t="s">
        <v>201</v>
      </c>
      <c r="U901" s="2" t="s">
        <v>1217</v>
      </c>
      <c r="V901" s="2" t="s">
        <v>59</v>
      </c>
      <c r="W901" s="2">
        <v>44.1</v>
      </c>
      <c r="X901" s="2">
        <v>24.9</v>
      </c>
      <c r="Y901" s="2" t="s">
        <v>1395</v>
      </c>
      <c r="Z901" s="2" t="s">
        <v>5232</v>
      </c>
      <c r="AA901" s="2">
        <v>-0.59696595166973399</v>
      </c>
      <c r="AB901" s="2">
        <v>0.79654837439778203</v>
      </c>
      <c r="AC901" s="2">
        <v>47942.261868695598</v>
      </c>
      <c r="AD901" s="2">
        <v>3790.3357662953599</v>
      </c>
      <c r="AE901" s="2">
        <v>44644.868876901201</v>
      </c>
      <c r="AF901" s="2">
        <v>71147.156782492399</v>
      </c>
      <c r="AG901" s="2">
        <v>52767.069066810996</v>
      </c>
      <c r="AH901" s="2">
        <v>41488.0153014034</v>
      </c>
      <c r="AI901" s="2">
        <v>36146.395965743497</v>
      </c>
      <c r="AJ901" s="2">
        <v>41460.065218822303</v>
      </c>
      <c r="AK901" s="2">
        <v>2811.88706401742</v>
      </c>
      <c r="AL901" s="2">
        <v>3845.79434305424</v>
      </c>
      <c r="AM901" s="2">
        <v>4730.1965770487996</v>
      </c>
      <c r="AN901" s="2">
        <v>2317.69600526464</v>
      </c>
      <c r="AO901" s="2">
        <v>4709.9149010745396</v>
      </c>
      <c r="AP901" s="2">
        <v>4326.5257073125404</v>
      </c>
    </row>
    <row r="902" spans="1:42" ht="14.5" x14ac:dyDescent="0.35">
      <c r="A902" s="2" t="s">
        <v>6187</v>
      </c>
      <c r="B902" s="2">
        <v>355.18981747318799</v>
      </c>
      <c r="C902" s="2">
        <v>7.9920499999999999</v>
      </c>
      <c r="D902" s="2" t="s">
        <v>34</v>
      </c>
      <c r="E902" s="2" t="s">
        <v>6188</v>
      </c>
      <c r="F902" s="2">
        <v>45106</v>
      </c>
      <c r="G902" s="3" t="str">
        <f>HYPERLINK("http://funmeta.oebiotech.com/network/45106", "http://funmeta.oebiotech.com/network/45106")</f>
        <v>http://funmeta.oebiotech.com/network/45106</v>
      </c>
      <c r="H902" s="2"/>
      <c r="I902" s="2"/>
      <c r="J902" s="2" t="s">
        <v>6189</v>
      </c>
      <c r="K902" s="2"/>
      <c r="L902" s="2"/>
      <c r="M902" s="2"/>
      <c r="N902" s="2"/>
      <c r="O902" s="2"/>
      <c r="P902" s="2"/>
      <c r="Q902" s="2" t="s">
        <v>6190</v>
      </c>
      <c r="R902" s="2" t="s">
        <v>6191</v>
      </c>
      <c r="S902" s="2" t="s">
        <v>50</v>
      </c>
      <c r="T902" s="2" t="s">
        <v>201</v>
      </c>
      <c r="U902" s="2" t="s">
        <v>265</v>
      </c>
      <c r="V902" s="2" t="s">
        <v>42</v>
      </c>
      <c r="W902" s="2">
        <v>54</v>
      </c>
      <c r="X902" s="2">
        <v>77.5</v>
      </c>
      <c r="Y902" s="2" t="s">
        <v>141</v>
      </c>
      <c r="Z902" s="2" t="s">
        <v>1137</v>
      </c>
      <c r="AA902" s="2">
        <v>-1.5268195331460099</v>
      </c>
      <c r="AB902" s="2">
        <v>0.79645568612945306</v>
      </c>
      <c r="AC902" s="2">
        <v>239529.08665990501</v>
      </c>
      <c r="AD902" s="2">
        <v>195657.27157178201</v>
      </c>
      <c r="AE902" s="2">
        <v>234199.88220704201</v>
      </c>
      <c r="AF902" s="2">
        <v>243589.25562622701</v>
      </c>
      <c r="AG902" s="2">
        <v>239470.623234567</v>
      </c>
      <c r="AH902" s="2">
        <v>248714.21664086101</v>
      </c>
      <c r="AI902" s="2">
        <v>229032.55097601001</v>
      </c>
      <c r="AJ902" s="2">
        <v>242167.99127472501</v>
      </c>
      <c r="AK902" s="2">
        <v>179692.151739917</v>
      </c>
      <c r="AL902" s="2">
        <v>206524.99377406199</v>
      </c>
      <c r="AM902" s="2">
        <v>199515.031802882</v>
      </c>
      <c r="AN902" s="2">
        <v>198132.769168139</v>
      </c>
      <c r="AO902" s="2">
        <v>190652.349531493</v>
      </c>
      <c r="AP902" s="2">
        <v>199426.33341419901</v>
      </c>
    </row>
    <row r="903" spans="1:42" ht="14.5" x14ac:dyDescent="0.35">
      <c r="A903" s="2" t="s">
        <v>6192</v>
      </c>
      <c r="B903" s="2">
        <v>481.22859670675598</v>
      </c>
      <c r="C903" s="2">
        <v>5.4873666666666701</v>
      </c>
      <c r="D903" s="2" t="s">
        <v>70</v>
      </c>
      <c r="E903" s="2" t="s">
        <v>6193</v>
      </c>
      <c r="F903" s="2">
        <v>46834</v>
      </c>
      <c r="G903" s="3" t="str">
        <f>HYPERLINK("http://funmeta.oebiotech.com/network/46834", "http://funmeta.oebiotech.com/network/46834")</f>
        <v>http://funmeta.oebiotech.com/network/46834</v>
      </c>
      <c r="H903" s="2" t="s">
        <v>6194</v>
      </c>
      <c r="I903" s="2">
        <v>5753</v>
      </c>
      <c r="J903" s="2"/>
      <c r="K903" s="2">
        <v>59560</v>
      </c>
      <c r="L903" s="2" t="s">
        <v>6195</v>
      </c>
      <c r="M903" s="2" t="s">
        <v>6196</v>
      </c>
      <c r="N903" s="2" t="s">
        <v>6197</v>
      </c>
      <c r="O903" s="2">
        <v>44257</v>
      </c>
      <c r="P903" s="2" t="s">
        <v>6198</v>
      </c>
      <c r="Q903" s="2" t="s">
        <v>6199</v>
      </c>
      <c r="R903" s="2" t="s">
        <v>6200</v>
      </c>
      <c r="S903" s="2" t="s">
        <v>491</v>
      </c>
      <c r="T903" s="2" t="s">
        <v>4914</v>
      </c>
      <c r="U903" s="2" t="s">
        <v>4915</v>
      </c>
      <c r="V903" s="2" t="s">
        <v>42</v>
      </c>
      <c r="W903" s="2">
        <v>47</v>
      </c>
      <c r="X903" s="2">
        <v>47.8</v>
      </c>
      <c r="Y903" s="2" t="s">
        <v>560</v>
      </c>
      <c r="Z903" s="2" t="s">
        <v>6201</v>
      </c>
      <c r="AA903" s="2">
        <v>1.85472090506889</v>
      </c>
      <c r="AB903" s="2">
        <v>0.79620929437606702</v>
      </c>
      <c r="AC903" s="2">
        <v>53416.957709887203</v>
      </c>
      <c r="AD903" s="2">
        <v>11427.6931315903</v>
      </c>
      <c r="AE903" s="2">
        <v>57301.363417045803</v>
      </c>
      <c r="AF903" s="2">
        <v>46063.289317601098</v>
      </c>
      <c r="AG903" s="2">
        <v>56622.925411284501</v>
      </c>
      <c r="AH903" s="2">
        <v>52816.920544949899</v>
      </c>
      <c r="AI903" s="2">
        <v>51148.095393199997</v>
      </c>
      <c r="AJ903" s="2">
        <v>56549.152175241899</v>
      </c>
      <c r="AK903" s="2">
        <v>13126.3541980174</v>
      </c>
      <c r="AL903" s="2">
        <v>11526.338978502999</v>
      </c>
      <c r="AM903" s="2">
        <v>12263.3148467668</v>
      </c>
      <c r="AN903" s="2">
        <v>12238.7030001125</v>
      </c>
      <c r="AO903" s="2">
        <v>8986.9271929997394</v>
      </c>
      <c r="AP903" s="2">
        <v>10424.520573142099</v>
      </c>
    </row>
    <row r="904" spans="1:42" ht="14.5" x14ac:dyDescent="0.35">
      <c r="A904" s="2" t="s">
        <v>6202</v>
      </c>
      <c r="B904" s="2">
        <v>209.15348074828199</v>
      </c>
      <c r="C904" s="2">
        <v>4.4289500000000004</v>
      </c>
      <c r="D904" s="2" t="s">
        <v>34</v>
      </c>
      <c r="E904" s="2" t="s">
        <v>6203</v>
      </c>
      <c r="F904" s="2">
        <v>61100</v>
      </c>
      <c r="G904" s="3" t="str">
        <f>HYPERLINK("http://funmeta.oebiotech.com/network/61100", "http://funmeta.oebiotech.com/network/61100")</f>
        <v>http://funmeta.oebiotech.com/network/61100</v>
      </c>
      <c r="H904" s="2" t="s">
        <v>6204</v>
      </c>
      <c r="I904" s="2">
        <v>92419</v>
      </c>
      <c r="J904" s="2"/>
      <c r="K904" s="2">
        <v>156167</v>
      </c>
      <c r="L904" s="2"/>
      <c r="M904" s="2"/>
      <c r="N904" s="2"/>
      <c r="O904" s="2">
        <v>57473083</v>
      </c>
      <c r="P904" s="2"/>
      <c r="Q904" s="2" t="s">
        <v>6205</v>
      </c>
      <c r="R904" s="2" t="s">
        <v>6206</v>
      </c>
      <c r="S904" s="2" t="s">
        <v>491</v>
      </c>
      <c r="T904" s="2" t="s">
        <v>6207</v>
      </c>
      <c r="U904" s="2" t="s">
        <v>41</v>
      </c>
      <c r="V904" s="2" t="s">
        <v>42</v>
      </c>
      <c r="W904" s="2">
        <v>54.2</v>
      </c>
      <c r="X904" s="2">
        <v>74.5</v>
      </c>
      <c r="Y904" s="2" t="s">
        <v>266</v>
      </c>
      <c r="Z904" s="2" t="s">
        <v>6208</v>
      </c>
      <c r="AA904" s="2">
        <v>-0.55521605200778301</v>
      </c>
      <c r="AB904" s="2">
        <v>0.79616101500937098</v>
      </c>
      <c r="AC904" s="2">
        <v>514773.22447936202</v>
      </c>
      <c r="AD904" s="2">
        <v>468162.03394255898</v>
      </c>
      <c r="AE904" s="2">
        <v>513507.92369054101</v>
      </c>
      <c r="AF904" s="2">
        <v>524812.03930086503</v>
      </c>
      <c r="AG904" s="2">
        <v>525225.31829914497</v>
      </c>
      <c r="AH904" s="2">
        <v>497219.72845430701</v>
      </c>
      <c r="AI904" s="2">
        <v>510004.75077033002</v>
      </c>
      <c r="AJ904" s="2">
        <v>517869.58636098198</v>
      </c>
      <c r="AK904" s="2">
        <v>467782.86248558201</v>
      </c>
      <c r="AL904" s="2">
        <v>458585.91228298697</v>
      </c>
      <c r="AM904" s="2">
        <v>480047.28271905199</v>
      </c>
      <c r="AN904" s="2">
        <v>461841.64987139101</v>
      </c>
      <c r="AO904" s="2">
        <v>449350.79857429001</v>
      </c>
      <c r="AP904" s="2">
        <v>491363.69772205199</v>
      </c>
    </row>
    <row r="905" spans="1:42" ht="14.5" x14ac:dyDescent="0.35">
      <c r="A905" s="2" t="s">
        <v>6209</v>
      </c>
      <c r="B905" s="2">
        <v>772.54226439132901</v>
      </c>
      <c r="C905" s="2">
        <v>9.4096333333333302</v>
      </c>
      <c r="D905" s="2" t="s">
        <v>34</v>
      </c>
      <c r="E905" s="2" t="s">
        <v>6210</v>
      </c>
      <c r="F905" s="2">
        <v>37534</v>
      </c>
      <c r="G905" s="3" t="str">
        <f>HYPERLINK("http://funmeta.oebiotech.com/network/37534", "http://funmeta.oebiotech.com/network/37534")</f>
        <v>http://funmeta.oebiotech.com/network/37534</v>
      </c>
      <c r="H905" s="2"/>
      <c r="I905" s="2">
        <v>53879</v>
      </c>
      <c r="J905" s="2" t="s">
        <v>6211</v>
      </c>
      <c r="K905" s="2"/>
      <c r="L905" s="2"/>
      <c r="M905" s="2"/>
      <c r="N905" s="2"/>
      <c r="O905" s="2">
        <v>42608326</v>
      </c>
      <c r="P905" s="2"/>
      <c r="Q905" s="2" t="s">
        <v>6212</v>
      </c>
      <c r="R905" s="2" t="s">
        <v>6213</v>
      </c>
      <c r="S905" s="2" t="s">
        <v>50</v>
      </c>
      <c r="T905" s="2" t="s">
        <v>201</v>
      </c>
      <c r="U905" s="2" t="s">
        <v>6214</v>
      </c>
      <c r="V905" s="2" t="s">
        <v>59</v>
      </c>
      <c r="W905" s="2">
        <v>37.700000000000003</v>
      </c>
      <c r="X905" s="2">
        <v>0</v>
      </c>
      <c r="Y905" s="2" t="s">
        <v>323</v>
      </c>
      <c r="Z905" s="2" t="s">
        <v>6215</v>
      </c>
      <c r="AA905" s="2">
        <v>-3.1654294648464099</v>
      </c>
      <c r="AB905" s="2">
        <v>0.79613102637023603</v>
      </c>
      <c r="AC905" s="2">
        <v>1475.8663803910199</v>
      </c>
      <c r="AD905" s="2">
        <v>43347.432292420497</v>
      </c>
      <c r="AE905" s="2">
        <v>1310.0266506451601</v>
      </c>
      <c r="AF905" s="2">
        <v>1442.3265748030101</v>
      </c>
      <c r="AG905" s="2">
        <v>1881.0066699356501</v>
      </c>
      <c r="AH905" s="2">
        <v>1681.44375204837</v>
      </c>
      <c r="AI905" s="2">
        <v>546.37151096088996</v>
      </c>
      <c r="AJ905" s="2">
        <v>1994.0231239530301</v>
      </c>
      <c r="AK905" s="2">
        <v>40241.304668477802</v>
      </c>
      <c r="AL905" s="2">
        <v>40207.708141762203</v>
      </c>
      <c r="AM905" s="2">
        <v>50001.733307928698</v>
      </c>
      <c r="AN905" s="2">
        <v>41800.262505553401</v>
      </c>
      <c r="AO905" s="2">
        <v>42113.631054744903</v>
      </c>
      <c r="AP905" s="2">
        <v>45719.954076055903</v>
      </c>
    </row>
    <row r="906" spans="1:42" ht="14.5" x14ac:dyDescent="0.35">
      <c r="A906" s="2" t="s">
        <v>6216</v>
      </c>
      <c r="B906" s="2">
        <v>911.40654656884897</v>
      </c>
      <c r="C906" s="2">
        <v>5.04155</v>
      </c>
      <c r="D906" s="2" t="s">
        <v>70</v>
      </c>
      <c r="E906" s="2" t="s">
        <v>6217</v>
      </c>
      <c r="F906" s="2">
        <v>212044</v>
      </c>
      <c r="G906" s="3" t="str">
        <f>HYPERLINK("http://funmeta.oebiotech.com/network/212044", "http://funmeta.oebiotech.com/network/212044")</f>
        <v>http://funmeta.oebiotech.com/network/212044</v>
      </c>
      <c r="H906" s="2" t="s">
        <v>6218</v>
      </c>
      <c r="I906" s="2">
        <v>326868</v>
      </c>
      <c r="J906" s="2"/>
      <c r="K906" s="2">
        <v>88216</v>
      </c>
      <c r="L906" s="2"/>
      <c r="M906" s="2"/>
      <c r="N906" s="2"/>
      <c r="O906" s="2">
        <v>61336</v>
      </c>
      <c r="P906" s="2"/>
      <c r="Q906" s="2" t="s">
        <v>6219</v>
      </c>
      <c r="R906" s="2" t="s">
        <v>6220</v>
      </c>
      <c r="S906" s="2" t="s">
        <v>148</v>
      </c>
      <c r="T906" s="2" t="s">
        <v>6221</v>
      </c>
      <c r="U906" s="2" t="s">
        <v>6222</v>
      </c>
      <c r="V906" s="2" t="s">
        <v>59</v>
      </c>
      <c r="W906" s="2">
        <v>36.9</v>
      </c>
      <c r="X906" s="2">
        <v>0</v>
      </c>
      <c r="Y906" s="2" t="s">
        <v>560</v>
      </c>
      <c r="Z906" s="2" t="s">
        <v>6223</v>
      </c>
      <c r="AA906" s="2">
        <v>1.46140468764382</v>
      </c>
      <c r="AB906" s="2">
        <v>0.79610678033624505</v>
      </c>
      <c r="AC906" s="2">
        <v>30962.804297533599</v>
      </c>
      <c r="AD906" s="2">
        <v>78471.942306558805</v>
      </c>
      <c r="AE906" s="2">
        <v>32239.2550845232</v>
      </c>
      <c r="AF906" s="2">
        <v>30995.950298719399</v>
      </c>
      <c r="AG906" s="2">
        <v>26628.779350768898</v>
      </c>
      <c r="AH906" s="2">
        <v>26212.589063990501</v>
      </c>
      <c r="AI906" s="2">
        <v>38503.293669133302</v>
      </c>
      <c r="AJ906" s="2">
        <v>31196.958318066499</v>
      </c>
      <c r="AK906" s="2">
        <v>72827.946160985695</v>
      </c>
      <c r="AL906" s="2">
        <v>92038.994969737207</v>
      </c>
      <c r="AM906" s="2">
        <v>55070.094757507701</v>
      </c>
      <c r="AN906" s="2">
        <v>63571.154711799703</v>
      </c>
      <c r="AO906" s="2">
        <v>78159.992971764601</v>
      </c>
      <c r="AP906" s="2">
        <v>109163.470267558</v>
      </c>
    </row>
    <row r="907" spans="1:42" ht="14.5" x14ac:dyDescent="0.35">
      <c r="A907" s="2" t="s">
        <v>6224</v>
      </c>
      <c r="B907" s="2">
        <v>303.195223608395</v>
      </c>
      <c r="C907" s="2">
        <v>4.7862166666666699</v>
      </c>
      <c r="D907" s="2" t="s">
        <v>34</v>
      </c>
      <c r="E907" s="2" t="s">
        <v>6225</v>
      </c>
      <c r="F907" s="2">
        <v>257777</v>
      </c>
      <c r="G907" s="3" t="str">
        <f>HYPERLINK("http://funmeta.oebiotech.com/network/257777", "http://funmeta.oebiotech.com/network/257777")</f>
        <v>http://funmeta.oebiotech.com/network/257777</v>
      </c>
      <c r="H907" s="2"/>
      <c r="I907" s="2">
        <v>554</v>
      </c>
      <c r="J907" s="2"/>
      <c r="K907" s="2"/>
      <c r="L907" s="2"/>
      <c r="M907" s="2"/>
      <c r="N907" s="2"/>
      <c r="O907" s="2">
        <v>11273</v>
      </c>
      <c r="P907" s="2" t="s">
        <v>6226</v>
      </c>
      <c r="Q907" s="2" t="s">
        <v>6227</v>
      </c>
      <c r="R907" s="2" t="s">
        <v>6228</v>
      </c>
      <c r="S907" s="2" t="s">
        <v>50</v>
      </c>
      <c r="T907" s="2" t="s">
        <v>124</v>
      </c>
      <c r="U907" s="2" t="s">
        <v>2373</v>
      </c>
      <c r="V907" s="2" t="s">
        <v>42</v>
      </c>
      <c r="W907" s="2">
        <v>48.6</v>
      </c>
      <c r="X907" s="2">
        <v>47.7</v>
      </c>
      <c r="Y907" s="2" t="s">
        <v>394</v>
      </c>
      <c r="Z907" s="2" t="s">
        <v>6229</v>
      </c>
      <c r="AA907" s="2">
        <v>-0.81907933257569898</v>
      </c>
      <c r="AB907" s="2">
        <v>0.79566892370671405</v>
      </c>
      <c r="AC907" s="2">
        <v>127953.045781632</v>
      </c>
      <c r="AD907" s="2">
        <v>170590.10292428901</v>
      </c>
      <c r="AE907" s="2">
        <v>124780.693884704</v>
      </c>
      <c r="AF907" s="2">
        <v>126078.85828649699</v>
      </c>
      <c r="AG907" s="2">
        <v>129421.148554018</v>
      </c>
      <c r="AH907" s="2">
        <v>128237.564330015</v>
      </c>
      <c r="AI907" s="2">
        <v>134649.74405510499</v>
      </c>
      <c r="AJ907" s="2">
        <v>124550.26557945499</v>
      </c>
      <c r="AK907" s="2">
        <v>171516.97380931201</v>
      </c>
      <c r="AL907" s="2">
        <v>175803.11504218201</v>
      </c>
      <c r="AM907" s="2">
        <v>166443.401236089</v>
      </c>
      <c r="AN907" s="2">
        <v>159156.81103168</v>
      </c>
      <c r="AO907" s="2">
        <v>175608.314718685</v>
      </c>
      <c r="AP907" s="2">
        <v>175012.00170778701</v>
      </c>
    </row>
    <row r="908" spans="1:42" ht="14.5" x14ac:dyDescent="0.35">
      <c r="A908" s="2" t="s">
        <v>6230</v>
      </c>
      <c r="B908" s="2">
        <v>271.06089526482202</v>
      </c>
      <c r="C908" s="2">
        <v>6.5379166666666704</v>
      </c>
      <c r="D908" s="2" t="s">
        <v>70</v>
      </c>
      <c r="E908" s="2" t="s">
        <v>6231</v>
      </c>
      <c r="F908" s="2">
        <v>199001</v>
      </c>
      <c r="G908" s="3" t="str">
        <f>HYPERLINK("http://funmeta.oebiotech.com/network/199001", "http://funmeta.oebiotech.com/network/199001")</f>
        <v>http://funmeta.oebiotech.com/network/199001</v>
      </c>
      <c r="H908" s="2" t="s">
        <v>6232</v>
      </c>
      <c r="I908" s="2">
        <v>3401</v>
      </c>
      <c r="J908" s="2"/>
      <c r="K908" s="2">
        <v>50202</v>
      </c>
      <c r="L908" s="2" t="s">
        <v>6233</v>
      </c>
      <c r="M908" s="2" t="s">
        <v>6234</v>
      </c>
      <c r="N908" s="2" t="s">
        <v>6235</v>
      </c>
      <c r="O908" s="2">
        <v>932</v>
      </c>
      <c r="P908" s="2" t="s">
        <v>6236</v>
      </c>
      <c r="Q908" s="2" t="s">
        <v>6237</v>
      </c>
      <c r="R908" s="2" t="s">
        <v>6238</v>
      </c>
      <c r="S908" s="2" t="s">
        <v>115</v>
      </c>
      <c r="T908" s="2" t="s">
        <v>139</v>
      </c>
      <c r="U908" s="2" t="s">
        <v>1437</v>
      </c>
      <c r="V908" s="2" t="s">
        <v>42</v>
      </c>
      <c r="W908" s="2">
        <v>53</v>
      </c>
      <c r="X908" s="2">
        <v>69.7</v>
      </c>
      <c r="Y908" s="2" t="s">
        <v>118</v>
      </c>
      <c r="Z908" s="2" t="s">
        <v>6239</v>
      </c>
      <c r="AA908" s="2">
        <v>-1.10922744549022</v>
      </c>
      <c r="AB908" s="2">
        <v>0.79509401390850798</v>
      </c>
      <c r="AC908" s="2">
        <v>33692.575505671899</v>
      </c>
      <c r="AD908" s="2">
        <v>76131.676466511301</v>
      </c>
      <c r="AE908" s="2">
        <v>31012.7333124213</v>
      </c>
      <c r="AF908" s="2">
        <v>36595.173726402798</v>
      </c>
      <c r="AG908" s="2">
        <v>30766.393372449998</v>
      </c>
      <c r="AH908" s="2">
        <v>32916.869391779503</v>
      </c>
      <c r="AI908" s="2">
        <v>32367.270826019601</v>
      </c>
      <c r="AJ908" s="2">
        <v>38497.012404958099</v>
      </c>
      <c r="AK908" s="2">
        <v>74229.708811984397</v>
      </c>
      <c r="AL908" s="2">
        <v>87932.992172129801</v>
      </c>
      <c r="AM908" s="2">
        <v>75978.074315779901</v>
      </c>
      <c r="AN908" s="2">
        <v>75084.284977375704</v>
      </c>
      <c r="AO908" s="2">
        <v>73273.856038094207</v>
      </c>
      <c r="AP908" s="2">
        <v>70291.142483703603</v>
      </c>
    </row>
    <row r="909" spans="1:42" ht="14.5" x14ac:dyDescent="0.35">
      <c r="A909" s="2" t="s">
        <v>6240</v>
      </c>
      <c r="B909" s="2">
        <v>551.17679918767499</v>
      </c>
      <c r="C909" s="2">
        <v>4.3994166666666699</v>
      </c>
      <c r="D909" s="2" t="s">
        <v>70</v>
      </c>
      <c r="E909" s="2" t="s">
        <v>6241</v>
      </c>
      <c r="F909" s="2">
        <v>33771</v>
      </c>
      <c r="G909" s="3" t="str">
        <f>HYPERLINK("http://funmeta.oebiotech.com/network/33771", "http://funmeta.oebiotech.com/network/33771")</f>
        <v>http://funmeta.oebiotech.com/network/33771</v>
      </c>
      <c r="H909" s="2"/>
      <c r="I909" s="2"/>
      <c r="J909" s="2" t="s">
        <v>6242</v>
      </c>
      <c r="K909" s="2"/>
      <c r="L909" s="2"/>
      <c r="M909" s="2"/>
      <c r="N909" s="2"/>
      <c r="O909" s="2">
        <v>42607620</v>
      </c>
      <c r="P909" s="2"/>
      <c r="Q909" s="2" t="s">
        <v>6243</v>
      </c>
      <c r="R909" s="2" t="s">
        <v>6244</v>
      </c>
      <c r="S909" s="2" t="s">
        <v>115</v>
      </c>
      <c r="T909" s="2" t="s">
        <v>139</v>
      </c>
      <c r="U909" s="2" t="s">
        <v>140</v>
      </c>
      <c r="V909" s="2" t="s">
        <v>42</v>
      </c>
      <c r="W909" s="2">
        <v>50.4</v>
      </c>
      <c r="X909" s="2">
        <v>59.8</v>
      </c>
      <c r="Y909" s="2" t="s">
        <v>408</v>
      </c>
      <c r="Z909" s="2" t="s">
        <v>6245</v>
      </c>
      <c r="AA909" s="2">
        <v>-0.42565903616716</v>
      </c>
      <c r="AB909" s="2">
        <v>0.79462146411524104</v>
      </c>
      <c r="AC909" s="2">
        <v>74104.663028299998</v>
      </c>
      <c r="AD909" s="2">
        <v>117556.431771334</v>
      </c>
      <c r="AE909" s="2">
        <v>70255.049777582506</v>
      </c>
      <c r="AF909" s="2">
        <v>80481.336298412803</v>
      </c>
      <c r="AG909" s="2">
        <v>69459.004856393702</v>
      </c>
      <c r="AH909" s="2">
        <v>71722.046272230902</v>
      </c>
      <c r="AI909" s="2">
        <v>75861.437406852594</v>
      </c>
      <c r="AJ909" s="2">
        <v>76849.103558327595</v>
      </c>
      <c r="AK909" s="2">
        <v>124918.169137352</v>
      </c>
      <c r="AL909" s="2">
        <v>114784.73976932099</v>
      </c>
      <c r="AM909" s="2">
        <v>115846.754546148</v>
      </c>
      <c r="AN909" s="2">
        <v>118634.81364830599</v>
      </c>
      <c r="AO909" s="2">
        <v>101498.34314014899</v>
      </c>
      <c r="AP909" s="2">
        <v>129655.77038672499</v>
      </c>
    </row>
    <row r="910" spans="1:42" ht="14.5" x14ac:dyDescent="0.35">
      <c r="A910" s="2" t="s">
        <v>6246</v>
      </c>
      <c r="B910" s="2">
        <v>449.195283383103</v>
      </c>
      <c r="C910" s="2">
        <v>6.0954833333333296</v>
      </c>
      <c r="D910" s="2" t="s">
        <v>34</v>
      </c>
      <c r="E910" s="2" t="s">
        <v>6247</v>
      </c>
      <c r="F910" s="2">
        <v>209568</v>
      </c>
      <c r="G910" s="3" t="str">
        <f>HYPERLINK("http://funmeta.oebiotech.com/network/209568", "http://funmeta.oebiotech.com/network/209568")</f>
        <v>http://funmeta.oebiotech.com/network/209568</v>
      </c>
      <c r="H910" s="2" t="s">
        <v>6248</v>
      </c>
      <c r="I910" s="2"/>
      <c r="J910" s="2"/>
      <c r="K910" s="2"/>
      <c r="L910" s="2"/>
      <c r="M910" s="2"/>
      <c r="N910" s="2"/>
      <c r="O910" s="2">
        <v>100017</v>
      </c>
      <c r="P910" s="2"/>
      <c r="Q910" s="2" t="s">
        <v>6249</v>
      </c>
      <c r="R910" s="2" t="s">
        <v>6250</v>
      </c>
      <c r="S910" s="2" t="s">
        <v>50</v>
      </c>
      <c r="T910" s="2" t="s">
        <v>201</v>
      </c>
      <c r="U910" s="2" t="s">
        <v>210</v>
      </c>
      <c r="V910" s="2" t="s">
        <v>59</v>
      </c>
      <c r="W910" s="2">
        <v>38.299999999999997</v>
      </c>
      <c r="X910" s="2">
        <v>0</v>
      </c>
      <c r="Y910" s="2" t="s">
        <v>266</v>
      </c>
      <c r="Z910" s="2" t="s">
        <v>6251</v>
      </c>
      <c r="AA910" s="2">
        <v>-1.24767690569343</v>
      </c>
      <c r="AB910" s="2">
        <v>0.79448083000924996</v>
      </c>
      <c r="AC910" s="2">
        <v>107526.519190244</v>
      </c>
      <c r="AD910" s="2">
        <v>65309.201544256102</v>
      </c>
      <c r="AE910" s="2">
        <v>99703.090505060303</v>
      </c>
      <c r="AF910" s="2">
        <v>109441.311989694</v>
      </c>
      <c r="AG910" s="2">
        <v>111470.880421548</v>
      </c>
      <c r="AH910" s="2">
        <v>106046.258210356</v>
      </c>
      <c r="AI910" s="2">
        <v>104155.215440716</v>
      </c>
      <c r="AJ910" s="2">
        <v>114342.358574092</v>
      </c>
      <c r="AK910" s="2">
        <v>69577.177414639606</v>
      </c>
      <c r="AL910" s="2">
        <v>69287.874751943105</v>
      </c>
      <c r="AM910" s="2">
        <v>62292.0146023993</v>
      </c>
      <c r="AN910" s="2">
        <v>68238.129485073194</v>
      </c>
      <c r="AO910" s="2">
        <v>61461.698419535198</v>
      </c>
      <c r="AP910" s="2">
        <v>60998.314591945898</v>
      </c>
    </row>
    <row r="911" spans="1:42" ht="14.5" x14ac:dyDescent="0.35">
      <c r="A911" s="2" t="s">
        <v>6252</v>
      </c>
      <c r="B911" s="2">
        <v>555.20882589631901</v>
      </c>
      <c r="C911" s="2">
        <v>4.7218999999999998</v>
      </c>
      <c r="D911" s="2" t="s">
        <v>70</v>
      </c>
      <c r="E911" s="2" t="s">
        <v>6253</v>
      </c>
      <c r="F911" s="2">
        <v>64504</v>
      </c>
      <c r="G911" s="3" t="str">
        <f>HYPERLINK("http://funmeta.oebiotech.com/network/64504", "http://funmeta.oebiotech.com/network/64504")</f>
        <v>http://funmeta.oebiotech.com/network/64504</v>
      </c>
      <c r="H911" s="2" t="s">
        <v>6254</v>
      </c>
      <c r="I911" s="2">
        <v>95813</v>
      </c>
      <c r="J911" s="2"/>
      <c r="K911" s="2"/>
      <c r="L911" s="2"/>
      <c r="M911" s="2"/>
      <c r="N911" s="2"/>
      <c r="O911" s="2">
        <v>131753136</v>
      </c>
      <c r="P911" s="2" t="s">
        <v>6255</v>
      </c>
      <c r="Q911" s="2" t="s">
        <v>6256</v>
      </c>
      <c r="R911" s="2" t="s">
        <v>6257</v>
      </c>
      <c r="S911" s="2" t="s">
        <v>50</v>
      </c>
      <c r="T911" s="2" t="s">
        <v>229</v>
      </c>
      <c r="U911" s="2" t="s">
        <v>230</v>
      </c>
      <c r="V911" s="2" t="s">
        <v>42</v>
      </c>
      <c r="W911" s="2">
        <v>51.7</v>
      </c>
      <c r="X911" s="2">
        <v>63.5</v>
      </c>
      <c r="Y911" s="2" t="s">
        <v>408</v>
      </c>
      <c r="Z911" s="2" t="s">
        <v>3872</v>
      </c>
      <c r="AA911" s="2">
        <v>1.0017848857031999</v>
      </c>
      <c r="AB911" s="2">
        <v>0.79397043505500597</v>
      </c>
      <c r="AC911" s="2">
        <v>120386.15926248999</v>
      </c>
      <c r="AD911" s="2">
        <v>164708.34062460999</v>
      </c>
      <c r="AE911" s="2">
        <v>110606.187709477</v>
      </c>
      <c r="AF911" s="2">
        <v>131916.24246843101</v>
      </c>
      <c r="AG911" s="2">
        <v>121882.99854740599</v>
      </c>
      <c r="AH911" s="2">
        <v>115870.476427904</v>
      </c>
      <c r="AI911" s="2">
        <v>119121.929221014</v>
      </c>
      <c r="AJ911" s="2">
        <v>122919.121200708</v>
      </c>
      <c r="AK911" s="2">
        <v>169917.84845742199</v>
      </c>
      <c r="AL911" s="2">
        <v>172663.99156799499</v>
      </c>
      <c r="AM911" s="2">
        <v>159683.52920226401</v>
      </c>
      <c r="AN911" s="2">
        <v>167206.51370900401</v>
      </c>
      <c r="AO911" s="2">
        <v>173850.69741377101</v>
      </c>
      <c r="AP911" s="2">
        <v>144927.46339720499</v>
      </c>
    </row>
    <row r="912" spans="1:42" ht="14.5" x14ac:dyDescent="0.35">
      <c r="A912" s="2" t="s">
        <v>6258</v>
      </c>
      <c r="B912" s="2">
        <v>533.25249936156001</v>
      </c>
      <c r="C912" s="2">
        <v>4.9343500000000002</v>
      </c>
      <c r="D912" s="2" t="s">
        <v>70</v>
      </c>
      <c r="E912" s="2" t="s">
        <v>6259</v>
      </c>
      <c r="F912" s="2">
        <v>219681</v>
      </c>
      <c r="G912" s="3" t="str">
        <f>HYPERLINK("http://funmeta.oebiotech.com/network/219681", "http://funmeta.oebiotech.com/network/219681")</f>
        <v>http://funmeta.oebiotech.com/network/219681</v>
      </c>
      <c r="H912" s="2" t="s">
        <v>6260</v>
      </c>
      <c r="I912" s="2"/>
      <c r="J912" s="2"/>
      <c r="K912" s="2"/>
      <c r="L912" s="2"/>
      <c r="M912" s="2"/>
      <c r="N912" s="2"/>
      <c r="O912" s="2"/>
      <c r="P912" s="2"/>
      <c r="Q912" s="2" t="s">
        <v>6261</v>
      </c>
      <c r="R912" s="2" t="s">
        <v>6262</v>
      </c>
      <c r="S912" s="2" t="s">
        <v>41</v>
      </c>
      <c r="T912" s="2" t="s">
        <v>41</v>
      </c>
      <c r="U912" s="2" t="s">
        <v>41</v>
      </c>
      <c r="V912" s="2" t="s">
        <v>59</v>
      </c>
      <c r="W912" s="2">
        <v>40.5</v>
      </c>
      <c r="X912" s="2">
        <v>14.2</v>
      </c>
      <c r="Y912" s="2" t="s">
        <v>751</v>
      </c>
      <c r="Z912" s="2" t="s">
        <v>6263</v>
      </c>
      <c r="AA912" s="2">
        <v>0.70906130298856596</v>
      </c>
      <c r="AB912" s="2">
        <v>0.79387628900312202</v>
      </c>
      <c r="AC912" s="2">
        <v>416266.16686801898</v>
      </c>
      <c r="AD912" s="2">
        <v>371853.09147577098</v>
      </c>
      <c r="AE912" s="2">
        <v>419313.354062606</v>
      </c>
      <c r="AF912" s="2">
        <v>414464.94542035001</v>
      </c>
      <c r="AG912" s="2">
        <v>427024.95866238</v>
      </c>
      <c r="AH912" s="2">
        <v>413272.82766680501</v>
      </c>
      <c r="AI912" s="2">
        <v>400422.97596141201</v>
      </c>
      <c r="AJ912" s="2">
        <v>423097.93943455798</v>
      </c>
      <c r="AK912" s="2">
        <v>362050.87096943299</v>
      </c>
      <c r="AL912" s="2">
        <v>392343.10069995699</v>
      </c>
      <c r="AM912" s="2">
        <v>372667.721441929</v>
      </c>
      <c r="AN912" s="2">
        <v>370466.72359706799</v>
      </c>
      <c r="AO912" s="2">
        <v>367112.749712669</v>
      </c>
      <c r="AP912" s="2">
        <v>366477.38243356801</v>
      </c>
    </row>
    <row r="913" spans="1:42" ht="14.5" x14ac:dyDescent="0.35">
      <c r="A913" s="2" t="s">
        <v>6264</v>
      </c>
      <c r="B913" s="2">
        <v>595.27387428059603</v>
      </c>
      <c r="C913" s="2">
        <v>5.8043833333333303</v>
      </c>
      <c r="D913" s="2" t="s">
        <v>70</v>
      </c>
      <c r="E913" s="2" t="s">
        <v>6265</v>
      </c>
      <c r="F913" s="2">
        <v>58401</v>
      </c>
      <c r="G913" s="3" t="str">
        <f>HYPERLINK("http://funmeta.oebiotech.com/network/58401", "http://funmeta.oebiotech.com/network/58401")</f>
        <v>http://funmeta.oebiotech.com/network/58401</v>
      </c>
      <c r="H913" s="2" t="s">
        <v>6266</v>
      </c>
      <c r="I913" s="2"/>
      <c r="J913" s="2"/>
      <c r="K913" s="2">
        <v>169635</v>
      </c>
      <c r="L913" s="2"/>
      <c r="M913" s="2"/>
      <c r="N913" s="2"/>
      <c r="O913" s="2">
        <v>2862</v>
      </c>
      <c r="P913" s="2" t="s">
        <v>6267</v>
      </c>
      <c r="Q913" s="2" t="s">
        <v>6268</v>
      </c>
      <c r="R913" s="2" t="s">
        <v>6269</v>
      </c>
      <c r="S913" s="2" t="s">
        <v>50</v>
      </c>
      <c r="T913" s="2" t="s">
        <v>124</v>
      </c>
      <c r="U913" s="2" t="s">
        <v>567</v>
      </c>
      <c r="V913" s="2" t="s">
        <v>59</v>
      </c>
      <c r="W913" s="2">
        <v>42.7</v>
      </c>
      <c r="X913" s="2">
        <v>26</v>
      </c>
      <c r="Y913" s="2" t="s">
        <v>408</v>
      </c>
      <c r="Z913" s="2" t="s">
        <v>6270</v>
      </c>
      <c r="AA913" s="2">
        <v>-3.8637429197010902</v>
      </c>
      <c r="AB913" s="2">
        <v>0.79360034309609395</v>
      </c>
      <c r="AC913" s="2">
        <v>253618.248181965</v>
      </c>
      <c r="AD913" s="2">
        <v>210514.97569755299</v>
      </c>
      <c r="AE913" s="2">
        <v>265841.14390693698</v>
      </c>
      <c r="AF913" s="2">
        <v>244623.31991064901</v>
      </c>
      <c r="AG913" s="2">
        <v>261122.12070345599</v>
      </c>
      <c r="AH913" s="2">
        <v>253622.16849786</v>
      </c>
      <c r="AI913" s="2">
        <v>243733.822562338</v>
      </c>
      <c r="AJ913" s="2">
        <v>252766.91351055101</v>
      </c>
      <c r="AK913" s="2">
        <v>212621.323647818</v>
      </c>
      <c r="AL913" s="2">
        <v>213662.35730432899</v>
      </c>
      <c r="AM913" s="2">
        <v>216935.50063771501</v>
      </c>
      <c r="AN913" s="2">
        <v>202275.16544177101</v>
      </c>
      <c r="AO913" s="2">
        <v>212362.32841096999</v>
      </c>
      <c r="AP913" s="2">
        <v>205233.178742716</v>
      </c>
    </row>
    <row r="914" spans="1:42" ht="14.5" x14ac:dyDescent="0.35">
      <c r="A914" s="2" t="s">
        <v>6271</v>
      </c>
      <c r="B914" s="2">
        <v>499.08589033814201</v>
      </c>
      <c r="C914" s="2">
        <v>5.00538333333333</v>
      </c>
      <c r="D914" s="2" t="s">
        <v>70</v>
      </c>
      <c r="E914" s="2" t="s">
        <v>6272</v>
      </c>
      <c r="F914" s="2">
        <v>31178</v>
      </c>
      <c r="G914" s="3" t="str">
        <f>HYPERLINK("http://funmeta.oebiotech.com/network/31178", "http://funmeta.oebiotech.com/network/31178")</f>
        <v>http://funmeta.oebiotech.com/network/31178</v>
      </c>
      <c r="H914" s="2"/>
      <c r="I914" s="2"/>
      <c r="J914" s="2" t="s">
        <v>6273</v>
      </c>
      <c r="K914" s="2"/>
      <c r="L914" s="2"/>
      <c r="M914" s="2"/>
      <c r="N914" s="2"/>
      <c r="O914" s="2">
        <v>44258411</v>
      </c>
      <c r="P914" s="2"/>
      <c r="Q914" s="2" t="s">
        <v>6274</v>
      </c>
      <c r="R914" s="2" t="s">
        <v>6275</v>
      </c>
      <c r="S914" s="2" t="s">
        <v>115</v>
      </c>
      <c r="T914" s="2" t="s">
        <v>139</v>
      </c>
      <c r="U914" s="2" t="s">
        <v>140</v>
      </c>
      <c r="V914" s="2" t="s">
        <v>42</v>
      </c>
      <c r="W914" s="2">
        <v>48.7</v>
      </c>
      <c r="X914" s="2">
        <v>56.7</v>
      </c>
      <c r="Y914" s="2" t="s">
        <v>751</v>
      </c>
      <c r="Z914" s="2" t="s">
        <v>6276</v>
      </c>
      <c r="AA914" s="2">
        <v>-4.4571989058649697</v>
      </c>
      <c r="AB914" s="2">
        <v>0.79357756002163105</v>
      </c>
      <c r="AC914" s="2">
        <v>145426.784972914</v>
      </c>
      <c r="AD914" s="2">
        <v>189017.53549034</v>
      </c>
      <c r="AE914" s="2">
        <v>144422.463927506</v>
      </c>
      <c r="AF914" s="2">
        <v>152693.738306388</v>
      </c>
      <c r="AG914" s="2">
        <v>149200.39331527901</v>
      </c>
      <c r="AH914" s="2">
        <v>139171.02036537399</v>
      </c>
      <c r="AI914" s="2">
        <v>144404.81430504599</v>
      </c>
      <c r="AJ914" s="2">
        <v>142668.279617894</v>
      </c>
      <c r="AK914" s="2">
        <v>199655.45513147599</v>
      </c>
      <c r="AL914" s="2">
        <v>188697.69064647</v>
      </c>
      <c r="AM914" s="2">
        <v>201263.529646023</v>
      </c>
      <c r="AN914" s="2">
        <v>178216.05090979501</v>
      </c>
      <c r="AO914" s="2">
        <v>178220.97226063299</v>
      </c>
      <c r="AP914" s="2">
        <v>188051.514347641</v>
      </c>
    </row>
    <row r="915" spans="1:42" ht="14.5" x14ac:dyDescent="0.35">
      <c r="A915" s="2" t="s">
        <v>6277</v>
      </c>
      <c r="B915" s="2">
        <v>743.17604256274399</v>
      </c>
      <c r="C915" s="2">
        <v>1.79495</v>
      </c>
      <c r="D915" s="2" t="s">
        <v>34</v>
      </c>
      <c r="E915" s="2" t="s">
        <v>6278</v>
      </c>
      <c r="F915" s="2">
        <v>208511</v>
      </c>
      <c r="G915" s="3" t="str">
        <f>HYPERLINK("http://funmeta.oebiotech.com/network/208511", "http://funmeta.oebiotech.com/network/208511")</f>
        <v>http://funmeta.oebiotech.com/network/208511</v>
      </c>
      <c r="H915" s="2" t="s">
        <v>6279</v>
      </c>
      <c r="I915" s="2"/>
      <c r="J915" s="2"/>
      <c r="K915" s="2"/>
      <c r="L915" s="2"/>
      <c r="M915" s="2"/>
      <c r="N915" s="2"/>
      <c r="O915" s="2">
        <v>14137503</v>
      </c>
      <c r="P915" s="2"/>
      <c r="Q915" s="2" t="s">
        <v>6280</v>
      </c>
      <c r="R915" s="2" t="s">
        <v>6281</v>
      </c>
      <c r="S915" s="2" t="s">
        <v>41</v>
      </c>
      <c r="T915" s="2" t="s">
        <v>41</v>
      </c>
      <c r="U915" s="2" t="s">
        <v>41</v>
      </c>
      <c r="V915" s="2" t="s">
        <v>59</v>
      </c>
      <c r="W915" s="2">
        <v>41.6</v>
      </c>
      <c r="X915" s="2">
        <v>20.9</v>
      </c>
      <c r="Y915" s="2" t="s">
        <v>340</v>
      </c>
      <c r="Z915" s="2" t="s">
        <v>6282</v>
      </c>
      <c r="AA915" s="2">
        <v>1.7548456577214899</v>
      </c>
      <c r="AB915" s="2">
        <v>0.79267869568292204</v>
      </c>
      <c r="AC915" s="2">
        <v>93555.654047928998</v>
      </c>
      <c r="AD915" s="2">
        <v>136462.756562569</v>
      </c>
      <c r="AE915" s="2">
        <v>103810.63894108099</v>
      </c>
      <c r="AF915" s="2">
        <v>95039.162523376304</v>
      </c>
      <c r="AG915" s="2">
        <v>94303.535556938194</v>
      </c>
      <c r="AH915" s="2">
        <v>85614.327514576798</v>
      </c>
      <c r="AI915" s="2">
        <v>82017.796967257003</v>
      </c>
      <c r="AJ915" s="2">
        <v>100548.462784345</v>
      </c>
      <c r="AK915" s="2">
        <v>137890.35024922501</v>
      </c>
      <c r="AL915" s="2">
        <v>130687.673824018</v>
      </c>
      <c r="AM915" s="2">
        <v>141885.34231963099</v>
      </c>
      <c r="AN915" s="2">
        <v>136601.33927231201</v>
      </c>
      <c r="AO915" s="2">
        <v>136727.27054535801</v>
      </c>
      <c r="AP915" s="2">
        <v>134984.563164867</v>
      </c>
    </row>
    <row r="916" spans="1:42" ht="14.5" x14ac:dyDescent="0.35">
      <c r="A916" s="2" t="s">
        <v>6283</v>
      </c>
      <c r="B916" s="2">
        <v>1009.56960926592</v>
      </c>
      <c r="C916" s="2">
        <v>10.6795333333333</v>
      </c>
      <c r="D916" s="2" t="s">
        <v>34</v>
      </c>
      <c r="E916" s="2" t="s">
        <v>6284</v>
      </c>
      <c r="F916" s="2">
        <v>240172</v>
      </c>
      <c r="G916" s="3" t="str">
        <f>HYPERLINK("http://funmeta.oebiotech.com/network/240172", "http://funmeta.oebiotech.com/network/240172")</f>
        <v>http://funmeta.oebiotech.com/network/240172</v>
      </c>
      <c r="H916" s="2" t="s">
        <v>6285</v>
      </c>
      <c r="I916" s="2"/>
      <c r="J916" s="2"/>
      <c r="K916" s="2"/>
      <c r="L916" s="2"/>
      <c r="M916" s="2"/>
      <c r="N916" s="2"/>
      <c r="O916" s="2"/>
      <c r="P916" s="2"/>
      <c r="Q916" s="2" t="s">
        <v>6286</v>
      </c>
      <c r="R916" s="2" t="s">
        <v>6287</v>
      </c>
      <c r="S916" s="2" t="s">
        <v>41</v>
      </c>
      <c r="T916" s="2" t="s">
        <v>41</v>
      </c>
      <c r="U916" s="2" t="s">
        <v>41</v>
      </c>
      <c r="V916" s="2" t="s">
        <v>59</v>
      </c>
      <c r="W916" s="2">
        <v>37.200000000000003</v>
      </c>
      <c r="X916" s="2">
        <v>0</v>
      </c>
      <c r="Y916" s="2" t="s">
        <v>340</v>
      </c>
      <c r="Z916" s="2" t="s">
        <v>6288</v>
      </c>
      <c r="AA916" s="2">
        <v>-1.7187031236770101</v>
      </c>
      <c r="AB916" s="2">
        <v>0.79243175643573405</v>
      </c>
      <c r="AC916" s="2">
        <v>92881.421499170101</v>
      </c>
      <c r="AD916" s="2">
        <v>50300.725481783098</v>
      </c>
      <c r="AE916" s="2">
        <v>89672.823209422393</v>
      </c>
      <c r="AF916" s="2">
        <v>86756.491665609807</v>
      </c>
      <c r="AG916" s="2">
        <v>103849.855989217</v>
      </c>
      <c r="AH916" s="2">
        <v>92541.494145929697</v>
      </c>
      <c r="AI916" s="2">
        <v>89088.671650087897</v>
      </c>
      <c r="AJ916" s="2">
        <v>95379.192334753898</v>
      </c>
      <c r="AK916" s="2">
        <v>41956.146389647402</v>
      </c>
      <c r="AL916" s="2">
        <v>49013.013341179598</v>
      </c>
      <c r="AM916" s="2">
        <v>46907.1981636251</v>
      </c>
      <c r="AN916" s="2">
        <v>48630.754231770101</v>
      </c>
      <c r="AO916" s="2">
        <v>56692.609242170503</v>
      </c>
      <c r="AP916" s="2">
        <v>58604.631522306103</v>
      </c>
    </row>
    <row r="917" spans="1:42" ht="14.5" x14ac:dyDescent="0.35">
      <c r="A917" s="2" t="s">
        <v>6289</v>
      </c>
      <c r="B917" s="2">
        <v>289.14321692776099</v>
      </c>
      <c r="C917" s="2">
        <v>5.6059000000000001</v>
      </c>
      <c r="D917" s="2" t="s">
        <v>34</v>
      </c>
      <c r="E917" s="2" t="s">
        <v>6290</v>
      </c>
      <c r="F917" s="2">
        <v>60325</v>
      </c>
      <c r="G917" s="3" t="str">
        <f>HYPERLINK("http://funmeta.oebiotech.com/network/60325", "http://funmeta.oebiotech.com/network/60325")</f>
        <v>http://funmeta.oebiotech.com/network/60325</v>
      </c>
      <c r="H917" s="2" t="s">
        <v>6291</v>
      </c>
      <c r="I917" s="2"/>
      <c r="J917" s="2"/>
      <c r="K917" s="2"/>
      <c r="L917" s="2" t="s">
        <v>6292</v>
      </c>
      <c r="M917" s="2"/>
      <c r="N917" s="2"/>
      <c r="O917" s="2">
        <v>3483298</v>
      </c>
      <c r="P917" s="2" t="s">
        <v>6293</v>
      </c>
      <c r="Q917" s="2" t="s">
        <v>6294</v>
      </c>
      <c r="R917" s="2" t="s">
        <v>6295</v>
      </c>
      <c r="S917" s="2" t="s">
        <v>491</v>
      </c>
      <c r="T917" s="2" t="s">
        <v>5973</v>
      </c>
      <c r="U917" s="2" t="s">
        <v>6296</v>
      </c>
      <c r="V917" s="2" t="s">
        <v>59</v>
      </c>
      <c r="W917" s="2">
        <v>46.4</v>
      </c>
      <c r="X917" s="2">
        <v>37.700000000000003</v>
      </c>
      <c r="Y917" s="2" t="s">
        <v>141</v>
      </c>
      <c r="Z917" s="2" t="s">
        <v>6297</v>
      </c>
      <c r="AA917" s="2">
        <v>-0.71412026366624903</v>
      </c>
      <c r="AB917" s="2">
        <v>0.79211281101236397</v>
      </c>
      <c r="AC917" s="2">
        <v>118004.675433514</v>
      </c>
      <c r="AD917" s="2">
        <v>76400.398713839299</v>
      </c>
      <c r="AE917" s="2">
        <v>123212.02387893001</v>
      </c>
      <c r="AF917" s="2">
        <v>117748.357962391</v>
      </c>
      <c r="AG917" s="2">
        <v>119230.963674581</v>
      </c>
      <c r="AH917" s="2">
        <v>119255.79566265301</v>
      </c>
      <c r="AI917" s="2">
        <v>109041.387455216</v>
      </c>
      <c r="AJ917" s="2">
        <v>119539.52396731</v>
      </c>
      <c r="AK917" s="2">
        <v>75931.407866780602</v>
      </c>
      <c r="AL917" s="2">
        <v>73442.768452373799</v>
      </c>
      <c r="AM917" s="2">
        <v>78335.966558944594</v>
      </c>
      <c r="AN917" s="2">
        <v>76753.890484941396</v>
      </c>
      <c r="AO917" s="2">
        <v>74601.668983905794</v>
      </c>
      <c r="AP917" s="2">
        <v>79336.689936089897</v>
      </c>
    </row>
    <row r="918" spans="1:42" ht="14.5" x14ac:dyDescent="0.35">
      <c r="A918" s="2" t="s">
        <v>6298</v>
      </c>
      <c r="B918" s="2">
        <v>589.155884604687</v>
      </c>
      <c r="C918" s="2">
        <v>3.9884499999999998</v>
      </c>
      <c r="D918" s="2" t="s">
        <v>70</v>
      </c>
      <c r="E918" s="2" t="s">
        <v>6299</v>
      </c>
      <c r="F918" s="2">
        <v>62161</v>
      </c>
      <c r="G918" s="3" t="str">
        <f>HYPERLINK("http://funmeta.oebiotech.com/network/62161", "http://funmeta.oebiotech.com/network/62161")</f>
        <v>http://funmeta.oebiotech.com/network/62161</v>
      </c>
      <c r="H918" s="2" t="s">
        <v>6300</v>
      </c>
      <c r="I918" s="2">
        <v>93451</v>
      </c>
      <c r="J918" s="2"/>
      <c r="K918" s="2">
        <v>176223</v>
      </c>
      <c r="L918" s="2"/>
      <c r="M918" s="2"/>
      <c r="N918" s="2"/>
      <c r="O918" s="2">
        <v>74978385</v>
      </c>
      <c r="P918" s="2" t="s">
        <v>6301</v>
      </c>
      <c r="Q918" s="2" t="s">
        <v>6302</v>
      </c>
      <c r="R918" s="2" t="s">
        <v>6303</v>
      </c>
      <c r="S918" s="2" t="s">
        <v>115</v>
      </c>
      <c r="T918" s="2" t="s">
        <v>139</v>
      </c>
      <c r="U918" s="2" t="s">
        <v>140</v>
      </c>
      <c r="V918" s="2" t="s">
        <v>42</v>
      </c>
      <c r="W918" s="2">
        <v>47.8</v>
      </c>
      <c r="X918" s="2">
        <v>47.5</v>
      </c>
      <c r="Y918" s="2" t="s">
        <v>751</v>
      </c>
      <c r="Z918" s="2" t="s">
        <v>3969</v>
      </c>
      <c r="AA918" s="2">
        <v>-0.64881904568163196</v>
      </c>
      <c r="AB918" s="2">
        <v>0.79172036564299597</v>
      </c>
      <c r="AC918" s="2">
        <v>104797.546416549</v>
      </c>
      <c r="AD918" s="2">
        <v>62542.139009621897</v>
      </c>
      <c r="AE918" s="2">
        <v>102037.19801433499</v>
      </c>
      <c r="AF918" s="2">
        <v>104549.627734999</v>
      </c>
      <c r="AG918" s="2">
        <v>94426.777901596201</v>
      </c>
      <c r="AH918" s="2">
        <v>107760.694258223</v>
      </c>
      <c r="AI918" s="2">
        <v>104056.748953563</v>
      </c>
      <c r="AJ918" s="2">
        <v>115954.23163657699</v>
      </c>
      <c r="AK918" s="2">
        <v>61557.1053076807</v>
      </c>
      <c r="AL918" s="2">
        <v>64747.511588759298</v>
      </c>
      <c r="AM918" s="2">
        <v>62344.8588820367</v>
      </c>
      <c r="AN918" s="2">
        <v>66607.160411166493</v>
      </c>
      <c r="AO918" s="2">
        <v>59659.317969276402</v>
      </c>
      <c r="AP918" s="2">
        <v>60336.879898812098</v>
      </c>
    </row>
    <row r="919" spans="1:42" ht="14.5" x14ac:dyDescent="0.35">
      <c r="A919" s="2" t="s">
        <v>6304</v>
      </c>
      <c r="B919" s="2">
        <v>361.15029639213702</v>
      </c>
      <c r="C919" s="2">
        <v>4.8087833333333299</v>
      </c>
      <c r="D919" s="2" t="s">
        <v>70</v>
      </c>
      <c r="E919" s="2" t="s">
        <v>6305</v>
      </c>
      <c r="F919" s="2">
        <v>59039</v>
      </c>
      <c r="G919" s="3" t="str">
        <f>HYPERLINK("http://funmeta.oebiotech.com/network/59039", "http://funmeta.oebiotech.com/network/59039")</f>
        <v>http://funmeta.oebiotech.com/network/59039</v>
      </c>
      <c r="H919" s="2" t="s">
        <v>6306</v>
      </c>
      <c r="I919" s="2">
        <v>90473</v>
      </c>
      <c r="J919" s="2"/>
      <c r="K919" s="2">
        <v>167927</v>
      </c>
      <c r="L919" s="2"/>
      <c r="M919" s="2"/>
      <c r="N919" s="2"/>
      <c r="O919" s="2">
        <v>131751671</v>
      </c>
      <c r="P919" s="2" t="s">
        <v>6307</v>
      </c>
      <c r="Q919" s="2" t="s">
        <v>6308</v>
      </c>
      <c r="R919" s="2" t="s">
        <v>6309</v>
      </c>
      <c r="S919" s="2" t="s">
        <v>79</v>
      </c>
      <c r="T919" s="2" t="s">
        <v>80</v>
      </c>
      <c r="U919" s="2" t="s">
        <v>81</v>
      </c>
      <c r="V919" s="2" t="s">
        <v>42</v>
      </c>
      <c r="W919" s="2">
        <v>52.1</v>
      </c>
      <c r="X919" s="2">
        <v>62.6</v>
      </c>
      <c r="Y919" s="2" t="s">
        <v>408</v>
      </c>
      <c r="Z919" s="2" t="s">
        <v>6310</v>
      </c>
      <c r="AA919" s="2">
        <v>-0.34661932304710302</v>
      </c>
      <c r="AB919" s="2">
        <v>0.79080455903925595</v>
      </c>
      <c r="AC919" s="2">
        <v>138332.57165466301</v>
      </c>
      <c r="AD919" s="2">
        <v>189101.42188736601</v>
      </c>
      <c r="AE919" s="2">
        <v>135413.528244377</v>
      </c>
      <c r="AF919" s="2">
        <v>150475.30997417599</v>
      </c>
      <c r="AG919" s="2">
        <v>147156.87320544</v>
      </c>
      <c r="AH919" s="2">
        <v>128184.43831069799</v>
      </c>
      <c r="AI919" s="2">
        <v>132645.36990839499</v>
      </c>
      <c r="AJ919" s="2">
        <v>136119.91028489301</v>
      </c>
      <c r="AK919" s="2">
        <v>171922.81520783101</v>
      </c>
      <c r="AL919" s="2">
        <v>238264.00657707601</v>
      </c>
      <c r="AM919" s="2">
        <v>185135.90238938501</v>
      </c>
      <c r="AN919" s="2">
        <v>180169.87186553099</v>
      </c>
      <c r="AO919" s="2">
        <v>196568.52568968199</v>
      </c>
      <c r="AP919" s="2">
        <v>162547.40959468999</v>
      </c>
    </row>
    <row r="920" spans="1:42" ht="14.5" x14ac:dyDescent="0.35">
      <c r="A920" s="2" t="s">
        <v>6311</v>
      </c>
      <c r="B920" s="2">
        <v>184.06370941757601</v>
      </c>
      <c r="C920" s="2">
        <v>0.73473333333333302</v>
      </c>
      <c r="D920" s="2" t="s">
        <v>34</v>
      </c>
      <c r="E920" s="2" t="s">
        <v>6312</v>
      </c>
      <c r="F920" s="2">
        <v>205015</v>
      </c>
      <c r="G920" s="3" t="str">
        <f>HYPERLINK("http://funmeta.oebiotech.com/network/205015", "http://funmeta.oebiotech.com/network/205015")</f>
        <v>http://funmeta.oebiotech.com/network/205015</v>
      </c>
      <c r="H920" s="2" t="s">
        <v>6313</v>
      </c>
      <c r="I920" s="2">
        <v>63302</v>
      </c>
      <c r="J920" s="2"/>
      <c r="K920" s="2">
        <v>16822</v>
      </c>
      <c r="L920" s="2" t="s">
        <v>6314</v>
      </c>
      <c r="M920" s="2" t="s">
        <v>6315</v>
      </c>
      <c r="N920" s="2" t="s">
        <v>6316</v>
      </c>
      <c r="O920" s="2">
        <v>485</v>
      </c>
      <c r="P920" s="2" t="s">
        <v>6317</v>
      </c>
      <c r="Q920" s="2" t="s">
        <v>6318</v>
      </c>
      <c r="R920" s="2" t="s">
        <v>6319</v>
      </c>
      <c r="S920" s="2" t="s">
        <v>89</v>
      </c>
      <c r="T920" s="2" t="s">
        <v>1773</v>
      </c>
      <c r="U920" s="2" t="s">
        <v>1774</v>
      </c>
      <c r="V920" s="2" t="s">
        <v>59</v>
      </c>
      <c r="W920" s="2">
        <v>42.3</v>
      </c>
      <c r="X920" s="2">
        <v>20.9</v>
      </c>
      <c r="Y920" s="2" t="s">
        <v>1249</v>
      </c>
      <c r="Z920" s="2" t="s">
        <v>6320</v>
      </c>
      <c r="AA920" s="2">
        <v>-0.52396041307149499</v>
      </c>
      <c r="AB920" s="2">
        <v>0.79039227787923905</v>
      </c>
      <c r="AC920" s="2">
        <v>47982.443100517703</v>
      </c>
      <c r="AD920" s="2">
        <v>6760.4389143273402</v>
      </c>
      <c r="AE920" s="2">
        <v>54276.391422712702</v>
      </c>
      <c r="AF920" s="2">
        <v>50115.788658751699</v>
      </c>
      <c r="AG920" s="2">
        <v>47890.319141658103</v>
      </c>
      <c r="AH920" s="2">
        <v>46114.4506258416</v>
      </c>
      <c r="AI920" s="2">
        <v>42758.626942619398</v>
      </c>
      <c r="AJ920" s="2">
        <v>46739.081811522803</v>
      </c>
      <c r="AK920" s="2">
        <v>5980.1475371783299</v>
      </c>
      <c r="AL920" s="2">
        <v>7675.1229247478695</v>
      </c>
      <c r="AM920" s="2">
        <v>6984.6307460728403</v>
      </c>
      <c r="AN920" s="2">
        <v>5243.5509123481097</v>
      </c>
      <c r="AO920" s="2">
        <v>7495.1255202115099</v>
      </c>
      <c r="AP920" s="2">
        <v>7184.0558454053898</v>
      </c>
    </row>
    <row r="921" spans="1:42" ht="14.5" x14ac:dyDescent="0.35">
      <c r="A921" s="2" t="s">
        <v>6321</v>
      </c>
      <c r="B921" s="2">
        <v>625.17572776722795</v>
      </c>
      <c r="C921" s="2">
        <v>4.8488333333333298</v>
      </c>
      <c r="D921" s="2" t="s">
        <v>34</v>
      </c>
      <c r="E921" s="2" t="s">
        <v>6322</v>
      </c>
      <c r="F921" s="2">
        <v>61249</v>
      </c>
      <c r="G921" s="3" t="str">
        <f>HYPERLINK("http://funmeta.oebiotech.com/network/61249", "http://funmeta.oebiotech.com/network/61249")</f>
        <v>http://funmeta.oebiotech.com/network/61249</v>
      </c>
      <c r="H921" s="2" t="s">
        <v>6323</v>
      </c>
      <c r="I921" s="2">
        <v>92569</v>
      </c>
      <c r="J921" s="2"/>
      <c r="K921" s="2">
        <v>139417</v>
      </c>
      <c r="L921" s="2"/>
      <c r="M921" s="2"/>
      <c r="N921" s="2"/>
      <c r="O921" s="2">
        <v>6223069</v>
      </c>
      <c r="P921" s="2" t="s">
        <v>6324</v>
      </c>
      <c r="Q921" s="2" t="s">
        <v>6325</v>
      </c>
      <c r="R921" s="2" t="s">
        <v>6326</v>
      </c>
      <c r="S921" s="2" t="s">
        <v>115</v>
      </c>
      <c r="T921" s="2" t="s">
        <v>139</v>
      </c>
      <c r="U921" s="2" t="s">
        <v>140</v>
      </c>
      <c r="V921" s="2" t="s">
        <v>42</v>
      </c>
      <c r="W921" s="2">
        <v>57.9</v>
      </c>
      <c r="X921" s="2">
        <v>92.6</v>
      </c>
      <c r="Y921" s="2" t="s">
        <v>67</v>
      </c>
      <c r="Z921" s="2" t="s">
        <v>6327</v>
      </c>
      <c r="AA921" s="2">
        <v>-0.93500949048630999</v>
      </c>
      <c r="AB921" s="2">
        <v>0.79011737768345203</v>
      </c>
      <c r="AC921" s="2">
        <v>958897.76253451605</v>
      </c>
      <c r="AD921" s="2">
        <v>1016023.06900527</v>
      </c>
      <c r="AE921" s="2">
        <v>952589.83446865994</v>
      </c>
      <c r="AF921" s="2">
        <v>970531.21262518701</v>
      </c>
      <c r="AG921" s="2">
        <v>918708.59120853595</v>
      </c>
      <c r="AH921" s="2">
        <v>921276.13419892499</v>
      </c>
      <c r="AI921" s="2">
        <v>1001125.05516941</v>
      </c>
      <c r="AJ921" s="2">
        <v>989155.74753637996</v>
      </c>
      <c r="AK921" s="2">
        <v>1046065.95501376</v>
      </c>
      <c r="AL921" s="2">
        <v>1016795.0520435499</v>
      </c>
      <c r="AM921" s="2">
        <v>1049660.28187791</v>
      </c>
      <c r="AN921" s="2">
        <v>992146.46223126305</v>
      </c>
      <c r="AO921" s="2">
        <v>984493.98579579196</v>
      </c>
      <c r="AP921" s="2">
        <v>1006976.67706933</v>
      </c>
    </row>
    <row r="922" spans="1:42" ht="14.5" x14ac:dyDescent="0.35">
      <c r="A922" s="2" t="s">
        <v>6328</v>
      </c>
      <c r="B922" s="2">
        <v>347.221173272199</v>
      </c>
      <c r="C922" s="2">
        <v>6.4662166666666696</v>
      </c>
      <c r="D922" s="2" t="s">
        <v>34</v>
      </c>
      <c r="E922" s="2" t="s">
        <v>6329</v>
      </c>
      <c r="F922" s="2">
        <v>267525</v>
      </c>
      <c r="G922" s="3" t="str">
        <f>HYPERLINK("http://funmeta.oebiotech.com/network/267525", "http://funmeta.oebiotech.com/network/267525")</f>
        <v>http://funmeta.oebiotech.com/network/267525</v>
      </c>
      <c r="H922" s="2"/>
      <c r="I922" s="2">
        <v>45624</v>
      </c>
      <c r="J922" s="2"/>
      <c r="K922" s="2"/>
      <c r="L922" s="2"/>
      <c r="M922" s="2"/>
      <c r="N922" s="2"/>
      <c r="O922" s="2">
        <v>10088987</v>
      </c>
      <c r="P922" s="2" t="s">
        <v>6330</v>
      </c>
      <c r="Q922" s="2" t="s">
        <v>6331</v>
      </c>
      <c r="R922" s="2" t="s">
        <v>6332</v>
      </c>
      <c r="S922" s="2" t="s">
        <v>50</v>
      </c>
      <c r="T922" s="2" t="s">
        <v>201</v>
      </c>
      <c r="U922" s="2" t="s">
        <v>265</v>
      </c>
      <c r="V922" s="2" t="s">
        <v>42</v>
      </c>
      <c r="W922" s="2">
        <v>48.6</v>
      </c>
      <c r="X922" s="2">
        <v>50.7</v>
      </c>
      <c r="Y922" s="2" t="s">
        <v>266</v>
      </c>
      <c r="Z922" s="2" t="s">
        <v>2459</v>
      </c>
      <c r="AA922" s="2">
        <v>-1.48058580908819</v>
      </c>
      <c r="AB922" s="2">
        <v>0.78959116590475498</v>
      </c>
      <c r="AC922" s="2">
        <v>61595.984797972502</v>
      </c>
      <c r="AD922" s="2">
        <v>103070.916683798</v>
      </c>
      <c r="AE922" s="2">
        <v>54638.279651064498</v>
      </c>
      <c r="AF922" s="2">
        <v>60754.851264705401</v>
      </c>
      <c r="AG922" s="2">
        <v>63919.511818726998</v>
      </c>
      <c r="AH922" s="2">
        <v>63681.124669362602</v>
      </c>
      <c r="AI922" s="2">
        <v>65294.419948462302</v>
      </c>
      <c r="AJ922" s="2">
        <v>61287.721435512904</v>
      </c>
      <c r="AK922" s="2">
        <v>102834.89010837</v>
      </c>
      <c r="AL922" s="2">
        <v>108730.475523007</v>
      </c>
      <c r="AM922" s="2">
        <v>102818.149786562</v>
      </c>
      <c r="AN922" s="2">
        <v>97516.861395109197</v>
      </c>
      <c r="AO922" s="2">
        <v>101209.89485292201</v>
      </c>
      <c r="AP922" s="2">
        <v>105315.22843681699</v>
      </c>
    </row>
    <row r="923" spans="1:42" ht="14.5" x14ac:dyDescent="0.35">
      <c r="A923" s="2" t="s">
        <v>6333</v>
      </c>
      <c r="B923" s="2">
        <v>134.044655621234</v>
      </c>
      <c r="C923" s="2">
        <v>0.71894999999999998</v>
      </c>
      <c r="D923" s="2" t="s">
        <v>34</v>
      </c>
      <c r="E923" s="2" t="s">
        <v>6334</v>
      </c>
      <c r="F923" s="2">
        <v>46920</v>
      </c>
      <c r="G923" s="3" t="str">
        <f>HYPERLINK("http://funmeta.oebiotech.com/network/46920", "http://funmeta.oebiotech.com/network/46920")</f>
        <v>http://funmeta.oebiotech.com/network/46920</v>
      </c>
      <c r="H923" s="2" t="s">
        <v>6335</v>
      </c>
      <c r="I923" s="2">
        <v>15</v>
      </c>
      <c r="J923" s="2"/>
      <c r="K923" s="2">
        <v>17053</v>
      </c>
      <c r="L923" s="2" t="s">
        <v>6336</v>
      </c>
      <c r="M923" s="2" t="s">
        <v>6337</v>
      </c>
      <c r="N923" s="2" t="s">
        <v>6338</v>
      </c>
      <c r="O923" s="2">
        <v>5960</v>
      </c>
      <c r="P923" s="2" t="s">
        <v>6339</v>
      </c>
      <c r="Q923" s="2" t="s">
        <v>6340</v>
      </c>
      <c r="R923" s="2" t="s">
        <v>6341</v>
      </c>
      <c r="S923" s="2" t="s">
        <v>89</v>
      </c>
      <c r="T923" s="2" t="s">
        <v>90</v>
      </c>
      <c r="U923" s="2" t="s">
        <v>99</v>
      </c>
      <c r="V923" s="2" t="s">
        <v>42</v>
      </c>
      <c r="W923" s="2">
        <v>55.7</v>
      </c>
      <c r="X923" s="2">
        <v>82.4</v>
      </c>
      <c r="Y923" s="2" t="s">
        <v>266</v>
      </c>
      <c r="Z923" s="2" t="s">
        <v>6342</v>
      </c>
      <c r="AA923" s="2">
        <v>-0.96603054599002902</v>
      </c>
      <c r="AB923" s="2">
        <v>0.78908061327589696</v>
      </c>
      <c r="AC923" s="2">
        <v>94927.342890169894</v>
      </c>
      <c r="AD923" s="2">
        <v>51914.418788817697</v>
      </c>
      <c r="AE923" s="2">
        <v>90496.178673608694</v>
      </c>
      <c r="AF923" s="2">
        <v>87016.728970491706</v>
      </c>
      <c r="AG923" s="2">
        <v>98481.367897610093</v>
      </c>
      <c r="AH923" s="2">
        <v>87765.748984711507</v>
      </c>
      <c r="AI923" s="2">
        <v>106352.169904258</v>
      </c>
      <c r="AJ923" s="2">
        <v>99451.862910339405</v>
      </c>
      <c r="AK923" s="2">
        <v>48000.696248775901</v>
      </c>
      <c r="AL923" s="2">
        <v>46444.637962303103</v>
      </c>
      <c r="AM923" s="2">
        <v>62401.256578872402</v>
      </c>
      <c r="AN923" s="2">
        <v>49016.896973967901</v>
      </c>
      <c r="AO923" s="2">
        <v>59033.335141863397</v>
      </c>
      <c r="AP923" s="2">
        <v>46589.689827123497</v>
      </c>
    </row>
    <row r="924" spans="1:42" ht="14.5" x14ac:dyDescent="0.35">
      <c r="A924" s="2" t="s">
        <v>6343</v>
      </c>
      <c r="B924" s="2">
        <v>381.02655914766802</v>
      </c>
      <c r="C924" s="2">
        <v>3.01393333333333</v>
      </c>
      <c r="D924" s="2" t="s">
        <v>34</v>
      </c>
      <c r="E924" s="2" t="s">
        <v>6344</v>
      </c>
      <c r="F924" s="2">
        <v>82652</v>
      </c>
      <c r="G924" s="3" t="str">
        <f>HYPERLINK("http://funmeta.oebiotech.com/network/82652", "http://funmeta.oebiotech.com/network/82652")</f>
        <v>http://funmeta.oebiotech.com/network/82652</v>
      </c>
      <c r="H924" s="2" t="s">
        <v>6345</v>
      </c>
      <c r="I924" s="2"/>
      <c r="J924" s="2"/>
      <c r="K924" s="2"/>
      <c r="L924" s="2"/>
      <c r="M924" s="2"/>
      <c r="N924" s="2"/>
      <c r="O924" s="2">
        <v>131769952</v>
      </c>
      <c r="P924" s="2"/>
      <c r="Q924" s="2" t="s">
        <v>6346</v>
      </c>
      <c r="R924" s="2" t="s">
        <v>6347</v>
      </c>
      <c r="S924" s="2" t="s">
        <v>1444</v>
      </c>
      <c r="T924" s="2" t="s">
        <v>3595</v>
      </c>
      <c r="U924" s="2" t="s">
        <v>41</v>
      </c>
      <c r="V924" s="2" t="s">
        <v>59</v>
      </c>
      <c r="W924" s="2">
        <v>43.1</v>
      </c>
      <c r="X924" s="2">
        <v>23.8</v>
      </c>
      <c r="Y924" s="2" t="s">
        <v>394</v>
      </c>
      <c r="Z924" s="2" t="s">
        <v>6348</v>
      </c>
      <c r="AA924" s="2">
        <v>0.29391432313322502</v>
      </c>
      <c r="AB924" s="2">
        <v>0.78854038553748595</v>
      </c>
      <c r="AC924" s="2">
        <v>105706.91943185699</v>
      </c>
      <c r="AD924" s="2">
        <v>146975.285279929</v>
      </c>
      <c r="AE924" s="2">
        <v>101720.801057381</v>
      </c>
      <c r="AF924" s="2">
        <v>110311.16304484</v>
      </c>
      <c r="AG924" s="2">
        <v>108141.774132134</v>
      </c>
      <c r="AH924" s="2">
        <v>101891.226360684</v>
      </c>
      <c r="AI924" s="2">
        <v>103902.07560336</v>
      </c>
      <c r="AJ924" s="2">
        <v>108274.476392743</v>
      </c>
      <c r="AK924" s="2">
        <v>148470.224860338</v>
      </c>
      <c r="AL924" s="2">
        <v>149193.701427572</v>
      </c>
      <c r="AM924" s="2">
        <v>146424.18402204799</v>
      </c>
      <c r="AN924" s="2">
        <v>144995.04377514799</v>
      </c>
      <c r="AO924" s="2">
        <v>149877.474177333</v>
      </c>
      <c r="AP924" s="2">
        <v>142891.08341713701</v>
      </c>
    </row>
    <row r="925" spans="1:42" ht="14.5" x14ac:dyDescent="0.35">
      <c r="A925" s="2" t="s">
        <v>6349</v>
      </c>
      <c r="B925" s="2">
        <v>241.15449099137101</v>
      </c>
      <c r="C925" s="2">
        <v>1.29345</v>
      </c>
      <c r="D925" s="2" t="s">
        <v>34</v>
      </c>
      <c r="E925" s="2" t="s">
        <v>6350</v>
      </c>
      <c r="F925" s="2">
        <v>210959</v>
      </c>
      <c r="G925" s="3" t="str">
        <f>HYPERLINK("http://funmeta.oebiotech.com/network/210959", "http://funmeta.oebiotech.com/network/210959")</f>
        <v>http://funmeta.oebiotech.com/network/210959</v>
      </c>
      <c r="H925" s="2" t="s">
        <v>6351</v>
      </c>
      <c r="I925" s="2"/>
      <c r="J925" s="2"/>
      <c r="K925" s="2"/>
      <c r="L925" s="2"/>
      <c r="M925" s="2"/>
      <c r="N925" s="2"/>
      <c r="O925" s="2"/>
      <c r="P925" s="2"/>
      <c r="Q925" s="2" t="s">
        <v>6352</v>
      </c>
      <c r="R925" s="2" t="s">
        <v>6353</v>
      </c>
      <c r="S925" s="2" t="s">
        <v>148</v>
      </c>
      <c r="T925" s="2" t="s">
        <v>392</v>
      </c>
      <c r="U925" s="2" t="s">
        <v>2045</v>
      </c>
      <c r="V925" s="2" t="s">
        <v>59</v>
      </c>
      <c r="W925" s="2">
        <v>44.4</v>
      </c>
      <c r="X925" s="2">
        <v>25.2</v>
      </c>
      <c r="Y925" s="2" t="s">
        <v>43</v>
      </c>
      <c r="Z925" s="2" t="s">
        <v>923</v>
      </c>
      <c r="AA925" s="2">
        <v>-0.79753776520701702</v>
      </c>
      <c r="AB925" s="2">
        <v>0.78791405644007695</v>
      </c>
      <c r="AC925" s="2">
        <v>329164.00813505502</v>
      </c>
      <c r="AD925" s="2">
        <v>372610.91187705501</v>
      </c>
      <c r="AE925" s="2">
        <v>328192.63323793199</v>
      </c>
      <c r="AF925" s="2">
        <v>330413.254662705</v>
      </c>
      <c r="AG925" s="2">
        <v>341207.14074784302</v>
      </c>
      <c r="AH925" s="2">
        <v>327203.66825424501</v>
      </c>
      <c r="AI925" s="2">
        <v>320999.49804516701</v>
      </c>
      <c r="AJ925" s="2">
        <v>326967.85386243998</v>
      </c>
      <c r="AK925" s="2">
        <v>361480.64817568002</v>
      </c>
      <c r="AL925" s="2">
        <v>385544.40045315103</v>
      </c>
      <c r="AM925" s="2">
        <v>375343.28019810002</v>
      </c>
      <c r="AN925" s="2">
        <v>380929.25952979998</v>
      </c>
      <c r="AO925" s="2">
        <v>371975.99856902898</v>
      </c>
      <c r="AP925" s="2">
        <v>360391.88433656801</v>
      </c>
    </row>
    <row r="926" spans="1:42" ht="14.5" x14ac:dyDescent="0.35">
      <c r="A926" s="2" t="s">
        <v>6354</v>
      </c>
      <c r="B926" s="2">
        <v>659.27071703030697</v>
      </c>
      <c r="C926" s="2">
        <v>8.3118999999999996</v>
      </c>
      <c r="D926" s="2" t="s">
        <v>70</v>
      </c>
      <c r="E926" s="2" t="s">
        <v>6355</v>
      </c>
      <c r="F926" s="2">
        <v>62317</v>
      </c>
      <c r="G926" s="3" t="str">
        <f>HYPERLINK("http://funmeta.oebiotech.com/network/62317", "http://funmeta.oebiotech.com/network/62317")</f>
        <v>http://funmeta.oebiotech.com/network/62317</v>
      </c>
      <c r="H926" s="2" t="s">
        <v>6356</v>
      </c>
      <c r="I926" s="2">
        <v>93611</v>
      </c>
      <c r="J926" s="2"/>
      <c r="K926" s="2">
        <v>168498</v>
      </c>
      <c r="L926" s="2"/>
      <c r="M926" s="2"/>
      <c r="N926" s="2"/>
      <c r="O926" s="2">
        <v>15088501</v>
      </c>
      <c r="P926" s="2" t="s">
        <v>6357</v>
      </c>
      <c r="Q926" s="2" t="s">
        <v>6358</v>
      </c>
      <c r="R926" s="2" t="s">
        <v>6359</v>
      </c>
      <c r="S926" s="2" t="s">
        <v>491</v>
      </c>
      <c r="T926" s="2" t="s">
        <v>492</v>
      </c>
      <c r="U926" s="2" t="s">
        <v>41</v>
      </c>
      <c r="V926" s="2" t="s">
        <v>59</v>
      </c>
      <c r="W926" s="2">
        <v>45.6</v>
      </c>
      <c r="X926" s="2">
        <v>33.4</v>
      </c>
      <c r="Y926" s="2" t="s">
        <v>1395</v>
      </c>
      <c r="Z926" s="2" t="s">
        <v>6360</v>
      </c>
      <c r="AA926" s="2">
        <v>-2.2636500917761402</v>
      </c>
      <c r="AB926" s="2">
        <v>0.78647038109287004</v>
      </c>
      <c r="AC926" s="2">
        <v>509748.01663328498</v>
      </c>
      <c r="AD926" s="2">
        <v>456421.39124524198</v>
      </c>
      <c r="AE926" s="2">
        <v>497306.85388555803</v>
      </c>
      <c r="AF926" s="2">
        <v>473939.14509609801</v>
      </c>
      <c r="AG926" s="2">
        <v>548554.59758269298</v>
      </c>
      <c r="AH926" s="2">
        <v>502979.1563491</v>
      </c>
      <c r="AI926" s="2">
        <v>497091.91328154702</v>
      </c>
      <c r="AJ926" s="2">
        <v>538616.43360471295</v>
      </c>
      <c r="AK926" s="2">
        <v>479517.02448772598</v>
      </c>
      <c r="AL926" s="2">
        <v>462029.71074806497</v>
      </c>
      <c r="AM926" s="2">
        <v>481714.64241506398</v>
      </c>
      <c r="AN926" s="2">
        <v>447839.66070999502</v>
      </c>
      <c r="AO926" s="2">
        <v>430688.06301474402</v>
      </c>
      <c r="AP926" s="2">
        <v>436739.24609585898</v>
      </c>
    </row>
    <row r="927" spans="1:42" ht="14.5" x14ac:dyDescent="0.35">
      <c r="A927" s="2" t="s">
        <v>6361</v>
      </c>
      <c r="B927" s="2">
        <v>401.23217972925801</v>
      </c>
      <c r="C927" s="2">
        <v>9.5044666666666693</v>
      </c>
      <c r="D927" s="2" t="s">
        <v>34</v>
      </c>
      <c r="E927" s="2" t="s">
        <v>6362</v>
      </c>
      <c r="F927" s="2">
        <v>44710</v>
      </c>
      <c r="G927" s="3" t="str">
        <f>HYPERLINK("http://funmeta.oebiotech.com/network/44710", "http://funmeta.oebiotech.com/network/44710")</f>
        <v>http://funmeta.oebiotech.com/network/44710</v>
      </c>
      <c r="H927" s="2"/>
      <c r="I927" s="2"/>
      <c r="J927" s="2" t="s">
        <v>6363</v>
      </c>
      <c r="K927" s="2"/>
      <c r="L927" s="2"/>
      <c r="M927" s="2"/>
      <c r="N927" s="2"/>
      <c r="O927" s="2"/>
      <c r="P927" s="2"/>
      <c r="Q927" s="2" t="s">
        <v>6364</v>
      </c>
      <c r="R927" s="2" t="s">
        <v>6365</v>
      </c>
      <c r="S927" s="2" t="s">
        <v>50</v>
      </c>
      <c r="T927" s="2" t="s">
        <v>124</v>
      </c>
      <c r="U927" s="2" t="s">
        <v>567</v>
      </c>
      <c r="V927" s="2" t="s">
        <v>42</v>
      </c>
      <c r="W927" s="2">
        <v>51.4</v>
      </c>
      <c r="X927" s="2">
        <v>63.6</v>
      </c>
      <c r="Y927" s="2" t="s">
        <v>266</v>
      </c>
      <c r="Z927" s="2" t="s">
        <v>6366</v>
      </c>
      <c r="AA927" s="2">
        <v>-0.17696742143908401</v>
      </c>
      <c r="AB927" s="2">
        <v>0.78525001532469096</v>
      </c>
      <c r="AC927" s="2">
        <v>59110.840670849801</v>
      </c>
      <c r="AD927" s="2">
        <v>18223.721729902602</v>
      </c>
      <c r="AE927" s="2">
        <v>60978.266419385298</v>
      </c>
      <c r="AF927" s="2">
        <v>58985.143156659702</v>
      </c>
      <c r="AG927" s="2">
        <v>65783.7184127644</v>
      </c>
      <c r="AH927" s="2">
        <v>60514.417668897499</v>
      </c>
      <c r="AI927" s="2">
        <v>56864.081646285304</v>
      </c>
      <c r="AJ927" s="2">
        <v>51539.416721106601</v>
      </c>
      <c r="AK927" s="2">
        <v>19591.5934701767</v>
      </c>
      <c r="AL927" s="2">
        <v>20269.863666156099</v>
      </c>
      <c r="AM927" s="2">
        <v>16265.9565180562</v>
      </c>
      <c r="AN927" s="2">
        <v>17998.2748041552</v>
      </c>
      <c r="AO927" s="2">
        <v>18303.7162529825</v>
      </c>
      <c r="AP927" s="2">
        <v>16912.925667889202</v>
      </c>
    </row>
    <row r="928" spans="1:42" ht="14.5" x14ac:dyDescent="0.35">
      <c r="A928" s="2" t="s">
        <v>6367</v>
      </c>
      <c r="B928" s="2">
        <v>517.09599433639698</v>
      </c>
      <c r="C928" s="2">
        <v>4.22216666666667</v>
      </c>
      <c r="D928" s="2" t="s">
        <v>70</v>
      </c>
      <c r="E928" s="2" t="s">
        <v>6368</v>
      </c>
      <c r="F928" s="2">
        <v>204303</v>
      </c>
      <c r="G928" s="3" t="str">
        <f>HYPERLINK("http://funmeta.oebiotech.com/network/204303", "http://funmeta.oebiotech.com/network/204303")</f>
        <v>http://funmeta.oebiotech.com/network/204303</v>
      </c>
      <c r="H928" s="2" t="s">
        <v>6369</v>
      </c>
      <c r="I928" s="2"/>
      <c r="J928" s="2"/>
      <c r="K928" s="2"/>
      <c r="L928" s="2"/>
      <c r="M928" s="2"/>
      <c r="N928" s="2"/>
      <c r="O928" s="2">
        <v>430596</v>
      </c>
      <c r="P928" s="2"/>
      <c r="Q928" s="2" t="s">
        <v>6370</v>
      </c>
      <c r="R928" s="2" t="s">
        <v>6371</v>
      </c>
      <c r="S928" s="2" t="s">
        <v>41</v>
      </c>
      <c r="T928" s="2" t="s">
        <v>41</v>
      </c>
      <c r="U928" s="2" t="s">
        <v>41</v>
      </c>
      <c r="V928" s="2" t="s">
        <v>59</v>
      </c>
      <c r="W928" s="2">
        <v>36.5</v>
      </c>
      <c r="X928" s="2">
        <v>13.4</v>
      </c>
      <c r="Y928" s="2" t="s">
        <v>408</v>
      </c>
      <c r="Z928" s="2" t="s">
        <v>6372</v>
      </c>
      <c r="AA928" s="2">
        <v>-4.0552923225021704</v>
      </c>
      <c r="AB928" s="2">
        <v>0.781776030954484</v>
      </c>
      <c r="AC928" s="2">
        <v>104777.833865045</v>
      </c>
      <c r="AD928" s="2">
        <v>147032.67121118601</v>
      </c>
      <c r="AE928" s="2">
        <v>105594.814452128</v>
      </c>
      <c r="AF928" s="2">
        <v>108393.547278161</v>
      </c>
      <c r="AG928" s="2">
        <v>102784.097072541</v>
      </c>
      <c r="AH928" s="2">
        <v>98669.814429820195</v>
      </c>
      <c r="AI928" s="2">
        <v>112989.481167961</v>
      </c>
      <c r="AJ928" s="2">
        <v>100235.248789659</v>
      </c>
      <c r="AK928" s="2">
        <v>155702.51841849199</v>
      </c>
      <c r="AL928" s="2">
        <v>132881.211613714</v>
      </c>
      <c r="AM928" s="2">
        <v>158515.87476540499</v>
      </c>
      <c r="AN928" s="2">
        <v>150541.62272837901</v>
      </c>
      <c r="AO928" s="2">
        <v>138377.20453376399</v>
      </c>
      <c r="AP928" s="2">
        <v>146177.59520736401</v>
      </c>
    </row>
    <row r="929" spans="1:42" ht="14.5" x14ac:dyDescent="0.35">
      <c r="A929" s="2" t="s">
        <v>6373</v>
      </c>
      <c r="B929" s="2">
        <v>585.26742809236998</v>
      </c>
      <c r="C929" s="2">
        <v>10.3798166666667</v>
      </c>
      <c r="D929" s="2" t="s">
        <v>34</v>
      </c>
      <c r="E929" s="2" t="s">
        <v>6374</v>
      </c>
      <c r="F929" s="2">
        <v>7845</v>
      </c>
      <c r="G929" s="3" t="str">
        <f>HYPERLINK("http://funmeta.oebiotech.com/network/7845", "http://funmeta.oebiotech.com/network/7845")</f>
        <v>http://funmeta.oebiotech.com/network/7845</v>
      </c>
      <c r="H929" s="2"/>
      <c r="I929" s="2"/>
      <c r="J929" s="2" t="s">
        <v>6375</v>
      </c>
      <c r="K929" s="2"/>
      <c r="L929" s="2"/>
      <c r="M929" s="2"/>
      <c r="N929" s="2"/>
      <c r="O929" s="2"/>
      <c r="P929" s="2"/>
      <c r="Q929" s="2" t="s">
        <v>6376</v>
      </c>
      <c r="R929" s="2" t="s">
        <v>6377</v>
      </c>
      <c r="S929" s="2" t="s">
        <v>115</v>
      </c>
      <c r="T929" s="2" t="s">
        <v>1384</v>
      </c>
      <c r="U929" s="2" t="s">
        <v>41</v>
      </c>
      <c r="V929" s="2" t="s">
        <v>59</v>
      </c>
      <c r="W929" s="2">
        <v>39.799999999999997</v>
      </c>
      <c r="X929" s="2">
        <v>9.27</v>
      </c>
      <c r="Y929" s="2" t="s">
        <v>470</v>
      </c>
      <c r="Z929" s="2" t="s">
        <v>6378</v>
      </c>
      <c r="AA929" s="2">
        <v>0.72894542763981696</v>
      </c>
      <c r="AB929" s="2">
        <v>0.78162495449406</v>
      </c>
      <c r="AC929" s="2">
        <v>84328.754237458706</v>
      </c>
      <c r="AD929" s="2">
        <v>43161.239880421002</v>
      </c>
      <c r="AE929" s="2">
        <v>75539.391971790799</v>
      </c>
      <c r="AF929" s="2">
        <v>84667.295539696701</v>
      </c>
      <c r="AG929" s="2">
        <v>87883.515631123097</v>
      </c>
      <c r="AH929" s="2">
        <v>80507.499496571996</v>
      </c>
      <c r="AI929" s="2">
        <v>86529.299057385404</v>
      </c>
      <c r="AJ929" s="2">
        <v>90845.523728184402</v>
      </c>
      <c r="AK929" s="2">
        <v>44035.260798207302</v>
      </c>
      <c r="AL929" s="2">
        <v>42756.053141818396</v>
      </c>
      <c r="AM929" s="2">
        <v>42228.610830804697</v>
      </c>
      <c r="AN929" s="2">
        <v>41664.963675348998</v>
      </c>
      <c r="AO929" s="2">
        <v>51546.233092775197</v>
      </c>
      <c r="AP929" s="2">
        <v>36736.317743571701</v>
      </c>
    </row>
    <row r="930" spans="1:42" ht="14.5" x14ac:dyDescent="0.35">
      <c r="A930" s="2" t="s">
        <v>6379</v>
      </c>
      <c r="B930" s="2">
        <v>255.137600156562</v>
      </c>
      <c r="C930" s="2">
        <v>5.6059000000000001</v>
      </c>
      <c r="D930" s="2" t="s">
        <v>34</v>
      </c>
      <c r="E930" s="2" t="s">
        <v>6380</v>
      </c>
      <c r="F930" s="2">
        <v>6145</v>
      </c>
      <c r="G930" s="3" t="str">
        <f>HYPERLINK("http://funmeta.oebiotech.com/network/6145", "http://funmeta.oebiotech.com/network/6145")</f>
        <v>http://funmeta.oebiotech.com/network/6145</v>
      </c>
      <c r="H930" s="2"/>
      <c r="I930" s="2">
        <v>46119</v>
      </c>
      <c r="J930" s="2" t="s">
        <v>6381</v>
      </c>
      <c r="K930" s="2">
        <v>137733</v>
      </c>
      <c r="L930" s="2"/>
      <c r="M930" s="2"/>
      <c r="N930" s="2"/>
      <c r="O930" s="2">
        <v>14310981</v>
      </c>
      <c r="P930" s="2"/>
      <c r="Q930" s="2" t="s">
        <v>6382</v>
      </c>
      <c r="R930" s="2" t="s">
        <v>6383</v>
      </c>
      <c r="S930" s="2" t="s">
        <v>2811</v>
      </c>
      <c r="T930" s="2" t="s">
        <v>6384</v>
      </c>
      <c r="U930" s="2" t="s">
        <v>6385</v>
      </c>
      <c r="V930" s="2" t="s">
        <v>59</v>
      </c>
      <c r="W930" s="2">
        <v>41.5</v>
      </c>
      <c r="X930" s="2">
        <v>15.6</v>
      </c>
      <c r="Y930" s="2" t="s">
        <v>266</v>
      </c>
      <c r="Z930" s="2" t="s">
        <v>6386</v>
      </c>
      <c r="AA930" s="2">
        <v>3.7211272018847001</v>
      </c>
      <c r="AB930" s="2">
        <v>0.78125351450142799</v>
      </c>
      <c r="AC930" s="2">
        <v>169618.70971333599</v>
      </c>
      <c r="AD930" s="2">
        <v>215654.489124694</v>
      </c>
      <c r="AE930" s="2">
        <v>175904.75446791801</v>
      </c>
      <c r="AF930" s="2">
        <v>162570.46808750599</v>
      </c>
      <c r="AG930" s="2">
        <v>176640.98172936399</v>
      </c>
      <c r="AH930" s="2">
        <v>154191.68667900699</v>
      </c>
      <c r="AI930" s="2">
        <v>154936.84254817499</v>
      </c>
      <c r="AJ930" s="2">
        <v>193467.524768045</v>
      </c>
      <c r="AK930" s="2">
        <v>209282.43797625601</v>
      </c>
      <c r="AL930" s="2">
        <v>221657.475995532</v>
      </c>
      <c r="AM930" s="2">
        <v>232043.53374949901</v>
      </c>
      <c r="AN930" s="2">
        <v>223822.278081044</v>
      </c>
      <c r="AO930" s="2">
        <v>195892.02918154799</v>
      </c>
      <c r="AP930" s="2">
        <v>211229.17976428199</v>
      </c>
    </row>
    <row r="931" spans="1:42" ht="14.5" x14ac:dyDescent="0.35">
      <c r="A931" s="2" t="s">
        <v>6387</v>
      </c>
      <c r="B931" s="2">
        <v>715.45901028586297</v>
      </c>
      <c r="C931" s="2">
        <v>12.8663666666667</v>
      </c>
      <c r="D931" s="2" t="s">
        <v>34</v>
      </c>
      <c r="E931" s="2" t="s">
        <v>6388</v>
      </c>
      <c r="F931" s="2">
        <v>274692</v>
      </c>
      <c r="G931" s="3" t="str">
        <f>HYPERLINK("http://funmeta.oebiotech.com/network/274692", "http://funmeta.oebiotech.com/network/274692")</f>
        <v>http://funmeta.oebiotech.com/network/274692</v>
      </c>
      <c r="H931" s="2"/>
      <c r="I931" s="2">
        <v>64895</v>
      </c>
      <c r="J931" s="2"/>
      <c r="K931" s="2"/>
      <c r="L931" s="2"/>
      <c r="M931" s="2"/>
      <c r="N931" s="2"/>
      <c r="O931" s="2">
        <v>71684699</v>
      </c>
      <c r="P931" s="2"/>
      <c r="Q931" s="2" t="s">
        <v>6389</v>
      </c>
      <c r="R931" s="2" t="s">
        <v>6390</v>
      </c>
      <c r="S931" s="2" t="s">
        <v>50</v>
      </c>
      <c r="T931" s="2" t="s">
        <v>124</v>
      </c>
      <c r="U931" s="2" t="s">
        <v>929</v>
      </c>
      <c r="V931" s="2" t="s">
        <v>59</v>
      </c>
      <c r="W931" s="2">
        <v>36</v>
      </c>
      <c r="X931" s="2">
        <v>0</v>
      </c>
      <c r="Y931" s="2" t="s">
        <v>43</v>
      </c>
      <c r="Z931" s="2" t="s">
        <v>6391</v>
      </c>
      <c r="AA931" s="2">
        <v>2.1417998155742199</v>
      </c>
      <c r="AB931" s="2">
        <v>0.78011820538682397</v>
      </c>
      <c r="AC931" s="2">
        <v>2041.3236290223999</v>
      </c>
      <c r="AD931" s="2">
        <v>42508.343814573098</v>
      </c>
      <c r="AE931" s="2">
        <v>1243.8898446524599</v>
      </c>
      <c r="AF931" s="2">
        <v>2034.72841866873</v>
      </c>
      <c r="AG931" s="2">
        <v>2120.7080620523302</v>
      </c>
      <c r="AH931" s="2">
        <v>2432.0619309960298</v>
      </c>
      <c r="AI931" s="2">
        <v>1829.7227863457699</v>
      </c>
      <c r="AJ931" s="2">
        <v>2586.8307314191102</v>
      </c>
      <c r="AK931" s="2">
        <v>36317.853305447301</v>
      </c>
      <c r="AL931" s="2">
        <v>36263.730895103501</v>
      </c>
      <c r="AM931" s="2">
        <v>45726.619074859002</v>
      </c>
      <c r="AN931" s="2">
        <v>45388.9309379361</v>
      </c>
      <c r="AO931" s="2">
        <v>41953.045453954699</v>
      </c>
      <c r="AP931" s="2">
        <v>49399.883220138297</v>
      </c>
    </row>
    <row r="932" spans="1:42" ht="14.5" x14ac:dyDescent="0.35">
      <c r="A932" s="2" t="s">
        <v>6392</v>
      </c>
      <c r="B932" s="2">
        <v>675.24103865989196</v>
      </c>
      <c r="C932" s="2">
        <v>9.5044666666666693</v>
      </c>
      <c r="D932" s="2" t="s">
        <v>34</v>
      </c>
      <c r="E932" s="2" t="s">
        <v>6393</v>
      </c>
      <c r="F932" s="2">
        <v>47875</v>
      </c>
      <c r="G932" s="3" t="str">
        <f>HYPERLINK("http://funmeta.oebiotech.com/network/47875", "http://funmeta.oebiotech.com/network/47875")</f>
        <v>http://funmeta.oebiotech.com/network/47875</v>
      </c>
      <c r="H932" s="2" t="s">
        <v>6394</v>
      </c>
      <c r="I932" s="2">
        <v>6570</v>
      </c>
      <c r="J932" s="2"/>
      <c r="K932" s="2"/>
      <c r="L932" s="2"/>
      <c r="M932" s="2"/>
      <c r="N932" s="2"/>
      <c r="O932" s="2"/>
      <c r="P932" s="2" t="s">
        <v>6395</v>
      </c>
      <c r="Q932" s="2" t="s">
        <v>6396</v>
      </c>
      <c r="R932" s="2" t="s">
        <v>6397</v>
      </c>
      <c r="S932" s="2" t="s">
        <v>491</v>
      </c>
      <c r="T932" s="2" t="s">
        <v>492</v>
      </c>
      <c r="U932" s="2" t="s">
        <v>6398</v>
      </c>
      <c r="V932" s="2" t="s">
        <v>59</v>
      </c>
      <c r="W932" s="2">
        <v>43.6</v>
      </c>
      <c r="X932" s="2">
        <v>27.3</v>
      </c>
      <c r="Y932" s="2" t="s">
        <v>323</v>
      </c>
      <c r="Z932" s="2" t="s">
        <v>6399</v>
      </c>
      <c r="AA932" s="2">
        <v>-2.2938178701921301</v>
      </c>
      <c r="AB932" s="2">
        <v>0.779878603374906</v>
      </c>
      <c r="AC932" s="2">
        <v>58877.471785739799</v>
      </c>
      <c r="AD932" s="2">
        <v>18002.818601610099</v>
      </c>
      <c r="AE932" s="2">
        <v>56673.266324244702</v>
      </c>
      <c r="AF932" s="2">
        <v>58683.633701318096</v>
      </c>
      <c r="AG932" s="2">
        <v>54679.896207211197</v>
      </c>
      <c r="AH932" s="2">
        <v>61072.932330793403</v>
      </c>
      <c r="AI932" s="2">
        <v>51291.428430015199</v>
      </c>
      <c r="AJ932" s="2">
        <v>70863.673720856299</v>
      </c>
      <c r="AK932" s="2">
        <v>20531.365238126498</v>
      </c>
      <c r="AL932" s="2">
        <v>18506.8585630532</v>
      </c>
      <c r="AM932" s="2">
        <v>18445.313993044601</v>
      </c>
      <c r="AN932" s="2">
        <v>14757.908988467099</v>
      </c>
      <c r="AO932" s="2">
        <v>21117.001363759598</v>
      </c>
      <c r="AP932" s="2">
        <v>14658.4634632094</v>
      </c>
    </row>
    <row r="933" spans="1:42" ht="14.5" x14ac:dyDescent="0.35">
      <c r="A933" s="2" t="s">
        <v>6400</v>
      </c>
      <c r="B933" s="2">
        <v>552.98790596876597</v>
      </c>
      <c r="C933" s="2">
        <v>5.6228833333333297</v>
      </c>
      <c r="D933" s="2" t="s">
        <v>34</v>
      </c>
      <c r="E933" s="2" t="s">
        <v>6401</v>
      </c>
      <c r="F933" s="2">
        <v>257069</v>
      </c>
      <c r="G933" s="3" t="str">
        <f>HYPERLINK("http://funmeta.oebiotech.com/network/257069", "http://funmeta.oebiotech.com/network/257069")</f>
        <v>http://funmeta.oebiotech.com/network/257069</v>
      </c>
      <c r="H933" s="2" t="s">
        <v>6402</v>
      </c>
      <c r="I933" s="2"/>
      <c r="J933" s="2"/>
      <c r="K933" s="2"/>
      <c r="L933" s="2"/>
      <c r="M933" s="2"/>
      <c r="N933" s="2"/>
      <c r="O933" s="2"/>
      <c r="P933" s="2"/>
      <c r="Q933" s="2" t="s">
        <v>6403</v>
      </c>
      <c r="R933" s="2" t="s">
        <v>6404</v>
      </c>
      <c r="S933" s="2" t="s">
        <v>1444</v>
      </c>
      <c r="T933" s="2" t="s">
        <v>4937</v>
      </c>
      <c r="U933" s="2" t="s">
        <v>5723</v>
      </c>
      <c r="V933" s="2" t="s">
        <v>59</v>
      </c>
      <c r="W933" s="2">
        <v>39.1</v>
      </c>
      <c r="X933" s="2">
        <v>0.156</v>
      </c>
      <c r="Y933" s="2" t="s">
        <v>43</v>
      </c>
      <c r="Z933" s="2" t="s">
        <v>6405</v>
      </c>
      <c r="AA933" s="2">
        <v>-0.36293471034089497</v>
      </c>
      <c r="AB933" s="2">
        <v>0.77930352450186402</v>
      </c>
      <c r="AC933" s="2">
        <v>296501.68893199798</v>
      </c>
      <c r="AD933" s="2">
        <v>246254.58623658601</v>
      </c>
      <c r="AE933" s="2">
        <v>317668.50080848701</v>
      </c>
      <c r="AF933" s="2">
        <v>315748.47732539999</v>
      </c>
      <c r="AG933" s="2">
        <v>282704.01114551298</v>
      </c>
      <c r="AH933" s="2">
        <v>303162.20336312201</v>
      </c>
      <c r="AI933" s="2">
        <v>297627.73791917699</v>
      </c>
      <c r="AJ933" s="2">
        <v>262099.20303028601</v>
      </c>
      <c r="AK933" s="2">
        <v>224462.99317035501</v>
      </c>
      <c r="AL933" s="2">
        <v>252514.963844691</v>
      </c>
      <c r="AM933" s="2">
        <v>282655.13288131898</v>
      </c>
      <c r="AN933" s="2">
        <v>250912.03647806501</v>
      </c>
      <c r="AO933" s="2">
        <v>230987.30423477601</v>
      </c>
      <c r="AP933" s="2">
        <v>235995.08681031101</v>
      </c>
    </row>
    <row r="934" spans="1:42" ht="14.5" x14ac:dyDescent="0.35">
      <c r="A934" s="2" t="s">
        <v>6406</v>
      </c>
      <c r="B934" s="2">
        <v>596.32088275465105</v>
      </c>
      <c r="C934" s="2">
        <v>6.5019999999999998</v>
      </c>
      <c r="D934" s="2" t="s">
        <v>34</v>
      </c>
      <c r="E934" s="2" t="s">
        <v>6407</v>
      </c>
      <c r="F934" s="2">
        <v>28051</v>
      </c>
      <c r="G934" s="3" t="str">
        <f>HYPERLINK("http://funmeta.oebiotech.com/network/28051", "http://funmeta.oebiotech.com/network/28051")</f>
        <v>http://funmeta.oebiotech.com/network/28051</v>
      </c>
      <c r="H934" s="2"/>
      <c r="I934" s="2"/>
      <c r="J934" s="2" t="s">
        <v>6408</v>
      </c>
      <c r="K934" s="2"/>
      <c r="L934" s="2"/>
      <c r="M934" s="2"/>
      <c r="N934" s="2"/>
      <c r="O934" s="2">
        <v>134812497</v>
      </c>
      <c r="P934" s="2"/>
      <c r="Q934" s="2" t="s">
        <v>6409</v>
      </c>
      <c r="R934" s="2" t="s">
        <v>6410</v>
      </c>
      <c r="S934" s="2" t="s">
        <v>50</v>
      </c>
      <c r="T934" s="2" t="s">
        <v>51</v>
      </c>
      <c r="U934" s="2" t="s">
        <v>273</v>
      </c>
      <c r="V934" s="2" t="s">
        <v>59</v>
      </c>
      <c r="W934" s="2">
        <v>40.4</v>
      </c>
      <c r="X934" s="2">
        <v>11.2</v>
      </c>
      <c r="Y934" s="2" t="s">
        <v>43</v>
      </c>
      <c r="Z934" s="2" t="s">
        <v>6411</v>
      </c>
      <c r="AA934" s="2">
        <v>2.52171626499972</v>
      </c>
      <c r="AB934" s="2">
        <v>0.77834337968922096</v>
      </c>
      <c r="AC934" s="2">
        <v>105125.843430041</v>
      </c>
      <c r="AD934" s="2">
        <v>62738.643790215603</v>
      </c>
      <c r="AE934" s="2">
        <v>103975.750509337</v>
      </c>
      <c r="AF934" s="2">
        <v>108047.55659196401</v>
      </c>
      <c r="AG934" s="2">
        <v>107082.735769694</v>
      </c>
      <c r="AH934" s="2">
        <v>98080.113032733105</v>
      </c>
      <c r="AI934" s="2">
        <v>100795.782390261</v>
      </c>
      <c r="AJ934" s="2">
        <v>112773.122286257</v>
      </c>
      <c r="AK934" s="2">
        <v>62557.882316242001</v>
      </c>
      <c r="AL934" s="2">
        <v>50494.388494532097</v>
      </c>
      <c r="AM934" s="2">
        <v>72693.161252131496</v>
      </c>
      <c r="AN934" s="2">
        <v>74593.456967478895</v>
      </c>
      <c r="AO934" s="2">
        <v>49315.605184141597</v>
      </c>
      <c r="AP934" s="2">
        <v>66777.368526767401</v>
      </c>
    </row>
    <row r="935" spans="1:42" ht="14.5" x14ac:dyDescent="0.35">
      <c r="A935" s="2" t="s">
        <v>6412</v>
      </c>
      <c r="B935" s="2">
        <v>738.35514565001597</v>
      </c>
      <c r="C935" s="2">
        <v>9.6379333333333292</v>
      </c>
      <c r="D935" s="2" t="s">
        <v>70</v>
      </c>
      <c r="E935" s="2" t="s">
        <v>6413</v>
      </c>
      <c r="F935" s="2">
        <v>256062</v>
      </c>
      <c r="G935" s="3" t="str">
        <f>HYPERLINK("http://funmeta.oebiotech.com/network/256062", "http://funmeta.oebiotech.com/network/256062")</f>
        <v>http://funmeta.oebiotech.com/network/256062</v>
      </c>
      <c r="H935" s="2" t="s">
        <v>6414</v>
      </c>
      <c r="I935" s="2"/>
      <c r="J935" s="2"/>
      <c r="K935" s="2"/>
      <c r="L935" s="2"/>
      <c r="M935" s="2"/>
      <c r="N935" s="2"/>
      <c r="O935" s="2"/>
      <c r="P935" s="2"/>
      <c r="Q935" s="2" t="s">
        <v>6415</v>
      </c>
      <c r="R935" s="2" t="s">
        <v>6416</v>
      </c>
      <c r="S935" s="2" t="s">
        <v>89</v>
      </c>
      <c r="T935" s="2" t="s">
        <v>90</v>
      </c>
      <c r="U935" s="2" t="s">
        <v>99</v>
      </c>
      <c r="V935" s="2" t="s">
        <v>59</v>
      </c>
      <c r="W935" s="2">
        <v>43.8</v>
      </c>
      <c r="X935" s="2">
        <v>28.4</v>
      </c>
      <c r="Y935" s="2" t="s">
        <v>118</v>
      </c>
      <c r="Z935" s="2" t="s">
        <v>6417</v>
      </c>
      <c r="AA935" s="2">
        <v>-3.9251349221554599</v>
      </c>
      <c r="AB935" s="2">
        <v>0.77731334070275904</v>
      </c>
      <c r="AC935" s="2">
        <v>91263.0919103372</v>
      </c>
      <c r="AD935" s="2">
        <v>49567.817146501402</v>
      </c>
      <c r="AE935" s="2">
        <v>107944.155121252</v>
      </c>
      <c r="AF935" s="2">
        <v>91757.204791855504</v>
      </c>
      <c r="AG935" s="2">
        <v>84838.581536279293</v>
      </c>
      <c r="AH935" s="2">
        <v>90352.206587505294</v>
      </c>
      <c r="AI935" s="2">
        <v>91196.777509114094</v>
      </c>
      <c r="AJ935" s="2">
        <v>81489.625916016797</v>
      </c>
      <c r="AK935" s="2">
        <v>49348.544030058001</v>
      </c>
      <c r="AL935" s="2">
        <v>54860.475618673001</v>
      </c>
      <c r="AM935" s="2">
        <v>57183.798961393702</v>
      </c>
      <c r="AN935" s="2">
        <v>46345.317354844701</v>
      </c>
      <c r="AO935" s="2">
        <v>46432.923706637201</v>
      </c>
      <c r="AP935" s="2">
        <v>43235.843207401798</v>
      </c>
    </row>
    <row r="936" spans="1:42" ht="14.5" x14ac:dyDescent="0.35">
      <c r="A936" s="2" t="s">
        <v>6418</v>
      </c>
      <c r="B936" s="2">
        <v>645.33978235187794</v>
      </c>
      <c r="C936" s="2">
        <v>8.9900166666666692</v>
      </c>
      <c r="D936" s="2" t="s">
        <v>34</v>
      </c>
      <c r="E936" s="2" t="s">
        <v>6419</v>
      </c>
      <c r="F936" s="2">
        <v>28036</v>
      </c>
      <c r="G936" s="3" t="str">
        <f>HYPERLINK("http://funmeta.oebiotech.com/network/28036", "http://funmeta.oebiotech.com/network/28036")</f>
        <v>http://funmeta.oebiotech.com/network/28036</v>
      </c>
      <c r="H936" s="2"/>
      <c r="I936" s="2"/>
      <c r="J936" s="2" t="s">
        <v>6420</v>
      </c>
      <c r="K936" s="2"/>
      <c r="L936" s="2"/>
      <c r="M936" s="2"/>
      <c r="N936" s="2"/>
      <c r="O936" s="2">
        <v>134812482</v>
      </c>
      <c r="P936" s="2"/>
      <c r="Q936" s="2" t="s">
        <v>6421</v>
      </c>
      <c r="R936" s="2" t="s">
        <v>6422</v>
      </c>
      <c r="S936" s="2" t="s">
        <v>50</v>
      </c>
      <c r="T936" s="2" t="s">
        <v>51</v>
      </c>
      <c r="U936" s="2" t="s">
        <v>738</v>
      </c>
      <c r="V936" s="2" t="s">
        <v>59</v>
      </c>
      <c r="W936" s="2">
        <v>37.4</v>
      </c>
      <c r="X936" s="2">
        <v>0</v>
      </c>
      <c r="Y936" s="2" t="s">
        <v>141</v>
      </c>
      <c r="Z936" s="2" t="s">
        <v>6423</v>
      </c>
      <c r="AA936" s="2">
        <v>-6.5263292129827205E-2</v>
      </c>
      <c r="AB936" s="2">
        <v>0.77638288389047205</v>
      </c>
      <c r="AC936" s="2">
        <v>44405.715735929203</v>
      </c>
      <c r="AD936" s="2">
        <v>4530.1840219297601</v>
      </c>
      <c r="AE936" s="2">
        <v>51245.862175312403</v>
      </c>
      <c r="AF936" s="2">
        <v>45487.756101965097</v>
      </c>
      <c r="AG936" s="2">
        <v>42854.654610042198</v>
      </c>
      <c r="AH936" s="2">
        <v>45319.758240898198</v>
      </c>
      <c r="AI936" s="2">
        <v>41829.266596322399</v>
      </c>
      <c r="AJ936" s="2">
        <v>39696.996691034998</v>
      </c>
      <c r="AK936" s="2">
        <v>3690.38964246361</v>
      </c>
      <c r="AL936" s="2">
        <v>6416.1911887971301</v>
      </c>
      <c r="AM936" s="2">
        <v>5226.0944128786996</v>
      </c>
      <c r="AN936" s="2">
        <v>4417.2776869565596</v>
      </c>
      <c r="AO936" s="2">
        <v>2068.2170330528302</v>
      </c>
      <c r="AP936" s="2">
        <v>5362.9341674297202</v>
      </c>
    </row>
    <row r="937" spans="1:42" ht="14.5" x14ac:dyDescent="0.35">
      <c r="A937" s="2" t="s">
        <v>6424</v>
      </c>
      <c r="B937" s="2">
        <v>558.98830141440305</v>
      </c>
      <c r="C937" s="2">
        <v>1.3161166666666699</v>
      </c>
      <c r="D937" s="2" t="s">
        <v>70</v>
      </c>
      <c r="E937" s="2" t="s">
        <v>6425</v>
      </c>
      <c r="F937" s="2">
        <v>274952</v>
      </c>
      <c r="G937" s="3" t="str">
        <f>HYPERLINK("http://funmeta.oebiotech.com/network/274952", "http://funmeta.oebiotech.com/network/274952")</f>
        <v>http://funmeta.oebiotech.com/network/274952</v>
      </c>
      <c r="H937" s="2"/>
      <c r="I937" s="2">
        <v>65823</v>
      </c>
      <c r="J937" s="2"/>
      <c r="K937" s="2"/>
      <c r="L937" s="2" t="s">
        <v>6426</v>
      </c>
      <c r="M937" s="2"/>
      <c r="N937" s="2"/>
      <c r="O937" s="2">
        <v>92934</v>
      </c>
      <c r="P937" s="2" t="s">
        <v>6427</v>
      </c>
      <c r="Q937" s="2" t="s">
        <v>6428</v>
      </c>
      <c r="R937" s="2" t="s">
        <v>6429</v>
      </c>
      <c r="S937" s="2" t="s">
        <v>89</v>
      </c>
      <c r="T937" s="2" t="s">
        <v>90</v>
      </c>
      <c r="U937" s="2" t="s">
        <v>99</v>
      </c>
      <c r="V937" s="2" t="s">
        <v>59</v>
      </c>
      <c r="W937" s="2">
        <v>38</v>
      </c>
      <c r="X937" s="2">
        <v>0</v>
      </c>
      <c r="Y937" s="2" t="s">
        <v>560</v>
      </c>
      <c r="Z937" s="2" t="s">
        <v>6430</v>
      </c>
      <c r="AA937" s="2">
        <v>0.55285596167037399</v>
      </c>
      <c r="AB937" s="2">
        <v>0.77497166654646998</v>
      </c>
      <c r="AC937" s="2">
        <v>38727.327949811101</v>
      </c>
      <c r="AD937" s="2">
        <v>169327.52977446199</v>
      </c>
      <c r="AE937" s="2">
        <v>36789.187672976703</v>
      </c>
      <c r="AF937" s="2">
        <v>40621.011354467802</v>
      </c>
      <c r="AG937" s="2">
        <v>38869.466949764399</v>
      </c>
      <c r="AH937" s="2">
        <v>46696.868413230703</v>
      </c>
      <c r="AI937" s="2">
        <v>37413.813016889901</v>
      </c>
      <c r="AJ937" s="2">
        <v>31973.6202915373</v>
      </c>
      <c r="AK937" s="2">
        <v>37895.852645403102</v>
      </c>
      <c r="AL937" s="2">
        <v>37465.312142181603</v>
      </c>
      <c r="AM937" s="2">
        <v>831526.23248141503</v>
      </c>
      <c r="AN937" s="2">
        <v>39798.943680435397</v>
      </c>
      <c r="AO937" s="2">
        <v>36021.4854484311</v>
      </c>
      <c r="AP937" s="2">
        <v>33257.352248903</v>
      </c>
    </row>
    <row r="938" spans="1:42" ht="14.5" x14ac:dyDescent="0.35">
      <c r="A938" s="2" t="s">
        <v>6431</v>
      </c>
      <c r="B938" s="2">
        <v>755.20208973209105</v>
      </c>
      <c r="C938" s="2">
        <v>3.7870499999999998</v>
      </c>
      <c r="D938" s="2" t="s">
        <v>70</v>
      </c>
      <c r="E938" s="2" t="s">
        <v>6432</v>
      </c>
      <c r="F938" s="2">
        <v>30390</v>
      </c>
      <c r="G938" s="3" t="str">
        <f>HYPERLINK("http://funmeta.oebiotech.com/network/30390", "http://funmeta.oebiotech.com/network/30390")</f>
        <v>http://funmeta.oebiotech.com/network/30390</v>
      </c>
      <c r="H938" s="2"/>
      <c r="I938" s="2"/>
      <c r="J938" s="2" t="s">
        <v>6433</v>
      </c>
      <c r="K938" s="2"/>
      <c r="L938" s="2"/>
      <c r="M938" s="2"/>
      <c r="N938" s="2"/>
      <c r="O938" s="2">
        <v>102081593</v>
      </c>
      <c r="P938" s="2"/>
      <c r="Q938" s="2" t="s">
        <v>6434</v>
      </c>
      <c r="R938" s="2" t="s">
        <v>6435</v>
      </c>
      <c r="S938" s="2" t="s">
        <v>115</v>
      </c>
      <c r="T938" s="2" t="s">
        <v>139</v>
      </c>
      <c r="U938" s="2" t="s">
        <v>140</v>
      </c>
      <c r="V938" s="2" t="s">
        <v>59</v>
      </c>
      <c r="W938" s="2">
        <v>38</v>
      </c>
      <c r="X938" s="2">
        <v>0</v>
      </c>
      <c r="Y938" s="2" t="s">
        <v>408</v>
      </c>
      <c r="Z938" s="2" t="s">
        <v>4908</v>
      </c>
      <c r="AA938" s="2">
        <v>-2.71401417654099</v>
      </c>
      <c r="AB938" s="2">
        <v>0.774638543978864</v>
      </c>
      <c r="AC938" s="2">
        <v>82478.743711030504</v>
      </c>
      <c r="AD938" s="2">
        <v>42642.668183548099</v>
      </c>
      <c r="AE938" s="2">
        <v>78050.900542384305</v>
      </c>
      <c r="AF938" s="2">
        <v>86350.236981664202</v>
      </c>
      <c r="AG938" s="2">
        <v>81215.946255671603</v>
      </c>
      <c r="AH938" s="2">
        <v>86009.707687436297</v>
      </c>
      <c r="AI938" s="2">
        <v>82737.305894938298</v>
      </c>
      <c r="AJ938" s="2">
        <v>80508.364904088405</v>
      </c>
      <c r="AK938" s="2">
        <v>37701.5963212524</v>
      </c>
      <c r="AL938" s="2">
        <v>41054.076075997596</v>
      </c>
      <c r="AM938" s="2">
        <v>46808.246756716602</v>
      </c>
      <c r="AN938" s="2">
        <v>44281.260449831199</v>
      </c>
      <c r="AO938" s="2">
        <v>41727.237248138401</v>
      </c>
      <c r="AP938" s="2">
        <v>44283.592249352499</v>
      </c>
    </row>
    <row r="939" spans="1:42" ht="14.5" x14ac:dyDescent="0.35">
      <c r="A939" s="2" t="s">
        <v>6436</v>
      </c>
      <c r="B939" s="2">
        <v>309.20704194938497</v>
      </c>
      <c r="C939" s="2">
        <v>9.3915166666666696</v>
      </c>
      <c r="D939" s="2" t="s">
        <v>70</v>
      </c>
      <c r="E939" s="2" t="s">
        <v>6437</v>
      </c>
      <c r="F939" s="2">
        <v>7897</v>
      </c>
      <c r="G939" s="3" t="str">
        <f>HYPERLINK("http://funmeta.oebiotech.com/network/7897", "http://funmeta.oebiotech.com/network/7897")</f>
        <v>http://funmeta.oebiotech.com/network/7897</v>
      </c>
      <c r="H939" s="2"/>
      <c r="I939" s="2"/>
      <c r="J939" s="2" t="s">
        <v>6438</v>
      </c>
      <c r="K939" s="2"/>
      <c r="L939" s="2"/>
      <c r="M939" s="2"/>
      <c r="N939" s="2"/>
      <c r="O939" s="2">
        <v>132571558</v>
      </c>
      <c r="P939" s="2"/>
      <c r="Q939" s="2" t="s">
        <v>6439</v>
      </c>
      <c r="R939" s="2" t="s">
        <v>6440</v>
      </c>
      <c r="S939" s="2" t="s">
        <v>115</v>
      </c>
      <c r="T939" s="2" t="s">
        <v>1384</v>
      </c>
      <c r="U939" s="2" t="s">
        <v>41</v>
      </c>
      <c r="V939" s="2" t="s">
        <v>42</v>
      </c>
      <c r="W939" s="2">
        <v>53.2</v>
      </c>
      <c r="X939" s="2">
        <v>69.5</v>
      </c>
      <c r="Y939" s="2" t="s">
        <v>118</v>
      </c>
      <c r="Z939" s="2" t="s">
        <v>6441</v>
      </c>
      <c r="AA939" s="2">
        <v>-0.29353554382320901</v>
      </c>
      <c r="AB939" s="2">
        <v>0.77430758624823703</v>
      </c>
      <c r="AC939" s="2">
        <v>90163.994191795195</v>
      </c>
      <c r="AD939" s="2">
        <v>50618.717263729297</v>
      </c>
      <c r="AE939" s="2">
        <v>92472.092219996906</v>
      </c>
      <c r="AF939" s="2">
        <v>89772.082891683807</v>
      </c>
      <c r="AG939" s="2">
        <v>89976.024001442594</v>
      </c>
      <c r="AH939" s="2">
        <v>86471.702256189106</v>
      </c>
      <c r="AI939" s="2">
        <v>88999.630962548603</v>
      </c>
      <c r="AJ939" s="2">
        <v>93292.432818910296</v>
      </c>
      <c r="AK939" s="2">
        <v>52640.630600661199</v>
      </c>
      <c r="AL939" s="2">
        <v>53681.404926502597</v>
      </c>
      <c r="AM939" s="2">
        <v>51442.275237785499</v>
      </c>
      <c r="AN939" s="2">
        <v>49119.465130882403</v>
      </c>
      <c r="AO939" s="2">
        <v>49429.729076832002</v>
      </c>
      <c r="AP939" s="2">
        <v>47398.798609711899</v>
      </c>
    </row>
    <row r="940" spans="1:42" ht="14.5" x14ac:dyDescent="0.35">
      <c r="A940" s="2" t="s">
        <v>6442</v>
      </c>
      <c r="B940" s="2">
        <v>331.19128734231202</v>
      </c>
      <c r="C940" s="2">
        <v>7.4323499999999996</v>
      </c>
      <c r="D940" s="2" t="s">
        <v>70</v>
      </c>
      <c r="E940" s="2" t="s">
        <v>6443</v>
      </c>
      <c r="F940" s="2">
        <v>59937</v>
      </c>
      <c r="G940" s="3" t="str">
        <f>HYPERLINK("http://funmeta.oebiotech.com/network/59937", "http://funmeta.oebiotech.com/network/59937")</f>
        <v>http://funmeta.oebiotech.com/network/59937</v>
      </c>
      <c r="H940" s="2" t="s">
        <v>6444</v>
      </c>
      <c r="I940" s="2">
        <v>91301</v>
      </c>
      <c r="J940" s="2"/>
      <c r="K940" s="2"/>
      <c r="L940" s="2"/>
      <c r="M940" s="2"/>
      <c r="N940" s="2"/>
      <c r="O940" s="2">
        <v>6374435</v>
      </c>
      <c r="P940" s="2"/>
      <c r="Q940" s="2" t="s">
        <v>6445</v>
      </c>
      <c r="R940" s="2" t="s">
        <v>6446</v>
      </c>
      <c r="S940" s="2" t="s">
        <v>50</v>
      </c>
      <c r="T940" s="2" t="s">
        <v>201</v>
      </c>
      <c r="U940" s="2" t="s">
        <v>636</v>
      </c>
      <c r="V940" s="2" t="s">
        <v>42</v>
      </c>
      <c r="W940" s="2">
        <v>53.9</v>
      </c>
      <c r="X940" s="2">
        <v>73.7</v>
      </c>
      <c r="Y940" s="2" t="s">
        <v>118</v>
      </c>
      <c r="Z940" s="2" t="s">
        <v>4980</v>
      </c>
      <c r="AA940" s="2">
        <v>-0.58880980910928904</v>
      </c>
      <c r="AB940" s="2">
        <v>0.77393893348510501</v>
      </c>
      <c r="AC940" s="2">
        <v>48600.654444953303</v>
      </c>
      <c r="AD940" s="2">
        <v>2816.7535106660698</v>
      </c>
      <c r="AE940" s="2">
        <v>34317.8036507324</v>
      </c>
      <c r="AF940" s="2">
        <v>90316.025178879805</v>
      </c>
      <c r="AG940" s="2">
        <v>50435.465314110101</v>
      </c>
      <c r="AH940" s="2">
        <v>41315.662396087202</v>
      </c>
      <c r="AI940" s="2">
        <v>29768.095086208501</v>
      </c>
      <c r="AJ940" s="2">
        <v>45450.875043701999</v>
      </c>
      <c r="AK940" s="2">
        <v>2427.7479119129798</v>
      </c>
      <c r="AL940" s="2">
        <v>2630.3281342209002</v>
      </c>
      <c r="AM940" s="2">
        <v>1830.2630704531</v>
      </c>
      <c r="AN940" s="2">
        <v>3200.4301287553399</v>
      </c>
      <c r="AO940" s="2">
        <v>5260.15435763596</v>
      </c>
      <c r="AP940" s="2">
        <v>1551.5974610181399</v>
      </c>
    </row>
    <row r="941" spans="1:42" ht="14.5" x14ac:dyDescent="0.35">
      <c r="A941" s="2" t="s">
        <v>6447</v>
      </c>
      <c r="B941" s="2">
        <v>545.25284929391603</v>
      </c>
      <c r="C941" s="2">
        <v>10.3798166666667</v>
      </c>
      <c r="D941" s="2" t="s">
        <v>34</v>
      </c>
      <c r="E941" s="2" t="s">
        <v>6448</v>
      </c>
      <c r="F941" s="2">
        <v>257698</v>
      </c>
      <c r="G941" s="3" t="str">
        <f>HYPERLINK("http://funmeta.oebiotech.com/network/257698", "http://funmeta.oebiotech.com/network/257698")</f>
        <v>http://funmeta.oebiotech.com/network/257698</v>
      </c>
      <c r="H941" s="2" t="s">
        <v>6449</v>
      </c>
      <c r="I941" s="2">
        <v>78</v>
      </c>
      <c r="J941" s="2"/>
      <c r="K941" s="2"/>
      <c r="L941" s="2" t="s">
        <v>6450</v>
      </c>
      <c r="M941" s="2" t="s">
        <v>1978</v>
      </c>
      <c r="N941" s="2" t="s">
        <v>1979</v>
      </c>
      <c r="O941" s="2">
        <v>6738084</v>
      </c>
      <c r="P941" s="2" t="s">
        <v>6451</v>
      </c>
      <c r="Q941" s="2" t="s">
        <v>6452</v>
      </c>
      <c r="R941" s="2" t="s">
        <v>6453</v>
      </c>
      <c r="S941" s="2" t="s">
        <v>41</v>
      </c>
      <c r="T941" s="2" t="s">
        <v>41</v>
      </c>
      <c r="U941" s="2" t="s">
        <v>41</v>
      </c>
      <c r="V941" s="2" t="s">
        <v>59</v>
      </c>
      <c r="W941" s="2">
        <v>40.9</v>
      </c>
      <c r="X941" s="2">
        <v>15.1</v>
      </c>
      <c r="Y941" s="2" t="s">
        <v>266</v>
      </c>
      <c r="Z941" s="2" t="s">
        <v>6454</v>
      </c>
      <c r="AA941" s="2">
        <v>-3.3223962769270501</v>
      </c>
      <c r="AB941" s="2">
        <v>0.77372207666635195</v>
      </c>
      <c r="AC941" s="2">
        <v>67712.297607303102</v>
      </c>
      <c r="AD941" s="2">
        <v>28118.4911717135</v>
      </c>
      <c r="AE941" s="2">
        <v>64047.167848554098</v>
      </c>
      <c r="AF941" s="2">
        <v>66959.894106458902</v>
      </c>
      <c r="AG941" s="2">
        <v>66974.531968441006</v>
      </c>
      <c r="AH941" s="2">
        <v>71714.486777619895</v>
      </c>
      <c r="AI941" s="2">
        <v>66316.342285438193</v>
      </c>
      <c r="AJ941" s="2">
        <v>70261.362657306396</v>
      </c>
      <c r="AK941" s="2">
        <v>26992.688216228998</v>
      </c>
      <c r="AL941" s="2">
        <v>24809.890954087099</v>
      </c>
      <c r="AM941" s="2">
        <v>30468.5744667322</v>
      </c>
      <c r="AN941" s="2">
        <v>30287.766249992099</v>
      </c>
      <c r="AO941" s="2">
        <v>29688.5551175787</v>
      </c>
      <c r="AP941" s="2">
        <v>26463.4720256617</v>
      </c>
    </row>
    <row r="942" spans="1:42" ht="14.5" x14ac:dyDescent="0.35">
      <c r="A942" s="2" t="s">
        <v>6455</v>
      </c>
      <c r="B942" s="2">
        <v>571.29020801074</v>
      </c>
      <c r="C942" s="2">
        <v>9.8048666666666708</v>
      </c>
      <c r="D942" s="2" t="s">
        <v>34</v>
      </c>
      <c r="E942" s="2" t="s">
        <v>6456</v>
      </c>
      <c r="F942" s="2">
        <v>59797</v>
      </c>
      <c r="G942" s="3" t="str">
        <f>HYPERLINK("http://funmeta.oebiotech.com/network/59797", "http://funmeta.oebiotech.com/network/59797")</f>
        <v>http://funmeta.oebiotech.com/network/59797</v>
      </c>
      <c r="H942" s="2" t="s">
        <v>6457</v>
      </c>
      <c r="I942" s="2"/>
      <c r="J942" s="2"/>
      <c r="K942" s="2"/>
      <c r="L942" s="2"/>
      <c r="M942" s="2"/>
      <c r="N942" s="2"/>
      <c r="O942" s="2">
        <v>74028538</v>
      </c>
      <c r="P942" s="2" t="s">
        <v>6458</v>
      </c>
      <c r="Q942" s="2" t="s">
        <v>6459</v>
      </c>
      <c r="R942" s="2" t="s">
        <v>6460</v>
      </c>
      <c r="S942" s="2" t="s">
        <v>50</v>
      </c>
      <c r="T942" s="2" t="s">
        <v>201</v>
      </c>
      <c r="U942" s="2" t="s">
        <v>210</v>
      </c>
      <c r="V942" s="2" t="s">
        <v>42</v>
      </c>
      <c r="W942" s="2">
        <v>51.3</v>
      </c>
      <c r="X942" s="2">
        <v>60.7</v>
      </c>
      <c r="Y942" s="2" t="s">
        <v>67</v>
      </c>
      <c r="Z942" s="2" t="s">
        <v>6461</v>
      </c>
      <c r="AA942" s="2">
        <v>8.5318640417554395E-2</v>
      </c>
      <c r="AB942" s="2">
        <v>0.77346920768892802</v>
      </c>
      <c r="AC942" s="2">
        <v>55103.579149164798</v>
      </c>
      <c r="AD942" s="2">
        <v>95147.028604737206</v>
      </c>
      <c r="AE942" s="2">
        <v>51537.203302467402</v>
      </c>
      <c r="AF942" s="2">
        <v>49482.815836446003</v>
      </c>
      <c r="AG942" s="2">
        <v>56912.148161332501</v>
      </c>
      <c r="AH942" s="2">
        <v>56934.889123915498</v>
      </c>
      <c r="AI942" s="2">
        <v>59602.759918392498</v>
      </c>
      <c r="AJ942" s="2">
        <v>56151.658552434703</v>
      </c>
      <c r="AK942" s="2">
        <v>99391.9605618934</v>
      </c>
      <c r="AL942" s="2">
        <v>92863.924008351198</v>
      </c>
      <c r="AM942" s="2">
        <v>93592.467165866197</v>
      </c>
      <c r="AN942" s="2">
        <v>87323.456384659497</v>
      </c>
      <c r="AO942" s="2">
        <v>95931.807775667796</v>
      </c>
      <c r="AP942" s="2">
        <v>101778.555731985</v>
      </c>
    </row>
    <row r="943" spans="1:42" ht="14.5" x14ac:dyDescent="0.35">
      <c r="A943" s="2" t="s">
        <v>6462</v>
      </c>
      <c r="B943" s="2">
        <v>581.14994002840206</v>
      </c>
      <c r="C943" s="2">
        <v>4.6832000000000003</v>
      </c>
      <c r="D943" s="2" t="s">
        <v>34</v>
      </c>
      <c r="E943" s="2" t="s">
        <v>6463</v>
      </c>
      <c r="F943" s="2">
        <v>31753</v>
      </c>
      <c r="G943" s="3" t="str">
        <f>HYPERLINK("http://funmeta.oebiotech.com/network/31753", "http://funmeta.oebiotech.com/network/31753")</f>
        <v>http://funmeta.oebiotech.com/network/31753</v>
      </c>
      <c r="H943" s="2" t="s">
        <v>6464</v>
      </c>
      <c r="I943" s="2">
        <v>50080</v>
      </c>
      <c r="J943" s="2" t="s">
        <v>6465</v>
      </c>
      <c r="K943" s="2"/>
      <c r="L943" s="2"/>
      <c r="M943" s="2"/>
      <c r="N943" s="2"/>
      <c r="O943" s="2">
        <v>5465153</v>
      </c>
      <c r="P943" s="2" t="s">
        <v>6466</v>
      </c>
      <c r="Q943" s="2" t="s">
        <v>6467</v>
      </c>
      <c r="R943" s="2" t="s">
        <v>6468</v>
      </c>
      <c r="S943" s="2" t="s">
        <v>115</v>
      </c>
      <c r="T943" s="2" t="s">
        <v>139</v>
      </c>
      <c r="U943" s="2" t="s">
        <v>140</v>
      </c>
      <c r="V943" s="2" t="s">
        <v>42</v>
      </c>
      <c r="W943" s="2">
        <v>57.4</v>
      </c>
      <c r="X943" s="2">
        <v>88.9</v>
      </c>
      <c r="Y943" s="2" t="s">
        <v>92</v>
      </c>
      <c r="Z943" s="2" t="s">
        <v>4100</v>
      </c>
      <c r="AA943" s="2">
        <v>-0.26992483928486399</v>
      </c>
      <c r="AB943" s="2">
        <v>0.77337207200737301</v>
      </c>
      <c r="AC943" s="2">
        <v>1060515.2320614301</v>
      </c>
      <c r="AD943" s="2">
        <v>994924.28162359202</v>
      </c>
      <c r="AE943" s="2">
        <v>1056764.65237014</v>
      </c>
      <c r="AF943" s="2">
        <v>1043655.891931</v>
      </c>
      <c r="AG943" s="2">
        <v>1052921.1122047401</v>
      </c>
      <c r="AH943" s="2">
        <v>985666.34214405296</v>
      </c>
      <c r="AI943" s="2">
        <v>1049133.8562568901</v>
      </c>
      <c r="AJ943" s="2">
        <v>1174949.53746178</v>
      </c>
      <c r="AK943" s="2">
        <v>1010847.74006986</v>
      </c>
      <c r="AL943" s="2">
        <v>994628.09515412804</v>
      </c>
      <c r="AM943" s="2">
        <v>1022880.62440591</v>
      </c>
      <c r="AN943" s="2">
        <v>1019018.37365368</v>
      </c>
      <c r="AO943" s="2">
        <v>960617.751908181</v>
      </c>
      <c r="AP943" s="2">
        <v>961553.10454979097</v>
      </c>
    </row>
    <row r="944" spans="1:42" ht="14.5" x14ac:dyDescent="0.35">
      <c r="A944" s="2" t="s">
        <v>6469</v>
      </c>
      <c r="B944" s="2">
        <v>341.08733125098303</v>
      </c>
      <c r="C944" s="2">
        <v>1.9184333333333301</v>
      </c>
      <c r="D944" s="2" t="s">
        <v>70</v>
      </c>
      <c r="E944" s="2" t="s">
        <v>6470</v>
      </c>
      <c r="F944" s="2">
        <v>60594</v>
      </c>
      <c r="G944" s="3" t="str">
        <f>HYPERLINK("http://funmeta.oebiotech.com/network/60594", "http://funmeta.oebiotech.com/network/60594")</f>
        <v>http://funmeta.oebiotech.com/network/60594</v>
      </c>
      <c r="H944" s="2" t="s">
        <v>6471</v>
      </c>
      <c r="I944" s="2"/>
      <c r="J944" s="2"/>
      <c r="K944" s="2">
        <v>167992</v>
      </c>
      <c r="L944" s="2" t="s">
        <v>6472</v>
      </c>
      <c r="M944" s="2"/>
      <c r="N944" s="2"/>
      <c r="O944" s="2">
        <v>6124135</v>
      </c>
      <c r="P944" s="2" t="s">
        <v>6473</v>
      </c>
      <c r="Q944" s="2" t="s">
        <v>6474</v>
      </c>
      <c r="R944" s="2" t="s">
        <v>6475</v>
      </c>
      <c r="S944" s="2" t="s">
        <v>115</v>
      </c>
      <c r="T944" s="2" t="s">
        <v>116</v>
      </c>
      <c r="U944" s="2" t="s">
        <v>117</v>
      </c>
      <c r="V944" s="2" t="s">
        <v>42</v>
      </c>
      <c r="W944" s="2">
        <v>55.2</v>
      </c>
      <c r="X944" s="2">
        <v>79.5</v>
      </c>
      <c r="Y944" s="2" t="s">
        <v>118</v>
      </c>
      <c r="Z944" s="2" t="s">
        <v>6476</v>
      </c>
      <c r="AA944" s="2">
        <v>-1.3869545090122799</v>
      </c>
      <c r="AB944" s="2">
        <v>0.77322447824283103</v>
      </c>
      <c r="AC944" s="2">
        <v>447610.20565457002</v>
      </c>
      <c r="AD944" s="2">
        <v>502711.40198409098</v>
      </c>
      <c r="AE944" s="2">
        <v>472296.81028499798</v>
      </c>
      <c r="AF944" s="2">
        <v>417072.38049424498</v>
      </c>
      <c r="AG944" s="2">
        <v>496629.46561810398</v>
      </c>
      <c r="AH944" s="2">
        <v>419034.812705711</v>
      </c>
      <c r="AI944" s="2">
        <v>422667.83215440199</v>
      </c>
      <c r="AJ944" s="2">
        <v>457959.93266995798</v>
      </c>
      <c r="AK944" s="2">
        <v>491222.93416547403</v>
      </c>
      <c r="AL944" s="2">
        <v>467024.53125576797</v>
      </c>
      <c r="AM944" s="2">
        <v>544718.02335262205</v>
      </c>
      <c r="AN944" s="2">
        <v>509312.68022180302</v>
      </c>
      <c r="AO944" s="2">
        <v>496839.872291215</v>
      </c>
      <c r="AP944" s="2">
        <v>507150.37061766098</v>
      </c>
    </row>
    <row r="945" spans="1:42" ht="14.5" x14ac:dyDescent="0.35">
      <c r="A945" s="2" t="s">
        <v>6477</v>
      </c>
      <c r="B945" s="2">
        <v>349.17127269299101</v>
      </c>
      <c r="C945" s="2">
        <v>0.75019999999999998</v>
      </c>
      <c r="D945" s="2" t="s">
        <v>34</v>
      </c>
      <c r="E945" s="2" t="s">
        <v>6478</v>
      </c>
      <c r="F945" s="2">
        <v>211172</v>
      </c>
      <c r="G945" s="3" t="str">
        <f>HYPERLINK("http://funmeta.oebiotech.com/network/211172", "http://funmeta.oebiotech.com/network/211172")</f>
        <v>http://funmeta.oebiotech.com/network/211172</v>
      </c>
      <c r="H945" s="2" t="s">
        <v>6479</v>
      </c>
      <c r="I945" s="2"/>
      <c r="J945" s="2"/>
      <c r="K945" s="2"/>
      <c r="L945" s="2"/>
      <c r="M945" s="2"/>
      <c r="N945" s="2"/>
      <c r="O945" s="2">
        <v>3058747</v>
      </c>
      <c r="P945" s="2"/>
      <c r="Q945" s="2" t="s">
        <v>6480</v>
      </c>
      <c r="R945" s="2" t="s">
        <v>6481</v>
      </c>
      <c r="S945" s="2" t="s">
        <v>491</v>
      </c>
      <c r="T945" s="2" t="s">
        <v>2238</v>
      </c>
      <c r="U945" s="2" t="s">
        <v>6482</v>
      </c>
      <c r="V945" s="2" t="s">
        <v>59</v>
      </c>
      <c r="W945" s="2">
        <v>36.9</v>
      </c>
      <c r="X945" s="2">
        <v>0</v>
      </c>
      <c r="Y945" s="2" t="s">
        <v>394</v>
      </c>
      <c r="Z945" s="2" t="s">
        <v>6483</v>
      </c>
      <c r="AA945" s="2">
        <v>0.58805184827031398</v>
      </c>
      <c r="AB945" s="2">
        <v>0.77247802900232598</v>
      </c>
      <c r="AC945" s="2">
        <v>40576.384029813402</v>
      </c>
      <c r="AD945" s="2">
        <v>1.1090857535817999</v>
      </c>
      <c r="AE945" s="2">
        <v>28370.916307916199</v>
      </c>
      <c r="AF945" s="2">
        <v>50124.080230453998</v>
      </c>
      <c r="AG945" s="2">
        <v>36771.034483871401</v>
      </c>
      <c r="AH945" s="2">
        <v>46026.979094217997</v>
      </c>
      <c r="AI945" s="2">
        <v>34114.614854619402</v>
      </c>
      <c r="AJ945" s="2">
        <v>48050.679207801302</v>
      </c>
      <c r="AK945" s="2">
        <v>6.4129221870042699</v>
      </c>
      <c r="AL945" s="2">
        <v>0.24084458950659099</v>
      </c>
      <c r="AM945" s="2">
        <v>2.7106294003980101E-5</v>
      </c>
      <c r="AN945" s="2">
        <v>2.7106294003980101E-5</v>
      </c>
      <c r="AO945" s="2">
        <v>6.6642609792458697E-4</v>
      </c>
      <c r="AP945" s="2">
        <v>2.7106294003980101E-5</v>
      </c>
    </row>
    <row r="946" spans="1:42" ht="14.5" x14ac:dyDescent="0.35">
      <c r="A946" s="2" t="s">
        <v>6484</v>
      </c>
      <c r="B946" s="2">
        <v>874.53583900676404</v>
      </c>
      <c r="C946" s="2">
        <v>11.1218</v>
      </c>
      <c r="D946" s="2" t="s">
        <v>34</v>
      </c>
      <c r="E946" s="2" t="s">
        <v>6485</v>
      </c>
      <c r="F946" s="2">
        <v>214996</v>
      </c>
      <c r="G946" s="3" t="str">
        <f>HYPERLINK("http://funmeta.oebiotech.com/network/214996", "http://funmeta.oebiotech.com/network/214996")</f>
        <v>http://funmeta.oebiotech.com/network/214996</v>
      </c>
      <c r="H946" s="2" t="s">
        <v>6486</v>
      </c>
      <c r="I946" s="2"/>
      <c r="J946" s="2"/>
      <c r="K946" s="2"/>
      <c r="L946" s="2"/>
      <c r="M946" s="2"/>
      <c r="N946" s="2"/>
      <c r="O946" s="2"/>
      <c r="P946" s="2"/>
      <c r="Q946" s="2" t="s">
        <v>6487</v>
      </c>
      <c r="R946" s="2" t="s">
        <v>6488</v>
      </c>
      <c r="S946" s="2" t="s">
        <v>41</v>
      </c>
      <c r="T946" s="2" t="s">
        <v>41</v>
      </c>
      <c r="U946" s="2" t="s">
        <v>41</v>
      </c>
      <c r="V946" s="2" t="s">
        <v>59</v>
      </c>
      <c r="W946" s="2">
        <v>38.299999999999997</v>
      </c>
      <c r="X946" s="2">
        <v>0</v>
      </c>
      <c r="Y946" s="2" t="s">
        <v>340</v>
      </c>
      <c r="Z946" s="2" t="s">
        <v>6489</v>
      </c>
      <c r="AA946" s="2">
        <v>-4.6571428614285301E-2</v>
      </c>
      <c r="AB946" s="2">
        <v>0.77215593092676404</v>
      </c>
      <c r="AC946" s="2">
        <v>21188.872760677499</v>
      </c>
      <c r="AD946" s="2">
        <v>60546.353799167198</v>
      </c>
      <c r="AE946" s="2">
        <v>19613.5042768083</v>
      </c>
      <c r="AF946" s="2">
        <v>21655.6845494605</v>
      </c>
      <c r="AG946" s="2">
        <v>23043.8905235497</v>
      </c>
      <c r="AH946" s="2">
        <v>20094.085202629401</v>
      </c>
      <c r="AI946" s="2">
        <v>20306.076137147</v>
      </c>
      <c r="AJ946" s="2">
        <v>22419.995874469801</v>
      </c>
      <c r="AK946" s="2">
        <v>59013.166620449098</v>
      </c>
      <c r="AL946" s="2">
        <v>61851.5370967739</v>
      </c>
      <c r="AM946" s="2">
        <v>62563.9551123243</v>
      </c>
      <c r="AN946" s="2">
        <v>56111.238711727201</v>
      </c>
      <c r="AO946" s="2">
        <v>60140.374171190597</v>
      </c>
      <c r="AP946" s="2">
        <v>63597.8510825384</v>
      </c>
    </row>
    <row r="947" spans="1:42" ht="14.5" x14ac:dyDescent="0.35">
      <c r="A947" s="2" t="s">
        <v>6490</v>
      </c>
      <c r="B947" s="2">
        <v>449.32591538958297</v>
      </c>
      <c r="C947" s="2">
        <v>6.0772000000000004</v>
      </c>
      <c r="D947" s="2" t="s">
        <v>34</v>
      </c>
      <c r="E947" s="2" t="s">
        <v>6491</v>
      </c>
      <c r="F947" s="2">
        <v>43761</v>
      </c>
      <c r="G947" s="3" t="str">
        <f>HYPERLINK("http://funmeta.oebiotech.com/network/43761", "http://funmeta.oebiotech.com/network/43761")</f>
        <v>http://funmeta.oebiotech.com/network/43761</v>
      </c>
      <c r="H947" s="2"/>
      <c r="I947" s="2"/>
      <c r="J947" s="2" t="s">
        <v>6492</v>
      </c>
      <c r="K947" s="2"/>
      <c r="L947" s="2"/>
      <c r="M947" s="2"/>
      <c r="N947" s="2"/>
      <c r="O947" s="2">
        <v>101288317</v>
      </c>
      <c r="P947" s="2"/>
      <c r="Q947" s="2" t="s">
        <v>6493</v>
      </c>
      <c r="R947" s="2" t="s">
        <v>6494</v>
      </c>
      <c r="S947" s="2" t="s">
        <v>50</v>
      </c>
      <c r="T947" s="2" t="s">
        <v>124</v>
      </c>
      <c r="U947" s="2" t="s">
        <v>2789</v>
      </c>
      <c r="V947" s="2" t="s">
        <v>59</v>
      </c>
      <c r="W947" s="2">
        <v>47.4</v>
      </c>
      <c r="X947" s="2">
        <v>43.5</v>
      </c>
      <c r="Y947" s="2" t="s">
        <v>242</v>
      </c>
      <c r="Z947" s="2" t="s">
        <v>3982</v>
      </c>
      <c r="AA947" s="2">
        <v>-0.52541017285722402</v>
      </c>
      <c r="AB947" s="2">
        <v>0.77130218130677497</v>
      </c>
      <c r="AC947" s="2">
        <v>146148.038072216</v>
      </c>
      <c r="AD947" s="2">
        <v>106112.686278629</v>
      </c>
      <c r="AE947" s="2">
        <v>139839.981419655</v>
      </c>
      <c r="AF947" s="2">
        <v>149038.72666396</v>
      </c>
      <c r="AG947" s="2">
        <v>145943.467183245</v>
      </c>
      <c r="AH947" s="2">
        <v>153176.33173705699</v>
      </c>
      <c r="AI947" s="2">
        <v>147510.09213725501</v>
      </c>
      <c r="AJ947" s="2">
        <v>141379.62929212401</v>
      </c>
      <c r="AK947" s="2">
        <v>106784.22553874399</v>
      </c>
      <c r="AL947" s="2">
        <v>105966.77174354601</v>
      </c>
      <c r="AM947" s="2">
        <v>104385.130735282</v>
      </c>
      <c r="AN947" s="2">
        <v>105660.87912347799</v>
      </c>
      <c r="AO947" s="2">
        <v>99147.398439751705</v>
      </c>
      <c r="AP947" s="2">
        <v>114731.712090973</v>
      </c>
    </row>
    <row r="948" spans="1:42" ht="14.5" x14ac:dyDescent="0.35">
      <c r="A948" s="2" t="s">
        <v>6495</v>
      </c>
      <c r="B948" s="2">
        <v>524.43095593097996</v>
      </c>
      <c r="C948" s="2">
        <v>12.769016666666699</v>
      </c>
      <c r="D948" s="2" t="s">
        <v>34</v>
      </c>
      <c r="E948" s="2" t="s">
        <v>6496</v>
      </c>
      <c r="F948" s="2">
        <v>45791</v>
      </c>
      <c r="G948" s="3" t="str">
        <f>HYPERLINK("http://funmeta.oebiotech.com/network/45791", "http://funmeta.oebiotech.com/network/45791")</f>
        <v>http://funmeta.oebiotech.com/network/45791</v>
      </c>
      <c r="H948" s="2"/>
      <c r="I948" s="2">
        <v>42556</v>
      </c>
      <c r="J948" s="2" t="s">
        <v>6497</v>
      </c>
      <c r="K948" s="2"/>
      <c r="L948" s="2"/>
      <c r="M948" s="2"/>
      <c r="N948" s="2"/>
      <c r="O948" s="2">
        <v>11214329</v>
      </c>
      <c r="P948" s="2"/>
      <c r="Q948" s="2" t="s">
        <v>6498</v>
      </c>
      <c r="R948" s="2" t="s">
        <v>6499</v>
      </c>
      <c r="S948" s="2" t="s">
        <v>50</v>
      </c>
      <c r="T948" s="2" t="s">
        <v>124</v>
      </c>
      <c r="U948" s="2" t="s">
        <v>982</v>
      </c>
      <c r="V948" s="2" t="s">
        <v>59</v>
      </c>
      <c r="W948" s="2">
        <v>42.4</v>
      </c>
      <c r="X948" s="2">
        <v>27.8</v>
      </c>
      <c r="Y948" s="2" t="s">
        <v>1129</v>
      </c>
      <c r="Z948" s="2" t="s">
        <v>6500</v>
      </c>
      <c r="AA948" s="2">
        <v>1.10020368158845E-2</v>
      </c>
      <c r="AB948" s="2">
        <v>0.77069937635958397</v>
      </c>
      <c r="AC948" s="2">
        <v>28837.661902062198</v>
      </c>
      <c r="AD948" s="2">
        <v>68215.481537647996</v>
      </c>
      <c r="AE948" s="2">
        <v>27960.716157066799</v>
      </c>
      <c r="AF948" s="2">
        <v>24884.624955285301</v>
      </c>
      <c r="AG948" s="2">
        <v>31396.886065486498</v>
      </c>
      <c r="AH948" s="2">
        <v>29055.330016696698</v>
      </c>
      <c r="AI948" s="2">
        <v>27753.4313064296</v>
      </c>
      <c r="AJ948" s="2">
        <v>31974.982911408599</v>
      </c>
      <c r="AK948" s="2">
        <v>70286.429806044005</v>
      </c>
      <c r="AL948" s="2">
        <v>67406.8110143706</v>
      </c>
      <c r="AM948" s="2">
        <v>73397.227456872904</v>
      </c>
      <c r="AN948" s="2">
        <v>64733.869906666798</v>
      </c>
      <c r="AO948" s="2">
        <v>69297.048152378193</v>
      </c>
      <c r="AP948" s="2">
        <v>64171.502889555602</v>
      </c>
    </row>
    <row r="949" spans="1:42" ht="14.5" x14ac:dyDescent="0.35">
      <c r="A949" s="2" t="s">
        <v>6501</v>
      </c>
      <c r="B949" s="2">
        <v>441.17649744970402</v>
      </c>
      <c r="C949" s="2">
        <v>4.8264500000000004</v>
      </c>
      <c r="D949" s="2" t="s">
        <v>70</v>
      </c>
      <c r="E949" s="2" t="s">
        <v>6502</v>
      </c>
      <c r="F949" s="2">
        <v>208331</v>
      </c>
      <c r="G949" s="3" t="str">
        <f>HYPERLINK("http://funmeta.oebiotech.com/network/208331", "http://funmeta.oebiotech.com/network/208331")</f>
        <v>http://funmeta.oebiotech.com/network/208331</v>
      </c>
      <c r="H949" s="2" t="s">
        <v>6503</v>
      </c>
      <c r="I949" s="2"/>
      <c r="J949" s="2"/>
      <c r="K949" s="2"/>
      <c r="L949" s="2"/>
      <c r="M949" s="2"/>
      <c r="N949" s="2"/>
      <c r="O949" s="2">
        <v>372976</v>
      </c>
      <c r="P949" s="2"/>
      <c r="Q949" s="2" t="s">
        <v>6504</v>
      </c>
      <c r="R949" s="2" t="s">
        <v>6505</v>
      </c>
      <c r="S949" s="2" t="s">
        <v>50</v>
      </c>
      <c r="T949" s="2" t="s">
        <v>229</v>
      </c>
      <c r="U949" s="2" t="s">
        <v>230</v>
      </c>
      <c r="V949" s="2" t="s">
        <v>59</v>
      </c>
      <c r="W949" s="2">
        <v>48.7</v>
      </c>
      <c r="X949" s="2">
        <v>45</v>
      </c>
      <c r="Y949" s="2" t="s">
        <v>408</v>
      </c>
      <c r="Z949" s="2" t="s">
        <v>4723</v>
      </c>
      <c r="AA949" s="2">
        <v>-0.311159644317128</v>
      </c>
      <c r="AB949" s="2">
        <v>0.77041967986855098</v>
      </c>
      <c r="AC949" s="2">
        <v>110086.129047333</v>
      </c>
      <c r="AD949" s="2">
        <v>149806.92839264401</v>
      </c>
      <c r="AE949" s="2">
        <v>112967.246079872</v>
      </c>
      <c r="AF949" s="2">
        <v>106153.649680667</v>
      </c>
      <c r="AG949" s="2">
        <v>112782.476273598</v>
      </c>
      <c r="AH949" s="2">
        <v>105636.86101673001</v>
      </c>
      <c r="AI949" s="2">
        <v>111232.630864291</v>
      </c>
      <c r="AJ949" s="2">
        <v>111743.91036884001</v>
      </c>
      <c r="AK949" s="2">
        <v>146117.322338064</v>
      </c>
      <c r="AL949" s="2">
        <v>144806.913388405</v>
      </c>
      <c r="AM949" s="2">
        <v>157491.82535518301</v>
      </c>
      <c r="AN949" s="2">
        <v>145752.06176829801</v>
      </c>
      <c r="AO949" s="2">
        <v>149509.23102986999</v>
      </c>
      <c r="AP949" s="2">
        <v>155164.21647604401</v>
      </c>
    </row>
    <row r="950" spans="1:42" ht="14.5" x14ac:dyDescent="0.35">
      <c r="A950" s="2" t="s">
        <v>6506</v>
      </c>
      <c r="B950" s="2">
        <v>491.17305932590398</v>
      </c>
      <c r="C950" s="2">
        <v>3.45603333333333</v>
      </c>
      <c r="D950" s="2" t="s">
        <v>34</v>
      </c>
      <c r="E950" s="2" t="s">
        <v>6507</v>
      </c>
      <c r="F950" s="2">
        <v>206372</v>
      </c>
      <c r="G950" s="3" t="str">
        <f>HYPERLINK("http://funmeta.oebiotech.com/network/206372", "http://funmeta.oebiotech.com/network/206372")</f>
        <v>http://funmeta.oebiotech.com/network/206372</v>
      </c>
      <c r="H950" s="2" t="s">
        <v>6508</v>
      </c>
      <c r="I950" s="2"/>
      <c r="J950" s="2"/>
      <c r="K950" s="2">
        <v>145374</v>
      </c>
      <c r="L950" s="2"/>
      <c r="M950" s="2"/>
      <c r="N950" s="2"/>
      <c r="O950" s="2"/>
      <c r="P950" s="2"/>
      <c r="Q950" s="2" t="s">
        <v>6509</v>
      </c>
      <c r="R950" s="2" t="s">
        <v>6510</v>
      </c>
      <c r="S950" s="2" t="s">
        <v>491</v>
      </c>
      <c r="T950" s="2" t="s">
        <v>6511</v>
      </c>
      <c r="U950" s="2" t="s">
        <v>6512</v>
      </c>
      <c r="V950" s="2" t="s">
        <v>59</v>
      </c>
      <c r="W950" s="2">
        <v>37.9</v>
      </c>
      <c r="X950" s="2">
        <v>0</v>
      </c>
      <c r="Y950" s="2" t="s">
        <v>43</v>
      </c>
      <c r="Z950" s="2" t="s">
        <v>6513</v>
      </c>
      <c r="AA950" s="2">
        <v>-1.36053306049481</v>
      </c>
      <c r="AB950" s="2">
        <v>0.77014964273403996</v>
      </c>
      <c r="AC950" s="2">
        <v>86531.473501908302</v>
      </c>
      <c r="AD950" s="2">
        <v>126183.103811629</v>
      </c>
      <c r="AE950" s="2">
        <v>85499.587974687704</v>
      </c>
      <c r="AF950" s="2">
        <v>85763.813080998196</v>
      </c>
      <c r="AG950" s="2">
        <v>85163.4611452674</v>
      </c>
      <c r="AH950" s="2">
        <v>81234.482162630695</v>
      </c>
      <c r="AI950" s="2">
        <v>87627.835042685998</v>
      </c>
      <c r="AJ950" s="2">
        <v>93899.661605179906</v>
      </c>
      <c r="AK950" s="2">
        <v>118567.167537691</v>
      </c>
      <c r="AL950" s="2">
        <v>125385.76168629801</v>
      </c>
      <c r="AM950" s="2">
        <v>129326.736658312</v>
      </c>
      <c r="AN950" s="2">
        <v>131304.510242221</v>
      </c>
      <c r="AO950" s="2">
        <v>123743.902455758</v>
      </c>
      <c r="AP950" s="2">
        <v>128770.54428949401</v>
      </c>
    </row>
    <row r="951" spans="1:42" ht="14.5" x14ac:dyDescent="0.35">
      <c r="A951" s="2" t="s">
        <v>6514</v>
      </c>
      <c r="B951" s="2">
        <v>459.249970138094</v>
      </c>
      <c r="C951" s="2">
        <v>5.1048166666666699</v>
      </c>
      <c r="D951" s="2" t="s">
        <v>34</v>
      </c>
      <c r="E951" s="2" t="s">
        <v>6515</v>
      </c>
      <c r="F951" s="2">
        <v>46613</v>
      </c>
      <c r="G951" s="3" t="str">
        <f>HYPERLINK("http://funmeta.oebiotech.com/network/46613", "http://funmeta.oebiotech.com/network/46613")</f>
        <v>http://funmeta.oebiotech.com/network/46613</v>
      </c>
      <c r="H951" s="2"/>
      <c r="I951" s="2"/>
      <c r="J951" s="2" t="s">
        <v>6516</v>
      </c>
      <c r="K951" s="2"/>
      <c r="L951" s="2"/>
      <c r="M951" s="2"/>
      <c r="N951" s="2"/>
      <c r="O951" s="2">
        <v>118701751</v>
      </c>
      <c r="P951" s="2"/>
      <c r="Q951" s="2" t="s">
        <v>6517</v>
      </c>
      <c r="R951" s="2" t="s">
        <v>6518</v>
      </c>
      <c r="S951" s="2" t="s">
        <v>50</v>
      </c>
      <c r="T951" s="2" t="s">
        <v>124</v>
      </c>
      <c r="U951" s="2" t="s">
        <v>125</v>
      </c>
      <c r="V951" s="2" t="s">
        <v>59</v>
      </c>
      <c r="W951" s="2">
        <v>39.4</v>
      </c>
      <c r="X951" s="2">
        <v>11.1</v>
      </c>
      <c r="Y951" s="2" t="s">
        <v>340</v>
      </c>
      <c r="Z951" s="2" t="s">
        <v>6519</v>
      </c>
      <c r="AA951" s="2">
        <v>-1.8138116666273301</v>
      </c>
      <c r="AB951" s="2">
        <v>0.770147141231874</v>
      </c>
      <c r="AC951" s="2">
        <v>205203.47144366801</v>
      </c>
      <c r="AD951" s="2">
        <v>247485.66674085701</v>
      </c>
      <c r="AE951" s="2">
        <v>218249.804039018</v>
      </c>
      <c r="AF951" s="2">
        <v>207379.745132957</v>
      </c>
      <c r="AG951" s="2">
        <v>198657.29928446299</v>
      </c>
      <c r="AH951" s="2">
        <v>212997.30089158399</v>
      </c>
      <c r="AI951" s="2">
        <v>199367.57149661801</v>
      </c>
      <c r="AJ951" s="2">
        <v>194569.10781736701</v>
      </c>
      <c r="AK951" s="2">
        <v>233022.73914264599</v>
      </c>
      <c r="AL951" s="2">
        <v>246454.51817904299</v>
      </c>
      <c r="AM951" s="2">
        <v>263687.74615998397</v>
      </c>
      <c r="AN951" s="2">
        <v>248995.221672338</v>
      </c>
      <c r="AO951" s="2">
        <v>240949.55387978599</v>
      </c>
      <c r="AP951" s="2">
        <v>251804.22141134701</v>
      </c>
    </row>
    <row r="952" spans="1:42" ht="14.5" x14ac:dyDescent="0.35">
      <c r="A952" s="2" t="s">
        <v>6520</v>
      </c>
      <c r="B952" s="2">
        <v>725.18450933420797</v>
      </c>
      <c r="C952" s="2">
        <v>4.5826500000000001</v>
      </c>
      <c r="D952" s="2" t="s">
        <v>34</v>
      </c>
      <c r="E952" s="2" t="s">
        <v>6521</v>
      </c>
      <c r="F952" s="2">
        <v>57050</v>
      </c>
      <c r="G952" s="3" t="str">
        <f>HYPERLINK("http://funmeta.oebiotech.com/network/57050", "http://funmeta.oebiotech.com/network/57050")</f>
        <v>http://funmeta.oebiotech.com/network/57050</v>
      </c>
      <c r="H952" s="2" t="s">
        <v>6522</v>
      </c>
      <c r="I952" s="2"/>
      <c r="J952" s="2"/>
      <c r="K952" s="2"/>
      <c r="L952" s="2"/>
      <c r="M952" s="2"/>
      <c r="N952" s="2"/>
      <c r="O952" s="2">
        <v>131751306</v>
      </c>
      <c r="P952" s="2" t="s">
        <v>6523</v>
      </c>
      <c r="Q952" s="2" t="s">
        <v>6524</v>
      </c>
      <c r="R952" s="2" t="s">
        <v>6525</v>
      </c>
      <c r="S952" s="2" t="s">
        <v>115</v>
      </c>
      <c r="T952" s="2" t="s">
        <v>139</v>
      </c>
      <c r="U952" s="2" t="s">
        <v>140</v>
      </c>
      <c r="V952" s="2" t="s">
        <v>59</v>
      </c>
      <c r="W952" s="2">
        <v>37.4</v>
      </c>
      <c r="X952" s="2">
        <v>0</v>
      </c>
      <c r="Y952" s="2" t="s">
        <v>67</v>
      </c>
      <c r="Z952" s="2" t="s">
        <v>6526</v>
      </c>
      <c r="AA952" s="2">
        <v>-2.7241846436478299</v>
      </c>
      <c r="AB952" s="2">
        <v>0.76979800438191204</v>
      </c>
      <c r="AC952" s="2">
        <v>73162.670240835694</v>
      </c>
      <c r="AD952" s="2">
        <v>113387.14081224801</v>
      </c>
      <c r="AE952" s="2">
        <v>66363.658136038794</v>
      </c>
      <c r="AF952" s="2">
        <v>65909.669149806898</v>
      </c>
      <c r="AG952" s="2">
        <v>71740.346785791102</v>
      </c>
      <c r="AH952" s="2">
        <v>81111.235949099195</v>
      </c>
      <c r="AI952" s="2">
        <v>82357.841879445899</v>
      </c>
      <c r="AJ952" s="2">
        <v>71493.269544832001</v>
      </c>
      <c r="AK952" s="2">
        <v>111412.48851758899</v>
      </c>
      <c r="AL952" s="2">
        <v>115348.786917718</v>
      </c>
      <c r="AM952" s="2">
        <v>122001.86880820501</v>
      </c>
      <c r="AN952" s="2">
        <v>112016.13265366601</v>
      </c>
      <c r="AO952" s="2">
        <v>113337.485285852</v>
      </c>
      <c r="AP952" s="2">
        <v>106206.08269045901</v>
      </c>
    </row>
    <row r="953" spans="1:42" ht="14.5" x14ac:dyDescent="0.35">
      <c r="A953" s="2" t="s">
        <v>6527</v>
      </c>
      <c r="B953" s="2">
        <v>507.21974661595402</v>
      </c>
      <c r="C953" s="2">
        <v>4.4964333333333304</v>
      </c>
      <c r="D953" s="2" t="s">
        <v>34</v>
      </c>
      <c r="E953" s="2" t="s">
        <v>6528</v>
      </c>
      <c r="F953" s="2">
        <v>61664</v>
      </c>
      <c r="G953" s="3" t="str">
        <f>HYPERLINK("http://funmeta.oebiotech.com/network/61664", "http://funmeta.oebiotech.com/network/61664")</f>
        <v>http://funmeta.oebiotech.com/network/61664</v>
      </c>
      <c r="H953" s="2" t="s">
        <v>6529</v>
      </c>
      <c r="I953" s="2">
        <v>92965</v>
      </c>
      <c r="J953" s="2"/>
      <c r="K953" s="2">
        <v>169141</v>
      </c>
      <c r="L953" s="2"/>
      <c r="M953" s="2"/>
      <c r="N953" s="2"/>
      <c r="O953" s="2">
        <v>380907</v>
      </c>
      <c r="P953" s="2" t="s">
        <v>6530</v>
      </c>
      <c r="Q953" s="2" t="s">
        <v>6531</v>
      </c>
      <c r="R953" s="2" t="s">
        <v>6532</v>
      </c>
      <c r="S953" s="2" t="s">
        <v>89</v>
      </c>
      <c r="T953" s="2" t="s">
        <v>90</v>
      </c>
      <c r="U953" s="2" t="s">
        <v>1248</v>
      </c>
      <c r="V953" s="2" t="s">
        <v>59</v>
      </c>
      <c r="W953" s="2">
        <v>44.3</v>
      </c>
      <c r="X953" s="2">
        <v>29</v>
      </c>
      <c r="Y953" s="2" t="s">
        <v>470</v>
      </c>
      <c r="Z953" s="2" t="s">
        <v>6533</v>
      </c>
      <c r="AA953" s="2">
        <v>-0.66376226866840704</v>
      </c>
      <c r="AB953" s="2">
        <v>0.76865387854553302</v>
      </c>
      <c r="AC953" s="2">
        <v>154314.86302089199</v>
      </c>
      <c r="AD953" s="2">
        <v>194373.77977821801</v>
      </c>
      <c r="AE953" s="2">
        <v>158328.007906593</v>
      </c>
      <c r="AF953" s="2">
        <v>149804.335333831</v>
      </c>
      <c r="AG953" s="2">
        <v>154415.115423696</v>
      </c>
      <c r="AH953" s="2">
        <v>142651.680051779</v>
      </c>
      <c r="AI953" s="2">
        <v>157201.045115524</v>
      </c>
      <c r="AJ953" s="2">
        <v>163488.99429393001</v>
      </c>
      <c r="AK953" s="2">
        <v>197195.524665673</v>
      </c>
      <c r="AL953" s="2">
        <v>193694.40777492899</v>
      </c>
      <c r="AM953" s="2">
        <v>199525.70396613301</v>
      </c>
      <c r="AN953" s="2">
        <v>189856.65349013399</v>
      </c>
      <c r="AO953" s="2">
        <v>195085.73688313601</v>
      </c>
      <c r="AP953" s="2">
        <v>190884.65188930201</v>
      </c>
    </row>
    <row r="954" spans="1:42" ht="14.5" x14ac:dyDescent="0.35">
      <c r="A954" s="2" t="s">
        <v>6534</v>
      </c>
      <c r="B954" s="2">
        <v>753.34798496488997</v>
      </c>
      <c r="C954" s="2">
        <v>5.4873666666666701</v>
      </c>
      <c r="D954" s="2" t="s">
        <v>70</v>
      </c>
      <c r="E954" s="2" t="s">
        <v>6535</v>
      </c>
      <c r="F954" s="2">
        <v>27775</v>
      </c>
      <c r="G954" s="3" t="str">
        <f>HYPERLINK("http://funmeta.oebiotech.com/network/27775", "http://funmeta.oebiotech.com/network/27775")</f>
        <v>http://funmeta.oebiotech.com/network/27775</v>
      </c>
      <c r="H954" s="2"/>
      <c r="I954" s="2"/>
      <c r="J954" s="2" t="s">
        <v>6536</v>
      </c>
      <c r="K954" s="2"/>
      <c r="L954" s="2"/>
      <c r="M954" s="2"/>
      <c r="N954" s="2"/>
      <c r="O954" s="2">
        <v>126457665</v>
      </c>
      <c r="P954" s="2"/>
      <c r="Q954" s="2" t="s">
        <v>6537</v>
      </c>
      <c r="R954" s="2" t="s">
        <v>6538</v>
      </c>
      <c r="S954" s="2" t="s">
        <v>50</v>
      </c>
      <c r="T954" s="2" t="s">
        <v>51</v>
      </c>
      <c r="U954" s="2" t="s">
        <v>52</v>
      </c>
      <c r="V954" s="2" t="s">
        <v>59</v>
      </c>
      <c r="W954" s="2">
        <v>46.8</v>
      </c>
      <c r="X954" s="2">
        <v>39.799999999999997</v>
      </c>
      <c r="Y954" s="2" t="s">
        <v>751</v>
      </c>
      <c r="Z954" s="2" t="s">
        <v>6539</v>
      </c>
      <c r="AA954" s="2">
        <v>1.53938443493073</v>
      </c>
      <c r="AB954" s="2">
        <v>0.76833331685478701</v>
      </c>
      <c r="AC954" s="2">
        <v>206696.736693385</v>
      </c>
      <c r="AD954" s="2">
        <v>165302.135132845</v>
      </c>
      <c r="AE954" s="2">
        <v>217266.84794833101</v>
      </c>
      <c r="AF954" s="2">
        <v>199311.11822847</v>
      </c>
      <c r="AG954" s="2">
        <v>209215.45265732001</v>
      </c>
      <c r="AH954" s="2">
        <v>219129.18381895701</v>
      </c>
      <c r="AI954" s="2">
        <v>190807.69492947499</v>
      </c>
      <c r="AJ954" s="2">
        <v>204450.122577759</v>
      </c>
      <c r="AK954" s="2">
        <v>165406.276368711</v>
      </c>
      <c r="AL954" s="2">
        <v>156251.50019337301</v>
      </c>
      <c r="AM954" s="2">
        <v>171091.120527169</v>
      </c>
      <c r="AN954" s="2">
        <v>166410.22652435</v>
      </c>
      <c r="AO954" s="2">
        <v>160483.70015806399</v>
      </c>
      <c r="AP954" s="2">
        <v>172169.987025401</v>
      </c>
    </row>
    <row r="955" spans="1:42" ht="14.5" x14ac:dyDescent="0.35">
      <c r="A955" s="2" t="s">
        <v>6540</v>
      </c>
      <c r="B955" s="2">
        <v>230.24762664209601</v>
      </c>
      <c r="C955" s="2">
        <v>8.3238000000000003</v>
      </c>
      <c r="D955" s="2" t="s">
        <v>34</v>
      </c>
      <c r="E955" s="2" t="s">
        <v>6541</v>
      </c>
      <c r="F955" s="2">
        <v>6151</v>
      </c>
      <c r="G955" s="3" t="str">
        <f>HYPERLINK("http://funmeta.oebiotech.com/network/6151", "http://funmeta.oebiotech.com/network/6151")</f>
        <v>http://funmeta.oebiotech.com/network/6151</v>
      </c>
      <c r="H955" s="2"/>
      <c r="I955" s="2">
        <v>46125</v>
      </c>
      <c r="J955" s="2" t="s">
        <v>6542</v>
      </c>
      <c r="K955" s="2"/>
      <c r="L955" s="2"/>
      <c r="M955" s="2"/>
      <c r="N955" s="2"/>
      <c r="O955" s="2">
        <v>6427129</v>
      </c>
      <c r="P955" s="2"/>
      <c r="Q955" s="2" t="s">
        <v>6543</v>
      </c>
      <c r="R955" s="2" t="s">
        <v>6544</v>
      </c>
      <c r="S955" s="2" t="s">
        <v>50</v>
      </c>
      <c r="T955" s="2" t="s">
        <v>229</v>
      </c>
      <c r="U955" s="2" t="s">
        <v>1283</v>
      </c>
      <c r="V955" s="2" t="s">
        <v>42</v>
      </c>
      <c r="W955" s="2">
        <v>55.1</v>
      </c>
      <c r="X955" s="2">
        <v>78.5</v>
      </c>
      <c r="Y955" s="2" t="s">
        <v>43</v>
      </c>
      <c r="Z955" s="2" t="s">
        <v>6545</v>
      </c>
      <c r="AA955" s="2">
        <v>-1.01032640870153</v>
      </c>
      <c r="AB955" s="2">
        <v>0.76757808607478295</v>
      </c>
      <c r="AC955" s="2">
        <v>255308.76634075199</v>
      </c>
      <c r="AD955" s="2">
        <v>309506.91889058799</v>
      </c>
      <c r="AE955" s="2">
        <v>282608.329448634</v>
      </c>
      <c r="AF955" s="2">
        <v>210800.11740203301</v>
      </c>
      <c r="AG955" s="2">
        <v>278117.57696951099</v>
      </c>
      <c r="AH955" s="2">
        <v>197247.36529801201</v>
      </c>
      <c r="AI955" s="2">
        <v>272412.32282865699</v>
      </c>
      <c r="AJ955" s="2">
        <v>290666.88609766797</v>
      </c>
      <c r="AK955" s="2">
        <v>304550.25049686298</v>
      </c>
      <c r="AL955" s="2">
        <v>323763.08472420397</v>
      </c>
      <c r="AM955" s="2">
        <v>314896.298562171</v>
      </c>
      <c r="AN955" s="2">
        <v>307207.40299892699</v>
      </c>
      <c r="AO955" s="2">
        <v>297065.14907621499</v>
      </c>
      <c r="AP955" s="2">
        <v>309559.327485146</v>
      </c>
    </row>
    <row r="956" spans="1:42" ht="14.5" x14ac:dyDescent="0.35">
      <c r="A956" s="2" t="s">
        <v>6546</v>
      </c>
      <c r="B956" s="2">
        <v>317.08417757605997</v>
      </c>
      <c r="C956" s="2">
        <v>1.06171666666667</v>
      </c>
      <c r="D956" s="2" t="s">
        <v>34</v>
      </c>
      <c r="E956" s="2" t="s">
        <v>6547</v>
      </c>
      <c r="F956" s="2">
        <v>38884</v>
      </c>
      <c r="G956" s="3" t="str">
        <f>HYPERLINK("http://funmeta.oebiotech.com/network/38884", "http://funmeta.oebiotech.com/network/38884")</f>
        <v>http://funmeta.oebiotech.com/network/38884</v>
      </c>
      <c r="H956" s="2"/>
      <c r="I956" s="2"/>
      <c r="J956" s="2" t="s">
        <v>6548</v>
      </c>
      <c r="K956" s="2"/>
      <c r="L956" s="2"/>
      <c r="M956" s="2"/>
      <c r="N956" s="2"/>
      <c r="O956" s="2">
        <v>56940682</v>
      </c>
      <c r="P956" s="2"/>
      <c r="Q956" s="2" t="s">
        <v>6549</v>
      </c>
      <c r="R956" s="2" t="s">
        <v>6550</v>
      </c>
      <c r="S956" s="2" t="s">
        <v>50</v>
      </c>
      <c r="T956" s="2" t="s">
        <v>106</v>
      </c>
      <c r="U956" s="2" t="s">
        <v>41</v>
      </c>
      <c r="V956" s="2" t="s">
        <v>59</v>
      </c>
      <c r="W956" s="2">
        <v>41.6</v>
      </c>
      <c r="X956" s="2">
        <v>9.9499999999999993</v>
      </c>
      <c r="Y956" s="2" t="s">
        <v>323</v>
      </c>
      <c r="Z956" s="2" t="s">
        <v>6551</v>
      </c>
      <c r="AA956" s="2">
        <v>-0.42590729160852803</v>
      </c>
      <c r="AB956" s="2">
        <v>0.76718454823627502</v>
      </c>
      <c r="AC956" s="2">
        <v>64320.655700266303</v>
      </c>
      <c r="AD956" s="2">
        <v>104743.216890853</v>
      </c>
      <c r="AE956" s="2">
        <v>65180.562627204003</v>
      </c>
      <c r="AF956" s="2">
        <v>66668.319575612797</v>
      </c>
      <c r="AG956" s="2">
        <v>59325.853063550698</v>
      </c>
      <c r="AH956" s="2">
        <v>61244.719612942899</v>
      </c>
      <c r="AI956" s="2">
        <v>73297.564008546906</v>
      </c>
      <c r="AJ956" s="2">
        <v>60206.915313740799</v>
      </c>
      <c r="AK956" s="2">
        <v>100507.120750642</v>
      </c>
      <c r="AL956" s="2">
        <v>115251.182666516</v>
      </c>
      <c r="AM956" s="2">
        <v>93825.868308199002</v>
      </c>
      <c r="AN956" s="2">
        <v>99018.759328558604</v>
      </c>
      <c r="AO956" s="2">
        <v>111236.063589788</v>
      </c>
      <c r="AP956" s="2">
        <v>108620.306701416</v>
      </c>
    </row>
    <row r="957" spans="1:42" ht="14.5" x14ac:dyDescent="0.35">
      <c r="A957" s="2" t="s">
        <v>6552</v>
      </c>
      <c r="B957" s="2">
        <v>413.21788458232299</v>
      </c>
      <c r="C957" s="2">
        <v>4.25878333333333</v>
      </c>
      <c r="D957" s="2" t="s">
        <v>70</v>
      </c>
      <c r="E957" s="2" t="s">
        <v>6553</v>
      </c>
      <c r="F957" s="2">
        <v>3923</v>
      </c>
      <c r="G957" s="3" t="str">
        <f>HYPERLINK("http://funmeta.oebiotech.com/network/3923", "http://funmeta.oebiotech.com/network/3923")</f>
        <v>http://funmeta.oebiotech.com/network/3923</v>
      </c>
      <c r="H957" s="2" t="s">
        <v>6554</v>
      </c>
      <c r="I957" s="2"/>
      <c r="J957" s="2" t="s">
        <v>6555</v>
      </c>
      <c r="K957" s="2"/>
      <c r="L957" s="2"/>
      <c r="M957" s="2"/>
      <c r="N957" s="2"/>
      <c r="O957" s="2">
        <v>6438711</v>
      </c>
      <c r="P957" s="2" t="s">
        <v>6556</v>
      </c>
      <c r="Q957" s="2" t="s">
        <v>6557</v>
      </c>
      <c r="R957" s="2" t="s">
        <v>6558</v>
      </c>
      <c r="S957" s="2" t="s">
        <v>50</v>
      </c>
      <c r="T957" s="2" t="s">
        <v>229</v>
      </c>
      <c r="U957" s="2" t="s">
        <v>766</v>
      </c>
      <c r="V957" s="2" t="s">
        <v>42</v>
      </c>
      <c r="W957" s="2">
        <v>49.6</v>
      </c>
      <c r="X957" s="2">
        <v>54.8</v>
      </c>
      <c r="Y957" s="2" t="s">
        <v>408</v>
      </c>
      <c r="Z957" s="2" t="s">
        <v>6559</v>
      </c>
      <c r="AA957" s="2">
        <v>-0.56224903361052803</v>
      </c>
      <c r="AB957" s="2">
        <v>0.76602008141468503</v>
      </c>
      <c r="AC957" s="2">
        <v>199515.96432955199</v>
      </c>
      <c r="AD957" s="2">
        <v>158952.592967567</v>
      </c>
      <c r="AE957" s="2">
        <v>209507.16033289401</v>
      </c>
      <c r="AF957" s="2">
        <v>199513.66997195699</v>
      </c>
      <c r="AG957" s="2">
        <v>181806.408605987</v>
      </c>
      <c r="AH957" s="2">
        <v>207476.85181112299</v>
      </c>
      <c r="AI957" s="2">
        <v>202284.51687871799</v>
      </c>
      <c r="AJ957" s="2">
        <v>196507.17837663199</v>
      </c>
      <c r="AK957" s="2">
        <v>157890.581501629</v>
      </c>
      <c r="AL957" s="2">
        <v>157877.528322931</v>
      </c>
      <c r="AM957" s="2">
        <v>163222.03358179599</v>
      </c>
      <c r="AN957" s="2">
        <v>157709.587411299</v>
      </c>
      <c r="AO957" s="2">
        <v>157482.45944353699</v>
      </c>
      <c r="AP957" s="2">
        <v>159533.36754420699</v>
      </c>
    </row>
    <row r="958" spans="1:42" ht="14.5" x14ac:dyDescent="0.35">
      <c r="A958" s="2" t="s">
        <v>6560</v>
      </c>
      <c r="B958" s="2">
        <v>977.44070383332098</v>
      </c>
      <c r="C958" s="2">
        <v>12.326316666666701</v>
      </c>
      <c r="D958" s="2" t="s">
        <v>70</v>
      </c>
      <c r="E958" s="2" t="s">
        <v>6561</v>
      </c>
      <c r="F958" s="2">
        <v>203879</v>
      </c>
      <c r="G958" s="3" t="str">
        <f>HYPERLINK("http://funmeta.oebiotech.com/network/203879", "http://funmeta.oebiotech.com/network/203879")</f>
        <v>http://funmeta.oebiotech.com/network/203879</v>
      </c>
      <c r="H958" s="2" t="s">
        <v>6562</v>
      </c>
      <c r="I958" s="2"/>
      <c r="J958" s="2"/>
      <c r="K958" s="2"/>
      <c r="L958" s="2"/>
      <c r="M958" s="2"/>
      <c r="N958" s="2"/>
      <c r="O958" s="2"/>
      <c r="P958" s="2"/>
      <c r="Q958" s="2" t="s">
        <v>6563</v>
      </c>
      <c r="R958" s="2" t="s">
        <v>6564</v>
      </c>
      <c r="S958" s="2" t="s">
        <v>50</v>
      </c>
      <c r="T958" s="2" t="s">
        <v>201</v>
      </c>
      <c r="U958" s="2" t="s">
        <v>210</v>
      </c>
      <c r="V958" s="2" t="s">
        <v>59</v>
      </c>
      <c r="W958" s="2">
        <v>38.299999999999997</v>
      </c>
      <c r="X958" s="2">
        <v>9.7099999999999999E-3</v>
      </c>
      <c r="Y958" s="2" t="s">
        <v>118</v>
      </c>
      <c r="Z958" s="2" t="s">
        <v>6565</v>
      </c>
      <c r="AA958" s="2">
        <v>-1.4671162706071901</v>
      </c>
      <c r="AB958" s="2">
        <v>0.76501320430192798</v>
      </c>
      <c r="AC958" s="2">
        <v>170391.476758003</v>
      </c>
      <c r="AD958" s="2">
        <v>127685.306060389</v>
      </c>
      <c r="AE958" s="2">
        <v>161275.870968175</v>
      </c>
      <c r="AF958" s="2">
        <v>160647.571886797</v>
      </c>
      <c r="AG958" s="2">
        <v>176129.98094244901</v>
      </c>
      <c r="AH958" s="2">
        <v>189062.29038719001</v>
      </c>
      <c r="AI958" s="2">
        <v>162900.404219583</v>
      </c>
      <c r="AJ958" s="2">
        <v>172332.74214382301</v>
      </c>
      <c r="AK958" s="2">
        <v>141149.941865286</v>
      </c>
      <c r="AL958" s="2">
        <v>117624.072909999</v>
      </c>
      <c r="AM958" s="2">
        <v>110985.53021107199</v>
      </c>
      <c r="AN958" s="2">
        <v>128804.081702975</v>
      </c>
      <c r="AO958" s="2">
        <v>128232.348364769</v>
      </c>
      <c r="AP958" s="2">
        <v>139315.86130823501</v>
      </c>
    </row>
    <row r="959" spans="1:42" ht="14.5" x14ac:dyDescent="0.35">
      <c r="A959" s="2" t="s">
        <v>6566</v>
      </c>
      <c r="B959" s="2">
        <v>343.09982269789799</v>
      </c>
      <c r="C959" s="2">
        <v>4.4128166666666697</v>
      </c>
      <c r="D959" s="2" t="s">
        <v>34</v>
      </c>
      <c r="E959" s="2" t="s">
        <v>6567</v>
      </c>
      <c r="F959" s="2">
        <v>293773</v>
      </c>
      <c r="G959" s="3" t="str">
        <f>HYPERLINK("http://funmeta.oebiotech.com/network/293773", "http://funmeta.oebiotech.com/network/293773")</f>
        <v>http://funmeta.oebiotech.com/network/293773</v>
      </c>
      <c r="H959" s="2"/>
      <c r="I959" s="2">
        <v>317729</v>
      </c>
      <c r="J959" s="2"/>
      <c r="K959" s="2"/>
      <c r="L959" s="2"/>
      <c r="M959" s="2"/>
      <c r="N959" s="2"/>
      <c r="O959" s="2">
        <v>11472813</v>
      </c>
      <c r="P959" s="2"/>
      <c r="Q959" s="2" t="s">
        <v>6568</v>
      </c>
      <c r="R959" s="2" t="s">
        <v>6569</v>
      </c>
      <c r="S959" s="2" t="s">
        <v>89</v>
      </c>
      <c r="T959" s="2" t="s">
        <v>90</v>
      </c>
      <c r="U959" s="2" t="s">
        <v>99</v>
      </c>
      <c r="V959" s="2" t="s">
        <v>59</v>
      </c>
      <c r="W959" s="2">
        <v>38.299999999999997</v>
      </c>
      <c r="X959" s="2">
        <v>0</v>
      </c>
      <c r="Y959" s="2" t="s">
        <v>43</v>
      </c>
      <c r="Z959" s="2" t="s">
        <v>6570</v>
      </c>
      <c r="AA959" s="2">
        <v>3.1252991462883202</v>
      </c>
      <c r="AB959" s="2">
        <v>0.76473310886507395</v>
      </c>
      <c r="AC959" s="2">
        <v>29934.230934424999</v>
      </c>
      <c r="AD959" s="2">
        <v>68538.863121226503</v>
      </c>
      <c r="AE959" s="2">
        <v>29688.554260021399</v>
      </c>
      <c r="AF959" s="2">
        <v>26336.9624987233</v>
      </c>
      <c r="AG959" s="2">
        <v>27720.087315478799</v>
      </c>
      <c r="AH959" s="2">
        <v>34472.297149115497</v>
      </c>
      <c r="AI959" s="2">
        <v>30958.1706037238</v>
      </c>
      <c r="AJ959" s="2">
        <v>30429.3137794875</v>
      </c>
      <c r="AK959" s="2">
        <v>70482.5842483999</v>
      </c>
      <c r="AL959" s="2">
        <v>66028.344530317801</v>
      </c>
      <c r="AM959" s="2">
        <v>69413.704634089503</v>
      </c>
      <c r="AN959" s="2">
        <v>66876.828852948005</v>
      </c>
      <c r="AO959" s="2">
        <v>71436.313449546593</v>
      </c>
      <c r="AP959" s="2">
        <v>66995.403012057301</v>
      </c>
    </row>
    <row r="960" spans="1:42" ht="14.5" x14ac:dyDescent="0.35">
      <c r="A960" s="2" t="s">
        <v>6571</v>
      </c>
      <c r="B960" s="2">
        <v>479.15485785239002</v>
      </c>
      <c r="C960" s="2">
        <v>4.0195333333333298</v>
      </c>
      <c r="D960" s="2" t="s">
        <v>34</v>
      </c>
      <c r="E960" s="2" t="s">
        <v>6572</v>
      </c>
      <c r="F960" s="2">
        <v>64489</v>
      </c>
      <c r="G960" s="3" t="str">
        <f>HYPERLINK("http://funmeta.oebiotech.com/network/64489", "http://funmeta.oebiotech.com/network/64489")</f>
        <v>http://funmeta.oebiotech.com/network/64489</v>
      </c>
      <c r="H960" s="2" t="s">
        <v>6573</v>
      </c>
      <c r="I960" s="2"/>
      <c r="J960" s="2"/>
      <c r="K960" s="2"/>
      <c r="L960" s="2"/>
      <c r="M960" s="2"/>
      <c r="N960" s="2"/>
      <c r="O960" s="2">
        <v>74819423</v>
      </c>
      <c r="P960" s="2"/>
      <c r="Q960" s="2" t="s">
        <v>6574</v>
      </c>
      <c r="R960" s="2" t="s">
        <v>6575</v>
      </c>
      <c r="S960" s="2" t="s">
        <v>115</v>
      </c>
      <c r="T960" s="2" t="s">
        <v>139</v>
      </c>
      <c r="U960" s="2" t="s">
        <v>140</v>
      </c>
      <c r="V960" s="2" t="s">
        <v>59</v>
      </c>
      <c r="W960" s="2">
        <v>43.7</v>
      </c>
      <c r="X960" s="2">
        <v>27.3</v>
      </c>
      <c r="Y960" s="2" t="s">
        <v>394</v>
      </c>
      <c r="Z960" s="2" t="s">
        <v>6576</v>
      </c>
      <c r="AA960" s="2">
        <v>0.14592026112377701</v>
      </c>
      <c r="AB960" s="2">
        <v>0.763611562340346</v>
      </c>
      <c r="AC960" s="2">
        <v>138288.255424064</v>
      </c>
      <c r="AD960" s="2">
        <v>98716.147651133404</v>
      </c>
      <c r="AE960" s="2">
        <v>132055.45533320901</v>
      </c>
      <c r="AF960" s="2">
        <v>129351.45069545999</v>
      </c>
      <c r="AG960" s="2">
        <v>140171.34455839501</v>
      </c>
      <c r="AH960" s="2">
        <v>150302.929015653</v>
      </c>
      <c r="AI960" s="2">
        <v>139468.05016837199</v>
      </c>
      <c r="AJ960" s="2">
        <v>138380.30277329299</v>
      </c>
      <c r="AK960" s="2">
        <v>97422.3800846175</v>
      </c>
      <c r="AL960" s="2">
        <v>100531.271049387</v>
      </c>
      <c r="AM960" s="2">
        <v>102282.170320091</v>
      </c>
      <c r="AN960" s="2">
        <v>94911.868696076403</v>
      </c>
      <c r="AO960" s="2">
        <v>95639.460398010604</v>
      </c>
      <c r="AP960" s="2">
        <v>101509.735358618</v>
      </c>
    </row>
    <row r="961" spans="1:42" ht="14.5" x14ac:dyDescent="0.35">
      <c r="A961" s="2" t="s">
        <v>6577</v>
      </c>
      <c r="B961" s="2">
        <v>597.16235021337297</v>
      </c>
      <c r="C961" s="2">
        <v>4.4886999999999997</v>
      </c>
      <c r="D961" s="2" t="s">
        <v>70</v>
      </c>
      <c r="E961" s="2" t="s">
        <v>6578</v>
      </c>
      <c r="F961" s="2">
        <v>254988</v>
      </c>
      <c r="G961" s="3" t="str">
        <f>HYPERLINK("http://funmeta.oebiotech.com/network/254988", "http://funmeta.oebiotech.com/network/254988")</f>
        <v>http://funmeta.oebiotech.com/network/254988</v>
      </c>
      <c r="H961" s="2" t="s">
        <v>6579</v>
      </c>
      <c r="I961" s="2"/>
      <c r="J961" s="2"/>
      <c r="K961" s="2"/>
      <c r="L961" s="2"/>
      <c r="M961" s="2"/>
      <c r="N961" s="2"/>
      <c r="O961" s="2"/>
      <c r="P961" s="2"/>
      <c r="Q961" s="2" t="s">
        <v>6580</v>
      </c>
      <c r="R961" s="2" t="s">
        <v>6581</v>
      </c>
      <c r="S961" s="2" t="s">
        <v>115</v>
      </c>
      <c r="T961" s="2" t="s">
        <v>139</v>
      </c>
      <c r="U961" s="2" t="s">
        <v>140</v>
      </c>
      <c r="V961" s="2" t="s">
        <v>59</v>
      </c>
      <c r="W961" s="2">
        <v>40.299999999999997</v>
      </c>
      <c r="X961" s="2">
        <v>12.4</v>
      </c>
      <c r="Y961" s="2" t="s">
        <v>408</v>
      </c>
      <c r="Z961" s="2" t="s">
        <v>6582</v>
      </c>
      <c r="AA961" s="2">
        <v>1.78503442664865</v>
      </c>
      <c r="AB961" s="2">
        <v>0.76304319054181802</v>
      </c>
      <c r="AC961" s="2">
        <v>135182.60077996599</v>
      </c>
      <c r="AD961" s="2">
        <v>179106.73162489099</v>
      </c>
      <c r="AE961" s="2">
        <v>148823.70983461599</v>
      </c>
      <c r="AF961" s="2">
        <v>137502.25917093299</v>
      </c>
      <c r="AG961" s="2">
        <v>123492.91350183899</v>
      </c>
      <c r="AH961" s="2">
        <v>137240.62720380299</v>
      </c>
      <c r="AI961" s="2">
        <v>115507.618169874</v>
      </c>
      <c r="AJ961" s="2">
        <v>148528.47679873099</v>
      </c>
      <c r="AK961" s="2">
        <v>185291.155643921</v>
      </c>
      <c r="AL961" s="2">
        <v>193065.02810128199</v>
      </c>
      <c r="AM961" s="2">
        <v>158431.945694525</v>
      </c>
      <c r="AN961" s="2">
        <v>188878.92148367799</v>
      </c>
      <c r="AO961" s="2">
        <v>169313.14039670001</v>
      </c>
      <c r="AP961" s="2">
        <v>179660.19842924</v>
      </c>
    </row>
    <row r="962" spans="1:42" ht="14.5" x14ac:dyDescent="0.35">
      <c r="A962" s="2" t="s">
        <v>6583</v>
      </c>
      <c r="B962" s="2">
        <v>765.221357803302</v>
      </c>
      <c r="C962" s="2">
        <v>4.4710000000000001</v>
      </c>
      <c r="D962" s="2" t="s">
        <v>70</v>
      </c>
      <c r="E962" s="2" t="s">
        <v>6584</v>
      </c>
      <c r="F962" s="2">
        <v>32716</v>
      </c>
      <c r="G962" s="3" t="str">
        <f>HYPERLINK("http://funmeta.oebiotech.com/network/32716", "http://funmeta.oebiotech.com/network/32716")</f>
        <v>http://funmeta.oebiotech.com/network/32716</v>
      </c>
      <c r="H962" s="2"/>
      <c r="I962" s="2"/>
      <c r="J962" s="2" t="s">
        <v>6585</v>
      </c>
      <c r="K962" s="2"/>
      <c r="L962" s="2"/>
      <c r="M962" s="2"/>
      <c r="N962" s="2"/>
      <c r="O962" s="2">
        <v>44715479</v>
      </c>
      <c r="P962" s="2"/>
      <c r="Q962" s="2" t="s">
        <v>6586</v>
      </c>
      <c r="R962" s="2" t="s">
        <v>6587</v>
      </c>
      <c r="S962" s="2" t="s">
        <v>115</v>
      </c>
      <c r="T962" s="2" t="s">
        <v>139</v>
      </c>
      <c r="U962" s="2" t="s">
        <v>140</v>
      </c>
      <c r="V962" s="2" t="s">
        <v>59</v>
      </c>
      <c r="W962" s="2">
        <v>44.8</v>
      </c>
      <c r="X962" s="2">
        <v>37.799999999999997</v>
      </c>
      <c r="Y962" s="2" t="s">
        <v>751</v>
      </c>
      <c r="Z962" s="2" t="s">
        <v>6588</v>
      </c>
      <c r="AA962" s="2">
        <v>-4.3288632937441696</v>
      </c>
      <c r="AB962" s="2">
        <v>0.76303834669055204</v>
      </c>
      <c r="AC962" s="2">
        <v>64458.472046171897</v>
      </c>
      <c r="AD962" s="2">
        <v>25615.280776111002</v>
      </c>
      <c r="AE962" s="2">
        <v>71526.223305972002</v>
      </c>
      <c r="AF962" s="2">
        <v>66103.972389337403</v>
      </c>
      <c r="AG962" s="2">
        <v>62018.1610044357</v>
      </c>
      <c r="AH962" s="2">
        <v>65136.204671947802</v>
      </c>
      <c r="AI962" s="2">
        <v>63727.5748091817</v>
      </c>
      <c r="AJ962" s="2">
        <v>58238.696096156898</v>
      </c>
      <c r="AK962" s="2">
        <v>29807.837959032298</v>
      </c>
      <c r="AL962" s="2">
        <v>24961.764767398799</v>
      </c>
      <c r="AM962" s="2">
        <v>27781.531990163301</v>
      </c>
      <c r="AN962" s="2">
        <v>26053.8643057466</v>
      </c>
      <c r="AO962" s="2">
        <v>25356.310151408299</v>
      </c>
      <c r="AP962" s="2">
        <v>19730.375482916999</v>
      </c>
    </row>
    <row r="963" spans="1:42" ht="14.5" x14ac:dyDescent="0.35">
      <c r="A963" s="2" t="s">
        <v>6589</v>
      </c>
      <c r="B963" s="2">
        <v>286.10725831067401</v>
      </c>
      <c r="C963" s="2">
        <v>4.8836000000000004</v>
      </c>
      <c r="D963" s="2" t="s">
        <v>34</v>
      </c>
      <c r="E963" s="2" t="s">
        <v>6590</v>
      </c>
      <c r="F963" s="2">
        <v>29178</v>
      </c>
      <c r="G963" s="3" t="str">
        <f>HYPERLINK("http://funmeta.oebiotech.com/network/29178", "http://funmeta.oebiotech.com/network/29178")</f>
        <v>http://funmeta.oebiotech.com/network/29178</v>
      </c>
      <c r="H963" s="2" t="s">
        <v>6591</v>
      </c>
      <c r="I963" s="2">
        <v>47560</v>
      </c>
      <c r="J963" s="2" t="s">
        <v>6592</v>
      </c>
      <c r="K963" s="2">
        <v>29608</v>
      </c>
      <c r="L963" s="2" t="s">
        <v>6593</v>
      </c>
      <c r="M963" s="2" t="s">
        <v>1366</v>
      </c>
      <c r="N963" s="2" t="s">
        <v>1367</v>
      </c>
      <c r="O963" s="2">
        <v>3764</v>
      </c>
      <c r="P963" s="2" t="s">
        <v>6594</v>
      </c>
      <c r="Q963" s="2" t="s">
        <v>6595</v>
      </c>
      <c r="R963" s="2" t="s">
        <v>6596</v>
      </c>
      <c r="S963" s="2" t="s">
        <v>115</v>
      </c>
      <c r="T963" s="2" t="s">
        <v>1371</v>
      </c>
      <c r="U963" s="2" t="s">
        <v>6597</v>
      </c>
      <c r="V963" s="2" t="s">
        <v>59</v>
      </c>
      <c r="W963" s="2">
        <v>42.8</v>
      </c>
      <c r="X963" s="2">
        <v>17.100000000000001</v>
      </c>
      <c r="Y963" s="2" t="s">
        <v>43</v>
      </c>
      <c r="Z963" s="2" t="s">
        <v>1553</v>
      </c>
      <c r="AA963" s="2">
        <v>-0.47032764802906801</v>
      </c>
      <c r="AB963" s="2">
        <v>0.76248435861080699</v>
      </c>
      <c r="AC963" s="2">
        <v>121980.093720684</v>
      </c>
      <c r="AD963" s="2">
        <v>160936.30483741299</v>
      </c>
      <c r="AE963" s="2">
        <v>122693.1766333</v>
      </c>
      <c r="AF963" s="2">
        <v>125737.674989422</v>
      </c>
      <c r="AG963" s="2">
        <v>118652.763463143</v>
      </c>
      <c r="AH963" s="2">
        <v>116466.24515271701</v>
      </c>
      <c r="AI963" s="2">
        <v>124167.750156542</v>
      </c>
      <c r="AJ963" s="2">
        <v>124162.951928982</v>
      </c>
      <c r="AK963" s="2">
        <v>160544.797555392</v>
      </c>
      <c r="AL963" s="2">
        <v>155320.26005568099</v>
      </c>
      <c r="AM963" s="2">
        <v>159672.503305472</v>
      </c>
      <c r="AN963" s="2">
        <v>167343.221079234</v>
      </c>
      <c r="AO963" s="2">
        <v>155495.65086392101</v>
      </c>
      <c r="AP963" s="2">
        <v>167241.39616477999</v>
      </c>
    </row>
    <row r="964" spans="1:42" ht="14.5" x14ac:dyDescent="0.35">
      <c r="A964" s="2" t="s">
        <v>6598</v>
      </c>
      <c r="B964" s="2">
        <v>345.17059871513698</v>
      </c>
      <c r="C964" s="2">
        <v>9.2702833333333299</v>
      </c>
      <c r="D964" s="2" t="s">
        <v>70</v>
      </c>
      <c r="E964" s="2" t="s">
        <v>6599</v>
      </c>
      <c r="F964" s="2">
        <v>44869</v>
      </c>
      <c r="G964" s="3" t="str">
        <f>HYPERLINK("http://funmeta.oebiotech.com/network/44869", "http://funmeta.oebiotech.com/network/44869")</f>
        <v>http://funmeta.oebiotech.com/network/44869</v>
      </c>
      <c r="H964" s="2" t="s">
        <v>6600</v>
      </c>
      <c r="I964" s="2">
        <v>43204</v>
      </c>
      <c r="J964" s="2" t="s">
        <v>6601</v>
      </c>
      <c r="K964" s="2">
        <v>1189</v>
      </c>
      <c r="L964" s="2" t="s">
        <v>6602</v>
      </c>
      <c r="M964" s="2" t="s">
        <v>2454</v>
      </c>
      <c r="N964" s="2" t="s">
        <v>2455</v>
      </c>
      <c r="O964" s="2">
        <v>440624</v>
      </c>
      <c r="P964" s="2" t="s">
        <v>6603</v>
      </c>
      <c r="Q964" s="2" t="s">
        <v>6604</v>
      </c>
      <c r="R964" s="2" t="s">
        <v>6605</v>
      </c>
      <c r="S964" s="2" t="s">
        <v>50</v>
      </c>
      <c r="T964" s="2" t="s">
        <v>124</v>
      </c>
      <c r="U964" s="2" t="s">
        <v>2093</v>
      </c>
      <c r="V964" s="2" t="s">
        <v>59</v>
      </c>
      <c r="W964" s="2">
        <v>47.7</v>
      </c>
      <c r="X964" s="2">
        <v>42.3</v>
      </c>
      <c r="Y964" s="2" t="s">
        <v>408</v>
      </c>
      <c r="Z964" s="2" t="s">
        <v>6606</v>
      </c>
      <c r="AA964" s="2">
        <v>-0.495658998192397</v>
      </c>
      <c r="AB964" s="2">
        <v>0.76146416721579602</v>
      </c>
      <c r="AC964" s="2">
        <v>38612.738666244601</v>
      </c>
      <c r="AD964" s="2">
        <v>350.02258171775497</v>
      </c>
      <c r="AE964" s="2">
        <v>40453.575752242999</v>
      </c>
      <c r="AF964" s="2">
        <v>40075.937293853603</v>
      </c>
      <c r="AG964" s="2">
        <v>43124.077981175396</v>
      </c>
      <c r="AH964" s="2">
        <v>39600.936375392601</v>
      </c>
      <c r="AI964" s="2">
        <v>34692.260513818401</v>
      </c>
      <c r="AJ964" s="2">
        <v>33729.644080984399</v>
      </c>
      <c r="AK964" s="2">
        <v>165.90245206753301</v>
      </c>
      <c r="AL964" s="2">
        <v>109.868715591045</v>
      </c>
      <c r="AM964" s="2">
        <v>779.157176074419</v>
      </c>
      <c r="AN964" s="2">
        <v>118.713501722103</v>
      </c>
      <c r="AO964" s="2">
        <v>705.48474985668804</v>
      </c>
      <c r="AP964" s="2">
        <v>221.00889499473899</v>
      </c>
    </row>
    <row r="965" spans="1:42" ht="14.5" x14ac:dyDescent="0.35">
      <c r="A965" s="2" t="s">
        <v>6607</v>
      </c>
      <c r="B965" s="2">
        <v>1053.5085435542301</v>
      </c>
      <c r="C965" s="2">
        <v>14.1130333333333</v>
      </c>
      <c r="D965" s="2" t="s">
        <v>70</v>
      </c>
      <c r="E965" s="2" t="s">
        <v>6608</v>
      </c>
      <c r="F965" s="2">
        <v>233565</v>
      </c>
      <c r="G965" s="3" t="str">
        <f>HYPERLINK("http://funmeta.oebiotech.com/network/233565", "http://funmeta.oebiotech.com/network/233565")</f>
        <v>http://funmeta.oebiotech.com/network/233565</v>
      </c>
      <c r="H965" s="2" t="s">
        <v>6609</v>
      </c>
      <c r="I965" s="2"/>
      <c r="J965" s="2"/>
      <c r="K965" s="2"/>
      <c r="L965" s="2"/>
      <c r="M965" s="2"/>
      <c r="N965" s="2"/>
      <c r="O965" s="2"/>
      <c r="P965" s="2"/>
      <c r="Q965" s="2" t="s">
        <v>6610</v>
      </c>
      <c r="R965" s="2" t="s">
        <v>6611</v>
      </c>
      <c r="S965" s="2" t="s">
        <v>41</v>
      </c>
      <c r="T965" s="2" t="s">
        <v>41</v>
      </c>
      <c r="U965" s="2" t="s">
        <v>41</v>
      </c>
      <c r="V965" s="2" t="s">
        <v>59</v>
      </c>
      <c r="W965" s="2">
        <v>38.200000000000003</v>
      </c>
      <c r="X965" s="2">
        <v>0</v>
      </c>
      <c r="Y965" s="2" t="s">
        <v>118</v>
      </c>
      <c r="Z965" s="2" t="s">
        <v>6612</v>
      </c>
      <c r="AA965" s="2">
        <v>-2.4224330579938198</v>
      </c>
      <c r="AB965" s="2">
        <v>0.76146146373439205</v>
      </c>
      <c r="AC965" s="2">
        <v>236042.330275952</v>
      </c>
      <c r="AD965" s="2">
        <v>193845.23662803799</v>
      </c>
      <c r="AE965" s="2">
        <v>233966.34901072099</v>
      </c>
      <c r="AF965" s="2">
        <v>216407.77943329301</v>
      </c>
      <c r="AG965" s="2">
        <v>232633.53371261401</v>
      </c>
      <c r="AH965" s="2">
        <v>244236.54774273501</v>
      </c>
      <c r="AI965" s="2">
        <v>237699.04809113601</v>
      </c>
      <c r="AJ965" s="2">
        <v>251310.72366521001</v>
      </c>
      <c r="AK965" s="2">
        <v>187745.24363198699</v>
      </c>
      <c r="AL965" s="2">
        <v>185240.716160574</v>
      </c>
      <c r="AM965" s="2">
        <v>184200.181073271</v>
      </c>
      <c r="AN965" s="2">
        <v>200445.01746819899</v>
      </c>
      <c r="AO965" s="2">
        <v>208350.991154991</v>
      </c>
      <c r="AP965" s="2">
        <v>197089.27027920799</v>
      </c>
    </row>
    <row r="966" spans="1:42" ht="14.5" x14ac:dyDescent="0.35">
      <c r="A966" s="2" t="s">
        <v>6613</v>
      </c>
      <c r="B966" s="2">
        <v>181.122086878912</v>
      </c>
      <c r="C966" s="2">
        <v>7.9005333333333301</v>
      </c>
      <c r="D966" s="2" t="s">
        <v>34</v>
      </c>
      <c r="E966" s="2" t="s">
        <v>6614</v>
      </c>
      <c r="F966" s="2">
        <v>1619</v>
      </c>
      <c r="G966" s="3" t="str">
        <f>HYPERLINK("http://funmeta.oebiotech.com/network/1619", "http://funmeta.oebiotech.com/network/1619")</f>
        <v>http://funmeta.oebiotech.com/network/1619</v>
      </c>
      <c r="H966" s="2"/>
      <c r="I966" s="2"/>
      <c r="J966" s="2" t="s">
        <v>6615</v>
      </c>
      <c r="K966" s="2"/>
      <c r="L966" s="2"/>
      <c r="M966" s="2"/>
      <c r="N966" s="2"/>
      <c r="O966" s="2"/>
      <c r="P966" s="2"/>
      <c r="Q966" s="2" t="s">
        <v>6616</v>
      </c>
      <c r="R966" s="2" t="s">
        <v>6617</v>
      </c>
      <c r="S966" s="2" t="s">
        <v>41</v>
      </c>
      <c r="T966" s="2" t="s">
        <v>41</v>
      </c>
      <c r="U966" s="2" t="s">
        <v>41</v>
      </c>
      <c r="V966" s="2" t="s">
        <v>59</v>
      </c>
      <c r="W966" s="2">
        <v>46.2</v>
      </c>
      <c r="X966" s="2">
        <v>35.9</v>
      </c>
      <c r="Y966" s="2" t="s">
        <v>266</v>
      </c>
      <c r="Z966" s="2" t="s">
        <v>6618</v>
      </c>
      <c r="AA966" s="2">
        <v>-1.1069091209662301</v>
      </c>
      <c r="AB966" s="2">
        <v>0.76109568363278302</v>
      </c>
      <c r="AC966" s="2">
        <v>78791.127762203294</v>
      </c>
      <c r="AD966" s="2">
        <v>118331.208407485</v>
      </c>
      <c r="AE966" s="2">
        <v>73539.338339088194</v>
      </c>
      <c r="AF966" s="2">
        <v>81149.897858210505</v>
      </c>
      <c r="AG966" s="2">
        <v>84330.867258691098</v>
      </c>
      <c r="AH966" s="2">
        <v>79446.038552226397</v>
      </c>
      <c r="AI966" s="2">
        <v>77725.300863689597</v>
      </c>
      <c r="AJ966" s="2">
        <v>76555.323701313697</v>
      </c>
      <c r="AK966" s="2">
        <v>127319.472096711</v>
      </c>
      <c r="AL966" s="2">
        <v>119911.843415774</v>
      </c>
      <c r="AM966" s="2">
        <v>112971.64672467401</v>
      </c>
      <c r="AN966" s="2">
        <v>113097.47287736701</v>
      </c>
      <c r="AO966" s="2">
        <v>109741.25013078</v>
      </c>
      <c r="AP966" s="2">
        <v>126945.565199606</v>
      </c>
    </row>
    <row r="967" spans="1:42" ht="14.5" x14ac:dyDescent="0.35">
      <c r="A967" s="2" t="s">
        <v>6619</v>
      </c>
      <c r="B967" s="2">
        <v>281.17441457348099</v>
      </c>
      <c r="C967" s="2">
        <v>5.6059000000000001</v>
      </c>
      <c r="D967" s="2" t="s">
        <v>34</v>
      </c>
      <c r="E967" s="2" t="s">
        <v>6620</v>
      </c>
      <c r="F967" s="2">
        <v>201404</v>
      </c>
      <c r="G967" s="3" t="str">
        <f>HYPERLINK("http://funmeta.oebiotech.com/network/201404", "http://funmeta.oebiotech.com/network/201404")</f>
        <v>http://funmeta.oebiotech.com/network/201404</v>
      </c>
      <c r="H967" s="2" t="s">
        <v>6621</v>
      </c>
      <c r="I967" s="2"/>
      <c r="J967" s="2"/>
      <c r="K967" s="2"/>
      <c r="L967" s="2"/>
      <c r="M967" s="2"/>
      <c r="N967" s="2"/>
      <c r="O967" s="2">
        <v>3277971</v>
      </c>
      <c r="P967" s="2"/>
      <c r="Q967" s="2" t="s">
        <v>6622</v>
      </c>
      <c r="R967" s="2" t="s">
        <v>6623</v>
      </c>
      <c r="S967" s="2" t="s">
        <v>79</v>
      </c>
      <c r="T967" s="2" t="s">
        <v>80</v>
      </c>
      <c r="U967" s="2" t="s">
        <v>2021</v>
      </c>
      <c r="V967" s="2" t="s">
        <v>59</v>
      </c>
      <c r="W967" s="2">
        <v>47.6</v>
      </c>
      <c r="X967" s="2">
        <v>43.8</v>
      </c>
      <c r="Y967" s="2" t="s">
        <v>141</v>
      </c>
      <c r="Z967" s="2" t="s">
        <v>6624</v>
      </c>
      <c r="AA967" s="2">
        <v>-1.0769007555033701</v>
      </c>
      <c r="AB967" s="2">
        <v>0.76101942877142603</v>
      </c>
      <c r="AC967" s="2">
        <v>54910.005754103098</v>
      </c>
      <c r="AD967" s="2">
        <v>16698.895776561199</v>
      </c>
      <c r="AE967" s="2">
        <v>55289.575816545199</v>
      </c>
      <c r="AF967" s="2">
        <v>55670.2477474759</v>
      </c>
      <c r="AG967" s="2">
        <v>56682.572847290903</v>
      </c>
      <c r="AH967" s="2">
        <v>57351.1202790967</v>
      </c>
      <c r="AI967" s="2">
        <v>49359.427004442899</v>
      </c>
      <c r="AJ967" s="2">
        <v>55107.090829766799</v>
      </c>
      <c r="AK967" s="2">
        <v>18346.076988099299</v>
      </c>
      <c r="AL967" s="2">
        <v>15327.0320458059</v>
      </c>
      <c r="AM967" s="2">
        <v>17038.9868199802</v>
      </c>
      <c r="AN967" s="2">
        <v>19504.9056725013</v>
      </c>
      <c r="AO967" s="2">
        <v>16101.5560680287</v>
      </c>
      <c r="AP967" s="2">
        <v>13874.8170649518</v>
      </c>
    </row>
    <row r="968" spans="1:42" ht="14.5" x14ac:dyDescent="0.35">
      <c r="A968" s="2" t="s">
        <v>6625</v>
      </c>
      <c r="B968" s="2">
        <v>449.10890715330601</v>
      </c>
      <c r="C968" s="2">
        <v>5.0778999999999996</v>
      </c>
      <c r="D968" s="2" t="s">
        <v>70</v>
      </c>
      <c r="E968" s="2" t="s">
        <v>6626</v>
      </c>
      <c r="F968" s="2">
        <v>34540</v>
      </c>
      <c r="G968" s="3" t="str">
        <f>HYPERLINK("http://funmeta.oebiotech.com/network/34540", "http://funmeta.oebiotech.com/network/34540")</f>
        <v>http://funmeta.oebiotech.com/network/34540</v>
      </c>
      <c r="H968" s="2"/>
      <c r="I968" s="2">
        <v>52848</v>
      </c>
      <c r="J968" s="2" t="s">
        <v>6627</v>
      </c>
      <c r="K968" s="2"/>
      <c r="L968" s="2"/>
      <c r="M968" s="2"/>
      <c r="N968" s="2"/>
      <c r="O968" s="2">
        <v>42607970</v>
      </c>
      <c r="P968" s="2"/>
      <c r="Q968" s="2" t="s">
        <v>6628</v>
      </c>
      <c r="R968" s="2" t="s">
        <v>6629</v>
      </c>
      <c r="S968" s="2" t="s">
        <v>115</v>
      </c>
      <c r="T968" s="2" t="s">
        <v>139</v>
      </c>
      <c r="U968" s="2" t="s">
        <v>140</v>
      </c>
      <c r="V968" s="2" t="s">
        <v>42</v>
      </c>
      <c r="W968" s="2">
        <v>54.9</v>
      </c>
      <c r="X968" s="2">
        <v>76.900000000000006</v>
      </c>
      <c r="Y968" s="2" t="s">
        <v>118</v>
      </c>
      <c r="Z968" s="2" t="s">
        <v>2471</v>
      </c>
      <c r="AA968" s="2">
        <v>-6.20626258619549E-2</v>
      </c>
      <c r="AB968" s="2">
        <v>0.76083948574031202</v>
      </c>
      <c r="AC968" s="2">
        <v>233113.42739569899</v>
      </c>
      <c r="AD968" s="2">
        <v>277662.89470677002</v>
      </c>
      <c r="AE968" s="2">
        <v>242275.72276039</v>
      </c>
      <c r="AF968" s="2">
        <v>233477.15594867701</v>
      </c>
      <c r="AG968" s="2">
        <v>245694.36654260999</v>
      </c>
      <c r="AH968" s="2">
        <v>225943.02087664299</v>
      </c>
      <c r="AI968" s="2">
        <v>210504.736885625</v>
      </c>
      <c r="AJ968" s="2">
        <v>240785.56136024799</v>
      </c>
      <c r="AK968" s="2">
        <v>254682.290810267</v>
      </c>
      <c r="AL968" s="2">
        <v>298132.28107395698</v>
      </c>
      <c r="AM968" s="2">
        <v>286571.05863014102</v>
      </c>
      <c r="AN968" s="2">
        <v>271145.83786708198</v>
      </c>
      <c r="AO968" s="2">
        <v>286715.684593782</v>
      </c>
      <c r="AP968" s="2">
        <v>268730.21526538901</v>
      </c>
    </row>
    <row r="969" spans="1:42" ht="14.5" x14ac:dyDescent="0.35">
      <c r="A969" s="2" t="s">
        <v>6630</v>
      </c>
      <c r="B969" s="2">
        <v>471.24790100109198</v>
      </c>
      <c r="C969" s="2">
        <v>12.3979</v>
      </c>
      <c r="D969" s="2" t="s">
        <v>34</v>
      </c>
      <c r="E969" s="2" t="s">
        <v>6631</v>
      </c>
      <c r="F969" s="2">
        <v>273729</v>
      </c>
      <c r="G969" s="3" t="str">
        <f>HYPERLINK("http://funmeta.oebiotech.com/network/273729", "http://funmeta.oebiotech.com/network/273729")</f>
        <v>http://funmeta.oebiotech.com/network/273729</v>
      </c>
      <c r="H969" s="2"/>
      <c r="I969" s="2">
        <v>63019</v>
      </c>
      <c r="J969" s="2"/>
      <c r="K969" s="2"/>
      <c r="L969" s="2"/>
      <c r="M969" s="2"/>
      <c r="N969" s="2"/>
      <c r="O969" s="2">
        <v>35025479</v>
      </c>
      <c r="P969" s="2" t="s">
        <v>6632</v>
      </c>
      <c r="Q969" s="2" t="s">
        <v>6633</v>
      </c>
      <c r="R969" s="2" t="s">
        <v>6634</v>
      </c>
      <c r="S969" s="2" t="s">
        <v>115</v>
      </c>
      <c r="T969" s="2" t="s">
        <v>758</v>
      </c>
      <c r="U969" s="2" t="s">
        <v>41</v>
      </c>
      <c r="V969" s="2" t="s">
        <v>59</v>
      </c>
      <c r="W969" s="2">
        <v>38.700000000000003</v>
      </c>
      <c r="X969" s="2">
        <v>13.1</v>
      </c>
      <c r="Y969" s="2" t="s">
        <v>67</v>
      </c>
      <c r="Z969" s="2" t="s">
        <v>6635</v>
      </c>
      <c r="AA969" s="2">
        <v>-5.9771193986285702</v>
      </c>
      <c r="AB969" s="2">
        <v>0.76064662283028806</v>
      </c>
      <c r="AC969" s="2">
        <v>84702.663154892201</v>
      </c>
      <c r="AD969" s="2">
        <v>43424.513282268803</v>
      </c>
      <c r="AE969" s="2">
        <v>85878.437028899803</v>
      </c>
      <c r="AF969" s="2">
        <v>90045.005725961601</v>
      </c>
      <c r="AG969" s="2">
        <v>88076.372982670204</v>
      </c>
      <c r="AH969" s="2">
        <v>85467.874823509104</v>
      </c>
      <c r="AI969" s="2">
        <v>72421.132017047494</v>
      </c>
      <c r="AJ969" s="2">
        <v>86327.156351265105</v>
      </c>
      <c r="AK969" s="2">
        <v>32614.793546794099</v>
      </c>
      <c r="AL969" s="2">
        <v>48798.699666664397</v>
      </c>
      <c r="AM969" s="2">
        <v>37566.634974173903</v>
      </c>
      <c r="AN969" s="2">
        <v>40339.910261185803</v>
      </c>
      <c r="AO969" s="2">
        <v>66351.979463650598</v>
      </c>
      <c r="AP969" s="2">
        <v>34875.061781143901</v>
      </c>
    </row>
    <row r="970" spans="1:42" ht="14.5" x14ac:dyDescent="0.35">
      <c r="A970" s="2" t="s">
        <v>6636</v>
      </c>
      <c r="B970" s="2">
        <v>544.32700079217</v>
      </c>
      <c r="C970" s="2">
        <v>6.3386333333333296</v>
      </c>
      <c r="D970" s="2" t="s">
        <v>34</v>
      </c>
      <c r="E970" s="2" t="s">
        <v>6637</v>
      </c>
      <c r="F970" s="2">
        <v>10373</v>
      </c>
      <c r="G970" s="3" t="str">
        <f>HYPERLINK("http://funmeta.oebiotech.com/network/10373", "http://funmeta.oebiotech.com/network/10373")</f>
        <v>http://funmeta.oebiotech.com/network/10373</v>
      </c>
      <c r="H970" s="2"/>
      <c r="I970" s="2"/>
      <c r="J970" s="2" t="s">
        <v>6638</v>
      </c>
      <c r="K970" s="2">
        <v>79359</v>
      </c>
      <c r="L970" s="2"/>
      <c r="M970" s="2"/>
      <c r="N970" s="2"/>
      <c r="O970" s="2">
        <v>86289894</v>
      </c>
      <c r="P970" s="2"/>
      <c r="Q970" s="2" t="s">
        <v>6639</v>
      </c>
      <c r="R970" s="2" t="s">
        <v>6640</v>
      </c>
      <c r="S970" s="2" t="s">
        <v>50</v>
      </c>
      <c r="T970" s="2" t="s">
        <v>229</v>
      </c>
      <c r="U970" s="2" t="s">
        <v>433</v>
      </c>
      <c r="V970" s="2" t="s">
        <v>42</v>
      </c>
      <c r="W970" s="2">
        <v>42</v>
      </c>
      <c r="X970" s="2">
        <v>53.8</v>
      </c>
      <c r="Y970" s="2" t="s">
        <v>141</v>
      </c>
      <c r="Z970" s="2" t="s">
        <v>6641</v>
      </c>
      <c r="AA970" s="2">
        <v>0.216581268062286</v>
      </c>
      <c r="AB970" s="2">
        <v>0.76054793166996404</v>
      </c>
      <c r="AC970" s="2">
        <v>89379.271715124996</v>
      </c>
      <c r="AD970" s="2">
        <v>128522.36794683601</v>
      </c>
      <c r="AE970" s="2">
        <v>86397.611545259904</v>
      </c>
      <c r="AF970" s="2">
        <v>95128.429692808495</v>
      </c>
      <c r="AG970" s="2">
        <v>86893.513382891106</v>
      </c>
      <c r="AH970" s="2">
        <v>88745.937610296605</v>
      </c>
      <c r="AI970" s="2">
        <v>90620.892855008904</v>
      </c>
      <c r="AJ970" s="2">
        <v>88489.245204485007</v>
      </c>
      <c r="AK970" s="2">
        <v>122855.728805213</v>
      </c>
      <c r="AL970" s="2">
        <v>122460.737859865</v>
      </c>
      <c r="AM970" s="2">
        <v>132535.34890956999</v>
      </c>
      <c r="AN970" s="2">
        <v>121974.637289915</v>
      </c>
      <c r="AO970" s="2">
        <v>132679.45110621699</v>
      </c>
      <c r="AP970" s="2">
        <v>138628.303710234</v>
      </c>
    </row>
    <row r="971" spans="1:42" ht="14.5" x14ac:dyDescent="0.35">
      <c r="A971" s="2" t="s">
        <v>6642</v>
      </c>
      <c r="B971" s="2">
        <v>403.124276794244</v>
      </c>
      <c r="C971" s="2">
        <v>1.5801333333333301</v>
      </c>
      <c r="D971" s="2" t="s">
        <v>70</v>
      </c>
      <c r="E971" s="2" t="s">
        <v>6643</v>
      </c>
      <c r="F971" s="2">
        <v>35335</v>
      </c>
      <c r="G971" s="3" t="str">
        <f>HYPERLINK("http://funmeta.oebiotech.com/network/35335", "http://funmeta.oebiotech.com/network/35335")</f>
        <v>http://funmeta.oebiotech.com/network/35335</v>
      </c>
      <c r="H971" s="2"/>
      <c r="I971" s="2">
        <v>69146</v>
      </c>
      <c r="J971" s="2" t="s">
        <v>6644</v>
      </c>
      <c r="K971" s="2">
        <v>9403</v>
      </c>
      <c r="L971" s="2" t="s">
        <v>6645</v>
      </c>
      <c r="M971" s="2"/>
      <c r="N971" s="2"/>
      <c r="O971" s="2">
        <v>182279</v>
      </c>
      <c r="P971" s="2" t="s">
        <v>6646</v>
      </c>
      <c r="Q971" s="2" t="s">
        <v>6647</v>
      </c>
      <c r="R971" s="2" t="s">
        <v>6648</v>
      </c>
      <c r="S971" s="2" t="s">
        <v>50</v>
      </c>
      <c r="T971" s="2" t="s">
        <v>201</v>
      </c>
      <c r="U971" s="2" t="s">
        <v>202</v>
      </c>
      <c r="V971" s="2" t="s">
        <v>42</v>
      </c>
      <c r="W971" s="2">
        <v>49.2</v>
      </c>
      <c r="X971" s="2">
        <v>50.3</v>
      </c>
      <c r="Y971" s="2" t="s">
        <v>1395</v>
      </c>
      <c r="Z971" s="2" t="s">
        <v>6649</v>
      </c>
      <c r="AA971" s="2">
        <v>-0.86102937684735203</v>
      </c>
      <c r="AB971" s="2">
        <v>0.76036778556037499</v>
      </c>
      <c r="AC971" s="2">
        <v>73031.452952715306</v>
      </c>
      <c r="AD971" s="2">
        <v>34913.784757665999</v>
      </c>
      <c r="AE971" s="2">
        <v>75396.401672495602</v>
      </c>
      <c r="AF971" s="2">
        <v>73124.957758077799</v>
      </c>
      <c r="AG971" s="2">
        <v>71265.013140534298</v>
      </c>
      <c r="AH971" s="2">
        <v>75094.304358485693</v>
      </c>
      <c r="AI971" s="2">
        <v>72185.728283369404</v>
      </c>
      <c r="AJ971" s="2">
        <v>71122.312503328896</v>
      </c>
      <c r="AK971" s="2">
        <v>32269.143954507901</v>
      </c>
      <c r="AL971" s="2">
        <v>32563.937859773199</v>
      </c>
      <c r="AM971" s="2">
        <v>35046.587750450803</v>
      </c>
      <c r="AN971" s="2">
        <v>36565.292167787498</v>
      </c>
      <c r="AO971" s="2">
        <v>35946.999668067103</v>
      </c>
      <c r="AP971" s="2">
        <v>37090.747145409703</v>
      </c>
    </row>
    <row r="972" spans="1:42" ht="14.5" x14ac:dyDescent="0.35">
      <c r="A972" s="2" t="s">
        <v>6650</v>
      </c>
      <c r="B972" s="2">
        <v>371.18472123720301</v>
      </c>
      <c r="C972" s="2">
        <v>6.7814333333333296</v>
      </c>
      <c r="D972" s="2" t="s">
        <v>34</v>
      </c>
      <c r="E972" s="2" t="s">
        <v>6651</v>
      </c>
      <c r="F972" s="2">
        <v>204469</v>
      </c>
      <c r="G972" s="3" t="str">
        <f>HYPERLINK("http://funmeta.oebiotech.com/network/204469", "http://funmeta.oebiotech.com/network/204469")</f>
        <v>http://funmeta.oebiotech.com/network/204469</v>
      </c>
      <c r="H972" s="2" t="s">
        <v>6652</v>
      </c>
      <c r="I972" s="2"/>
      <c r="J972" s="2"/>
      <c r="K972" s="2"/>
      <c r="L972" s="2"/>
      <c r="M972" s="2"/>
      <c r="N972" s="2"/>
      <c r="O972" s="2">
        <v>1201</v>
      </c>
      <c r="P972" s="2"/>
      <c r="Q972" s="2" t="s">
        <v>6653</v>
      </c>
      <c r="R972" s="2" t="s">
        <v>6654</v>
      </c>
      <c r="S972" s="2" t="s">
        <v>115</v>
      </c>
      <c r="T972" s="2" t="s">
        <v>758</v>
      </c>
      <c r="U972" s="2" t="s">
        <v>6655</v>
      </c>
      <c r="V972" s="2" t="s">
        <v>59</v>
      </c>
      <c r="W972" s="2">
        <v>44.1</v>
      </c>
      <c r="X972" s="2">
        <v>30.1</v>
      </c>
      <c r="Y972" s="2" t="s">
        <v>242</v>
      </c>
      <c r="Z972" s="2" t="s">
        <v>6656</v>
      </c>
      <c r="AA972" s="2">
        <v>-1.5644538034836999</v>
      </c>
      <c r="AB972" s="2">
        <v>0.75804235279085896</v>
      </c>
      <c r="AC972" s="2">
        <v>243942.296290133</v>
      </c>
      <c r="AD972" s="2">
        <v>202715.964908375</v>
      </c>
      <c r="AE972" s="2">
        <v>228675.867734425</v>
      </c>
      <c r="AF972" s="2">
        <v>238759.05374247799</v>
      </c>
      <c r="AG972" s="2">
        <v>258234.203039038</v>
      </c>
      <c r="AH972" s="2">
        <v>246941.37223819201</v>
      </c>
      <c r="AI972" s="2">
        <v>236520.21636052901</v>
      </c>
      <c r="AJ972" s="2">
        <v>254523.06462613601</v>
      </c>
      <c r="AK972" s="2">
        <v>195816.54997336099</v>
      </c>
      <c r="AL972" s="2">
        <v>201733.348816193</v>
      </c>
      <c r="AM972" s="2">
        <v>211735.75457820101</v>
      </c>
      <c r="AN972" s="2">
        <v>207897.89133703799</v>
      </c>
      <c r="AO972" s="2">
        <v>209085.57189309501</v>
      </c>
      <c r="AP972" s="2">
        <v>190026.672852363</v>
      </c>
    </row>
    <row r="973" spans="1:42" ht="14.5" x14ac:dyDescent="0.35">
      <c r="A973" s="2" t="s">
        <v>6657</v>
      </c>
      <c r="B973" s="2">
        <v>473.263554887753</v>
      </c>
      <c r="C973" s="2">
        <v>13.512233333333301</v>
      </c>
      <c r="D973" s="2" t="s">
        <v>34</v>
      </c>
      <c r="E973" s="2" t="s">
        <v>6658</v>
      </c>
      <c r="F973" s="2">
        <v>26089</v>
      </c>
      <c r="G973" s="3" t="str">
        <f>HYPERLINK("http://funmeta.oebiotech.com/network/26089", "http://funmeta.oebiotech.com/network/26089")</f>
        <v>http://funmeta.oebiotech.com/network/26089</v>
      </c>
      <c r="H973" s="2"/>
      <c r="I973" s="2">
        <v>82344</v>
      </c>
      <c r="J973" s="2" t="s">
        <v>6659</v>
      </c>
      <c r="K973" s="2"/>
      <c r="L973" s="2"/>
      <c r="M973" s="2"/>
      <c r="N973" s="2"/>
      <c r="O973" s="2">
        <v>44159681</v>
      </c>
      <c r="P973" s="2"/>
      <c r="Q973" s="2" t="s">
        <v>6660</v>
      </c>
      <c r="R973" s="2" t="s">
        <v>6661</v>
      </c>
      <c r="S973" s="2" t="s">
        <v>50</v>
      </c>
      <c r="T973" s="2" t="s">
        <v>51</v>
      </c>
      <c r="U973" s="2" t="s">
        <v>273</v>
      </c>
      <c r="V973" s="2" t="s">
        <v>42</v>
      </c>
      <c r="W973" s="2">
        <v>48.7</v>
      </c>
      <c r="X973" s="2">
        <v>48.6</v>
      </c>
      <c r="Y973" s="2" t="s">
        <v>323</v>
      </c>
      <c r="Z973" s="2" t="s">
        <v>6662</v>
      </c>
      <c r="AA973" s="2">
        <v>-0.67989211426052598</v>
      </c>
      <c r="AB973" s="2">
        <v>0.75796962487102304</v>
      </c>
      <c r="AC973" s="2">
        <v>94349.1850405718</v>
      </c>
      <c r="AD973" s="2">
        <v>145769.02259794899</v>
      </c>
      <c r="AE973" s="2">
        <v>103282.04274640301</v>
      </c>
      <c r="AF973" s="2">
        <v>98694.058514148506</v>
      </c>
      <c r="AG973" s="2">
        <v>99951.216184002697</v>
      </c>
      <c r="AH973" s="2">
        <v>94829.195493896696</v>
      </c>
      <c r="AI973" s="2">
        <v>81066.4910982195</v>
      </c>
      <c r="AJ973" s="2">
        <v>88272.106206760203</v>
      </c>
      <c r="AK973" s="2">
        <v>118162.54594157801</v>
      </c>
      <c r="AL973" s="2">
        <v>175215.913895734</v>
      </c>
      <c r="AM973" s="2">
        <v>138710.38323504999</v>
      </c>
      <c r="AN973" s="2">
        <v>140468.77908896201</v>
      </c>
      <c r="AO973" s="2">
        <v>198906.99859101899</v>
      </c>
      <c r="AP973" s="2">
        <v>103149.514835354</v>
      </c>
    </row>
    <row r="974" spans="1:42" ht="14.5" x14ac:dyDescent="0.35">
      <c r="A974" s="2" t="s">
        <v>6663</v>
      </c>
      <c r="B974" s="2">
        <v>643.29667007723799</v>
      </c>
      <c r="C974" s="2">
        <v>6.1797833333333303</v>
      </c>
      <c r="D974" s="2" t="s">
        <v>70</v>
      </c>
      <c r="E974" s="2" t="s">
        <v>6664</v>
      </c>
      <c r="F974" s="2">
        <v>204070</v>
      </c>
      <c r="G974" s="3" t="str">
        <f>HYPERLINK("http://funmeta.oebiotech.com/network/204070", "http://funmeta.oebiotech.com/network/204070")</f>
        <v>http://funmeta.oebiotech.com/network/204070</v>
      </c>
      <c r="H974" s="2" t="s">
        <v>6665</v>
      </c>
      <c r="I974" s="2"/>
      <c r="J974" s="2"/>
      <c r="K974" s="2"/>
      <c r="L974" s="2"/>
      <c r="M974" s="2"/>
      <c r="N974" s="2"/>
      <c r="O974" s="2">
        <v>3368304</v>
      </c>
      <c r="P974" s="2"/>
      <c r="Q974" s="2" t="s">
        <v>6666</v>
      </c>
      <c r="R974" s="2" t="s">
        <v>6667</v>
      </c>
      <c r="S974" s="2" t="s">
        <v>41</v>
      </c>
      <c r="T974" s="2" t="s">
        <v>41</v>
      </c>
      <c r="U974" s="2" t="s">
        <v>41</v>
      </c>
      <c r="V974" s="2" t="s">
        <v>59</v>
      </c>
      <c r="W974" s="2">
        <v>40.200000000000003</v>
      </c>
      <c r="X974" s="2">
        <v>12.1</v>
      </c>
      <c r="Y974" s="2" t="s">
        <v>118</v>
      </c>
      <c r="Z974" s="2" t="s">
        <v>6668</v>
      </c>
      <c r="AA974" s="2">
        <v>-4.8649617760652397</v>
      </c>
      <c r="AB974" s="2">
        <v>0.75780710648122795</v>
      </c>
      <c r="AC974" s="2">
        <v>2198842.0364612699</v>
      </c>
      <c r="AD974" s="2">
        <v>2291187.9399156598</v>
      </c>
      <c r="AE974" s="2">
        <v>2203289.9269518601</v>
      </c>
      <c r="AF974" s="2">
        <v>2162257.9536805502</v>
      </c>
      <c r="AG974" s="2">
        <v>2223252.5648884899</v>
      </c>
      <c r="AH974" s="2">
        <v>2089344.2872226301</v>
      </c>
      <c r="AI974" s="2">
        <v>2119151.8956065401</v>
      </c>
      <c r="AJ974" s="2">
        <v>2395755.59041757</v>
      </c>
      <c r="AK974" s="2">
        <v>2127624.1994125401</v>
      </c>
      <c r="AL974" s="2">
        <v>2446414.5943674701</v>
      </c>
      <c r="AM974" s="2">
        <v>2345345.7468931898</v>
      </c>
      <c r="AN974" s="2">
        <v>2356317.5746010202</v>
      </c>
      <c r="AO974" s="2">
        <v>2264823.1574900998</v>
      </c>
      <c r="AP974" s="2">
        <v>2206602.3667296302</v>
      </c>
    </row>
    <row r="975" spans="1:42" ht="14.5" x14ac:dyDescent="0.35">
      <c r="A975" s="2" t="s">
        <v>6669</v>
      </c>
      <c r="B975" s="2">
        <v>577.13383815623195</v>
      </c>
      <c r="C975" s="2">
        <v>5.0258500000000002</v>
      </c>
      <c r="D975" s="2" t="s">
        <v>34</v>
      </c>
      <c r="E975" s="2" t="s">
        <v>6670</v>
      </c>
      <c r="F975" s="2">
        <v>61175</v>
      </c>
      <c r="G975" s="3" t="str">
        <f>HYPERLINK("http://funmeta.oebiotech.com/network/61175", "http://funmeta.oebiotech.com/network/61175")</f>
        <v>http://funmeta.oebiotech.com/network/61175</v>
      </c>
      <c r="H975" s="2" t="s">
        <v>6671</v>
      </c>
      <c r="I975" s="2">
        <v>68190</v>
      </c>
      <c r="J975" s="2"/>
      <c r="K975" s="2">
        <v>28472</v>
      </c>
      <c r="L975" s="2" t="s">
        <v>6672</v>
      </c>
      <c r="M975" s="2"/>
      <c r="N975" s="2"/>
      <c r="O975" s="2">
        <v>124025</v>
      </c>
      <c r="P975" s="2" t="s">
        <v>6673</v>
      </c>
      <c r="Q975" s="2" t="s">
        <v>6674</v>
      </c>
      <c r="R975" s="2" t="s">
        <v>6675</v>
      </c>
      <c r="S975" s="2" t="s">
        <v>115</v>
      </c>
      <c r="T975" s="2" t="s">
        <v>139</v>
      </c>
      <c r="U975" s="2" t="s">
        <v>957</v>
      </c>
      <c r="V975" s="2" t="s">
        <v>59</v>
      </c>
      <c r="W975" s="2">
        <v>43.6</v>
      </c>
      <c r="X975" s="2">
        <v>23.4</v>
      </c>
      <c r="Y975" s="2" t="s">
        <v>67</v>
      </c>
      <c r="Z975" s="2" t="s">
        <v>6676</v>
      </c>
      <c r="AA975" s="2">
        <v>-0.37227946553256103</v>
      </c>
      <c r="AB975" s="2">
        <v>0.75726461088095398</v>
      </c>
      <c r="AC975" s="2">
        <v>54961.194406206501</v>
      </c>
      <c r="AD975" s="2">
        <v>14496.3553678551</v>
      </c>
      <c r="AE975" s="2">
        <v>74059.698604957899</v>
      </c>
      <c r="AF975" s="2">
        <v>57152.863638589297</v>
      </c>
      <c r="AG975" s="2">
        <v>37889.186049297801</v>
      </c>
      <c r="AH975" s="2">
        <v>58521.818462344803</v>
      </c>
      <c r="AI975" s="2">
        <v>55365.534125598802</v>
      </c>
      <c r="AJ975" s="2">
        <v>46778.065556450099</v>
      </c>
      <c r="AK975" s="2">
        <v>15303.476845785</v>
      </c>
      <c r="AL975" s="2">
        <v>16720.9480227819</v>
      </c>
      <c r="AM975" s="2">
        <v>9950.2044457915999</v>
      </c>
      <c r="AN975" s="2">
        <v>15527.9941784735</v>
      </c>
      <c r="AO975" s="2">
        <v>14793.5785417645</v>
      </c>
      <c r="AP975" s="2">
        <v>14681.930172533899</v>
      </c>
    </row>
    <row r="976" spans="1:42" ht="14.5" x14ac:dyDescent="0.35">
      <c r="A976" s="2" t="s">
        <v>6677</v>
      </c>
      <c r="B976" s="2">
        <v>345.20337773710202</v>
      </c>
      <c r="C976" s="2">
        <v>11.3090333333333</v>
      </c>
      <c r="D976" s="2" t="s">
        <v>34</v>
      </c>
      <c r="E976" s="2" t="s">
        <v>6678</v>
      </c>
      <c r="F976" s="2">
        <v>44969</v>
      </c>
      <c r="G976" s="3" t="str">
        <f>HYPERLINK("http://funmeta.oebiotech.com/network/44969", "http://funmeta.oebiotech.com/network/44969")</f>
        <v>http://funmeta.oebiotech.com/network/44969</v>
      </c>
      <c r="H976" s="2"/>
      <c r="I976" s="2"/>
      <c r="J976" s="2" t="s">
        <v>6679</v>
      </c>
      <c r="K976" s="2"/>
      <c r="L976" s="2"/>
      <c r="M976" s="2"/>
      <c r="N976" s="2"/>
      <c r="O976" s="2">
        <v>73242220</v>
      </c>
      <c r="P976" s="2"/>
      <c r="Q976" s="2" t="s">
        <v>6680</v>
      </c>
      <c r="R976" s="2" t="s">
        <v>6681</v>
      </c>
      <c r="S976" s="2" t="s">
        <v>79</v>
      </c>
      <c r="T976" s="2" t="s">
        <v>80</v>
      </c>
      <c r="U976" s="2" t="s">
        <v>2021</v>
      </c>
      <c r="V976" s="2" t="s">
        <v>42</v>
      </c>
      <c r="W976" s="2">
        <v>49.8</v>
      </c>
      <c r="X976" s="2">
        <v>53.3</v>
      </c>
      <c r="Y976" s="2" t="s">
        <v>203</v>
      </c>
      <c r="Z976" s="2" t="s">
        <v>6682</v>
      </c>
      <c r="AA976" s="2">
        <v>-0.78327731654306398</v>
      </c>
      <c r="AB976" s="2">
        <v>0.75676095900084595</v>
      </c>
      <c r="AC976" s="2">
        <v>69588.156810112705</v>
      </c>
      <c r="AD976" s="2">
        <v>29940.577455151099</v>
      </c>
      <c r="AE976" s="2">
        <v>87003.178495140994</v>
      </c>
      <c r="AF976" s="2">
        <v>63777.362500569303</v>
      </c>
      <c r="AG976" s="2">
        <v>64240.450493832497</v>
      </c>
      <c r="AH976" s="2">
        <v>67055.588115890001</v>
      </c>
      <c r="AI976" s="2">
        <v>60441.617424845397</v>
      </c>
      <c r="AJ976" s="2">
        <v>75010.743830398002</v>
      </c>
      <c r="AK976" s="2">
        <v>24434.656041174199</v>
      </c>
      <c r="AL976" s="2">
        <v>29159.043670316601</v>
      </c>
      <c r="AM976" s="2">
        <v>31079.392008526302</v>
      </c>
      <c r="AN976" s="2">
        <v>30914.582877355599</v>
      </c>
      <c r="AO976" s="2">
        <v>35839.666945044097</v>
      </c>
      <c r="AP976" s="2">
        <v>28216.123188489801</v>
      </c>
    </row>
    <row r="977" spans="1:42" ht="14.5" x14ac:dyDescent="0.35">
      <c r="A977" s="2" t="s">
        <v>6683</v>
      </c>
      <c r="B977" s="2">
        <v>389.12364527479201</v>
      </c>
      <c r="C977" s="2">
        <v>4.5951666666666702</v>
      </c>
      <c r="D977" s="2" t="s">
        <v>70</v>
      </c>
      <c r="E977" s="2" t="s">
        <v>6684</v>
      </c>
      <c r="F977" s="2">
        <v>64590</v>
      </c>
      <c r="G977" s="3" t="str">
        <f>HYPERLINK("http://funmeta.oebiotech.com/network/64590", "http://funmeta.oebiotech.com/network/64590")</f>
        <v>http://funmeta.oebiotech.com/network/64590</v>
      </c>
      <c r="H977" s="2" t="s">
        <v>6685</v>
      </c>
      <c r="I977" s="2">
        <v>95892</v>
      </c>
      <c r="J977" s="2"/>
      <c r="K977" s="2">
        <v>167958</v>
      </c>
      <c r="L977" s="2"/>
      <c r="M977" s="2"/>
      <c r="N977" s="2"/>
      <c r="O977" s="2">
        <v>611513</v>
      </c>
      <c r="P977" s="2" t="s">
        <v>6686</v>
      </c>
      <c r="Q977" s="2" t="s">
        <v>6687</v>
      </c>
      <c r="R977" s="2" t="s">
        <v>6688</v>
      </c>
      <c r="S977" s="2" t="s">
        <v>115</v>
      </c>
      <c r="T977" s="2" t="s">
        <v>758</v>
      </c>
      <c r="U977" s="2" t="s">
        <v>1477</v>
      </c>
      <c r="V977" s="2" t="s">
        <v>42</v>
      </c>
      <c r="W977" s="2">
        <v>53.8</v>
      </c>
      <c r="X977" s="2">
        <v>75.099999999999994</v>
      </c>
      <c r="Y977" s="2" t="s">
        <v>751</v>
      </c>
      <c r="Z977" s="2" t="s">
        <v>6689</v>
      </c>
      <c r="AA977" s="2">
        <v>-1.33764935891832</v>
      </c>
      <c r="AB977" s="2">
        <v>0.75650024829830398</v>
      </c>
      <c r="AC977" s="2">
        <v>16753.894594077399</v>
      </c>
      <c r="AD977" s="2">
        <v>54821.983454615904</v>
      </c>
      <c r="AE977" s="2">
        <v>15905.289784402499</v>
      </c>
      <c r="AF977" s="2">
        <v>18141.191193435101</v>
      </c>
      <c r="AG977" s="2">
        <v>17723.4016906787</v>
      </c>
      <c r="AH977" s="2">
        <v>13078.588702622799</v>
      </c>
      <c r="AI977" s="2">
        <v>19186.0671934825</v>
      </c>
      <c r="AJ977" s="2">
        <v>16488.828999842601</v>
      </c>
      <c r="AK977" s="2">
        <v>59418.393913284999</v>
      </c>
      <c r="AL977" s="2">
        <v>50381.101134484299</v>
      </c>
      <c r="AM977" s="2">
        <v>54093.743155085998</v>
      </c>
      <c r="AN977" s="2">
        <v>51911.651279580699</v>
      </c>
      <c r="AO977" s="2">
        <v>51917.807583752299</v>
      </c>
      <c r="AP977" s="2">
        <v>61209.203661506799</v>
      </c>
    </row>
    <row r="978" spans="1:42" ht="14.5" x14ac:dyDescent="0.35">
      <c r="A978" s="2" t="s">
        <v>6690</v>
      </c>
      <c r="B978" s="2">
        <v>300.12297100760298</v>
      </c>
      <c r="C978" s="2">
        <v>9.44783333333333</v>
      </c>
      <c r="D978" s="2" t="s">
        <v>34</v>
      </c>
      <c r="E978" s="2" t="s">
        <v>6691</v>
      </c>
      <c r="F978" s="2">
        <v>30199</v>
      </c>
      <c r="G978" s="3" t="str">
        <f>HYPERLINK("http://funmeta.oebiotech.com/network/30199", "http://funmeta.oebiotech.com/network/30199")</f>
        <v>http://funmeta.oebiotech.com/network/30199</v>
      </c>
      <c r="H978" s="2"/>
      <c r="I978" s="2">
        <v>48539</v>
      </c>
      <c r="J978" s="2" t="s">
        <v>6692</v>
      </c>
      <c r="K978" s="2"/>
      <c r="L978" s="2"/>
      <c r="M978" s="2"/>
      <c r="N978" s="2"/>
      <c r="O978" s="2">
        <v>5378171</v>
      </c>
      <c r="P978" s="2"/>
      <c r="Q978" s="2" t="s">
        <v>6693</v>
      </c>
      <c r="R978" s="2" t="s">
        <v>6694</v>
      </c>
      <c r="S978" s="2" t="s">
        <v>115</v>
      </c>
      <c r="T978" s="2" t="s">
        <v>139</v>
      </c>
      <c r="U978" s="2" t="s">
        <v>1552</v>
      </c>
      <c r="V978" s="2" t="s">
        <v>59</v>
      </c>
      <c r="W978" s="2">
        <v>44.9</v>
      </c>
      <c r="X978" s="2">
        <v>27.7</v>
      </c>
      <c r="Y978" s="2" t="s">
        <v>43</v>
      </c>
      <c r="Z978" s="2" t="s">
        <v>6695</v>
      </c>
      <c r="AA978" s="2">
        <v>-0.22492748770707099</v>
      </c>
      <c r="AB978" s="2">
        <v>0.75644235451466801</v>
      </c>
      <c r="AC978" s="2">
        <v>53605.468512262298</v>
      </c>
      <c r="AD978" s="2">
        <v>15944.3176188583</v>
      </c>
      <c r="AE978" s="2">
        <v>54926.3223307468</v>
      </c>
      <c r="AF978" s="2">
        <v>52546.273392697403</v>
      </c>
      <c r="AG978" s="2">
        <v>51037.380957060697</v>
      </c>
      <c r="AH978" s="2">
        <v>55204.7964003866</v>
      </c>
      <c r="AI978" s="2">
        <v>51621.592751665601</v>
      </c>
      <c r="AJ978" s="2">
        <v>56296.445241016503</v>
      </c>
      <c r="AK978" s="2">
        <v>15636.2711452601</v>
      </c>
      <c r="AL978" s="2">
        <v>15249.8696532873</v>
      </c>
      <c r="AM978" s="2">
        <v>17445.395745853701</v>
      </c>
      <c r="AN978" s="2">
        <v>14711.3046876674</v>
      </c>
      <c r="AO978" s="2">
        <v>15548.8080621636</v>
      </c>
      <c r="AP978" s="2">
        <v>17074.256418917801</v>
      </c>
    </row>
    <row r="979" spans="1:42" ht="14.5" x14ac:dyDescent="0.35">
      <c r="A979" s="2" t="s">
        <v>6696</v>
      </c>
      <c r="B979" s="2">
        <v>531.22014260452602</v>
      </c>
      <c r="C979" s="2">
        <v>5.1996333333333302</v>
      </c>
      <c r="D979" s="2" t="s">
        <v>34</v>
      </c>
      <c r="E979" s="2" t="s">
        <v>6697</v>
      </c>
      <c r="F979" s="2">
        <v>60654</v>
      </c>
      <c r="G979" s="3" t="str">
        <f>HYPERLINK("http://funmeta.oebiotech.com/network/60654", "http://funmeta.oebiotech.com/network/60654")</f>
        <v>http://funmeta.oebiotech.com/network/60654</v>
      </c>
      <c r="H979" s="2" t="s">
        <v>6698</v>
      </c>
      <c r="I979" s="2">
        <v>91986</v>
      </c>
      <c r="J979" s="2"/>
      <c r="K979" s="2"/>
      <c r="L979" s="2"/>
      <c r="M979" s="2"/>
      <c r="N979" s="2"/>
      <c r="O979" s="2">
        <v>131752127</v>
      </c>
      <c r="P979" s="2" t="s">
        <v>6699</v>
      </c>
      <c r="Q979" s="2" t="s">
        <v>6700</v>
      </c>
      <c r="R979" s="2" t="s">
        <v>6701</v>
      </c>
      <c r="S979" s="2" t="s">
        <v>491</v>
      </c>
      <c r="T979" s="2" t="s">
        <v>2943</v>
      </c>
      <c r="U979" s="2" t="s">
        <v>41</v>
      </c>
      <c r="V979" s="2" t="s">
        <v>42</v>
      </c>
      <c r="W979" s="2">
        <v>56</v>
      </c>
      <c r="X979" s="2">
        <v>87.7</v>
      </c>
      <c r="Y979" s="2" t="s">
        <v>323</v>
      </c>
      <c r="Z979" s="2" t="s">
        <v>5071</v>
      </c>
      <c r="AA979" s="2">
        <v>0.14673333205957501</v>
      </c>
      <c r="AB979" s="2">
        <v>0.75639368409458896</v>
      </c>
      <c r="AC979" s="2">
        <v>122292.478207401</v>
      </c>
      <c r="AD979" s="2">
        <v>83354.449829296602</v>
      </c>
      <c r="AE979" s="2">
        <v>127660.233201346</v>
      </c>
      <c r="AF979" s="2">
        <v>109502.03299067001</v>
      </c>
      <c r="AG979" s="2">
        <v>128462.47099410099</v>
      </c>
      <c r="AH979" s="2">
        <v>117597.56907388099</v>
      </c>
      <c r="AI979" s="2">
        <v>121685.456793991</v>
      </c>
      <c r="AJ979" s="2">
        <v>128847.106190416</v>
      </c>
      <c r="AK979" s="2">
        <v>78044.138278779705</v>
      </c>
      <c r="AL979" s="2">
        <v>86948.020326243903</v>
      </c>
      <c r="AM979" s="2">
        <v>83006.731088764194</v>
      </c>
      <c r="AN979" s="2">
        <v>85490.502628573697</v>
      </c>
      <c r="AO979" s="2">
        <v>84396.306160503504</v>
      </c>
      <c r="AP979" s="2">
        <v>82241.0004929149</v>
      </c>
    </row>
    <row r="980" spans="1:42" ht="14.5" x14ac:dyDescent="0.35">
      <c r="A980" s="2" t="s">
        <v>6702</v>
      </c>
      <c r="B980" s="2">
        <v>624.38821233847705</v>
      </c>
      <c r="C980" s="2">
        <v>9.0455833333333295</v>
      </c>
      <c r="D980" s="2" t="s">
        <v>34</v>
      </c>
      <c r="E980" s="2" t="s">
        <v>6703</v>
      </c>
      <c r="F980" s="2">
        <v>27902</v>
      </c>
      <c r="G980" s="3" t="str">
        <f>HYPERLINK("http://funmeta.oebiotech.com/network/27902", "http://funmeta.oebiotech.com/network/27902")</f>
        <v>http://funmeta.oebiotech.com/network/27902</v>
      </c>
      <c r="H980" s="2"/>
      <c r="I980" s="2"/>
      <c r="J980" s="2" t="s">
        <v>6704</v>
      </c>
      <c r="K980" s="2"/>
      <c r="L980" s="2"/>
      <c r="M980" s="2"/>
      <c r="N980" s="2"/>
      <c r="O980" s="2">
        <v>134812360</v>
      </c>
      <c r="P980" s="2"/>
      <c r="Q980" s="2" t="s">
        <v>6705</v>
      </c>
      <c r="R980" s="2" t="s">
        <v>6706</v>
      </c>
      <c r="S980" s="2" t="s">
        <v>50</v>
      </c>
      <c r="T980" s="2" t="s">
        <v>51</v>
      </c>
      <c r="U980" s="2" t="s">
        <v>257</v>
      </c>
      <c r="V980" s="2" t="s">
        <v>59</v>
      </c>
      <c r="W980" s="2">
        <v>41.2</v>
      </c>
      <c r="X980" s="2">
        <v>14.5</v>
      </c>
      <c r="Y980" s="2" t="s">
        <v>394</v>
      </c>
      <c r="Z980" s="2" t="s">
        <v>6707</v>
      </c>
      <c r="AA980" s="2">
        <v>1.7681290888165699</v>
      </c>
      <c r="AB980" s="2">
        <v>0.75632087045648</v>
      </c>
      <c r="AC980" s="2">
        <v>12187.929790214301</v>
      </c>
      <c r="AD980" s="2">
        <v>49879.799272176402</v>
      </c>
      <c r="AE980" s="2">
        <v>9307.7894757251106</v>
      </c>
      <c r="AF980" s="2">
        <v>13531.299862751601</v>
      </c>
      <c r="AG980" s="2">
        <v>12761.501872255099</v>
      </c>
      <c r="AH980" s="2">
        <v>13470.9298846687</v>
      </c>
      <c r="AI980" s="2">
        <v>12657.839313803301</v>
      </c>
      <c r="AJ980" s="2">
        <v>11398.2183320819</v>
      </c>
      <c r="AK980" s="2">
        <v>46184.4262390531</v>
      </c>
      <c r="AL980" s="2">
        <v>51537.952318674303</v>
      </c>
      <c r="AM980" s="2">
        <v>48055.314444406897</v>
      </c>
      <c r="AN980" s="2">
        <v>51570.774715344698</v>
      </c>
      <c r="AO980" s="2">
        <v>50939.3987293053</v>
      </c>
      <c r="AP980" s="2">
        <v>50990.929186274399</v>
      </c>
    </row>
    <row r="981" spans="1:42" ht="14.5" x14ac:dyDescent="0.35">
      <c r="A981" s="2" t="s">
        <v>6708</v>
      </c>
      <c r="B981" s="2">
        <v>531.18378714469804</v>
      </c>
      <c r="C981" s="2">
        <v>4.4450666666666701</v>
      </c>
      <c r="D981" s="2" t="s">
        <v>34</v>
      </c>
      <c r="E981" s="2" t="s">
        <v>6709</v>
      </c>
      <c r="F981" s="2">
        <v>36019</v>
      </c>
      <c r="G981" s="3" t="str">
        <f>HYPERLINK("http://funmeta.oebiotech.com/network/36019", "http://funmeta.oebiotech.com/network/36019")</f>
        <v>http://funmeta.oebiotech.com/network/36019</v>
      </c>
      <c r="H981" s="2"/>
      <c r="I981" s="2"/>
      <c r="J981" s="2" t="s">
        <v>6710</v>
      </c>
      <c r="K981" s="2">
        <v>52076</v>
      </c>
      <c r="L981" s="2" t="s">
        <v>6711</v>
      </c>
      <c r="M981" s="2"/>
      <c r="N981" s="2"/>
      <c r="O981" s="2">
        <v>44260117</v>
      </c>
      <c r="P981" s="2"/>
      <c r="Q981" s="2"/>
      <c r="R981" s="2" t="s">
        <v>6712</v>
      </c>
      <c r="S981" s="2" t="s">
        <v>50</v>
      </c>
      <c r="T981" s="2" t="s">
        <v>201</v>
      </c>
      <c r="U981" s="2" t="s">
        <v>202</v>
      </c>
      <c r="V981" s="2" t="s">
        <v>42</v>
      </c>
      <c r="W981" s="2">
        <v>47.9</v>
      </c>
      <c r="X981" s="2">
        <v>45.9</v>
      </c>
      <c r="Y981" s="2" t="s">
        <v>376</v>
      </c>
      <c r="Z981" s="2" t="s">
        <v>3819</v>
      </c>
      <c r="AA981" s="2">
        <v>0.20587256622418201</v>
      </c>
      <c r="AB981" s="2">
        <v>0.75567912071511101</v>
      </c>
      <c r="AC981" s="2">
        <v>1072701.12580532</v>
      </c>
      <c r="AD981" s="2">
        <v>1004648.54587167</v>
      </c>
      <c r="AE981" s="2">
        <v>1056575.4162916299</v>
      </c>
      <c r="AF981" s="2">
        <v>1179168.4285962901</v>
      </c>
      <c r="AG981" s="2">
        <v>1090369.8729739899</v>
      </c>
      <c r="AH981" s="2">
        <v>976528.78193473304</v>
      </c>
      <c r="AI981" s="2">
        <v>1081854.5864382901</v>
      </c>
      <c r="AJ981" s="2">
        <v>1051709.6685969799</v>
      </c>
      <c r="AK981" s="2">
        <v>1059097.7173826999</v>
      </c>
      <c r="AL981" s="2">
        <v>1026884.9978332201</v>
      </c>
      <c r="AM981" s="2">
        <v>940274.45385984494</v>
      </c>
      <c r="AN981" s="2">
        <v>1047320.3641914499</v>
      </c>
      <c r="AO981" s="2">
        <v>977250.60555520502</v>
      </c>
      <c r="AP981" s="2">
        <v>977063.13640761503</v>
      </c>
    </row>
    <row r="982" spans="1:42" ht="14.5" x14ac:dyDescent="0.35">
      <c r="A982" s="2" t="s">
        <v>6713</v>
      </c>
      <c r="B982" s="2">
        <v>219.04719640953101</v>
      </c>
      <c r="C982" s="2">
        <v>0.71894999999999998</v>
      </c>
      <c r="D982" s="2" t="s">
        <v>34</v>
      </c>
      <c r="E982" s="2" t="s">
        <v>6714</v>
      </c>
      <c r="F982" s="2">
        <v>256585</v>
      </c>
      <c r="G982" s="3" t="str">
        <f>HYPERLINK("http://funmeta.oebiotech.com/network/256585", "http://funmeta.oebiotech.com/network/256585")</f>
        <v>http://funmeta.oebiotech.com/network/256585</v>
      </c>
      <c r="H982" s="2" t="s">
        <v>6715</v>
      </c>
      <c r="I982" s="2"/>
      <c r="J982" s="2"/>
      <c r="K982" s="2"/>
      <c r="L982" s="2"/>
      <c r="M982" s="2"/>
      <c r="N982" s="2"/>
      <c r="O982" s="2"/>
      <c r="P982" s="2"/>
      <c r="Q982" s="2" t="s">
        <v>6716</v>
      </c>
      <c r="R982" s="2" t="s">
        <v>6717</v>
      </c>
      <c r="S982" s="2" t="s">
        <v>89</v>
      </c>
      <c r="T982" s="2" t="s">
        <v>4218</v>
      </c>
      <c r="U982" s="2" t="s">
        <v>5830</v>
      </c>
      <c r="V982" s="2" t="s">
        <v>59</v>
      </c>
      <c r="W982" s="2">
        <v>39</v>
      </c>
      <c r="X982" s="2">
        <v>0</v>
      </c>
      <c r="Y982" s="2" t="s">
        <v>394</v>
      </c>
      <c r="Z982" s="2" t="s">
        <v>6718</v>
      </c>
      <c r="AA982" s="2">
        <v>-1.49969128763267</v>
      </c>
      <c r="AB982" s="2">
        <v>0.75375484498567102</v>
      </c>
      <c r="AC982" s="2">
        <v>46519.267649407397</v>
      </c>
      <c r="AD982" s="2">
        <v>7398.4132810539604</v>
      </c>
      <c r="AE982" s="2">
        <v>49273.073176925704</v>
      </c>
      <c r="AF982" s="2">
        <v>37622.344826834902</v>
      </c>
      <c r="AG982" s="2">
        <v>56559.8701548436</v>
      </c>
      <c r="AH982" s="2">
        <v>37735.1850635765</v>
      </c>
      <c r="AI982" s="2">
        <v>56994.016325025601</v>
      </c>
      <c r="AJ982" s="2">
        <v>40931.116349238298</v>
      </c>
      <c r="AK982" s="2">
        <v>6747.6318579702502</v>
      </c>
      <c r="AL982" s="2">
        <v>6445.9905134055898</v>
      </c>
      <c r="AM982" s="2">
        <v>12011.0816557075</v>
      </c>
      <c r="AN982" s="2">
        <v>4786.9468221417601</v>
      </c>
      <c r="AO982" s="2">
        <v>7294.67531182739</v>
      </c>
      <c r="AP982" s="2">
        <v>7104.1535252713002</v>
      </c>
    </row>
    <row r="983" spans="1:42" ht="14.5" x14ac:dyDescent="0.35">
      <c r="A983" s="2" t="s">
        <v>6719</v>
      </c>
      <c r="B983" s="2">
        <v>345.108834191531</v>
      </c>
      <c r="C983" s="2">
        <v>4.7931333333333299</v>
      </c>
      <c r="D983" s="2" t="s">
        <v>70</v>
      </c>
      <c r="E983" s="2" t="s">
        <v>6720</v>
      </c>
      <c r="F983" s="2">
        <v>210267</v>
      </c>
      <c r="G983" s="3" t="str">
        <f>HYPERLINK("http://funmeta.oebiotech.com/network/210267", "http://funmeta.oebiotech.com/network/210267")</f>
        <v>http://funmeta.oebiotech.com/network/210267</v>
      </c>
      <c r="H983" s="2" t="s">
        <v>6721</v>
      </c>
      <c r="I983" s="2">
        <v>72228</v>
      </c>
      <c r="J983" s="2"/>
      <c r="K983" s="2">
        <v>81734</v>
      </c>
      <c r="L983" s="2" t="s">
        <v>6722</v>
      </c>
      <c r="M983" s="2"/>
      <c r="N983" s="2"/>
      <c r="O983" s="2">
        <v>24744</v>
      </c>
      <c r="P983" s="2" t="s">
        <v>6723</v>
      </c>
      <c r="Q983" s="2" t="s">
        <v>6724</v>
      </c>
      <c r="R983" s="2" t="s">
        <v>6725</v>
      </c>
      <c r="S983" s="2" t="s">
        <v>148</v>
      </c>
      <c r="T983" s="2" t="s">
        <v>149</v>
      </c>
      <c r="U983" s="2" t="s">
        <v>6726</v>
      </c>
      <c r="V983" s="2" t="s">
        <v>42</v>
      </c>
      <c r="W983" s="2">
        <v>49.7</v>
      </c>
      <c r="X983" s="2">
        <v>52.2</v>
      </c>
      <c r="Y983" s="2" t="s">
        <v>408</v>
      </c>
      <c r="Z983" s="2" t="s">
        <v>6727</v>
      </c>
      <c r="AA983" s="2">
        <v>-1.2518015686717801</v>
      </c>
      <c r="AB983" s="2">
        <v>0.75342566046410997</v>
      </c>
      <c r="AC983" s="2">
        <v>269312.26613894699</v>
      </c>
      <c r="AD983" s="2">
        <v>311786.12618214701</v>
      </c>
      <c r="AE983" s="2">
        <v>276014.533051726</v>
      </c>
      <c r="AF983" s="2">
        <v>263157.72066883999</v>
      </c>
      <c r="AG983" s="2">
        <v>264523.67810671398</v>
      </c>
      <c r="AH983" s="2">
        <v>269418.06662578997</v>
      </c>
      <c r="AI983" s="2">
        <v>273316.23207991797</v>
      </c>
      <c r="AJ983" s="2">
        <v>269443.36630069499</v>
      </c>
      <c r="AK983" s="2">
        <v>319653.62863078999</v>
      </c>
      <c r="AL983" s="2">
        <v>289262.15677964099</v>
      </c>
      <c r="AM983" s="2">
        <v>318286.23167347797</v>
      </c>
      <c r="AN983" s="2">
        <v>308646.87446512299</v>
      </c>
      <c r="AO983" s="2">
        <v>296734.43022033299</v>
      </c>
      <c r="AP983" s="2">
        <v>338133.43532351701</v>
      </c>
    </row>
    <row r="984" spans="1:42" ht="14.5" x14ac:dyDescent="0.35">
      <c r="A984" s="2" t="s">
        <v>6728</v>
      </c>
      <c r="B984" s="2">
        <v>329.08756869646697</v>
      </c>
      <c r="C984" s="2">
        <v>4.4359166666666701</v>
      </c>
      <c r="D984" s="2" t="s">
        <v>70</v>
      </c>
      <c r="E984" s="2" t="s">
        <v>6729</v>
      </c>
      <c r="F984" s="2">
        <v>58612</v>
      </c>
      <c r="G984" s="3" t="str">
        <f>HYPERLINK("http://funmeta.oebiotech.com/network/58612", "http://funmeta.oebiotech.com/network/58612")</f>
        <v>http://funmeta.oebiotech.com/network/58612</v>
      </c>
      <c r="H984" s="2" t="s">
        <v>6730</v>
      </c>
      <c r="I984" s="2"/>
      <c r="J984" s="2"/>
      <c r="K984" s="2">
        <v>168049</v>
      </c>
      <c r="L984" s="2"/>
      <c r="M984" s="2"/>
      <c r="N984" s="2"/>
      <c r="O984" s="2">
        <v>14704603</v>
      </c>
      <c r="P984" s="2" t="s">
        <v>6731</v>
      </c>
      <c r="Q984" s="2" t="s">
        <v>6732</v>
      </c>
      <c r="R984" s="2" t="s">
        <v>6733</v>
      </c>
      <c r="S984" s="2" t="s">
        <v>79</v>
      </c>
      <c r="T984" s="2" t="s">
        <v>80</v>
      </c>
      <c r="U984" s="2" t="s">
        <v>81</v>
      </c>
      <c r="V984" s="2" t="s">
        <v>42</v>
      </c>
      <c r="W984" s="2">
        <v>52.6</v>
      </c>
      <c r="X984" s="2">
        <v>66.400000000000006</v>
      </c>
      <c r="Y984" s="2" t="s">
        <v>408</v>
      </c>
      <c r="Z984" s="2" t="s">
        <v>6734</v>
      </c>
      <c r="AA984" s="2">
        <v>-0.83432681174158796</v>
      </c>
      <c r="AB984" s="2">
        <v>0.75308362871180201</v>
      </c>
      <c r="AC984" s="2">
        <v>166932.85896166699</v>
      </c>
      <c r="AD984" s="2">
        <v>127775.686223946</v>
      </c>
      <c r="AE984" s="2">
        <v>161855.91081202199</v>
      </c>
      <c r="AF984" s="2">
        <v>173142.20670195101</v>
      </c>
      <c r="AG984" s="2">
        <v>172412.91918205001</v>
      </c>
      <c r="AH984" s="2">
        <v>166200.069554916</v>
      </c>
      <c r="AI984" s="2">
        <v>169927.45256738801</v>
      </c>
      <c r="AJ984" s="2">
        <v>158058.59495167399</v>
      </c>
      <c r="AK984" s="2">
        <v>112408.51262538601</v>
      </c>
      <c r="AL984" s="2">
        <v>131538.14350271001</v>
      </c>
      <c r="AM984" s="2">
        <v>134115.22642855399</v>
      </c>
      <c r="AN984" s="2">
        <v>128671.37652102701</v>
      </c>
      <c r="AO984" s="2">
        <v>129553.282474169</v>
      </c>
      <c r="AP984" s="2">
        <v>130367.575791832</v>
      </c>
    </row>
    <row r="985" spans="1:42" ht="14.5" x14ac:dyDescent="0.35">
      <c r="A985" s="2" t="s">
        <v>6735</v>
      </c>
      <c r="B985" s="2">
        <v>359.14854564851299</v>
      </c>
      <c r="C985" s="2">
        <v>5.1684333333333301</v>
      </c>
      <c r="D985" s="2" t="s">
        <v>34</v>
      </c>
      <c r="E985" s="2" t="s">
        <v>6736</v>
      </c>
      <c r="F985" s="2">
        <v>59551</v>
      </c>
      <c r="G985" s="3" t="str">
        <f>HYPERLINK("http://funmeta.oebiotech.com/network/59551", "http://funmeta.oebiotech.com/network/59551")</f>
        <v>http://funmeta.oebiotech.com/network/59551</v>
      </c>
      <c r="H985" s="2" t="s">
        <v>6737</v>
      </c>
      <c r="I985" s="2">
        <v>44855</v>
      </c>
      <c r="J985" s="2"/>
      <c r="K985" s="2">
        <v>6698</v>
      </c>
      <c r="L985" s="2" t="s">
        <v>6738</v>
      </c>
      <c r="M985" s="2" t="s">
        <v>6739</v>
      </c>
      <c r="N985" s="2" t="s">
        <v>6740</v>
      </c>
      <c r="O985" s="2">
        <v>119205</v>
      </c>
      <c r="P985" s="2" t="s">
        <v>6741</v>
      </c>
      <c r="Q985" s="2" t="s">
        <v>6742</v>
      </c>
      <c r="R985" s="2" t="s">
        <v>6743</v>
      </c>
      <c r="S985" s="2" t="s">
        <v>1184</v>
      </c>
      <c r="T985" s="2" t="s">
        <v>3333</v>
      </c>
      <c r="U985" s="2" t="s">
        <v>3334</v>
      </c>
      <c r="V985" s="2" t="s">
        <v>42</v>
      </c>
      <c r="W985" s="2">
        <v>55.2</v>
      </c>
      <c r="X985" s="2">
        <v>81.7</v>
      </c>
      <c r="Y985" s="2" t="s">
        <v>394</v>
      </c>
      <c r="Z985" s="2" t="s">
        <v>6744</v>
      </c>
      <c r="AA985" s="2">
        <v>-1.03089489702115</v>
      </c>
      <c r="AB985" s="2">
        <v>0.75302934833837898</v>
      </c>
      <c r="AC985" s="2">
        <v>290803.22107276</v>
      </c>
      <c r="AD985" s="2">
        <v>238981.42931077999</v>
      </c>
      <c r="AE985" s="2">
        <v>264302.61720648099</v>
      </c>
      <c r="AF985" s="2">
        <v>342380.13002341398</v>
      </c>
      <c r="AG985" s="2">
        <v>315362.87926683499</v>
      </c>
      <c r="AH985" s="2">
        <v>274206.87522336998</v>
      </c>
      <c r="AI985" s="2">
        <v>269493.50846214098</v>
      </c>
      <c r="AJ985" s="2">
        <v>279073.31625432201</v>
      </c>
      <c r="AK985" s="2">
        <v>245504.17697507801</v>
      </c>
      <c r="AL985" s="2">
        <v>269262.80978100299</v>
      </c>
      <c r="AM985" s="2">
        <v>224155.77508034001</v>
      </c>
      <c r="AN985" s="2">
        <v>252904.03426856501</v>
      </c>
      <c r="AO985" s="2">
        <v>197394.11343986701</v>
      </c>
      <c r="AP985" s="2">
        <v>244667.66631982799</v>
      </c>
    </row>
    <row r="986" spans="1:42" ht="14.5" x14ac:dyDescent="0.35">
      <c r="A986" s="2" t="s">
        <v>6745</v>
      </c>
      <c r="B986" s="2">
        <v>219.101430299463</v>
      </c>
      <c r="C986" s="2">
        <v>4.7862166666666699</v>
      </c>
      <c r="D986" s="2" t="s">
        <v>34</v>
      </c>
      <c r="E986" s="2" t="s">
        <v>6746</v>
      </c>
      <c r="F986" s="2">
        <v>204865</v>
      </c>
      <c r="G986" s="3" t="str">
        <f>HYPERLINK("http://funmeta.oebiotech.com/network/204865", "http://funmeta.oebiotech.com/network/204865")</f>
        <v>http://funmeta.oebiotech.com/network/204865</v>
      </c>
      <c r="H986" s="2" t="s">
        <v>6747</v>
      </c>
      <c r="I986" s="2"/>
      <c r="J986" s="2"/>
      <c r="K986" s="2">
        <v>91816</v>
      </c>
      <c r="L986" s="2"/>
      <c r="M986" s="2"/>
      <c r="N986" s="2"/>
      <c r="O986" s="2">
        <v>131414</v>
      </c>
      <c r="P986" s="2"/>
      <c r="Q986" s="2" t="s">
        <v>6748</v>
      </c>
      <c r="R986" s="2" t="s">
        <v>6749</v>
      </c>
      <c r="S986" s="2" t="s">
        <v>148</v>
      </c>
      <c r="T986" s="2" t="s">
        <v>41</v>
      </c>
      <c r="U986" s="2" t="s">
        <v>41</v>
      </c>
      <c r="V986" s="2" t="s">
        <v>42</v>
      </c>
      <c r="W986" s="2">
        <v>52.8</v>
      </c>
      <c r="X986" s="2">
        <v>67.400000000000006</v>
      </c>
      <c r="Y986" s="2" t="s">
        <v>394</v>
      </c>
      <c r="Z986" s="2" t="s">
        <v>6750</v>
      </c>
      <c r="AA986" s="2">
        <v>-0.64394255626988195</v>
      </c>
      <c r="AB986" s="2">
        <v>0.752728164619478</v>
      </c>
      <c r="AC986" s="2">
        <v>320142.89266374899</v>
      </c>
      <c r="AD986" s="2">
        <v>362529.81403334101</v>
      </c>
      <c r="AE986" s="2">
        <v>314273.04274085601</v>
      </c>
      <c r="AF986" s="2">
        <v>345308.97917419299</v>
      </c>
      <c r="AG986" s="2">
        <v>311293.76973095798</v>
      </c>
      <c r="AH986" s="2">
        <v>313850.683217449</v>
      </c>
      <c r="AI986" s="2">
        <v>313808.410609057</v>
      </c>
      <c r="AJ986" s="2">
        <v>322322.47050998098</v>
      </c>
      <c r="AK986" s="2">
        <v>372853.901537531</v>
      </c>
      <c r="AL986" s="2">
        <v>365692.22942661599</v>
      </c>
      <c r="AM986" s="2">
        <v>351439.74025254999</v>
      </c>
      <c r="AN986" s="2">
        <v>375881.67581697501</v>
      </c>
      <c r="AO986" s="2">
        <v>344752.24177636899</v>
      </c>
      <c r="AP986" s="2">
        <v>364559.09539000702</v>
      </c>
    </row>
    <row r="987" spans="1:42" ht="14.5" x14ac:dyDescent="0.35">
      <c r="A987" s="2" t="s">
        <v>6751</v>
      </c>
      <c r="B987" s="2">
        <v>503.24287793950498</v>
      </c>
      <c r="C987" s="2">
        <v>10.3798166666667</v>
      </c>
      <c r="D987" s="2" t="s">
        <v>34</v>
      </c>
      <c r="E987" s="2" t="s">
        <v>6752</v>
      </c>
      <c r="F987" s="2">
        <v>52676</v>
      </c>
      <c r="G987" s="3" t="str">
        <f>HYPERLINK("http://funmeta.oebiotech.com/network/52676", "http://funmeta.oebiotech.com/network/52676")</f>
        <v>http://funmeta.oebiotech.com/network/52676</v>
      </c>
      <c r="H987" s="2" t="s">
        <v>6753</v>
      </c>
      <c r="I987" s="2">
        <v>3924</v>
      </c>
      <c r="J987" s="2"/>
      <c r="K987" s="2">
        <v>31199</v>
      </c>
      <c r="L987" s="2"/>
      <c r="M987" s="2"/>
      <c r="N987" s="2"/>
      <c r="O987" s="2">
        <v>443958</v>
      </c>
      <c r="P987" s="2" t="s">
        <v>6754</v>
      </c>
      <c r="Q987" s="2" t="s">
        <v>6755</v>
      </c>
      <c r="R987" s="2" t="s">
        <v>6756</v>
      </c>
      <c r="S987" s="2" t="s">
        <v>50</v>
      </c>
      <c r="T987" s="2" t="s">
        <v>124</v>
      </c>
      <c r="U987" s="2" t="s">
        <v>929</v>
      </c>
      <c r="V987" s="2" t="s">
        <v>59</v>
      </c>
      <c r="W987" s="2">
        <v>42.8</v>
      </c>
      <c r="X987" s="2">
        <v>21.2</v>
      </c>
      <c r="Y987" s="2" t="s">
        <v>266</v>
      </c>
      <c r="Z987" s="2" t="s">
        <v>6757</v>
      </c>
      <c r="AA987" s="2">
        <v>-2.1507227656961101</v>
      </c>
      <c r="AB987" s="2">
        <v>0.75154663425277901</v>
      </c>
      <c r="AC987" s="2">
        <v>54288.507840108097</v>
      </c>
      <c r="AD987" s="2">
        <v>16950.326085865399</v>
      </c>
      <c r="AE987" s="2">
        <v>51842.179624113603</v>
      </c>
      <c r="AF987" s="2">
        <v>54723.101242691497</v>
      </c>
      <c r="AG987" s="2">
        <v>53089.321648047197</v>
      </c>
      <c r="AH987" s="2">
        <v>56136.415695063799</v>
      </c>
      <c r="AI987" s="2">
        <v>51237.696220888203</v>
      </c>
      <c r="AJ987" s="2">
        <v>58702.332609844103</v>
      </c>
      <c r="AK987" s="2">
        <v>15428.606932314</v>
      </c>
      <c r="AL987" s="2">
        <v>13874.799634475101</v>
      </c>
      <c r="AM987" s="2">
        <v>19833.653569536498</v>
      </c>
      <c r="AN987" s="2">
        <v>17131.568920645801</v>
      </c>
      <c r="AO987" s="2">
        <v>18631.8811446168</v>
      </c>
      <c r="AP987" s="2">
        <v>16801.446313604301</v>
      </c>
    </row>
    <row r="988" spans="1:42" ht="14.5" x14ac:dyDescent="0.35">
      <c r="A988" s="2" t="s">
        <v>6758</v>
      </c>
      <c r="B988" s="2">
        <v>349.16426834779099</v>
      </c>
      <c r="C988" s="2">
        <v>5.5233833333333298</v>
      </c>
      <c r="D988" s="2" t="s">
        <v>34</v>
      </c>
      <c r="E988" s="5" t="s">
        <v>6759</v>
      </c>
      <c r="F988" s="2">
        <v>60655</v>
      </c>
      <c r="G988" s="3" t="str">
        <f>HYPERLINK("http://funmeta.oebiotech.com/network/60655", "http://funmeta.oebiotech.com/network/60655")</f>
        <v>http://funmeta.oebiotech.com/network/60655</v>
      </c>
      <c r="H988" s="2" t="s">
        <v>6760</v>
      </c>
      <c r="I988" s="2"/>
      <c r="J988" s="2"/>
      <c r="K988" s="2"/>
      <c r="L988" s="2"/>
      <c r="M988" s="2"/>
      <c r="N988" s="2"/>
      <c r="O988" s="2"/>
      <c r="P988" s="2" t="s">
        <v>6761</v>
      </c>
      <c r="Q988" s="2" t="s">
        <v>6762</v>
      </c>
      <c r="R988" s="2" t="s">
        <v>6763</v>
      </c>
      <c r="S988" s="2" t="s">
        <v>50</v>
      </c>
      <c r="T988" s="2" t="s">
        <v>201</v>
      </c>
      <c r="U988" s="2" t="s">
        <v>241</v>
      </c>
      <c r="V988" s="2" t="s">
        <v>42</v>
      </c>
      <c r="W988" s="2">
        <v>47.7</v>
      </c>
      <c r="X988" s="2">
        <v>46.1</v>
      </c>
      <c r="Y988" s="2" t="s">
        <v>394</v>
      </c>
      <c r="Z988" s="2" t="s">
        <v>6764</v>
      </c>
      <c r="AA988" s="2">
        <v>-0.85183122444269399</v>
      </c>
      <c r="AB988" s="2">
        <v>0.75138970292006302</v>
      </c>
      <c r="AC988" s="2">
        <v>98524.887010935607</v>
      </c>
      <c r="AD988" s="2">
        <v>136331.35166484001</v>
      </c>
      <c r="AE988" s="2">
        <v>95455.403849871</v>
      </c>
      <c r="AF988" s="2">
        <v>97719.184063925306</v>
      </c>
      <c r="AG988" s="2">
        <v>98126.638166410296</v>
      </c>
      <c r="AH988" s="2">
        <v>98237.310598110402</v>
      </c>
      <c r="AI988" s="2">
        <v>98309.232980196393</v>
      </c>
      <c r="AJ988" s="2">
        <v>103301.5524071</v>
      </c>
      <c r="AK988" s="2">
        <v>130518.16824123199</v>
      </c>
      <c r="AL988" s="2">
        <v>127778.918026176</v>
      </c>
      <c r="AM988" s="2">
        <v>140461.62654892201</v>
      </c>
      <c r="AN988" s="2">
        <v>140078.278192962</v>
      </c>
      <c r="AO988" s="2">
        <v>141360.91369798401</v>
      </c>
      <c r="AP988" s="2">
        <v>137790.205281762</v>
      </c>
    </row>
    <row r="989" spans="1:42" ht="14.5" x14ac:dyDescent="0.35">
      <c r="A989" s="2" t="s">
        <v>6765</v>
      </c>
      <c r="B989" s="2">
        <v>645.13156190422603</v>
      </c>
      <c r="C989" s="2">
        <v>1.11073333333333</v>
      </c>
      <c r="D989" s="2" t="s">
        <v>34</v>
      </c>
      <c r="E989" s="2" t="s">
        <v>6766</v>
      </c>
      <c r="F989" s="2">
        <v>257093</v>
      </c>
      <c r="G989" s="3" t="str">
        <f>HYPERLINK("http://funmeta.oebiotech.com/network/257093", "http://funmeta.oebiotech.com/network/257093")</f>
        <v>http://funmeta.oebiotech.com/network/257093</v>
      </c>
      <c r="H989" s="2" t="s">
        <v>6767</v>
      </c>
      <c r="I989" s="2"/>
      <c r="J989" s="2"/>
      <c r="K989" s="2"/>
      <c r="L989" s="2"/>
      <c r="M989" s="2"/>
      <c r="N989" s="2"/>
      <c r="O989" s="2"/>
      <c r="P989" s="2"/>
      <c r="Q989" s="2" t="s">
        <v>6768</v>
      </c>
      <c r="R989" s="2" t="s">
        <v>6769</v>
      </c>
      <c r="S989" s="2" t="s">
        <v>89</v>
      </c>
      <c r="T989" s="2" t="s">
        <v>90</v>
      </c>
      <c r="U989" s="2" t="s">
        <v>99</v>
      </c>
      <c r="V989" s="2" t="s">
        <v>59</v>
      </c>
      <c r="W989" s="2">
        <v>38.200000000000003</v>
      </c>
      <c r="X989" s="2">
        <v>0</v>
      </c>
      <c r="Y989" s="2" t="s">
        <v>394</v>
      </c>
      <c r="Z989" s="2" t="s">
        <v>6770</v>
      </c>
      <c r="AA989" s="2">
        <v>0.39120177675575002</v>
      </c>
      <c r="AB989" s="2">
        <v>0.75086964987563898</v>
      </c>
      <c r="AC989" s="2">
        <v>13801.205328059301</v>
      </c>
      <c r="AD989" s="2">
        <v>51408.327221355001</v>
      </c>
      <c r="AE989" s="2">
        <v>15297.6251357987</v>
      </c>
      <c r="AF989" s="2">
        <v>13397.526692261699</v>
      </c>
      <c r="AG989" s="2">
        <v>12902.167026937201</v>
      </c>
      <c r="AH989" s="2">
        <v>15068.0255426575</v>
      </c>
      <c r="AI989" s="2">
        <v>14322.314836600801</v>
      </c>
      <c r="AJ989" s="2">
        <v>11819.5727340998</v>
      </c>
      <c r="AK989" s="2">
        <v>55309.1433725303</v>
      </c>
      <c r="AL989" s="2">
        <v>45188.114405223299</v>
      </c>
      <c r="AM989" s="2">
        <v>48040.954150511599</v>
      </c>
      <c r="AN989" s="2">
        <v>52305.162189880197</v>
      </c>
      <c r="AO989" s="2">
        <v>48408.637903576899</v>
      </c>
      <c r="AP989" s="2">
        <v>59197.9513064079</v>
      </c>
    </row>
    <row r="990" spans="1:42" ht="14.5" x14ac:dyDescent="0.35">
      <c r="A990" s="2" t="s">
        <v>6771</v>
      </c>
      <c r="B990" s="2">
        <v>987.58984157993098</v>
      </c>
      <c r="C990" s="2">
        <v>11.442033333333301</v>
      </c>
      <c r="D990" s="2" t="s">
        <v>34</v>
      </c>
      <c r="E990" s="2" t="s">
        <v>6772</v>
      </c>
      <c r="F990" s="2">
        <v>24439</v>
      </c>
      <c r="G990" s="3" t="str">
        <f>HYPERLINK("http://funmeta.oebiotech.com/network/24439", "http://funmeta.oebiotech.com/network/24439")</f>
        <v>http://funmeta.oebiotech.com/network/24439</v>
      </c>
      <c r="H990" s="2"/>
      <c r="I990" s="2"/>
      <c r="J990" s="2" t="s">
        <v>6773</v>
      </c>
      <c r="K990" s="2"/>
      <c r="L990" s="2"/>
      <c r="M990" s="2"/>
      <c r="N990" s="2"/>
      <c r="O990" s="2">
        <v>52928177</v>
      </c>
      <c r="P990" s="2"/>
      <c r="Q990" s="2" t="s">
        <v>6774</v>
      </c>
      <c r="R990" s="2" t="s">
        <v>6775</v>
      </c>
      <c r="S990" s="2" t="s">
        <v>50</v>
      </c>
      <c r="T990" s="2" t="s">
        <v>51</v>
      </c>
      <c r="U990" s="2" t="s">
        <v>52</v>
      </c>
      <c r="V990" s="2" t="s">
        <v>59</v>
      </c>
      <c r="W990" s="2">
        <v>39.9</v>
      </c>
      <c r="X990" s="2">
        <v>12.9</v>
      </c>
      <c r="Y990" s="2" t="s">
        <v>323</v>
      </c>
      <c r="Z990" s="2" t="s">
        <v>6776</v>
      </c>
      <c r="AA990" s="2">
        <v>-3.5855525105794102</v>
      </c>
      <c r="AB990" s="2">
        <v>0.75071157054402404</v>
      </c>
      <c r="AC990" s="2">
        <v>226648.358694505</v>
      </c>
      <c r="AD990" s="2">
        <v>184720.31714984699</v>
      </c>
      <c r="AE990" s="2">
        <v>215597.52887745199</v>
      </c>
      <c r="AF990" s="2">
        <v>209825.50172079401</v>
      </c>
      <c r="AG990" s="2">
        <v>233524.37579082701</v>
      </c>
      <c r="AH990" s="2">
        <v>239591.86184447599</v>
      </c>
      <c r="AI990" s="2">
        <v>227703.016793994</v>
      </c>
      <c r="AJ990" s="2">
        <v>233647.86713948401</v>
      </c>
      <c r="AK990" s="2">
        <v>193829.910457322</v>
      </c>
      <c r="AL990" s="2">
        <v>171511.18405952401</v>
      </c>
      <c r="AM990" s="2">
        <v>202415.71139002001</v>
      </c>
      <c r="AN990" s="2">
        <v>174143.23994715</v>
      </c>
      <c r="AO990" s="2">
        <v>175573.78839235901</v>
      </c>
      <c r="AP990" s="2">
        <v>190848.06865270599</v>
      </c>
    </row>
    <row r="991" spans="1:42" ht="14.5" x14ac:dyDescent="0.35">
      <c r="A991" s="2" t="s">
        <v>6777</v>
      </c>
      <c r="B991" s="2">
        <v>489.19759214621001</v>
      </c>
      <c r="C991" s="2">
        <v>3.8614999999999999</v>
      </c>
      <c r="D991" s="2" t="s">
        <v>70</v>
      </c>
      <c r="E991" s="2" t="s">
        <v>6778</v>
      </c>
      <c r="F991" s="2">
        <v>35501</v>
      </c>
      <c r="G991" s="3" t="str">
        <f>HYPERLINK("http://funmeta.oebiotech.com/network/35501", "http://funmeta.oebiotech.com/network/35501")</f>
        <v>http://funmeta.oebiotech.com/network/35501</v>
      </c>
      <c r="H991" s="2"/>
      <c r="I991" s="2">
        <v>53369</v>
      </c>
      <c r="J991" s="2" t="s">
        <v>6779</v>
      </c>
      <c r="K991" s="2">
        <v>23758</v>
      </c>
      <c r="L991" s="2"/>
      <c r="M991" s="2"/>
      <c r="N991" s="2"/>
      <c r="O991" s="2">
        <v>56940674</v>
      </c>
      <c r="P991" s="2"/>
      <c r="Q991" s="2" t="s">
        <v>6780</v>
      </c>
      <c r="R991" s="2" t="s">
        <v>6781</v>
      </c>
      <c r="S991" s="2" t="s">
        <v>50</v>
      </c>
      <c r="T991" s="2" t="s">
        <v>201</v>
      </c>
      <c r="U991" s="2" t="s">
        <v>636</v>
      </c>
      <c r="V991" s="2" t="s">
        <v>42</v>
      </c>
      <c r="W991" s="2">
        <v>54.9</v>
      </c>
      <c r="X991" s="2">
        <v>78.099999999999994</v>
      </c>
      <c r="Y991" s="2" t="s">
        <v>408</v>
      </c>
      <c r="Z991" s="2" t="s">
        <v>6782</v>
      </c>
      <c r="AA991" s="2">
        <v>-0.35557359497993601</v>
      </c>
      <c r="AB991" s="2">
        <v>0.750581865411036</v>
      </c>
      <c r="AC991" s="2">
        <v>96544.913188739898</v>
      </c>
      <c r="AD991" s="2">
        <v>135217.887317935</v>
      </c>
      <c r="AE991" s="2">
        <v>96741.607880832598</v>
      </c>
      <c r="AF991" s="2">
        <v>104493.16206557699</v>
      </c>
      <c r="AG991" s="2">
        <v>91452.514100887201</v>
      </c>
      <c r="AH991" s="2">
        <v>92176.188643068293</v>
      </c>
      <c r="AI991" s="2">
        <v>97335.485961254104</v>
      </c>
      <c r="AJ991" s="2">
        <v>97070.520480820196</v>
      </c>
      <c r="AK991" s="2">
        <v>120079.747277093</v>
      </c>
      <c r="AL991" s="2">
        <v>138849.90396452</v>
      </c>
      <c r="AM991" s="2">
        <v>140522.74997329799</v>
      </c>
      <c r="AN991" s="2">
        <v>139642.09979656001</v>
      </c>
      <c r="AO991" s="2">
        <v>132158.62991024001</v>
      </c>
      <c r="AP991" s="2">
        <v>140054.192985898</v>
      </c>
    </row>
    <row r="992" spans="1:42" ht="14.5" x14ac:dyDescent="0.35">
      <c r="A992" s="2" t="s">
        <v>6783</v>
      </c>
      <c r="B992" s="2">
        <v>325.18400145076203</v>
      </c>
      <c r="C992" s="2">
        <v>11.9332666666667</v>
      </c>
      <c r="D992" s="2" t="s">
        <v>70</v>
      </c>
      <c r="E992" s="2" t="s">
        <v>6784</v>
      </c>
      <c r="F992" s="2">
        <v>81936</v>
      </c>
      <c r="G992" s="3" t="str">
        <f>HYPERLINK("http://funmeta.oebiotech.com/network/81936", "http://funmeta.oebiotech.com/network/81936")</f>
        <v>http://funmeta.oebiotech.com/network/81936</v>
      </c>
      <c r="H992" s="2" t="s">
        <v>6785</v>
      </c>
      <c r="I992" s="2">
        <v>324404</v>
      </c>
      <c r="J992" s="2"/>
      <c r="K992" s="2"/>
      <c r="L992" s="2"/>
      <c r="M992" s="2"/>
      <c r="N992" s="2"/>
      <c r="O992" s="2">
        <v>8485</v>
      </c>
      <c r="P992" s="2"/>
      <c r="Q992" s="2" t="s">
        <v>6786</v>
      </c>
      <c r="R992" s="2" t="s">
        <v>6787</v>
      </c>
      <c r="S992" s="2" t="s">
        <v>148</v>
      </c>
      <c r="T992" s="2" t="s">
        <v>149</v>
      </c>
      <c r="U992" s="2" t="s">
        <v>6788</v>
      </c>
      <c r="V992" s="2" t="s">
        <v>59</v>
      </c>
      <c r="W992" s="2">
        <v>45.6</v>
      </c>
      <c r="X992" s="2">
        <v>33.299999999999997</v>
      </c>
      <c r="Y992" s="2" t="s">
        <v>118</v>
      </c>
      <c r="Z992" s="2" t="s">
        <v>6789</v>
      </c>
      <c r="AA992" s="2">
        <v>-0.88272674185769995</v>
      </c>
      <c r="AB992" s="2">
        <v>0.74991219941296905</v>
      </c>
      <c r="AC992" s="2">
        <v>949927.63447125105</v>
      </c>
      <c r="AD992" s="2">
        <v>775177.39742649905</v>
      </c>
      <c r="AE992" s="2">
        <v>617809.66049810499</v>
      </c>
      <c r="AF992" s="2">
        <v>720573.99788582197</v>
      </c>
      <c r="AG992" s="2">
        <v>714278.22236500203</v>
      </c>
      <c r="AH992" s="2">
        <v>2181781.89231832</v>
      </c>
      <c r="AI992" s="2">
        <v>761458.23836947198</v>
      </c>
      <c r="AJ992" s="2">
        <v>703663.79539078497</v>
      </c>
      <c r="AK992" s="2">
        <v>519962.50915578502</v>
      </c>
      <c r="AL992" s="2">
        <v>765313.19590049004</v>
      </c>
      <c r="AM992" s="2">
        <v>816874.513318485</v>
      </c>
      <c r="AN992" s="2">
        <v>849152.30178727303</v>
      </c>
      <c r="AO992" s="2">
        <v>885957.77754733304</v>
      </c>
      <c r="AP992" s="2">
        <v>813804.08684962604</v>
      </c>
    </row>
    <row r="993" spans="1:42" ht="14.5" x14ac:dyDescent="0.35">
      <c r="A993" s="2" t="s">
        <v>6790</v>
      </c>
      <c r="B993" s="2">
        <v>349.14279463085398</v>
      </c>
      <c r="C993" s="2">
        <v>4.2619999999999996</v>
      </c>
      <c r="D993" s="2" t="s">
        <v>34</v>
      </c>
      <c r="E993" s="2" t="s">
        <v>6791</v>
      </c>
      <c r="F993" s="2">
        <v>62872</v>
      </c>
      <c r="G993" s="3" t="str">
        <f>HYPERLINK("http://funmeta.oebiotech.com/network/62872", "http://funmeta.oebiotech.com/network/62872")</f>
        <v>http://funmeta.oebiotech.com/network/62872</v>
      </c>
      <c r="H993" s="2" t="s">
        <v>6792</v>
      </c>
      <c r="I993" s="2"/>
      <c r="J993" s="2"/>
      <c r="K993" s="2"/>
      <c r="L993" s="2"/>
      <c r="M993" s="2"/>
      <c r="N993" s="2"/>
      <c r="O993" s="2">
        <v>131752690</v>
      </c>
      <c r="P993" s="2" t="s">
        <v>6793</v>
      </c>
      <c r="Q993" s="2" t="s">
        <v>6794</v>
      </c>
      <c r="R993" s="2" t="s">
        <v>6795</v>
      </c>
      <c r="S993" s="2" t="s">
        <v>148</v>
      </c>
      <c r="T993" s="2" t="s">
        <v>392</v>
      </c>
      <c r="U993" s="2" t="s">
        <v>3450</v>
      </c>
      <c r="V993" s="2" t="s">
        <v>59</v>
      </c>
      <c r="W993" s="2">
        <v>40.200000000000003</v>
      </c>
      <c r="X993" s="2">
        <v>15.1</v>
      </c>
      <c r="Y993" s="2" t="s">
        <v>141</v>
      </c>
      <c r="Z993" s="2" t="s">
        <v>6796</v>
      </c>
      <c r="AA993" s="2">
        <v>-1.7504526029122101</v>
      </c>
      <c r="AB993" s="2">
        <v>0.74985896019646803</v>
      </c>
      <c r="AC993" s="2">
        <v>67190.629564707502</v>
      </c>
      <c r="AD993" s="2">
        <v>29973.358610022799</v>
      </c>
      <c r="AE993" s="2">
        <v>66510.996285580099</v>
      </c>
      <c r="AF993" s="2">
        <v>63651.4985033837</v>
      </c>
      <c r="AG993" s="2">
        <v>66441.377935965007</v>
      </c>
      <c r="AH993" s="2">
        <v>71767.354560952997</v>
      </c>
      <c r="AI993" s="2">
        <v>67717.445603636996</v>
      </c>
      <c r="AJ993" s="2">
        <v>67055.104498726301</v>
      </c>
      <c r="AK993" s="2">
        <v>26938.630651621701</v>
      </c>
      <c r="AL993" s="2">
        <v>30146.387497117299</v>
      </c>
      <c r="AM993" s="2">
        <v>31494.226376850602</v>
      </c>
      <c r="AN993" s="2">
        <v>31605.084058144199</v>
      </c>
      <c r="AO993" s="2">
        <v>27023.863050085802</v>
      </c>
      <c r="AP993" s="2">
        <v>32631.960026317101</v>
      </c>
    </row>
    <row r="994" spans="1:42" ht="14.5" x14ac:dyDescent="0.35">
      <c r="A994" s="2" t="s">
        <v>6797</v>
      </c>
      <c r="B994" s="2">
        <v>595.27386368549003</v>
      </c>
      <c r="C994" s="2">
        <v>6.0676500000000004</v>
      </c>
      <c r="D994" s="2" t="s">
        <v>70</v>
      </c>
      <c r="E994" s="2" t="s">
        <v>6798</v>
      </c>
      <c r="F994" s="2">
        <v>44662</v>
      </c>
      <c r="G994" s="3" t="str">
        <f>HYPERLINK("http://funmeta.oebiotech.com/network/44662", "http://funmeta.oebiotech.com/network/44662")</f>
        <v>http://funmeta.oebiotech.com/network/44662</v>
      </c>
      <c r="H994" s="2"/>
      <c r="I994" s="2">
        <v>57789</v>
      </c>
      <c r="J994" s="2" t="s">
        <v>6799</v>
      </c>
      <c r="K994" s="2">
        <v>28930</v>
      </c>
      <c r="L994" s="2" t="s">
        <v>6800</v>
      </c>
      <c r="M994" s="2"/>
      <c r="N994" s="2"/>
      <c r="O994" s="2">
        <v>441838</v>
      </c>
      <c r="P994" s="2"/>
      <c r="Q994" s="2" t="s">
        <v>6801</v>
      </c>
      <c r="R994" s="2" t="s">
        <v>6802</v>
      </c>
      <c r="S994" s="2" t="s">
        <v>50</v>
      </c>
      <c r="T994" s="2" t="s">
        <v>124</v>
      </c>
      <c r="U994" s="2" t="s">
        <v>567</v>
      </c>
      <c r="V994" s="2" t="s">
        <v>59</v>
      </c>
      <c r="W994" s="2">
        <v>39.200000000000003</v>
      </c>
      <c r="X994" s="2">
        <v>7.78</v>
      </c>
      <c r="Y994" s="2" t="s">
        <v>408</v>
      </c>
      <c r="Z994" s="2" t="s">
        <v>6270</v>
      </c>
      <c r="AA994" s="2">
        <v>-3.8829970231943398</v>
      </c>
      <c r="AB994" s="2">
        <v>0.74951429635028799</v>
      </c>
      <c r="AC994" s="2">
        <v>156456.34642811801</v>
      </c>
      <c r="AD994" s="2">
        <v>117612.111909313</v>
      </c>
      <c r="AE994" s="2">
        <v>164024.647461193</v>
      </c>
      <c r="AF994" s="2">
        <v>152145.56145808499</v>
      </c>
      <c r="AG994" s="2">
        <v>153929.344609049</v>
      </c>
      <c r="AH994" s="2">
        <v>155255.49681780301</v>
      </c>
      <c r="AI994" s="2">
        <v>144606.61197734601</v>
      </c>
      <c r="AJ994" s="2">
        <v>168776.41624523301</v>
      </c>
      <c r="AK994" s="2">
        <v>115421.135421188</v>
      </c>
      <c r="AL994" s="2">
        <v>127723.576885697</v>
      </c>
      <c r="AM994" s="2">
        <v>120671.844926219</v>
      </c>
      <c r="AN994" s="2">
        <v>112280.84171374999</v>
      </c>
      <c r="AO994" s="2">
        <v>117335.589091399</v>
      </c>
      <c r="AP994" s="2">
        <v>112239.68341762701</v>
      </c>
    </row>
    <row r="995" spans="1:42" ht="14.5" x14ac:dyDescent="0.35">
      <c r="A995" s="2" t="s">
        <v>6803</v>
      </c>
      <c r="B995" s="2">
        <v>351.21407807192099</v>
      </c>
      <c r="C995" s="2">
        <v>9.6530833333333295</v>
      </c>
      <c r="D995" s="2" t="s">
        <v>34</v>
      </c>
      <c r="E995" s="2" t="s">
        <v>6804</v>
      </c>
      <c r="F995" s="2">
        <v>63754</v>
      </c>
      <c r="G995" s="3" t="str">
        <f>HYPERLINK("http://funmeta.oebiotech.com/network/63754", "http://funmeta.oebiotech.com/network/63754")</f>
        <v>http://funmeta.oebiotech.com/network/63754</v>
      </c>
      <c r="H995" s="2" t="s">
        <v>6805</v>
      </c>
      <c r="I995" s="2"/>
      <c r="J995" s="2"/>
      <c r="K995" s="2"/>
      <c r="L995" s="2"/>
      <c r="M995" s="2"/>
      <c r="N995" s="2"/>
      <c r="O995" s="2">
        <v>131752865</v>
      </c>
      <c r="P995" s="2" t="s">
        <v>6806</v>
      </c>
      <c r="Q995" s="2" t="s">
        <v>6807</v>
      </c>
      <c r="R995" s="2" t="s">
        <v>6808</v>
      </c>
      <c r="S995" s="2" t="s">
        <v>50</v>
      </c>
      <c r="T995" s="2" t="s">
        <v>229</v>
      </c>
      <c r="U995" s="2" t="s">
        <v>1360</v>
      </c>
      <c r="V995" s="2" t="s">
        <v>42</v>
      </c>
      <c r="W995" s="2">
        <v>52.1</v>
      </c>
      <c r="X995" s="2">
        <v>63.6</v>
      </c>
      <c r="Y995" s="2" t="s">
        <v>1115</v>
      </c>
      <c r="Z995" s="2" t="s">
        <v>6809</v>
      </c>
      <c r="AA995" s="2">
        <v>-0.35564666864428701</v>
      </c>
      <c r="AB995" s="2">
        <v>0.74937519355531901</v>
      </c>
      <c r="AC995" s="2">
        <v>191444.06828268099</v>
      </c>
      <c r="AD995" s="2">
        <v>232740.286770729</v>
      </c>
      <c r="AE995" s="2">
        <v>189488.77154979101</v>
      </c>
      <c r="AF995" s="2">
        <v>199088.33370701</v>
      </c>
      <c r="AG995" s="2">
        <v>196643.67239072701</v>
      </c>
      <c r="AH995" s="2">
        <v>192495.598286152</v>
      </c>
      <c r="AI995" s="2">
        <v>187674.65345518099</v>
      </c>
      <c r="AJ995" s="2">
        <v>183273.38030722499</v>
      </c>
      <c r="AK995" s="2">
        <v>257964.872008323</v>
      </c>
      <c r="AL995" s="2">
        <v>238327.57820085101</v>
      </c>
      <c r="AM995" s="2">
        <v>223372.89123592799</v>
      </c>
      <c r="AN995" s="2">
        <v>222958.40946729699</v>
      </c>
      <c r="AO995" s="2">
        <v>235747.38043882899</v>
      </c>
      <c r="AP995" s="2">
        <v>218070.589273149</v>
      </c>
    </row>
    <row r="996" spans="1:42" ht="14.5" x14ac:dyDescent="0.35">
      <c r="A996" s="2" t="s">
        <v>6810</v>
      </c>
      <c r="B996" s="2">
        <v>305.12040800557202</v>
      </c>
      <c r="C996" s="2">
        <v>0.78071666666666695</v>
      </c>
      <c r="D996" s="2" t="s">
        <v>34</v>
      </c>
      <c r="E996" s="2" t="s">
        <v>6811</v>
      </c>
      <c r="F996" s="2">
        <v>57916</v>
      </c>
      <c r="G996" s="3" t="str">
        <f>HYPERLINK("http://funmeta.oebiotech.com/network/57916", "http://funmeta.oebiotech.com/network/57916")</f>
        <v>http://funmeta.oebiotech.com/network/57916</v>
      </c>
      <c r="H996" s="2" t="s">
        <v>6812</v>
      </c>
      <c r="I996" s="2">
        <v>89495</v>
      </c>
      <c r="J996" s="2"/>
      <c r="K996" s="2"/>
      <c r="L996" s="2"/>
      <c r="M996" s="2"/>
      <c r="N996" s="2"/>
      <c r="O996" s="2">
        <v>11644921</v>
      </c>
      <c r="P996" s="2" t="s">
        <v>6813</v>
      </c>
      <c r="Q996" s="2" t="s">
        <v>6814</v>
      </c>
      <c r="R996" s="2" t="s">
        <v>6815</v>
      </c>
      <c r="S996" s="2" t="s">
        <v>79</v>
      </c>
      <c r="T996" s="2" t="s">
        <v>80</v>
      </c>
      <c r="U996" s="2" t="s">
        <v>81</v>
      </c>
      <c r="V996" s="2" t="s">
        <v>59</v>
      </c>
      <c r="W996" s="2">
        <v>40.9</v>
      </c>
      <c r="X996" s="2">
        <v>7.58</v>
      </c>
      <c r="Y996" s="2" t="s">
        <v>43</v>
      </c>
      <c r="Z996" s="2" t="s">
        <v>6816</v>
      </c>
      <c r="AA996" s="2">
        <v>-2.3780214190580401E-3</v>
      </c>
      <c r="AB996" s="2">
        <v>0.74806762731155896</v>
      </c>
      <c r="AC996" s="2">
        <v>301313.496028858</v>
      </c>
      <c r="AD996" s="2">
        <v>347148.06687414303</v>
      </c>
      <c r="AE996" s="2">
        <v>306268.99825672898</v>
      </c>
      <c r="AF996" s="2">
        <v>304233.643019574</v>
      </c>
      <c r="AG996" s="2">
        <v>303862.16063311801</v>
      </c>
      <c r="AH996" s="2">
        <v>282346.74041987199</v>
      </c>
      <c r="AI996" s="2">
        <v>323899.75154226302</v>
      </c>
      <c r="AJ996" s="2">
        <v>287269.68230159098</v>
      </c>
      <c r="AK996" s="2">
        <v>379091.78239976702</v>
      </c>
      <c r="AL996" s="2">
        <v>358511.97108315403</v>
      </c>
      <c r="AM996" s="2">
        <v>322108.93944724702</v>
      </c>
      <c r="AN996" s="2">
        <v>328029.11226359801</v>
      </c>
      <c r="AO996" s="2">
        <v>336421.061015021</v>
      </c>
      <c r="AP996" s="2">
        <v>358725.53503606899</v>
      </c>
    </row>
    <row r="997" spans="1:42" ht="14.5" x14ac:dyDescent="0.35">
      <c r="A997" s="2" t="s">
        <v>6817</v>
      </c>
      <c r="B997" s="2">
        <v>602.33279197728405</v>
      </c>
      <c r="C997" s="2">
        <v>5.3519166666666704</v>
      </c>
      <c r="D997" s="2" t="s">
        <v>34</v>
      </c>
      <c r="E997" s="2" t="s">
        <v>6818</v>
      </c>
      <c r="F997" s="2">
        <v>280390</v>
      </c>
      <c r="G997" s="3" t="str">
        <f>HYPERLINK("http://funmeta.oebiotech.com/network/280390", "http://funmeta.oebiotech.com/network/280390")</f>
        <v>http://funmeta.oebiotech.com/network/280390</v>
      </c>
      <c r="H997" s="2"/>
      <c r="I997" s="2">
        <v>73476</v>
      </c>
      <c r="J997" s="2"/>
      <c r="K997" s="2"/>
      <c r="L997" s="2" t="s">
        <v>6819</v>
      </c>
      <c r="M997" s="2"/>
      <c r="N997" s="2"/>
      <c r="O997" s="2">
        <v>6440619</v>
      </c>
      <c r="P997" s="2" t="s">
        <v>6820</v>
      </c>
      <c r="Q997" s="2" t="s">
        <v>6821</v>
      </c>
      <c r="R997" s="2" t="s">
        <v>6822</v>
      </c>
      <c r="S997" s="2" t="s">
        <v>50</v>
      </c>
      <c r="T997" s="2" t="s">
        <v>201</v>
      </c>
      <c r="U997" s="2" t="s">
        <v>241</v>
      </c>
      <c r="V997" s="2" t="s">
        <v>59</v>
      </c>
      <c r="W997" s="2">
        <v>38.6</v>
      </c>
      <c r="X997" s="2">
        <v>0</v>
      </c>
      <c r="Y997" s="2" t="s">
        <v>43</v>
      </c>
      <c r="Z997" s="2" t="s">
        <v>6823</v>
      </c>
      <c r="AA997" s="2">
        <v>0.74184708611472805</v>
      </c>
      <c r="AB997" s="2">
        <v>0.74762762671300798</v>
      </c>
      <c r="AC997" s="2">
        <v>35353.685060481403</v>
      </c>
      <c r="AD997" s="2">
        <v>73049.488462297202</v>
      </c>
      <c r="AE997" s="2">
        <v>44633.000424171398</v>
      </c>
      <c r="AF997" s="2">
        <v>30192.415286706299</v>
      </c>
      <c r="AG997" s="2">
        <v>34798.017612094503</v>
      </c>
      <c r="AH997" s="2">
        <v>29359.974465175201</v>
      </c>
      <c r="AI997" s="2">
        <v>33972.662111969199</v>
      </c>
      <c r="AJ997" s="2">
        <v>39166.0404627717</v>
      </c>
      <c r="AK997" s="2">
        <v>75091.457482260201</v>
      </c>
      <c r="AL997" s="2">
        <v>68273.674498025997</v>
      </c>
      <c r="AM997" s="2">
        <v>73293.188747821798</v>
      </c>
      <c r="AN997" s="2">
        <v>74748.575853373099</v>
      </c>
      <c r="AO997" s="2">
        <v>78347.704407519501</v>
      </c>
      <c r="AP997" s="2">
        <v>68542.3297847824</v>
      </c>
    </row>
    <row r="998" spans="1:42" ht="14.5" x14ac:dyDescent="0.35">
      <c r="A998" s="2" t="s">
        <v>6824</v>
      </c>
      <c r="B998" s="2">
        <v>309.09463830034099</v>
      </c>
      <c r="C998" s="2">
        <v>1.6840333333333299</v>
      </c>
      <c r="D998" s="2" t="s">
        <v>34</v>
      </c>
      <c r="E998" s="2" t="s">
        <v>6825</v>
      </c>
      <c r="F998" s="2">
        <v>48130</v>
      </c>
      <c r="G998" s="3" t="str">
        <f>HYPERLINK("http://funmeta.oebiotech.com/network/48130", "http://funmeta.oebiotech.com/network/48130")</f>
        <v>http://funmeta.oebiotech.com/network/48130</v>
      </c>
      <c r="H998" s="2" t="s">
        <v>6826</v>
      </c>
      <c r="I998" s="2">
        <v>6948</v>
      </c>
      <c r="J998" s="2"/>
      <c r="K998" s="2">
        <v>17814</v>
      </c>
      <c r="L998" s="2" t="s">
        <v>6827</v>
      </c>
      <c r="M998" s="2" t="s">
        <v>6828</v>
      </c>
      <c r="N998" s="2" t="s">
        <v>6829</v>
      </c>
      <c r="O998" s="2">
        <v>439503</v>
      </c>
      <c r="P998" s="2" t="s">
        <v>6830</v>
      </c>
      <c r="Q998" s="2" t="s">
        <v>6831</v>
      </c>
      <c r="R998" s="2" t="s">
        <v>6832</v>
      </c>
      <c r="S998" s="2" t="s">
        <v>79</v>
      </c>
      <c r="T998" s="2" t="s">
        <v>80</v>
      </c>
      <c r="U998" s="2" t="s">
        <v>81</v>
      </c>
      <c r="V998" s="2" t="s">
        <v>59</v>
      </c>
      <c r="W998" s="2">
        <v>41.4</v>
      </c>
      <c r="X998" s="2">
        <v>11.5</v>
      </c>
      <c r="Y998" s="2" t="s">
        <v>470</v>
      </c>
      <c r="Z998" s="2" t="s">
        <v>6089</v>
      </c>
      <c r="AA998" s="2">
        <v>0.57568380451693002</v>
      </c>
      <c r="AB998" s="2">
        <v>0.74745080368643402</v>
      </c>
      <c r="AC998" s="2">
        <v>39990.8626169122</v>
      </c>
      <c r="AD998" s="2">
        <v>76879.026786248694</v>
      </c>
      <c r="AE998" s="2">
        <v>41161.151795545302</v>
      </c>
      <c r="AF998" s="2">
        <v>39598.210935801901</v>
      </c>
      <c r="AG998" s="2">
        <v>41446.319714294201</v>
      </c>
      <c r="AH998" s="2">
        <v>37809.900207153703</v>
      </c>
      <c r="AI998" s="2">
        <v>39272.689845701301</v>
      </c>
      <c r="AJ998" s="2">
        <v>40656.903202976901</v>
      </c>
      <c r="AK998" s="2">
        <v>75545.641586246202</v>
      </c>
      <c r="AL998" s="2">
        <v>75990.597659922205</v>
      </c>
      <c r="AM998" s="2">
        <v>72650.666358600094</v>
      </c>
      <c r="AN998" s="2">
        <v>78553.3581559671</v>
      </c>
      <c r="AO998" s="2">
        <v>77915.053028858805</v>
      </c>
      <c r="AP998" s="2">
        <v>80618.843927897498</v>
      </c>
    </row>
    <row r="999" spans="1:42" ht="14.5" x14ac:dyDescent="0.35">
      <c r="A999" s="2" t="s">
        <v>6833</v>
      </c>
      <c r="B999" s="2">
        <v>409.27340337895299</v>
      </c>
      <c r="C999" s="2">
        <v>4.7862166666666699</v>
      </c>
      <c r="D999" s="2" t="s">
        <v>34</v>
      </c>
      <c r="E999" s="2" t="s">
        <v>6834</v>
      </c>
      <c r="F999" s="2">
        <v>62330</v>
      </c>
      <c r="G999" s="3" t="str">
        <f>HYPERLINK("http://funmeta.oebiotech.com/network/62330", "http://funmeta.oebiotech.com/network/62330")</f>
        <v>http://funmeta.oebiotech.com/network/62330</v>
      </c>
      <c r="H999" s="2" t="s">
        <v>6835</v>
      </c>
      <c r="I999" s="2">
        <v>93624</v>
      </c>
      <c r="J999" s="2"/>
      <c r="K999" s="2"/>
      <c r="L999" s="2"/>
      <c r="M999" s="2"/>
      <c r="N999" s="2"/>
      <c r="O999" s="2">
        <v>131752515</v>
      </c>
      <c r="P999" s="2" t="s">
        <v>6836</v>
      </c>
      <c r="Q999" s="2" t="s">
        <v>6837</v>
      </c>
      <c r="R999" s="2" t="s">
        <v>6838</v>
      </c>
      <c r="S999" s="2" t="s">
        <v>50</v>
      </c>
      <c r="T999" s="2" t="s">
        <v>201</v>
      </c>
      <c r="U999" s="2" t="s">
        <v>6839</v>
      </c>
      <c r="V999" s="2" t="s">
        <v>59</v>
      </c>
      <c r="W999" s="2">
        <v>38.700000000000003</v>
      </c>
      <c r="X999" s="2">
        <v>0</v>
      </c>
      <c r="Y999" s="2" t="s">
        <v>394</v>
      </c>
      <c r="Z999" s="2" t="s">
        <v>6840</v>
      </c>
      <c r="AA999" s="2">
        <v>-0.77906536532038795</v>
      </c>
      <c r="AB999" s="2">
        <v>0.74706031215841595</v>
      </c>
      <c r="AC999" s="2">
        <v>75918.407742675903</v>
      </c>
      <c r="AD999" s="2">
        <v>113579.095659595</v>
      </c>
      <c r="AE999" s="2">
        <v>75220.194925478499</v>
      </c>
      <c r="AF999" s="2">
        <v>81142.083345469902</v>
      </c>
      <c r="AG999" s="2">
        <v>78144.781802367303</v>
      </c>
      <c r="AH999" s="2">
        <v>73755.241702861604</v>
      </c>
      <c r="AI999" s="2">
        <v>77125.331265505301</v>
      </c>
      <c r="AJ999" s="2">
        <v>70122.8134143731</v>
      </c>
      <c r="AK999" s="2">
        <v>110967.233290423</v>
      </c>
      <c r="AL999" s="2">
        <v>122722.338183183</v>
      </c>
      <c r="AM999" s="2">
        <v>108002.038770049</v>
      </c>
      <c r="AN999" s="2">
        <v>108732.42409518801</v>
      </c>
      <c r="AO999" s="2">
        <v>116128.470548172</v>
      </c>
      <c r="AP999" s="2">
        <v>114922.069070554</v>
      </c>
    </row>
    <row r="1000" spans="1:42" ht="14.5" x14ac:dyDescent="0.35">
      <c r="A1000" s="2" t="s">
        <v>6841</v>
      </c>
      <c r="B1000" s="2">
        <v>628.43798936671806</v>
      </c>
      <c r="C1000" s="2">
        <v>12.4683666666667</v>
      </c>
      <c r="D1000" s="2" t="s">
        <v>34</v>
      </c>
      <c r="E1000" s="2" t="s">
        <v>6842</v>
      </c>
      <c r="F1000" s="2">
        <v>38913</v>
      </c>
      <c r="G1000" s="3" t="str">
        <f>HYPERLINK("http://funmeta.oebiotech.com/network/38913", "http://funmeta.oebiotech.com/network/38913")</f>
        <v>http://funmeta.oebiotech.com/network/38913</v>
      </c>
      <c r="H1000" s="2"/>
      <c r="I1000" s="2"/>
      <c r="J1000" s="2" t="s">
        <v>6843</v>
      </c>
      <c r="K1000" s="2"/>
      <c r="L1000" s="2"/>
      <c r="M1000" s="2"/>
      <c r="N1000" s="2"/>
      <c r="O1000" s="2"/>
      <c r="P1000" s="2"/>
      <c r="Q1000" s="2" t="s">
        <v>6844</v>
      </c>
      <c r="R1000" s="2" t="s">
        <v>6845</v>
      </c>
      <c r="S1000" s="2" t="s">
        <v>50</v>
      </c>
      <c r="T1000" s="2" t="s">
        <v>229</v>
      </c>
      <c r="U1000" s="2" t="s">
        <v>645</v>
      </c>
      <c r="V1000" s="2" t="s">
        <v>59</v>
      </c>
      <c r="W1000" s="2">
        <v>37.799999999999997</v>
      </c>
      <c r="X1000" s="2">
        <v>0</v>
      </c>
      <c r="Y1000" s="2" t="s">
        <v>340</v>
      </c>
      <c r="Z1000" s="2" t="s">
        <v>6846</v>
      </c>
      <c r="AA1000" s="2">
        <v>1.4182736388942701</v>
      </c>
      <c r="AB1000" s="2">
        <v>0.74698804400303698</v>
      </c>
      <c r="AC1000" s="2">
        <v>11130.0772198376</v>
      </c>
      <c r="AD1000" s="2">
        <v>48579.981352647599</v>
      </c>
      <c r="AE1000" s="2">
        <v>10973.997073021001</v>
      </c>
      <c r="AF1000" s="2">
        <v>11122.968871557399</v>
      </c>
      <c r="AG1000" s="2">
        <v>12383.2729827782</v>
      </c>
      <c r="AH1000" s="2">
        <v>12643.324293908099</v>
      </c>
      <c r="AI1000" s="2">
        <v>9662.0657888054393</v>
      </c>
      <c r="AJ1000" s="2">
        <v>9994.8343089555092</v>
      </c>
      <c r="AK1000" s="2">
        <v>48880.824850532801</v>
      </c>
      <c r="AL1000" s="2">
        <v>41988.596778289197</v>
      </c>
      <c r="AM1000" s="2">
        <v>50838.9384354672</v>
      </c>
      <c r="AN1000" s="2">
        <v>45932.811508840001</v>
      </c>
      <c r="AO1000" s="2">
        <v>44646.179013077002</v>
      </c>
      <c r="AP1000" s="2">
        <v>59192.537529679197</v>
      </c>
    </row>
    <row r="1001" spans="1:42" ht="14.5" x14ac:dyDescent="0.35">
      <c r="A1001" s="2" t="s">
        <v>6847</v>
      </c>
      <c r="B1001" s="2">
        <v>363.28641350156698</v>
      </c>
      <c r="C1001" s="2">
        <v>11.4614333333333</v>
      </c>
      <c r="D1001" s="2" t="s">
        <v>34</v>
      </c>
      <c r="E1001" s="2" t="s">
        <v>6848</v>
      </c>
      <c r="F1001" s="2">
        <v>2138</v>
      </c>
      <c r="G1001" s="3" t="str">
        <f>HYPERLINK("http://funmeta.oebiotech.com/network/2138", "http://funmeta.oebiotech.com/network/2138")</f>
        <v>http://funmeta.oebiotech.com/network/2138</v>
      </c>
      <c r="H1001" s="2"/>
      <c r="I1001" s="2">
        <v>74775</v>
      </c>
      <c r="J1001" s="2" t="s">
        <v>6849</v>
      </c>
      <c r="K1001" s="2"/>
      <c r="L1001" s="2"/>
      <c r="M1001" s="2"/>
      <c r="N1001" s="2"/>
      <c r="O1001" s="2">
        <v>5312925</v>
      </c>
      <c r="P1001" s="2"/>
      <c r="Q1001" s="2" t="s">
        <v>6850</v>
      </c>
      <c r="R1001" s="2" t="s">
        <v>6851</v>
      </c>
      <c r="S1001" s="2" t="s">
        <v>50</v>
      </c>
      <c r="T1001" s="2" t="s">
        <v>229</v>
      </c>
      <c r="U1001" s="2" t="s">
        <v>433</v>
      </c>
      <c r="V1001" s="2" t="s">
        <v>59</v>
      </c>
      <c r="W1001" s="2">
        <v>43.5</v>
      </c>
      <c r="X1001" s="2">
        <v>22.9</v>
      </c>
      <c r="Y1001" s="2" t="s">
        <v>1781</v>
      </c>
      <c r="Z1001" s="2" t="s">
        <v>6852</v>
      </c>
      <c r="AA1001" s="2">
        <v>-1.6230489951710101</v>
      </c>
      <c r="AB1001" s="2">
        <v>0.746832830557837</v>
      </c>
      <c r="AC1001" s="2">
        <v>270644.65273725899</v>
      </c>
      <c r="AD1001" s="2">
        <v>310862.81653235998</v>
      </c>
      <c r="AE1001" s="2">
        <v>289446.10980210197</v>
      </c>
      <c r="AF1001" s="2">
        <v>274716.67105393298</v>
      </c>
      <c r="AG1001" s="2">
        <v>266437.572691195</v>
      </c>
      <c r="AH1001" s="2">
        <v>263063.88507282099</v>
      </c>
      <c r="AI1001" s="2">
        <v>270525.05646368</v>
      </c>
      <c r="AJ1001" s="2">
        <v>259678.62133982099</v>
      </c>
      <c r="AK1001" s="2">
        <v>326691.81992680498</v>
      </c>
      <c r="AL1001" s="2">
        <v>308258.04905758699</v>
      </c>
      <c r="AM1001" s="2">
        <v>301835.88687679998</v>
      </c>
      <c r="AN1001" s="2">
        <v>316742.01863604202</v>
      </c>
      <c r="AO1001" s="2">
        <v>305949.81156835897</v>
      </c>
      <c r="AP1001" s="2">
        <v>305699.31312856602</v>
      </c>
    </row>
    <row r="1002" spans="1:42" ht="14.5" x14ac:dyDescent="0.35">
      <c r="A1002" s="2" t="s">
        <v>6853</v>
      </c>
      <c r="B1002" s="2">
        <v>875.47464997049303</v>
      </c>
      <c r="C1002" s="2">
        <v>10.455550000000001</v>
      </c>
      <c r="D1002" s="2" t="s">
        <v>34</v>
      </c>
      <c r="E1002" s="2" t="s">
        <v>6854</v>
      </c>
      <c r="F1002" s="2">
        <v>57714</v>
      </c>
      <c r="G1002" s="3" t="str">
        <f>HYPERLINK("http://funmeta.oebiotech.com/network/57714", "http://funmeta.oebiotech.com/network/57714")</f>
        <v>http://funmeta.oebiotech.com/network/57714</v>
      </c>
      <c r="H1002" s="2" t="s">
        <v>6855</v>
      </c>
      <c r="I1002" s="2"/>
      <c r="J1002" s="2"/>
      <c r="K1002" s="2"/>
      <c r="L1002" s="2"/>
      <c r="M1002" s="2"/>
      <c r="N1002" s="2"/>
      <c r="O1002" s="2">
        <v>14353730</v>
      </c>
      <c r="P1002" s="2" t="s">
        <v>6856</v>
      </c>
      <c r="Q1002" s="2" t="s">
        <v>6857</v>
      </c>
      <c r="R1002" s="2" t="s">
        <v>6858</v>
      </c>
      <c r="S1002" s="2" t="s">
        <v>115</v>
      </c>
      <c r="T1002" s="2" t="s">
        <v>1384</v>
      </c>
      <c r="U1002" s="2" t="s">
        <v>6859</v>
      </c>
      <c r="V1002" s="2" t="s">
        <v>59</v>
      </c>
      <c r="W1002" s="2">
        <v>38.700000000000003</v>
      </c>
      <c r="X1002" s="2">
        <v>15.1</v>
      </c>
      <c r="Y1002" s="2" t="s">
        <v>266</v>
      </c>
      <c r="Z1002" s="2" t="s">
        <v>6860</v>
      </c>
      <c r="AA1002" s="2">
        <v>-4.6862590023812398</v>
      </c>
      <c r="AB1002" s="2">
        <v>0.74540048143967097</v>
      </c>
      <c r="AC1002" s="2">
        <v>92311.862845220996</v>
      </c>
      <c r="AD1002" s="2">
        <v>133951.69419266499</v>
      </c>
      <c r="AE1002" s="2">
        <v>88855.515159524395</v>
      </c>
      <c r="AF1002" s="2">
        <v>80694.675048500096</v>
      </c>
      <c r="AG1002" s="2">
        <v>86934.810089294901</v>
      </c>
      <c r="AH1002" s="2">
        <v>100684.53458131</v>
      </c>
      <c r="AI1002" s="2">
        <v>99513.136171600796</v>
      </c>
      <c r="AJ1002" s="2">
        <v>97188.506021095993</v>
      </c>
      <c r="AK1002" s="2">
        <v>165628.22249382801</v>
      </c>
      <c r="AL1002" s="2">
        <v>125057.92214645199</v>
      </c>
      <c r="AM1002" s="2">
        <v>125536.881560568</v>
      </c>
      <c r="AN1002" s="2">
        <v>123376.482105501</v>
      </c>
      <c r="AO1002" s="2">
        <v>134942.55473916401</v>
      </c>
      <c r="AP1002" s="2">
        <v>129168.102110476</v>
      </c>
    </row>
    <row r="1003" spans="1:42" ht="14.5" x14ac:dyDescent="0.35">
      <c r="A1003" s="2" t="s">
        <v>6861</v>
      </c>
      <c r="B1003" s="2">
        <v>605.14706750341702</v>
      </c>
      <c r="C1003" s="2">
        <v>4.3961833333333296</v>
      </c>
      <c r="D1003" s="2" t="s">
        <v>34</v>
      </c>
      <c r="E1003" s="2" t="s">
        <v>6862</v>
      </c>
      <c r="F1003" s="2">
        <v>58566</v>
      </c>
      <c r="G1003" s="3" t="str">
        <f>HYPERLINK("http://funmeta.oebiotech.com/network/58566", "http://funmeta.oebiotech.com/network/58566")</f>
        <v>http://funmeta.oebiotech.com/network/58566</v>
      </c>
      <c r="H1003" s="2" t="s">
        <v>6863</v>
      </c>
      <c r="I1003" s="2"/>
      <c r="J1003" s="2"/>
      <c r="K1003" s="2"/>
      <c r="L1003" s="2"/>
      <c r="M1003" s="2"/>
      <c r="N1003" s="2"/>
      <c r="O1003" s="2">
        <v>85236943</v>
      </c>
      <c r="P1003" s="2"/>
      <c r="Q1003" s="2" t="s">
        <v>6864</v>
      </c>
      <c r="R1003" s="2" t="s">
        <v>6865</v>
      </c>
      <c r="S1003" s="2" t="s">
        <v>491</v>
      </c>
      <c r="T1003" s="2" t="s">
        <v>1341</v>
      </c>
      <c r="U1003" s="2" t="s">
        <v>6866</v>
      </c>
      <c r="V1003" s="2" t="s">
        <v>59</v>
      </c>
      <c r="W1003" s="2">
        <v>38.6</v>
      </c>
      <c r="X1003" s="2">
        <v>0</v>
      </c>
      <c r="Y1003" s="2" t="s">
        <v>250</v>
      </c>
      <c r="Z1003" s="2" t="s">
        <v>6867</v>
      </c>
      <c r="AA1003" s="2">
        <v>-1.0708975565646801</v>
      </c>
      <c r="AB1003" s="2">
        <v>0.74499961896968903</v>
      </c>
      <c r="AC1003" s="2">
        <v>39093.807966378103</v>
      </c>
      <c r="AD1003" s="2">
        <v>2510.27062335647</v>
      </c>
      <c r="AE1003" s="2">
        <v>39828.823698214801</v>
      </c>
      <c r="AF1003" s="2">
        <v>36153.888217990199</v>
      </c>
      <c r="AG1003" s="2">
        <v>39839.2431208165</v>
      </c>
      <c r="AH1003" s="2">
        <v>36610.217477946702</v>
      </c>
      <c r="AI1003" s="2">
        <v>38797.235888141302</v>
      </c>
      <c r="AJ1003" s="2">
        <v>43333.439395159003</v>
      </c>
      <c r="AK1003" s="2">
        <v>1962.42443995289</v>
      </c>
      <c r="AL1003" s="2">
        <v>3627.2830095785998</v>
      </c>
      <c r="AM1003" s="2">
        <v>1574.4988245765701</v>
      </c>
      <c r="AN1003" s="2">
        <v>2086.46031790196</v>
      </c>
      <c r="AO1003" s="2">
        <v>3545.5400857897998</v>
      </c>
      <c r="AP1003" s="2">
        <v>2265.41706233898</v>
      </c>
    </row>
    <row r="1004" spans="1:42" ht="14.5" x14ac:dyDescent="0.35">
      <c r="A1004" s="2" t="s">
        <v>6868</v>
      </c>
      <c r="B1004" s="2">
        <v>429.17221160254797</v>
      </c>
      <c r="C1004" s="2">
        <v>4.3289999999999997</v>
      </c>
      <c r="D1004" s="2" t="s">
        <v>34</v>
      </c>
      <c r="E1004" s="2" t="s">
        <v>6869</v>
      </c>
      <c r="F1004" s="2">
        <v>280518</v>
      </c>
      <c r="G1004" s="3" t="str">
        <f>HYPERLINK("http://funmeta.oebiotech.com/network/280518", "http://funmeta.oebiotech.com/network/280518")</f>
        <v>http://funmeta.oebiotech.com/network/280518</v>
      </c>
      <c r="H1004" s="2"/>
      <c r="I1004" s="2">
        <v>85001</v>
      </c>
      <c r="J1004" s="2"/>
      <c r="K1004" s="2"/>
      <c r="L1004" s="2"/>
      <c r="M1004" s="2"/>
      <c r="N1004" s="2"/>
      <c r="O1004" s="2">
        <v>6440755</v>
      </c>
      <c r="P1004" s="2" t="s">
        <v>6870</v>
      </c>
      <c r="Q1004" s="2" t="s">
        <v>6871</v>
      </c>
      <c r="R1004" s="2" t="s">
        <v>6872</v>
      </c>
      <c r="S1004" s="2" t="s">
        <v>50</v>
      </c>
      <c r="T1004" s="2" t="s">
        <v>229</v>
      </c>
      <c r="U1004" s="2" t="s">
        <v>230</v>
      </c>
      <c r="V1004" s="2" t="s">
        <v>59</v>
      </c>
      <c r="W1004" s="2">
        <v>36.5</v>
      </c>
      <c r="X1004" s="2">
        <v>0</v>
      </c>
      <c r="Y1004" s="2" t="s">
        <v>394</v>
      </c>
      <c r="Z1004" s="2" t="s">
        <v>6873</v>
      </c>
      <c r="AA1004" s="2">
        <v>-7.7350972076972804</v>
      </c>
      <c r="AB1004" s="2">
        <v>0.74487955472170597</v>
      </c>
      <c r="AC1004" s="2">
        <v>251238.158136538</v>
      </c>
      <c r="AD1004" s="2">
        <v>210453.761963186</v>
      </c>
      <c r="AE1004" s="2">
        <v>260817.852963994</v>
      </c>
      <c r="AF1004" s="2">
        <v>259888.61048880301</v>
      </c>
      <c r="AG1004" s="2">
        <v>263043.12981992803</v>
      </c>
      <c r="AH1004" s="2">
        <v>223142.46269901001</v>
      </c>
      <c r="AI1004" s="2">
        <v>245639.36080444299</v>
      </c>
      <c r="AJ1004" s="2">
        <v>254897.53204305199</v>
      </c>
      <c r="AK1004" s="2">
        <v>211022.89494406199</v>
      </c>
      <c r="AL1004" s="2">
        <v>216867.19842632601</v>
      </c>
      <c r="AM1004" s="2">
        <v>206796.67891550099</v>
      </c>
      <c r="AN1004" s="2">
        <v>206872.86191464801</v>
      </c>
      <c r="AO1004" s="2">
        <v>202138.21206328599</v>
      </c>
      <c r="AP1004" s="2">
        <v>219024.72551529401</v>
      </c>
    </row>
    <row r="1005" spans="1:42" ht="14.5" x14ac:dyDescent="0.35">
      <c r="A1005" s="2" t="s">
        <v>6874</v>
      </c>
      <c r="B1005" s="2">
        <v>181.08599890847699</v>
      </c>
      <c r="C1005" s="2">
        <v>4.5776166666666702</v>
      </c>
      <c r="D1005" s="2" t="s">
        <v>70</v>
      </c>
      <c r="E1005" s="2" t="s">
        <v>6875</v>
      </c>
      <c r="F1005" s="2">
        <v>257775</v>
      </c>
      <c r="G1005" s="3" t="str">
        <f>HYPERLINK("http://funmeta.oebiotech.com/network/257775", "http://funmeta.oebiotech.com/network/257775")</f>
        <v>http://funmeta.oebiotech.com/network/257775</v>
      </c>
      <c r="H1005" s="2"/>
      <c r="I1005" s="2">
        <v>540</v>
      </c>
      <c r="J1005" s="2"/>
      <c r="K1005" s="2"/>
      <c r="L1005" s="2" t="s">
        <v>6876</v>
      </c>
      <c r="M1005" s="2"/>
      <c r="N1005" s="2"/>
      <c r="O1005" s="2">
        <v>135398738</v>
      </c>
      <c r="P1005" s="2" t="s">
        <v>6877</v>
      </c>
      <c r="Q1005" s="2" t="s">
        <v>6878</v>
      </c>
      <c r="R1005" s="2" t="s">
        <v>6879</v>
      </c>
      <c r="S1005" s="2" t="s">
        <v>89</v>
      </c>
      <c r="T1005" s="2" t="s">
        <v>90</v>
      </c>
      <c r="U1005" s="2" t="s">
        <v>401</v>
      </c>
      <c r="V1005" s="2" t="s">
        <v>59</v>
      </c>
      <c r="W1005" s="2">
        <v>39.700000000000003</v>
      </c>
      <c r="X1005" s="2">
        <v>9.8800000000000008</v>
      </c>
      <c r="Y1005" s="2" t="s">
        <v>118</v>
      </c>
      <c r="Z1005" s="2" t="s">
        <v>6880</v>
      </c>
      <c r="AA1005" s="2">
        <v>9.1512806476499797</v>
      </c>
      <c r="AB1005" s="2">
        <v>0.744614180834961</v>
      </c>
      <c r="AC1005" s="2">
        <v>18316.201064753699</v>
      </c>
      <c r="AD1005" s="2">
        <v>57632.283281165102</v>
      </c>
      <c r="AE1005" s="2">
        <v>13139.7022973606</v>
      </c>
      <c r="AF1005" s="2">
        <v>17357.0645815647</v>
      </c>
      <c r="AG1005" s="2">
        <v>26096.0934872955</v>
      </c>
      <c r="AH1005" s="2">
        <v>15116.870312490601</v>
      </c>
      <c r="AI1005" s="2">
        <v>17674.113494897101</v>
      </c>
      <c r="AJ1005" s="2">
        <v>20513.362214913799</v>
      </c>
      <c r="AK1005" s="2">
        <v>61869.027176086303</v>
      </c>
      <c r="AL1005" s="2">
        <v>78590.511705205994</v>
      </c>
      <c r="AM1005" s="2">
        <v>49006.597858621899</v>
      </c>
      <c r="AN1005" s="2">
        <v>51373.1356741903</v>
      </c>
      <c r="AO1005" s="2">
        <v>53807.111258761397</v>
      </c>
      <c r="AP1005" s="2">
        <v>51147.316014124503</v>
      </c>
    </row>
    <row r="1006" spans="1:42" ht="14.5" x14ac:dyDescent="0.35">
      <c r="A1006" s="2" t="s">
        <v>6881</v>
      </c>
      <c r="B1006" s="2">
        <v>661.28054446191504</v>
      </c>
      <c r="C1006" s="2">
        <v>4.7931333333333299</v>
      </c>
      <c r="D1006" s="2" t="s">
        <v>70</v>
      </c>
      <c r="E1006" s="2" t="s">
        <v>6882</v>
      </c>
      <c r="F1006" s="2">
        <v>266586</v>
      </c>
      <c r="G1006" s="3" t="str">
        <f>HYPERLINK("http://funmeta.oebiotech.com/network/266586", "http://funmeta.oebiotech.com/network/266586")</f>
        <v>http://funmeta.oebiotech.com/network/266586</v>
      </c>
      <c r="H1006" s="2"/>
      <c r="I1006" s="2">
        <v>43630</v>
      </c>
      <c r="J1006" s="2"/>
      <c r="K1006" s="2"/>
      <c r="L1006" s="2" t="s">
        <v>6883</v>
      </c>
      <c r="M1006" s="2"/>
      <c r="N1006" s="2"/>
      <c r="O1006" s="2">
        <v>25092366</v>
      </c>
      <c r="P1006" s="2" t="s">
        <v>6884</v>
      </c>
      <c r="Q1006" s="2" t="s">
        <v>6885</v>
      </c>
      <c r="R1006" s="2" t="s">
        <v>6886</v>
      </c>
      <c r="S1006" s="2" t="s">
        <v>39</v>
      </c>
      <c r="T1006" s="2" t="s">
        <v>5038</v>
      </c>
      <c r="U1006" s="2" t="s">
        <v>6887</v>
      </c>
      <c r="V1006" s="2" t="s">
        <v>59</v>
      </c>
      <c r="W1006" s="2">
        <v>36.9</v>
      </c>
      <c r="X1006" s="2">
        <v>0</v>
      </c>
      <c r="Y1006" s="2" t="s">
        <v>560</v>
      </c>
      <c r="Z1006" s="2" t="s">
        <v>6888</v>
      </c>
      <c r="AA1006" s="2">
        <v>5.8514807748873503</v>
      </c>
      <c r="AB1006" s="2">
        <v>0.74251994044966396</v>
      </c>
      <c r="AC1006" s="2">
        <v>97249.372660059496</v>
      </c>
      <c r="AD1006" s="2">
        <v>137183.69290651899</v>
      </c>
      <c r="AE1006" s="2">
        <v>99475.284077963501</v>
      </c>
      <c r="AF1006" s="2">
        <v>86174.770100914306</v>
      </c>
      <c r="AG1006" s="2">
        <v>102820.64933984001</v>
      </c>
      <c r="AH1006" s="2">
        <v>103402.02890373</v>
      </c>
      <c r="AI1006" s="2">
        <v>94453.508458356795</v>
      </c>
      <c r="AJ1006" s="2">
        <v>97169.995079552493</v>
      </c>
      <c r="AK1006" s="2">
        <v>137603.08383661101</v>
      </c>
      <c r="AL1006" s="2">
        <v>157854.90702551301</v>
      </c>
      <c r="AM1006" s="2">
        <v>123966.51660200099</v>
      </c>
      <c r="AN1006" s="2">
        <v>129797.118053196</v>
      </c>
      <c r="AO1006" s="2">
        <v>145254.18866898899</v>
      </c>
      <c r="AP1006" s="2">
        <v>128626.34325280201</v>
      </c>
    </row>
    <row r="1007" spans="1:42" ht="14.5" x14ac:dyDescent="0.35">
      <c r="A1007" s="2" t="s">
        <v>6889</v>
      </c>
      <c r="B1007" s="2">
        <v>555.16953892051697</v>
      </c>
      <c r="C1007" s="2">
        <v>4.4526833333333302</v>
      </c>
      <c r="D1007" s="2" t="s">
        <v>70</v>
      </c>
      <c r="E1007" s="2" t="s">
        <v>6890</v>
      </c>
      <c r="F1007" s="2">
        <v>28964</v>
      </c>
      <c r="G1007" s="3" t="str">
        <f>HYPERLINK("http://funmeta.oebiotech.com/network/28964", "http://funmeta.oebiotech.com/network/28964")</f>
        <v>http://funmeta.oebiotech.com/network/28964</v>
      </c>
      <c r="H1007" s="2"/>
      <c r="I1007" s="2"/>
      <c r="J1007" s="2" t="s">
        <v>6891</v>
      </c>
      <c r="K1007" s="2"/>
      <c r="L1007" s="2"/>
      <c r="M1007" s="2"/>
      <c r="N1007" s="2"/>
      <c r="O1007" s="2">
        <v>14757896</v>
      </c>
      <c r="P1007" s="2"/>
      <c r="Q1007" s="2" t="s">
        <v>6892</v>
      </c>
      <c r="R1007" s="2" t="s">
        <v>6893</v>
      </c>
      <c r="S1007" s="2" t="s">
        <v>115</v>
      </c>
      <c r="T1007" s="2" t="s">
        <v>139</v>
      </c>
      <c r="U1007" s="2" t="s">
        <v>140</v>
      </c>
      <c r="V1007" s="2" t="s">
        <v>59</v>
      </c>
      <c r="W1007" s="2">
        <v>44.9</v>
      </c>
      <c r="X1007" s="2">
        <v>36.4</v>
      </c>
      <c r="Y1007" s="2" t="s">
        <v>408</v>
      </c>
      <c r="Z1007" s="2" t="s">
        <v>6894</v>
      </c>
      <c r="AA1007" s="2">
        <v>-4.6853575159239904</v>
      </c>
      <c r="AB1007" s="2">
        <v>0.74211135103096004</v>
      </c>
      <c r="AC1007" s="2">
        <v>95098.881830596394</v>
      </c>
      <c r="AD1007" s="2">
        <v>135818.57166192101</v>
      </c>
      <c r="AE1007" s="2">
        <v>87876.916967777302</v>
      </c>
      <c r="AF1007" s="2">
        <v>111406.73188808101</v>
      </c>
      <c r="AG1007" s="2">
        <v>87672.417189560496</v>
      </c>
      <c r="AH1007" s="2">
        <v>85877.688715089695</v>
      </c>
      <c r="AI1007" s="2">
        <v>107460.21435346401</v>
      </c>
      <c r="AJ1007" s="2">
        <v>90299.321869605803</v>
      </c>
      <c r="AK1007" s="2">
        <v>145173.688597826</v>
      </c>
      <c r="AL1007" s="2">
        <v>120960.669244138</v>
      </c>
      <c r="AM1007" s="2">
        <v>140276.561915706</v>
      </c>
      <c r="AN1007" s="2">
        <v>121086.985060366</v>
      </c>
      <c r="AO1007" s="2">
        <v>137632.36601781301</v>
      </c>
      <c r="AP1007" s="2">
        <v>149781.15913567599</v>
      </c>
    </row>
    <row r="1008" spans="1:42" ht="14.5" x14ac:dyDescent="0.35">
      <c r="A1008" s="2" t="s">
        <v>6895</v>
      </c>
      <c r="B1008" s="2">
        <v>701.30238079549395</v>
      </c>
      <c r="C1008" s="2">
        <v>5.5993333333333304</v>
      </c>
      <c r="D1008" s="2" t="s">
        <v>70</v>
      </c>
      <c r="E1008" s="2" t="s">
        <v>6896</v>
      </c>
      <c r="F1008" s="2">
        <v>55204</v>
      </c>
      <c r="G1008" s="3" t="str">
        <f>HYPERLINK("http://funmeta.oebiotech.com/network/55204", "http://funmeta.oebiotech.com/network/55204")</f>
        <v>http://funmeta.oebiotech.com/network/55204</v>
      </c>
      <c r="H1008" s="2" t="s">
        <v>6897</v>
      </c>
      <c r="I1008" s="2">
        <v>86937</v>
      </c>
      <c r="J1008" s="2"/>
      <c r="K1008" s="2">
        <v>165835</v>
      </c>
      <c r="L1008" s="2"/>
      <c r="M1008" s="2"/>
      <c r="N1008" s="2"/>
      <c r="O1008" s="2">
        <v>5375662</v>
      </c>
      <c r="P1008" s="2" t="s">
        <v>6898</v>
      </c>
      <c r="Q1008" s="2" t="s">
        <v>6899</v>
      </c>
      <c r="R1008" s="2" t="s">
        <v>6900</v>
      </c>
      <c r="S1008" s="2" t="s">
        <v>1444</v>
      </c>
      <c r="T1008" s="2" t="s">
        <v>3595</v>
      </c>
      <c r="U1008" s="2" t="s">
        <v>41</v>
      </c>
      <c r="V1008" s="2" t="s">
        <v>42</v>
      </c>
      <c r="W1008" s="2">
        <v>47.4</v>
      </c>
      <c r="X1008" s="2">
        <v>54.8</v>
      </c>
      <c r="Y1008" s="2" t="s">
        <v>560</v>
      </c>
      <c r="Z1008" s="2" t="s">
        <v>6901</v>
      </c>
      <c r="AA1008" s="2">
        <v>1.59422375561709</v>
      </c>
      <c r="AB1008" s="2">
        <v>0.74139272720648297</v>
      </c>
      <c r="AC1008" s="2">
        <v>1156795.3281352399</v>
      </c>
      <c r="AD1008" s="2">
        <v>1106483.92177787</v>
      </c>
      <c r="AE1008" s="2">
        <v>1186326.0209234401</v>
      </c>
      <c r="AF1008" s="2">
        <v>1137261.9532737399</v>
      </c>
      <c r="AG1008" s="2">
        <v>1113555.5089954601</v>
      </c>
      <c r="AH1008" s="2">
        <v>1144334.8480700799</v>
      </c>
      <c r="AI1008" s="2">
        <v>1166371.8038506401</v>
      </c>
      <c r="AJ1008" s="2">
        <v>1192921.8336980599</v>
      </c>
      <c r="AK1008" s="2">
        <v>1094863.3778343301</v>
      </c>
      <c r="AL1008" s="2">
        <v>1147276.5804193399</v>
      </c>
      <c r="AM1008" s="2">
        <v>1107879.5391375099</v>
      </c>
      <c r="AN1008" s="2">
        <v>1079960.31361196</v>
      </c>
      <c r="AO1008" s="2">
        <v>1103418.3795260801</v>
      </c>
      <c r="AP1008" s="2">
        <v>1105505.34013801</v>
      </c>
    </row>
    <row r="1009" spans="1:42" ht="14.5" x14ac:dyDescent="0.35">
      <c r="A1009" s="2" t="s">
        <v>6902</v>
      </c>
      <c r="B1009" s="2">
        <v>393.16901822180301</v>
      </c>
      <c r="C1009" s="2">
        <v>6.13035</v>
      </c>
      <c r="D1009" s="2" t="s">
        <v>34</v>
      </c>
      <c r="E1009" s="2" t="s">
        <v>6903</v>
      </c>
      <c r="F1009" s="2">
        <v>54843</v>
      </c>
      <c r="G1009" s="3" t="str">
        <f>HYPERLINK("http://funmeta.oebiotech.com/network/54843", "http://funmeta.oebiotech.com/network/54843")</f>
        <v>http://funmeta.oebiotech.com/network/54843</v>
      </c>
      <c r="H1009" s="2" t="s">
        <v>6904</v>
      </c>
      <c r="I1009" s="2">
        <v>68112</v>
      </c>
      <c r="J1009" s="2"/>
      <c r="K1009" s="2">
        <v>636</v>
      </c>
      <c r="L1009" s="2" t="s">
        <v>6905</v>
      </c>
      <c r="M1009" s="2"/>
      <c r="N1009" s="2"/>
      <c r="O1009" s="2">
        <v>5281641</v>
      </c>
      <c r="P1009" s="2" t="s">
        <v>6906</v>
      </c>
      <c r="Q1009" s="2" t="s">
        <v>6907</v>
      </c>
      <c r="R1009" s="2" t="s">
        <v>6908</v>
      </c>
      <c r="S1009" s="2" t="s">
        <v>491</v>
      </c>
      <c r="T1009" s="2" t="s">
        <v>2251</v>
      </c>
      <c r="U1009" s="2" t="s">
        <v>2252</v>
      </c>
      <c r="V1009" s="2" t="s">
        <v>59</v>
      </c>
      <c r="W1009" s="2">
        <v>37.9</v>
      </c>
      <c r="X1009" s="2">
        <v>0</v>
      </c>
      <c r="Y1009" s="2" t="s">
        <v>266</v>
      </c>
      <c r="Z1009" s="2" t="s">
        <v>6909</v>
      </c>
      <c r="AA1009" s="2">
        <v>-1.54100701837669</v>
      </c>
      <c r="AB1009" s="2">
        <v>0.741135744253972</v>
      </c>
      <c r="AC1009" s="2">
        <v>70958.191455058899</v>
      </c>
      <c r="AD1009" s="2">
        <v>34203.114619965701</v>
      </c>
      <c r="AE1009" s="2">
        <v>69829.103985520604</v>
      </c>
      <c r="AF1009" s="2">
        <v>65733.441264391804</v>
      </c>
      <c r="AG1009" s="2">
        <v>74698.4461304047</v>
      </c>
      <c r="AH1009" s="2">
        <v>69508.241590888196</v>
      </c>
      <c r="AI1009" s="2">
        <v>69146.755577411794</v>
      </c>
      <c r="AJ1009" s="2">
        <v>76833.160181736297</v>
      </c>
      <c r="AK1009" s="2">
        <v>32739.4504250721</v>
      </c>
      <c r="AL1009" s="2">
        <v>32685.835218061799</v>
      </c>
      <c r="AM1009" s="2">
        <v>38430.8647015631</v>
      </c>
      <c r="AN1009" s="2">
        <v>39447.223717121196</v>
      </c>
      <c r="AO1009" s="2">
        <v>29696.301357950699</v>
      </c>
      <c r="AP1009" s="2">
        <v>32219.012300025101</v>
      </c>
    </row>
    <row r="1010" spans="1:42" ht="14.5" x14ac:dyDescent="0.35">
      <c r="A1010" s="2" t="s">
        <v>6910</v>
      </c>
      <c r="B1010" s="2">
        <v>215.05238247441201</v>
      </c>
      <c r="C1010" s="2">
        <v>1.06171666666667</v>
      </c>
      <c r="D1010" s="2" t="s">
        <v>34</v>
      </c>
      <c r="E1010" s="2" t="s">
        <v>6911</v>
      </c>
      <c r="F1010" s="2">
        <v>255315</v>
      </c>
      <c r="G1010" s="3" t="str">
        <f>HYPERLINK("http://funmeta.oebiotech.com/network/255315", "http://funmeta.oebiotech.com/network/255315")</f>
        <v>http://funmeta.oebiotech.com/network/255315</v>
      </c>
      <c r="H1010" s="2" t="s">
        <v>6912</v>
      </c>
      <c r="I1010" s="2"/>
      <c r="J1010" s="2"/>
      <c r="K1010" s="2"/>
      <c r="L1010" s="2"/>
      <c r="M1010" s="2"/>
      <c r="N1010" s="2"/>
      <c r="O1010" s="2"/>
      <c r="P1010" s="2"/>
      <c r="Q1010" s="2" t="s">
        <v>6913</v>
      </c>
      <c r="R1010" s="2" t="s">
        <v>6914</v>
      </c>
      <c r="S1010" s="2" t="s">
        <v>89</v>
      </c>
      <c r="T1010" s="2" t="s">
        <v>4218</v>
      </c>
      <c r="U1010" s="2" t="s">
        <v>4219</v>
      </c>
      <c r="V1010" s="2" t="s">
        <v>59</v>
      </c>
      <c r="W1010" s="2">
        <v>40.1</v>
      </c>
      <c r="X1010" s="2">
        <v>4.0999999999999996</v>
      </c>
      <c r="Y1010" s="2" t="s">
        <v>323</v>
      </c>
      <c r="Z1010" s="2" t="s">
        <v>6915</v>
      </c>
      <c r="AA1010" s="2">
        <v>-1.1782973875139899</v>
      </c>
      <c r="AB1010" s="2">
        <v>0.74073235713535701</v>
      </c>
      <c r="AC1010" s="2">
        <v>89493.3223098054</v>
      </c>
      <c r="AD1010" s="2">
        <v>127618.498046429</v>
      </c>
      <c r="AE1010" s="2">
        <v>86864.114330943601</v>
      </c>
      <c r="AF1010" s="2">
        <v>89476.289573630595</v>
      </c>
      <c r="AG1010" s="2">
        <v>88911.987676164004</v>
      </c>
      <c r="AH1010" s="2">
        <v>93851.402586322802</v>
      </c>
      <c r="AI1010" s="2">
        <v>96924.942506441497</v>
      </c>
      <c r="AJ1010" s="2">
        <v>80931.1971853297</v>
      </c>
      <c r="AK1010" s="2">
        <v>138945.40560083801</v>
      </c>
      <c r="AL1010" s="2">
        <v>126798.718449333</v>
      </c>
      <c r="AM1010" s="2">
        <v>123478.303106746</v>
      </c>
      <c r="AN1010" s="2">
        <v>130411.27360178401</v>
      </c>
      <c r="AO1010" s="2">
        <v>133201.739970511</v>
      </c>
      <c r="AP1010" s="2">
        <v>112875.54754936</v>
      </c>
    </row>
    <row r="1011" spans="1:42" ht="14.5" x14ac:dyDescent="0.35">
      <c r="A1011" s="2" t="s">
        <v>6916</v>
      </c>
      <c r="B1011" s="2">
        <v>333.11543230122601</v>
      </c>
      <c r="C1011" s="2">
        <v>0.811483333333333</v>
      </c>
      <c r="D1011" s="2" t="s">
        <v>34</v>
      </c>
      <c r="E1011" s="2" t="s">
        <v>6917</v>
      </c>
      <c r="F1011" s="2">
        <v>210591</v>
      </c>
      <c r="G1011" s="3" t="str">
        <f>HYPERLINK("http://funmeta.oebiotech.com/network/210591", "http://funmeta.oebiotech.com/network/210591")</f>
        <v>http://funmeta.oebiotech.com/network/210591</v>
      </c>
      <c r="H1011" s="2" t="s">
        <v>6918</v>
      </c>
      <c r="I1011" s="2">
        <v>72645</v>
      </c>
      <c r="J1011" s="2"/>
      <c r="K1011" s="2"/>
      <c r="L1011" s="2" t="s">
        <v>6919</v>
      </c>
      <c r="M1011" s="2"/>
      <c r="N1011" s="2"/>
      <c r="O1011" s="2">
        <v>34469</v>
      </c>
      <c r="P1011" s="2" t="s">
        <v>6920</v>
      </c>
      <c r="Q1011" s="2" t="s">
        <v>6921</v>
      </c>
      <c r="R1011" s="2" t="s">
        <v>6922</v>
      </c>
      <c r="S1011" s="2" t="s">
        <v>148</v>
      </c>
      <c r="T1011" s="2" t="s">
        <v>149</v>
      </c>
      <c r="U1011" s="2" t="s">
        <v>150</v>
      </c>
      <c r="V1011" s="2" t="s">
        <v>59</v>
      </c>
      <c r="W1011" s="2">
        <v>43.8</v>
      </c>
      <c r="X1011" s="2">
        <v>30.1</v>
      </c>
      <c r="Y1011" s="2" t="s">
        <v>141</v>
      </c>
      <c r="Z1011" s="2" t="s">
        <v>6923</v>
      </c>
      <c r="AA1011" s="2">
        <v>-4.1961344920227797</v>
      </c>
      <c r="AB1011" s="2">
        <v>0.73994570102220802</v>
      </c>
      <c r="AC1011" s="2">
        <v>137678.245607366</v>
      </c>
      <c r="AD1011" s="2">
        <v>179660.79379395099</v>
      </c>
      <c r="AE1011" s="2">
        <v>127896.227472713</v>
      </c>
      <c r="AF1011" s="2">
        <v>147987.63362476099</v>
      </c>
      <c r="AG1011" s="2">
        <v>142351.507731171</v>
      </c>
      <c r="AH1011" s="2">
        <v>126707.896968778</v>
      </c>
      <c r="AI1011" s="2">
        <v>136546.44340359999</v>
      </c>
      <c r="AJ1011" s="2">
        <v>144579.76444317601</v>
      </c>
      <c r="AK1011" s="2">
        <v>156309.461424156</v>
      </c>
      <c r="AL1011" s="2">
        <v>205430.21355740001</v>
      </c>
      <c r="AM1011" s="2">
        <v>192017.66430691301</v>
      </c>
      <c r="AN1011" s="2">
        <v>172630.943742681</v>
      </c>
      <c r="AO1011" s="2">
        <v>181202.332550669</v>
      </c>
      <c r="AP1011" s="2">
        <v>170374.14718188599</v>
      </c>
    </row>
    <row r="1012" spans="1:42" ht="14.5" x14ac:dyDescent="0.35">
      <c r="A1012" s="2" t="s">
        <v>6924</v>
      </c>
      <c r="B1012" s="2">
        <v>683.32830839856695</v>
      </c>
      <c r="C1012" s="2">
        <v>9.3615166666666703</v>
      </c>
      <c r="D1012" s="2" t="s">
        <v>70</v>
      </c>
      <c r="E1012" s="2" t="s">
        <v>6925</v>
      </c>
      <c r="F1012" s="2">
        <v>57137</v>
      </c>
      <c r="G1012" s="3" t="str">
        <f>HYPERLINK("http://funmeta.oebiotech.com/network/57137", "http://funmeta.oebiotech.com/network/57137")</f>
        <v>http://funmeta.oebiotech.com/network/57137</v>
      </c>
      <c r="H1012" s="2" t="s">
        <v>6926</v>
      </c>
      <c r="I1012" s="2">
        <v>88786</v>
      </c>
      <c r="J1012" s="2"/>
      <c r="K1012" s="2">
        <v>168237</v>
      </c>
      <c r="L1012" s="2"/>
      <c r="M1012" s="2"/>
      <c r="N1012" s="2"/>
      <c r="O1012" s="2">
        <v>131751338</v>
      </c>
      <c r="P1012" s="2"/>
      <c r="Q1012" s="2" t="s">
        <v>6927</v>
      </c>
      <c r="R1012" s="2" t="s">
        <v>6928</v>
      </c>
      <c r="S1012" s="2" t="s">
        <v>79</v>
      </c>
      <c r="T1012" s="2" t="s">
        <v>80</v>
      </c>
      <c r="U1012" s="2" t="s">
        <v>81</v>
      </c>
      <c r="V1012" s="2" t="s">
        <v>42</v>
      </c>
      <c r="W1012" s="2">
        <v>54</v>
      </c>
      <c r="X1012" s="2">
        <v>86</v>
      </c>
      <c r="Y1012" s="2" t="s">
        <v>560</v>
      </c>
      <c r="Z1012" s="2" t="s">
        <v>6929</v>
      </c>
      <c r="AA1012" s="2">
        <v>-0.17756038688470599</v>
      </c>
      <c r="AB1012" s="2">
        <v>0.73966198006115103</v>
      </c>
      <c r="AC1012" s="2">
        <v>76045.974777712094</v>
      </c>
      <c r="AD1012" s="2">
        <v>39396.224078425403</v>
      </c>
      <c r="AE1012" s="2">
        <v>68237.939515094302</v>
      </c>
      <c r="AF1012" s="2">
        <v>76640.837651274705</v>
      </c>
      <c r="AG1012" s="2">
        <v>72902.768394606304</v>
      </c>
      <c r="AH1012" s="2">
        <v>80848.733047154194</v>
      </c>
      <c r="AI1012" s="2">
        <v>80858.227022206105</v>
      </c>
      <c r="AJ1012" s="2">
        <v>76787.3430359372</v>
      </c>
      <c r="AK1012" s="2">
        <v>39317.131835708198</v>
      </c>
      <c r="AL1012" s="2">
        <v>40048.560173612299</v>
      </c>
      <c r="AM1012" s="2">
        <v>44109.398267578501</v>
      </c>
      <c r="AN1012" s="2">
        <v>37393.309848208301</v>
      </c>
      <c r="AO1012" s="2">
        <v>37823.501807995002</v>
      </c>
      <c r="AP1012" s="2">
        <v>37685.442537449999</v>
      </c>
    </row>
    <row r="1013" spans="1:42" ht="14.5" x14ac:dyDescent="0.35">
      <c r="A1013" s="2" t="s">
        <v>6930</v>
      </c>
      <c r="B1013" s="2">
        <v>387.20223991935597</v>
      </c>
      <c r="C1013" s="2">
        <v>5.84148333333333</v>
      </c>
      <c r="D1013" s="2" t="s">
        <v>70</v>
      </c>
      <c r="E1013" s="2" t="s">
        <v>6931</v>
      </c>
      <c r="F1013" s="2">
        <v>10239</v>
      </c>
      <c r="G1013" s="3" t="str">
        <f>HYPERLINK("http://funmeta.oebiotech.com/network/10239", "http://funmeta.oebiotech.com/network/10239")</f>
        <v>http://funmeta.oebiotech.com/network/10239</v>
      </c>
      <c r="H1013" s="2"/>
      <c r="I1013" s="2"/>
      <c r="J1013" s="2" t="s">
        <v>6932</v>
      </c>
      <c r="K1013" s="2"/>
      <c r="L1013" s="2"/>
      <c r="M1013" s="2"/>
      <c r="N1013" s="2"/>
      <c r="O1013" s="2"/>
      <c r="P1013" s="2"/>
      <c r="Q1013" s="2" t="s">
        <v>6933</v>
      </c>
      <c r="R1013" s="2" t="s">
        <v>6934</v>
      </c>
      <c r="S1013" s="2" t="s">
        <v>50</v>
      </c>
      <c r="T1013" s="2" t="s">
        <v>229</v>
      </c>
      <c r="U1013" s="2" t="s">
        <v>230</v>
      </c>
      <c r="V1013" s="2" t="s">
        <v>59</v>
      </c>
      <c r="W1013" s="2">
        <v>46.9</v>
      </c>
      <c r="X1013" s="2">
        <v>39.299999999999997</v>
      </c>
      <c r="Y1013" s="2" t="s">
        <v>751</v>
      </c>
      <c r="Z1013" s="2" t="s">
        <v>6935</v>
      </c>
      <c r="AA1013" s="2">
        <v>-0.49634908110996501</v>
      </c>
      <c r="AB1013" s="2">
        <v>0.73752362068001098</v>
      </c>
      <c r="AC1013" s="2">
        <v>49851.123898255602</v>
      </c>
      <c r="AD1013" s="2">
        <v>85985.411636090997</v>
      </c>
      <c r="AE1013" s="2">
        <v>51628.559949465402</v>
      </c>
      <c r="AF1013" s="2">
        <v>46197.364234937202</v>
      </c>
      <c r="AG1013" s="2">
        <v>49833.410872265304</v>
      </c>
      <c r="AH1013" s="2">
        <v>47492.1848146009</v>
      </c>
      <c r="AI1013" s="2">
        <v>51750.482906266501</v>
      </c>
      <c r="AJ1013" s="2">
        <v>52204.740611998102</v>
      </c>
      <c r="AK1013" s="2">
        <v>85835.017729115905</v>
      </c>
      <c r="AL1013" s="2">
        <v>83666.531528700405</v>
      </c>
      <c r="AM1013" s="2">
        <v>92737.822504882803</v>
      </c>
      <c r="AN1013" s="2">
        <v>88480.859036811904</v>
      </c>
      <c r="AO1013" s="2">
        <v>81907.894034442303</v>
      </c>
      <c r="AP1013" s="2">
        <v>83284.344982592607</v>
      </c>
    </row>
    <row r="1014" spans="1:42" ht="14.5" x14ac:dyDescent="0.35">
      <c r="A1014" s="2" t="s">
        <v>6936</v>
      </c>
      <c r="B1014" s="2">
        <v>439.19713868953602</v>
      </c>
      <c r="C1014" s="2">
        <v>4.9511166666666702</v>
      </c>
      <c r="D1014" s="2" t="s">
        <v>70</v>
      </c>
      <c r="E1014" s="2" t="s">
        <v>6937</v>
      </c>
      <c r="F1014" s="2">
        <v>59952</v>
      </c>
      <c r="G1014" s="3" t="str">
        <f>HYPERLINK("http://funmeta.oebiotech.com/network/59952", "http://funmeta.oebiotech.com/network/59952")</f>
        <v>http://funmeta.oebiotech.com/network/59952</v>
      </c>
      <c r="H1014" s="2" t="s">
        <v>6938</v>
      </c>
      <c r="I1014" s="2">
        <v>91313</v>
      </c>
      <c r="J1014" s="2"/>
      <c r="K1014" s="2"/>
      <c r="L1014" s="2"/>
      <c r="M1014" s="2"/>
      <c r="N1014" s="2"/>
      <c r="O1014" s="2">
        <v>75069422</v>
      </c>
      <c r="P1014" s="2" t="s">
        <v>6939</v>
      </c>
      <c r="Q1014" s="2" t="s">
        <v>6940</v>
      </c>
      <c r="R1014" s="2" t="s">
        <v>6941</v>
      </c>
      <c r="S1014" s="2" t="s">
        <v>50</v>
      </c>
      <c r="T1014" s="2" t="s">
        <v>201</v>
      </c>
      <c r="U1014" s="2" t="s">
        <v>636</v>
      </c>
      <c r="V1014" s="2" t="s">
        <v>59</v>
      </c>
      <c r="W1014" s="2">
        <v>42.3</v>
      </c>
      <c r="X1014" s="2">
        <v>16.600000000000001</v>
      </c>
      <c r="Y1014" s="2" t="s">
        <v>498</v>
      </c>
      <c r="Z1014" s="2" t="s">
        <v>6942</v>
      </c>
      <c r="AA1014" s="2">
        <v>-0.494044651648396</v>
      </c>
      <c r="AB1014" s="2">
        <v>0.737251723680174</v>
      </c>
      <c r="AC1014" s="2">
        <v>675983.89054764598</v>
      </c>
      <c r="AD1014" s="2">
        <v>615529.91120052396</v>
      </c>
      <c r="AE1014" s="2">
        <v>753369.39462911105</v>
      </c>
      <c r="AF1014" s="2">
        <v>656570.74811146501</v>
      </c>
      <c r="AG1014" s="2">
        <v>648849.71171864995</v>
      </c>
      <c r="AH1014" s="2">
        <v>706944.66590768995</v>
      </c>
      <c r="AI1014" s="2">
        <v>627805.16703817004</v>
      </c>
      <c r="AJ1014" s="2">
        <v>662363.655880793</v>
      </c>
      <c r="AK1014" s="2">
        <v>675972.38794845995</v>
      </c>
      <c r="AL1014" s="2">
        <v>587185.63285903097</v>
      </c>
      <c r="AM1014" s="2">
        <v>673676.04960194195</v>
      </c>
      <c r="AN1014" s="2">
        <v>585307.52131812496</v>
      </c>
      <c r="AO1014" s="2">
        <v>582953.95814513694</v>
      </c>
      <c r="AP1014" s="2">
        <v>588083.91733045201</v>
      </c>
    </row>
    <row r="1015" spans="1:42" ht="14.5" x14ac:dyDescent="0.35">
      <c r="A1015" s="2" t="s">
        <v>6943</v>
      </c>
      <c r="B1015" s="2">
        <v>687.16941604211604</v>
      </c>
      <c r="C1015" s="2">
        <v>1.69431666666667</v>
      </c>
      <c r="D1015" s="2" t="s">
        <v>70</v>
      </c>
      <c r="E1015" s="2" t="s">
        <v>6944</v>
      </c>
      <c r="F1015" s="2">
        <v>254774</v>
      </c>
      <c r="G1015" s="3" t="str">
        <f>HYPERLINK("http://funmeta.oebiotech.com/network/254774", "http://funmeta.oebiotech.com/network/254774")</f>
        <v>http://funmeta.oebiotech.com/network/254774</v>
      </c>
      <c r="H1015" s="2" t="s">
        <v>6945</v>
      </c>
      <c r="I1015" s="2"/>
      <c r="J1015" s="2"/>
      <c r="K1015" s="2"/>
      <c r="L1015" s="2"/>
      <c r="M1015" s="2"/>
      <c r="N1015" s="2"/>
      <c r="O1015" s="2"/>
      <c r="P1015" s="2" t="s">
        <v>6946</v>
      </c>
      <c r="Q1015" s="2" t="s">
        <v>6947</v>
      </c>
      <c r="R1015" s="2" t="s">
        <v>6948</v>
      </c>
      <c r="S1015" s="2" t="s">
        <v>115</v>
      </c>
      <c r="T1015" s="2" t="s">
        <v>139</v>
      </c>
      <c r="U1015" s="2" t="s">
        <v>957</v>
      </c>
      <c r="V1015" s="2" t="s">
        <v>59</v>
      </c>
      <c r="W1015" s="2">
        <v>37.9</v>
      </c>
      <c r="X1015" s="2">
        <v>8.4499999999999993</v>
      </c>
      <c r="Y1015" s="2" t="s">
        <v>751</v>
      </c>
      <c r="Z1015" s="2" t="s">
        <v>6949</v>
      </c>
      <c r="AA1015" s="2">
        <v>-3.5588474498418399</v>
      </c>
      <c r="AB1015" s="2">
        <v>0.73621428516889498</v>
      </c>
      <c r="AC1015" s="2">
        <v>63640.948162028501</v>
      </c>
      <c r="AD1015" s="2">
        <v>100378.86797412</v>
      </c>
      <c r="AE1015" s="2">
        <v>66030.903479996705</v>
      </c>
      <c r="AF1015" s="2">
        <v>59235.002073338801</v>
      </c>
      <c r="AG1015" s="2">
        <v>59401.386291988601</v>
      </c>
      <c r="AH1015" s="2">
        <v>58531.747239861499</v>
      </c>
      <c r="AI1015" s="2">
        <v>67231.0961956174</v>
      </c>
      <c r="AJ1015" s="2">
        <v>71415.553691367997</v>
      </c>
      <c r="AK1015" s="2">
        <v>100869.957881967</v>
      </c>
      <c r="AL1015" s="2">
        <v>90082.406583484204</v>
      </c>
      <c r="AM1015" s="2">
        <v>105148.40785457101</v>
      </c>
      <c r="AN1015" s="2">
        <v>99979.665193136898</v>
      </c>
      <c r="AO1015" s="2">
        <v>100624.05193966</v>
      </c>
      <c r="AP1015" s="2">
        <v>105568.71839189999</v>
      </c>
    </row>
    <row r="1016" spans="1:42" ht="14.5" x14ac:dyDescent="0.35">
      <c r="A1016" s="2" t="s">
        <v>6950</v>
      </c>
      <c r="B1016" s="2">
        <v>607.31046188977803</v>
      </c>
      <c r="C1016" s="2">
        <v>5.00538333333333</v>
      </c>
      <c r="D1016" s="2" t="s">
        <v>70</v>
      </c>
      <c r="E1016" s="2" t="s">
        <v>6951</v>
      </c>
      <c r="F1016" s="2">
        <v>35718</v>
      </c>
      <c r="G1016" s="3" t="str">
        <f>HYPERLINK("http://funmeta.oebiotech.com/network/35718", "http://funmeta.oebiotech.com/network/35718")</f>
        <v>http://funmeta.oebiotech.com/network/35718</v>
      </c>
      <c r="H1016" s="2"/>
      <c r="I1016" s="2"/>
      <c r="J1016" s="2" t="s">
        <v>6952</v>
      </c>
      <c r="K1016" s="2"/>
      <c r="L1016" s="2"/>
      <c r="M1016" s="2"/>
      <c r="N1016" s="2"/>
      <c r="O1016" s="2">
        <v>154585420</v>
      </c>
      <c r="P1016" s="2"/>
      <c r="Q1016" s="2" t="s">
        <v>6953</v>
      </c>
      <c r="R1016" s="2" t="s">
        <v>6954</v>
      </c>
      <c r="S1016" s="2" t="s">
        <v>89</v>
      </c>
      <c r="T1016" s="2" t="s">
        <v>90</v>
      </c>
      <c r="U1016" s="2" t="s">
        <v>91</v>
      </c>
      <c r="V1016" s="2" t="s">
        <v>59</v>
      </c>
      <c r="W1016" s="2">
        <v>41</v>
      </c>
      <c r="X1016" s="2">
        <v>11.6</v>
      </c>
      <c r="Y1016" s="2" t="s">
        <v>408</v>
      </c>
      <c r="Z1016" s="2" t="s">
        <v>6955</v>
      </c>
      <c r="AA1016" s="2">
        <v>-3.42163071872633</v>
      </c>
      <c r="AB1016" s="2">
        <v>0.736172371582961</v>
      </c>
      <c r="AC1016" s="2">
        <v>187055.02861335</v>
      </c>
      <c r="AD1016" s="2">
        <v>226716.39156441201</v>
      </c>
      <c r="AE1016" s="2">
        <v>184872.53497216699</v>
      </c>
      <c r="AF1016" s="2">
        <v>188081.41632893201</v>
      </c>
      <c r="AG1016" s="2">
        <v>198834.62825156801</v>
      </c>
      <c r="AH1016" s="2">
        <v>188525.566554558</v>
      </c>
      <c r="AI1016" s="2">
        <v>185347.34187490799</v>
      </c>
      <c r="AJ1016" s="2">
        <v>176668.68369797</v>
      </c>
      <c r="AK1016" s="2">
        <v>218797.65111225299</v>
      </c>
      <c r="AL1016" s="2">
        <v>246847.825891518</v>
      </c>
      <c r="AM1016" s="2">
        <v>239072.82121689201</v>
      </c>
      <c r="AN1016" s="2">
        <v>214758.66221054501</v>
      </c>
      <c r="AO1016" s="2">
        <v>221589.338249903</v>
      </c>
      <c r="AP1016" s="2">
        <v>219232.050705359</v>
      </c>
    </row>
    <row r="1017" spans="1:42" ht="14.5" x14ac:dyDescent="0.35">
      <c r="A1017" s="2" t="s">
        <v>6956</v>
      </c>
      <c r="B1017" s="2">
        <v>529.30009260148404</v>
      </c>
      <c r="C1017" s="2">
        <v>6.0297833333333299</v>
      </c>
      <c r="D1017" s="2" t="s">
        <v>70</v>
      </c>
      <c r="E1017" s="2" t="s">
        <v>6957</v>
      </c>
      <c r="F1017" s="2">
        <v>61911</v>
      </c>
      <c r="G1017" s="3" t="str">
        <f>HYPERLINK("http://funmeta.oebiotech.com/network/61911", "http://funmeta.oebiotech.com/network/61911")</f>
        <v>http://funmeta.oebiotech.com/network/61911</v>
      </c>
      <c r="H1017" s="2" t="s">
        <v>6958</v>
      </c>
      <c r="I1017" s="2">
        <v>93212</v>
      </c>
      <c r="J1017" s="2"/>
      <c r="K1017" s="2">
        <v>172710</v>
      </c>
      <c r="L1017" s="2"/>
      <c r="M1017" s="2"/>
      <c r="N1017" s="2"/>
      <c r="O1017" s="2">
        <v>13855760</v>
      </c>
      <c r="P1017" s="2" t="s">
        <v>6959</v>
      </c>
      <c r="Q1017" s="2" t="s">
        <v>6960</v>
      </c>
      <c r="R1017" s="2" t="s">
        <v>6961</v>
      </c>
      <c r="S1017" s="2" t="s">
        <v>50</v>
      </c>
      <c r="T1017" s="2" t="s">
        <v>201</v>
      </c>
      <c r="U1017" s="2" t="s">
        <v>202</v>
      </c>
      <c r="V1017" s="2" t="s">
        <v>42</v>
      </c>
      <c r="W1017" s="2">
        <v>55.4</v>
      </c>
      <c r="X1017" s="2">
        <v>88.4</v>
      </c>
      <c r="Y1017" s="2" t="s">
        <v>408</v>
      </c>
      <c r="Z1017" s="2" t="s">
        <v>6962</v>
      </c>
      <c r="AA1017" s="2">
        <v>-3.569323066605</v>
      </c>
      <c r="AB1017" s="2">
        <v>0.73561715291635699</v>
      </c>
      <c r="AC1017" s="2">
        <v>388067.380209508</v>
      </c>
      <c r="AD1017" s="2">
        <v>348564.66764594399</v>
      </c>
      <c r="AE1017" s="2">
        <v>398240.337387754</v>
      </c>
      <c r="AF1017" s="2">
        <v>375024.19461999898</v>
      </c>
      <c r="AG1017" s="2">
        <v>393655.194479367</v>
      </c>
      <c r="AH1017" s="2">
        <v>377361.70833692502</v>
      </c>
      <c r="AI1017" s="2">
        <v>381601.41205819399</v>
      </c>
      <c r="AJ1017" s="2">
        <v>402521.43437481002</v>
      </c>
      <c r="AK1017" s="2">
        <v>341499.15366976499</v>
      </c>
      <c r="AL1017" s="2">
        <v>357541.27919936698</v>
      </c>
      <c r="AM1017" s="2">
        <v>362007.12757394399</v>
      </c>
      <c r="AN1017" s="2">
        <v>349900.54189929197</v>
      </c>
      <c r="AO1017" s="2">
        <v>337538.37701111101</v>
      </c>
      <c r="AP1017" s="2">
        <v>342901.52652218402</v>
      </c>
    </row>
    <row r="1018" spans="1:42" ht="14.5" x14ac:dyDescent="0.35">
      <c r="A1018" s="2" t="s">
        <v>6963</v>
      </c>
      <c r="B1018" s="2">
        <v>578.36844200415499</v>
      </c>
      <c r="C1018" s="2">
        <v>11.5300333333333</v>
      </c>
      <c r="D1018" s="2" t="s">
        <v>34</v>
      </c>
      <c r="E1018" s="2" t="s">
        <v>6964</v>
      </c>
      <c r="F1018" s="2">
        <v>58695</v>
      </c>
      <c r="G1018" s="3" t="str">
        <f>HYPERLINK("http://funmeta.oebiotech.com/network/58695", "http://funmeta.oebiotech.com/network/58695")</f>
        <v>http://funmeta.oebiotech.com/network/58695</v>
      </c>
      <c r="H1018" s="2" t="s">
        <v>6965</v>
      </c>
      <c r="I1018" s="2"/>
      <c r="J1018" s="2"/>
      <c r="K1018" s="2"/>
      <c r="L1018" s="2" t="s">
        <v>6966</v>
      </c>
      <c r="M1018" s="2"/>
      <c r="N1018" s="2"/>
      <c r="O1018" s="2">
        <v>5874476</v>
      </c>
      <c r="P1018" s="2" t="s">
        <v>6967</v>
      </c>
      <c r="Q1018" s="2" t="s">
        <v>6968</v>
      </c>
      <c r="R1018" s="2" t="s">
        <v>6969</v>
      </c>
      <c r="S1018" s="2" t="s">
        <v>50</v>
      </c>
      <c r="T1018" s="2" t="s">
        <v>124</v>
      </c>
      <c r="U1018" s="2" t="s">
        <v>3136</v>
      </c>
      <c r="V1018" s="2" t="s">
        <v>59</v>
      </c>
      <c r="W1018" s="2">
        <v>39.700000000000003</v>
      </c>
      <c r="X1018" s="2">
        <v>16.399999999999999</v>
      </c>
      <c r="Y1018" s="2" t="s">
        <v>43</v>
      </c>
      <c r="Z1018" s="2" t="s">
        <v>6970</v>
      </c>
      <c r="AA1018" s="2">
        <v>-0.53900207741157902</v>
      </c>
      <c r="AB1018" s="2">
        <v>0.73528597252375805</v>
      </c>
      <c r="AC1018" s="2">
        <v>52212.517961782498</v>
      </c>
      <c r="AD1018" s="2">
        <v>88999.9426630854</v>
      </c>
      <c r="AE1018" s="2">
        <v>49496.503776980098</v>
      </c>
      <c r="AF1018" s="2">
        <v>48768.322766241501</v>
      </c>
      <c r="AG1018" s="2">
        <v>51193.913664733402</v>
      </c>
      <c r="AH1018" s="2">
        <v>52659.190707458103</v>
      </c>
      <c r="AI1018" s="2">
        <v>48690.484653907697</v>
      </c>
      <c r="AJ1018" s="2">
        <v>62466.692201373997</v>
      </c>
      <c r="AK1018" s="2">
        <v>88578.704218239698</v>
      </c>
      <c r="AL1018" s="2">
        <v>89296.389648979995</v>
      </c>
      <c r="AM1018" s="2">
        <v>99269.477212637794</v>
      </c>
      <c r="AN1018" s="2">
        <v>82058.8985451154</v>
      </c>
      <c r="AO1018" s="2">
        <v>88547.141428140007</v>
      </c>
      <c r="AP1018" s="2">
        <v>86249.044925399707</v>
      </c>
    </row>
    <row r="1019" spans="1:42" ht="14.5" x14ac:dyDescent="0.35">
      <c r="A1019" s="2" t="s">
        <v>6971</v>
      </c>
      <c r="B1019" s="2">
        <v>281.189753740203</v>
      </c>
      <c r="C1019" s="2">
        <v>5.37076666666667</v>
      </c>
      <c r="D1019" s="2" t="s">
        <v>34</v>
      </c>
      <c r="E1019" s="2" t="s">
        <v>6972</v>
      </c>
      <c r="F1019" s="2">
        <v>52077</v>
      </c>
      <c r="G1019" s="3" t="str">
        <f>HYPERLINK("http://funmeta.oebiotech.com/network/52077", "http://funmeta.oebiotech.com/network/52077")</f>
        <v>http://funmeta.oebiotech.com/network/52077</v>
      </c>
      <c r="H1019" s="2" t="s">
        <v>6973</v>
      </c>
      <c r="I1019" s="2"/>
      <c r="J1019" s="2"/>
      <c r="K1019" s="2"/>
      <c r="L1019" s="2"/>
      <c r="M1019" s="2"/>
      <c r="N1019" s="2"/>
      <c r="O1019" s="2">
        <v>53481523</v>
      </c>
      <c r="P1019" s="2" t="s">
        <v>6974</v>
      </c>
      <c r="Q1019" s="2" t="s">
        <v>6975</v>
      </c>
      <c r="R1019" s="2" t="s">
        <v>6976</v>
      </c>
      <c r="S1019" s="2" t="s">
        <v>50</v>
      </c>
      <c r="T1019" s="2" t="s">
        <v>201</v>
      </c>
      <c r="U1019" s="2" t="s">
        <v>2195</v>
      </c>
      <c r="V1019" s="2" t="s">
        <v>42</v>
      </c>
      <c r="W1019" s="2">
        <v>53</v>
      </c>
      <c r="X1019" s="2">
        <v>70.599999999999994</v>
      </c>
      <c r="Y1019" s="2" t="s">
        <v>141</v>
      </c>
      <c r="Z1019" s="2" t="s">
        <v>6977</v>
      </c>
      <c r="AA1019" s="2">
        <v>-0.79841751214518497</v>
      </c>
      <c r="AB1019" s="2">
        <v>0.73424935129992797</v>
      </c>
      <c r="AC1019" s="2">
        <v>287330.51077953301</v>
      </c>
      <c r="AD1019" s="2">
        <v>250848.124959548</v>
      </c>
      <c r="AE1019" s="2">
        <v>288361.383279267</v>
      </c>
      <c r="AF1019" s="2">
        <v>288028.49980519502</v>
      </c>
      <c r="AG1019" s="2">
        <v>288236.35546151199</v>
      </c>
      <c r="AH1019" s="2">
        <v>281753.340428736</v>
      </c>
      <c r="AI1019" s="2">
        <v>282847.135327539</v>
      </c>
      <c r="AJ1019" s="2">
        <v>294756.350374948</v>
      </c>
      <c r="AK1019" s="2">
        <v>242841.946233678</v>
      </c>
      <c r="AL1019" s="2">
        <v>252369.27270286001</v>
      </c>
      <c r="AM1019" s="2">
        <v>252343.70421282799</v>
      </c>
      <c r="AN1019" s="2">
        <v>259141.746408062</v>
      </c>
      <c r="AO1019" s="2">
        <v>247273.29490452999</v>
      </c>
      <c r="AP1019" s="2">
        <v>251118.78529533101</v>
      </c>
    </row>
    <row r="1020" spans="1:42" ht="14.5" x14ac:dyDescent="0.35">
      <c r="A1020" s="2" t="s">
        <v>6978</v>
      </c>
      <c r="B1020" s="2">
        <v>387.14329898845801</v>
      </c>
      <c r="C1020" s="2">
        <v>6.3200166666666702</v>
      </c>
      <c r="D1020" s="2" t="s">
        <v>34</v>
      </c>
      <c r="E1020" s="2" t="s">
        <v>6979</v>
      </c>
      <c r="F1020" s="2">
        <v>34650</v>
      </c>
      <c r="G1020" s="3" t="str">
        <f>HYPERLINK("http://funmeta.oebiotech.com/network/34650", "http://funmeta.oebiotech.com/network/34650")</f>
        <v>http://funmeta.oebiotech.com/network/34650</v>
      </c>
      <c r="H1020" s="2"/>
      <c r="I1020" s="2">
        <v>52959</v>
      </c>
      <c r="J1020" s="2" t="s">
        <v>6980</v>
      </c>
      <c r="K1020" s="2"/>
      <c r="L1020" s="2"/>
      <c r="M1020" s="2"/>
      <c r="N1020" s="2"/>
      <c r="O1020" s="2">
        <v>42608024</v>
      </c>
      <c r="P1020" s="2"/>
      <c r="Q1020" s="2" t="s">
        <v>6981</v>
      </c>
      <c r="R1020" s="2" t="s">
        <v>6982</v>
      </c>
      <c r="S1020" s="2" t="s">
        <v>115</v>
      </c>
      <c r="T1020" s="2" t="s">
        <v>139</v>
      </c>
      <c r="U1020" s="2" t="s">
        <v>1437</v>
      </c>
      <c r="V1020" s="2" t="s">
        <v>42</v>
      </c>
      <c r="W1020" s="2">
        <v>53.7</v>
      </c>
      <c r="X1020" s="2">
        <v>76.400000000000006</v>
      </c>
      <c r="Y1020" s="2" t="s">
        <v>394</v>
      </c>
      <c r="Z1020" s="2" t="s">
        <v>6983</v>
      </c>
      <c r="AA1020" s="2">
        <v>-1.37383005655298</v>
      </c>
      <c r="AB1020" s="2">
        <v>0.73415640016359796</v>
      </c>
      <c r="AC1020" s="2">
        <v>271853.39335845702</v>
      </c>
      <c r="AD1020" s="2">
        <v>226387.431339673</v>
      </c>
      <c r="AE1020" s="2">
        <v>294723.74088185799</v>
      </c>
      <c r="AF1020" s="2">
        <v>270274.00690847402</v>
      </c>
      <c r="AG1020" s="2">
        <v>249868.11862360401</v>
      </c>
      <c r="AH1020" s="2">
        <v>292407.97997439501</v>
      </c>
      <c r="AI1020" s="2">
        <v>263316.42082745198</v>
      </c>
      <c r="AJ1020" s="2">
        <v>260530.09293495899</v>
      </c>
      <c r="AK1020" s="2">
        <v>265882.06862512999</v>
      </c>
      <c r="AL1020" s="2">
        <v>222913.29067808</v>
      </c>
      <c r="AM1020" s="2">
        <v>234762.52749989901</v>
      </c>
      <c r="AN1020" s="2">
        <v>216309.07290761199</v>
      </c>
      <c r="AO1020" s="2">
        <v>217526.86661208101</v>
      </c>
      <c r="AP1020" s="2">
        <v>200930.761715239</v>
      </c>
    </row>
    <row r="1021" spans="1:42" ht="14.5" x14ac:dyDescent="0.35">
      <c r="A1021" s="2" t="s">
        <v>6984</v>
      </c>
      <c r="B1021" s="2">
        <v>493.13502305149001</v>
      </c>
      <c r="C1021" s="2">
        <v>4.9873666666666701</v>
      </c>
      <c r="D1021" s="2" t="s">
        <v>70</v>
      </c>
      <c r="E1021" s="2" t="s">
        <v>6985</v>
      </c>
      <c r="F1021" s="2">
        <v>57934</v>
      </c>
      <c r="G1021" s="3" t="str">
        <f>HYPERLINK("http://funmeta.oebiotech.com/network/57934", "http://funmeta.oebiotech.com/network/57934")</f>
        <v>http://funmeta.oebiotech.com/network/57934</v>
      </c>
      <c r="H1021" s="2" t="s">
        <v>6986</v>
      </c>
      <c r="I1021" s="2">
        <v>53020</v>
      </c>
      <c r="J1021" s="2"/>
      <c r="K1021" s="2">
        <v>168189</v>
      </c>
      <c r="L1021" s="2"/>
      <c r="M1021" s="2"/>
      <c r="N1021" s="2"/>
      <c r="O1021" s="2">
        <v>13871818</v>
      </c>
      <c r="P1021" s="2" t="s">
        <v>6987</v>
      </c>
      <c r="Q1021" s="2" t="s">
        <v>6988</v>
      </c>
      <c r="R1021" s="2" t="s">
        <v>6989</v>
      </c>
      <c r="S1021" s="2" t="s">
        <v>115</v>
      </c>
      <c r="T1021" s="2" t="s">
        <v>139</v>
      </c>
      <c r="U1021" s="2" t="s">
        <v>140</v>
      </c>
      <c r="V1021" s="2" t="s">
        <v>42</v>
      </c>
      <c r="W1021" s="2">
        <v>52.4</v>
      </c>
      <c r="X1021" s="2">
        <v>66.900000000000006</v>
      </c>
      <c r="Y1021" s="2" t="s">
        <v>286</v>
      </c>
      <c r="Z1021" s="2" t="s">
        <v>6990</v>
      </c>
      <c r="AA1021" s="2">
        <v>-0.28291304890858798</v>
      </c>
      <c r="AB1021" s="2">
        <v>0.73254409071209003</v>
      </c>
      <c r="AC1021" s="2">
        <v>236890.521887282</v>
      </c>
      <c r="AD1021" s="2">
        <v>197092.71844869599</v>
      </c>
      <c r="AE1021" s="2">
        <v>240974.36963474099</v>
      </c>
      <c r="AF1021" s="2">
        <v>228469.010408111</v>
      </c>
      <c r="AG1021" s="2">
        <v>237708.79422606801</v>
      </c>
      <c r="AH1021" s="2">
        <v>233117.636548649</v>
      </c>
      <c r="AI1021" s="2">
        <v>234145.75684080299</v>
      </c>
      <c r="AJ1021" s="2">
        <v>246927.563665319</v>
      </c>
      <c r="AK1021" s="2">
        <v>197250.891387896</v>
      </c>
      <c r="AL1021" s="2">
        <v>193209.43538322</v>
      </c>
      <c r="AM1021" s="2">
        <v>226102.760504178</v>
      </c>
      <c r="AN1021" s="2">
        <v>187232.33497536401</v>
      </c>
      <c r="AO1021" s="2">
        <v>185451.907719515</v>
      </c>
      <c r="AP1021" s="2">
        <v>193308.98072200301</v>
      </c>
    </row>
    <row r="1022" spans="1:42" ht="14.5" x14ac:dyDescent="0.35">
      <c r="A1022" s="2" t="s">
        <v>6991</v>
      </c>
      <c r="B1022" s="2">
        <v>465.197618444098</v>
      </c>
      <c r="C1022" s="2">
        <v>5.0778999999999996</v>
      </c>
      <c r="D1022" s="2" t="s">
        <v>70</v>
      </c>
      <c r="E1022" s="2" t="s">
        <v>6992</v>
      </c>
      <c r="F1022" s="2">
        <v>211839</v>
      </c>
      <c r="G1022" s="3" t="str">
        <f>HYPERLINK("http://funmeta.oebiotech.com/network/211839", "http://funmeta.oebiotech.com/network/211839")</f>
        <v>http://funmeta.oebiotech.com/network/211839</v>
      </c>
      <c r="H1022" s="2" t="s">
        <v>6993</v>
      </c>
      <c r="I1022" s="2"/>
      <c r="J1022" s="2"/>
      <c r="K1022" s="2"/>
      <c r="L1022" s="2"/>
      <c r="M1022" s="2"/>
      <c r="N1022" s="2"/>
      <c r="O1022" s="2">
        <v>12007083</v>
      </c>
      <c r="P1022" s="2"/>
      <c r="Q1022" s="2" t="s">
        <v>6994</v>
      </c>
      <c r="R1022" s="2" t="s">
        <v>6995</v>
      </c>
      <c r="S1022" s="2" t="s">
        <v>148</v>
      </c>
      <c r="T1022" s="2" t="s">
        <v>149</v>
      </c>
      <c r="U1022" s="2" t="s">
        <v>1593</v>
      </c>
      <c r="V1022" s="2" t="s">
        <v>59</v>
      </c>
      <c r="W1022" s="2">
        <v>40.4</v>
      </c>
      <c r="X1022" s="2">
        <v>10.6</v>
      </c>
      <c r="Y1022" s="2" t="s">
        <v>286</v>
      </c>
      <c r="Z1022" s="2" t="s">
        <v>6996</v>
      </c>
      <c r="AA1022" s="2">
        <v>-3.4960907401054802</v>
      </c>
      <c r="AB1022" s="2">
        <v>0.73234207103111804</v>
      </c>
      <c r="AC1022" s="2">
        <v>133512.414790651</v>
      </c>
      <c r="AD1022" s="2">
        <v>97432.533280974501</v>
      </c>
      <c r="AE1022" s="2">
        <v>135516.33685165699</v>
      </c>
      <c r="AF1022" s="2">
        <v>130033.770415996</v>
      </c>
      <c r="AG1022" s="2">
        <v>134529.782681457</v>
      </c>
      <c r="AH1022" s="2">
        <v>129847.630930794</v>
      </c>
      <c r="AI1022" s="2">
        <v>126736.11850981601</v>
      </c>
      <c r="AJ1022" s="2">
        <v>144410.84935418799</v>
      </c>
      <c r="AK1022" s="2">
        <v>95045.614435918294</v>
      </c>
      <c r="AL1022" s="2">
        <v>97324.577874282593</v>
      </c>
      <c r="AM1022" s="2">
        <v>100708.271240255</v>
      </c>
      <c r="AN1022" s="2">
        <v>97401.615478589301</v>
      </c>
      <c r="AO1022" s="2">
        <v>95659.282360113299</v>
      </c>
      <c r="AP1022" s="2">
        <v>98455.838296688802</v>
      </c>
    </row>
    <row r="1023" spans="1:42" ht="14.5" x14ac:dyDescent="0.35">
      <c r="A1023" s="2" t="s">
        <v>6997</v>
      </c>
      <c r="B1023" s="2">
        <v>359.18494657278899</v>
      </c>
      <c r="C1023" s="2">
        <v>9.6715166666666708</v>
      </c>
      <c r="D1023" s="2" t="s">
        <v>34</v>
      </c>
      <c r="E1023" s="2" t="s">
        <v>6998</v>
      </c>
      <c r="F1023" s="2">
        <v>82853</v>
      </c>
      <c r="G1023" s="3" t="str">
        <f>HYPERLINK("http://funmeta.oebiotech.com/network/82853", "http://funmeta.oebiotech.com/network/82853")</f>
        <v>http://funmeta.oebiotech.com/network/82853</v>
      </c>
      <c r="H1023" s="2" t="s">
        <v>6999</v>
      </c>
      <c r="I1023" s="2"/>
      <c r="J1023" s="2"/>
      <c r="K1023" s="2"/>
      <c r="L1023" s="2"/>
      <c r="M1023" s="2"/>
      <c r="N1023" s="2"/>
      <c r="O1023" s="2">
        <v>131770003</v>
      </c>
      <c r="P1023" s="2"/>
      <c r="Q1023" s="2" t="s">
        <v>7000</v>
      </c>
      <c r="R1023" s="2" t="s">
        <v>7001</v>
      </c>
      <c r="S1023" s="2" t="s">
        <v>50</v>
      </c>
      <c r="T1023" s="2" t="s">
        <v>124</v>
      </c>
      <c r="U1023" s="2" t="s">
        <v>1136</v>
      </c>
      <c r="V1023" s="2" t="s">
        <v>42</v>
      </c>
      <c r="W1023" s="2">
        <v>51.7</v>
      </c>
      <c r="X1023" s="2">
        <v>65.099999999999994</v>
      </c>
      <c r="Y1023" s="2" t="s">
        <v>141</v>
      </c>
      <c r="Z1023" s="2" t="s">
        <v>7002</v>
      </c>
      <c r="AA1023" s="2">
        <v>-0.94046587792404202</v>
      </c>
      <c r="AB1023" s="2">
        <v>0.73135058559381205</v>
      </c>
      <c r="AC1023" s="2">
        <v>42464.136094027403</v>
      </c>
      <c r="AD1023" s="2">
        <v>78214.653214207196</v>
      </c>
      <c r="AE1023" s="2">
        <v>38845.173705483001</v>
      </c>
      <c r="AF1023" s="2">
        <v>41517.873432398897</v>
      </c>
      <c r="AG1023" s="2">
        <v>43734.6450505299</v>
      </c>
      <c r="AH1023" s="2">
        <v>41056.773526732002</v>
      </c>
      <c r="AI1023" s="2">
        <v>44157.3995633589</v>
      </c>
      <c r="AJ1023" s="2">
        <v>45472.9512856617</v>
      </c>
      <c r="AK1023" s="2">
        <v>70579.5564296089</v>
      </c>
      <c r="AL1023" s="2">
        <v>78211.348067279803</v>
      </c>
      <c r="AM1023" s="2">
        <v>78847.338050145394</v>
      </c>
      <c r="AN1023" s="2">
        <v>86651.597126008302</v>
      </c>
      <c r="AO1023" s="2">
        <v>76769.831109212406</v>
      </c>
      <c r="AP1023" s="2">
        <v>78228.248502988601</v>
      </c>
    </row>
    <row r="1024" spans="1:42" ht="14.5" x14ac:dyDescent="0.35">
      <c r="A1024" s="2" t="s">
        <v>7003</v>
      </c>
      <c r="B1024" s="2">
        <v>768.56136074487404</v>
      </c>
      <c r="C1024" s="2">
        <v>15.087816666666701</v>
      </c>
      <c r="D1024" s="2" t="s">
        <v>34</v>
      </c>
      <c r="E1024" s="2" t="s">
        <v>7004</v>
      </c>
      <c r="F1024" s="2">
        <v>40014</v>
      </c>
      <c r="G1024" s="3" t="str">
        <f>HYPERLINK("http://funmeta.oebiotech.com/network/40014", "http://funmeta.oebiotech.com/network/40014")</f>
        <v>http://funmeta.oebiotech.com/network/40014</v>
      </c>
      <c r="H1024" s="2"/>
      <c r="I1024" s="2"/>
      <c r="J1024" s="2" t="s">
        <v>7005</v>
      </c>
      <c r="K1024" s="2"/>
      <c r="L1024" s="2"/>
      <c r="M1024" s="2"/>
      <c r="N1024" s="2"/>
      <c r="O1024" s="2">
        <v>10078761</v>
      </c>
      <c r="P1024" s="2"/>
      <c r="Q1024" s="2" t="s">
        <v>7006</v>
      </c>
      <c r="R1024" s="2" t="s">
        <v>7007</v>
      </c>
      <c r="S1024" s="2" t="s">
        <v>50</v>
      </c>
      <c r="T1024" s="2" t="s">
        <v>693</v>
      </c>
      <c r="U1024" s="2" t="s">
        <v>694</v>
      </c>
      <c r="V1024" s="2" t="s">
        <v>59</v>
      </c>
      <c r="W1024" s="2">
        <v>38</v>
      </c>
      <c r="X1024" s="2">
        <v>0</v>
      </c>
      <c r="Y1024" s="2" t="s">
        <v>323</v>
      </c>
      <c r="Z1024" s="2" t="s">
        <v>7008</v>
      </c>
      <c r="AA1024" s="2">
        <v>2.3369100348151899</v>
      </c>
      <c r="AB1024" s="2">
        <v>0.73114958247088502</v>
      </c>
      <c r="AC1024" s="2">
        <v>33697.981092913302</v>
      </c>
      <c r="AD1024" s="2">
        <v>69396.320008424402</v>
      </c>
      <c r="AE1024" s="2">
        <v>31190.003855085099</v>
      </c>
      <c r="AF1024" s="2">
        <v>29869.634555852499</v>
      </c>
      <c r="AG1024" s="2">
        <v>32226.2429637514</v>
      </c>
      <c r="AH1024" s="2">
        <v>34882.3909912284</v>
      </c>
      <c r="AI1024" s="2">
        <v>36121.658003567303</v>
      </c>
      <c r="AJ1024" s="2">
        <v>37897.956187994998</v>
      </c>
      <c r="AK1024" s="2">
        <v>72372.397288595806</v>
      </c>
      <c r="AL1024" s="2">
        <v>64925.560370329396</v>
      </c>
      <c r="AM1024" s="2">
        <v>66658.365570591894</v>
      </c>
      <c r="AN1024" s="2">
        <v>67480.405449993093</v>
      </c>
      <c r="AO1024" s="2">
        <v>77163.075773232806</v>
      </c>
      <c r="AP1024" s="2">
        <v>67778.115597803393</v>
      </c>
    </row>
    <row r="1025" spans="1:42" ht="14.5" x14ac:dyDescent="0.35">
      <c r="A1025" s="2" t="s">
        <v>7009</v>
      </c>
      <c r="B1025" s="2">
        <v>597.11166321613302</v>
      </c>
      <c r="C1025" s="2">
        <v>0.76995000000000002</v>
      </c>
      <c r="D1025" s="2" t="s">
        <v>70</v>
      </c>
      <c r="E1025" s="2" t="s">
        <v>7010</v>
      </c>
      <c r="F1025" s="2">
        <v>83372</v>
      </c>
      <c r="G1025" s="3" t="str">
        <f>HYPERLINK("http://funmeta.oebiotech.com/network/83372", "http://funmeta.oebiotech.com/network/83372")</f>
        <v>http://funmeta.oebiotech.com/network/83372</v>
      </c>
      <c r="H1025" s="2" t="s">
        <v>7011</v>
      </c>
      <c r="I1025" s="2">
        <v>64696</v>
      </c>
      <c r="J1025" s="2"/>
      <c r="K1025" s="2">
        <v>39708</v>
      </c>
      <c r="L1025" s="2" t="s">
        <v>7012</v>
      </c>
      <c r="M1025" s="2"/>
      <c r="N1025" s="2"/>
      <c r="O1025" s="2">
        <v>1369</v>
      </c>
      <c r="P1025" s="2" t="s">
        <v>7013</v>
      </c>
      <c r="Q1025" s="2" t="s">
        <v>7014</v>
      </c>
      <c r="R1025" s="2" t="s">
        <v>7015</v>
      </c>
      <c r="S1025" s="2" t="s">
        <v>148</v>
      </c>
      <c r="T1025" s="2" t="s">
        <v>6221</v>
      </c>
      <c r="U1025" s="2" t="s">
        <v>7016</v>
      </c>
      <c r="V1025" s="2" t="s">
        <v>59</v>
      </c>
      <c r="W1025" s="2">
        <v>37</v>
      </c>
      <c r="X1025" s="2">
        <v>0</v>
      </c>
      <c r="Y1025" s="2" t="s">
        <v>560</v>
      </c>
      <c r="Z1025" s="2" t="s">
        <v>7017</v>
      </c>
      <c r="AA1025" s="2">
        <v>-7.1706170942933802</v>
      </c>
      <c r="AB1025" s="2">
        <v>0.73026571185134603</v>
      </c>
      <c r="AC1025" s="2">
        <v>19971.744585427299</v>
      </c>
      <c r="AD1025" s="2">
        <v>57159.269886728602</v>
      </c>
      <c r="AE1025" s="2">
        <v>27560.6919376279</v>
      </c>
      <c r="AF1025" s="2">
        <v>19358.507142581198</v>
      </c>
      <c r="AG1025" s="2">
        <v>21951.595117386601</v>
      </c>
      <c r="AH1025" s="2">
        <v>13936.8989848115</v>
      </c>
      <c r="AI1025" s="2">
        <v>21021.609262815698</v>
      </c>
      <c r="AJ1025" s="2">
        <v>16001.1650673411</v>
      </c>
      <c r="AK1025" s="2">
        <v>48107.375025638299</v>
      </c>
      <c r="AL1025" s="2">
        <v>48652.503344487399</v>
      </c>
      <c r="AM1025" s="2">
        <v>49686.720620607601</v>
      </c>
      <c r="AN1025" s="2">
        <v>63944.996551428601</v>
      </c>
      <c r="AO1025" s="2">
        <v>63892.354683726902</v>
      </c>
      <c r="AP1025" s="2">
        <v>68671.669094482495</v>
      </c>
    </row>
    <row r="1026" spans="1:42" ht="14.5" x14ac:dyDescent="0.35">
      <c r="A1026" s="2" t="s">
        <v>7018</v>
      </c>
      <c r="B1026" s="2">
        <v>818.78420702041706</v>
      </c>
      <c r="C1026" s="2">
        <v>10.9720333333333</v>
      </c>
      <c r="D1026" s="2" t="s">
        <v>70</v>
      </c>
      <c r="E1026" s="2" t="s">
        <v>7019</v>
      </c>
      <c r="F1026" s="2">
        <v>48680</v>
      </c>
      <c r="G1026" s="3" t="str">
        <f>HYPERLINK("http://funmeta.oebiotech.com/network/48680", "http://funmeta.oebiotech.com/network/48680")</f>
        <v>http://funmeta.oebiotech.com/network/48680</v>
      </c>
      <c r="H1026" s="2" t="s">
        <v>7020</v>
      </c>
      <c r="I1026" s="2"/>
      <c r="J1026" s="2"/>
      <c r="K1026" s="2">
        <v>52965</v>
      </c>
      <c r="L1026" s="2"/>
      <c r="M1026" s="2"/>
      <c r="N1026" s="2"/>
      <c r="O1026" s="2">
        <v>25245165</v>
      </c>
      <c r="P1026" s="2" t="s">
        <v>7021</v>
      </c>
      <c r="Q1026" s="2" t="s">
        <v>7022</v>
      </c>
      <c r="R1026" s="2" t="s">
        <v>7023</v>
      </c>
      <c r="S1026" s="2" t="s">
        <v>79</v>
      </c>
      <c r="T1026" s="2" t="s">
        <v>80</v>
      </c>
      <c r="U1026" s="2" t="s">
        <v>2021</v>
      </c>
      <c r="V1026" s="2" t="s">
        <v>59</v>
      </c>
      <c r="W1026" s="2">
        <v>37.299999999999997</v>
      </c>
      <c r="X1026" s="2">
        <v>0</v>
      </c>
      <c r="Y1026" s="2" t="s">
        <v>118</v>
      </c>
      <c r="Z1026" s="2" t="s">
        <v>7024</v>
      </c>
      <c r="AA1026" s="2">
        <v>-3.1090928725553999</v>
      </c>
      <c r="AB1026" s="2">
        <v>0.72999250336871702</v>
      </c>
      <c r="AC1026" s="2">
        <v>196280.005304219</v>
      </c>
      <c r="AD1026" s="2">
        <v>154323.39172137401</v>
      </c>
      <c r="AE1026" s="2">
        <v>205162.675960553</v>
      </c>
      <c r="AF1026" s="2">
        <v>202569.21933985001</v>
      </c>
      <c r="AG1026" s="2">
        <v>198933.40286675599</v>
      </c>
      <c r="AH1026" s="2">
        <v>194367.72703036401</v>
      </c>
      <c r="AI1026" s="2">
        <v>191487.434228728</v>
      </c>
      <c r="AJ1026" s="2">
        <v>185159.572399061</v>
      </c>
      <c r="AK1026" s="2">
        <v>117993.31789110599</v>
      </c>
      <c r="AL1026" s="2">
        <v>146845.31904472801</v>
      </c>
      <c r="AM1026" s="2">
        <v>155433.342770463</v>
      </c>
      <c r="AN1026" s="2">
        <v>163007.362059134</v>
      </c>
      <c r="AO1026" s="2">
        <v>172609.45720146599</v>
      </c>
      <c r="AP1026" s="2">
        <v>170051.55136134801</v>
      </c>
    </row>
    <row r="1027" spans="1:42" ht="14.5" x14ac:dyDescent="0.35">
      <c r="A1027" s="2" t="s">
        <v>7025</v>
      </c>
      <c r="B1027" s="2">
        <v>219.04480316645501</v>
      </c>
      <c r="C1027" s="2">
        <v>0.71055000000000001</v>
      </c>
      <c r="D1027" s="2" t="s">
        <v>70</v>
      </c>
      <c r="E1027" s="2" t="s">
        <v>7026</v>
      </c>
      <c r="F1027" s="2">
        <v>204893</v>
      </c>
      <c r="G1027" s="3" t="str">
        <f>HYPERLINK("http://funmeta.oebiotech.com/network/204893", "http://funmeta.oebiotech.com/network/204893")</f>
        <v>http://funmeta.oebiotech.com/network/204893</v>
      </c>
      <c r="H1027" s="2" t="s">
        <v>7027</v>
      </c>
      <c r="I1027" s="2">
        <v>44297</v>
      </c>
      <c r="J1027" s="2"/>
      <c r="K1027" s="2"/>
      <c r="L1027" s="2"/>
      <c r="M1027" s="2"/>
      <c r="N1027" s="2"/>
      <c r="O1027" s="2">
        <v>5231</v>
      </c>
      <c r="P1027" s="2" t="s">
        <v>7028</v>
      </c>
      <c r="Q1027" s="2" t="s">
        <v>7029</v>
      </c>
      <c r="R1027" s="2" t="s">
        <v>7030</v>
      </c>
      <c r="S1027" s="2" t="s">
        <v>89</v>
      </c>
      <c r="T1027" s="2" t="s">
        <v>90</v>
      </c>
      <c r="U1027" s="2" t="s">
        <v>99</v>
      </c>
      <c r="V1027" s="2" t="s">
        <v>59</v>
      </c>
      <c r="W1027" s="2">
        <v>37.4</v>
      </c>
      <c r="X1027" s="2">
        <v>0</v>
      </c>
      <c r="Y1027" s="2" t="s">
        <v>118</v>
      </c>
      <c r="Z1027" s="2" t="s">
        <v>7031</v>
      </c>
      <c r="AA1027" s="2">
        <v>1.3711580871340501</v>
      </c>
      <c r="AB1027" s="2">
        <v>0.72975386914443996</v>
      </c>
      <c r="AC1027" s="2">
        <v>37606.236588296597</v>
      </c>
      <c r="AD1027" s="2">
        <v>50.569055156514601</v>
      </c>
      <c r="AE1027" s="2">
        <v>29070.592615744201</v>
      </c>
      <c r="AF1027" s="2">
        <v>49611.679545302897</v>
      </c>
      <c r="AG1027" s="2">
        <v>27760.506177487801</v>
      </c>
      <c r="AH1027" s="2">
        <v>49117.206339055701</v>
      </c>
      <c r="AI1027" s="2">
        <v>44253.261022616098</v>
      </c>
      <c r="AJ1027" s="2">
        <v>25824.173829573199</v>
      </c>
      <c r="AK1027" s="2">
        <v>2.7106294003980101E-5</v>
      </c>
      <c r="AL1027" s="2">
        <v>17.8799081963028</v>
      </c>
      <c r="AM1027" s="2">
        <v>71.802124666845799</v>
      </c>
      <c r="AN1027" s="2">
        <v>2.7106294003980101E-5</v>
      </c>
      <c r="AO1027" s="2">
        <v>0.400242424309256</v>
      </c>
      <c r="AP1027" s="2">
        <v>213.33200143904199</v>
      </c>
    </row>
    <row r="1028" spans="1:42" ht="14.5" x14ac:dyDescent="0.35">
      <c r="A1028" s="2" t="s">
        <v>7032</v>
      </c>
      <c r="B1028" s="2">
        <v>867.31922338955803</v>
      </c>
      <c r="C1028" s="2">
        <v>8.7225666666666708</v>
      </c>
      <c r="D1028" s="2" t="s">
        <v>70</v>
      </c>
      <c r="E1028" s="2" t="s">
        <v>7033</v>
      </c>
      <c r="F1028" s="2">
        <v>277175</v>
      </c>
      <c r="G1028" s="3" t="str">
        <f>HYPERLINK("http://funmeta.oebiotech.com/network/277175", "http://funmeta.oebiotech.com/network/277175")</f>
        <v>http://funmeta.oebiotech.com/network/277175</v>
      </c>
      <c r="H1028" s="2"/>
      <c r="I1028" s="2">
        <v>68905</v>
      </c>
      <c r="J1028" s="2"/>
      <c r="K1028" s="2"/>
      <c r="L1028" s="2" t="s">
        <v>7034</v>
      </c>
      <c r="M1028" s="2"/>
      <c r="N1028" s="2"/>
      <c r="O1028" s="2">
        <v>5281881</v>
      </c>
      <c r="P1028" s="2" t="s">
        <v>7035</v>
      </c>
      <c r="Q1028" s="2" t="s">
        <v>7036</v>
      </c>
      <c r="R1028" s="2" t="s">
        <v>7037</v>
      </c>
      <c r="S1028" s="2" t="s">
        <v>491</v>
      </c>
      <c r="T1028" s="2" t="s">
        <v>7038</v>
      </c>
      <c r="U1028" s="2" t="s">
        <v>7039</v>
      </c>
      <c r="V1028" s="2" t="s">
        <v>59</v>
      </c>
      <c r="W1028" s="2">
        <v>36.5</v>
      </c>
      <c r="X1028" s="2">
        <v>0</v>
      </c>
      <c r="Y1028" s="2" t="s">
        <v>560</v>
      </c>
      <c r="Z1028" s="2" t="s">
        <v>7040</v>
      </c>
      <c r="AA1028" s="2">
        <v>-1.6564712464803399</v>
      </c>
      <c r="AB1028" s="2">
        <v>0.72890396921882505</v>
      </c>
      <c r="AC1028" s="2">
        <v>70643.9308697503</v>
      </c>
      <c r="AD1028" s="2">
        <v>35336.810500896703</v>
      </c>
      <c r="AE1028" s="2">
        <v>75610.551050786904</v>
      </c>
      <c r="AF1028" s="2">
        <v>69671.920237756407</v>
      </c>
      <c r="AG1028" s="2">
        <v>69773.103790254507</v>
      </c>
      <c r="AH1028" s="2">
        <v>67722.536167925005</v>
      </c>
      <c r="AI1028" s="2">
        <v>69563.399021130404</v>
      </c>
      <c r="AJ1028" s="2">
        <v>71522.074950648603</v>
      </c>
      <c r="AK1028" s="2">
        <v>31659.958117230599</v>
      </c>
      <c r="AL1028" s="2">
        <v>40141.992175183703</v>
      </c>
      <c r="AM1028" s="2">
        <v>38749.349703113498</v>
      </c>
      <c r="AN1028" s="2">
        <v>35168.720467384897</v>
      </c>
      <c r="AO1028" s="2">
        <v>31103.431924663801</v>
      </c>
      <c r="AP1028" s="2">
        <v>35197.410617803398</v>
      </c>
    </row>
    <row r="1029" spans="1:42" ht="14.5" x14ac:dyDescent="0.35">
      <c r="A1029" s="2" t="s">
        <v>7041</v>
      </c>
      <c r="B1029" s="2">
        <v>711.21382960241795</v>
      </c>
      <c r="C1029" s="2">
        <v>3.0346333333333302</v>
      </c>
      <c r="D1029" s="2" t="s">
        <v>70</v>
      </c>
      <c r="E1029" s="2" t="s">
        <v>7042</v>
      </c>
      <c r="F1029" s="2">
        <v>200957</v>
      </c>
      <c r="G1029" s="3" t="str">
        <f>HYPERLINK("http://funmeta.oebiotech.com/network/200957", "http://funmeta.oebiotech.com/network/200957")</f>
        <v>http://funmeta.oebiotech.com/network/200957</v>
      </c>
      <c r="H1029" s="2" t="s">
        <v>7043</v>
      </c>
      <c r="I1029" s="2"/>
      <c r="J1029" s="2"/>
      <c r="K1029" s="2"/>
      <c r="L1029" s="2"/>
      <c r="M1029" s="2"/>
      <c r="N1029" s="2"/>
      <c r="O1029" s="2">
        <v>73814627</v>
      </c>
      <c r="P1029" s="2"/>
      <c r="Q1029" s="2" t="s">
        <v>7044</v>
      </c>
      <c r="R1029" s="2" t="s">
        <v>7045</v>
      </c>
      <c r="S1029" s="2" t="s">
        <v>115</v>
      </c>
      <c r="T1029" s="2" t="s">
        <v>116</v>
      </c>
      <c r="U1029" s="2" t="s">
        <v>117</v>
      </c>
      <c r="V1029" s="2" t="s">
        <v>59</v>
      </c>
      <c r="W1029" s="2">
        <v>45.7</v>
      </c>
      <c r="X1029" s="2">
        <v>31.6</v>
      </c>
      <c r="Y1029" s="2" t="s">
        <v>286</v>
      </c>
      <c r="Z1029" s="2" t="s">
        <v>1510</v>
      </c>
      <c r="AA1029" s="2">
        <v>-0.53796247731250402</v>
      </c>
      <c r="AB1029" s="2">
        <v>0.72725968187731604</v>
      </c>
      <c r="AC1029" s="2">
        <v>1155542.6153834099</v>
      </c>
      <c r="AD1029" s="2">
        <v>1218591.03519082</v>
      </c>
      <c r="AE1029" s="2">
        <v>1157730.4753356599</v>
      </c>
      <c r="AF1029" s="2">
        <v>1118319.0831798699</v>
      </c>
      <c r="AG1029" s="2">
        <v>1180042.5003620801</v>
      </c>
      <c r="AH1029" s="2">
        <v>1133534.5671642299</v>
      </c>
      <c r="AI1029" s="2">
        <v>1125955.4217550401</v>
      </c>
      <c r="AJ1029" s="2">
        <v>1217673.6445035799</v>
      </c>
      <c r="AK1029" s="2">
        <v>1234699.01860652</v>
      </c>
      <c r="AL1029" s="2">
        <v>1136377.14979677</v>
      </c>
      <c r="AM1029" s="2">
        <v>1315512.9450861099</v>
      </c>
      <c r="AN1029" s="2">
        <v>1215768.66324801</v>
      </c>
      <c r="AO1029" s="2">
        <v>1162398.16372117</v>
      </c>
      <c r="AP1029" s="2">
        <v>1246790.2706863601</v>
      </c>
    </row>
    <row r="1030" spans="1:42" ht="14.5" x14ac:dyDescent="0.35">
      <c r="A1030" s="2" t="s">
        <v>7046</v>
      </c>
      <c r="B1030" s="2">
        <v>413.30468791009503</v>
      </c>
      <c r="C1030" s="2">
        <v>5.5068333333333301</v>
      </c>
      <c r="D1030" s="2" t="s">
        <v>34</v>
      </c>
      <c r="E1030" s="2" t="s">
        <v>7047</v>
      </c>
      <c r="F1030" s="2">
        <v>51404</v>
      </c>
      <c r="G1030" s="3" t="str">
        <f>HYPERLINK("http://funmeta.oebiotech.com/network/51404", "http://funmeta.oebiotech.com/network/51404")</f>
        <v>http://funmeta.oebiotech.com/network/51404</v>
      </c>
      <c r="H1030" s="2" t="s">
        <v>7048</v>
      </c>
      <c r="I1030" s="2">
        <v>62372</v>
      </c>
      <c r="J1030" s="2"/>
      <c r="K1030" s="2"/>
      <c r="L1030" s="2"/>
      <c r="M1030" s="2"/>
      <c r="N1030" s="2"/>
      <c r="O1030" s="2">
        <v>53480998</v>
      </c>
      <c r="P1030" s="2"/>
      <c r="Q1030" s="2" t="s">
        <v>7049</v>
      </c>
      <c r="R1030" s="2" t="s">
        <v>7050</v>
      </c>
      <c r="S1030" s="2" t="s">
        <v>50</v>
      </c>
      <c r="T1030" s="2" t="s">
        <v>448</v>
      </c>
      <c r="U1030" s="2" t="s">
        <v>7051</v>
      </c>
      <c r="V1030" s="2" t="s">
        <v>42</v>
      </c>
      <c r="W1030" s="2">
        <v>51.7</v>
      </c>
      <c r="X1030" s="2">
        <v>65.2</v>
      </c>
      <c r="Y1030" s="2" t="s">
        <v>266</v>
      </c>
      <c r="Z1030" s="2" t="s">
        <v>7052</v>
      </c>
      <c r="AA1030" s="2">
        <v>-0.77540934658077698</v>
      </c>
      <c r="AB1030" s="2">
        <v>0.72722480168733405</v>
      </c>
      <c r="AC1030" s="2">
        <v>124857.88432254799</v>
      </c>
      <c r="AD1030" s="2">
        <v>160978.01652935499</v>
      </c>
      <c r="AE1030" s="2">
        <v>113907.84121007301</v>
      </c>
      <c r="AF1030" s="2">
        <v>128261.738058323</v>
      </c>
      <c r="AG1030" s="2">
        <v>125851.845319203</v>
      </c>
      <c r="AH1030" s="2">
        <v>126325.523582023</v>
      </c>
      <c r="AI1030" s="2">
        <v>131893.36566692</v>
      </c>
      <c r="AJ1030" s="2">
        <v>122906.992098745</v>
      </c>
      <c r="AK1030" s="2">
        <v>152241.988165093</v>
      </c>
      <c r="AL1030" s="2">
        <v>163064.69204664699</v>
      </c>
      <c r="AM1030" s="2">
        <v>156612.81495162699</v>
      </c>
      <c r="AN1030" s="2">
        <v>166994.59431724501</v>
      </c>
      <c r="AO1030" s="2">
        <v>160584.46798339699</v>
      </c>
      <c r="AP1030" s="2">
        <v>166369.54171212099</v>
      </c>
    </row>
    <row r="1031" spans="1:42" ht="14.5" x14ac:dyDescent="0.35">
      <c r="A1031" s="2" t="s">
        <v>7053</v>
      </c>
      <c r="B1031" s="2">
        <v>344.090748795948</v>
      </c>
      <c r="C1031" s="2">
        <v>0.78071666666666695</v>
      </c>
      <c r="D1031" s="2" t="s">
        <v>34</v>
      </c>
      <c r="E1031" s="2" t="s">
        <v>7054</v>
      </c>
      <c r="F1031" s="2">
        <v>53215</v>
      </c>
      <c r="G1031" s="3" t="str">
        <f>HYPERLINK("http://funmeta.oebiotech.com/network/53215", "http://funmeta.oebiotech.com/network/53215")</f>
        <v>http://funmeta.oebiotech.com/network/53215</v>
      </c>
      <c r="H1031" s="2" t="s">
        <v>7055</v>
      </c>
      <c r="I1031" s="2">
        <v>85038</v>
      </c>
      <c r="J1031" s="2"/>
      <c r="K1031" s="2">
        <v>10102</v>
      </c>
      <c r="L1031" s="2" t="s">
        <v>7056</v>
      </c>
      <c r="M1031" s="2"/>
      <c r="N1031" s="2"/>
      <c r="O1031" s="2">
        <v>5719</v>
      </c>
      <c r="P1031" s="2" t="s">
        <v>7057</v>
      </c>
      <c r="Q1031" s="2" t="s">
        <v>7058</v>
      </c>
      <c r="R1031" s="2" t="s">
        <v>7059</v>
      </c>
      <c r="S1031" s="2" t="s">
        <v>491</v>
      </c>
      <c r="T1031" s="2" t="s">
        <v>4517</v>
      </c>
      <c r="U1031" s="2" t="s">
        <v>4518</v>
      </c>
      <c r="V1031" s="2" t="s">
        <v>59</v>
      </c>
      <c r="W1031" s="2">
        <v>38.6</v>
      </c>
      <c r="X1031" s="2">
        <v>0</v>
      </c>
      <c r="Y1031" s="2" t="s">
        <v>340</v>
      </c>
      <c r="Z1031" s="2" t="s">
        <v>7060</v>
      </c>
      <c r="AA1031" s="2">
        <v>-0.227474172520999</v>
      </c>
      <c r="AB1031" s="2">
        <v>0.72715804188501398</v>
      </c>
      <c r="AC1031" s="2">
        <v>178648.03680514201</v>
      </c>
      <c r="AD1031" s="2">
        <v>216716.75289413001</v>
      </c>
      <c r="AE1031" s="2">
        <v>176074.65402227899</v>
      </c>
      <c r="AF1031" s="2">
        <v>181202.03341977601</v>
      </c>
      <c r="AG1031" s="2">
        <v>194121.986693018</v>
      </c>
      <c r="AH1031" s="2">
        <v>157204.066091638</v>
      </c>
      <c r="AI1031" s="2">
        <v>177829.80447420201</v>
      </c>
      <c r="AJ1031" s="2">
        <v>185455.67612994</v>
      </c>
      <c r="AK1031" s="2">
        <v>218855.85904742201</v>
      </c>
      <c r="AL1031" s="2">
        <v>212660.30278558299</v>
      </c>
      <c r="AM1031" s="2">
        <v>217025.63367194001</v>
      </c>
      <c r="AN1031" s="2">
        <v>221548.582590784</v>
      </c>
      <c r="AO1031" s="2">
        <v>209575.44180058301</v>
      </c>
      <c r="AP1031" s="2">
        <v>220634.69746846799</v>
      </c>
    </row>
    <row r="1032" spans="1:42" ht="14.5" x14ac:dyDescent="0.35">
      <c r="A1032" s="2" t="s">
        <v>7061</v>
      </c>
      <c r="B1032" s="2">
        <v>815.29756568530297</v>
      </c>
      <c r="C1032" s="2">
        <v>4.2044333333333297</v>
      </c>
      <c r="D1032" s="2" t="s">
        <v>70</v>
      </c>
      <c r="E1032" s="2" t="s">
        <v>7062</v>
      </c>
      <c r="F1032" s="2">
        <v>211122</v>
      </c>
      <c r="G1032" s="3" t="str">
        <f>HYPERLINK("http://funmeta.oebiotech.com/network/211122", "http://funmeta.oebiotech.com/network/211122")</f>
        <v>http://funmeta.oebiotech.com/network/211122</v>
      </c>
      <c r="H1032" s="2" t="s">
        <v>7063</v>
      </c>
      <c r="I1032" s="2"/>
      <c r="J1032" s="2"/>
      <c r="K1032" s="2"/>
      <c r="L1032" s="2"/>
      <c r="M1032" s="2"/>
      <c r="N1032" s="2"/>
      <c r="O1032" s="2"/>
      <c r="P1032" s="2"/>
      <c r="Q1032" s="2" t="s">
        <v>7064</v>
      </c>
      <c r="R1032" s="2" t="s">
        <v>7065</v>
      </c>
      <c r="S1032" s="2" t="s">
        <v>41</v>
      </c>
      <c r="T1032" s="2" t="s">
        <v>41</v>
      </c>
      <c r="U1032" s="2" t="s">
        <v>41</v>
      </c>
      <c r="V1032" s="2" t="s">
        <v>59</v>
      </c>
      <c r="W1032" s="2">
        <v>37.6</v>
      </c>
      <c r="X1032" s="2">
        <v>0</v>
      </c>
      <c r="Y1032" s="2" t="s">
        <v>560</v>
      </c>
      <c r="Z1032" s="2" t="s">
        <v>7066</v>
      </c>
      <c r="AA1032" s="2">
        <v>0.64319493646951098</v>
      </c>
      <c r="AB1032" s="2">
        <v>0.72636316813781199</v>
      </c>
      <c r="AC1032" s="2">
        <v>63105.050655144303</v>
      </c>
      <c r="AD1032" s="2">
        <v>27376.767517746499</v>
      </c>
      <c r="AE1032" s="2">
        <v>73636.570303056098</v>
      </c>
      <c r="AF1032" s="2">
        <v>54212.7899354166</v>
      </c>
      <c r="AG1032" s="2">
        <v>63711.839192480496</v>
      </c>
      <c r="AH1032" s="2">
        <v>63648.225165282704</v>
      </c>
      <c r="AI1032" s="2">
        <v>61107.292570912003</v>
      </c>
      <c r="AJ1032" s="2">
        <v>62313.5867637181</v>
      </c>
      <c r="AK1032" s="2">
        <v>23025.538964027401</v>
      </c>
      <c r="AL1032" s="2">
        <v>32467.559195803002</v>
      </c>
      <c r="AM1032" s="2">
        <v>25218.055973200098</v>
      </c>
      <c r="AN1032" s="2">
        <v>28247.1065038171</v>
      </c>
      <c r="AO1032" s="2">
        <v>29955.9306281684</v>
      </c>
      <c r="AP1032" s="2">
        <v>25346.413841463302</v>
      </c>
    </row>
    <row r="1033" spans="1:42" ht="14.5" x14ac:dyDescent="0.35">
      <c r="A1033" s="2" t="s">
        <v>7067</v>
      </c>
      <c r="B1033" s="2">
        <v>343.19128236300799</v>
      </c>
      <c r="C1033" s="2">
        <v>9.4292666666666705</v>
      </c>
      <c r="D1033" s="2" t="s">
        <v>70</v>
      </c>
      <c r="E1033" s="2" t="s">
        <v>7068</v>
      </c>
      <c r="F1033" s="2">
        <v>45109</v>
      </c>
      <c r="G1033" s="3" t="str">
        <f>HYPERLINK("http://funmeta.oebiotech.com/network/45109", "http://funmeta.oebiotech.com/network/45109")</f>
        <v>http://funmeta.oebiotech.com/network/45109</v>
      </c>
      <c r="H1033" s="2"/>
      <c r="I1033" s="2"/>
      <c r="J1033" s="2" t="s">
        <v>7069</v>
      </c>
      <c r="K1033" s="2"/>
      <c r="L1033" s="2"/>
      <c r="M1033" s="2"/>
      <c r="N1033" s="2"/>
      <c r="O1033" s="2"/>
      <c r="P1033" s="2"/>
      <c r="Q1033" s="2" t="s">
        <v>7070</v>
      </c>
      <c r="R1033" s="2" t="s">
        <v>7071</v>
      </c>
      <c r="S1033" s="2" t="s">
        <v>50</v>
      </c>
      <c r="T1033" s="2" t="s">
        <v>124</v>
      </c>
      <c r="U1033" s="2" t="s">
        <v>929</v>
      </c>
      <c r="V1033" s="2" t="s">
        <v>59</v>
      </c>
      <c r="W1033" s="2">
        <v>47.7</v>
      </c>
      <c r="X1033" s="2">
        <v>43</v>
      </c>
      <c r="Y1033" s="2" t="s">
        <v>118</v>
      </c>
      <c r="Z1033" s="2" t="s">
        <v>7072</v>
      </c>
      <c r="AA1033" s="2">
        <v>-0.58274815626852305</v>
      </c>
      <c r="AB1033" s="2">
        <v>0.72635671892516396</v>
      </c>
      <c r="AC1033" s="2">
        <v>37104.204742370399</v>
      </c>
      <c r="AD1033" s="2">
        <v>2367.9216554475202</v>
      </c>
      <c r="AE1033" s="2">
        <v>36712.398614969301</v>
      </c>
      <c r="AF1033" s="2">
        <v>37800.573973246101</v>
      </c>
      <c r="AG1033" s="2">
        <v>40752.044875818501</v>
      </c>
      <c r="AH1033" s="2">
        <v>33479.603643102797</v>
      </c>
      <c r="AI1033" s="2">
        <v>36746.6564693076</v>
      </c>
      <c r="AJ1033" s="2">
        <v>37133.950877777897</v>
      </c>
      <c r="AK1033" s="2">
        <v>1620.4037250859601</v>
      </c>
      <c r="AL1033" s="2">
        <v>2282.1702680519002</v>
      </c>
      <c r="AM1033" s="2">
        <v>2297.6660023048998</v>
      </c>
      <c r="AN1033" s="2">
        <v>2096.3761672084302</v>
      </c>
      <c r="AO1033" s="2">
        <v>3300.6896589450198</v>
      </c>
      <c r="AP1033" s="2">
        <v>2610.2241110889299</v>
      </c>
    </row>
    <row r="1034" spans="1:42" ht="14.5" x14ac:dyDescent="0.35">
      <c r="A1034" s="2" t="s">
        <v>7073</v>
      </c>
      <c r="B1034" s="2">
        <v>359.22131698506797</v>
      </c>
      <c r="C1034" s="2">
        <v>5.2493499999999997</v>
      </c>
      <c r="D1034" s="2" t="s">
        <v>34</v>
      </c>
      <c r="E1034" s="2" t="s">
        <v>7074</v>
      </c>
      <c r="F1034" s="2">
        <v>204509</v>
      </c>
      <c r="G1034" s="3" t="str">
        <f>HYPERLINK("http://funmeta.oebiotech.com/network/204509", "http://funmeta.oebiotech.com/network/204509")</f>
        <v>http://funmeta.oebiotech.com/network/204509</v>
      </c>
      <c r="H1034" s="2" t="s">
        <v>7075</v>
      </c>
      <c r="I1034" s="2"/>
      <c r="J1034" s="2"/>
      <c r="K1034" s="2">
        <v>143459</v>
      </c>
      <c r="L1034" s="2"/>
      <c r="M1034" s="2"/>
      <c r="N1034" s="2"/>
      <c r="O1034" s="2">
        <v>4872</v>
      </c>
      <c r="P1034" s="2"/>
      <c r="Q1034" s="2" t="s">
        <v>7076</v>
      </c>
      <c r="R1034" s="2" t="s">
        <v>7077</v>
      </c>
      <c r="S1034" s="2" t="s">
        <v>50</v>
      </c>
      <c r="T1034" s="2" t="s">
        <v>124</v>
      </c>
      <c r="U1034" s="2" t="s">
        <v>2373</v>
      </c>
      <c r="V1034" s="2" t="s">
        <v>42</v>
      </c>
      <c r="W1034" s="2">
        <v>52.9</v>
      </c>
      <c r="X1034" s="2">
        <v>70.5</v>
      </c>
      <c r="Y1034" s="2" t="s">
        <v>266</v>
      </c>
      <c r="Z1034" s="2" t="s">
        <v>7078</v>
      </c>
      <c r="AA1034" s="2">
        <v>-1.0297946201188399</v>
      </c>
      <c r="AB1034" s="2">
        <v>0.72481262908627198</v>
      </c>
      <c r="AC1034" s="2">
        <v>101999.488490323</v>
      </c>
      <c r="AD1034" s="2">
        <v>66628.282288375805</v>
      </c>
      <c r="AE1034" s="2">
        <v>107139.89057582901</v>
      </c>
      <c r="AF1034" s="2">
        <v>97114.523036540399</v>
      </c>
      <c r="AG1034" s="2">
        <v>102622.96358200299</v>
      </c>
      <c r="AH1034" s="2">
        <v>103227.44541555901</v>
      </c>
      <c r="AI1034" s="2">
        <v>99692.637028133599</v>
      </c>
      <c r="AJ1034" s="2">
        <v>102199.471303873</v>
      </c>
      <c r="AK1034" s="2">
        <v>62874.443111687397</v>
      </c>
      <c r="AL1034" s="2">
        <v>73248.272302798607</v>
      </c>
      <c r="AM1034" s="2">
        <v>64932.946060132701</v>
      </c>
      <c r="AN1034" s="2">
        <v>70073.895351621293</v>
      </c>
      <c r="AO1034" s="2">
        <v>69929.871852350698</v>
      </c>
      <c r="AP1034" s="2">
        <v>58710.265051664297</v>
      </c>
    </row>
    <row r="1035" spans="1:42" ht="14.5" x14ac:dyDescent="0.35">
      <c r="A1035" s="2" t="s">
        <v>7079</v>
      </c>
      <c r="B1035" s="2">
        <v>671.433582181048</v>
      </c>
      <c r="C1035" s="2">
        <v>12.881083333333301</v>
      </c>
      <c r="D1035" s="2" t="s">
        <v>34</v>
      </c>
      <c r="E1035" s="2" t="s">
        <v>7080</v>
      </c>
      <c r="F1035" s="2">
        <v>266929</v>
      </c>
      <c r="G1035" s="3" t="str">
        <f>HYPERLINK("http://funmeta.oebiotech.com/network/266929", "http://funmeta.oebiotech.com/network/266929")</f>
        <v>http://funmeta.oebiotech.com/network/266929</v>
      </c>
      <c r="H1035" s="2"/>
      <c r="I1035" s="2">
        <v>44322</v>
      </c>
      <c r="J1035" s="2"/>
      <c r="K1035" s="2"/>
      <c r="L1035" s="2" t="s">
        <v>7081</v>
      </c>
      <c r="M1035" s="2"/>
      <c r="N1035" s="2"/>
      <c r="O1035" s="2">
        <v>441145</v>
      </c>
      <c r="P1035" s="2" t="s">
        <v>7082</v>
      </c>
      <c r="Q1035" s="2" t="s">
        <v>7083</v>
      </c>
      <c r="R1035" s="2" t="s">
        <v>7084</v>
      </c>
      <c r="S1035" s="2" t="s">
        <v>50</v>
      </c>
      <c r="T1035" s="2" t="s">
        <v>229</v>
      </c>
      <c r="U1035" s="2" t="s">
        <v>433</v>
      </c>
      <c r="V1035" s="2" t="s">
        <v>59</v>
      </c>
      <c r="W1035" s="2">
        <v>36.1</v>
      </c>
      <c r="X1035" s="2">
        <v>0</v>
      </c>
      <c r="Y1035" s="2" t="s">
        <v>394</v>
      </c>
      <c r="Z1035" s="2" t="s">
        <v>7085</v>
      </c>
      <c r="AA1035" s="2">
        <v>-4.3361094587256197</v>
      </c>
      <c r="AB1035" s="2">
        <v>0.72443629053580805</v>
      </c>
      <c r="AC1035" s="2">
        <v>22.762370799567101</v>
      </c>
      <c r="AD1035" s="2">
        <v>34705.211601380601</v>
      </c>
      <c r="AE1035" s="2">
        <v>0.33570701544548698</v>
      </c>
      <c r="AF1035" s="2">
        <v>9.0537716080620196</v>
      </c>
      <c r="AG1035" s="2">
        <v>8.3487508530614395E-3</v>
      </c>
      <c r="AH1035" s="2">
        <v>119.71243521208</v>
      </c>
      <c r="AI1035" s="2">
        <v>6.7929074161563099</v>
      </c>
      <c r="AJ1035" s="2">
        <v>0.67105479480560104</v>
      </c>
      <c r="AK1035" s="2">
        <v>31103.9686173054</v>
      </c>
      <c r="AL1035" s="2">
        <v>31976.6804529316</v>
      </c>
      <c r="AM1035" s="2">
        <v>40269.7133262184</v>
      </c>
      <c r="AN1035" s="2">
        <v>34535.323040506897</v>
      </c>
      <c r="AO1035" s="2">
        <v>33482.536834041603</v>
      </c>
      <c r="AP1035" s="2">
        <v>36863.047337279597</v>
      </c>
    </row>
    <row r="1036" spans="1:42" ht="14.5" x14ac:dyDescent="0.35">
      <c r="A1036" s="2" t="s">
        <v>7086</v>
      </c>
      <c r="B1036" s="2">
        <v>1117.49949458429</v>
      </c>
      <c r="C1036" s="2">
        <v>6.5568666666666697</v>
      </c>
      <c r="D1036" s="2" t="s">
        <v>70</v>
      </c>
      <c r="E1036" s="2" t="s">
        <v>7087</v>
      </c>
      <c r="F1036" s="2">
        <v>243897</v>
      </c>
      <c r="G1036" s="3" t="str">
        <f>HYPERLINK("http://funmeta.oebiotech.com/network/243897", "http://funmeta.oebiotech.com/network/243897")</f>
        <v>http://funmeta.oebiotech.com/network/243897</v>
      </c>
      <c r="H1036" s="2" t="s">
        <v>7088</v>
      </c>
      <c r="I1036" s="2"/>
      <c r="J1036" s="2"/>
      <c r="K1036" s="2"/>
      <c r="L1036" s="2"/>
      <c r="M1036" s="2"/>
      <c r="N1036" s="2"/>
      <c r="O1036" s="2"/>
      <c r="P1036" s="2"/>
      <c r="Q1036" s="2" t="s">
        <v>7089</v>
      </c>
      <c r="R1036" s="2" t="s">
        <v>7090</v>
      </c>
      <c r="S1036" s="2" t="s">
        <v>41</v>
      </c>
      <c r="T1036" s="2" t="s">
        <v>41</v>
      </c>
      <c r="U1036" s="2" t="s">
        <v>41</v>
      </c>
      <c r="V1036" s="2" t="s">
        <v>59</v>
      </c>
      <c r="W1036" s="2">
        <v>37.5</v>
      </c>
      <c r="X1036" s="2">
        <v>0</v>
      </c>
      <c r="Y1036" s="2" t="s">
        <v>751</v>
      </c>
      <c r="Z1036" s="2" t="s">
        <v>7091</v>
      </c>
      <c r="AA1036" s="2">
        <v>3.5455062184977102</v>
      </c>
      <c r="AB1036" s="2">
        <v>0.72330898874937499</v>
      </c>
      <c r="AC1036" s="2">
        <v>64900.3652420008</v>
      </c>
      <c r="AD1036" s="2">
        <v>28742.699626874499</v>
      </c>
      <c r="AE1036" s="2">
        <v>62439.055779447597</v>
      </c>
      <c r="AF1036" s="2">
        <v>58025.747940834299</v>
      </c>
      <c r="AG1036" s="2">
        <v>71867.552694500497</v>
      </c>
      <c r="AH1036" s="2">
        <v>61083.5166863985</v>
      </c>
      <c r="AI1036" s="2">
        <v>63704.991097006001</v>
      </c>
      <c r="AJ1036" s="2">
        <v>72281.327253817901</v>
      </c>
      <c r="AK1036" s="2">
        <v>27465.391709311702</v>
      </c>
      <c r="AL1036" s="2">
        <v>40228.658146547103</v>
      </c>
      <c r="AM1036" s="2">
        <v>32742.418140666501</v>
      </c>
      <c r="AN1036" s="2">
        <v>21161.580565789602</v>
      </c>
      <c r="AO1036" s="2">
        <v>30233.524578754001</v>
      </c>
      <c r="AP1036" s="2">
        <v>20624.624620177899</v>
      </c>
    </row>
    <row r="1037" spans="1:42" ht="14.5" x14ac:dyDescent="0.35">
      <c r="A1037" s="2" t="s">
        <v>7092</v>
      </c>
      <c r="B1037" s="2">
        <v>489.24809425393499</v>
      </c>
      <c r="C1037" s="2">
        <v>8.9527166666666709</v>
      </c>
      <c r="D1037" s="2" t="s">
        <v>34</v>
      </c>
      <c r="E1037" s="2" t="s">
        <v>7093</v>
      </c>
      <c r="F1037" s="2">
        <v>46646</v>
      </c>
      <c r="G1037" s="3" t="str">
        <f>HYPERLINK("http://funmeta.oebiotech.com/network/46646", "http://funmeta.oebiotech.com/network/46646")</f>
        <v>http://funmeta.oebiotech.com/network/46646</v>
      </c>
      <c r="H1037" s="2" t="s">
        <v>7094</v>
      </c>
      <c r="I1037" s="2">
        <v>57949</v>
      </c>
      <c r="J1037" s="2" t="s">
        <v>7095</v>
      </c>
      <c r="K1037" s="2"/>
      <c r="L1037" s="2"/>
      <c r="M1037" s="2"/>
      <c r="N1037" s="2"/>
      <c r="O1037" s="2">
        <v>42621273</v>
      </c>
      <c r="P1037" s="2" t="s">
        <v>7096</v>
      </c>
      <c r="Q1037" s="2" t="s">
        <v>7097</v>
      </c>
      <c r="R1037" s="2" t="s">
        <v>7098</v>
      </c>
      <c r="S1037" s="2" t="s">
        <v>50</v>
      </c>
      <c r="T1037" s="2" t="s">
        <v>124</v>
      </c>
      <c r="U1037" s="2" t="s">
        <v>523</v>
      </c>
      <c r="V1037" s="2" t="s">
        <v>59</v>
      </c>
      <c r="W1037" s="2">
        <v>44.3</v>
      </c>
      <c r="X1037" s="2">
        <v>27.8</v>
      </c>
      <c r="Y1037" s="2" t="s">
        <v>266</v>
      </c>
      <c r="Z1037" s="2" t="s">
        <v>7099</v>
      </c>
      <c r="AA1037" s="2">
        <v>-0.39563484151131101</v>
      </c>
      <c r="AB1037" s="2">
        <v>0.722155777854942</v>
      </c>
      <c r="AC1037" s="2">
        <v>61171.857348509402</v>
      </c>
      <c r="AD1037" s="2">
        <v>26859.460765170701</v>
      </c>
      <c r="AE1037" s="2">
        <v>61925.429896379203</v>
      </c>
      <c r="AF1037" s="2">
        <v>63697.657148182203</v>
      </c>
      <c r="AG1037" s="2">
        <v>60439.560133760402</v>
      </c>
      <c r="AH1037" s="2">
        <v>60481.465381148802</v>
      </c>
      <c r="AI1037" s="2">
        <v>57177.562899856399</v>
      </c>
      <c r="AJ1037" s="2">
        <v>63309.468631729498</v>
      </c>
      <c r="AK1037" s="2">
        <v>27853.426795012401</v>
      </c>
      <c r="AL1037" s="2">
        <v>26537.494086199</v>
      </c>
      <c r="AM1037" s="2">
        <v>26927.966051106501</v>
      </c>
      <c r="AN1037" s="2">
        <v>25762.670364174701</v>
      </c>
      <c r="AO1037" s="2">
        <v>26186.292051691202</v>
      </c>
      <c r="AP1037" s="2">
        <v>27888.9152428405</v>
      </c>
    </row>
    <row r="1038" spans="1:42" ht="14.5" x14ac:dyDescent="0.35">
      <c r="A1038" s="2" t="s">
        <v>7100</v>
      </c>
      <c r="B1038" s="2">
        <v>369.042784237197</v>
      </c>
      <c r="C1038" s="2">
        <v>0.98194999999999999</v>
      </c>
      <c r="D1038" s="2" t="s">
        <v>70</v>
      </c>
      <c r="E1038" s="2" t="s">
        <v>7101</v>
      </c>
      <c r="F1038" s="2">
        <v>198964</v>
      </c>
      <c r="G1038" s="3" t="str">
        <f>HYPERLINK("http://funmeta.oebiotech.com/network/198964", "http://funmeta.oebiotech.com/network/198964")</f>
        <v>http://funmeta.oebiotech.com/network/198964</v>
      </c>
      <c r="H1038" s="2" t="s">
        <v>7102</v>
      </c>
      <c r="I1038" s="2"/>
      <c r="J1038" s="2"/>
      <c r="K1038" s="2"/>
      <c r="L1038" s="2"/>
      <c r="M1038" s="2"/>
      <c r="N1038" s="2"/>
      <c r="O1038" s="2">
        <v>306129</v>
      </c>
      <c r="P1038" s="2"/>
      <c r="Q1038" s="2" t="s">
        <v>7103</v>
      </c>
      <c r="R1038" s="2" t="s">
        <v>7104</v>
      </c>
      <c r="S1038" s="2" t="s">
        <v>89</v>
      </c>
      <c r="T1038" s="2" t="s">
        <v>90</v>
      </c>
      <c r="U1038" s="2" t="s">
        <v>99</v>
      </c>
      <c r="V1038" s="2" t="s">
        <v>59</v>
      </c>
      <c r="W1038" s="2">
        <v>43.5</v>
      </c>
      <c r="X1038" s="2">
        <v>29.6</v>
      </c>
      <c r="Y1038" s="2" t="s">
        <v>408</v>
      </c>
      <c r="Z1038" s="2" t="s">
        <v>7105</v>
      </c>
      <c r="AA1038" s="2">
        <v>-1.2247462849100801</v>
      </c>
      <c r="AB1038" s="2">
        <v>0.72116683995301001</v>
      </c>
      <c r="AC1038" s="2">
        <v>71137.777883414601</v>
      </c>
      <c r="AD1038" s="2">
        <v>112030.730602681</v>
      </c>
      <c r="AE1038" s="2">
        <v>71596.782516030595</v>
      </c>
      <c r="AF1038" s="2">
        <v>58965.0035583309</v>
      </c>
      <c r="AG1038" s="2">
        <v>69616.515706520004</v>
      </c>
      <c r="AH1038" s="2">
        <v>68060.027064709095</v>
      </c>
      <c r="AI1038" s="2">
        <v>67904.910910287494</v>
      </c>
      <c r="AJ1038" s="2">
        <v>90683.427544609804</v>
      </c>
      <c r="AK1038" s="2">
        <v>96645.859350022496</v>
      </c>
      <c r="AL1038" s="2">
        <v>145031.56633238899</v>
      </c>
      <c r="AM1038" s="2">
        <v>104028.127965358</v>
      </c>
      <c r="AN1038" s="2">
        <v>119699.24527340601</v>
      </c>
      <c r="AO1038" s="2">
        <v>103911.13272527599</v>
      </c>
      <c r="AP1038" s="2">
        <v>102868.451969635</v>
      </c>
    </row>
    <row r="1039" spans="1:42" ht="14.5" x14ac:dyDescent="0.35">
      <c r="A1039" s="2" t="s">
        <v>7106</v>
      </c>
      <c r="B1039" s="2">
        <v>357.20531330456902</v>
      </c>
      <c r="C1039" s="2">
        <v>7.1346166666666697</v>
      </c>
      <c r="D1039" s="2" t="s">
        <v>34</v>
      </c>
      <c r="E1039" s="2" t="s">
        <v>7107</v>
      </c>
      <c r="F1039" s="2">
        <v>46576</v>
      </c>
      <c r="G1039" s="3" t="str">
        <f>HYPERLINK("http://funmeta.oebiotech.com/network/46576", "http://funmeta.oebiotech.com/network/46576")</f>
        <v>http://funmeta.oebiotech.com/network/46576</v>
      </c>
      <c r="H1039" s="2"/>
      <c r="I1039" s="2"/>
      <c r="J1039" s="2" t="s">
        <v>7108</v>
      </c>
      <c r="K1039" s="2"/>
      <c r="L1039" s="2"/>
      <c r="M1039" s="2"/>
      <c r="N1039" s="2"/>
      <c r="O1039" s="2">
        <v>54764154</v>
      </c>
      <c r="P1039" s="2"/>
      <c r="Q1039" s="2" t="s">
        <v>7109</v>
      </c>
      <c r="R1039" s="2" t="s">
        <v>7110</v>
      </c>
      <c r="S1039" s="2" t="s">
        <v>50</v>
      </c>
      <c r="T1039" s="2" t="s">
        <v>124</v>
      </c>
      <c r="U1039" s="2" t="s">
        <v>125</v>
      </c>
      <c r="V1039" s="2" t="s">
        <v>42</v>
      </c>
      <c r="W1039" s="2">
        <v>52.9</v>
      </c>
      <c r="X1039" s="2">
        <v>77.7</v>
      </c>
      <c r="Y1039" s="2" t="s">
        <v>266</v>
      </c>
      <c r="Z1039" s="2" t="s">
        <v>7111</v>
      </c>
      <c r="AA1039" s="2">
        <v>-1.9307518136455699</v>
      </c>
      <c r="AB1039" s="2">
        <v>0.72109019532810303</v>
      </c>
      <c r="AC1039" s="2">
        <v>36661.2615925594</v>
      </c>
      <c r="AD1039" s="2">
        <v>71369.387905935306</v>
      </c>
      <c r="AE1039" s="2">
        <v>36148.2528042579</v>
      </c>
      <c r="AF1039" s="2">
        <v>37541.998112215697</v>
      </c>
      <c r="AG1039" s="2">
        <v>39120.026119936498</v>
      </c>
      <c r="AH1039" s="2">
        <v>35262.3175686549</v>
      </c>
      <c r="AI1039" s="2">
        <v>33629.746918006698</v>
      </c>
      <c r="AJ1039" s="2">
        <v>38265.228032284598</v>
      </c>
      <c r="AK1039" s="2">
        <v>68323.793300094199</v>
      </c>
      <c r="AL1039" s="2">
        <v>64079.159637166398</v>
      </c>
      <c r="AM1039" s="2">
        <v>73176.899651079395</v>
      </c>
      <c r="AN1039" s="2">
        <v>75306.780595541393</v>
      </c>
      <c r="AO1039" s="2">
        <v>76604.899986960998</v>
      </c>
      <c r="AP1039" s="2">
        <v>70724.794264769502</v>
      </c>
    </row>
    <row r="1040" spans="1:42" ht="14.5" x14ac:dyDescent="0.35">
      <c r="A1040" s="2" t="s">
        <v>7112</v>
      </c>
      <c r="B1040" s="2">
        <v>439.25219008652698</v>
      </c>
      <c r="C1040" s="2">
        <v>5.1518499999999996</v>
      </c>
      <c r="D1040" s="2" t="s">
        <v>34</v>
      </c>
      <c r="E1040" s="2" t="s">
        <v>7113</v>
      </c>
      <c r="F1040" s="2">
        <v>29936</v>
      </c>
      <c r="G1040" s="3" t="str">
        <f>HYPERLINK("http://funmeta.oebiotech.com/network/29936", "http://funmeta.oebiotech.com/network/29936")</f>
        <v>http://funmeta.oebiotech.com/network/29936</v>
      </c>
      <c r="H1040" s="2" t="s">
        <v>7114</v>
      </c>
      <c r="I1040" s="2">
        <v>48290</v>
      </c>
      <c r="J1040" s="2" t="s">
        <v>7115</v>
      </c>
      <c r="K1040" s="2"/>
      <c r="L1040" s="2"/>
      <c r="M1040" s="2"/>
      <c r="N1040" s="2"/>
      <c r="O1040" s="2">
        <v>5319704</v>
      </c>
      <c r="P1040" s="2" t="s">
        <v>7116</v>
      </c>
      <c r="Q1040" s="2" t="s">
        <v>7117</v>
      </c>
      <c r="R1040" s="2" t="s">
        <v>7118</v>
      </c>
      <c r="S1040" s="2" t="s">
        <v>115</v>
      </c>
      <c r="T1040" s="2" t="s">
        <v>1371</v>
      </c>
      <c r="U1040" s="2" t="s">
        <v>6597</v>
      </c>
      <c r="V1040" s="2" t="s">
        <v>59</v>
      </c>
      <c r="W1040" s="2">
        <v>36.200000000000003</v>
      </c>
      <c r="X1040" s="2">
        <v>8.9700000000000006</v>
      </c>
      <c r="Y1040" s="2" t="s">
        <v>394</v>
      </c>
      <c r="Z1040" s="2" t="s">
        <v>7119</v>
      </c>
      <c r="AA1040" s="2">
        <v>9.7879249665486405</v>
      </c>
      <c r="AB1040" s="2">
        <v>0.72073967815044604</v>
      </c>
      <c r="AC1040" s="2">
        <v>131907.85002673199</v>
      </c>
      <c r="AD1040" s="2">
        <v>171533.531467469</v>
      </c>
      <c r="AE1040" s="2">
        <v>128670.318266348</v>
      </c>
      <c r="AF1040" s="2">
        <v>144389.34872042501</v>
      </c>
      <c r="AG1040" s="2">
        <v>124156.075833536</v>
      </c>
      <c r="AH1040" s="2">
        <v>147744.040953399</v>
      </c>
      <c r="AI1040" s="2">
        <v>140339.786560095</v>
      </c>
      <c r="AJ1040" s="2">
        <v>106147.529826588</v>
      </c>
      <c r="AK1040" s="2">
        <v>159488.582203806</v>
      </c>
      <c r="AL1040" s="2">
        <v>170100.72828506201</v>
      </c>
      <c r="AM1040" s="2">
        <v>170163.94474156501</v>
      </c>
      <c r="AN1040" s="2">
        <v>169706.106522722</v>
      </c>
      <c r="AO1040" s="2">
        <v>189854.855098147</v>
      </c>
      <c r="AP1040" s="2">
        <v>169886.97195351301</v>
      </c>
    </row>
    <row r="1041" spans="1:42" ht="14.5" x14ac:dyDescent="0.35">
      <c r="A1041" s="2" t="s">
        <v>7120</v>
      </c>
      <c r="B1041" s="2">
        <v>723.17166093630703</v>
      </c>
      <c r="C1041" s="2">
        <v>4.7579333333333302</v>
      </c>
      <c r="D1041" s="2" t="s">
        <v>70</v>
      </c>
      <c r="E1041" s="2" t="s">
        <v>7121</v>
      </c>
      <c r="F1041" s="2">
        <v>63164</v>
      </c>
      <c r="G1041" s="3" t="str">
        <f>HYPERLINK("http://funmeta.oebiotech.com/network/63164", "http://funmeta.oebiotech.com/network/63164")</f>
        <v>http://funmeta.oebiotech.com/network/63164</v>
      </c>
      <c r="H1041" s="2" t="s">
        <v>7122</v>
      </c>
      <c r="I1041" s="2">
        <v>94471</v>
      </c>
      <c r="J1041" s="2"/>
      <c r="K1041" s="2">
        <v>176268</v>
      </c>
      <c r="L1041" s="2"/>
      <c r="M1041" s="2"/>
      <c r="N1041" s="2"/>
      <c r="O1041" s="2">
        <v>5320628</v>
      </c>
      <c r="P1041" s="2"/>
      <c r="Q1041" s="2" t="s">
        <v>7123</v>
      </c>
      <c r="R1041" s="2" t="s">
        <v>7124</v>
      </c>
      <c r="S1041" s="2" t="s">
        <v>115</v>
      </c>
      <c r="T1041" s="2" t="s">
        <v>139</v>
      </c>
      <c r="U1041" s="2" t="s">
        <v>140</v>
      </c>
      <c r="V1041" s="2" t="s">
        <v>42</v>
      </c>
      <c r="W1041" s="2">
        <v>48.1</v>
      </c>
      <c r="X1041" s="2">
        <v>46</v>
      </c>
      <c r="Y1041" s="2" t="s">
        <v>118</v>
      </c>
      <c r="Z1041" s="2" t="s">
        <v>6526</v>
      </c>
      <c r="AA1041" s="2">
        <v>-0.37053228106256902</v>
      </c>
      <c r="AB1041" s="2">
        <v>0.71950695605986403</v>
      </c>
      <c r="AC1041" s="2">
        <v>308786.18067048403</v>
      </c>
      <c r="AD1041" s="2">
        <v>356850.36602899298</v>
      </c>
      <c r="AE1041" s="2">
        <v>289362.308999156</v>
      </c>
      <c r="AF1041" s="2">
        <v>283260.88963096298</v>
      </c>
      <c r="AG1041" s="2">
        <v>310937.43336534197</v>
      </c>
      <c r="AH1041" s="2">
        <v>343129.18973735499</v>
      </c>
      <c r="AI1041" s="2">
        <v>311110.94746868598</v>
      </c>
      <c r="AJ1041" s="2">
        <v>314916.314821404</v>
      </c>
      <c r="AK1041" s="2">
        <v>304307.751914369</v>
      </c>
      <c r="AL1041" s="2">
        <v>336375.78322157101</v>
      </c>
      <c r="AM1041" s="2">
        <v>378555.86075044097</v>
      </c>
      <c r="AN1041" s="2">
        <v>357898.59085541399</v>
      </c>
      <c r="AO1041" s="2">
        <v>379318.56609889801</v>
      </c>
      <c r="AP1041" s="2">
        <v>384645.643333263</v>
      </c>
    </row>
    <row r="1042" spans="1:42" ht="14.5" x14ac:dyDescent="0.35">
      <c r="A1042" s="2" t="s">
        <v>7125</v>
      </c>
      <c r="B1042" s="2">
        <v>622.37326243638302</v>
      </c>
      <c r="C1042" s="2">
        <v>7.5899333333333301</v>
      </c>
      <c r="D1042" s="2" t="s">
        <v>34</v>
      </c>
      <c r="E1042" s="2" t="s">
        <v>7126</v>
      </c>
      <c r="F1042" s="2">
        <v>199030</v>
      </c>
      <c r="G1042" s="3" t="str">
        <f>HYPERLINK("http://funmeta.oebiotech.com/network/199030", "http://funmeta.oebiotech.com/network/199030")</f>
        <v>http://funmeta.oebiotech.com/network/199030</v>
      </c>
      <c r="H1042" s="2" t="s">
        <v>7127</v>
      </c>
      <c r="I1042" s="2"/>
      <c r="J1042" s="2"/>
      <c r="K1042" s="2"/>
      <c r="L1042" s="2"/>
      <c r="M1042" s="2"/>
      <c r="N1042" s="2"/>
      <c r="O1042" s="2">
        <v>72728820</v>
      </c>
      <c r="P1042" s="2"/>
      <c r="Q1042" s="2" t="s">
        <v>7128</v>
      </c>
      <c r="R1042" s="2" t="s">
        <v>7129</v>
      </c>
      <c r="S1042" s="2" t="s">
        <v>115</v>
      </c>
      <c r="T1042" s="2" t="s">
        <v>1384</v>
      </c>
      <c r="U1042" s="2" t="s">
        <v>7130</v>
      </c>
      <c r="V1042" s="2" t="s">
        <v>59</v>
      </c>
      <c r="W1042" s="2">
        <v>43</v>
      </c>
      <c r="X1042" s="2">
        <v>30.6</v>
      </c>
      <c r="Y1042" s="2" t="s">
        <v>141</v>
      </c>
      <c r="Z1042" s="2" t="s">
        <v>7131</v>
      </c>
      <c r="AA1042" s="2">
        <v>-0.88676086644259899</v>
      </c>
      <c r="AB1042" s="2">
        <v>0.71935655897349804</v>
      </c>
      <c r="AC1042" s="2">
        <v>46235.413302027999</v>
      </c>
      <c r="AD1042" s="2">
        <v>7950.0903177711998</v>
      </c>
      <c r="AE1042" s="2">
        <v>71725.356089431298</v>
      </c>
      <c r="AF1042" s="2">
        <v>38895.887503066202</v>
      </c>
      <c r="AG1042" s="2">
        <v>38276.457661493499</v>
      </c>
      <c r="AH1042" s="2">
        <v>50733.679955966101</v>
      </c>
      <c r="AI1042" s="2">
        <v>49690.000829290999</v>
      </c>
      <c r="AJ1042" s="2">
        <v>28091.0977729197</v>
      </c>
      <c r="AK1042" s="2">
        <v>11692.279812840299</v>
      </c>
      <c r="AL1042" s="2">
        <v>8419.6181541313108</v>
      </c>
      <c r="AM1042" s="2">
        <v>5822.9433552548999</v>
      </c>
      <c r="AN1042" s="2">
        <v>3644.1357696154801</v>
      </c>
      <c r="AO1042" s="2">
        <v>12276.5910994024</v>
      </c>
      <c r="AP1042" s="2">
        <v>5844.97371538278</v>
      </c>
    </row>
    <row r="1043" spans="1:42" ht="14.5" x14ac:dyDescent="0.35">
      <c r="A1043" s="2" t="s">
        <v>7132</v>
      </c>
      <c r="B1043" s="2">
        <v>189.13454866960501</v>
      </c>
      <c r="C1043" s="2">
        <v>0.70245000000000002</v>
      </c>
      <c r="D1043" s="2" t="s">
        <v>34</v>
      </c>
      <c r="E1043" s="2" t="s">
        <v>7133</v>
      </c>
      <c r="F1043" s="2">
        <v>205657</v>
      </c>
      <c r="G1043" s="3" t="str">
        <f>HYPERLINK("http://funmeta.oebiotech.com/network/205657", "http://funmeta.oebiotech.com/network/205657")</f>
        <v>http://funmeta.oebiotech.com/network/205657</v>
      </c>
      <c r="H1043" s="2" t="s">
        <v>7134</v>
      </c>
      <c r="I1043" s="2"/>
      <c r="J1043" s="2"/>
      <c r="K1043" s="2"/>
      <c r="L1043" s="2"/>
      <c r="M1043" s="2"/>
      <c r="N1043" s="2"/>
      <c r="O1043" s="2">
        <v>13154333</v>
      </c>
      <c r="P1043" s="2"/>
      <c r="Q1043" s="2" t="s">
        <v>7135</v>
      </c>
      <c r="R1043" s="2" t="s">
        <v>7136</v>
      </c>
      <c r="S1043" s="2" t="s">
        <v>89</v>
      </c>
      <c r="T1043" s="2" t="s">
        <v>90</v>
      </c>
      <c r="U1043" s="2" t="s">
        <v>99</v>
      </c>
      <c r="V1043" s="2" t="s">
        <v>59</v>
      </c>
      <c r="W1043" s="2">
        <v>44.6</v>
      </c>
      <c r="X1043" s="2">
        <v>32.299999999999997</v>
      </c>
      <c r="Y1043" s="2" t="s">
        <v>394</v>
      </c>
      <c r="Z1043" s="2" t="s">
        <v>7137</v>
      </c>
      <c r="AA1043" s="2">
        <v>-0.28456171726939999</v>
      </c>
      <c r="AB1043" s="2">
        <v>0.71890306705962104</v>
      </c>
      <c r="AC1043" s="2">
        <v>37491.444797314201</v>
      </c>
      <c r="AD1043" s="2">
        <v>1330.58798159705</v>
      </c>
      <c r="AE1043" s="2">
        <v>24136.5560098446</v>
      </c>
      <c r="AF1043" s="2">
        <v>40511.561040375898</v>
      </c>
      <c r="AG1043" s="2">
        <v>31872.711534240399</v>
      </c>
      <c r="AH1043" s="2">
        <v>50816.608617705599</v>
      </c>
      <c r="AI1043" s="2">
        <v>30354.831929082298</v>
      </c>
      <c r="AJ1043" s="2">
        <v>47256.399652636203</v>
      </c>
      <c r="AK1043" s="2">
        <v>1178.6735195415399</v>
      </c>
      <c r="AL1043" s="2">
        <v>763.27159763110001</v>
      </c>
      <c r="AM1043" s="2">
        <v>1855.28156884194</v>
      </c>
      <c r="AN1043" s="2">
        <v>2248.03032667753</v>
      </c>
      <c r="AO1043" s="2">
        <v>651.16175706012996</v>
      </c>
      <c r="AP1043" s="2">
        <v>1287.1091198300701</v>
      </c>
    </row>
    <row r="1044" spans="1:42" ht="14.5" x14ac:dyDescent="0.35">
      <c r="A1044" s="2" t="s">
        <v>7138</v>
      </c>
      <c r="B1044" s="2">
        <v>738.34666573606796</v>
      </c>
      <c r="C1044" s="2">
        <v>9.9973333333333301</v>
      </c>
      <c r="D1044" s="2" t="s">
        <v>34</v>
      </c>
      <c r="E1044" s="2" t="s">
        <v>7139</v>
      </c>
      <c r="F1044" s="2">
        <v>52850</v>
      </c>
      <c r="G1044" s="3" t="str">
        <f>HYPERLINK("http://funmeta.oebiotech.com/network/52850", "http://funmeta.oebiotech.com/network/52850")</f>
        <v>http://funmeta.oebiotech.com/network/52850</v>
      </c>
      <c r="H1044" s="2" t="s">
        <v>7140</v>
      </c>
      <c r="I1044" s="2">
        <v>43377</v>
      </c>
      <c r="J1044" s="2"/>
      <c r="K1044" s="2">
        <v>45409</v>
      </c>
      <c r="L1044" s="2" t="s">
        <v>7141</v>
      </c>
      <c r="M1044" s="2" t="s">
        <v>4185</v>
      </c>
      <c r="N1044" s="2" t="s">
        <v>4186</v>
      </c>
      <c r="O1044" s="2">
        <v>392622</v>
      </c>
      <c r="P1044" s="2" t="s">
        <v>7142</v>
      </c>
      <c r="Q1044" s="2" t="s">
        <v>7143</v>
      </c>
      <c r="R1044" s="2" t="s">
        <v>7144</v>
      </c>
      <c r="S1044" s="2" t="s">
        <v>89</v>
      </c>
      <c r="T1044" s="2" t="s">
        <v>90</v>
      </c>
      <c r="U1044" s="2" t="s">
        <v>99</v>
      </c>
      <c r="V1044" s="2" t="s">
        <v>59</v>
      </c>
      <c r="W1044" s="2">
        <v>40.6</v>
      </c>
      <c r="X1044" s="2">
        <v>15.4</v>
      </c>
      <c r="Y1044" s="2" t="s">
        <v>43</v>
      </c>
      <c r="Z1044" s="2" t="s">
        <v>7145</v>
      </c>
      <c r="AA1044" s="2">
        <v>0.11042440530676501</v>
      </c>
      <c r="AB1044" s="2">
        <v>0.71797466878703797</v>
      </c>
      <c r="AC1044" s="2">
        <v>65058.4752037629</v>
      </c>
      <c r="AD1044" s="2">
        <v>30286.1751167293</v>
      </c>
      <c r="AE1044" s="2">
        <v>64457.8778746182</v>
      </c>
      <c r="AF1044" s="2">
        <v>68269.815780735895</v>
      </c>
      <c r="AG1044" s="2">
        <v>68018.282525838207</v>
      </c>
      <c r="AH1044" s="2">
        <v>69976.025097318299</v>
      </c>
      <c r="AI1044" s="2">
        <v>59429.692051581602</v>
      </c>
      <c r="AJ1044" s="2">
        <v>60199.1578924852</v>
      </c>
      <c r="AK1044" s="2">
        <v>35792.2550652192</v>
      </c>
      <c r="AL1044" s="2">
        <v>36206.738090034603</v>
      </c>
      <c r="AM1044" s="2">
        <v>31854.941454229702</v>
      </c>
      <c r="AN1044" s="2">
        <v>22614.426406898699</v>
      </c>
      <c r="AO1044" s="2">
        <v>27860.157023748099</v>
      </c>
      <c r="AP1044" s="2">
        <v>27388.532660245401</v>
      </c>
    </row>
    <row r="1045" spans="1:42" ht="14.5" x14ac:dyDescent="0.35">
      <c r="A1045" s="2" t="s">
        <v>7146</v>
      </c>
      <c r="B1045" s="2">
        <v>425.12610235784001</v>
      </c>
      <c r="C1045" s="2">
        <v>0.78071666666666695</v>
      </c>
      <c r="D1045" s="2" t="s">
        <v>34</v>
      </c>
      <c r="E1045" s="2" t="s">
        <v>7147</v>
      </c>
      <c r="F1045" s="2">
        <v>210533</v>
      </c>
      <c r="G1045" s="3" t="str">
        <f>HYPERLINK("http://funmeta.oebiotech.com/network/210533", "http://funmeta.oebiotech.com/network/210533")</f>
        <v>http://funmeta.oebiotech.com/network/210533</v>
      </c>
      <c r="H1045" s="2" t="s">
        <v>7148</v>
      </c>
      <c r="I1045" s="2">
        <v>45148</v>
      </c>
      <c r="J1045" s="2"/>
      <c r="K1045" s="2">
        <v>64110</v>
      </c>
      <c r="L1045" s="2"/>
      <c r="M1045" s="2"/>
      <c r="N1045" s="2"/>
      <c r="O1045" s="2">
        <v>5040063</v>
      </c>
      <c r="P1045" s="2" t="s">
        <v>7149</v>
      </c>
      <c r="Q1045" s="2" t="s">
        <v>7150</v>
      </c>
      <c r="R1045" s="2" t="s">
        <v>7151</v>
      </c>
      <c r="S1045" s="2" t="s">
        <v>491</v>
      </c>
      <c r="T1045" s="2" t="s">
        <v>3519</v>
      </c>
      <c r="U1045" s="2" t="s">
        <v>7152</v>
      </c>
      <c r="V1045" s="2" t="s">
        <v>59</v>
      </c>
      <c r="W1045" s="2">
        <v>37</v>
      </c>
      <c r="X1045" s="2">
        <v>0</v>
      </c>
      <c r="Y1045" s="2" t="s">
        <v>340</v>
      </c>
      <c r="Z1045" s="2" t="s">
        <v>7153</v>
      </c>
      <c r="AA1045" s="2">
        <v>-0.25454528029180701</v>
      </c>
      <c r="AB1045" s="2">
        <v>0.716150434040423</v>
      </c>
      <c r="AC1045" s="2">
        <v>92280.2178091323</v>
      </c>
      <c r="AD1045" s="2">
        <v>129028.623005951</v>
      </c>
      <c r="AE1045" s="2">
        <v>96656.210388462801</v>
      </c>
      <c r="AF1045" s="2">
        <v>83275.390305789304</v>
      </c>
      <c r="AG1045" s="2">
        <v>95672.951410407302</v>
      </c>
      <c r="AH1045" s="2">
        <v>87883.922337002499</v>
      </c>
      <c r="AI1045" s="2">
        <v>96648.069349196507</v>
      </c>
      <c r="AJ1045" s="2">
        <v>93544.763063935097</v>
      </c>
      <c r="AK1045" s="2">
        <v>130177.566537284</v>
      </c>
      <c r="AL1045" s="2">
        <v>134441.32177700399</v>
      </c>
      <c r="AM1045" s="2">
        <v>141504.51928458101</v>
      </c>
      <c r="AN1045" s="2">
        <v>125948.079160736</v>
      </c>
      <c r="AO1045" s="2">
        <v>108605.135807928</v>
      </c>
      <c r="AP1045" s="2">
        <v>133495.11546817599</v>
      </c>
    </row>
    <row r="1046" spans="1:42" ht="14.5" x14ac:dyDescent="0.35">
      <c r="A1046" s="2" t="s">
        <v>7154</v>
      </c>
      <c r="B1046" s="2">
        <v>538.30104317420103</v>
      </c>
      <c r="C1046" s="2">
        <v>9.7467833333333296</v>
      </c>
      <c r="D1046" s="2" t="s">
        <v>34</v>
      </c>
      <c r="E1046" s="2" t="s">
        <v>7155</v>
      </c>
      <c r="F1046" s="2">
        <v>82124</v>
      </c>
      <c r="G1046" s="3" t="str">
        <f>HYPERLINK("http://funmeta.oebiotech.com/network/82124", "http://funmeta.oebiotech.com/network/82124")</f>
        <v>http://funmeta.oebiotech.com/network/82124</v>
      </c>
      <c r="H1046" s="2" t="s">
        <v>7156</v>
      </c>
      <c r="I1046" s="2"/>
      <c r="J1046" s="2"/>
      <c r="K1046" s="2"/>
      <c r="L1046" s="2"/>
      <c r="M1046" s="2"/>
      <c r="N1046" s="2"/>
      <c r="O1046" s="2">
        <v>131769845</v>
      </c>
      <c r="P1046" s="2"/>
      <c r="Q1046" s="2" t="s">
        <v>7157</v>
      </c>
      <c r="R1046" s="2" t="s">
        <v>7158</v>
      </c>
      <c r="S1046" s="2" t="s">
        <v>50</v>
      </c>
      <c r="T1046" s="2" t="s">
        <v>201</v>
      </c>
      <c r="U1046" s="2" t="s">
        <v>202</v>
      </c>
      <c r="V1046" s="2" t="s">
        <v>42</v>
      </c>
      <c r="W1046" s="2">
        <v>44.7</v>
      </c>
      <c r="X1046" s="2">
        <v>45.3</v>
      </c>
      <c r="Y1046" s="2" t="s">
        <v>43</v>
      </c>
      <c r="Z1046" s="2" t="s">
        <v>2149</v>
      </c>
      <c r="AA1046" s="2">
        <v>-2.9243891582588302E-2</v>
      </c>
      <c r="AB1046" s="2">
        <v>0.71530500992840296</v>
      </c>
      <c r="AC1046" s="2">
        <v>121957.719429103</v>
      </c>
      <c r="AD1046" s="2">
        <v>87336.747842519399</v>
      </c>
      <c r="AE1046" s="2">
        <v>119470.269229019</v>
      </c>
      <c r="AF1046" s="2">
        <v>121487.67741831001</v>
      </c>
      <c r="AG1046" s="2">
        <v>121125.53943451399</v>
      </c>
      <c r="AH1046" s="2">
        <v>119155.583431958</v>
      </c>
      <c r="AI1046" s="2">
        <v>119175.24424576</v>
      </c>
      <c r="AJ1046" s="2">
        <v>131332.00281506</v>
      </c>
      <c r="AK1046" s="2">
        <v>80817.252359557504</v>
      </c>
      <c r="AL1046" s="2">
        <v>92610.222031441197</v>
      </c>
      <c r="AM1046" s="2">
        <v>87231.931072576204</v>
      </c>
      <c r="AN1046" s="2">
        <v>82193.752255525003</v>
      </c>
      <c r="AO1046" s="2">
        <v>87946.234448269097</v>
      </c>
      <c r="AP1046" s="2">
        <v>93221.094887747604</v>
      </c>
    </row>
    <row r="1047" spans="1:42" ht="14.5" x14ac:dyDescent="0.35">
      <c r="A1047" s="2" t="s">
        <v>7159</v>
      </c>
      <c r="B1047" s="2">
        <v>397.16450150689701</v>
      </c>
      <c r="C1047" s="2">
        <v>5.37076666666667</v>
      </c>
      <c r="D1047" s="2" t="s">
        <v>34</v>
      </c>
      <c r="E1047" s="2" t="s">
        <v>7160</v>
      </c>
      <c r="F1047" s="2">
        <v>34616</v>
      </c>
      <c r="G1047" s="3" t="str">
        <f>HYPERLINK("http://funmeta.oebiotech.com/network/34616", "http://funmeta.oebiotech.com/network/34616")</f>
        <v>http://funmeta.oebiotech.com/network/34616</v>
      </c>
      <c r="H1047" s="2"/>
      <c r="I1047" s="2">
        <v>52925</v>
      </c>
      <c r="J1047" s="2" t="s">
        <v>7161</v>
      </c>
      <c r="K1047" s="2"/>
      <c r="L1047" s="2"/>
      <c r="M1047" s="2"/>
      <c r="N1047" s="2"/>
      <c r="O1047" s="2">
        <v>42608009</v>
      </c>
      <c r="P1047" s="2"/>
      <c r="Q1047" s="2" t="s">
        <v>7162</v>
      </c>
      <c r="R1047" s="2" t="s">
        <v>7163</v>
      </c>
      <c r="S1047" s="2" t="s">
        <v>115</v>
      </c>
      <c r="T1047" s="2" t="s">
        <v>139</v>
      </c>
      <c r="U1047" s="2" t="s">
        <v>1437</v>
      </c>
      <c r="V1047" s="2" t="s">
        <v>42</v>
      </c>
      <c r="W1047" s="2">
        <v>52.4</v>
      </c>
      <c r="X1047" s="2">
        <v>69.3</v>
      </c>
      <c r="Y1047" s="2" t="s">
        <v>266</v>
      </c>
      <c r="Z1047" s="2" t="s">
        <v>7164</v>
      </c>
      <c r="AA1047" s="2">
        <v>-0.15311145664110701</v>
      </c>
      <c r="AB1047" s="2">
        <v>0.713292852733722</v>
      </c>
      <c r="AC1047" s="2">
        <v>139068.010698297</v>
      </c>
      <c r="AD1047" s="2">
        <v>102244.850153109</v>
      </c>
      <c r="AE1047" s="2">
        <v>139182.825565201</v>
      </c>
      <c r="AF1047" s="2">
        <v>154754.074904579</v>
      </c>
      <c r="AG1047" s="2">
        <v>130037.451059093</v>
      </c>
      <c r="AH1047" s="2">
        <v>138392.89344766299</v>
      </c>
      <c r="AI1047" s="2">
        <v>146638.18707317501</v>
      </c>
      <c r="AJ1047" s="2">
        <v>125402.632140072</v>
      </c>
      <c r="AK1047" s="2">
        <v>101504.36240273999</v>
      </c>
      <c r="AL1047" s="2">
        <v>94837.527633370701</v>
      </c>
      <c r="AM1047" s="2">
        <v>101702.854982648</v>
      </c>
      <c r="AN1047" s="2">
        <v>110696.391800108</v>
      </c>
      <c r="AO1047" s="2">
        <v>93743.029160419494</v>
      </c>
      <c r="AP1047" s="2">
        <v>110984.93493937</v>
      </c>
    </row>
    <row r="1048" spans="1:42" ht="14.5" x14ac:dyDescent="0.35">
      <c r="A1048" s="2" t="s">
        <v>7165</v>
      </c>
      <c r="B1048" s="2">
        <v>406.13506975941601</v>
      </c>
      <c r="C1048" s="2">
        <v>4.2944166666666703</v>
      </c>
      <c r="D1048" s="2" t="s">
        <v>70</v>
      </c>
      <c r="E1048" s="2" t="s">
        <v>7166</v>
      </c>
      <c r="F1048" s="2">
        <v>64309</v>
      </c>
      <c r="G1048" s="3" t="str">
        <f>HYPERLINK("http://funmeta.oebiotech.com/network/64309", "http://funmeta.oebiotech.com/network/64309")</f>
        <v>http://funmeta.oebiotech.com/network/64309</v>
      </c>
      <c r="H1048" s="2" t="s">
        <v>7167</v>
      </c>
      <c r="I1048" s="2">
        <v>95628</v>
      </c>
      <c r="J1048" s="2"/>
      <c r="K1048" s="2">
        <v>172591</v>
      </c>
      <c r="L1048" s="2"/>
      <c r="M1048" s="2"/>
      <c r="N1048" s="2"/>
      <c r="O1048" s="2">
        <v>5375609</v>
      </c>
      <c r="P1048" s="2" t="s">
        <v>7168</v>
      </c>
      <c r="Q1048" s="2" t="s">
        <v>7169</v>
      </c>
      <c r="R1048" s="2" t="s">
        <v>7170</v>
      </c>
      <c r="S1048" s="2" t="s">
        <v>79</v>
      </c>
      <c r="T1048" s="2" t="s">
        <v>80</v>
      </c>
      <c r="U1048" s="2" t="s">
        <v>81</v>
      </c>
      <c r="V1048" s="2" t="s">
        <v>59</v>
      </c>
      <c r="W1048" s="2">
        <v>39.6</v>
      </c>
      <c r="X1048" s="2">
        <v>9.4200000000000006E-2</v>
      </c>
      <c r="Y1048" s="2" t="s">
        <v>408</v>
      </c>
      <c r="Z1048" s="2" t="s">
        <v>7171</v>
      </c>
      <c r="AA1048" s="2">
        <v>-1.1475664679808699</v>
      </c>
      <c r="AB1048" s="2">
        <v>0.71278847069251206</v>
      </c>
      <c r="AC1048" s="2">
        <v>956555.60378046997</v>
      </c>
      <c r="AD1048" s="2">
        <v>899138.80180193798</v>
      </c>
      <c r="AE1048" s="2">
        <v>973500.42586187704</v>
      </c>
      <c r="AF1048" s="2">
        <v>884359.86842548999</v>
      </c>
      <c r="AG1048" s="2">
        <v>968459.49689797196</v>
      </c>
      <c r="AH1048" s="2">
        <v>981251.55526281497</v>
      </c>
      <c r="AI1048" s="2">
        <v>961873.47159214003</v>
      </c>
      <c r="AJ1048" s="2">
        <v>969888.80464252504</v>
      </c>
      <c r="AK1048" s="2">
        <v>868745.24972411303</v>
      </c>
      <c r="AL1048" s="2">
        <v>918465.29624000494</v>
      </c>
      <c r="AM1048" s="2">
        <v>937995.66903619701</v>
      </c>
      <c r="AN1048" s="2">
        <v>895582.19089530502</v>
      </c>
      <c r="AO1048" s="2">
        <v>955693.02496327797</v>
      </c>
      <c r="AP1048" s="2">
        <v>818351.37995273096</v>
      </c>
    </row>
    <row r="1049" spans="1:42" ht="14.5" x14ac:dyDescent="0.35">
      <c r="A1049" s="2" t="s">
        <v>7172</v>
      </c>
      <c r="B1049" s="2">
        <v>465.13953936991697</v>
      </c>
      <c r="C1049" s="2">
        <v>3.7334833333333299</v>
      </c>
      <c r="D1049" s="2" t="s">
        <v>34</v>
      </c>
      <c r="E1049" s="2" t="s">
        <v>7173</v>
      </c>
      <c r="F1049" s="2">
        <v>55116</v>
      </c>
      <c r="G1049" s="3" t="str">
        <f>HYPERLINK("http://funmeta.oebiotech.com/network/55116", "http://funmeta.oebiotech.com/network/55116")</f>
        <v>http://funmeta.oebiotech.com/network/55116</v>
      </c>
      <c r="H1049" s="2" t="s">
        <v>7174</v>
      </c>
      <c r="I1049" s="2">
        <v>86866</v>
      </c>
      <c r="J1049" s="2"/>
      <c r="K1049" s="2">
        <v>168082</v>
      </c>
      <c r="L1049" s="2"/>
      <c r="M1049" s="2"/>
      <c r="N1049" s="2"/>
      <c r="O1049" s="2">
        <v>131750995</v>
      </c>
      <c r="P1049" s="2" t="s">
        <v>7175</v>
      </c>
      <c r="Q1049" s="2" t="s">
        <v>7176</v>
      </c>
      <c r="R1049" s="2" t="s">
        <v>7177</v>
      </c>
      <c r="S1049" s="2" t="s">
        <v>115</v>
      </c>
      <c r="T1049" s="2" t="s">
        <v>116</v>
      </c>
      <c r="U1049" s="2" t="s">
        <v>7178</v>
      </c>
      <c r="V1049" s="2" t="s">
        <v>42</v>
      </c>
      <c r="W1049" s="2">
        <v>47.8</v>
      </c>
      <c r="X1049" s="2">
        <v>59</v>
      </c>
      <c r="Y1049" s="2" t="s">
        <v>323</v>
      </c>
      <c r="Z1049" s="2" t="s">
        <v>7179</v>
      </c>
      <c r="AA1049" s="2">
        <v>6.3486525719243199</v>
      </c>
      <c r="AB1049" s="2">
        <v>0.71195141591907996</v>
      </c>
      <c r="AC1049" s="2">
        <v>41636.7793172194</v>
      </c>
      <c r="AD1049" s="2">
        <v>75138.924855744102</v>
      </c>
      <c r="AE1049" s="2">
        <v>38821.7141372357</v>
      </c>
      <c r="AF1049" s="2">
        <v>40637.794532005399</v>
      </c>
      <c r="AG1049" s="2">
        <v>43857.3005882039</v>
      </c>
      <c r="AH1049" s="2">
        <v>39313.4385090301</v>
      </c>
      <c r="AI1049" s="2">
        <v>42921.5138866044</v>
      </c>
      <c r="AJ1049" s="2">
        <v>44268.914250236798</v>
      </c>
      <c r="AK1049" s="2">
        <v>75738.091240318099</v>
      </c>
      <c r="AL1049" s="2">
        <v>70792.445372951101</v>
      </c>
      <c r="AM1049" s="2">
        <v>77426.713398045904</v>
      </c>
      <c r="AN1049" s="2">
        <v>77115.372444032299</v>
      </c>
      <c r="AO1049" s="2">
        <v>73795.947602983593</v>
      </c>
      <c r="AP1049" s="2">
        <v>75964.979076133604</v>
      </c>
    </row>
    <row r="1050" spans="1:42" ht="14.5" x14ac:dyDescent="0.35">
      <c r="A1050" s="2" t="s">
        <v>7180</v>
      </c>
      <c r="B1050" s="2">
        <v>409.33070659580198</v>
      </c>
      <c r="C1050" s="2">
        <v>12.3790833333333</v>
      </c>
      <c r="D1050" s="2" t="s">
        <v>34</v>
      </c>
      <c r="E1050" s="2" t="s">
        <v>7181</v>
      </c>
      <c r="F1050" s="2">
        <v>10477</v>
      </c>
      <c r="G1050" s="3" t="str">
        <f>HYPERLINK("http://funmeta.oebiotech.com/network/10477", "http://funmeta.oebiotech.com/network/10477")</f>
        <v>http://funmeta.oebiotech.com/network/10477</v>
      </c>
      <c r="H1050" s="2"/>
      <c r="I1050" s="2"/>
      <c r="J1050" s="2" t="s">
        <v>7182</v>
      </c>
      <c r="K1050" s="2"/>
      <c r="L1050" s="2"/>
      <c r="M1050" s="2"/>
      <c r="N1050" s="2"/>
      <c r="O1050" s="2">
        <v>137323850</v>
      </c>
      <c r="P1050" s="2"/>
      <c r="Q1050" s="2" t="s">
        <v>7183</v>
      </c>
      <c r="R1050" s="2" t="s">
        <v>7184</v>
      </c>
      <c r="S1050" s="2" t="s">
        <v>50</v>
      </c>
      <c r="T1050" s="2" t="s">
        <v>448</v>
      </c>
      <c r="U1050" s="2" t="s">
        <v>7051</v>
      </c>
      <c r="V1050" s="2" t="s">
        <v>42</v>
      </c>
      <c r="W1050" s="2">
        <v>50.5</v>
      </c>
      <c r="X1050" s="2">
        <v>65.7</v>
      </c>
      <c r="Y1050" s="2" t="s">
        <v>323</v>
      </c>
      <c r="Z1050" s="2" t="s">
        <v>7185</v>
      </c>
      <c r="AA1050" s="2">
        <v>4.8557339018313401</v>
      </c>
      <c r="AB1050" s="2">
        <v>0.71168416137503798</v>
      </c>
      <c r="AC1050" s="2">
        <v>47338.090747832503</v>
      </c>
      <c r="AD1050" s="2">
        <v>81942.0178098998</v>
      </c>
      <c r="AE1050" s="2">
        <v>45024.270554949202</v>
      </c>
      <c r="AF1050" s="2">
        <v>53048.312617842297</v>
      </c>
      <c r="AG1050" s="2">
        <v>49079.629992912101</v>
      </c>
      <c r="AH1050" s="2">
        <v>40778.636404785597</v>
      </c>
      <c r="AI1050" s="2">
        <v>44979.522023544399</v>
      </c>
      <c r="AJ1050" s="2">
        <v>51118.172892961098</v>
      </c>
      <c r="AK1050" s="2">
        <v>91483.899922949204</v>
      </c>
      <c r="AL1050" s="2">
        <v>76689.084304591102</v>
      </c>
      <c r="AM1050" s="2">
        <v>78988.810520384504</v>
      </c>
      <c r="AN1050" s="2">
        <v>75980.154578173606</v>
      </c>
      <c r="AO1050" s="2">
        <v>82554.545662077595</v>
      </c>
      <c r="AP1050" s="2">
        <v>85955.6118712225</v>
      </c>
    </row>
    <row r="1051" spans="1:42" ht="14.5" x14ac:dyDescent="0.35">
      <c r="A1051" s="2" t="s">
        <v>7186</v>
      </c>
      <c r="B1051" s="2">
        <v>703.35412529958796</v>
      </c>
      <c r="C1051" s="2">
        <v>8.3740000000000006</v>
      </c>
      <c r="D1051" s="2" t="s">
        <v>70</v>
      </c>
      <c r="E1051" s="2" t="s">
        <v>7187</v>
      </c>
      <c r="F1051" s="2">
        <v>4549</v>
      </c>
      <c r="G1051" s="3" t="str">
        <f>HYPERLINK("http://funmeta.oebiotech.com/network/4549", "http://funmeta.oebiotech.com/network/4549")</f>
        <v>http://funmeta.oebiotech.com/network/4549</v>
      </c>
      <c r="H1051" s="2"/>
      <c r="I1051" s="2">
        <v>96936</v>
      </c>
      <c r="J1051" s="2" t="s">
        <v>7188</v>
      </c>
      <c r="K1051" s="2"/>
      <c r="L1051" s="2"/>
      <c r="M1051" s="2"/>
      <c r="N1051" s="2"/>
      <c r="O1051" s="2">
        <v>56935885</v>
      </c>
      <c r="P1051" s="2"/>
      <c r="Q1051" s="2" t="s">
        <v>7189</v>
      </c>
      <c r="R1051" s="2" t="s">
        <v>7190</v>
      </c>
      <c r="S1051" s="2" t="s">
        <v>50</v>
      </c>
      <c r="T1051" s="2" t="s">
        <v>229</v>
      </c>
      <c r="U1051" s="2" t="s">
        <v>433</v>
      </c>
      <c r="V1051" s="2" t="s">
        <v>59</v>
      </c>
      <c r="W1051" s="2">
        <v>40</v>
      </c>
      <c r="X1051" s="2">
        <v>28.4</v>
      </c>
      <c r="Y1051" s="2" t="s">
        <v>560</v>
      </c>
      <c r="Z1051" s="2" t="s">
        <v>7191</v>
      </c>
      <c r="AA1051" s="2">
        <v>0.50649332453268903</v>
      </c>
      <c r="AB1051" s="2">
        <v>0.71094127818536301</v>
      </c>
      <c r="AC1051" s="2">
        <v>97513.669465140396</v>
      </c>
      <c r="AD1051" s="2">
        <v>131888.51417658399</v>
      </c>
      <c r="AE1051" s="2">
        <v>96766.920244317196</v>
      </c>
      <c r="AF1051" s="2">
        <v>86349.132342026598</v>
      </c>
      <c r="AG1051" s="2">
        <v>99440.828631276905</v>
      </c>
      <c r="AH1051" s="2">
        <v>104277.601582891</v>
      </c>
      <c r="AI1051" s="2">
        <v>101768.774824255</v>
      </c>
      <c r="AJ1051" s="2">
        <v>96478.759166075804</v>
      </c>
      <c r="AK1051" s="2">
        <v>132566.57133104501</v>
      </c>
      <c r="AL1051" s="2">
        <v>125157.744293325</v>
      </c>
      <c r="AM1051" s="2">
        <v>136454.60522849701</v>
      </c>
      <c r="AN1051" s="2">
        <v>128166.04357567499</v>
      </c>
      <c r="AO1051" s="2">
        <v>134163.64229896001</v>
      </c>
      <c r="AP1051" s="2">
        <v>134822.47833200099</v>
      </c>
    </row>
    <row r="1052" spans="1:42" ht="14.5" x14ac:dyDescent="0.35">
      <c r="A1052" s="2" t="s">
        <v>7192</v>
      </c>
      <c r="B1052" s="2">
        <v>573.271665094078</v>
      </c>
      <c r="C1052" s="2">
        <v>5.5993333333333304</v>
      </c>
      <c r="D1052" s="2" t="s">
        <v>70</v>
      </c>
      <c r="E1052" s="2" t="s">
        <v>7193</v>
      </c>
      <c r="F1052" s="2">
        <v>44833</v>
      </c>
      <c r="G1052" s="3" t="str">
        <f>HYPERLINK("http://funmeta.oebiotech.com/network/44833", "http://funmeta.oebiotech.com/network/44833")</f>
        <v>http://funmeta.oebiotech.com/network/44833</v>
      </c>
      <c r="H1052" s="2"/>
      <c r="I1052" s="2"/>
      <c r="J1052" s="2" t="s">
        <v>7194</v>
      </c>
      <c r="K1052" s="2"/>
      <c r="L1052" s="2"/>
      <c r="M1052" s="2"/>
      <c r="N1052" s="2"/>
      <c r="O1052" s="2">
        <v>14216306</v>
      </c>
      <c r="P1052" s="2"/>
      <c r="Q1052" s="2" t="s">
        <v>7195</v>
      </c>
      <c r="R1052" s="2" t="s">
        <v>7196</v>
      </c>
      <c r="S1052" s="2" t="s">
        <v>50</v>
      </c>
      <c r="T1052" s="2" t="s">
        <v>124</v>
      </c>
      <c r="U1052" s="2" t="s">
        <v>567</v>
      </c>
      <c r="V1052" s="2" t="s">
        <v>59</v>
      </c>
      <c r="W1052" s="2">
        <v>44</v>
      </c>
      <c r="X1052" s="2">
        <v>33.299999999999997</v>
      </c>
      <c r="Y1052" s="2" t="s">
        <v>408</v>
      </c>
      <c r="Z1052" s="2" t="s">
        <v>3732</v>
      </c>
      <c r="AA1052" s="2">
        <v>2.1655209981027799</v>
      </c>
      <c r="AB1052" s="2">
        <v>0.70943453051980399</v>
      </c>
      <c r="AC1052" s="2">
        <v>46374.116796943897</v>
      </c>
      <c r="AD1052" s="2">
        <v>79630.984771745803</v>
      </c>
      <c r="AE1052" s="2">
        <v>47325.880134629297</v>
      </c>
      <c r="AF1052" s="2">
        <v>47513.372244972401</v>
      </c>
      <c r="AG1052" s="2">
        <v>43909.112167823099</v>
      </c>
      <c r="AH1052" s="2">
        <v>44819.764076009102</v>
      </c>
      <c r="AI1052" s="2">
        <v>46639.844643673503</v>
      </c>
      <c r="AJ1052" s="2">
        <v>48036.727514555801</v>
      </c>
      <c r="AK1052" s="2">
        <v>77846.9046670143</v>
      </c>
      <c r="AL1052" s="2">
        <v>79123.3434849677</v>
      </c>
      <c r="AM1052" s="2">
        <v>81489.781019854694</v>
      </c>
      <c r="AN1052" s="2">
        <v>83734.160248857195</v>
      </c>
      <c r="AO1052" s="2">
        <v>75727.677517053293</v>
      </c>
      <c r="AP1052" s="2">
        <v>79864.041692727405</v>
      </c>
    </row>
    <row r="1053" spans="1:42" ht="14.5" x14ac:dyDescent="0.35">
      <c r="A1053" s="2" t="s">
        <v>7197</v>
      </c>
      <c r="B1053" s="2">
        <v>383.09810786833498</v>
      </c>
      <c r="C1053" s="2">
        <v>4.3640166666666698</v>
      </c>
      <c r="D1053" s="2" t="s">
        <v>70</v>
      </c>
      <c r="E1053" s="2" t="s">
        <v>7198</v>
      </c>
      <c r="F1053" s="2">
        <v>54588</v>
      </c>
      <c r="G1053" s="3" t="str">
        <f>HYPERLINK("http://funmeta.oebiotech.com/network/54588", "http://funmeta.oebiotech.com/network/54588")</f>
        <v>http://funmeta.oebiotech.com/network/54588</v>
      </c>
      <c r="H1053" s="2" t="s">
        <v>7199</v>
      </c>
      <c r="I1053" s="2">
        <v>86421</v>
      </c>
      <c r="J1053" s="2"/>
      <c r="K1053" s="2"/>
      <c r="L1053" s="2"/>
      <c r="M1053" s="2"/>
      <c r="N1053" s="2"/>
      <c r="O1053" s="2">
        <v>9945785</v>
      </c>
      <c r="P1053" s="2"/>
      <c r="Q1053" s="2" t="s">
        <v>7200</v>
      </c>
      <c r="R1053" s="2" t="s">
        <v>7201</v>
      </c>
      <c r="S1053" s="2" t="s">
        <v>79</v>
      </c>
      <c r="T1053" s="2" t="s">
        <v>80</v>
      </c>
      <c r="U1053" s="2" t="s">
        <v>2021</v>
      </c>
      <c r="V1053" s="2" t="s">
        <v>42</v>
      </c>
      <c r="W1053" s="2">
        <v>53.3</v>
      </c>
      <c r="X1053" s="2">
        <v>71.099999999999994</v>
      </c>
      <c r="Y1053" s="2" t="s">
        <v>408</v>
      </c>
      <c r="Z1053" s="2" t="s">
        <v>7202</v>
      </c>
      <c r="AA1053" s="2">
        <v>-0.77650184846565395</v>
      </c>
      <c r="AB1053" s="2">
        <v>0.70900406034074004</v>
      </c>
      <c r="AC1053" s="2">
        <v>65105.867600679601</v>
      </c>
      <c r="AD1053" s="2">
        <v>31909.415370963801</v>
      </c>
      <c r="AE1053" s="2">
        <v>65739.421204814993</v>
      </c>
      <c r="AF1053" s="2">
        <v>61837.682861689202</v>
      </c>
      <c r="AG1053" s="2">
        <v>67583.3042974454</v>
      </c>
      <c r="AH1053" s="2">
        <v>64566.974100586303</v>
      </c>
      <c r="AI1053" s="2">
        <v>63268.146904480302</v>
      </c>
      <c r="AJ1053" s="2">
        <v>67639.676235061095</v>
      </c>
      <c r="AK1053" s="2">
        <v>32981.145519029298</v>
      </c>
      <c r="AL1053" s="2">
        <v>30366.679262857</v>
      </c>
      <c r="AM1053" s="2">
        <v>33330.7081697666</v>
      </c>
      <c r="AN1053" s="2">
        <v>34153.257994319501</v>
      </c>
      <c r="AO1053" s="2">
        <v>30635.715345904999</v>
      </c>
      <c r="AP1053" s="2">
        <v>29988.985933905598</v>
      </c>
    </row>
    <row r="1054" spans="1:42" ht="14.5" x14ac:dyDescent="0.35">
      <c r="A1054" s="2" t="s">
        <v>7203</v>
      </c>
      <c r="B1054" s="2">
        <v>205.11811123880199</v>
      </c>
      <c r="C1054" s="2">
        <v>0.73473333333333302</v>
      </c>
      <c r="D1054" s="2" t="s">
        <v>34</v>
      </c>
      <c r="E1054" s="2" t="s">
        <v>7204</v>
      </c>
      <c r="F1054" s="2">
        <v>63183</v>
      </c>
      <c r="G1054" s="3" t="str">
        <f>HYPERLINK("http://funmeta.oebiotech.com/network/63183", "http://funmeta.oebiotech.com/network/63183")</f>
        <v>http://funmeta.oebiotech.com/network/63183</v>
      </c>
      <c r="H1054" s="2" t="s">
        <v>7205</v>
      </c>
      <c r="I1054" s="2">
        <v>94490</v>
      </c>
      <c r="J1054" s="2"/>
      <c r="K1054" s="2"/>
      <c r="L1054" s="2"/>
      <c r="M1054" s="2"/>
      <c r="N1054" s="2"/>
      <c r="O1054" s="2">
        <v>85303757</v>
      </c>
      <c r="P1054" s="2"/>
      <c r="Q1054" s="2" t="s">
        <v>7206</v>
      </c>
      <c r="R1054" s="2" t="s">
        <v>7207</v>
      </c>
      <c r="S1054" s="2" t="s">
        <v>491</v>
      </c>
      <c r="T1054" s="2" t="s">
        <v>7208</v>
      </c>
      <c r="U1054" s="2" t="s">
        <v>7209</v>
      </c>
      <c r="V1054" s="2" t="s">
        <v>42</v>
      </c>
      <c r="W1054" s="2">
        <v>50.3</v>
      </c>
      <c r="X1054" s="2">
        <v>56.4</v>
      </c>
      <c r="Y1054" s="2" t="s">
        <v>266</v>
      </c>
      <c r="Z1054" s="2" t="s">
        <v>7210</v>
      </c>
      <c r="AA1054" s="2">
        <v>-0.84362994473859998</v>
      </c>
      <c r="AB1054" s="2">
        <v>0.70855109304875696</v>
      </c>
      <c r="AC1054" s="2">
        <v>146782.68805206701</v>
      </c>
      <c r="AD1054" s="2">
        <v>107837.559699593</v>
      </c>
      <c r="AE1054" s="2">
        <v>135736.49480548699</v>
      </c>
      <c r="AF1054" s="2">
        <v>165521.07076944201</v>
      </c>
      <c r="AG1054" s="2">
        <v>146518.98104940599</v>
      </c>
      <c r="AH1054" s="2">
        <v>162430.590134164</v>
      </c>
      <c r="AI1054" s="2">
        <v>139760.75160914799</v>
      </c>
      <c r="AJ1054" s="2">
        <v>130728.23994475701</v>
      </c>
      <c r="AK1054" s="2">
        <v>109327.843829042</v>
      </c>
      <c r="AL1054" s="2">
        <v>133463.55315887599</v>
      </c>
      <c r="AM1054" s="2">
        <v>102552.342970556</v>
      </c>
      <c r="AN1054" s="2">
        <v>102589.475130113</v>
      </c>
      <c r="AO1054" s="2">
        <v>102565.294333642</v>
      </c>
      <c r="AP1054" s="2">
        <v>96526.848775329898</v>
      </c>
    </row>
    <row r="1055" spans="1:42" ht="14.5" x14ac:dyDescent="0.35">
      <c r="A1055" s="2" t="s">
        <v>7211</v>
      </c>
      <c r="B1055" s="2">
        <v>467.15444053253901</v>
      </c>
      <c r="C1055" s="2">
        <v>3.45603333333333</v>
      </c>
      <c r="D1055" s="2" t="s">
        <v>34</v>
      </c>
      <c r="E1055" s="2" t="s">
        <v>7212</v>
      </c>
      <c r="F1055" s="2">
        <v>60262</v>
      </c>
      <c r="G1055" s="3" t="str">
        <f>HYPERLINK("http://funmeta.oebiotech.com/network/60262", "http://funmeta.oebiotech.com/network/60262")</f>
        <v>http://funmeta.oebiotech.com/network/60262</v>
      </c>
      <c r="H1055" s="2" t="s">
        <v>7213</v>
      </c>
      <c r="I1055" s="2"/>
      <c r="J1055" s="2"/>
      <c r="K1055" s="2"/>
      <c r="L1055" s="2"/>
      <c r="M1055" s="2"/>
      <c r="N1055" s="2"/>
      <c r="O1055" s="2">
        <v>3512643</v>
      </c>
      <c r="P1055" s="2" t="s">
        <v>7214</v>
      </c>
      <c r="Q1055" s="2" t="s">
        <v>7215</v>
      </c>
      <c r="R1055" s="2" t="s">
        <v>7216</v>
      </c>
      <c r="S1055" s="2" t="s">
        <v>50</v>
      </c>
      <c r="T1055" s="2" t="s">
        <v>201</v>
      </c>
      <c r="U1055" s="2" t="s">
        <v>202</v>
      </c>
      <c r="V1055" s="2" t="s">
        <v>42</v>
      </c>
      <c r="W1055" s="2">
        <v>49.5</v>
      </c>
      <c r="X1055" s="2">
        <v>56.2</v>
      </c>
      <c r="Y1055" s="2" t="s">
        <v>394</v>
      </c>
      <c r="Z1055" s="2" t="s">
        <v>2987</v>
      </c>
      <c r="AA1055" s="2">
        <v>-0.74557609474763398</v>
      </c>
      <c r="AB1055" s="2">
        <v>0.70778077262875605</v>
      </c>
      <c r="AC1055" s="2">
        <v>63745.9125642613</v>
      </c>
      <c r="AD1055" s="2">
        <v>98650.966068178706</v>
      </c>
      <c r="AE1055" s="2">
        <v>59924.952642808203</v>
      </c>
      <c r="AF1055" s="2">
        <v>62350.076169674299</v>
      </c>
      <c r="AG1055" s="2">
        <v>62785.008444201303</v>
      </c>
      <c r="AH1055" s="2">
        <v>55848.303077695396</v>
      </c>
      <c r="AI1055" s="2">
        <v>64566.6139356614</v>
      </c>
      <c r="AJ1055" s="2">
        <v>77000.521115526994</v>
      </c>
      <c r="AK1055" s="2">
        <v>102275.601446188</v>
      </c>
      <c r="AL1055" s="2">
        <v>92454.593850134203</v>
      </c>
      <c r="AM1055" s="2">
        <v>108866.224845687</v>
      </c>
      <c r="AN1055" s="2">
        <v>94081.935252024501</v>
      </c>
      <c r="AO1055" s="2">
        <v>92782.112383118598</v>
      </c>
      <c r="AP1055" s="2">
        <v>101445.32863192</v>
      </c>
    </row>
    <row r="1056" spans="1:42" ht="14.5" x14ac:dyDescent="0.35">
      <c r="A1056" s="2" t="s">
        <v>7217</v>
      </c>
      <c r="B1056" s="2">
        <v>700.34768579047</v>
      </c>
      <c r="C1056" s="2">
        <v>8.8768999999999991</v>
      </c>
      <c r="D1056" s="2" t="s">
        <v>34</v>
      </c>
      <c r="E1056" s="2" t="s">
        <v>7218</v>
      </c>
      <c r="F1056" s="2">
        <v>54304</v>
      </c>
      <c r="G1056" s="3" t="str">
        <f>HYPERLINK("http://funmeta.oebiotech.com/network/54304", "http://funmeta.oebiotech.com/network/54304")</f>
        <v>http://funmeta.oebiotech.com/network/54304</v>
      </c>
      <c r="H1056" s="2" t="s">
        <v>7219</v>
      </c>
      <c r="I1056" s="2"/>
      <c r="J1056" s="2"/>
      <c r="K1056" s="2"/>
      <c r="L1056" s="2" t="s">
        <v>7220</v>
      </c>
      <c r="M1056" s="2"/>
      <c r="N1056" s="2"/>
      <c r="O1056" s="2">
        <v>5373023</v>
      </c>
      <c r="P1056" s="2" t="s">
        <v>7221</v>
      </c>
      <c r="Q1056" s="2" t="s">
        <v>7222</v>
      </c>
      <c r="R1056" s="2" t="s">
        <v>7223</v>
      </c>
      <c r="S1056" s="2" t="s">
        <v>89</v>
      </c>
      <c r="T1056" s="2" t="s">
        <v>90</v>
      </c>
      <c r="U1056" s="2" t="s">
        <v>99</v>
      </c>
      <c r="V1056" s="2" t="s">
        <v>59</v>
      </c>
      <c r="W1056" s="2">
        <v>39.5</v>
      </c>
      <c r="X1056" s="2">
        <v>1.72</v>
      </c>
      <c r="Y1056" s="2" t="s">
        <v>340</v>
      </c>
      <c r="Z1056" s="2" t="s">
        <v>7224</v>
      </c>
      <c r="AA1056" s="2">
        <v>0.89710909107921699</v>
      </c>
      <c r="AB1056" s="2">
        <v>0.707378276025315</v>
      </c>
      <c r="AC1056" s="2">
        <v>38854.4173146998</v>
      </c>
      <c r="AD1056" s="2">
        <v>72125.318461004106</v>
      </c>
      <c r="AE1056" s="2">
        <v>36278.660212904302</v>
      </c>
      <c r="AF1056" s="2">
        <v>36051.809284929499</v>
      </c>
      <c r="AG1056" s="2">
        <v>45368.298302451702</v>
      </c>
      <c r="AH1056" s="2">
        <v>39159.5893556761</v>
      </c>
      <c r="AI1056" s="2">
        <v>39442.729144263903</v>
      </c>
      <c r="AJ1056" s="2">
        <v>36825.417587973403</v>
      </c>
      <c r="AK1056" s="2">
        <v>72741.0626147601</v>
      </c>
      <c r="AL1056" s="2">
        <v>68571.238453548896</v>
      </c>
      <c r="AM1056" s="2">
        <v>75754.729887783105</v>
      </c>
      <c r="AN1056" s="2">
        <v>72472.547583809603</v>
      </c>
      <c r="AO1056" s="2">
        <v>73392.632043412596</v>
      </c>
      <c r="AP1056" s="2">
        <v>69819.700182710294</v>
      </c>
    </row>
    <row r="1057" spans="1:42" ht="14.5" x14ac:dyDescent="0.35">
      <c r="A1057" s="2" t="s">
        <v>7225</v>
      </c>
      <c r="B1057" s="2">
        <v>295.08184658925001</v>
      </c>
      <c r="C1057" s="2">
        <v>4.0429833333333303</v>
      </c>
      <c r="D1057" s="2" t="s">
        <v>70</v>
      </c>
      <c r="E1057" s="2" t="s">
        <v>7226</v>
      </c>
      <c r="F1057" s="2">
        <v>63860</v>
      </c>
      <c r="G1057" s="3" t="str">
        <f>HYPERLINK("http://funmeta.oebiotech.com/network/63860", "http://funmeta.oebiotech.com/network/63860")</f>
        <v>http://funmeta.oebiotech.com/network/63860</v>
      </c>
      <c r="H1057" s="2" t="s">
        <v>7227</v>
      </c>
      <c r="I1057" s="2">
        <v>95194</v>
      </c>
      <c r="J1057" s="2"/>
      <c r="K1057" s="2">
        <v>168767</v>
      </c>
      <c r="L1057" s="2"/>
      <c r="M1057" s="2"/>
      <c r="N1057" s="2"/>
      <c r="O1057" s="2">
        <v>131752916</v>
      </c>
      <c r="P1057" s="2" t="s">
        <v>7228</v>
      </c>
      <c r="Q1057" s="2" t="s">
        <v>7229</v>
      </c>
      <c r="R1057" s="2" t="s">
        <v>7230</v>
      </c>
      <c r="S1057" s="2" t="s">
        <v>79</v>
      </c>
      <c r="T1057" s="2" t="s">
        <v>80</v>
      </c>
      <c r="U1057" s="2" t="s">
        <v>81</v>
      </c>
      <c r="V1057" s="2" t="s">
        <v>42</v>
      </c>
      <c r="W1057" s="2">
        <v>52.2</v>
      </c>
      <c r="X1057" s="2">
        <v>66</v>
      </c>
      <c r="Y1057" s="2" t="s">
        <v>751</v>
      </c>
      <c r="Z1057" s="2" t="s">
        <v>7231</v>
      </c>
      <c r="AA1057" s="2">
        <v>-1.5276161556352601</v>
      </c>
      <c r="AB1057" s="2">
        <v>0.70694779467589497</v>
      </c>
      <c r="AC1057" s="2">
        <v>221175.321137828</v>
      </c>
      <c r="AD1057" s="2">
        <v>261426.860165925</v>
      </c>
      <c r="AE1057" s="2">
        <v>209735.954251085</v>
      </c>
      <c r="AF1057" s="2">
        <v>226955.584981605</v>
      </c>
      <c r="AG1057" s="2">
        <v>229701.317220308</v>
      </c>
      <c r="AH1057" s="2">
        <v>213885.946884606</v>
      </c>
      <c r="AI1057" s="2">
        <v>219956.82538475399</v>
      </c>
      <c r="AJ1057" s="2">
        <v>226816.29810461201</v>
      </c>
      <c r="AK1057" s="2">
        <v>256821.907851895</v>
      </c>
      <c r="AL1057" s="2">
        <v>298530.553729954</v>
      </c>
      <c r="AM1057" s="2">
        <v>269672.087384346</v>
      </c>
      <c r="AN1057" s="2">
        <v>246793.61544309999</v>
      </c>
      <c r="AO1057" s="2">
        <v>252243.07780349901</v>
      </c>
      <c r="AP1057" s="2">
        <v>244499.918782753</v>
      </c>
    </row>
    <row r="1058" spans="1:42" ht="14.5" x14ac:dyDescent="0.35">
      <c r="A1058" s="2" t="s">
        <v>7232</v>
      </c>
      <c r="B1058" s="2">
        <v>463.21816151137699</v>
      </c>
      <c r="C1058" s="2">
        <v>6.1053333333333297</v>
      </c>
      <c r="D1058" s="2" t="s">
        <v>70</v>
      </c>
      <c r="E1058" s="2" t="s">
        <v>7233</v>
      </c>
      <c r="F1058" s="2">
        <v>10370</v>
      </c>
      <c r="G1058" s="3" t="str">
        <f>HYPERLINK("http://funmeta.oebiotech.com/network/10370", "http://funmeta.oebiotech.com/network/10370")</f>
        <v>http://funmeta.oebiotech.com/network/10370</v>
      </c>
      <c r="H1058" s="2"/>
      <c r="I1058" s="2"/>
      <c r="J1058" s="2" t="s">
        <v>7234</v>
      </c>
      <c r="K1058" s="2">
        <v>79300</v>
      </c>
      <c r="L1058" s="2"/>
      <c r="M1058" s="2"/>
      <c r="N1058" s="2"/>
      <c r="O1058" s="2">
        <v>86289875</v>
      </c>
      <c r="P1058" s="2"/>
      <c r="Q1058" s="2" t="s">
        <v>7235</v>
      </c>
      <c r="R1058" s="2" t="s">
        <v>7236</v>
      </c>
      <c r="S1058" s="2" t="s">
        <v>50</v>
      </c>
      <c r="T1058" s="2" t="s">
        <v>229</v>
      </c>
      <c r="U1058" s="2" t="s">
        <v>230</v>
      </c>
      <c r="V1058" s="2" t="s">
        <v>42</v>
      </c>
      <c r="W1058" s="2">
        <v>53.6</v>
      </c>
      <c r="X1058" s="2">
        <v>73.599999999999994</v>
      </c>
      <c r="Y1058" s="2" t="s">
        <v>118</v>
      </c>
      <c r="Z1058" s="2" t="s">
        <v>7237</v>
      </c>
      <c r="AA1058" s="2">
        <v>-0.69799293734801904</v>
      </c>
      <c r="AB1058" s="2">
        <v>0.70644059463541797</v>
      </c>
      <c r="AC1058" s="2">
        <v>106727.131945455</v>
      </c>
      <c r="AD1058" s="2">
        <v>72387.512243825302</v>
      </c>
      <c r="AE1058" s="2">
        <v>104787.441944387</v>
      </c>
      <c r="AF1058" s="2">
        <v>98446.588126340197</v>
      </c>
      <c r="AG1058" s="2">
        <v>118529.43509356699</v>
      </c>
      <c r="AH1058" s="2">
        <v>104133.78188987701</v>
      </c>
      <c r="AI1058" s="2">
        <v>102503.83432836999</v>
      </c>
      <c r="AJ1058" s="2">
        <v>111961.710290188</v>
      </c>
      <c r="AK1058" s="2">
        <v>70541.062968815604</v>
      </c>
      <c r="AL1058" s="2">
        <v>75517.558207943599</v>
      </c>
      <c r="AM1058" s="2">
        <v>75425.598092625296</v>
      </c>
      <c r="AN1058" s="2">
        <v>77413.806643431395</v>
      </c>
      <c r="AO1058" s="2">
        <v>69578.413921490006</v>
      </c>
      <c r="AP1058" s="2">
        <v>65848.633628645897</v>
      </c>
    </row>
    <row r="1059" spans="1:42" ht="14.5" x14ac:dyDescent="0.35">
      <c r="A1059" s="2" t="s">
        <v>7238</v>
      </c>
      <c r="B1059" s="2">
        <v>481.263711001942</v>
      </c>
      <c r="C1059" s="2">
        <v>5.1684333333333301</v>
      </c>
      <c r="D1059" s="2" t="s">
        <v>34</v>
      </c>
      <c r="E1059" s="2" t="s">
        <v>7239</v>
      </c>
      <c r="F1059" s="2">
        <v>10367</v>
      </c>
      <c r="G1059" s="3" t="str">
        <f>HYPERLINK("http://funmeta.oebiotech.com/network/10367", "http://funmeta.oebiotech.com/network/10367")</f>
        <v>http://funmeta.oebiotech.com/network/10367</v>
      </c>
      <c r="H1059" s="2"/>
      <c r="I1059" s="2"/>
      <c r="J1059" s="2" t="s">
        <v>7240</v>
      </c>
      <c r="K1059" s="2">
        <v>79302</v>
      </c>
      <c r="L1059" s="2"/>
      <c r="M1059" s="2"/>
      <c r="N1059" s="2"/>
      <c r="O1059" s="2">
        <v>86289877</v>
      </c>
      <c r="P1059" s="2"/>
      <c r="Q1059" s="2" t="s">
        <v>7241</v>
      </c>
      <c r="R1059" s="2" t="s">
        <v>7242</v>
      </c>
      <c r="S1059" s="2" t="s">
        <v>50</v>
      </c>
      <c r="T1059" s="2" t="s">
        <v>229</v>
      </c>
      <c r="U1059" s="2" t="s">
        <v>230</v>
      </c>
      <c r="V1059" s="2" t="s">
        <v>42</v>
      </c>
      <c r="W1059" s="2">
        <v>46.2</v>
      </c>
      <c r="X1059" s="2">
        <v>45.7</v>
      </c>
      <c r="Y1059" s="2" t="s">
        <v>394</v>
      </c>
      <c r="Z1059" s="2" t="s">
        <v>7243</v>
      </c>
      <c r="AA1059" s="2">
        <v>-1.3066502672237501</v>
      </c>
      <c r="AB1059" s="2">
        <v>0.70637621300053399</v>
      </c>
      <c r="AC1059" s="2">
        <v>159929.517911756</v>
      </c>
      <c r="AD1059" s="2">
        <v>198437.11776407799</v>
      </c>
      <c r="AE1059" s="2">
        <v>150990.90975246101</v>
      </c>
      <c r="AF1059" s="2">
        <v>168960.640429728</v>
      </c>
      <c r="AG1059" s="2">
        <v>156055.328052428</v>
      </c>
      <c r="AH1059" s="2">
        <v>178407.415812819</v>
      </c>
      <c r="AI1059" s="2">
        <v>160525.59637146999</v>
      </c>
      <c r="AJ1059" s="2">
        <v>144637.21705163101</v>
      </c>
      <c r="AK1059" s="2">
        <v>178961.571133302</v>
      </c>
      <c r="AL1059" s="2">
        <v>186538.47047779601</v>
      </c>
      <c r="AM1059" s="2">
        <v>207568.977416179</v>
      </c>
      <c r="AN1059" s="2">
        <v>196414.54456763799</v>
      </c>
      <c r="AO1059" s="2">
        <v>217476.51306736801</v>
      </c>
      <c r="AP1059" s="2">
        <v>203662.629922183</v>
      </c>
    </row>
    <row r="1060" spans="1:42" ht="14.5" x14ac:dyDescent="0.35">
      <c r="A1060" s="2" t="s">
        <v>7244</v>
      </c>
      <c r="B1060" s="2">
        <v>691.18396678365502</v>
      </c>
      <c r="C1060" s="2">
        <v>1.8853500000000001</v>
      </c>
      <c r="D1060" s="2" t="s">
        <v>34</v>
      </c>
      <c r="E1060" s="2" t="s">
        <v>7245</v>
      </c>
      <c r="F1060" s="2">
        <v>33034</v>
      </c>
      <c r="G1060" s="3" t="str">
        <f>HYPERLINK("http://funmeta.oebiotech.com/network/33034", "http://funmeta.oebiotech.com/network/33034")</f>
        <v>http://funmeta.oebiotech.com/network/33034</v>
      </c>
      <c r="H1060" s="2"/>
      <c r="I1060" s="2"/>
      <c r="J1060" s="2" t="s">
        <v>7246</v>
      </c>
      <c r="K1060" s="2"/>
      <c r="L1060" s="2"/>
      <c r="M1060" s="2"/>
      <c r="N1060" s="2"/>
      <c r="O1060" s="2">
        <v>102081139</v>
      </c>
      <c r="P1060" s="2"/>
      <c r="Q1060" s="2" t="s">
        <v>7247</v>
      </c>
      <c r="R1060" s="2" t="s">
        <v>7248</v>
      </c>
      <c r="S1060" s="2" t="s">
        <v>115</v>
      </c>
      <c r="T1060" s="2" t="s">
        <v>139</v>
      </c>
      <c r="U1060" s="2" t="s">
        <v>140</v>
      </c>
      <c r="V1060" s="2" t="s">
        <v>59</v>
      </c>
      <c r="W1060" s="2">
        <v>43.1</v>
      </c>
      <c r="X1060" s="2">
        <v>34</v>
      </c>
      <c r="Y1060" s="2" t="s">
        <v>141</v>
      </c>
      <c r="Z1060" s="2" t="s">
        <v>7249</v>
      </c>
      <c r="AA1060" s="2">
        <v>-4.1080391831123597</v>
      </c>
      <c r="AB1060" s="2">
        <v>0.70625586541345997</v>
      </c>
      <c r="AC1060" s="2">
        <v>88796.655076639698</v>
      </c>
      <c r="AD1060" s="2">
        <v>125287.10141967901</v>
      </c>
      <c r="AE1060" s="2">
        <v>95220.005986294695</v>
      </c>
      <c r="AF1060" s="2">
        <v>79026.392276719693</v>
      </c>
      <c r="AG1060" s="2">
        <v>98049.798453244293</v>
      </c>
      <c r="AH1060" s="2">
        <v>77733.839147667095</v>
      </c>
      <c r="AI1060" s="2">
        <v>87562.815426771893</v>
      </c>
      <c r="AJ1060" s="2">
        <v>95187.079169140401</v>
      </c>
      <c r="AK1060" s="2">
        <v>134132.08113915101</v>
      </c>
      <c r="AL1060" s="2">
        <v>109286.232494228</v>
      </c>
      <c r="AM1060" s="2">
        <v>140412.87347344399</v>
      </c>
      <c r="AN1060" s="2">
        <v>123349.72686697901</v>
      </c>
      <c r="AO1060" s="2">
        <v>120064.75424238099</v>
      </c>
      <c r="AP1060" s="2">
        <v>124476.94030189099</v>
      </c>
    </row>
    <row r="1061" spans="1:42" ht="14.5" x14ac:dyDescent="0.35">
      <c r="A1061" s="2" t="s">
        <v>7250</v>
      </c>
      <c r="B1061" s="2">
        <v>342.30008512069401</v>
      </c>
      <c r="C1061" s="2">
        <v>10.2647666666667</v>
      </c>
      <c r="D1061" s="2" t="s">
        <v>34</v>
      </c>
      <c r="E1061" s="2" t="s">
        <v>7251</v>
      </c>
      <c r="F1061" s="2">
        <v>58883</v>
      </c>
      <c r="G1061" s="3" t="str">
        <f>HYPERLINK("http://funmeta.oebiotech.com/network/58883", "http://funmeta.oebiotech.com/network/58883")</f>
        <v>http://funmeta.oebiotech.com/network/58883</v>
      </c>
      <c r="H1061" s="2" t="s">
        <v>7252</v>
      </c>
      <c r="I1061" s="2">
        <v>90328</v>
      </c>
      <c r="J1061" s="2"/>
      <c r="K1061" s="2"/>
      <c r="L1061" s="2"/>
      <c r="M1061" s="2"/>
      <c r="N1061" s="2"/>
      <c r="O1061" s="2">
        <v>14543666</v>
      </c>
      <c r="P1061" s="2"/>
      <c r="Q1061" s="2" t="s">
        <v>7253</v>
      </c>
      <c r="R1061" s="2" t="s">
        <v>7254</v>
      </c>
      <c r="S1061" s="2" t="s">
        <v>50</v>
      </c>
      <c r="T1061" s="2" t="s">
        <v>201</v>
      </c>
      <c r="U1061" s="2" t="s">
        <v>241</v>
      </c>
      <c r="V1061" s="2" t="s">
        <v>59</v>
      </c>
      <c r="W1061" s="2">
        <v>42.1</v>
      </c>
      <c r="X1061" s="2">
        <v>16</v>
      </c>
      <c r="Y1061" s="2" t="s">
        <v>43</v>
      </c>
      <c r="Z1061" s="2" t="s">
        <v>7255</v>
      </c>
      <c r="AA1061" s="2">
        <v>-0.57182144085451503</v>
      </c>
      <c r="AB1061" s="2">
        <v>0.70558441310390496</v>
      </c>
      <c r="AC1061" s="2">
        <v>288216.69483006798</v>
      </c>
      <c r="AD1061" s="2">
        <v>333867.64927009802</v>
      </c>
      <c r="AE1061" s="2">
        <v>276697.68480510998</v>
      </c>
      <c r="AF1061" s="2">
        <v>288337.86619380699</v>
      </c>
      <c r="AG1061" s="2">
        <v>301001.50978151098</v>
      </c>
      <c r="AH1061" s="2">
        <v>299092.20789783302</v>
      </c>
      <c r="AI1061" s="2">
        <v>287478.09327661898</v>
      </c>
      <c r="AJ1061" s="2">
        <v>276692.80702552601</v>
      </c>
      <c r="AK1061" s="2">
        <v>371133.04253089998</v>
      </c>
      <c r="AL1061" s="2">
        <v>365618.59613268002</v>
      </c>
      <c r="AM1061" s="2">
        <v>322847.17270793102</v>
      </c>
      <c r="AN1061" s="2">
        <v>335411.38957500999</v>
      </c>
      <c r="AO1061" s="2">
        <v>326520.79126841802</v>
      </c>
      <c r="AP1061" s="2">
        <v>281674.90340565098</v>
      </c>
    </row>
    <row r="1062" spans="1:42" ht="14.5" x14ac:dyDescent="0.35">
      <c r="A1062" s="2" t="s">
        <v>7256</v>
      </c>
      <c r="B1062" s="2">
        <v>609.25285057041003</v>
      </c>
      <c r="C1062" s="2">
        <v>4.3459666666666701</v>
      </c>
      <c r="D1062" s="2" t="s">
        <v>70</v>
      </c>
      <c r="E1062" s="2" t="s">
        <v>7257</v>
      </c>
      <c r="F1062" s="2">
        <v>205340</v>
      </c>
      <c r="G1062" s="3" t="str">
        <f>HYPERLINK("http://funmeta.oebiotech.com/network/205340", "http://funmeta.oebiotech.com/network/205340")</f>
        <v>http://funmeta.oebiotech.com/network/205340</v>
      </c>
      <c r="H1062" s="2" t="s">
        <v>7258</v>
      </c>
      <c r="I1062" s="2"/>
      <c r="J1062" s="2"/>
      <c r="K1062" s="2"/>
      <c r="L1062" s="2"/>
      <c r="M1062" s="2"/>
      <c r="N1062" s="2"/>
      <c r="O1062" s="2">
        <v>78128141</v>
      </c>
      <c r="P1062" s="2"/>
      <c r="Q1062" s="2" t="s">
        <v>7259</v>
      </c>
      <c r="R1062" s="2" t="s">
        <v>7260</v>
      </c>
      <c r="S1062" s="2" t="s">
        <v>89</v>
      </c>
      <c r="T1062" s="2" t="s">
        <v>90</v>
      </c>
      <c r="U1062" s="2" t="s">
        <v>99</v>
      </c>
      <c r="V1062" s="2" t="s">
        <v>59</v>
      </c>
      <c r="W1062" s="2">
        <v>39.200000000000003</v>
      </c>
      <c r="X1062" s="2">
        <v>15.4</v>
      </c>
      <c r="Y1062" s="2" t="s">
        <v>408</v>
      </c>
      <c r="Z1062" s="2" t="s">
        <v>7261</v>
      </c>
      <c r="AA1062" s="2">
        <v>4.9145407830017502</v>
      </c>
      <c r="AB1062" s="2">
        <v>0.70552925651940801</v>
      </c>
      <c r="AC1062" s="2">
        <v>109549.188199182</v>
      </c>
      <c r="AD1062" s="2">
        <v>144741.85491696399</v>
      </c>
      <c r="AE1062" s="2">
        <v>114059.240400525</v>
      </c>
      <c r="AF1062" s="2">
        <v>110316.31874791801</v>
      </c>
      <c r="AG1062" s="2">
        <v>99109.322851853198</v>
      </c>
      <c r="AH1062" s="2">
        <v>119812.499211166</v>
      </c>
      <c r="AI1062" s="2">
        <v>108013.215702919</v>
      </c>
      <c r="AJ1062" s="2">
        <v>105984.53228071101</v>
      </c>
      <c r="AK1062" s="2">
        <v>144740.53090529799</v>
      </c>
      <c r="AL1062" s="2">
        <v>153732.674567829</v>
      </c>
      <c r="AM1062" s="2">
        <v>150709.16641527601</v>
      </c>
      <c r="AN1062" s="2">
        <v>150045.17187328299</v>
      </c>
      <c r="AO1062" s="2">
        <v>134878.50670693899</v>
      </c>
      <c r="AP1062" s="2">
        <v>134345.079033157</v>
      </c>
    </row>
    <row r="1063" spans="1:42" ht="14.5" x14ac:dyDescent="0.35">
      <c r="A1063" s="2" t="s">
        <v>7262</v>
      </c>
      <c r="B1063" s="2">
        <v>343.10048877725001</v>
      </c>
      <c r="C1063" s="2">
        <v>3.01393333333333</v>
      </c>
      <c r="D1063" s="2" t="s">
        <v>34</v>
      </c>
      <c r="E1063" s="2" t="s">
        <v>7263</v>
      </c>
      <c r="F1063" s="2">
        <v>200168</v>
      </c>
      <c r="G1063" s="3" t="str">
        <f>HYPERLINK("http://funmeta.oebiotech.com/network/200168", "http://funmeta.oebiotech.com/network/200168")</f>
        <v>http://funmeta.oebiotech.com/network/200168</v>
      </c>
      <c r="H1063" s="2" t="s">
        <v>7264</v>
      </c>
      <c r="I1063" s="2">
        <v>64644</v>
      </c>
      <c r="J1063" s="2"/>
      <c r="K1063" s="2"/>
      <c r="L1063" s="2"/>
      <c r="M1063" s="2"/>
      <c r="N1063" s="2"/>
      <c r="O1063" s="2">
        <v>4712</v>
      </c>
      <c r="P1063" s="2" t="s">
        <v>7265</v>
      </c>
      <c r="Q1063" s="2" t="s">
        <v>7266</v>
      </c>
      <c r="R1063" s="2" t="s">
        <v>7267</v>
      </c>
      <c r="S1063" s="2" t="s">
        <v>491</v>
      </c>
      <c r="T1063" s="2" t="s">
        <v>3519</v>
      </c>
      <c r="U1063" s="2" t="s">
        <v>7268</v>
      </c>
      <c r="V1063" s="2" t="s">
        <v>59</v>
      </c>
      <c r="W1063" s="2">
        <v>44.5</v>
      </c>
      <c r="X1063" s="2">
        <v>39</v>
      </c>
      <c r="Y1063" s="2" t="s">
        <v>141</v>
      </c>
      <c r="Z1063" s="2" t="s">
        <v>7269</v>
      </c>
      <c r="AA1063" s="2">
        <v>4.22972087425756</v>
      </c>
      <c r="AB1063" s="2">
        <v>0.70541402862100899</v>
      </c>
      <c r="AC1063" s="2">
        <v>232655.07940676899</v>
      </c>
      <c r="AD1063" s="2">
        <v>268394.03444796603</v>
      </c>
      <c r="AE1063" s="2">
        <v>232366.952718752</v>
      </c>
      <c r="AF1063" s="2">
        <v>233486.797236696</v>
      </c>
      <c r="AG1063" s="2">
        <v>236716.287994285</v>
      </c>
      <c r="AH1063" s="2">
        <v>215129.840020256</v>
      </c>
      <c r="AI1063" s="2">
        <v>232319.06424052201</v>
      </c>
      <c r="AJ1063" s="2">
        <v>245911.534230105</v>
      </c>
      <c r="AK1063" s="2">
        <v>266459.29339637002</v>
      </c>
      <c r="AL1063" s="2">
        <v>269191.962132824</v>
      </c>
      <c r="AM1063" s="2">
        <v>269990.00370424998</v>
      </c>
      <c r="AN1063" s="2">
        <v>272273.25568050297</v>
      </c>
      <c r="AO1063" s="2">
        <v>255775.959865318</v>
      </c>
      <c r="AP1063" s="2">
        <v>276673.73190853401</v>
      </c>
    </row>
    <row r="1064" spans="1:42" ht="14.5" x14ac:dyDescent="0.35">
      <c r="A1064" s="2" t="s">
        <v>7270</v>
      </c>
      <c r="B1064" s="2">
        <v>797.43189715495203</v>
      </c>
      <c r="C1064" s="2">
        <v>10.28895</v>
      </c>
      <c r="D1064" s="2" t="s">
        <v>70</v>
      </c>
      <c r="E1064" s="2" t="s">
        <v>7271</v>
      </c>
      <c r="F1064" s="2">
        <v>44596</v>
      </c>
      <c r="G1064" s="3" t="str">
        <f>HYPERLINK("http://funmeta.oebiotech.com/network/44596", "http://funmeta.oebiotech.com/network/44596")</f>
        <v>http://funmeta.oebiotech.com/network/44596</v>
      </c>
      <c r="H1064" s="2"/>
      <c r="I1064" s="2"/>
      <c r="J1064" s="2" t="s">
        <v>7272</v>
      </c>
      <c r="K1064" s="2"/>
      <c r="L1064" s="2"/>
      <c r="M1064" s="2"/>
      <c r="N1064" s="2"/>
      <c r="O1064" s="2"/>
      <c r="P1064" s="2"/>
      <c r="Q1064" s="2" t="s">
        <v>7273</v>
      </c>
      <c r="R1064" s="2" t="s">
        <v>7274</v>
      </c>
      <c r="S1064" s="2" t="s">
        <v>50</v>
      </c>
      <c r="T1064" s="2" t="s">
        <v>124</v>
      </c>
      <c r="U1064" s="2" t="s">
        <v>523</v>
      </c>
      <c r="V1064" s="2" t="s">
        <v>42</v>
      </c>
      <c r="W1064" s="2">
        <v>53</v>
      </c>
      <c r="X1064" s="2">
        <v>70.900000000000006</v>
      </c>
      <c r="Y1064" s="2" t="s">
        <v>408</v>
      </c>
      <c r="Z1064" s="2" t="s">
        <v>7275</v>
      </c>
      <c r="AA1064" s="2">
        <v>-1.32612413843727</v>
      </c>
      <c r="AB1064" s="2">
        <v>0.70505805432234903</v>
      </c>
      <c r="AC1064" s="2">
        <v>392480.35069912899</v>
      </c>
      <c r="AD1064" s="2">
        <v>353655.77193985402</v>
      </c>
      <c r="AE1064" s="2">
        <v>385646.53019442502</v>
      </c>
      <c r="AF1064" s="2">
        <v>366259.05211238499</v>
      </c>
      <c r="AG1064" s="2">
        <v>395836.32384188002</v>
      </c>
      <c r="AH1064" s="2">
        <v>393685.29365940602</v>
      </c>
      <c r="AI1064" s="2">
        <v>409843.621605755</v>
      </c>
      <c r="AJ1064" s="2">
        <v>403611.28278092202</v>
      </c>
      <c r="AK1064" s="2">
        <v>338511.197694759</v>
      </c>
      <c r="AL1064" s="2">
        <v>352763.39480553602</v>
      </c>
      <c r="AM1064" s="2">
        <v>359635.01456923602</v>
      </c>
      <c r="AN1064" s="2">
        <v>342749.88711989502</v>
      </c>
      <c r="AO1064" s="2">
        <v>365940.181492601</v>
      </c>
      <c r="AP1064" s="2">
        <v>362334.95595709601</v>
      </c>
    </row>
    <row r="1065" spans="1:42" ht="14.5" x14ac:dyDescent="0.35">
      <c r="A1065" s="2" t="s">
        <v>7276</v>
      </c>
      <c r="B1065" s="2">
        <v>639.26511616012897</v>
      </c>
      <c r="C1065" s="2">
        <v>6.5379166666666704</v>
      </c>
      <c r="D1065" s="2" t="s">
        <v>70</v>
      </c>
      <c r="E1065" s="2" t="s">
        <v>7277</v>
      </c>
      <c r="F1065" s="2">
        <v>62287</v>
      </c>
      <c r="G1065" s="3" t="str">
        <f>HYPERLINK("http://funmeta.oebiotech.com/network/62287", "http://funmeta.oebiotech.com/network/62287")</f>
        <v>http://funmeta.oebiotech.com/network/62287</v>
      </c>
      <c r="H1065" s="2" t="s">
        <v>7278</v>
      </c>
      <c r="I1065" s="2">
        <v>93578</v>
      </c>
      <c r="J1065" s="2"/>
      <c r="K1065" s="2">
        <v>175092</v>
      </c>
      <c r="L1065" s="2"/>
      <c r="M1065" s="2"/>
      <c r="N1065" s="2"/>
      <c r="O1065" s="2">
        <v>131752501</v>
      </c>
      <c r="P1065" s="2" t="s">
        <v>7279</v>
      </c>
      <c r="Q1065" s="2" t="s">
        <v>7280</v>
      </c>
      <c r="R1065" s="2" t="s">
        <v>7281</v>
      </c>
      <c r="S1065" s="2" t="s">
        <v>491</v>
      </c>
      <c r="T1065" s="2" t="s">
        <v>2251</v>
      </c>
      <c r="U1065" s="2" t="s">
        <v>2252</v>
      </c>
      <c r="V1065" s="2" t="s">
        <v>59</v>
      </c>
      <c r="W1065" s="2">
        <v>38.6</v>
      </c>
      <c r="X1065" s="2">
        <v>0</v>
      </c>
      <c r="Y1065" s="2" t="s">
        <v>560</v>
      </c>
      <c r="Z1065" s="2" t="s">
        <v>7282</v>
      </c>
      <c r="AA1065" s="2">
        <v>-3.20316622291935</v>
      </c>
      <c r="AB1065" s="2">
        <v>0.70428729174692495</v>
      </c>
      <c r="AC1065" s="2">
        <v>57593.2833676222</v>
      </c>
      <c r="AD1065" s="2">
        <v>24668.812048508898</v>
      </c>
      <c r="AE1065" s="2">
        <v>62824.352647246102</v>
      </c>
      <c r="AF1065" s="2">
        <v>56358.048864323602</v>
      </c>
      <c r="AG1065" s="2">
        <v>57120.397444813403</v>
      </c>
      <c r="AH1065" s="2">
        <v>56884.312904924504</v>
      </c>
      <c r="AI1065" s="2">
        <v>54987.295290939001</v>
      </c>
      <c r="AJ1065" s="2">
        <v>57385.293053486501</v>
      </c>
      <c r="AK1065" s="2">
        <v>21378.3253819081</v>
      </c>
      <c r="AL1065" s="2">
        <v>22811.182885632799</v>
      </c>
      <c r="AM1065" s="2">
        <v>29704.088148422699</v>
      </c>
      <c r="AN1065" s="2">
        <v>25550.182131007201</v>
      </c>
      <c r="AO1065" s="2">
        <v>24561.767984238501</v>
      </c>
      <c r="AP1065" s="2">
        <v>24007.325759843799</v>
      </c>
    </row>
    <row r="1066" spans="1:42" ht="14.5" x14ac:dyDescent="0.35">
      <c r="A1066" s="2" t="s">
        <v>7283</v>
      </c>
      <c r="B1066" s="2">
        <v>162.11228223061201</v>
      </c>
      <c r="C1066" s="2">
        <v>0.75019999999999998</v>
      </c>
      <c r="D1066" s="2" t="s">
        <v>34</v>
      </c>
      <c r="E1066" s="2" t="s">
        <v>7284</v>
      </c>
      <c r="F1066" s="2">
        <v>266280</v>
      </c>
      <c r="G1066" s="3" t="str">
        <f>HYPERLINK("http://funmeta.oebiotech.com/network/266280", "http://funmeta.oebiotech.com/network/266280")</f>
        <v>http://funmeta.oebiotech.com/network/266280</v>
      </c>
      <c r="H1066" s="2"/>
      <c r="I1066" s="2">
        <v>34532</v>
      </c>
      <c r="J1066" s="2"/>
      <c r="K1066" s="2"/>
      <c r="L1066" s="2" t="s">
        <v>7285</v>
      </c>
      <c r="M1066" s="2"/>
      <c r="N1066" s="2"/>
      <c r="O1066" s="2">
        <v>10917</v>
      </c>
      <c r="P1066" s="2" t="s">
        <v>7286</v>
      </c>
      <c r="Q1066" s="2" t="s">
        <v>7287</v>
      </c>
      <c r="R1066" s="2" t="s">
        <v>7288</v>
      </c>
      <c r="S1066" s="2" t="s">
        <v>1677</v>
      </c>
      <c r="T1066" s="2" t="s">
        <v>1678</v>
      </c>
      <c r="U1066" s="2" t="s">
        <v>7289</v>
      </c>
      <c r="V1066" s="2" t="s">
        <v>59</v>
      </c>
      <c r="W1066" s="2">
        <v>48.4</v>
      </c>
      <c r="X1066" s="2">
        <v>44.9</v>
      </c>
      <c r="Y1066" s="2" t="s">
        <v>394</v>
      </c>
      <c r="Z1066" s="2" t="s">
        <v>7290</v>
      </c>
      <c r="AA1066" s="2">
        <v>-1.1641208691276199</v>
      </c>
      <c r="AB1066" s="2">
        <v>0.70318045828225195</v>
      </c>
      <c r="AC1066" s="2">
        <v>472017.74187976599</v>
      </c>
      <c r="AD1066" s="2">
        <v>417729.06614334002</v>
      </c>
      <c r="AE1066" s="2">
        <v>460939.431977781</v>
      </c>
      <c r="AF1066" s="2">
        <v>520884.94442925701</v>
      </c>
      <c r="AG1066" s="2">
        <v>489276.801619604</v>
      </c>
      <c r="AH1066" s="2">
        <v>488718.31004968903</v>
      </c>
      <c r="AI1066" s="2">
        <v>426897.18889162701</v>
      </c>
      <c r="AJ1066" s="2">
        <v>445389.77431063901</v>
      </c>
      <c r="AK1066" s="2">
        <v>390226.76013371302</v>
      </c>
      <c r="AL1066" s="2">
        <v>509520.99536477402</v>
      </c>
      <c r="AM1066" s="2">
        <v>400473.90092568699</v>
      </c>
      <c r="AN1066" s="2">
        <v>389517.76270853</v>
      </c>
      <c r="AO1066" s="2">
        <v>427957.25450711499</v>
      </c>
      <c r="AP1066" s="2">
        <v>388677.72322022403</v>
      </c>
    </row>
    <row r="1067" spans="1:42" ht="14.5" x14ac:dyDescent="0.35">
      <c r="A1067" s="2" t="s">
        <v>7291</v>
      </c>
      <c r="B1067" s="2">
        <v>593.13000271941905</v>
      </c>
      <c r="C1067" s="2">
        <v>9.2194500000000001</v>
      </c>
      <c r="D1067" s="2" t="s">
        <v>70</v>
      </c>
      <c r="E1067" s="2" t="s">
        <v>7292</v>
      </c>
      <c r="F1067" s="2">
        <v>60923</v>
      </c>
      <c r="G1067" s="3" t="str">
        <f>HYPERLINK("http://funmeta.oebiotech.com/network/60923", "http://funmeta.oebiotech.com/network/60923")</f>
        <v>http://funmeta.oebiotech.com/network/60923</v>
      </c>
      <c r="H1067" s="2" t="s">
        <v>7293</v>
      </c>
      <c r="I1067" s="2">
        <v>92277</v>
      </c>
      <c r="J1067" s="2"/>
      <c r="K1067" s="2"/>
      <c r="L1067" s="2"/>
      <c r="M1067" s="2"/>
      <c r="N1067" s="2"/>
      <c r="O1067" s="2">
        <v>131752171</v>
      </c>
      <c r="P1067" s="2" t="s">
        <v>7294</v>
      </c>
      <c r="Q1067" s="2" t="s">
        <v>7295</v>
      </c>
      <c r="R1067" s="2" t="s">
        <v>7296</v>
      </c>
      <c r="S1067" s="2" t="s">
        <v>115</v>
      </c>
      <c r="T1067" s="2" t="s">
        <v>139</v>
      </c>
      <c r="U1067" s="2" t="s">
        <v>140</v>
      </c>
      <c r="V1067" s="2" t="s">
        <v>42</v>
      </c>
      <c r="W1067" s="2">
        <v>52</v>
      </c>
      <c r="X1067" s="2">
        <v>61.4</v>
      </c>
      <c r="Y1067" s="2" t="s">
        <v>118</v>
      </c>
      <c r="Z1067" s="2" t="s">
        <v>7297</v>
      </c>
      <c r="AA1067" s="2">
        <v>-0.103909781049024</v>
      </c>
      <c r="AB1067" s="2">
        <v>0.70294754102151402</v>
      </c>
      <c r="AC1067" s="2">
        <v>145093.19176961601</v>
      </c>
      <c r="AD1067" s="2">
        <v>190037.53848243001</v>
      </c>
      <c r="AE1067" s="2">
        <v>159763.448865279</v>
      </c>
      <c r="AF1067" s="2">
        <v>182359.613520421</v>
      </c>
      <c r="AG1067" s="2">
        <v>166699.08091736</v>
      </c>
      <c r="AH1067" s="2">
        <v>107907.91611988599</v>
      </c>
      <c r="AI1067" s="2">
        <v>109100.824797423</v>
      </c>
      <c r="AJ1067" s="2">
        <v>144728.266397328</v>
      </c>
      <c r="AK1067" s="2">
        <v>202000.647255669</v>
      </c>
      <c r="AL1067" s="2">
        <v>184127.92738244199</v>
      </c>
      <c r="AM1067" s="2">
        <v>198294.95132541301</v>
      </c>
      <c r="AN1067" s="2">
        <v>190743.08135123999</v>
      </c>
      <c r="AO1067" s="2">
        <v>190846.63718466699</v>
      </c>
      <c r="AP1067" s="2">
        <v>174211.98639514699</v>
      </c>
    </row>
    <row r="1068" spans="1:42" ht="14.5" x14ac:dyDescent="0.35">
      <c r="A1068" s="2" t="s">
        <v>7298</v>
      </c>
      <c r="B1068" s="2">
        <v>349.27336905097201</v>
      </c>
      <c r="C1068" s="2">
        <v>11.2503166666667</v>
      </c>
      <c r="D1068" s="2" t="s">
        <v>34</v>
      </c>
      <c r="E1068" s="2" t="s">
        <v>7299</v>
      </c>
      <c r="F1068" s="2">
        <v>2646</v>
      </c>
      <c r="G1068" s="3" t="str">
        <f>HYPERLINK("http://funmeta.oebiotech.com/network/2646", "http://funmeta.oebiotech.com/network/2646")</f>
        <v>http://funmeta.oebiotech.com/network/2646</v>
      </c>
      <c r="H1068" s="2" t="s">
        <v>7300</v>
      </c>
      <c r="I1068" s="2"/>
      <c r="J1068" s="2" t="s">
        <v>7301</v>
      </c>
      <c r="K1068" s="2"/>
      <c r="L1068" s="2"/>
      <c r="M1068" s="2"/>
      <c r="N1068" s="2"/>
      <c r="O1068" s="2">
        <v>13965212</v>
      </c>
      <c r="P1068" s="2"/>
      <c r="Q1068" s="2" t="s">
        <v>7302</v>
      </c>
      <c r="R1068" s="2" t="s">
        <v>7303</v>
      </c>
      <c r="S1068" s="2" t="s">
        <v>50</v>
      </c>
      <c r="T1068" s="2" t="s">
        <v>229</v>
      </c>
      <c r="U1068" s="2" t="s">
        <v>433</v>
      </c>
      <c r="V1068" s="2" t="s">
        <v>59</v>
      </c>
      <c r="W1068" s="2">
        <v>47.7</v>
      </c>
      <c r="X1068" s="2">
        <v>44</v>
      </c>
      <c r="Y1068" s="2" t="s">
        <v>394</v>
      </c>
      <c r="Z1068" s="2" t="s">
        <v>7304</v>
      </c>
      <c r="AA1068" s="2">
        <v>-1.01185237129753</v>
      </c>
      <c r="AB1068" s="2">
        <v>0.70222676869205702</v>
      </c>
      <c r="AC1068" s="2">
        <v>75175.062419836002</v>
      </c>
      <c r="AD1068" s="2">
        <v>41883.952665836703</v>
      </c>
      <c r="AE1068" s="2">
        <v>85097.060958004004</v>
      </c>
      <c r="AF1068" s="2">
        <v>78711.584264579593</v>
      </c>
      <c r="AG1068" s="2">
        <v>75687.846785425296</v>
      </c>
      <c r="AH1068" s="2">
        <v>67881.355580444404</v>
      </c>
      <c r="AI1068" s="2">
        <v>68717.264976025705</v>
      </c>
      <c r="AJ1068" s="2">
        <v>74955.261954536894</v>
      </c>
      <c r="AK1068" s="2">
        <v>41798.6083136421</v>
      </c>
      <c r="AL1068" s="2">
        <v>42768.536066661502</v>
      </c>
      <c r="AM1068" s="2">
        <v>41191.5262608466</v>
      </c>
      <c r="AN1068" s="2">
        <v>42954.972094164201</v>
      </c>
      <c r="AO1068" s="2">
        <v>43527.888836866303</v>
      </c>
      <c r="AP1068" s="2">
        <v>39062.1844228396</v>
      </c>
    </row>
    <row r="1069" spans="1:42" ht="14.5" x14ac:dyDescent="0.35">
      <c r="A1069" s="2" t="s">
        <v>7305</v>
      </c>
      <c r="B1069" s="2">
        <v>409.182907863661</v>
      </c>
      <c r="C1069" s="2">
        <v>5.7384500000000003</v>
      </c>
      <c r="D1069" s="2" t="s">
        <v>34</v>
      </c>
      <c r="E1069" s="2" t="s">
        <v>7306</v>
      </c>
      <c r="F1069" s="2">
        <v>59104</v>
      </c>
      <c r="G1069" s="3" t="str">
        <f>HYPERLINK("http://funmeta.oebiotech.com/network/59104", "http://funmeta.oebiotech.com/network/59104")</f>
        <v>http://funmeta.oebiotech.com/network/59104</v>
      </c>
      <c r="H1069" s="2" t="s">
        <v>7307</v>
      </c>
      <c r="I1069" s="2">
        <v>90530</v>
      </c>
      <c r="J1069" s="2"/>
      <c r="K1069" s="2">
        <v>169302</v>
      </c>
      <c r="L1069" s="2"/>
      <c r="M1069" s="2"/>
      <c r="N1069" s="2"/>
      <c r="O1069" s="2">
        <v>15628143</v>
      </c>
      <c r="P1069" s="2" t="s">
        <v>7308</v>
      </c>
      <c r="Q1069" s="2" t="s">
        <v>7309</v>
      </c>
      <c r="R1069" s="2" t="s">
        <v>7310</v>
      </c>
      <c r="S1069" s="2" t="s">
        <v>50</v>
      </c>
      <c r="T1069" s="2" t="s">
        <v>201</v>
      </c>
      <c r="U1069" s="2" t="s">
        <v>202</v>
      </c>
      <c r="V1069" s="2" t="s">
        <v>59</v>
      </c>
      <c r="W1069" s="2">
        <v>47.5</v>
      </c>
      <c r="X1069" s="2">
        <v>43.1</v>
      </c>
      <c r="Y1069" s="2" t="s">
        <v>376</v>
      </c>
      <c r="Z1069" s="2" t="s">
        <v>5525</v>
      </c>
      <c r="AA1069" s="2">
        <v>-0.98586423552095404</v>
      </c>
      <c r="AB1069" s="2">
        <v>0.70215385708802003</v>
      </c>
      <c r="AC1069" s="2">
        <v>647033.11877058703</v>
      </c>
      <c r="AD1069" s="2">
        <v>606208.19961835898</v>
      </c>
      <c r="AE1069" s="2">
        <v>654672.66029565397</v>
      </c>
      <c r="AF1069" s="2">
        <v>638234.57906805002</v>
      </c>
      <c r="AG1069" s="2">
        <v>649401.82300004095</v>
      </c>
      <c r="AH1069" s="2">
        <v>628923.197937869</v>
      </c>
      <c r="AI1069" s="2">
        <v>662187.10796102195</v>
      </c>
      <c r="AJ1069" s="2">
        <v>648779.34436088696</v>
      </c>
      <c r="AK1069" s="2">
        <v>591633.51829286304</v>
      </c>
      <c r="AL1069" s="2">
        <v>574759.86065138702</v>
      </c>
      <c r="AM1069" s="2">
        <v>625235.81762869901</v>
      </c>
      <c r="AN1069" s="2">
        <v>606933.91961654997</v>
      </c>
      <c r="AO1069" s="2">
        <v>609166.00312782405</v>
      </c>
      <c r="AP1069" s="2">
        <v>629520.07839282905</v>
      </c>
    </row>
    <row r="1070" spans="1:42" ht="14.5" x14ac:dyDescent="0.35">
      <c r="A1070" s="2" t="s">
        <v>7311</v>
      </c>
      <c r="B1070" s="2">
        <v>391.28136492882902</v>
      </c>
      <c r="C1070" s="2">
        <v>12.645483333333299</v>
      </c>
      <c r="D1070" s="2" t="s">
        <v>34</v>
      </c>
      <c r="E1070" s="2" t="s">
        <v>7312</v>
      </c>
      <c r="F1070" s="2">
        <v>212817</v>
      </c>
      <c r="G1070" s="3" t="str">
        <f>HYPERLINK("http://funmeta.oebiotech.com/network/212817", "http://funmeta.oebiotech.com/network/212817")</f>
        <v>http://funmeta.oebiotech.com/network/212817</v>
      </c>
      <c r="H1070" s="2" t="s">
        <v>7313</v>
      </c>
      <c r="I1070" s="2"/>
      <c r="J1070" s="2"/>
      <c r="K1070" s="2"/>
      <c r="L1070" s="2"/>
      <c r="M1070" s="2"/>
      <c r="N1070" s="2"/>
      <c r="O1070" s="2">
        <v>75083780</v>
      </c>
      <c r="P1070" s="2"/>
      <c r="Q1070" s="2" t="s">
        <v>7314</v>
      </c>
      <c r="R1070" s="2" t="s">
        <v>7315</v>
      </c>
      <c r="S1070" s="2" t="s">
        <v>41</v>
      </c>
      <c r="T1070" s="2" t="s">
        <v>41</v>
      </c>
      <c r="U1070" s="2" t="s">
        <v>41</v>
      </c>
      <c r="V1070" s="2" t="s">
        <v>59</v>
      </c>
      <c r="W1070" s="2">
        <v>38.700000000000003</v>
      </c>
      <c r="X1070" s="2">
        <v>0</v>
      </c>
      <c r="Y1070" s="2" t="s">
        <v>394</v>
      </c>
      <c r="Z1070" s="2" t="s">
        <v>7316</v>
      </c>
      <c r="AA1070" s="2">
        <v>-0.60434790816807205</v>
      </c>
      <c r="AB1070" s="2">
        <v>0.70188111181181101</v>
      </c>
      <c r="AC1070" s="2">
        <v>9622.4504012805392</v>
      </c>
      <c r="AD1070" s="2">
        <v>42104.187941374003</v>
      </c>
      <c r="AE1070" s="2">
        <v>8751.1086728520404</v>
      </c>
      <c r="AF1070" s="2">
        <v>9305.3574022872999</v>
      </c>
      <c r="AG1070" s="2">
        <v>10958.745383326601</v>
      </c>
      <c r="AH1070" s="2">
        <v>9845.1957852265095</v>
      </c>
      <c r="AI1070" s="2">
        <v>9488.0837973364396</v>
      </c>
      <c r="AJ1070" s="2">
        <v>9386.2113666543701</v>
      </c>
      <c r="AK1070" s="2">
        <v>40508.463363091701</v>
      </c>
      <c r="AL1070" s="2">
        <v>43318.992041691199</v>
      </c>
      <c r="AM1070" s="2">
        <v>46065.767415791401</v>
      </c>
      <c r="AN1070" s="2">
        <v>39670.021364148597</v>
      </c>
      <c r="AO1070" s="2">
        <v>41919.286812218903</v>
      </c>
      <c r="AP1070" s="2">
        <v>41142.596651301901</v>
      </c>
    </row>
    <row r="1071" spans="1:42" ht="14.5" x14ac:dyDescent="0.35">
      <c r="A1071" s="2" t="s">
        <v>7317</v>
      </c>
      <c r="B1071" s="2">
        <v>627.154848679206</v>
      </c>
      <c r="C1071" s="2">
        <v>4.4128166666666697</v>
      </c>
      <c r="D1071" s="2" t="s">
        <v>34</v>
      </c>
      <c r="E1071" s="2" t="s">
        <v>7318</v>
      </c>
      <c r="F1071" s="2">
        <v>61695</v>
      </c>
      <c r="G1071" s="3" t="str">
        <f>HYPERLINK("http://funmeta.oebiotech.com/network/61695", "http://funmeta.oebiotech.com/network/61695")</f>
        <v>http://funmeta.oebiotech.com/network/61695</v>
      </c>
      <c r="H1071" s="2" t="s">
        <v>7319</v>
      </c>
      <c r="I1071" s="2"/>
      <c r="J1071" s="2"/>
      <c r="K1071" s="2"/>
      <c r="L1071" s="2"/>
      <c r="M1071" s="2"/>
      <c r="N1071" s="2"/>
      <c r="O1071" s="2">
        <v>73091600</v>
      </c>
      <c r="P1071" s="2"/>
      <c r="Q1071" s="2" t="s">
        <v>7320</v>
      </c>
      <c r="R1071" s="2" t="s">
        <v>7321</v>
      </c>
      <c r="S1071" s="2" t="s">
        <v>115</v>
      </c>
      <c r="T1071" s="2" t="s">
        <v>139</v>
      </c>
      <c r="U1071" s="2" t="s">
        <v>140</v>
      </c>
      <c r="V1071" s="2" t="s">
        <v>42</v>
      </c>
      <c r="W1071" s="2">
        <v>53.3</v>
      </c>
      <c r="X1071" s="2">
        <v>71.900000000000006</v>
      </c>
      <c r="Y1071" s="2" t="s">
        <v>67</v>
      </c>
      <c r="Z1071" s="2" t="s">
        <v>7322</v>
      </c>
      <c r="AA1071" s="2">
        <v>-1.16146193243185</v>
      </c>
      <c r="AB1071" s="2">
        <v>0.70174387796304805</v>
      </c>
      <c r="AC1071" s="2">
        <v>287741.274398332</v>
      </c>
      <c r="AD1071" s="2">
        <v>337032.501629607</v>
      </c>
      <c r="AE1071" s="2">
        <v>262188.72677640402</v>
      </c>
      <c r="AF1071" s="2">
        <v>292105.80958206602</v>
      </c>
      <c r="AG1071" s="2">
        <v>314883.22209197498</v>
      </c>
      <c r="AH1071" s="2">
        <v>258700.069287853</v>
      </c>
      <c r="AI1071" s="2">
        <v>271628.91789392999</v>
      </c>
      <c r="AJ1071" s="2">
        <v>326940.90075776598</v>
      </c>
      <c r="AK1071" s="2">
        <v>318625.270412585</v>
      </c>
      <c r="AL1071" s="2">
        <v>387122.818893391</v>
      </c>
      <c r="AM1071" s="2">
        <v>342208.120782668</v>
      </c>
      <c r="AN1071" s="2">
        <v>352218.48281251598</v>
      </c>
      <c r="AO1071" s="2">
        <v>332594.52081644698</v>
      </c>
      <c r="AP1071" s="2">
        <v>289425.79606003698</v>
      </c>
    </row>
    <row r="1072" spans="1:42" ht="14.5" x14ac:dyDescent="0.35">
      <c r="A1072" s="2" t="s">
        <v>7323</v>
      </c>
      <c r="B1072" s="2">
        <v>689.18745088732805</v>
      </c>
      <c r="C1072" s="2">
        <v>4.2044333333333297</v>
      </c>
      <c r="D1072" s="2" t="s">
        <v>70</v>
      </c>
      <c r="E1072" s="2" t="s">
        <v>7324</v>
      </c>
      <c r="F1072" s="2">
        <v>28791</v>
      </c>
      <c r="G1072" s="3" t="str">
        <f>HYPERLINK("http://funmeta.oebiotech.com/network/28791", "http://funmeta.oebiotech.com/network/28791")</f>
        <v>http://funmeta.oebiotech.com/network/28791</v>
      </c>
      <c r="H1072" s="2"/>
      <c r="I1072" s="2"/>
      <c r="J1072" s="2" t="s">
        <v>7325</v>
      </c>
      <c r="K1072" s="2">
        <v>5728</v>
      </c>
      <c r="L1072" s="2" t="s">
        <v>7326</v>
      </c>
      <c r="M1072" s="2"/>
      <c r="N1072" s="2"/>
      <c r="O1072" s="2">
        <v>441694</v>
      </c>
      <c r="P1072" s="2"/>
      <c r="Q1072" s="2" t="s">
        <v>7327</v>
      </c>
      <c r="R1072" s="2" t="s">
        <v>7328</v>
      </c>
      <c r="S1072" s="2" t="s">
        <v>115</v>
      </c>
      <c r="T1072" s="2" t="s">
        <v>139</v>
      </c>
      <c r="U1072" s="2" t="s">
        <v>1552</v>
      </c>
      <c r="V1072" s="2" t="s">
        <v>59</v>
      </c>
      <c r="W1072" s="2">
        <v>45.4</v>
      </c>
      <c r="X1072" s="2">
        <v>40.700000000000003</v>
      </c>
      <c r="Y1072" s="2" t="s">
        <v>560</v>
      </c>
      <c r="Z1072" s="2" t="s">
        <v>7329</v>
      </c>
      <c r="AA1072" s="2">
        <v>-0.186099463253251</v>
      </c>
      <c r="AB1072" s="2">
        <v>0.70117787004899201</v>
      </c>
      <c r="AC1072" s="2">
        <v>464535.04075978801</v>
      </c>
      <c r="AD1072" s="2">
        <v>513945.63653700298</v>
      </c>
      <c r="AE1072" s="2">
        <v>485173.55565164099</v>
      </c>
      <c r="AF1072" s="2">
        <v>463485.98839950399</v>
      </c>
      <c r="AG1072" s="2">
        <v>482248.53058054601</v>
      </c>
      <c r="AH1072" s="2">
        <v>479661.49123988301</v>
      </c>
      <c r="AI1072" s="2">
        <v>431352.85465976503</v>
      </c>
      <c r="AJ1072" s="2">
        <v>445287.824027389</v>
      </c>
      <c r="AK1072" s="2">
        <v>566248.30581257702</v>
      </c>
      <c r="AL1072" s="2">
        <v>514819.10661518399</v>
      </c>
      <c r="AM1072" s="2">
        <v>544571.48477062397</v>
      </c>
      <c r="AN1072" s="2">
        <v>502184.14442585502</v>
      </c>
      <c r="AO1072" s="2">
        <v>495676.59132406901</v>
      </c>
      <c r="AP1072" s="2">
        <v>460174.18627370801</v>
      </c>
    </row>
    <row r="1073" spans="1:42" ht="14.5" x14ac:dyDescent="0.35">
      <c r="A1073" s="2" t="s">
        <v>7330</v>
      </c>
      <c r="B1073" s="2">
        <v>123.080165561219</v>
      </c>
      <c r="C1073" s="2">
        <v>0.53741666666666699</v>
      </c>
      <c r="D1073" s="2" t="s">
        <v>34</v>
      </c>
      <c r="E1073" s="2" t="s">
        <v>7331</v>
      </c>
      <c r="F1073" s="2">
        <v>2552</v>
      </c>
      <c r="G1073" s="3" t="str">
        <f>HYPERLINK("http://funmeta.oebiotech.com/network/2552", "http://funmeta.oebiotech.com/network/2552")</f>
        <v>http://funmeta.oebiotech.com/network/2552</v>
      </c>
      <c r="H1073" s="2"/>
      <c r="I1073" s="2"/>
      <c r="J1073" s="2" t="s">
        <v>7332</v>
      </c>
      <c r="K1073" s="2"/>
      <c r="L1073" s="2"/>
      <c r="M1073" s="2"/>
      <c r="N1073" s="2"/>
      <c r="O1073" s="2">
        <v>15650101</v>
      </c>
      <c r="P1073" s="2"/>
      <c r="Q1073" s="2" t="s">
        <v>7333</v>
      </c>
      <c r="R1073" s="2" t="s">
        <v>7334</v>
      </c>
      <c r="S1073" s="2" t="s">
        <v>89</v>
      </c>
      <c r="T1073" s="2" t="s">
        <v>90</v>
      </c>
      <c r="U1073" s="2" t="s">
        <v>7335</v>
      </c>
      <c r="V1073" s="2" t="s">
        <v>59</v>
      </c>
      <c r="W1073" s="2">
        <v>45.3</v>
      </c>
      <c r="X1073" s="2">
        <v>33.799999999999997</v>
      </c>
      <c r="Y1073" s="2" t="s">
        <v>141</v>
      </c>
      <c r="Z1073" s="2" t="s">
        <v>7336</v>
      </c>
      <c r="AA1073" s="2">
        <v>-1.9689134584638499</v>
      </c>
      <c r="AB1073" s="2">
        <v>0.69968904444907798</v>
      </c>
      <c r="AC1073" s="2">
        <v>4912.7953283471397</v>
      </c>
      <c r="AD1073" s="2">
        <v>37914.293054077098</v>
      </c>
      <c r="AE1073" s="2">
        <v>6053.9306576175904</v>
      </c>
      <c r="AF1073" s="2">
        <v>3075.2882328473702</v>
      </c>
      <c r="AG1073" s="2">
        <v>9516.5980410545108</v>
      </c>
      <c r="AH1073" s="2">
        <v>1541.17232325594</v>
      </c>
      <c r="AI1073" s="2">
        <v>4437.5963031191104</v>
      </c>
      <c r="AJ1073" s="2">
        <v>4852.18641218834</v>
      </c>
      <c r="AK1073" s="2">
        <v>45664.6535449316</v>
      </c>
      <c r="AL1073" s="2">
        <v>34511.4457046928</v>
      </c>
      <c r="AM1073" s="2">
        <v>40594.677438365703</v>
      </c>
      <c r="AN1073" s="2">
        <v>37684.883041968002</v>
      </c>
      <c r="AO1073" s="2">
        <v>39011.512307345503</v>
      </c>
      <c r="AP1073" s="2">
        <v>30018.586287158902</v>
      </c>
    </row>
    <row r="1074" spans="1:42" ht="14.5" x14ac:dyDescent="0.35">
      <c r="A1074" s="2" t="s">
        <v>7337</v>
      </c>
      <c r="B1074" s="2">
        <v>461.16607917941298</v>
      </c>
      <c r="C1074" s="2">
        <v>3.91611666666667</v>
      </c>
      <c r="D1074" s="2" t="s">
        <v>70</v>
      </c>
      <c r="E1074" s="2" t="s">
        <v>7338</v>
      </c>
      <c r="F1074" s="2">
        <v>62521</v>
      </c>
      <c r="G1074" s="3" t="str">
        <f>HYPERLINK("http://funmeta.oebiotech.com/network/62521", "http://funmeta.oebiotech.com/network/62521")</f>
        <v>http://funmeta.oebiotech.com/network/62521</v>
      </c>
      <c r="H1074" s="2" t="s">
        <v>7339</v>
      </c>
      <c r="I1074" s="2">
        <v>93824</v>
      </c>
      <c r="J1074" s="2"/>
      <c r="K1074" s="2"/>
      <c r="L1074" s="2"/>
      <c r="M1074" s="2"/>
      <c r="N1074" s="2"/>
      <c r="O1074" s="2">
        <v>13889681</v>
      </c>
      <c r="P1074" s="2" t="s">
        <v>7340</v>
      </c>
      <c r="Q1074" s="2" t="s">
        <v>7341</v>
      </c>
      <c r="R1074" s="2" t="s">
        <v>7342</v>
      </c>
      <c r="S1074" s="2" t="s">
        <v>79</v>
      </c>
      <c r="T1074" s="2" t="s">
        <v>80</v>
      </c>
      <c r="U1074" s="2" t="s">
        <v>81</v>
      </c>
      <c r="V1074" s="2" t="s">
        <v>59</v>
      </c>
      <c r="W1074" s="2">
        <v>47</v>
      </c>
      <c r="X1074" s="2">
        <v>38.799999999999997</v>
      </c>
      <c r="Y1074" s="2" t="s">
        <v>107</v>
      </c>
      <c r="Z1074" s="2" t="s">
        <v>3148</v>
      </c>
      <c r="AA1074" s="2">
        <v>-0.802264140869277</v>
      </c>
      <c r="AB1074" s="2">
        <v>0.69951514032681095</v>
      </c>
      <c r="AC1074" s="2">
        <v>688477.19251820794</v>
      </c>
      <c r="AD1074" s="2">
        <v>641114.39901135699</v>
      </c>
      <c r="AE1074" s="2">
        <v>686396.38787922298</v>
      </c>
      <c r="AF1074" s="2">
        <v>662614.21927106194</v>
      </c>
      <c r="AG1074" s="2">
        <v>711025.52884942899</v>
      </c>
      <c r="AH1074" s="2">
        <v>690765.96297311399</v>
      </c>
      <c r="AI1074" s="2">
        <v>640645.54458739399</v>
      </c>
      <c r="AJ1074" s="2">
        <v>739415.51154902705</v>
      </c>
      <c r="AK1074" s="2">
        <v>627288.71307128901</v>
      </c>
      <c r="AL1074" s="2">
        <v>651143.56501011504</v>
      </c>
      <c r="AM1074" s="2">
        <v>654873.28795304301</v>
      </c>
      <c r="AN1074" s="2">
        <v>669003.19754547498</v>
      </c>
      <c r="AO1074" s="2">
        <v>613431.01182882697</v>
      </c>
      <c r="AP1074" s="2">
        <v>630946.61865939398</v>
      </c>
    </row>
    <row r="1075" spans="1:42" ht="14.5" x14ac:dyDescent="0.35">
      <c r="A1075" s="2" t="s">
        <v>7343</v>
      </c>
      <c r="B1075" s="2">
        <v>310.31005863040599</v>
      </c>
      <c r="C1075" s="2">
        <v>13.3844333333333</v>
      </c>
      <c r="D1075" s="2" t="s">
        <v>34</v>
      </c>
      <c r="E1075" s="2" t="s">
        <v>7344</v>
      </c>
      <c r="F1075" s="2">
        <v>211392</v>
      </c>
      <c r="G1075" s="3" t="str">
        <f>HYPERLINK("http://funmeta.oebiotech.com/network/211392", "http://funmeta.oebiotech.com/network/211392")</f>
        <v>http://funmeta.oebiotech.com/network/211392</v>
      </c>
      <c r="H1075" s="2" t="s">
        <v>7345</v>
      </c>
      <c r="I1075" s="2"/>
      <c r="J1075" s="2"/>
      <c r="K1075" s="2"/>
      <c r="L1075" s="2"/>
      <c r="M1075" s="2"/>
      <c r="N1075" s="2"/>
      <c r="O1075" s="2">
        <v>54178976</v>
      </c>
      <c r="P1075" s="2"/>
      <c r="Q1075" s="2" t="s">
        <v>7346</v>
      </c>
      <c r="R1075" s="2" t="s">
        <v>7347</v>
      </c>
      <c r="S1075" s="2" t="s">
        <v>41</v>
      </c>
      <c r="T1075" s="2" t="s">
        <v>41</v>
      </c>
      <c r="U1075" s="2" t="s">
        <v>41</v>
      </c>
      <c r="V1075" s="2" t="s">
        <v>42</v>
      </c>
      <c r="W1075" s="2">
        <v>53.3</v>
      </c>
      <c r="X1075" s="2">
        <v>71.5</v>
      </c>
      <c r="Y1075" s="2" t="s">
        <v>141</v>
      </c>
      <c r="Z1075" s="2" t="s">
        <v>7348</v>
      </c>
      <c r="AA1075" s="2">
        <v>-1.1691485864995099</v>
      </c>
      <c r="AB1075" s="2">
        <v>0.69932685403821304</v>
      </c>
      <c r="AC1075" s="2">
        <v>274668.24562186602</v>
      </c>
      <c r="AD1075" s="2">
        <v>209797.453708021</v>
      </c>
      <c r="AE1075" s="2">
        <v>288459.46518786199</v>
      </c>
      <c r="AF1075" s="2">
        <v>182779.31707549701</v>
      </c>
      <c r="AG1075" s="2">
        <v>242523.253241345</v>
      </c>
      <c r="AH1075" s="2">
        <v>354615.226692339</v>
      </c>
      <c r="AI1075" s="2">
        <v>327290.78723300103</v>
      </c>
      <c r="AJ1075" s="2">
        <v>252341.42430115299</v>
      </c>
      <c r="AK1075" s="2">
        <v>159474.49519171499</v>
      </c>
      <c r="AL1075" s="2">
        <v>315117.513200999</v>
      </c>
      <c r="AM1075" s="2">
        <v>187022.108171737</v>
      </c>
      <c r="AN1075" s="2">
        <v>244271.22224211501</v>
      </c>
      <c r="AO1075" s="2">
        <v>155323.52200647199</v>
      </c>
      <c r="AP1075" s="2">
        <v>197575.86143508501</v>
      </c>
    </row>
    <row r="1076" spans="1:42" ht="14.5" x14ac:dyDescent="0.35">
      <c r="A1076" s="2" t="s">
        <v>7349</v>
      </c>
      <c r="B1076" s="2">
        <v>443.134353966547</v>
      </c>
      <c r="C1076" s="2">
        <v>5.5431833333333298</v>
      </c>
      <c r="D1076" s="2" t="s">
        <v>70</v>
      </c>
      <c r="E1076" s="2" t="s">
        <v>7350</v>
      </c>
      <c r="F1076" s="2">
        <v>29492</v>
      </c>
      <c r="G1076" s="3" t="str">
        <f>HYPERLINK("http://funmeta.oebiotech.com/network/29492", "http://funmeta.oebiotech.com/network/29492")</f>
        <v>http://funmeta.oebiotech.com/network/29492</v>
      </c>
      <c r="H1076" s="2"/>
      <c r="I1076" s="2"/>
      <c r="J1076" s="2" t="s">
        <v>7351</v>
      </c>
      <c r="K1076" s="2"/>
      <c r="L1076" s="2"/>
      <c r="M1076" s="2"/>
      <c r="N1076" s="2"/>
      <c r="O1076" s="2">
        <v>101289837</v>
      </c>
      <c r="P1076" s="2"/>
      <c r="Q1076" s="2" t="s">
        <v>7352</v>
      </c>
      <c r="R1076" s="2" t="s">
        <v>7353</v>
      </c>
      <c r="S1076" s="2" t="s">
        <v>115</v>
      </c>
      <c r="T1076" s="2" t="s">
        <v>1371</v>
      </c>
      <c r="U1076" s="2" t="s">
        <v>7354</v>
      </c>
      <c r="V1076" s="2" t="s">
        <v>59</v>
      </c>
      <c r="W1076" s="2">
        <v>42.7</v>
      </c>
      <c r="X1076" s="2">
        <v>21.8</v>
      </c>
      <c r="Y1076" s="2" t="s">
        <v>286</v>
      </c>
      <c r="Z1076" s="2" t="s">
        <v>7355</v>
      </c>
      <c r="AA1076" s="2">
        <v>-0.90499692348021699</v>
      </c>
      <c r="AB1076" s="2">
        <v>0.69807503131279103</v>
      </c>
      <c r="AC1076" s="2">
        <v>11768.3605943862</v>
      </c>
      <c r="AD1076" s="2">
        <v>43841.849742992898</v>
      </c>
      <c r="AE1076" s="2">
        <v>11503.9216853339</v>
      </c>
      <c r="AF1076" s="2">
        <v>10908.373753458</v>
      </c>
      <c r="AG1076" s="2">
        <v>12106.1892909214</v>
      </c>
      <c r="AH1076" s="2">
        <v>11080.680726419299</v>
      </c>
      <c r="AI1076" s="2">
        <v>12082.358201769401</v>
      </c>
      <c r="AJ1076" s="2">
        <v>12928.639908415</v>
      </c>
      <c r="AK1076" s="2">
        <v>41274.632947003702</v>
      </c>
      <c r="AL1076" s="2">
        <v>43925.599918515603</v>
      </c>
      <c r="AM1076" s="2">
        <v>43402.601528194602</v>
      </c>
      <c r="AN1076" s="2">
        <v>46904.364646437702</v>
      </c>
      <c r="AO1076" s="2">
        <v>45335.814716384499</v>
      </c>
      <c r="AP1076" s="2">
        <v>42208.084701421503</v>
      </c>
    </row>
    <row r="1077" spans="1:42" ht="14.5" x14ac:dyDescent="0.35">
      <c r="A1077" s="2" t="s">
        <v>7356</v>
      </c>
      <c r="B1077" s="2">
        <v>622.34650627060296</v>
      </c>
      <c r="C1077" s="2">
        <v>5.1684333333333301</v>
      </c>
      <c r="D1077" s="2" t="s">
        <v>34</v>
      </c>
      <c r="E1077" s="2" t="s">
        <v>7357</v>
      </c>
      <c r="F1077" s="2">
        <v>22483</v>
      </c>
      <c r="G1077" s="3" t="str">
        <f>HYPERLINK("http://funmeta.oebiotech.com/network/22483", "http://funmeta.oebiotech.com/network/22483")</f>
        <v>http://funmeta.oebiotech.com/network/22483</v>
      </c>
      <c r="H1077" s="2"/>
      <c r="I1077" s="2"/>
      <c r="J1077" s="2" t="s">
        <v>7358</v>
      </c>
      <c r="K1077" s="2"/>
      <c r="L1077" s="2"/>
      <c r="M1077" s="2"/>
      <c r="N1077" s="2"/>
      <c r="O1077" s="2">
        <v>137323956</v>
      </c>
      <c r="P1077" s="2"/>
      <c r="Q1077" s="2" t="s">
        <v>7359</v>
      </c>
      <c r="R1077" s="2" t="s">
        <v>7360</v>
      </c>
      <c r="S1077" s="2" t="s">
        <v>50</v>
      </c>
      <c r="T1077" s="2" t="s">
        <v>51</v>
      </c>
      <c r="U1077" s="2" t="s">
        <v>66</v>
      </c>
      <c r="V1077" s="2" t="s">
        <v>59</v>
      </c>
      <c r="W1077" s="2">
        <v>38.6</v>
      </c>
      <c r="X1077" s="2">
        <v>8.35</v>
      </c>
      <c r="Y1077" s="2" t="s">
        <v>340</v>
      </c>
      <c r="Z1077" s="2" t="s">
        <v>7361</v>
      </c>
      <c r="AA1077" s="2">
        <v>-2.6926995294918399</v>
      </c>
      <c r="AB1077" s="2">
        <v>0.69799971308225395</v>
      </c>
      <c r="AC1077" s="2">
        <v>553428.256124445</v>
      </c>
      <c r="AD1077" s="2">
        <v>503784.74058470299</v>
      </c>
      <c r="AE1077" s="2">
        <v>555841.67756259302</v>
      </c>
      <c r="AF1077" s="2">
        <v>532165.93376631197</v>
      </c>
      <c r="AG1077" s="2">
        <v>533229.52016663004</v>
      </c>
      <c r="AH1077" s="2">
        <v>604787.29282506497</v>
      </c>
      <c r="AI1077" s="2">
        <v>588048.51687954704</v>
      </c>
      <c r="AJ1077" s="2">
        <v>506496.59554652497</v>
      </c>
      <c r="AK1077" s="2">
        <v>475932.95034425502</v>
      </c>
      <c r="AL1077" s="2">
        <v>484814.05839189998</v>
      </c>
      <c r="AM1077" s="2">
        <v>542010.37138638704</v>
      </c>
      <c r="AN1077" s="2">
        <v>491209.44115769101</v>
      </c>
      <c r="AO1077" s="2">
        <v>512065.36531818798</v>
      </c>
      <c r="AP1077" s="2">
        <v>516676.25690979598</v>
      </c>
    </row>
    <row r="1078" spans="1:42" ht="14.5" x14ac:dyDescent="0.35">
      <c r="A1078" s="2" t="s">
        <v>7362</v>
      </c>
      <c r="B1078" s="2">
        <v>647.28259580027702</v>
      </c>
      <c r="C1078" s="2">
        <v>11.004099999999999</v>
      </c>
      <c r="D1078" s="2" t="s">
        <v>34</v>
      </c>
      <c r="E1078" s="2" t="s">
        <v>7363</v>
      </c>
      <c r="F1078" s="2">
        <v>210417</v>
      </c>
      <c r="G1078" s="3" t="str">
        <f>HYPERLINK("http://funmeta.oebiotech.com/network/210417", "http://funmeta.oebiotech.com/network/210417")</f>
        <v>http://funmeta.oebiotech.com/network/210417</v>
      </c>
      <c r="H1078" s="2" t="s">
        <v>7364</v>
      </c>
      <c r="I1078" s="2"/>
      <c r="J1078" s="2"/>
      <c r="K1078" s="2"/>
      <c r="L1078" s="2"/>
      <c r="M1078" s="2"/>
      <c r="N1078" s="2"/>
      <c r="O1078" s="2"/>
      <c r="P1078" s="2"/>
      <c r="Q1078" s="2" t="s">
        <v>7365</v>
      </c>
      <c r="R1078" s="2" t="s">
        <v>7366</v>
      </c>
      <c r="S1078" s="2" t="s">
        <v>41</v>
      </c>
      <c r="T1078" s="2" t="s">
        <v>41</v>
      </c>
      <c r="U1078" s="2" t="s">
        <v>41</v>
      </c>
      <c r="V1078" s="2" t="s">
        <v>59</v>
      </c>
      <c r="W1078" s="2">
        <v>46.7</v>
      </c>
      <c r="X1078" s="2">
        <v>43.8</v>
      </c>
      <c r="Y1078" s="2" t="s">
        <v>43</v>
      </c>
      <c r="Z1078" s="2" t="s">
        <v>7367</v>
      </c>
      <c r="AA1078" s="2">
        <v>2.4546473372777</v>
      </c>
      <c r="AB1078" s="2">
        <v>0.69744862709931099</v>
      </c>
      <c r="AC1078" s="2">
        <v>81124.631366544796</v>
      </c>
      <c r="AD1078" s="2">
        <v>48832.581275762597</v>
      </c>
      <c r="AE1078" s="2">
        <v>81964.901548595299</v>
      </c>
      <c r="AF1078" s="2">
        <v>79039.615169140598</v>
      </c>
      <c r="AG1078" s="2">
        <v>82809.108903571294</v>
      </c>
      <c r="AH1078" s="2">
        <v>78962.615887245702</v>
      </c>
      <c r="AI1078" s="2">
        <v>77380.078474391295</v>
      </c>
      <c r="AJ1078" s="2">
        <v>86591.468216324502</v>
      </c>
      <c r="AK1078" s="2">
        <v>51363.008104263703</v>
      </c>
      <c r="AL1078" s="2">
        <v>48226.306885286504</v>
      </c>
      <c r="AM1078" s="2">
        <v>47933.934191578002</v>
      </c>
      <c r="AN1078" s="2">
        <v>51742.019441377597</v>
      </c>
      <c r="AO1078" s="2">
        <v>47531.806785009001</v>
      </c>
      <c r="AP1078" s="2">
        <v>46198.412247060704</v>
      </c>
    </row>
    <row r="1079" spans="1:42" ht="14.5" x14ac:dyDescent="0.35">
      <c r="A1079" s="2" t="s">
        <v>7368</v>
      </c>
      <c r="B1079" s="2">
        <v>693.29663366927196</v>
      </c>
      <c r="C1079" s="2">
        <v>4.6130500000000003</v>
      </c>
      <c r="D1079" s="2" t="s">
        <v>70</v>
      </c>
      <c r="E1079" s="2" t="s">
        <v>7369</v>
      </c>
      <c r="F1079" s="2">
        <v>207400</v>
      </c>
      <c r="G1079" s="3" t="str">
        <f>HYPERLINK("http://funmeta.oebiotech.com/network/207400", "http://funmeta.oebiotech.com/network/207400")</f>
        <v>http://funmeta.oebiotech.com/network/207400</v>
      </c>
      <c r="H1079" s="2" t="s">
        <v>7370</v>
      </c>
      <c r="I1079" s="2">
        <v>45154</v>
      </c>
      <c r="J1079" s="2"/>
      <c r="K1079" s="2"/>
      <c r="L1079" s="2"/>
      <c r="M1079" s="2"/>
      <c r="N1079" s="2"/>
      <c r="O1079" s="2">
        <v>11595431</v>
      </c>
      <c r="P1079" s="2" t="s">
        <v>7371</v>
      </c>
      <c r="Q1079" s="2" t="s">
        <v>7372</v>
      </c>
      <c r="R1079" s="2" t="s">
        <v>7373</v>
      </c>
      <c r="S1079" s="2" t="s">
        <v>148</v>
      </c>
      <c r="T1079" s="2" t="s">
        <v>149</v>
      </c>
      <c r="U1079" s="2" t="s">
        <v>7374</v>
      </c>
      <c r="V1079" s="2" t="s">
        <v>59</v>
      </c>
      <c r="W1079" s="2">
        <v>45.5</v>
      </c>
      <c r="X1079" s="2">
        <v>38.700000000000003</v>
      </c>
      <c r="Y1079" s="2" t="s">
        <v>560</v>
      </c>
      <c r="Z1079" s="2" t="s">
        <v>7375</v>
      </c>
      <c r="AA1079" s="2">
        <v>-0.54295016632390902</v>
      </c>
      <c r="AB1079" s="2">
        <v>0.69730352057280098</v>
      </c>
      <c r="AC1079" s="2">
        <v>149303.93662103399</v>
      </c>
      <c r="AD1079" s="2">
        <v>112983.240300274</v>
      </c>
      <c r="AE1079" s="2">
        <v>150152.74246778799</v>
      </c>
      <c r="AF1079" s="2">
        <v>144571.78980014901</v>
      </c>
      <c r="AG1079" s="2">
        <v>140510.153547525</v>
      </c>
      <c r="AH1079" s="2">
        <v>146505.955571411</v>
      </c>
      <c r="AI1079" s="2">
        <v>140345.97445787099</v>
      </c>
      <c r="AJ1079" s="2">
        <v>173737.00388146</v>
      </c>
      <c r="AK1079" s="2">
        <v>109135.72509130101</v>
      </c>
      <c r="AL1079" s="2">
        <v>107737.95181278601</v>
      </c>
      <c r="AM1079" s="2">
        <v>128827.168339015</v>
      </c>
      <c r="AN1079" s="2">
        <v>115411.216526841</v>
      </c>
      <c r="AO1079" s="2">
        <v>103742.43335268401</v>
      </c>
      <c r="AP1079" s="2">
        <v>113044.946679015</v>
      </c>
    </row>
    <row r="1080" spans="1:42" ht="14.5" x14ac:dyDescent="0.35">
      <c r="A1080" s="2" t="s">
        <v>7376</v>
      </c>
      <c r="B1080" s="2">
        <v>557.27580567878897</v>
      </c>
      <c r="C1080" s="2">
        <v>8.2685333333333304</v>
      </c>
      <c r="D1080" s="2" t="s">
        <v>70</v>
      </c>
      <c r="E1080" s="2" t="s">
        <v>7377</v>
      </c>
      <c r="F1080" s="2">
        <v>60165</v>
      </c>
      <c r="G1080" s="3" t="str">
        <f>HYPERLINK("http://funmeta.oebiotech.com/network/60165", "http://funmeta.oebiotech.com/network/60165")</f>
        <v>http://funmeta.oebiotech.com/network/60165</v>
      </c>
      <c r="H1080" s="2" t="s">
        <v>7378</v>
      </c>
      <c r="I1080" s="2">
        <v>91548</v>
      </c>
      <c r="J1080" s="2"/>
      <c r="K1080" s="2"/>
      <c r="L1080" s="2"/>
      <c r="M1080" s="2"/>
      <c r="N1080" s="2"/>
      <c r="O1080" s="2">
        <v>78384957</v>
      </c>
      <c r="P1080" s="2" t="s">
        <v>7379</v>
      </c>
      <c r="Q1080" s="2" t="s">
        <v>7380</v>
      </c>
      <c r="R1080" s="2" t="s">
        <v>7381</v>
      </c>
      <c r="S1080" s="2" t="s">
        <v>50</v>
      </c>
      <c r="T1080" s="2" t="s">
        <v>124</v>
      </c>
      <c r="U1080" s="2" t="s">
        <v>567</v>
      </c>
      <c r="V1080" s="2" t="s">
        <v>42</v>
      </c>
      <c r="W1080" s="2">
        <v>49.4</v>
      </c>
      <c r="X1080" s="2">
        <v>49.1</v>
      </c>
      <c r="Y1080" s="2" t="s">
        <v>408</v>
      </c>
      <c r="Z1080" s="2" t="s">
        <v>7382</v>
      </c>
      <c r="AA1080" s="2">
        <v>0.388830480961603</v>
      </c>
      <c r="AB1080" s="2">
        <v>0.69625743198288503</v>
      </c>
      <c r="AC1080" s="2">
        <v>429780.11854746699</v>
      </c>
      <c r="AD1080" s="2">
        <v>487152.09757215</v>
      </c>
      <c r="AE1080" s="2">
        <v>414741.91035549197</v>
      </c>
      <c r="AF1080" s="2">
        <v>392809.82676548901</v>
      </c>
      <c r="AG1080" s="2">
        <v>507926.45014849002</v>
      </c>
      <c r="AH1080" s="2">
        <v>454012.433932891</v>
      </c>
      <c r="AI1080" s="2">
        <v>418670.84319909802</v>
      </c>
      <c r="AJ1080" s="2">
        <v>390519.24688333902</v>
      </c>
      <c r="AK1080" s="2">
        <v>565583.24999850197</v>
      </c>
      <c r="AL1080" s="2">
        <v>524368.21278929897</v>
      </c>
      <c r="AM1080" s="2">
        <v>441787.98375802999</v>
      </c>
      <c r="AN1080" s="2">
        <v>471012.83626398898</v>
      </c>
      <c r="AO1080" s="2">
        <v>469518.61621107103</v>
      </c>
      <c r="AP1080" s="2">
        <v>450641.68641201197</v>
      </c>
    </row>
    <row r="1081" spans="1:42" ht="14.5" x14ac:dyDescent="0.35">
      <c r="A1081" s="2" t="s">
        <v>7383</v>
      </c>
      <c r="B1081" s="2">
        <v>304.29973890406302</v>
      </c>
      <c r="C1081" s="2">
        <v>9.9206166666666693</v>
      </c>
      <c r="D1081" s="2" t="s">
        <v>34</v>
      </c>
      <c r="E1081" s="2" t="s">
        <v>7384</v>
      </c>
      <c r="F1081" s="2">
        <v>210560</v>
      </c>
      <c r="G1081" s="3" t="str">
        <f>HYPERLINK("http://funmeta.oebiotech.com/network/210560", "http://funmeta.oebiotech.com/network/210560")</f>
        <v>http://funmeta.oebiotech.com/network/210560</v>
      </c>
      <c r="H1081" s="2" t="s">
        <v>7385</v>
      </c>
      <c r="I1081" s="2"/>
      <c r="J1081" s="2"/>
      <c r="K1081" s="2"/>
      <c r="L1081" s="2"/>
      <c r="M1081" s="2"/>
      <c r="N1081" s="2"/>
      <c r="O1081" s="2"/>
      <c r="P1081" s="2"/>
      <c r="Q1081" s="2" t="s">
        <v>7386</v>
      </c>
      <c r="R1081" s="2" t="s">
        <v>7387</v>
      </c>
      <c r="S1081" s="2" t="s">
        <v>41</v>
      </c>
      <c r="T1081" s="2" t="s">
        <v>41</v>
      </c>
      <c r="U1081" s="2" t="s">
        <v>41</v>
      </c>
      <c r="V1081" s="2" t="s">
        <v>59</v>
      </c>
      <c r="W1081" s="2">
        <v>39.4</v>
      </c>
      <c r="X1081" s="2">
        <v>0.70599999999999996</v>
      </c>
      <c r="Y1081" s="2" t="s">
        <v>43</v>
      </c>
      <c r="Z1081" s="2" t="s">
        <v>7388</v>
      </c>
      <c r="AA1081" s="2">
        <v>-0.481078063125018</v>
      </c>
      <c r="AB1081" s="2">
        <v>0.69529050318348296</v>
      </c>
      <c r="AC1081" s="2">
        <v>23424.719471390399</v>
      </c>
      <c r="AD1081" s="2">
        <v>55666.733146236198</v>
      </c>
      <c r="AE1081" s="2">
        <v>24503.502156696701</v>
      </c>
      <c r="AF1081" s="2">
        <v>23367.436948443901</v>
      </c>
      <c r="AG1081" s="2">
        <v>24020.3347343721</v>
      </c>
      <c r="AH1081" s="2">
        <v>22872.779497863001</v>
      </c>
      <c r="AI1081" s="2">
        <v>23707.9473572436</v>
      </c>
      <c r="AJ1081" s="2">
        <v>22076.316133723001</v>
      </c>
      <c r="AK1081" s="2">
        <v>57366.114272939602</v>
      </c>
      <c r="AL1081" s="2">
        <v>52136.071046150602</v>
      </c>
      <c r="AM1081" s="2">
        <v>53594.323924325101</v>
      </c>
      <c r="AN1081" s="2">
        <v>55477.992899960802</v>
      </c>
      <c r="AO1081" s="2">
        <v>51794.368178183497</v>
      </c>
      <c r="AP1081" s="2">
        <v>63631.528555857898</v>
      </c>
    </row>
    <row r="1082" spans="1:42" ht="14.5" x14ac:dyDescent="0.35">
      <c r="A1082" s="2" t="s">
        <v>7389</v>
      </c>
      <c r="B1082" s="2">
        <v>655.35704169382905</v>
      </c>
      <c r="C1082" s="2">
        <v>6.3200166666666702</v>
      </c>
      <c r="D1082" s="2" t="s">
        <v>34</v>
      </c>
      <c r="E1082" s="2" t="s">
        <v>7390</v>
      </c>
      <c r="F1082" s="2">
        <v>27955</v>
      </c>
      <c r="G1082" s="3" t="str">
        <f>HYPERLINK("http://funmeta.oebiotech.com/network/27955", "http://funmeta.oebiotech.com/network/27955")</f>
        <v>http://funmeta.oebiotech.com/network/27955</v>
      </c>
      <c r="H1082" s="2"/>
      <c r="I1082" s="2"/>
      <c r="J1082" s="2" t="s">
        <v>7391</v>
      </c>
      <c r="K1082" s="2"/>
      <c r="L1082" s="2"/>
      <c r="M1082" s="2"/>
      <c r="N1082" s="2"/>
      <c r="O1082" s="2">
        <v>134812402</v>
      </c>
      <c r="P1082" s="2"/>
      <c r="Q1082" s="2" t="s">
        <v>7392</v>
      </c>
      <c r="R1082" s="2" t="s">
        <v>7393</v>
      </c>
      <c r="S1082" s="2" t="s">
        <v>50</v>
      </c>
      <c r="T1082" s="2" t="s">
        <v>51</v>
      </c>
      <c r="U1082" s="2" t="s">
        <v>66</v>
      </c>
      <c r="V1082" s="2" t="s">
        <v>59</v>
      </c>
      <c r="W1082" s="2">
        <v>43.8</v>
      </c>
      <c r="X1082" s="2">
        <v>24.4</v>
      </c>
      <c r="Y1082" s="2" t="s">
        <v>43</v>
      </c>
      <c r="Z1082" s="2" t="s">
        <v>7394</v>
      </c>
      <c r="AA1082" s="2">
        <v>0.78990856349596394</v>
      </c>
      <c r="AB1082" s="2">
        <v>0.69489050353938298</v>
      </c>
      <c r="AC1082" s="2">
        <v>34575.805717590803</v>
      </c>
      <c r="AD1082" s="2">
        <v>67368.887863733195</v>
      </c>
      <c r="AE1082" s="2">
        <v>33958.8714004801</v>
      </c>
      <c r="AF1082" s="2">
        <v>32768.421789026499</v>
      </c>
      <c r="AG1082" s="2">
        <v>38275.054675638297</v>
      </c>
      <c r="AH1082" s="2">
        <v>31572.672766458902</v>
      </c>
      <c r="AI1082" s="2">
        <v>37126.571965699899</v>
      </c>
      <c r="AJ1082" s="2">
        <v>33753.241708240901</v>
      </c>
      <c r="AK1082" s="2">
        <v>56257.168243047599</v>
      </c>
      <c r="AL1082" s="2">
        <v>66717.562005530795</v>
      </c>
      <c r="AM1082" s="2">
        <v>68277.470481094104</v>
      </c>
      <c r="AN1082" s="2">
        <v>67838.546007498895</v>
      </c>
      <c r="AO1082" s="2">
        <v>68932.090024568402</v>
      </c>
      <c r="AP1082" s="2">
        <v>76190.490420659597</v>
      </c>
    </row>
    <row r="1083" spans="1:42" ht="14.5" x14ac:dyDescent="0.35">
      <c r="A1083" s="2" t="s">
        <v>7395</v>
      </c>
      <c r="B1083" s="2">
        <v>507.29605215003897</v>
      </c>
      <c r="C1083" s="2">
        <v>5.9542333333333302</v>
      </c>
      <c r="D1083" s="2" t="s">
        <v>70</v>
      </c>
      <c r="E1083" s="2" t="s">
        <v>7396</v>
      </c>
      <c r="F1083" s="2">
        <v>43798</v>
      </c>
      <c r="G1083" s="3" t="str">
        <f>HYPERLINK("http://funmeta.oebiotech.com/network/43798", "http://funmeta.oebiotech.com/network/43798")</f>
        <v>http://funmeta.oebiotech.com/network/43798</v>
      </c>
      <c r="H1083" s="2"/>
      <c r="I1083" s="2"/>
      <c r="J1083" s="2" t="s">
        <v>7397</v>
      </c>
      <c r="K1083" s="2"/>
      <c r="L1083" s="2"/>
      <c r="M1083" s="2"/>
      <c r="N1083" s="2"/>
      <c r="O1083" s="2">
        <v>44230555</v>
      </c>
      <c r="P1083" s="2"/>
      <c r="Q1083" s="2" t="s">
        <v>7398</v>
      </c>
      <c r="R1083" s="2" t="s">
        <v>7399</v>
      </c>
      <c r="S1083" s="2" t="s">
        <v>50</v>
      </c>
      <c r="T1083" s="2" t="s">
        <v>124</v>
      </c>
      <c r="U1083" s="2" t="s">
        <v>125</v>
      </c>
      <c r="V1083" s="2" t="s">
        <v>59</v>
      </c>
      <c r="W1083" s="2">
        <v>43.3</v>
      </c>
      <c r="X1083" s="2">
        <v>22.8</v>
      </c>
      <c r="Y1083" s="2" t="s">
        <v>408</v>
      </c>
      <c r="Z1083" s="2" t="s">
        <v>3781</v>
      </c>
      <c r="AA1083" s="2">
        <v>-0.62683415121955</v>
      </c>
      <c r="AB1083" s="2">
        <v>0.69487878077355303</v>
      </c>
      <c r="AC1083" s="2">
        <v>50859.002008835203</v>
      </c>
      <c r="AD1083" s="2">
        <v>83176.287988542696</v>
      </c>
      <c r="AE1083" s="2">
        <v>52227.799920891703</v>
      </c>
      <c r="AF1083" s="2">
        <v>50666.014618856898</v>
      </c>
      <c r="AG1083" s="2">
        <v>50609.713339221998</v>
      </c>
      <c r="AH1083" s="2">
        <v>46155.943716630703</v>
      </c>
      <c r="AI1083" s="2">
        <v>51946.185042267898</v>
      </c>
      <c r="AJ1083" s="2">
        <v>53548.355415141901</v>
      </c>
      <c r="AK1083" s="2">
        <v>81213.890380934899</v>
      </c>
      <c r="AL1083" s="2">
        <v>85642.882645157093</v>
      </c>
      <c r="AM1083" s="2">
        <v>85484.380799756706</v>
      </c>
      <c r="AN1083" s="2">
        <v>78207.588218167395</v>
      </c>
      <c r="AO1083" s="2">
        <v>79430.464427446204</v>
      </c>
      <c r="AP1083" s="2">
        <v>89078.521459793905</v>
      </c>
    </row>
    <row r="1084" spans="1:42" ht="14.5" x14ac:dyDescent="0.35">
      <c r="A1084" s="2" t="s">
        <v>7400</v>
      </c>
      <c r="B1084" s="2">
        <v>381.22587123456799</v>
      </c>
      <c r="C1084" s="2">
        <v>8.91503333333333</v>
      </c>
      <c r="D1084" s="2" t="s">
        <v>70</v>
      </c>
      <c r="E1084" s="2" t="s">
        <v>7401</v>
      </c>
      <c r="F1084" s="2">
        <v>209034</v>
      </c>
      <c r="G1084" s="3" t="str">
        <f>HYPERLINK("http://funmeta.oebiotech.com/network/209034", "http://funmeta.oebiotech.com/network/209034")</f>
        <v>http://funmeta.oebiotech.com/network/209034</v>
      </c>
      <c r="H1084" s="2" t="s">
        <v>7402</v>
      </c>
      <c r="I1084" s="2"/>
      <c r="J1084" s="2"/>
      <c r="K1084" s="2"/>
      <c r="L1084" s="2"/>
      <c r="M1084" s="2"/>
      <c r="N1084" s="2"/>
      <c r="O1084" s="2">
        <v>23088918</v>
      </c>
      <c r="P1084" s="2"/>
      <c r="Q1084" s="2" t="s">
        <v>7403</v>
      </c>
      <c r="R1084" s="2" t="s">
        <v>7404</v>
      </c>
      <c r="S1084" s="2" t="s">
        <v>41</v>
      </c>
      <c r="T1084" s="2" t="s">
        <v>41</v>
      </c>
      <c r="U1084" s="2" t="s">
        <v>41</v>
      </c>
      <c r="V1084" s="2" t="s">
        <v>59</v>
      </c>
      <c r="W1084" s="2">
        <v>41.1</v>
      </c>
      <c r="X1084" s="2">
        <v>17.5</v>
      </c>
      <c r="Y1084" s="2" t="s">
        <v>560</v>
      </c>
      <c r="Z1084" s="2" t="s">
        <v>7405</v>
      </c>
      <c r="AA1084" s="2">
        <v>4.2686435835925103</v>
      </c>
      <c r="AB1084" s="2">
        <v>0.69247258784972598</v>
      </c>
      <c r="AC1084" s="2">
        <v>1948.9703589820499</v>
      </c>
      <c r="AD1084" s="2">
        <v>33439.451883667003</v>
      </c>
      <c r="AE1084" s="2">
        <v>2204.7638994792901</v>
      </c>
      <c r="AF1084" s="2">
        <v>2302.3179647696902</v>
      </c>
      <c r="AG1084" s="2">
        <v>1729.7475370616701</v>
      </c>
      <c r="AH1084" s="2">
        <v>2298.6830122259198</v>
      </c>
      <c r="AI1084" s="2">
        <v>1221.7906618936699</v>
      </c>
      <c r="AJ1084" s="2">
        <v>1936.51907846208</v>
      </c>
      <c r="AK1084" s="2">
        <v>32777.057539055102</v>
      </c>
      <c r="AL1084" s="2">
        <v>33968.892597706399</v>
      </c>
      <c r="AM1084" s="2">
        <v>34452.240403530901</v>
      </c>
      <c r="AN1084" s="2">
        <v>32989.781180584599</v>
      </c>
      <c r="AO1084" s="2">
        <v>33348.758640517299</v>
      </c>
      <c r="AP1084" s="2">
        <v>33099.980940608002</v>
      </c>
    </row>
    <row r="1085" spans="1:42" ht="14.5" x14ac:dyDescent="0.35">
      <c r="A1085" s="2" t="s">
        <v>7406</v>
      </c>
      <c r="B1085" s="2">
        <v>361.11186654365798</v>
      </c>
      <c r="C1085" s="2">
        <v>3.6547999999999998</v>
      </c>
      <c r="D1085" s="2" t="s">
        <v>70</v>
      </c>
      <c r="E1085" s="2" t="s">
        <v>7407</v>
      </c>
      <c r="F1085" s="2">
        <v>207904</v>
      </c>
      <c r="G1085" s="3" t="str">
        <f>HYPERLINK("http://funmeta.oebiotech.com/network/207904", "http://funmeta.oebiotech.com/network/207904")</f>
        <v>http://funmeta.oebiotech.com/network/207904</v>
      </c>
      <c r="H1085" s="2" t="s">
        <v>7408</v>
      </c>
      <c r="I1085" s="2"/>
      <c r="J1085" s="2"/>
      <c r="K1085" s="2"/>
      <c r="L1085" s="2"/>
      <c r="M1085" s="2"/>
      <c r="N1085" s="2"/>
      <c r="O1085" s="2">
        <v>9821225</v>
      </c>
      <c r="P1085" s="2"/>
      <c r="Q1085" s="2" t="s">
        <v>7409</v>
      </c>
      <c r="R1085" s="2" t="s">
        <v>7410</v>
      </c>
      <c r="S1085" s="2" t="s">
        <v>41</v>
      </c>
      <c r="T1085" s="2" t="s">
        <v>41</v>
      </c>
      <c r="U1085" s="2" t="s">
        <v>41</v>
      </c>
      <c r="V1085" s="2" t="s">
        <v>59</v>
      </c>
      <c r="W1085" s="2">
        <v>43.1</v>
      </c>
      <c r="X1085" s="2">
        <v>30</v>
      </c>
      <c r="Y1085" s="2" t="s">
        <v>751</v>
      </c>
      <c r="Z1085" s="2" t="s">
        <v>7411</v>
      </c>
      <c r="AA1085" s="2">
        <v>0.91594245181519895</v>
      </c>
      <c r="AB1085" s="2">
        <v>0.69210638626165499</v>
      </c>
      <c r="AC1085" s="2">
        <v>72544.604891858806</v>
      </c>
      <c r="AD1085" s="2">
        <v>104552.53465206199</v>
      </c>
      <c r="AE1085" s="2">
        <v>72363.627231941093</v>
      </c>
      <c r="AF1085" s="2">
        <v>73521.6786621231</v>
      </c>
      <c r="AG1085" s="2">
        <v>68575.9146998918</v>
      </c>
      <c r="AH1085" s="2">
        <v>69967.228788441702</v>
      </c>
      <c r="AI1085" s="2">
        <v>74863.430558191205</v>
      </c>
      <c r="AJ1085" s="2">
        <v>75975.749410564196</v>
      </c>
      <c r="AK1085" s="2">
        <v>105141.445412727</v>
      </c>
      <c r="AL1085" s="2">
        <v>98967.2073581695</v>
      </c>
      <c r="AM1085" s="2">
        <v>107700.850945841</v>
      </c>
      <c r="AN1085" s="2">
        <v>106224.81673017</v>
      </c>
      <c r="AO1085" s="2">
        <v>100035.907930585</v>
      </c>
      <c r="AP1085" s="2">
        <v>109244.97953487901</v>
      </c>
    </row>
    <row r="1086" spans="1:42" ht="14.5" x14ac:dyDescent="0.35">
      <c r="A1086" s="2" t="s">
        <v>7412</v>
      </c>
      <c r="B1086" s="2">
        <v>565.22745333936996</v>
      </c>
      <c r="C1086" s="2">
        <v>8.6905333333333292</v>
      </c>
      <c r="D1086" s="2" t="s">
        <v>34</v>
      </c>
      <c r="E1086" s="2" t="s">
        <v>7413</v>
      </c>
      <c r="F1086" s="2">
        <v>10222</v>
      </c>
      <c r="G1086" s="3" t="str">
        <f>HYPERLINK("http://funmeta.oebiotech.com/network/10222", "http://funmeta.oebiotech.com/network/10222")</f>
        <v>http://funmeta.oebiotech.com/network/10222</v>
      </c>
      <c r="H1086" s="2"/>
      <c r="I1086" s="2"/>
      <c r="J1086" s="2" t="s">
        <v>7414</v>
      </c>
      <c r="K1086" s="2"/>
      <c r="L1086" s="2"/>
      <c r="M1086" s="2"/>
      <c r="N1086" s="2"/>
      <c r="O1086" s="2">
        <v>56936281</v>
      </c>
      <c r="P1086" s="2"/>
      <c r="Q1086" s="2" t="s">
        <v>7415</v>
      </c>
      <c r="R1086" s="2" t="s">
        <v>7416</v>
      </c>
      <c r="S1086" s="2" t="s">
        <v>50</v>
      </c>
      <c r="T1086" s="2" t="s">
        <v>229</v>
      </c>
      <c r="U1086" s="2" t="s">
        <v>230</v>
      </c>
      <c r="V1086" s="2" t="s">
        <v>42</v>
      </c>
      <c r="W1086" s="2">
        <v>55.6</v>
      </c>
      <c r="X1086" s="2">
        <v>86.4</v>
      </c>
      <c r="Y1086" s="2" t="s">
        <v>340</v>
      </c>
      <c r="Z1086" s="2" t="s">
        <v>7417</v>
      </c>
      <c r="AA1086" s="2">
        <v>3.3326676551946699</v>
      </c>
      <c r="AB1086" s="2">
        <v>0.69202250250185104</v>
      </c>
      <c r="AC1086" s="2">
        <v>332516.61781554797</v>
      </c>
      <c r="AD1086" s="2">
        <v>371229.19496511098</v>
      </c>
      <c r="AE1086" s="2">
        <v>323974.84898826201</v>
      </c>
      <c r="AF1086" s="2">
        <v>317076.100188579</v>
      </c>
      <c r="AG1086" s="2">
        <v>333531.92505554698</v>
      </c>
      <c r="AH1086" s="2">
        <v>338495.70960259699</v>
      </c>
      <c r="AI1086" s="2">
        <v>344765.04350142903</v>
      </c>
      <c r="AJ1086" s="2">
        <v>337256.07955687499</v>
      </c>
      <c r="AK1086" s="2">
        <v>335368.47490351502</v>
      </c>
      <c r="AL1086" s="2">
        <v>365541.05967476498</v>
      </c>
      <c r="AM1086" s="2">
        <v>389313.34631554899</v>
      </c>
      <c r="AN1086" s="2">
        <v>377509.78705118399</v>
      </c>
      <c r="AO1086" s="2">
        <v>372573.11403737299</v>
      </c>
      <c r="AP1086" s="2">
        <v>387069.38780827902</v>
      </c>
    </row>
    <row r="1087" spans="1:42" ht="14.5" x14ac:dyDescent="0.35">
      <c r="A1087" s="2" t="s">
        <v>7418</v>
      </c>
      <c r="B1087" s="2">
        <v>307.19135941961503</v>
      </c>
      <c r="C1087" s="2">
        <v>9.9109999999999996</v>
      </c>
      <c r="D1087" s="2" t="s">
        <v>70</v>
      </c>
      <c r="E1087" s="2" t="s">
        <v>7419</v>
      </c>
      <c r="F1087" s="2">
        <v>7895</v>
      </c>
      <c r="G1087" s="3" t="str">
        <f>HYPERLINK("http://funmeta.oebiotech.com/network/7895", "http://funmeta.oebiotech.com/network/7895")</f>
        <v>http://funmeta.oebiotech.com/network/7895</v>
      </c>
      <c r="H1087" s="2"/>
      <c r="I1087" s="2"/>
      <c r="J1087" s="2" t="s">
        <v>7420</v>
      </c>
      <c r="K1087" s="2"/>
      <c r="L1087" s="2"/>
      <c r="M1087" s="2"/>
      <c r="N1087" s="2"/>
      <c r="O1087" s="2">
        <v>101883941</v>
      </c>
      <c r="P1087" s="2"/>
      <c r="Q1087" s="2" t="s">
        <v>7421</v>
      </c>
      <c r="R1087" s="2" t="s">
        <v>7422</v>
      </c>
      <c r="S1087" s="2" t="s">
        <v>115</v>
      </c>
      <c r="T1087" s="2" t="s">
        <v>1384</v>
      </c>
      <c r="U1087" s="2" t="s">
        <v>41</v>
      </c>
      <c r="V1087" s="2" t="s">
        <v>42</v>
      </c>
      <c r="W1087" s="2">
        <v>53.7</v>
      </c>
      <c r="X1087" s="2">
        <v>72.400000000000006</v>
      </c>
      <c r="Y1087" s="2" t="s">
        <v>118</v>
      </c>
      <c r="Z1087" s="2" t="s">
        <v>7423</v>
      </c>
      <c r="AA1087" s="2">
        <v>-0.400795205477606</v>
      </c>
      <c r="AB1087" s="2">
        <v>0.69202147959139004</v>
      </c>
      <c r="AC1087" s="2">
        <v>70890.636389267602</v>
      </c>
      <c r="AD1087" s="2">
        <v>39164.3189480703</v>
      </c>
      <c r="AE1087" s="2">
        <v>74505.980512525595</v>
      </c>
      <c r="AF1087" s="2">
        <v>72256.861013079004</v>
      </c>
      <c r="AG1087" s="2">
        <v>65706.828425550601</v>
      </c>
      <c r="AH1087" s="2">
        <v>73944.840402591304</v>
      </c>
      <c r="AI1087" s="2">
        <v>69380.7169561638</v>
      </c>
      <c r="AJ1087" s="2">
        <v>69548.591025695103</v>
      </c>
      <c r="AK1087" s="2">
        <v>40270.164200230502</v>
      </c>
      <c r="AL1087" s="2">
        <v>40234.583173802203</v>
      </c>
      <c r="AM1087" s="2">
        <v>39885.664062624302</v>
      </c>
      <c r="AN1087" s="2">
        <v>36911.909550076103</v>
      </c>
      <c r="AO1087" s="2">
        <v>38890.050360881803</v>
      </c>
      <c r="AP1087" s="2">
        <v>38793.5423408067</v>
      </c>
    </row>
    <row r="1088" spans="1:42" ht="14.5" x14ac:dyDescent="0.35">
      <c r="A1088" s="2" t="s">
        <v>7424</v>
      </c>
      <c r="B1088" s="2">
        <v>505.228565726228</v>
      </c>
      <c r="C1088" s="2">
        <v>6.3868666666666698</v>
      </c>
      <c r="D1088" s="2" t="s">
        <v>70</v>
      </c>
      <c r="E1088" s="2" t="s">
        <v>7425</v>
      </c>
      <c r="F1088" s="2">
        <v>52687</v>
      </c>
      <c r="G1088" s="3" t="str">
        <f>HYPERLINK("http://funmeta.oebiotech.com/network/52687", "http://funmeta.oebiotech.com/network/52687")</f>
        <v>http://funmeta.oebiotech.com/network/52687</v>
      </c>
      <c r="H1088" s="2" t="s">
        <v>7426</v>
      </c>
      <c r="I1088" s="2">
        <v>2651</v>
      </c>
      <c r="J1088" s="2"/>
      <c r="K1088" s="2">
        <v>7956</v>
      </c>
      <c r="L1088" s="2" t="s">
        <v>7427</v>
      </c>
      <c r="M1088" s="2"/>
      <c r="N1088" s="2"/>
      <c r="O1088" s="2">
        <v>4725</v>
      </c>
      <c r="P1088" s="2" t="s">
        <v>7428</v>
      </c>
      <c r="Q1088" s="2" t="s">
        <v>7429</v>
      </c>
      <c r="R1088" s="2" t="s">
        <v>7430</v>
      </c>
      <c r="S1088" s="2" t="s">
        <v>491</v>
      </c>
      <c r="T1088" s="2" t="s">
        <v>7431</v>
      </c>
      <c r="U1088" s="2" t="s">
        <v>7432</v>
      </c>
      <c r="V1088" s="2" t="s">
        <v>42</v>
      </c>
      <c r="W1088" s="2">
        <v>48.9</v>
      </c>
      <c r="X1088" s="2">
        <v>60.6</v>
      </c>
      <c r="Y1088" s="2" t="s">
        <v>560</v>
      </c>
      <c r="Z1088" s="2" t="s">
        <v>7433</v>
      </c>
      <c r="AA1088" s="2">
        <v>1.7055928649554899</v>
      </c>
      <c r="AB1088" s="2">
        <v>0.69199223002515298</v>
      </c>
      <c r="AC1088" s="2">
        <v>52482.105171618103</v>
      </c>
      <c r="AD1088" s="2">
        <v>20914.358793464398</v>
      </c>
      <c r="AE1088" s="2">
        <v>53022.511147158097</v>
      </c>
      <c r="AF1088" s="2">
        <v>50574.897459807798</v>
      </c>
      <c r="AG1088" s="2">
        <v>50763.365563996304</v>
      </c>
      <c r="AH1088" s="2">
        <v>52745.831879078898</v>
      </c>
      <c r="AI1088" s="2">
        <v>53307.013283143402</v>
      </c>
      <c r="AJ1088" s="2">
        <v>54479.011696524198</v>
      </c>
      <c r="AK1088" s="2">
        <v>19767.514827263301</v>
      </c>
      <c r="AL1088" s="2">
        <v>21200.3940749434</v>
      </c>
      <c r="AM1088" s="2">
        <v>23343.641379395202</v>
      </c>
      <c r="AN1088" s="2">
        <v>18939.517908146099</v>
      </c>
      <c r="AO1088" s="2">
        <v>20185.236490454401</v>
      </c>
      <c r="AP1088" s="2">
        <v>22049.848080583801</v>
      </c>
    </row>
    <row r="1089" spans="1:42" ht="14.5" x14ac:dyDescent="0.35">
      <c r="A1089" s="2" t="s">
        <v>7434</v>
      </c>
      <c r="B1089" s="2">
        <v>503.211256709937</v>
      </c>
      <c r="C1089" s="2">
        <v>5.84148333333333</v>
      </c>
      <c r="D1089" s="2" t="s">
        <v>70</v>
      </c>
      <c r="E1089" s="2" t="s">
        <v>7435</v>
      </c>
      <c r="F1089" s="2">
        <v>200585</v>
      </c>
      <c r="G1089" s="3" t="str">
        <f>HYPERLINK("http://funmeta.oebiotech.com/network/200585", "http://funmeta.oebiotech.com/network/200585")</f>
        <v>http://funmeta.oebiotech.com/network/200585</v>
      </c>
      <c r="H1089" s="2" t="s">
        <v>7436</v>
      </c>
      <c r="I1089" s="2"/>
      <c r="J1089" s="2"/>
      <c r="K1089" s="2"/>
      <c r="L1089" s="2"/>
      <c r="M1089" s="2"/>
      <c r="N1089" s="2"/>
      <c r="O1089" s="2">
        <v>9890377</v>
      </c>
      <c r="P1089" s="2"/>
      <c r="Q1089" s="2" t="s">
        <v>7437</v>
      </c>
      <c r="R1089" s="2" t="s">
        <v>7438</v>
      </c>
      <c r="S1089" s="2" t="s">
        <v>115</v>
      </c>
      <c r="T1089" s="2" t="s">
        <v>7439</v>
      </c>
      <c r="U1089" s="2" t="s">
        <v>41</v>
      </c>
      <c r="V1089" s="2" t="s">
        <v>59</v>
      </c>
      <c r="W1089" s="2">
        <v>39.6</v>
      </c>
      <c r="X1089" s="2">
        <v>10</v>
      </c>
      <c r="Y1089" s="2" t="s">
        <v>286</v>
      </c>
      <c r="Z1089" s="2" t="s">
        <v>7440</v>
      </c>
      <c r="AA1089" s="2">
        <v>0.78271894516227603</v>
      </c>
      <c r="AB1089" s="2">
        <v>0.69190176848816398</v>
      </c>
      <c r="AC1089" s="2">
        <v>155761.851016311</v>
      </c>
      <c r="AD1089" s="2">
        <v>122373.069406622</v>
      </c>
      <c r="AE1089" s="2">
        <v>159649.236346522</v>
      </c>
      <c r="AF1089" s="2">
        <v>155512.55752112801</v>
      </c>
      <c r="AG1089" s="2">
        <v>167539.33424888001</v>
      </c>
      <c r="AH1089" s="2">
        <v>147258.04764412699</v>
      </c>
      <c r="AI1089" s="2">
        <v>154157.679777165</v>
      </c>
      <c r="AJ1089" s="2">
        <v>150454.25056004099</v>
      </c>
      <c r="AK1089" s="2">
        <v>121230.49049939901</v>
      </c>
      <c r="AL1089" s="2">
        <v>120975.448697535</v>
      </c>
      <c r="AM1089" s="2">
        <v>123809.119935329</v>
      </c>
      <c r="AN1089" s="2">
        <v>133514.56480681599</v>
      </c>
      <c r="AO1089" s="2">
        <v>117871.899922172</v>
      </c>
      <c r="AP1089" s="2">
        <v>116836.892578482</v>
      </c>
    </row>
    <row r="1090" spans="1:42" ht="14.5" x14ac:dyDescent="0.35">
      <c r="A1090" s="2" t="s">
        <v>7441</v>
      </c>
      <c r="B1090" s="2">
        <v>451.12454879120901</v>
      </c>
      <c r="C1090" s="2">
        <v>3.8614999999999999</v>
      </c>
      <c r="D1090" s="2" t="s">
        <v>70</v>
      </c>
      <c r="E1090" s="2" t="s">
        <v>7442</v>
      </c>
      <c r="F1090" s="2">
        <v>61420</v>
      </c>
      <c r="G1090" s="3" t="str">
        <f>HYPERLINK("http://funmeta.oebiotech.com/network/61420", "http://funmeta.oebiotech.com/network/61420")</f>
        <v>http://funmeta.oebiotech.com/network/61420</v>
      </c>
      <c r="H1090" s="2" t="s">
        <v>7443</v>
      </c>
      <c r="I1090" s="2">
        <v>92739</v>
      </c>
      <c r="J1090" s="2"/>
      <c r="K1090" s="2"/>
      <c r="L1090" s="2"/>
      <c r="M1090" s="2"/>
      <c r="N1090" s="2"/>
      <c r="O1090" s="2">
        <v>73813317</v>
      </c>
      <c r="P1090" s="2" t="s">
        <v>7444</v>
      </c>
      <c r="Q1090" s="2" t="s">
        <v>7445</v>
      </c>
      <c r="R1090" s="2" t="s">
        <v>7446</v>
      </c>
      <c r="S1090" s="2" t="s">
        <v>115</v>
      </c>
      <c r="T1090" s="2" t="s">
        <v>139</v>
      </c>
      <c r="U1090" s="2" t="s">
        <v>140</v>
      </c>
      <c r="V1090" s="2" t="s">
        <v>42</v>
      </c>
      <c r="W1090" s="2">
        <v>54.6</v>
      </c>
      <c r="X1090" s="2">
        <v>76.599999999999994</v>
      </c>
      <c r="Y1090" s="2" t="s">
        <v>286</v>
      </c>
      <c r="Z1090" s="2" t="s">
        <v>2260</v>
      </c>
      <c r="AA1090" s="2">
        <v>-8.0422624352087302E-2</v>
      </c>
      <c r="AB1090" s="2">
        <v>0.69155418101615396</v>
      </c>
      <c r="AC1090" s="2">
        <v>172011.263888727</v>
      </c>
      <c r="AD1090" s="2">
        <v>205993.61261444801</v>
      </c>
      <c r="AE1090" s="2">
        <v>164574.203651252</v>
      </c>
      <c r="AF1090" s="2">
        <v>164011.633777913</v>
      </c>
      <c r="AG1090" s="2">
        <v>176989.016004245</v>
      </c>
      <c r="AH1090" s="2">
        <v>167759.31758165301</v>
      </c>
      <c r="AI1090" s="2">
        <v>178278.906524919</v>
      </c>
      <c r="AJ1090" s="2">
        <v>180454.505792382</v>
      </c>
      <c r="AK1090" s="2">
        <v>197797.203014317</v>
      </c>
      <c r="AL1090" s="2">
        <v>198914.19953126</v>
      </c>
      <c r="AM1090" s="2">
        <v>207981.05105933701</v>
      </c>
      <c r="AN1090" s="2">
        <v>211807.794946946</v>
      </c>
      <c r="AO1090" s="2">
        <v>200243.73147120999</v>
      </c>
      <c r="AP1090" s="2">
        <v>219217.69566361501</v>
      </c>
    </row>
    <row r="1091" spans="1:42" ht="14.5" x14ac:dyDescent="0.35">
      <c r="A1091" s="2" t="s">
        <v>7447</v>
      </c>
      <c r="B1091" s="2">
        <v>355.10334732053798</v>
      </c>
      <c r="C1091" s="2">
        <v>4.96875</v>
      </c>
      <c r="D1091" s="2" t="s">
        <v>70</v>
      </c>
      <c r="E1091" s="2" t="s">
        <v>7448</v>
      </c>
      <c r="F1091" s="2">
        <v>55115</v>
      </c>
      <c r="G1091" s="3" t="str">
        <f>HYPERLINK("http://funmeta.oebiotech.com/network/55115", "http://funmeta.oebiotech.com/network/55115")</f>
        <v>http://funmeta.oebiotech.com/network/55115</v>
      </c>
      <c r="H1091" s="2" t="s">
        <v>7449</v>
      </c>
      <c r="I1091" s="2">
        <v>86865</v>
      </c>
      <c r="J1091" s="2"/>
      <c r="K1091" s="2">
        <v>167947</v>
      </c>
      <c r="L1091" s="2"/>
      <c r="M1091" s="2"/>
      <c r="N1091" s="2"/>
      <c r="O1091" s="2">
        <v>5797730</v>
      </c>
      <c r="P1091" s="2" t="s">
        <v>7450</v>
      </c>
      <c r="Q1091" s="2" t="s">
        <v>7451</v>
      </c>
      <c r="R1091" s="2" t="s">
        <v>7452</v>
      </c>
      <c r="S1091" s="2" t="s">
        <v>115</v>
      </c>
      <c r="T1091" s="2" t="s">
        <v>116</v>
      </c>
      <c r="U1091" s="2" t="s">
        <v>7178</v>
      </c>
      <c r="V1091" s="2" t="s">
        <v>59</v>
      </c>
      <c r="W1091" s="2">
        <v>47.8</v>
      </c>
      <c r="X1091" s="2">
        <v>42</v>
      </c>
      <c r="Y1091" s="2" t="s">
        <v>286</v>
      </c>
      <c r="Z1091" s="2" t="s">
        <v>4545</v>
      </c>
      <c r="AA1091" s="2">
        <v>-0.34976396121285802</v>
      </c>
      <c r="AB1091" s="2">
        <v>0.69144129445643998</v>
      </c>
      <c r="AC1091" s="2">
        <v>55986.660372474202</v>
      </c>
      <c r="AD1091" s="2">
        <v>24283.180402248599</v>
      </c>
      <c r="AE1091" s="2">
        <v>55512.332009452199</v>
      </c>
      <c r="AF1091" s="2">
        <v>58972.090794504198</v>
      </c>
      <c r="AG1091" s="2">
        <v>54405.404615230298</v>
      </c>
      <c r="AH1091" s="2">
        <v>59339.194747646499</v>
      </c>
      <c r="AI1091" s="2">
        <v>56296.168273271003</v>
      </c>
      <c r="AJ1091" s="2">
        <v>51394.771794741297</v>
      </c>
      <c r="AK1091" s="2">
        <v>27213.374877436399</v>
      </c>
      <c r="AL1091" s="2">
        <v>21279.733005728402</v>
      </c>
      <c r="AM1091" s="2">
        <v>24622.1690979956</v>
      </c>
      <c r="AN1091" s="2">
        <v>24402.801641206901</v>
      </c>
      <c r="AO1091" s="2">
        <v>24145.135836280599</v>
      </c>
      <c r="AP1091" s="2">
        <v>24035.867954843499</v>
      </c>
    </row>
    <row r="1092" spans="1:42" ht="14.5" x14ac:dyDescent="0.35">
      <c r="A1092" s="2" t="s">
        <v>7453</v>
      </c>
      <c r="B1092" s="2">
        <v>595.20280563059703</v>
      </c>
      <c r="C1092" s="2">
        <v>5.0964166666666699</v>
      </c>
      <c r="D1092" s="2" t="s">
        <v>70</v>
      </c>
      <c r="E1092" s="2" t="s">
        <v>7454</v>
      </c>
      <c r="F1092" s="2">
        <v>55351</v>
      </c>
      <c r="G1092" s="3" t="str">
        <f>HYPERLINK("http://funmeta.oebiotech.com/network/55351", "http://funmeta.oebiotech.com/network/55351")</f>
        <v>http://funmeta.oebiotech.com/network/55351</v>
      </c>
      <c r="H1092" s="2" t="s">
        <v>7455</v>
      </c>
      <c r="I1092" s="2">
        <v>87059</v>
      </c>
      <c r="J1092" s="2"/>
      <c r="K1092" s="2"/>
      <c r="L1092" s="2"/>
      <c r="M1092" s="2"/>
      <c r="N1092" s="2"/>
      <c r="O1092" s="2">
        <v>53462879</v>
      </c>
      <c r="P1092" s="2" t="s">
        <v>7456</v>
      </c>
      <c r="Q1092" s="2" t="s">
        <v>7457</v>
      </c>
      <c r="R1092" s="2" t="s">
        <v>7458</v>
      </c>
      <c r="S1092" s="2" t="s">
        <v>1184</v>
      </c>
      <c r="T1092" s="2" t="s">
        <v>1185</v>
      </c>
      <c r="U1092" s="2" t="s">
        <v>41</v>
      </c>
      <c r="V1092" s="2" t="s">
        <v>59</v>
      </c>
      <c r="W1092" s="2">
        <v>45.6</v>
      </c>
      <c r="X1092" s="2">
        <v>29.9</v>
      </c>
      <c r="Y1092" s="2" t="s">
        <v>408</v>
      </c>
      <c r="Z1092" s="2" t="s">
        <v>7459</v>
      </c>
      <c r="AA1092" s="2">
        <v>-0.77019380497900003</v>
      </c>
      <c r="AB1092" s="2">
        <v>0.69016248669510305</v>
      </c>
      <c r="AC1092" s="2">
        <v>130699.935297537</v>
      </c>
      <c r="AD1092" s="2">
        <v>164228.571298772</v>
      </c>
      <c r="AE1092" s="2">
        <v>135024.503822153</v>
      </c>
      <c r="AF1092" s="2">
        <v>117339.524465892</v>
      </c>
      <c r="AG1092" s="2">
        <v>131145.69679819801</v>
      </c>
      <c r="AH1092" s="2">
        <v>126074.386604703</v>
      </c>
      <c r="AI1092" s="2">
        <v>130341.67291926499</v>
      </c>
      <c r="AJ1092" s="2">
        <v>144273.82717501299</v>
      </c>
      <c r="AK1092" s="2">
        <v>157652.22521882001</v>
      </c>
      <c r="AL1092" s="2">
        <v>169622.34267272599</v>
      </c>
      <c r="AM1092" s="2">
        <v>160386.11761512401</v>
      </c>
      <c r="AN1092" s="2">
        <v>168077.23259453499</v>
      </c>
      <c r="AO1092" s="2">
        <v>162949.07354006299</v>
      </c>
      <c r="AP1092" s="2">
        <v>166684.43615136601</v>
      </c>
    </row>
    <row r="1093" spans="1:42" ht="14.5" x14ac:dyDescent="0.35">
      <c r="A1093" s="2" t="s">
        <v>7460</v>
      </c>
      <c r="B1093" s="2">
        <v>511.14246559882201</v>
      </c>
      <c r="C1093" s="2">
        <v>3.6251333333333302</v>
      </c>
      <c r="D1093" s="2" t="s">
        <v>34</v>
      </c>
      <c r="E1093" s="2" t="s">
        <v>7461</v>
      </c>
      <c r="F1093" s="2">
        <v>62996</v>
      </c>
      <c r="G1093" s="3" t="str">
        <f>HYPERLINK("http://funmeta.oebiotech.com/network/62996", "http://funmeta.oebiotech.com/network/62996")</f>
        <v>http://funmeta.oebiotech.com/network/62996</v>
      </c>
      <c r="H1093" s="2" t="s">
        <v>7462</v>
      </c>
      <c r="I1093" s="2">
        <v>94293</v>
      </c>
      <c r="J1093" s="2"/>
      <c r="K1093" s="2"/>
      <c r="L1093" s="2"/>
      <c r="M1093" s="2"/>
      <c r="N1093" s="2"/>
      <c r="O1093" s="2">
        <v>91855034</v>
      </c>
      <c r="P1093" s="2" t="s">
        <v>7463</v>
      </c>
      <c r="Q1093" s="2" t="s">
        <v>7464</v>
      </c>
      <c r="R1093" s="2" t="s">
        <v>7465</v>
      </c>
      <c r="S1093" s="2" t="s">
        <v>79</v>
      </c>
      <c r="T1093" s="2" t="s">
        <v>80</v>
      </c>
      <c r="U1093" s="2" t="s">
        <v>81</v>
      </c>
      <c r="V1093" s="2" t="s">
        <v>59</v>
      </c>
      <c r="W1093" s="2">
        <v>45</v>
      </c>
      <c r="X1093" s="2">
        <v>30.2</v>
      </c>
      <c r="Y1093" s="2" t="s">
        <v>340</v>
      </c>
      <c r="Z1093" s="2" t="s">
        <v>7466</v>
      </c>
      <c r="AA1093" s="2">
        <v>0.21563580296902901</v>
      </c>
      <c r="AB1093" s="2">
        <v>0.69001959121321998</v>
      </c>
      <c r="AC1093" s="2">
        <v>35548.498301437103</v>
      </c>
      <c r="AD1093" s="2">
        <v>67165.662534289106</v>
      </c>
      <c r="AE1093" s="2">
        <v>37773.2116057284</v>
      </c>
      <c r="AF1093" s="2">
        <v>35821.105279211799</v>
      </c>
      <c r="AG1093" s="2">
        <v>35212.587359063902</v>
      </c>
      <c r="AH1093" s="2">
        <v>30945.4334459212</v>
      </c>
      <c r="AI1093" s="2">
        <v>36544.7836262497</v>
      </c>
      <c r="AJ1093" s="2">
        <v>36993.868492447597</v>
      </c>
      <c r="AK1093" s="2">
        <v>66412.412859363103</v>
      </c>
      <c r="AL1093" s="2">
        <v>69309.392318419093</v>
      </c>
      <c r="AM1093" s="2">
        <v>68943.943835736805</v>
      </c>
      <c r="AN1093" s="2">
        <v>70842.429265896702</v>
      </c>
      <c r="AO1093" s="2">
        <v>63172.264691066397</v>
      </c>
      <c r="AP1093" s="2">
        <v>64313.532235252504</v>
      </c>
    </row>
    <row r="1094" spans="1:42" ht="14.5" x14ac:dyDescent="0.35">
      <c r="A1094" s="2" t="s">
        <v>7467</v>
      </c>
      <c r="B1094" s="2">
        <v>331.12472852536803</v>
      </c>
      <c r="C1094" s="2">
        <v>1.0770999999999999</v>
      </c>
      <c r="D1094" s="2" t="s">
        <v>34</v>
      </c>
      <c r="E1094" s="2" t="s">
        <v>7468</v>
      </c>
      <c r="F1094" s="2">
        <v>57038</v>
      </c>
      <c r="G1094" s="3" t="str">
        <f>HYPERLINK("http://funmeta.oebiotech.com/network/57038", "http://funmeta.oebiotech.com/network/57038")</f>
        <v>http://funmeta.oebiotech.com/network/57038</v>
      </c>
      <c r="H1094" s="2" t="s">
        <v>7469</v>
      </c>
      <c r="I1094" s="2">
        <v>88693</v>
      </c>
      <c r="J1094" s="2"/>
      <c r="K1094" s="2">
        <v>175416</v>
      </c>
      <c r="L1094" s="2"/>
      <c r="M1094" s="2"/>
      <c r="N1094" s="2"/>
      <c r="O1094" s="2">
        <v>131751299</v>
      </c>
      <c r="P1094" s="2" t="s">
        <v>7470</v>
      </c>
      <c r="Q1094" s="2" t="s">
        <v>7471</v>
      </c>
      <c r="R1094" s="2" t="s">
        <v>7472</v>
      </c>
      <c r="S1094" s="2" t="s">
        <v>89</v>
      </c>
      <c r="T1094" s="2" t="s">
        <v>90</v>
      </c>
      <c r="U1094" s="2" t="s">
        <v>99</v>
      </c>
      <c r="V1094" s="2" t="s">
        <v>42</v>
      </c>
      <c r="W1094" s="2">
        <v>50</v>
      </c>
      <c r="X1094" s="2">
        <v>65.400000000000006</v>
      </c>
      <c r="Y1094" s="2" t="s">
        <v>141</v>
      </c>
      <c r="Z1094" s="2" t="s">
        <v>7473</v>
      </c>
      <c r="AA1094" s="2">
        <v>-0.27817837387955802</v>
      </c>
      <c r="AB1094" s="2">
        <v>0.68960491625976905</v>
      </c>
      <c r="AC1094" s="2">
        <v>41478.446334927299</v>
      </c>
      <c r="AD1094" s="2">
        <v>8934.2284938449993</v>
      </c>
      <c r="AE1094" s="2">
        <v>36006.080094924298</v>
      </c>
      <c r="AF1094" s="2">
        <v>44984.673853321998</v>
      </c>
      <c r="AG1094" s="2">
        <v>33718.177731087402</v>
      </c>
      <c r="AH1094" s="2">
        <v>51395.146339377199</v>
      </c>
      <c r="AI1094" s="2">
        <v>35439.530791210702</v>
      </c>
      <c r="AJ1094" s="2">
        <v>47327.069199641999</v>
      </c>
      <c r="AK1094" s="2">
        <v>10708.4370857667</v>
      </c>
      <c r="AL1094" s="2">
        <v>7245.4512908922397</v>
      </c>
      <c r="AM1094" s="2">
        <v>6406.4104935820596</v>
      </c>
      <c r="AN1094" s="2">
        <v>9671.0481874772904</v>
      </c>
      <c r="AO1094" s="2">
        <v>10182.775943180701</v>
      </c>
      <c r="AP1094" s="2">
        <v>9391.2479621710299</v>
      </c>
    </row>
    <row r="1095" spans="1:42" ht="14.5" x14ac:dyDescent="0.35">
      <c r="A1095" s="2" t="s">
        <v>7474</v>
      </c>
      <c r="B1095" s="2">
        <v>765.25709147336295</v>
      </c>
      <c r="C1095" s="2">
        <v>5.37076666666667</v>
      </c>
      <c r="D1095" s="2" t="s">
        <v>34</v>
      </c>
      <c r="E1095" s="2" t="s">
        <v>7475</v>
      </c>
      <c r="F1095" s="2">
        <v>276795</v>
      </c>
      <c r="G1095" s="3" t="str">
        <f>HYPERLINK("http://funmeta.oebiotech.com/network/276795", "http://funmeta.oebiotech.com/network/276795")</f>
        <v>http://funmeta.oebiotech.com/network/276795</v>
      </c>
      <c r="H1095" s="2"/>
      <c r="I1095" s="2">
        <v>68370</v>
      </c>
      <c r="J1095" s="2"/>
      <c r="K1095" s="2"/>
      <c r="L1095" s="2" t="s">
        <v>7476</v>
      </c>
      <c r="M1095" s="2"/>
      <c r="N1095" s="2"/>
      <c r="O1095" s="2">
        <v>442830</v>
      </c>
      <c r="P1095" s="2" t="s">
        <v>7477</v>
      </c>
      <c r="Q1095" s="2" t="s">
        <v>7478</v>
      </c>
      <c r="R1095" s="2" t="s">
        <v>7479</v>
      </c>
      <c r="S1095" s="2" t="s">
        <v>1184</v>
      </c>
      <c r="T1095" s="2" t="s">
        <v>1185</v>
      </c>
      <c r="U1095" s="2" t="s">
        <v>41</v>
      </c>
      <c r="V1095" s="2" t="s">
        <v>59</v>
      </c>
      <c r="W1095" s="2">
        <v>37.1</v>
      </c>
      <c r="X1095" s="2">
        <v>0</v>
      </c>
      <c r="Y1095" s="2" t="s">
        <v>323</v>
      </c>
      <c r="Z1095" s="2" t="s">
        <v>3071</v>
      </c>
      <c r="AA1095" s="2">
        <v>-0.73266479679757202</v>
      </c>
      <c r="AB1095" s="2">
        <v>0.68933002204804505</v>
      </c>
      <c r="AC1095" s="2">
        <v>16771.3391803462</v>
      </c>
      <c r="AD1095" s="2">
        <v>48465.207798806601</v>
      </c>
      <c r="AE1095" s="2">
        <v>18503.913137724299</v>
      </c>
      <c r="AF1095" s="2">
        <v>17419.525926808801</v>
      </c>
      <c r="AG1095" s="2">
        <v>14344.6120738717</v>
      </c>
      <c r="AH1095" s="2">
        <v>13485.4663270483</v>
      </c>
      <c r="AI1095" s="2">
        <v>18359.250094219999</v>
      </c>
      <c r="AJ1095" s="2">
        <v>18515.267522403901</v>
      </c>
      <c r="AK1095" s="2">
        <v>46619.843540606103</v>
      </c>
      <c r="AL1095" s="2">
        <v>54402.998749684899</v>
      </c>
      <c r="AM1095" s="2">
        <v>47823.817401510998</v>
      </c>
      <c r="AN1095" s="2">
        <v>46858.4403041689</v>
      </c>
      <c r="AO1095" s="2">
        <v>43856.826952163698</v>
      </c>
      <c r="AP1095" s="2">
        <v>51229.3198447049</v>
      </c>
    </row>
    <row r="1096" spans="1:42" ht="14.5" x14ac:dyDescent="0.35">
      <c r="A1096" s="2" t="s">
        <v>7480</v>
      </c>
      <c r="B1096" s="2">
        <v>235.02126145376201</v>
      </c>
      <c r="C1096" s="2">
        <v>0.70245000000000002</v>
      </c>
      <c r="D1096" s="2" t="s">
        <v>34</v>
      </c>
      <c r="E1096" s="2" t="s">
        <v>7481</v>
      </c>
      <c r="F1096" s="2">
        <v>256586</v>
      </c>
      <c r="G1096" s="3" t="str">
        <f>HYPERLINK("http://funmeta.oebiotech.com/network/256586", "http://funmeta.oebiotech.com/network/256586")</f>
        <v>http://funmeta.oebiotech.com/network/256586</v>
      </c>
      <c r="H1096" s="2" t="s">
        <v>7482</v>
      </c>
      <c r="I1096" s="2"/>
      <c r="J1096" s="2"/>
      <c r="K1096" s="2"/>
      <c r="L1096" s="2"/>
      <c r="M1096" s="2"/>
      <c r="N1096" s="2"/>
      <c r="O1096" s="2">
        <v>10198563</v>
      </c>
      <c r="P1096" s="2"/>
      <c r="Q1096" s="2" t="s">
        <v>7483</v>
      </c>
      <c r="R1096" s="2" t="s">
        <v>7484</v>
      </c>
      <c r="S1096" s="2" t="s">
        <v>89</v>
      </c>
      <c r="T1096" s="2" t="s">
        <v>4218</v>
      </c>
      <c r="U1096" s="2" t="s">
        <v>5830</v>
      </c>
      <c r="V1096" s="2" t="s">
        <v>59</v>
      </c>
      <c r="W1096" s="2">
        <v>38.799999999999997</v>
      </c>
      <c r="X1096" s="2">
        <v>0</v>
      </c>
      <c r="Y1096" s="2" t="s">
        <v>67</v>
      </c>
      <c r="Z1096" s="2" t="s">
        <v>7485</v>
      </c>
      <c r="AA1096" s="2">
        <v>-0.85186258673335702</v>
      </c>
      <c r="AB1096" s="2">
        <v>0.68883712949320697</v>
      </c>
      <c r="AC1096" s="2">
        <v>39356.634250803698</v>
      </c>
      <c r="AD1096" s="2">
        <v>6645.9286918780699</v>
      </c>
      <c r="AE1096" s="2">
        <v>35961.413441873803</v>
      </c>
      <c r="AF1096" s="2">
        <v>31395.279072686299</v>
      </c>
      <c r="AG1096" s="2">
        <v>48231.6271128886</v>
      </c>
      <c r="AH1096" s="2">
        <v>32540.048301697501</v>
      </c>
      <c r="AI1096" s="2">
        <v>49335.348494222701</v>
      </c>
      <c r="AJ1096" s="2">
        <v>38676.089081453501</v>
      </c>
      <c r="AK1096" s="2">
        <v>5967.4307837298002</v>
      </c>
      <c r="AL1096" s="2">
        <v>6197.3556230139102</v>
      </c>
      <c r="AM1096" s="2">
        <v>8603.4993320876001</v>
      </c>
      <c r="AN1096" s="2">
        <v>5565.8481492017099</v>
      </c>
      <c r="AO1096" s="2">
        <v>7269.4288676416199</v>
      </c>
      <c r="AP1096" s="2">
        <v>6272.00939559378</v>
      </c>
    </row>
    <row r="1097" spans="1:42" ht="14.5" x14ac:dyDescent="0.35">
      <c r="A1097" s="2" t="s">
        <v>7486</v>
      </c>
      <c r="B1097" s="2">
        <v>744.51287480514804</v>
      </c>
      <c r="C1097" s="2">
        <v>14.154949999999999</v>
      </c>
      <c r="D1097" s="2" t="s">
        <v>34</v>
      </c>
      <c r="E1097" s="2" t="s">
        <v>7487</v>
      </c>
      <c r="F1097" s="2">
        <v>22266</v>
      </c>
      <c r="G1097" s="3" t="str">
        <f>HYPERLINK("http://funmeta.oebiotech.com/network/22266", "http://funmeta.oebiotech.com/network/22266")</f>
        <v>http://funmeta.oebiotech.com/network/22266</v>
      </c>
      <c r="H1097" s="2"/>
      <c r="I1097" s="2">
        <v>78667</v>
      </c>
      <c r="J1097" s="2" t="s">
        <v>7488</v>
      </c>
      <c r="K1097" s="2"/>
      <c r="L1097" s="2"/>
      <c r="M1097" s="2"/>
      <c r="N1097" s="2"/>
      <c r="O1097" s="2">
        <v>52926109</v>
      </c>
      <c r="P1097" s="2"/>
      <c r="Q1097" s="2" t="s">
        <v>7489</v>
      </c>
      <c r="R1097" s="2" t="s">
        <v>7490</v>
      </c>
      <c r="S1097" s="2" t="s">
        <v>50</v>
      </c>
      <c r="T1097" s="2" t="s">
        <v>51</v>
      </c>
      <c r="U1097" s="2" t="s">
        <v>66</v>
      </c>
      <c r="V1097" s="2" t="s">
        <v>59</v>
      </c>
      <c r="W1097" s="2">
        <v>37.5</v>
      </c>
      <c r="X1097" s="2">
        <v>0</v>
      </c>
      <c r="Y1097" s="2" t="s">
        <v>323</v>
      </c>
      <c r="Z1097" s="2" t="s">
        <v>7491</v>
      </c>
      <c r="AA1097" s="2">
        <v>-2.9320131042177402</v>
      </c>
      <c r="AB1097" s="2">
        <v>0.68820791836178596</v>
      </c>
      <c r="AC1097" s="2">
        <v>13620.3685847697</v>
      </c>
      <c r="AD1097" s="2">
        <v>46276.244808584903</v>
      </c>
      <c r="AE1097" s="2">
        <v>13605.8491265825</v>
      </c>
      <c r="AF1097" s="2">
        <v>13189.3913619796</v>
      </c>
      <c r="AG1097" s="2">
        <v>13504.4320760628</v>
      </c>
      <c r="AH1097" s="2">
        <v>13716.869380944199</v>
      </c>
      <c r="AI1097" s="2">
        <v>13036.574362632</v>
      </c>
      <c r="AJ1097" s="2">
        <v>14669.095200416899</v>
      </c>
      <c r="AK1097" s="2">
        <v>60660.120339935303</v>
      </c>
      <c r="AL1097" s="2">
        <v>49119.607238488898</v>
      </c>
      <c r="AM1097" s="2">
        <v>46374.290601312998</v>
      </c>
      <c r="AN1097" s="2">
        <v>40414.7281161465</v>
      </c>
      <c r="AO1097" s="2">
        <v>39911.7069248767</v>
      </c>
      <c r="AP1097" s="2">
        <v>41177.015630749302</v>
      </c>
    </row>
    <row r="1098" spans="1:42" ht="14.5" x14ac:dyDescent="0.35">
      <c r="A1098" s="2" t="s">
        <v>7492</v>
      </c>
      <c r="B1098" s="2">
        <v>693.34484386452402</v>
      </c>
      <c r="C1098" s="2">
        <v>8.9900166666666692</v>
      </c>
      <c r="D1098" s="2" t="s">
        <v>34</v>
      </c>
      <c r="E1098" s="2" t="s">
        <v>7493</v>
      </c>
      <c r="F1098" s="2">
        <v>199110</v>
      </c>
      <c r="G1098" s="3" t="str">
        <f>HYPERLINK("http://funmeta.oebiotech.com/network/199110", "http://funmeta.oebiotech.com/network/199110")</f>
        <v>http://funmeta.oebiotech.com/network/199110</v>
      </c>
      <c r="H1098" s="2" t="s">
        <v>7494</v>
      </c>
      <c r="I1098" s="2"/>
      <c r="J1098" s="2"/>
      <c r="K1098" s="2"/>
      <c r="L1098" s="2"/>
      <c r="M1098" s="2"/>
      <c r="N1098" s="2"/>
      <c r="O1098" s="2">
        <v>220861</v>
      </c>
      <c r="P1098" s="2"/>
      <c r="Q1098" s="2" t="s">
        <v>7495</v>
      </c>
      <c r="R1098" s="2" t="s">
        <v>7496</v>
      </c>
      <c r="S1098" s="2" t="s">
        <v>50</v>
      </c>
      <c r="T1098" s="2" t="s">
        <v>124</v>
      </c>
      <c r="U1098" s="2" t="s">
        <v>567</v>
      </c>
      <c r="V1098" s="2" t="s">
        <v>42</v>
      </c>
      <c r="W1098" s="2">
        <v>46.6</v>
      </c>
      <c r="X1098" s="2">
        <v>63.2</v>
      </c>
      <c r="Y1098" s="2" t="s">
        <v>141</v>
      </c>
      <c r="Z1098" s="2" t="s">
        <v>7497</v>
      </c>
      <c r="AA1098" s="2">
        <v>-4.5390088527770702</v>
      </c>
      <c r="AB1098" s="2">
        <v>0.68778687657468296</v>
      </c>
      <c r="AC1098" s="2">
        <v>118510.93977367401</v>
      </c>
      <c r="AD1098" s="2">
        <v>86134.205516212198</v>
      </c>
      <c r="AE1098" s="2">
        <v>111456.65912542801</v>
      </c>
      <c r="AF1098" s="2">
        <v>117259.38996395501</v>
      </c>
      <c r="AG1098" s="2">
        <v>118693.543441749</v>
      </c>
      <c r="AH1098" s="2">
        <v>118753.3259046</v>
      </c>
      <c r="AI1098" s="2">
        <v>113955.68468212101</v>
      </c>
      <c r="AJ1098" s="2">
        <v>130947.035524188</v>
      </c>
      <c r="AK1098" s="2">
        <v>84587.007050586704</v>
      </c>
      <c r="AL1098" s="2">
        <v>86730.393057825102</v>
      </c>
      <c r="AM1098" s="2">
        <v>87025.741953265402</v>
      </c>
      <c r="AN1098" s="2">
        <v>83362.7570826109</v>
      </c>
      <c r="AO1098" s="2">
        <v>82733.012010853097</v>
      </c>
      <c r="AP1098" s="2">
        <v>92366.321942131995</v>
      </c>
    </row>
    <row r="1099" spans="1:42" ht="14.5" x14ac:dyDescent="0.35">
      <c r="A1099" s="2" t="s">
        <v>7498</v>
      </c>
      <c r="B1099" s="2">
        <v>273.09776844456297</v>
      </c>
      <c r="C1099" s="2">
        <v>4.7218999999999998</v>
      </c>
      <c r="D1099" s="2" t="s">
        <v>70</v>
      </c>
      <c r="E1099" s="2" t="s">
        <v>7499</v>
      </c>
      <c r="F1099" s="2">
        <v>5993</v>
      </c>
      <c r="G1099" s="3" t="str">
        <f>HYPERLINK("http://funmeta.oebiotech.com/network/5993", "http://funmeta.oebiotech.com/network/5993")</f>
        <v>http://funmeta.oebiotech.com/network/5993</v>
      </c>
      <c r="H1099" s="2"/>
      <c r="I1099" s="2">
        <v>36470</v>
      </c>
      <c r="J1099" s="2" t="s">
        <v>7500</v>
      </c>
      <c r="K1099" s="2">
        <v>73749</v>
      </c>
      <c r="L1099" s="2"/>
      <c r="M1099" s="2"/>
      <c r="N1099" s="2"/>
      <c r="O1099" s="2">
        <v>5283267</v>
      </c>
      <c r="P1099" s="2"/>
      <c r="Q1099" s="2" t="s">
        <v>7501</v>
      </c>
      <c r="R1099" s="2" t="s">
        <v>7502</v>
      </c>
      <c r="S1099" s="2" t="s">
        <v>79</v>
      </c>
      <c r="T1099" s="2" t="s">
        <v>80</v>
      </c>
      <c r="U1099" s="2" t="s">
        <v>2021</v>
      </c>
      <c r="V1099" s="2" t="s">
        <v>59</v>
      </c>
      <c r="W1099" s="2">
        <v>47.8</v>
      </c>
      <c r="X1099" s="2">
        <v>43.3</v>
      </c>
      <c r="Y1099" s="2" t="s">
        <v>408</v>
      </c>
      <c r="Z1099" s="2" t="s">
        <v>7503</v>
      </c>
      <c r="AA1099" s="2">
        <v>-0.91204104841646705</v>
      </c>
      <c r="AB1099" s="2">
        <v>0.68751029130269603</v>
      </c>
      <c r="AC1099" s="2">
        <v>57617.366015068103</v>
      </c>
      <c r="AD1099" s="2">
        <v>89398.4875952562</v>
      </c>
      <c r="AE1099" s="2">
        <v>57997.791946670201</v>
      </c>
      <c r="AF1099" s="2">
        <v>53661.270219703998</v>
      </c>
      <c r="AG1099" s="2">
        <v>51198.727336190197</v>
      </c>
      <c r="AH1099" s="2">
        <v>61006.732919805298</v>
      </c>
      <c r="AI1099" s="2">
        <v>61345.998220450601</v>
      </c>
      <c r="AJ1099" s="2">
        <v>60493.675447588503</v>
      </c>
      <c r="AK1099" s="2">
        <v>88939.142435150905</v>
      </c>
      <c r="AL1099" s="2">
        <v>84086.769058553095</v>
      </c>
      <c r="AM1099" s="2">
        <v>94316.398809977996</v>
      </c>
      <c r="AN1099" s="2">
        <v>85339.289504992004</v>
      </c>
      <c r="AO1099" s="2">
        <v>91595.023704583902</v>
      </c>
      <c r="AP1099" s="2">
        <v>92114.302058279602</v>
      </c>
    </row>
    <row r="1100" spans="1:42" ht="14.5" x14ac:dyDescent="0.35">
      <c r="A1100" s="2" t="s">
        <v>7504</v>
      </c>
      <c r="B1100" s="2">
        <v>622.44279528580103</v>
      </c>
      <c r="C1100" s="2">
        <v>13.5346833333333</v>
      </c>
      <c r="D1100" s="2" t="s">
        <v>34</v>
      </c>
      <c r="E1100" s="2" t="s">
        <v>7505</v>
      </c>
      <c r="F1100" s="2">
        <v>25038</v>
      </c>
      <c r="G1100" s="3" t="str">
        <f>HYPERLINK("http://funmeta.oebiotech.com/network/25038", "http://funmeta.oebiotech.com/network/25038")</f>
        <v>http://funmeta.oebiotech.com/network/25038</v>
      </c>
      <c r="H1100" s="2" t="s">
        <v>7506</v>
      </c>
      <c r="I1100" s="2">
        <v>81305</v>
      </c>
      <c r="J1100" s="2" t="s">
        <v>7507</v>
      </c>
      <c r="K1100" s="2"/>
      <c r="L1100" s="2"/>
      <c r="M1100" s="2"/>
      <c r="N1100" s="2"/>
      <c r="O1100" s="2">
        <v>52928732</v>
      </c>
      <c r="P1100" s="2"/>
      <c r="Q1100" s="2" t="s">
        <v>7508</v>
      </c>
      <c r="R1100" s="2" t="s">
        <v>7509</v>
      </c>
      <c r="S1100" s="2" t="s">
        <v>50</v>
      </c>
      <c r="T1100" s="2" t="s">
        <v>51</v>
      </c>
      <c r="U1100" s="2" t="s">
        <v>273</v>
      </c>
      <c r="V1100" s="2" t="s">
        <v>59</v>
      </c>
      <c r="W1100" s="2">
        <v>37.4</v>
      </c>
      <c r="X1100" s="2">
        <v>0</v>
      </c>
      <c r="Y1100" s="2" t="s">
        <v>43</v>
      </c>
      <c r="Z1100" s="2" t="s">
        <v>7510</v>
      </c>
      <c r="AA1100" s="2">
        <v>-2.3755165954544801</v>
      </c>
      <c r="AB1100" s="2">
        <v>0.68728424793835297</v>
      </c>
      <c r="AC1100" s="2">
        <v>1929.9909539635601</v>
      </c>
      <c r="AD1100" s="2">
        <v>33160.052046208897</v>
      </c>
      <c r="AE1100" s="2">
        <v>2194.363993769</v>
      </c>
      <c r="AF1100" s="2">
        <v>2692.6841918709802</v>
      </c>
      <c r="AG1100" s="2">
        <v>2065.5912084901602</v>
      </c>
      <c r="AH1100" s="2">
        <v>1716.28374816783</v>
      </c>
      <c r="AI1100" s="2">
        <v>1706.91512609149</v>
      </c>
      <c r="AJ1100" s="2">
        <v>1204.10745539187</v>
      </c>
      <c r="AK1100" s="2">
        <v>35920.386819648702</v>
      </c>
      <c r="AL1100" s="2">
        <v>30311.466183510402</v>
      </c>
      <c r="AM1100" s="2">
        <v>31903.309517475798</v>
      </c>
      <c r="AN1100" s="2">
        <v>30033.043686815501</v>
      </c>
      <c r="AO1100" s="2">
        <v>34215.074261825597</v>
      </c>
      <c r="AP1100" s="2">
        <v>36577.031807977699</v>
      </c>
    </row>
    <row r="1101" spans="1:42" ht="14.5" x14ac:dyDescent="0.35">
      <c r="A1101" s="2" t="s">
        <v>7511</v>
      </c>
      <c r="B1101" s="2">
        <v>183.07787838403101</v>
      </c>
      <c r="C1101" s="2">
        <v>5.5897333333333297</v>
      </c>
      <c r="D1101" s="2" t="s">
        <v>34</v>
      </c>
      <c r="E1101" s="2" t="s">
        <v>7512</v>
      </c>
      <c r="F1101" s="2">
        <v>212593</v>
      </c>
      <c r="G1101" s="3" t="str">
        <f>HYPERLINK("http://funmeta.oebiotech.com/network/212593", "http://funmeta.oebiotech.com/network/212593")</f>
        <v>http://funmeta.oebiotech.com/network/212593</v>
      </c>
      <c r="H1101" s="2" t="s">
        <v>7513</v>
      </c>
      <c r="I1101" s="2">
        <v>62875</v>
      </c>
      <c r="J1101" s="2"/>
      <c r="K1101" s="2">
        <v>45927</v>
      </c>
      <c r="L1101" s="2"/>
      <c r="M1101" s="2"/>
      <c r="N1101" s="2"/>
      <c r="O1101" s="2">
        <v>6535</v>
      </c>
      <c r="P1101" s="2" t="s">
        <v>7514</v>
      </c>
      <c r="Q1101" s="2" t="s">
        <v>7515</v>
      </c>
      <c r="R1101" s="2" t="s">
        <v>7516</v>
      </c>
      <c r="S1101" s="2" t="s">
        <v>89</v>
      </c>
      <c r="T1101" s="2" t="s">
        <v>894</v>
      </c>
      <c r="U1101" s="2" t="s">
        <v>895</v>
      </c>
      <c r="V1101" s="2" t="s">
        <v>42</v>
      </c>
      <c r="W1101" s="2">
        <v>57</v>
      </c>
      <c r="X1101" s="2">
        <v>88.7</v>
      </c>
      <c r="Y1101" s="2" t="s">
        <v>67</v>
      </c>
      <c r="Z1101" s="2" t="s">
        <v>7517</v>
      </c>
      <c r="AA1101" s="2">
        <v>-1.06352728690734</v>
      </c>
      <c r="AB1101" s="2">
        <v>0.68703941077376296</v>
      </c>
      <c r="AC1101" s="2">
        <v>132085.66036667299</v>
      </c>
      <c r="AD1101" s="2">
        <v>177522.83369656201</v>
      </c>
      <c r="AE1101" s="2">
        <v>127963.604529462</v>
      </c>
      <c r="AF1101" s="2">
        <v>145377.10460614099</v>
      </c>
      <c r="AG1101" s="2">
        <v>121524.405495607</v>
      </c>
      <c r="AH1101" s="2">
        <v>151475.052687752</v>
      </c>
      <c r="AI1101" s="2">
        <v>92650.917652542004</v>
      </c>
      <c r="AJ1101" s="2">
        <v>153522.87722853501</v>
      </c>
      <c r="AK1101" s="2">
        <v>180994.48781818699</v>
      </c>
      <c r="AL1101" s="2">
        <v>211932.942385259</v>
      </c>
      <c r="AM1101" s="2">
        <v>193879.40357864101</v>
      </c>
      <c r="AN1101" s="2">
        <v>155848.21532424301</v>
      </c>
      <c r="AO1101" s="2">
        <v>189646.92791274199</v>
      </c>
      <c r="AP1101" s="2">
        <v>132835.02516029801</v>
      </c>
    </row>
    <row r="1102" spans="1:42" ht="14.5" x14ac:dyDescent="0.35">
      <c r="A1102" s="2" t="s">
        <v>7518</v>
      </c>
      <c r="B1102" s="2">
        <v>373.12909886565598</v>
      </c>
      <c r="C1102" s="2">
        <v>5.3391000000000002</v>
      </c>
      <c r="D1102" s="2" t="s">
        <v>70</v>
      </c>
      <c r="E1102" s="2" t="s">
        <v>7519</v>
      </c>
      <c r="F1102" s="2">
        <v>35542</v>
      </c>
      <c r="G1102" s="3" t="str">
        <f>HYPERLINK("http://funmeta.oebiotech.com/network/35542", "http://funmeta.oebiotech.com/network/35542")</f>
        <v>http://funmeta.oebiotech.com/network/35542</v>
      </c>
      <c r="H1102" s="2"/>
      <c r="I1102" s="2"/>
      <c r="J1102" s="2" t="s">
        <v>7520</v>
      </c>
      <c r="K1102" s="2"/>
      <c r="L1102" s="2"/>
      <c r="M1102" s="2"/>
      <c r="N1102" s="2"/>
      <c r="O1102" s="2"/>
      <c r="P1102" s="2"/>
      <c r="Q1102" s="2" t="s">
        <v>7521</v>
      </c>
      <c r="R1102" s="2" t="s">
        <v>7522</v>
      </c>
      <c r="S1102" s="2" t="s">
        <v>89</v>
      </c>
      <c r="T1102" s="2" t="s">
        <v>90</v>
      </c>
      <c r="U1102" s="2" t="s">
        <v>91</v>
      </c>
      <c r="V1102" s="2" t="s">
        <v>42</v>
      </c>
      <c r="W1102" s="2">
        <v>52.4</v>
      </c>
      <c r="X1102" s="2">
        <v>68.3</v>
      </c>
      <c r="Y1102" s="2" t="s">
        <v>286</v>
      </c>
      <c r="Z1102" s="2" t="s">
        <v>7523</v>
      </c>
      <c r="AA1102" s="2">
        <v>-0.475080027381384</v>
      </c>
      <c r="AB1102" s="2">
        <v>0.68645454528540295</v>
      </c>
      <c r="AC1102" s="2">
        <v>69873.149785929607</v>
      </c>
      <c r="AD1102" s="2">
        <v>30278.9442296333</v>
      </c>
      <c r="AE1102" s="2">
        <v>90582.403205465002</v>
      </c>
      <c r="AF1102" s="2">
        <v>62621.5813411368</v>
      </c>
      <c r="AG1102" s="2">
        <v>110437.17595294199</v>
      </c>
      <c r="AH1102" s="2">
        <v>47869.4667933276</v>
      </c>
      <c r="AI1102" s="2">
        <v>48824.738071045198</v>
      </c>
      <c r="AJ1102" s="2">
        <v>58903.533351660903</v>
      </c>
      <c r="AK1102" s="2">
        <v>31626.814653635</v>
      </c>
      <c r="AL1102" s="2">
        <v>32288.039216001602</v>
      </c>
      <c r="AM1102" s="2">
        <v>28726.369361689402</v>
      </c>
      <c r="AN1102" s="2">
        <v>30926.4586350219</v>
      </c>
      <c r="AO1102" s="2">
        <v>27941.510081054701</v>
      </c>
      <c r="AP1102" s="2">
        <v>30164.473430397</v>
      </c>
    </row>
    <row r="1103" spans="1:42" ht="14.5" x14ac:dyDescent="0.35">
      <c r="A1103" s="2" t="s">
        <v>7524</v>
      </c>
      <c r="B1103" s="2">
        <v>214.252777591431</v>
      </c>
      <c r="C1103" s="2">
        <v>8.91496666666667</v>
      </c>
      <c r="D1103" s="2" t="s">
        <v>34</v>
      </c>
      <c r="E1103" s="2" t="s">
        <v>7525</v>
      </c>
      <c r="F1103" s="2">
        <v>212323</v>
      </c>
      <c r="G1103" s="3" t="str">
        <f>HYPERLINK("http://funmeta.oebiotech.com/network/212323", "http://funmeta.oebiotech.com/network/212323")</f>
        <v>http://funmeta.oebiotech.com/network/212323</v>
      </c>
      <c r="H1103" s="2" t="s">
        <v>7526</v>
      </c>
      <c r="I1103" s="2">
        <v>3313</v>
      </c>
      <c r="J1103" s="2"/>
      <c r="K1103" s="2"/>
      <c r="L1103" s="2"/>
      <c r="M1103" s="2"/>
      <c r="N1103" s="2"/>
      <c r="O1103" s="2">
        <v>16217</v>
      </c>
      <c r="P1103" s="2" t="s">
        <v>7527</v>
      </c>
      <c r="Q1103" s="2" t="s">
        <v>7528</v>
      </c>
      <c r="R1103" s="2" t="s">
        <v>7529</v>
      </c>
      <c r="S1103" s="2" t="s">
        <v>1677</v>
      </c>
      <c r="T1103" s="2" t="s">
        <v>1678</v>
      </c>
      <c r="U1103" s="2" t="s">
        <v>1679</v>
      </c>
      <c r="V1103" s="2" t="s">
        <v>59</v>
      </c>
      <c r="W1103" s="2">
        <v>39.700000000000003</v>
      </c>
      <c r="X1103" s="2">
        <v>1.99</v>
      </c>
      <c r="Y1103" s="2" t="s">
        <v>394</v>
      </c>
      <c r="Z1103" s="2" t="s">
        <v>7530</v>
      </c>
      <c r="AA1103" s="2">
        <v>-0.69797221539231002</v>
      </c>
      <c r="AB1103" s="2">
        <v>0.68582153568173598</v>
      </c>
      <c r="AC1103" s="2">
        <v>77112.1125394587</v>
      </c>
      <c r="AD1103" s="2">
        <v>44310.522177808198</v>
      </c>
      <c r="AE1103" s="2">
        <v>82172.559259625603</v>
      </c>
      <c r="AF1103" s="2">
        <v>80893.003048844199</v>
      </c>
      <c r="AG1103" s="2">
        <v>83584.335639965197</v>
      </c>
      <c r="AH1103" s="2">
        <v>69738.483883495093</v>
      </c>
      <c r="AI1103" s="2">
        <v>79608.491272736894</v>
      </c>
      <c r="AJ1103" s="2">
        <v>66675.802132085402</v>
      </c>
      <c r="AK1103" s="2">
        <v>36688.569181651503</v>
      </c>
      <c r="AL1103" s="2">
        <v>52468.627285097602</v>
      </c>
      <c r="AM1103" s="2">
        <v>46744.294911223398</v>
      </c>
      <c r="AN1103" s="2">
        <v>44187.363343808996</v>
      </c>
      <c r="AO1103" s="2">
        <v>38216.4154683448</v>
      </c>
      <c r="AP1103" s="2">
        <v>47557.862876722698</v>
      </c>
    </row>
    <row r="1104" spans="1:42" ht="14.5" x14ac:dyDescent="0.35">
      <c r="A1104" s="2" t="s">
        <v>7531</v>
      </c>
      <c r="B1104" s="2">
        <v>491.227157079878</v>
      </c>
      <c r="C1104" s="2">
        <v>8.1570833333333308</v>
      </c>
      <c r="D1104" s="2" t="s">
        <v>34</v>
      </c>
      <c r="E1104" s="2" t="s">
        <v>7532</v>
      </c>
      <c r="F1104" s="2">
        <v>82108</v>
      </c>
      <c r="G1104" s="3" t="str">
        <f>HYPERLINK("http://funmeta.oebiotech.com/network/82108", "http://funmeta.oebiotech.com/network/82108")</f>
        <v>http://funmeta.oebiotech.com/network/82108</v>
      </c>
      <c r="H1104" s="2" t="s">
        <v>7533</v>
      </c>
      <c r="I1104" s="2"/>
      <c r="J1104" s="2"/>
      <c r="K1104" s="2"/>
      <c r="L1104" s="2"/>
      <c r="M1104" s="2"/>
      <c r="N1104" s="2"/>
      <c r="O1104" s="2">
        <v>131769834</v>
      </c>
      <c r="P1104" s="2"/>
      <c r="Q1104" s="2" t="s">
        <v>7534</v>
      </c>
      <c r="R1104" s="2" t="s">
        <v>7535</v>
      </c>
      <c r="S1104" s="2" t="s">
        <v>50</v>
      </c>
      <c r="T1104" s="2" t="s">
        <v>201</v>
      </c>
      <c r="U1104" s="2" t="s">
        <v>202</v>
      </c>
      <c r="V1104" s="2" t="s">
        <v>42</v>
      </c>
      <c r="W1104" s="2">
        <v>48.1</v>
      </c>
      <c r="X1104" s="2">
        <v>53.4</v>
      </c>
      <c r="Y1104" s="2" t="s">
        <v>266</v>
      </c>
      <c r="Z1104" s="2" t="s">
        <v>7536</v>
      </c>
      <c r="AA1104" s="2">
        <v>-0.82007733299758701</v>
      </c>
      <c r="AB1104" s="2">
        <v>0.68565160026065997</v>
      </c>
      <c r="AC1104" s="2">
        <v>39539.439949505897</v>
      </c>
      <c r="AD1104" s="2">
        <v>8114.8863785185004</v>
      </c>
      <c r="AE1104" s="2">
        <v>38751.006036253202</v>
      </c>
      <c r="AF1104" s="2">
        <v>39659.5809152859</v>
      </c>
      <c r="AG1104" s="2">
        <v>46033.9365180237</v>
      </c>
      <c r="AH1104" s="2">
        <v>37193.871144228302</v>
      </c>
      <c r="AI1104" s="2">
        <v>38594.670373030502</v>
      </c>
      <c r="AJ1104" s="2">
        <v>37003.574710214001</v>
      </c>
      <c r="AK1104" s="2">
        <v>14025.928406214</v>
      </c>
      <c r="AL1104" s="2">
        <v>5759.4603544444699</v>
      </c>
      <c r="AM1104" s="2">
        <v>10769.0523694892</v>
      </c>
      <c r="AN1104" s="2">
        <v>5351.0788474657502</v>
      </c>
      <c r="AO1104" s="2">
        <v>7562.8378888992402</v>
      </c>
      <c r="AP1104" s="2">
        <v>5220.9604045983597</v>
      </c>
    </row>
    <row r="1105" spans="1:42" ht="14.5" x14ac:dyDescent="0.35">
      <c r="A1105" s="2" t="s">
        <v>7537</v>
      </c>
      <c r="B1105" s="2">
        <v>451.12455430406499</v>
      </c>
      <c r="C1105" s="2">
        <v>5.8043833333333303</v>
      </c>
      <c r="D1105" s="2" t="s">
        <v>70</v>
      </c>
      <c r="E1105" s="2" t="s">
        <v>7538</v>
      </c>
      <c r="F1105" s="2">
        <v>28845</v>
      </c>
      <c r="G1105" s="3" t="str">
        <f>HYPERLINK("http://funmeta.oebiotech.com/network/28845", "http://funmeta.oebiotech.com/network/28845")</f>
        <v>http://funmeta.oebiotech.com/network/28845</v>
      </c>
      <c r="H1105" s="2"/>
      <c r="I1105" s="2"/>
      <c r="J1105" s="2" t="s">
        <v>7539</v>
      </c>
      <c r="K1105" s="2"/>
      <c r="L1105" s="2"/>
      <c r="M1105" s="2"/>
      <c r="N1105" s="2"/>
      <c r="O1105" s="2">
        <v>44257056</v>
      </c>
      <c r="P1105" s="2"/>
      <c r="Q1105" s="2" t="s">
        <v>7540</v>
      </c>
      <c r="R1105" s="2" t="s">
        <v>7541</v>
      </c>
      <c r="S1105" s="2" t="s">
        <v>115</v>
      </c>
      <c r="T1105" s="2" t="s">
        <v>139</v>
      </c>
      <c r="U1105" s="2" t="s">
        <v>140</v>
      </c>
      <c r="V1105" s="2" t="s">
        <v>59</v>
      </c>
      <c r="W1105" s="2">
        <v>42.9</v>
      </c>
      <c r="X1105" s="2">
        <v>16.8</v>
      </c>
      <c r="Y1105" s="2" t="s">
        <v>286</v>
      </c>
      <c r="Z1105" s="2" t="s">
        <v>7542</v>
      </c>
      <c r="AA1105" s="2">
        <v>-7.5955457519413502E-2</v>
      </c>
      <c r="AB1105" s="2">
        <v>0.68465612167579903</v>
      </c>
      <c r="AC1105" s="2">
        <v>85619.005767749302</v>
      </c>
      <c r="AD1105" s="2">
        <v>54025.6799831604</v>
      </c>
      <c r="AE1105" s="2">
        <v>85538.621402008997</v>
      </c>
      <c r="AF1105" s="2">
        <v>77714.864014477294</v>
      </c>
      <c r="AG1105" s="2">
        <v>86400.129722820202</v>
      </c>
      <c r="AH1105" s="2">
        <v>92708.805984688093</v>
      </c>
      <c r="AI1105" s="2">
        <v>81578.950328959603</v>
      </c>
      <c r="AJ1105" s="2">
        <v>89772.663153541798</v>
      </c>
      <c r="AK1105" s="2">
        <v>52928.238411746999</v>
      </c>
      <c r="AL1105" s="2">
        <v>51532.065813491201</v>
      </c>
      <c r="AM1105" s="2">
        <v>56597.206248711802</v>
      </c>
      <c r="AN1105" s="2">
        <v>54991.799426651603</v>
      </c>
      <c r="AO1105" s="2">
        <v>55007.036604942499</v>
      </c>
      <c r="AP1105" s="2">
        <v>53097.733393418297</v>
      </c>
    </row>
    <row r="1106" spans="1:42" ht="14.5" x14ac:dyDescent="0.35">
      <c r="A1106" s="2" t="s">
        <v>7543</v>
      </c>
      <c r="B1106" s="2">
        <v>497.33432000564102</v>
      </c>
      <c r="C1106" s="2">
        <v>4.8087833333333299</v>
      </c>
      <c r="D1106" s="2" t="s">
        <v>70</v>
      </c>
      <c r="E1106" s="2" t="s">
        <v>7544</v>
      </c>
      <c r="F1106" s="2">
        <v>53137</v>
      </c>
      <c r="G1106" s="3" t="str">
        <f>HYPERLINK("http://funmeta.oebiotech.com/network/53137", "http://funmeta.oebiotech.com/network/53137")</f>
        <v>http://funmeta.oebiotech.com/network/53137</v>
      </c>
      <c r="H1106" s="2" t="s">
        <v>7545</v>
      </c>
      <c r="I1106" s="2">
        <v>44522</v>
      </c>
      <c r="J1106" s="2"/>
      <c r="K1106" s="2">
        <v>51211</v>
      </c>
      <c r="L1106" s="2"/>
      <c r="M1106" s="2"/>
      <c r="N1106" s="2"/>
      <c r="O1106" s="2">
        <v>2119</v>
      </c>
      <c r="P1106" s="2" t="s">
        <v>7546</v>
      </c>
      <c r="Q1106" s="2" t="s">
        <v>7547</v>
      </c>
      <c r="R1106" s="2" t="s">
        <v>7548</v>
      </c>
      <c r="S1106" s="2" t="s">
        <v>148</v>
      </c>
      <c r="T1106" s="2" t="s">
        <v>3772</v>
      </c>
      <c r="U1106" s="2" t="s">
        <v>41</v>
      </c>
      <c r="V1106" s="2" t="s">
        <v>59</v>
      </c>
      <c r="W1106" s="2">
        <v>36.4</v>
      </c>
      <c r="X1106" s="2">
        <v>0</v>
      </c>
      <c r="Y1106" s="2" t="s">
        <v>560</v>
      </c>
      <c r="Z1106" s="2" t="s">
        <v>7549</v>
      </c>
      <c r="AA1106" s="2">
        <v>-8.3506789260493992</v>
      </c>
      <c r="AB1106" s="2">
        <v>0.68446974170258601</v>
      </c>
      <c r="AC1106" s="2">
        <v>99539.090138362793</v>
      </c>
      <c r="AD1106" s="2">
        <v>135956.58551854399</v>
      </c>
      <c r="AE1106" s="2">
        <v>104783.039898501</v>
      </c>
      <c r="AF1106" s="2">
        <v>116274.123295115</v>
      </c>
      <c r="AG1106" s="2">
        <v>107844.377370663</v>
      </c>
      <c r="AH1106" s="2">
        <v>85878.573870307402</v>
      </c>
      <c r="AI1106" s="2">
        <v>86012.406053521801</v>
      </c>
      <c r="AJ1106" s="2">
        <v>96442.020342068601</v>
      </c>
      <c r="AK1106" s="2">
        <v>130815.62303933701</v>
      </c>
      <c r="AL1106" s="2">
        <v>159034.37584706399</v>
      </c>
      <c r="AM1106" s="2">
        <v>135366.59258564599</v>
      </c>
      <c r="AN1106" s="2">
        <v>125390.334447377</v>
      </c>
      <c r="AO1106" s="2">
        <v>128962.416414762</v>
      </c>
      <c r="AP1106" s="2">
        <v>136170.17077708099</v>
      </c>
    </row>
    <row r="1107" spans="1:42" ht="14.5" x14ac:dyDescent="0.35">
      <c r="A1107" s="2" t="s">
        <v>7550</v>
      </c>
      <c r="B1107" s="2">
        <v>543.16919052377295</v>
      </c>
      <c r="C1107" s="2">
        <v>4.25878333333333</v>
      </c>
      <c r="D1107" s="2" t="s">
        <v>70</v>
      </c>
      <c r="E1107" s="2" t="s">
        <v>7551</v>
      </c>
      <c r="F1107" s="2">
        <v>210554</v>
      </c>
      <c r="G1107" s="3" t="str">
        <f>HYPERLINK("http://funmeta.oebiotech.com/network/210554", "http://funmeta.oebiotech.com/network/210554")</f>
        <v>http://funmeta.oebiotech.com/network/210554</v>
      </c>
      <c r="H1107" s="2" t="s">
        <v>7552</v>
      </c>
      <c r="I1107" s="2"/>
      <c r="J1107" s="2"/>
      <c r="K1107" s="2"/>
      <c r="L1107" s="2"/>
      <c r="M1107" s="2"/>
      <c r="N1107" s="2"/>
      <c r="O1107" s="2">
        <v>12422</v>
      </c>
      <c r="P1107" s="2"/>
      <c r="Q1107" s="2" t="s">
        <v>7553</v>
      </c>
      <c r="R1107" s="2" t="s">
        <v>7554</v>
      </c>
      <c r="S1107" s="2" t="s">
        <v>50</v>
      </c>
      <c r="T1107" s="2" t="s">
        <v>124</v>
      </c>
      <c r="U1107" s="2" t="s">
        <v>929</v>
      </c>
      <c r="V1107" s="2" t="s">
        <v>59</v>
      </c>
      <c r="W1107" s="2">
        <v>44.8</v>
      </c>
      <c r="X1107" s="2">
        <v>37.4</v>
      </c>
      <c r="Y1107" s="2" t="s">
        <v>118</v>
      </c>
      <c r="Z1107" s="2" t="s">
        <v>7555</v>
      </c>
      <c r="AA1107" s="2">
        <v>-0.434870705487506</v>
      </c>
      <c r="AB1107" s="2">
        <v>0.68282667077598003</v>
      </c>
      <c r="AC1107" s="2">
        <v>160979.616126496</v>
      </c>
      <c r="AD1107" s="2">
        <v>126541.07614048901</v>
      </c>
      <c r="AE1107" s="2">
        <v>160326.89945056301</v>
      </c>
      <c r="AF1107" s="2">
        <v>162774.925148129</v>
      </c>
      <c r="AG1107" s="2">
        <v>170915.56006380299</v>
      </c>
      <c r="AH1107" s="2">
        <v>165459.34493510899</v>
      </c>
      <c r="AI1107" s="2">
        <v>145472.77962511801</v>
      </c>
      <c r="AJ1107" s="2">
        <v>160928.18753625199</v>
      </c>
      <c r="AK1107" s="2">
        <v>126356.698471913</v>
      </c>
      <c r="AL1107" s="2">
        <v>138670.206343661</v>
      </c>
      <c r="AM1107" s="2">
        <v>140098.608454562</v>
      </c>
      <c r="AN1107" s="2">
        <v>126354.481444302</v>
      </c>
      <c r="AO1107" s="2">
        <v>112619.74760928701</v>
      </c>
      <c r="AP1107" s="2">
        <v>115146.71451920801</v>
      </c>
    </row>
    <row r="1108" spans="1:42" ht="14.5" x14ac:dyDescent="0.35">
      <c r="A1108" s="2" t="s">
        <v>7556</v>
      </c>
      <c r="B1108" s="2">
        <v>523.29067832875501</v>
      </c>
      <c r="C1108" s="2">
        <v>5.4873666666666701</v>
      </c>
      <c r="D1108" s="2" t="s">
        <v>70</v>
      </c>
      <c r="E1108" s="2" t="s">
        <v>7557</v>
      </c>
      <c r="F1108" s="2">
        <v>205507</v>
      </c>
      <c r="G1108" s="3" t="str">
        <f>HYPERLINK("http://funmeta.oebiotech.com/network/205507", "http://funmeta.oebiotech.com/network/205507")</f>
        <v>http://funmeta.oebiotech.com/network/205507</v>
      </c>
      <c r="H1108" s="2" t="s">
        <v>7558</v>
      </c>
      <c r="I1108" s="2"/>
      <c r="J1108" s="2"/>
      <c r="K1108" s="2"/>
      <c r="L1108" s="2"/>
      <c r="M1108" s="2"/>
      <c r="N1108" s="2"/>
      <c r="O1108" s="2">
        <v>3612797</v>
      </c>
      <c r="P1108" s="2"/>
      <c r="Q1108" s="2" t="s">
        <v>7559</v>
      </c>
      <c r="R1108" s="2" t="s">
        <v>7560</v>
      </c>
      <c r="S1108" s="2" t="s">
        <v>41</v>
      </c>
      <c r="T1108" s="2" t="s">
        <v>41</v>
      </c>
      <c r="U1108" s="2" t="s">
        <v>41</v>
      </c>
      <c r="V1108" s="2" t="s">
        <v>59</v>
      </c>
      <c r="W1108" s="2">
        <v>43.4</v>
      </c>
      <c r="X1108" s="2">
        <v>27</v>
      </c>
      <c r="Y1108" s="2" t="s">
        <v>408</v>
      </c>
      <c r="Z1108" s="2" t="s">
        <v>7561</v>
      </c>
      <c r="AA1108" s="2">
        <v>4.4055110334919201</v>
      </c>
      <c r="AB1108" s="2">
        <v>0.68264451044394303</v>
      </c>
      <c r="AC1108" s="2">
        <v>48894.579021712401</v>
      </c>
      <c r="AD1108" s="2">
        <v>79920.993554445595</v>
      </c>
      <c r="AE1108" s="2">
        <v>49403.375016367201</v>
      </c>
      <c r="AF1108" s="2">
        <v>48902.019843676702</v>
      </c>
      <c r="AG1108" s="2">
        <v>48920.879431941197</v>
      </c>
      <c r="AH1108" s="2">
        <v>48254.336989577598</v>
      </c>
      <c r="AI1108" s="2">
        <v>49371.117521350803</v>
      </c>
      <c r="AJ1108" s="2">
        <v>48515.745327360601</v>
      </c>
      <c r="AK1108" s="2">
        <v>76862.984509280999</v>
      </c>
      <c r="AL1108" s="2">
        <v>79478.210567774106</v>
      </c>
      <c r="AM1108" s="2">
        <v>79083.759159491005</v>
      </c>
      <c r="AN1108" s="2">
        <v>75463.771151802299</v>
      </c>
      <c r="AO1108" s="2">
        <v>81805.988779335603</v>
      </c>
      <c r="AP1108" s="2">
        <v>86831.247158989296</v>
      </c>
    </row>
    <row r="1109" spans="1:42" ht="14.5" x14ac:dyDescent="0.35">
      <c r="A1109" s="2" t="s">
        <v>7562</v>
      </c>
      <c r="B1109" s="2">
        <v>504.337710218371</v>
      </c>
      <c r="C1109" s="2">
        <v>4.5143500000000003</v>
      </c>
      <c r="D1109" s="2" t="s">
        <v>34</v>
      </c>
      <c r="E1109" s="2" t="s">
        <v>7563</v>
      </c>
      <c r="F1109" s="2">
        <v>199425</v>
      </c>
      <c r="G1109" s="3" t="str">
        <f>HYPERLINK("http://funmeta.oebiotech.com/network/199425", "http://funmeta.oebiotech.com/network/199425")</f>
        <v>http://funmeta.oebiotech.com/network/199425</v>
      </c>
      <c r="H1109" s="2" t="s">
        <v>7564</v>
      </c>
      <c r="I1109" s="2">
        <v>24070</v>
      </c>
      <c r="J1109" s="2"/>
      <c r="K1109" s="2"/>
      <c r="L1109" s="2" t="s">
        <v>7565</v>
      </c>
      <c r="M1109" s="2"/>
      <c r="N1109" s="2"/>
      <c r="O1109" s="2">
        <v>3983</v>
      </c>
      <c r="P1109" s="2" t="s">
        <v>7566</v>
      </c>
      <c r="Q1109" s="2" t="s">
        <v>7567</v>
      </c>
      <c r="R1109" s="2" t="s">
        <v>7568</v>
      </c>
      <c r="S1109" s="2" t="s">
        <v>50</v>
      </c>
      <c r="T1109" s="2" t="s">
        <v>51</v>
      </c>
      <c r="U1109" s="2" t="s">
        <v>168</v>
      </c>
      <c r="V1109" s="2" t="s">
        <v>59</v>
      </c>
      <c r="W1109" s="2">
        <v>36.700000000000003</v>
      </c>
      <c r="X1109" s="2">
        <v>0</v>
      </c>
      <c r="Y1109" s="2" t="s">
        <v>323</v>
      </c>
      <c r="Z1109" s="2" t="s">
        <v>7569</v>
      </c>
      <c r="AA1109" s="2">
        <v>-9.8378512564914402</v>
      </c>
      <c r="AB1109" s="2">
        <v>0.68134568053043998</v>
      </c>
      <c r="AC1109" s="2">
        <v>43092.674638049197</v>
      </c>
      <c r="AD1109" s="2">
        <v>76023.373364860294</v>
      </c>
      <c r="AE1109" s="2">
        <v>49592.345183424899</v>
      </c>
      <c r="AF1109" s="2">
        <v>46075.943459862399</v>
      </c>
      <c r="AG1109" s="2">
        <v>43054.897495386198</v>
      </c>
      <c r="AH1109" s="2">
        <v>39314.583101578297</v>
      </c>
      <c r="AI1109" s="2">
        <v>44390.912364353098</v>
      </c>
      <c r="AJ1109" s="2">
        <v>36127.366223690398</v>
      </c>
      <c r="AK1109" s="2">
        <v>68315.105053878302</v>
      </c>
      <c r="AL1109" s="2">
        <v>83779.566233963997</v>
      </c>
      <c r="AM1109" s="2">
        <v>87564.264129279007</v>
      </c>
      <c r="AN1109" s="2">
        <v>64528.985210421801</v>
      </c>
      <c r="AO1109" s="2">
        <v>80299.227419814095</v>
      </c>
      <c r="AP1109" s="2">
        <v>71653.0921418043</v>
      </c>
    </row>
    <row r="1110" spans="1:42" ht="14.5" x14ac:dyDescent="0.35">
      <c r="A1110" s="2" t="s">
        <v>7570</v>
      </c>
      <c r="B1110" s="2">
        <v>685.22710435314696</v>
      </c>
      <c r="C1110" s="2">
        <v>5.2831999999999999</v>
      </c>
      <c r="D1110" s="2" t="s">
        <v>70</v>
      </c>
      <c r="E1110" s="2" t="s">
        <v>7571</v>
      </c>
      <c r="F1110" s="2">
        <v>8775</v>
      </c>
      <c r="G1110" s="3" t="str">
        <f>HYPERLINK("http://funmeta.oebiotech.com/network/8775", "http://funmeta.oebiotech.com/network/8775")</f>
        <v>http://funmeta.oebiotech.com/network/8775</v>
      </c>
      <c r="H1110" s="2"/>
      <c r="I1110" s="2"/>
      <c r="J1110" s="2" t="s">
        <v>7572</v>
      </c>
      <c r="K1110" s="2">
        <v>43012</v>
      </c>
      <c r="L1110" s="2"/>
      <c r="M1110" s="2"/>
      <c r="N1110" s="2"/>
      <c r="O1110" s="2">
        <v>444107</v>
      </c>
      <c r="P1110" s="2"/>
      <c r="Q1110" s="2" t="s">
        <v>7573</v>
      </c>
      <c r="R1110" s="2" t="s">
        <v>7574</v>
      </c>
      <c r="S1110" s="2" t="s">
        <v>148</v>
      </c>
      <c r="T1110" s="2" t="s">
        <v>149</v>
      </c>
      <c r="U1110" s="2" t="s">
        <v>7575</v>
      </c>
      <c r="V1110" s="2" t="s">
        <v>59</v>
      </c>
      <c r="W1110" s="2">
        <v>36.4</v>
      </c>
      <c r="X1110" s="2">
        <v>7.85E-2</v>
      </c>
      <c r="Y1110" s="2" t="s">
        <v>560</v>
      </c>
      <c r="Z1110" s="2" t="s">
        <v>7576</v>
      </c>
      <c r="AA1110" s="2">
        <v>-3.7411717041705099</v>
      </c>
      <c r="AB1110" s="2">
        <v>0.68115051402428495</v>
      </c>
      <c r="AC1110" s="2">
        <v>79347.698876814393</v>
      </c>
      <c r="AD1110" s="2">
        <v>48375.087234363004</v>
      </c>
      <c r="AE1110" s="2">
        <v>79390.029135239805</v>
      </c>
      <c r="AF1110" s="2">
        <v>77300.532393993999</v>
      </c>
      <c r="AG1110" s="2">
        <v>80963.257156248001</v>
      </c>
      <c r="AH1110" s="2">
        <v>81710.167039539694</v>
      </c>
      <c r="AI1110" s="2">
        <v>76746.267125390194</v>
      </c>
      <c r="AJ1110" s="2">
        <v>79975.940410474694</v>
      </c>
      <c r="AK1110" s="2">
        <v>48491.804448650299</v>
      </c>
      <c r="AL1110" s="2">
        <v>42678.597912476202</v>
      </c>
      <c r="AM1110" s="2">
        <v>50883.125338026402</v>
      </c>
      <c r="AN1110" s="2">
        <v>52982.605657936198</v>
      </c>
      <c r="AO1110" s="2">
        <v>50308.0138749865</v>
      </c>
      <c r="AP1110" s="2">
        <v>44906.376174102501</v>
      </c>
    </row>
    <row r="1111" spans="1:42" ht="14.5" x14ac:dyDescent="0.35">
      <c r="A1111" s="2" t="s">
        <v>7577</v>
      </c>
      <c r="B1111" s="2">
        <v>657.27561112853698</v>
      </c>
      <c r="C1111" s="2">
        <v>5.2079666666666702</v>
      </c>
      <c r="D1111" s="2" t="s">
        <v>70</v>
      </c>
      <c r="E1111" s="2" t="s">
        <v>7578</v>
      </c>
      <c r="F1111" s="2">
        <v>53017</v>
      </c>
      <c r="G1111" s="3" t="str">
        <f>HYPERLINK("http://funmeta.oebiotech.com/network/53017", "http://funmeta.oebiotech.com/network/53017")</f>
        <v>http://funmeta.oebiotech.com/network/53017</v>
      </c>
      <c r="H1111" s="2" t="s">
        <v>7579</v>
      </c>
      <c r="I1111" s="2">
        <v>1710</v>
      </c>
      <c r="J1111" s="2"/>
      <c r="K1111" s="2">
        <v>7936</v>
      </c>
      <c r="L1111" s="2" t="s">
        <v>7580</v>
      </c>
      <c r="M1111" s="2"/>
      <c r="N1111" s="2"/>
      <c r="O1111" s="2">
        <v>43815</v>
      </c>
      <c r="P1111" s="2" t="s">
        <v>7581</v>
      </c>
      <c r="Q1111" s="2" t="s">
        <v>7582</v>
      </c>
      <c r="R1111" s="2" t="s">
        <v>7583</v>
      </c>
      <c r="S1111" s="2" t="s">
        <v>491</v>
      </c>
      <c r="T1111" s="2" t="s">
        <v>7584</v>
      </c>
      <c r="U1111" s="2" t="s">
        <v>7585</v>
      </c>
      <c r="V1111" s="2" t="s">
        <v>59</v>
      </c>
      <c r="W1111" s="2">
        <v>41</v>
      </c>
      <c r="X1111" s="2">
        <v>17.3</v>
      </c>
      <c r="Y1111" s="2" t="s">
        <v>560</v>
      </c>
      <c r="Z1111" s="2" t="s">
        <v>7586</v>
      </c>
      <c r="AA1111" s="2">
        <v>-3.8826458165674298</v>
      </c>
      <c r="AB1111" s="2">
        <v>0.680668079840266</v>
      </c>
      <c r="AC1111" s="2">
        <v>402283.16903688799</v>
      </c>
      <c r="AD1111" s="2">
        <v>445648.86575142201</v>
      </c>
      <c r="AE1111" s="2">
        <v>427154.80313785397</v>
      </c>
      <c r="AF1111" s="2">
        <v>389370.21028501203</v>
      </c>
      <c r="AG1111" s="2">
        <v>380848.58557953301</v>
      </c>
      <c r="AH1111" s="2">
        <v>395802.11061321403</v>
      </c>
      <c r="AI1111" s="2">
        <v>378263.13059867301</v>
      </c>
      <c r="AJ1111" s="2">
        <v>442260.17400704097</v>
      </c>
      <c r="AK1111" s="2">
        <v>445177.78007743601</v>
      </c>
      <c r="AL1111" s="2">
        <v>451989.30077739101</v>
      </c>
      <c r="AM1111" s="2">
        <v>437333.70040342899</v>
      </c>
      <c r="AN1111" s="2">
        <v>484749.21775378298</v>
      </c>
      <c r="AO1111" s="2">
        <v>425408.46820823802</v>
      </c>
      <c r="AP1111" s="2">
        <v>429234.727288255</v>
      </c>
    </row>
    <row r="1112" spans="1:42" ht="14.5" x14ac:dyDescent="0.35">
      <c r="A1112" s="2" t="s">
        <v>7587</v>
      </c>
      <c r="B1112" s="2">
        <v>617.18586021048498</v>
      </c>
      <c r="C1112" s="2">
        <v>4.4289500000000004</v>
      </c>
      <c r="D1112" s="2" t="s">
        <v>34</v>
      </c>
      <c r="E1112" s="2" t="s">
        <v>7588</v>
      </c>
      <c r="F1112" s="2">
        <v>33807</v>
      </c>
      <c r="G1112" s="3" t="str">
        <f>HYPERLINK("http://funmeta.oebiotech.com/network/33807", "http://funmeta.oebiotech.com/network/33807")</f>
        <v>http://funmeta.oebiotech.com/network/33807</v>
      </c>
      <c r="H1112" s="2"/>
      <c r="I1112" s="2">
        <v>52119</v>
      </c>
      <c r="J1112" s="2" t="s">
        <v>7589</v>
      </c>
      <c r="K1112" s="2"/>
      <c r="L1112" s="2"/>
      <c r="M1112" s="2"/>
      <c r="N1112" s="2"/>
      <c r="O1112" s="2">
        <v>13870534</v>
      </c>
      <c r="P1112" s="2"/>
      <c r="Q1112" s="2" t="s">
        <v>7590</v>
      </c>
      <c r="R1112" s="2" t="s">
        <v>7591</v>
      </c>
      <c r="S1112" s="2" t="s">
        <v>115</v>
      </c>
      <c r="T1112" s="2" t="s">
        <v>139</v>
      </c>
      <c r="U1112" s="2" t="s">
        <v>140</v>
      </c>
      <c r="V1112" s="2" t="s">
        <v>42</v>
      </c>
      <c r="W1112" s="2">
        <v>53.9</v>
      </c>
      <c r="X1112" s="2">
        <v>79.5</v>
      </c>
      <c r="Y1112" s="2" t="s">
        <v>323</v>
      </c>
      <c r="Z1112" s="2" t="s">
        <v>7592</v>
      </c>
      <c r="AA1112" s="2">
        <v>3.00198873696396</v>
      </c>
      <c r="AB1112" s="2">
        <v>0.67916494136235395</v>
      </c>
      <c r="AC1112" s="2">
        <v>45908.305763681601</v>
      </c>
      <c r="AD1112" s="2">
        <v>14747.2329165392</v>
      </c>
      <c r="AE1112" s="2">
        <v>53475.330743233797</v>
      </c>
      <c r="AF1112" s="2">
        <v>42491.066988878199</v>
      </c>
      <c r="AG1112" s="2">
        <v>38911.239836333698</v>
      </c>
      <c r="AH1112" s="2">
        <v>46504.072042295898</v>
      </c>
      <c r="AI1112" s="2">
        <v>42306.978610143597</v>
      </c>
      <c r="AJ1112" s="2">
        <v>51761.146361204097</v>
      </c>
      <c r="AK1112" s="2">
        <v>14503.443257864499</v>
      </c>
      <c r="AL1112" s="2">
        <v>14030.169421357799</v>
      </c>
      <c r="AM1112" s="2">
        <v>16289.156468348499</v>
      </c>
      <c r="AN1112" s="2">
        <v>16789.011280020899</v>
      </c>
      <c r="AO1112" s="2">
        <v>13520.393097280699</v>
      </c>
      <c r="AP1112" s="2">
        <v>13351.2239743627</v>
      </c>
    </row>
    <row r="1113" spans="1:42" ht="14.5" x14ac:dyDescent="0.35">
      <c r="A1113" s="2" t="s">
        <v>7593</v>
      </c>
      <c r="B1113" s="2">
        <v>363.03326850202302</v>
      </c>
      <c r="C1113" s="2">
        <v>4.3823499999999997</v>
      </c>
      <c r="D1113" s="2" t="s">
        <v>70</v>
      </c>
      <c r="E1113" s="2" t="s">
        <v>7594</v>
      </c>
      <c r="F1113" s="2">
        <v>256950</v>
      </c>
      <c r="G1113" s="3" t="str">
        <f>HYPERLINK("http://funmeta.oebiotech.com/network/256950", "http://funmeta.oebiotech.com/network/256950")</f>
        <v>http://funmeta.oebiotech.com/network/256950</v>
      </c>
      <c r="H1113" s="2" t="s">
        <v>7595</v>
      </c>
      <c r="I1113" s="2">
        <v>63652</v>
      </c>
      <c r="J1113" s="2"/>
      <c r="K1113" s="2">
        <v>18069</v>
      </c>
      <c r="L1113" s="2" t="s">
        <v>7596</v>
      </c>
      <c r="M1113" s="2" t="s">
        <v>7597</v>
      </c>
      <c r="N1113" s="2" t="s">
        <v>7598</v>
      </c>
      <c r="O1113" s="2">
        <v>15942880</v>
      </c>
      <c r="P1113" s="2"/>
      <c r="Q1113" s="2" t="s">
        <v>7599</v>
      </c>
      <c r="R1113" s="2" t="s">
        <v>7600</v>
      </c>
      <c r="S1113" s="2" t="s">
        <v>79</v>
      </c>
      <c r="T1113" s="2" t="s">
        <v>80</v>
      </c>
      <c r="U1113" s="2" t="s">
        <v>81</v>
      </c>
      <c r="V1113" s="2" t="s">
        <v>59</v>
      </c>
      <c r="W1113" s="2">
        <v>43.8</v>
      </c>
      <c r="X1113" s="2">
        <v>24</v>
      </c>
      <c r="Y1113" s="2" t="s">
        <v>286</v>
      </c>
      <c r="Z1113" s="2" t="s">
        <v>7601</v>
      </c>
      <c r="AA1113" s="2">
        <v>-0.415973412705884</v>
      </c>
      <c r="AB1113" s="2">
        <v>0.67861346536697897</v>
      </c>
      <c r="AC1113" s="2">
        <v>51400.792579195899</v>
      </c>
      <c r="AD1113" s="2">
        <v>20972.732938388399</v>
      </c>
      <c r="AE1113" s="2">
        <v>52478.156969049</v>
      </c>
      <c r="AF1113" s="2">
        <v>49631.505548435998</v>
      </c>
      <c r="AG1113" s="2">
        <v>52490.716065747998</v>
      </c>
      <c r="AH1113" s="2">
        <v>50295.756982046099</v>
      </c>
      <c r="AI1113" s="2">
        <v>49833.593587748001</v>
      </c>
      <c r="AJ1113" s="2">
        <v>53675.026322148398</v>
      </c>
      <c r="AK1113" s="2">
        <v>20103.4182549824</v>
      </c>
      <c r="AL1113" s="2">
        <v>25580.807616914299</v>
      </c>
      <c r="AM1113" s="2">
        <v>20257.968564168601</v>
      </c>
      <c r="AN1113" s="2">
        <v>21254.1830279762</v>
      </c>
      <c r="AO1113" s="2">
        <v>17825.987078100701</v>
      </c>
      <c r="AP1113" s="2">
        <v>20814.033088188098</v>
      </c>
    </row>
    <row r="1114" spans="1:42" ht="14.5" x14ac:dyDescent="0.35">
      <c r="A1114" s="2" t="s">
        <v>7602</v>
      </c>
      <c r="B1114" s="2">
        <v>693.235950715679</v>
      </c>
      <c r="C1114" s="2">
        <v>3.9315333333333302</v>
      </c>
      <c r="D1114" s="2" t="s">
        <v>34</v>
      </c>
      <c r="E1114" s="2" t="s">
        <v>7603</v>
      </c>
      <c r="F1114" s="2">
        <v>257118</v>
      </c>
      <c r="G1114" s="3" t="str">
        <f>HYPERLINK("http://funmeta.oebiotech.com/network/257118", "http://funmeta.oebiotech.com/network/257118")</f>
        <v>http://funmeta.oebiotech.com/network/257118</v>
      </c>
      <c r="H1114" s="2" t="s">
        <v>7604</v>
      </c>
      <c r="I1114" s="2"/>
      <c r="J1114" s="2"/>
      <c r="K1114" s="2"/>
      <c r="L1114" s="2"/>
      <c r="M1114" s="2"/>
      <c r="N1114" s="2"/>
      <c r="O1114" s="2"/>
      <c r="P1114" s="2"/>
      <c r="Q1114" s="2" t="s">
        <v>7605</v>
      </c>
      <c r="R1114" s="2" t="s">
        <v>7606</v>
      </c>
      <c r="S1114" s="2" t="s">
        <v>115</v>
      </c>
      <c r="T1114" s="2" t="s">
        <v>575</v>
      </c>
      <c r="U1114" s="2" t="s">
        <v>576</v>
      </c>
      <c r="V1114" s="2" t="s">
        <v>42</v>
      </c>
      <c r="W1114" s="2">
        <v>47.4</v>
      </c>
      <c r="X1114" s="2">
        <v>48.2</v>
      </c>
      <c r="Y1114" s="2" t="s">
        <v>394</v>
      </c>
      <c r="Z1114" s="2" t="s">
        <v>5501</v>
      </c>
      <c r="AA1114" s="2">
        <v>-4.2773429156108804</v>
      </c>
      <c r="AB1114" s="2">
        <v>0.67845698569225099</v>
      </c>
      <c r="AC1114" s="2">
        <v>168848.68159619099</v>
      </c>
      <c r="AD1114" s="2">
        <v>134302.98006400099</v>
      </c>
      <c r="AE1114" s="2">
        <v>172934.976489455</v>
      </c>
      <c r="AF1114" s="2">
        <v>166825.32839019899</v>
      </c>
      <c r="AG1114" s="2">
        <v>187411.85042576</v>
      </c>
      <c r="AH1114" s="2">
        <v>153946.63331058601</v>
      </c>
      <c r="AI1114" s="2">
        <v>157077.15652514799</v>
      </c>
      <c r="AJ1114" s="2">
        <v>174896.14443599901</v>
      </c>
      <c r="AK1114" s="2">
        <v>117785.960676698</v>
      </c>
      <c r="AL1114" s="2">
        <v>133821.447044676</v>
      </c>
      <c r="AM1114" s="2">
        <v>142131.32452835899</v>
      </c>
      <c r="AN1114" s="2">
        <v>137753.90465352399</v>
      </c>
      <c r="AO1114" s="2">
        <v>140250.36386819699</v>
      </c>
      <c r="AP1114" s="2">
        <v>134074.87961255401</v>
      </c>
    </row>
    <row r="1115" spans="1:42" ht="14.5" x14ac:dyDescent="0.35">
      <c r="A1115" s="2" t="s">
        <v>7607</v>
      </c>
      <c r="B1115" s="2">
        <v>575.11924139401196</v>
      </c>
      <c r="C1115" s="2">
        <v>5.00538333333333</v>
      </c>
      <c r="D1115" s="2" t="s">
        <v>70</v>
      </c>
      <c r="E1115" s="2" t="s">
        <v>7608</v>
      </c>
      <c r="F1115" s="2">
        <v>30789</v>
      </c>
      <c r="G1115" s="3" t="str">
        <f>HYPERLINK("http://funmeta.oebiotech.com/network/30789", "http://funmeta.oebiotech.com/network/30789")</f>
        <v>http://funmeta.oebiotech.com/network/30789</v>
      </c>
      <c r="H1115" s="2"/>
      <c r="I1115" s="2"/>
      <c r="J1115" s="2" t="s">
        <v>7609</v>
      </c>
      <c r="K1115" s="2"/>
      <c r="L1115" s="2"/>
      <c r="M1115" s="2"/>
      <c r="N1115" s="2"/>
      <c r="O1115" s="2">
        <v>21721979</v>
      </c>
      <c r="P1115" s="2"/>
      <c r="Q1115" s="2" t="s">
        <v>7610</v>
      </c>
      <c r="R1115" s="2" t="s">
        <v>7611</v>
      </c>
      <c r="S1115" s="2" t="s">
        <v>115</v>
      </c>
      <c r="T1115" s="2" t="s">
        <v>139</v>
      </c>
      <c r="U1115" s="2" t="s">
        <v>140</v>
      </c>
      <c r="V1115" s="2" t="s">
        <v>42</v>
      </c>
      <c r="W1115" s="2">
        <v>51.8</v>
      </c>
      <c r="X1115" s="2">
        <v>62.7</v>
      </c>
      <c r="Y1115" s="2" t="s">
        <v>751</v>
      </c>
      <c r="Z1115" s="2" t="s">
        <v>7297</v>
      </c>
      <c r="AA1115" s="2">
        <v>-0.434872663721111</v>
      </c>
      <c r="AB1115" s="2">
        <v>0.67770986930643795</v>
      </c>
      <c r="AC1115" s="2">
        <v>40937.775758124801</v>
      </c>
      <c r="AD1115" s="2">
        <v>9701.5004874765891</v>
      </c>
      <c r="AE1115" s="2">
        <v>50402.438897894099</v>
      </c>
      <c r="AF1115" s="2">
        <v>40704.0160995857</v>
      </c>
      <c r="AG1115" s="2">
        <v>33815.200300999801</v>
      </c>
      <c r="AH1115" s="2">
        <v>46455.132615893002</v>
      </c>
      <c r="AI1115" s="2">
        <v>39946.759440893497</v>
      </c>
      <c r="AJ1115" s="2">
        <v>34303.107193482501</v>
      </c>
      <c r="AK1115" s="2">
        <v>9441.4109546663294</v>
      </c>
      <c r="AL1115" s="2">
        <v>10581.286736958</v>
      </c>
      <c r="AM1115" s="2">
        <v>8527.8661800208301</v>
      </c>
      <c r="AN1115" s="2">
        <v>10452.9774033049</v>
      </c>
      <c r="AO1115" s="2">
        <v>9327.5626084745199</v>
      </c>
      <c r="AP1115" s="2">
        <v>9877.8990414349391</v>
      </c>
    </row>
    <row r="1116" spans="1:42" ht="14.5" x14ac:dyDescent="0.35">
      <c r="A1116" s="2" t="s">
        <v>7612</v>
      </c>
      <c r="B1116" s="2">
        <v>307.17365558342698</v>
      </c>
      <c r="C1116" s="2">
        <v>4.7703833333333296</v>
      </c>
      <c r="D1116" s="2" t="s">
        <v>34</v>
      </c>
      <c r="E1116" s="2" t="s">
        <v>7613</v>
      </c>
      <c r="F1116" s="2">
        <v>48596</v>
      </c>
      <c r="G1116" s="3" t="str">
        <f>HYPERLINK("http://funmeta.oebiotech.com/network/48596", "http://funmeta.oebiotech.com/network/48596")</f>
        <v>http://funmeta.oebiotech.com/network/48596</v>
      </c>
      <c r="H1116" s="2" t="s">
        <v>7614</v>
      </c>
      <c r="I1116" s="2">
        <v>58299</v>
      </c>
      <c r="J1116" s="2"/>
      <c r="K1116" s="2">
        <v>259663</v>
      </c>
      <c r="L1116" s="2"/>
      <c r="M1116" s="2"/>
      <c r="N1116" s="2"/>
      <c r="O1116" s="2">
        <v>92910</v>
      </c>
      <c r="P1116" s="2" t="s">
        <v>7615</v>
      </c>
      <c r="Q1116" s="2" t="s">
        <v>7616</v>
      </c>
      <c r="R1116" s="2" t="s">
        <v>7617</v>
      </c>
      <c r="S1116" s="2" t="s">
        <v>89</v>
      </c>
      <c r="T1116" s="2" t="s">
        <v>90</v>
      </c>
      <c r="U1116" s="2" t="s">
        <v>99</v>
      </c>
      <c r="V1116" s="2" t="s">
        <v>59</v>
      </c>
      <c r="W1116" s="2">
        <v>41.7</v>
      </c>
      <c r="X1116" s="2">
        <v>20.3</v>
      </c>
      <c r="Y1116" s="2" t="s">
        <v>568</v>
      </c>
      <c r="Z1116" s="2" t="s">
        <v>7618</v>
      </c>
      <c r="AA1116" s="2">
        <v>-1.4277472808809499</v>
      </c>
      <c r="AB1116" s="2">
        <v>0.67752580336519097</v>
      </c>
      <c r="AC1116" s="2">
        <v>85629.820944830397</v>
      </c>
      <c r="AD1116" s="2">
        <v>122945.442400952</v>
      </c>
      <c r="AE1116" s="2">
        <v>73084.415736471798</v>
      </c>
      <c r="AF1116" s="2">
        <v>86068.714878265499</v>
      </c>
      <c r="AG1116" s="2">
        <v>90269.603204943895</v>
      </c>
      <c r="AH1116" s="2">
        <v>93819.952121337206</v>
      </c>
      <c r="AI1116" s="2">
        <v>97472.866199986805</v>
      </c>
      <c r="AJ1116" s="2">
        <v>73063.373527977004</v>
      </c>
      <c r="AK1116" s="2">
        <v>123207.786586363</v>
      </c>
      <c r="AL1116" s="2">
        <v>127416.75179379901</v>
      </c>
      <c r="AM1116" s="2">
        <v>155364.22308654999</v>
      </c>
      <c r="AN1116" s="2">
        <v>104306.48670194999</v>
      </c>
      <c r="AO1116" s="2">
        <v>105364.93656105</v>
      </c>
      <c r="AP1116" s="2">
        <v>122012.469676001</v>
      </c>
    </row>
    <row r="1117" spans="1:42" ht="14.5" x14ac:dyDescent="0.35">
      <c r="A1117" s="2" t="s">
        <v>7619</v>
      </c>
      <c r="B1117" s="2">
        <v>929.510733149413</v>
      </c>
      <c r="C1117" s="2">
        <v>11.8676833333333</v>
      </c>
      <c r="D1117" s="2" t="s">
        <v>70</v>
      </c>
      <c r="E1117" s="2" t="s">
        <v>7620</v>
      </c>
      <c r="F1117" s="2">
        <v>56518</v>
      </c>
      <c r="G1117" s="3" t="str">
        <f>HYPERLINK("http://funmeta.oebiotech.com/network/56518", "http://funmeta.oebiotech.com/network/56518")</f>
        <v>http://funmeta.oebiotech.com/network/56518</v>
      </c>
      <c r="H1117" s="2" t="s">
        <v>7621</v>
      </c>
      <c r="I1117" s="2"/>
      <c r="J1117" s="2"/>
      <c r="K1117" s="2"/>
      <c r="L1117" s="2"/>
      <c r="M1117" s="2"/>
      <c r="N1117" s="2"/>
      <c r="O1117" s="2">
        <v>131751249</v>
      </c>
      <c r="P1117" s="2" t="s">
        <v>7622</v>
      </c>
      <c r="Q1117" s="2" t="s">
        <v>7623</v>
      </c>
      <c r="R1117" s="2" t="s">
        <v>7624</v>
      </c>
      <c r="S1117" s="2" t="s">
        <v>50</v>
      </c>
      <c r="T1117" s="2" t="s">
        <v>201</v>
      </c>
      <c r="U1117" s="2" t="s">
        <v>210</v>
      </c>
      <c r="V1117" s="2" t="s">
        <v>59</v>
      </c>
      <c r="W1117" s="2">
        <v>37.9</v>
      </c>
      <c r="X1117" s="2">
        <v>0</v>
      </c>
      <c r="Y1117" s="2" t="s">
        <v>751</v>
      </c>
      <c r="Z1117" s="2" t="s">
        <v>7625</v>
      </c>
      <c r="AA1117" s="2">
        <v>-0.84980796962004501</v>
      </c>
      <c r="AB1117" s="2">
        <v>0.67752274108708799</v>
      </c>
      <c r="AC1117" s="2">
        <v>48110.032276142098</v>
      </c>
      <c r="AD1117" s="2">
        <v>79381.514670187302</v>
      </c>
      <c r="AE1117" s="2">
        <v>45735.858003624999</v>
      </c>
      <c r="AF1117" s="2">
        <v>45092.683417216103</v>
      </c>
      <c r="AG1117" s="2">
        <v>49570.034744594603</v>
      </c>
      <c r="AH1117" s="2">
        <v>45786.705740242702</v>
      </c>
      <c r="AI1117" s="2">
        <v>50154.598098433802</v>
      </c>
      <c r="AJ1117" s="2">
        <v>52320.313652740399</v>
      </c>
      <c r="AK1117" s="2">
        <v>73974.340984845898</v>
      </c>
      <c r="AL1117" s="2">
        <v>69685.683341947006</v>
      </c>
      <c r="AM1117" s="2">
        <v>83740.965655174499</v>
      </c>
      <c r="AN1117" s="2">
        <v>79704.616115119003</v>
      </c>
      <c r="AO1117" s="2">
        <v>86689.803367418805</v>
      </c>
      <c r="AP1117" s="2">
        <v>82493.678556618601</v>
      </c>
    </row>
    <row r="1118" spans="1:42" ht="14.5" x14ac:dyDescent="0.35">
      <c r="A1118" s="2" t="s">
        <v>7626</v>
      </c>
      <c r="B1118" s="2">
        <v>364.12483341521198</v>
      </c>
      <c r="C1118" s="2">
        <v>2.4821</v>
      </c>
      <c r="D1118" s="2" t="s">
        <v>70</v>
      </c>
      <c r="E1118" s="2" t="s">
        <v>7627</v>
      </c>
      <c r="F1118" s="2">
        <v>47892</v>
      </c>
      <c r="G1118" s="3" t="str">
        <f>HYPERLINK("http://funmeta.oebiotech.com/network/47892", "http://funmeta.oebiotech.com/network/47892")</f>
        <v>http://funmeta.oebiotech.com/network/47892</v>
      </c>
      <c r="H1118" s="2" t="s">
        <v>7628</v>
      </c>
      <c r="I1118" s="2">
        <v>58114</v>
      </c>
      <c r="J1118" s="2"/>
      <c r="K1118" s="2">
        <v>168691</v>
      </c>
      <c r="L1118" s="2"/>
      <c r="M1118" s="2"/>
      <c r="N1118" s="2"/>
      <c r="O1118" s="2">
        <v>22833593</v>
      </c>
      <c r="P1118" s="2" t="s">
        <v>7629</v>
      </c>
      <c r="Q1118" s="2" t="s">
        <v>7630</v>
      </c>
      <c r="R1118" s="2" t="s">
        <v>7631</v>
      </c>
      <c r="S1118" s="2" t="s">
        <v>79</v>
      </c>
      <c r="T1118" s="2" t="s">
        <v>80</v>
      </c>
      <c r="U1118" s="2" t="s">
        <v>81</v>
      </c>
      <c r="V1118" s="2" t="s">
        <v>42</v>
      </c>
      <c r="W1118" s="2">
        <v>49.2</v>
      </c>
      <c r="X1118" s="2">
        <v>51.3</v>
      </c>
      <c r="Y1118" s="2" t="s">
        <v>118</v>
      </c>
      <c r="Z1118" s="2" t="s">
        <v>7632</v>
      </c>
      <c r="AA1118" s="2">
        <v>-0.23577980509647101</v>
      </c>
      <c r="AB1118" s="2">
        <v>0.67716146154077606</v>
      </c>
      <c r="AC1118" s="2">
        <v>52413.308959912603</v>
      </c>
      <c r="AD1118" s="2">
        <v>83015.301380249395</v>
      </c>
      <c r="AE1118" s="2">
        <v>48219.062891605397</v>
      </c>
      <c r="AF1118" s="2">
        <v>54009.827740287801</v>
      </c>
      <c r="AG1118" s="2">
        <v>56423.162817392003</v>
      </c>
      <c r="AH1118" s="2">
        <v>50507.990312586502</v>
      </c>
      <c r="AI1118" s="2">
        <v>53159.920916533003</v>
      </c>
      <c r="AJ1118" s="2">
        <v>52159.889081070898</v>
      </c>
      <c r="AK1118" s="2">
        <v>86529.430681328595</v>
      </c>
      <c r="AL1118" s="2">
        <v>85423.512077109306</v>
      </c>
      <c r="AM1118" s="2">
        <v>83645.143643109695</v>
      </c>
      <c r="AN1118" s="2">
        <v>84341.465018038507</v>
      </c>
      <c r="AO1118" s="2">
        <v>78079.916718074805</v>
      </c>
      <c r="AP1118" s="2">
        <v>80072.340143835405</v>
      </c>
    </row>
    <row r="1119" spans="1:42" ht="14.5" x14ac:dyDescent="0.35">
      <c r="A1119" s="2" t="s">
        <v>7633</v>
      </c>
      <c r="B1119" s="2">
        <v>505.35051725776901</v>
      </c>
      <c r="C1119" s="2">
        <v>10.9451</v>
      </c>
      <c r="D1119" s="2" t="s">
        <v>34</v>
      </c>
      <c r="E1119" s="2" t="s">
        <v>7634</v>
      </c>
      <c r="F1119" s="2">
        <v>44183</v>
      </c>
      <c r="G1119" s="3" t="str">
        <f>HYPERLINK("http://funmeta.oebiotech.com/network/44183", "http://funmeta.oebiotech.com/network/44183")</f>
        <v>http://funmeta.oebiotech.com/network/44183</v>
      </c>
      <c r="H1119" s="2"/>
      <c r="I1119" s="2"/>
      <c r="J1119" s="2" t="s">
        <v>7635</v>
      </c>
      <c r="K1119" s="2"/>
      <c r="L1119" s="2"/>
      <c r="M1119" s="2"/>
      <c r="N1119" s="2"/>
      <c r="O1119" s="2">
        <v>21629557</v>
      </c>
      <c r="P1119" s="2"/>
      <c r="Q1119" s="2" t="s">
        <v>7636</v>
      </c>
      <c r="R1119" s="2" t="s">
        <v>7637</v>
      </c>
      <c r="S1119" s="2" t="s">
        <v>50</v>
      </c>
      <c r="T1119" s="2" t="s">
        <v>124</v>
      </c>
      <c r="U1119" s="2" t="s">
        <v>125</v>
      </c>
      <c r="V1119" s="2" t="s">
        <v>59</v>
      </c>
      <c r="W1119" s="2">
        <v>42</v>
      </c>
      <c r="X1119" s="2">
        <v>17.3</v>
      </c>
      <c r="Y1119" s="2" t="s">
        <v>323</v>
      </c>
      <c r="Z1119" s="2" t="s">
        <v>7638</v>
      </c>
      <c r="AA1119" s="2">
        <v>1.1552700367025699</v>
      </c>
      <c r="AB1119" s="2">
        <v>0.67688855022686201</v>
      </c>
      <c r="AC1119" s="2">
        <v>36873.986061532902</v>
      </c>
      <c r="AD1119" s="2">
        <v>67885.397344467405</v>
      </c>
      <c r="AE1119" s="2">
        <v>38601.948795336597</v>
      </c>
      <c r="AF1119" s="2">
        <v>35951.472898641397</v>
      </c>
      <c r="AG1119" s="2">
        <v>37941.891475825898</v>
      </c>
      <c r="AH1119" s="2">
        <v>35689.070477697998</v>
      </c>
      <c r="AI1119" s="2">
        <v>36150.4713120452</v>
      </c>
      <c r="AJ1119" s="2">
        <v>36909.061409650501</v>
      </c>
      <c r="AK1119" s="2">
        <v>74924.639992630502</v>
      </c>
      <c r="AL1119" s="2">
        <v>60710.426400967299</v>
      </c>
      <c r="AM1119" s="2">
        <v>72706.099498767406</v>
      </c>
      <c r="AN1119" s="2">
        <v>70252.885763621394</v>
      </c>
      <c r="AO1119" s="2">
        <v>60705.989685218803</v>
      </c>
      <c r="AP1119" s="2">
        <v>68012.342725599301</v>
      </c>
    </row>
    <row r="1120" spans="1:42" ht="14.5" x14ac:dyDescent="0.35">
      <c r="A1120" s="2" t="s">
        <v>7639</v>
      </c>
      <c r="B1120" s="2">
        <v>274.06802549898401</v>
      </c>
      <c r="C1120" s="2">
        <v>4.4609500000000004</v>
      </c>
      <c r="D1120" s="2" t="s">
        <v>34</v>
      </c>
      <c r="E1120" s="2" t="s">
        <v>7640</v>
      </c>
      <c r="F1120" s="2">
        <v>81794</v>
      </c>
      <c r="G1120" s="3" t="str">
        <f>HYPERLINK("http://funmeta.oebiotech.com/network/81794", "http://funmeta.oebiotech.com/network/81794")</f>
        <v>http://funmeta.oebiotech.com/network/81794</v>
      </c>
      <c r="H1120" s="2" t="s">
        <v>7641</v>
      </c>
      <c r="I1120" s="2">
        <v>65789</v>
      </c>
      <c r="J1120" s="2"/>
      <c r="K1120" s="2">
        <v>17691</v>
      </c>
      <c r="L1120" s="2" t="s">
        <v>7642</v>
      </c>
      <c r="M1120" s="2"/>
      <c r="N1120" s="2"/>
      <c r="O1120" s="2">
        <v>5280527</v>
      </c>
      <c r="P1120" s="2"/>
      <c r="Q1120" s="2" t="s">
        <v>7643</v>
      </c>
      <c r="R1120" s="2" t="s">
        <v>7644</v>
      </c>
      <c r="S1120" s="2" t="s">
        <v>89</v>
      </c>
      <c r="T1120" s="2" t="s">
        <v>90</v>
      </c>
      <c r="U1120" s="2" t="s">
        <v>99</v>
      </c>
      <c r="V1120" s="2" t="s">
        <v>59</v>
      </c>
      <c r="W1120" s="2">
        <v>42.9</v>
      </c>
      <c r="X1120" s="2">
        <v>22.3</v>
      </c>
      <c r="Y1120" s="2" t="s">
        <v>242</v>
      </c>
      <c r="Z1120" s="2" t="s">
        <v>7645</v>
      </c>
      <c r="AA1120" s="2">
        <v>-2.2610400852055901</v>
      </c>
      <c r="AB1120" s="2">
        <v>0.67686272482936605</v>
      </c>
      <c r="AC1120" s="2">
        <v>27142.388582000502</v>
      </c>
      <c r="AD1120" s="2">
        <v>57362.605859513002</v>
      </c>
      <c r="AE1120" s="2">
        <v>28635.9579510691</v>
      </c>
      <c r="AF1120" s="2">
        <v>28785.165904850601</v>
      </c>
      <c r="AG1120" s="2">
        <v>26304.674042233</v>
      </c>
      <c r="AH1120" s="2">
        <v>25221.866480884801</v>
      </c>
      <c r="AI1120" s="2">
        <v>26670.565165448999</v>
      </c>
      <c r="AJ1120" s="2">
        <v>27236.1019475168</v>
      </c>
      <c r="AK1120" s="2">
        <v>59099.092690493701</v>
      </c>
      <c r="AL1120" s="2">
        <v>55581.208455911103</v>
      </c>
      <c r="AM1120" s="2">
        <v>60246.306558639699</v>
      </c>
      <c r="AN1120" s="2">
        <v>57263.892221652699</v>
      </c>
      <c r="AO1120" s="2">
        <v>56712.604973875001</v>
      </c>
      <c r="AP1120" s="2">
        <v>55272.530256505997</v>
      </c>
    </row>
    <row r="1121" spans="1:42" ht="14.5" x14ac:dyDescent="0.35">
      <c r="A1121" s="2" t="s">
        <v>7646</v>
      </c>
      <c r="B1121" s="2">
        <v>311.07707588804197</v>
      </c>
      <c r="C1121" s="2">
        <v>3.82433333333333</v>
      </c>
      <c r="D1121" s="2" t="s">
        <v>70</v>
      </c>
      <c r="E1121" s="2" t="s">
        <v>7647</v>
      </c>
      <c r="F1121" s="2">
        <v>257383</v>
      </c>
      <c r="G1121" s="3" t="str">
        <f>HYPERLINK("http://funmeta.oebiotech.com/network/257383", "http://funmeta.oebiotech.com/network/257383")</f>
        <v>http://funmeta.oebiotech.com/network/257383</v>
      </c>
      <c r="H1121" s="2" t="s">
        <v>7648</v>
      </c>
      <c r="I1121" s="2"/>
      <c r="J1121" s="2"/>
      <c r="K1121" s="2"/>
      <c r="L1121" s="2"/>
      <c r="M1121" s="2"/>
      <c r="N1121" s="2"/>
      <c r="O1121" s="2">
        <v>11023363</v>
      </c>
      <c r="P1121" s="2"/>
      <c r="Q1121" s="2" t="s">
        <v>7649</v>
      </c>
      <c r="R1121" s="2" t="s">
        <v>7650</v>
      </c>
      <c r="S1121" s="2" t="s">
        <v>115</v>
      </c>
      <c r="T1121" s="2" t="s">
        <v>116</v>
      </c>
      <c r="U1121" s="2" t="s">
        <v>117</v>
      </c>
      <c r="V1121" s="2" t="s">
        <v>42</v>
      </c>
      <c r="W1121" s="2">
        <v>52.2</v>
      </c>
      <c r="X1121" s="2">
        <v>64.599999999999994</v>
      </c>
      <c r="Y1121" s="2" t="s">
        <v>498</v>
      </c>
      <c r="Z1121" s="2" t="s">
        <v>7651</v>
      </c>
      <c r="AA1121" s="2">
        <v>-0.52918215561292503</v>
      </c>
      <c r="AB1121" s="2">
        <v>0.67679389420501801</v>
      </c>
      <c r="AC1121" s="2">
        <v>537604.41040278296</v>
      </c>
      <c r="AD1121" s="2">
        <v>497675.19487066497</v>
      </c>
      <c r="AE1121" s="2">
        <v>541289.77882319596</v>
      </c>
      <c r="AF1121" s="2">
        <v>561937.06121559197</v>
      </c>
      <c r="AG1121" s="2">
        <v>526743.89232831297</v>
      </c>
      <c r="AH1121" s="2">
        <v>520203.75011318002</v>
      </c>
      <c r="AI1121" s="2">
        <v>532463.77290169999</v>
      </c>
      <c r="AJ1121" s="2">
        <v>542988.20703471603</v>
      </c>
      <c r="AK1121" s="2">
        <v>501114.81291725102</v>
      </c>
      <c r="AL1121" s="2">
        <v>525257.77036425006</v>
      </c>
      <c r="AM1121" s="2">
        <v>524142.35711371701</v>
      </c>
      <c r="AN1121" s="2">
        <v>483939.96704336698</v>
      </c>
      <c r="AO1121" s="2">
        <v>469761.31274973898</v>
      </c>
      <c r="AP1121" s="2">
        <v>481834.94903566898</v>
      </c>
    </row>
    <row r="1122" spans="1:42" ht="14.5" x14ac:dyDescent="0.35">
      <c r="A1122" s="2" t="s">
        <v>7652</v>
      </c>
      <c r="B1122" s="2">
        <v>889.58075696675803</v>
      </c>
      <c r="C1122" s="2">
        <v>4.7862166666666699</v>
      </c>
      <c r="D1122" s="2" t="s">
        <v>34</v>
      </c>
      <c r="E1122" s="2" t="s">
        <v>7653</v>
      </c>
      <c r="F1122" s="2">
        <v>83000</v>
      </c>
      <c r="G1122" s="3" t="str">
        <f>HYPERLINK("http://funmeta.oebiotech.com/network/83000", "http://funmeta.oebiotech.com/network/83000")</f>
        <v>http://funmeta.oebiotech.com/network/83000</v>
      </c>
      <c r="H1122" s="2" t="s">
        <v>7654</v>
      </c>
      <c r="I1122" s="2"/>
      <c r="J1122" s="2"/>
      <c r="K1122" s="2"/>
      <c r="L1122" s="2"/>
      <c r="M1122" s="2"/>
      <c r="N1122" s="2"/>
      <c r="O1122" s="2"/>
      <c r="P1122" s="2"/>
      <c r="Q1122" s="2" t="s">
        <v>7655</v>
      </c>
      <c r="R1122" s="2" t="s">
        <v>7656</v>
      </c>
      <c r="S1122" s="2" t="s">
        <v>50</v>
      </c>
      <c r="T1122" s="2" t="s">
        <v>51</v>
      </c>
      <c r="U1122" s="2" t="s">
        <v>168</v>
      </c>
      <c r="V1122" s="2" t="s">
        <v>59</v>
      </c>
      <c r="W1122" s="2">
        <v>38.5</v>
      </c>
      <c r="X1122" s="2">
        <v>0</v>
      </c>
      <c r="Y1122" s="2" t="s">
        <v>323</v>
      </c>
      <c r="Z1122" s="2" t="s">
        <v>7657</v>
      </c>
      <c r="AA1122" s="2">
        <v>0.49242417014735101</v>
      </c>
      <c r="AB1122" s="2">
        <v>0.67671296183813001</v>
      </c>
      <c r="AC1122" s="2">
        <v>42307.110069848401</v>
      </c>
      <c r="AD1122" s="2">
        <v>77022.037875082999</v>
      </c>
      <c r="AE1122" s="2">
        <v>43322.256198794501</v>
      </c>
      <c r="AF1122" s="2">
        <v>38543.950987947697</v>
      </c>
      <c r="AG1122" s="2">
        <v>35867.710808990298</v>
      </c>
      <c r="AH1122" s="2">
        <v>34799.462437826704</v>
      </c>
      <c r="AI1122" s="2">
        <v>49793.740583610801</v>
      </c>
      <c r="AJ1122" s="2">
        <v>51515.539401920498</v>
      </c>
      <c r="AK1122" s="2">
        <v>65625.199273542195</v>
      </c>
      <c r="AL1122" s="2">
        <v>92318.487929300099</v>
      </c>
      <c r="AM1122" s="2">
        <v>68785.233163829005</v>
      </c>
      <c r="AN1122" s="2">
        <v>62182.042694259602</v>
      </c>
      <c r="AO1122" s="2">
        <v>79112.255526511799</v>
      </c>
      <c r="AP1122" s="2">
        <v>94109.008663055007</v>
      </c>
    </row>
    <row r="1123" spans="1:42" ht="14.5" x14ac:dyDescent="0.35">
      <c r="A1123" s="2" t="s">
        <v>7658</v>
      </c>
      <c r="B1123" s="2">
        <v>644.30707142963399</v>
      </c>
      <c r="C1123" s="2">
        <v>4.7765333333333304</v>
      </c>
      <c r="D1123" s="2" t="s">
        <v>70</v>
      </c>
      <c r="E1123" s="2" t="s">
        <v>7659</v>
      </c>
      <c r="F1123" s="2">
        <v>258462</v>
      </c>
      <c r="G1123" s="3" t="str">
        <f>HYPERLINK("http://funmeta.oebiotech.com/network/258462", "http://funmeta.oebiotech.com/network/258462")</f>
        <v>http://funmeta.oebiotech.com/network/258462</v>
      </c>
      <c r="H1123" s="2" t="s">
        <v>7660</v>
      </c>
      <c r="I1123" s="2">
        <v>7050</v>
      </c>
      <c r="J1123" s="2"/>
      <c r="K1123" s="2"/>
      <c r="L1123" s="2" t="s">
        <v>7661</v>
      </c>
      <c r="M1123" s="2" t="s">
        <v>236</v>
      </c>
      <c r="N1123" s="2" t="s">
        <v>237</v>
      </c>
      <c r="O1123" s="2">
        <v>245005</v>
      </c>
      <c r="P1123" s="2" t="s">
        <v>7662</v>
      </c>
      <c r="Q1123" s="2" t="s">
        <v>7663</v>
      </c>
      <c r="R1123" s="2" t="s">
        <v>7664</v>
      </c>
      <c r="S1123" s="2" t="s">
        <v>50</v>
      </c>
      <c r="T1123" s="2" t="s">
        <v>201</v>
      </c>
      <c r="U1123" s="2" t="s">
        <v>241</v>
      </c>
      <c r="V1123" s="2" t="s">
        <v>59</v>
      </c>
      <c r="W1123" s="2">
        <v>39</v>
      </c>
      <c r="X1123" s="2">
        <v>0</v>
      </c>
      <c r="Y1123" s="2" t="s">
        <v>118</v>
      </c>
      <c r="Z1123" s="2" t="s">
        <v>3851</v>
      </c>
      <c r="AA1123" s="2">
        <v>-0.87316379262863997</v>
      </c>
      <c r="AB1123" s="2">
        <v>0.676120263481791</v>
      </c>
      <c r="AC1123" s="2">
        <v>82823.828236983798</v>
      </c>
      <c r="AD1123" s="2">
        <v>114806.034063759</v>
      </c>
      <c r="AE1123" s="2">
        <v>87397.092672723098</v>
      </c>
      <c r="AF1123" s="2">
        <v>80765.340945390504</v>
      </c>
      <c r="AG1123" s="2">
        <v>88542.915167646803</v>
      </c>
      <c r="AH1123" s="2">
        <v>83492.132100178002</v>
      </c>
      <c r="AI1123" s="2">
        <v>75444.080587215198</v>
      </c>
      <c r="AJ1123" s="2">
        <v>81301.407948749402</v>
      </c>
      <c r="AK1123" s="2">
        <v>118656.440669384</v>
      </c>
      <c r="AL1123" s="2">
        <v>102627.27725468999</v>
      </c>
      <c r="AM1123" s="2">
        <v>110727.963896159</v>
      </c>
      <c r="AN1123" s="2">
        <v>115171.30813040699</v>
      </c>
      <c r="AO1123" s="2">
        <v>125213.481042471</v>
      </c>
      <c r="AP1123" s="2">
        <v>116439.733389442</v>
      </c>
    </row>
    <row r="1124" spans="1:42" ht="14.5" x14ac:dyDescent="0.35">
      <c r="A1124" s="2" t="s">
        <v>7665</v>
      </c>
      <c r="B1124" s="2">
        <v>318.300144782242</v>
      </c>
      <c r="C1124" s="2">
        <v>9.52328333333333</v>
      </c>
      <c r="D1124" s="2" t="s">
        <v>34</v>
      </c>
      <c r="E1124" s="2" t="s">
        <v>7666</v>
      </c>
      <c r="F1124" s="2">
        <v>38925</v>
      </c>
      <c r="G1124" s="3" t="str">
        <f>HYPERLINK("http://funmeta.oebiotech.com/network/38925", "http://funmeta.oebiotech.com/network/38925")</f>
        <v>http://funmeta.oebiotech.com/network/38925</v>
      </c>
      <c r="H1124" s="2" t="s">
        <v>7667</v>
      </c>
      <c r="I1124" s="2">
        <v>7066</v>
      </c>
      <c r="J1124" s="2" t="s">
        <v>7668</v>
      </c>
      <c r="K1124" s="2">
        <v>46961</v>
      </c>
      <c r="L1124" s="2" t="s">
        <v>7669</v>
      </c>
      <c r="M1124" s="2" t="s">
        <v>688</v>
      </c>
      <c r="N1124" s="2" t="s">
        <v>689</v>
      </c>
      <c r="O1124" s="2">
        <v>122121</v>
      </c>
      <c r="P1124" s="2" t="s">
        <v>7670</v>
      </c>
      <c r="Q1124" s="2" t="s">
        <v>7671</v>
      </c>
      <c r="R1124" s="2" t="s">
        <v>7672</v>
      </c>
      <c r="S1124" s="2" t="s">
        <v>1677</v>
      </c>
      <c r="T1124" s="2" t="s">
        <v>1678</v>
      </c>
      <c r="U1124" s="2" t="s">
        <v>1679</v>
      </c>
      <c r="V1124" s="2" t="s">
        <v>42</v>
      </c>
      <c r="W1124" s="2">
        <v>54.5</v>
      </c>
      <c r="X1124" s="2">
        <v>76.2</v>
      </c>
      <c r="Y1124" s="2" t="s">
        <v>394</v>
      </c>
      <c r="Z1124" s="2" t="s">
        <v>7673</v>
      </c>
      <c r="AA1124" s="2">
        <v>-0.39636541188088298</v>
      </c>
      <c r="AB1124" s="2">
        <v>0.67586855380923305</v>
      </c>
      <c r="AC1124" s="2">
        <v>116780.501342473</v>
      </c>
      <c r="AD1124" s="2">
        <v>150539.39513108099</v>
      </c>
      <c r="AE1124" s="2">
        <v>126961.905664751</v>
      </c>
      <c r="AF1124" s="2">
        <v>116104.750400466</v>
      </c>
      <c r="AG1124" s="2">
        <v>117586.076698091</v>
      </c>
      <c r="AH1124" s="2">
        <v>105983.813889326</v>
      </c>
      <c r="AI1124" s="2">
        <v>104888.169617445</v>
      </c>
      <c r="AJ1124" s="2">
        <v>129158.291784756</v>
      </c>
      <c r="AK1124" s="2">
        <v>154114.201788776</v>
      </c>
      <c r="AL1124" s="2">
        <v>153537.57216433701</v>
      </c>
      <c r="AM1124" s="2">
        <v>140612.55535298001</v>
      </c>
      <c r="AN1124" s="2">
        <v>153269.762672588</v>
      </c>
      <c r="AO1124" s="2">
        <v>161508.96347354801</v>
      </c>
      <c r="AP1124" s="2">
        <v>140193.31533425901</v>
      </c>
    </row>
    <row r="1125" spans="1:42" ht="14.5" x14ac:dyDescent="0.35">
      <c r="A1125" s="2" t="s">
        <v>7674</v>
      </c>
      <c r="B1125" s="2">
        <v>315.10468783347</v>
      </c>
      <c r="C1125" s="2">
        <v>3.30925</v>
      </c>
      <c r="D1125" s="2" t="s">
        <v>34</v>
      </c>
      <c r="E1125" s="2" t="s">
        <v>7675</v>
      </c>
      <c r="F1125" s="2">
        <v>64368</v>
      </c>
      <c r="G1125" s="3" t="str">
        <f>HYPERLINK("http://funmeta.oebiotech.com/network/64368", "http://funmeta.oebiotech.com/network/64368")</f>
        <v>http://funmeta.oebiotech.com/network/64368</v>
      </c>
      <c r="H1125" s="2" t="s">
        <v>7676</v>
      </c>
      <c r="I1125" s="2">
        <v>95683</v>
      </c>
      <c r="J1125" s="2"/>
      <c r="K1125" s="2">
        <v>168720</v>
      </c>
      <c r="L1125" s="2"/>
      <c r="M1125" s="2"/>
      <c r="N1125" s="2"/>
      <c r="O1125" s="2">
        <v>14701560</v>
      </c>
      <c r="P1125" s="2"/>
      <c r="Q1125" s="2" t="s">
        <v>7677</v>
      </c>
      <c r="R1125" s="2" t="s">
        <v>7678</v>
      </c>
      <c r="S1125" s="2" t="s">
        <v>50</v>
      </c>
      <c r="T1125" s="2" t="s">
        <v>229</v>
      </c>
      <c r="U1125" s="2" t="s">
        <v>230</v>
      </c>
      <c r="V1125" s="2" t="s">
        <v>42</v>
      </c>
      <c r="W1125" s="2">
        <v>52</v>
      </c>
      <c r="X1125" s="2">
        <v>63.7</v>
      </c>
      <c r="Y1125" s="2" t="s">
        <v>323</v>
      </c>
      <c r="Z1125" s="2" t="s">
        <v>7679</v>
      </c>
      <c r="AA1125" s="2">
        <v>-1.19967625609172</v>
      </c>
      <c r="AB1125" s="2">
        <v>0.67539371147034399</v>
      </c>
      <c r="AC1125" s="2">
        <v>120265.38262021801</v>
      </c>
      <c r="AD1125" s="2">
        <v>151051.672945361</v>
      </c>
      <c r="AE1125" s="2">
        <v>113856.063819592</v>
      </c>
      <c r="AF1125" s="2">
        <v>122525.27063319201</v>
      </c>
      <c r="AG1125" s="2">
        <v>126919.37252566899</v>
      </c>
      <c r="AH1125" s="2">
        <v>113419.48105895901</v>
      </c>
      <c r="AI1125" s="2">
        <v>120041.123497608</v>
      </c>
      <c r="AJ1125" s="2">
        <v>124830.98418629001</v>
      </c>
      <c r="AK1125" s="2">
        <v>150355.556751778</v>
      </c>
      <c r="AL1125" s="2">
        <v>150246.76258020301</v>
      </c>
      <c r="AM1125" s="2">
        <v>152553.95498583399</v>
      </c>
      <c r="AN1125" s="2">
        <v>151217.02829001099</v>
      </c>
      <c r="AO1125" s="2">
        <v>151249.4938232</v>
      </c>
      <c r="AP1125" s="2">
        <v>150687.24124114201</v>
      </c>
    </row>
    <row r="1126" spans="1:42" ht="14.5" x14ac:dyDescent="0.35">
      <c r="A1126" s="2" t="s">
        <v>7680</v>
      </c>
      <c r="B1126" s="2">
        <v>619.30993223522796</v>
      </c>
      <c r="C1126" s="2">
        <v>6.8577833333333302</v>
      </c>
      <c r="D1126" s="2" t="s">
        <v>70</v>
      </c>
      <c r="E1126" s="2" t="s">
        <v>7681</v>
      </c>
      <c r="F1126" s="2">
        <v>255534</v>
      </c>
      <c r="G1126" s="3" t="str">
        <f>HYPERLINK("http://funmeta.oebiotech.com/network/255534", "http://funmeta.oebiotech.com/network/255534")</f>
        <v>http://funmeta.oebiotech.com/network/255534</v>
      </c>
      <c r="H1126" s="2" t="s">
        <v>7682</v>
      </c>
      <c r="I1126" s="2"/>
      <c r="J1126" s="2"/>
      <c r="K1126" s="2"/>
      <c r="L1126" s="2"/>
      <c r="M1126" s="2"/>
      <c r="N1126" s="2"/>
      <c r="O1126" s="2">
        <v>5903498</v>
      </c>
      <c r="P1126" s="2"/>
      <c r="Q1126" s="2" t="s">
        <v>7683</v>
      </c>
      <c r="R1126" s="2" t="s">
        <v>7684</v>
      </c>
      <c r="S1126" s="2" t="s">
        <v>50</v>
      </c>
      <c r="T1126" s="2" t="s">
        <v>124</v>
      </c>
      <c r="U1126" s="2" t="s">
        <v>3136</v>
      </c>
      <c r="V1126" s="2" t="s">
        <v>59</v>
      </c>
      <c r="W1126" s="2">
        <v>41.2</v>
      </c>
      <c r="X1126" s="2">
        <v>18</v>
      </c>
      <c r="Y1126" s="2" t="s">
        <v>408</v>
      </c>
      <c r="Z1126" s="2" t="s">
        <v>7685</v>
      </c>
      <c r="AA1126" s="2">
        <v>-4.2723758264951703</v>
      </c>
      <c r="AB1126" s="2">
        <v>0.67447226021818796</v>
      </c>
      <c r="AC1126" s="2">
        <v>45065.687679636903</v>
      </c>
      <c r="AD1126" s="2">
        <v>15036.311720297501</v>
      </c>
      <c r="AE1126" s="2">
        <v>43365.155056325602</v>
      </c>
      <c r="AF1126" s="2">
        <v>46936.585078215001</v>
      </c>
      <c r="AG1126" s="2">
        <v>46423.287758335398</v>
      </c>
      <c r="AH1126" s="2">
        <v>48087.618655525599</v>
      </c>
      <c r="AI1126" s="2">
        <v>43956.601691529897</v>
      </c>
      <c r="AJ1126" s="2">
        <v>41624.877837889697</v>
      </c>
      <c r="AK1126" s="2">
        <v>14082.8382053326</v>
      </c>
      <c r="AL1126" s="2">
        <v>14749.9744030863</v>
      </c>
      <c r="AM1126" s="2">
        <v>15821.9077275323</v>
      </c>
      <c r="AN1126" s="2">
        <v>14877.547473668899</v>
      </c>
      <c r="AO1126" s="2">
        <v>14002.4719890052</v>
      </c>
      <c r="AP1126" s="2">
        <v>16683.130523159602</v>
      </c>
    </row>
    <row r="1127" spans="1:42" ht="14.5" x14ac:dyDescent="0.35">
      <c r="A1127" s="2" t="s">
        <v>7686</v>
      </c>
      <c r="B1127" s="2">
        <v>685.41631851620002</v>
      </c>
      <c r="C1127" s="2">
        <v>11.3398</v>
      </c>
      <c r="D1127" s="2" t="s">
        <v>70</v>
      </c>
      <c r="E1127" s="2" t="s">
        <v>7687</v>
      </c>
      <c r="F1127" s="2">
        <v>293616</v>
      </c>
      <c r="G1127" s="3" t="str">
        <f>HYPERLINK("http://funmeta.oebiotech.com/network/293616", "http://funmeta.oebiotech.com/network/293616")</f>
        <v>http://funmeta.oebiotech.com/network/293616</v>
      </c>
      <c r="H1127" s="2"/>
      <c r="I1127" s="2">
        <v>317565</v>
      </c>
      <c r="J1127" s="2"/>
      <c r="K1127" s="2"/>
      <c r="L1127" s="2"/>
      <c r="M1127" s="2"/>
      <c r="N1127" s="2"/>
      <c r="O1127" s="2">
        <v>10132209</v>
      </c>
      <c r="P1127" s="2"/>
      <c r="Q1127" s="2" t="s">
        <v>7688</v>
      </c>
      <c r="R1127" s="2" t="s">
        <v>7689</v>
      </c>
      <c r="S1127" s="2" t="s">
        <v>491</v>
      </c>
      <c r="T1127" s="2" t="s">
        <v>5190</v>
      </c>
      <c r="U1127" s="2" t="s">
        <v>5191</v>
      </c>
      <c r="V1127" s="2" t="s">
        <v>59</v>
      </c>
      <c r="W1127" s="2">
        <v>37.700000000000003</v>
      </c>
      <c r="X1127" s="2">
        <v>0</v>
      </c>
      <c r="Y1127" s="2" t="s">
        <v>560</v>
      </c>
      <c r="Z1127" s="2" t="s">
        <v>7690</v>
      </c>
      <c r="AA1127" s="2">
        <v>-0.760406877982024</v>
      </c>
      <c r="AB1127" s="2">
        <v>0.67416528241293505</v>
      </c>
      <c r="AC1127" s="2">
        <v>4924.12677711376</v>
      </c>
      <c r="AD1127" s="2">
        <v>35021.372247273299</v>
      </c>
      <c r="AE1127" s="2">
        <v>4929.3280445194396</v>
      </c>
      <c r="AF1127" s="2">
        <v>4794.0621760037202</v>
      </c>
      <c r="AG1127" s="2">
        <v>5906.3568359537403</v>
      </c>
      <c r="AH1127" s="2">
        <v>5260.0218771296604</v>
      </c>
      <c r="AI1127" s="2">
        <v>3718.4002777618298</v>
      </c>
      <c r="AJ1127" s="2">
        <v>4936.5914513141597</v>
      </c>
      <c r="AK1127" s="2">
        <v>33852.4143579019</v>
      </c>
      <c r="AL1127" s="2">
        <v>34990.583236564897</v>
      </c>
      <c r="AM1127" s="2">
        <v>35148.294992201001</v>
      </c>
      <c r="AN1127" s="2">
        <v>35105.765835152</v>
      </c>
      <c r="AO1127" s="2">
        <v>30973.615362104701</v>
      </c>
      <c r="AP1127" s="2">
        <v>40057.559699715101</v>
      </c>
    </row>
    <row r="1128" spans="1:42" ht="14.5" x14ac:dyDescent="0.35">
      <c r="A1128" s="2" t="s">
        <v>7691</v>
      </c>
      <c r="B1128" s="2">
        <v>107.966666101695</v>
      </c>
      <c r="C1128" s="2">
        <v>13.0308166666667</v>
      </c>
      <c r="D1128" s="2" t="s">
        <v>34</v>
      </c>
      <c r="E1128" s="2" t="s">
        <v>7692</v>
      </c>
      <c r="F1128" s="2">
        <v>256393</v>
      </c>
      <c r="G1128" s="3" t="str">
        <f>HYPERLINK("http://funmeta.oebiotech.com/network/256393", "http://funmeta.oebiotech.com/network/256393")</f>
        <v>http://funmeta.oebiotech.com/network/256393</v>
      </c>
      <c r="H1128" s="2" t="s">
        <v>7693</v>
      </c>
      <c r="I1128" s="2"/>
      <c r="J1128" s="2"/>
      <c r="K1128" s="2">
        <v>63005</v>
      </c>
      <c r="L1128" s="2"/>
      <c r="M1128" s="2"/>
      <c r="N1128" s="2"/>
      <c r="O1128" s="2">
        <v>24268</v>
      </c>
      <c r="P1128" s="2"/>
      <c r="Q1128" s="2" t="s">
        <v>7694</v>
      </c>
      <c r="R1128" s="2" t="s">
        <v>7695</v>
      </c>
      <c r="S1128" s="2" t="s">
        <v>7696</v>
      </c>
      <c r="T1128" s="2" t="s">
        <v>7697</v>
      </c>
      <c r="U1128" s="2" t="s">
        <v>7698</v>
      </c>
      <c r="V1128" s="2" t="s">
        <v>59</v>
      </c>
      <c r="W1128" s="2">
        <v>39.4</v>
      </c>
      <c r="X1128" s="2">
        <v>0</v>
      </c>
      <c r="Y1128" s="2" t="s">
        <v>323</v>
      </c>
      <c r="Z1128" s="2" t="s">
        <v>7699</v>
      </c>
      <c r="AA1128" s="2">
        <v>-1.6677654592008699</v>
      </c>
      <c r="AB1128" s="2">
        <v>0.67410466601243502</v>
      </c>
      <c r="AC1128" s="2">
        <v>75834.459272572101</v>
      </c>
      <c r="AD1128" s="2">
        <v>44600.355248158703</v>
      </c>
      <c r="AE1128" s="2">
        <v>72067.355845347702</v>
      </c>
      <c r="AF1128" s="2">
        <v>81224.316193930601</v>
      </c>
      <c r="AG1128" s="2">
        <v>78981.1015312573</v>
      </c>
      <c r="AH1128" s="2">
        <v>73418.575012243804</v>
      </c>
      <c r="AI1128" s="2">
        <v>73714.639669935903</v>
      </c>
      <c r="AJ1128" s="2">
        <v>75600.767382717298</v>
      </c>
      <c r="AK1128" s="2">
        <v>32935.477976013099</v>
      </c>
      <c r="AL1128" s="2">
        <v>42441.511913592403</v>
      </c>
      <c r="AM1128" s="2">
        <v>43376.9344968894</v>
      </c>
      <c r="AN1128" s="2">
        <v>47895.544006736403</v>
      </c>
      <c r="AO1128" s="2">
        <v>50610.2864723538</v>
      </c>
      <c r="AP1128" s="2">
        <v>50342.376623366901</v>
      </c>
    </row>
    <row r="1129" spans="1:42" ht="14.5" x14ac:dyDescent="0.35">
      <c r="A1129" s="2" t="s">
        <v>7700</v>
      </c>
      <c r="B1129" s="2">
        <v>517.25897567522304</v>
      </c>
      <c r="C1129" s="2">
        <v>6.0108166666666696</v>
      </c>
      <c r="D1129" s="2" t="s">
        <v>70</v>
      </c>
      <c r="E1129" s="2" t="s">
        <v>7701</v>
      </c>
      <c r="F1129" s="2">
        <v>28063</v>
      </c>
      <c r="G1129" s="3" t="str">
        <f>HYPERLINK("http://funmeta.oebiotech.com/network/28063", "http://funmeta.oebiotech.com/network/28063")</f>
        <v>http://funmeta.oebiotech.com/network/28063</v>
      </c>
      <c r="H1129" s="2"/>
      <c r="I1129" s="2"/>
      <c r="J1129" s="2" t="s">
        <v>7702</v>
      </c>
      <c r="K1129" s="2"/>
      <c r="L1129" s="2"/>
      <c r="M1129" s="2"/>
      <c r="N1129" s="2"/>
      <c r="O1129" s="2">
        <v>134812508</v>
      </c>
      <c r="P1129" s="2"/>
      <c r="Q1129" s="2" t="s">
        <v>7703</v>
      </c>
      <c r="R1129" s="2" t="s">
        <v>7704</v>
      </c>
      <c r="S1129" s="2" t="s">
        <v>50</v>
      </c>
      <c r="T1129" s="2" t="s">
        <v>51</v>
      </c>
      <c r="U1129" s="2" t="s">
        <v>273</v>
      </c>
      <c r="V1129" s="2" t="s">
        <v>59</v>
      </c>
      <c r="W1129" s="2">
        <v>46.1</v>
      </c>
      <c r="X1129" s="2">
        <v>41.8</v>
      </c>
      <c r="Y1129" s="2" t="s">
        <v>751</v>
      </c>
      <c r="Z1129" s="2" t="s">
        <v>7705</v>
      </c>
      <c r="AA1129" s="2">
        <v>3.3239035171000499</v>
      </c>
      <c r="AB1129" s="2">
        <v>0.67351570467104904</v>
      </c>
      <c r="AC1129" s="2">
        <v>113325.061290019</v>
      </c>
      <c r="AD1129" s="2">
        <v>83063.966299844804</v>
      </c>
      <c r="AE1129" s="2">
        <v>117212.650494548</v>
      </c>
      <c r="AF1129" s="2">
        <v>108030.96484584799</v>
      </c>
      <c r="AG1129" s="2">
        <v>116136.564467655</v>
      </c>
      <c r="AH1129" s="2">
        <v>111832.335082622</v>
      </c>
      <c r="AI1129" s="2">
        <v>109461.232297611</v>
      </c>
      <c r="AJ1129" s="2">
        <v>117276.62055182899</v>
      </c>
      <c r="AK1129" s="2">
        <v>85135.143002672601</v>
      </c>
      <c r="AL1129" s="2">
        <v>83733.455289156394</v>
      </c>
      <c r="AM1129" s="2">
        <v>84489.403443090894</v>
      </c>
      <c r="AN1129" s="2">
        <v>83521.443875254801</v>
      </c>
      <c r="AO1129" s="2">
        <v>80237.992593682196</v>
      </c>
      <c r="AP1129" s="2">
        <v>81266.359595211805</v>
      </c>
    </row>
    <row r="1130" spans="1:42" ht="14.5" x14ac:dyDescent="0.35">
      <c r="A1130" s="2" t="s">
        <v>7706</v>
      </c>
      <c r="B1130" s="2">
        <v>810.40390892927803</v>
      </c>
      <c r="C1130" s="2">
        <v>8.5075833333333293</v>
      </c>
      <c r="D1130" s="2" t="s">
        <v>34</v>
      </c>
      <c r="E1130" s="2" t="s">
        <v>7707</v>
      </c>
      <c r="F1130" s="2">
        <v>208254</v>
      </c>
      <c r="G1130" s="3" t="str">
        <f>HYPERLINK("http://funmeta.oebiotech.com/network/208254", "http://funmeta.oebiotech.com/network/208254")</f>
        <v>http://funmeta.oebiotech.com/network/208254</v>
      </c>
      <c r="H1130" s="2" t="s">
        <v>7708</v>
      </c>
      <c r="I1130" s="2"/>
      <c r="J1130" s="2"/>
      <c r="K1130" s="2"/>
      <c r="L1130" s="2"/>
      <c r="M1130" s="2"/>
      <c r="N1130" s="2"/>
      <c r="O1130" s="2">
        <v>73981762</v>
      </c>
      <c r="P1130" s="2"/>
      <c r="Q1130" s="2" t="s">
        <v>7709</v>
      </c>
      <c r="R1130" s="2" t="s">
        <v>7710</v>
      </c>
      <c r="S1130" s="2" t="s">
        <v>79</v>
      </c>
      <c r="T1130" s="2" t="s">
        <v>80</v>
      </c>
      <c r="U1130" s="2" t="s">
        <v>81</v>
      </c>
      <c r="V1130" s="2" t="s">
        <v>59</v>
      </c>
      <c r="W1130" s="2">
        <v>37.4</v>
      </c>
      <c r="X1130" s="2">
        <v>0</v>
      </c>
      <c r="Y1130" s="2" t="s">
        <v>340</v>
      </c>
      <c r="Z1130" s="2" t="s">
        <v>7711</v>
      </c>
      <c r="AA1130" s="2">
        <v>0.31769927371881201</v>
      </c>
      <c r="AB1130" s="2">
        <v>0.67325528543790203</v>
      </c>
      <c r="AC1130" s="2">
        <v>90354.229904477805</v>
      </c>
      <c r="AD1130" s="2">
        <v>52215.505629450403</v>
      </c>
      <c r="AE1130" s="2">
        <v>83745.030822709494</v>
      </c>
      <c r="AF1130" s="2">
        <v>106565.52361432801</v>
      </c>
      <c r="AG1130" s="2">
        <v>84276.104453937805</v>
      </c>
      <c r="AH1130" s="2">
        <v>72998.416902087003</v>
      </c>
      <c r="AI1130" s="2">
        <v>70721.794541906696</v>
      </c>
      <c r="AJ1130" s="2">
        <v>123818.509091898</v>
      </c>
      <c r="AK1130" s="2">
        <v>44978.792055221798</v>
      </c>
      <c r="AL1130" s="2">
        <v>42140.052211850503</v>
      </c>
      <c r="AM1130" s="2">
        <v>56500.084071889098</v>
      </c>
      <c r="AN1130" s="2">
        <v>38345.103176989098</v>
      </c>
      <c r="AO1130" s="2">
        <v>61391.637129082701</v>
      </c>
      <c r="AP1130" s="2">
        <v>69937.365131669503</v>
      </c>
    </row>
    <row r="1131" spans="1:42" ht="14.5" x14ac:dyDescent="0.35">
      <c r="A1131" s="2" t="s">
        <v>7712</v>
      </c>
      <c r="B1131" s="2">
        <v>377.14466666265201</v>
      </c>
      <c r="C1131" s="2">
        <v>4.2938999999999998</v>
      </c>
      <c r="D1131" s="2" t="s">
        <v>34</v>
      </c>
      <c r="E1131" s="2" t="s">
        <v>7713</v>
      </c>
      <c r="F1131" s="2">
        <v>46953</v>
      </c>
      <c r="G1131" s="3" t="str">
        <f>HYPERLINK("http://funmeta.oebiotech.com/network/46953", "http://funmeta.oebiotech.com/network/46953")</f>
        <v>http://funmeta.oebiotech.com/network/46953</v>
      </c>
      <c r="H1131" s="2" t="s">
        <v>7714</v>
      </c>
      <c r="I1131" s="2">
        <v>233</v>
      </c>
      <c r="J1131" s="2"/>
      <c r="K1131" s="2">
        <v>17015</v>
      </c>
      <c r="L1131" s="2" t="s">
        <v>7715</v>
      </c>
      <c r="M1131" s="2" t="s">
        <v>7716</v>
      </c>
      <c r="N1131" s="2" t="s">
        <v>7717</v>
      </c>
      <c r="O1131" s="2">
        <v>493570</v>
      </c>
      <c r="P1131" s="2" t="s">
        <v>7718</v>
      </c>
      <c r="Q1131" s="2" t="s">
        <v>7719</v>
      </c>
      <c r="R1131" s="2" t="s">
        <v>7720</v>
      </c>
      <c r="S1131" s="2" t="s">
        <v>491</v>
      </c>
      <c r="T1131" s="2" t="s">
        <v>4914</v>
      </c>
      <c r="U1131" s="2" t="s">
        <v>7721</v>
      </c>
      <c r="V1131" s="2" t="s">
        <v>59</v>
      </c>
      <c r="W1131" s="2">
        <v>40.5</v>
      </c>
      <c r="X1131" s="2">
        <v>12.4</v>
      </c>
      <c r="Y1131" s="2" t="s">
        <v>67</v>
      </c>
      <c r="Z1131" s="2" t="s">
        <v>7722</v>
      </c>
      <c r="AA1131" s="2">
        <v>-2.3771770779083599</v>
      </c>
      <c r="AB1131" s="2">
        <v>0.67287806315976795</v>
      </c>
      <c r="AC1131" s="2">
        <v>60769.262819777403</v>
      </c>
      <c r="AD1131" s="2">
        <v>30795.904265819499</v>
      </c>
      <c r="AE1131" s="2">
        <v>64402.561155899202</v>
      </c>
      <c r="AF1131" s="2">
        <v>58427.965549173801</v>
      </c>
      <c r="AG1131" s="2">
        <v>61477.264988814502</v>
      </c>
      <c r="AH1131" s="2">
        <v>61419.429908475897</v>
      </c>
      <c r="AI1131" s="2">
        <v>57088.937034618</v>
      </c>
      <c r="AJ1131" s="2">
        <v>61799.418281683298</v>
      </c>
      <c r="AK1131" s="2">
        <v>30817.879787614798</v>
      </c>
      <c r="AL1131" s="2">
        <v>30079.892534847499</v>
      </c>
      <c r="AM1131" s="2">
        <v>32744.346262786701</v>
      </c>
      <c r="AN1131" s="2">
        <v>29285.490113305601</v>
      </c>
      <c r="AO1131" s="2">
        <v>28010.7599515406</v>
      </c>
      <c r="AP1131" s="2">
        <v>33837.056944821903</v>
      </c>
    </row>
    <row r="1132" spans="1:42" ht="14.5" x14ac:dyDescent="0.35">
      <c r="A1132" s="2" t="s">
        <v>7723</v>
      </c>
      <c r="B1132" s="2">
        <v>941.39938509970204</v>
      </c>
      <c r="C1132" s="2">
        <v>9.3027999999999995</v>
      </c>
      <c r="D1132" s="2" t="s">
        <v>70</v>
      </c>
      <c r="E1132" s="2" t="s">
        <v>7724</v>
      </c>
      <c r="F1132" s="2">
        <v>27776</v>
      </c>
      <c r="G1132" s="3" t="str">
        <f>HYPERLINK("http://funmeta.oebiotech.com/network/27776", "http://funmeta.oebiotech.com/network/27776")</f>
        <v>http://funmeta.oebiotech.com/network/27776</v>
      </c>
      <c r="H1132" s="2"/>
      <c r="I1132" s="2"/>
      <c r="J1132" s="2" t="s">
        <v>7725</v>
      </c>
      <c r="K1132" s="2"/>
      <c r="L1132" s="2"/>
      <c r="M1132" s="2"/>
      <c r="N1132" s="2"/>
      <c r="O1132" s="2">
        <v>126457666</v>
      </c>
      <c r="P1132" s="2"/>
      <c r="Q1132" s="2" t="s">
        <v>7726</v>
      </c>
      <c r="R1132" s="2" t="s">
        <v>7727</v>
      </c>
      <c r="S1132" s="2" t="s">
        <v>50</v>
      </c>
      <c r="T1132" s="2" t="s">
        <v>51</v>
      </c>
      <c r="U1132" s="2" t="s">
        <v>52</v>
      </c>
      <c r="V1132" s="2" t="s">
        <v>59</v>
      </c>
      <c r="W1132" s="2">
        <v>44.7</v>
      </c>
      <c r="X1132" s="2">
        <v>31.2</v>
      </c>
      <c r="Y1132" s="2" t="s">
        <v>408</v>
      </c>
      <c r="Z1132" s="2" t="s">
        <v>7728</v>
      </c>
      <c r="AA1132" s="2">
        <v>-0.70085026661413097</v>
      </c>
      <c r="AB1132" s="2">
        <v>0.67196857731694404</v>
      </c>
      <c r="AC1132" s="2">
        <v>57172.299424262303</v>
      </c>
      <c r="AD1132" s="2">
        <v>27027.5989900397</v>
      </c>
      <c r="AE1132" s="2">
        <v>52792.7573405281</v>
      </c>
      <c r="AF1132" s="2">
        <v>54436.966610085699</v>
      </c>
      <c r="AG1132" s="2">
        <v>60267.820782906798</v>
      </c>
      <c r="AH1132" s="2">
        <v>62446.823215956101</v>
      </c>
      <c r="AI1132" s="2">
        <v>53736.237518726703</v>
      </c>
      <c r="AJ1132" s="2">
        <v>59353.191077370197</v>
      </c>
      <c r="AK1132" s="2">
        <v>26309.918458696699</v>
      </c>
      <c r="AL1132" s="2">
        <v>25151.244340020701</v>
      </c>
      <c r="AM1132" s="2">
        <v>30022.046979618899</v>
      </c>
      <c r="AN1132" s="2">
        <v>26209.244588521498</v>
      </c>
      <c r="AO1132" s="2">
        <v>25615.473948884501</v>
      </c>
      <c r="AP1132" s="2">
        <v>28857.665624496</v>
      </c>
    </row>
    <row r="1133" spans="1:42" ht="14.5" x14ac:dyDescent="0.35">
      <c r="A1133" s="2" t="s">
        <v>7729</v>
      </c>
      <c r="B1133" s="2">
        <v>555.29028415240703</v>
      </c>
      <c r="C1133" s="2">
        <v>6.4662166666666696</v>
      </c>
      <c r="D1133" s="2" t="s">
        <v>34</v>
      </c>
      <c r="E1133" s="2" t="s">
        <v>7730</v>
      </c>
      <c r="F1133" s="2">
        <v>59192</v>
      </c>
      <c r="G1133" s="3" t="str">
        <f>HYPERLINK("http://funmeta.oebiotech.com/network/59192", "http://funmeta.oebiotech.com/network/59192")</f>
        <v>http://funmeta.oebiotech.com/network/59192</v>
      </c>
      <c r="H1133" s="2" t="s">
        <v>7731</v>
      </c>
      <c r="I1133" s="2"/>
      <c r="J1133" s="2"/>
      <c r="K1133" s="2"/>
      <c r="L1133" s="2"/>
      <c r="M1133" s="2"/>
      <c r="N1133" s="2"/>
      <c r="O1133" s="2">
        <v>73657195</v>
      </c>
      <c r="P1133" s="2" t="s">
        <v>7732</v>
      </c>
      <c r="Q1133" s="2" t="s">
        <v>7733</v>
      </c>
      <c r="R1133" s="2" t="s">
        <v>7734</v>
      </c>
      <c r="S1133" s="2" t="s">
        <v>50</v>
      </c>
      <c r="T1133" s="2" t="s">
        <v>201</v>
      </c>
      <c r="U1133" s="2" t="s">
        <v>210</v>
      </c>
      <c r="V1133" s="2" t="s">
        <v>59</v>
      </c>
      <c r="W1133" s="2">
        <v>36.299999999999997</v>
      </c>
      <c r="X1133" s="2">
        <v>0</v>
      </c>
      <c r="Y1133" s="2" t="s">
        <v>67</v>
      </c>
      <c r="Z1133" s="2" t="s">
        <v>1049</v>
      </c>
      <c r="AA1133" s="2">
        <v>-4.7996952573906899</v>
      </c>
      <c r="AB1133" s="2">
        <v>0.67186263686571501</v>
      </c>
      <c r="AC1133" s="2">
        <v>32438.7388019262</v>
      </c>
      <c r="AD1133" s="2">
        <v>62760.152698239697</v>
      </c>
      <c r="AE1133" s="2">
        <v>29445.855544161899</v>
      </c>
      <c r="AF1133" s="2">
        <v>34855.086638700799</v>
      </c>
      <c r="AG1133" s="2">
        <v>32627.691390027201</v>
      </c>
      <c r="AH1133" s="2">
        <v>33944.257522700398</v>
      </c>
      <c r="AI1133" s="2">
        <v>30449.891125484301</v>
      </c>
      <c r="AJ1133" s="2">
        <v>33309.650590482401</v>
      </c>
      <c r="AK1133" s="2">
        <v>59745.591141333403</v>
      </c>
      <c r="AL1133" s="2">
        <v>68630.315096955703</v>
      </c>
      <c r="AM1133" s="2">
        <v>58252.824432459704</v>
      </c>
      <c r="AN1133" s="2">
        <v>58863.116256512301</v>
      </c>
      <c r="AO1133" s="2">
        <v>66627.256383802902</v>
      </c>
      <c r="AP1133" s="2">
        <v>64441.812878373901</v>
      </c>
    </row>
    <row r="1134" spans="1:42" ht="14.5" x14ac:dyDescent="0.35">
      <c r="A1134" s="2" t="s">
        <v>7735</v>
      </c>
      <c r="B1134" s="2">
        <v>945.64135540915004</v>
      </c>
      <c r="C1134" s="2">
        <v>10.7738333333333</v>
      </c>
      <c r="D1134" s="2" t="s">
        <v>34</v>
      </c>
      <c r="E1134" s="2" t="s">
        <v>7736</v>
      </c>
      <c r="F1134" s="2">
        <v>83002</v>
      </c>
      <c r="G1134" s="3" t="str">
        <f>HYPERLINK("http://funmeta.oebiotech.com/network/83002", "http://funmeta.oebiotech.com/network/83002")</f>
        <v>http://funmeta.oebiotech.com/network/83002</v>
      </c>
      <c r="H1134" s="2" t="s">
        <v>7737</v>
      </c>
      <c r="I1134" s="2"/>
      <c r="J1134" s="2"/>
      <c r="K1134" s="2"/>
      <c r="L1134" s="2"/>
      <c r="M1134" s="2"/>
      <c r="N1134" s="2"/>
      <c r="O1134" s="2">
        <v>272</v>
      </c>
      <c r="P1134" s="2"/>
      <c r="Q1134" s="2" t="s">
        <v>7738</v>
      </c>
      <c r="R1134" s="2" t="s">
        <v>7739</v>
      </c>
      <c r="S1134" s="2" t="s">
        <v>50</v>
      </c>
      <c r="T1134" s="2" t="s">
        <v>51</v>
      </c>
      <c r="U1134" s="2" t="s">
        <v>168</v>
      </c>
      <c r="V1134" s="2" t="s">
        <v>59</v>
      </c>
      <c r="W1134" s="2">
        <v>37.799999999999997</v>
      </c>
      <c r="X1134" s="2">
        <v>0</v>
      </c>
      <c r="Y1134" s="2" t="s">
        <v>568</v>
      </c>
      <c r="Z1134" s="2" t="s">
        <v>7740</v>
      </c>
      <c r="AA1134" s="2">
        <v>-1.7071234230099801</v>
      </c>
      <c r="AB1134" s="2">
        <v>0.67181318899236997</v>
      </c>
      <c r="AC1134" s="2">
        <v>16723.799464913202</v>
      </c>
      <c r="AD1134" s="2">
        <v>47495.226305832002</v>
      </c>
      <c r="AE1134" s="2">
        <v>14440.134453999701</v>
      </c>
      <c r="AF1134" s="2">
        <v>15791.7650572825</v>
      </c>
      <c r="AG1134" s="2">
        <v>15098.359532214999</v>
      </c>
      <c r="AH1134" s="2">
        <v>16815.058587134801</v>
      </c>
      <c r="AI1134" s="2">
        <v>16505.388771822301</v>
      </c>
      <c r="AJ1134" s="2">
        <v>21692.0903870246</v>
      </c>
      <c r="AK1134" s="2">
        <v>38954.128120358597</v>
      </c>
      <c r="AL1134" s="2">
        <v>45228.823649105798</v>
      </c>
      <c r="AM1134" s="2">
        <v>45578.6000601716</v>
      </c>
      <c r="AN1134" s="2">
        <v>49372.088207430701</v>
      </c>
      <c r="AO1134" s="2">
        <v>58366.556219530103</v>
      </c>
      <c r="AP1134" s="2">
        <v>47471.161578395302</v>
      </c>
    </row>
    <row r="1135" spans="1:42" ht="14.5" x14ac:dyDescent="0.35">
      <c r="A1135" s="2" t="s">
        <v>7741</v>
      </c>
      <c r="B1135" s="2">
        <v>523.21851843529703</v>
      </c>
      <c r="C1135" s="2">
        <v>4.5612000000000004</v>
      </c>
      <c r="D1135" s="2" t="s">
        <v>70</v>
      </c>
      <c r="E1135" s="2" t="s">
        <v>7742</v>
      </c>
      <c r="F1135" s="2">
        <v>59464</v>
      </c>
      <c r="G1135" s="3" t="str">
        <f>HYPERLINK("http://funmeta.oebiotech.com/network/59464", "http://funmeta.oebiotech.com/network/59464")</f>
        <v>http://funmeta.oebiotech.com/network/59464</v>
      </c>
      <c r="H1135" s="2" t="s">
        <v>7743</v>
      </c>
      <c r="I1135" s="2"/>
      <c r="J1135" s="2"/>
      <c r="K1135" s="2"/>
      <c r="L1135" s="2" t="s">
        <v>7744</v>
      </c>
      <c r="M1135" s="2"/>
      <c r="N1135" s="2"/>
      <c r="O1135" s="2">
        <v>5088573</v>
      </c>
      <c r="P1135" s="2" t="s">
        <v>7745</v>
      </c>
      <c r="Q1135" s="2" t="s">
        <v>7746</v>
      </c>
      <c r="R1135" s="2" t="s">
        <v>7747</v>
      </c>
      <c r="S1135" s="2" t="s">
        <v>491</v>
      </c>
      <c r="T1135" s="2" t="s">
        <v>2943</v>
      </c>
      <c r="U1135" s="2" t="s">
        <v>41</v>
      </c>
      <c r="V1135" s="2" t="s">
        <v>42</v>
      </c>
      <c r="W1135" s="2">
        <v>54.9</v>
      </c>
      <c r="X1135" s="2">
        <v>77.400000000000006</v>
      </c>
      <c r="Y1135" s="2" t="s">
        <v>286</v>
      </c>
      <c r="Z1135" s="2" t="s">
        <v>3764</v>
      </c>
      <c r="AA1135" s="2">
        <v>6.2754674751204706E-2</v>
      </c>
      <c r="AB1135" s="2">
        <v>0.66994172005752595</v>
      </c>
      <c r="AC1135" s="2">
        <v>217152.885828978</v>
      </c>
      <c r="AD1135" s="2">
        <v>179981.87374268001</v>
      </c>
      <c r="AE1135" s="2">
        <v>237902.87992456401</v>
      </c>
      <c r="AF1135" s="2">
        <v>225077.992812985</v>
      </c>
      <c r="AG1135" s="2">
        <v>206814.964616593</v>
      </c>
      <c r="AH1135" s="2">
        <v>206482.35375818299</v>
      </c>
      <c r="AI1135" s="2">
        <v>218511.23998769699</v>
      </c>
      <c r="AJ1135" s="2">
        <v>208127.883873844</v>
      </c>
      <c r="AK1135" s="2">
        <v>185838.11075351099</v>
      </c>
      <c r="AL1135" s="2">
        <v>198227.36903117</v>
      </c>
      <c r="AM1135" s="2">
        <v>172902.89332494</v>
      </c>
      <c r="AN1135" s="2">
        <v>199328.76070868899</v>
      </c>
      <c r="AO1135" s="2">
        <v>150952.352135522</v>
      </c>
      <c r="AP1135" s="2">
        <v>172641.75650224599</v>
      </c>
    </row>
    <row r="1136" spans="1:42" ht="14.5" x14ac:dyDescent="0.35">
      <c r="A1136" s="2" t="s">
        <v>7748</v>
      </c>
      <c r="B1136" s="2">
        <v>135.11672679668999</v>
      </c>
      <c r="C1136" s="2">
        <v>4.64978333333333</v>
      </c>
      <c r="D1136" s="2" t="s">
        <v>34</v>
      </c>
      <c r="E1136" s="2" t="s">
        <v>7749</v>
      </c>
      <c r="F1136" s="2">
        <v>35356</v>
      </c>
      <c r="G1136" s="3" t="str">
        <f>HYPERLINK("http://funmeta.oebiotech.com/network/35356", "http://funmeta.oebiotech.com/network/35356")</f>
        <v>http://funmeta.oebiotech.com/network/35356</v>
      </c>
      <c r="H1136" s="2" t="s">
        <v>7750</v>
      </c>
      <c r="I1136" s="2">
        <v>41074</v>
      </c>
      <c r="J1136" s="2" t="s">
        <v>7751</v>
      </c>
      <c r="K1136" s="2">
        <v>10782</v>
      </c>
      <c r="L1136" s="2" t="s">
        <v>7752</v>
      </c>
      <c r="M1136" s="2" t="s">
        <v>7753</v>
      </c>
      <c r="N1136" s="2" t="s">
        <v>7754</v>
      </c>
      <c r="O1136" s="2">
        <v>369312</v>
      </c>
      <c r="P1136" s="2" t="s">
        <v>7755</v>
      </c>
      <c r="Q1136" s="2" t="s">
        <v>7756</v>
      </c>
      <c r="R1136" s="2" t="s">
        <v>7757</v>
      </c>
      <c r="S1136" s="2" t="s">
        <v>50</v>
      </c>
      <c r="T1136" s="2" t="s">
        <v>201</v>
      </c>
      <c r="U1136" s="2" t="s">
        <v>265</v>
      </c>
      <c r="V1136" s="2" t="s">
        <v>42</v>
      </c>
      <c r="W1136" s="2">
        <v>58.2</v>
      </c>
      <c r="X1136" s="2">
        <v>94.4</v>
      </c>
      <c r="Y1136" s="2" t="s">
        <v>266</v>
      </c>
      <c r="Z1136" s="2" t="s">
        <v>7758</v>
      </c>
      <c r="AA1136" s="2">
        <v>-0.65794053579591405</v>
      </c>
      <c r="AB1136" s="2">
        <v>0.66927734884120405</v>
      </c>
      <c r="AC1136" s="2">
        <v>123664.158100247</v>
      </c>
      <c r="AD1136" s="2">
        <v>153486.54179922701</v>
      </c>
      <c r="AE1136" s="2">
        <v>120231.62896496301</v>
      </c>
      <c r="AF1136" s="2">
        <v>127717.02602279501</v>
      </c>
      <c r="AG1136" s="2">
        <v>124255.976363671</v>
      </c>
      <c r="AH1136" s="2">
        <v>122747.772923164</v>
      </c>
      <c r="AI1136" s="2">
        <v>123825.47892604501</v>
      </c>
      <c r="AJ1136" s="2">
        <v>123207.065400844</v>
      </c>
      <c r="AK1136" s="2">
        <v>153967.76593105699</v>
      </c>
      <c r="AL1136" s="2">
        <v>151726.20648531101</v>
      </c>
      <c r="AM1136" s="2">
        <v>148805.785745923</v>
      </c>
      <c r="AN1136" s="2">
        <v>157093.78350852101</v>
      </c>
      <c r="AO1136" s="2">
        <v>152632.85053556401</v>
      </c>
      <c r="AP1136" s="2">
        <v>156692.858588984</v>
      </c>
    </row>
    <row r="1137" spans="1:42" ht="14.5" x14ac:dyDescent="0.35">
      <c r="A1137" s="2" t="s">
        <v>7759</v>
      </c>
      <c r="B1137" s="2">
        <v>395.19233562696598</v>
      </c>
      <c r="C1137" s="2">
        <v>4.0592666666666704</v>
      </c>
      <c r="D1137" s="2" t="s">
        <v>70</v>
      </c>
      <c r="E1137" s="2" t="s">
        <v>7760</v>
      </c>
      <c r="F1137" s="2">
        <v>58756</v>
      </c>
      <c r="G1137" s="3" t="str">
        <f>HYPERLINK("http://funmeta.oebiotech.com/network/58756", "http://funmeta.oebiotech.com/network/58756")</f>
        <v>http://funmeta.oebiotech.com/network/58756</v>
      </c>
      <c r="H1137" s="2" t="s">
        <v>7761</v>
      </c>
      <c r="I1137" s="2">
        <v>90206</v>
      </c>
      <c r="J1137" s="2"/>
      <c r="K1137" s="2">
        <v>168624</v>
      </c>
      <c r="L1137" s="2"/>
      <c r="M1137" s="2"/>
      <c r="N1137" s="2"/>
      <c r="O1137" s="2">
        <v>85216187</v>
      </c>
      <c r="P1137" s="2" t="s">
        <v>7762</v>
      </c>
      <c r="Q1137" s="2" t="s">
        <v>7763</v>
      </c>
      <c r="R1137" s="2" t="s">
        <v>7764</v>
      </c>
      <c r="S1137" s="2" t="s">
        <v>79</v>
      </c>
      <c r="T1137" s="2" t="s">
        <v>80</v>
      </c>
      <c r="U1137" s="2" t="s">
        <v>81</v>
      </c>
      <c r="V1137" s="2" t="s">
        <v>59</v>
      </c>
      <c r="W1137" s="2">
        <v>45.8</v>
      </c>
      <c r="X1137" s="2">
        <v>35.4</v>
      </c>
      <c r="Y1137" s="2" t="s">
        <v>408</v>
      </c>
      <c r="Z1137" s="2" t="s">
        <v>2579</v>
      </c>
      <c r="AA1137" s="2">
        <v>0.185149870654366</v>
      </c>
      <c r="AB1137" s="2">
        <v>0.66877663662776599</v>
      </c>
      <c r="AC1137" s="2">
        <v>42723.930073604999</v>
      </c>
      <c r="AD1137" s="2">
        <v>72621.259488062205</v>
      </c>
      <c r="AE1137" s="2">
        <v>45375.377972363298</v>
      </c>
      <c r="AF1137" s="2">
        <v>41760.790276330597</v>
      </c>
      <c r="AG1137" s="2">
        <v>42338.145781461302</v>
      </c>
      <c r="AH1137" s="2">
        <v>39196.685451656398</v>
      </c>
      <c r="AI1137" s="2">
        <v>43142.944437039201</v>
      </c>
      <c r="AJ1137" s="2">
        <v>44529.636522779001</v>
      </c>
      <c r="AK1137" s="2">
        <v>76614.635231944601</v>
      </c>
      <c r="AL1137" s="2">
        <v>72400.121465156306</v>
      </c>
      <c r="AM1137" s="2">
        <v>74322.686581428294</v>
      </c>
      <c r="AN1137" s="2">
        <v>68448.234669941696</v>
      </c>
      <c r="AO1137" s="2">
        <v>67795.749879000607</v>
      </c>
      <c r="AP1137" s="2">
        <v>76146.129100901599</v>
      </c>
    </row>
    <row r="1138" spans="1:42" ht="14.5" x14ac:dyDescent="0.35">
      <c r="A1138" s="2" t="s">
        <v>7765</v>
      </c>
      <c r="B1138" s="2">
        <v>661.33414578337602</v>
      </c>
      <c r="C1138" s="2">
        <v>7.9734333333333298</v>
      </c>
      <c r="D1138" s="2" t="s">
        <v>34</v>
      </c>
      <c r="E1138" s="2" t="s">
        <v>7766</v>
      </c>
      <c r="F1138" s="2">
        <v>28012</v>
      </c>
      <c r="G1138" s="3" t="str">
        <f>HYPERLINK("http://funmeta.oebiotech.com/network/28012", "http://funmeta.oebiotech.com/network/28012")</f>
        <v>http://funmeta.oebiotech.com/network/28012</v>
      </c>
      <c r="H1138" s="2"/>
      <c r="I1138" s="2"/>
      <c r="J1138" s="2" t="s">
        <v>7767</v>
      </c>
      <c r="K1138" s="2"/>
      <c r="L1138" s="2"/>
      <c r="M1138" s="2"/>
      <c r="N1138" s="2"/>
      <c r="O1138" s="2">
        <v>134812458</v>
      </c>
      <c r="P1138" s="2"/>
      <c r="Q1138" s="2" t="s">
        <v>7768</v>
      </c>
      <c r="R1138" s="2" t="s">
        <v>7769</v>
      </c>
      <c r="S1138" s="2" t="s">
        <v>50</v>
      </c>
      <c r="T1138" s="2" t="s">
        <v>51</v>
      </c>
      <c r="U1138" s="2" t="s">
        <v>738</v>
      </c>
      <c r="V1138" s="2" t="s">
        <v>59</v>
      </c>
      <c r="W1138" s="2">
        <v>43.2</v>
      </c>
      <c r="X1138" s="2">
        <v>22.8</v>
      </c>
      <c r="Y1138" s="2" t="s">
        <v>323</v>
      </c>
      <c r="Z1138" s="2" t="s">
        <v>7770</v>
      </c>
      <c r="AA1138" s="2">
        <v>2.8374627475102598</v>
      </c>
      <c r="AB1138" s="2">
        <v>0.667699461797572</v>
      </c>
      <c r="AC1138" s="2">
        <v>137488.0027368</v>
      </c>
      <c r="AD1138" s="2">
        <v>171977.23026514001</v>
      </c>
      <c r="AE1138" s="2">
        <v>146797.97598098801</v>
      </c>
      <c r="AF1138" s="2">
        <v>128520.93326788901</v>
      </c>
      <c r="AG1138" s="2">
        <v>143021.220559804</v>
      </c>
      <c r="AH1138" s="2">
        <v>138883.01740742099</v>
      </c>
      <c r="AI1138" s="2">
        <v>142129.81752836899</v>
      </c>
      <c r="AJ1138" s="2">
        <v>125575.05167632901</v>
      </c>
      <c r="AK1138" s="2">
        <v>162413.19535572399</v>
      </c>
      <c r="AL1138" s="2">
        <v>151594.90915936101</v>
      </c>
      <c r="AM1138" s="2">
        <v>181388.17673088901</v>
      </c>
      <c r="AN1138" s="2">
        <v>164348.283700481</v>
      </c>
      <c r="AO1138" s="2">
        <v>189405.96146312801</v>
      </c>
      <c r="AP1138" s="2">
        <v>182712.855181258</v>
      </c>
    </row>
    <row r="1139" spans="1:42" ht="14.5" x14ac:dyDescent="0.35">
      <c r="A1139" s="2" t="s">
        <v>7771</v>
      </c>
      <c r="B1139" s="2">
        <v>539.20568736916698</v>
      </c>
      <c r="C1139" s="2">
        <v>5.5245499999999996</v>
      </c>
      <c r="D1139" s="2" t="s">
        <v>70</v>
      </c>
      <c r="E1139" s="2" t="s">
        <v>7772</v>
      </c>
      <c r="F1139" s="2">
        <v>4535</v>
      </c>
      <c r="G1139" s="3" t="str">
        <f>HYPERLINK("http://funmeta.oebiotech.com/network/4535", "http://funmeta.oebiotech.com/network/4535")</f>
        <v>http://funmeta.oebiotech.com/network/4535</v>
      </c>
      <c r="H1139" s="2"/>
      <c r="I1139" s="2">
        <v>36417</v>
      </c>
      <c r="J1139" s="2" t="s">
        <v>7773</v>
      </c>
      <c r="K1139" s="2"/>
      <c r="L1139" s="2"/>
      <c r="M1139" s="2"/>
      <c r="N1139" s="2"/>
      <c r="O1139" s="2">
        <v>5283249</v>
      </c>
      <c r="P1139" s="2"/>
      <c r="Q1139" s="2" t="s">
        <v>7774</v>
      </c>
      <c r="R1139" s="2" t="s">
        <v>7775</v>
      </c>
      <c r="S1139" s="2" t="s">
        <v>50</v>
      </c>
      <c r="T1139" s="2" t="s">
        <v>229</v>
      </c>
      <c r="U1139" s="2" t="s">
        <v>766</v>
      </c>
      <c r="V1139" s="2" t="s">
        <v>59</v>
      </c>
      <c r="W1139" s="2">
        <v>44</v>
      </c>
      <c r="X1139" s="2">
        <v>26.7</v>
      </c>
      <c r="Y1139" s="2" t="s">
        <v>118</v>
      </c>
      <c r="Z1139" s="2" t="s">
        <v>7776</v>
      </c>
      <c r="AA1139" s="2">
        <v>0.65407310086571901</v>
      </c>
      <c r="AB1139" s="2">
        <v>0.66731201852710498</v>
      </c>
      <c r="AC1139" s="2">
        <v>45736.784105893603</v>
      </c>
      <c r="AD1139" s="2">
        <v>16349.072393882399</v>
      </c>
      <c r="AE1139" s="2">
        <v>48125.511313441399</v>
      </c>
      <c r="AF1139" s="2">
        <v>46391.924557462196</v>
      </c>
      <c r="AG1139" s="2">
        <v>43157.753288314299</v>
      </c>
      <c r="AH1139" s="2">
        <v>46553.200583479702</v>
      </c>
      <c r="AI1139" s="2">
        <v>45891.764292017397</v>
      </c>
      <c r="AJ1139" s="2">
        <v>44300.5506006469</v>
      </c>
      <c r="AK1139" s="2">
        <v>16709.883295994601</v>
      </c>
      <c r="AL1139" s="2">
        <v>14927.7826904621</v>
      </c>
      <c r="AM1139" s="2">
        <v>15660.3130247678</v>
      </c>
      <c r="AN1139" s="2">
        <v>16229.024166651699</v>
      </c>
      <c r="AO1139" s="2">
        <v>15115.4456517217</v>
      </c>
      <c r="AP1139" s="2">
        <v>19451.985533696501</v>
      </c>
    </row>
    <row r="1140" spans="1:42" ht="14.5" x14ac:dyDescent="0.35">
      <c r="A1140" s="2" t="s">
        <v>7777</v>
      </c>
      <c r="B1140" s="2">
        <v>763.42203173718303</v>
      </c>
      <c r="C1140" s="2">
        <v>10.490783333333299</v>
      </c>
      <c r="D1140" s="2" t="s">
        <v>34</v>
      </c>
      <c r="E1140" s="2" t="s">
        <v>7778</v>
      </c>
      <c r="F1140" s="2">
        <v>54535</v>
      </c>
      <c r="G1140" s="3" t="str">
        <f>HYPERLINK("http://funmeta.oebiotech.com/network/54535", "http://funmeta.oebiotech.com/network/54535")</f>
        <v>http://funmeta.oebiotech.com/network/54535</v>
      </c>
      <c r="H1140" s="2" t="s">
        <v>7779</v>
      </c>
      <c r="I1140" s="2">
        <v>86383</v>
      </c>
      <c r="J1140" s="2"/>
      <c r="K1140" s="2"/>
      <c r="L1140" s="2"/>
      <c r="M1140" s="2"/>
      <c r="N1140" s="2"/>
      <c r="O1140" s="2">
        <v>15609884</v>
      </c>
      <c r="P1140" s="2" t="s">
        <v>7780</v>
      </c>
      <c r="Q1140" s="2" t="s">
        <v>7781</v>
      </c>
      <c r="R1140" s="2" t="s">
        <v>7782</v>
      </c>
      <c r="S1140" s="2" t="s">
        <v>50</v>
      </c>
      <c r="T1140" s="2" t="s">
        <v>124</v>
      </c>
      <c r="U1140" s="2" t="s">
        <v>523</v>
      </c>
      <c r="V1140" s="2" t="s">
        <v>59</v>
      </c>
      <c r="W1140" s="2">
        <v>45.7</v>
      </c>
      <c r="X1140" s="2">
        <v>38</v>
      </c>
      <c r="Y1140" s="2" t="s">
        <v>323</v>
      </c>
      <c r="Z1140" s="2" t="s">
        <v>7783</v>
      </c>
      <c r="AA1140" s="2">
        <v>-2.5404665625331102</v>
      </c>
      <c r="AB1140" s="2">
        <v>0.66712242248197395</v>
      </c>
      <c r="AC1140" s="2">
        <v>34190.840455740399</v>
      </c>
      <c r="AD1140" s="2">
        <v>63747.062818107101</v>
      </c>
      <c r="AE1140" s="2">
        <v>31360.664704770199</v>
      </c>
      <c r="AF1140" s="2">
        <v>31974.454546463799</v>
      </c>
      <c r="AG1140" s="2">
        <v>36003.117854260199</v>
      </c>
      <c r="AH1140" s="2">
        <v>34475.922481148198</v>
      </c>
      <c r="AI1140" s="2">
        <v>34845.322526358199</v>
      </c>
      <c r="AJ1140" s="2">
        <v>36485.560621441902</v>
      </c>
      <c r="AK1140" s="2">
        <v>66472.344566971195</v>
      </c>
      <c r="AL1140" s="2">
        <v>62208.540667656896</v>
      </c>
      <c r="AM1140" s="2">
        <v>61086.949144815801</v>
      </c>
      <c r="AN1140" s="2">
        <v>63774.6710398219</v>
      </c>
      <c r="AO1140" s="2">
        <v>60965.196474835102</v>
      </c>
      <c r="AP1140" s="2">
        <v>67974.675014541906</v>
      </c>
    </row>
    <row r="1141" spans="1:42" ht="14.5" x14ac:dyDescent="0.35">
      <c r="A1141" s="2" t="s">
        <v>7784</v>
      </c>
      <c r="B1141" s="2">
        <v>547.21772188389696</v>
      </c>
      <c r="C1141" s="2">
        <v>6.0864833333333301</v>
      </c>
      <c r="D1141" s="2" t="s">
        <v>70</v>
      </c>
      <c r="E1141" s="2" t="s">
        <v>7785</v>
      </c>
      <c r="F1141" s="2">
        <v>59688</v>
      </c>
      <c r="G1141" s="3" t="str">
        <f>HYPERLINK("http://funmeta.oebiotech.com/network/59688", "http://funmeta.oebiotech.com/network/59688")</f>
        <v>http://funmeta.oebiotech.com/network/59688</v>
      </c>
      <c r="H1141" s="2" t="s">
        <v>7786</v>
      </c>
      <c r="I1141" s="2">
        <v>91074</v>
      </c>
      <c r="J1141" s="2"/>
      <c r="K1141" s="2"/>
      <c r="L1141" s="2"/>
      <c r="M1141" s="2"/>
      <c r="N1141" s="2"/>
      <c r="O1141" s="2">
        <v>14890283</v>
      </c>
      <c r="P1141" s="2" t="s">
        <v>7787</v>
      </c>
      <c r="Q1141" s="2" t="s">
        <v>7788</v>
      </c>
      <c r="R1141" s="2" t="s">
        <v>7789</v>
      </c>
      <c r="S1141" s="2" t="s">
        <v>50</v>
      </c>
      <c r="T1141" s="2" t="s">
        <v>124</v>
      </c>
      <c r="U1141" s="2" t="s">
        <v>567</v>
      </c>
      <c r="V1141" s="2" t="s">
        <v>59</v>
      </c>
      <c r="W1141" s="2">
        <v>45</v>
      </c>
      <c r="X1141" s="2">
        <v>31.6</v>
      </c>
      <c r="Y1141" s="2" t="s">
        <v>286</v>
      </c>
      <c r="Z1141" s="2" t="s">
        <v>1807</v>
      </c>
      <c r="AA1141" s="2">
        <v>-1.52055293137713</v>
      </c>
      <c r="AB1141" s="2">
        <v>0.66699781413653902</v>
      </c>
      <c r="AC1141" s="2">
        <v>57611.102620134901</v>
      </c>
      <c r="AD1141" s="2">
        <v>27555.034159496201</v>
      </c>
      <c r="AE1141" s="2">
        <v>58125.020521018501</v>
      </c>
      <c r="AF1141" s="2">
        <v>55708.265378789103</v>
      </c>
      <c r="AG1141" s="2">
        <v>57670.393983448499</v>
      </c>
      <c r="AH1141" s="2">
        <v>67334.917341636494</v>
      </c>
      <c r="AI1141" s="2">
        <v>52435.248988741703</v>
      </c>
      <c r="AJ1141" s="2">
        <v>54392.769507175297</v>
      </c>
      <c r="AK1141" s="2">
        <v>24951.286897416499</v>
      </c>
      <c r="AL1141" s="2">
        <v>29144.734623915501</v>
      </c>
      <c r="AM1141" s="2">
        <v>30888.4151601712</v>
      </c>
      <c r="AN1141" s="2">
        <v>28521.1102045152</v>
      </c>
      <c r="AO1141" s="2">
        <v>23736.0146220813</v>
      </c>
      <c r="AP1141" s="2">
        <v>28088.643448877399</v>
      </c>
    </row>
    <row r="1142" spans="1:42" ht="14.5" x14ac:dyDescent="0.35">
      <c r="A1142" s="2" t="s">
        <v>7790</v>
      </c>
      <c r="B1142" s="2">
        <v>597.13860878484195</v>
      </c>
      <c r="C1142" s="2">
        <v>9.6350833333333306</v>
      </c>
      <c r="D1142" s="2" t="s">
        <v>34</v>
      </c>
      <c r="E1142" s="2" t="s">
        <v>7791</v>
      </c>
      <c r="F1142" s="2">
        <v>58387</v>
      </c>
      <c r="G1142" s="3" t="str">
        <f>HYPERLINK("http://funmeta.oebiotech.com/network/58387", "http://funmeta.oebiotech.com/network/58387")</f>
        <v>http://funmeta.oebiotech.com/network/58387</v>
      </c>
      <c r="H1142" s="2" t="s">
        <v>7792</v>
      </c>
      <c r="I1142" s="2">
        <v>89866</v>
      </c>
      <c r="J1142" s="2"/>
      <c r="K1142" s="2"/>
      <c r="L1142" s="2"/>
      <c r="M1142" s="2"/>
      <c r="N1142" s="2"/>
      <c r="O1142" s="2">
        <v>73816389</v>
      </c>
      <c r="P1142" s="2" t="s">
        <v>7793</v>
      </c>
      <c r="Q1142" s="2" t="s">
        <v>7794</v>
      </c>
      <c r="R1142" s="2" t="s">
        <v>7795</v>
      </c>
      <c r="S1142" s="2" t="s">
        <v>50</v>
      </c>
      <c r="T1142" s="2" t="s">
        <v>124</v>
      </c>
      <c r="U1142" s="2" t="s">
        <v>7796</v>
      </c>
      <c r="V1142" s="2" t="s">
        <v>42</v>
      </c>
      <c r="W1142" s="2">
        <v>51.7</v>
      </c>
      <c r="X1142" s="2">
        <v>67.7</v>
      </c>
      <c r="Y1142" s="2" t="s">
        <v>340</v>
      </c>
      <c r="Z1142" s="2" t="s">
        <v>7797</v>
      </c>
      <c r="AA1142" s="2">
        <v>3.0891959618711202</v>
      </c>
      <c r="AB1142" s="2">
        <v>0.66642071567317696</v>
      </c>
      <c r="AC1142" s="2">
        <v>473372.13638074399</v>
      </c>
      <c r="AD1142" s="2">
        <v>413997.96778487897</v>
      </c>
      <c r="AE1142" s="2">
        <v>442107.43931952497</v>
      </c>
      <c r="AF1142" s="2">
        <v>392744.076557177</v>
      </c>
      <c r="AG1142" s="2">
        <v>421958.36771785701</v>
      </c>
      <c r="AH1142" s="2">
        <v>574458.85192627797</v>
      </c>
      <c r="AI1142" s="2">
        <v>530517.15767502796</v>
      </c>
      <c r="AJ1142" s="2">
        <v>478446.92508859799</v>
      </c>
      <c r="AK1142" s="2">
        <v>360779.43944674102</v>
      </c>
      <c r="AL1142" s="2">
        <v>413614.686251598</v>
      </c>
      <c r="AM1142" s="2">
        <v>377997.19870567799</v>
      </c>
      <c r="AN1142" s="2">
        <v>438753.44977007998</v>
      </c>
      <c r="AO1142" s="2">
        <v>465435.94744127803</v>
      </c>
      <c r="AP1142" s="2">
        <v>427407.08509390103</v>
      </c>
    </row>
    <row r="1143" spans="1:42" ht="14.5" x14ac:dyDescent="0.35">
      <c r="A1143" s="2" t="s">
        <v>7798</v>
      </c>
      <c r="B1143" s="2">
        <v>575.33434820002196</v>
      </c>
      <c r="C1143" s="2">
        <v>8.4346166666666704</v>
      </c>
      <c r="D1143" s="2" t="s">
        <v>34</v>
      </c>
      <c r="E1143" s="2" t="s">
        <v>7799</v>
      </c>
      <c r="F1143" s="2">
        <v>250310</v>
      </c>
      <c r="G1143" s="3" t="str">
        <f>HYPERLINK("http://funmeta.oebiotech.com/network/250310", "http://funmeta.oebiotech.com/network/250310")</f>
        <v>http://funmeta.oebiotech.com/network/250310</v>
      </c>
      <c r="H1143" s="2" t="s">
        <v>7800</v>
      </c>
      <c r="I1143" s="2"/>
      <c r="J1143" s="2"/>
      <c r="K1143" s="2"/>
      <c r="L1143" s="2"/>
      <c r="M1143" s="2"/>
      <c r="N1143" s="2"/>
      <c r="O1143" s="2"/>
      <c r="P1143" s="2"/>
      <c r="Q1143" s="2" t="s">
        <v>7801</v>
      </c>
      <c r="R1143" s="2" t="s">
        <v>7802</v>
      </c>
      <c r="S1143" s="2" t="s">
        <v>41</v>
      </c>
      <c r="T1143" s="2" t="s">
        <v>41</v>
      </c>
      <c r="U1143" s="2" t="s">
        <v>41</v>
      </c>
      <c r="V1143" s="2" t="s">
        <v>59</v>
      </c>
      <c r="W1143" s="2">
        <v>40.1</v>
      </c>
      <c r="X1143" s="2">
        <v>12.2</v>
      </c>
      <c r="Y1143" s="2" t="s">
        <v>340</v>
      </c>
      <c r="Z1143" s="2" t="s">
        <v>7803</v>
      </c>
      <c r="AA1143" s="2">
        <v>-0.21232406880125901</v>
      </c>
      <c r="AB1143" s="2">
        <v>0.66601417082103498</v>
      </c>
      <c r="AC1143" s="2">
        <v>97764.784257595398</v>
      </c>
      <c r="AD1143" s="2">
        <v>66257.848923525002</v>
      </c>
      <c r="AE1143" s="2">
        <v>89325.637105676695</v>
      </c>
      <c r="AF1143" s="2">
        <v>89842.041855997799</v>
      </c>
      <c r="AG1143" s="2">
        <v>107580.997790657</v>
      </c>
      <c r="AH1143" s="2">
        <v>98403.473889315996</v>
      </c>
      <c r="AI1143" s="2">
        <v>97337.649377278707</v>
      </c>
      <c r="AJ1143" s="2">
        <v>104098.90552664601</v>
      </c>
      <c r="AK1143" s="2">
        <v>68793.123159727998</v>
      </c>
      <c r="AL1143" s="2">
        <v>67101.982797100296</v>
      </c>
      <c r="AM1143" s="2">
        <v>75721.146152969202</v>
      </c>
      <c r="AN1143" s="2">
        <v>68859.432930845098</v>
      </c>
      <c r="AO1143" s="2">
        <v>60775.078091723197</v>
      </c>
      <c r="AP1143" s="2">
        <v>56296.330408784197</v>
      </c>
    </row>
    <row r="1144" spans="1:42" ht="14.5" x14ac:dyDescent="0.35">
      <c r="A1144" s="2" t="s">
        <v>7804</v>
      </c>
      <c r="B1144" s="2">
        <v>941.29526267087601</v>
      </c>
      <c r="C1144" s="2">
        <v>9.04463333333333</v>
      </c>
      <c r="D1144" s="2" t="s">
        <v>70</v>
      </c>
      <c r="E1144" s="2" t="s">
        <v>7805</v>
      </c>
      <c r="F1144" s="2">
        <v>82985</v>
      </c>
      <c r="G1144" s="3" t="str">
        <f>HYPERLINK("http://funmeta.oebiotech.com/network/82985", "http://funmeta.oebiotech.com/network/82985")</f>
        <v>http://funmeta.oebiotech.com/network/82985</v>
      </c>
      <c r="H1144" s="2" t="s">
        <v>7806</v>
      </c>
      <c r="I1144" s="2">
        <v>983665</v>
      </c>
      <c r="J1144" s="2"/>
      <c r="K1144" s="2"/>
      <c r="L1144" s="2"/>
      <c r="M1144" s="2"/>
      <c r="N1144" s="2"/>
      <c r="O1144" s="2">
        <v>71751199</v>
      </c>
      <c r="P1144" s="2" t="s">
        <v>7807</v>
      </c>
      <c r="Q1144" s="2" t="s">
        <v>7808</v>
      </c>
      <c r="R1144" s="2" t="s">
        <v>7809</v>
      </c>
      <c r="S1144" s="2" t="s">
        <v>79</v>
      </c>
      <c r="T1144" s="2" t="s">
        <v>80</v>
      </c>
      <c r="U1144" s="2" t="s">
        <v>81</v>
      </c>
      <c r="V1144" s="2" t="s">
        <v>59</v>
      </c>
      <c r="W1144" s="2">
        <v>37.700000000000003</v>
      </c>
      <c r="X1144" s="2">
        <v>10.7</v>
      </c>
      <c r="Y1144" s="2" t="s">
        <v>560</v>
      </c>
      <c r="Z1144" s="2" t="s">
        <v>7810</v>
      </c>
      <c r="AA1144" s="2">
        <v>1.6614225389941</v>
      </c>
      <c r="AB1144" s="2">
        <v>0.66518321669944103</v>
      </c>
      <c r="AC1144" s="2">
        <v>179914.37295874601</v>
      </c>
      <c r="AD1144" s="2">
        <v>147082.08832077601</v>
      </c>
      <c r="AE1144" s="2">
        <v>174338.020510865</v>
      </c>
      <c r="AF1144" s="2">
        <v>186361.819556642</v>
      </c>
      <c r="AG1144" s="2">
        <v>170539.791821113</v>
      </c>
      <c r="AH1144" s="2">
        <v>185110.46111046901</v>
      </c>
      <c r="AI1144" s="2">
        <v>174159.16384456499</v>
      </c>
      <c r="AJ1144" s="2">
        <v>188976.980908823</v>
      </c>
      <c r="AK1144" s="2">
        <v>138816.25073662799</v>
      </c>
      <c r="AL1144" s="2">
        <v>145059.21586673899</v>
      </c>
      <c r="AM1144" s="2">
        <v>161209.52422097101</v>
      </c>
      <c r="AN1144" s="2">
        <v>148858.27233149399</v>
      </c>
      <c r="AO1144" s="2">
        <v>131847.443336975</v>
      </c>
      <c r="AP1144" s="2">
        <v>156701.82343185</v>
      </c>
    </row>
    <row r="1145" spans="1:42" ht="14.5" x14ac:dyDescent="0.35">
      <c r="A1145" s="2" t="s">
        <v>7811</v>
      </c>
      <c r="B1145" s="2">
        <v>750.44711395156298</v>
      </c>
      <c r="C1145" s="2">
        <v>11.270016666666701</v>
      </c>
      <c r="D1145" s="2" t="s">
        <v>34</v>
      </c>
      <c r="E1145" s="2" t="s">
        <v>7812</v>
      </c>
      <c r="F1145" s="2">
        <v>20931</v>
      </c>
      <c r="G1145" s="3" t="str">
        <f>HYPERLINK("http://funmeta.oebiotech.com/network/20931", "http://funmeta.oebiotech.com/network/20931")</f>
        <v>http://funmeta.oebiotech.com/network/20931</v>
      </c>
      <c r="H1145" s="2" t="s">
        <v>7813</v>
      </c>
      <c r="I1145" s="2">
        <v>60282</v>
      </c>
      <c r="J1145" s="2" t="s">
        <v>7814</v>
      </c>
      <c r="K1145" s="2"/>
      <c r="L1145" s="2" t="s">
        <v>594</v>
      </c>
      <c r="M1145" s="2" t="s">
        <v>595</v>
      </c>
      <c r="N1145" s="2" t="s">
        <v>596</v>
      </c>
      <c r="O1145" s="2">
        <v>52924939</v>
      </c>
      <c r="P1145" s="2"/>
      <c r="Q1145" s="2" t="s">
        <v>7815</v>
      </c>
      <c r="R1145" s="2" t="s">
        <v>7816</v>
      </c>
      <c r="S1145" s="2" t="s">
        <v>50</v>
      </c>
      <c r="T1145" s="2" t="s">
        <v>51</v>
      </c>
      <c r="U1145" s="2" t="s">
        <v>257</v>
      </c>
      <c r="V1145" s="2" t="s">
        <v>59</v>
      </c>
      <c r="W1145" s="2">
        <v>37.1</v>
      </c>
      <c r="X1145" s="2">
        <v>0</v>
      </c>
      <c r="Y1145" s="2" t="s">
        <v>340</v>
      </c>
      <c r="Z1145" s="2" t="s">
        <v>7817</v>
      </c>
      <c r="AA1145" s="2">
        <v>7.1730903803069401E-2</v>
      </c>
      <c r="AB1145" s="2">
        <v>0.66496884709571802</v>
      </c>
      <c r="AC1145" s="2">
        <v>13827.175684821599</v>
      </c>
      <c r="AD1145" s="2">
        <v>43128.342660314498</v>
      </c>
      <c r="AE1145" s="2">
        <v>13627.756522342101</v>
      </c>
      <c r="AF1145" s="2">
        <v>13123.041406820401</v>
      </c>
      <c r="AG1145" s="2">
        <v>15257.529918218301</v>
      </c>
      <c r="AH1145" s="2">
        <v>14115.5279962778</v>
      </c>
      <c r="AI1145" s="2">
        <v>13463.133304782101</v>
      </c>
      <c r="AJ1145" s="2">
        <v>13376.064960489</v>
      </c>
      <c r="AK1145" s="2">
        <v>39793.439041361198</v>
      </c>
      <c r="AL1145" s="2">
        <v>43146.447092653703</v>
      </c>
      <c r="AM1145" s="2">
        <v>46028.390737460897</v>
      </c>
      <c r="AN1145" s="2">
        <v>41555.072996566298</v>
      </c>
      <c r="AO1145" s="2">
        <v>40759.225259873099</v>
      </c>
      <c r="AP1145" s="2">
        <v>47487.480833971698</v>
      </c>
    </row>
    <row r="1146" spans="1:42" ht="14.5" x14ac:dyDescent="0.35">
      <c r="A1146" s="2" t="s">
        <v>7818</v>
      </c>
      <c r="B1146" s="2">
        <v>181.01430598407501</v>
      </c>
      <c r="C1146" s="2">
        <v>0.53741666666666699</v>
      </c>
      <c r="D1146" s="2" t="s">
        <v>34</v>
      </c>
      <c r="E1146" s="2" t="s">
        <v>7819</v>
      </c>
      <c r="F1146" s="2">
        <v>10145</v>
      </c>
      <c r="G1146" s="3" t="str">
        <f>HYPERLINK("http://funmeta.oebiotech.com/network/10145", "http://funmeta.oebiotech.com/network/10145")</f>
        <v>http://funmeta.oebiotech.com/network/10145</v>
      </c>
      <c r="H1146" s="2"/>
      <c r="I1146" s="2"/>
      <c r="J1146" s="2" t="s">
        <v>7820</v>
      </c>
      <c r="K1146" s="2"/>
      <c r="L1146" s="2"/>
      <c r="M1146" s="2"/>
      <c r="N1146" s="2"/>
      <c r="O1146" s="2">
        <v>134812260</v>
      </c>
      <c r="P1146" s="2"/>
      <c r="Q1146" s="2" t="s">
        <v>7821</v>
      </c>
      <c r="R1146" s="2" t="s">
        <v>7822</v>
      </c>
      <c r="S1146" s="2" t="s">
        <v>491</v>
      </c>
      <c r="T1146" s="2" t="s">
        <v>7823</v>
      </c>
      <c r="U1146" s="2" t="s">
        <v>41</v>
      </c>
      <c r="V1146" s="2" t="s">
        <v>59</v>
      </c>
      <c r="W1146" s="2">
        <v>37.299999999999997</v>
      </c>
      <c r="X1146" s="2">
        <v>1.47</v>
      </c>
      <c r="Y1146" s="2" t="s">
        <v>394</v>
      </c>
      <c r="Z1146" s="2" t="s">
        <v>7824</v>
      </c>
      <c r="AA1146" s="2">
        <v>1.5960264100274599</v>
      </c>
      <c r="AB1146" s="2">
        <v>0.66489962507852196</v>
      </c>
      <c r="AC1146" s="2">
        <v>50296.606668490203</v>
      </c>
      <c r="AD1146" s="2">
        <v>20417.524353449899</v>
      </c>
      <c r="AE1146" s="2">
        <v>51752.686394944401</v>
      </c>
      <c r="AF1146" s="2">
        <v>49788.642173533</v>
      </c>
      <c r="AG1146" s="2">
        <v>57822.494824091598</v>
      </c>
      <c r="AH1146" s="2">
        <v>43094.3289015271</v>
      </c>
      <c r="AI1146" s="2">
        <v>47784.839132806097</v>
      </c>
      <c r="AJ1146" s="2">
        <v>51536.648584039103</v>
      </c>
      <c r="AK1146" s="2">
        <v>18165.1535761712</v>
      </c>
      <c r="AL1146" s="2">
        <v>27159.217977580702</v>
      </c>
      <c r="AM1146" s="2">
        <v>19802.567509189699</v>
      </c>
      <c r="AN1146" s="2">
        <v>18383.8956404659</v>
      </c>
      <c r="AO1146" s="2">
        <v>17520.428780721599</v>
      </c>
      <c r="AP1146" s="2">
        <v>21473.882636570201</v>
      </c>
    </row>
    <row r="1147" spans="1:42" ht="14.5" x14ac:dyDescent="0.35">
      <c r="A1147" s="2" t="s">
        <v>7825</v>
      </c>
      <c r="B1147" s="2">
        <v>575.27079793915698</v>
      </c>
      <c r="C1147" s="2">
        <v>3.9884499999999998</v>
      </c>
      <c r="D1147" s="2" t="s">
        <v>70</v>
      </c>
      <c r="E1147" s="2" t="s">
        <v>7826</v>
      </c>
      <c r="F1147" s="2">
        <v>58670</v>
      </c>
      <c r="G1147" s="3" t="str">
        <f>HYPERLINK("http://funmeta.oebiotech.com/network/58670", "http://funmeta.oebiotech.com/network/58670")</f>
        <v>http://funmeta.oebiotech.com/network/58670</v>
      </c>
      <c r="H1147" s="2" t="s">
        <v>7827</v>
      </c>
      <c r="I1147" s="2">
        <v>90131</v>
      </c>
      <c r="J1147" s="2"/>
      <c r="K1147" s="2"/>
      <c r="L1147" s="2"/>
      <c r="M1147" s="2"/>
      <c r="N1147" s="2"/>
      <c r="O1147" s="2">
        <v>131751607</v>
      </c>
      <c r="P1147" s="2"/>
      <c r="Q1147" s="2" t="s">
        <v>7828</v>
      </c>
      <c r="R1147" s="2" t="s">
        <v>7829</v>
      </c>
      <c r="S1147" s="2" t="s">
        <v>50</v>
      </c>
      <c r="T1147" s="2" t="s">
        <v>201</v>
      </c>
      <c r="U1147" s="2" t="s">
        <v>202</v>
      </c>
      <c r="V1147" s="2" t="s">
        <v>42</v>
      </c>
      <c r="W1147" s="2">
        <v>51.9</v>
      </c>
      <c r="X1147" s="2">
        <v>68</v>
      </c>
      <c r="Y1147" s="2" t="s">
        <v>408</v>
      </c>
      <c r="Z1147" s="2" t="s">
        <v>7830</v>
      </c>
      <c r="AA1147" s="2">
        <v>-0.22081646063185201</v>
      </c>
      <c r="AB1147" s="2">
        <v>0.66487898517808297</v>
      </c>
      <c r="AC1147" s="2">
        <v>257141.24566421899</v>
      </c>
      <c r="AD1147" s="2">
        <v>226037.905154785</v>
      </c>
      <c r="AE1147" s="2">
        <v>262354.23898999102</v>
      </c>
      <c r="AF1147" s="2">
        <v>255899.41924397901</v>
      </c>
      <c r="AG1147" s="2">
        <v>245914.014922767</v>
      </c>
      <c r="AH1147" s="2">
        <v>255157.49932954001</v>
      </c>
      <c r="AI1147" s="2">
        <v>259763.28472109701</v>
      </c>
      <c r="AJ1147" s="2">
        <v>263759.01677793899</v>
      </c>
      <c r="AK1147" s="2">
        <v>226649.199521776</v>
      </c>
      <c r="AL1147" s="2">
        <v>223714.352489076</v>
      </c>
      <c r="AM1147" s="2">
        <v>238223.13849790499</v>
      </c>
      <c r="AN1147" s="2">
        <v>222991.08979277199</v>
      </c>
      <c r="AO1147" s="2">
        <v>219443.15685457201</v>
      </c>
      <c r="AP1147" s="2">
        <v>225206.49377260901</v>
      </c>
    </row>
    <row r="1148" spans="1:42" ht="14.5" x14ac:dyDescent="0.35">
      <c r="A1148" s="2" t="s">
        <v>7831</v>
      </c>
      <c r="B1148" s="2">
        <v>250.14441996274701</v>
      </c>
      <c r="C1148" s="2">
        <v>11.185316666666701</v>
      </c>
      <c r="D1148" s="2" t="s">
        <v>70</v>
      </c>
      <c r="E1148" s="2" t="s">
        <v>7832</v>
      </c>
      <c r="F1148" s="2">
        <v>53194</v>
      </c>
      <c r="G1148" s="3" t="str">
        <f>HYPERLINK("http://funmeta.oebiotech.com/network/53194", "http://funmeta.oebiotech.com/network/53194")</f>
        <v>http://funmeta.oebiotech.com/network/53194</v>
      </c>
      <c r="H1148" s="2" t="s">
        <v>7833</v>
      </c>
      <c r="I1148" s="2">
        <v>2009</v>
      </c>
      <c r="J1148" s="2"/>
      <c r="K1148" s="2">
        <v>4530</v>
      </c>
      <c r="L1148" s="2" t="s">
        <v>7834</v>
      </c>
      <c r="M1148" s="2"/>
      <c r="N1148" s="2"/>
      <c r="O1148" s="2">
        <v>7029</v>
      </c>
      <c r="P1148" s="2" t="s">
        <v>7835</v>
      </c>
      <c r="Q1148" s="2" t="s">
        <v>7836</v>
      </c>
      <c r="R1148" s="2" t="s">
        <v>7837</v>
      </c>
      <c r="S1148" s="2" t="s">
        <v>79</v>
      </c>
      <c r="T1148" s="2" t="s">
        <v>80</v>
      </c>
      <c r="U1148" s="2" t="s">
        <v>2820</v>
      </c>
      <c r="V1148" s="2" t="s">
        <v>59</v>
      </c>
      <c r="W1148" s="2">
        <v>39.299999999999997</v>
      </c>
      <c r="X1148" s="2">
        <v>0</v>
      </c>
      <c r="Y1148" s="2" t="s">
        <v>408</v>
      </c>
      <c r="Z1148" s="2" t="s">
        <v>7838</v>
      </c>
      <c r="AA1148" s="2">
        <v>-2.1796159568946698</v>
      </c>
      <c r="AB1148" s="2">
        <v>0.66464544348295396</v>
      </c>
      <c r="AC1148" s="2">
        <v>201804.528283616</v>
      </c>
      <c r="AD1148" s="2">
        <v>235052.332501286</v>
      </c>
      <c r="AE1148" s="2">
        <v>198219.76056030899</v>
      </c>
      <c r="AF1148" s="2">
        <v>206948.60281499801</v>
      </c>
      <c r="AG1148" s="2">
        <v>212315.04527180601</v>
      </c>
      <c r="AH1148" s="2">
        <v>212112.206430363</v>
      </c>
      <c r="AI1148" s="2">
        <v>191166.603009004</v>
      </c>
      <c r="AJ1148" s="2">
        <v>190064.951615214</v>
      </c>
      <c r="AK1148" s="2">
        <v>247437.418690213</v>
      </c>
      <c r="AL1148" s="2">
        <v>231510.432956782</v>
      </c>
      <c r="AM1148" s="2">
        <v>227848.011130128</v>
      </c>
      <c r="AN1148" s="2">
        <v>238786.18389811</v>
      </c>
      <c r="AO1148" s="2">
        <v>243620.069702768</v>
      </c>
      <c r="AP1148" s="2">
        <v>221111.878629716</v>
      </c>
    </row>
    <row r="1149" spans="1:42" ht="14.5" x14ac:dyDescent="0.35">
      <c r="A1149" s="2" t="s">
        <v>7839</v>
      </c>
      <c r="B1149" s="2">
        <v>963.53239449133696</v>
      </c>
      <c r="C1149" s="2">
        <v>5.8999499999999996</v>
      </c>
      <c r="D1149" s="2" t="s">
        <v>34</v>
      </c>
      <c r="E1149" s="2" t="s">
        <v>7840</v>
      </c>
      <c r="F1149" s="2">
        <v>228758</v>
      </c>
      <c r="G1149" s="3" t="str">
        <f>HYPERLINK("http://funmeta.oebiotech.com/network/228758", "http://funmeta.oebiotech.com/network/228758")</f>
        <v>http://funmeta.oebiotech.com/network/228758</v>
      </c>
      <c r="H1149" s="2" t="s">
        <v>7841</v>
      </c>
      <c r="I1149" s="2"/>
      <c r="J1149" s="2"/>
      <c r="K1149" s="2"/>
      <c r="L1149" s="2"/>
      <c r="M1149" s="2"/>
      <c r="N1149" s="2"/>
      <c r="O1149" s="2"/>
      <c r="P1149" s="2"/>
      <c r="Q1149" s="2" t="s">
        <v>7842</v>
      </c>
      <c r="R1149" s="2" t="s">
        <v>7843</v>
      </c>
      <c r="S1149" s="2" t="s">
        <v>41</v>
      </c>
      <c r="T1149" s="2" t="s">
        <v>41</v>
      </c>
      <c r="U1149" s="2" t="s">
        <v>41</v>
      </c>
      <c r="V1149" s="2" t="s">
        <v>59</v>
      </c>
      <c r="W1149" s="2">
        <v>36.299999999999997</v>
      </c>
      <c r="X1149" s="2">
        <v>0</v>
      </c>
      <c r="Y1149" s="2" t="s">
        <v>470</v>
      </c>
      <c r="Z1149" s="2" t="s">
        <v>7844</v>
      </c>
      <c r="AA1149" s="2">
        <v>-1.08607345365343</v>
      </c>
      <c r="AB1149" s="2">
        <v>0.66431858407677602</v>
      </c>
      <c r="AC1149" s="2">
        <v>104259.57170948399</v>
      </c>
      <c r="AD1149" s="2">
        <v>69226.7538208326</v>
      </c>
      <c r="AE1149" s="2">
        <v>109960.325318756</v>
      </c>
      <c r="AF1149" s="2">
        <v>117665.512674536</v>
      </c>
      <c r="AG1149" s="2">
        <v>108963.746335859</v>
      </c>
      <c r="AH1149" s="2">
        <v>116031.792875759</v>
      </c>
      <c r="AI1149" s="2">
        <v>91544.675767925495</v>
      </c>
      <c r="AJ1149" s="2">
        <v>81391.377284066199</v>
      </c>
      <c r="AK1149" s="2">
        <v>54699.836547979699</v>
      </c>
      <c r="AL1149" s="2">
        <v>68320.255972032799</v>
      </c>
      <c r="AM1149" s="2">
        <v>57751.665346174901</v>
      </c>
      <c r="AN1149" s="2">
        <v>71951.976129249902</v>
      </c>
      <c r="AO1149" s="2">
        <v>75240.129254748594</v>
      </c>
      <c r="AP1149" s="2">
        <v>87396.659674809503</v>
      </c>
    </row>
    <row r="1150" spans="1:42" ht="14.5" x14ac:dyDescent="0.35">
      <c r="A1150" s="2" t="s">
        <v>7845</v>
      </c>
      <c r="B1150" s="2">
        <v>206.04471274022401</v>
      </c>
      <c r="C1150" s="2">
        <v>3.3454666666666699</v>
      </c>
      <c r="D1150" s="2" t="s">
        <v>34</v>
      </c>
      <c r="E1150" s="2" t="s">
        <v>7846</v>
      </c>
      <c r="F1150" s="2">
        <v>57225</v>
      </c>
      <c r="G1150" s="3" t="str">
        <f>HYPERLINK("http://funmeta.oebiotech.com/network/57225", "http://funmeta.oebiotech.com/network/57225")</f>
        <v>http://funmeta.oebiotech.com/network/57225</v>
      </c>
      <c r="H1150" s="2" t="s">
        <v>7847</v>
      </c>
      <c r="I1150" s="2">
        <v>708455</v>
      </c>
      <c r="J1150" s="2"/>
      <c r="K1150" s="2"/>
      <c r="L1150" s="2"/>
      <c r="M1150" s="2"/>
      <c r="N1150" s="2"/>
      <c r="O1150" s="2">
        <v>13988328</v>
      </c>
      <c r="P1150" s="2" t="s">
        <v>7848</v>
      </c>
      <c r="Q1150" s="2" t="s">
        <v>7849</v>
      </c>
      <c r="R1150" s="2" t="s">
        <v>7850</v>
      </c>
      <c r="S1150" s="2" t="s">
        <v>491</v>
      </c>
      <c r="T1150" s="2" t="s">
        <v>1516</v>
      </c>
      <c r="U1150" s="2" t="s">
        <v>2355</v>
      </c>
      <c r="V1150" s="2" t="s">
        <v>42</v>
      </c>
      <c r="W1150" s="2">
        <v>49.9</v>
      </c>
      <c r="X1150" s="2">
        <v>52.3</v>
      </c>
      <c r="Y1150" s="2" t="s">
        <v>394</v>
      </c>
      <c r="Z1150" s="2" t="s">
        <v>7851</v>
      </c>
      <c r="AA1150" s="2">
        <v>-0.34822558477892401</v>
      </c>
      <c r="AB1150" s="2">
        <v>0.66395221866901299</v>
      </c>
      <c r="AC1150" s="2">
        <v>144293.31600011201</v>
      </c>
      <c r="AD1150" s="2">
        <v>173650.772328825</v>
      </c>
      <c r="AE1150" s="2">
        <v>141396.83926665899</v>
      </c>
      <c r="AF1150" s="2">
        <v>145902.020372064</v>
      </c>
      <c r="AG1150" s="2">
        <v>144224.557670373</v>
      </c>
      <c r="AH1150" s="2">
        <v>144161.982564301</v>
      </c>
      <c r="AI1150" s="2">
        <v>144492.42936887499</v>
      </c>
      <c r="AJ1150" s="2">
        <v>145582.06675840201</v>
      </c>
      <c r="AK1150" s="2">
        <v>169810.93167636599</v>
      </c>
      <c r="AL1150" s="2">
        <v>173677.189977211</v>
      </c>
      <c r="AM1150" s="2">
        <v>175865.43735951101</v>
      </c>
      <c r="AN1150" s="2">
        <v>176911.21006143399</v>
      </c>
      <c r="AO1150" s="2">
        <v>168514.73490060301</v>
      </c>
      <c r="AP1150" s="2">
        <v>177125.12999782499</v>
      </c>
    </row>
    <row r="1151" spans="1:42" ht="14.5" x14ac:dyDescent="0.35">
      <c r="A1151" s="2" t="s">
        <v>7852</v>
      </c>
      <c r="B1151" s="2">
        <v>315.19527627849902</v>
      </c>
      <c r="C1151" s="2">
        <v>4.9783166666666698</v>
      </c>
      <c r="D1151" s="2" t="s">
        <v>34</v>
      </c>
      <c r="E1151" s="2" t="s">
        <v>7853</v>
      </c>
      <c r="F1151" s="2">
        <v>3745</v>
      </c>
      <c r="G1151" s="3" t="str">
        <f>HYPERLINK("http://funmeta.oebiotech.com/network/3745", "http://funmeta.oebiotech.com/network/3745")</f>
        <v>http://funmeta.oebiotech.com/network/3745</v>
      </c>
      <c r="H1151" s="2"/>
      <c r="I1151" s="2">
        <v>36190</v>
      </c>
      <c r="J1151" s="2" t="s">
        <v>7854</v>
      </c>
      <c r="K1151" s="2">
        <v>134511</v>
      </c>
      <c r="L1151" s="2"/>
      <c r="M1151" s="2"/>
      <c r="N1151" s="2"/>
      <c r="O1151" s="2">
        <v>5283113</v>
      </c>
      <c r="P1151" s="2" t="s">
        <v>7855</v>
      </c>
      <c r="Q1151" s="2" t="s">
        <v>7856</v>
      </c>
      <c r="R1151" s="2" t="s">
        <v>7857</v>
      </c>
      <c r="S1151" s="2" t="s">
        <v>50</v>
      </c>
      <c r="T1151" s="2" t="s">
        <v>229</v>
      </c>
      <c r="U1151" s="2" t="s">
        <v>766</v>
      </c>
      <c r="V1151" s="2" t="s">
        <v>42</v>
      </c>
      <c r="W1151" s="2">
        <v>56</v>
      </c>
      <c r="X1151" s="2">
        <v>85.2</v>
      </c>
      <c r="Y1151" s="2" t="s">
        <v>141</v>
      </c>
      <c r="Z1151" s="2" t="s">
        <v>4980</v>
      </c>
      <c r="AA1151" s="2">
        <v>-0.58653951948390104</v>
      </c>
      <c r="AB1151" s="2">
        <v>0.66389410064229704</v>
      </c>
      <c r="AC1151" s="2">
        <v>362087.25887744402</v>
      </c>
      <c r="AD1151" s="2">
        <v>328082.72356475901</v>
      </c>
      <c r="AE1151" s="2">
        <v>360159.08040339203</v>
      </c>
      <c r="AF1151" s="2">
        <v>370486.23356169398</v>
      </c>
      <c r="AG1151" s="2">
        <v>371080.13104148902</v>
      </c>
      <c r="AH1151" s="2">
        <v>369175.395161764</v>
      </c>
      <c r="AI1151" s="2">
        <v>343213.27925357601</v>
      </c>
      <c r="AJ1151" s="2">
        <v>358409.43384274899</v>
      </c>
      <c r="AK1151" s="2">
        <v>350501.116712232</v>
      </c>
      <c r="AL1151" s="2">
        <v>333200.28307182301</v>
      </c>
      <c r="AM1151" s="2">
        <v>326437.90735661401</v>
      </c>
      <c r="AN1151" s="2">
        <v>322341.80953358201</v>
      </c>
      <c r="AO1151" s="2">
        <v>324608.01109384501</v>
      </c>
      <c r="AP1151" s="2">
        <v>311407.21362045599</v>
      </c>
    </row>
    <row r="1152" spans="1:42" ht="14.5" x14ac:dyDescent="0.35">
      <c r="A1152" s="2" t="s">
        <v>7858</v>
      </c>
      <c r="B1152" s="2">
        <v>421.36718183707302</v>
      </c>
      <c r="C1152" s="2">
        <v>13.24605</v>
      </c>
      <c r="D1152" s="2" t="s">
        <v>34</v>
      </c>
      <c r="E1152" s="2" t="s">
        <v>7859</v>
      </c>
      <c r="F1152" s="2">
        <v>43432</v>
      </c>
      <c r="G1152" s="3" t="str">
        <f>HYPERLINK("http://funmeta.oebiotech.com/network/43432", "http://funmeta.oebiotech.com/network/43432")</f>
        <v>http://funmeta.oebiotech.com/network/43432</v>
      </c>
      <c r="H1152" s="2" t="s">
        <v>7860</v>
      </c>
      <c r="I1152" s="2">
        <v>6997</v>
      </c>
      <c r="J1152" s="2" t="s">
        <v>7861</v>
      </c>
      <c r="K1152" s="2">
        <v>73006</v>
      </c>
      <c r="L1152" s="2" t="s">
        <v>7862</v>
      </c>
      <c r="M1152" s="2"/>
      <c r="N1152" s="2"/>
      <c r="O1152" s="2">
        <v>91498</v>
      </c>
      <c r="P1152" s="2" t="s">
        <v>7863</v>
      </c>
      <c r="Q1152" s="2" t="s">
        <v>7864</v>
      </c>
      <c r="R1152" s="2" t="s">
        <v>7865</v>
      </c>
      <c r="S1152" s="2" t="s">
        <v>50</v>
      </c>
      <c r="T1152" s="2" t="s">
        <v>124</v>
      </c>
      <c r="U1152" s="2" t="s">
        <v>2789</v>
      </c>
      <c r="V1152" s="2" t="s">
        <v>42</v>
      </c>
      <c r="W1152" s="2">
        <v>56.6</v>
      </c>
      <c r="X1152" s="2">
        <v>87.7</v>
      </c>
      <c r="Y1152" s="2" t="s">
        <v>394</v>
      </c>
      <c r="Z1152" s="2" t="s">
        <v>7866</v>
      </c>
      <c r="AA1152" s="2">
        <v>-1.0467042670922599</v>
      </c>
      <c r="AB1152" s="2">
        <v>0.66382887398147306</v>
      </c>
      <c r="AC1152" s="2">
        <v>75835.709620091598</v>
      </c>
      <c r="AD1152" s="2">
        <v>45298.787555437797</v>
      </c>
      <c r="AE1152" s="2">
        <v>66883.810077051603</v>
      </c>
      <c r="AF1152" s="2">
        <v>73286.288612730306</v>
      </c>
      <c r="AG1152" s="2">
        <v>89535.283121119093</v>
      </c>
      <c r="AH1152" s="2">
        <v>77758.917073476798</v>
      </c>
      <c r="AI1152" s="2">
        <v>71105.218933146403</v>
      </c>
      <c r="AJ1152" s="2">
        <v>76444.7399030253</v>
      </c>
      <c r="AK1152" s="2">
        <v>47162.674264140704</v>
      </c>
      <c r="AL1152" s="2">
        <v>47077.125059975602</v>
      </c>
      <c r="AM1152" s="2">
        <v>48817.051645562002</v>
      </c>
      <c r="AN1152" s="2">
        <v>43835.807591203098</v>
      </c>
      <c r="AO1152" s="2">
        <v>43419.809972741801</v>
      </c>
      <c r="AP1152" s="2">
        <v>41480.256799003699</v>
      </c>
    </row>
    <row r="1153" spans="1:42" ht="14.5" x14ac:dyDescent="0.35">
      <c r="A1153" s="2" t="s">
        <v>7867</v>
      </c>
      <c r="B1153" s="2">
        <v>625.26530731197897</v>
      </c>
      <c r="C1153" s="2">
        <v>9.8517499999999991</v>
      </c>
      <c r="D1153" s="2" t="s">
        <v>70</v>
      </c>
      <c r="E1153" s="2" t="s">
        <v>7868</v>
      </c>
      <c r="F1153" s="2">
        <v>267331</v>
      </c>
      <c r="G1153" s="3" t="str">
        <f>HYPERLINK("http://funmeta.oebiotech.com/network/267331", "http://funmeta.oebiotech.com/network/267331")</f>
        <v>http://funmeta.oebiotech.com/network/267331</v>
      </c>
      <c r="H1153" s="2"/>
      <c r="I1153" s="2">
        <v>45267</v>
      </c>
      <c r="J1153" s="2"/>
      <c r="K1153" s="2"/>
      <c r="L1153" s="2"/>
      <c r="M1153" s="2"/>
      <c r="N1153" s="2"/>
      <c r="O1153" s="2">
        <v>44423602</v>
      </c>
      <c r="P1153" s="2" t="s">
        <v>7869</v>
      </c>
      <c r="Q1153" s="2" t="s">
        <v>7870</v>
      </c>
      <c r="R1153" s="2" t="s">
        <v>7871</v>
      </c>
      <c r="S1153" s="2" t="s">
        <v>491</v>
      </c>
      <c r="T1153" s="2" t="s">
        <v>5190</v>
      </c>
      <c r="U1153" s="2" t="s">
        <v>5191</v>
      </c>
      <c r="V1153" s="2" t="s">
        <v>59</v>
      </c>
      <c r="W1153" s="2">
        <v>37.4</v>
      </c>
      <c r="X1153" s="2">
        <v>0</v>
      </c>
      <c r="Y1153" s="2" t="s">
        <v>560</v>
      </c>
      <c r="Z1153" s="2" t="s">
        <v>7872</v>
      </c>
      <c r="AA1153" s="2">
        <v>0.55962455326076699</v>
      </c>
      <c r="AB1153" s="2">
        <v>0.66075732527120701</v>
      </c>
      <c r="AC1153" s="2">
        <v>64647.482342978299</v>
      </c>
      <c r="AD1153" s="2">
        <v>35565.617442241397</v>
      </c>
      <c r="AE1153" s="2">
        <v>65367.447669315203</v>
      </c>
      <c r="AF1153" s="2">
        <v>59058.281430763302</v>
      </c>
      <c r="AG1153" s="2">
        <v>64664.696724288202</v>
      </c>
      <c r="AH1153" s="2">
        <v>67666.261133607899</v>
      </c>
      <c r="AI1153" s="2">
        <v>61682.387480921599</v>
      </c>
      <c r="AJ1153" s="2">
        <v>69445.819618973794</v>
      </c>
      <c r="AK1153" s="2">
        <v>33756.1259429005</v>
      </c>
      <c r="AL1153" s="2">
        <v>36362.368871647297</v>
      </c>
      <c r="AM1153" s="2">
        <v>35176.475649558102</v>
      </c>
      <c r="AN1153" s="2">
        <v>34796.138255307997</v>
      </c>
      <c r="AO1153" s="2">
        <v>35684.9829982835</v>
      </c>
      <c r="AP1153" s="2">
        <v>37617.612935751298</v>
      </c>
    </row>
    <row r="1154" spans="1:42" ht="14.5" x14ac:dyDescent="0.35">
      <c r="A1154" s="2" t="s">
        <v>7873</v>
      </c>
      <c r="B1154" s="2">
        <v>290.26854981108801</v>
      </c>
      <c r="C1154" s="2">
        <v>8.4168333333333294</v>
      </c>
      <c r="D1154" s="2" t="s">
        <v>34</v>
      </c>
      <c r="E1154" s="2" t="s">
        <v>7874</v>
      </c>
      <c r="F1154" s="2">
        <v>1695</v>
      </c>
      <c r="G1154" s="3" t="str">
        <f>HYPERLINK("http://funmeta.oebiotech.com/network/1695", "http://funmeta.oebiotech.com/network/1695")</f>
        <v>http://funmeta.oebiotech.com/network/1695</v>
      </c>
      <c r="H1154" s="2" t="s">
        <v>7875</v>
      </c>
      <c r="I1154" s="2">
        <v>58386</v>
      </c>
      <c r="J1154" s="2" t="s">
        <v>7876</v>
      </c>
      <c r="K1154" s="2">
        <v>55328</v>
      </c>
      <c r="L1154" s="2" t="s">
        <v>7877</v>
      </c>
      <c r="M1154" s="2" t="s">
        <v>3274</v>
      </c>
      <c r="N1154" s="2" t="s">
        <v>3275</v>
      </c>
      <c r="O1154" s="2">
        <v>10466</v>
      </c>
      <c r="P1154" s="2" t="s">
        <v>7878</v>
      </c>
      <c r="Q1154" s="2" t="s">
        <v>7879</v>
      </c>
      <c r="R1154" s="2" t="s">
        <v>7880</v>
      </c>
      <c r="S1154" s="2" t="s">
        <v>50</v>
      </c>
      <c r="T1154" s="2" t="s">
        <v>229</v>
      </c>
      <c r="U1154" s="2" t="s">
        <v>433</v>
      </c>
      <c r="V1154" s="2" t="s">
        <v>42</v>
      </c>
      <c r="W1154" s="2">
        <v>51.6</v>
      </c>
      <c r="X1154" s="2">
        <v>63.1</v>
      </c>
      <c r="Y1154" s="2" t="s">
        <v>43</v>
      </c>
      <c r="Z1154" s="2" t="s">
        <v>7881</v>
      </c>
      <c r="AA1154" s="2">
        <v>-1.5450019581063199</v>
      </c>
      <c r="AB1154" s="2">
        <v>0.66037900640452896</v>
      </c>
      <c r="AC1154" s="2">
        <v>128973.438365236</v>
      </c>
      <c r="AD1154" s="2">
        <v>172323.59806567</v>
      </c>
      <c r="AE1154" s="2">
        <v>167529.48827620299</v>
      </c>
      <c r="AF1154" s="2">
        <v>149979.42156551199</v>
      </c>
      <c r="AG1154" s="2">
        <v>151795.56793532101</v>
      </c>
      <c r="AH1154" s="2">
        <v>79942.736694458494</v>
      </c>
      <c r="AI1154" s="2">
        <v>87384.105293768604</v>
      </c>
      <c r="AJ1154" s="2">
        <v>137209.310426154</v>
      </c>
      <c r="AK1154" s="2">
        <v>164932.147141269</v>
      </c>
      <c r="AL1154" s="2">
        <v>167756.443029685</v>
      </c>
      <c r="AM1154" s="2">
        <v>181714.84100817901</v>
      </c>
      <c r="AN1154" s="2">
        <v>173302.93312545199</v>
      </c>
      <c r="AO1154" s="2">
        <v>167981.94752341599</v>
      </c>
      <c r="AP1154" s="2">
        <v>178253.27656602199</v>
      </c>
    </row>
    <row r="1155" spans="1:42" ht="14.5" x14ac:dyDescent="0.35">
      <c r="A1155" s="2" t="s">
        <v>7882</v>
      </c>
      <c r="B1155" s="2">
        <v>487.15930159329201</v>
      </c>
      <c r="C1155" s="2">
        <v>3.7887</v>
      </c>
      <c r="D1155" s="2" t="s">
        <v>34</v>
      </c>
      <c r="E1155" s="2" t="s">
        <v>7883</v>
      </c>
      <c r="F1155" s="2">
        <v>29087</v>
      </c>
      <c r="G1155" s="3" t="str">
        <f>HYPERLINK("http://funmeta.oebiotech.com/network/29087", "http://funmeta.oebiotech.com/network/29087")</f>
        <v>http://funmeta.oebiotech.com/network/29087</v>
      </c>
      <c r="H1155" s="2"/>
      <c r="I1155" s="2">
        <v>47483</v>
      </c>
      <c r="J1155" s="2" t="s">
        <v>7884</v>
      </c>
      <c r="K1155" s="2">
        <v>4536</v>
      </c>
      <c r="L1155" s="2" t="s">
        <v>7885</v>
      </c>
      <c r="M1155" s="2"/>
      <c r="N1155" s="2"/>
      <c r="O1155" s="2">
        <v>442352</v>
      </c>
      <c r="P1155" s="2"/>
      <c r="Q1155" s="2" t="s">
        <v>7886</v>
      </c>
      <c r="R1155" s="2" t="s">
        <v>7887</v>
      </c>
      <c r="S1155" s="2" t="s">
        <v>115</v>
      </c>
      <c r="T1155" s="2" t="s">
        <v>139</v>
      </c>
      <c r="U1155" s="2" t="s">
        <v>140</v>
      </c>
      <c r="V1155" s="2" t="s">
        <v>59</v>
      </c>
      <c r="W1155" s="2">
        <v>43.8</v>
      </c>
      <c r="X1155" s="2">
        <v>29.4</v>
      </c>
      <c r="Y1155" s="2" t="s">
        <v>323</v>
      </c>
      <c r="Z1155" s="2" t="s">
        <v>7888</v>
      </c>
      <c r="AA1155" s="2">
        <v>3.9507651445290799</v>
      </c>
      <c r="AB1155" s="2">
        <v>0.65999923844101804</v>
      </c>
      <c r="AC1155" s="2">
        <v>43195.415188773899</v>
      </c>
      <c r="AD1155" s="2">
        <v>14169.2055364237</v>
      </c>
      <c r="AE1155" s="2">
        <v>41366.004075281198</v>
      </c>
      <c r="AF1155" s="2">
        <v>47112.463440152002</v>
      </c>
      <c r="AG1155" s="2">
        <v>42100.479694053603</v>
      </c>
      <c r="AH1155" s="2">
        <v>39013.474034481304</v>
      </c>
      <c r="AI1155" s="2">
        <v>47978.870280299903</v>
      </c>
      <c r="AJ1155" s="2">
        <v>41601.199608375697</v>
      </c>
      <c r="AK1155" s="2">
        <v>13769.0445912371</v>
      </c>
      <c r="AL1155" s="2">
        <v>15209.9266640567</v>
      </c>
      <c r="AM1155" s="2">
        <v>13565.751487121001</v>
      </c>
      <c r="AN1155" s="2">
        <v>15980.646091157199</v>
      </c>
      <c r="AO1155" s="2">
        <v>13419.6824779613</v>
      </c>
      <c r="AP1155" s="2">
        <v>13070.1819070088</v>
      </c>
    </row>
    <row r="1156" spans="1:42" ht="14.5" x14ac:dyDescent="0.35">
      <c r="A1156" s="2" t="s">
        <v>7889</v>
      </c>
      <c r="B1156" s="2">
        <v>449.36200914147202</v>
      </c>
      <c r="C1156" s="2">
        <v>14.3569833333333</v>
      </c>
      <c r="D1156" s="2" t="s">
        <v>34</v>
      </c>
      <c r="E1156" s="2" t="s">
        <v>7890</v>
      </c>
      <c r="F1156" s="2">
        <v>43974</v>
      </c>
      <c r="G1156" s="3" t="str">
        <f>HYPERLINK("http://funmeta.oebiotech.com/network/43974", "http://funmeta.oebiotech.com/network/43974")</f>
        <v>http://funmeta.oebiotech.com/network/43974</v>
      </c>
      <c r="H1156" s="2" t="s">
        <v>7891</v>
      </c>
      <c r="I1156" s="2">
        <v>64145</v>
      </c>
      <c r="J1156" s="2" t="s">
        <v>7892</v>
      </c>
      <c r="K1156" s="2">
        <v>27173</v>
      </c>
      <c r="L1156" s="2" t="s">
        <v>7893</v>
      </c>
      <c r="M1156" s="2" t="s">
        <v>7894</v>
      </c>
      <c r="N1156" s="2" t="s">
        <v>7895</v>
      </c>
      <c r="O1156" s="2">
        <v>13475120</v>
      </c>
      <c r="P1156" s="2" t="s">
        <v>7896</v>
      </c>
      <c r="Q1156" s="2" t="s">
        <v>7897</v>
      </c>
      <c r="R1156" s="2" t="s">
        <v>7898</v>
      </c>
      <c r="S1156" s="2" t="s">
        <v>50</v>
      </c>
      <c r="T1156" s="2" t="s">
        <v>124</v>
      </c>
      <c r="U1156" s="2" t="s">
        <v>125</v>
      </c>
      <c r="V1156" s="2" t="s">
        <v>42</v>
      </c>
      <c r="W1156" s="2">
        <v>56.2</v>
      </c>
      <c r="X1156" s="2">
        <v>86.3</v>
      </c>
      <c r="Y1156" s="2" t="s">
        <v>394</v>
      </c>
      <c r="Z1156" s="2" t="s">
        <v>7899</v>
      </c>
      <c r="AA1156" s="2">
        <v>-1.1760944395624999</v>
      </c>
      <c r="AB1156" s="2">
        <v>0.65973578483365303</v>
      </c>
      <c r="AC1156" s="2">
        <v>107667.280787746</v>
      </c>
      <c r="AD1156" s="2">
        <v>139344.46198371399</v>
      </c>
      <c r="AE1156" s="2">
        <v>107237.26825395301</v>
      </c>
      <c r="AF1156" s="2">
        <v>97310.336288089195</v>
      </c>
      <c r="AG1156" s="2">
        <v>104014.01135324199</v>
      </c>
      <c r="AH1156" s="2">
        <v>113358.00322878201</v>
      </c>
      <c r="AI1156" s="2">
        <v>113719.43361599901</v>
      </c>
      <c r="AJ1156" s="2">
        <v>110364.63198641301</v>
      </c>
      <c r="AK1156" s="2">
        <v>147965.488319011</v>
      </c>
      <c r="AL1156" s="2">
        <v>143305.86019060799</v>
      </c>
      <c r="AM1156" s="2">
        <v>129058.24512051699</v>
      </c>
      <c r="AN1156" s="2">
        <v>126119.34026896799</v>
      </c>
      <c r="AO1156" s="2">
        <v>139099.997234159</v>
      </c>
      <c r="AP1156" s="2">
        <v>150517.840769022</v>
      </c>
    </row>
    <row r="1157" spans="1:42" ht="14.5" x14ac:dyDescent="0.35">
      <c r="A1157" s="2" t="s">
        <v>7900</v>
      </c>
      <c r="B1157" s="2">
        <v>523.18198284965604</v>
      </c>
      <c r="C1157" s="2">
        <v>4.6304499999999997</v>
      </c>
      <c r="D1157" s="2" t="s">
        <v>70</v>
      </c>
      <c r="E1157" s="2" t="s">
        <v>7901</v>
      </c>
      <c r="F1157" s="2">
        <v>29093</v>
      </c>
      <c r="G1157" s="3" t="str">
        <f>HYPERLINK("http://funmeta.oebiotech.com/network/29093", "http://funmeta.oebiotech.com/network/29093")</f>
        <v>http://funmeta.oebiotech.com/network/29093</v>
      </c>
      <c r="H1157" s="2"/>
      <c r="I1157" s="2"/>
      <c r="J1157" s="2" t="s">
        <v>7902</v>
      </c>
      <c r="K1157" s="2"/>
      <c r="L1157" s="2"/>
      <c r="M1157" s="2"/>
      <c r="N1157" s="2"/>
      <c r="O1157" s="2">
        <v>44257199</v>
      </c>
      <c r="P1157" s="2"/>
      <c r="Q1157" s="2" t="s">
        <v>7903</v>
      </c>
      <c r="R1157" s="2" t="s">
        <v>7904</v>
      </c>
      <c r="S1157" s="2" t="s">
        <v>115</v>
      </c>
      <c r="T1157" s="2" t="s">
        <v>139</v>
      </c>
      <c r="U1157" s="2" t="s">
        <v>140</v>
      </c>
      <c r="V1157" s="2" t="s">
        <v>59</v>
      </c>
      <c r="W1157" s="2">
        <v>47.2</v>
      </c>
      <c r="X1157" s="2">
        <v>38.6</v>
      </c>
      <c r="Y1157" s="2" t="s">
        <v>82</v>
      </c>
      <c r="Z1157" s="2" t="s">
        <v>7905</v>
      </c>
      <c r="AA1157" s="2">
        <v>-0.24504807720204</v>
      </c>
      <c r="AB1157" s="2">
        <v>0.65964266767038304</v>
      </c>
      <c r="AC1157" s="2">
        <v>1736349.59569844</v>
      </c>
      <c r="AD1157" s="2">
        <v>1661903.8443777501</v>
      </c>
      <c r="AE1157" s="2">
        <v>1707911.7149956799</v>
      </c>
      <c r="AF1157" s="2">
        <v>1887698.7250216601</v>
      </c>
      <c r="AG1157" s="2">
        <v>1646182.72896383</v>
      </c>
      <c r="AH1157" s="2">
        <v>1631638.47937985</v>
      </c>
      <c r="AI1157" s="2">
        <v>1767612.01322646</v>
      </c>
      <c r="AJ1157" s="2">
        <v>1777053.9126031699</v>
      </c>
      <c r="AK1157" s="2">
        <v>1638414.5023421601</v>
      </c>
      <c r="AL1157" s="2">
        <v>1694938.06759527</v>
      </c>
      <c r="AM1157" s="2">
        <v>1588141.47192898</v>
      </c>
      <c r="AN1157" s="2">
        <v>1800881.7837489401</v>
      </c>
      <c r="AO1157" s="2">
        <v>1522411.41969045</v>
      </c>
      <c r="AP1157" s="2">
        <v>1726635.8209607301</v>
      </c>
    </row>
    <row r="1158" spans="1:42" ht="14.5" x14ac:dyDescent="0.35">
      <c r="A1158" s="2" t="s">
        <v>7906</v>
      </c>
      <c r="B1158" s="2">
        <v>489.26340677282201</v>
      </c>
      <c r="C1158" s="2">
        <v>10.984450000000001</v>
      </c>
      <c r="D1158" s="2" t="s">
        <v>34</v>
      </c>
      <c r="E1158" s="2" t="s">
        <v>7907</v>
      </c>
      <c r="F1158" s="2">
        <v>44793</v>
      </c>
      <c r="G1158" s="3" t="str">
        <f>HYPERLINK("http://funmeta.oebiotech.com/network/44793", "http://funmeta.oebiotech.com/network/44793")</f>
        <v>http://funmeta.oebiotech.com/network/44793</v>
      </c>
      <c r="H1158" s="2"/>
      <c r="I1158" s="2">
        <v>84270</v>
      </c>
      <c r="J1158" s="2" t="s">
        <v>7908</v>
      </c>
      <c r="K1158" s="2"/>
      <c r="L1158" s="2"/>
      <c r="M1158" s="2"/>
      <c r="N1158" s="2"/>
      <c r="O1158" s="2">
        <v>52931500</v>
      </c>
      <c r="P1158" s="2"/>
      <c r="Q1158" s="2" t="s">
        <v>7909</v>
      </c>
      <c r="R1158" s="2" t="s">
        <v>7910</v>
      </c>
      <c r="S1158" s="2" t="s">
        <v>50</v>
      </c>
      <c r="T1158" s="2" t="s">
        <v>124</v>
      </c>
      <c r="U1158" s="2" t="s">
        <v>567</v>
      </c>
      <c r="V1158" s="2" t="s">
        <v>59</v>
      </c>
      <c r="W1158" s="2">
        <v>41.6</v>
      </c>
      <c r="X1158" s="2">
        <v>16</v>
      </c>
      <c r="Y1158" s="2" t="s">
        <v>323</v>
      </c>
      <c r="Z1158" s="2" t="s">
        <v>7911</v>
      </c>
      <c r="AA1158" s="2">
        <v>4.8507667814405302</v>
      </c>
      <c r="AB1158" s="2">
        <v>0.65957173486758303</v>
      </c>
      <c r="AC1158" s="2">
        <v>89725.654875977401</v>
      </c>
      <c r="AD1158" s="2">
        <v>59717.585884911299</v>
      </c>
      <c r="AE1158" s="2">
        <v>92203.804032817294</v>
      </c>
      <c r="AF1158" s="2">
        <v>85407.055284257207</v>
      </c>
      <c r="AG1158" s="2">
        <v>89643.714889721698</v>
      </c>
      <c r="AH1158" s="2">
        <v>95805.814087937295</v>
      </c>
      <c r="AI1158" s="2">
        <v>83860.126129379496</v>
      </c>
      <c r="AJ1158" s="2">
        <v>91433.414831751303</v>
      </c>
      <c r="AK1158" s="2">
        <v>56451.826910208802</v>
      </c>
      <c r="AL1158" s="2">
        <v>52640.006258939196</v>
      </c>
      <c r="AM1158" s="2">
        <v>68308.615669150895</v>
      </c>
      <c r="AN1158" s="2">
        <v>65623.610947763998</v>
      </c>
      <c r="AO1158" s="2">
        <v>56639.6169933727</v>
      </c>
      <c r="AP1158" s="2">
        <v>58641.838530032001</v>
      </c>
    </row>
    <row r="1159" spans="1:42" ht="14.5" x14ac:dyDescent="0.35">
      <c r="A1159" s="2" t="s">
        <v>7912</v>
      </c>
      <c r="B1159" s="2">
        <v>985.47539515983601</v>
      </c>
      <c r="C1159" s="2">
        <v>5.2337999999999996</v>
      </c>
      <c r="D1159" s="2" t="s">
        <v>34</v>
      </c>
      <c r="E1159" s="2" t="s">
        <v>7913</v>
      </c>
      <c r="F1159" s="2">
        <v>237474</v>
      </c>
      <c r="G1159" s="3" t="str">
        <f>HYPERLINK("http://funmeta.oebiotech.com/network/237474", "http://funmeta.oebiotech.com/network/237474")</f>
        <v>http://funmeta.oebiotech.com/network/237474</v>
      </c>
      <c r="H1159" s="2" t="s">
        <v>7914</v>
      </c>
      <c r="I1159" s="2"/>
      <c r="J1159" s="2"/>
      <c r="K1159" s="2"/>
      <c r="L1159" s="2"/>
      <c r="M1159" s="2"/>
      <c r="N1159" s="2"/>
      <c r="O1159" s="2"/>
      <c r="P1159" s="2"/>
      <c r="Q1159" s="2" t="s">
        <v>7915</v>
      </c>
      <c r="R1159" s="2" t="s">
        <v>7916</v>
      </c>
      <c r="S1159" s="2" t="s">
        <v>41</v>
      </c>
      <c r="T1159" s="2" t="s">
        <v>41</v>
      </c>
      <c r="U1159" s="2" t="s">
        <v>41</v>
      </c>
      <c r="V1159" s="2" t="s">
        <v>59</v>
      </c>
      <c r="W1159" s="2">
        <v>37.4</v>
      </c>
      <c r="X1159" s="2">
        <v>0</v>
      </c>
      <c r="Y1159" s="2" t="s">
        <v>340</v>
      </c>
      <c r="Z1159" s="2" t="s">
        <v>7917</v>
      </c>
      <c r="AA1159" s="2">
        <v>-2.0939024613858299</v>
      </c>
      <c r="AB1159" s="2">
        <v>0.65905177310389895</v>
      </c>
      <c r="AC1159" s="2">
        <v>120015.808186239</v>
      </c>
      <c r="AD1159" s="2">
        <v>83650.248683094702</v>
      </c>
      <c r="AE1159" s="2">
        <v>125497.53021318901</v>
      </c>
      <c r="AF1159" s="2">
        <v>116899.551477092</v>
      </c>
      <c r="AG1159" s="2">
        <v>123323.65573105701</v>
      </c>
      <c r="AH1159" s="2">
        <v>116804.538858896</v>
      </c>
      <c r="AI1159" s="2">
        <v>121422.270210619</v>
      </c>
      <c r="AJ1159" s="2">
        <v>116147.30262658199</v>
      </c>
      <c r="AK1159" s="2">
        <v>111651.42084306</v>
      </c>
      <c r="AL1159" s="2">
        <v>111003.518481134</v>
      </c>
      <c r="AM1159" s="2">
        <v>81634.715198280901</v>
      </c>
      <c r="AN1159" s="2">
        <v>62192.642264815397</v>
      </c>
      <c r="AO1159" s="2">
        <v>69420.145597702402</v>
      </c>
      <c r="AP1159" s="2">
        <v>65999.049713575398</v>
      </c>
    </row>
    <row r="1160" spans="1:42" ht="14.5" x14ac:dyDescent="0.35">
      <c r="A1160" s="2" t="s">
        <v>7918</v>
      </c>
      <c r="B1160" s="2">
        <v>769.34369241497097</v>
      </c>
      <c r="C1160" s="2">
        <v>5.04155</v>
      </c>
      <c r="D1160" s="2" t="s">
        <v>70</v>
      </c>
      <c r="E1160" s="2" t="s">
        <v>7919</v>
      </c>
      <c r="F1160" s="2">
        <v>27976</v>
      </c>
      <c r="G1160" s="3" t="str">
        <f>HYPERLINK("http://funmeta.oebiotech.com/network/27976", "http://funmeta.oebiotech.com/network/27976")</f>
        <v>http://funmeta.oebiotech.com/network/27976</v>
      </c>
      <c r="H1160" s="2"/>
      <c r="I1160" s="2"/>
      <c r="J1160" s="2" t="s">
        <v>7920</v>
      </c>
      <c r="K1160" s="2"/>
      <c r="L1160" s="2"/>
      <c r="M1160" s="2"/>
      <c r="N1160" s="2"/>
      <c r="O1160" s="2">
        <v>134812423</v>
      </c>
      <c r="P1160" s="2"/>
      <c r="Q1160" s="2" t="s">
        <v>7921</v>
      </c>
      <c r="R1160" s="2" t="s">
        <v>7922</v>
      </c>
      <c r="S1160" s="2" t="s">
        <v>50</v>
      </c>
      <c r="T1160" s="2" t="s">
        <v>51</v>
      </c>
      <c r="U1160" s="2" t="s">
        <v>52</v>
      </c>
      <c r="V1160" s="2" t="s">
        <v>42</v>
      </c>
      <c r="W1160" s="2">
        <v>47.3</v>
      </c>
      <c r="X1160" s="2">
        <v>62.3</v>
      </c>
      <c r="Y1160" s="2" t="s">
        <v>408</v>
      </c>
      <c r="Z1160" s="2" t="s">
        <v>7923</v>
      </c>
      <c r="AA1160" s="2">
        <v>2.7359858414242599</v>
      </c>
      <c r="AB1160" s="2">
        <v>0.65870870044748098</v>
      </c>
      <c r="AC1160" s="2">
        <v>1388340.46572738</v>
      </c>
      <c r="AD1160" s="2">
        <v>1338370.64127774</v>
      </c>
      <c r="AE1160" s="2">
        <v>1391838.6266349901</v>
      </c>
      <c r="AF1160" s="2">
        <v>1343163.38583874</v>
      </c>
      <c r="AG1160" s="2">
        <v>1421293.3735555401</v>
      </c>
      <c r="AH1160" s="2">
        <v>1420593.07571376</v>
      </c>
      <c r="AI1160" s="2">
        <v>1345197.1878897401</v>
      </c>
      <c r="AJ1160" s="2">
        <v>1407957.1447314799</v>
      </c>
      <c r="AK1160" s="2">
        <v>1290595.4272375801</v>
      </c>
      <c r="AL1160" s="2">
        <v>1312529.8339173701</v>
      </c>
      <c r="AM1160" s="2">
        <v>1397582.96872102</v>
      </c>
      <c r="AN1160" s="2">
        <v>1299410.0944192701</v>
      </c>
      <c r="AO1160" s="2">
        <v>1369332.95060923</v>
      </c>
      <c r="AP1160" s="2">
        <v>1360772.5727619899</v>
      </c>
    </row>
    <row r="1161" spans="1:42" ht="14.5" x14ac:dyDescent="0.35">
      <c r="A1161" s="2" t="s">
        <v>7924</v>
      </c>
      <c r="B1161" s="2">
        <v>600.26750249959105</v>
      </c>
      <c r="C1161" s="2">
        <v>5.37571666666667</v>
      </c>
      <c r="D1161" s="2" t="s">
        <v>70</v>
      </c>
      <c r="E1161" s="2" t="s">
        <v>7925</v>
      </c>
      <c r="F1161" s="2">
        <v>47360</v>
      </c>
      <c r="G1161" s="3" t="str">
        <f>HYPERLINK("http://funmeta.oebiotech.com/network/47360", "http://funmeta.oebiotech.com/network/47360")</f>
        <v>http://funmeta.oebiotech.com/network/47360</v>
      </c>
      <c r="H1161" s="2" t="s">
        <v>7926</v>
      </c>
      <c r="I1161" s="2">
        <v>24069</v>
      </c>
      <c r="J1161" s="2"/>
      <c r="K1161" s="2">
        <v>89656</v>
      </c>
      <c r="L1161" s="2"/>
      <c r="M1161" s="2"/>
      <c r="N1161" s="2"/>
      <c r="O1161" s="2">
        <v>461776</v>
      </c>
      <c r="P1161" s="2" t="s">
        <v>7927</v>
      </c>
      <c r="Q1161" s="2" t="s">
        <v>7928</v>
      </c>
      <c r="R1161" s="2" t="s">
        <v>7929</v>
      </c>
      <c r="S1161" s="2" t="s">
        <v>89</v>
      </c>
      <c r="T1161" s="2" t="s">
        <v>90</v>
      </c>
      <c r="U1161" s="2" t="s">
        <v>99</v>
      </c>
      <c r="V1161" s="2" t="s">
        <v>59</v>
      </c>
      <c r="W1161" s="2">
        <v>39.799999999999997</v>
      </c>
      <c r="X1161" s="2">
        <v>7.91</v>
      </c>
      <c r="Y1161" s="2" t="s">
        <v>408</v>
      </c>
      <c r="Z1161" s="2" t="s">
        <v>7930</v>
      </c>
      <c r="AA1161" s="2">
        <v>1.9487492764061901E-3</v>
      </c>
      <c r="AB1161" s="2">
        <v>0.65868721758136595</v>
      </c>
      <c r="AC1161" s="2">
        <v>72731.568056948599</v>
      </c>
      <c r="AD1161" s="2">
        <v>43595.635438912199</v>
      </c>
      <c r="AE1161" s="2">
        <v>72010.105842974503</v>
      </c>
      <c r="AF1161" s="2">
        <v>73438.516619654096</v>
      </c>
      <c r="AG1161" s="2">
        <v>77240.960618398705</v>
      </c>
      <c r="AH1161" s="2">
        <v>77722.582394167694</v>
      </c>
      <c r="AI1161" s="2">
        <v>69613.003110853693</v>
      </c>
      <c r="AJ1161" s="2">
        <v>66364.239755643095</v>
      </c>
      <c r="AK1161" s="2">
        <v>44125.571979151398</v>
      </c>
      <c r="AL1161" s="2">
        <v>47048.175368781798</v>
      </c>
      <c r="AM1161" s="2">
        <v>43026.443140413001</v>
      </c>
      <c r="AN1161" s="2">
        <v>45295.794726506603</v>
      </c>
      <c r="AO1161" s="2">
        <v>42836.6574998371</v>
      </c>
      <c r="AP1161" s="2">
        <v>39241.169918783598</v>
      </c>
    </row>
    <row r="1162" spans="1:42" ht="14.5" x14ac:dyDescent="0.35">
      <c r="A1162" s="2" t="s">
        <v>7931</v>
      </c>
      <c r="B1162" s="2">
        <v>333.094288762014</v>
      </c>
      <c r="C1162" s="2">
        <v>4.9617833333333303</v>
      </c>
      <c r="D1162" s="2" t="s">
        <v>34</v>
      </c>
      <c r="E1162" s="2" t="s">
        <v>7932</v>
      </c>
      <c r="F1162" s="2">
        <v>35551</v>
      </c>
      <c r="G1162" s="3" t="str">
        <f>HYPERLINK("http://funmeta.oebiotech.com/network/35551", "http://funmeta.oebiotech.com/network/35551")</f>
        <v>http://funmeta.oebiotech.com/network/35551</v>
      </c>
      <c r="H1162" s="2"/>
      <c r="I1162" s="2"/>
      <c r="J1162" s="2" t="s">
        <v>7933</v>
      </c>
      <c r="K1162" s="2"/>
      <c r="L1162" s="2"/>
      <c r="M1162" s="2"/>
      <c r="N1162" s="2"/>
      <c r="O1162" s="2"/>
      <c r="P1162" s="2"/>
      <c r="Q1162" s="2" t="s">
        <v>7934</v>
      </c>
      <c r="R1162" s="2" t="s">
        <v>7935</v>
      </c>
      <c r="S1162" s="2" t="s">
        <v>491</v>
      </c>
      <c r="T1162" s="2" t="s">
        <v>5973</v>
      </c>
      <c r="U1162" s="2" t="s">
        <v>6296</v>
      </c>
      <c r="V1162" s="2" t="s">
        <v>59</v>
      </c>
      <c r="W1162" s="2">
        <v>40.1</v>
      </c>
      <c r="X1162" s="2">
        <v>5.48</v>
      </c>
      <c r="Y1162" s="2" t="s">
        <v>323</v>
      </c>
      <c r="Z1162" s="2" t="s">
        <v>4545</v>
      </c>
      <c r="AA1162" s="2">
        <v>-0.59603042760360403</v>
      </c>
      <c r="AB1162" s="2">
        <v>0.65868575843869703</v>
      </c>
      <c r="AC1162" s="2">
        <v>52937.949339022103</v>
      </c>
      <c r="AD1162" s="2">
        <v>23958.300759715301</v>
      </c>
      <c r="AE1162" s="2">
        <v>50960.051776100197</v>
      </c>
      <c r="AF1162" s="2">
        <v>54928.943922701001</v>
      </c>
      <c r="AG1162" s="2">
        <v>54588.600947812403</v>
      </c>
      <c r="AH1162" s="2">
        <v>52305.432991710899</v>
      </c>
      <c r="AI1162" s="2">
        <v>57404.646732060297</v>
      </c>
      <c r="AJ1162" s="2">
        <v>47440.019663747502</v>
      </c>
      <c r="AK1162" s="2">
        <v>27113.979416984799</v>
      </c>
      <c r="AL1162" s="2">
        <v>22358.645265114599</v>
      </c>
      <c r="AM1162" s="2">
        <v>23210.725506211598</v>
      </c>
      <c r="AN1162" s="2">
        <v>22250.770794808301</v>
      </c>
      <c r="AO1162" s="2">
        <v>26152.683185907001</v>
      </c>
      <c r="AP1162" s="2">
        <v>22663.000389265599</v>
      </c>
    </row>
    <row r="1163" spans="1:42" ht="14.5" x14ac:dyDescent="0.35">
      <c r="A1163" s="2" t="s">
        <v>7936</v>
      </c>
      <c r="B1163" s="2">
        <v>573.23032220228401</v>
      </c>
      <c r="C1163" s="2">
        <v>8.5996166666666696</v>
      </c>
      <c r="D1163" s="2" t="s">
        <v>34</v>
      </c>
      <c r="E1163" s="2" t="s">
        <v>7937</v>
      </c>
      <c r="F1163" s="2">
        <v>61067</v>
      </c>
      <c r="G1163" s="3" t="str">
        <f>HYPERLINK("http://funmeta.oebiotech.com/network/61067", "http://funmeta.oebiotech.com/network/61067")</f>
        <v>http://funmeta.oebiotech.com/network/61067</v>
      </c>
      <c r="H1163" s="2" t="s">
        <v>7938</v>
      </c>
      <c r="I1163" s="2">
        <v>92393</v>
      </c>
      <c r="J1163" s="2"/>
      <c r="K1163" s="2">
        <v>138797</v>
      </c>
      <c r="L1163" s="2"/>
      <c r="M1163" s="2"/>
      <c r="N1163" s="2"/>
      <c r="O1163" s="2">
        <v>131752203</v>
      </c>
      <c r="P1163" s="2" t="s">
        <v>7939</v>
      </c>
      <c r="Q1163" s="2" t="s">
        <v>7940</v>
      </c>
      <c r="R1163" s="2" t="s">
        <v>7941</v>
      </c>
      <c r="S1163" s="2" t="s">
        <v>50</v>
      </c>
      <c r="T1163" s="2" t="s">
        <v>201</v>
      </c>
      <c r="U1163" s="2" t="s">
        <v>202</v>
      </c>
      <c r="V1163" s="2" t="s">
        <v>42</v>
      </c>
      <c r="W1163" s="2">
        <v>50.9</v>
      </c>
      <c r="X1163" s="2">
        <v>61.3</v>
      </c>
      <c r="Y1163" s="2" t="s">
        <v>340</v>
      </c>
      <c r="Z1163" s="2" t="s">
        <v>5414</v>
      </c>
      <c r="AA1163" s="2">
        <v>-0.86596932477301902</v>
      </c>
      <c r="AB1163" s="2">
        <v>0.65805821511256901</v>
      </c>
      <c r="AC1163" s="2">
        <v>115065.765276195</v>
      </c>
      <c r="AD1163" s="2">
        <v>84518.389085078103</v>
      </c>
      <c r="AE1163" s="2">
        <v>114891.58962646101</v>
      </c>
      <c r="AF1163" s="2">
        <v>121875.50584904299</v>
      </c>
      <c r="AG1163" s="2">
        <v>112328.418076078</v>
      </c>
      <c r="AH1163" s="2">
        <v>122222.34792698101</v>
      </c>
      <c r="AI1163" s="2">
        <v>116234.17617050299</v>
      </c>
      <c r="AJ1163" s="2">
        <v>102842.55400810701</v>
      </c>
      <c r="AK1163" s="2">
        <v>86007.9916767822</v>
      </c>
      <c r="AL1163" s="2">
        <v>76056.348723187504</v>
      </c>
      <c r="AM1163" s="2">
        <v>90324.317816231996</v>
      </c>
      <c r="AN1163" s="2">
        <v>90084.530727318299</v>
      </c>
      <c r="AO1163" s="2">
        <v>79455.580091484997</v>
      </c>
      <c r="AP1163" s="2">
        <v>85181.565475463707</v>
      </c>
    </row>
    <row r="1164" spans="1:42" ht="14.5" x14ac:dyDescent="0.35">
      <c r="A1164" s="2" t="s">
        <v>7942</v>
      </c>
      <c r="B1164" s="2">
        <v>539.17464304792895</v>
      </c>
      <c r="C1164" s="2">
        <v>4.8801333333333297</v>
      </c>
      <c r="D1164" s="2" t="s">
        <v>70</v>
      </c>
      <c r="E1164" s="2" t="s">
        <v>7943</v>
      </c>
      <c r="F1164" s="2">
        <v>207445</v>
      </c>
      <c r="G1164" s="3" t="str">
        <f>HYPERLINK("http://funmeta.oebiotech.com/network/207445", "http://funmeta.oebiotech.com/network/207445")</f>
        <v>http://funmeta.oebiotech.com/network/207445</v>
      </c>
      <c r="H1164" s="2" t="s">
        <v>7944</v>
      </c>
      <c r="I1164" s="2"/>
      <c r="J1164" s="2"/>
      <c r="K1164" s="2"/>
      <c r="L1164" s="2"/>
      <c r="M1164" s="2"/>
      <c r="N1164" s="2"/>
      <c r="O1164" s="2">
        <v>4221373</v>
      </c>
      <c r="P1164" s="2"/>
      <c r="Q1164" s="2" t="s">
        <v>7945</v>
      </c>
      <c r="R1164" s="2" t="s">
        <v>7946</v>
      </c>
      <c r="S1164" s="2" t="s">
        <v>50</v>
      </c>
      <c r="T1164" s="2" t="s">
        <v>201</v>
      </c>
      <c r="U1164" s="2" t="s">
        <v>202</v>
      </c>
      <c r="V1164" s="2" t="s">
        <v>59</v>
      </c>
      <c r="W1164" s="2">
        <v>41.5</v>
      </c>
      <c r="X1164" s="2">
        <v>19.7</v>
      </c>
      <c r="Y1164" s="2" t="s">
        <v>286</v>
      </c>
      <c r="Z1164" s="2" t="s">
        <v>7947</v>
      </c>
      <c r="AA1164" s="2">
        <v>-4.7990712568700502</v>
      </c>
      <c r="AB1164" s="2">
        <v>0.65802070138991897</v>
      </c>
      <c r="AC1164" s="2">
        <v>103289.91771737</v>
      </c>
      <c r="AD1164" s="2">
        <v>132879.96752053301</v>
      </c>
      <c r="AE1164" s="2">
        <v>102264.56425841</v>
      </c>
      <c r="AF1164" s="2">
        <v>113453.615545797</v>
      </c>
      <c r="AG1164" s="2">
        <v>103940.614078559</v>
      </c>
      <c r="AH1164" s="2">
        <v>105058.59372761101</v>
      </c>
      <c r="AI1164" s="2">
        <v>97499.974851474297</v>
      </c>
      <c r="AJ1164" s="2">
        <v>97522.143842367499</v>
      </c>
      <c r="AK1164" s="2">
        <v>135150.54597836701</v>
      </c>
      <c r="AL1164" s="2">
        <v>133781.41535623401</v>
      </c>
      <c r="AM1164" s="2">
        <v>128688.85248304901</v>
      </c>
      <c r="AN1164" s="2">
        <v>134229.486079072</v>
      </c>
      <c r="AO1164" s="2">
        <v>132791.79289333001</v>
      </c>
      <c r="AP1164" s="2">
        <v>132637.712333145</v>
      </c>
    </row>
    <row r="1165" spans="1:42" ht="14.5" x14ac:dyDescent="0.35">
      <c r="A1165" s="2" t="s">
        <v>7948</v>
      </c>
      <c r="B1165" s="2">
        <v>602.47753498259999</v>
      </c>
      <c r="C1165" s="2">
        <v>15.158049999999999</v>
      </c>
      <c r="D1165" s="2" t="s">
        <v>34</v>
      </c>
      <c r="E1165" s="2" t="s">
        <v>7949</v>
      </c>
      <c r="F1165" s="2">
        <v>243005</v>
      </c>
      <c r="G1165" s="3" t="str">
        <f>HYPERLINK("http://funmeta.oebiotech.com/network/243005", "http://funmeta.oebiotech.com/network/243005")</f>
        <v>http://funmeta.oebiotech.com/network/243005</v>
      </c>
      <c r="H1165" s="2" t="s">
        <v>7950</v>
      </c>
      <c r="I1165" s="2"/>
      <c r="J1165" s="2"/>
      <c r="K1165" s="2"/>
      <c r="L1165" s="2"/>
      <c r="M1165" s="2"/>
      <c r="N1165" s="2"/>
      <c r="O1165" s="2"/>
      <c r="P1165" s="2"/>
      <c r="Q1165" s="2" t="s">
        <v>7951</v>
      </c>
      <c r="R1165" s="2" t="s">
        <v>7952</v>
      </c>
      <c r="S1165" s="2" t="s">
        <v>41</v>
      </c>
      <c r="T1165" s="2" t="s">
        <v>41</v>
      </c>
      <c r="U1165" s="2" t="s">
        <v>41</v>
      </c>
      <c r="V1165" s="2" t="s">
        <v>59</v>
      </c>
      <c r="W1165" s="2">
        <v>41.6</v>
      </c>
      <c r="X1165" s="2">
        <v>12.5</v>
      </c>
      <c r="Y1165" s="2" t="s">
        <v>394</v>
      </c>
      <c r="Z1165" s="2" t="s">
        <v>7953</v>
      </c>
      <c r="AA1165" s="2">
        <v>-0.60779761366681495</v>
      </c>
      <c r="AB1165" s="2">
        <v>0.65689047468692696</v>
      </c>
      <c r="AC1165" s="2">
        <v>109164.496937583</v>
      </c>
      <c r="AD1165" s="2">
        <v>140851.389802805</v>
      </c>
      <c r="AE1165" s="2">
        <v>102009.02315763199</v>
      </c>
      <c r="AF1165" s="2">
        <v>103959.898600951</v>
      </c>
      <c r="AG1165" s="2">
        <v>105984.829587641</v>
      </c>
      <c r="AH1165" s="2">
        <v>118222.598513659</v>
      </c>
      <c r="AI1165" s="2">
        <v>107542.609862004</v>
      </c>
      <c r="AJ1165" s="2">
        <v>117268.02190361101</v>
      </c>
      <c r="AK1165" s="2">
        <v>156839.15754265399</v>
      </c>
      <c r="AL1165" s="2">
        <v>138770.665339545</v>
      </c>
      <c r="AM1165" s="2">
        <v>128791.34822087501</v>
      </c>
      <c r="AN1165" s="2">
        <v>133164.36921470499</v>
      </c>
      <c r="AO1165" s="2">
        <v>147664.183121471</v>
      </c>
      <c r="AP1165" s="2">
        <v>139878.615377582</v>
      </c>
    </row>
    <row r="1166" spans="1:42" ht="14.5" x14ac:dyDescent="0.35">
      <c r="A1166" s="2" t="s">
        <v>7954</v>
      </c>
      <c r="B1166" s="2">
        <v>333.15181111187297</v>
      </c>
      <c r="C1166" s="2">
        <v>3.9845333333333302</v>
      </c>
      <c r="D1166" s="2" t="s">
        <v>34</v>
      </c>
      <c r="E1166" s="2" t="s">
        <v>7955</v>
      </c>
      <c r="F1166" s="2">
        <v>56463</v>
      </c>
      <c r="G1166" s="3" t="str">
        <f>HYPERLINK("http://funmeta.oebiotech.com/network/56463", "http://funmeta.oebiotech.com/network/56463")</f>
        <v>http://funmeta.oebiotech.com/network/56463</v>
      </c>
      <c r="H1166" s="2" t="s">
        <v>7956</v>
      </c>
      <c r="I1166" s="2"/>
      <c r="J1166" s="2"/>
      <c r="K1166" s="2"/>
      <c r="L1166" s="2"/>
      <c r="M1166" s="2"/>
      <c r="N1166" s="2"/>
      <c r="O1166" s="2">
        <v>131751244</v>
      </c>
      <c r="P1166" s="2"/>
      <c r="Q1166" s="2" t="s">
        <v>7957</v>
      </c>
      <c r="R1166" s="2" t="s">
        <v>7958</v>
      </c>
      <c r="S1166" s="2" t="s">
        <v>50</v>
      </c>
      <c r="T1166" s="2" t="s">
        <v>201</v>
      </c>
      <c r="U1166" s="2" t="s">
        <v>636</v>
      </c>
      <c r="V1166" s="2" t="s">
        <v>59</v>
      </c>
      <c r="W1166" s="2">
        <v>39.1</v>
      </c>
      <c r="X1166" s="2">
        <v>10.1</v>
      </c>
      <c r="Y1166" s="2" t="s">
        <v>266</v>
      </c>
      <c r="Z1166" s="2" t="s">
        <v>7959</v>
      </c>
      <c r="AA1166" s="2">
        <v>-0.23118374809108599</v>
      </c>
      <c r="AB1166" s="2">
        <v>0.65679533993738404</v>
      </c>
      <c r="AC1166" s="2">
        <v>112248.205450882</v>
      </c>
      <c r="AD1166" s="2">
        <v>141992.658241686</v>
      </c>
      <c r="AE1166" s="2">
        <v>112549.32571690201</v>
      </c>
      <c r="AF1166" s="2">
        <v>115646.956759482</v>
      </c>
      <c r="AG1166" s="2">
        <v>107045.59025637701</v>
      </c>
      <c r="AH1166" s="2">
        <v>106717.66763675799</v>
      </c>
      <c r="AI1166" s="2">
        <v>120690.311097496</v>
      </c>
      <c r="AJ1166" s="2">
        <v>110839.38123827901</v>
      </c>
      <c r="AK1166" s="2">
        <v>142502.80545019801</v>
      </c>
      <c r="AL1166" s="2">
        <v>142698.540101722</v>
      </c>
      <c r="AM1166" s="2">
        <v>137925.972097427</v>
      </c>
      <c r="AN1166" s="2">
        <v>136899.89293311199</v>
      </c>
      <c r="AO1166" s="2">
        <v>140022.99337081899</v>
      </c>
      <c r="AP1166" s="2">
        <v>151905.74549683501</v>
      </c>
    </row>
    <row r="1167" spans="1:42" ht="14.5" x14ac:dyDescent="0.35">
      <c r="A1167" s="2" t="s">
        <v>7960</v>
      </c>
      <c r="B1167" s="2">
        <v>191.142922305702</v>
      </c>
      <c r="C1167" s="2">
        <v>4.4289500000000004</v>
      </c>
      <c r="D1167" s="2" t="s">
        <v>34</v>
      </c>
      <c r="E1167" s="2" t="s">
        <v>7961</v>
      </c>
      <c r="F1167" s="2">
        <v>60363</v>
      </c>
      <c r="G1167" s="3" t="str">
        <f>HYPERLINK("http://funmeta.oebiotech.com/network/60363", "http://funmeta.oebiotech.com/network/60363")</f>
        <v>http://funmeta.oebiotech.com/network/60363</v>
      </c>
      <c r="H1167" s="2" t="s">
        <v>7962</v>
      </c>
      <c r="I1167" s="2">
        <v>91722</v>
      </c>
      <c r="J1167" s="2"/>
      <c r="K1167" s="2">
        <v>168238</v>
      </c>
      <c r="L1167" s="2"/>
      <c r="M1167" s="2"/>
      <c r="N1167" s="2"/>
      <c r="O1167" s="2">
        <v>85517881</v>
      </c>
      <c r="P1167" s="2" t="s">
        <v>7963</v>
      </c>
      <c r="Q1167" s="2" t="s">
        <v>7964</v>
      </c>
      <c r="R1167" s="2" t="s">
        <v>7965</v>
      </c>
      <c r="S1167" s="2" t="s">
        <v>79</v>
      </c>
      <c r="T1167" s="2" t="s">
        <v>80</v>
      </c>
      <c r="U1167" s="2" t="s">
        <v>2820</v>
      </c>
      <c r="V1167" s="2" t="s">
        <v>42</v>
      </c>
      <c r="W1167" s="2">
        <v>53.7</v>
      </c>
      <c r="X1167" s="2">
        <v>71.5</v>
      </c>
      <c r="Y1167" s="2" t="s">
        <v>266</v>
      </c>
      <c r="Z1167" s="2" t="s">
        <v>7966</v>
      </c>
      <c r="AA1167" s="2">
        <v>-0.62756798064433095</v>
      </c>
      <c r="AB1167" s="2">
        <v>0.65651249146400403</v>
      </c>
      <c r="AC1167" s="2">
        <v>221171.939970604</v>
      </c>
      <c r="AD1167" s="2">
        <v>191096.876075551</v>
      </c>
      <c r="AE1167" s="2">
        <v>215501.24147024099</v>
      </c>
      <c r="AF1167" s="2">
        <v>225538.32487780601</v>
      </c>
      <c r="AG1167" s="2">
        <v>224409.56393626201</v>
      </c>
      <c r="AH1167" s="2">
        <v>215170.72490844899</v>
      </c>
      <c r="AI1167" s="2">
        <v>220828.04077525399</v>
      </c>
      <c r="AJ1167" s="2">
        <v>225583.74385561401</v>
      </c>
      <c r="AK1167" s="2">
        <v>193906.89190395799</v>
      </c>
      <c r="AL1167" s="2">
        <v>187817.00631274399</v>
      </c>
      <c r="AM1167" s="2">
        <v>198013.62829420701</v>
      </c>
      <c r="AN1167" s="2">
        <v>186938.31810561899</v>
      </c>
      <c r="AO1167" s="2">
        <v>181056.41349035499</v>
      </c>
      <c r="AP1167" s="2">
        <v>198848.99834642099</v>
      </c>
    </row>
    <row r="1168" spans="1:42" ht="14.5" x14ac:dyDescent="0.35">
      <c r="A1168" s="2" t="s">
        <v>7967</v>
      </c>
      <c r="B1168" s="2">
        <v>371.13445516192598</v>
      </c>
      <c r="C1168" s="2">
        <v>3.7870499999999998</v>
      </c>
      <c r="D1168" s="2" t="s">
        <v>70</v>
      </c>
      <c r="E1168" s="2" t="s">
        <v>7968</v>
      </c>
      <c r="F1168" s="2">
        <v>274293</v>
      </c>
      <c r="G1168" s="3" t="str">
        <f>HYPERLINK("http://funmeta.oebiotech.com/network/274293", "http://funmeta.oebiotech.com/network/274293")</f>
        <v>http://funmeta.oebiotech.com/network/274293</v>
      </c>
      <c r="H1168" s="2"/>
      <c r="I1168" s="2">
        <v>64181</v>
      </c>
      <c r="J1168" s="2"/>
      <c r="K1168" s="2"/>
      <c r="L1168" s="2" t="s">
        <v>7969</v>
      </c>
      <c r="M1168" s="2" t="s">
        <v>74</v>
      </c>
      <c r="N1168" s="2" t="s">
        <v>75</v>
      </c>
      <c r="O1168" s="2">
        <v>5316860</v>
      </c>
      <c r="P1168" s="2" t="s">
        <v>7970</v>
      </c>
      <c r="Q1168" s="2" t="s">
        <v>7971</v>
      </c>
      <c r="R1168" s="2" t="s">
        <v>7972</v>
      </c>
      <c r="S1168" s="2" t="s">
        <v>79</v>
      </c>
      <c r="T1168" s="2" t="s">
        <v>80</v>
      </c>
      <c r="U1168" s="2" t="s">
        <v>81</v>
      </c>
      <c r="V1168" s="2" t="s">
        <v>42</v>
      </c>
      <c r="W1168" s="2">
        <v>50.8</v>
      </c>
      <c r="X1168" s="2">
        <v>59.6</v>
      </c>
      <c r="Y1168" s="2" t="s">
        <v>286</v>
      </c>
      <c r="Z1168" s="2" t="s">
        <v>7973</v>
      </c>
      <c r="AA1168" s="2">
        <v>-0.80816400241514896</v>
      </c>
      <c r="AB1168" s="2">
        <v>0.65630594132940701</v>
      </c>
      <c r="AC1168" s="2">
        <v>52008.381223962497</v>
      </c>
      <c r="AD1168" s="2">
        <v>80710.039071670995</v>
      </c>
      <c r="AE1168" s="2">
        <v>54301.572674630501</v>
      </c>
      <c r="AF1168" s="2">
        <v>50933.309777406503</v>
      </c>
      <c r="AG1168" s="2">
        <v>49673.635211570698</v>
      </c>
      <c r="AH1168" s="2">
        <v>50525.2519845844</v>
      </c>
      <c r="AI1168" s="2">
        <v>53874.687266186003</v>
      </c>
      <c r="AJ1168" s="2">
        <v>52741.830429396701</v>
      </c>
      <c r="AK1168" s="2">
        <v>81540.861534110896</v>
      </c>
      <c r="AL1168" s="2">
        <v>77116.581065430204</v>
      </c>
      <c r="AM1168" s="2">
        <v>82453.9182659379</v>
      </c>
      <c r="AN1168" s="2">
        <v>80350.592239445497</v>
      </c>
      <c r="AO1168" s="2">
        <v>76518.286964678802</v>
      </c>
      <c r="AP1168" s="2">
        <v>86279.994360422803</v>
      </c>
    </row>
    <row r="1169" spans="1:42" ht="14.5" x14ac:dyDescent="0.35">
      <c r="A1169" s="2" t="s">
        <v>7974</v>
      </c>
      <c r="B1169" s="2">
        <v>311.00524589670198</v>
      </c>
      <c r="C1169" s="2">
        <v>0.81993333333333296</v>
      </c>
      <c r="D1169" s="2" t="s">
        <v>70</v>
      </c>
      <c r="E1169" s="2" t="s">
        <v>7975</v>
      </c>
      <c r="F1169" s="2">
        <v>205093</v>
      </c>
      <c r="G1169" s="3" t="str">
        <f>HYPERLINK("http://funmeta.oebiotech.com/network/205093", "http://funmeta.oebiotech.com/network/205093")</f>
        <v>http://funmeta.oebiotech.com/network/205093</v>
      </c>
      <c r="H1169" s="2" t="s">
        <v>7976</v>
      </c>
      <c r="I1169" s="2">
        <v>352516</v>
      </c>
      <c r="J1169" s="2"/>
      <c r="K1169" s="2"/>
      <c r="L1169" s="2"/>
      <c r="M1169" s="2"/>
      <c r="N1169" s="2"/>
      <c r="O1169" s="2">
        <v>65163</v>
      </c>
      <c r="P1169" s="2"/>
      <c r="Q1169" s="2" t="s">
        <v>7977</v>
      </c>
      <c r="R1169" s="2" t="s">
        <v>7978</v>
      </c>
      <c r="S1169" s="2" t="s">
        <v>89</v>
      </c>
      <c r="T1169" s="2" t="s">
        <v>90</v>
      </c>
      <c r="U1169" s="2" t="s">
        <v>91</v>
      </c>
      <c r="V1169" s="2" t="s">
        <v>59</v>
      </c>
      <c r="W1169" s="2">
        <v>41.1</v>
      </c>
      <c r="X1169" s="2">
        <v>11.1</v>
      </c>
      <c r="Y1169" s="2" t="s">
        <v>560</v>
      </c>
      <c r="Z1169" s="2" t="s">
        <v>5837</v>
      </c>
      <c r="AA1169" s="2">
        <v>2.4866901667365502</v>
      </c>
      <c r="AB1169" s="2">
        <v>0.65624561424864603</v>
      </c>
      <c r="AC1169" s="2">
        <v>49214.100784295297</v>
      </c>
      <c r="AD1169" s="2">
        <v>79482.125727470106</v>
      </c>
      <c r="AE1169" s="2">
        <v>48491.586731363197</v>
      </c>
      <c r="AF1169" s="2">
        <v>53459.550132889897</v>
      </c>
      <c r="AG1169" s="2">
        <v>48687.923765701897</v>
      </c>
      <c r="AH1169" s="2">
        <v>50904.8030313735</v>
      </c>
      <c r="AI1169" s="2">
        <v>47696.571154498502</v>
      </c>
      <c r="AJ1169" s="2">
        <v>46044.1698899451</v>
      </c>
      <c r="AK1169" s="2">
        <v>82207.581332668706</v>
      </c>
      <c r="AL1169" s="2">
        <v>91607.412119795001</v>
      </c>
      <c r="AM1169" s="2">
        <v>68024.078910529104</v>
      </c>
      <c r="AN1169" s="2">
        <v>78427.463376564498</v>
      </c>
      <c r="AO1169" s="2">
        <v>83732.148022171605</v>
      </c>
      <c r="AP1169" s="2">
        <v>72894.070603091503</v>
      </c>
    </row>
    <row r="1170" spans="1:42" ht="14.5" x14ac:dyDescent="0.35">
      <c r="A1170" s="2" t="s">
        <v>7979</v>
      </c>
      <c r="B1170" s="2">
        <v>523.21778266335798</v>
      </c>
      <c r="C1170" s="2">
        <v>5.3939333333333304</v>
      </c>
      <c r="D1170" s="2" t="s">
        <v>70</v>
      </c>
      <c r="E1170" s="2" t="s">
        <v>7980</v>
      </c>
      <c r="F1170" s="2">
        <v>59063</v>
      </c>
      <c r="G1170" s="3" t="str">
        <f>HYPERLINK("http://funmeta.oebiotech.com/network/59063", "http://funmeta.oebiotech.com/network/59063")</f>
        <v>http://funmeta.oebiotech.com/network/59063</v>
      </c>
      <c r="H1170" s="2" t="s">
        <v>7981</v>
      </c>
      <c r="I1170" s="2">
        <v>90495</v>
      </c>
      <c r="J1170" s="2"/>
      <c r="K1170" s="2"/>
      <c r="L1170" s="2"/>
      <c r="M1170" s="2"/>
      <c r="N1170" s="2"/>
      <c r="O1170" s="2">
        <v>131751676</v>
      </c>
      <c r="P1170" s="2"/>
      <c r="Q1170" s="2" t="s">
        <v>7982</v>
      </c>
      <c r="R1170" s="2" t="s">
        <v>7983</v>
      </c>
      <c r="S1170" s="2" t="s">
        <v>50</v>
      </c>
      <c r="T1170" s="2" t="s">
        <v>201</v>
      </c>
      <c r="U1170" s="2" t="s">
        <v>202</v>
      </c>
      <c r="V1170" s="2" t="s">
        <v>42</v>
      </c>
      <c r="W1170" s="2">
        <v>47.8</v>
      </c>
      <c r="X1170" s="2">
        <v>50.6</v>
      </c>
      <c r="Y1170" s="2" t="s">
        <v>751</v>
      </c>
      <c r="Z1170" s="2" t="s">
        <v>7984</v>
      </c>
      <c r="AA1170" s="2">
        <v>-1.29624296273669</v>
      </c>
      <c r="AB1170" s="2">
        <v>0.65570016009405996</v>
      </c>
      <c r="AC1170" s="2">
        <v>38762.399003990999</v>
      </c>
      <c r="AD1170" s="2">
        <v>10306.6911336087</v>
      </c>
      <c r="AE1170" s="2">
        <v>41946.069957385604</v>
      </c>
      <c r="AF1170" s="2">
        <v>39841.000972856702</v>
      </c>
      <c r="AG1170" s="2">
        <v>38898.136341266298</v>
      </c>
      <c r="AH1170" s="2">
        <v>39161.396781845899</v>
      </c>
      <c r="AI1170" s="2">
        <v>36301.781312778803</v>
      </c>
      <c r="AJ1170" s="2">
        <v>36426.008657812803</v>
      </c>
      <c r="AK1170" s="2">
        <v>12384.628279082999</v>
      </c>
      <c r="AL1170" s="2">
        <v>13173.476460821999</v>
      </c>
      <c r="AM1170" s="2">
        <v>10559.8087473626</v>
      </c>
      <c r="AN1170" s="2">
        <v>9033.6808554898507</v>
      </c>
      <c r="AO1170" s="2">
        <v>10289.146295054101</v>
      </c>
      <c r="AP1170" s="2">
        <v>6399.4061638408002</v>
      </c>
    </row>
    <row r="1171" spans="1:42" ht="14.5" x14ac:dyDescent="0.35">
      <c r="A1171" s="2" t="s">
        <v>7985</v>
      </c>
      <c r="B1171" s="2">
        <v>519.14755128519403</v>
      </c>
      <c r="C1171" s="2">
        <v>4.3961833333333296</v>
      </c>
      <c r="D1171" s="2" t="s">
        <v>34</v>
      </c>
      <c r="E1171" s="2" t="s">
        <v>7986</v>
      </c>
      <c r="F1171" s="2">
        <v>62338</v>
      </c>
      <c r="G1171" s="3" t="str">
        <f>HYPERLINK("http://funmeta.oebiotech.com/network/62338", "http://funmeta.oebiotech.com/network/62338")</f>
        <v>http://funmeta.oebiotech.com/network/62338</v>
      </c>
      <c r="H1171" s="2" t="s">
        <v>7987</v>
      </c>
      <c r="I1171" s="2">
        <v>93632</v>
      </c>
      <c r="J1171" s="2"/>
      <c r="K1171" s="2">
        <v>168553</v>
      </c>
      <c r="L1171" s="2"/>
      <c r="M1171" s="2"/>
      <c r="N1171" s="2"/>
      <c r="O1171" s="2">
        <v>131752521</v>
      </c>
      <c r="P1171" s="2"/>
      <c r="Q1171" s="2" t="s">
        <v>7988</v>
      </c>
      <c r="R1171" s="2" t="s">
        <v>7989</v>
      </c>
      <c r="S1171" s="2" t="s">
        <v>115</v>
      </c>
      <c r="T1171" s="2" t="s">
        <v>758</v>
      </c>
      <c r="U1171" s="2" t="s">
        <v>1477</v>
      </c>
      <c r="V1171" s="2" t="s">
        <v>59</v>
      </c>
      <c r="W1171" s="2">
        <v>42</v>
      </c>
      <c r="X1171" s="2">
        <v>21.8</v>
      </c>
      <c r="Y1171" s="2" t="s">
        <v>323</v>
      </c>
      <c r="Z1171" s="2" t="s">
        <v>7990</v>
      </c>
      <c r="AA1171" s="2">
        <v>0.51248286854766201</v>
      </c>
      <c r="AB1171" s="2">
        <v>0.65494686405969704</v>
      </c>
      <c r="AC1171" s="2">
        <v>58709.0567759982</v>
      </c>
      <c r="AD1171" s="2">
        <v>91494.165538510002</v>
      </c>
      <c r="AE1171" s="2">
        <v>56511.582602939103</v>
      </c>
      <c r="AF1171" s="2">
        <v>64909.987532484702</v>
      </c>
      <c r="AG1171" s="2">
        <v>54872.441270679803</v>
      </c>
      <c r="AH1171" s="2">
        <v>51373.154689750801</v>
      </c>
      <c r="AI1171" s="2">
        <v>59799.923789377703</v>
      </c>
      <c r="AJ1171" s="2">
        <v>64787.2507707572</v>
      </c>
      <c r="AK1171" s="2">
        <v>90848.161411576904</v>
      </c>
      <c r="AL1171" s="2">
        <v>89891.647105818702</v>
      </c>
      <c r="AM1171" s="2">
        <v>85671.320907300498</v>
      </c>
      <c r="AN1171" s="2">
        <v>115290.114974008</v>
      </c>
      <c r="AO1171" s="2">
        <v>71490.7341152726</v>
      </c>
      <c r="AP1171" s="2">
        <v>95773.014717083395</v>
      </c>
    </row>
    <row r="1172" spans="1:42" ht="14.5" x14ac:dyDescent="0.35">
      <c r="A1172" s="2" t="s">
        <v>7991</v>
      </c>
      <c r="B1172" s="2">
        <v>651.26541590061197</v>
      </c>
      <c r="C1172" s="2">
        <v>6.1607333333333303</v>
      </c>
      <c r="D1172" s="2" t="s">
        <v>70</v>
      </c>
      <c r="E1172" s="2" t="s">
        <v>7992</v>
      </c>
      <c r="F1172" s="2">
        <v>62424</v>
      </c>
      <c r="G1172" s="3" t="str">
        <f>HYPERLINK("http://funmeta.oebiotech.com/network/62424", "http://funmeta.oebiotech.com/network/62424")</f>
        <v>http://funmeta.oebiotech.com/network/62424</v>
      </c>
      <c r="H1172" s="2" t="s">
        <v>7993</v>
      </c>
      <c r="I1172" s="2"/>
      <c r="J1172" s="2"/>
      <c r="K1172" s="2"/>
      <c r="L1172" s="2"/>
      <c r="M1172" s="2"/>
      <c r="N1172" s="2"/>
      <c r="O1172" s="2">
        <v>131752553</v>
      </c>
      <c r="P1172" s="2" t="s">
        <v>7994</v>
      </c>
      <c r="Q1172" s="2" t="s">
        <v>7995</v>
      </c>
      <c r="R1172" s="2" t="s">
        <v>7996</v>
      </c>
      <c r="S1172" s="2" t="s">
        <v>50</v>
      </c>
      <c r="T1172" s="2" t="s">
        <v>201</v>
      </c>
      <c r="U1172" s="2" t="s">
        <v>241</v>
      </c>
      <c r="V1172" s="2" t="s">
        <v>42</v>
      </c>
      <c r="W1172" s="2">
        <v>54.4</v>
      </c>
      <c r="X1172" s="2">
        <v>75.099999999999994</v>
      </c>
      <c r="Y1172" s="2" t="s">
        <v>118</v>
      </c>
      <c r="Z1172" s="2" t="s">
        <v>2531</v>
      </c>
      <c r="AA1172" s="2">
        <v>-0.63432372796721004</v>
      </c>
      <c r="AB1172" s="2">
        <v>0.65471510468058902</v>
      </c>
      <c r="AC1172" s="2">
        <v>3483421.1543420502</v>
      </c>
      <c r="AD1172" s="2">
        <v>3400864.7585032098</v>
      </c>
      <c r="AE1172" s="2">
        <v>3599399.2582467701</v>
      </c>
      <c r="AF1172" s="2">
        <v>3292992.8011480002</v>
      </c>
      <c r="AG1172" s="2">
        <v>3482961.8439897099</v>
      </c>
      <c r="AH1172" s="2">
        <v>3497902.1985460101</v>
      </c>
      <c r="AI1172" s="2">
        <v>3392972.41424216</v>
      </c>
      <c r="AJ1172" s="2">
        <v>3634298.40987963</v>
      </c>
      <c r="AK1172" s="2">
        <v>3343194.6096101701</v>
      </c>
      <c r="AL1172" s="2">
        <v>3317035.2020246699</v>
      </c>
      <c r="AM1172" s="2">
        <v>3643764.9228861602</v>
      </c>
      <c r="AN1172" s="2">
        <v>3341889.1324329502</v>
      </c>
      <c r="AO1172" s="2">
        <v>3396727.4198859301</v>
      </c>
      <c r="AP1172" s="2">
        <v>3362577.2641793699</v>
      </c>
    </row>
    <row r="1173" spans="1:42" ht="14.5" x14ac:dyDescent="0.35">
      <c r="A1173" s="2" t="s">
        <v>7997</v>
      </c>
      <c r="B1173" s="2">
        <v>307.10337716134899</v>
      </c>
      <c r="C1173" s="2">
        <v>3.8614999999999999</v>
      </c>
      <c r="D1173" s="2" t="s">
        <v>70</v>
      </c>
      <c r="E1173" s="2" t="s">
        <v>7998</v>
      </c>
      <c r="F1173" s="2">
        <v>202377</v>
      </c>
      <c r="G1173" s="3" t="str">
        <f>HYPERLINK("http://funmeta.oebiotech.com/network/202377", "http://funmeta.oebiotech.com/network/202377")</f>
        <v>http://funmeta.oebiotech.com/network/202377</v>
      </c>
      <c r="H1173" s="2" t="s">
        <v>7999</v>
      </c>
      <c r="I1173" s="2"/>
      <c r="J1173" s="2"/>
      <c r="K1173" s="2">
        <v>168226</v>
      </c>
      <c r="L1173" s="2"/>
      <c r="M1173" s="2"/>
      <c r="N1173" s="2"/>
      <c r="O1173" s="2">
        <v>4479103</v>
      </c>
      <c r="P1173" s="2"/>
      <c r="Q1173" s="2" t="s">
        <v>8000</v>
      </c>
      <c r="R1173" s="2" t="s">
        <v>8001</v>
      </c>
      <c r="S1173" s="2" t="s">
        <v>79</v>
      </c>
      <c r="T1173" s="2" t="s">
        <v>80</v>
      </c>
      <c r="U1173" s="2" t="s">
        <v>81</v>
      </c>
      <c r="V1173" s="2" t="s">
        <v>59</v>
      </c>
      <c r="W1173" s="2">
        <v>43.9</v>
      </c>
      <c r="X1173" s="2">
        <v>25.7</v>
      </c>
      <c r="Y1173" s="2" t="s">
        <v>751</v>
      </c>
      <c r="Z1173" s="2" t="s">
        <v>1732</v>
      </c>
      <c r="AA1173" s="2">
        <v>-0.24107530445773201</v>
      </c>
      <c r="AB1173" s="2">
        <v>0.65409209465138796</v>
      </c>
      <c r="AC1173" s="2">
        <v>24384.301729050701</v>
      </c>
      <c r="AD1173" s="2">
        <v>52638.069908784899</v>
      </c>
      <c r="AE1173" s="2">
        <v>25762.377314064201</v>
      </c>
      <c r="AF1173" s="2">
        <v>23590.278501373999</v>
      </c>
      <c r="AG1173" s="2">
        <v>24223.700483331198</v>
      </c>
      <c r="AH1173" s="2">
        <v>22860.839534990799</v>
      </c>
      <c r="AI1173" s="2">
        <v>23623.870771502501</v>
      </c>
      <c r="AJ1173" s="2">
        <v>26244.743769041401</v>
      </c>
      <c r="AK1173" s="2">
        <v>52772.911011026801</v>
      </c>
      <c r="AL1173" s="2">
        <v>49932.236039403098</v>
      </c>
      <c r="AM1173" s="2">
        <v>51813.947515495798</v>
      </c>
      <c r="AN1173" s="2">
        <v>53365.673835335001</v>
      </c>
      <c r="AO1173" s="2">
        <v>51781.143140410299</v>
      </c>
      <c r="AP1173" s="2">
        <v>56162.5079110386</v>
      </c>
    </row>
    <row r="1174" spans="1:42" ht="14.5" x14ac:dyDescent="0.35">
      <c r="A1174" s="2" t="s">
        <v>8002</v>
      </c>
      <c r="B1174" s="2">
        <v>187.11148466736299</v>
      </c>
      <c r="C1174" s="2">
        <v>7.0664166666666697</v>
      </c>
      <c r="D1174" s="2" t="s">
        <v>34</v>
      </c>
      <c r="E1174" s="2" t="s">
        <v>8003</v>
      </c>
      <c r="F1174" s="2">
        <v>256554</v>
      </c>
      <c r="G1174" s="3" t="str">
        <f>HYPERLINK("http://funmeta.oebiotech.com/network/256554", "http://funmeta.oebiotech.com/network/256554")</f>
        <v>http://funmeta.oebiotech.com/network/256554</v>
      </c>
      <c r="H1174" s="2" t="s">
        <v>8004</v>
      </c>
      <c r="I1174" s="2">
        <v>71287</v>
      </c>
      <c r="J1174" s="2"/>
      <c r="K1174" s="2"/>
      <c r="L1174" s="2" t="s">
        <v>8005</v>
      </c>
      <c r="M1174" s="2"/>
      <c r="N1174" s="2"/>
      <c r="O1174" s="2">
        <v>10219885</v>
      </c>
      <c r="P1174" s="2"/>
      <c r="Q1174" s="2" t="s">
        <v>8006</v>
      </c>
      <c r="R1174" s="2" t="s">
        <v>8007</v>
      </c>
      <c r="S1174" s="2" t="s">
        <v>50</v>
      </c>
      <c r="T1174" s="2" t="s">
        <v>201</v>
      </c>
      <c r="U1174" s="2" t="s">
        <v>5622</v>
      </c>
      <c r="V1174" s="2" t="s">
        <v>42</v>
      </c>
      <c r="W1174" s="2">
        <v>48.6</v>
      </c>
      <c r="X1174" s="2">
        <v>52.6</v>
      </c>
      <c r="Y1174" s="2" t="s">
        <v>266</v>
      </c>
      <c r="Z1174" s="2" t="s">
        <v>8008</v>
      </c>
      <c r="AA1174" s="2">
        <v>-1.2582849820706501</v>
      </c>
      <c r="AB1174" s="2">
        <v>0.65406666609393105</v>
      </c>
      <c r="AC1174" s="2">
        <v>39780.322154875699</v>
      </c>
      <c r="AD1174" s="2">
        <v>11594.3703616238</v>
      </c>
      <c r="AE1174" s="2">
        <v>39821.173148845803</v>
      </c>
      <c r="AF1174" s="2">
        <v>38079.361989179</v>
      </c>
      <c r="AG1174" s="2">
        <v>40969.904442775798</v>
      </c>
      <c r="AH1174" s="2">
        <v>42985.8233531472</v>
      </c>
      <c r="AI1174" s="2">
        <v>36920.468270461199</v>
      </c>
      <c r="AJ1174" s="2">
        <v>39905.201724845399</v>
      </c>
      <c r="AK1174" s="2">
        <v>11071.020517631399</v>
      </c>
      <c r="AL1174" s="2">
        <v>11795.106925163</v>
      </c>
      <c r="AM1174" s="2">
        <v>12370.591843344801</v>
      </c>
      <c r="AN1174" s="2">
        <v>11964.657354115099</v>
      </c>
      <c r="AO1174" s="2">
        <v>10821.0843300673</v>
      </c>
      <c r="AP1174" s="2">
        <v>11543.7611994211</v>
      </c>
    </row>
    <row r="1175" spans="1:42" ht="14.5" x14ac:dyDescent="0.35">
      <c r="A1175" s="2" t="s">
        <v>8009</v>
      </c>
      <c r="B1175" s="2">
        <v>276.08503019967299</v>
      </c>
      <c r="C1175" s="2">
        <v>2.01128333333333</v>
      </c>
      <c r="D1175" s="2" t="s">
        <v>70</v>
      </c>
      <c r="E1175" s="2" t="s">
        <v>8010</v>
      </c>
      <c r="F1175" s="2">
        <v>203716</v>
      </c>
      <c r="G1175" s="3" t="str">
        <f>HYPERLINK("http://funmeta.oebiotech.com/network/203716", "http://funmeta.oebiotech.com/network/203716")</f>
        <v>http://funmeta.oebiotech.com/network/203716</v>
      </c>
      <c r="H1175" s="2" t="s">
        <v>8011</v>
      </c>
      <c r="I1175" s="2"/>
      <c r="J1175" s="2"/>
      <c r="K1175" s="2"/>
      <c r="L1175" s="2"/>
      <c r="M1175" s="2"/>
      <c r="N1175" s="2"/>
      <c r="O1175" s="2"/>
      <c r="P1175" s="2"/>
      <c r="Q1175" s="2" t="s">
        <v>8012</v>
      </c>
      <c r="R1175" s="2" t="s">
        <v>8013</v>
      </c>
      <c r="S1175" s="2" t="s">
        <v>41</v>
      </c>
      <c r="T1175" s="2" t="s">
        <v>41</v>
      </c>
      <c r="U1175" s="2" t="s">
        <v>41</v>
      </c>
      <c r="V1175" s="2" t="s">
        <v>59</v>
      </c>
      <c r="W1175" s="2">
        <v>38.4</v>
      </c>
      <c r="X1175" s="2">
        <v>1.17</v>
      </c>
      <c r="Y1175" s="2" t="s">
        <v>118</v>
      </c>
      <c r="Z1175" s="2" t="s">
        <v>8014</v>
      </c>
      <c r="AA1175" s="2">
        <v>4.7161376724090598</v>
      </c>
      <c r="AB1175" s="2">
        <v>0.65330233133365001</v>
      </c>
      <c r="AC1175" s="2">
        <v>261693.758046729</v>
      </c>
      <c r="AD1175" s="2">
        <v>291748.755741311</v>
      </c>
      <c r="AE1175" s="2">
        <v>265818.618338587</v>
      </c>
      <c r="AF1175" s="2">
        <v>249641.27296430699</v>
      </c>
      <c r="AG1175" s="2">
        <v>263196.69993522501</v>
      </c>
      <c r="AH1175" s="2">
        <v>261716.70977672501</v>
      </c>
      <c r="AI1175" s="2">
        <v>261128.69205168399</v>
      </c>
      <c r="AJ1175" s="2">
        <v>268660.555213849</v>
      </c>
      <c r="AK1175" s="2">
        <v>282459.69629255502</v>
      </c>
      <c r="AL1175" s="2">
        <v>298068.42965526</v>
      </c>
      <c r="AM1175" s="2">
        <v>299152.512122805</v>
      </c>
      <c r="AN1175" s="2">
        <v>293587.18516445498</v>
      </c>
      <c r="AO1175" s="2">
        <v>288252.50060873001</v>
      </c>
      <c r="AP1175" s="2">
        <v>288972.21060406102</v>
      </c>
    </row>
    <row r="1176" spans="1:42" ht="14.5" x14ac:dyDescent="0.35">
      <c r="A1176" s="2" t="s">
        <v>8015</v>
      </c>
      <c r="B1176" s="2">
        <v>310.25280630489402</v>
      </c>
      <c r="C1176" s="2">
        <v>9.4096333333333302</v>
      </c>
      <c r="D1176" s="2" t="s">
        <v>34</v>
      </c>
      <c r="E1176" s="2" t="s">
        <v>8016</v>
      </c>
      <c r="F1176" s="2">
        <v>206583</v>
      </c>
      <c r="G1176" s="3" t="str">
        <f>HYPERLINK("http://funmeta.oebiotech.com/network/206583", "http://funmeta.oebiotech.com/network/206583")</f>
        <v>http://funmeta.oebiotech.com/network/206583</v>
      </c>
      <c r="H1176" s="2" t="s">
        <v>8017</v>
      </c>
      <c r="I1176" s="2"/>
      <c r="J1176" s="2"/>
      <c r="K1176" s="2"/>
      <c r="L1176" s="2"/>
      <c r="M1176" s="2"/>
      <c r="N1176" s="2"/>
      <c r="O1176" s="2">
        <v>4361</v>
      </c>
      <c r="P1176" s="2"/>
      <c r="Q1176" s="2" t="s">
        <v>8018</v>
      </c>
      <c r="R1176" s="2" t="s">
        <v>8019</v>
      </c>
      <c r="S1176" s="2" t="s">
        <v>50</v>
      </c>
      <c r="T1176" s="2" t="s">
        <v>201</v>
      </c>
      <c r="U1176" s="2" t="s">
        <v>2195</v>
      </c>
      <c r="V1176" s="2" t="s">
        <v>59</v>
      </c>
      <c r="W1176" s="2">
        <v>44.7</v>
      </c>
      <c r="X1176" s="2">
        <v>27.5</v>
      </c>
      <c r="Y1176" s="2" t="s">
        <v>141</v>
      </c>
      <c r="Z1176" s="2" t="s">
        <v>8020</v>
      </c>
      <c r="AA1176" s="2">
        <v>-0.36707561322919502</v>
      </c>
      <c r="AB1176" s="2">
        <v>0.65295856149619602</v>
      </c>
      <c r="AC1176" s="2">
        <v>190579.16919387199</v>
      </c>
      <c r="AD1176" s="2">
        <v>221379.68258630301</v>
      </c>
      <c r="AE1176" s="2">
        <v>187715.00384480099</v>
      </c>
      <c r="AF1176" s="2">
        <v>187408.88648688199</v>
      </c>
      <c r="AG1176" s="2">
        <v>182431.28849331301</v>
      </c>
      <c r="AH1176" s="2">
        <v>196930.59809249299</v>
      </c>
      <c r="AI1176" s="2">
        <v>186028.77268318299</v>
      </c>
      <c r="AJ1176" s="2">
        <v>202960.46556255899</v>
      </c>
      <c r="AK1176" s="2">
        <v>233199.51210195301</v>
      </c>
      <c r="AL1176" s="2">
        <v>227145.56348978201</v>
      </c>
      <c r="AM1176" s="2">
        <v>212236.02683960999</v>
      </c>
      <c r="AN1176" s="2">
        <v>217196.89678081099</v>
      </c>
      <c r="AO1176" s="2">
        <v>218644.40439484501</v>
      </c>
      <c r="AP1176" s="2">
        <v>219855.691910814</v>
      </c>
    </row>
    <row r="1177" spans="1:42" ht="14.5" x14ac:dyDescent="0.35">
      <c r="A1177" s="2" t="s">
        <v>8021</v>
      </c>
      <c r="B1177" s="2">
        <v>667.10436503193205</v>
      </c>
      <c r="C1177" s="2">
        <v>4.1337999999999999</v>
      </c>
      <c r="D1177" s="2" t="s">
        <v>70</v>
      </c>
      <c r="E1177" s="2" t="s">
        <v>8022</v>
      </c>
      <c r="F1177" s="2">
        <v>257250</v>
      </c>
      <c r="G1177" s="3" t="str">
        <f>HYPERLINK("http://funmeta.oebiotech.com/network/257250", "http://funmeta.oebiotech.com/network/257250")</f>
        <v>http://funmeta.oebiotech.com/network/257250</v>
      </c>
      <c r="H1177" s="2" t="s">
        <v>8023</v>
      </c>
      <c r="I1177" s="2"/>
      <c r="J1177" s="2"/>
      <c r="K1177" s="2"/>
      <c r="L1177" s="2"/>
      <c r="M1177" s="2"/>
      <c r="N1177" s="2"/>
      <c r="O1177" s="2">
        <v>74413991</v>
      </c>
      <c r="P1177" s="2"/>
      <c r="Q1177" s="2" t="s">
        <v>8024</v>
      </c>
      <c r="R1177" s="2" t="s">
        <v>8025</v>
      </c>
      <c r="S1177" s="2" t="s">
        <v>1444</v>
      </c>
      <c r="T1177" s="2" t="s">
        <v>8026</v>
      </c>
      <c r="U1177" s="2" t="s">
        <v>8027</v>
      </c>
      <c r="V1177" s="2" t="s">
        <v>59</v>
      </c>
      <c r="W1177" s="2">
        <v>42</v>
      </c>
      <c r="X1177" s="2">
        <v>29.4</v>
      </c>
      <c r="Y1177" s="2" t="s">
        <v>560</v>
      </c>
      <c r="Z1177" s="2" t="s">
        <v>8028</v>
      </c>
      <c r="AA1177" s="2">
        <v>-2.3389604014881802</v>
      </c>
      <c r="AB1177" s="2">
        <v>0.65267093142554999</v>
      </c>
      <c r="AC1177" s="2">
        <v>73429.9879138041</v>
      </c>
      <c r="AD1177" s="2">
        <v>102890.25521131</v>
      </c>
      <c r="AE1177" s="2">
        <v>65510.715390928002</v>
      </c>
      <c r="AF1177" s="2">
        <v>70889.277994386197</v>
      </c>
      <c r="AG1177" s="2">
        <v>77337.158235824798</v>
      </c>
      <c r="AH1177" s="2">
        <v>77308.012371157194</v>
      </c>
      <c r="AI1177" s="2">
        <v>77449.683976843604</v>
      </c>
      <c r="AJ1177" s="2">
        <v>72085.079513685094</v>
      </c>
      <c r="AK1177" s="2">
        <v>93954.319098146298</v>
      </c>
      <c r="AL1177" s="2">
        <v>106135.610255897</v>
      </c>
      <c r="AM1177" s="2">
        <v>103504.95518324</v>
      </c>
      <c r="AN1177" s="2">
        <v>103703.091575738</v>
      </c>
      <c r="AO1177" s="2">
        <v>111635.943297504</v>
      </c>
      <c r="AP1177" s="2">
        <v>98407.611857336902</v>
      </c>
    </row>
    <row r="1178" spans="1:42" ht="14.5" x14ac:dyDescent="0.35">
      <c r="A1178" s="2" t="s">
        <v>8029</v>
      </c>
      <c r="B1178" s="2">
        <v>523.39920120788599</v>
      </c>
      <c r="C1178" s="2">
        <v>11.2145166666667</v>
      </c>
      <c r="D1178" s="2" t="s">
        <v>34</v>
      </c>
      <c r="E1178" s="2" t="s">
        <v>8030</v>
      </c>
      <c r="F1178" s="2">
        <v>247680</v>
      </c>
      <c r="G1178" s="3" t="str">
        <f>HYPERLINK("http://funmeta.oebiotech.com/network/247680", "http://funmeta.oebiotech.com/network/247680")</f>
        <v>http://funmeta.oebiotech.com/network/247680</v>
      </c>
      <c r="H1178" s="2" t="s">
        <v>8031</v>
      </c>
      <c r="I1178" s="2"/>
      <c r="J1178" s="2"/>
      <c r="K1178" s="2"/>
      <c r="L1178" s="2"/>
      <c r="M1178" s="2"/>
      <c r="N1178" s="2"/>
      <c r="O1178" s="2"/>
      <c r="P1178" s="2"/>
      <c r="Q1178" s="2" t="s">
        <v>8032</v>
      </c>
      <c r="R1178" s="2" t="s">
        <v>8033</v>
      </c>
      <c r="S1178" s="2" t="s">
        <v>41</v>
      </c>
      <c r="T1178" s="2" t="s">
        <v>41</v>
      </c>
      <c r="U1178" s="2" t="s">
        <v>41</v>
      </c>
      <c r="V1178" s="2" t="s">
        <v>59</v>
      </c>
      <c r="W1178" s="2">
        <v>45.7</v>
      </c>
      <c r="X1178" s="2">
        <v>31.3</v>
      </c>
      <c r="Y1178" s="2" t="s">
        <v>394</v>
      </c>
      <c r="Z1178" s="2" t="s">
        <v>4709</v>
      </c>
      <c r="AA1178" s="2">
        <v>-0.21951569886255301</v>
      </c>
      <c r="AB1178" s="2">
        <v>0.65258867812859001</v>
      </c>
      <c r="AC1178" s="2">
        <v>126594.407311852</v>
      </c>
      <c r="AD1178" s="2">
        <v>155655.73293754799</v>
      </c>
      <c r="AE1178" s="2">
        <v>129152.214752211</v>
      </c>
      <c r="AF1178" s="2">
        <v>132839.48493931099</v>
      </c>
      <c r="AG1178" s="2">
        <v>127040.87970658801</v>
      </c>
      <c r="AH1178" s="2">
        <v>122743.622877783</v>
      </c>
      <c r="AI1178" s="2">
        <v>120757.59200007201</v>
      </c>
      <c r="AJ1178" s="2">
        <v>127032.649595144</v>
      </c>
      <c r="AK1178" s="2">
        <v>151068.625268948</v>
      </c>
      <c r="AL1178" s="2">
        <v>158213.15318232501</v>
      </c>
      <c r="AM1178" s="2">
        <v>157007.884858776</v>
      </c>
      <c r="AN1178" s="2">
        <v>160109.09882787801</v>
      </c>
      <c r="AO1178" s="2">
        <v>158331.17949973501</v>
      </c>
      <c r="AP1178" s="2">
        <v>149204.455987628</v>
      </c>
    </row>
    <row r="1179" spans="1:42" ht="14.5" x14ac:dyDescent="0.35">
      <c r="A1179" s="2" t="s">
        <v>8034</v>
      </c>
      <c r="B1179" s="2">
        <v>689.33826296961502</v>
      </c>
      <c r="C1179" s="2">
        <v>7.7996333333333299</v>
      </c>
      <c r="D1179" s="2" t="s">
        <v>70</v>
      </c>
      <c r="E1179" s="2" t="s">
        <v>8035</v>
      </c>
      <c r="F1179" s="2">
        <v>55486</v>
      </c>
      <c r="G1179" s="3" t="str">
        <f>HYPERLINK("http://funmeta.oebiotech.com/network/55486", "http://funmeta.oebiotech.com/network/55486")</f>
        <v>http://funmeta.oebiotech.com/network/55486</v>
      </c>
      <c r="H1179" s="2" t="s">
        <v>8036</v>
      </c>
      <c r="I1179" s="2">
        <v>87162</v>
      </c>
      <c r="J1179" s="2"/>
      <c r="K1179" s="2">
        <v>168476</v>
      </c>
      <c r="L1179" s="2"/>
      <c r="M1179" s="2"/>
      <c r="N1179" s="2"/>
      <c r="O1179" s="2">
        <v>131751076</v>
      </c>
      <c r="P1179" s="2" t="s">
        <v>8037</v>
      </c>
      <c r="Q1179" s="2" t="s">
        <v>8038</v>
      </c>
      <c r="R1179" s="2" t="s">
        <v>8039</v>
      </c>
      <c r="S1179" s="2" t="s">
        <v>50</v>
      </c>
      <c r="T1179" s="2" t="s">
        <v>229</v>
      </c>
      <c r="U1179" s="2" t="s">
        <v>230</v>
      </c>
      <c r="V1179" s="2" t="s">
        <v>42</v>
      </c>
      <c r="W1179" s="2">
        <v>48.9</v>
      </c>
      <c r="X1179" s="2">
        <v>53.2</v>
      </c>
      <c r="Y1179" s="2" t="s">
        <v>408</v>
      </c>
      <c r="Z1179" s="2" t="s">
        <v>8040</v>
      </c>
      <c r="AA1179" s="2">
        <v>-1.1354586183650299</v>
      </c>
      <c r="AB1179" s="2">
        <v>0.65256459346282902</v>
      </c>
      <c r="AC1179" s="2">
        <v>50643.574099534802</v>
      </c>
      <c r="AD1179" s="2">
        <v>79104.698328025697</v>
      </c>
      <c r="AE1179" s="2">
        <v>45635.910641220798</v>
      </c>
      <c r="AF1179" s="2">
        <v>47246.709804917002</v>
      </c>
      <c r="AG1179" s="2">
        <v>51553.905823755304</v>
      </c>
      <c r="AH1179" s="2">
        <v>52112.584206695698</v>
      </c>
      <c r="AI1179" s="2">
        <v>53508.535988449403</v>
      </c>
      <c r="AJ1179" s="2">
        <v>53803.798132170799</v>
      </c>
      <c r="AK1179" s="2">
        <v>83481.064077392395</v>
      </c>
      <c r="AL1179" s="2">
        <v>79648.8484795736</v>
      </c>
      <c r="AM1179" s="2">
        <v>76738.791558346798</v>
      </c>
      <c r="AN1179" s="2">
        <v>80831.054406912197</v>
      </c>
      <c r="AO1179" s="2">
        <v>78550.832156046396</v>
      </c>
      <c r="AP1179" s="2">
        <v>75377.599289882797</v>
      </c>
    </row>
    <row r="1180" spans="1:42" ht="14.5" x14ac:dyDescent="0.35">
      <c r="A1180" s="2" t="s">
        <v>8041</v>
      </c>
      <c r="B1180" s="2">
        <v>509.20232116032003</v>
      </c>
      <c r="C1180" s="2">
        <v>4.8984333333333296</v>
      </c>
      <c r="D1180" s="2" t="s">
        <v>70</v>
      </c>
      <c r="E1180" s="2" t="s">
        <v>8042</v>
      </c>
      <c r="F1180" s="2">
        <v>46627</v>
      </c>
      <c r="G1180" s="3" t="str">
        <f>HYPERLINK("http://funmeta.oebiotech.com/network/46627", "http://funmeta.oebiotech.com/network/46627")</f>
        <v>http://funmeta.oebiotech.com/network/46627</v>
      </c>
      <c r="H1180" s="2" t="s">
        <v>8043</v>
      </c>
      <c r="I1180" s="2">
        <v>43170</v>
      </c>
      <c r="J1180" s="2" t="s">
        <v>8044</v>
      </c>
      <c r="K1180" s="2">
        <v>766</v>
      </c>
      <c r="L1180" s="2" t="s">
        <v>8045</v>
      </c>
      <c r="M1180" s="2" t="s">
        <v>2454</v>
      </c>
      <c r="N1180" s="2" t="s">
        <v>2455</v>
      </c>
      <c r="O1180" s="2">
        <v>122281</v>
      </c>
      <c r="P1180" s="2" t="s">
        <v>8046</v>
      </c>
      <c r="Q1180" s="2" t="s">
        <v>8047</v>
      </c>
      <c r="R1180" s="2" t="s">
        <v>8048</v>
      </c>
      <c r="S1180" s="2" t="s">
        <v>50</v>
      </c>
      <c r="T1180" s="2" t="s">
        <v>124</v>
      </c>
      <c r="U1180" s="2" t="s">
        <v>523</v>
      </c>
      <c r="V1180" s="2" t="s">
        <v>42</v>
      </c>
      <c r="W1180" s="2">
        <v>48.1</v>
      </c>
      <c r="X1180" s="2">
        <v>50.4</v>
      </c>
      <c r="Y1180" s="2" t="s">
        <v>408</v>
      </c>
      <c r="Z1180" s="2" t="s">
        <v>8049</v>
      </c>
      <c r="AA1180" s="2">
        <v>-1.10794232551419</v>
      </c>
      <c r="AB1180" s="2">
        <v>0.65214806698605998</v>
      </c>
      <c r="AC1180" s="2">
        <v>114495.73614651999</v>
      </c>
      <c r="AD1180" s="2">
        <v>84103.9092600289</v>
      </c>
      <c r="AE1180" s="2">
        <v>120668.393989683</v>
      </c>
      <c r="AF1180" s="2">
        <v>127842.545692567</v>
      </c>
      <c r="AG1180" s="2">
        <v>111780.026924868</v>
      </c>
      <c r="AH1180" s="2">
        <v>102251.57123351601</v>
      </c>
      <c r="AI1180" s="2">
        <v>107710.507337485</v>
      </c>
      <c r="AJ1180" s="2">
        <v>116721.371701001</v>
      </c>
      <c r="AK1180" s="2">
        <v>84864.858086255903</v>
      </c>
      <c r="AL1180" s="2">
        <v>83872.262920628098</v>
      </c>
      <c r="AM1180" s="2">
        <v>82123.611646903999</v>
      </c>
      <c r="AN1180" s="2">
        <v>90194.914391220198</v>
      </c>
      <c r="AO1180" s="2">
        <v>75997.470775649796</v>
      </c>
      <c r="AP1180" s="2">
        <v>87570.337739515206</v>
      </c>
    </row>
    <row r="1181" spans="1:42" ht="14.5" x14ac:dyDescent="0.35">
      <c r="A1181" s="2" t="s">
        <v>8050</v>
      </c>
      <c r="B1181" s="2">
        <v>223.147778383325</v>
      </c>
      <c r="C1181" s="2">
        <v>7.4793166666666702</v>
      </c>
      <c r="D1181" s="2" t="s">
        <v>34</v>
      </c>
      <c r="E1181" s="2" t="s">
        <v>8051</v>
      </c>
      <c r="F1181" s="2">
        <v>2202</v>
      </c>
      <c r="G1181" s="3" t="str">
        <f>HYPERLINK("http://funmeta.oebiotech.com/network/2202", "http://funmeta.oebiotech.com/network/2202")</f>
        <v>http://funmeta.oebiotech.com/network/2202</v>
      </c>
      <c r="H1181" s="2"/>
      <c r="I1181" s="2"/>
      <c r="J1181" s="2" t="s">
        <v>8052</v>
      </c>
      <c r="K1181" s="2"/>
      <c r="L1181" s="2"/>
      <c r="M1181" s="2"/>
      <c r="N1181" s="2"/>
      <c r="O1181" s="2">
        <v>12313692</v>
      </c>
      <c r="P1181" s="2"/>
      <c r="Q1181" s="2" t="s">
        <v>8053</v>
      </c>
      <c r="R1181" s="2" t="s">
        <v>8054</v>
      </c>
      <c r="S1181" s="2" t="s">
        <v>79</v>
      </c>
      <c r="T1181" s="2" t="s">
        <v>80</v>
      </c>
      <c r="U1181" s="2" t="s">
        <v>2820</v>
      </c>
      <c r="V1181" s="2" t="s">
        <v>42</v>
      </c>
      <c r="W1181" s="2">
        <v>47.2</v>
      </c>
      <c r="X1181" s="2">
        <v>46.1</v>
      </c>
      <c r="Y1181" s="2" t="s">
        <v>266</v>
      </c>
      <c r="Z1181" s="2" t="s">
        <v>8055</v>
      </c>
      <c r="AA1181" s="2">
        <v>-1.45169927177766</v>
      </c>
      <c r="AB1181" s="2">
        <v>0.65213286822817895</v>
      </c>
      <c r="AC1181" s="2">
        <v>33918.094791101299</v>
      </c>
      <c r="AD1181" s="2">
        <v>5476.3120132295298</v>
      </c>
      <c r="AE1181" s="2">
        <v>36825.572382873899</v>
      </c>
      <c r="AF1181" s="2">
        <v>38056.035660986803</v>
      </c>
      <c r="AG1181" s="2">
        <v>36537.588546811399</v>
      </c>
      <c r="AH1181" s="2">
        <v>25923.8250336323</v>
      </c>
      <c r="AI1181" s="2">
        <v>33680.309927803501</v>
      </c>
      <c r="AJ1181" s="2">
        <v>32485.237194499699</v>
      </c>
      <c r="AK1181" s="2">
        <v>6919.0766945741198</v>
      </c>
      <c r="AL1181" s="2">
        <v>5222.7693958592199</v>
      </c>
      <c r="AM1181" s="2">
        <v>5201.3113115960005</v>
      </c>
      <c r="AN1181" s="2">
        <v>5275.1779023194104</v>
      </c>
      <c r="AO1181" s="2">
        <v>5558.5319143221004</v>
      </c>
      <c r="AP1181" s="2">
        <v>4681.0048607063</v>
      </c>
    </row>
    <row r="1182" spans="1:42" ht="14.5" x14ac:dyDescent="0.35">
      <c r="A1182" s="2" t="s">
        <v>8056</v>
      </c>
      <c r="B1182" s="2">
        <v>453.13812088149803</v>
      </c>
      <c r="C1182" s="2">
        <v>3.8609</v>
      </c>
      <c r="D1182" s="2" t="s">
        <v>34</v>
      </c>
      <c r="E1182" s="2" t="s">
        <v>8057</v>
      </c>
      <c r="F1182" s="2">
        <v>210471</v>
      </c>
      <c r="G1182" s="3" t="str">
        <f>HYPERLINK("http://funmeta.oebiotech.com/network/210471", "http://funmeta.oebiotech.com/network/210471")</f>
        <v>http://funmeta.oebiotech.com/network/210471</v>
      </c>
      <c r="H1182" s="2" t="s">
        <v>8058</v>
      </c>
      <c r="I1182" s="2"/>
      <c r="J1182" s="2"/>
      <c r="K1182" s="2"/>
      <c r="L1182" s="2"/>
      <c r="M1182" s="2"/>
      <c r="N1182" s="2"/>
      <c r="O1182" s="2">
        <v>3453259</v>
      </c>
      <c r="P1182" s="2"/>
      <c r="Q1182" s="2" t="s">
        <v>8059</v>
      </c>
      <c r="R1182" s="2" t="s">
        <v>8060</v>
      </c>
      <c r="S1182" s="2" t="s">
        <v>50</v>
      </c>
      <c r="T1182" s="2" t="s">
        <v>201</v>
      </c>
      <c r="U1182" s="2" t="s">
        <v>202</v>
      </c>
      <c r="V1182" s="2" t="s">
        <v>42</v>
      </c>
      <c r="W1182" s="2">
        <v>48.3</v>
      </c>
      <c r="X1182" s="2">
        <v>54.3</v>
      </c>
      <c r="Y1182" s="2" t="s">
        <v>266</v>
      </c>
      <c r="Z1182" s="2" t="s">
        <v>8061</v>
      </c>
      <c r="AA1182" s="2">
        <v>-2.1634657606398502</v>
      </c>
      <c r="AB1182" s="2">
        <v>0.65138956694571504</v>
      </c>
      <c r="AC1182" s="2">
        <v>85525.742849378803</v>
      </c>
      <c r="AD1182" s="2">
        <v>114190.123201786</v>
      </c>
      <c r="AE1182" s="2">
        <v>82511.010082866007</v>
      </c>
      <c r="AF1182" s="2">
        <v>86611.742013978699</v>
      </c>
      <c r="AG1182" s="2">
        <v>91240.279920309797</v>
      </c>
      <c r="AH1182" s="2">
        <v>80251.160595196096</v>
      </c>
      <c r="AI1182" s="2">
        <v>91817.427303764402</v>
      </c>
      <c r="AJ1182" s="2">
        <v>80722.837180157905</v>
      </c>
      <c r="AK1182" s="2">
        <v>110787.60399443199</v>
      </c>
      <c r="AL1182" s="2">
        <v>112683.66656381699</v>
      </c>
      <c r="AM1182" s="2">
        <v>114041.876098793</v>
      </c>
      <c r="AN1182" s="2">
        <v>118122.595124703</v>
      </c>
      <c r="AO1182" s="2">
        <v>115051.03494891</v>
      </c>
      <c r="AP1182" s="2">
        <v>114453.962480063</v>
      </c>
    </row>
    <row r="1183" spans="1:42" ht="14.5" x14ac:dyDescent="0.35">
      <c r="A1183" s="2" t="s">
        <v>8062</v>
      </c>
      <c r="B1183" s="2">
        <v>612.35330067096902</v>
      </c>
      <c r="C1183" s="2">
        <v>5.9520999999999997</v>
      </c>
      <c r="D1183" s="2" t="s">
        <v>34</v>
      </c>
      <c r="E1183" s="2" t="s">
        <v>8063</v>
      </c>
      <c r="F1183" s="2">
        <v>36088</v>
      </c>
      <c r="G1183" s="3" t="str">
        <f>HYPERLINK("http://funmeta.oebiotech.com/network/36088", "http://funmeta.oebiotech.com/network/36088")</f>
        <v>http://funmeta.oebiotech.com/network/36088</v>
      </c>
      <c r="H1183" s="2"/>
      <c r="I1183" s="2"/>
      <c r="J1183" s="2" t="s">
        <v>8064</v>
      </c>
      <c r="K1183" s="2"/>
      <c r="L1183" s="2"/>
      <c r="M1183" s="2"/>
      <c r="N1183" s="2"/>
      <c r="O1183" s="2">
        <v>9873332</v>
      </c>
      <c r="P1183" s="2"/>
      <c r="Q1183" s="2" t="s">
        <v>8065</v>
      </c>
      <c r="R1183" s="2" t="s">
        <v>8066</v>
      </c>
      <c r="S1183" s="2" t="s">
        <v>50</v>
      </c>
      <c r="T1183" s="2" t="s">
        <v>201</v>
      </c>
      <c r="U1183" s="2" t="s">
        <v>241</v>
      </c>
      <c r="V1183" s="2" t="s">
        <v>59</v>
      </c>
      <c r="W1183" s="2">
        <v>43.4</v>
      </c>
      <c r="X1183" s="2">
        <v>27.1</v>
      </c>
      <c r="Y1183" s="2" t="s">
        <v>43</v>
      </c>
      <c r="Z1183" s="2" t="s">
        <v>8067</v>
      </c>
      <c r="AA1183" s="2">
        <v>0.347808459409232</v>
      </c>
      <c r="AB1183" s="2">
        <v>0.64910013046161497</v>
      </c>
      <c r="AC1183" s="2">
        <v>687438.06174390099</v>
      </c>
      <c r="AD1183" s="2">
        <v>640648.56959148403</v>
      </c>
      <c r="AE1183" s="2">
        <v>675069.23491699202</v>
      </c>
      <c r="AF1183" s="2">
        <v>672817.45371680195</v>
      </c>
      <c r="AG1183" s="2">
        <v>716275.06176363502</v>
      </c>
      <c r="AH1183" s="2">
        <v>655695.47935452498</v>
      </c>
      <c r="AI1183" s="2">
        <v>655739.51809288503</v>
      </c>
      <c r="AJ1183" s="2">
        <v>749031.62261856697</v>
      </c>
      <c r="AK1183" s="2">
        <v>589634.80708482</v>
      </c>
      <c r="AL1183" s="2">
        <v>631037.495339646</v>
      </c>
      <c r="AM1183" s="2">
        <v>676182.60547615495</v>
      </c>
      <c r="AN1183" s="2">
        <v>676062.78743586701</v>
      </c>
      <c r="AO1183" s="2">
        <v>638296.83085334103</v>
      </c>
      <c r="AP1183" s="2">
        <v>632676.89135907497</v>
      </c>
    </row>
    <row r="1184" spans="1:42" ht="14.5" x14ac:dyDescent="0.35">
      <c r="A1184" s="2" t="s">
        <v>8068</v>
      </c>
      <c r="B1184" s="2">
        <v>344.25814963078199</v>
      </c>
      <c r="C1184" s="2">
        <v>8.9336000000000002</v>
      </c>
      <c r="D1184" s="2" t="s">
        <v>34</v>
      </c>
      <c r="E1184" s="2" t="s">
        <v>8069</v>
      </c>
      <c r="F1184" s="2">
        <v>1512</v>
      </c>
      <c r="G1184" s="3" t="str">
        <f>HYPERLINK("http://funmeta.oebiotech.com/network/1512", "http://funmeta.oebiotech.com/network/1512")</f>
        <v>http://funmeta.oebiotech.com/network/1512</v>
      </c>
      <c r="H1184" s="2"/>
      <c r="I1184" s="2"/>
      <c r="J1184" s="2" t="s">
        <v>8070</v>
      </c>
      <c r="K1184" s="2"/>
      <c r="L1184" s="2"/>
      <c r="M1184" s="2"/>
      <c r="N1184" s="2"/>
      <c r="O1184" s="2">
        <v>21773622</v>
      </c>
      <c r="P1184" s="2"/>
      <c r="Q1184" s="2" t="s">
        <v>8071</v>
      </c>
      <c r="R1184" s="2" t="s">
        <v>8072</v>
      </c>
      <c r="S1184" s="2" t="s">
        <v>50</v>
      </c>
      <c r="T1184" s="2" t="s">
        <v>229</v>
      </c>
      <c r="U1184" s="2" t="s">
        <v>433</v>
      </c>
      <c r="V1184" s="2" t="s">
        <v>42</v>
      </c>
      <c r="W1184" s="2">
        <v>51.4</v>
      </c>
      <c r="X1184" s="2">
        <v>59.7</v>
      </c>
      <c r="Y1184" s="2" t="s">
        <v>43</v>
      </c>
      <c r="Z1184" s="2" t="s">
        <v>8073</v>
      </c>
      <c r="AA1184" s="2">
        <v>-0.78504335088452404</v>
      </c>
      <c r="AB1184" s="2">
        <v>0.649096915340168</v>
      </c>
      <c r="AC1184" s="2">
        <v>73717.180611236196</v>
      </c>
      <c r="AD1184" s="2">
        <v>101870.269871934</v>
      </c>
      <c r="AE1184" s="2">
        <v>75904.565833357206</v>
      </c>
      <c r="AF1184" s="2">
        <v>71843.177592844106</v>
      </c>
      <c r="AG1184" s="2">
        <v>67396.1668993856</v>
      </c>
      <c r="AH1184" s="2">
        <v>75118.466304558198</v>
      </c>
      <c r="AI1184" s="2">
        <v>73506.137256884002</v>
      </c>
      <c r="AJ1184" s="2">
        <v>78534.569780387799</v>
      </c>
      <c r="AK1184" s="2">
        <v>101658.923959725</v>
      </c>
      <c r="AL1184" s="2">
        <v>101577.02309432899</v>
      </c>
      <c r="AM1184" s="2">
        <v>102495.80256332101</v>
      </c>
      <c r="AN1184" s="2">
        <v>98836.667003386494</v>
      </c>
      <c r="AO1184" s="2">
        <v>102235.69006795999</v>
      </c>
      <c r="AP1184" s="2">
        <v>104417.512542884</v>
      </c>
    </row>
    <row r="1185" spans="1:42" ht="14.5" x14ac:dyDescent="0.35">
      <c r="A1185" s="2" t="s">
        <v>8074</v>
      </c>
      <c r="B1185" s="2">
        <v>315.19627471695202</v>
      </c>
      <c r="C1185" s="2">
        <v>8.1703666666666699</v>
      </c>
      <c r="D1185" s="2" t="s">
        <v>70</v>
      </c>
      <c r="E1185" s="2" t="s">
        <v>8075</v>
      </c>
      <c r="F1185" s="2">
        <v>36094</v>
      </c>
      <c r="G1185" s="3" t="str">
        <f>HYPERLINK("http://funmeta.oebiotech.com/network/36094", "http://funmeta.oebiotech.com/network/36094")</f>
        <v>http://funmeta.oebiotech.com/network/36094</v>
      </c>
      <c r="H1185" s="2"/>
      <c r="I1185" s="2">
        <v>53689</v>
      </c>
      <c r="J1185" s="2" t="s">
        <v>8076</v>
      </c>
      <c r="K1185" s="2"/>
      <c r="L1185" s="2"/>
      <c r="M1185" s="2"/>
      <c r="N1185" s="2"/>
      <c r="O1185" s="2">
        <v>42608250</v>
      </c>
      <c r="P1185" s="2"/>
      <c r="Q1185" s="2" t="s">
        <v>8077</v>
      </c>
      <c r="R1185" s="2" t="s">
        <v>8078</v>
      </c>
      <c r="S1185" s="2" t="s">
        <v>50</v>
      </c>
      <c r="T1185" s="2" t="s">
        <v>201</v>
      </c>
      <c r="U1185" s="2" t="s">
        <v>241</v>
      </c>
      <c r="V1185" s="2" t="s">
        <v>59</v>
      </c>
      <c r="W1185" s="2">
        <v>39.9</v>
      </c>
      <c r="X1185" s="2">
        <v>4.03</v>
      </c>
      <c r="Y1185" s="2" t="s">
        <v>498</v>
      </c>
      <c r="Z1185" s="2" t="s">
        <v>8079</v>
      </c>
      <c r="AA1185" s="2">
        <v>-0.92853927216296095</v>
      </c>
      <c r="AB1185" s="2">
        <v>0.64782426946208604</v>
      </c>
      <c r="AC1185" s="2">
        <v>37526.676562196903</v>
      </c>
      <c r="AD1185" s="2">
        <v>2644.2335311930401</v>
      </c>
      <c r="AE1185" s="2">
        <v>25947.874094498799</v>
      </c>
      <c r="AF1185" s="2">
        <v>80230.150616861196</v>
      </c>
      <c r="AG1185" s="2">
        <v>32285.879086125598</v>
      </c>
      <c r="AH1185" s="2">
        <v>31111.0916910794</v>
      </c>
      <c r="AI1185" s="2">
        <v>24844.982690261098</v>
      </c>
      <c r="AJ1185" s="2">
        <v>30740.0811943554</v>
      </c>
      <c r="AK1185" s="2">
        <v>992.85144715767206</v>
      </c>
      <c r="AL1185" s="2">
        <v>1342.5270287829201</v>
      </c>
      <c r="AM1185" s="2">
        <v>1335.0016961661199</v>
      </c>
      <c r="AN1185" s="2">
        <v>1561.37552065658</v>
      </c>
      <c r="AO1185" s="2">
        <v>9540.0233077955309</v>
      </c>
      <c r="AP1185" s="2">
        <v>1093.6221865994</v>
      </c>
    </row>
    <row r="1186" spans="1:42" ht="14.5" x14ac:dyDescent="0.35">
      <c r="A1186" s="2" t="s">
        <v>8080</v>
      </c>
      <c r="B1186" s="2">
        <v>316.284508255003</v>
      </c>
      <c r="C1186" s="2">
        <v>9.2343499999999992</v>
      </c>
      <c r="D1186" s="2" t="s">
        <v>34</v>
      </c>
      <c r="E1186" s="2" t="s">
        <v>8081</v>
      </c>
      <c r="F1186" s="2">
        <v>61515</v>
      </c>
      <c r="G1186" s="3" t="str">
        <f>HYPERLINK("http://funmeta.oebiotech.com/network/61515", "http://funmeta.oebiotech.com/network/61515")</f>
        <v>http://funmeta.oebiotech.com/network/61515</v>
      </c>
      <c r="H1186" s="2" t="s">
        <v>8082</v>
      </c>
      <c r="I1186" s="2"/>
      <c r="J1186" s="2"/>
      <c r="K1186" s="2"/>
      <c r="L1186" s="2"/>
      <c r="M1186" s="2"/>
      <c r="N1186" s="2"/>
      <c r="O1186" s="2">
        <v>14757419</v>
      </c>
      <c r="P1186" s="2" t="s">
        <v>8083</v>
      </c>
      <c r="Q1186" s="2" t="s">
        <v>8084</v>
      </c>
      <c r="R1186" s="2" t="s">
        <v>8085</v>
      </c>
      <c r="S1186" s="2" t="s">
        <v>1677</v>
      </c>
      <c r="T1186" s="2" t="s">
        <v>1678</v>
      </c>
      <c r="U1186" s="2" t="s">
        <v>1679</v>
      </c>
      <c r="V1186" s="2" t="s">
        <v>42</v>
      </c>
      <c r="W1186" s="2">
        <v>52.1</v>
      </c>
      <c r="X1186" s="2">
        <v>64.400000000000006</v>
      </c>
      <c r="Y1186" s="2" t="s">
        <v>67</v>
      </c>
      <c r="Z1186" s="2" t="s">
        <v>8086</v>
      </c>
      <c r="AA1186" s="2">
        <v>-0.35596299207786603</v>
      </c>
      <c r="AB1186" s="2">
        <v>0.646805361506397</v>
      </c>
      <c r="AC1186" s="2">
        <v>153565.82513413599</v>
      </c>
      <c r="AD1186" s="2">
        <v>184843.51707941201</v>
      </c>
      <c r="AE1186" s="2">
        <v>153852.079451756</v>
      </c>
      <c r="AF1186" s="2">
        <v>152990.23284728199</v>
      </c>
      <c r="AG1186" s="2">
        <v>162338.87169405699</v>
      </c>
      <c r="AH1186" s="2">
        <v>145723.69137481999</v>
      </c>
      <c r="AI1186" s="2">
        <v>148714.010838788</v>
      </c>
      <c r="AJ1186" s="2">
        <v>157776.064598111</v>
      </c>
      <c r="AK1186" s="2">
        <v>195190.245544782</v>
      </c>
      <c r="AL1186" s="2">
        <v>197586.42733357899</v>
      </c>
      <c r="AM1186" s="2">
        <v>171241.69415999099</v>
      </c>
      <c r="AN1186" s="2">
        <v>184922.26280779601</v>
      </c>
      <c r="AO1186" s="2">
        <v>188722.377060231</v>
      </c>
      <c r="AP1186" s="2">
        <v>171398.09557009299</v>
      </c>
    </row>
    <row r="1187" spans="1:42" ht="14.5" x14ac:dyDescent="0.35">
      <c r="A1187" s="2" t="s">
        <v>8087</v>
      </c>
      <c r="B1187" s="2">
        <v>533.09005781516998</v>
      </c>
      <c r="C1187" s="2">
        <v>3.95061666666667</v>
      </c>
      <c r="D1187" s="2" t="s">
        <v>70</v>
      </c>
      <c r="E1187" s="2" t="s">
        <v>8088</v>
      </c>
      <c r="F1187" s="2">
        <v>60995</v>
      </c>
      <c r="G1187" s="3" t="str">
        <f>HYPERLINK("http://funmeta.oebiotech.com/network/60995", "http://funmeta.oebiotech.com/network/60995")</f>
        <v>http://funmeta.oebiotech.com/network/60995</v>
      </c>
      <c r="H1187" s="2" t="s">
        <v>8089</v>
      </c>
      <c r="I1187" s="2">
        <v>92339</v>
      </c>
      <c r="J1187" s="2"/>
      <c r="K1187" s="2">
        <v>142248</v>
      </c>
      <c r="L1187" s="2"/>
      <c r="M1187" s="2"/>
      <c r="N1187" s="2"/>
      <c r="O1187" s="2">
        <v>14162698</v>
      </c>
      <c r="P1187" s="2" t="s">
        <v>8090</v>
      </c>
      <c r="Q1187" s="2" t="s">
        <v>8091</v>
      </c>
      <c r="R1187" s="2" t="s">
        <v>8092</v>
      </c>
      <c r="S1187" s="2" t="s">
        <v>115</v>
      </c>
      <c r="T1187" s="2" t="s">
        <v>139</v>
      </c>
      <c r="U1187" s="2" t="s">
        <v>140</v>
      </c>
      <c r="V1187" s="2" t="s">
        <v>59</v>
      </c>
      <c r="W1187" s="2">
        <v>37.4</v>
      </c>
      <c r="X1187" s="2">
        <v>0</v>
      </c>
      <c r="Y1187" s="2" t="s">
        <v>286</v>
      </c>
      <c r="Z1187" s="2" t="s">
        <v>8093</v>
      </c>
      <c r="AA1187" s="2">
        <v>-6.7798646924109596</v>
      </c>
      <c r="AB1187" s="2">
        <v>0.64650251993458496</v>
      </c>
      <c r="AC1187" s="2">
        <v>181032.971473232</v>
      </c>
      <c r="AD1187" s="2">
        <v>217461.98145743</v>
      </c>
      <c r="AE1187" s="2">
        <v>164943.26282404401</v>
      </c>
      <c r="AF1187" s="2">
        <v>196625.203785855</v>
      </c>
      <c r="AG1187" s="2">
        <v>178926.38467928101</v>
      </c>
      <c r="AH1187" s="2">
        <v>156225.33097126501</v>
      </c>
      <c r="AI1187" s="2">
        <v>209558.58966492201</v>
      </c>
      <c r="AJ1187" s="2">
        <v>179919.056914026</v>
      </c>
      <c r="AK1187" s="2">
        <v>232378.04064394001</v>
      </c>
      <c r="AL1187" s="2">
        <v>192762.77510805399</v>
      </c>
      <c r="AM1187" s="2">
        <v>225679.53940520101</v>
      </c>
      <c r="AN1187" s="2">
        <v>220760.91644599801</v>
      </c>
      <c r="AO1187" s="2">
        <v>203288.76752054901</v>
      </c>
      <c r="AP1187" s="2">
        <v>229901.849620836</v>
      </c>
    </row>
    <row r="1188" spans="1:42" ht="14.5" x14ac:dyDescent="0.35">
      <c r="A1188" s="2" t="s">
        <v>8094</v>
      </c>
      <c r="B1188" s="2">
        <v>451.10353272980501</v>
      </c>
      <c r="C1188" s="2">
        <v>4.9873666666666701</v>
      </c>
      <c r="D1188" s="2" t="s">
        <v>70</v>
      </c>
      <c r="E1188" s="2" t="s">
        <v>8095</v>
      </c>
      <c r="F1188" s="2">
        <v>31673</v>
      </c>
      <c r="G1188" s="3" t="str">
        <f>HYPERLINK("http://funmeta.oebiotech.com/network/31673", "http://funmeta.oebiotech.com/network/31673")</f>
        <v>http://funmeta.oebiotech.com/network/31673</v>
      </c>
      <c r="H1188" s="2"/>
      <c r="I1188" s="2"/>
      <c r="J1188" s="2" t="s">
        <v>8096</v>
      </c>
      <c r="K1188" s="2"/>
      <c r="L1188" s="2"/>
      <c r="M1188" s="2"/>
      <c r="N1188" s="2"/>
      <c r="O1188" s="2">
        <v>101731480</v>
      </c>
      <c r="P1188" s="2"/>
      <c r="Q1188" s="2" t="s">
        <v>8097</v>
      </c>
      <c r="R1188" s="2" t="s">
        <v>8098</v>
      </c>
      <c r="S1188" s="2" t="s">
        <v>115</v>
      </c>
      <c r="T1188" s="2" t="s">
        <v>139</v>
      </c>
      <c r="U1188" s="2" t="s">
        <v>140</v>
      </c>
      <c r="V1188" s="2" t="s">
        <v>59</v>
      </c>
      <c r="W1188" s="2">
        <v>44.9</v>
      </c>
      <c r="X1188" s="2">
        <v>32.5</v>
      </c>
      <c r="Y1188" s="2" t="s">
        <v>1395</v>
      </c>
      <c r="Z1188" s="2" t="s">
        <v>8099</v>
      </c>
      <c r="AA1188" s="2">
        <v>0.16367832263087101</v>
      </c>
      <c r="AB1188" s="2">
        <v>0.64612227310427295</v>
      </c>
      <c r="AC1188" s="2">
        <v>39036.4071177691</v>
      </c>
      <c r="AD1188" s="2">
        <v>68677.851146995294</v>
      </c>
      <c r="AE1188" s="2">
        <v>31731.983109672499</v>
      </c>
      <c r="AF1188" s="2">
        <v>33282.831943142701</v>
      </c>
      <c r="AG1188" s="2">
        <v>50878.507057747898</v>
      </c>
      <c r="AH1188" s="2">
        <v>36909.023136011201</v>
      </c>
      <c r="AI1188" s="2">
        <v>36437.431724825903</v>
      </c>
      <c r="AJ1188" s="2">
        <v>44978.665735214599</v>
      </c>
      <c r="AK1188" s="2">
        <v>63247.7616075232</v>
      </c>
      <c r="AL1188" s="2">
        <v>73216.710676773306</v>
      </c>
      <c r="AM1188" s="2">
        <v>77186.047416260306</v>
      </c>
      <c r="AN1188" s="2">
        <v>62547.868558849099</v>
      </c>
      <c r="AO1188" s="2">
        <v>69438.927262736601</v>
      </c>
      <c r="AP1188" s="2">
        <v>66429.791359829294</v>
      </c>
    </row>
    <row r="1189" spans="1:42" ht="14.5" x14ac:dyDescent="0.35">
      <c r="A1189" s="2" t="s">
        <v>8100</v>
      </c>
      <c r="B1189" s="2">
        <v>714.55031607543106</v>
      </c>
      <c r="C1189" s="2">
        <v>14.79945</v>
      </c>
      <c r="D1189" s="2" t="s">
        <v>34</v>
      </c>
      <c r="E1189" s="2" t="s">
        <v>8101</v>
      </c>
      <c r="F1189" s="2">
        <v>466985</v>
      </c>
      <c r="G1189" s="3" t="str">
        <f>HYPERLINK("http://funmeta.oebiotech.com/network/466985", "http://funmeta.oebiotech.com/network/466985")</f>
        <v>http://funmeta.oebiotech.com/network/466985</v>
      </c>
      <c r="H1189" s="2"/>
      <c r="I1189" s="2">
        <v>85015</v>
      </c>
      <c r="J1189" s="2"/>
      <c r="K1189" s="2"/>
      <c r="L1189" s="2"/>
      <c r="M1189" s="2"/>
      <c r="N1189" s="2"/>
      <c r="O1189" s="2">
        <v>10169092</v>
      </c>
      <c r="P1189" s="2"/>
      <c r="Q1189" s="2" t="s">
        <v>8102</v>
      </c>
      <c r="R1189" s="2" t="s">
        <v>8103</v>
      </c>
      <c r="S1189" s="2" t="s">
        <v>50</v>
      </c>
      <c r="T1189" s="2" t="s">
        <v>693</v>
      </c>
      <c r="U1189" s="2" t="s">
        <v>694</v>
      </c>
      <c r="V1189" s="2" t="s">
        <v>42</v>
      </c>
      <c r="W1189" s="2">
        <v>57.3</v>
      </c>
      <c r="X1189" s="2">
        <v>89.2</v>
      </c>
      <c r="Y1189" s="2" t="s">
        <v>266</v>
      </c>
      <c r="Z1189" s="2" t="s">
        <v>8104</v>
      </c>
      <c r="AA1189" s="2">
        <v>-1.60234318211619</v>
      </c>
      <c r="AB1189" s="2">
        <v>0.64595149282584996</v>
      </c>
      <c r="AC1189" s="2">
        <v>2029978.61776352</v>
      </c>
      <c r="AD1189" s="2">
        <v>1958649.4231140099</v>
      </c>
      <c r="AE1189" s="2">
        <v>1990828.5428162999</v>
      </c>
      <c r="AF1189" s="2">
        <v>2051178.98380055</v>
      </c>
      <c r="AG1189" s="2">
        <v>2069628.9051320299</v>
      </c>
      <c r="AH1189" s="2">
        <v>1973065.1722204699</v>
      </c>
      <c r="AI1189" s="2">
        <v>1909200.2108314701</v>
      </c>
      <c r="AJ1189" s="2">
        <v>2185969.8917803201</v>
      </c>
      <c r="AK1189" s="2">
        <v>1938376.30709457</v>
      </c>
      <c r="AL1189" s="2">
        <v>1981496.92200615</v>
      </c>
      <c r="AM1189" s="2">
        <v>1859403.4603190999</v>
      </c>
      <c r="AN1189" s="2">
        <v>1948553.1159472</v>
      </c>
      <c r="AO1189" s="2">
        <v>2136640.6146506998</v>
      </c>
      <c r="AP1189" s="2">
        <v>1887426.1186663499</v>
      </c>
    </row>
    <row r="1190" spans="1:42" ht="14.5" x14ac:dyDescent="0.35">
      <c r="A1190" s="2" t="s">
        <v>8105</v>
      </c>
      <c r="B1190" s="2">
        <v>457.33075160262001</v>
      </c>
      <c r="C1190" s="2">
        <v>7.6815499999999997</v>
      </c>
      <c r="D1190" s="2" t="s">
        <v>34</v>
      </c>
      <c r="E1190" s="2" t="s">
        <v>8106</v>
      </c>
      <c r="F1190" s="2">
        <v>45578</v>
      </c>
      <c r="G1190" s="3" t="str">
        <f>HYPERLINK("http://funmeta.oebiotech.com/network/45578", "http://funmeta.oebiotech.com/network/45578")</f>
        <v>http://funmeta.oebiotech.com/network/45578</v>
      </c>
      <c r="H1190" s="2"/>
      <c r="I1190" s="2"/>
      <c r="J1190" s="2" t="s">
        <v>8107</v>
      </c>
      <c r="K1190" s="2">
        <v>73917</v>
      </c>
      <c r="L1190" s="2"/>
      <c r="M1190" s="2"/>
      <c r="N1190" s="2"/>
      <c r="O1190" s="2">
        <v>9547521</v>
      </c>
      <c r="P1190" s="2"/>
      <c r="Q1190" s="2" t="s">
        <v>8108</v>
      </c>
      <c r="R1190" s="2" t="s">
        <v>8109</v>
      </c>
      <c r="S1190" s="2" t="s">
        <v>50</v>
      </c>
      <c r="T1190" s="2" t="s">
        <v>124</v>
      </c>
      <c r="U1190" s="2" t="s">
        <v>982</v>
      </c>
      <c r="V1190" s="2" t="s">
        <v>59</v>
      </c>
      <c r="W1190" s="2">
        <v>44.2</v>
      </c>
      <c r="X1190" s="2">
        <v>37.700000000000003</v>
      </c>
      <c r="Y1190" s="2" t="s">
        <v>266</v>
      </c>
      <c r="Z1190" s="2" t="s">
        <v>8110</v>
      </c>
      <c r="AA1190" s="2">
        <v>-1.0218956775618</v>
      </c>
      <c r="AB1190" s="2">
        <v>0.64564204002054204</v>
      </c>
      <c r="AC1190" s="2">
        <v>57314.794115689998</v>
      </c>
      <c r="AD1190" s="2">
        <v>28293.437126589299</v>
      </c>
      <c r="AE1190" s="2">
        <v>54852.057565830197</v>
      </c>
      <c r="AF1190" s="2">
        <v>48065.007208016003</v>
      </c>
      <c r="AG1190" s="2">
        <v>58028.784765675598</v>
      </c>
      <c r="AH1190" s="2">
        <v>66629.136589054906</v>
      </c>
      <c r="AI1190" s="2">
        <v>56378.2696408802</v>
      </c>
      <c r="AJ1190" s="2">
        <v>59935.508924683199</v>
      </c>
      <c r="AK1190" s="2">
        <v>37917.335855636004</v>
      </c>
      <c r="AL1190" s="2">
        <v>24008.219680367401</v>
      </c>
      <c r="AM1190" s="2">
        <v>27468.004120644</v>
      </c>
      <c r="AN1190" s="2">
        <v>24269.875891751501</v>
      </c>
      <c r="AO1190" s="2">
        <v>28607.682438756499</v>
      </c>
      <c r="AP1190" s="2">
        <v>27489.504772380202</v>
      </c>
    </row>
    <row r="1191" spans="1:42" ht="14.5" x14ac:dyDescent="0.35">
      <c r="A1191" s="2" t="s">
        <v>8111</v>
      </c>
      <c r="B1191" s="2">
        <v>201.14886419786799</v>
      </c>
      <c r="C1191" s="2">
        <v>8.24085</v>
      </c>
      <c r="D1191" s="2" t="s">
        <v>70</v>
      </c>
      <c r="E1191" s="2" t="s">
        <v>8112</v>
      </c>
      <c r="F1191" s="2">
        <v>1680</v>
      </c>
      <c r="G1191" s="3" t="str">
        <f>HYPERLINK("http://funmeta.oebiotech.com/network/1680", "http://funmeta.oebiotech.com/network/1680")</f>
        <v>http://funmeta.oebiotech.com/network/1680</v>
      </c>
      <c r="H1191" s="2"/>
      <c r="I1191" s="2">
        <v>35416</v>
      </c>
      <c r="J1191" s="2" t="s">
        <v>8113</v>
      </c>
      <c r="K1191" s="2">
        <v>79126</v>
      </c>
      <c r="L1191" s="2"/>
      <c r="M1191" s="2"/>
      <c r="N1191" s="2"/>
      <c r="O1191" s="2">
        <v>77237</v>
      </c>
      <c r="P1191" s="2"/>
      <c r="Q1191" s="2" t="s">
        <v>8114</v>
      </c>
      <c r="R1191" s="2" t="s">
        <v>8115</v>
      </c>
      <c r="S1191" s="2" t="s">
        <v>89</v>
      </c>
      <c r="T1191" s="2" t="s">
        <v>4218</v>
      </c>
      <c r="U1191" s="2" t="s">
        <v>5830</v>
      </c>
      <c r="V1191" s="2" t="s">
        <v>59</v>
      </c>
      <c r="W1191" s="2">
        <v>41.7</v>
      </c>
      <c r="X1191" s="2">
        <v>14.9</v>
      </c>
      <c r="Y1191" s="2" t="s">
        <v>118</v>
      </c>
      <c r="Z1191" s="2" t="s">
        <v>8116</v>
      </c>
      <c r="AA1191" s="2">
        <v>-3.72945159077821</v>
      </c>
      <c r="AB1191" s="2">
        <v>0.64560897261315098</v>
      </c>
      <c r="AC1191" s="2">
        <v>165526.426803271</v>
      </c>
      <c r="AD1191" s="2">
        <v>197218.479881618</v>
      </c>
      <c r="AE1191" s="2">
        <v>165655.513702636</v>
      </c>
      <c r="AF1191" s="2">
        <v>164958.49400256999</v>
      </c>
      <c r="AG1191" s="2">
        <v>171046.84373714801</v>
      </c>
      <c r="AH1191" s="2">
        <v>167875.153625609</v>
      </c>
      <c r="AI1191" s="2">
        <v>170320.25630998501</v>
      </c>
      <c r="AJ1191" s="2">
        <v>153302.29944167801</v>
      </c>
      <c r="AK1191" s="2">
        <v>218485.52441768401</v>
      </c>
      <c r="AL1191" s="2">
        <v>203369.68591402101</v>
      </c>
      <c r="AM1191" s="2">
        <v>195891.161737986</v>
      </c>
      <c r="AN1191" s="2">
        <v>193179.891219635</v>
      </c>
      <c r="AO1191" s="2">
        <v>191831.05574398499</v>
      </c>
      <c r="AP1191" s="2">
        <v>180553.560256397</v>
      </c>
    </row>
    <row r="1192" spans="1:42" ht="14.5" x14ac:dyDescent="0.35">
      <c r="A1192" s="2" t="s">
        <v>8117</v>
      </c>
      <c r="B1192" s="2">
        <v>1023.4181929300599</v>
      </c>
      <c r="C1192" s="2">
        <v>12.1619166666667</v>
      </c>
      <c r="D1192" s="2" t="s">
        <v>34</v>
      </c>
      <c r="E1192" s="2" t="s">
        <v>8118</v>
      </c>
      <c r="F1192" s="2">
        <v>61838</v>
      </c>
      <c r="G1192" s="3" t="str">
        <f>HYPERLINK("http://funmeta.oebiotech.com/network/61838", "http://funmeta.oebiotech.com/network/61838")</f>
        <v>http://funmeta.oebiotech.com/network/61838</v>
      </c>
      <c r="H1192" s="2" t="s">
        <v>8119</v>
      </c>
      <c r="I1192" s="2"/>
      <c r="J1192" s="2"/>
      <c r="K1192" s="2"/>
      <c r="L1192" s="2"/>
      <c r="M1192" s="2"/>
      <c r="N1192" s="2"/>
      <c r="O1192" s="2">
        <v>14187170</v>
      </c>
      <c r="P1192" s="2" t="s">
        <v>8120</v>
      </c>
      <c r="Q1192" s="2" t="s">
        <v>8121</v>
      </c>
      <c r="R1192" s="2" t="s">
        <v>8122</v>
      </c>
      <c r="S1192" s="2" t="s">
        <v>50</v>
      </c>
      <c r="T1192" s="2" t="s">
        <v>201</v>
      </c>
      <c r="U1192" s="2" t="s">
        <v>202</v>
      </c>
      <c r="V1192" s="2" t="s">
        <v>59</v>
      </c>
      <c r="W1192" s="2">
        <v>38.299999999999997</v>
      </c>
      <c r="X1192" s="2">
        <v>0</v>
      </c>
      <c r="Y1192" s="2" t="s">
        <v>340</v>
      </c>
      <c r="Z1192" s="2" t="s">
        <v>8123</v>
      </c>
      <c r="AA1192" s="2">
        <v>-1.5993287262510201</v>
      </c>
      <c r="AB1192" s="2">
        <v>0.64544320807801003</v>
      </c>
      <c r="AC1192" s="2">
        <v>29145.854839852698</v>
      </c>
      <c r="AD1192" s="2">
        <v>1523.9248518966201</v>
      </c>
      <c r="AE1192" s="2">
        <v>29846.697495528599</v>
      </c>
      <c r="AF1192" s="2">
        <v>30547.9709375155</v>
      </c>
      <c r="AG1192" s="2">
        <v>29126.264321025701</v>
      </c>
      <c r="AH1192" s="2">
        <v>23786.454341711498</v>
      </c>
      <c r="AI1192" s="2">
        <v>29020.806400634701</v>
      </c>
      <c r="AJ1192" s="2">
        <v>32546.935542700299</v>
      </c>
      <c r="AK1192" s="2">
        <v>2.7106294003980101E-5</v>
      </c>
      <c r="AL1192" s="2">
        <v>1405.65265009222</v>
      </c>
      <c r="AM1192" s="2">
        <v>1533.76734556163</v>
      </c>
      <c r="AN1192" s="2">
        <v>1185.8178215087901</v>
      </c>
      <c r="AO1192" s="2">
        <v>3550.47323433363</v>
      </c>
      <c r="AP1192" s="2">
        <v>1467.8380327771599</v>
      </c>
    </row>
    <row r="1193" spans="1:42" ht="14.5" x14ac:dyDescent="0.35">
      <c r="A1193" s="2" t="s">
        <v>8124</v>
      </c>
      <c r="B1193" s="2">
        <v>615.19238298191704</v>
      </c>
      <c r="C1193" s="2">
        <v>3.42648333333333</v>
      </c>
      <c r="D1193" s="2" t="s">
        <v>70</v>
      </c>
      <c r="E1193" s="2" t="s">
        <v>8125</v>
      </c>
      <c r="F1193" s="2">
        <v>256347</v>
      </c>
      <c r="G1193" s="3" t="str">
        <f>HYPERLINK("http://funmeta.oebiotech.com/network/256347", "http://funmeta.oebiotech.com/network/256347")</f>
        <v>http://funmeta.oebiotech.com/network/256347</v>
      </c>
      <c r="H1193" s="2" t="s">
        <v>8126</v>
      </c>
      <c r="I1193" s="2"/>
      <c r="J1193" s="2"/>
      <c r="K1193" s="2"/>
      <c r="L1193" s="2"/>
      <c r="M1193" s="2"/>
      <c r="N1193" s="2"/>
      <c r="O1193" s="2"/>
      <c r="P1193" s="2"/>
      <c r="Q1193" s="2" t="s">
        <v>8127</v>
      </c>
      <c r="R1193" s="2" t="s">
        <v>8128</v>
      </c>
      <c r="S1193" s="2" t="s">
        <v>50</v>
      </c>
      <c r="T1193" s="2" t="s">
        <v>201</v>
      </c>
      <c r="U1193" s="2" t="s">
        <v>202</v>
      </c>
      <c r="V1193" s="2" t="s">
        <v>42</v>
      </c>
      <c r="W1193" s="2">
        <v>48.3</v>
      </c>
      <c r="X1193" s="2">
        <v>50.5</v>
      </c>
      <c r="Y1193" s="2" t="s">
        <v>408</v>
      </c>
      <c r="Z1193" s="2" t="s">
        <v>8129</v>
      </c>
      <c r="AA1193" s="2">
        <v>-1.1849498388445701</v>
      </c>
      <c r="AB1193" s="2">
        <v>0.64511304831375405</v>
      </c>
      <c r="AC1193" s="2">
        <v>146820.170497666</v>
      </c>
      <c r="AD1193" s="2">
        <v>117303.01854411401</v>
      </c>
      <c r="AE1193" s="2">
        <v>143370.98746807899</v>
      </c>
      <c r="AF1193" s="2">
        <v>135033.04563002501</v>
      </c>
      <c r="AG1193" s="2">
        <v>146446.12476630101</v>
      </c>
      <c r="AH1193" s="2">
        <v>145850.46629757501</v>
      </c>
      <c r="AI1193" s="2">
        <v>148246.69656469801</v>
      </c>
      <c r="AJ1193" s="2">
        <v>161973.70225931599</v>
      </c>
      <c r="AK1193" s="2">
        <v>112248.94934239901</v>
      </c>
      <c r="AL1193" s="2">
        <v>117779.137966792</v>
      </c>
      <c r="AM1193" s="2">
        <v>117984.773679349</v>
      </c>
      <c r="AN1193" s="2">
        <v>120537.67872882901</v>
      </c>
      <c r="AO1193" s="2">
        <v>116788.796121072</v>
      </c>
      <c r="AP1193" s="2">
        <v>118478.775426243</v>
      </c>
    </row>
    <row r="1194" spans="1:42" ht="14.5" x14ac:dyDescent="0.35">
      <c r="A1194" s="2" t="s">
        <v>8130</v>
      </c>
      <c r="B1194" s="2">
        <v>335.17096369804</v>
      </c>
      <c r="C1194" s="2">
        <v>5.8600666666666701</v>
      </c>
      <c r="D1194" s="2" t="s">
        <v>70</v>
      </c>
      <c r="E1194" s="2" t="s">
        <v>8131</v>
      </c>
      <c r="F1194" s="2">
        <v>57222</v>
      </c>
      <c r="G1194" s="3" t="str">
        <f>HYPERLINK("http://funmeta.oebiotech.com/network/57222", "http://funmeta.oebiotech.com/network/57222")</f>
        <v>http://funmeta.oebiotech.com/network/57222</v>
      </c>
      <c r="H1194" s="2" t="s">
        <v>8132</v>
      </c>
      <c r="I1194" s="2">
        <v>88858</v>
      </c>
      <c r="J1194" s="2"/>
      <c r="K1194" s="2">
        <v>168990</v>
      </c>
      <c r="L1194" s="2"/>
      <c r="M1194" s="2"/>
      <c r="N1194" s="2"/>
      <c r="O1194" s="2">
        <v>73817234</v>
      </c>
      <c r="P1194" s="2" t="s">
        <v>8133</v>
      </c>
      <c r="Q1194" s="2" t="s">
        <v>8134</v>
      </c>
      <c r="R1194" s="2" t="s">
        <v>8135</v>
      </c>
      <c r="S1194" s="2" t="s">
        <v>50</v>
      </c>
      <c r="T1194" s="2" t="s">
        <v>229</v>
      </c>
      <c r="U1194" s="2" t="s">
        <v>230</v>
      </c>
      <c r="V1194" s="2" t="s">
        <v>59</v>
      </c>
      <c r="W1194" s="2">
        <v>44.6</v>
      </c>
      <c r="X1194" s="2">
        <v>25.1</v>
      </c>
      <c r="Y1194" s="2" t="s">
        <v>408</v>
      </c>
      <c r="Z1194" s="2" t="s">
        <v>8136</v>
      </c>
      <c r="AA1194" s="2">
        <v>-0.61247317041524396</v>
      </c>
      <c r="AB1194" s="2">
        <v>0.64511133229880002</v>
      </c>
      <c r="AC1194" s="2">
        <v>47834.520709667799</v>
      </c>
      <c r="AD1194" s="2">
        <v>76526.059154329196</v>
      </c>
      <c r="AE1194" s="2">
        <v>49202.723238534301</v>
      </c>
      <c r="AF1194" s="2">
        <v>48114.5527111341</v>
      </c>
      <c r="AG1194" s="2">
        <v>53328.689147463097</v>
      </c>
      <c r="AH1194" s="2">
        <v>40668.7355091504</v>
      </c>
      <c r="AI1194" s="2">
        <v>46261.025386451001</v>
      </c>
      <c r="AJ1194" s="2">
        <v>49431.398265273703</v>
      </c>
      <c r="AK1194" s="2">
        <v>78454.747879634</v>
      </c>
      <c r="AL1194" s="2">
        <v>83507.259376016606</v>
      </c>
      <c r="AM1194" s="2">
        <v>74158.552994066107</v>
      </c>
      <c r="AN1194" s="2">
        <v>80343.898742734207</v>
      </c>
      <c r="AO1194" s="2">
        <v>75198.994430609004</v>
      </c>
      <c r="AP1194" s="2">
        <v>67492.901502915003</v>
      </c>
    </row>
    <row r="1195" spans="1:42" ht="14.5" x14ac:dyDescent="0.35">
      <c r="A1195" s="2" t="s">
        <v>8137</v>
      </c>
      <c r="B1195" s="2">
        <v>729.10629028921801</v>
      </c>
      <c r="C1195" s="2">
        <v>1.79495</v>
      </c>
      <c r="D1195" s="2" t="s">
        <v>34</v>
      </c>
      <c r="E1195" s="2" t="s">
        <v>8138</v>
      </c>
      <c r="F1195" s="2">
        <v>267243</v>
      </c>
      <c r="G1195" s="3" t="str">
        <f>HYPERLINK("http://funmeta.oebiotech.com/network/267243", "http://funmeta.oebiotech.com/network/267243")</f>
        <v>http://funmeta.oebiotech.com/network/267243</v>
      </c>
      <c r="H1195" s="2"/>
      <c r="I1195" s="2">
        <v>45081</v>
      </c>
      <c r="J1195" s="2"/>
      <c r="K1195" s="2"/>
      <c r="L1195" s="2"/>
      <c r="M1195" s="2"/>
      <c r="N1195" s="2"/>
      <c r="O1195" s="2">
        <v>57347691</v>
      </c>
      <c r="P1195" s="2"/>
      <c r="Q1195" s="2" t="s">
        <v>8139</v>
      </c>
      <c r="R1195" s="2" t="s">
        <v>8140</v>
      </c>
      <c r="S1195" s="2" t="s">
        <v>50</v>
      </c>
      <c r="T1195" s="2" t="s">
        <v>51</v>
      </c>
      <c r="U1195" s="2" t="s">
        <v>5754</v>
      </c>
      <c r="V1195" s="2" t="s">
        <v>59</v>
      </c>
      <c r="W1195" s="2">
        <v>38</v>
      </c>
      <c r="X1195" s="2">
        <v>0</v>
      </c>
      <c r="Y1195" s="2" t="s">
        <v>340</v>
      </c>
      <c r="Z1195" s="2" t="s">
        <v>8141</v>
      </c>
      <c r="AA1195" s="2">
        <v>-3.4148847307854902</v>
      </c>
      <c r="AB1195" s="2">
        <v>0.64450070542333604</v>
      </c>
      <c r="AC1195" s="2">
        <v>74475.668567529705</v>
      </c>
      <c r="AD1195" s="2">
        <v>104008.380883875</v>
      </c>
      <c r="AE1195" s="2">
        <v>74030.467861336496</v>
      </c>
      <c r="AF1195" s="2">
        <v>83840.272578062199</v>
      </c>
      <c r="AG1195" s="2">
        <v>75461.425758958605</v>
      </c>
      <c r="AH1195" s="2">
        <v>68118.320294930396</v>
      </c>
      <c r="AI1195" s="2">
        <v>66923.775297536602</v>
      </c>
      <c r="AJ1195" s="2">
        <v>78479.749614354194</v>
      </c>
      <c r="AK1195" s="2">
        <v>109411.581992505</v>
      </c>
      <c r="AL1195" s="2">
        <v>106635.395802677</v>
      </c>
      <c r="AM1195" s="2">
        <v>95822.120990410098</v>
      </c>
      <c r="AN1195" s="2">
        <v>110168.755515764</v>
      </c>
      <c r="AO1195" s="2">
        <v>106777.005378043</v>
      </c>
      <c r="AP1195" s="2">
        <v>95235.425623852105</v>
      </c>
    </row>
    <row r="1196" spans="1:42" ht="14.5" x14ac:dyDescent="0.35">
      <c r="A1196" s="2" t="s">
        <v>8142</v>
      </c>
      <c r="B1196" s="2">
        <v>611.22515205336504</v>
      </c>
      <c r="C1196" s="2">
        <v>6.5888166666666699</v>
      </c>
      <c r="D1196" s="2" t="s">
        <v>34</v>
      </c>
      <c r="E1196" s="2" t="s">
        <v>8143</v>
      </c>
      <c r="F1196" s="2">
        <v>55760</v>
      </c>
      <c r="G1196" s="3" t="str">
        <f>HYPERLINK("http://funmeta.oebiotech.com/network/55760", "http://funmeta.oebiotech.com/network/55760")</f>
        <v>http://funmeta.oebiotech.com/network/55760</v>
      </c>
      <c r="H1196" s="2" t="s">
        <v>8144</v>
      </c>
      <c r="I1196" s="2"/>
      <c r="J1196" s="2"/>
      <c r="K1196" s="2"/>
      <c r="L1196" s="2"/>
      <c r="M1196" s="2"/>
      <c r="N1196" s="2"/>
      <c r="O1196" s="2"/>
      <c r="P1196" s="2"/>
      <c r="Q1196" s="2" t="s">
        <v>8145</v>
      </c>
      <c r="R1196" s="2" t="s">
        <v>8146</v>
      </c>
      <c r="S1196" s="2" t="s">
        <v>491</v>
      </c>
      <c r="T1196" s="2" t="s">
        <v>492</v>
      </c>
      <c r="U1196" s="2" t="s">
        <v>6398</v>
      </c>
      <c r="V1196" s="2" t="s">
        <v>59</v>
      </c>
      <c r="W1196" s="2">
        <v>37</v>
      </c>
      <c r="X1196" s="2">
        <v>0</v>
      </c>
      <c r="Y1196" s="2" t="s">
        <v>323</v>
      </c>
      <c r="Z1196" s="2" t="s">
        <v>8147</v>
      </c>
      <c r="AA1196" s="2">
        <v>-2.27590114184023</v>
      </c>
      <c r="AB1196" s="2">
        <v>0.64396191577717199</v>
      </c>
      <c r="AC1196" s="2">
        <v>555978.64354959095</v>
      </c>
      <c r="AD1196" s="2">
        <v>509485.59155956202</v>
      </c>
      <c r="AE1196" s="2">
        <v>578924.55388326605</v>
      </c>
      <c r="AF1196" s="2">
        <v>555513.46261486702</v>
      </c>
      <c r="AG1196" s="2">
        <v>592201.55946647399</v>
      </c>
      <c r="AH1196" s="2">
        <v>603336.88584862405</v>
      </c>
      <c r="AI1196" s="2">
        <v>497978.189300253</v>
      </c>
      <c r="AJ1196" s="2">
        <v>507917.210184064</v>
      </c>
      <c r="AK1196" s="2">
        <v>508941.19154811202</v>
      </c>
      <c r="AL1196" s="2">
        <v>541300.06366839702</v>
      </c>
      <c r="AM1196" s="2">
        <v>511356.32910862798</v>
      </c>
      <c r="AN1196" s="2">
        <v>474060.90137940901</v>
      </c>
      <c r="AO1196" s="2">
        <v>483905.566075365</v>
      </c>
      <c r="AP1196" s="2">
        <v>537349.49757746002</v>
      </c>
    </row>
    <row r="1197" spans="1:42" ht="14.5" x14ac:dyDescent="0.35">
      <c r="A1197" s="2" t="s">
        <v>8148</v>
      </c>
      <c r="B1197" s="2">
        <v>647.31318121876802</v>
      </c>
      <c r="C1197" s="2">
        <v>6.3302166666666704</v>
      </c>
      <c r="D1197" s="2" t="s">
        <v>70</v>
      </c>
      <c r="E1197" s="2" t="s">
        <v>8149</v>
      </c>
      <c r="F1197" s="2">
        <v>46766</v>
      </c>
      <c r="G1197" s="3" t="str">
        <f>HYPERLINK("http://funmeta.oebiotech.com/network/46766", "http://funmeta.oebiotech.com/network/46766")</f>
        <v>http://funmeta.oebiotech.com/network/46766</v>
      </c>
      <c r="H1197" s="2"/>
      <c r="I1197" s="2"/>
      <c r="J1197" s="2" t="s">
        <v>8150</v>
      </c>
      <c r="K1197" s="2"/>
      <c r="L1197" s="2"/>
      <c r="M1197" s="2"/>
      <c r="N1197" s="2"/>
      <c r="O1197" s="2">
        <v>52931558</v>
      </c>
      <c r="P1197" s="2"/>
      <c r="Q1197" s="2" t="s">
        <v>8151</v>
      </c>
      <c r="R1197" s="2" t="s">
        <v>8152</v>
      </c>
      <c r="S1197" s="2" t="s">
        <v>50</v>
      </c>
      <c r="T1197" s="2" t="s">
        <v>124</v>
      </c>
      <c r="U1197" s="2" t="s">
        <v>523</v>
      </c>
      <c r="V1197" s="2" t="s">
        <v>59</v>
      </c>
      <c r="W1197" s="2">
        <v>39.700000000000003</v>
      </c>
      <c r="X1197" s="2">
        <v>11.5</v>
      </c>
      <c r="Y1197" s="2" t="s">
        <v>118</v>
      </c>
      <c r="Z1197" s="2" t="s">
        <v>8153</v>
      </c>
      <c r="AA1197" s="2">
        <v>3.87086061016173</v>
      </c>
      <c r="AB1197" s="2">
        <v>0.64356509457708999</v>
      </c>
      <c r="AC1197" s="2">
        <v>136874.116422102</v>
      </c>
      <c r="AD1197" s="2">
        <v>107796.518553267</v>
      </c>
      <c r="AE1197" s="2">
        <v>135972.734168272</v>
      </c>
      <c r="AF1197" s="2">
        <v>137813.065394253</v>
      </c>
      <c r="AG1197" s="2">
        <v>127300.900000275</v>
      </c>
      <c r="AH1197" s="2">
        <v>132408.57818539601</v>
      </c>
      <c r="AI1197" s="2">
        <v>146550.878609623</v>
      </c>
      <c r="AJ1197" s="2">
        <v>141198.54217479099</v>
      </c>
      <c r="AK1197" s="2">
        <v>99231.799471383594</v>
      </c>
      <c r="AL1197" s="2">
        <v>110463.48264052501</v>
      </c>
      <c r="AM1197" s="2">
        <v>112368.457963172</v>
      </c>
      <c r="AN1197" s="2">
        <v>106513.644544069</v>
      </c>
      <c r="AO1197" s="2">
        <v>110362.70167680499</v>
      </c>
      <c r="AP1197" s="2">
        <v>107839.025023647</v>
      </c>
    </row>
    <row r="1198" spans="1:42" ht="14.5" x14ac:dyDescent="0.35">
      <c r="A1198" s="2" t="s">
        <v>8154</v>
      </c>
      <c r="B1198" s="2">
        <v>631.26009626463201</v>
      </c>
      <c r="C1198" s="2">
        <v>4.4359166666666701</v>
      </c>
      <c r="D1198" s="2" t="s">
        <v>70</v>
      </c>
      <c r="E1198" s="2" t="s">
        <v>8155</v>
      </c>
      <c r="F1198" s="2">
        <v>206104</v>
      </c>
      <c r="G1198" s="3" t="str">
        <f>HYPERLINK("http://funmeta.oebiotech.com/network/206104", "http://funmeta.oebiotech.com/network/206104")</f>
        <v>http://funmeta.oebiotech.com/network/206104</v>
      </c>
      <c r="H1198" s="2" t="s">
        <v>8156</v>
      </c>
      <c r="I1198" s="2">
        <v>352464</v>
      </c>
      <c r="J1198" s="2"/>
      <c r="K1198" s="2"/>
      <c r="L1198" s="2"/>
      <c r="M1198" s="2"/>
      <c r="N1198" s="2"/>
      <c r="O1198" s="2">
        <v>22736</v>
      </c>
      <c r="P1198" s="2"/>
      <c r="Q1198" s="2" t="s">
        <v>8157</v>
      </c>
      <c r="R1198" s="2" t="s">
        <v>8158</v>
      </c>
      <c r="S1198" s="2" t="s">
        <v>41</v>
      </c>
      <c r="T1198" s="2" t="s">
        <v>41</v>
      </c>
      <c r="U1198" s="2" t="s">
        <v>41</v>
      </c>
      <c r="V1198" s="2" t="s">
        <v>59</v>
      </c>
      <c r="W1198" s="2">
        <v>37.9</v>
      </c>
      <c r="X1198" s="2">
        <v>0</v>
      </c>
      <c r="Y1198" s="2" t="s">
        <v>560</v>
      </c>
      <c r="Z1198" s="2" t="s">
        <v>8159</v>
      </c>
      <c r="AA1198" s="2">
        <v>4.0337415299073598</v>
      </c>
      <c r="AB1198" s="2">
        <v>0.64347054065528397</v>
      </c>
      <c r="AC1198" s="2">
        <v>36681.601070766897</v>
      </c>
      <c r="AD1198" s="2">
        <v>64508.8589664268</v>
      </c>
      <c r="AE1198" s="2">
        <v>33824.8686489662</v>
      </c>
      <c r="AF1198" s="2">
        <v>39879.365108436898</v>
      </c>
      <c r="AG1198" s="2">
        <v>31558.070340327198</v>
      </c>
      <c r="AH1198" s="2">
        <v>34695.756310144701</v>
      </c>
      <c r="AI1198" s="2">
        <v>40706.036158966403</v>
      </c>
      <c r="AJ1198" s="2">
        <v>39425.509857759898</v>
      </c>
      <c r="AK1198" s="2">
        <v>67077.314181077803</v>
      </c>
      <c r="AL1198" s="2">
        <v>66633.2581478637</v>
      </c>
      <c r="AM1198" s="2">
        <v>60575.809029427503</v>
      </c>
      <c r="AN1198" s="2">
        <v>61632.632686189201</v>
      </c>
      <c r="AO1198" s="2">
        <v>63527.867806402202</v>
      </c>
      <c r="AP1198" s="2">
        <v>67606.271947600195</v>
      </c>
    </row>
    <row r="1199" spans="1:42" ht="14.5" x14ac:dyDescent="0.35">
      <c r="A1199" s="2" t="s">
        <v>8160</v>
      </c>
      <c r="B1199" s="2">
        <v>999.42515247246502</v>
      </c>
      <c r="C1199" s="2">
        <v>11.367800000000001</v>
      </c>
      <c r="D1199" s="2" t="s">
        <v>70</v>
      </c>
      <c r="E1199" s="2" t="s">
        <v>8161</v>
      </c>
      <c r="F1199" s="2">
        <v>52579</v>
      </c>
      <c r="G1199" s="3" t="str">
        <f>HYPERLINK("http://funmeta.oebiotech.com/network/52579", "http://funmeta.oebiotech.com/network/52579")</f>
        <v>http://funmeta.oebiotech.com/network/52579</v>
      </c>
      <c r="H1199" s="2" t="s">
        <v>8162</v>
      </c>
      <c r="I1199" s="2"/>
      <c r="J1199" s="2"/>
      <c r="K1199" s="2"/>
      <c r="L1199" s="2" t="s">
        <v>8163</v>
      </c>
      <c r="M1199" s="2"/>
      <c r="N1199" s="2"/>
      <c r="O1199" s="2">
        <v>6400441</v>
      </c>
      <c r="P1199" s="2" t="s">
        <v>8164</v>
      </c>
      <c r="Q1199" s="2" t="s">
        <v>8165</v>
      </c>
      <c r="R1199" s="2" t="s">
        <v>8166</v>
      </c>
      <c r="S1199" s="2" t="s">
        <v>89</v>
      </c>
      <c r="T1199" s="2" t="s">
        <v>90</v>
      </c>
      <c r="U1199" s="2" t="s">
        <v>99</v>
      </c>
      <c r="V1199" s="2" t="s">
        <v>59</v>
      </c>
      <c r="W1199" s="2">
        <v>36.5</v>
      </c>
      <c r="X1199" s="2">
        <v>0</v>
      </c>
      <c r="Y1199" s="2" t="s">
        <v>1395</v>
      </c>
      <c r="Z1199" s="2" t="s">
        <v>8167</v>
      </c>
      <c r="AA1199" s="2">
        <v>2.46772618975118</v>
      </c>
      <c r="AB1199" s="2">
        <v>0.64315400505486398</v>
      </c>
      <c r="AC1199" s="2">
        <v>62264.457736187898</v>
      </c>
      <c r="AD1199" s="2">
        <v>34040.985425154002</v>
      </c>
      <c r="AE1199" s="2">
        <v>60399.438602581402</v>
      </c>
      <c r="AF1199" s="2">
        <v>55096.008410110502</v>
      </c>
      <c r="AG1199" s="2">
        <v>69733.596940062198</v>
      </c>
      <c r="AH1199" s="2">
        <v>62058.580577308603</v>
      </c>
      <c r="AI1199" s="2">
        <v>65532.880434014398</v>
      </c>
      <c r="AJ1199" s="2">
        <v>60766.241453050599</v>
      </c>
      <c r="AK1199" s="2">
        <v>32427.0653510503</v>
      </c>
      <c r="AL1199" s="2">
        <v>30877.948454372701</v>
      </c>
      <c r="AM1199" s="2">
        <v>37916.654859852002</v>
      </c>
      <c r="AN1199" s="2">
        <v>32340.100871580398</v>
      </c>
      <c r="AO1199" s="2">
        <v>31656.7712353807</v>
      </c>
      <c r="AP1199" s="2">
        <v>39027.371778687702</v>
      </c>
    </row>
    <row r="1200" spans="1:42" ht="14.5" x14ac:dyDescent="0.35">
      <c r="A1200" s="2" t="s">
        <v>8168</v>
      </c>
      <c r="B1200" s="2">
        <v>394.11082752304998</v>
      </c>
      <c r="C1200" s="2">
        <v>3.6614666666666702</v>
      </c>
      <c r="D1200" s="2" t="s">
        <v>34</v>
      </c>
      <c r="E1200" s="2" t="s">
        <v>8169</v>
      </c>
      <c r="F1200" s="2">
        <v>208423</v>
      </c>
      <c r="G1200" s="3" t="str">
        <f>HYPERLINK("http://funmeta.oebiotech.com/network/208423", "http://funmeta.oebiotech.com/network/208423")</f>
        <v>http://funmeta.oebiotech.com/network/208423</v>
      </c>
      <c r="H1200" s="2" t="s">
        <v>8170</v>
      </c>
      <c r="I1200" s="2"/>
      <c r="J1200" s="2"/>
      <c r="K1200" s="2"/>
      <c r="L1200" s="2"/>
      <c r="M1200" s="2"/>
      <c r="N1200" s="2"/>
      <c r="O1200" s="2">
        <v>138149697</v>
      </c>
      <c r="P1200" s="2"/>
      <c r="Q1200" s="2" t="s">
        <v>8171</v>
      </c>
      <c r="R1200" s="2" t="s">
        <v>8172</v>
      </c>
      <c r="S1200" s="2" t="s">
        <v>50</v>
      </c>
      <c r="T1200" s="2" t="s">
        <v>51</v>
      </c>
      <c r="U1200" s="2" t="s">
        <v>52</v>
      </c>
      <c r="V1200" s="2" t="s">
        <v>59</v>
      </c>
      <c r="W1200" s="2">
        <v>40.299999999999997</v>
      </c>
      <c r="X1200" s="2">
        <v>7.35</v>
      </c>
      <c r="Y1200" s="2" t="s">
        <v>440</v>
      </c>
      <c r="Z1200" s="2" t="s">
        <v>8173</v>
      </c>
      <c r="AA1200" s="2">
        <v>-0.16152311870515601</v>
      </c>
      <c r="AB1200" s="2">
        <v>0.64308573556187598</v>
      </c>
      <c r="AC1200" s="2">
        <v>122473.087419027</v>
      </c>
      <c r="AD1200" s="2">
        <v>150289.493960077</v>
      </c>
      <c r="AE1200" s="2">
        <v>121408.376682934</v>
      </c>
      <c r="AF1200" s="2">
        <v>123080.053899525</v>
      </c>
      <c r="AG1200" s="2">
        <v>118110.083093051</v>
      </c>
      <c r="AH1200" s="2">
        <v>120006.09580521101</v>
      </c>
      <c r="AI1200" s="2">
        <v>128934.02187451599</v>
      </c>
      <c r="AJ1200" s="2">
        <v>123299.893158922</v>
      </c>
      <c r="AK1200" s="2">
        <v>152696.79276325801</v>
      </c>
      <c r="AL1200" s="2">
        <v>151660.74582224101</v>
      </c>
      <c r="AM1200" s="2">
        <v>145462.22785797901</v>
      </c>
      <c r="AN1200" s="2">
        <v>146752.58781527099</v>
      </c>
      <c r="AO1200" s="2">
        <v>151161.988951242</v>
      </c>
      <c r="AP1200" s="2">
        <v>154002.62055047299</v>
      </c>
    </row>
    <row r="1201" spans="1:42" ht="14.5" x14ac:dyDescent="0.35">
      <c r="A1201" s="2" t="s">
        <v>8174</v>
      </c>
      <c r="B1201" s="2">
        <v>727.29651936366395</v>
      </c>
      <c r="C1201" s="2">
        <v>9.1952166666666706</v>
      </c>
      <c r="D1201" s="2" t="s">
        <v>70</v>
      </c>
      <c r="E1201" s="2" t="s">
        <v>8175</v>
      </c>
      <c r="F1201" s="2">
        <v>213174</v>
      </c>
      <c r="G1201" s="3" t="str">
        <f>HYPERLINK("http://funmeta.oebiotech.com/network/213174", "http://funmeta.oebiotech.com/network/213174")</f>
        <v>http://funmeta.oebiotech.com/network/213174</v>
      </c>
      <c r="H1201" s="2" t="s">
        <v>8176</v>
      </c>
      <c r="I1201" s="2"/>
      <c r="J1201" s="2"/>
      <c r="K1201" s="2"/>
      <c r="L1201" s="2"/>
      <c r="M1201" s="2"/>
      <c r="N1201" s="2"/>
      <c r="O1201" s="2">
        <v>44135060</v>
      </c>
      <c r="P1201" s="2"/>
      <c r="Q1201" s="2" t="s">
        <v>8177</v>
      </c>
      <c r="R1201" s="2" t="s">
        <v>8178</v>
      </c>
      <c r="S1201" s="2" t="s">
        <v>41</v>
      </c>
      <c r="T1201" s="2" t="s">
        <v>41</v>
      </c>
      <c r="U1201" s="2" t="s">
        <v>41</v>
      </c>
      <c r="V1201" s="2" t="s">
        <v>59</v>
      </c>
      <c r="W1201" s="2">
        <v>41.3</v>
      </c>
      <c r="X1201" s="2">
        <v>15.3</v>
      </c>
      <c r="Y1201" s="2" t="s">
        <v>751</v>
      </c>
      <c r="Z1201" s="2" t="s">
        <v>8179</v>
      </c>
      <c r="AA1201" s="2">
        <v>4.2638030437813104</v>
      </c>
      <c r="AB1201" s="2">
        <v>0.64255195493978001</v>
      </c>
      <c r="AC1201" s="2">
        <v>34850.129562046801</v>
      </c>
      <c r="AD1201" s="2">
        <v>7652.9351598102203</v>
      </c>
      <c r="AE1201" s="2">
        <v>34623.4008460896</v>
      </c>
      <c r="AF1201" s="2">
        <v>36980.302962539899</v>
      </c>
      <c r="AG1201" s="2">
        <v>34333.786981514997</v>
      </c>
      <c r="AH1201" s="2">
        <v>36613.483913017102</v>
      </c>
      <c r="AI1201" s="2">
        <v>31702.748359866098</v>
      </c>
      <c r="AJ1201" s="2">
        <v>34847.054309252897</v>
      </c>
      <c r="AK1201" s="2">
        <v>8077.9936955867397</v>
      </c>
      <c r="AL1201" s="2">
        <v>7059.2116171049802</v>
      </c>
      <c r="AM1201" s="2">
        <v>8457.9809858876106</v>
      </c>
      <c r="AN1201" s="2">
        <v>8629.7991339004493</v>
      </c>
      <c r="AO1201" s="2">
        <v>7663.0822708126398</v>
      </c>
      <c r="AP1201" s="2">
        <v>6029.5432555689204</v>
      </c>
    </row>
    <row r="1202" spans="1:42" ht="14.5" x14ac:dyDescent="0.35">
      <c r="A1202" s="2" t="s">
        <v>8180</v>
      </c>
      <c r="B1202" s="2">
        <v>631.286040135235</v>
      </c>
      <c r="C1202" s="2">
        <v>5.3016333333333296</v>
      </c>
      <c r="D1202" s="2" t="s">
        <v>70</v>
      </c>
      <c r="E1202" s="2" t="s">
        <v>8181</v>
      </c>
      <c r="F1202" s="2">
        <v>1105</v>
      </c>
      <c r="G1202" s="3" t="str">
        <f>HYPERLINK("http://funmeta.oebiotech.com/network/1105", "http://funmeta.oebiotech.com/network/1105")</f>
        <v>http://funmeta.oebiotech.com/network/1105</v>
      </c>
      <c r="H1202" s="2"/>
      <c r="I1202" s="2">
        <v>74278</v>
      </c>
      <c r="J1202" s="2" t="s">
        <v>8182</v>
      </c>
      <c r="K1202" s="2"/>
      <c r="L1202" s="2"/>
      <c r="M1202" s="2"/>
      <c r="N1202" s="2"/>
      <c r="O1202" s="2">
        <v>9543592</v>
      </c>
      <c r="P1202" s="2"/>
      <c r="Q1202" s="2" t="s">
        <v>8183</v>
      </c>
      <c r="R1202" s="2" t="s">
        <v>8184</v>
      </c>
      <c r="S1202" s="2" t="s">
        <v>50</v>
      </c>
      <c r="T1202" s="2" t="s">
        <v>229</v>
      </c>
      <c r="U1202" s="2" t="s">
        <v>433</v>
      </c>
      <c r="V1202" s="2" t="s">
        <v>59</v>
      </c>
      <c r="W1202" s="2">
        <v>38.700000000000003</v>
      </c>
      <c r="X1202" s="2">
        <v>6.4500000000000002E-2</v>
      </c>
      <c r="Y1202" s="2" t="s">
        <v>498</v>
      </c>
      <c r="Z1202" s="2" t="s">
        <v>8185</v>
      </c>
      <c r="AA1202" s="2">
        <v>1.0387692862973701</v>
      </c>
      <c r="AB1202" s="2">
        <v>0.64200379573960997</v>
      </c>
      <c r="AC1202" s="2">
        <v>51380.617932674599</v>
      </c>
      <c r="AD1202" s="2">
        <v>78922.719504674795</v>
      </c>
      <c r="AE1202" s="2">
        <v>52951.806078289097</v>
      </c>
      <c r="AF1202" s="2">
        <v>49173.648519579197</v>
      </c>
      <c r="AG1202" s="2">
        <v>52186.398943443099</v>
      </c>
      <c r="AH1202" s="2">
        <v>52463.812998767899</v>
      </c>
      <c r="AI1202" s="2">
        <v>49362.9443230877</v>
      </c>
      <c r="AJ1202" s="2">
        <v>52145.096732880404</v>
      </c>
      <c r="AK1202" s="2">
        <v>76478.027587660501</v>
      </c>
      <c r="AL1202" s="2">
        <v>73105.642924542801</v>
      </c>
      <c r="AM1202" s="2">
        <v>83129.036217682195</v>
      </c>
      <c r="AN1202" s="2">
        <v>82696.024269950096</v>
      </c>
      <c r="AO1202" s="2">
        <v>80689.713476905003</v>
      </c>
      <c r="AP1202" s="2">
        <v>77437.872551307897</v>
      </c>
    </row>
    <row r="1203" spans="1:42" ht="14.5" x14ac:dyDescent="0.35">
      <c r="A1203" s="2" t="s">
        <v>8186</v>
      </c>
      <c r="B1203" s="2">
        <v>331.22408056671998</v>
      </c>
      <c r="C1203" s="2">
        <v>11.86835</v>
      </c>
      <c r="D1203" s="2" t="s">
        <v>34</v>
      </c>
      <c r="E1203" s="2" t="s">
        <v>8187</v>
      </c>
      <c r="F1203" s="2">
        <v>202296</v>
      </c>
      <c r="G1203" s="3" t="str">
        <f>HYPERLINK("http://funmeta.oebiotech.com/network/202296", "http://funmeta.oebiotech.com/network/202296")</f>
        <v>http://funmeta.oebiotech.com/network/202296</v>
      </c>
      <c r="H1203" s="2" t="s">
        <v>8188</v>
      </c>
      <c r="I1203" s="2"/>
      <c r="J1203" s="2"/>
      <c r="K1203" s="2"/>
      <c r="L1203" s="2"/>
      <c r="M1203" s="2"/>
      <c r="N1203" s="2"/>
      <c r="O1203" s="2">
        <v>623296</v>
      </c>
      <c r="P1203" s="2"/>
      <c r="Q1203" s="2" t="s">
        <v>8189</v>
      </c>
      <c r="R1203" s="2" t="s">
        <v>8190</v>
      </c>
      <c r="S1203" s="2" t="s">
        <v>50</v>
      </c>
      <c r="T1203" s="2" t="s">
        <v>124</v>
      </c>
      <c r="U1203" s="2" t="s">
        <v>2373</v>
      </c>
      <c r="V1203" s="2" t="s">
        <v>42</v>
      </c>
      <c r="W1203" s="2">
        <v>48.5</v>
      </c>
      <c r="X1203" s="2">
        <v>45.9</v>
      </c>
      <c r="Y1203" s="2" t="s">
        <v>67</v>
      </c>
      <c r="Z1203" s="2" t="s">
        <v>8191</v>
      </c>
      <c r="AA1203" s="2">
        <v>-0.92461292751367097</v>
      </c>
      <c r="AB1203" s="2">
        <v>0.641961745104629</v>
      </c>
      <c r="AC1203" s="2">
        <v>32584.876979665201</v>
      </c>
      <c r="AD1203" s="2">
        <v>5231.2632851660901</v>
      </c>
      <c r="AE1203" s="2">
        <v>35555.735288868898</v>
      </c>
      <c r="AF1203" s="2">
        <v>34903.574542828799</v>
      </c>
      <c r="AG1203" s="2">
        <v>32897.498006139998</v>
      </c>
      <c r="AH1203" s="2">
        <v>28454.690919220498</v>
      </c>
      <c r="AI1203" s="2">
        <v>28051.3864927256</v>
      </c>
      <c r="AJ1203" s="2">
        <v>35646.376628207101</v>
      </c>
      <c r="AK1203" s="2">
        <v>4461.2339063538602</v>
      </c>
      <c r="AL1203" s="2">
        <v>6356.8295702532896</v>
      </c>
      <c r="AM1203" s="2">
        <v>5075.3606870457197</v>
      </c>
      <c r="AN1203" s="2">
        <v>6024.5150200666603</v>
      </c>
      <c r="AO1203" s="2">
        <v>5021.1057723293297</v>
      </c>
      <c r="AP1203" s="2">
        <v>4448.5347549476801</v>
      </c>
    </row>
    <row r="1204" spans="1:42" ht="14.5" x14ac:dyDescent="0.35">
      <c r="A1204" s="2" t="s">
        <v>8192</v>
      </c>
      <c r="B1204" s="2">
        <v>429.11868493762603</v>
      </c>
      <c r="C1204" s="2">
        <v>5.1704666666666697</v>
      </c>
      <c r="D1204" s="2" t="s">
        <v>70</v>
      </c>
      <c r="E1204" s="2" t="s">
        <v>8193</v>
      </c>
      <c r="F1204" s="2">
        <v>30831</v>
      </c>
      <c r="G1204" s="3" t="str">
        <f>HYPERLINK("http://funmeta.oebiotech.com/network/30831", "http://funmeta.oebiotech.com/network/30831")</f>
        <v>http://funmeta.oebiotech.com/network/30831</v>
      </c>
      <c r="H1204" s="2"/>
      <c r="I1204" s="2">
        <v>49170</v>
      </c>
      <c r="J1204" s="2" t="s">
        <v>8194</v>
      </c>
      <c r="K1204" s="2"/>
      <c r="L1204" s="2"/>
      <c r="M1204" s="2"/>
      <c r="N1204" s="2"/>
      <c r="O1204" s="2">
        <v>44258156</v>
      </c>
      <c r="P1204" s="2"/>
      <c r="Q1204" s="2" t="s">
        <v>8195</v>
      </c>
      <c r="R1204" s="2" t="s">
        <v>8196</v>
      </c>
      <c r="S1204" s="2" t="s">
        <v>115</v>
      </c>
      <c r="T1204" s="2" t="s">
        <v>139</v>
      </c>
      <c r="U1204" s="2" t="s">
        <v>140</v>
      </c>
      <c r="V1204" s="2" t="s">
        <v>59</v>
      </c>
      <c r="W1204" s="2">
        <v>43.5</v>
      </c>
      <c r="X1204" s="2">
        <v>25.2</v>
      </c>
      <c r="Y1204" s="2" t="s">
        <v>286</v>
      </c>
      <c r="Z1204" s="2" t="s">
        <v>8197</v>
      </c>
      <c r="AA1204" s="2">
        <v>-0.97857739258240795</v>
      </c>
      <c r="AB1204" s="2">
        <v>0.64135930392981899</v>
      </c>
      <c r="AC1204" s="2">
        <v>34322.784772553299</v>
      </c>
      <c r="AD1204" s="2">
        <v>61520.812770471399</v>
      </c>
      <c r="AE1204" s="2">
        <v>36559.573880960903</v>
      </c>
      <c r="AF1204" s="2">
        <v>32891.721308703403</v>
      </c>
      <c r="AG1204" s="2">
        <v>33916.676789707097</v>
      </c>
      <c r="AH1204" s="2">
        <v>33585.466714063899</v>
      </c>
      <c r="AI1204" s="2">
        <v>36242.445227343997</v>
      </c>
      <c r="AJ1204" s="2">
        <v>32740.824714540599</v>
      </c>
      <c r="AK1204" s="2">
        <v>57525.590263733298</v>
      </c>
      <c r="AL1204" s="2">
        <v>60686.915731348403</v>
      </c>
      <c r="AM1204" s="2">
        <v>62815.9925927156</v>
      </c>
      <c r="AN1204" s="2">
        <v>62419.873987731196</v>
      </c>
      <c r="AO1204" s="2">
        <v>61406.930429413602</v>
      </c>
      <c r="AP1204" s="2">
        <v>64269.573617886599</v>
      </c>
    </row>
    <row r="1205" spans="1:42" ht="14.5" x14ac:dyDescent="0.35">
      <c r="A1205" s="2" t="s">
        <v>8198</v>
      </c>
      <c r="B1205" s="2">
        <v>669.20373220803504</v>
      </c>
      <c r="C1205" s="2">
        <v>4.1696666666666697</v>
      </c>
      <c r="D1205" s="2" t="s">
        <v>70</v>
      </c>
      <c r="E1205" s="2" t="s">
        <v>8199</v>
      </c>
      <c r="F1205" s="2">
        <v>207492</v>
      </c>
      <c r="G1205" s="3" t="str">
        <f>HYPERLINK("http://funmeta.oebiotech.com/network/207492", "http://funmeta.oebiotech.com/network/207492")</f>
        <v>http://funmeta.oebiotech.com/network/207492</v>
      </c>
      <c r="H1205" s="2" t="s">
        <v>8200</v>
      </c>
      <c r="I1205" s="2"/>
      <c r="J1205" s="2"/>
      <c r="K1205" s="2"/>
      <c r="L1205" s="2"/>
      <c r="M1205" s="2"/>
      <c r="N1205" s="2"/>
      <c r="O1205" s="2">
        <v>3769539</v>
      </c>
      <c r="P1205" s="2"/>
      <c r="Q1205" s="2" t="s">
        <v>8201</v>
      </c>
      <c r="R1205" s="2" t="s">
        <v>8202</v>
      </c>
      <c r="S1205" s="2" t="s">
        <v>115</v>
      </c>
      <c r="T1205" s="2" t="s">
        <v>139</v>
      </c>
      <c r="U1205" s="2" t="s">
        <v>140</v>
      </c>
      <c r="V1205" s="2" t="s">
        <v>59</v>
      </c>
      <c r="W1205" s="2">
        <v>44.4</v>
      </c>
      <c r="X1205" s="2">
        <v>32.200000000000003</v>
      </c>
      <c r="Y1205" s="2" t="s">
        <v>408</v>
      </c>
      <c r="Z1205" s="2" t="s">
        <v>8203</v>
      </c>
      <c r="AA1205" s="2">
        <v>0.17444596195839299</v>
      </c>
      <c r="AB1205" s="2">
        <v>0.64100650884334898</v>
      </c>
      <c r="AC1205" s="2">
        <v>20588.588143988502</v>
      </c>
      <c r="AD1205" s="2">
        <v>48980.371209342702</v>
      </c>
      <c r="AE1205" s="2">
        <v>16687.837908888399</v>
      </c>
      <c r="AF1205" s="2">
        <v>17930.260149223701</v>
      </c>
      <c r="AG1205" s="2">
        <v>25057.612076656998</v>
      </c>
      <c r="AH1205" s="2">
        <v>19608.128946520399</v>
      </c>
      <c r="AI1205" s="2">
        <v>19454.064069236101</v>
      </c>
      <c r="AJ1205" s="2">
        <v>24793.625713405101</v>
      </c>
      <c r="AK1205" s="2">
        <v>45492.734001664103</v>
      </c>
      <c r="AL1205" s="2">
        <v>42030.276856133103</v>
      </c>
      <c r="AM1205" s="2">
        <v>58941.1796484804</v>
      </c>
      <c r="AN1205" s="2">
        <v>44902.921648352603</v>
      </c>
      <c r="AO1205" s="2">
        <v>48173.429890507599</v>
      </c>
      <c r="AP1205" s="2">
        <v>54341.6852109182</v>
      </c>
    </row>
    <row r="1206" spans="1:42" ht="14.5" x14ac:dyDescent="0.35">
      <c r="A1206" s="2" t="s">
        <v>8204</v>
      </c>
      <c r="B1206" s="2">
        <v>252.12283670464601</v>
      </c>
      <c r="C1206" s="2">
        <v>3.4190666666666698</v>
      </c>
      <c r="D1206" s="2" t="s">
        <v>34</v>
      </c>
      <c r="E1206" s="2" t="s">
        <v>8205</v>
      </c>
      <c r="F1206" s="2">
        <v>266905</v>
      </c>
      <c r="G1206" s="3" t="str">
        <f>HYPERLINK("http://funmeta.oebiotech.com/network/266905", "http://funmeta.oebiotech.com/network/266905")</f>
        <v>http://funmeta.oebiotech.com/network/266905</v>
      </c>
      <c r="H1206" s="2"/>
      <c r="I1206" s="2">
        <v>44264</v>
      </c>
      <c r="J1206" s="2"/>
      <c r="K1206" s="2"/>
      <c r="L1206" s="2" t="s">
        <v>8206</v>
      </c>
      <c r="M1206" s="2"/>
      <c r="N1206" s="2"/>
      <c r="O1206" s="2">
        <v>13289</v>
      </c>
      <c r="P1206" s="2" t="s">
        <v>8207</v>
      </c>
      <c r="Q1206" s="2" t="s">
        <v>8208</v>
      </c>
      <c r="R1206" s="2" t="s">
        <v>8209</v>
      </c>
      <c r="S1206" s="2" t="s">
        <v>89</v>
      </c>
      <c r="T1206" s="2" t="s">
        <v>90</v>
      </c>
      <c r="U1206" s="2" t="s">
        <v>99</v>
      </c>
      <c r="V1206" s="2" t="s">
        <v>59</v>
      </c>
      <c r="W1206" s="2">
        <v>44.1</v>
      </c>
      <c r="X1206" s="2">
        <v>24</v>
      </c>
      <c r="Y1206" s="2" t="s">
        <v>67</v>
      </c>
      <c r="Z1206" s="2" t="s">
        <v>8210</v>
      </c>
      <c r="AA1206" s="2">
        <v>-0.78750766410820106</v>
      </c>
      <c r="AB1206" s="2">
        <v>0.64093399102836102</v>
      </c>
      <c r="AC1206" s="2">
        <v>5624919.3822922902</v>
      </c>
      <c r="AD1206" s="2">
        <v>5539900.4437849103</v>
      </c>
      <c r="AE1206" s="2">
        <v>5679778.9249945804</v>
      </c>
      <c r="AF1206" s="2">
        <v>5584842.5927357804</v>
      </c>
      <c r="AG1206" s="2">
        <v>5747955.6371474797</v>
      </c>
      <c r="AH1206" s="2">
        <v>5561129.7886661598</v>
      </c>
      <c r="AI1206" s="2">
        <v>5485233.6740494296</v>
      </c>
      <c r="AJ1206" s="2">
        <v>5690575.6761603104</v>
      </c>
      <c r="AK1206" s="2">
        <v>5207862.8717132704</v>
      </c>
      <c r="AL1206" s="2">
        <v>5655767.4195991298</v>
      </c>
      <c r="AM1206" s="2">
        <v>5631965.0396300703</v>
      </c>
      <c r="AN1206" s="2">
        <v>5491167.2951186197</v>
      </c>
      <c r="AO1206" s="2">
        <v>5685775.8701809701</v>
      </c>
      <c r="AP1206" s="2">
        <v>5566864.16646739</v>
      </c>
    </row>
    <row r="1207" spans="1:42" ht="14.5" x14ac:dyDescent="0.35">
      <c r="A1207" s="2" t="s">
        <v>8211</v>
      </c>
      <c r="B1207" s="2">
        <v>387.12930911182701</v>
      </c>
      <c r="C1207" s="2">
        <v>4.25878333333333</v>
      </c>
      <c r="D1207" s="2" t="s">
        <v>70</v>
      </c>
      <c r="E1207" s="2" t="s">
        <v>8212</v>
      </c>
      <c r="F1207" s="2">
        <v>208955</v>
      </c>
      <c r="G1207" s="3" t="str">
        <f>HYPERLINK("http://funmeta.oebiotech.com/network/208955", "http://funmeta.oebiotech.com/network/208955")</f>
        <v>http://funmeta.oebiotech.com/network/208955</v>
      </c>
      <c r="H1207" s="2" t="s">
        <v>8213</v>
      </c>
      <c r="I1207" s="2"/>
      <c r="J1207" s="2"/>
      <c r="K1207" s="2"/>
      <c r="L1207" s="2"/>
      <c r="M1207" s="2"/>
      <c r="N1207" s="2"/>
      <c r="O1207" s="2">
        <v>12312977</v>
      </c>
      <c r="P1207" s="2"/>
      <c r="Q1207" s="2" t="s">
        <v>8214</v>
      </c>
      <c r="R1207" s="2" t="s">
        <v>8215</v>
      </c>
      <c r="S1207" s="2" t="s">
        <v>79</v>
      </c>
      <c r="T1207" s="2" t="s">
        <v>80</v>
      </c>
      <c r="U1207" s="2" t="s">
        <v>81</v>
      </c>
      <c r="V1207" s="2" t="s">
        <v>42</v>
      </c>
      <c r="W1207" s="2">
        <v>53.5</v>
      </c>
      <c r="X1207" s="2">
        <v>72.7</v>
      </c>
      <c r="Y1207" s="2" t="s">
        <v>751</v>
      </c>
      <c r="Z1207" s="2" t="s">
        <v>8216</v>
      </c>
      <c r="AA1207" s="2">
        <v>-0.88986671841980103</v>
      </c>
      <c r="AB1207" s="2">
        <v>0.64028610531060204</v>
      </c>
      <c r="AC1207" s="2">
        <v>446445.12244923098</v>
      </c>
      <c r="AD1207" s="2">
        <v>413821.30669329601</v>
      </c>
      <c r="AE1207" s="2">
        <v>453061.69371230702</v>
      </c>
      <c r="AF1207" s="2">
        <v>429039.45513604599</v>
      </c>
      <c r="AG1207" s="2">
        <v>447189.49440472102</v>
      </c>
      <c r="AH1207" s="2">
        <v>456733.96548444498</v>
      </c>
      <c r="AI1207" s="2">
        <v>435855.95316327899</v>
      </c>
      <c r="AJ1207" s="2">
        <v>456790.17279459001</v>
      </c>
      <c r="AK1207" s="2">
        <v>395630.452432719</v>
      </c>
      <c r="AL1207" s="2">
        <v>412208.44400367298</v>
      </c>
      <c r="AM1207" s="2">
        <v>433160.81073041999</v>
      </c>
      <c r="AN1207" s="2">
        <v>418105.13911088399</v>
      </c>
      <c r="AO1207" s="2">
        <v>405012.56548934698</v>
      </c>
      <c r="AP1207" s="2">
        <v>418810.42839273601</v>
      </c>
    </row>
    <row r="1208" spans="1:42" ht="14.5" x14ac:dyDescent="0.35">
      <c r="A1208" s="2" t="s">
        <v>8217</v>
      </c>
      <c r="B1208" s="2">
        <v>509.13065491760602</v>
      </c>
      <c r="C1208" s="2">
        <v>1.79495</v>
      </c>
      <c r="D1208" s="2" t="s">
        <v>34</v>
      </c>
      <c r="E1208" s="2" t="s">
        <v>8218</v>
      </c>
      <c r="F1208" s="2">
        <v>35338</v>
      </c>
      <c r="G1208" s="3" t="str">
        <f>HYPERLINK("http://funmeta.oebiotech.com/network/35338", "http://funmeta.oebiotech.com/network/35338")</f>
        <v>http://funmeta.oebiotech.com/network/35338</v>
      </c>
      <c r="H1208" s="2"/>
      <c r="I1208" s="2"/>
      <c r="J1208" s="2" t="s">
        <v>8219</v>
      </c>
      <c r="K1208" s="2"/>
      <c r="L1208" s="2"/>
      <c r="M1208" s="2"/>
      <c r="N1208" s="2"/>
      <c r="O1208" s="2"/>
      <c r="P1208" s="2"/>
      <c r="Q1208" s="2" t="s">
        <v>8220</v>
      </c>
      <c r="R1208" s="2" t="s">
        <v>8221</v>
      </c>
      <c r="S1208" s="2" t="s">
        <v>50</v>
      </c>
      <c r="T1208" s="2" t="s">
        <v>201</v>
      </c>
      <c r="U1208" s="2" t="s">
        <v>202</v>
      </c>
      <c r="V1208" s="2" t="s">
        <v>59</v>
      </c>
      <c r="W1208" s="2">
        <v>38</v>
      </c>
      <c r="X1208" s="2">
        <v>7.98</v>
      </c>
      <c r="Y1208" s="2" t="s">
        <v>394</v>
      </c>
      <c r="Z1208" s="2" t="s">
        <v>8222</v>
      </c>
      <c r="AA1208" s="2">
        <v>3.3213729626386601</v>
      </c>
      <c r="AB1208" s="2">
        <v>0.64021889146875699</v>
      </c>
      <c r="AC1208" s="2">
        <v>87719.363967822603</v>
      </c>
      <c r="AD1208" s="2">
        <v>117730.136927887</v>
      </c>
      <c r="AE1208" s="2">
        <v>86692.150145583204</v>
      </c>
      <c r="AF1208" s="2">
        <v>91256.830417204197</v>
      </c>
      <c r="AG1208" s="2">
        <v>80457.103986354297</v>
      </c>
      <c r="AH1208" s="2">
        <v>105149.21345282</v>
      </c>
      <c r="AI1208" s="2">
        <v>84826.165070451301</v>
      </c>
      <c r="AJ1208" s="2">
        <v>77934.720734522707</v>
      </c>
      <c r="AK1208" s="2">
        <v>115366.389582106</v>
      </c>
      <c r="AL1208" s="2">
        <v>118584.610269481</v>
      </c>
      <c r="AM1208" s="2">
        <v>121534.41911144899</v>
      </c>
      <c r="AN1208" s="2">
        <v>126773.675340363</v>
      </c>
      <c r="AO1208" s="2">
        <v>108278.897191372</v>
      </c>
      <c r="AP1208" s="2">
        <v>115842.830072553</v>
      </c>
    </row>
    <row r="1209" spans="1:42" ht="14.5" x14ac:dyDescent="0.35">
      <c r="A1209" s="2" t="s">
        <v>8223</v>
      </c>
      <c r="B1209" s="2">
        <v>257.21189437628101</v>
      </c>
      <c r="C1209" s="2">
        <v>10.6706166666667</v>
      </c>
      <c r="D1209" s="2" t="s">
        <v>70</v>
      </c>
      <c r="E1209" s="2" t="s">
        <v>8224</v>
      </c>
      <c r="F1209" s="2">
        <v>6150</v>
      </c>
      <c r="G1209" s="3" t="str">
        <f>HYPERLINK("http://funmeta.oebiotech.com/network/6150", "http://funmeta.oebiotech.com/network/6150")</f>
        <v>http://funmeta.oebiotech.com/network/6150</v>
      </c>
      <c r="H1209" s="2"/>
      <c r="I1209" s="2">
        <v>46124</v>
      </c>
      <c r="J1209" s="2" t="s">
        <v>8225</v>
      </c>
      <c r="K1209" s="2"/>
      <c r="L1209" s="2"/>
      <c r="M1209" s="2"/>
      <c r="N1209" s="2"/>
      <c r="O1209" s="2">
        <v>1712011</v>
      </c>
      <c r="P1209" s="2"/>
      <c r="Q1209" s="2" t="s">
        <v>8226</v>
      </c>
      <c r="R1209" s="2" t="s">
        <v>8227</v>
      </c>
      <c r="S1209" s="2" t="s">
        <v>50</v>
      </c>
      <c r="T1209" s="2" t="s">
        <v>229</v>
      </c>
      <c r="U1209" s="2" t="s">
        <v>1283</v>
      </c>
      <c r="V1209" s="2" t="s">
        <v>59</v>
      </c>
      <c r="W1209" s="2">
        <v>42.3</v>
      </c>
      <c r="X1209" s="2">
        <v>14.6</v>
      </c>
      <c r="Y1209" s="2" t="s">
        <v>408</v>
      </c>
      <c r="Z1209" s="2" t="s">
        <v>6545</v>
      </c>
      <c r="AA1209" s="2">
        <v>-1.5268135723914</v>
      </c>
      <c r="AB1209" s="2">
        <v>0.64015106030230895</v>
      </c>
      <c r="AC1209" s="2">
        <v>132359.99546118299</v>
      </c>
      <c r="AD1209" s="2">
        <v>160877.32112644499</v>
      </c>
      <c r="AE1209" s="2">
        <v>137572.02029056</v>
      </c>
      <c r="AF1209" s="2">
        <v>134469.03389212</v>
      </c>
      <c r="AG1209" s="2">
        <v>130353.305392496</v>
      </c>
      <c r="AH1209" s="2">
        <v>133387.17438816099</v>
      </c>
      <c r="AI1209" s="2">
        <v>131488.093269576</v>
      </c>
      <c r="AJ1209" s="2">
        <v>126890.345534188</v>
      </c>
      <c r="AK1209" s="2">
        <v>167867.162264985</v>
      </c>
      <c r="AL1209" s="2">
        <v>168231.43795425101</v>
      </c>
      <c r="AM1209" s="2">
        <v>162367.63853142399</v>
      </c>
      <c r="AN1209" s="2">
        <v>156801.594545992</v>
      </c>
      <c r="AO1209" s="2">
        <v>158984.273377153</v>
      </c>
      <c r="AP1209" s="2">
        <v>151011.82008486299</v>
      </c>
    </row>
    <row r="1210" spans="1:42" ht="14.5" x14ac:dyDescent="0.35">
      <c r="A1210" s="2" t="s">
        <v>8228</v>
      </c>
      <c r="B1210" s="2">
        <v>394.17705286440798</v>
      </c>
      <c r="C1210" s="2">
        <v>5.2829833333333296</v>
      </c>
      <c r="D1210" s="2" t="s">
        <v>34</v>
      </c>
      <c r="E1210" s="2" t="s">
        <v>8229</v>
      </c>
      <c r="F1210" s="2">
        <v>61950</v>
      </c>
      <c r="G1210" s="3" t="str">
        <f>HYPERLINK("http://funmeta.oebiotech.com/network/61950", "http://funmeta.oebiotech.com/network/61950")</f>
        <v>http://funmeta.oebiotech.com/network/61950</v>
      </c>
      <c r="H1210" s="2" t="s">
        <v>8230</v>
      </c>
      <c r="I1210" s="2">
        <v>93248</v>
      </c>
      <c r="J1210" s="2"/>
      <c r="K1210" s="2"/>
      <c r="L1210" s="2"/>
      <c r="M1210" s="2"/>
      <c r="N1210" s="2"/>
      <c r="O1210" s="2">
        <v>14019526</v>
      </c>
      <c r="P1210" s="2" t="s">
        <v>8231</v>
      </c>
      <c r="Q1210" s="2" t="s">
        <v>8232</v>
      </c>
      <c r="R1210" s="2" t="s">
        <v>8233</v>
      </c>
      <c r="S1210" s="2" t="s">
        <v>491</v>
      </c>
      <c r="T1210" s="2" t="s">
        <v>2184</v>
      </c>
      <c r="U1210" s="2" t="s">
        <v>8234</v>
      </c>
      <c r="V1210" s="2" t="s">
        <v>59</v>
      </c>
      <c r="W1210" s="2">
        <v>38.6</v>
      </c>
      <c r="X1210" s="2">
        <v>10.7</v>
      </c>
      <c r="Y1210" s="2" t="s">
        <v>141</v>
      </c>
      <c r="Z1210" s="2" t="s">
        <v>8235</v>
      </c>
      <c r="AA1210" s="2">
        <v>2.23795358335961</v>
      </c>
      <c r="AB1210" s="2">
        <v>0.63985202851221701</v>
      </c>
      <c r="AC1210" s="2">
        <v>118981.992228584</v>
      </c>
      <c r="AD1210" s="2">
        <v>90425.424580530496</v>
      </c>
      <c r="AE1210" s="2">
        <v>113345.244254294</v>
      </c>
      <c r="AF1210" s="2">
        <v>124755.998399152</v>
      </c>
      <c r="AG1210" s="2">
        <v>123571.507682604</v>
      </c>
      <c r="AH1210" s="2">
        <v>125898.93939926699</v>
      </c>
      <c r="AI1210" s="2">
        <v>107308.13832167401</v>
      </c>
      <c r="AJ1210" s="2">
        <v>119012.125314513</v>
      </c>
      <c r="AK1210" s="2">
        <v>83726.852639235905</v>
      </c>
      <c r="AL1210" s="2">
        <v>95496.327833271105</v>
      </c>
      <c r="AM1210" s="2">
        <v>93316.209064811497</v>
      </c>
      <c r="AN1210" s="2">
        <v>90239.797556287594</v>
      </c>
      <c r="AO1210" s="2">
        <v>89319.066939001495</v>
      </c>
      <c r="AP1210" s="2">
        <v>90454.293450575598</v>
      </c>
    </row>
    <row r="1211" spans="1:42" ht="14.5" x14ac:dyDescent="0.35">
      <c r="A1211" s="2" t="s">
        <v>8236</v>
      </c>
      <c r="B1211" s="2">
        <v>262.23744520064201</v>
      </c>
      <c r="C1211" s="2">
        <v>5.4735333333333296</v>
      </c>
      <c r="D1211" s="2" t="s">
        <v>34</v>
      </c>
      <c r="E1211" s="2" t="s">
        <v>8237</v>
      </c>
      <c r="F1211" s="2">
        <v>1688</v>
      </c>
      <c r="G1211" s="3" t="str">
        <f>HYPERLINK("http://funmeta.oebiotech.com/network/1688", "http://funmeta.oebiotech.com/network/1688")</f>
        <v>http://funmeta.oebiotech.com/network/1688</v>
      </c>
      <c r="H1211" s="2"/>
      <c r="I1211" s="2">
        <v>35422</v>
      </c>
      <c r="J1211" s="2" t="s">
        <v>8238</v>
      </c>
      <c r="K1211" s="2">
        <v>77168</v>
      </c>
      <c r="L1211" s="2"/>
      <c r="M1211" s="2"/>
      <c r="N1211" s="2"/>
      <c r="O1211" s="2">
        <v>3084276</v>
      </c>
      <c r="P1211" s="2"/>
      <c r="Q1211" s="2" t="s">
        <v>8239</v>
      </c>
      <c r="R1211" s="2" t="s">
        <v>8240</v>
      </c>
      <c r="S1211" s="2" t="s">
        <v>50</v>
      </c>
      <c r="T1211" s="2" t="s">
        <v>229</v>
      </c>
      <c r="U1211" s="2" t="s">
        <v>433</v>
      </c>
      <c r="V1211" s="2" t="s">
        <v>59</v>
      </c>
      <c r="W1211" s="2">
        <v>44.7</v>
      </c>
      <c r="X1211" s="2">
        <v>27.5</v>
      </c>
      <c r="Y1211" s="2" t="s">
        <v>43</v>
      </c>
      <c r="Z1211" s="2" t="s">
        <v>5120</v>
      </c>
      <c r="AA1211" s="2">
        <v>-0.92171357313313995</v>
      </c>
      <c r="AB1211" s="2">
        <v>0.63948034050880598</v>
      </c>
      <c r="AC1211" s="2">
        <v>101690.202306124</v>
      </c>
      <c r="AD1211" s="2">
        <v>136616.69011937501</v>
      </c>
      <c r="AE1211" s="2">
        <v>101735.13283986</v>
      </c>
      <c r="AF1211" s="2">
        <v>81355.495024451899</v>
      </c>
      <c r="AG1211" s="2">
        <v>108171.756419119</v>
      </c>
      <c r="AH1211" s="2">
        <v>76182.999160626699</v>
      </c>
      <c r="AI1211" s="2">
        <v>111834.161053569</v>
      </c>
      <c r="AJ1211" s="2">
        <v>130861.669339118</v>
      </c>
      <c r="AK1211" s="2">
        <v>130048.438144275</v>
      </c>
      <c r="AL1211" s="2">
        <v>148352.41173378099</v>
      </c>
      <c r="AM1211" s="2">
        <v>120265.626539449</v>
      </c>
      <c r="AN1211" s="2">
        <v>140533.24584428899</v>
      </c>
      <c r="AO1211" s="2">
        <v>143848.05901528301</v>
      </c>
      <c r="AP1211" s="2">
        <v>136652.35943917101</v>
      </c>
    </row>
    <row r="1212" spans="1:42" ht="14.5" x14ac:dyDescent="0.35">
      <c r="A1212" s="2" t="s">
        <v>8241</v>
      </c>
      <c r="B1212" s="2">
        <v>494.32572209125698</v>
      </c>
      <c r="C1212" s="2">
        <v>7.1346166666666697</v>
      </c>
      <c r="D1212" s="2" t="s">
        <v>34</v>
      </c>
      <c r="E1212" s="2" t="s">
        <v>8242</v>
      </c>
      <c r="F1212" s="2">
        <v>22465</v>
      </c>
      <c r="G1212" s="3" t="str">
        <f>HYPERLINK("http://funmeta.oebiotech.com/network/22465", "http://funmeta.oebiotech.com/network/22465")</f>
        <v>http://funmeta.oebiotech.com/network/22465</v>
      </c>
      <c r="H1212" s="2"/>
      <c r="I1212" s="2">
        <v>78862</v>
      </c>
      <c r="J1212" s="2" t="s">
        <v>8243</v>
      </c>
      <c r="K1212" s="2">
        <v>72738</v>
      </c>
      <c r="L1212" s="2"/>
      <c r="M1212" s="2"/>
      <c r="N1212" s="2"/>
      <c r="O1212" s="2">
        <v>52926302</v>
      </c>
      <c r="P1212" s="2"/>
      <c r="Q1212" s="2" t="s">
        <v>8244</v>
      </c>
      <c r="R1212" s="2" t="s">
        <v>8245</v>
      </c>
      <c r="S1212" s="2" t="s">
        <v>50</v>
      </c>
      <c r="T1212" s="2" t="s">
        <v>51</v>
      </c>
      <c r="U1212" s="2" t="s">
        <v>66</v>
      </c>
      <c r="V1212" s="2" t="s">
        <v>59</v>
      </c>
      <c r="W1212" s="2">
        <v>42.1</v>
      </c>
      <c r="X1212" s="2">
        <v>18.2</v>
      </c>
      <c r="Y1212" s="2" t="s">
        <v>141</v>
      </c>
      <c r="Z1212" s="2" t="s">
        <v>8246</v>
      </c>
      <c r="AA1212" s="2">
        <v>3.1411312284648099</v>
      </c>
      <c r="AB1212" s="2">
        <v>0.63922758235322297</v>
      </c>
      <c r="AC1212" s="2">
        <v>32685.812253897799</v>
      </c>
      <c r="AD1212" s="2">
        <v>59970.274889879598</v>
      </c>
      <c r="AE1212" s="2">
        <v>32101.236797144898</v>
      </c>
      <c r="AF1212" s="2">
        <v>32292.8423849145</v>
      </c>
      <c r="AG1212" s="2">
        <v>35718.697375087402</v>
      </c>
      <c r="AH1212" s="2">
        <v>30018.551484507399</v>
      </c>
      <c r="AI1212" s="2">
        <v>33457.908102297602</v>
      </c>
      <c r="AJ1212" s="2">
        <v>32525.637379434898</v>
      </c>
      <c r="AK1212" s="2">
        <v>61042.850140478797</v>
      </c>
      <c r="AL1212" s="2">
        <v>54115.276281838298</v>
      </c>
      <c r="AM1212" s="2">
        <v>61472.775684820903</v>
      </c>
      <c r="AN1212" s="2">
        <v>57332.462517995998</v>
      </c>
      <c r="AO1212" s="2">
        <v>61893.835703840698</v>
      </c>
      <c r="AP1212" s="2">
        <v>63964.4490103032</v>
      </c>
    </row>
    <row r="1213" spans="1:42" ht="14.5" x14ac:dyDescent="0.35">
      <c r="A1213" s="2" t="s">
        <v>8247</v>
      </c>
      <c r="B1213" s="2">
        <v>531.31757676455004</v>
      </c>
      <c r="C1213" s="2">
        <v>7.2157999999999998</v>
      </c>
      <c r="D1213" s="2" t="s">
        <v>70</v>
      </c>
      <c r="E1213" s="2" t="s">
        <v>8248</v>
      </c>
      <c r="F1213" s="2">
        <v>10363</v>
      </c>
      <c r="G1213" s="3" t="str">
        <f>HYPERLINK("http://funmeta.oebiotech.com/network/10363", "http://funmeta.oebiotech.com/network/10363")</f>
        <v>http://funmeta.oebiotech.com/network/10363</v>
      </c>
      <c r="H1213" s="2"/>
      <c r="I1213" s="2"/>
      <c r="J1213" s="2" t="s">
        <v>8249</v>
      </c>
      <c r="K1213" s="2">
        <v>79307</v>
      </c>
      <c r="L1213" s="2"/>
      <c r="M1213" s="2"/>
      <c r="N1213" s="2"/>
      <c r="O1213" s="2">
        <v>86289882</v>
      </c>
      <c r="P1213" s="2"/>
      <c r="Q1213" s="2" t="s">
        <v>8250</v>
      </c>
      <c r="R1213" s="2" t="s">
        <v>8251</v>
      </c>
      <c r="S1213" s="2" t="s">
        <v>50</v>
      </c>
      <c r="T1213" s="2" t="s">
        <v>229</v>
      </c>
      <c r="U1213" s="2" t="s">
        <v>230</v>
      </c>
      <c r="V1213" s="2" t="s">
        <v>42</v>
      </c>
      <c r="W1213" s="2">
        <v>48</v>
      </c>
      <c r="X1213" s="2">
        <v>56.6</v>
      </c>
      <c r="Y1213" s="2" t="s">
        <v>751</v>
      </c>
      <c r="Z1213" s="2" t="s">
        <v>8252</v>
      </c>
      <c r="AA1213" s="2">
        <v>0.191639328156577</v>
      </c>
      <c r="AB1213" s="2">
        <v>0.63919508603762998</v>
      </c>
      <c r="AC1213" s="2">
        <v>43610.610964904001</v>
      </c>
      <c r="AD1213" s="2">
        <v>16590.912773226599</v>
      </c>
      <c r="AE1213" s="2">
        <v>45536.6062815361</v>
      </c>
      <c r="AF1213" s="2">
        <v>40071.678294957303</v>
      </c>
      <c r="AG1213" s="2">
        <v>44943.311636650396</v>
      </c>
      <c r="AH1213" s="2">
        <v>45281.366366792201</v>
      </c>
      <c r="AI1213" s="2">
        <v>44099.602150906299</v>
      </c>
      <c r="AJ1213" s="2">
        <v>41731.101058581502</v>
      </c>
      <c r="AK1213" s="2">
        <v>14953.8818348395</v>
      </c>
      <c r="AL1213" s="2">
        <v>17265.6608659509</v>
      </c>
      <c r="AM1213" s="2">
        <v>17330.298084114202</v>
      </c>
      <c r="AN1213" s="2">
        <v>17592.5604292313</v>
      </c>
      <c r="AO1213" s="2">
        <v>15020.1348108487</v>
      </c>
      <c r="AP1213" s="2">
        <v>17382.9406143753</v>
      </c>
    </row>
    <row r="1214" spans="1:42" ht="14.5" x14ac:dyDescent="0.35">
      <c r="A1214" s="2" t="s">
        <v>8253</v>
      </c>
      <c r="B1214" s="2">
        <v>119.049075957463</v>
      </c>
      <c r="C1214" s="2">
        <v>4.1925499999999998</v>
      </c>
      <c r="D1214" s="2" t="s">
        <v>34</v>
      </c>
      <c r="E1214" s="2" t="s">
        <v>8254</v>
      </c>
      <c r="F1214" s="2">
        <v>209903</v>
      </c>
      <c r="G1214" s="3" t="str">
        <f>HYPERLINK("http://funmeta.oebiotech.com/network/209903", "http://funmeta.oebiotech.com/network/209903")</f>
        <v>http://funmeta.oebiotech.com/network/209903</v>
      </c>
      <c r="H1214" s="2" t="s">
        <v>8255</v>
      </c>
      <c r="I1214" s="2"/>
      <c r="J1214" s="2"/>
      <c r="K1214" s="2"/>
      <c r="L1214" s="2"/>
      <c r="M1214" s="2"/>
      <c r="N1214" s="2"/>
      <c r="O1214" s="2"/>
      <c r="P1214" s="2"/>
      <c r="Q1214" s="2" t="s">
        <v>8256</v>
      </c>
      <c r="R1214" s="2" t="s">
        <v>8257</v>
      </c>
      <c r="S1214" s="2" t="s">
        <v>41</v>
      </c>
      <c r="T1214" s="2" t="s">
        <v>41</v>
      </c>
      <c r="U1214" s="2" t="s">
        <v>41</v>
      </c>
      <c r="V1214" s="2" t="s">
        <v>42</v>
      </c>
      <c r="W1214" s="2">
        <v>53.3</v>
      </c>
      <c r="X1214" s="2">
        <v>68.3</v>
      </c>
      <c r="Y1214" s="2" t="s">
        <v>141</v>
      </c>
      <c r="Z1214" s="2" t="s">
        <v>8258</v>
      </c>
      <c r="AA1214" s="2">
        <v>-0.47987541916089699</v>
      </c>
      <c r="AB1214" s="2">
        <v>0.63916935097989902</v>
      </c>
      <c r="AC1214" s="2">
        <v>117552.04252182999</v>
      </c>
      <c r="AD1214" s="2">
        <v>89911.427696125</v>
      </c>
      <c r="AE1214" s="2">
        <v>114147.161230356</v>
      </c>
      <c r="AF1214" s="2">
        <v>113459.432605808</v>
      </c>
      <c r="AG1214" s="2">
        <v>127571.98557703001</v>
      </c>
      <c r="AH1214" s="2">
        <v>118110.93818574</v>
      </c>
      <c r="AI1214" s="2">
        <v>117816.53976020101</v>
      </c>
      <c r="AJ1214" s="2">
        <v>114206.197771843</v>
      </c>
      <c r="AK1214" s="2">
        <v>90717.965118323904</v>
      </c>
      <c r="AL1214" s="2">
        <v>91286.6268314638</v>
      </c>
      <c r="AM1214" s="2">
        <v>90885.541435678999</v>
      </c>
      <c r="AN1214" s="2">
        <v>88802.591152288194</v>
      </c>
      <c r="AO1214" s="2">
        <v>89660.111934328306</v>
      </c>
      <c r="AP1214" s="2">
        <v>88115.729704666999</v>
      </c>
    </row>
    <row r="1215" spans="1:42" ht="14.5" x14ac:dyDescent="0.35">
      <c r="A1215" s="2" t="s">
        <v>8259</v>
      </c>
      <c r="B1215" s="2">
        <v>1093.5384566405301</v>
      </c>
      <c r="C1215" s="2">
        <v>10.890933333333299</v>
      </c>
      <c r="D1215" s="2" t="s">
        <v>34</v>
      </c>
      <c r="E1215" s="2" t="s">
        <v>8260</v>
      </c>
      <c r="F1215" s="2">
        <v>233461</v>
      </c>
      <c r="G1215" s="3" t="str">
        <f>HYPERLINK("http://funmeta.oebiotech.com/network/233461", "http://funmeta.oebiotech.com/network/233461")</f>
        <v>http://funmeta.oebiotech.com/network/233461</v>
      </c>
      <c r="H1215" s="2" t="s">
        <v>8261</v>
      </c>
      <c r="I1215" s="2"/>
      <c r="J1215" s="2"/>
      <c r="K1215" s="2"/>
      <c r="L1215" s="2"/>
      <c r="M1215" s="2"/>
      <c r="N1215" s="2"/>
      <c r="O1215" s="2"/>
      <c r="P1215" s="2"/>
      <c r="Q1215" s="2" t="s">
        <v>8262</v>
      </c>
      <c r="R1215" s="2" t="s">
        <v>8263</v>
      </c>
      <c r="S1215" s="2" t="s">
        <v>41</v>
      </c>
      <c r="T1215" s="2" t="s">
        <v>41</v>
      </c>
      <c r="U1215" s="2" t="s">
        <v>41</v>
      </c>
      <c r="V1215" s="2" t="s">
        <v>59</v>
      </c>
      <c r="W1215" s="2">
        <v>37.5</v>
      </c>
      <c r="X1215" s="2">
        <v>0</v>
      </c>
      <c r="Y1215" s="2" t="s">
        <v>470</v>
      </c>
      <c r="Z1215" s="2" t="s">
        <v>8264</v>
      </c>
      <c r="AA1215" s="2">
        <v>-0.40974665308742497</v>
      </c>
      <c r="AB1215" s="2">
        <v>0.639001916914542</v>
      </c>
      <c r="AC1215" s="2">
        <v>39737.357156664097</v>
      </c>
      <c r="AD1215" s="2">
        <v>71242.665385139597</v>
      </c>
      <c r="AE1215" s="2">
        <v>38350.7044409097</v>
      </c>
      <c r="AF1215" s="2">
        <v>34508.249921943403</v>
      </c>
      <c r="AG1215" s="2">
        <v>34885.683889763597</v>
      </c>
      <c r="AH1215" s="2">
        <v>44761.368662676701</v>
      </c>
      <c r="AI1215" s="2">
        <v>39559.260349750497</v>
      </c>
      <c r="AJ1215" s="2">
        <v>46358.875674941002</v>
      </c>
      <c r="AK1215" s="2">
        <v>53846.915279391003</v>
      </c>
      <c r="AL1215" s="2">
        <v>53025.364303904898</v>
      </c>
      <c r="AM1215" s="2">
        <v>76340.242820354804</v>
      </c>
      <c r="AN1215" s="2">
        <v>74082.635903421804</v>
      </c>
      <c r="AO1215" s="2">
        <v>87820.627162826306</v>
      </c>
      <c r="AP1215" s="2">
        <v>82340.206840939005</v>
      </c>
    </row>
    <row r="1216" spans="1:42" ht="14.5" x14ac:dyDescent="0.35">
      <c r="A1216" s="2" t="s">
        <v>8265</v>
      </c>
      <c r="B1216" s="2">
        <v>795.35889569556696</v>
      </c>
      <c r="C1216" s="2">
        <v>9.0997666666666692</v>
      </c>
      <c r="D1216" s="2" t="s">
        <v>70</v>
      </c>
      <c r="E1216" s="2" t="s">
        <v>8266</v>
      </c>
      <c r="F1216" s="2">
        <v>27999</v>
      </c>
      <c r="G1216" s="3" t="str">
        <f>HYPERLINK("http://funmeta.oebiotech.com/network/27999", "http://funmeta.oebiotech.com/network/27999")</f>
        <v>http://funmeta.oebiotech.com/network/27999</v>
      </c>
      <c r="H1216" s="2"/>
      <c r="I1216" s="2"/>
      <c r="J1216" s="2" t="s">
        <v>8267</v>
      </c>
      <c r="K1216" s="2"/>
      <c r="L1216" s="2"/>
      <c r="M1216" s="2"/>
      <c r="N1216" s="2"/>
      <c r="O1216" s="2">
        <v>134812446</v>
      </c>
      <c r="P1216" s="2"/>
      <c r="Q1216" s="2" t="s">
        <v>8268</v>
      </c>
      <c r="R1216" s="2" t="s">
        <v>8269</v>
      </c>
      <c r="S1216" s="2" t="s">
        <v>50</v>
      </c>
      <c r="T1216" s="2" t="s">
        <v>51</v>
      </c>
      <c r="U1216" s="2" t="s">
        <v>52</v>
      </c>
      <c r="V1216" s="2" t="s">
        <v>59</v>
      </c>
      <c r="W1216" s="2">
        <v>38.6</v>
      </c>
      <c r="X1216" s="2">
        <v>0</v>
      </c>
      <c r="Y1216" s="2" t="s">
        <v>408</v>
      </c>
      <c r="Z1216" s="2" t="s">
        <v>8270</v>
      </c>
      <c r="AA1216" s="2">
        <v>2.0457004109648098</v>
      </c>
      <c r="AB1216" s="2">
        <v>0.63840423654853995</v>
      </c>
      <c r="AC1216" s="2">
        <v>45925.107031293199</v>
      </c>
      <c r="AD1216" s="2">
        <v>18776.389881087802</v>
      </c>
      <c r="AE1216" s="2">
        <v>47249.518997576197</v>
      </c>
      <c r="AF1216" s="2">
        <v>44711.787952411498</v>
      </c>
      <c r="AG1216" s="2">
        <v>46030.7232733321</v>
      </c>
      <c r="AH1216" s="2">
        <v>48783.732470635703</v>
      </c>
      <c r="AI1216" s="2">
        <v>39376.7812990776</v>
      </c>
      <c r="AJ1216" s="2">
        <v>49398.098194726197</v>
      </c>
      <c r="AK1216" s="2">
        <v>20476.4141048745</v>
      </c>
      <c r="AL1216" s="2">
        <v>18875.460606419299</v>
      </c>
      <c r="AM1216" s="2">
        <v>19469.7125402401</v>
      </c>
      <c r="AN1216" s="2">
        <v>18090.066145884499</v>
      </c>
      <c r="AO1216" s="2">
        <v>19975.243646508399</v>
      </c>
      <c r="AP1216" s="2">
        <v>15771.4422426001</v>
      </c>
    </row>
    <row r="1217" spans="1:42" ht="14.5" x14ac:dyDescent="0.35">
      <c r="A1217" s="2" t="s">
        <v>8271</v>
      </c>
      <c r="B1217" s="2">
        <v>132.10186894102</v>
      </c>
      <c r="C1217" s="2">
        <v>1.29345</v>
      </c>
      <c r="D1217" s="2" t="s">
        <v>34</v>
      </c>
      <c r="E1217" s="2" t="s">
        <v>8272</v>
      </c>
      <c r="F1217" s="2">
        <v>2489</v>
      </c>
      <c r="G1217" s="3" t="str">
        <f>HYPERLINK("http://funmeta.oebiotech.com/network/2489", "http://funmeta.oebiotech.com/network/2489")</f>
        <v>http://funmeta.oebiotech.com/network/2489</v>
      </c>
      <c r="H1217" s="2" t="s">
        <v>8273</v>
      </c>
      <c r="I1217" s="2">
        <v>23</v>
      </c>
      <c r="J1217" s="2" t="s">
        <v>8274</v>
      </c>
      <c r="K1217" s="2">
        <v>17191</v>
      </c>
      <c r="L1217" s="2" t="s">
        <v>8275</v>
      </c>
      <c r="M1217" s="2" t="s">
        <v>8276</v>
      </c>
      <c r="N1217" s="2" t="s">
        <v>8277</v>
      </c>
      <c r="O1217" s="2">
        <v>6306</v>
      </c>
      <c r="P1217" s="2" t="s">
        <v>8278</v>
      </c>
      <c r="Q1217" s="2" t="s">
        <v>8279</v>
      </c>
      <c r="R1217" s="2" t="s">
        <v>8280</v>
      </c>
      <c r="S1217" s="2" t="s">
        <v>89</v>
      </c>
      <c r="T1217" s="2" t="s">
        <v>90</v>
      </c>
      <c r="U1217" s="2" t="s">
        <v>99</v>
      </c>
      <c r="V1217" s="2" t="s">
        <v>42</v>
      </c>
      <c r="W1217" s="2">
        <v>51.3</v>
      </c>
      <c r="X1217" s="2">
        <v>61.5</v>
      </c>
      <c r="Y1217" s="2" t="s">
        <v>394</v>
      </c>
      <c r="Z1217" s="2" t="s">
        <v>8281</v>
      </c>
      <c r="AA1217" s="2">
        <v>-0.275768809633815</v>
      </c>
      <c r="AB1217" s="2">
        <v>0.63798629753154401</v>
      </c>
      <c r="AC1217" s="2">
        <v>144753.30844925801</v>
      </c>
      <c r="AD1217" s="2">
        <v>116957.95223554</v>
      </c>
      <c r="AE1217" s="2">
        <v>147328.40723143201</v>
      </c>
      <c r="AF1217" s="2">
        <v>145937.230537072</v>
      </c>
      <c r="AG1217" s="2">
        <v>141460.71236188401</v>
      </c>
      <c r="AH1217" s="2">
        <v>152132.91876571899</v>
      </c>
      <c r="AI1217" s="2">
        <v>135445.827264461</v>
      </c>
      <c r="AJ1217" s="2">
        <v>146214.75453498101</v>
      </c>
      <c r="AK1217" s="2">
        <v>113495.41641498099</v>
      </c>
      <c r="AL1217" s="2">
        <v>114378.675182709</v>
      </c>
      <c r="AM1217" s="2">
        <v>120820.248702592</v>
      </c>
      <c r="AN1217" s="2">
        <v>119574.335159674</v>
      </c>
      <c r="AO1217" s="2">
        <v>115569.006518315</v>
      </c>
      <c r="AP1217" s="2">
        <v>117910.03143497001</v>
      </c>
    </row>
    <row r="1218" spans="1:42" ht="14.5" x14ac:dyDescent="0.35">
      <c r="A1218" s="2" t="s">
        <v>8282</v>
      </c>
      <c r="B1218" s="2">
        <v>754.41255144471995</v>
      </c>
      <c r="C1218" s="2">
        <v>8.6366999999999994</v>
      </c>
      <c r="D1218" s="2" t="s">
        <v>34</v>
      </c>
      <c r="E1218" s="2" t="s">
        <v>8283</v>
      </c>
      <c r="F1218" s="2">
        <v>206481</v>
      </c>
      <c r="G1218" s="3" t="str">
        <f>HYPERLINK("http://funmeta.oebiotech.com/network/206481", "http://funmeta.oebiotech.com/network/206481")</f>
        <v>http://funmeta.oebiotech.com/network/206481</v>
      </c>
      <c r="H1218" s="2" t="s">
        <v>8284</v>
      </c>
      <c r="I1218" s="2"/>
      <c r="J1218" s="2"/>
      <c r="K1218" s="2"/>
      <c r="L1218" s="2"/>
      <c r="M1218" s="2"/>
      <c r="N1218" s="2"/>
      <c r="O1218" s="2">
        <v>13041189</v>
      </c>
      <c r="P1218" s="2"/>
      <c r="Q1218" s="2" t="s">
        <v>8285</v>
      </c>
      <c r="R1218" s="2" t="s">
        <v>8286</v>
      </c>
      <c r="S1218" s="2" t="s">
        <v>79</v>
      </c>
      <c r="T1218" s="2" t="s">
        <v>80</v>
      </c>
      <c r="U1218" s="2" t="s">
        <v>81</v>
      </c>
      <c r="V1218" s="2" t="s">
        <v>59</v>
      </c>
      <c r="W1218" s="2">
        <v>46.2</v>
      </c>
      <c r="X1218" s="2">
        <v>45</v>
      </c>
      <c r="Y1218" s="2" t="s">
        <v>340</v>
      </c>
      <c r="Z1218" s="2" t="s">
        <v>8287</v>
      </c>
      <c r="AA1218" s="2">
        <v>-1.7934979889723199</v>
      </c>
      <c r="AB1218" s="2">
        <v>0.63794074924045296</v>
      </c>
      <c r="AC1218" s="2">
        <v>90743.511766103198</v>
      </c>
      <c r="AD1218" s="2">
        <v>120680.26089097001</v>
      </c>
      <c r="AE1218" s="2">
        <v>87175.422906449297</v>
      </c>
      <c r="AF1218" s="2">
        <v>98471.9449872806</v>
      </c>
      <c r="AG1218" s="2">
        <v>93105.2769252656</v>
      </c>
      <c r="AH1218" s="2">
        <v>78254.847979022699</v>
      </c>
      <c r="AI1218" s="2">
        <v>92737.242362366596</v>
      </c>
      <c r="AJ1218" s="2">
        <v>94716.335436234396</v>
      </c>
      <c r="AK1218" s="2">
        <v>124074.336258606</v>
      </c>
      <c r="AL1218" s="2">
        <v>107509.63674918099</v>
      </c>
      <c r="AM1218" s="2">
        <v>131435.32860944001</v>
      </c>
      <c r="AN1218" s="2">
        <v>130031.87519693399</v>
      </c>
      <c r="AO1218" s="2">
        <v>112490.202839973</v>
      </c>
      <c r="AP1218" s="2">
        <v>118540.18569168801</v>
      </c>
    </row>
    <row r="1219" spans="1:42" ht="14.5" x14ac:dyDescent="0.35">
      <c r="A1219" s="2" t="s">
        <v>8288</v>
      </c>
      <c r="B1219" s="2">
        <v>819.46963497512297</v>
      </c>
      <c r="C1219" s="2">
        <v>11.102133333333301</v>
      </c>
      <c r="D1219" s="2" t="s">
        <v>34</v>
      </c>
      <c r="E1219" s="2" t="s">
        <v>8289</v>
      </c>
      <c r="F1219" s="2">
        <v>18037</v>
      </c>
      <c r="G1219" s="3" t="str">
        <f>HYPERLINK("http://funmeta.oebiotech.com/network/18037", "http://funmeta.oebiotech.com/network/18037")</f>
        <v>http://funmeta.oebiotech.com/network/18037</v>
      </c>
      <c r="H1219" s="2"/>
      <c r="I1219" s="2"/>
      <c r="J1219" s="2" t="s">
        <v>8290</v>
      </c>
      <c r="K1219" s="2"/>
      <c r="L1219" s="2"/>
      <c r="M1219" s="2"/>
      <c r="N1219" s="2"/>
      <c r="O1219" s="2">
        <v>42607401</v>
      </c>
      <c r="P1219" s="2"/>
      <c r="Q1219" s="2" t="s">
        <v>8291</v>
      </c>
      <c r="R1219" s="2" t="s">
        <v>8292</v>
      </c>
      <c r="S1219" s="2" t="s">
        <v>50</v>
      </c>
      <c r="T1219" s="2" t="s">
        <v>448</v>
      </c>
      <c r="U1219" s="2" t="s">
        <v>449</v>
      </c>
      <c r="V1219" s="2" t="s">
        <v>59</v>
      </c>
      <c r="W1219" s="2">
        <v>36.4</v>
      </c>
      <c r="X1219" s="2">
        <v>0</v>
      </c>
      <c r="Y1219" s="2" t="s">
        <v>340</v>
      </c>
      <c r="Z1219" s="2" t="s">
        <v>8293</v>
      </c>
      <c r="AA1219" s="2">
        <v>0.93275813052752699</v>
      </c>
      <c r="AB1219" s="2">
        <v>0.63764803151468197</v>
      </c>
      <c r="AC1219" s="2">
        <v>9609.35576879359</v>
      </c>
      <c r="AD1219" s="2">
        <v>36631.030849709001</v>
      </c>
      <c r="AE1219" s="2">
        <v>8181.3653883116904</v>
      </c>
      <c r="AF1219" s="2">
        <v>8610.9499978465592</v>
      </c>
      <c r="AG1219" s="2">
        <v>10355.779477574</v>
      </c>
      <c r="AH1219" s="2">
        <v>11792.148817216501</v>
      </c>
      <c r="AI1219" s="2">
        <v>8906.0721004360603</v>
      </c>
      <c r="AJ1219" s="2">
        <v>9809.8188313767405</v>
      </c>
      <c r="AK1219" s="2">
        <v>37842.487030226097</v>
      </c>
      <c r="AL1219" s="2">
        <v>34229.492274246397</v>
      </c>
      <c r="AM1219" s="2">
        <v>41564.721046038401</v>
      </c>
      <c r="AN1219" s="2">
        <v>33897.280300970102</v>
      </c>
      <c r="AO1219" s="2">
        <v>34108.892180881201</v>
      </c>
      <c r="AP1219" s="2">
        <v>38143.312265891698</v>
      </c>
    </row>
    <row r="1220" spans="1:42" ht="14.5" x14ac:dyDescent="0.35">
      <c r="A1220" s="2" t="s">
        <v>8294</v>
      </c>
      <c r="B1220" s="2">
        <v>653.15109425665401</v>
      </c>
      <c r="C1220" s="2">
        <v>4.7579333333333302</v>
      </c>
      <c r="D1220" s="2" t="s">
        <v>70</v>
      </c>
      <c r="E1220" s="2" t="s">
        <v>8295</v>
      </c>
      <c r="F1220" s="2">
        <v>30321</v>
      </c>
      <c r="G1220" s="3" t="str">
        <f>HYPERLINK("http://funmeta.oebiotech.com/network/30321", "http://funmeta.oebiotech.com/network/30321")</f>
        <v>http://funmeta.oebiotech.com/network/30321</v>
      </c>
      <c r="H1220" s="2"/>
      <c r="I1220" s="2"/>
      <c r="J1220" s="2" t="s">
        <v>8296</v>
      </c>
      <c r="K1220" s="2"/>
      <c r="L1220" s="2"/>
      <c r="M1220" s="2"/>
      <c r="N1220" s="2"/>
      <c r="O1220" s="2">
        <v>102147858</v>
      </c>
      <c r="P1220" s="2"/>
      <c r="Q1220" s="2" t="s">
        <v>8297</v>
      </c>
      <c r="R1220" s="2" t="s">
        <v>8298</v>
      </c>
      <c r="S1220" s="2" t="s">
        <v>115</v>
      </c>
      <c r="T1220" s="2" t="s">
        <v>139</v>
      </c>
      <c r="U1220" s="2" t="s">
        <v>140</v>
      </c>
      <c r="V1220" s="2" t="s">
        <v>59</v>
      </c>
      <c r="W1220" s="2">
        <v>38.799999999999997</v>
      </c>
      <c r="X1220" s="2">
        <v>0</v>
      </c>
      <c r="Y1220" s="2" t="s">
        <v>408</v>
      </c>
      <c r="Z1220" s="2" t="s">
        <v>8299</v>
      </c>
      <c r="AA1220" s="2">
        <v>-0.163717991302605</v>
      </c>
      <c r="AB1220" s="2">
        <v>0.63763699146473196</v>
      </c>
      <c r="AC1220" s="2">
        <v>14290.4345576546</v>
      </c>
      <c r="AD1220" s="2">
        <v>42144.961331818296</v>
      </c>
      <c r="AE1220" s="2">
        <v>15300.775599943399</v>
      </c>
      <c r="AF1220" s="2">
        <v>10714.4837991106</v>
      </c>
      <c r="AG1220" s="2">
        <v>19974.4724505585</v>
      </c>
      <c r="AH1220" s="2">
        <v>15067.8277182443</v>
      </c>
      <c r="AI1220" s="2">
        <v>13398.724507787299</v>
      </c>
      <c r="AJ1220" s="2">
        <v>11286.323270283499</v>
      </c>
      <c r="AK1220" s="2">
        <v>37839.362145936502</v>
      </c>
      <c r="AL1220" s="2">
        <v>42176.343748034204</v>
      </c>
      <c r="AM1220" s="2">
        <v>41747.367521210901</v>
      </c>
      <c r="AN1220" s="2">
        <v>52948.151183731701</v>
      </c>
      <c r="AO1220" s="2">
        <v>37604.281171910399</v>
      </c>
      <c r="AP1220" s="2">
        <v>40554.262220086297</v>
      </c>
    </row>
    <row r="1221" spans="1:42" ht="14.5" x14ac:dyDescent="0.35">
      <c r="A1221" s="2" t="s">
        <v>8300</v>
      </c>
      <c r="B1221" s="2">
        <v>532.26884313402797</v>
      </c>
      <c r="C1221" s="2">
        <v>8.0464500000000001</v>
      </c>
      <c r="D1221" s="2" t="s">
        <v>34</v>
      </c>
      <c r="E1221" s="2" t="s">
        <v>8301</v>
      </c>
      <c r="F1221" s="2">
        <v>27926</v>
      </c>
      <c r="G1221" s="3" t="str">
        <f>HYPERLINK("http://funmeta.oebiotech.com/network/27926", "http://funmeta.oebiotech.com/network/27926")</f>
        <v>http://funmeta.oebiotech.com/network/27926</v>
      </c>
      <c r="H1221" s="2"/>
      <c r="I1221" s="2"/>
      <c r="J1221" s="2" t="s">
        <v>8302</v>
      </c>
      <c r="K1221" s="2">
        <v>138361</v>
      </c>
      <c r="L1221" s="2"/>
      <c r="M1221" s="2"/>
      <c r="N1221" s="2"/>
      <c r="O1221" s="2">
        <v>129626688</v>
      </c>
      <c r="P1221" s="2"/>
      <c r="Q1221" s="2" t="s">
        <v>8303</v>
      </c>
      <c r="R1221" s="2" t="s">
        <v>8304</v>
      </c>
      <c r="S1221" s="2" t="s">
        <v>50</v>
      </c>
      <c r="T1221" s="2" t="s">
        <v>229</v>
      </c>
      <c r="U1221" s="2" t="s">
        <v>766</v>
      </c>
      <c r="V1221" s="2" t="s">
        <v>59</v>
      </c>
      <c r="W1221" s="2">
        <v>38.299999999999997</v>
      </c>
      <c r="X1221" s="2">
        <v>8.99</v>
      </c>
      <c r="Y1221" s="2" t="s">
        <v>266</v>
      </c>
      <c r="Z1221" s="2" t="s">
        <v>8305</v>
      </c>
      <c r="AA1221" s="2">
        <v>3.3647233500067699</v>
      </c>
      <c r="AB1221" s="2">
        <v>0.63747016885581698</v>
      </c>
      <c r="AC1221" s="2">
        <v>337439.79242219799</v>
      </c>
      <c r="AD1221" s="2">
        <v>305071.87298399099</v>
      </c>
      <c r="AE1221" s="2">
        <v>349443.86650193401</v>
      </c>
      <c r="AF1221" s="2">
        <v>339170.394645678</v>
      </c>
      <c r="AG1221" s="2">
        <v>342310.99471162801</v>
      </c>
      <c r="AH1221" s="2">
        <v>332277.82273652602</v>
      </c>
      <c r="AI1221" s="2">
        <v>317435.06112953002</v>
      </c>
      <c r="AJ1221" s="2">
        <v>344000.61480789399</v>
      </c>
      <c r="AK1221" s="2">
        <v>281584.80889650597</v>
      </c>
      <c r="AL1221" s="2">
        <v>298989.33915433701</v>
      </c>
      <c r="AM1221" s="2">
        <v>309191.039861164</v>
      </c>
      <c r="AN1221" s="2">
        <v>310178.15311919799</v>
      </c>
      <c r="AO1221" s="2">
        <v>320783.25513213099</v>
      </c>
      <c r="AP1221" s="2">
        <v>309704.64174060902</v>
      </c>
    </row>
    <row r="1222" spans="1:42" ht="14.5" x14ac:dyDescent="0.35">
      <c r="A1222" s="2" t="s">
        <v>8306</v>
      </c>
      <c r="B1222" s="2">
        <v>683.40085114155795</v>
      </c>
      <c r="C1222" s="2">
        <v>10.936349999999999</v>
      </c>
      <c r="D1222" s="2" t="s">
        <v>70</v>
      </c>
      <c r="E1222" s="2" t="s">
        <v>8307</v>
      </c>
      <c r="F1222" s="2">
        <v>206760</v>
      </c>
      <c r="G1222" s="3" t="str">
        <f>HYPERLINK("http://funmeta.oebiotech.com/network/206760", "http://funmeta.oebiotech.com/network/206760")</f>
        <v>http://funmeta.oebiotech.com/network/206760</v>
      </c>
      <c r="H1222" s="2" t="s">
        <v>8308</v>
      </c>
      <c r="I1222" s="2"/>
      <c r="J1222" s="2"/>
      <c r="K1222" s="2"/>
      <c r="L1222" s="2"/>
      <c r="M1222" s="2"/>
      <c r="N1222" s="2"/>
      <c r="O1222" s="2">
        <v>75130807</v>
      </c>
      <c r="P1222" s="2"/>
      <c r="Q1222" s="2" t="s">
        <v>8309</v>
      </c>
      <c r="R1222" s="2" t="s">
        <v>8310</v>
      </c>
      <c r="S1222" s="2" t="s">
        <v>115</v>
      </c>
      <c r="T1222" s="2" t="s">
        <v>1384</v>
      </c>
      <c r="U1222" s="2" t="s">
        <v>41</v>
      </c>
      <c r="V1222" s="2" t="s">
        <v>59</v>
      </c>
      <c r="W1222" s="2">
        <v>41.7</v>
      </c>
      <c r="X1222" s="2">
        <v>11</v>
      </c>
      <c r="Y1222" s="2" t="s">
        <v>408</v>
      </c>
      <c r="Z1222" s="2" t="s">
        <v>8311</v>
      </c>
      <c r="AA1222" s="2">
        <v>-0.54790485489383101</v>
      </c>
      <c r="AB1222" s="2">
        <v>0.63464266380437195</v>
      </c>
      <c r="AC1222" s="2">
        <v>116626.795744934</v>
      </c>
      <c r="AD1222" s="2">
        <v>146791.16876275299</v>
      </c>
      <c r="AE1222" s="2">
        <v>124593.374574007</v>
      </c>
      <c r="AF1222" s="2">
        <v>114262.431676116</v>
      </c>
      <c r="AG1222" s="2">
        <v>118228.34360366</v>
      </c>
      <c r="AH1222" s="2">
        <v>114453.92114682301</v>
      </c>
      <c r="AI1222" s="2">
        <v>121790.440046459</v>
      </c>
      <c r="AJ1222" s="2">
        <v>106432.26342253599</v>
      </c>
      <c r="AK1222" s="2">
        <v>143738.58134533899</v>
      </c>
      <c r="AL1222" s="2">
        <v>133833.27987255401</v>
      </c>
      <c r="AM1222" s="2">
        <v>147535.439613347</v>
      </c>
      <c r="AN1222" s="2">
        <v>150851.31110440299</v>
      </c>
      <c r="AO1222" s="2">
        <v>138507.45006586</v>
      </c>
      <c r="AP1222" s="2">
        <v>166280.95057501699</v>
      </c>
    </row>
    <row r="1223" spans="1:42" ht="14.5" x14ac:dyDescent="0.35">
      <c r="A1223" s="2" t="s">
        <v>8312</v>
      </c>
      <c r="B1223" s="2">
        <v>485.238924463356</v>
      </c>
      <c r="C1223" s="2">
        <v>5.1704666666666697</v>
      </c>
      <c r="D1223" s="2" t="s">
        <v>70</v>
      </c>
      <c r="E1223" s="2" t="s">
        <v>8313</v>
      </c>
      <c r="F1223" s="2">
        <v>56398</v>
      </c>
      <c r="G1223" s="3" t="str">
        <f>HYPERLINK("http://funmeta.oebiotech.com/network/56398", "http://funmeta.oebiotech.com/network/56398")</f>
        <v>http://funmeta.oebiotech.com/network/56398</v>
      </c>
      <c r="H1223" s="2" t="s">
        <v>8314</v>
      </c>
      <c r="I1223" s="2">
        <v>88049</v>
      </c>
      <c r="J1223" s="2"/>
      <c r="K1223" s="2">
        <v>169834</v>
      </c>
      <c r="L1223" s="2"/>
      <c r="M1223" s="2"/>
      <c r="N1223" s="2"/>
      <c r="O1223" s="2">
        <v>85192078</v>
      </c>
      <c r="P1223" s="2" t="s">
        <v>8315</v>
      </c>
      <c r="Q1223" s="2" t="s">
        <v>8316</v>
      </c>
      <c r="R1223" s="2" t="s">
        <v>8317</v>
      </c>
      <c r="S1223" s="2" t="s">
        <v>50</v>
      </c>
      <c r="T1223" s="2" t="s">
        <v>229</v>
      </c>
      <c r="U1223" s="2" t="s">
        <v>230</v>
      </c>
      <c r="V1223" s="2" t="s">
        <v>42</v>
      </c>
      <c r="W1223" s="2">
        <v>56.1</v>
      </c>
      <c r="X1223" s="2">
        <v>86.8</v>
      </c>
      <c r="Y1223" s="2" t="s">
        <v>751</v>
      </c>
      <c r="Z1223" s="2" t="s">
        <v>8318</v>
      </c>
      <c r="AA1223" s="2">
        <v>-0.58802271047087196</v>
      </c>
      <c r="AB1223" s="2">
        <v>0.634562450992186</v>
      </c>
      <c r="AC1223" s="2">
        <v>121962.25057933699</v>
      </c>
      <c r="AD1223" s="2">
        <v>94305.5169437062</v>
      </c>
      <c r="AE1223" s="2">
        <v>126444.07373733001</v>
      </c>
      <c r="AF1223" s="2">
        <v>117402.63154959799</v>
      </c>
      <c r="AG1223" s="2">
        <v>117778.665537394</v>
      </c>
      <c r="AH1223" s="2">
        <v>118386.90963374</v>
      </c>
      <c r="AI1223" s="2">
        <v>122870.851814543</v>
      </c>
      <c r="AJ1223" s="2">
        <v>128890.371203417</v>
      </c>
      <c r="AK1223" s="2">
        <v>89636.276928168605</v>
      </c>
      <c r="AL1223" s="2">
        <v>96355.307027269097</v>
      </c>
      <c r="AM1223" s="2">
        <v>100762.07733936999</v>
      </c>
      <c r="AN1223" s="2">
        <v>90458.590797032593</v>
      </c>
      <c r="AO1223" s="2">
        <v>96674.508818759001</v>
      </c>
      <c r="AP1223" s="2">
        <v>91946.340751638098</v>
      </c>
    </row>
    <row r="1224" spans="1:42" ht="14.5" x14ac:dyDescent="0.35">
      <c r="A1224" s="2" t="s">
        <v>8319</v>
      </c>
      <c r="B1224" s="2">
        <v>365.119641684616</v>
      </c>
      <c r="C1224" s="2">
        <v>3.9142333333333301</v>
      </c>
      <c r="D1224" s="2" t="s">
        <v>34</v>
      </c>
      <c r="E1224" s="2" t="s">
        <v>8320</v>
      </c>
      <c r="F1224" s="2">
        <v>534706</v>
      </c>
      <c r="G1224" s="3" t="str">
        <f>HYPERLINK("http://funmeta.oebiotech.com/network/534706", "http://funmeta.oebiotech.com/network/534706")</f>
        <v>http://funmeta.oebiotech.com/network/534706</v>
      </c>
      <c r="H1224" s="2"/>
      <c r="I1224" s="2">
        <v>985234</v>
      </c>
      <c r="J1224" s="2"/>
      <c r="K1224" s="2"/>
      <c r="L1224" s="2"/>
      <c r="M1224" s="2"/>
      <c r="N1224" s="2"/>
      <c r="O1224" s="2">
        <v>10065950</v>
      </c>
      <c r="P1224" s="2"/>
      <c r="Q1224" s="2" t="s">
        <v>8321</v>
      </c>
      <c r="R1224" s="2" t="s">
        <v>8322</v>
      </c>
      <c r="S1224" s="2" t="s">
        <v>115</v>
      </c>
      <c r="T1224" s="2" t="s">
        <v>1384</v>
      </c>
      <c r="U1224" s="2" t="s">
        <v>41</v>
      </c>
      <c r="V1224" s="2" t="s">
        <v>59</v>
      </c>
      <c r="W1224" s="2">
        <v>38.700000000000003</v>
      </c>
      <c r="X1224" s="2">
        <v>0</v>
      </c>
      <c r="Y1224" s="2" t="s">
        <v>323</v>
      </c>
      <c r="Z1224" s="2" t="s">
        <v>4716</v>
      </c>
      <c r="AA1224" s="2">
        <v>-3.05922577294128</v>
      </c>
      <c r="AB1224" s="2">
        <v>0.63408937405209798</v>
      </c>
      <c r="AC1224" s="2">
        <v>201428.64651042299</v>
      </c>
      <c r="AD1224" s="2">
        <v>167850.56677821101</v>
      </c>
      <c r="AE1224" s="2">
        <v>203394.55938473501</v>
      </c>
      <c r="AF1224" s="2">
        <v>210837.073167266</v>
      </c>
      <c r="AG1224" s="2">
        <v>214578.665136747</v>
      </c>
      <c r="AH1224" s="2">
        <v>189728.82408547401</v>
      </c>
      <c r="AI1224" s="2">
        <v>193757.42118269901</v>
      </c>
      <c r="AJ1224" s="2">
        <v>196275.33610561799</v>
      </c>
      <c r="AK1224" s="2">
        <v>180300.29925913701</v>
      </c>
      <c r="AL1224" s="2">
        <v>199168.68594739499</v>
      </c>
      <c r="AM1224" s="2">
        <v>157047.66058462899</v>
      </c>
      <c r="AN1224" s="2">
        <v>158157.43338831901</v>
      </c>
      <c r="AO1224" s="2">
        <v>147963.914960183</v>
      </c>
      <c r="AP1224" s="2">
        <v>164465.40652960399</v>
      </c>
    </row>
    <row r="1225" spans="1:42" ht="14.5" x14ac:dyDescent="0.35">
      <c r="A1225" s="2" t="s">
        <v>8323</v>
      </c>
      <c r="B1225" s="2">
        <v>570.34294332787101</v>
      </c>
      <c r="C1225" s="2">
        <v>8.2317499999999999</v>
      </c>
      <c r="D1225" s="2" t="s">
        <v>34</v>
      </c>
      <c r="E1225" s="2" t="s">
        <v>8324</v>
      </c>
      <c r="F1225" s="2">
        <v>198839</v>
      </c>
      <c r="G1225" s="3" t="str">
        <f>HYPERLINK("http://funmeta.oebiotech.com/network/198839", "http://funmeta.oebiotech.com/network/198839")</f>
        <v>http://funmeta.oebiotech.com/network/198839</v>
      </c>
      <c r="H1225" s="2" t="s">
        <v>8325</v>
      </c>
      <c r="I1225" s="2"/>
      <c r="J1225" s="2"/>
      <c r="K1225" s="2"/>
      <c r="L1225" s="2"/>
      <c r="M1225" s="2"/>
      <c r="N1225" s="2"/>
      <c r="O1225" s="2"/>
      <c r="P1225" s="2"/>
      <c r="Q1225" s="2" t="s">
        <v>8326</v>
      </c>
      <c r="R1225" s="2" t="s">
        <v>8327</v>
      </c>
      <c r="S1225" s="2" t="s">
        <v>41</v>
      </c>
      <c r="T1225" s="2" t="s">
        <v>41</v>
      </c>
      <c r="U1225" s="2" t="s">
        <v>41</v>
      </c>
      <c r="V1225" s="2" t="s">
        <v>59</v>
      </c>
      <c r="W1225" s="2">
        <v>44.7</v>
      </c>
      <c r="X1225" s="2">
        <v>33.4</v>
      </c>
      <c r="Y1225" s="2" t="s">
        <v>141</v>
      </c>
      <c r="Z1225" s="2" t="s">
        <v>8328</v>
      </c>
      <c r="AA1225" s="2">
        <v>0.70494272409325398</v>
      </c>
      <c r="AB1225" s="2">
        <v>0.63222061503492</v>
      </c>
      <c r="AC1225" s="2">
        <v>12778.4895308047</v>
      </c>
      <c r="AD1225" s="2">
        <v>39470.067473179697</v>
      </c>
      <c r="AE1225" s="2">
        <v>11960.691464005</v>
      </c>
      <c r="AF1225" s="2">
        <v>10639.2275368543</v>
      </c>
      <c r="AG1225" s="2">
        <v>13508.2114794837</v>
      </c>
      <c r="AH1225" s="2">
        <v>13589.717853054601</v>
      </c>
      <c r="AI1225" s="2">
        <v>13722.5114469894</v>
      </c>
      <c r="AJ1225" s="2">
        <v>13250.577404441399</v>
      </c>
      <c r="AK1225" s="2">
        <v>41228.171004094002</v>
      </c>
      <c r="AL1225" s="2">
        <v>37792.182495199697</v>
      </c>
      <c r="AM1225" s="2">
        <v>40495.5548916271</v>
      </c>
      <c r="AN1225" s="2">
        <v>35927.807392932998</v>
      </c>
      <c r="AO1225" s="2">
        <v>35883.949059993902</v>
      </c>
      <c r="AP1225" s="2">
        <v>45492.739995230702</v>
      </c>
    </row>
    <row r="1226" spans="1:42" ht="14.5" x14ac:dyDescent="0.35">
      <c r="A1226" s="2" t="s">
        <v>8329</v>
      </c>
      <c r="B1226" s="2">
        <v>441.19774414516002</v>
      </c>
      <c r="C1226" s="2">
        <v>4.9166499999999997</v>
      </c>
      <c r="D1226" s="2" t="s">
        <v>70</v>
      </c>
      <c r="E1226" s="2" t="s">
        <v>8330</v>
      </c>
      <c r="F1226" s="2">
        <v>56171</v>
      </c>
      <c r="G1226" s="3" t="str">
        <f>HYPERLINK("http://funmeta.oebiotech.com/network/56171", "http://funmeta.oebiotech.com/network/56171")</f>
        <v>http://funmeta.oebiotech.com/network/56171</v>
      </c>
      <c r="H1226" s="2" t="s">
        <v>8331</v>
      </c>
      <c r="I1226" s="2">
        <v>87865</v>
      </c>
      <c r="J1226" s="2"/>
      <c r="K1226" s="2">
        <v>168578</v>
      </c>
      <c r="L1226" s="2"/>
      <c r="M1226" s="2"/>
      <c r="N1226" s="2"/>
      <c r="O1226" s="2">
        <v>131751182</v>
      </c>
      <c r="P1226" s="2" t="s">
        <v>8332</v>
      </c>
      <c r="Q1226" s="2" t="s">
        <v>8333</v>
      </c>
      <c r="R1226" s="2" t="s">
        <v>8334</v>
      </c>
      <c r="S1226" s="2" t="s">
        <v>50</v>
      </c>
      <c r="T1226" s="2" t="s">
        <v>229</v>
      </c>
      <c r="U1226" s="2" t="s">
        <v>230</v>
      </c>
      <c r="V1226" s="2" t="s">
        <v>42</v>
      </c>
      <c r="W1226" s="2">
        <v>51.7</v>
      </c>
      <c r="X1226" s="2">
        <v>58.5</v>
      </c>
      <c r="Y1226" s="2" t="s">
        <v>286</v>
      </c>
      <c r="Z1226" s="2" t="s">
        <v>8335</v>
      </c>
      <c r="AA1226" s="2">
        <v>-1.50093044000253E-2</v>
      </c>
      <c r="AB1226" s="2">
        <v>0.63221513465316304</v>
      </c>
      <c r="AC1226" s="2">
        <v>969669.94061333197</v>
      </c>
      <c r="AD1226" s="2">
        <v>919449.31515495002</v>
      </c>
      <c r="AE1226" s="2">
        <v>962677.304115523</v>
      </c>
      <c r="AF1226" s="2">
        <v>957590.35783236695</v>
      </c>
      <c r="AG1226" s="2">
        <v>948224.17314804799</v>
      </c>
      <c r="AH1226" s="2">
        <v>935459.75131486799</v>
      </c>
      <c r="AI1226" s="2">
        <v>952005.96764676797</v>
      </c>
      <c r="AJ1226" s="2">
        <v>1062062.08962242</v>
      </c>
      <c r="AK1226" s="2">
        <v>846047.84373688698</v>
      </c>
      <c r="AL1226" s="2">
        <v>976512.10534948902</v>
      </c>
      <c r="AM1226" s="2">
        <v>949925.81044711196</v>
      </c>
      <c r="AN1226" s="2">
        <v>906824.86517118395</v>
      </c>
      <c r="AO1226" s="2">
        <v>916922.86044024106</v>
      </c>
      <c r="AP1226" s="2">
        <v>920462.40578478505</v>
      </c>
    </row>
    <row r="1227" spans="1:42" ht="14.5" x14ac:dyDescent="0.35">
      <c r="A1227" s="2" t="s">
        <v>8336</v>
      </c>
      <c r="B1227" s="2">
        <v>1119.46460357147</v>
      </c>
      <c r="C1227" s="2">
        <v>7.0647833333333301</v>
      </c>
      <c r="D1227" s="2" t="s">
        <v>70</v>
      </c>
      <c r="E1227" s="2" t="s">
        <v>8337</v>
      </c>
      <c r="F1227" s="2">
        <v>257589</v>
      </c>
      <c r="G1227" s="3" t="str">
        <f>HYPERLINK("http://funmeta.oebiotech.com/network/257589", "http://funmeta.oebiotech.com/network/257589")</f>
        <v>http://funmeta.oebiotech.com/network/257589</v>
      </c>
      <c r="H1227" s="2" t="s">
        <v>8338</v>
      </c>
      <c r="I1227" s="2"/>
      <c r="J1227" s="2"/>
      <c r="K1227" s="2">
        <v>178199</v>
      </c>
      <c r="L1227" s="2"/>
      <c r="M1227" s="2"/>
      <c r="N1227" s="2"/>
      <c r="O1227" s="2">
        <v>137278711</v>
      </c>
      <c r="P1227" s="2"/>
      <c r="Q1227" s="2" t="s">
        <v>8339</v>
      </c>
      <c r="R1227" s="2" t="s">
        <v>8340</v>
      </c>
      <c r="S1227" s="2" t="s">
        <v>41</v>
      </c>
      <c r="T1227" s="2" t="s">
        <v>41</v>
      </c>
      <c r="U1227" s="2" t="s">
        <v>41</v>
      </c>
      <c r="V1227" s="2" t="s">
        <v>59</v>
      </c>
      <c r="W1227" s="2">
        <v>36.200000000000003</v>
      </c>
      <c r="X1227" s="2">
        <v>0</v>
      </c>
      <c r="Y1227" s="2" t="s">
        <v>560</v>
      </c>
      <c r="Z1227" s="2" t="s">
        <v>8341</v>
      </c>
      <c r="AA1227" s="2">
        <v>2.1325206341569101</v>
      </c>
      <c r="AB1227" s="2">
        <v>0.63190952402846301</v>
      </c>
      <c r="AC1227" s="2">
        <v>55190.505324168698</v>
      </c>
      <c r="AD1227" s="2">
        <v>27730.353437855902</v>
      </c>
      <c r="AE1227" s="2">
        <v>46207.912722163499</v>
      </c>
      <c r="AF1227" s="2">
        <v>54291.2272491275</v>
      </c>
      <c r="AG1227" s="2">
        <v>56221.213793834097</v>
      </c>
      <c r="AH1227" s="2">
        <v>55404.5616273837</v>
      </c>
      <c r="AI1227" s="2">
        <v>55710.811330110999</v>
      </c>
      <c r="AJ1227" s="2">
        <v>63307.305222392599</v>
      </c>
      <c r="AK1227" s="2">
        <v>34584.985982231097</v>
      </c>
      <c r="AL1227" s="2">
        <v>25236.6319063595</v>
      </c>
      <c r="AM1227" s="2">
        <v>29173.633082868098</v>
      </c>
      <c r="AN1227" s="2">
        <v>26830.5128928827</v>
      </c>
      <c r="AO1227" s="2">
        <v>24384.764034317199</v>
      </c>
      <c r="AP1227" s="2">
        <v>26171.5927284768</v>
      </c>
    </row>
    <row r="1228" spans="1:42" ht="14.5" x14ac:dyDescent="0.35">
      <c r="A1228" s="2" t="s">
        <v>8342</v>
      </c>
      <c r="B1228" s="2">
        <v>461.28946889761198</v>
      </c>
      <c r="C1228" s="2">
        <v>10.208399999999999</v>
      </c>
      <c r="D1228" s="2" t="s">
        <v>34</v>
      </c>
      <c r="E1228" s="2" t="s">
        <v>8343</v>
      </c>
      <c r="F1228" s="2">
        <v>250118</v>
      </c>
      <c r="G1228" s="3" t="str">
        <f>HYPERLINK("http://funmeta.oebiotech.com/network/250118", "http://funmeta.oebiotech.com/network/250118")</f>
        <v>http://funmeta.oebiotech.com/network/250118</v>
      </c>
      <c r="H1228" s="2" t="s">
        <v>8344</v>
      </c>
      <c r="I1228" s="2"/>
      <c r="J1228" s="2"/>
      <c r="K1228" s="2"/>
      <c r="L1228" s="2"/>
      <c r="M1228" s="2"/>
      <c r="N1228" s="2"/>
      <c r="O1228" s="2"/>
      <c r="P1228" s="2"/>
      <c r="Q1228" s="2" t="s">
        <v>8345</v>
      </c>
      <c r="R1228" s="2" t="s">
        <v>8346</v>
      </c>
      <c r="S1228" s="2" t="s">
        <v>41</v>
      </c>
      <c r="T1228" s="2" t="s">
        <v>41</v>
      </c>
      <c r="U1228" s="2" t="s">
        <v>41</v>
      </c>
      <c r="V1228" s="2" t="s">
        <v>59</v>
      </c>
      <c r="W1228" s="2">
        <v>46.8</v>
      </c>
      <c r="X1228" s="2">
        <v>40.700000000000003</v>
      </c>
      <c r="Y1228" s="2" t="s">
        <v>394</v>
      </c>
      <c r="Z1228" s="2" t="s">
        <v>3507</v>
      </c>
      <c r="AA1228" s="2">
        <v>-0.64424468613253805</v>
      </c>
      <c r="AB1228" s="2">
        <v>0.63151697653677397</v>
      </c>
      <c r="AC1228" s="2">
        <v>37796.541624851401</v>
      </c>
      <c r="AD1228" s="2">
        <v>11526.3919444154</v>
      </c>
      <c r="AE1228" s="2">
        <v>38534.718585496797</v>
      </c>
      <c r="AF1228" s="2">
        <v>36980.4415092626</v>
      </c>
      <c r="AG1228" s="2">
        <v>38808.719967201803</v>
      </c>
      <c r="AH1228" s="2">
        <v>35512.795503638903</v>
      </c>
      <c r="AI1228" s="2">
        <v>37860.181478038699</v>
      </c>
      <c r="AJ1228" s="2">
        <v>39082.3927054694</v>
      </c>
      <c r="AK1228" s="2">
        <v>10158.722613894</v>
      </c>
      <c r="AL1228" s="2">
        <v>13409.5961499845</v>
      </c>
      <c r="AM1228" s="2">
        <v>10347.21453551</v>
      </c>
      <c r="AN1228" s="2">
        <v>12329.684631337001</v>
      </c>
      <c r="AO1228" s="2">
        <v>12013.980402966899</v>
      </c>
      <c r="AP1228" s="2">
        <v>10899.153332800101</v>
      </c>
    </row>
    <row r="1229" spans="1:42" ht="14.5" x14ac:dyDescent="0.35">
      <c r="A1229" s="2" t="s">
        <v>8347</v>
      </c>
      <c r="B1229" s="2">
        <v>501.24747307441697</v>
      </c>
      <c r="C1229" s="2">
        <v>7.7545166666666701</v>
      </c>
      <c r="D1229" s="2" t="s">
        <v>34</v>
      </c>
      <c r="E1229" s="2" t="s">
        <v>8348</v>
      </c>
      <c r="F1229" s="2">
        <v>54959</v>
      </c>
      <c r="G1229" s="3" t="str">
        <f>HYPERLINK("http://funmeta.oebiotech.com/network/54959", "http://funmeta.oebiotech.com/network/54959")</f>
        <v>http://funmeta.oebiotech.com/network/54959</v>
      </c>
      <c r="H1229" s="2" t="s">
        <v>8349</v>
      </c>
      <c r="I1229" s="2">
        <v>86740</v>
      </c>
      <c r="J1229" s="2"/>
      <c r="K1229" s="2"/>
      <c r="L1229" s="2"/>
      <c r="M1229" s="2"/>
      <c r="N1229" s="2"/>
      <c r="O1229" s="2">
        <v>12304831</v>
      </c>
      <c r="P1229" s="2"/>
      <c r="Q1229" s="2" t="s">
        <v>8350</v>
      </c>
      <c r="R1229" s="2" t="s">
        <v>8351</v>
      </c>
      <c r="S1229" s="2" t="s">
        <v>50</v>
      </c>
      <c r="T1229" s="2" t="s">
        <v>124</v>
      </c>
      <c r="U1229" s="2" t="s">
        <v>567</v>
      </c>
      <c r="V1229" s="2" t="s">
        <v>59</v>
      </c>
      <c r="W1229" s="2">
        <v>41.7</v>
      </c>
      <c r="X1229" s="2">
        <v>22.2</v>
      </c>
      <c r="Y1229" s="2" t="s">
        <v>394</v>
      </c>
      <c r="Z1229" s="2" t="s">
        <v>8352</v>
      </c>
      <c r="AA1229" s="2">
        <v>-1.6421455925950901</v>
      </c>
      <c r="AB1229" s="2">
        <v>0.63141964466419098</v>
      </c>
      <c r="AC1229" s="2">
        <v>34756.6150282948</v>
      </c>
      <c r="AD1229" s="2">
        <v>8125.2651661699301</v>
      </c>
      <c r="AE1229" s="2">
        <v>31229.636202330799</v>
      </c>
      <c r="AF1229" s="2">
        <v>33009.457856259403</v>
      </c>
      <c r="AG1229" s="2">
        <v>31786.7018403574</v>
      </c>
      <c r="AH1229" s="2">
        <v>35033.303628376801</v>
      </c>
      <c r="AI1229" s="2">
        <v>39111.410835639901</v>
      </c>
      <c r="AJ1229" s="2">
        <v>38369.179806804401</v>
      </c>
      <c r="AK1229" s="2">
        <v>6514.9513506765798</v>
      </c>
      <c r="AL1229" s="2">
        <v>8503.0926316760906</v>
      </c>
      <c r="AM1229" s="2">
        <v>10013.9313156803</v>
      </c>
      <c r="AN1229" s="2">
        <v>7814.5216112238104</v>
      </c>
      <c r="AO1229" s="2">
        <v>7259.5959285981899</v>
      </c>
      <c r="AP1229" s="2">
        <v>8645.4981591645992</v>
      </c>
    </row>
    <row r="1230" spans="1:42" ht="14.5" x14ac:dyDescent="0.35">
      <c r="A1230" s="2" t="s">
        <v>8353</v>
      </c>
      <c r="B1230" s="2">
        <v>629.12766819996705</v>
      </c>
      <c r="C1230" s="2">
        <v>4.7931333333333299</v>
      </c>
      <c r="D1230" s="2" t="s">
        <v>70</v>
      </c>
      <c r="E1230" s="2" t="s">
        <v>8354</v>
      </c>
      <c r="F1230" s="2">
        <v>257265</v>
      </c>
      <c r="G1230" s="3" t="str">
        <f>HYPERLINK("http://funmeta.oebiotech.com/network/257265", "http://funmeta.oebiotech.com/network/257265")</f>
        <v>http://funmeta.oebiotech.com/network/257265</v>
      </c>
      <c r="H1230" s="2" t="s">
        <v>8355</v>
      </c>
      <c r="I1230" s="2"/>
      <c r="J1230" s="2"/>
      <c r="K1230" s="2"/>
      <c r="L1230" s="2"/>
      <c r="M1230" s="2"/>
      <c r="N1230" s="2"/>
      <c r="O1230" s="2">
        <v>167642</v>
      </c>
      <c r="P1230" s="2"/>
      <c r="Q1230" s="2" t="s">
        <v>8356</v>
      </c>
      <c r="R1230" s="2" t="s">
        <v>8357</v>
      </c>
      <c r="S1230" s="2" t="s">
        <v>115</v>
      </c>
      <c r="T1230" s="2" t="s">
        <v>139</v>
      </c>
      <c r="U1230" s="2" t="s">
        <v>140</v>
      </c>
      <c r="V1230" s="2" t="s">
        <v>59</v>
      </c>
      <c r="W1230" s="2">
        <v>37.299999999999997</v>
      </c>
      <c r="X1230" s="2">
        <v>0</v>
      </c>
      <c r="Y1230" s="2" t="s">
        <v>118</v>
      </c>
      <c r="Z1230" s="2" t="s">
        <v>8358</v>
      </c>
      <c r="AA1230" s="2">
        <v>-0.32271744196104701</v>
      </c>
      <c r="AB1230" s="2">
        <v>0.63118591514950395</v>
      </c>
      <c r="AC1230" s="2">
        <v>62800.665128613196</v>
      </c>
      <c r="AD1230" s="2">
        <v>35720.204814702003</v>
      </c>
      <c r="AE1230" s="2">
        <v>67413.482478456106</v>
      </c>
      <c r="AF1230" s="2">
        <v>59556.350636340598</v>
      </c>
      <c r="AG1230" s="2">
        <v>56747.404155123302</v>
      </c>
      <c r="AH1230" s="2">
        <v>67769.047959828196</v>
      </c>
      <c r="AI1230" s="2">
        <v>59842.368059316999</v>
      </c>
      <c r="AJ1230" s="2">
        <v>65475.337482614101</v>
      </c>
      <c r="AK1230" s="2">
        <v>32598.103593063399</v>
      </c>
      <c r="AL1230" s="2">
        <v>38373.556866619103</v>
      </c>
      <c r="AM1230" s="2">
        <v>39385.801403529498</v>
      </c>
      <c r="AN1230" s="2">
        <v>30735.755678363101</v>
      </c>
      <c r="AO1230" s="2">
        <v>36073.423527702696</v>
      </c>
      <c r="AP1230" s="2">
        <v>37154.587818934102</v>
      </c>
    </row>
    <row r="1231" spans="1:42" ht="14.5" x14ac:dyDescent="0.35">
      <c r="A1231" s="2" t="s">
        <v>8359</v>
      </c>
      <c r="B1231" s="2">
        <v>590.335060478076</v>
      </c>
      <c r="C1231" s="2">
        <v>5.7044666666666703</v>
      </c>
      <c r="D1231" s="2" t="s">
        <v>34</v>
      </c>
      <c r="E1231" s="2" t="s">
        <v>8360</v>
      </c>
      <c r="F1231" s="2">
        <v>59796</v>
      </c>
      <c r="G1231" s="3" t="str">
        <f>HYPERLINK("http://funmeta.oebiotech.com/network/59796", "http://funmeta.oebiotech.com/network/59796")</f>
        <v>http://funmeta.oebiotech.com/network/59796</v>
      </c>
      <c r="H1231" s="2" t="s">
        <v>8361</v>
      </c>
      <c r="I1231" s="2">
        <v>91172</v>
      </c>
      <c r="J1231" s="2"/>
      <c r="K1231" s="2"/>
      <c r="L1231" s="2"/>
      <c r="M1231" s="2"/>
      <c r="N1231" s="2"/>
      <c r="O1231" s="2">
        <v>73657194</v>
      </c>
      <c r="P1231" s="2" t="s">
        <v>8362</v>
      </c>
      <c r="Q1231" s="2" t="s">
        <v>8363</v>
      </c>
      <c r="R1231" s="2" t="s">
        <v>8364</v>
      </c>
      <c r="S1231" s="2" t="s">
        <v>50</v>
      </c>
      <c r="T1231" s="2" t="s">
        <v>201</v>
      </c>
      <c r="U1231" s="2" t="s">
        <v>210</v>
      </c>
      <c r="V1231" s="2" t="s">
        <v>59</v>
      </c>
      <c r="W1231" s="2">
        <v>39.200000000000003</v>
      </c>
      <c r="X1231" s="2">
        <v>12</v>
      </c>
      <c r="Y1231" s="2" t="s">
        <v>43</v>
      </c>
      <c r="Z1231" s="2" t="s">
        <v>8365</v>
      </c>
      <c r="AA1231" s="2">
        <v>4.7212438975022897</v>
      </c>
      <c r="AB1231" s="2">
        <v>0.63104209283661294</v>
      </c>
      <c r="AC1231" s="2">
        <v>294185.08186365501</v>
      </c>
      <c r="AD1231" s="2">
        <v>255235.04552508399</v>
      </c>
      <c r="AE1231" s="2">
        <v>284848.27467313601</v>
      </c>
      <c r="AF1231" s="2">
        <v>291510.35922971502</v>
      </c>
      <c r="AG1231" s="2">
        <v>289376.42288008798</v>
      </c>
      <c r="AH1231" s="2">
        <v>324817.61016148003</v>
      </c>
      <c r="AI1231" s="2">
        <v>318538.32168802002</v>
      </c>
      <c r="AJ1231" s="2">
        <v>256019.50254949101</v>
      </c>
      <c r="AK1231" s="2">
        <v>247514.37787547099</v>
      </c>
      <c r="AL1231" s="2">
        <v>243698.00884608299</v>
      </c>
      <c r="AM1231" s="2">
        <v>295215.94163498399</v>
      </c>
      <c r="AN1231" s="2">
        <v>253467.61959282801</v>
      </c>
      <c r="AO1231" s="2">
        <v>235042.08932240101</v>
      </c>
      <c r="AP1231" s="2">
        <v>256472.23587873901</v>
      </c>
    </row>
    <row r="1232" spans="1:42" ht="14.5" x14ac:dyDescent="0.35">
      <c r="A1232" s="2" t="s">
        <v>8366</v>
      </c>
      <c r="B1232" s="2">
        <v>365.11024113433803</v>
      </c>
      <c r="C1232" s="2">
        <v>4.1925499999999998</v>
      </c>
      <c r="D1232" s="2" t="s">
        <v>34</v>
      </c>
      <c r="E1232" s="2" t="s">
        <v>8367</v>
      </c>
      <c r="F1232" s="2">
        <v>209578</v>
      </c>
      <c r="G1232" s="3" t="str">
        <f>HYPERLINK("http://funmeta.oebiotech.com/network/209578", "http://funmeta.oebiotech.com/network/209578")</f>
        <v>http://funmeta.oebiotech.com/network/209578</v>
      </c>
      <c r="H1232" s="2" t="s">
        <v>8368</v>
      </c>
      <c r="I1232" s="2"/>
      <c r="J1232" s="2"/>
      <c r="K1232" s="2"/>
      <c r="L1232" s="2"/>
      <c r="M1232" s="2"/>
      <c r="N1232" s="2"/>
      <c r="O1232" s="2">
        <v>72006</v>
      </c>
      <c r="P1232" s="2"/>
      <c r="Q1232" s="2" t="s">
        <v>8369</v>
      </c>
      <c r="R1232" s="2" t="s">
        <v>8370</v>
      </c>
      <c r="S1232" s="2" t="s">
        <v>491</v>
      </c>
      <c r="T1232" s="2" t="s">
        <v>2251</v>
      </c>
      <c r="U1232" s="2" t="s">
        <v>2252</v>
      </c>
      <c r="V1232" s="2" t="s">
        <v>59</v>
      </c>
      <c r="W1232" s="2">
        <v>38.200000000000003</v>
      </c>
      <c r="X1232" s="2">
        <v>0</v>
      </c>
      <c r="Y1232" s="2" t="s">
        <v>340</v>
      </c>
      <c r="Z1232" s="2" t="s">
        <v>8371</v>
      </c>
      <c r="AA1232" s="2">
        <v>-2.1566240551220801</v>
      </c>
      <c r="AB1232" s="2">
        <v>0.63103421640266399</v>
      </c>
      <c r="AC1232" s="2">
        <v>248018.34068641899</v>
      </c>
      <c r="AD1232" s="2">
        <v>218610.51084444401</v>
      </c>
      <c r="AE1232" s="2">
        <v>243755.599280489</v>
      </c>
      <c r="AF1232" s="2">
        <v>247633.69306652001</v>
      </c>
      <c r="AG1232" s="2">
        <v>262737.16317503399</v>
      </c>
      <c r="AH1232" s="2">
        <v>245259.851104264</v>
      </c>
      <c r="AI1232" s="2">
        <v>252467.95847427601</v>
      </c>
      <c r="AJ1232" s="2">
        <v>236255.77901793001</v>
      </c>
      <c r="AK1232" s="2">
        <v>230936.58254055199</v>
      </c>
      <c r="AL1232" s="2">
        <v>207917.507257085</v>
      </c>
      <c r="AM1232" s="2">
        <v>216332.63982938699</v>
      </c>
      <c r="AN1232" s="2">
        <v>215564.32473718299</v>
      </c>
      <c r="AO1232" s="2">
        <v>220375.92175481399</v>
      </c>
      <c r="AP1232" s="2">
        <v>220536.08894764099</v>
      </c>
    </row>
    <row r="1233" spans="1:42" ht="14.5" x14ac:dyDescent="0.35">
      <c r="A1233" s="2" t="s">
        <v>8372</v>
      </c>
      <c r="B1233" s="2">
        <v>921.52261054830296</v>
      </c>
      <c r="C1233" s="2">
        <v>5.2179000000000002</v>
      </c>
      <c r="D1233" s="2" t="s">
        <v>34</v>
      </c>
      <c r="E1233" s="2" t="s">
        <v>8373</v>
      </c>
      <c r="F1233" s="2">
        <v>228772</v>
      </c>
      <c r="G1233" s="3" t="str">
        <f>HYPERLINK("http://funmeta.oebiotech.com/network/228772", "http://funmeta.oebiotech.com/network/228772")</f>
        <v>http://funmeta.oebiotech.com/network/228772</v>
      </c>
      <c r="H1233" s="2" t="s">
        <v>8374</v>
      </c>
      <c r="I1233" s="2"/>
      <c r="J1233" s="2"/>
      <c r="K1233" s="2"/>
      <c r="L1233" s="2"/>
      <c r="M1233" s="2"/>
      <c r="N1233" s="2"/>
      <c r="O1233" s="2"/>
      <c r="P1233" s="2"/>
      <c r="Q1233" s="2" t="s">
        <v>8375</v>
      </c>
      <c r="R1233" s="2" t="s">
        <v>8376</v>
      </c>
      <c r="S1233" s="2" t="s">
        <v>41</v>
      </c>
      <c r="T1233" s="2" t="s">
        <v>41</v>
      </c>
      <c r="U1233" s="2" t="s">
        <v>41</v>
      </c>
      <c r="V1233" s="2" t="s">
        <v>59</v>
      </c>
      <c r="W1233" s="2">
        <v>37.9</v>
      </c>
      <c r="X1233" s="2">
        <v>0</v>
      </c>
      <c r="Y1233" s="2" t="s">
        <v>376</v>
      </c>
      <c r="Z1233" s="2" t="s">
        <v>8377</v>
      </c>
      <c r="AA1233" s="2">
        <v>-0.26794702862064201</v>
      </c>
      <c r="AB1233" s="2">
        <v>0.63074845147534797</v>
      </c>
      <c r="AC1233" s="2">
        <v>309021.69615306298</v>
      </c>
      <c r="AD1233" s="2">
        <v>351652.64321165101</v>
      </c>
      <c r="AE1233" s="2">
        <v>319738.95393774001</v>
      </c>
      <c r="AF1233" s="2">
        <v>348328.108213728</v>
      </c>
      <c r="AG1233" s="2">
        <v>297244.02332980902</v>
      </c>
      <c r="AH1233" s="2">
        <v>308447.38959503698</v>
      </c>
      <c r="AI1233" s="2">
        <v>301752.79082140903</v>
      </c>
      <c r="AJ1233" s="2">
        <v>278618.91102065699</v>
      </c>
      <c r="AK1233" s="2">
        <v>300962.356993158</v>
      </c>
      <c r="AL1233" s="2">
        <v>341327.50729532301</v>
      </c>
      <c r="AM1233" s="2">
        <v>386324.74595747498</v>
      </c>
      <c r="AN1233" s="2">
        <v>378168.23504965001</v>
      </c>
      <c r="AO1233" s="2">
        <v>382122.81298248301</v>
      </c>
      <c r="AP1233" s="2">
        <v>321010.20099181897</v>
      </c>
    </row>
    <row r="1234" spans="1:42" ht="14.5" x14ac:dyDescent="0.35">
      <c r="A1234" s="2" t="s">
        <v>8378</v>
      </c>
      <c r="B1234" s="2">
        <v>225.06084127973199</v>
      </c>
      <c r="C1234" s="2">
        <v>0.69308333333333305</v>
      </c>
      <c r="D1234" s="2" t="s">
        <v>70</v>
      </c>
      <c r="E1234" s="2" t="s">
        <v>8379</v>
      </c>
      <c r="F1234" s="2">
        <v>197050</v>
      </c>
      <c r="G1234" s="3" t="str">
        <f>HYPERLINK("http://funmeta.oebiotech.com/network/197050", "http://funmeta.oebiotech.com/network/197050")</f>
        <v>http://funmeta.oebiotech.com/network/197050</v>
      </c>
      <c r="H1234" s="2" t="s">
        <v>8380</v>
      </c>
      <c r="I1234" s="2"/>
      <c r="J1234" s="2"/>
      <c r="K1234" s="2">
        <v>59201</v>
      </c>
      <c r="L1234" s="2"/>
      <c r="M1234" s="2"/>
      <c r="N1234" s="2"/>
      <c r="O1234" s="2">
        <v>61888</v>
      </c>
      <c r="P1234" s="2"/>
      <c r="Q1234" s="2" t="s">
        <v>8381</v>
      </c>
      <c r="R1234" s="2" t="s">
        <v>8382</v>
      </c>
      <c r="S1234" s="2" t="s">
        <v>79</v>
      </c>
      <c r="T1234" s="2" t="s">
        <v>80</v>
      </c>
      <c r="U1234" s="2" t="s">
        <v>81</v>
      </c>
      <c r="V1234" s="2" t="s">
        <v>59</v>
      </c>
      <c r="W1234" s="2">
        <v>46.3</v>
      </c>
      <c r="X1234" s="2">
        <v>37.200000000000003</v>
      </c>
      <c r="Y1234" s="2" t="s">
        <v>498</v>
      </c>
      <c r="Z1234" s="2" t="s">
        <v>8383</v>
      </c>
      <c r="AA1234" s="2">
        <v>-3.3162183560082101</v>
      </c>
      <c r="AB1234" s="2">
        <v>0.63055112648426204</v>
      </c>
      <c r="AC1234" s="2">
        <v>439970.93454100698</v>
      </c>
      <c r="AD1234" s="2">
        <v>494800.41982806998</v>
      </c>
      <c r="AE1234" s="2">
        <v>361620.14287312399</v>
      </c>
      <c r="AF1234" s="2">
        <v>525318.97396494797</v>
      </c>
      <c r="AG1234" s="2">
        <v>407434.54230788001</v>
      </c>
      <c r="AH1234" s="2">
        <v>467051.34738521301</v>
      </c>
      <c r="AI1234" s="2">
        <v>473334.25825413602</v>
      </c>
      <c r="AJ1234" s="2">
        <v>405066.342460741</v>
      </c>
      <c r="AK1234" s="2">
        <v>469441.11375207599</v>
      </c>
      <c r="AL1234" s="2">
        <v>451108.90022974199</v>
      </c>
      <c r="AM1234" s="2">
        <v>452497.26584623603</v>
      </c>
      <c r="AN1234" s="2">
        <v>565216.24450203904</v>
      </c>
      <c r="AO1234" s="2">
        <v>563224.88920851704</v>
      </c>
      <c r="AP1234" s="2">
        <v>467314.10542980698</v>
      </c>
    </row>
    <row r="1235" spans="1:42" ht="14.5" x14ac:dyDescent="0.35">
      <c r="A1235" s="2" t="s">
        <v>8384</v>
      </c>
      <c r="B1235" s="2">
        <v>404.10982139003897</v>
      </c>
      <c r="C1235" s="2">
        <v>4.1877333333333304</v>
      </c>
      <c r="D1235" s="2" t="s">
        <v>70</v>
      </c>
      <c r="E1235" s="2" t="s">
        <v>8385</v>
      </c>
      <c r="F1235" s="2">
        <v>213304</v>
      </c>
      <c r="G1235" s="3" t="str">
        <f>HYPERLINK("http://funmeta.oebiotech.com/network/213304", "http://funmeta.oebiotech.com/network/213304")</f>
        <v>http://funmeta.oebiotech.com/network/213304</v>
      </c>
      <c r="H1235" s="2" t="s">
        <v>8386</v>
      </c>
      <c r="I1235" s="2"/>
      <c r="J1235" s="2"/>
      <c r="K1235" s="2"/>
      <c r="L1235" s="2"/>
      <c r="M1235" s="2"/>
      <c r="N1235" s="2"/>
      <c r="O1235" s="2"/>
      <c r="P1235" s="2"/>
      <c r="Q1235" s="2" t="s">
        <v>8387</v>
      </c>
      <c r="R1235" s="2" t="s">
        <v>8388</v>
      </c>
      <c r="S1235" s="2" t="s">
        <v>41</v>
      </c>
      <c r="T1235" s="2" t="s">
        <v>41</v>
      </c>
      <c r="U1235" s="2" t="s">
        <v>41</v>
      </c>
      <c r="V1235" s="2" t="s">
        <v>59</v>
      </c>
      <c r="W1235" s="2">
        <v>38.299999999999997</v>
      </c>
      <c r="X1235" s="2">
        <v>0</v>
      </c>
      <c r="Y1235" s="2" t="s">
        <v>1654</v>
      </c>
      <c r="Z1235" s="2" t="s">
        <v>8389</v>
      </c>
      <c r="AA1235" s="2">
        <v>-0.32512697310056399</v>
      </c>
      <c r="AB1235" s="2">
        <v>0.63053342318871997</v>
      </c>
      <c r="AC1235" s="2">
        <v>59583.886091251799</v>
      </c>
      <c r="AD1235" s="2">
        <v>31910.649957178299</v>
      </c>
      <c r="AE1235" s="2">
        <v>64327.176649105502</v>
      </c>
      <c r="AF1235" s="2">
        <v>50319.5506435231</v>
      </c>
      <c r="AG1235" s="2">
        <v>70716.1186271513</v>
      </c>
      <c r="AH1235" s="2">
        <v>61289.059973094598</v>
      </c>
      <c r="AI1235" s="2">
        <v>52834.920503852998</v>
      </c>
      <c r="AJ1235" s="2">
        <v>58016.4901507834</v>
      </c>
      <c r="AK1235" s="2">
        <v>30035.360208885701</v>
      </c>
      <c r="AL1235" s="2">
        <v>34308.9936640054</v>
      </c>
      <c r="AM1235" s="2">
        <v>33852.613117960602</v>
      </c>
      <c r="AN1235" s="2">
        <v>28364.7620550965</v>
      </c>
      <c r="AO1235" s="2">
        <v>31672.074480164301</v>
      </c>
      <c r="AP1235" s="2">
        <v>33230.096216957398</v>
      </c>
    </row>
    <row r="1236" spans="1:42" ht="14.5" x14ac:dyDescent="0.35">
      <c r="A1236" s="2" t="s">
        <v>8390</v>
      </c>
      <c r="B1236" s="2">
        <v>319.22624563545099</v>
      </c>
      <c r="C1236" s="2">
        <v>6.8884333333333299</v>
      </c>
      <c r="D1236" s="2" t="s">
        <v>34</v>
      </c>
      <c r="E1236" s="2" t="s">
        <v>8391</v>
      </c>
      <c r="F1236" s="2">
        <v>267530</v>
      </c>
      <c r="G1236" s="3" t="str">
        <f>HYPERLINK("http://funmeta.oebiotech.com/network/267530", "http://funmeta.oebiotech.com/network/267530")</f>
        <v>http://funmeta.oebiotech.com/network/267530</v>
      </c>
      <c r="H1236" s="2"/>
      <c r="I1236" s="2">
        <v>45631</v>
      </c>
      <c r="J1236" s="2"/>
      <c r="K1236" s="2"/>
      <c r="L1236" s="2"/>
      <c r="M1236" s="2"/>
      <c r="N1236" s="2"/>
      <c r="O1236" s="2">
        <v>58713917</v>
      </c>
      <c r="P1236" s="2"/>
      <c r="Q1236" s="2" t="s">
        <v>8392</v>
      </c>
      <c r="R1236" s="2" t="s">
        <v>8393</v>
      </c>
      <c r="S1236" s="2" t="s">
        <v>50</v>
      </c>
      <c r="T1236" s="2" t="s">
        <v>229</v>
      </c>
      <c r="U1236" s="2" t="s">
        <v>766</v>
      </c>
      <c r="V1236" s="2" t="s">
        <v>42</v>
      </c>
      <c r="W1236" s="2">
        <v>54.1</v>
      </c>
      <c r="X1236" s="2">
        <v>82</v>
      </c>
      <c r="Y1236" s="2" t="s">
        <v>394</v>
      </c>
      <c r="Z1236" s="2" t="s">
        <v>3739</v>
      </c>
      <c r="AA1236" s="2">
        <v>-1.6517445894667</v>
      </c>
      <c r="AB1236" s="2">
        <v>0.62994974039748397</v>
      </c>
      <c r="AC1236" s="2">
        <v>112468.62635826701</v>
      </c>
      <c r="AD1236" s="2">
        <v>85526.2026150335</v>
      </c>
      <c r="AE1236" s="2">
        <v>111009.945492806</v>
      </c>
      <c r="AF1236" s="2">
        <v>110527.635413314</v>
      </c>
      <c r="AG1236" s="2">
        <v>113829.628425469</v>
      </c>
      <c r="AH1236" s="2">
        <v>105984.10194773199</v>
      </c>
      <c r="AI1236" s="2">
        <v>111698.365052436</v>
      </c>
      <c r="AJ1236" s="2">
        <v>121762.08181784301</v>
      </c>
      <c r="AK1236" s="2">
        <v>88516.440800113007</v>
      </c>
      <c r="AL1236" s="2">
        <v>85959.140093551599</v>
      </c>
      <c r="AM1236" s="2">
        <v>86917.737555654297</v>
      </c>
      <c r="AN1236" s="2">
        <v>84015.453386936904</v>
      </c>
      <c r="AO1236" s="2">
        <v>84642.374653333507</v>
      </c>
      <c r="AP1236" s="2">
        <v>83106.069200611601</v>
      </c>
    </row>
    <row r="1237" spans="1:42" ht="14.5" x14ac:dyDescent="0.35">
      <c r="A1237" s="2" t="s">
        <v>8394</v>
      </c>
      <c r="B1237" s="2">
        <v>655.28169275108905</v>
      </c>
      <c r="C1237" s="2">
        <v>5.37571666666667</v>
      </c>
      <c r="D1237" s="2" t="s">
        <v>70</v>
      </c>
      <c r="E1237" s="2" t="s">
        <v>8395</v>
      </c>
      <c r="F1237" s="2">
        <v>65010</v>
      </c>
      <c r="G1237" s="3" t="str">
        <f>HYPERLINK("http://funmeta.oebiotech.com/network/65010", "http://funmeta.oebiotech.com/network/65010")</f>
        <v>http://funmeta.oebiotech.com/network/65010</v>
      </c>
      <c r="H1237" s="2" t="s">
        <v>8396</v>
      </c>
      <c r="I1237" s="2">
        <v>44330</v>
      </c>
      <c r="J1237" s="2"/>
      <c r="K1237" s="2"/>
      <c r="L1237" s="2"/>
      <c r="M1237" s="2"/>
      <c r="N1237" s="2"/>
      <c r="O1237" s="2">
        <v>5467</v>
      </c>
      <c r="P1237" s="2" t="s">
        <v>8397</v>
      </c>
      <c r="Q1237" s="2" t="s">
        <v>8398</v>
      </c>
      <c r="R1237" s="2" t="s">
        <v>8399</v>
      </c>
      <c r="S1237" s="2" t="s">
        <v>148</v>
      </c>
      <c r="T1237" s="2" t="s">
        <v>149</v>
      </c>
      <c r="U1237" s="2" t="s">
        <v>2102</v>
      </c>
      <c r="V1237" s="2" t="s">
        <v>59</v>
      </c>
      <c r="W1237" s="2">
        <v>37.1</v>
      </c>
      <c r="X1237" s="2">
        <v>0</v>
      </c>
      <c r="Y1237" s="2" t="s">
        <v>560</v>
      </c>
      <c r="Z1237" s="2" t="s">
        <v>8400</v>
      </c>
      <c r="AA1237" s="2">
        <v>-3.63760992378602</v>
      </c>
      <c r="AB1237" s="2">
        <v>0.62963575939592897</v>
      </c>
      <c r="AC1237" s="2">
        <v>50225.523948982198</v>
      </c>
      <c r="AD1237" s="2">
        <v>23383.905383746802</v>
      </c>
      <c r="AE1237" s="2">
        <v>50017.748581256499</v>
      </c>
      <c r="AF1237" s="2">
        <v>43665.346843204003</v>
      </c>
      <c r="AG1237" s="2">
        <v>54491.594334530302</v>
      </c>
      <c r="AH1237" s="2">
        <v>53067.567993627497</v>
      </c>
      <c r="AI1237" s="2">
        <v>45695.388542322798</v>
      </c>
      <c r="AJ1237" s="2">
        <v>54415.497398952197</v>
      </c>
      <c r="AK1237" s="2">
        <v>25858.504666192901</v>
      </c>
      <c r="AL1237" s="2">
        <v>23109.059939887498</v>
      </c>
      <c r="AM1237" s="2">
        <v>25740.236835439799</v>
      </c>
      <c r="AN1237" s="2">
        <v>25451.9283284634</v>
      </c>
      <c r="AO1237" s="2">
        <v>19492.480454107899</v>
      </c>
      <c r="AP1237" s="2">
        <v>20651.222078389099</v>
      </c>
    </row>
    <row r="1238" spans="1:42" ht="14.5" x14ac:dyDescent="0.35">
      <c r="A1238" s="2" t="s">
        <v>8401</v>
      </c>
      <c r="B1238" s="2">
        <v>367.13012078178502</v>
      </c>
      <c r="C1238" s="2">
        <v>5.4735333333333296</v>
      </c>
      <c r="D1238" s="2" t="s">
        <v>34</v>
      </c>
      <c r="E1238" s="2" t="s">
        <v>8402</v>
      </c>
      <c r="F1238" s="2">
        <v>64242</v>
      </c>
      <c r="G1238" s="3" t="str">
        <f>HYPERLINK("http://funmeta.oebiotech.com/network/64242", "http://funmeta.oebiotech.com/network/64242")</f>
        <v>http://funmeta.oebiotech.com/network/64242</v>
      </c>
      <c r="H1238" s="2" t="s">
        <v>8403</v>
      </c>
      <c r="I1238" s="2">
        <v>95565</v>
      </c>
      <c r="J1238" s="2"/>
      <c r="K1238" s="2"/>
      <c r="L1238" s="2"/>
      <c r="M1238" s="2"/>
      <c r="N1238" s="2"/>
      <c r="O1238" s="2">
        <v>101925925</v>
      </c>
      <c r="P1238" s="2" t="s">
        <v>8404</v>
      </c>
      <c r="Q1238" s="2" t="s">
        <v>8405</v>
      </c>
      <c r="R1238" s="2" t="s">
        <v>8406</v>
      </c>
      <c r="S1238" s="2" t="s">
        <v>115</v>
      </c>
      <c r="T1238" s="2" t="s">
        <v>758</v>
      </c>
      <c r="U1238" s="2" t="s">
        <v>41</v>
      </c>
      <c r="V1238" s="2" t="s">
        <v>59</v>
      </c>
      <c r="W1238" s="2">
        <v>38</v>
      </c>
      <c r="X1238" s="2">
        <v>0</v>
      </c>
      <c r="Y1238" s="2" t="s">
        <v>394</v>
      </c>
      <c r="Z1238" s="2" t="s">
        <v>8407</v>
      </c>
      <c r="AA1238" s="2">
        <v>-1.5218519853124299</v>
      </c>
      <c r="AB1238" s="2">
        <v>0.62953118372095296</v>
      </c>
      <c r="AC1238" s="2">
        <v>50117.048111858603</v>
      </c>
      <c r="AD1238" s="2">
        <v>76624.397945802499</v>
      </c>
      <c r="AE1238" s="2">
        <v>49023.432413096103</v>
      </c>
      <c r="AF1238" s="2">
        <v>50893.0215765147</v>
      </c>
      <c r="AG1238" s="2">
        <v>50754.550331043502</v>
      </c>
      <c r="AH1238" s="2">
        <v>46717.697329306997</v>
      </c>
      <c r="AI1238" s="2">
        <v>48969.0513852968</v>
      </c>
      <c r="AJ1238" s="2">
        <v>54344.535635893299</v>
      </c>
      <c r="AK1238" s="2">
        <v>73782.048691953096</v>
      </c>
      <c r="AL1238" s="2">
        <v>80577.116711374401</v>
      </c>
      <c r="AM1238" s="2">
        <v>78496.836437642502</v>
      </c>
      <c r="AN1238" s="2">
        <v>78502.637918869805</v>
      </c>
      <c r="AO1238" s="2">
        <v>72929.441862505206</v>
      </c>
      <c r="AP1238" s="2">
        <v>75458.306052469794</v>
      </c>
    </row>
    <row r="1239" spans="1:42" ht="14.5" x14ac:dyDescent="0.35">
      <c r="A1239" s="2" t="s">
        <v>8408</v>
      </c>
      <c r="B1239" s="2">
        <v>513.16092199963498</v>
      </c>
      <c r="C1239" s="2">
        <v>1.1665333333333301</v>
      </c>
      <c r="D1239" s="2" t="s">
        <v>70</v>
      </c>
      <c r="E1239" s="2" t="s">
        <v>8409</v>
      </c>
      <c r="F1239" s="2">
        <v>210574</v>
      </c>
      <c r="G1239" s="3" t="str">
        <f>HYPERLINK("http://funmeta.oebiotech.com/network/210574", "http://funmeta.oebiotech.com/network/210574")</f>
        <v>http://funmeta.oebiotech.com/network/210574</v>
      </c>
      <c r="H1239" s="2" t="s">
        <v>8410</v>
      </c>
      <c r="I1239" s="2"/>
      <c r="J1239" s="2"/>
      <c r="K1239" s="2"/>
      <c r="L1239" s="2"/>
      <c r="M1239" s="2"/>
      <c r="N1239" s="2"/>
      <c r="O1239" s="2">
        <v>14034911</v>
      </c>
      <c r="P1239" s="2"/>
      <c r="Q1239" s="2" t="s">
        <v>8411</v>
      </c>
      <c r="R1239" s="2" t="s">
        <v>8412</v>
      </c>
      <c r="S1239" s="2" t="s">
        <v>491</v>
      </c>
      <c r="T1239" s="2" t="s">
        <v>2251</v>
      </c>
      <c r="U1239" s="2" t="s">
        <v>2252</v>
      </c>
      <c r="V1239" s="2" t="s">
        <v>59</v>
      </c>
      <c r="W1239" s="2">
        <v>42.1</v>
      </c>
      <c r="X1239" s="2">
        <v>12.8</v>
      </c>
      <c r="Y1239" s="2" t="s">
        <v>408</v>
      </c>
      <c r="Z1239" s="2" t="s">
        <v>8413</v>
      </c>
      <c r="AA1239" s="2">
        <v>-0.94536162024533299</v>
      </c>
      <c r="AB1239" s="2">
        <v>0.62882134267015799</v>
      </c>
      <c r="AC1239" s="2">
        <v>137406.082255741</v>
      </c>
      <c r="AD1239" s="2">
        <v>109104.597547296</v>
      </c>
      <c r="AE1239" s="2">
        <v>138354.76924552099</v>
      </c>
      <c r="AF1239" s="2">
        <v>138243.883540852</v>
      </c>
      <c r="AG1239" s="2">
        <v>138147.01142726201</v>
      </c>
      <c r="AH1239" s="2">
        <v>138548.41675926701</v>
      </c>
      <c r="AI1239" s="2">
        <v>136344.65803847401</v>
      </c>
      <c r="AJ1239" s="2">
        <v>134797.75452306701</v>
      </c>
      <c r="AK1239" s="2">
        <v>101630.04630600099</v>
      </c>
      <c r="AL1239" s="2">
        <v>103561.663202126</v>
      </c>
      <c r="AM1239" s="2">
        <v>99753.363352789005</v>
      </c>
      <c r="AN1239" s="2">
        <v>108195.472786524</v>
      </c>
      <c r="AO1239" s="2">
        <v>120388.846208742</v>
      </c>
      <c r="AP1239" s="2">
        <v>121098.193427593</v>
      </c>
    </row>
    <row r="1240" spans="1:42" ht="14.5" x14ac:dyDescent="0.35">
      <c r="A1240" s="2" t="s">
        <v>8414</v>
      </c>
      <c r="B1240" s="2">
        <v>499.14538767285399</v>
      </c>
      <c r="C1240" s="2">
        <v>1.05673333333333</v>
      </c>
      <c r="D1240" s="2" t="s">
        <v>70</v>
      </c>
      <c r="E1240" s="2" t="s">
        <v>8415</v>
      </c>
      <c r="F1240" s="2">
        <v>209635</v>
      </c>
      <c r="G1240" s="3" t="str">
        <f>HYPERLINK("http://funmeta.oebiotech.com/network/209635", "http://funmeta.oebiotech.com/network/209635")</f>
        <v>http://funmeta.oebiotech.com/network/209635</v>
      </c>
      <c r="H1240" s="2" t="s">
        <v>8416</v>
      </c>
      <c r="I1240" s="2"/>
      <c r="J1240" s="2"/>
      <c r="K1240" s="2"/>
      <c r="L1240" s="2"/>
      <c r="M1240" s="2"/>
      <c r="N1240" s="2"/>
      <c r="O1240" s="2">
        <v>6794142</v>
      </c>
      <c r="P1240" s="2"/>
      <c r="Q1240" s="2" t="s">
        <v>8417</v>
      </c>
      <c r="R1240" s="2" t="s">
        <v>8418</v>
      </c>
      <c r="S1240" s="2" t="s">
        <v>491</v>
      </c>
      <c r="T1240" s="2" t="s">
        <v>8419</v>
      </c>
      <c r="U1240" s="2" t="s">
        <v>8420</v>
      </c>
      <c r="V1240" s="2" t="s">
        <v>59</v>
      </c>
      <c r="W1240" s="2">
        <v>41.5</v>
      </c>
      <c r="X1240" s="2">
        <v>19</v>
      </c>
      <c r="Y1240" s="2" t="s">
        <v>118</v>
      </c>
      <c r="Z1240" s="2" t="s">
        <v>8421</v>
      </c>
      <c r="AA1240" s="2">
        <v>-3.3274930790536401</v>
      </c>
      <c r="AB1240" s="2">
        <v>0.62862332715486102</v>
      </c>
      <c r="AC1240" s="2">
        <v>24866.249054953601</v>
      </c>
      <c r="AD1240" s="2">
        <v>53779.966349491799</v>
      </c>
      <c r="AE1240" s="2">
        <v>30336.5044090665</v>
      </c>
      <c r="AF1240" s="2">
        <v>24555.138917596702</v>
      </c>
      <c r="AG1240" s="2">
        <v>23603.478126185699</v>
      </c>
      <c r="AH1240" s="2">
        <v>24038.7919066627</v>
      </c>
      <c r="AI1240" s="2">
        <v>24806.625679054901</v>
      </c>
      <c r="AJ1240" s="2">
        <v>21856.9552911553</v>
      </c>
      <c r="AK1240" s="2">
        <v>49988.8220622156</v>
      </c>
      <c r="AL1240" s="2">
        <v>44401.995216778101</v>
      </c>
      <c r="AM1240" s="2">
        <v>58013.709169525398</v>
      </c>
      <c r="AN1240" s="2">
        <v>49420.7025705544</v>
      </c>
      <c r="AO1240" s="2">
        <v>73747.263489036704</v>
      </c>
      <c r="AP1240" s="2">
        <v>47107.305588840798</v>
      </c>
    </row>
    <row r="1241" spans="1:42" ht="14.5" x14ac:dyDescent="0.35">
      <c r="A1241" s="2" t="s">
        <v>8422</v>
      </c>
      <c r="B1241" s="2">
        <v>485.15029400254599</v>
      </c>
      <c r="C1241" s="2">
        <v>0.76995000000000002</v>
      </c>
      <c r="D1241" s="2" t="s">
        <v>70</v>
      </c>
      <c r="E1241" s="2" t="s">
        <v>8423</v>
      </c>
      <c r="F1241" s="2">
        <v>203852</v>
      </c>
      <c r="G1241" s="3" t="str">
        <f>HYPERLINK("http://funmeta.oebiotech.com/network/203852", "http://funmeta.oebiotech.com/network/203852")</f>
        <v>http://funmeta.oebiotech.com/network/203852</v>
      </c>
      <c r="H1241" s="2" t="s">
        <v>8424</v>
      </c>
      <c r="I1241" s="2"/>
      <c r="J1241" s="2"/>
      <c r="K1241" s="2"/>
      <c r="L1241" s="2"/>
      <c r="M1241" s="2"/>
      <c r="N1241" s="2"/>
      <c r="O1241" s="2">
        <v>137178910</v>
      </c>
      <c r="P1241" s="2"/>
      <c r="Q1241" s="2" t="s">
        <v>8425</v>
      </c>
      <c r="R1241" s="2" t="s">
        <v>8426</v>
      </c>
      <c r="S1241" s="2" t="s">
        <v>41</v>
      </c>
      <c r="T1241" s="2" t="s">
        <v>41</v>
      </c>
      <c r="U1241" s="2" t="s">
        <v>41</v>
      </c>
      <c r="V1241" s="2" t="s">
        <v>59</v>
      </c>
      <c r="W1241" s="2">
        <v>38.200000000000003</v>
      </c>
      <c r="X1241" s="2">
        <v>0</v>
      </c>
      <c r="Y1241" s="2" t="s">
        <v>408</v>
      </c>
      <c r="Z1241" s="2" t="s">
        <v>8427</v>
      </c>
      <c r="AA1241" s="2">
        <v>0.60175923326034797</v>
      </c>
      <c r="AB1241" s="2">
        <v>0.62761302297814803</v>
      </c>
      <c r="AC1241" s="2">
        <v>32061.616254978901</v>
      </c>
      <c r="AD1241" s="2">
        <v>63755.453008499397</v>
      </c>
      <c r="AE1241" s="2">
        <v>47671.817375868697</v>
      </c>
      <c r="AF1241" s="2">
        <v>21130.871346330001</v>
      </c>
      <c r="AG1241" s="2">
        <v>21180.877465271398</v>
      </c>
      <c r="AH1241" s="2">
        <v>33949.998187111501</v>
      </c>
      <c r="AI1241" s="2">
        <v>40155.6216746961</v>
      </c>
      <c r="AJ1241" s="2">
        <v>28280.5114805958</v>
      </c>
      <c r="AK1241" s="2">
        <v>66879.620153023701</v>
      </c>
      <c r="AL1241" s="2">
        <v>39002.407647313797</v>
      </c>
      <c r="AM1241" s="2">
        <v>66880.228083244903</v>
      </c>
      <c r="AN1241" s="2">
        <v>62121.029838975701</v>
      </c>
      <c r="AO1241" s="2">
        <v>64320.863693759398</v>
      </c>
      <c r="AP1241" s="2">
        <v>83328.568634679206</v>
      </c>
    </row>
    <row r="1242" spans="1:42" ht="14.5" x14ac:dyDescent="0.35">
      <c r="A1242" s="2" t="s">
        <v>8428</v>
      </c>
      <c r="B1242" s="2">
        <v>387.14477337575102</v>
      </c>
      <c r="C1242" s="2">
        <v>5.5431833333333298</v>
      </c>
      <c r="D1242" s="2" t="s">
        <v>70</v>
      </c>
      <c r="E1242" s="2" t="s">
        <v>8429</v>
      </c>
      <c r="F1242" s="2">
        <v>56054</v>
      </c>
      <c r="G1242" s="3" t="str">
        <f>HYPERLINK("http://funmeta.oebiotech.com/network/56054", "http://funmeta.oebiotech.com/network/56054")</f>
        <v>http://funmeta.oebiotech.com/network/56054</v>
      </c>
      <c r="H1242" s="2" t="s">
        <v>8430</v>
      </c>
      <c r="I1242" s="2">
        <v>87744</v>
      </c>
      <c r="J1242" s="2"/>
      <c r="K1242" s="2"/>
      <c r="L1242" s="2"/>
      <c r="M1242" s="2"/>
      <c r="N1242" s="2"/>
      <c r="O1242" s="2">
        <v>7710</v>
      </c>
      <c r="P1242" s="2" t="s">
        <v>8431</v>
      </c>
      <c r="Q1242" s="2" t="s">
        <v>8432</v>
      </c>
      <c r="R1242" s="2" t="s">
        <v>8433</v>
      </c>
      <c r="S1242" s="2" t="s">
        <v>115</v>
      </c>
      <c r="T1242" s="2" t="s">
        <v>575</v>
      </c>
      <c r="U1242" s="2" t="s">
        <v>4232</v>
      </c>
      <c r="V1242" s="2" t="s">
        <v>42</v>
      </c>
      <c r="W1242" s="2">
        <v>56.1</v>
      </c>
      <c r="X1242" s="2">
        <v>84</v>
      </c>
      <c r="Y1242" s="2" t="s">
        <v>408</v>
      </c>
      <c r="Z1242" s="2" t="s">
        <v>8434</v>
      </c>
      <c r="AA1242" s="2">
        <v>-0.44804634470177102</v>
      </c>
      <c r="AB1242" s="2">
        <v>0.62745744125190295</v>
      </c>
      <c r="AC1242" s="2">
        <v>263198.91891160503</v>
      </c>
      <c r="AD1242" s="2">
        <v>230023.235691977</v>
      </c>
      <c r="AE1242" s="2">
        <v>279362.12739724299</v>
      </c>
      <c r="AF1242" s="2">
        <v>234533.54758597599</v>
      </c>
      <c r="AG1242" s="2">
        <v>250755.5827045</v>
      </c>
      <c r="AH1242" s="2">
        <v>283502.73993981403</v>
      </c>
      <c r="AI1242" s="2">
        <v>263169.13200773101</v>
      </c>
      <c r="AJ1242" s="2">
        <v>267870.38383436401</v>
      </c>
      <c r="AK1242" s="2">
        <v>245043.910912502</v>
      </c>
      <c r="AL1242" s="2">
        <v>228605.827784856</v>
      </c>
      <c r="AM1242" s="2">
        <v>236810.53077360601</v>
      </c>
      <c r="AN1242" s="2">
        <v>220760.30825382401</v>
      </c>
      <c r="AO1242" s="2">
        <v>227927.066530971</v>
      </c>
      <c r="AP1242" s="2">
        <v>220991.769896101</v>
      </c>
    </row>
    <row r="1243" spans="1:42" ht="14.5" x14ac:dyDescent="0.35">
      <c r="A1243" s="2" t="s">
        <v>8435</v>
      </c>
      <c r="B1243" s="2">
        <v>487.21814406539397</v>
      </c>
      <c r="C1243" s="2">
        <v>4.2405333333333299</v>
      </c>
      <c r="D1243" s="2" t="s">
        <v>70</v>
      </c>
      <c r="E1243" s="2" t="s">
        <v>8436</v>
      </c>
      <c r="F1243" s="2">
        <v>211869</v>
      </c>
      <c r="G1243" s="3" t="str">
        <f>HYPERLINK("http://funmeta.oebiotech.com/network/211869", "http://funmeta.oebiotech.com/network/211869")</f>
        <v>http://funmeta.oebiotech.com/network/211869</v>
      </c>
      <c r="H1243" s="2" t="s">
        <v>8437</v>
      </c>
      <c r="I1243" s="2"/>
      <c r="J1243" s="2"/>
      <c r="K1243" s="2"/>
      <c r="L1243" s="2"/>
      <c r="M1243" s="2"/>
      <c r="N1243" s="2"/>
      <c r="O1243" s="2"/>
      <c r="P1243" s="2"/>
      <c r="Q1243" s="2" t="s">
        <v>8438</v>
      </c>
      <c r="R1243" s="2" t="s">
        <v>8439</v>
      </c>
      <c r="S1243" s="2" t="s">
        <v>41</v>
      </c>
      <c r="T1243" s="2" t="s">
        <v>41</v>
      </c>
      <c r="U1243" s="2" t="s">
        <v>41</v>
      </c>
      <c r="V1243" s="2" t="s">
        <v>59</v>
      </c>
      <c r="W1243" s="2">
        <v>43.2</v>
      </c>
      <c r="X1243" s="2">
        <v>33.5</v>
      </c>
      <c r="Y1243" s="2" t="s">
        <v>408</v>
      </c>
      <c r="Z1243" s="2" t="s">
        <v>8440</v>
      </c>
      <c r="AA1243" s="2">
        <v>4.8858885126832297</v>
      </c>
      <c r="AB1243" s="2">
        <v>0.62608752414950797</v>
      </c>
      <c r="AC1243" s="2">
        <v>73040.149538962607</v>
      </c>
      <c r="AD1243" s="2">
        <v>99654.411223870396</v>
      </c>
      <c r="AE1243" s="2">
        <v>77508.433612428402</v>
      </c>
      <c r="AF1243" s="2">
        <v>71478.1314521397</v>
      </c>
      <c r="AG1243" s="2">
        <v>68814.566162539399</v>
      </c>
      <c r="AH1243" s="2">
        <v>73880.352320386504</v>
      </c>
      <c r="AI1243" s="2">
        <v>70734.047534671001</v>
      </c>
      <c r="AJ1243" s="2">
        <v>75825.366151610404</v>
      </c>
      <c r="AK1243" s="2">
        <v>93764.499261909907</v>
      </c>
      <c r="AL1243" s="2">
        <v>97140.870168317502</v>
      </c>
      <c r="AM1243" s="2">
        <v>104438.26453385899</v>
      </c>
      <c r="AN1243" s="2">
        <v>105438.801560241</v>
      </c>
      <c r="AO1243" s="2">
        <v>97323.040467987594</v>
      </c>
      <c r="AP1243" s="2">
        <v>99820.991350907396</v>
      </c>
    </row>
    <row r="1244" spans="1:42" ht="14.5" x14ac:dyDescent="0.35">
      <c r="A1244" s="2" t="s">
        <v>8441</v>
      </c>
      <c r="B1244" s="2">
        <v>315.14119429969799</v>
      </c>
      <c r="C1244" s="2">
        <v>3.9315333333333302</v>
      </c>
      <c r="D1244" s="2" t="s">
        <v>34</v>
      </c>
      <c r="E1244" s="2" t="s">
        <v>8442</v>
      </c>
      <c r="F1244" s="2">
        <v>48631</v>
      </c>
      <c r="G1244" s="3" t="str">
        <f>HYPERLINK("http://funmeta.oebiotech.com/network/48631", "http://funmeta.oebiotech.com/network/48631")</f>
        <v>http://funmeta.oebiotech.com/network/48631</v>
      </c>
      <c r="H1244" s="2" t="s">
        <v>8443</v>
      </c>
      <c r="I1244" s="2">
        <v>58332</v>
      </c>
      <c r="J1244" s="2"/>
      <c r="K1244" s="2">
        <v>19702</v>
      </c>
      <c r="L1244" s="2"/>
      <c r="M1244" s="2"/>
      <c r="N1244" s="2"/>
      <c r="O1244" s="2">
        <v>3035422</v>
      </c>
      <c r="P1244" s="2" t="s">
        <v>8444</v>
      </c>
      <c r="Q1244" s="2" t="s">
        <v>8445</v>
      </c>
      <c r="R1244" s="2" t="s">
        <v>8446</v>
      </c>
      <c r="S1244" s="2" t="s">
        <v>1444</v>
      </c>
      <c r="T1244" s="2" t="s">
        <v>3595</v>
      </c>
      <c r="U1244" s="2" t="s">
        <v>41</v>
      </c>
      <c r="V1244" s="2" t="s">
        <v>59</v>
      </c>
      <c r="W1244" s="2">
        <v>40.299999999999997</v>
      </c>
      <c r="X1244" s="2">
        <v>2.87</v>
      </c>
      <c r="Y1244" s="2" t="s">
        <v>43</v>
      </c>
      <c r="Z1244" s="2" t="s">
        <v>8447</v>
      </c>
      <c r="AA1244" s="2">
        <v>0.16885093293314901</v>
      </c>
      <c r="AB1244" s="2">
        <v>0.62580813766624299</v>
      </c>
      <c r="AC1244" s="2">
        <v>106084.089115501</v>
      </c>
      <c r="AD1244" s="2">
        <v>134205.915182428</v>
      </c>
      <c r="AE1244" s="2">
        <v>103347.540703595</v>
      </c>
      <c r="AF1244" s="2">
        <v>109221.815708093</v>
      </c>
      <c r="AG1244" s="2">
        <v>108465.936219125</v>
      </c>
      <c r="AH1244" s="2">
        <v>97281.390434507295</v>
      </c>
      <c r="AI1244" s="2">
        <v>109632.78484093799</v>
      </c>
      <c r="AJ1244" s="2">
        <v>108555.066786749</v>
      </c>
      <c r="AK1244" s="2">
        <v>147542.836845382</v>
      </c>
      <c r="AL1244" s="2">
        <v>131825.05087875799</v>
      </c>
      <c r="AM1244" s="2">
        <v>135168.87182268</v>
      </c>
      <c r="AN1244" s="2">
        <v>128058.09913893401</v>
      </c>
      <c r="AO1244" s="2">
        <v>124094.01008389</v>
      </c>
      <c r="AP1244" s="2">
        <v>138546.62232492201</v>
      </c>
    </row>
    <row r="1245" spans="1:42" ht="14.5" x14ac:dyDescent="0.35">
      <c r="A1245" s="2" t="s">
        <v>8448</v>
      </c>
      <c r="B1245" s="2">
        <v>194.11732200323601</v>
      </c>
      <c r="C1245" s="2">
        <v>6.13035</v>
      </c>
      <c r="D1245" s="2" t="s">
        <v>34</v>
      </c>
      <c r="E1245" s="2" t="s">
        <v>8449</v>
      </c>
      <c r="F1245" s="2">
        <v>279880</v>
      </c>
      <c r="G1245" s="3" t="str">
        <f>HYPERLINK("http://funmeta.oebiotech.com/network/279880", "http://funmeta.oebiotech.com/network/279880")</f>
        <v>http://funmeta.oebiotech.com/network/279880</v>
      </c>
      <c r="H1245" s="2"/>
      <c r="I1245" s="2">
        <v>72717</v>
      </c>
      <c r="J1245" s="2"/>
      <c r="K1245" s="2"/>
      <c r="L1245" s="2" t="s">
        <v>8450</v>
      </c>
      <c r="M1245" s="2"/>
      <c r="N1245" s="2"/>
      <c r="O1245" s="2">
        <v>25550</v>
      </c>
      <c r="P1245" s="2" t="s">
        <v>8451</v>
      </c>
      <c r="Q1245" s="2" t="s">
        <v>8452</v>
      </c>
      <c r="R1245" s="2" t="s">
        <v>8453</v>
      </c>
      <c r="S1245" s="2" t="s">
        <v>148</v>
      </c>
      <c r="T1245" s="2" t="s">
        <v>149</v>
      </c>
      <c r="U1245" s="2" t="s">
        <v>8454</v>
      </c>
      <c r="V1245" s="2" t="s">
        <v>59</v>
      </c>
      <c r="W1245" s="2">
        <v>46.6</v>
      </c>
      <c r="X1245" s="2">
        <v>36.299999999999997</v>
      </c>
      <c r="Y1245" s="2" t="s">
        <v>394</v>
      </c>
      <c r="Z1245" s="2" t="s">
        <v>8455</v>
      </c>
      <c r="AA1245" s="2">
        <v>-1.2073605584965901</v>
      </c>
      <c r="AB1245" s="2">
        <v>0.62551870250029096</v>
      </c>
      <c r="AC1245" s="2">
        <v>103419.721562561</v>
      </c>
      <c r="AD1245" s="2">
        <v>131792.292698237</v>
      </c>
      <c r="AE1245" s="2">
        <v>106804.39681159399</v>
      </c>
      <c r="AF1245" s="2">
        <v>101998.87972250899</v>
      </c>
      <c r="AG1245" s="2">
        <v>102083.311761652</v>
      </c>
      <c r="AH1245" s="2">
        <v>101854.721470142</v>
      </c>
      <c r="AI1245" s="2">
        <v>96479.065400685693</v>
      </c>
      <c r="AJ1245" s="2">
        <v>111297.954208786</v>
      </c>
      <c r="AK1245" s="2">
        <v>138460.81079234899</v>
      </c>
      <c r="AL1245" s="2">
        <v>126953.05694188199</v>
      </c>
      <c r="AM1245" s="2">
        <v>145344.18910347199</v>
      </c>
      <c r="AN1245" s="2">
        <v>128733.231048192</v>
      </c>
      <c r="AO1245" s="2">
        <v>120364.891794507</v>
      </c>
      <c r="AP1245" s="2">
        <v>130897.57650901801</v>
      </c>
    </row>
    <row r="1246" spans="1:42" ht="14.5" x14ac:dyDescent="0.35">
      <c r="A1246" s="2" t="s">
        <v>8456</v>
      </c>
      <c r="B1246" s="2">
        <v>609.28852084255595</v>
      </c>
      <c r="C1246" s="2">
        <v>5.9690166666666702</v>
      </c>
      <c r="D1246" s="2" t="s">
        <v>34</v>
      </c>
      <c r="E1246" s="2" t="s">
        <v>8457</v>
      </c>
      <c r="F1246" s="2">
        <v>209016</v>
      </c>
      <c r="G1246" s="3" t="str">
        <f>HYPERLINK("http://funmeta.oebiotech.com/network/209016", "http://funmeta.oebiotech.com/network/209016")</f>
        <v>http://funmeta.oebiotech.com/network/209016</v>
      </c>
      <c r="H1246" s="2" t="s">
        <v>8458</v>
      </c>
      <c r="I1246" s="2"/>
      <c r="J1246" s="2"/>
      <c r="K1246" s="2"/>
      <c r="L1246" s="2"/>
      <c r="M1246" s="2"/>
      <c r="N1246" s="2"/>
      <c r="O1246" s="2">
        <v>3083702</v>
      </c>
      <c r="P1246" s="2"/>
      <c r="Q1246" s="2" t="s">
        <v>8459</v>
      </c>
      <c r="R1246" s="2" t="s">
        <v>8460</v>
      </c>
      <c r="S1246" s="2" t="s">
        <v>41</v>
      </c>
      <c r="T1246" s="2" t="s">
        <v>41</v>
      </c>
      <c r="U1246" s="2" t="s">
        <v>41</v>
      </c>
      <c r="V1246" s="2" t="s">
        <v>59</v>
      </c>
      <c r="W1246" s="2">
        <v>37</v>
      </c>
      <c r="X1246" s="2">
        <v>0</v>
      </c>
      <c r="Y1246" s="2" t="s">
        <v>43</v>
      </c>
      <c r="Z1246" s="2" t="s">
        <v>8461</v>
      </c>
      <c r="AA1246" s="2">
        <v>1.1042738301261801</v>
      </c>
      <c r="AB1246" s="2">
        <v>0.62542952594608103</v>
      </c>
      <c r="AC1246" s="2">
        <v>25485.729902192001</v>
      </c>
      <c r="AD1246" s="2">
        <v>52417.5916770408</v>
      </c>
      <c r="AE1246" s="2">
        <v>27610.520734398098</v>
      </c>
      <c r="AF1246" s="2">
        <v>23433.266854321701</v>
      </c>
      <c r="AG1246" s="2">
        <v>25723.727825267499</v>
      </c>
      <c r="AH1246" s="2">
        <v>21814.410688571301</v>
      </c>
      <c r="AI1246" s="2">
        <v>27981.879005904699</v>
      </c>
      <c r="AJ1246" s="2">
        <v>26350.5743046889</v>
      </c>
      <c r="AK1246" s="2">
        <v>42277.533034752203</v>
      </c>
      <c r="AL1246" s="2">
        <v>59656.619255768797</v>
      </c>
      <c r="AM1246" s="2">
        <v>49443.065101942899</v>
      </c>
      <c r="AN1246" s="2">
        <v>51259.713360884802</v>
      </c>
      <c r="AO1246" s="2">
        <v>56727.770034761503</v>
      </c>
      <c r="AP1246" s="2">
        <v>55140.8492741347</v>
      </c>
    </row>
    <row r="1247" spans="1:42" ht="14.5" x14ac:dyDescent="0.35">
      <c r="A1247" s="2" t="s">
        <v>8462</v>
      </c>
      <c r="B1247" s="2">
        <v>607.31218305583297</v>
      </c>
      <c r="C1247" s="2">
        <v>11.0078333333333</v>
      </c>
      <c r="D1247" s="2" t="s">
        <v>70</v>
      </c>
      <c r="E1247" s="2" t="s">
        <v>8463</v>
      </c>
      <c r="F1247" s="2">
        <v>35719</v>
      </c>
      <c r="G1247" s="3" t="str">
        <f>HYPERLINK("http://funmeta.oebiotech.com/network/35719", "http://funmeta.oebiotech.com/network/35719")</f>
        <v>http://funmeta.oebiotech.com/network/35719</v>
      </c>
      <c r="H1247" s="2"/>
      <c r="I1247" s="2"/>
      <c r="J1247" s="2" t="s">
        <v>8464</v>
      </c>
      <c r="K1247" s="2"/>
      <c r="L1247" s="2"/>
      <c r="M1247" s="2"/>
      <c r="N1247" s="2"/>
      <c r="O1247" s="2">
        <v>154585428</v>
      </c>
      <c r="P1247" s="2"/>
      <c r="Q1247" s="2" t="s">
        <v>8465</v>
      </c>
      <c r="R1247" s="2" t="s">
        <v>8466</v>
      </c>
      <c r="S1247" s="2" t="s">
        <v>89</v>
      </c>
      <c r="T1247" s="2" t="s">
        <v>90</v>
      </c>
      <c r="U1247" s="2" t="s">
        <v>91</v>
      </c>
      <c r="V1247" s="2" t="s">
        <v>59</v>
      </c>
      <c r="W1247" s="2">
        <v>39.799999999999997</v>
      </c>
      <c r="X1247" s="2">
        <v>1.32</v>
      </c>
      <c r="Y1247" s="2" t="s">
        <v>286</v>
      </c>
      <c r="Z1247" s="2" t="s">
        <v>6955</v>
      </c>
      <c r="AA1247" s="2">
        <v>-0.36076882444125402</v>
      </c>
      <c r="AB1247" s="2">
        <v>0.62486976510535897</v>
      </c>
      <c r="AC1247" s="2">
        <v>30454.3851057797</v>
      </c>
      <c r="AD1247" s="2">
        <v>4358.1089232670101</v>
      </c>
      <c r="AE1247" s="2">
        <v>36290.581191416903</v>
      </c>
      <c r="AF1247" s="2">
        <v>31697.572875657101</v>
      </c>
      <c r="AG1247" s="2">
        <v>32422.936776038099</v>
      </c>
      <c r="AH1247" s="2">
        <v>31245.591853823102</v>
      </c>
      <c r="AI1247" s="2">
        <v>25478.370087949399</v>
      </c>
      <c r="AJ1247" s="2">
        <v>25591.257849793601</v>
      </c>
      <c r="AK1247" s="2">
        <v>4486.1259700822202</v>
      </c>
      <c r="AL1247" s="2">
        <v>4714.1858363224501</v>
      </c>
      <c r="AM1247" s="2">
        <v>4467.40424273586</v>
      </c>
      <c r="AN1247" s="2">
        <v>5041.4755869473802</v>
      </c>
      <c r="AO1247" s="2">
        <v>3325.8201107759501</v>
      </c>
      <c r="AP1247" s="2">
        <v>4113.6417927381999</v>
      </c>
    </row>
    <row r="1248" spans="1:42" ht="14.5" x14ac:dyDescent="0.35">
      <c r="A1248" s="2" t="s">
        <v>8467</v>
      </c>
      <c r="B1248" s="2">
        <v>271.13234109575302</v>
      </c>
      <c r="C1248" s="2">
        <v>6.7814333333333296</v>
      </c>
      <c r="D1248" s="2" t="s">
        <v>34</v>
      </c>
      <c r="E1248" s="2" t="s">
        <v>8468</v>
      </c>
      <c r="F1248" s="2">
        <v>200568</v>
      </c>
      <c r="G1248" s="3" t="str">
        <f>HYPERLINK("http://funmeta.oebiotech.com/network/200568", "http://funmeta.oebiotech.com/network/200568")</f>
        <v>http://funmeta.oebiotech.com/network/200568</v>
      </c>
      <c r="H1248" s="2" t="s">
        <v>8469</v>
      </c>
      <c r="I1248" s="2"/>
      <c r="J1248" s="2"/>
      <c r="K1248" s="2"/>
      <c r="L1248" s="2"/>
      <c r="M1248" s="2"/>
      <c r="N1248" s="2"/>
      <c r="O1248" s="2">
        <v>22027846</v>
      </c>
      <c r="P1248" s="2"/>
      <c r="Q1248" s="2" t="s">
        <v>8470</v>
      </c>
      <c r="R1248" s="2" t="s">
        <v>8471</v>
      </c>
      <c r="S1248" s="2" t="s">
        <v>41</v>
      </c>
      <c r="T1248" s="2" t="s">
        <v>41</v>
      </c>
      <c r="U1248" s="2" t="s">
        <v>41</v>
      </c>
      <c r="V1248" s="2" t="s">
        <v>59</v>
      </c>
      <c r="W1248" s="2">
        <v>45.8</v>
      </c>
      <c r="X1248" s="2">
        <v>36.5</v>
      </c>
      <c r="Y1248" s="2" t="s">
        <v>43</v>
      </c>
      <c r="Z1248" s="2" t="s">
        <v>8472</v>
      </c>
      <c r="AA1248" s="2">
        <v>4.0012160573910398</v>
      </c>
      <c r="AB1248" s="2">
        <v>0.62483746186319999</v>
      </c>
      <c r="AC1248" s="2">
        <v>113986.039289094</v>
      </c>
      <c r="AD1248" s="2">
        <v>86998.254043892899</v>
      </c>
      <c r="AE1248" s="2">
        <v>107738.130788337</v>
      </c>
      <c r="AF1248" s="2">
        <v>111989.186846457</v>
      </c>
      <c r="AG1248" s="2">
        <v>117827.94479338</v>
      </c>
      <c r="AH1248" s="2">
        <v>111257.47378082899</v>
      </c>
      <c r="AI1248" s="2">
        <v>111472.872926014</v>
      </c>
      <c r="AJ1248" s="2">
        <v>123630.626599546</v>
      </c>
      <c r="AK1248" s="2">
        <v>86603.172231893695</v>
      </c>
      <c r="AL1248" s="2">
        <v>84016.365101806005</v>
      </c>
      <c r="AM1248" s="2">
        <v>91553.665784086494</v>
      </c>
      <c r="AN1248" s="2">
        <v>89664.322036668396</v>
      </c>
      <c r="AO1248" s="2">
        <v>88782.463214353906</v>
      </c>
      <c r="AP1248" s="2">
        <v>81369.535894548797</v>
      </c>
    </row>
    <row r="1249" spans="1:42" ht="14.5" x14ac:dyDescent="0.35">
      <c r="A1249" s="2" t="s">
        <v>8473</v>
      </c>
      <c r="B1249" s="2">
        <v>543.30936597032996</v>
      </c>
      <c r="C1249" s="2">
        <v>5.6539333333333301</v>
      </c>
      <c r="D1249" s="2" t="s">
        <v>70</v>
      </c>
      <c r="E1249" s="2" t="s">
        <v>8474</v>
      </c>
      <c r="F1249" s="2">
        <v>212170</v>
      </c>
      <c r="G1249" s="3" t="str">
        <f>HYPERLINK("http://funmeta.oebiotech.com/network/212170", "http://funmeta.oebiotech.com/network/212170")</f>
        <v>http://funmeta.oebiotech.com/network/212170</v>
      </c>
      <c r="H1249" s="2" t="s">
        <v>8475</v>
      </c>
      <c r="I1249" s="2">
        <v>322740</v>
      </c>
      <c r="J1249" s="2"/>
      <c r="K1249" s="2">
        <v>90237</v>
      </c>
      <c r="L1249" s="2"/>
      <c r="M1249" s="2"/>
      <c r="N1249" s="2"/>
      <c r="O1249" s="2">
        <v>3038522</v>
      </c>
      <c r="P1249" s="2"/>
      <c r="Q1249" s="2" t="s">
        <v>8476</v>
      </c>
      <c r="R1249" s="2" t="s">
        <v>8477</v>
      </c>
      <c r="S1249" s="2" t="s">
        <v>491</v>
      </c>
      <c r="T1249" s="2" t="s">
        <v>5190</v>
      </c>
      <c r="U1249" s="2" t="s">
        <v>5191</v>
      </c>
      <c r="V1249" s="2" t="s">
        <v>59</v>
      </c>
      <c r="W1249" s="2">
        <v>38.299999999999997</v>
      </c>
      <c r="X1249" s="2">
        <v>0</v>
      </c>
      <c r="Y1249" s="2" t="s">
        <v>751</v>
      </c>
      <c r="Z1249" s="2" t="s">
        <v>8478</v>
      </c>
      <c r="AA1249" s="2">
        <v>0.80600175420061004</v>
      </c>
      <c r="AB1249" s="2">
        <v>0.62457941371856696</v>
      </c>
      <c r="AC1249" s="2">
        <v>51123.333321392704</v>
      </c>
      <c r="AD1249" s="2">
        <v>24884.7297084046</v>
      </c>
      <c r="AE1249" s="2">
        <v>50529.388796531202</v>
      </c>
      <c r="AF1249" s="2">
        <v>50557.512202776699</v>
      </c>
      <c r="AG1249" s="2">
        <v>49301.3532803013</v>
      </c>
      <c r="AH1249" s="2">
        <v>59635.569527986001</v>
      </c>
      <c r="AI1249" s="2">
        <v>48989.729038092497</v>
      </c>
      <c r="AJ1249" s="2">
        <v>47726.447082668798</v>
      </c>
      <c r="AK1249" s="2">
        <v>25239.278127609301</v>
      </c>
      <c r="AL1249" s="2">
        <v>24742.4116654957</v>
      </c>
      <c r="AM1249" s="2">
        <v>23861.429120886602</v>
      </c>
      <c r="AN1249" s="2">
        <v>27605.4555000824</v>
      </c>
      <c r="AO1249" s="2">
        <v>22829.686799739698</v>
      </c>
      <c r="AP1249" s="2">
        <v>25030.117036614</v>
      </c>
    </row>
    <row r="1250" spans="1:42" ht="14.5" x14ac:dyDescent="0.35">
      <c r="A1250" s="2" t="s">
        <v>8479</v>
      </c>
      <c r="B1250" s="2">
        <v>343.226278956643</v>
      </c>
      <c r="C1250" s="2">
        <v>6.2845833333333303</v>
      </c>
      <c r="D1250" s="2" t="s">
        <v>34</v>
      </c>
      <c r="E1250" s="2" t="s">
        <v>8480</v>
      </c>
      <c r="F1250" s="2">
        <v>82895</v>
      </c>
      <c r="G1250" s="3" t="str">
        <f>HYPERLINK("http://funmeta.oebiotech.com/network/82895", "http://funmeta.oebiotech.com/network/82895")</f>
        <v>http://funmeta.oebiotech.com/network/82895</v>
      </c>
      <c r="H1250" s="2" t="s">
        <v>8481</v>
      </c>
      <c r="I1250" s="2"/>
      <c r="J1250" s="2"/>
      <c r="K1250" s="2"/>
      <c r="L1250" s="2"/>
      <c r="M1250" s="2"/>
      <c r="N1250" s="2"/>
      <c r="O1250" s="2">
        <v>131770016</v>
      </c>
      <c r="P1250" s="2"/>
      <c r="Q1250" s="2" t="s">
        <v>8482</v>
      </c>
      <c r="R1250" s="2" t="s">
        <v>8483</v>
      </c>
      <c r="S1250" s="2" t="s">
        <v>50</v>
      </c>
      <c r="T1250" s="2" t="s">
        <v>124</v>
      </c>
      <c r="U1250" s="2" t="s">
        <v>929</v>
      </c>
      <c r="V1250" s="2" t="s">
        <v>42</v>
      </c>
      <c r="W1250" s="2">
        <v>49.2</v>
      </c>
      <c r="X1250" s="2">
        <v>54.9</v>
      </c>
      <c r="Y1250" s="2" t="s">
        <v>141</v>
      </c>
      <c r="Z1250" s="2" t="s">
        <v>8484</v>
      </c>
      <c r="AA1250" s="2">
        <v>-1.3666206465941999</v>
      </c>
      <c r="AB1250" s="2">
        <v>0.62451380328413197</v>
      </c>
      <c r="AC1250" s="2">
        <v>37552.068475335698</v>
      </c>
      <c r="AD1250" s="2">
        <v>63543.0621630811</v>
      </c>
      <c r="AE1250" s="2">
        <v>35089.569854688198</v>
      </c>
      <c r="AF1250" s="2">
        <v>36323.505788645198</v>
      </c>
      <c r="AG1250" s="2">
        <v>39964.404922856796</v>
      </c>
      <c r="AH1250" s="2">
        <v>38853.409663569597</v>
      </c>
      <c r="AI1250" s="2">
        <v>37944.5195130551</v>
      </c>
      <c r="AJ1250" s="2">
        <v>37137.0011091993</v>
      </c>
      <c r="AK1250" s="2">
        <v>59718.8458841061</v>
      </c>
      <c r="AL1250" s="2">
        <v>68079.134519484403</v>
      </c>
      <c r="AM1250" s="2">
        <v>65844.807945865599</v>
      </c>
      <c r="AN1250" s="2">
        <v>63142.1108016828</v>
      </c>
      <c r="AO1250" s="2">
        <v>63679.5314104188</v>
      </c>
      <c r="AP1250" s="2">
        <v>60793.942416928701</v>
      </c>
    </row>
    <row r="1251" spans="1:42" ht="14.5" x14ac:dyDescent="0.35">
      <c r="A1251" s="2" t="s">
        <v>8485</v>
      </c>
      <c r="B1251" s="2">
        <v>643.23775200874695</v>
      </c>
      <c r="C1251" s="2">
        <v>5.5993333333333304</v>
      </c>
      <c r="D1251" s="2" t="s">
        <v>70</v>
      </c>
      <c r="E1251" s="2" t="s">
        <v>8486</v>
      </c>
      <c r="F1251" s="2">
        <v>257379</v>
      </c>
      <c r="G1251" s="3" t="str">
        <f>HYPERLINK("http://funmeta.oebiotech.com/network/257379", "http://funmeta.oebiotech.com/network/257379")</f>
        <v>http://funmeta.oebiotech.com/network/257379</v>
      </c>
      <c r="H1251" s="2" t="s">
        <v>8487</v>
      </c>
      <c r="I1251" s="2"/>
      <c r="J1251" s="2"/>
      <c r="K1251" s="2"/>
      <c r="L1251" s="2"/>
      <c r="M1251" s="2"/>
      <c r="N1251" s="2"/>
      <c r="O1251" s="2">
        <v>21627706</v>
      </c>
      <c r="P1251" s="2"/>
      <c r="Q1251" s="2" t="s">
        <v>8488</v>
      </c>
      <c r="R1251" s="2" t="s">
        <v>8489</v>
      </c>
      <c r="S1251" s="2" t="s">
        <v>1184</v>
      </c>
      <c r="T1251" s="2" t="s">
        <v>3333</v>
      </c>
      <c r="U1251" s="2" t="s">
        <v>41</v>
      </c>
      <c r="V1251" s="2" t="s">
        <v>59</v>
      </c>
      <c r="W1251" s="2">
        <v>38.200000000000003</v>
      </c>
      <c r="X1251" s="2">
        <v>0</v>
      </c>
      <c r="Y1251" s="2" t="s">
        <v>118</v>
      </c>
      <c r="Z1251" s="2" t="s">
        <v>8490</v>
      </c>
      <c r="AA1251" s="2">
        <v>-2.8915876160699798</v>
      </c>
      <c r="AB1251" s="2">
        <v>0.62420150553637499</v>
      </c>
      <c r="AC1251" s="2">
        <v>102920.196627521</v>
      </c>
      <c r="AD1251" s="2">
        <v>130753.991569448</v>
      </c>
      <c r="AE1251" s="2">
        <v>106559.64161583599</v>
      </c>
      <c r="AF1251" s="2">
        <v>93809.5298076217</v>
      </c>
      <c r="AG1251" s="2">
        <v>97776.088558122996</v>
      </c>
      <c r="AH1251" s="2">
        <v>105476.468803664</v>
      </c>
      <c r="AI1251" s="2">
        <v>104375.143319232</v>
      </c>
      <c r="AJ1251" s="2">
        <v>109524.307660652</v>
      </c>
      <c r="AK1251" s="2">
        <v>133385.87242775399</v>
      </c>
      <c r="AL1251" s="2">
        <v>125790.778800505</v>
      </c>
      <c r="AM1251" s="2">
        <v>144148.81617788001</v>
      </c>
      <c r="AN1251" s="2">
        <v>130126.031272566</v>
      </c>
      <c r="AO1251" s="2">
        <v>123304.071940305</v>
      </c>
      <c r="AP1251" s="2">
        <v>127768.37879767999</v>
      </c>
    </row>
    <row r="1252" spans="1:42" ht="14.5" x14ac:dyDescent="0.35">
      <c r="A1252" s="2" t="s">
        <v>8491</v>
      </c>
      <c r="B1252" s="2">
        <v>600.35263878146998</v>
      </c>
      <c r="C1252" s="2">
        <v>8.91496666666667</v>
      </c>
      <c r="D1252" s="2" t="s">
        <v>34</v>
      </c>
      <c r="E1252" s="2" t="s">
        <v>8492</v>
      </c>
      <c r="F1252" s="2">
        <v>28022</v>
      </c>
      <c r="G1252" s="3" t="str">
        <f>HYPERLINK("http://funmeta.oebiotech.com/network/28022", "http://funmeta.oebiotech.com/network/28022")</f>
        <v>http://funmeta.oebiotech.com/network/28022</v>
      </c>
      <c r="H1252" s="2"/>
      <c r="I1252" s="2"/>
      <c r="J1252" s="2" t="s">
        <v>8493</v>
      </c>
      <c r="K1252" s="2"/>
      <c r="L1252" s="2"/>
      <c r="M1252" s="2"/>
      <c r="N1252" s="2"/>
      <c r="O1252" s="2">
        <v>134812468</v>
      </c>
      <c r="P1252" s="2"/>
      <c r="Q1252" s="2" t="s">
        <v>8494</v>
      </c>
      <c r="R1252" s="2" t="s">
        <v>8495</v>
      </c>
      <c r="S1252" s="2" t="s">
        <v>50</v>
      </c>
      <c r="T1252" s="2" t="s">
        <v>51</v>
      </c>
      <c r="U1252" s="2" t="s">
        <v>738</v>
      </c>
      <c r="V1252" s="2" t="s">
        <v>59</v>
      </c>
      <c r="W1252" s="2">
        <v>40.200000000000003</v>
      </c>
      <c r="X1252" s="2">
        <v>10</v>
      </c>
      <c r="Y1252" s="2" t="s">
        <v>43</v>
      </c>
      <c r="Z1252" s="2" t="s">
        <v>8496</v>
      </c>
      <c r="AA1252" s="2">
        <v>3.2871633005551599</v>
      </c>
      <c r="AB1252" s="2">
        <v>0.62362031387344796</v>
      </c>
      <c r="AC1252" s="2">
        <v>43669.426694508598</v>
      </c>
      <c r="AD1252" s="2">
        <v>69673.858447593506</v>
      </c>
      <c r="AE1252" s="2">
        <v>46303.801568042698</v>
      </c>
      <c r="AF1252" s="2">
        <v>42820.048592127903</v>
      </c>
      <c r="AG1252" s="2">
        <v>43409.035295996197</v>
      </c>
      <c r="AH1252" s="2">
        <v>41430.760108183997</v>
      </c>
      <c r="AI1252" s="2">
        <v>43883.5152262638</v>
      </c>
      <c r="AJ1252" s="2">
        <v>44169.399376437097</v>
      </c>
      <c r="AK1252" s="2">
        <v>68561.641026259196</v>
      </c>
      <c r="AL1252" s="2">
        <v>68794.438886791802</v>
      </c>
      <c r="AM1252" s="2">
        <v>75365.972774631606</v>
      </c>
      <c r="AN1252" s="2">
        <v>64939.766188097201</v>
      </c>
      <c r="AO1252" s="2">
        <v>68386.222337687897</v>
      </c>
      <c r="AP1252" s="2">
        <v>71995.109472093303</v>
      </c>
    </row>
    <row r="1253" spans="1:42" ht="14.5" x14ac:dyDescent="0.35">
      <c r="A1253" s="2" t="s">
        <v>8497</v>
      </c>
      <c r="B1253" s="2">
        <v>283.20545755534999</v>
      </c>
      <c r="C1253" s="2">
        <v>4.2085666666666697</v>
      </c>
      <c r="D1253" s="2" t="s">
        <v>34</v>
      </c>
      <c r="E1253" s="2" t="s">
        <v>8498</v>
      </c>
      <c r="F1253" s="2">
        <v>52075</v>
      </c>
      <c r="G1253" s="3" t="str">
        <f>HYPERLINK("http://funmeta.oebiotech.com/network/52075", "http://funmeta.oebiotech.com/network/52075")</f>
        <v>http://funmeta.oebiotech.com/network/52075</v>
      </c>
      <c r="H1253" s="2" t="s">
        <v>8499</v>
      </c>
      <c r="I1253" s="2"/>
      <c r="J1253" s="2"/>
      <c r="K1253" s="2"/>
      <c r="L1253" s="2"/>
      <c r="M1253" s="2"/>
      <c r="N1253" s="2"/>
      <c r="O1253" s="2">
        <v>14015984</v>
      </c>
      <c r="P1253" s="2"/>
      <c r="Q1253" s="2" t="s">
        <v>8500</v>
      </c>
      <c r="R1253" s="2" t="s">
        <v>8501</v>
      </c>
      <c r="S1253" s="2" t="s">
        <v>50</v>
      </c>
      <c r="T1253" s="2" t="s">
        <v>201</v>
      </c>
      <c r="U1253" s="2" t="s">
        <v>2195</v>
      </c>
      <c r="V1253" s="2" t="s">
        <v>42</v>
      </c>
      <c r="W1253" s="2">
        <v>55.1</v>
      </c>
      <c r="X1253" s="2">
        <v>80.3</v>
      </c>
      <c r="Y1253" s="2" t="s">
        <v>141</v>
      </c>
      <c r="Z1253" s="2" t="s">
        <v>8502</v>
      </c>
      <c r="AA1253" s="2">
        <v>-0.61401148032185004</v>
      </c>
      <c r="AB1253" s="2">
        <v>0.62304825608884995</v>
      </c>
      <c r="AC1253" s="2">
        <v>153016.72470186601</v>
      </c>
      <c r="AD1253" s="2">
        <v>126130.00890410499</v>
      </c>
      <c r="AE1253" s="2">
        <v>149562.97731380301</v>
      </c>
      <c r="AF1253" s="2">
        <v>152107.46422448201</v>
      </c>
      <c r="AG1253" s="2">
        <v>157132.21702492001</v>
      </c>
      <c r="AH1253" s="2">
        <v>146469.36058023301</v>
      </c>
      <c r="AI1253" s="2">
        <v>159125.19876099</v>
      </c>
      <c r="AJ1253" s="2">
        <v>153703.13030676701</v>
      </c>
      <c r="AK1253" s="2">
        <v>127780.244509454</v>
      </c>
      <c r="AL1253" s="2">
        <v>125161.582792488</v>
      </c>
      <c r="AM1253" s="2">
        <v>128806.21213527099</v>
      </c>
      <c r="AN1253" s="2">
        <v>122644.99169521499</v>
      </c>
      <c r="AO1253" s="2">
        <v>118889.592564252</v>
      </c>
      <c r="AP1253" s="2">
        <v>133497.429727952</v>
      </c>
    </row>
    <row r="1254" spans="1:42" ht="14.5" x14ac:dyDescent="0.35">
      <c r="A1254" s="2" t="s">
        <v>8503</v>
      </c>
      <c r="B1254" s="2">
        <v>765.44234312175399</v>
      </c>
      <c r="C1254" s="2">
        <v>12.184433333333301</v>
      </c>
      <c r="D1254" s="2" t="s">
        <v>70</v>
      </c>
      <c r="E1254" s="2" t="s">
        <v>8504</v>
      </c>
      <c r="F1254" s="2">
        <v>205941</v>
      </c>
      <c r="G1254" s="3" t="str">
        <f>HYPERLINK("http://funmeta.oebiotech.com/network/205941", "http://funmeta.oebiotech.com/network/205941")</f>
        <v>http://funmeta.oebiotech.com/network/205941</v>
      </c>
      <c r="H1254" s="2" t="s">
        <v>8505</v>
      </c>
      <c r="I1254" s="2"/>
      <c r="J1254" s="2"/>
      <c r="K1254" s="2"/>
      <c r="L1254" s="2"/>
      <c r="M1254" s="2"/>
      <c r="N1254" s="2"/>
      <c r="O1254" s="2">
        <v>14048348</v>
      </c>
      <c r="P1254" s="2"/>
      <c r="Q1254" s="2" t="s">
        <v>8506</v>
      </c>
      <c r="R1254" s="2" t="s">
        <v>8507</v>
      </c>
      <c r="S1254" s="2" t="s">
        <v>50</v>
      </c>
      <c r="T1254" s="2" t="s">
        <v>124</v>
      </c>
      <c r="U1254" s="2" t="s">
        <v>567</v>
      </c>
      <c r="V1254" s="2" t="s">
        <v>42</v>
      </c>
      <c r="W1254" s="2">
        <v>54.8</v>
      </c>
      <c r="X1254" s="2">
        <v>77</v>
      </c>
      <c r="Y1254" s="2" t="s">
        <v>118</v>
      </c>
      <c r="Z1254" s="2" t="s">
        <v>3381</v>
      </c>
      <c r="AA1254" s="2">
        <v>-0.94281012849095402</v>
      </c>
      <c r="AB1254" s="2">
        <v>0.62233174415989601</v>
      </c>
      <c r="AC1254" s="2">
        <v>459962.28391677298</v>
      </c>
      <c r="AD1254" s="2">
        <v>420063.17356669501</v>
      </c>
      <c r="AE1254" s="2">
        <v>467868.41502387001</v>
      </c>
      <c r="AF1254" s="2">
        <v>411501.59498324897</v>
      </c>
      <c r="AG1254" s="2">
        <v>494386.13210022502</v>
      </c>
      <c r="AH1254" s="2">
        <v>449706.137111096</v>
      </c>
      <c r="AI1254" s="2">
        <v>481503.20821950701</v>
      </c>
      <c r="AJ1254" s="2">
        <v>454808.21606269298</v>
      </c>
      <c r="AK1254" s="2">
        <v>442821.74658968998</v>
      </c>
      <c r="AL1254" s="2">
        <v>395181.75180102303</v>
      </c>
      <c r="AM1254" s="2">
        <v>406305.99874557997</v>
      </c>
      <c r="AN1254" s="2">
        <v>414739.90971654397</v>
      </c>
      <c r="AO1254" s="2">
        <v>407394.61809755699</v>
      </c>
      <c r="AP1254" s="2">
        <v>453935.01644977799</v>
      </c>
    </row>
    <row r="1255" spans="1:42" ht="14.5" x14ac:dyDescent="0.35">
      <c r="A1255" s="2" t="s">
        <v>8508</v>
      </c>
      <c r="B1255" s="2">
        <v>719.21575670138395</v>
      </c>
      <c r="C1255" s="2">
        <v>3.8783166666666702</v>
      </c>
      <c r="D1255" s="2" t="s">
        <v>34</v>
      </c>
      <c r="E1255" s="2" t="s">
        <v>8509</v>
      </c>
      <c r="F1255" s="2">
        <v>54270</v>
      </c>
      <c r="G1255" s="3" t="str">
        <f>HYPERLINK("http://funmeta.oebiotech.com/network/54270", "http://funmeta.oebiotech.com/network/54270")</f>
        <v>http://funmeta.oebiotech.com/network/54270</v>
      </c>
      <c r="H1255" s="2" t="s">
        <v>8510</v>
      </c>
      <c r="I1255" s="2">
        <v>86170</v>
      </c>
      <c r="J1255" s="2"/>
      <c r="K1255" s="2"/>
      <c r="L1255" s="2"/>
      <c r="M1255" s="2"/>
      <c r="N1255" s="2"/>
      <c r="O1255" s="2">
        <v>131750843</v>
      </c>
      <c r="P1255" s="2"/>
      <c r="Q1255" s="2" t="s">
        <v>8511</v>
      </c>
      <c r="R1255" s="2" t="s">
        <v>8512</v>
      </c>
      <c r="S1255" s="2" t="s">
        <v>79</v>
      </c>
      <c r="T1255" s="2" t="s">
        <v>80</v>
      </c>
      <c r="U1255" s="2" t="s">
        <v>81</v>
      </c>
      <c r="V1255" s="2" t="s">
        <v>59</v>
      </c>
      <c r="W1255" s="2">
        <v>38.9</v>
      </c>
      <c r="X1255" s="2">
        <v>0</v>
      </c>
      <c r="Y1255" s="2" t="s">
        <v>323</v>
      </c>
      <c r="Z1255" s="2" t="s">
        <v>8513</v>
      </c>
      <c r="AA1255" s="2">
        <v>-1.9812424698242501E-2</v>
      </c>
      <c r="AB1255" s="2">
        <v>0.62214453209998399</v>
      </c>
      <c r="AC1255" s="2">
        <v>69597.913957797093</v>
      </c>
      <c r="AD1255" s="2">
        <v>42925.534770345002</v>
      </c>
      <c r="AE1255" s="2">
        <v>68624.624082256094</v>
      </c>
      <c r="AF1255" s="2">
        <v>71552.895812233997</v>
      </c>
      <c r="AG1255" s="2">
        <v>75824.036665444102</v>
      </c>
      <c r="AH1255" s="2">
        <v>70227.711422106106</v>
      </c>
      <c r="AI1255" s="2">
        <v>66566.501481122206</v>
      </c>
      <c r="AJ1255" s="2">
        <v>64791.714283620197</v>
      </c>
      <c r="AK1255" s="2">
        <v>38068.780826443202</v>
      </c>
      <c r="AL1255" s="2">
        <v>39113.498822016802</v>
      </c>
      <c r="AM1255" s="2">
        <v>47298.104218859196</v>
      </c>
      <c r="AN1255" s="2">
        <v>51074.254775754998</v>
      </c>
      <c r="AO1255" s="2">
        <v>43227.102719720497</v>
      </c>
      <c r="AP1255" s="2">
        <v>38771.467259275203</v>
      </c>
    </row>
    <row r="1256" spans="1:42" ht="14.5" x14ac:dyDescent="0.35">
      <c r="A1256" s="2" t="s">
        <v>8514</v>
      </c>
      <c r="B1256" s="2">
        <v>415.21108516232601</v>
      </c>
      <c r="C1256" s="2">
        <v>9.1582833333333298</v>
      </c>
      <c r="D1256" s="2" t="s">
        <v>34</v>
      </c>
      <c r="E1256" s="2" t="s">
        <v>8515</v>
      </c>
      <c r="F1256" s="2">
        <v>45102</v>
      </c>
      <c r="G1256" s="3" t="str">
        <f>HYPERLINK("http://funmeta.oebiotech.com/network/45102", "http://funmeta.oebiotech.com/network/45102")</f>
        <v>http://funmeta.oebiotech.com/network/45102</v>
      </c>
      <c r="H1256" s="2"/>
      <c r="I1256" s="2"/>
      <c r="J1256" s="2" t="s">
        <v>8516</v>
      </c>
      <c r="K1256" s="2"/>
      <c r="L1256" s="2"/>
      <c r="M1256" s="2"/>
      <c r="N1256" s="2"/>
      <c r="O1256" s="2"/>
      <c r="P1256" s="2"/>
      <c r="Q1256" s="2" t="s">
        <v>8517</v>
      </c>
      <c r="R1256" s="2" t="s">
        <v>8518</v>
      </c>
      <c r="S1256" s="2" t="s">
        <v>50</v>
      </c>
      <c r="T1256" s="2" t="s">
        <v>201</v>
      </c>
      <c r="U1256" s="2" t="s">
        <v>265</v>
      </c>
      <c r="V1256" s="2" t="s">
        <v>42</v>
      </c>
      <c r="W1256" s="2">
        <v>55.3</v>
      </c>
      <c r="X1256" s="2">
        <v>82.9</v>
      </c>
      <c r="Y1256" s="2" t="s">
        <v>266</v>
      </c>
      <c r="Z1256" s="2" t="s">
        <v>8519</v>
      </c>
      <c r="AA1256" s="2">
        <v>-0.99476193382261002</v>
      </c>
      <c r="AB1256" s="2">
        <v>0.62098610775776097</v>
      </c>
      <c r="AC1256" s="2">
        <v>894979.63024955499</v>
      </c>
      <c r="AD1256" s="2">
        <v>847666.63773313898</v>
      </c>
      <c r="AE1256" s="2">
        <v>881502.32174592605</v>
      </c>
      <c r="AF1256" s="2">
        <v>894857.94048517302</v>
      </c>
      <c r="AG1256" s="2">
        <v>883500.603914776</v>
      </c>
      <c r="AH1256" s="2">
        <v>894549.40677937504</v>
      </c>
      <c r="AI1256" s="2">
        <v>887670.07969077304</v>
      </c>
      <c r="AJ1256" s="2">
        <v>927797.42888130597</v>
      </c>
      <c r="AK1256" s="2">
        <v>740451.98778551398</v>
      </c>
      <c r="AL1256" s="2">
        <v>841735.49027261697</v>
      </c>
      <c r="AM1256" s="2">
        <v>874584.93603675195</v>
      </c>
      <c r="AN1256" s="2">
        <v>874415.79852633597</v>
      </c>
      <c r="AO1256" s="2">
        <v>866997.48931547499</v>
      </c>
      <c r="AP1256" s="2">
        <v>887814.12446213898</v>
      </c>
    </row>
    <row r="1257" spans="1:42" ht="14.5" x14ac:dyDescent="0.35">
      <c r="A1257" s="2" t="s">
        <v>8520</v>
      </c>
      <c r="B1257" s="2">
        <v>589.3116972386</v>
      </c>
      <c r="C1257" s="2">
        <v>5.0569833333333296</v>
      </c>
      <c r="D1257" s="2" t="s">
        <v>34</v>
      </c>
      <c r="E1257" s="2" t="s">
        <v>8521</v>
      </c>
      <c r="F1257" s="2">
        <v>64459</v>
      </c>
      <c r="G1257" s="3" t="str">
        <f>HYPERLINK("http://funmeta.oebiotech.com/network/64459", "http://funmeta.oebiotech.com/network/64459")</f>
        <v>http://funmeta.oebiotech.com/network/64459</v>
      </c>
      <c r="H1257" s="2" t="s">
        <v>8522</v>
      </c>
      <c r="I1257" s="2">
        <v>95772</v>
      </c>
      <c r="J1257" s="2"/>
      <c r="K1257" s="2">
        <v>176068</v>
      </c>
      <c r="L1257" s="2"/>
      <c r="M1257" s="2"/>
      <c r="N1257" s="2"/>
      <c r="O1257" s="2">
        <v>131753123</v>
      </c>
      <c r="P1257" s="2" t="s">
        <v>8523</v>
      </c>
      <c r="Q1257" s="2" t="s">
        <v>8524</v>
      </c>
      <c r="R1257" s="2" t="s">
        <v>8525</v>
      </c>
      <c r="S1257" s="2" t="s">
        <v>50</v>
      </c>
      <c r="T1257" s="2" t="s">
        <v>201</v>
      </c>
      <c r="U1257" s="2" t="s">
        <v>6839</v>
      </c>
      <c r="V1257" s="2" t="s">
        <v>59</v>
      </c>
      <c r="W1257" s="2">
        <v>36.9</v>
      </c>
      <c r="X1257" s="2">
        <v>5.75</v>
      </c>
      <c r="Y1257" s="2" t="s">
        <v>231</v>
      </c>
      <c r="Z1257" s="2" t="s">
        <v>8526</v>
      </c>
      <c r="AA1257" s="2">
        <v>-3.3148027759441598</v>
      </c>
      <c r="AB1257" s="2">
        <v>0.61983004617378501</v>
      </c>
      <c r="AC1257" s="2">
        <v>3533926.4681288302</v>
      </c>
      <c r="AD1257" s="2">
        <v>3456408.0266591702</v>
      </c>
      <c r="AE1257" s="2">
        <v>3638396.66638193</v>
      </c>
      <c r="AF1257" s="2">
        <v>3565014.29554111</v>
      </c>
      <c r="AG1257" s="2">
        <v>3560543.9343588599</v>
      </c>
      <c r="AH1257" s="2">
        <v>3557348.3306682198</v>
      </c>
      <c r="AI1257" s="2">
        <v>3542398.6406068401</v>
      </c>
      <c r="AJ1257" s="2">
        <v>3339856.9412160199</v>
      </c>
      <c r="AK1257" s="2">
        <v>3337942.6795570902</v>
      </c>
      <c r="AL1257" s="2">
        <v>3353975.9848471601</v>
      </c>
      <c r="AM1257" s="2">
        <v>3706021.1930958899</v>
      </c>
      <c r="AN1257" s="2">
        <v>3376039.9894457199</v>
      </c>
      <c r="AO1257" s="2">
        <v>3526729.10092093</v>
      </c>
      <c r="AP1257" s="2">
        <v>3437739.2120882198</v>
      </c>
    </row>
    <row r="1258" spans="1:42" ht="14.5" x14ac:dyDescent="0.35">
      <c r="A1258" s="2" t="s">
        <v>8527</v>
      </c>
      <c r="B1258" s="2">
        <v>134.09604340642599</v>
      </c>
      <c r="C1258" s="2">
        <v>6.9616666666666696</v>
      </c>
      <c r="D1258" s="2" t="s">
        <v>34</v>
      </c>
      <c r="E1258" s="2" t="s">
        <v>8528</v>
      </c>
      <c r="F1258" s="2">
        <v>258190</v>
      </c>
      <c r="G1258" s="3" t="str">
        <f>HYPERLINK("http://funmeta.oebiotech.com/network/258190", "http://funmeta.oebiotech.com/network/258190")</f>
        <v>http://funmeta.oebiotech.com/network/258190</v>
      </c>
      <c r="H1258" s="2"/>
      <c r="I1258" s="2">
        <v>2895</v>
      </c>
      <c r="J1258" s="2"/>
      <c r="K1258" s="2"/>
      <c r="L1258" s="2" t="s">
        <v>8529</v>
      </c>
      <c r="M1258" s="2"/>
      <c r="N1258" s="2"/>
      <c r="O1258" s="2">
        <v>19493</v>
      </c>
      <c r="P1258" s="2"/>
      <c r="Q1258" s="2" t="s">
        <v>8530</v>
      </c>
      <c r="R1258" s="2" t="s">
        <v>8531</v>
      </c>
      <c r="S1258" s="2" t="s">
        <v>1677</v>
      </c>
      <c r="T1258" s="2" t="s">
        <v>1678</v>
      </c>
      <c r="U1258" s="2" t="s">
        <v>1679</v>
      </c>
      <c r="V1258" s="2" t="s">
        <v>59</v>
      </c>
      <c r="W1258" s="2">
        <v>45.1</v>
      </c>
      <c r="X1258" s="2">
        <v>30.8</v>
      </c>
      <c r="Y1258" s="2" t="s">
        <v>394</v>
      </c>
      <c r="Z1258" s="2" t="s">
        <v>8532</v>
      </c>
      <c r="AA1258" s="2">
        <v>-2.8731353815146501</v>
      </c>
      <c r="AB1258" s="2">
        <v>0.61920063425639005</v>
      </c>
      <c r="AC1258" s="2">
        <v>89598.587140924501</v>
      </c>
      <c r="AD1258" s="2">
        <v>64230.173899428402</v>
      </c>
      <c r="AE1258" s="2">
        <v>91532.134305847503</v>
      </c>
      <c r="AF1258" s="2">
        <v>90882.344949569902</v>
      </c>
      <c r="AG1258" s="2">
        <v>91840.075471308999</v>
      </c>
      <c r="AH1258" s="2">
        <v>88524.537439090302</v>
      </c>
      <c r="AI1258" s="2">
        <v>84534.283939938701</v>
      </c>
      <c r="AJ1258" s="2">
        <v>90278.146739791395</v>
      </c>
      <c r="AK1258" s="2">
        <v>64233.797128266197</v>
      </c>
      <c r="AL1258" s="2">
        <v>62997.593462309902</v>
      </c>
      <c r="AM1258" s="2">
        <v>65119.477618676799</v>
      </c>
      <c r="AN1258" s="2">
        <v>64102.435083057797</v>
      </c>
      <c r="AO1258" s="2">
        <v>63053.413632618001</v>
      </c>
      <c r="AP1258" s="2">
        <v>65874.326471641602</v>
      </c>
    </row>
    <row r="1259" spans="1:42" ht="14.5" x14ac:dyDescent="0.35">
      <c r="A1259" s="2" t="s">
        <v>8533</v>
      </c>
      <c r="B1259" s="2">
        <v>427.18235436681698</v>
      </c>
      <c r="C1259" s="2">
        <v>4.4179500000000003</v>
      </c>
      <c r="D1259" s="2" t="s">
        <v>70</v>
      </c>
      <c r="E1259" s="2" t="s">
        <v>8534</v>
      </c>
      <c r="F1259" s="2">
        <v>57488</v>
      </c>
      <c r="G1259" s="3" t="str">
        <f>HYPERLINK("http://funmeta.oebiotech.com/network/57488", "http://funmeta.oebiotech.com/network/57488")</f>
        <v>http://funmeta.oebiotech.com/network/57488</v>
      </c>
      <c r="H1259" s="2" t="s">
        <v>8535</v>
      </c>
      <c r="I1259" s="2">
        <v>89104</v>
      </c>
      <c r="J1259" s="2"/>
      <c r="K1259" s="2">
        <v>167921</v>
      </c>
      <c r="L1259" s="2"/>
      <c r="M1259" s="2"/>
      <c r="N1259" s="2"/>
      <c r="O1259" s="2">
        <v>85225480</v>
      </c>
      <c r="P1259" s="2" t="s">
        <v>8536</v>
      </c>
      <c r="Q1259" s="2" t="s">
        <v>8537</v>
      </c>
      <c r="R1259" s="2" t="s">
        <v>8538</v>
      </c>
      <c r="S1259" s="2" t="s">
        <v>79</v>
      </c>
      <c r="T1259" s="2" t="s">
        <v>80</v>
      </c>
      <c r="U1259" s="2" t="s">
        <v>81</v>
      </c>
      <c r="V1259" s="2" t="s">
        <v>42</v>
      </c>
      <c r="W1259" s="2">
        <v>53.9</v>
      </c>
      <c r="X1259" s="2">
        <v>72.7</v>
      </c>
      <c r="Y1259" s="2" t="s">
        <v>286</v>
      </c>
      <c r="Z1259" s="2" t="s">
        <v>8539</v>
      </c>
      <c r="AA1259" s="2">
        <v>0.66548883553473004</v>
      </c>
      <c r="AB1259" s="2">
        <v>0.61899655038227597</v>
      </c>
      <c r="AC1259" s="2">
        <v>156357.64316812699</v>
      </c>
      <c r="AD1259" s="2">
        <v>127275.992845702</v>
      </c>
      <c r="AE1259" s="2">
        <v>151446.81053567</v>
      </c>
      <c r="AF1259" s="2">
        <v>149643.748299664</v>
      </c>
      <c r="AG1259" s="2">
        <v>172446.81049271001</v>
      </c>
      <c r="AH1259" s="2">
        <v>145222.67864715299</v>
      </c>
      <c r="AI1259" s="2">
        <v>165499.06855717901</v>
      </c>
      <c r="AJ1259" s="2">
        <v>153886.742476388</v>
      </c>
      <c r="AK1259" s="2">
        <v>116339.889160544</v>
      </c>
      <c r="AL1259" s="2">
        <v>132298.03477555001</v>
      </c>
      <c r="AM1259" s="2">
        <v>131656.24211907</v>
      </c>
      <c r="AN1259" s="2">
        <v>118550.24236443</v>
      </c>
      <c r="AO1259" s="2">
        <v>129853.426855242</v>
      </c>
      <c r="AP1259" s="2">
        <v>134958.12179937499</v>
      </c>
    </row>
    <row r="1260" spans="1:42" ht="14.5" x14ac:dyDescent="0.35">
      <c r="A1260" s="2" t="s">
        <v>8540</v>
      </c>
      <c r="B1260" s="2">
        <v>689.33544839157003</v>
      </c>
      <c r="C1260" s="2">
        <v>5.5431833333333298</v>
      </c>
      <c r="D1260" s="2" t="s">
        <v>70</v>
      </c>
      <c r="E1260" s="2" t="s">
        <v>8541</v>
      </c>
      <c r="F1260" s="2">
        <v>55049</v>
      </c>
      <c r="G1260" s="3" t="str">
        <f>HYPERLINK("http://funmeta.oebiotech.com/network/55049", "http://funmeta.oebiotech.com/network/55049")</f>
        <v>http://funmeta.oebiotech.com/network/55049</v>
      </c>
      <c r="H1260" s="2" t="s">
        <v>8542</v>
      </c>
      <c r="I1260" s="2">
        <v>86813</v>
      </c>
      <c r="J1260" s="2"/>
      <c r="K1260" s="2">
        <v>168925</v>
      </c>
      <c r="L1260" s="2"/>
      <c r="M1260" s="2"/>
      <c r="N1260" s="2"/>
      <c r="O1260" s="2">
        <v>102219164</v>
      </c>
      <c r="P1260" s="2" t="s">
        <v>8543</v>
      </c>
      <c r="Q1260" s="2" t="s">
        <v>8544</v>
      </c>
      <c r="R1260" s="2" t="s">
        <v>8545</v>
      </c>
      <c r="S1260" s="2" t="s">
        <v>491</v>
      </c>
      <c r="T1260" s="2" t="s">
        <v>2184</v>
      </c>
      <c r="U1260" s="2" t="s">
        <v>8546</v>
      </c>
      <c r="V1260" s="2" t="s">
        <v>59</v>
      </c>
      <c r="W1260" s="2">
        <v>38.5</v>
      </c>
      <c r="X1260" s="2">
        <v>4.09</v>
      </c>
      <c r="Y1260" s="2" t="s">
        <v>560</v>
      </c>
      <c r="Z1260" s="2" t="s">
        <v>8547</v>
      </c>
      <c r="AA1260" s="2">
        <v>-4.3936526800225399</v>
      </c>
      <c r="AB1260" s="2">
        <v>0.61897405392507299</v>
      </c>
      <c r="AC1260" s="2">
        <v>276213.33650407498</v>
      </c>
      <c r="AD1260" s="2">
        <v>309194.73989365</v>
      </c>
      <c r="AE1260" s="2">
        <v>284479.77617402701</v>
      </c>
      <c r="AF1260" s="2">
        <v>265701.15546009201</v>
      </c>
      <c r="AG1260" s="2">
        <v>281364.99748466501</v>
      </c>
      <c r="AH1260" s="2">
        <v>274210.58597428002</v>
      </c>
      <c r="AI1260" s="2">
        <v>286915.37843848899</v>
      </c>
      <c r="AJ1260" s="2">
        <v>264608.12549289799</v>
      </c>
      <c r="AK1260" s="2">
        <v>296529.61702131201</v>
      </c>
      <c r="AL1260" s="2">
        <v>312551.34606486198</v>
      </c>
      <c r="AM1260" s="2">
        <v>345097.957853909</v>
      </c>
      <c r="AN1260" s="2">
        <v>287912.007620655</v>
      </c>
      <c r="AO1260" s="2">
        <v>308890.77061615902</v>
      </c>
      <c r="AP1260" s="2">
        <v>304186.74018500501</v>
      </c>
    </row>
    <row r="1261" spans="1:42" ht="14.5" x14ac:dyDescent="0.35">
      <c r="A1261" s="2" t="s">
        <v>8548</v>
      </c>
      <c r="B1261" s="2">
        <v>454.340326609307</v>
      </c>
      <c r="C1261" s="2">
        <v>13.4866333333333</v>
      </c>
      <c r="D1261" s="2" t="s">
        <v>34</v>
      </c>
      <c r="E1261" s="2" t="s">
        <v>8549</v>
      </c>
      <c r="F1261" s="2">
        <v>515431</v>
      </c>
      <c r="G1261" s="3" t="str">
        <f>HYPERLINK("http://funmeta.oebiotech.com/network/515431", "http://funmeta.oebiotech.com/network/515431")</f>
        <v>http://funmeta.oebiotech.com/network/515431</v>
      </c>
      <c r="H1261" s="2"/>
      <c r="I1261" s="2">
        <v>96488</v>
      </c>
      <c r="J1261" s="2"/>
      <c r="K1261" s="2"/>
      <c r="L1261" s="2"/>
      <c r="M1261" s="2"/>
      <c r="N1261" s="2"/>
      <c r="O1261" s="2">
        <v>97183939</v>
      </c>
      <c r="P1261" s="2" t="s">
        <v>8550</v>
      </c>
      <c r="Q1261" s="2" t="s">
        <v>8551</v>
      </c>
      <c r="R1261" s="2" t="s">
        <v>8552</v>
      </c>
      <c r="S1261" s="2" t="s">
        <v>491</v>
      </c>
      <c r="T1261" s="2" t="s">
        <v>2184</v>
      </c>
      <c r="U1261" s="2" t="s">
        <v>3838</v>
      </c>
      <c r="V1261" s="2" t="s">
        <v>59</v>
      </c>
      <c r="W1261" s="2">
        <v>37</v>
      </c>
      <c r="X1261" s="2">
        <v>0</v>
      </c>
      <c r="Y1261" s="2" t="s">
        <v>43</v>
      </c>
      <c r="Z1261" s="2" t="s">
        <v>8553</v>
      </c>
      <c r="AA1261" s="2">
        <v>-5.6782058929458303</v>
      </c>
      <c r="AB1261" s="2">
        <v>0.61822852553258101</v>
      </c>
      <c r="AC1261" s="2">
        <v>115156.019013062</v>
      </c>
      <c r="AD1261" s="2">
        <v>84535.271710074405</v>
      </c>
      <c r="AE1261" s="2">
        <v>145248.80941213301</v>
      </c>
      <c r="AF1261" s="2">
        <v>112374.996683188</v>
      </c>
      <c r="AG1261" s="2">
        <v>107340.73138892101</v>
      </c>
      <c r="AH1261" s="2">
        <v>108973.468959573</v>
      </c>
      <c r="AI1261" s="2">
        <v>105464.776721328</v>
      </c>
      <c r="AJ1261" s="2">
        <v>111533.330913231</v>
      </c>
      <c r="AK1261" s="2">
        <v>95836.764422113905</v>
      </c>
      <c r="AL1261" s="2">
        <v>83662.446673659302</v>
      </c>
      <c r="AM1261" s="2">
        <v>74451.588545117003</v>
      </c>
      <c r="AN1261" s="2">
        <v>77080.549079966906</v>
      </c>
      <c r="AO1261" s="2">
        <v>85493.932715768606</v>
      </c>
      <c r="AP1261" s="2">
        <v>90686.348823820706</v>
      </c>
    </row>
    <row r="1262" spans="1:42" ht="14.5" x14ac:dyDescent="0.35">
      <c r="A1262" s="2" t="s">
        <v>8554</v>
      </c>
      <c r="B1262" s="2">
        <v>417.22807463847499</v>
      </c>
      <c r="C1262" s="2">
        <v>9.5903833333333299</v>
      </c>
      <c r="D1262" s="2" t="s">
        <v>70</v>
      </c>
      <c r="E1262" s="2" t="s">
        <v>8555</v>
      </c>
      <c r="F1262" s="2">
        <v>54897</v>
      </c>
      <c r="G1262" s="3" t="str">
        <f>HYPERLINK("http://funmeta.oebiotech.com/network/54897", "http://funmeta.oebiotech.com/network/54897")</f>
        <v>http://funmeta.oebiotech.com/network/54897</v>
      </c>
      <c r="H1262" s="2" t="s">
        <v>8556</v>
      </c>
      <c r="I1262" s="2">
        <v>86684</v>
      </c>
      <c r="J1262" s="2"/>
      <c r="K1262" s="2"/>
      <c r="L1262" s="2"/>
      <c r="M1262" s="2"/>
      <c r="N1262" s="2"/>
      <c r="O1262" s="2">
        <v>12313294</v>
      </c>
      <c r="P1262" s="2"/>
      <c r="Q1262" s="2" t="s">
        <v>8557</v>
      </c>
      <c r="R1262" s="2" t="s">
        <v>8558</v>
      </c>
      <c r="S1262" s="2" t="s">
        <v>50</v>
      </c>
      <c r="T1262" s="2" t="s">
        <v>124</v>
      </c>
      <c r="U1262" s="2" t="s">
        <v>567</v>
      </c>
      <c r="V1262" s="2" t="s">
        <v>42</v>
      </c>
      <c r="W1262" s="2">
        <v>48.2</v>
      </c>
      <c r="X1262" s="2">
        <v>45.7</v>
      </c>
      <c r="Y1262" s="2" t="s">
        <v>408</v>
      </c>
      <c r="Z1262" s="2" t="s">
        <v>8559</v>
      </c>
      <c r="AA1262" s="2">
        <v>-0.50435476822240999</v>
      </c>
      <c r="AB1262" s="2">
        <v>0.61731647027382697</v>
      </c>
      <c r="AC1262" s="2">
        <v>3750.84035471483</v>
      </c>
      <c r="AD1262" s="2">
        <v>29064.472415763601</v>
      </c>
      <c r="AE1262" s="2">
        <v>4341.4315150929397</v>
      </c>
      <c r="AF1262" s="2">
        <v>3379.53561308484</v>
      </c>
      <c r="AG1262" s="2">
        <v>3828.9083131898201</v>
      </c>
      <c r="AH1262" s="2">
        <v>3809.64275983465</v>
      </c>
      <c r="AI1262" s="2">
        <v>3671.7645102965698</v>
      </c>
      <c r="AJ1262" s="2">
        <v>3473.7594167901502</v>
      </c>
      <c r="AK1262" s="2">
        <v>33656.690990924602</v>
      </c>
      <c r="AL1262" s="2">
        <v>25050.6598619832</v>
      </c>
      <c r="AM1262" s="2">
        <v>31509.948137432999</v>
      </c>
      <c r="AN1262" s="2">
        <v>29565.4077054064</v>
      </c>
      <c r="AO1262" s="2">
        <v>27477.222398878101</v>
      </c>
      <c r="AP1262" s="2">
        <v>27126.9053999563</v>
      </c>
    </row>
    <row r="1263" spans="1:42" ht="14.5" x14ac:dyDescent="0.35">
      <c r="A1263" s="2" t="s">
        <v>8560</v>
      </c>
      <c r="B1263" s="2">
        <v>427.35675234745298</v>
      </c>
      <c r="C1263" s="2">
        <v>14.010300000000001</v>
      </c>
      <c r="D1263" s="2" t="s">
        <v>34</v>
      </c>
      <c r="E1263" s="2" t="s">
        <v>8561</v>
      </c>
      <c r="F1263" s="2">
        <v>43559</v>
      </c>
      <c r="G1263" s="3" t="str">
        <f>HYPERLINK("http://funmeta.oebiotech.com/network/43559", "http://funmeta.oebiotech.com/network/43559")</f>
        <v>http://funmeta.oebiotech.com/network/43559</v>
      </c>
      <c r="H1263" s="2" t="s">
        <v>8562</v>
      </c>
      <c r="I1263" s="2">
        <v>57666</v>
      </c>
      <c r="J1263" s="2" t="s">
        <v>8563</v>
      </c>
      <c r="K1263" s="2">
        <v>87277</v>
      </c>
      <c r="L1263" s="2"/>
      <c r="M1263" s="2"/>
      <c r="N1263" s="2"/>
      <c r="O1263" s="2">
        <v>44263317</v>
      </c>
      <c r="P1263" s="2"/>
      <c r="Q1263" s="2" t="s">
        <v>8564</v>
      </c>
      <c r="R1263" s="2" t="s">
        <v>8565</v>
      </c>
      <c r="S1263" s="2" t="s">
        <v>50</v>
      </c>
      <c r="T1263" s="2" t="s">
        <v>201</v>
      </c>
      <c r="U1263" s="2" t="s">
        <v>210</v>
      </c>
      <c r="V1263" s="2" t="s">
        <v>59</v>
      </c>
      <c r="W1263" s="2">
        <v>47.3</v>
      </c>
      <c r="X1263" s="2">
        <v>44.9</v>
      </c>
      <c r="Y1263" s="2" t="s">
        <v>141</v>
      </c>
      <c r="Z1263" s="2" t="s">
        <v>6062</v>
      </c>
      <c r="AA1263" s="2">
        <v>-0.68593111472759605</v>
      </c>
      <c r="AB1263" s="2">
        <v>0.61595963142730503</v>
      </c>
      <c r="AC1263" s="2">
        <v>34485.266865262602</v>
      </c>
      <c r="AD1263" s="2">
        <v>8745.3403150063605</v>
      </c>
      <c r="AE1263" s="2">
        <v>27413.227176861601</v>
      </c>
      <c r="AF1263" s="2">
        <v>31876.304379299101</v>
      </c>
      <c r="AG1263" s="2">
        <v>41756.0435898422</v>
      </c>
      <c r="AH1263" s="2">
        <v>34945.932035302401</v>
      </c>
      <c r="AI1263" s="2">
        <v>35280.177263851903</v>
      </c>
      <c r="AJ1263" s="2">
        <v>35639.916746418101</v>
      </c>
      <c r="AK1263" s="2">
        <v>6040.6684196360202</v>
      </c>
      <c r="AL1263" s="2">
        <v>7333.4413331815103</v>
      </c>
      <c r="AM1263" s="2">
        <v>7511.5319177072397</v>
      </c>
      <c r="AN1263" s="2">
        <v>9528.9666198238792</v>
      </c>
      <c r="AO1263" s="2">
        <v>10940.5113584559</v>
      </c>
      <c r="AP1263" s="2">
        <v>11116.9222412336</v>
      </c>
    </row>
    <row r="1264" spans="1:42" ht="14.5" x14ac:dyDescent="0.35">
      <c r="A1264" s="2" t="s">
        <v>8566</v>
      </c>
      <c r="B1264" s="2">
        <v>963.23988324066897</v>
      </c>
      <c r="C1264" s="2">
        <v>4.84418333333333</v>
      </c>
      <c r="D1264" s="2" t="s">
        <v>70</v>
      </c>
      <c r="E1264" s="2" t="s">
        <v>8567</v>
      </c>
      <c r="F1264" s="2">
        <v>63644</v>
      </c>
      <c r="G1264" s="3" t="str">
        <f>HYPERLINK("http://funmeta.oebiotech.com/network/63644", "http://funmeta.oebiotech.com/network/63644")</f>
        <v>http://funmeta.oebiotech.com/network/63644</v>
      </c>
      <c r="H1264" s="2" t="s">
        <v>8568</v>
      </c>
      <c r="I1264" s="2"/>
      <c r="J1264" s="2"/>
      <c r="K1264" s="2"/>
      <c r="L1264" s="2"/>
      <c r="M1264" s="2"/>
      <c r="N1264" s="2"/>
      <c r="O1264" s="2">
        <v>131752834</v>
      </c>
      <c r="P1264" s="2" t="s">
        <v>8569</v>
      </c>
      <c r="Q1264" s="2" t="s">
        <v>8570</v>
      </c>
      <c r="R1264" s="2" t="s">
        <v>8571</v>
      </c>
      <c r="S1264" s="2" t="s">
        <v>115</v>
      </c>
      <c r="T1264" s="2" t="s">
        <v>139</v>
      </c>
      <c r="U1264" s="2" t="s">
        <v>140</v>
      </c>
      <c r="V1264" s="2" t="s">
        <v>59</v>
      </c>
      <c r="W1264" s="2">
        <v>39</v>
      </c>
      <c r="X1264" s="2">
        <v>0</v>
      </c>
      <c r="Y1264" s="2" t="s">
        <v>408</v>
      </c>
      <c r="Z1264" s="2" t="s">
        <v>8572</v>
      </c>
      <c r="AA1264" s="2">
        <v>-1.42375650928416</v>
      </c>
      <c r="AB1264" s="2">
        <v>0.61573860052655105</v>
      </c>
      <c r="AC1264" s="2">
        <v>92798.222169511893</v>
      </c>
      <c r="AD1264" s="2">
        <v>64552.590325584097</v>
      </c>
      <c r="AE1264" s="2">
        <v>90617.324579015301</v>
      </c>
      <c r="AF1264" s="2">
        <v>86024.365594042902</v>
      </c>
      <c r="AG1264" s="2">
        <v>82405.557992208996</v>
      </c>
      <c r="AH1264" s="2">
        <v>93797.164696454405</v>
      </c>
      <c r="AI1264" s="2">
        <v>102145.26825631601</v>
      </c>
      <c r="AJ1264" s="2">
        <v>101799.651899034</v>
      </c>
      <c r="AK1264" s="2">
        <v>60241.647942033102</v>
      </c>
      <c r="AL1264" s="2">
        <v>57193.266810758403</v>
      </c>
      <c r="AM1264" s="2">
        <v>75085.0073295373</v>
      </c>
      <c r="AN1264" s="2">
        <v>61223.443347633904</v>
      </c>
      <c r="AO1264" s="2">
        <v>74040.521855794796</v>
      </c>
      <c r="AP1264" s="2">
        <v>59531.654667747003</v>
      </c>
    </row>
    <row r="1265" spans="1:42" ht="14.5" x14ac:dyDescent="0.35">
      <c r="A1265" s="2" t="s">
        <v>8573</v>
      </c>
      <c r="B1265" s="2">
        <v>368.27926287437498</v>
      </c>
      <c r="C1265" s="2">
        <v>11.3090333333333</v>
      </c>
      <c r="D1265" s="2" t="s">
        <v>34</v>
      </c>
      <c r="E1265" s="2" t="s">
        <v>8574</v>
      </c>
      <c r="F1265" s="2">
        <v>64985</v>
      </c>
      <c r="G1265" s="3" t="str">
        <f>HYPERLINK("http://funmeta.oebiotech.com/network/64985", "http://funmeta.oebiotech.com/network/64985")</f>
        <v>http://funmeta.oebiotech.com/network/64985</v>
      </c>
      <c r="H1265" s="2" t="s">
        <v>8575</v>
      </c>
      <c r="I1265" s="2">
        <v>70840</v>
      </c>
      <c r="J1265" s="2"/>
      <c r="K1265" s="2">
        <v>79870</v>
      </c>
      <c r="L1265" s="2" t="s">
        <v>8576</v>
      </c>
      <c r="M1265" s="2"/>
      <c r="N1265" s="2"/>
      <c r="O1265" s="2">
        <v>150786</v>
      </c>
      <c r="P1265" s="2" t="s">
        <v>8577</v>
      </c>
      <c r="Q1265" s="2" t="s">
        <v>8578</v>
      </c>
      <c r="R1265" s="2" t="s">
        <v>8579</v>
      </c>
      <c r="S1265" s="2" t="s">
        <v>50</v>
      </c>
      <c r="T1265" s="2" t="s">
        <v>124</v>
      </c>
      <c r="U1265" s="2" t="s">
        <v>929</v>
      </c>
      <c r="V1265" s="2" t="s">
        <v>59</v>
      </c>
      <c r="W1265" s="2">
        <v>40.4</v>
      </c>
      <c r="X1265" s="2">
        <v>6.56</v>
      </c>
      <c r="Y1265" s="2" t="s">
        <v>43</v>
      </c>
      <c r="Z1265" s="2" t="s">
        <v>8580</v>
      </c>
      <c r="AA1265" s="2">
        <v>-0.77723791490362903</v>
      </c>
      <c r="AB1265" s="2">
        <v>0.61548146739092002</v>
      </c>
      <c r="AC1265" s="2">
        <v>34064.194852565503</v>
      </c>
      <c r="AD1265" s="2">
        <v>8405.8020896312391</v>
      </c>
      <c r="AE1265" s="2">
        <v>40492.057936203397</v>
      </c>
      <c r="AF1265" s="2">
        <v>28473.166327366602</v>
      </c>
      <c r="AG1265" s="2">
        <v>31574.5694412702</v>
      </c>
      <c r="AH1265" s="2">
        <v>35797.8802809423</v>
      </c>
      <c r="AI1265" s="2">
        <v>29377.7880923761</v>
      </c>
      <c r="AJ1265" s="2">
        <v>38669.707037234599</v>
      </c>
      <c r="AK1265" s="2">
        <v>8810.6984017164305</v>
      </c>
      <c r="AL1265" s="2">
        <v>10041.551774547001</v>
      </c>
      <c r="AM1265" s="2">
        <v>7207.1041657628903</v>
      </c>
      <c r="AN1265" s="2">
        <v>8953.4080293043808</v>
      </c>
      <c r="AO1265" s="2">
        <v>9534.5011026141201</v>
      </c>
      <c r="AP1265" s="2">
        <v>5887.5490638426199</v>
      </c>
    </row>
    <row r="1266" spans="1:42" ht="14.5" x14ac:dyDescent="0.35">
      <c r="A1266" s="2" t="s">
        <v>8581</v>
      </c>
      <c r="B1266" s="2">
        <v>863.30863294558696</v>
      </c>
      <c r="C1266" s="2">
        <v>7.5886500000000003</v>
      </c>
      <c r="D1266" s="2" t="s">
        <v>70</v>
      </c>
      <c r="E1266" s="2" t="s">
        <v>8582</v>
      </c>
      <c r="F1266" s="2">
        <v>31623</v>
      </c>
      <c r="G1266" s="3" t="str">
        <f>HYPERLINK("http://funmeta.oebiotech.com/network/31623", "http://funmeta.oebiotech.com/network/31623")</f>
        <v>http://funmeta.oebiotech.com/network/31623</v>
      </c>
      <c r="H1266" s="2"/>
      <c r="I1266" s="2">
        <v>49956</v>
      </c>
      <c r="J1266" s="2" t="s">
        <v>8583</v>
      </c>
      <c r="K1266" s="2"/>
      <c r="L1266" s="2"/>
      <c r="M1266" s="2"/>
      <c r="N1266" s="2"/>
      <c r="O1266" s="2">
        <v>44258670</v>
      </c>
      <c r="P1266" s="2"/>
      <c r="Q1266" s="2" t="s">
        <v>8584</v>
      </c>
      <c r="R1266" s="2" t="s">
        <v>8585</v>
      </c>
      <c r="S1266" s="2" t="s">
        <v>115</v>
      </c>
      <c r="T1266" s="2" t="s">
        <v>139</v>
      </c>
      <c r="U1266" s="2" t="s">
        <v>8586</v>
      </c>
      <c r="V1266" s="2" t="s">
        <v>59</v>
      </c>
      <c r="W1266" s="2">
        <v>36.6</v>
      </c>
      <c r="X1266" s="2">
        <v>0</v>
      </c>
      <c r="Y1266" s="2" t="s">
        <v>560</v>
      </c>
      <c r="Z1266" s="2" t="s">
        <v>8587</v>
      </c>
      <c r="AA1266" s="2">
        <v>1.54157241120668</v>
      </c>
      <c r="AB1266" s="2">
        <v>0.61531747770279799</v>
      </c>
      <c r="AC1266" s="2">
        <v>63561.685662553602</v>
      </c>
      <c r="AD1266" s="2">
        <v>89368.908244121005</v>
      </c>
      <c r="AE1266" s="2">
        <v>68290.994499622699</v>
      </c>
      <c r="AF1266" s="2">
        <v>59476.197588688097</v>
      </c>
      <c r="AG1266" s="2">
        <v>62651.922444895099</v>
      </c>
      <c r="AH1266" s="2">
        <v>63623.274613281101</v>
      </c>
      <c r="AI1266" s="2">
        <v>65628.771332673801</v>
      </c>
      <c r="AJ1266" s="2">
        <v>61698.953496160997</v>
      </c>
      <c r="AK1266" s="2">
        <v>97454.116542743199</v>
      </c>
      <c r="AL1266" s="2">
        <v>88613.755594430302</v>
      </c>
      <c r="AM1266" s="2">
        <v>84136.440754744704</v>
      </c>
      <c r="AN1266" s="2">
        <v>85598.127668360801</v>
      </c>
      <c r="AO1266" s="2">
        <v>90237.787992305995</v>
      </c>
      <c r="AP1266" s="2">
        <v>90173.220912140896</v>
      </c>
    </row>
    <row r="1267" spans="1:42" ht="14.5" x14ac:dyDescent="0.35">
      <c r="A1267" s="2" t="s">
        <v>8588</v>
      </c>
      <c r="B1267" s="2">
        <v>689.27131409850097</v>
      </c>
      <c r="C1267" s="2">
        <v>11.561633333333299</v>
      </c>
      <c r="D1267" s="2" t="s">
        <v>34</v>
      </c>
      <c r="E1267" s="2" t="s">
        <v>8589</v>
      </c>
      <c r="F1267" s="2">
        <v>202740</v>
      </c>
      <c r="G1267" s="3" t="str">
        <f>HYPERLINK("http://funmeta.oebiotech.com/network/202740", "http://funmeta.oebiotech.com/network/202740")</f>
        <v>http://funmeta.oebiotech.com/network/202740</v>
      </c>
      <c r="H1267" s="2" t="s">
        <v>8590</v>
      </c>
      <c r="I1267" s="2"/>
      <c r="J1267" s="2"/>
      <c r="K1267" s="2"/>
      <c r="L1267" s="2"/>
      <c r="M1267" s="2"/>
      <c r="N1267" s="2"/>
      <c r="O1267" s="2"/>
      <c r="P1267" s="2"/>
      <c r="Q1267" s="2" t="s">
        <v>8591</v>
      </c>
      <c r="R1267" s="2" t="s">
        <v>8592</v>
      </c>
      <c r="S1267" s="2" t="s">
        <v>148</v>
      </c>
      <c r="T1267" s="2" t="s">
        <v>149</v>
      </c>
      <c r="U1267" s="2" t="s">
        <v>4630</v>
      </c>
      <c r="V1267" s="2" t="s">
        <v>59</v>
      </c>
      <c r="W1267" s="2">
        <v>38</v>
      </c>
      <c r="X1267" s="2">
        <v>0</v>
      </c>
      <c r="Y1267" s="2" t="s">
        <v>394</v>
      </c>
      <c r="Z1267" s="2" t="s">
        <v>8593</v>
      </c>
      <c r="AA1267" s="2">
        <v>-0.74078163701033595</v>
      </c>
      <c r="AB1267" s="2">
        <v>0.61462424400026705</v>
      </c>
      <c r="AC1267" s="2">
        <v>50192.1776191557</v>
      </c>
      <c r="AD1267" s="2">
        <v>24930.770384652598</v>
      </c>
      <c r="AE1267" s="2">
        <v>51062.7935341142</v>
      </c>
      <c r="AF1267" s="2">
        <v>52366.237971702903</v>
      </c>
      <c r="AG1267" s="2">
        <v>51451.717114138999</v>
      </c>
      <c r="AH1267" s="2">
        <v>46009.305960766498</v>
      </c>
      <c r="AI1267" s="2">
        <v>48832.819128930401</v>
      </c>
      <c r="AJ1267" s="2">
        <v>51430.192005281002</v>
      </c>
      <c r="AK1267" s="2">
        <v>28595.772168323499</v>
      </c>
      <c r="AL1267" s="2">
        <v>29276.9566079053</v>
      </c>
      <c r="AM1267" s="2">
        <v>20608.540972368701</v>
      </c>
      <c r="AN1267" s="2">
        <v>22218.3218305921</v>
      </c>
      <c r="AO1267" s="2">
        <v>24348.3950268689</v>
      </c>
      <c r="AP1267" s="2">
        <v>24536.635701857202</v>
      </c>
    </row>
    <row r="1268" spans="1:42" ht="14.5" x14ac:dyDescent="0.35">
      <c r="A1268" s="2" t="s">
        <v>8594</v>
      </c>
      <c r="B1268" s="2">
        <v>599.40928323083301</v>
      </c>
      <c r="C1268" s="2">
        <v>10.455550000000001</v>
      </c>
      <c r="D1268" s="2" t="s">
        <v>34</v>
      </c>
      <c r="E1268" s="2" t="s">
        <v>8595</v>
      </c>
      <c r="F1268" s="2">
        <v>61289</v>
      </c>
      <c r="G1268" s="3" t="str">
        <f>HYPERLINK("http://funmeta.oebiotech.com/network/61289", "http://funmeta.oebiotech.com/network/61289")</f>
        <v>http://funmeta.oebiotech.com/network/61289</v>
      </c>
      <c r="H1268" s="2" t="s">
        <v>8596</v>
      </c>
      <c r="I1268" s="2">
        <v>92609</v>
      </c>
      <c r="J1268" s="2"/>
      <c r="K1268" s="2">
        <v>176237</v>
      </c>
      <c r="L1268" s="2"/>
      <c r="M1268" s="2"/>
      <c r="N1268" s="2"/>
      <c r="O1268" s="2">
        <v>131752236</v>
      </c>
      <c r="P1268" s="2" t="s">
        <v>8597</v>
      </c>
      <c r="Q1268" s="2" t="s">
        <v>8598</v>
      </c>
      <c r="R1268" s="2" t="s">
        <v>8599</v>
      </c>
      <c r="S1268" s="2" t="s">
        <v>50</v>
      </c>
      <c r="T1268" s="2" t="s">
        <v>201</v>
      </c>
      <c r="U1268" s="2" t="s">
        <v>1634</v>
      </c>
      <c r="V1268" s="2" t="s">
        <v>42</v>
      </c>
      <c r="W1268" s="2">
        <v>47.9</v>
      </c>
      <c r="X1268" s="2">
        <v>50.8</v>
      </c>
      <c r="Y1268" s="2" t="s">
        <v>141</v>
      </c>
      <c r="Z1268" s="2" t="s">
        <v>8600</v>
      </c>
      <c r="AA1268" s="2">
        <v>-0.32999459894433403</v>
      </c>
      <c r="AB1268" s="2">
        <v>0.61435471484822402</v>
      </c>
      <c r="AC1268" s="2">
        <v>84447.904552923603</v>
      </c>
      <c r="AD1268" s="2">
        <v>53628.166438975903</v>
      </c>
      <c r="AE1268" s="2">
        <v>78034.883509987907</v>
      </c>
      <c r="AF1268" s="2">
        <v>69075.179365625794</v>
      </c>
      <c r="AG1268" s="2">
        <v>65730.289625626596</v>
      </c>
      <c r="AH1268" s="2">
        <v>108905.676426263</v>
      </c>
      <c r="AI1268" s="2">
        <v>95447.343680296806</v>
      </c>
      <c r="AJ1268" s="2">
        <v>89494.054709741395</v>
      </c>
      <c r="AK1268" s="2">
        <v>59141.127950439703</v>
      </c>
      <c r="AL1268" s="2">
        <v>48536.977727459001</v>
      </c>
      <c r="AM1268" s="2">
        <v>48817.737339238003</v>
      </c>
      <c r="AN1268" s="2">
        <v>55142.582542292599</v>
      </c>
      <c r="AO1268" s="2">
        <v>58183.722894514904</v>
      </c>
      <c r="AP1268" s="2">
        <v>51946.850179911002</v>
      </c>
    </row>
    <row r="1269" spans="1:42" ht="14.5" x14ac:dyDescent="0.35">
      <c r="A1269" s="2" t="s">
        <v>8601</v>
      </c>
      <c r="B1269" s="2">
        <v>371.03816973905799</v>
      </c>
      <c r="C1269" s="2">
        <v>4.9166499999999997</v>
      </c>
      <c r="D1269" s="2" t="s">
        <v>70</v>
      </c>
      <c r="E1269" s="2" t="s">
        <v>8602</v>
      </c>
      <c r="F1269" s="2">
        <v>207186</v>
      </c>
      <c r="G1269" s="3" t="str">
        <f>HYPERLINK("http://funmeta.oebiotech.com/network/207186", "http://funmeta.oebiotech.com/network/207186")</f>
        <v>http://funmeta.oebiotech.com/network/207186</v>
      </c>
      <c r="H1269" s="2" t="s">
        <v>8603</v>
      </c>
      <c r="I1269" s="2"/>
      <c r="J1269" s="2"/>
      <c r="K1269" s="2"/>
      <c r="L1269" s="2"/>
      <c r="M1269" s="2"/>
      <c r="N1269" s="2"/>
      <c r="O1269" s="2"/>
      <c r="P1269" s="2"/>
      <c r="Q1269" s="2" t="s">
        <v>8604</v>
      </c>
      <c r="R1269" s="2" t="s">
        <v>8605</v>
      </c>
      <c r="S1269" s="2" t="s">
        <v>491</v>
      </c>
      <c r="T1269" s="2" t="s">
        <v>5190</v>
      </c>
      <c r="U1269" s="2" t="s">
        <v>5191</v>
      </c>
      <c r="V1269" s="2" t="s">
        <v>59</v>
      </c>
      <c r="W1269" s="2">
        <v>38.200000000000003</v>
      </c>
      <c r="X1269" s="2">
        <v>3.38</v>
      </c>
      <c r="Y1269" s="2" t="s">
        <v>286</v>
      </c>
      <c r="Z1269" s="2" t="s">
        <v>8606</v>
      </c>
      <c r="AA1269" s="2">
        <v>1.43520107114398</v>
      </c>
      <c r="AB1269" s="2">
        <v>0.61379891208593196</v>
      </c>
      <c r="AC1269" s="2">
        <v>28390.288772799398</v>
      </c>
      <c r="AD1269" s="2">
        <v>53698.675488597102</v>
      </c>
      <c r="AE1269" s="2">
        <v>28618.637356258801</v>
      </c>
      <c r="AF1269" s="2">
        <v>34728.945121729397</v>
      </c>
      <c r="AG1269" s="2">
        <v>26480.638608445701</v>
      </c>
      <c r="AH1269" s="2">
        <v>23337.743258464201</v>
      </c>
      <c r="AI1269" s="2">
        <v>27879.412874340502</v>
      </c>
      <c r="AJ1269" s="2">
        <v>29296.355417557799</v>
      </c>
      <c r="AK1269" s="2">
        <v>56194.802730712698</v>
      </c>
      <c r="AL1269" s="2">
        <v>55355.7346926053</v>
      </c>
      <c r="AM1269" s="2">
        <v>53357.158358929097</v>
      </c>
      <c r="AN1269" s="2">
        <v>51946.994546471899</v>
      </c>
      <c r="AO1269" s="2">
        <v>52300.958818468702</v>
      </c>
      <c r="AP1269" s="2">
        <v>53036.403784394999</v>
      </c>
    </row>
    <row r="1270" spans="1:42" ht="14.5" x14ac:dyDescent="0.35">
      <c r="A1270" s="2" t="s">
        <v>8607</v>
      </c>
      <c r="B1270" s="2">
        <v>871.01733014845104</v>
      </c>
      <c r="C1270" s="2">
        <v>5.1996333333333302</v>
      </c>
      <c r="D1270" s="2" t="s">
        <v>34</v>
      </c>
      <c r="E1270" s="2" t="s">
        <v>8608</v>
      </c>
      <c r="F1270" s="2">
        <v>48171</v>
      </c>
      <c r="G1270" s="3" t="str">
        <f>HYPERLINK("http://funmeta.oebiotech.com/network/48171", "http://funmeta.oebiotech.com/network/48171")</f>
        <v>http://funmeta.oebiotech.com/network/48171</v>
      </c>
      <c r="H1270" s="2" t="s">
        <v>8609</v>
      </c>
      <c r="I1270" s="2">
        <v>58176</v>
      </c>
      <c r="J1270" s="2"/>
      <c r="K1270" s="2">
        <v>28400</v>
      </c>
      <c r="L1270" s="2" t="s">
        <v>8610</v>
      </c>
      <c r="M1270" s="2" t="s">
        <v>4932</v>
      </c>
      <c r="N1270" s="2" t="s">
        <v>4933</v>
      </c>
      <c r="O1270" s="2">
        <v>440322</v>
      </c>
      <c r="P1270" s="2"/>
      <c r="Q1270" s="2" t="s">
        <v>8611</v>
      </c>
      <c r="R1270" s="2" t="s">
        <v>8612</v>
      </c>
      <c r="S1270" s="2" t="s">
        <v>1444</v>
      </c>
      <c r="T1270" s="2" t="s">
        <v>8613</v>
      </c>
      <c r="U1270" s="2" t="s">
        <v>41</v>
      </c>
      <c r="V1270" s="2" t="s">
        <v>59</v>
      </c>
      <c r="W1270" s="2">
        <v>36.299999999999997</v>
      </c>
      <c r="X1270" s="2">
        <v>0</v>
      </c>
      <c r="Y1270" s="2" t="s">
        <v>67</v>
      </c>
      <c r="Z1270" s="2" t="s">
        <v>8614</v>
      </c>
      <c r="AA1270" s="2">
        <v>4.51499619950979</v>
      </c>
      <c r="AB1270" s="2">
        <v>0.61243619128994997</v>
      </c>
      <c r="AC1270" s="2">
        <v>127761.938769922</v>
      </c>
      <c r="AD1270" s="2">
        <v>97913.382483403606</v>
      </c>
      <c r="AE1270" s="2">
        <v>143653.916131076</v>
      </c>
      <c r="AF1270" s="2">
        <v>129621.89054351101</v>
      </c>
      <c r="AG1270" s="2">
        <v>125382.63329986</v>
      </c>
      <c r="AH1270" s="2">
        <v>131020.037813367</v>
      </c>
      <c r="AI1270" s="2">
        <v>120762.00014604699</v>
      </c>
      <c r="AJ1270" s="2">
        <v>116131.154685671</v>
      </c>
      <c r="AK1270" s="2">
        <v>97378.217387942394</v>
      </c>
      <c r="AL1270" s="2">
        <v>102522.1700552</v>
      </c>
      <c r="AM1270" s="2">
        <v>101662.525097829</v>
      </c>
      <c r="AN1270" s="2">
        <v>85544.080414069307</v>
      </c>
      <c r="AO1270" s="2">
        <v>118089.21845838601</v>
      </c>
      <c r="AP1270" s="2">
        <v>82284.083486994801</v>
      </c>
    </row>
    <row r="1271" spans="1:42" ht="14.5" x14ac:dyDescent="0.35">
      <c r="A1271" s="2" t="s">
        <v>8615</v>
      </c>
      <c r="B1271" s="2">
        <v>555.24424357578698</v>
      </c>
      <c r="C1271" s="2">
        <v>5.6725000000000003</v>
      </c>
      <c r="D1271" s="2" t="s">
        <v>70</v>
      </c>
      <c r="E1271" s="2" t="s">
        <v>8616</v>
      </c>
      <c r="F1271" s="2">
        <v>54040</v>
      </c>
      <c r="G1271" s="3" t="str">
        <f>HYPERLINK("http://funmeta.oebiotech.com/network/54040", "http://funmeta.oebiotech.com/network/54040")</f>
        <v>http://funmeta.oebiotech.com/network/54040</v>
      </c>
      <c r="H1271" s="2" t="s">
        <v>8617</v>
      </c>
      <c r="I1271" s="2"/>
      <c r="J1271" s="2"/>
      <c r="K1271" s="2"/>
      <c r="L1271" s="2"/>
      <c r="M1271" s="2"/>
      <c r="N1271" s="2"/>
      <c r="O1271" s="2">
        <v>22395834</v>
      </c>
      <c r="P1271" s="2"/>
      <c r="Q1271" s="2" t="s">
        <v>8618</v>
      </c>
      <c r="R1271" s="2" t="s">
        <v>8619</v>
      </c>
      <c r="S1271" s="2" t="s">
        <v>89</v>
      </c>
      <c r="T1271" s="2" t="s">
        <v>90</v>
      </c>
      <c r="U1271" s="2" t="s">
        <v>99</v>
      </c>
      <c r="V1271" s="2" t="s">
        <v>59</v>
      </c>
      <c r="W1271" s="2">
        <v>40.799999999999997</v>
      </c>
      <c r="X1271" s="2">
        <v>21.2</v>
      </c>
      <c r="Y1271" s="2" t="s">
        <v>560</v>
      </c>
      <c r="Z1271" s="2" t="s">
        <v>1983</v>
      </c>
      <c r="AA1271" s="2">
        <v>-3.22536939154993</v>
      </c>
      <c r="AB1271" s="2">
        <v>0.61190295083243895</v>
      </c>
      <c r="AC1271" s="2">
        <v>837682.00612899102</v>
      </c>
      <c r="AD1271" s="2">
        <v>793349.07411950699</v>
      </c>
      <c r="AE1271" s="2">
        <v>843139.09497592505</v>
      </c>
      <c r="AF1271" s="2">
        <v>799097.97829044599</v>
      </c>
      <c r="AG1271" s="2">
        <v>837147.243404145</v>
      </c>
      <c r="AH1271" s="2">
        <v>830751.93307515001</v>
      </c>
      <c r="AI1271" s="2">
        <v>826016.60770126304</v>
      </c>
      <c r="AJ1271" s="2">
        <v>889939.17932701996</v>
      </c>
      <c r="AK1271" s="2">
        <v>739987.19614289701</v>
      </c>
      <c r="AL1271" s="2">
        <v>844173.91008428601</v>
      </c>
      <c r="AM1271" s="2">
        <v>845365.88252033503</v>
      </c>
      <c r="AN1271" s="2">
        <v>777921.78059563797</v>
      </c>
      <c r="AO1271" s="2">
        <v>777705.80085991498</v>
      </c>
      <c r="AP1271" s="2">
        <v>774939.87451396999</v>
      </c>
    </row>
    <row r="1272" spans="1:42" ht="14.5" x14ac:dyDescent="0.35">
      <c r="A1272" s="2" t="s">
        <v>8620</v>
      </c>
      <c r="B1272" s="2">
        <v>635.27196372495303</v>
      </c>
      <c r="C1272" s="2">
        <v>5.3579833333333298</v>
      </c>
      <c r="D1272" s="2" t="s">
        <v>70</v>
      </c>
      <c r="E1272" s="2" t="s">
        <v>8621</v>
      </c>
      <c r="F1272" s="2">
        <v>44689</v>
      </c>
      <c r="G1272" s="3" t="str">
        <f>HYPERLINK("http://funmeta.oebiotech.com/network/44689", "http://funmeta.oebiotech.com/network/44689")</f>
        <v>http://funmeta.oebiotech.com/network/44689</v>
      </c>
      <c r="H1272" s="2"/>
      <c r="I1272" s="2"/>
      <c r="J1272" s="2" t="s">
        <v>8622</v>
      </c>
      <c r="K1272" s="2"/>
      <c r="L1272" s="2"/>
      <c r="M1272" s="2"/>
      <c r="N1272" s="2"/>
      <c r="O1272" s="2">
        <v>44573473</v>
      </c>
      <c r="P1272" s="2"/>
      <c r="Q1272" s="2" t="s">
        <v>8623</v>
      </c>
      <c r="R1272" s="2" t="s">
        <v>8624</v>
      </c>
      <c r="S1272" s="2" t="s">
        <v>50</v>
      </c>
      <c r="T1272" s="2" t="s">
        <v>124</v>
      </c>
      <c r="U1272" s="2" t="s">
        <v>567</v>
      </c>
      <c r="V1272" s="2" t="s">
        <v>42</v>
      </c>
      <c r="W1272" s="2">
        <v>53.9</v>
      </c>
      <c r="X1272" s="2">
        <v>75.2</v>
      </c>
      <c r="Y1272" s="2" t="s">
        <v>408</v>
      </c>
      <c r="Z1272" s="2" t="s">
        <v>8625</v>
      </c>
      <c r="AA1272" s="2">
        <v>1.77662431463308</v>
      </c>
      <c r="AB1272" s="2">
        <v>0.61151376948289804</v>
      </c>
      <c r="AC1272" s="2">
        <v>1935414.5034592</v>
      </c>
      <c r="AD1272" s="2">
        <v>1882513.5131609801</v>
      </c>
      <c r="AE1272" s="2">
        <v>2012660.0225593899</v>
      </c>
      <c r="AF1272" s="2">
        <v>1882404.3282783199</v>
      </c>
      <c r="AG1272" s="2">
        <v>2001674.35363255</v>
      </c>
      <c r="AH1272" s="2">
        <v>1890289.77809785</v>
      </c>
      <c r="AI1272" s="2">
        <v>1880523.6604706601</v>
      </c>
      <c r="AJ1272" s="2">
        <v>1944934.87771644</v>
      </c>
      <c r="AK1272" s="2">
        <v>1810931.40023616</v>
      </c>
      <c r="AL1272" s="2">
        <v>1924533.9665446801</v>
      </c>
      <c r="AM1272" s="2">
        <v>1885858.36809241</v>
      </c>
      <c r="AN1272" s="2">
        <v>1953259.2424588201</v>
      </c>
      <c r="AO1272" s="2">
        <v>1874166.8360877701</v>
      </c>
      <c r="AP1272" s="2">
        <v>1846331.2655460299</v>
      </c>
    </row>
    <row r="1273" spans="1:42" ht="14.5" x14ac:dyDescent="0.35">
      <c r="A1273" s="2" t="s">
        <v>8626</v>
      </c>
      <c r="B1273" s="2">
        <v>229.047693096839</v>
      </c>
      <c r="C1273" s="2">
        <v>0.71055000000000001</v>
      </c>
      <c r="D1273" s="2" t="s">
        <v>70</v>
      </c>
      <c r="E1273" s="2" t="s">
        <v>8627</v>
      </c>
      <c r="F1273" s="2">
        <v>212645</v>
      </c>
      <c r="G1273" s="3" t="str">
        <f>HYPERLINK("http://funmeta.oebiotech.com/network/212645", "http://funmeta.oebiotech.com/network/212645")</f>
        <v>http://funmeta.oebiotech.com/network/212645</v>
      </c>
      <c r="H1273" s="2" t="s">
        <v>8628</v>
      </c>
      <c r="I1273" s="2">
        <v>45164</v>
      </c>
      <c r="J1273" s="2"/>
      <c r="K1273" s="2"/>
      <c r="L1273" s="2"/>
      <c r="M1273" s="2"/>
      <c r="N1273" s="2"/>
      <c r="O1273" s="2">
        <v>135409350</v>
      </c>
      <c r="P1273" s="2" t="s">
        <v>8629</v>
      </c>
      <c r="Q1273" s="2" t="s">
        <v>8630</v>
      </c>
      <c r="R1273" s="2" t="s">
        <v>8631</v>
      </c>
      <c r="S1273" s="2" t="s">
        <v>148</v>
      </c>
      <c r="T1273" s="2" t="s">
        <v>392</v>
      </c>
      <c r="U1273" s="2" t="s">
        <v>8632</v>
      </c>
      <c r="V1273" s="2" t="s">
        <v>59</v>
      </c>
      <c r="W1273" s="2">
        <v>38.1</v>
      </c>
      <c r="X1273" s="2">
        <v>0</v>
      </c>
      <c r="Y1273" s="2" t="s">
        <v>1395</v>
      </c>
      <c r="Z1273" s="2" t="s">
        <v>8633</v>
      </c>
      <c r="AA1273" s="2">
        <v>5.8869427800858798</v>
      </c>
      <c r="AB1273" s="2">
        <v>0.61115398164863999</v>
      </c>
      <c r="AC1273" s="2">
        <v>384580.053962973</v>
      </c>
      <c r="AD1273" s="2">
        <v>442902.01915393898</v>
      </c>
      <c r="AE1273" s="2">
        <v>326728.53731798899</v>
      </c>
      <c r="AF1273" s="2">
        <v>448802.01714102901</v>
      </c>
      <c r="AG1273" s="2">
        <v>332427.42829620698</v>
      </c>
      <c r="AH1273" s="2">
        <v>464154.26928054</v>
      </c>
      <c r="AI1273" s="2">
        <v>443503.16831867403</v>
      </c>
      <c r="AJ1273" s="2">
        <v>291864.90342339699</v>
      </c>
      <c r="AK1273" s="2">
        <v>474376.234561469</v>
      </c>
      <c r="AL1273" s="2">
        <v>448617.834778024</v>
      </c>
      <c r="AM1273" s="2">
        <v>369809.18498465698</v>
      </c>
      <c r="AN1273" s="2">
        <v>483798.87515919801</v>
      </c>
      <c r="AO1273" s="2">
        <v>520706.71206597099</v>
      </c>
      <c r="AP1273" s="2">
        <v>360103.27337431698</v>
      </c>
    </row>
    <row r="1274" spans="1:42" ht="14.5" x14ac:dyDescent="0.35">
      <c r="A1274" s="2" t="s">
        <v>8634</v>
      </c>
      <c r="B1274" s="2">
        <v>499.26621407129301</v>
      </c>
      <c r="C1274" s="2">
        <v>10.036016666666701</v>
      </c>
      <c r="D1274" s="2" t="s">
        <v>34</v>
      </c>
      <c r="E1274" s="2" t="s">
        <v>8635</v>
      </c>
      <c r="F1274" s="2">
        <v>61141</v>
      </c>
      <c r="G1274" s="3" t="str">
        <f>HYPERLINK("http://funmeta.oebiotech.com/network/61141", "http://funmeta.oebiotech.com/network/61141")</f>
        <v>http://funmeta.oebiotech.com/network/61141</v>
      </c>
      <c r="H1274" s="2" t="s">
        <v>8636</v>
      </c>
      <c r="I1274" s="2"/>
      <c r="J1274" s="2"/>
      <c r="K1274" s="2"/>
      <c r="L1274" s="2"/>
      <c r="M1274" s="2"/>
      <c r="N1274" s="2"/>
      <c r="O1274" s="2">
        <v>14109383</v>
      </c>
      <c r="P1274" s="2" t="s">
        <v>8637</v>
      </c>
      <c r="Q1274" s="2" t="s">
        <v>8638</v>
      </c>
      <c r="R1274" s="2" t="s">
        <v>8639</v>
      </c>
      <c r="S1274" s="2" t="s">
        <v>50</v>
      </c>
      <c r="T1274" s="2" t="s">
        <v>201</v>
      </c>
      <c r="U1274" s="2" t="s">
        <v>210</v>
      </c>
      <c r="V1274" s="2" t="s">
        <v>59</v>
      </c>
      <c r="W1274" s="2">
        <v>45.6</v>
      </c>
      <c r="X1274" s="2">
        <v>31.7</v>
      </c>
      <c r="Y1274" s="2" t="s">
        <v>176</v>
      </c>
      <c r="Z1274" s="2" t="s">
        <v>8640</v>
      </c>
      <c r="AA1274" s="2">
        <v>-0.86132246500745202</v>
      </c>
      <c r="AB1274" s="2">
        <v>0.61077082027355101</v>
      </c>
      <c r="AC1274" s="2">
        <v>234331.76825995199</v>
      </c>
      <c r="AD1274" s="2">
        <v>268495.91864207602</v>
      </c>
      <c r="AE1274" s="2">
        <v>252197.53792721199</v>
      </c>
      <c r="AF1274" s="2">
        <v>235996.80751578699</v>
      </c>
      <c r="AG1274" s="2">
        <v>228937.65458570799</v>
      </c>
      <c r="AH1274" s="2">
        <v>225484.08801526501</v>
      </c>
      <c r="AI1274" s="2">
        <v>214273.64941148501</v>
      </c>
      <c r="AJ1274" s="2">
        <v>249100.87210425499</v>
      </c>
      <c r="AK1274" s="2">
        <v>293625.63261503802</v>
      </c>
      <c r="AL1274" s="2">
        <v>294043.43867184001</v>
      </c>
      <c r="AM1274" s="2">
        <v>260053.756156533</v>
      </c>
      <c r="AN1274" s="2">
        <v>249930.56726456899</v>
      </c>
      <c r="AO1274" s="2">
        <v>250713.65912758699</v>
      </c>
      <c r="AP1274" s="2">
        <v>262608.458016889</v>
      </c>
    </row>
    <row r="1275" spans="1:42" ht="14.5" x14ac:dyDescent="0.35">
      <c r="A1275" s="2" t="s">
        <v>8641</v>
      </c>
      <c r="B1275" s="2">
        <v>683.22029767156096</v>
      </c>
      <c r="C1275" s="2">
        <v>4.3459666666666701</v>
      </c>
      <c r="D1275" s="2" t="s">
        <v>70</v>
      </c>
      <c r="E1275" s="2" t="s">
        <v>8642</v>
      </c>
      <c r="F1275" s="2">
        <v>34634</v>
      </c>
      <c r="G1275" s="3" t="str">
        <f>HYPERLINK("http://funmeta.oebiotech.com/network/34634", "http://funmeta.oebiotech.com/network/34634")</f>
        <v>http://funmeta.oebiotech.com/network/34634</v>
      </c>
      <c r="H1275" s="2"/>
      <c r="I1275" s="2"/>
      <c r="J1275" s="2" t="s">
        <v>8643</v>
      </c>
      <c r="K1275" s="2"/>
      <c r="L1275" s="2"/>
      <c r="M1275" s="2"/>
      <c r="N1275" s="2"/>
      <c r="O1275" s="2">
        <v>10326774</v>
      </c>
      <c r="P1275" s="2"/>
      <c r="Q1275" s="2" t="s">
        <v>8644</v>
      </c>
      <c r="R1275" s="2" t="s">
        <v>8645</v>
      </c>
      <c r="S1275" s="2" t="s">
        <v>115</v>
      </c>
      <c r="T1275" s="2" t="s">
        <v>139</v>
      </c>
      <c r="U1275" s="2" t="s">
        <v>140</v>
      </c>
      <c r="V1275" s="2" t="s">
        <v>59</v>
      </c>
      <c r="W1275" s="2">
        <v>43.4</v>
      </c>
      <c r="X1275" s="2">
        <v>36.6</v>
      </c>
      <c r="Y1275" s="2" t="s">
        <v>408</v>
      </c>
      <c r="Z1275" s="2" t="s">
        <v>8646</v>
      </c>
      <c r="AA1275" s="2">
        <v>1.60491332609684</v>
      </c>
      <c r="AB1275" s="2">
        <v>0.61048617548289896</v>
      </c>
      <c r="AC1275" s="2">
        <v>146368.99128791099</v>
      </c>
      <c r="AD1275" s="2">
        <v>175069.541230534</v>
      </c>
      <c r="AE1275" s="2">
        <v>145720.69323395001</v>
      </c>
      <c r="AF1275" s="2">
        <v>144617.62216729499</v>
      </c>
      <c r="AG1275" s="2">
        <v>141781.279065371</v>
      </c>
      <c r="AH1275" s="2">
        <v>148151.11009608401</v>
      </c>
      <c r="AI1275" s="2">
        <v>144961.33225514501</v>
      </c>
      <c r="AJ1275" s="2">
        <v>152981.91090962</v>
      </c>
      <c r="AK1275" s="2">
        <v>173354.863032856</v>
      </c>
      <c r="AL1275" s="2">
        <v>152390.72623305101</v>
      </c>
      <c r="AM1275" s="2">
        <v>183731.73372696701</v>
      </c>
      <c r="AN1275" s="2">
        <v>168525.226670845</v>
      </c>
      <c r="AO1275" s="2">
        <v>185546.39432542099</v>
      </c>
      <c r="AP1275" s="2">
        <v>186868.303394066</v>
      </c>
    </row>
    <row r="1276" spans="1:42" ht="14.5" x14ac:dyDescent="0.35">
      <c r="A1276" s="2" t="s">
        <v>8647</v>
      </c>
      <c r="B1276" s="2">
        <v>719.21901999946499</v>
      </c>
      <c r="C1276" s="2">
        <v>4.0250666666666701</v>
      </c>
      <c r="D1276" s="2" t="s">
        <v>70</v>
      </c>
      <c r="E1276" s="2" t="s">
        <v>8648</v>
      </c>
      <c r="F1276" s="2">
        <v>30556</v>
      </c>
      <c r="G1276" s="3" t="str">
        <f>HYPERLINK("http://funmeta.oebiotech.com/network/30556", "http://funmeta.oebiotech.com/network/30556")</f>
        <v>http://funmeta.oebiotech.com/network/30556</v>
      </c>
      <c r="H1276" s="2"/>
      <c r="I1276" s="2"/>
      <c r="J1276" s="2" t="s">
        <v>8649</v>
      </c>
      <c r="K1276" s="2"/>
      <c r="L1276" s="2"/>
      <c r="M1276" s="2"/>
      <c r="N1276" s="2"/>
      <c r="O1276" s="2">
        <v>5320054</v>
      </c>
      <c r="P1276" s="2"/>
      <c r="Q1276" s="2" t="s">
        <v>8650</v>
      </c>
      <c r="R1276" s="2" t="s">
        <v>8651</v>
      </c>
      <c r="S1276" s="2" t="s">
        <v>115</v>
      </c>
      <c r="T1276" s="2" t="s">
        <v>139</v>
      </c>
      <c r="U1276" s="2" t="s">
        <v>140</v>
      </c>
      <c r="V1276" s="2" t="s">
        <v>59</v>
      </c>
      <c r="W1276" s="2">
        <v>38.5</v>
      </c>
      <c r="X1276" s="2">
        <v>0</v>
      </c>
      <c r="Y1276" s="2" t="s">
        <v>751</v>
      </c>
      <c r="Z1276" s="2" t="s">
        <v>8652</v>
      </c>
      <c r="AA1276" s="2">
        <v>-0.34322245422407599</v>
      </c>
      <c r="AB1276" s="2">
        <v>0.61047303070695402</v>
      </c>
      <c r="AC1276" s="2">
        <v>39151.370757998797</v>
      </c>
      <c r="AD1276" s="2">
        <v>66066.630113786203</v>
      </c>
      <c r="AE1276" s="2">
        <v>36482.152678111699</v>
      </c>
      <c r="AF1276" s="2">
        <v>41515.3652569115</v>
      </c>
      <c r="AG1276" s="2">
        <v>40431.217474629797</v>
      </c>
      <c r="AH1276" s="2">
        <v>40854.773936051803</v>
      </c>
      <c r="AI1276" s="2">
        <v>32879.607894483299</v>
      </c>
      <c r="AJ1276" s="2">
        <v>42745.107307805003</v>
      </c>
      <c r="AK1276" s="2">
        <v>63436.739627357099</v>
      </c>
      <c r="AL1276" s="2">
        <v>62251.886600566002</v>
      </c>
      <c r="AM1276" s="2">
        <v>70144.631696206299</v>
      </c>
      <c r="AN1276" s="2">
        <v>63995.5093910301</v>
      </c>
      <c r="AO1276" s="2">
        <v>55621.700240238701</v>
      </c>
      <c r="AP1276" s="2">
        <v>80949.313127318805</v>
      </c>
    </row>
    <row r="1277" spans="1:42" ht="14.5" x14ac:dyDescent="0.35">
      <c r="A1277" s="2" t="s">
        <v>8653</v>
      </c>
      <c r="B1277" s="2">
        <v>277.03186699507</v>
      </c>
      <c r="C1277" s="2">
        <v>0.811483333333333</v>
      </c>
      <c r="D1277" s="2" t="s">
        <v>34</v>
      </c>
      <c r="E1277" s="2" t="s">
        <v>8654</v>
      </c>
      <c r="F1277" s="2">
        <v>47513</v>
      </c>
      <c r="G1277" s="3" t="str">
        <f>HYPERLINK("http://funmeta.oebiotech.com/network/47513", "http://funmeta.oebiotech.com/network/47513")</f>
        <v>http://funmeta.oebiotech.com/network/47513</v>
      </c>
      <c r="H1277" s="2" t="s">
        <v>8655</v>
      </c>
      <c r="I1277" s="2">
        <v>367</v>
      </c>
      <c r="J1277" s="2"/>
      <c r="K1277" s="2">
        <v>48928</v>
      </c>
      <c r="L1277" s="2" t="s">
        <v>8656</v>
      </c>
      <c r="M1277" s="2" t="s">
        <v>358</v>
      </c>
      <c r="N1277" s="2" t="s">
        <v>359</v>
      </c>
      <c r="O1277" s="2">
        <v>91493</v>
      </c>
      <c r="P1277" s="2" t="s">
        <v>8657</v>
      </c>
      <c r="Q1277" s="2" t="s">
        <v>8658</v>
      </c>
      <c r="R1277" s="2" t="s">
        <v>8659</v>
      </c>
      <c r="S1277" s="2" t="s">
        <v>79</v>
      </c>
      <c r="T1277" s="2" t="s">
        <v>80</v>
      </c>
      <c r="U1277" s="2" t="s">
        <v>81</v>
      </c>
      <c r="V1277" s="2" t="s">
        <v>59</v>
      </c>
      <c r="W1277" s="2">
        <v>39.5</v>
      </c>
      <c r="X1277" s="2">
        <v>0</v>
      </c>
      <c r="Y1277" s="2" t="s">
        <v>394</v>
      </c>
      <c r="Z1277" s="2" t="s">
        <v>8660</v>
      </c>
      <c r="AA1277" s="2">
        <v>-0.15462185394236</v>
      </c>
      <c r="AB1277" s="2">
        <v>0.61026688552658204</v>
      </c>
      <c r="AC1277" s="2">
        <v>131683.176201505</v>
      </c>
      <c r="AD1277" s="2">
        <v>161556.272159933</v>
      </c>
      <c r="AE1277" s="2">
        <v>127281.32970726299</v>
      </c>
      <c r="AF1277" s="2">
        <v>120840.175519374</v>
      </c>
      <c r="AG1277" s="2">
        <v>141884.41748549699</v>
      </c>
      <c r="AH1277" s="2">
        <v>113294.72867706</v>
      </c>
      <c r="AI1277" s="2">
        <v>144529.26673925901</v>
      </c>
      <c r="AJ1277" s="2">
        <v>142269.139080575</v>
      </c>
      <c r="AK1277" s="2">
        <v>147792.22273011401</v>
      </c>
      <c r="AL1277" s="2">
        <v>160186.944426178</v>
      </c>
      <c r="AM1277" s="2">
        <v>178304.572350267</v>
      </c>
      <c r="AN1277" s="2">
        <v>166659.56971419</v>
      </c>
      <c r="AO1277" s="2">
        <v>160938.296035723</v>
      </c>
      <c r="AP1277" s="2">
        <v>155456.02770312599</v>
      </c>
    </row>
    <row r="1278" spans="1:42" ht="14.5" x14ac:dyDescent="0.35">
      <c r="A1278" s="2" t="s">
        <v>8661</v>
      </c>
      <c r="B1278" s="2">
        <v>182.081207676335</v>
      </c>
      <c r="C1278" s="2">
        <v>1.14655</v>
      </c>
      <c r="D1278" s="2" t="s">
        <v>34</v>
      </c>
      <c r="E1278" s="2" t="s">
        <v>8662</v>
      </c>
      <c r="F1278" s="2">
        <v>47967</v>
      </c>
      <c r="G1278" s="3" t="str">
        <f>HYPERLINK("http://funmeta.oebiotech.com/network/47967", "http://funmeta.oebiotech.com/network/47967")</f>
        <v>http://funmeta.oebiotech.com/network/47967</v>
      </c>
      <c r="H1278" s="2" t="s">
        <v>8663</v>
      </c>
      <c r="I1278" s="2">
        <v>306</v>
      </c>
      <c r="J1278" s="2"/>
      <c r="K1278" s="2">
        <v>18125</v>
      </c>
      <c r="L1278" s="2" t="s">
        <v>8664</v>
      </c>
      <c r="M1278" s="2" t="s">
        <v>8665</v>
      </c>
      <c r="N1278" s="2" t="s">
        <v>8666</v>
      </c>
      <c r="O1278" s="2">
        <v>637540</v>
      </c>
      <c r="P1278" s="2" t="s">
        <v>8667</v>
      </c>
      <c r="Q1278" s="2" t="s">
        <v>8668</v>
      </c>
      <c r="R1278" s="2" t="s">
        <v>8669</v>
      </c>
      <c r="S1278" s="2" t="s">
        <v>115</v>
      </c>
      <c r="T1278" s="2" t="s">
        <v>116</v>
      </c>
      <c r="U1278" s="2" t="s">
        <v>117</v>
      </c>
      <c r="V1278" s="2" t="s">
        <v>42</v>
      </c>
      <c r="W1278" s="2">
        <v>56</v>
      </c>
      <c r="X1278" s="2">
        <v>81.400000000000006</v>
      </c>
      <c r="Y1278" s="2" t="s">
        <v>440</v>
      </c>
      <c r="Z1278" s="2" t="s">
        <v>1036</v>
      </c>
      <c r="AA1278" s="2">
        <v>0.23182999253470801</v>
      </c>
      <c r="AB1278" s="2">
        <v>0.61006187302630899</v>
      </c>
      <c r="AC1278" s="2">
        <v>218353.00425830801</v>
      </c>
      <c r="AD1278" s="2">
        <v>243580.904374434</v>
      </c>
      <c r="AE1278" s="2">
        <v>220292.083663931</v>
      </c>
      <c r="AF1278" s="2">
        <v>216059.48490925701</v>
      </c>
      <c r="AG1278" s="2">
        <v>221720.91905105699</v>
      </c>
      <c r="AH1278" s="2">
        <v>216845.326456512</v>
      </c>
      <c r="AI1278" s="2">
        <v>213269.31967491499</v>
      </c>
      <c r="AJ1278" s="2">
        <v>221930.891794175</v>
      </c>
      <c r="AK1278" s="2">
        <v>240870.57608392899</v>
      </c>
      <c r="AL1278" s="2">
        <v>241485.40532017301</v>
      </c>
      <c r="AM1278" s="2">
        <v>239340.866517071</v>
      </c>
      <c r="AN1278" s="2">
        <v>246757.387037362</v>
      </c>
      <c r="AO1278" s="2">
        <v>245766.055141725</v>
      </c>
      <c r="AP1278" s="2">
        <v>247265.13614634599</v>
      </c>
    </row>
    <row r="1279" spans="1:42" ht="14.5" x14ac:dyDescent="0.35">
      <c r="A1279" s="2" t="s">
        <v>8670</v>
      </c>
      <c r="B1279" s="2">
        <v>481.24416565243899</v>
      </c>
      <c r="C1279" s="2">
        <v>7.6301833333333304</v>
      </c>
      <c r="D1279" s="2" t="s">
        <v>70</v>
      </c>
      <c r="E1279" s="2" t="s">
        <v>8671</v>
      </c>
      <c r="F1279" s="2">
        <v>46662</v>
      </c>
      <c r="G1279" s="3" t="str">
        <f>HYPERLINK("http://funmeta.oebiotech.com/network/46662", "http://funmeta.oebiotech.com/network/46662")</f>
        <v>http://funmeta.oebiotech.com/network/46662</v>
      </c>
      <c r="H1279" s="2" t="s">
        <v>8672</v>
      </c>
      <c r="I1279" s="2">
        <v>61667</v>
      </c>
      <c r="J1279" s="2" t="s">
        <v>8673</v>
      </c>
      <c r="K1279" s="2">
        <v>2198</v>
      </c>
      <c r="L1279" s="2" t="s">
        <v>1994</v>
      </c>
      <c r="M1279" s="2" t="s">
        <v>1995</v>
      </c>
      <c r="N1279" s="2" t="s">
        <v>1996</v>
      </c>
      <c r="O1279" s="2">
        <v>53480452</v>
      </c>
      <c r="P1279" s="2"/>
      <c r="Q1279" s="2" t="s">
        <v>8674</v>
      </c>
      <c r="R1279" s="2" t="s">
        <v>8675</v>
      </c>
      <c r="S1279" s="2" t="s">
        <v>50</v>
      </c>
      <c r="T1279" s="2" t="s">
        <v>124</v>
      </c>
      <c r="U1279" s="2" t="s">
        <v>523</v>
      </c>
      <c r="V1279" s="2" t="s">
        <v>59</v>
      </c>
      <c r="W1279" s="2">
        <v>45</v>
      </c>
      <c r="X1279" s="2">
        <v>29.2</v>
      </c>
      <c r="Y1279" s="2" t="s">
        <v>118</v>
      </c>
      <c r="Z1279" s="2" t="s">
        <v>8676</v>
      </c>
      <c r="AA1279" s="2">
        <v>-0.29177770649204698</v>
      </c>
      <c r="AB1279" s="2">
        <v>0.61000288241028899</v>
      </c>
      <c r="AC1279" s="2">
        <v>24425.927111220299</v>
      </c>
      <c r="AD1279" s="2">
        <v>49083.934037468702</v>
      </c>
      <c r="AE1279" s="2">
        <v>23796.599747859898</v>
      </c>
      <c r="AF1279" s="2">
        <v>21494.398252236599</v>
      </c>
      <c r="AG1279" s="2">
        <v>23657.600749149198</v>
      </c>
      <c r="AH1279" s="2">
        <v>26830.882521844102</v>
      </c>
      <c r="AI1279" s="2">
        <v>27914.731842355301</v>
      </c>
      <c r="AJ1279" s="2">
        <v>22861.349553876898</v>
      </c>
      <c r="AK1279" s="2">
        <v>49274.7171698249</v>
      </c>
      <c r="AL1279" s="2">
        <v>46576.598188459597</v>
      </c>
      <c r="AM1279" s="2">
        <v>47440.339064190499</v>
      </c>
      <c r="AN1279" s="2">
        <v>51401.290208374201</v>
      </c>
      <c r="AO1279" s="2">
        <v>50996.087130800101</v>
      </c>
      <c r="AP1279" s="2">
        <v>48814.572463163</v>
      </c>
    </row>
    <row r="1280" spans="1:42" ht="14.5" x14ac:dyDescent="0.35">
      <c r="A1280" s="2" t="s">
        <v>8677</v>
      </c>
      <c r="B1280" s="2">
        <v>379.211121752586</v>
      </c>
      <c r="C1280" s="2">
        <v>4.4450666666666701</v>
      </c>
      <c r="D1280" s="2" t="s">
        <v>34</v>
      </c>
      <c r="E1280" s="2" t="s">
        <v>8678</v>
      </c>
      <c r="F1280" s="2">
        <v>54534</v>
      </c>
      <c r="G1280" s="3" t="str">
        <f>HYPERLINK("http://funmeta.oebiotech.com/network/54534", "http://funmeta.oebiotech.com/network/54534")</f>
        <v>http://funmeta.oebiotech.com/network/54534</v>
      </c>
      <c r="H1280" s="2" t="s">
        <v>8679</v>
      </c>
      <c r="I1280" s="2">
        <v>86382</v>
      </c>
      <c r="J1280" s="2"/>
      <c r="K1280" s="2">
        <v>168841</v>
      </c>
      <c r="L1280" s="2"/>
      <c r="M1280" s="2"/>
      <c r="N1280" s="2"/>
      <c r="O1280" s="2">
        <v>131750888</v>
      </c>
      <c r="P1280" s="2" t="s">
        <v>8680</v>
      </c>
      <c r="Q1280" s="2" t="s">
        <v>8681</v>
      </c>
      <c r="R1280" s="2" t="s">
        <v>8682</v>
      </c>
      <c r="S1280" s="2" t="s">
        <v>50</v>
      </c>
      <c r="T1280" s="2" t="s">
        <v>201</v>
      </c>
      <c r="U1280" s="2" t="s">
        <v>202</v>
      </c>
      <c r="V1280" s="2" t="s">
        <v>42</v>
      </c>
      <c r="W1280" s="2">
        <v>50.9</v>
      </c>
      <c r="X1280" s="2">
        <v>60.9</v>
      </c>
      <c r="Y1280" s="2" t="s">
        <v>141</v>
      </c>
      <c r="Z1280" s="2" t="s">
        <v>8683</v>
      </c>
      <c r="AA1280" s="2">
        <v>-0.99279625873675503</v>
      </c>
      <c r="AB1280" s="2">
        <v>0.60999054219174098</v>
      </c>
      <c r="AC1280" s="2">
        <v>74045.916992719707</v>
      </c>
      <c r="AD1280" s="2">
        <v>48458.573278682998</v>
      </c>
      <c r="AE1280" s="2">
        <v>67236.4020922544</v>
      </c>
      <c r="AF1280" s="2">
        <v>78583.640346354397</v>
      </c>
      <c r="AG1280" s="2">
        <v>82341.298089195203</v>
      </c>
      <c r="AH1280" s="2">
        <v>76733.290070081697</v>
      </c>
      <c r="AI1280" s="2">
        <v>70107.292831877203</v>
      </c>
      <c r="AJ1280" s="2">
        <v>69273.578526555502</v>
      </c>
      <c r="AK1280" s="2">
        <v>51703.027161689497</v>
      </c>
      <c r="AL1280" s="2">
        <v>46904.325123218601</v>
      </c>
      <c r="AM1280" s="2">
        <v>45312.7534397825</v>
      </c>
      <c r="AN1280" s="2">
        <v>47614.546423084903</v>
      </c>
      <c r="AO1280" s="2">
        <v>49164.163478354501</v>
      </c>
      <c r="AP1280" s="2">
        <v>50052.624045967801</v>
      </c>
    </row>
    <row r="1281" spans="1:42" ht="14.5" x14ac:dyDescent="0.35">
      <c r="A1281" s="2" t="s">
        <v>8684</v>
      </c>
      <c r="B1281" s="2">
        <v>535.18239813328103</v>
      </c>
      <c r="C1281" s="2">
        <v>5.2079666666666702</v>
      </c>
      <c r="D1281" s="2" t="s">
        <v>70</v>
      </c>
      <c r="E1281" s="2" t="s">
        <v>8685</v>
      </c>
      <c r="F1281" s="2">
        <v>64502</v>
      </c>
      <c r="G1281" s="3" t="str">
        <f>HYPERLINK("http://funmeta.oebiotech.com/network/64502", "http://funmeta.oebiotech.com/network/64502")</f>
        <v>http://funmeta.oebiotech.com/network/64502</v>
      </c>
      <c r="H1281" s="2" t="s">
        <v>8686</v>
      </c>
      <c r="I1281" s="2">
        <v>95811</v>
      </c>
      <c r="J1281" s="2"/>
      <c r="K1281" s="2"/>
      <c r="L1281" s="2"/>
      <c r="M1281" s="2"/>
      <c r="N1281" s="2"/>
      <c r="O1281" s="2">
        <v>85117146</v>
      </c>
      <c r="P1281" s="2" t="s">
        <v>8687</v>
      </c>
      <c r="Q1281" s="2" t="s">
        <v>8688</v>
      </c>
      <c r="R1281" s="2" t="s">
        <v>8689</v>
      </c>
      <c r="S1281" s="2" t="s">
        <v>115</v>
      </c>
      <c r="T1281" s="2" t="s">
        <v>758</v>
      </c>
      <c r="U1281" s="2" t="s">
        <v>1477</v>
      </c>
      <c r="V1281" s="2" t="s">
        <v>42</v>
      </c>
      <c r="W1281" s="2">
        <v>51.1</v>
      </c>
      <c r="X1281" s="2">
        <v>63.1</v>
      </c>
      <c r="Y1281" s="2" t="s">
        <v>751</v>
      </c>
      <c r="Z1281" s="2" t="s">
        <v>8690</v>
      </c>
      <c r="AA1281" s="2">
        <v>0.53790806985450201</v>
      </c>
      <c r="AB1281" s="2">
        <v>0.60965382873054497</v>
      </c>
      <c r="AC1281" s="2">
        <v>48616.430267523101</v>
      </c>
      <c r="AD1281" s="2">
        <v>23616.475715504599</v>
      </c>
      <c r="AE1281" s="2">
        <v>50271.7752693234</v>
      </c>
      <c r="AF1281" s="2">
        <v>45295.9377246449</v>
      </c>
      <c r="AG1281" s="2">
        <v>47796.069560000702</v>
      </c>
      <c r="AH1281" s="2">
        <v>47550.581552418902</v>
      </c>
      <c r="AI1281" s="2">
        <v>44959.660615667599</v>
      </c>
      <c r="AJ1281" s="2">
        <v>55824.5568830833</v>
      </c>
      <c r="AK1281" s="2">
        <v>21530.551445850801</v>
      </c>
      <c r="AL1281" s="2">
        <v>23283.985428191401</v>
      </c>
      <c r="AM1281" s="2">
        <v>24319.6640312286</v>
      </c>
      <c r="AN1281" s="2">
        <v>25404.491070153799</v>
      </c>
      <c r="AO1281" s="2">
        <v>21340.450151934001</v>
      </c>
      <c r="AP1281" s="2">
        <v>25819.712165669302</v>
      </c>
    </row>
    <row r="1282" spans="1:42" ht="14.5" x14ac:dyDescent="0.35">
      <c r="A1282" s="2" t="s">
        <v>8691</v>
      </c>
      <c r="B1282" s="2">
        <v>610.30166099591497</v>
      </c>
      <c r="C1282" s="2">
        <v>9.3124666666666691</v>
      </c>
      <c r="D1282" s="2" t="s">
        <v>34</v>
      </c>
      <c r="E1282" s="2" t="s">
        <v>8692</v>
      </c>
      <c r="F1282" s="2">
        <v>210307</v>
      </c>
      <c r="G1282" s="3" t="str">
        <f>HYPERLINK("http://funmeta.oebiotech.com/network/210307", "http://funmeta.oebiotech.com/network/210307")</f>
        <v>http://funmeta.oebiotech.com/network/210307</v>
      </c>
      <c r="H1282" s="2" t="s">
        <v>8693</v>
      </c>
      <c r="I1282" s="2"/>
      <c r="J1282" s="2"/>
      <c r="K1282" s="2"/>
      <c r="L1282" s="2"/>
      <c r="M1282" s="2"/>
      <c r="N1282" s="2"/>
      <c r="O1282" s="2"/>
      <c r="P1282" s="2"/>
      <c r="Q1282" s="2" t="s">
        <v>8694</v>
      </c>
      <c r="R1282" s="2" t="s">
        <v>8695</v>
      </c>
      <c r="S1282" s="2" t="s">
        <v>491</v>
      </c>
      <c r="T1282" s="2" t="s">
        <v>492</v>
      </c>
      <c r="U1282" s="2" t="s">
        <v>41</v>
      </c>
      <c r="V1282" s="2" t="s">
        <v>59</v>
      </c>
      <c r="W1282" s="2">
        <v>42.6</v>
      </c>
      <c r="X1282" s="2">
        <v>21.2</v>
      </c>
      <c r="Y1282" s="2" t="s">
        <v>1129</v>
      </c>
      <c r="Z1282" s="2" t="s">
        <v>8696</v>
      </c>
      <c r="AA1282" s="2">
        <v>-1.2406628366505801</v>
      </c>
      <c r="AB1282" s="2">
        <v>0.60904050388428899</v>
      </c>
      <c r="AC1282" s="2">
        <v>47595.373245657902</v>
      </c>
      <c r="AD1282" s="2">
        <v>22937.4821873002</v>
      </c>
      <c r="AE1282" s="2">
        <v>47154.493217796102</v>
      </c>
      <c r="AF1282" s="2">
        <v>49568.649307940897</v>
      </c>
      <c r="AG1282" s="2">
        <v>51650.590016420603</v>
      </c>
      <c r="AH1282" s="2">
        <v>47783.418548582398</v>
      </c>
      <c r="AI1282" s="2">
        <v>43099.264728658498</v>
      </c>
      <c r="AJ1282" s="2">
        <v>46315.823654549102</v>
      </c>
      <c r="AK1282" s="2">
        <v>24418.2726295744</v>
      </c>
      <c r="AL1282" s="2">
        <v>26186.727249297299</v>
      </c>
      <c r="AM1282" s="2">
        <v>21444.921295872398</v>
      </c>
      <c r="AN1282" s="2">
        <v>20684.778437731002</v>
      </c>
      <c r="AO1282" s="2">
        <v>21558.219781036201</v>
      </c>
      <c r="AP1282" s="2">
        <v>23331.973730289901</v>
      </c>
    </row>
    <row r="1283" spans="1:42" ht="14.5" x14ac:dyDescent="0.35">
      <c r="A1283" s="2" t="s">
        <v>8697</v>
      </c>
      <c r="B1283" s="2">
        <v>355.12448664571099</v>
      </c>
      <c r="C1283" s="2">
        <v>1.5611666666666699</v>
      </c>
      <c r="D1283" s="2" t="s">
        <v>70</v>
      </c>
      <c r="E1283" s="2" t="s">
        <v>8698</v>
      </c>
      <c r="F1283" s="2">
        <v>57775</v>
      </c>
      <c r="G1283" s="3" t="str">
        <f>HYPERLINK("http://funmeta.oebiotech.com/network/57775", "http://funmeta.oebiotech.com/network/57775")</f>
        <v>http://funmeta.oebiotech.com/network/57775</v>
      </c>
      <c r="H1283" s="2" t="s">
        <v>8699</v>
      </c>
      <c r="I1283" s="2">
        <v>89368</v>
      </c>
      <c r="J1283" s="2"/>
      <c r="K1283" s="2">
        <v>133412</v>
      </c>
      <c r="L1283" s="2"/>
      <c r="M1283" s="2"/>
      <c r="N1283" s="2"/>
      <c r="O1283" s="2">
        <v>10713243</v>
      </c>
      <c r="P1283" s="2" t="s">
        <v>8700</v>
      </c>
      <c r="Q1283" s="2" t="s">
        <v>8701</v>
      </c>
      <c r="R1283" s="2" t="s">
        <v>8702</v>
      </c>
      <c r="S1283" s="2" t="s">
        <v>79</v>
      </c>
      <c r="T1283" s="2" t="s">
        <v>80</v>
      </c>
      <c r="U1283" s="2" t="s">
        <v>81</v>
      </c>
      <c r="V1283" s="2" t="s">
        <v>42</v>
      </c>
      <c r="W1283" s="2">
        <v>52.3</v>
      </c>
      <c r="X1283" s="2">
        <v>66</v>
      </c>
      <c r="Y1283" s="2" t="s">
        <v>118</v>
      </c>
      <c r="Z1283" s="2" t="s">
        <v>1578</v>
      </c>
      <c r="AA1283" s="2">
        <v>-0.27660296670013601</v>
      </c>
      <c r="AB1283" s="2">
        <v>0.60867067918351703</v>
      </c>
      <c r="AC1283" s="2">
        <v>93846.426027404406</v>
      </c>
      <c r="AD1283" s="2">
        <v>68282.030884173699</v>
      </c>
      <c r="AE1283" s="2">
        <v>93747.4890989337</v>
      </c>
      <c r="AF1283" s="2">
        <v>95374.520613356901</v>
      </c>
      <c r="AG1283" s="2">
        <v>94293.837987923107</v>
      </c>
      <c r="AH1283" s="2">
        <v>90415.099966949594</v>
      </c>
      <c r="AI1283" s="2">
        <v>99096.324260915106</v>
      </c>
      <c r="AJ1283" s="2">
        <v>90151.284236348307</v>
      </c>
      <c r="AK1283" s="2">
        <v>68460.939534966397</v>
      </c>
      <c r="AL1283" s="2">
        <v>58713.434709670997</v>
      </c>
      <c r="AM1283" s="2">
        <v>69632.556965567099</v>
      </c>
      <c r="AN1283" s="2">
        <v>70794.994214492996</v>
      </c>
      <c r="AO1283" s="2">
        <v>67951.838868658306</v>
      </c>
      <c r="AP1283" s="2">
        <v>74138.421011686194</v>
      </c>
    </row>
    <row r="1284" spans="1:42" ht="14.5" x14ac:dyDescent="0.35">
      <c r="A1284" s="2" t="s">
        <v>8703</v>
      </c>
      <c r="B1284" s="2">
        <v>579.25634330604601</v>
      </c>
      <c r="C1284" s="2">
        <v>8.4708833333333295</v>
      </c>
      <c r="D1284" s="2" t="s">
        <v>34</v>
      </c>
      <c r="E1284" s="2" t="s">
        <v>8704</v>
      </c>
      <c r="F1284" s="2">
        <v>209522</v>
      </c>
      <c r="G1284" s="3" t="str">
        <f>HYPERLINK("http://funmeta.oebiotech.com/network/209522", "http://funmeta.oebiotech.com/network/209522")</f>
        <v>http://funmeta.oebiotech.com/network/209522</v>
      </c>
      <c r="H1284" s="2" t="s">
        <v>8705</v>
      </c>
      <c r="I1284" s="2"/>
      <c r="J1284" s="2"/>
      <c r="K1284" s="2">
        <v>85155</v>
      </c>
      <c r="L1284" s="2"/>
      <c r="M1284" s="2"/>
      <c r="N1284" s="2"/>
      <c r="O1284" s="2"/>
      <c r="P1284" s="2"/>
      <c r="Q1284" s="2" t="s">
        <v>8706</v>
      </c>
      <c r="R1284" s="2" t="s">
        <v>8707</v>
      </c>
      <c r="S1284" s="2" t="s">
        <v>491</v>
      </c>
      <c r="T1284" s="2" t="s">
        <v>5190</v>
      </c>
      <c r="U1284" s="2" t="s">
        <v>5191</v>
      </c>
      <c r="V1284" s="2" t="s">
        <v>59</v>
      </c>
      <c r="W1284" s="2">
        <v>38.6</v>
      </c>
      <c r="X1284" s="2">
        <v>0.14199999999999999</v>
      </c>
      <c r="Y1284" s="2" t="s">
        <v>394</v>
      </c>
      <c r="Z1284" s="2" t="s">
        <v>8708</v>
      </c>
      <c r="AA1284" s="2">
        <v>1.7914268459196301</v>
      </c>
      <c r="AB1284" s="2">
        <v>0.60851103892053304</v>
      </c>
      <c r="AC1284" s="2">
        <v>261921.06631522399</v>
      </c>
      <c r="AD1284" s="2">
        <v>300465.83409348701</v>
      </c>
      <c r="AE1284" s="2">
        <v>243242.736265263</v>
      </c>
      <c r="AF1284" s="2">
        <v>275807.27109035698</v>
      </c>
      <c r="AG1284" s="2">
        <v>282503.79999104398</v>
      </c>
      <c r="AH1284" s="2">
        <v>253171.85822947501</v>
      </c>
      <c r="AI1284" s="2">
        <v>266039.13437418803</v>
      </c>
      <c r="AJ1284" s="2">
        <v>250761.59794101701</v>
      </c>
      <c r="AK1284" s="2">
        <v>266485.58204860298</v>
      </c>
      <c r="AL1284" s="2">
        <v>356907.04529773397</v>
      </c>
      <c r="AM1284" s="2">
        <v>288212.10835924902</v>
      </c>
      <c r="AN1284" s="2">
        <v>322248.028100884</v>
      </c>
      <c r="AO1284" s="2">
        <v>286404.365378552</v>
      </c>
      <c r="AP1284" s="2">
        <v>282537.875375901</v>
      </c>
    </row>
    <row r="1285" spans="1:42" ht="14.5" x14ac:dyDescent="0.35">
      <c r="A1285" s="2" t="s">
        <v>8709</v>
      </c>
      <c r="B1285" s="2">
        <v>672.30282071964803</v>
      </c>
      <c r="C1285" s="2">
        <v>6.4438333333333304</v>
      </c>
      <c r="D1285" s="2" t="s">
        <v>70</v>
      </c>
      <c r="E1285" s="2" t="s">
        <v>8710</v>
      </c>
      <c r="F1285" s="2">
        <v>46808</v>
      </c>
      <c r="G1285" s="3" t="str">
        <f>HYPERLINK("http://funmeta.oebiotech.com/network/46808", "http://funmeta.oebiotech.com/network/46808")</f>
        <v>http://funmeta.oebiotech.com/network/46808</v>
      </c>
      <c r="H1285" s="2"/>
      <c r="I1285" s="2"/>
      <c r="J1285" s="2" t="s">
        <v>8711</v>
      </c>
      <c r="K1285" s="2"/>
      <c r="L1285" s="2"/>
      <c r="M1285" s="2"/>
      <c r="N1285" s="2"/>
      <c r="O1285" s="2">
        <v>23250100</v>
      </c>
      <c r="P1285" s="2"/>
      <c r="Q1285" s="2" t="s">
        <v>8712</v>
      </c>
      <c r="R1285" s="2" t="s">
        <v>8713</v>
      </c>
      <c r="S1285" s="2" t="s">
        <v>50</v>
      </c>
      <c r="T1285" s="2" t="s">
        <v>124</v>
      </c>
      <c r="U1285" s="2" t="s">
        <v>125</v>
      </c>
      <c r="V1285" s="2" t="s">
        <v>59</v>
      </c>
      <c r="W1285" s="2">
        <v>41.8</v>
      </c>
      <c r="X1285" s="2">
        <v>21.3</v>
      </c>
      <c r="Y1285" s="2" t="s">
        <v>118</v>
      </c>
      <c r="Z1285" s="2" t="s">
        <v>8714</v>
      </c>
      <c r="AA1285" s="2">
        <v>-4.6039843799742801</v>
      </c>
      <c r="AB1285" s="2">
        <v>0.60836649646366403</v>
      </c>
      <c r="AC1285" s="2">
        <v>144246.69616034199</v>
      </c>
      <c r="AD1285" s="2">
        <v>170621.58458858801</v>
      </c>
      <c r="AE1285" s="2">
        <v>150083.37182721801</v>
      </c>
      <c r="AF1285" s="2">
        <v>138985.07853065999</v>
      </c>
      <c r="AG1285" s="2">
        <v>140266.00791690301</v>
      </c>
      <c r="AH1285" s="2">
        <v>146300.49332181201</v>
      </c>
      <c r="AI1285" s="2">
        <v>138092.649180946</v>
      </c>
      <c r="AJ1285" s="2">
        <v>151752.57618451401</v>
      </c>
      <c r="AK1285" s="2">
        <v>161416.27094034501</v>
      </c>
      <c r="AL1285" s="2">
        <v>169173.214735355</v>
      </c>
      <c r="AM1285" s="2">
        <v>175201.017500933</v>
      </c>
      <c r="AN1285" s="2">
        <v>167292.77454065401</v>
      </c>
      <c r="AO1285" s="2">
        <v>171619.58129291399</v>
      </c>
      <c r="AP1285" s="2">
        <v>179026.648521328</v>
      </c>
    </row>
    <row r="1286" spans="1:42" ht="14.5" x14ac:dyDescent="0.35">
      <c r="A1286" s="2" t="s">
        <v>8715</v>
      </c>
      <c r="B1286" s="2">
        <v>627.19253373777599</v>
      </c>
      <c r="C1286" s="2">
        <v>3.4636499999999999</v>
      </c>
      <c r="D1286" s="2" t="s">
        <v>70</v>
      </c>
      <c r="E1286" s="2" t="s">
        <v>8716</v>
      </c>
      <c r="F1286" s="2">
        <v>61731</v>
      </c>
      <c r="G1286" s="3" t="str">
        <f>HYPERLINK("http://funmeta.oebiotech.com/network/61731", "http://funmeta.oebiotech.com/network/61731")</f>
        <v>http://funmeta.oebiotech.com/network/61731</v>
      </c>
      <c r="H1286" s="2" t="s">
        <v>8717</v>
      </c>
      <c r="I1286" s="2">
        <v>93053</v>
      </c>
      <c r="J1286" s="2"/>
      <c r="K1286" s="2">
        <v>175024</v>
      </c>
      <c r="L1286" s="2"/>
      <c r="M1286" s="2"/>
      <c r="N1286" s="2"/>
      <c r="O1286" s="2">
        <v>76503563</v>
      </c>
      <c r="P1286" s="2"/>
      <c r="Q1286" s="2" t="s">
        <v>8718</v>
      </c>
      <c r="R1286" s="2" t="s">
        <v>8719</v>
      </c>
      <c r="S1286" s="2" t="s">
        <v>79</v>
      </c>
      <c r="T1286" s="2" t="s">
        <v>80</v>
      </c>
      <c r="U1286" s="2" t="s">
        <v>81</v>
      </c>
      <c r="V1286" s="2" t="s">
        <v>59</v>
      </c>
      <c r="W1286" s="2">
        <v>46.1</v>
      </c>
      <c r="X1286" s="2">
        <v>37.4</v>
      </c>
      <c r="Y1286" s="2" t="s">
        <v>107</v>
      </c>
      <c r="Z1286" s="2" t="s">
        <v>7231</v>
      </c>
      <c r="AA1286" s="2">
        <v>-0.83555782320952099</v>
      </c>
      <c r="AB1286" s="2">
        <v>0.60836122634233403</v>
      </c>
      <c r="AC1286" s="2">
        <v>96205.478824664096</v>
      </c>
      <c r="AD1286" s="2">
        <v>121932.096160664</v>
      </c>
      <c r="AE1286" s="2">
        <v>95041.950055085093</v>
      </c>
      <c r="AF1286" s="2">
        <v>94151.014381721601</v>
      </c>
      <c r="AG1286" s="2">
        <v>94100.774499896695</v>
      </c>
      <c r="AH1286" s="2">
        <v>96740.117130794693</v>
      </c>
      <c r="AI1286" s="2">
        <v>95643.9971381262</v>
      </c>
      <c r="AJ1286" s="2">
        <v>101555.01974236</v>
      </c>
      <c r="AK1286" s="2">
        <v>116576.89357026599</v>
      </c>
      <c r="AL1286" s="2">
        <v>118490.098645377</v>
      </c>
      <c r="AM1286" s="2">
        <v>133230.06855138499</v>
      </c>
      <c r="AN1286" s="2">
        <v>119420.63570475701</v>
      </c>
      <c r="AO1286" s="2">
        <v>117674.95321197</v>
      </c>
      <c r="AP1286" s="2">
        <v>126199.927280231</v>
      </c>
    </row>
    <row r="1287" spans="1:42" ht="14.5" x14ac:dyDescent="0.35">
      <c r="A1287" s="2" t="s">
        <v>8720</v>
      </c>
      <c r="B1287" s="2">
        <v>433.11363490435798</v>
      </c>
      <c r="C1287" s="2">
        <v>4.5612000000000004</v>
      </c>
      <c r="D1287" s="2" t="s">
        <v>70</v>
      </c>
      <c r="E1287" s="2" t="s">
        <v>8721</v>
      </c>
      <c r="F1287" s="2">
        <v>34404</v>
      </c>
      <c r="G1287" s="3" t="str">
        <f>HYPERLINK("http://funmeta.oebiotech.com/network/34404", "http://funmeta.oebiotech.com/network/34404")</f>
        <v>http://funmeta.oebiotech.com/network/34404</v>
      </c>
      <c r="H1287" s="2"/>
      <c r="I1287" s="2">
        <v>52711</v>
      </c>
      <c r="J1287" s="2" t="s">
        <v>8722</v>
      </c>
      <c r="K1287" s="2"/>
      <c r="L1287" s="2"/>
      <c r="M1287" s="2"/>
      <c r="N1287" s="2"/>
      <c r="O1287" s="2">
        <v>160711</v>
      </c>
      <c r="P1287" s="2"/>
      <c r="Q1287" s="2" t="s">
        <v>8723</v>
      </c>
      <c r="R1287" s="2" t="s">
        <v>8724</v>
      </c>
      <c r="S1287" s="2" t="s">
        <v>115</v>
      </c>
      <c r="T1287" s="2" t="s">
        <v>139</v>
      </c>
      <c r="U1287" s="2" t="s">
        <v>140</v>
      </c>
      <c r="V1287" s="2" t="s">
        <v>42</v>
      </c>
      <c r="W1287" s="2">
        <v>50.5</v>
      </c>
      <c r="X1287" s="2">
        <v>59.3</v>
      </c>
      <c r="Y1287" s="2" t="s">
        <v>118</v>
      </c>
      <c r="Z1287" s="2" t="s">
        <v>3058</v>
      </c>
      <c r="AA1287" s="2">
        <v>-0.88814988951663498</v>
      </c>
      <c r="AB1287" s="2">
        <v>0.60772709097042799</v>
      </c>
      <c r="AC1287" s="2">
        <v>133982.952378216</v>
      </c>
      <c r="AD1287" s="2">
        <v>106952.96232264199</v>
      </c>
      <c r="AE1287" s="2">
        <v>136107.62509079601</v>
      </c>
      <c r="AF1287" s="2">
        <v>136235.07163099901</v>
      </c>
      <c r="AG1287" s="2">
        <v>136336.89303824599</v>
      </c>
      <c r="AH1287" s="2">
        <v>122986.800597408</v>
      </c>
      <c r="AI1287" s="2">
        <v>131197.76229870101</v>
      </c>
      <c r="AJ1287" s="2">
        <v>141033.56161314499</v>
      </c>
      <c r="AK1287" s="2">
        <v>97245.4434047877</v>
      </c>
      <c r="AL1287" s="2">
        <v>111380.03310907701</v>
      </c>
      <c r="AM1287" s="2">
        <v>120857.93570502099</v>
      </c>
      <c r="AN1287" s="2">
        <v>100908.195457797</v>
      </c>
      <c r="AO1287" s="2">
        <v>103795.281815368</v>
      </c>
      <c r="AP1287" s="2">
        <v>107530.88444380301</v>
      </c>
    </row>
    <row r="1288" spans="1:42" ht="14.5" x14ac:dyDescent="0.35">
      <c r="A1288" s="2" t="s">
        <v>8725</v>
      </c>
      <c r="B1288" s="2">
        <v>563.23367198389303</v>
      </c>
      <c r="C1288" s="2">
        <v>5.3202666666666696</v>
      </c>
      <c r="D1288" s="2" t="s">
        <v>70</v>
      </c>
      <c r="E1288" s="2" t="s">
        <v>8726</v>
      </c>
      <c r="F1288" s="2">
        <v>54664</v>
      </c>
      <c r="G1288" s="3" t="str">
        <f>HYPERLINK("http://funmeta.oebiotech.com/network/54664", "http://funmeta.oebiotech.com/network/54664")</f>
        <v>http://funmeta.oebiotech.com/network/54664</v>
      </c>
      <c r="H1288" s="2" t="s">
        <v>8727</v>
      </c>
      <c r="I1288" s="2">
        <v>86480</v>
      </c>
      <c r="J1288" s="2"/>
      <c r="K1288" s="2">
        <v>168009</v>
      </c>
      <c r="L1288" s="2"/>
      <c r="M1288" s="2"/>
      <c r="N1288" s="2"/>
      <c r="O1288" s="2">
        <v>131750896</v>
      </c>
      <c r="P1288" s="2"/>
      <c r="Q1288" s="2" t="s">
        <v>8728</v>
      </c>
      <c r="R1288" s="2" t="s">
        <v>8729</v>
      </c>
      <c r="S1288" s="2" t="s">
        <v>50</v>
      </c>
      <c r="T1288" s="2" t="s">
        <v>229</v>
      </c>
      <c r="U1288" s="2" t="s">
        <v>230</v>
      </c>
      <c r="V1288" s="2" t="s">
        <v>42</v>
      </c>
      <c r="W1288" s="2">
        <v>47.3</v>
      </c>
      <c r="X1288" s="2">
        <v>49.9</v>
      </c>
      <c r="Y1288" s="2" t="s">
        <v>408</v>
      </c>
      <c r="Z1288" s="2" t="s">
        <v>8730</v>
      </c>
      <c r="AA1288" s="2">
        <v>-1.65472670009767</v>
      </c>
      <c r="AB1288" s="2">
        <v>0.607578489296979</v>
      </c>
      <c r="AC1288" s="2">
        <v>87731.338876967799</v>
      </c>
      <c r="AD1288" s="2">
        <v>62382.414459359003</v>
      </c>
      <c r="AE1288" s="2">
        <v>83857.879759557894</v>
      </c>
      <c r="AF1288" s="2">
        <v>82542.9292471972</v>
      </c>
      <c r="AG1288" s="2">
        <v>91096.024863614293</v>
      </c>
      <c r="AH1288" s="2">
        <v>94691.847799924901</v>
      </c>
      <c r="AI1288" s="2">
        <v>84093.032960470504</v>
      </c>
      <c r="AJ1288" s="2">
        <v>90106.318631042202</v>
      </c>
      <c r="AK1288" s="2">
        <v>62048.340884224701</v>
      </c>
      <c r="AL1288" s="2">
        <v>60565.768376411303</v>
      </c>
      <c r="AM1288" s="2">
        <v>64265.193075265102</v>
      </c>
      <c r="AN1288" s="2">
        <v>68143.692540872595</v>
      </c>
      <c r="AO1288" s="2">
        <v>57886.1776160062</v>
      </c>
      <c r="AP1288" s="2">
        <v>61385.314263374297</v>
      </c>
    </row>
    <row r="1289" spans="1:42" ht="14.5" x14ac:dyDescent="0.35">
      <c r="A1289" s="2" t="s">
        <v>8731</v>
      </c>
      <c r="B1289" s="2">
        <v>583.14840018336099</v>
      </c>
      <c r="C1289" s="2">
        <v>0.83808333333333296</v>
      </c>
      <c r="D1289" s="2" t="s">
        <v>70</v>
      </c>
      <c r="E1289" s="2" t="s">
        <v>8732</v>
      </c>
      <c r="F1289" s="2">
        <v>305896</v>
      </c>
      <c r="G1289" s="3" t="str">
        <f>HYPERLINK("http://funmeta.oebiotech.com/network/305896", "http://funmeta.oebiotech.com/network/305896")</f>
        <v>http://funmeta.oebiotech.com/network/305896</v>
      </c>
      <c r="H1289" s="2"/>
      <c r="I1289" s="2">
        <v>332688</v>
      </c>
      <c r="J1289" s="2"/>
      <c r="K1289" s="2"/>
      <c r="L1289" s="2"/>
      <c r="M1289" s="2"/>
      <c r="N1289" s="2"/>
      <c r="O1289" s="2">
        <v>9904141</v>
      </c>
      <c r="P1289" s="2"/>
      <c r="Q1289" s="2" t="s">
        <v>8733</v>
      </c>
      <c r="R1289" s="2" t="s">
        <v>8734</v>
      </c>
      <c r="S1289" s="2" t="s">
        <v>148</v>
      </c>
      <c r="T1289" s="2" t="s">
        <v>149</v>
      </c>
      <c r="U1289" s="2" t="s">
        <v>2102</v>
      </c>
      <c r="V1289" s="2" t="s">
        <v>59</v>
      </c>
      <c r="W1289" s="2">
        <v>37.799999999999997</v>
      </c>
      <c r="X1289" s="2">
        <v>0</v>
      </c>
      <c r="Y1289" s="2" t="s">
        <v>560</v>
      </c>
      <c r="Z1289" s="2" t="s">
        <v>8735</v>
      </c>
      <c r="AA1289" s="2">
        <v>3.1098530122187298</v>
      </c>
      <c r="AB1289" s="2">
        <v>0.60683591102494305</v>
      </c>
      <c r="AC1289" s="2">
        <v>37834.946612076303</v>
      </c>
      <c r="AD1289" s="2">
        <v>63243.208012438998</v>
      </c>
      <c r="AE1289" s="2">
        <v>34947.275164296298</v>
      </c>
      <c r="AF1289" s="2">
        <v>36807.981046172397</v>
      </c>
      <c r="AG1289" s="2">
        <v>39306.238740170302</v>
      </c>
      <c r="AH1289" s="2">
        <v>39622.076469114698</v>
      </c>
      <c r="AI1289" s="2">
        <v>41006.1604133238</v>
      </c>
      <c r="AJ1289" s="2">
        <v>35319.947839380096</v>
      </c>
      <c r="AK1289" s="2">
        <v>60639.994276552497</v>
      </c>
      <c r="AL1289" s="2">
        <v>56365.025262910902</v>
      </c>
      <c r="AM1289" s="2">
        <v>58429.032170154504</v>
      </c>
      <c r="AN1289" s="2">
        <v>62864.269070615301</v>
      </c>
      <c r="AO1289" s="2">
        <v>70629.933507798603</v>
      </c>
      <c r="AP1289" s="2">
        <v>70530.993786601903</v>
      </c>
    </row>
    <row r="1290" spans="1:42" ht="14.5" x14ac:dyDescent="0.35">
      <c r="A1290" s="2" t="s">
        <v>8736</v>
      </c>
      <c r="B1290" s="2">
        <v>439.18218724984303</v>
      </c>
      <c r="C1290" s="2">
        <v>4.25878333333333</v>
      </c>
      <c r="D1290" s="2" t="s">
        <v>70</v>
      </c>
      <c r="E1290" s="2" t="s">
        <v>8737</v>
      </c>
      <c r="F1290" s="2">
        <v>10270</v>
      </c>
      <c r="G1290" s="3" t="str">
        <f>HYPERLINK("http://funmeta.oebiotech.com/network/10270", "http://funmeta.oebiotech.com/network/10270")</f>
        <v>http://funmeta.oebiotech.com/network/10270</v>
      </c>
      <c r="H1290" s="2"/>
      <c r="I1290" s="2"/>
      <c r="J1290" s="2" t="s">
        <v>8738</v>
      </c>
      <c r="K1290" s="2">
        <v>78829</v>
      </c>
      <c r="L1290" s="2"/>
      <c r="M1290" s="2"/>
      <c r="N1290" s="2"/>
      <c r="O1290" s="2">
        <v>44202063</v>
      </c>
      <c r="P1290" s="2"/>
      <c r="Q1290" s="2" t="s">
        <v>8739</v>
      </c>
      <c r="R1290" s="2" t="s">
        <v>8740</v>
      </c>
      <c r="S1290" s="2" t="s">
        <v>79</v>
      </c>
      <c r="T1290" s="2" t="s">
        <v>80</v>
      </c>
      <c r="U1290" s="2" t="s">
        <v>81</v>
      </c>
      <c r="V1290" s="2" t="s">
        <v>42</v>
      </c>
      <c r="W1290" s="2">
        <v>50.6</v>
      </c>
      <c r="X1290" s="2">
        <v>60.2</v>
      </c>
      <c r="Y1290" s="2" t="s">
        <v>560</v>
      </c>
      <c r="Z1290" s="2" t="s">
        <v>8741</v>
      </c>
      <c r="AA1290" s="2">
        <v>0.198143997296609</v>
      </c>
      <c r="AB1290" s="2">
        <v>0.60670485200983404</v>
      </c>
      <c r="AC1290" s="2">
        <v>84706.679831350106</v>
      </c>
      <c r="AD1290" s="2">
        <v>109516.65946226299</v>
      </c>
      <c r="AE1290" s="2">
        <v>85992.323735375307</v>
      </c>
      <c r="AF1290" s="2">
        <v>83233.309214471796</v>
      </c>
      <c r="AG1290" s="2">
        <v>82048.944170800896</v>
      </c>
      <c r="AH1290" s="2">
        <v>86610.087346195796</v>
      </c>
      <c r="AI1290" s="2">
        <v>89083.266749639006</v>
      </c>
      <c r="AJ1290" s="2">
        <v>81272.147771617601</v>
      </c>
      <c r="AK1290" s="2">
        <v>111492.548700769</v>
      </c>
      <c r="AL1290" s="2">
        <v>109855.479134742</v>
      </c>
      <c r="AM1290" s="2">
        <v>108124.594874353</v>
      </c>
      <c r="AN1290" s="2">
        <v>107379.791741129</v>
      </c>
      <c r="AO1290" s="2">
        <v>105075.46113231</v>
      </c>
      <c r="AP1290" s="2">
        <v>115172.081190276</v>
      </c>
    </row>
    <row r="1291" spans="1:42" ht="14.5" x14ac:dyDescent="0.35">
      <c r="A1291" s="2" t="s">
        <v>8742</v>
      </c>
      <c r="B1291" s="2">
        <v>723.43052575188096</v>
      </c>
      <c r="C1291" s="2">
        <v>11.354699999999999</v>
      </c>
      <c r="D1291" s="2" t="s">
        <v>70</v>
      </c>
      <c r="E1291" s="2" t="s">
        <v>8743</v>
      </c>
      <c r="F1291" s="2">
        <v>204490</v>
      </c>
      <c r="G1291" s="3" t="str">
        <f>HYPERLINK("http://funmeta.oebiotech.com/network/204490", "http://funmeta.oebiotech.com/network/204490")</f>
        <v>http://funmeta.oebiotech.com/network/204490</v>
      </c>
      <c r="H1291" s="2" t="s">
        <v>8744</v>
      </c>
      <c r="I1291" s="2"/>
      <c r="J1291" s="2"/>
      <c r="K1291" s="2">
        <v>93910</v>
      </c>
      <c r="L1291" s="2"/>
      <c r="M1291" s="2"/>
      <c r="N1291" s="2"/>
      <c r="O1291" s="2">
        <v>2532</v>
      </c>
      <c r="P1291" s="2"/>
      <c r="Q1291" s="2" t="s">
        <v>8745</v>
      </c>
      <c r="R1291" s="2" t="s">
        <v>8746</v>
      </c>
      <c r="S1291" s="2" t="s">
        <v>89</v>
      </c>
      <c r="T1291" s="2" t="s">
        <v>90</v>
      </c>
      <c r="U1291" s="2" t="s">
        <v>99</v>
      </c>
      <c r="V1291" s="2" t="s">
        <v>59</v>
      </c>
      <c r="W1291" s="2">
        <v>37.700000000000003</v>
      </c>
      <c r="X1291" s="2">
        <v>0</v>
      </c>
      <c r="Y1291" s="2" t="s">
        <v>560</v>
      </c>
      <c r="Z1291" s="2" t="s">
        <v>8747</v>
      </c>
      <c r="AA1291" s="2">
        <v>-4.5727885005329298</v>
      </c>
      <c r="AB1291" s="2">
        <v>0.60573890077205905</v>
      </c>
      <c r="AC1291" s="2">
        <v>12540.109342256401</v>
      </c>
      <c r="AD1291" s="2">
        <v>36753.480842425102</v>
      </c>
      <c r="AE1291" s="2">
        <v>13793.8085722588</v>
      </c>
      <c r="AF1291" s="2">
        <v>13156.712829014299</v>
      </c>
      <c r="AG1291" s="2">
        <v>12772.5893587586</v>
      </c>
      <c r="AH1291" s="2">
        <v>11558.884470688799</v>
      </c>
      <c r="AI1291" s="2">
        <v>11317.8447662771</v>
      </c>
      <c r="AJ1291" s="2">
        <v>12640.816056541</v>
      </c>
      <c r="AK1291" s="2">
        <v>37443.2852863644</v>
      </c>
      <c r="AL1291" s="2">
        <v>34261.961066723001</v>
      </c>
      <c r="AM1291" s="2">
        <v>36927.027644032998</v>
      </c>
      <c r="AN1291" s="2">
        <v>36461.0279655493</v>
      </c>
      <c r="AO1291" s="2">
        <v>36180.074233825901</v>
      </c>
      <c r="AP1291" s="2">
        <v>39247.508858054898</v>
      </c>
    </row>
    <row r="1292" spans="1:42" ht="14.5" x14ac:dyDescent="0.35">
      <c r="A1292" s="2" t="s">
        <v>8748</v>
      </c>
      <c r="B1292" s="2">
        <v>275.02136303572303</v>
      </c>
      <c r="C1292" s="2">
        <v>0.76995000000000002</v>
      </c>
      <c r="D1292" s="2" t="s">
        <v>70</v>
      </c>
      <c r="E1292" s="2" t="s">
        <v>8749</v>
      </c>
      <c r="F1292" s="2">
        <v>10132</v>
      </c>
      <c r="G1292" s="3" t="str">
        <f>HYPERLINK("http://funmeta.oebiotech.com/network/10132", "http://funmeta.oebiotech.com/network/10132")</f>
        <v>http://funmeta.oebiotech.com/network/10132</v>
      </c>
      <c r="H1292" s="2"/>
      <c r="I1292" s="2">
        <v>405724</v>
      </c>
      <c r="J1292" s="2" t="s">
        <v>8750</v>
      </c>
      <c r="K1292" s="2"/>
      <c r="L1292" s="2"/>
      <c r="M1292" s="2"/>
      <c r="N1292" s="2"/>
      <c r="O1292" s="2">
        <v>3083681</v>
      </c>
      <c r="P1292" s="2"/>
      <c r="Q1292" s="2" t="s">
        <v>8751</v>
      </c>
      <c r="R1292" s="2" t="s">
        <v>8752</v>
      </c>
      <c r="S1292" s="2" t="s">
        <v>491</v>
      </c>
      <c r="T1292" s="2" t="s">
        <v>8753</v>
      </c>
      <c r="U1292" s="2" t="s">
        <v>41</v>
      </c>
      <c r="V1292" s="2" t="s">
        <v>59</v>
      </c>
      <c r="W1292" s="2">
        <v>37.5</v>
      </c>
      <c r="X1292" s="2">
        <v>6.5</v>
      </c>
      <c r="Y1292" s="2" t="s">
        <v>408</v>
      </c>
      <c r="Z1292" s="2" t="s">
        <v>8754</v>
      </c>
      <c r="AA1292" s="2">
        <v>3.33813162773192</v>
      </c>
      <c r="AB1292" s="2">
        <v>0.603267461622229</v>
      </c>
      <c r="AC1292" s="2">
        <v>65635.1816708798</v>
      </c>
      <c r="AD1292" s="2">
        <v>39979.498667805499</v>
      </c>
      <c r="AE1292" s="2">
        <v>68053.889124268302</v>
      </c>
      <c r="AF1292" s="2">
        <v>64263.105978532898</v>
      </c>
      <c r="AG1292" s="2">
        <v>71208.755327501305</v>
      </c>
      <c r="AH1292" s="2">
        <v>69186.918599127093</v>
      </c>
      <c r="AI1292" s="2">
        <v>66256.707848817896</v>
      </c>
      <c r="AJ1292" s="2">
        <v>54841.713147031202</v>
      </c>
      <c r="AK1292" s="2">
        <v>45828.959814108697</v>
      </c>
      <c r="AL1292" s="2">
        <v>42674.164565805797</v>
      </c>
      <c r="AM1292" s="2">
        <v>30060.877921135001</v>
      </c>
      <c r="AN1292" s="2">
        <v>41804.653181477399</v>
      </c>
      <c r="AO1292" s="2">
        <v>40611.5149465008</v>
      </c>
      <c r="AP1292" s="2">
        <v>38896.821577805298</v>
      </c>
    </row>
    <row r="1293" spans="1:42" ht="14.5" x14ac:dyDescent="0.35">
      <c r="A1293" s="2" t="s">
        <v>8755</v>
      </c>
      <c r="B1293" s="2">
        <v>301.08932893264398</v>
      </c>
      <c r="C1293" s="2">
        <v>1.1643666666666701</v>
      </c>
      <c r="D1293" s="2" t="s">
        <v>34</v>
      </c>
      <c r="E1293" s="2" t="s">
        <v>8756</v>
      </c>
      <c r="F1293" s="2">
        <v>47802</v>
      </c>
      <c r="G1293" s="3" t="str">
        <f>HYPERLINK("http://funmeta.oebiotech.com/network/47802", "http://funmeta.oebiotech.com/network/47802")</f>
        <v>http://funmeta.oebiotech.com/network/47802</v>
      </c>
      <c r="H1293" s="2" t="s">
        <v>8757</v>
      </c>
      <c r="I1293" s="2">
        <v>6482</v>
      </c>
      <c r="J1293" s="2"/>
      <c r="K1293" s="2"/>
      <c r="L1293" s="2"/>
      <c r="M1293" s="2"/>
      <c r="N1293" s="2"/>
      <c r="O1293" s="2">
        <v>137383</v>
      </c>
      <c r="P1293" s="2" t="s">
        <v>8758</v>
      </c>
      <c r="Q1293" s="2" t="s">
        <v>8759</v>
      </c>
      <c r="R1293" s="2" t="s">
        <v>8760</v>
      </c>
      <c r="S1293" s="2" t="s">
        <v>79</v>
      </c>
      <c r="T1293" s="2" t="s">
        <v>80</v>
      </c>
      <c r="U1293" s="2" t="s">
        <v>81</v>
      </c>
      <c r="V1293" s="2" t="s">
        <v>59</v>
      </c>
      <c r="W1293" s="2">
        <v>44.6</v>
      </c>
      <c r="X1293" s="2">
        <v>26.3</v>
      </c>
      <c r="Y1293" s="2" t="s">
        <v>568</v>
      </c>
      <c r="Z1293" s="2" t="s">
        <v>8761</v>
      </c>
      <c r="AA1293" s="2">
        <v>-0.21316454805325799</v>
      </c>
      <c r="AB1293" s="2">
        <v>0.60303427931141196</v>
      </c>
      <c r="AC1293" s="2">
        <v>105818.18752565701</v>
      </c>
      <c r="AD1293" s="2">
        <v>131992.195662382</v>
      </c>
      <c r="AE1293" s="2">
        <v>106048.433686342</v>
      </c>
      <c r="AF1293" s="2">
        <v>107507.14823432799</v>
      </c>
      <c r="AG1293" s="2">
        <v>108934.151854804</v>
      </c>
      <c r="AH1293" s="2">
        <v>99257.831696680398</v>
      </c>
      <c r="AI1293" s="2">
        <v>108686.438782531</v>
      </c>
      <c r="AJ1293" s="2">
        <v>104475.120899257</v>
      </c>
      <c r="AK1293" s="2">
        <v>144433.31307551599</v>
      </c>
      <c r="AL1293" s="2">
        <v>127159.65564764</v>
      </c>
      <c r="AM1293" s="2">
        <v>120912.561075438</v>
      </c>
      <c r="AN1293" s="2">
        <v>134309.77065170699</v>
      </c>
      <c r="AO1293" s="2">
        <v>127961.194440362</v>
      </c>
      <c r="AP1293" s="2">
        <v>137176.67908363201</v>
      </c>
    </row>
    <row r="1294" spans="1:42" ht="14.5" x14ac:dyDescent="0.35">
      <c r="A1294" s="2" t="s">
        <v>8762</v>
      </c>
      <c r="B1294" s="2">
        <v>389.15911730470998</v>
      </c>
      <c r="C1294" s="2">
        <v>5.5395666666666701</v>
      </c>
      <c r="D1294" s="2" t="s">
        <v>34</v>
      </c>
      <c r="E1294" s="2" t="s">
        <v>8763</v>
      </c>
      <c r="F1294" s="2">
        <v>62371</v>
      </c>
      <c r="G1294" s="3" t="str">
        <f>HYPERLINK("http://funmeta.oebiotech.com/network/62371", "http://funmeta.oebiotech.com/network/62371")</f>
        <v>http://funmeta.oebiotech.com/network/62371</v>
      </c>
      <c r="H1294" s="2" t="s">
        <v>8764</v>
      </c>
      <c r="I1294" s="2">
        <v>93665</v>
      </c>
      <c r="J1294" s="2"/>
      <c r="K1294" s="2">
        <v>175937</v>
      </c>
      <c r="L1294" s="2"/>
      <c r="M1294" s="2"/>
      <c r="N1294" s="2"/>
      <c r="O1294" s="2">
        <v>56776191</v>
      </c>
      <c r="P1294" s="2"/>
      <c r="Q1294" s="2" t="s">
        <v>8765</v>
      </c>
      <c r="R1294" s="2" t="s">
        <v>8766</v>
      </c>
      <c r="S1294" s="2" t="s">
        <v>115</v>
      </c>
      <c r="T1294" s="2" t="s">
        <v>758</v>
      </c>
      <c r="U1294" s="2" t="s">
        <v>1477</v>
      </c>
      <c r="V1294" s="2" t="s">
        <v>59</v>
      </c>
      <c r="W1294" s="2">
        <v>47.3</v>
      </c>
      <c r="X1294" s="2">
        <v>44.9</v>
      </c>
      <c r="Y1294" s="2" t="s">
        <v>266</v>
      </c>
      <c r="Z1294" s="2" t="s">
        <v>8767</v>
      </c>
      <c r="AA1294" s="2">
        <v>-0.93322641741341605</v>
      </c>
      <c r="AB1294" s="2">
        <v>0.60294961142710002</v>
      </c>
      <c r="AC1294" s="2">
        <v>173967.52080076101</v>
      </c>
      <c r="AD1294" s="2">
        <v>147244.740874999</v>
      </c>
      <c r="AE1294" s="2">
        <v>171765.85435140101</v>
      </c>
      <c r="AF1294" s="2">
        <v>166809.77486472201</v>
      </c>
      <c r="AG1294" s="2">
        <v>171886.043866514</v>
      </c>
      <c r="AH1294" s="2">
        <v>190348.49794963401</v>
      </c>
      <c r="AI1294" s="2">
        <v>172011.33986413601</v>
      </c>
      <c r="AJ1294" s="2">
        <v>170983.61390816001</v>
      </c>
      <c r="AK1294" s="2">
        <v>153939.28759785701</v>
      </c>
      <c r="AL1294" s="2">
        <v>151398.09466895901</v>
      </c>
      <c r="AM1294" s="2">
        <v>147241.83501837001</v>
      </c>
      <c r="AN1294" s="2">
        <v>138795.21820173899</v>
      </c>
      <c r="AO1294" s="2">
        <v>152153.48842320201</v>
      </c>
      <c r="AP1294" s="2">
        <v>139940.52133986499</v>
      </c>
    </row>
    <row r="1295" spans="1:42" ht="14.5" x14ac:dyDescent="0.35">
      <c r="A1295" s="2" t="s">
        <v>8768</v>
      </c>
      <c r="B1295" s="2">
        <v>447.30082233235498</v>
      </c>
      <c r="C1295" s="2">
        <v>4.7862166666666699</v>
      </c>
      <c r="D1295" s="2" t="s">
        <v>34</v>
      </c>
      <c r="E1295" s="2" t="s">
        <v>8769</v>
      </c>
      <c r="F1295" s="2">
        <v>53114</v>
      </c>
      <c r="G1295" s="3" t="str">
        <f>HYPERLINK("http://funmeta.oebiotech.com/network/53114", "http://funmeta.oebiotech.com/network/53114")</f>
        <v>http://funmeta.oebiotech.com/network/53114</v>
      </c>
      <c r="H1295" s="2" t="s">
        <v>8770</v>
      </c>
      <c r="I1295" s="2">
        <v>1303</v>
      </c>
      <c r="J1295" s="2"/>
      <c r="K1295" s="2">
        <v>50692</v>
      </c>
      <c r="L1295" s="2" t="s">
        <v>8771</v>
      </c>
      <c r="M1295" s="2"/>
      <c r="N1295" s="2"/>
      <c r="O1295" s="2">
        <v>55245</v>
      </c>
      <c r="P1295" s="2" t="s">
        <v>8772</v>
      </c>
      <c r="Q1295" s="2" t="s">
        <v>8773</v>
      </c>
      <c r="R1295" s="2" t="s">
        <v>8774</v>
      </c>
      <c r="S1295" s="2" t="s">
        <v>50</v>
      </c>
      <c r="T1295" s="2" t="s">
        <v>124</v>
      </c>
      <c r="U1295" s="2" t="s">
        <v>5245</v>
      </c>
      <c r="V1295" s="2" t="s">
        <v>59</v>
      </c>
      <c r="W1295" s="2">
        <v>36</v>
      </c>
      <c r="X1295" s="2">
        <v>0</v>
      </c>
      <c r="Y1295" s="2" t="s">
        <v>43</v>
      </c>
      <c r="Z1295" s="2" t="s">
        <v>8775</v>
      </c>
      <c r="AA1295" s="2">
        <v>0.50652879594970401</v>
      </c>
      <c r="AB1295" s="2">
        <v>0.60227219995660997</v>
      </c>
      <c r="AC1295" s="2">
        <v>183085.28200162199</v>
      </c>
      <c r="AD1295" s="2">
        <v>230922.70254418801</v>
      </c>
      <c r="AE1295" s="2">
        <v>142873.07539990699</v>
      </c>
      <c r="AF1295" s="2">
        <v>217151.049092506</v>
      </c>
      <c r="AG1295" s="2">
        <v>231319.48338897401</v>
      </c>
      <c r="AH1295" s="2">
        <v>135757.93202321301</v>
      </c>
      <c r="AI1295" s="2">
        <v>209672.201677106</v>
      </c>
      <c r="AJ1295" s="2">
        <v>161737.950428029</v>
      </c>
      <c r="AK1295" s="2">
        <v>323591.98405675899</v>
      </c>
      <c r="AL1295" s="2">
        <v>218100.84650948099</v>
      </c>
      <c r="AM1295" s="2">
        <v>237433.140447073</v>
      </c>
      <c r="AN1295" s="2">
        <v>180054.696019822</v>
      </c>
      <c r="AO1295" s="2">
        <v>207340.349643058</v>
      </c>
      <c r="AP1295" s="2">
        <v>219015.19858893301</v>
      </c>
    </row>
    <row r="1296" spans="1:42" ht="14.5" x14ac:dyDescent="0.35">
      <c r="A1296" s="2" t="s">
        <v>8776</v>
      </c>
      <c r="B1296" s="2">
        <v>292.99478320185301</v>
      </c>
      <c r="C1296" s="2">
        <v>0.96353333333333302</v>
      </c>
      <c r="D1296" s="2" t="s">
        <v>70</v>
      </c>
      <c r="E1296" s="2" t="s">
        <v>8777</v>
      </c>
      <c r="F1296" s="2">
        <v>255262</v>
      </c>
      <c r="G1296" s="3" t="str">
        <f>HYPERLINK("http://funmeta.oebiotech.com/network/255262", "http://funmeta.oebiotech.com/network/255262")</f>
        <v>http://funmeta.oebiotech.com/network/255262</v>
      </c>
      <c r="H1296" s="2" t="s">
        <v>8778</v>
      </c>
      <c r="I1296" s="2"/>
      <c r="J1296" s="2"/>
      <c r="K1296" s="2"/>
      <c r="L1296" s="2"/>
      <c r="M1296" s="2"/>
      <c r="N1296" s="2"/>
      <c r="O1296" s="2">
        <v>182071</v>
      </c>
      <c r="P1296" s="2"/>
      <c r="Q1296" s="2" t="s">
        <v>8779</v>
      </c>
      <c r="R1296" s="2" t="s">
        <v>8780</v>
      </c>
      <c r="S1296" s="2" t="s">
        <v>491</v>
      </c>
      <c r="T1296" s="2" t="s">
        <v>8753</v>
      </c>
      <c r="U1296" s="2" t="s">
        <v>41</v>
      </c>
      <c r="V1296" s="2" t="s">
        <v>59</v>
      </c>
      <c r="W1296" s="2">
        <v>38.4</v>
      </c>
      <c r="X1296" s="2">
        <v>7.84</v>
      </c>
      <c r="Y1296" s="2" t="s">
        <v>408</v>
      </c>
      <c r="Z1296" s="2" t="s">
        <v>8781</v>
      </c>
      <c r="AA1296" s="2">
        <v>3.5630222450230703E-2</v>
      </c>
      <c r="AB1296" s="2">
        <v>0.60083244417674198</v>
      </c>
      <c r="AC1296" s="2">
        <v>49690.9063996021</v>
      </c>
      <c r="AD1296" s="2">
        <v>75058.348126390003</v>
      </c>
      <c r="AE1296" s="2">
        <v>47162.220398163503</v>
      </c>
      <c r="AF1296" s="2">
        <v>49605.634785912</v>
      </c>
      <c r="AG1296" s="2">
        <v>51838.273927353999</v>
      </c>
      <c r="AH1296" s="2">
        <v>53677.0897846113</v>
      </c>
      <c r="AI1296" s="2">
        <v>50606.398305560702</v>
      </c>
      <c r="AJ1296" s="2">
        <v>45255.8211960111</v>
      </c>
      <c r="AK1296" s="2">
        <v>78799.993337556705</v>
      </c>
      <c r="AL1296" s="2">
        <v>71805.641236950803</v>
      </c>
      <c r="AM1296" s="2">
        <v>63041.420613021801</v>
      </c>
      <c r="AN1296" s="2">
        <v>77145.875837298299</v>
      </c>
      <c r="AO1296" s="2">
        <v>82910.5165403016</v>
      </c>
      <c r="AP1296" s="2">
        <v>76646.641193210598</v>
      </c>
    </row>
    <row r="1297" spans="1:42" ht="14.5" x14ac:dyDescent="0.35">
      <c r="A1297" s="2" t="s">
        <v>8782</v>
      </c>
      <c r="B1297" s="2">
        <v>591.29276726062403</v>
      </c>
      <c r="C1297" s="2">
        <v>10.5845</v>
      </c>
      <c r="D1297" s="2" t="s">
        <v>34</v>
      </c>
      <c r="E1297" s="2" t="s">
        <v>8783</v>
      </c>
      <c r="F1297" s="2">
        <v>36247</v>
      </c>
      <c r="G1297" s="3" t="str">
        <f>HYPERLINK("http://funmeta.oebiotech.com/network/36247", "http://funmeta.oebiotech.com/network/36247")</f>
        <v>http://funmeta.oebiotech.com/network/36247</v>
      </c>
      <c r="H1297" s="2"/>
      <c r="I1297" s="2"/>
      <c r="J1297" s="2" t="s">
        <v>8784</v>
      </c>
      <c r="K1297" s="2">
        <v>62460</v>
      </c>
      <c r="L1297" s="2"/>
      <c r="M1297" s="2"/>
      <c r="N1297" s="2"/>
      <c r="O1297" s="2">
        <v>3002143</v>
      </c>
      <c r="P1297" s="2"/>
      <c r="Q1297" s="2" t="s">
        <v>8785</v>
      </c>
      <c r="R1297" s="2" t="s">
        <v>8786</v>
      </c>
      <c r="S1297" s="2" t="s">
        <v>50</v>
      </c>
      <c r="T1297" s="2" t="s">
        <v>124</v>
      </c>
      <c r="U1297" s="2" t="s">
        <v>8787</v>
      </c>
      <c r="V1297" s="2" t="s">
        <v>42</v>
      </c>
      <c r="W1297" s="2">
        <v>51</v>
      </c>
      <c r="X1297" s="2">
        <v>61.2</v>
      </c>
      <c r="Y1297" s="2" t="s">
        <v>470</v>
      </c>
      <c r="Z1297" s="2" t="s">
        <v>8788</v>
      </c>
      <c r="AA1297" s="2">
        <v>-0.12631792963007901</v>
      </c>
      <c r="AB1297" s="2">
        <v>0.60047835851337605</v>
      </c>
      <c r="AC1297" s="2">
        <v>44623.187682008902</v>
      </c>
      <c r="AD1297" s="2">
        <v>69336.624413232494</v>
      </c>
      <c r="AE1297" s="2">
        <v>43949.700487185903</v>
      </c>
      <c r="AF1297" s="2">
        <v>44048.667350843403</v>
      </c>
      <c r="AG1297" s="2">
        <v>45780.115126229699</v>
      </c>
      <c r="AH1297" s="2">
        <v>42592.155326403197</v>
      </c>
      <c r="AI1297" s="2">
        <v>45937.045207037001</v>
      </c>
      <c r="AJ1297" s="2">
        <v>45431.442594354099</v>
      </c>
      <c r="AK1297" s="2">
        <v>79429.150598875596</v>
      </c>
      <c r="AL1297" s="2">
        <v>67248.095933912598</v>
      </c>
      <c r="AM1297" s="2">
        <v>70455.466648158501</v>
      </c>
      <c r="AN1297" s="2">
        <v>63327.545887503598</v>
      </c>
      <c r="AO1297" s="2">
        <v>66040.440464395899</v>
      </c>
      <c r="AP1297" s="2">
        <v>69519.046946548799</v>
      </c>
    </row>
    <row r="1298" spans="1:42" ht="14.5" x14ac:dyDescent="0.35">
      <c r="A1298" s="2" t="s">
        <v>8789</v>
      </c>
      <c r="B1298" s="2">
        <v>357.20530274817099</v>
      </c>
      <c r="C1298" s="2">
        <v>6.6940999999999997</v>
      </c>
      <c r="D1298" s="2" t="s">
        <v>34</v>
      </c>
      <c r="E1298" s="2" t="s">
        <v>8790</v>
      </c>
      <c r="F1298" s="2">
        <v>55269</v>
      </c>
      <c r="G1298" s="3" t="str">
        <f>HYPERLINK("http://funmeta.oebiotech.com/network/55269", "http://funmeta.oebiotech.com/network/55269")</f>
        <v>http://funmeta.oebiotech.com/network/55269</v>
      </c>
      <c r="H1298" s="2" t="s">
        <v>8791</v>
      </c>
      <c r="I1298" s="2"/>
      <c r="J1298" s="2"/>
      <c r="K1298" s="2"/>
      <c r="L1298" s="2"/>
      <c r="M1298" s="2"/>
      <c r="N1298" s="2"/>
      <c r="O1298" s="2">
        <v>131751020</v>
      </c>
      <c r="P1298" s="2" t="s">
        <v>8792</v>
      </c>
      <c r="Q1298" s="2" t="s">
        <v>8793</v>
      </c>
      <c r="R1298" s="2" t="s">
        <v>8794</v>
      </c>
      <c r="S1298" s="2" t="s">
        <v>79</v>
      </c>
      <c r="T1298" s="2" t="s">
        <v>80</v>
      </c>
      <c r="U1298" s="2" t="s">
        <v>2820</v>
      </c>
      <c r="V1298" s="2" t="s">
        <v>42</v>
      </c>
      <c r="W1298" s="2">
        <v>53.5</v>
      </c>
      <c r="X1298" s="2">
        <v>83.7</v>
      </c>
      <c r="Y1298" s="2" t="s">
        <v>141</v>
      </c>
      <c r="Z1298" s="2" t="s">
        <v>7111</v>
      </c>
      <c r="AA1298" s="2">
        <v>-1.95896168863481</v>
      </c>
      <c r="AB1298" s="2">
        <v>0.60004551246916105</v>
      </c>
      <c r="AC1298" s="2">
        <v>55610.922609268098</v>
      </c>
      <c r="AD1298" s="2">
        <v>30144.3496441965</v>
      </c>
      <c r="AE1298" s="2">
        <v>46146.321578096802</v>
      </c>
      <c r="AF1298" s="2">
        <v>59225.500208023303</v>
      </c>
      <c r="AG1298" s="2">
        <v>57724.495285237099</v>
      </c>
      <c r="AH1298" s="2">
        <v>57801.676527564698</v>
      </c>
      <c r="AI1298" s="2">
        <v>56099.068509172801</v>
      </c>
      <c r="AJ1298" s="2">
        <v>56668.473547514099</v>
      </c>
      <c r="AK1298" s="2">
        <v>34133.916658006798</v>
      </c>
      <c r="AL1298" s="2">
        <v>40939.293579548401</v>
      </c>
      <c r="AM1298" s="2">
        <v>23038.229637055701</v>
      </c>
      <c r="AN1298" s="2">
        <v>29669.669738225301</v>
      </c>
      <c r="AO1298" s="2">
        <v>27933.108500696399</v>
      </c>
      <c r="AP1298" s="2">
        <v>25151.8797516464</v>
      </c>
    </row>
    <row r="1299" spans="1:42" ht="14.5" x14ac:dyDescent="0.35">
      <c r="A1299" s="2" t="s">
        <v>8795</v>
      </c>
      <c r="B1299" s="2">
        <v>307.11508447326798</v>
      </c>
      <c r="C1299" s="2">
        <v>4.64978333333333</v>
      </c>
      <c r="D1299" s="2" t="s">
        <v>34</v>
      </c>
      <c r="E1299" s="2" t="s">
        <v>8796</v>
      </c>
      <c r="F1299" s="2">
        <v>2676</v>
      </c>
      <c r="G1299" s="3" t="str">
        <f>HYPERLINK("http://funmeta.oebiotech.com/network/2676", "http://funmeta.oebiotech.com/network/2676")</f>
        <v>http://funmeta.oebiotech.com/network/2676</v>
      </c>
      <c r="H1299" s="2"/>
      <c r="I1299" s="2"/>
      <c r="J1299" s="2" t="s">
        <v>8797</v>
      </c>
      <c r="K1299" s="2"/>
      <c r="L1299" s="2"/>
      <c r="M1299" s="2"/>
      <c r="N1299" s="2"/>
      <c r="O1299" s="2">
        <v>134812143</v>
      </c>
      <c r="P1299" s="2"/>
      <c r="Q1299" s="2" t="s">
        <v>8798</v>
      </c>
      <c r="R1299" s="2" t="s">
        <v>8799</v>
      </c>
      <c r="S1299" s="2" t="s">
        <v>50</v>
      </c>
      <c r="T1299" s="2" t="s">
        <v>229</v>
      </c>
      <c r="U1299" s="2" t="s">
        <v>433</v>
      </c>
      <c r="V1299" s="2" t="s">
        <v>59</v>
      </c>
      <c r="W1299" s="2">
        <v>40.6</v>
      </c>
      <c r="X1299" s="2">
        <v>8.33</v>
      </c>
      <c r="Y1299" s="2" t="s">
        <v>376</v>
      </c>
      <c r="Z1299" s="2" t="s">
        <v>8800</v>
      </c>
      <c r="AA1299" s="2">
        <v>-0.43841639821662298</v>
      </c>
      <c r="AB1299" s="2">
        <v>0.59997042867541095</v>
      </c>
      <c r="AC1299" s="2">
        <v>75914.977921026293</v>
      </c>
      <c r="AD1299" s="2">
        <v>100904.302539364</v>
      </c>
      <c r="AE1299" s="2">
        <v>75238.022396395201</v>
      </c>
      <c r="AF1299" s="2">
        <v>79852.942097111794</v>
      </c>
      <c r="AG1299" s="2">
        <v>79540.658732301803</v>
      </c>
      <c r="AH1299" s="2">
        <v>76926.010322485294</v>
      </c>
      <c r="AI1299" s="2">
        <v>78385.441799670196</v>
      </c>
      <c r="AJ1299" s="2">
        <v>65546.792178193296</v>
      </c>
      <c r="AK1299" s="2">
        <v>100693.390036447</v>
      </c>
      <c r="AL1299" s="2">
        <v>103328.588910872</v>
      </c>
      <c r="AM1299" s="2">
        <v>99316.890468949699</v>
      </c>
      <c r="AN1299" s="2">
        <v>94599.809963664098</v>
      </c>
      <c r="AO1299" s="2">
        <v>106000.89510702599</v>
      </c>
      <c r="AP1299" s="2">
        <v>101486.240749227</v>
      </c>
    </row>
    <row r="1300" spans="1:42" ht="14.5" x14ac:dyDescent="0.35">
      <c r="A1300" s="2" t="s">
        <v>8801</v>
      </c>
      <c r="B1300" s="2">
        <v>595.36223822290901</v>
      </c>
      <c r="C1300" s="2">
        <v>5.7559333333333296</v>
      </c>
      <c r="D1300" s="2" t="s">
        <v>34</v>
      </c>
      <c r="E1300" s="2" t="s">
        <v>8802</v>
      </c>
      <c r="F1300" s="2">
        <v>24903</v>
      </c>
      <c r="G1300" s="3" t="str">
        <f>HYPERLINK("http://funmeta.oebiotech.com/network/24903", "http://funmeta.oebiotech.com/network/24903")</f>
        <v>http://funmeta.oebiotech.com/network/24903</v>
      </c>
      <c r="H1300" s="2"/>
      <c r="I1300" s="2"/>
      <c r="J1300" s="2" t="s">
        <v>8803</v>
      </c>
      <c r="K1300" s="2"/>
      <c r="L1300" s="2"/>
      <c r="M1300" s="2"/>
      <c r="N1300" s="2"/>
      <c r="O1300" s="2">
        <v>52928631</v>
      </c>
      <c r="P1300" s="2"/>
      <c r="Q1300" s="2" t="s">
        <v>8804</v>
      </c>
      <c r="R1300" s="2" t="s">
        <v>8805</v>
      </c>
      <c r="S1300" s="2" t="s">
        <v>50</v>
      </c>
      <c r="T1300" s="2" t="s">
        <v>51</v>
      </c>
      <c r="U1300" s="2" t="s">
        <v>52</v>
      </c>
      <c r="V1300" s="2" t="s">
        <v>59</v>
      </c>
      <c r="W1300" s="2">
        <v>36.200000000000003</v>
      </c>
      <c r="X1300" s="2">
        <v>3.18</v>
      </c>
      <c r="Y1300" s="2" t="s">
        <v>141</v>
      </c>
      <c r="Z1300" s="2" t="s">
        <v>8806</v>
      </c>
      <c r="AA1300" s="2">
        <v>2.7388941403665301</v>
      </c>
      <c r="AB1300" s="2">
        <v>0.59963853927606503</v>
      </c>
      <c r="AC1300" s="2">
        <v>147085.89982957399</v>
      </c>
      <c r="AD1300" s="2">
        <v>116864.487455393</v>
      </c>
      <c r="AE1300" s="2">
        <v>154069.938394917</v>
      </c>
      <c r="AF1300" s="2">
        <v>142525.510398168</v>
      </c>
      <c r="AG1300" s="2">
        <v>135577.952649452</v>
      </c>
      <c r="AH1300" s="2">
        <v>162664.74840449999</v>
      </c>
      <c r="AI1300" s="2">
        <v>156301.31583990599</v>
      </c>
      <c r="AJ1300" s="2">
        <v>131375.93329049999</v>
      </c>
      <c r="AK1300" s="2">
        <v>94400.934207183498</v>
      </c>
      <c r="AL1300" s="2">
        <v>115455.059807967</v>
      </c>
      <c r="AM1300" s="2">
        <v>129066.92299843</v>
      </c>
      <c r="AN1300" s="2">
        <v>111145.279137103</v>
      </c>
      <c r="AO1300" s="2">
        <v>131566.974994672</v>
      </c>
      <c r="AP1300" s="2">
        <v>119551.753587004</v>
      </c>
    </row>
    <row r="1301" spans="1:42" ht="14.5" x14ac:dyDescent="0.35">
      <c r="A1301" s="2" t="s">
        <v>8807</v>
      </c>
      <c r="B1301" s="2">
        <v>490.26836142130702</v>
      </c>
      <c r="C1301" s="2">
        <v>4.8836000000000004</v>
      </c>
      <c r="D1301" s="2" t="s">
        <v>34</v>
      </c>
      <c r="E1301" s="2" t="s">
        <v>8808</v>
      </c>
      <c r="F1301" s="2">
        <v>208295</v>
      </c>
      <c r="G1301" s="3" t="str">
        <f>HYPERLINK("http://funmeta.oebiotech.com/network/208295", "http://funmeta.oebiotech.com/network/208295")</f>
        <v>http://funmeta.oebiotech.com/network/208295</v>
      </c>
      <c r="H1301" s="2" t="s">
        <v>8809</v>
      </c>
      <c r="I1301" s="2"/>
      <c r="J1301" s="2"/>
      <c r="K1301" s="2"/>
      <c r="L1301" s="2"/>
      <c r="M1301" s="2"/>
      <c r="N1301" s="2"/>
      <c r="O1301" s="2">
        <v>57389748</v>
      </c>
      <c r="P1301" s="2"/>
      <c r="Q1301" s="2" t="s">
        <v>8810</v>
      </c>
      <c r="R1301" s="2" t="s">
        <v>8811</v>
      </c>
      <c r="S1301" s="2" t="s">
        <v>491</v>
      </c>
      <c r="T1301" s="2" t="s">
        <v>7431</v>
      </c>
      <c r="U1301" s="2" t="s">
        <v>7432</v>
      </c>
      <c r="V1301" s="2" t="s">
        <v>59</v>
      </c>
      <c r="W1301" s="2">
        <v>37.200000000000003</v>
      </c>
      <c r="X1301" s="2">
        <v>6.21</v>
      </c>
      <c r="Y1301" s="2" t="s">
        <v>43</v>
      </c>
      <c r="Z1301" s="2" t="s">
        <v>8812</v>
      </c>
      <c r="AA1301" s="2">
        <v>2.1466409719158901</v>
      </c>
      <c r="AB1301" s="2">
        <v>0.59935900080315896</v>
      </c>
      <c r="AC1301" s="2">
        <v>328056.67625676497</v>
      </c>
      <c r="AD1301" s="2">
        <v>360406.83847488899</v>
      </c>
      <c r="AE1301" s="2">
        <v>336527.647798513</v>
      </c>
      <c r="AF1301" s="2">
        <v>316514.24471912999</v>
      </c>
      <c r="AG1301" s="2">
        <v>341192.24699921597</v>
      </c>
      <c r="AH1301" s="2">
        <v>344263.499681079</v>
      </c>
      <c r="AI1301" s="2">
        <v>328570.159617786</v>
      </c>
      <c r="AJ1301" s="2">
        <v>301272.25872486399</v>
      </c>
      <c r="AK1301" s="2">
        <v>358574.51442742097</v>
      </c>
      <c r="AL1301" s="2">
        <v>347845.02093884198</v>
      </c>
      <c r="AM1301" s="2">
        <v>391589.56719832699</v>
      </c>
      <c r="AN1301" s="2">
        <v>367558.21102957998</v>
      </c>
      <c r="AO1301" s="2">
        <v>348171.85827200499</v>
      </c>
      <c r="AP1301" s="2">
        <v>348701.85898316</v>
      </c>
    </row>
    <row r="1302" spans="1:42" ht="14.5" x14ac:dyDescent="0.35">
      <c r="A1302" s="2" t="s">
        <v>8813</v>
      </c>
      <c r="B1302" s="2">
        <v>482.326029846609</v>
      </c>
      <c r="C1302" s="2">
        <v>6.3200166666666702</v>
      </c>
      <c r="D1302" s="2" t="s">
        <v>34</v>
      </c>
      <c r="E1302" s="2" t="s">
        <v>8814</v>
      </c>
      <c r="F1302" s="2">
        <v>266751</v>
      </c>
      <c r="G1302" s="3" t="str">
        <f>HYPERLINK("http://funmeta.oebiotech.com/network/266751", "http://funmeta.oebiotech.com/network/266751")</f>
        <v>http://funmeta.oebiotech.com/network/266751</v>
      </c>
      <c r="H1302" s="2"/>
      <c r="I1302" s="2">
        <v>43908</v>
      </c>
      <c r="J1302" s="2"/>
      <c r="K1302" s="2"/>
      <c r="L1302" s="2" t="s">
        <v>8815</v>
      </c>
      <c r="M1302" s="2"/>
      <c r="N1302" s="2"/>
      <c r="O1302" s="2">
        <v>159516</v>
      </c>
      <c r="P1302" s="2" t="s">
        <v>8816</v>
      </c>
      <c r="Q1302" s="2" t="s">
        <v>8817</v>
      </c>
      <c r="R1302" s="2" t="s">
        <v>8818</v>
      </c>
      <c r="S1302" s="2" t="s">
        <v>50</v>
      </c>
      <c r="T1302" s="2" t="s">
        <v>201</v>
      </c>
      <c r="U1302" s="2" t="s">
        <v>210</v>
      </c>
      <c r="V1302" s="2" t="s">
        <v>59</v>
      </c>
      <c r="W1302" s="2">
        <v>38.799999999999997</v>
      </c>
      <c r="X1302" s="2">
        <v>0</v>
      </c>
      <c r="Y1302" s="2" t="s">
        <v>43</v>
      </c>
      <c r="Z1302" s="2" t="s">
        <v>8819</v>
      </c>
      <c r="AA1302" s="2">
        <v>-0.98094256282292203</v>
      </c>
      <c r="AB1302" s="2">
        <v>0.59916038637620095</v>
      </c>
      <c r="AC1302" s="2">
        <v>57004.031500460798</v>
      </c>
      <c r="AD1302" s="2">
        <v>81162.239734944102</v>
      </c>
      <c r="AE1302" s="2">
        <v>57749.344446298303</v>
      </c>
      <c r="AF1302" s="2">
        <v>54515.377814457497</v>
      </c>
      <c r="AG1302" s="2">
        <v>59710.978876830799</v>
      </c>
      <c r="AH1302" s="2">
        <v>56477.527324278803</v>
      </c>
      <c r="AI1302" s="2">
        <v>55476.112322078603</v>
      </c>
      <c r="AJ1302" s="2">
        <v>58094.848218820502</v>
      </c>
      <c r="AK1302" s="2">
        <v>80286.2105565456</v>
      </c>
      <c r="AL1302" s="2">
        <v>76736.043400349503</v>
      </c>
      <c r="AM1302" s="2">
        <v>86302.614898349595</v>
      </c>
      <c r="AN1302" s="2">
        <v>84380.632668388498</v>
      </c>
      <c r="AO1302" s="2">
        <v>82446.475862638603</v>
      </c>
      <c r="AP1302" s="2">
        <v>76821.461023392898</v>
      </c>
    </row>
    <row r="1303" spans="1:42" ht="14.5" x14ac:dyDescent="0.35">
      <c r="A1303" s="2" t="s">
        <v>8820</v>
      </c>
      <c r="B1303" s="2">
        <v>279.23165514342401</v>
      </c>
      <c r="C1303" s="2">
        <v>8.91496666666667</v>
      </c>
      <c r="D1303" s="2" t="s">
        <v>34</v>
      </c>
      <c r="E1303" s="2" t="s">
        <v>8821</v>
      </c>
      <c r="F1303" s="2">
        <v>657</v>
      </c>
      <c r="G1303" s="3" t="str">
        <f>HYPERLINK("http://funmeta.oebiotech.com/network/657", "http://funmeta.oebiotech.com/network/657")</f>
        <v>http://funmeta.oebiotech.com/network/657</v>
      </c>
      <c r="H1303" s="2" t="s">
        <v>8822</v>
      </c>
      <c r="I1303" s="2">
        <v>6208</v>
      </c>
      <c r="J1303" s="2" t="s">
        <v>8823</v>
      </c>
      <c r="K1303" s="2">
        <v>27432</v>
      </c>
      <c r="L1303" s="2" t="s">
        <v>8824</v>
      </c>
      <c r="M1303" s="2" t="s">
        <v>8825</v>
      </c>
      <c r="N1303" s="2" t="s">
        <v>8826</v>
      </c>
      <c r="O1303" s="2">
        <v>5280934</v>
      </c>
      <c r="P1303" s="2" t="s">
        <v>8827</v>
      </c>
      <c r="Q1303" s="2" t="s">
        <v>8828</v>
      </c>
      <c r="R1303" s="2" t="s">
        <v>8829</v>
      </c>
      <c r="S1303" s="2" t="s">
        <v>50</v>
      </c>
      <c r="T1303" s="2" t="s">
        <v>229</v>
      </c>
      <c r="U1303" s="2" t="s">
        <v>1360</v>
      </c>
      <c r="V1303" s="2" t="s">
        <v>42</v>
      </c>
      <c r="W1303" s="2">
        <v>50.6</v>
      </c>
      <c r="X1303" s="2">
        <v>58.3</v>
      </c>
      <c r="Y1303" s="2" t="s">
        <v>394</v>
      </c>
      <c r="Z1303" s="2" t="s">
        <v>8830</v>
      </c>
      <c r="AA1303" s="2">
        <v>-0.724198401397675</v>
      </c>
      <c r="AB1303" s="2">
        <v>0.59894424492283405</v>
      </c>
      <c r="AC1303" s="2">
        <v>5528.1015241449304</v>
      </c>
      <c r="AD1303" s="2">
        <v>29084.467831669699</v>
      </c>
      <c r="AE1303" s="2">
        <v>5193.9652850534203</v>
      </c>
      <c r="AF1303" s="2">
        <v>5218.6437026949998</v>
      </c>
      <c r="AG1303" s="2">
        <v>5461.1062787622996</v>
      </c>
      <c r="AH1303" s="2">
        <v>6382.89963416924</v>
      </c>
      <c r="AI1303" s="2">
        <v>5780.0927482164398</v>
      </c>
      <c r="AJ1303" s="2">
        <v>5131.9014959731703</v>
      </c>
      <c r="AK1303" s="2">
        <v>29069.0288256032</v>
      </c>
      <c r="AL1303" s="2">
        <v>28156.802765718199</v>
      </c>
      <c r="AM1303" s="2">
        <v>29822.710545109301</v>
      </c>
      <c r="AN1303" s="2">
        <v>30371.099250303701</v>
      </c>
      <c r="AO1303" s="2">
        <v>28411.4351560736</v>
      </c>
      <c r="AP1303" s="2">
        <v>28675.73044721</v>
      </c>
    </row>
    <row r="1304" spans="1:42" ht="14.5" x14ac:dyDescent="0.35">
      <c r="A1304" s="2" t="s">
        <v>8831</v>
      </c>
      <c r="B1304" s="2">
        <v>495.15041651684402</v>
      </c>
      <c r="C1304" s="2">
        <v>5.0231500000000002</v>
      </c>
      <c r="D1304" s="2" t="s">
        <v>70</v>
      </c>
      <c r="E1304" s="2" t="s">
        <v>8832</v>
      </c>
      <c r="F1304" s="2">
        <v>29069</v>
      </c>
      <c r="G1304" s="3" t="str">
        <f>HYPERLINK("http://funmeta.oebiotech.com/network/29069", "http://funmeta.oebiotech.com/network/29069")</f>
        <v>http://funmeta.oebiotech.com/network/29069</v>
      </c>
      <c r="H1304" s="2"/>
      <c r="I1304" s="2"/>
      <c r="J1304" s="2" t="s">
        <v>8833</v>
      </c>
      <c r="K1304" s="2"/>
      <c r="L1304" s="2"/>
      <c r="M1304" s="2"/>
      <c r="N1304" s="2"/>
      <c r="O1304" s="2">
        <v>5321189</v>
      </c>
      <c r="P1304" s="2"/>
      <c r="Q1304" s="2" t="s">
        <v>8834</v>
      </c>
      <c r="R1304" s="2" t="s">
        <v>8835</v>
      </c>
      <c r="S1304" s="2" t="s">
        <v>115</v>
      </c>
      <c r="T1304" s="2" t="s">
        <v>139</v>
      </c>
      <c r="U1304" s="2" t="s">
        <v>140</v>
      </c>
      <c r="V1304" s="2" t="s">
        <v>42</v>
      </c>
      <c r="W1304" s="2">
        <v>49.9</v>
      </c>
      <c r="X1304" s="2">
        <v>55.5</v>
      </c>
      <c r="Y1304" s="2" t="s">
        <v>408</v>
      </c>
      <c r="Z1304" s="2" t="s">
        <v>8836</v>
      </c>
      <c r="AA1304" s="2">
        <v>-0.851672473242851</v>
      </c>
      <c r="AB1304" s="2">
        <v>0.598296784409447</v>
      </c>
      <c r="AC1304" s="2">
        <v>73686.421433319207</v>
      </c>
      <c r="AD1304" s="2">
        <v>49612.308826476597</v>
      </c>
      <c r="AE1304" s="2">
        <v>74995.444291515305</v>
      </c>
      <c r="AF1304" s="2">
        <v>72101.542820252303</v>
      </c>
      <c r="AG1304" s="2">
        <v>72356.2322835206</v>
      </c>
      <c r="AH1304" s="2">
        <v>79453.118554757501</v>
      </c>
      <c r="AI1304" s="2">
        <v>72428.392707686304</v>
      </c>
      <c r="AJ1304" s="2">
        <v>70783.797942183097</v>
      </c>
      <c r="AK1304" s="2">
        <v>49930.983481438598</v>
      </c>
      <c r="AL1304" s="2">
        <v>51456.277490586603</v>
      </c>
      <c r="AM1304" s="2">
        <v>53249.745011220402</v>
      </c>
      <c r="AN1304" s="2">
        <v>49129.917222294498</v>
      </c>
      <c r="AO1304" s="2">
        <v>44799.7203147447</v>
      </c>
      <c r="AP1304" s="2">
        <v>49107.209438574697</v>
      </c>
    </row>
    <row r="1305" spans="1:42" ht="14.5" x14ac:dyDescent="0.35">
      <c r="A1305" s="2" t="s">
        <v>8837</v>
      </c>
      <c r="B1305" s="2">
        <v>152.034181081962</v>
      </c>
      <c r="C1305" s="2">
        <v>6.3487499999999999</v>
      </c>
      <c r="D1305" s="2" t="s">
        <v>70</v>
      </c>
      <c r="E1305" s="2" t="s">
        <v>8838</v>
      </c>
      <c r="F1305" s="2">
        <v>47605</v>
      </c>
      <c r="G1305" s="3" t="str">
        <f>HYPERLINK("http://funmeta.oebiotech.com/network/47605", "http://funmeta.oebiotech.com/network/47605")</f>
        <v>http://funmeta.oebiotech.com/network/47605</v>
      </c>
      <c r="H1305" s="2" t="s">
        <v>8839</v>
      </c>
      <c r="I1305" s="2">
        <v>3275</v>
      </c>
      <c r="J1305" s="2"/>
      <c r="K1305" s="2">
        <v>15793</v>
      </c>
      <c r="L1305" s="2" t="s">
        <v>8840</v>
      </c>
      <c r="M1305" s="2" t="s">
        <v>8841</v>
      </c>
      <c r="N1305" s="2" t="s">
        <v>8842</v>
      </c>
      <c r="O1305" s="2">
        <v>86</v>
      </c>
      <c r="P1305" s="2" t="s">
        <v>8843</v>
      </c>
      <c r="Q1305" s="2" t="s">
        <v>8844</v>
      </c>
      <c r="R1305" s="2" t="s">
        <v>8845</v>
      </c>
      <c r="S1305" s="2" t="s">
        <v>148</v>
      </c>
      <c r="T1305" s="2" t="s">
        <v>149</v>
      </c>
      <c r="U1305" s="2" t="s">
        <v>1593</v>
      </c>
      <c r="V1305" s="2" t="s">
        <v>59</v>
      </c>
      <c r="W1305" s="2">
        <v>42.4</v>
      </c>
      <c r="X1305" s="2">
        <v>22.1</v>
      </c>
      <c r="Y1305" s="2" t="s">
        <v>118</v>
      </c>
      <c r="Z1305" s="2" t="s">
        <v>4960</v>
      </c>
      <c r="AA1305" s="2">
        <v>-7.4199867172731198</v>
      </c>
      <c r="AB1305" s="2">
        <v>0.59789703668977201</v>
      </c>
      <c r="AC1305" s="2">
        <v>18491.360269947501</v>
      </c>
      <c r="AD1305" s="2">
        <v>42044.191410861204</v>
      </c>
      <c r="AE1305" s="2">
        <v>18978.545954024099</v>
      </c>
      <c r="AF1305" s="2">
        <v>19375.600513605899</v>
      </c>
      <c r="AG1305" s="2">
        <v>17571.838221506499</v>
      </c>
      <c r="AH1305" s="2">
        <v>17471.247470210801</v>
      </c>
      <c r="AI1305" s="2">
        <v>18138.873017019199</v>
      </c>
      <c r="AJ1305" s="2">
        <v>19412.056443318299</v>
      </c>
      <c r="AK1305" s="2">
        <v>43750.172099121599</v>
      </c>
      <c r="AL1305" s="2">
        <v>43011.196706262999</v>
      </c>
      <c r="AM1305" s="2">
        <v>41752.401936547903</v>
      </c>
      <c r="AN1305" s="2">
        <v>42306.852898681696</v>
      </c>
      <c r="AO1305" s="2">
        <v>40324.110542984497</v>
      </c>
      <c r="AP1305" s="2">
        <v>41120.414281568599</v>
      </c>
    </row>
    <row r="1306" spans="1:42" ht="14.5" x14ac:dyDescent="0.35">
      <c r="A1306" s="2" t="s">
        <v>8846</v>
      </c>
      <c r="B1306" s="2">
        <v>557.23952159376904</v>
      </c>
      <c r="C1306" s="2">
        <v>5.5617999999999999</v>
      </c>
      <c r="D1306" s="2" t="s">
        <v>70</v>
      </c>
      <c r="E1306" s="2" t="s">
        <v>8847</v>
      </c>
      <c r="F1306" s="2">
        <v>257065</v>
      </c>
      <c r="G1306" s="3" t="str">
        <f>HYPERLINK("http://funmeta.oebiotech.com/network/257065", "http://funmeta.oebiotech.com/network/257065")</f>
        <v>http://funmeta.oebiotech.com/network/257065</v>
      </c>
      <c r="H1306" s="2" t="s">
        <v>8848</v>
      </c>
      <c r="I1306" s="2"/>
      <c r="J1306" s="2"/>
      <c r="K1306" s="2"/>
      <c r="L1306" s="2"/>
      <c r="M1306" s="2"/>
      <c r="N1306" s="2"/>
      <c r="O1306" s="2"/>
      <c r="P1306" s="2"/>
      <c r="Q1306" s="2" t="s">
        <v>8849</v>
      </c>
      <c r="R1306" s="2" t="s">
        <v>8850</v>
      </c>
      <c r="S1306" s="2" t="s">
        <v>50</v>
      </c>
      <c r="T1306" s="2" t="s">
        <v>201</v>
      </c>
      <c r="U1306" s="2" t="s">
        <v>636</v>
      </c>
      <c r="V1306" s="2" t="s">
        <v>59</v>
      </c>
      <c r="W1306" s="2">
        <v>44.2</v>
      </c>
      <c r="X1306" s="2">
        <v>23.4</v>
      </c>
      <c r="Y1306" s="2" t="s">
        <v>560</v>
      </c>
      <c r="Z1306" s="2" t="s">
        <v>8851</v>
      </c>
      <c r="AA1306" s="2">
        <v>0.53849242220163895</v>
      </c>
      <c r="AB1306" s="2">
        <v>0.59788337967395999</v>
      </c>
      <c r="AC1306" s="2">
        <v>50228.376045105302</v>
      </c>
      <c r="AD1306" s="2">
        <v>25987.501502319501</v>
      </c>
      <c r="AE1306" s="2">
        <v>55176.869296374702</v>
      </c>
      <c r="AF1306" s="2">
        <v>52745.277202568097</v>
      </c>
      <c r="AG1306" s="2">
        <v>45843.3598793704</v>
      </c>
      <c r="AH1306" s="2">
        <v>48457.809641538799</v>
      </c>
      <c r="AI1306" s="2">
        <v>52797.480539693301</v>
      </c>
      <c r="AJ1306" s="2">
        <v>46349.459711086398</v>
      </c>
      <c r="AK1306" s="2">
        <v>26340.2321928618</v>
      </c>
      <c r="AL1306" s="2">
        <v>25473.933956213601</v>
      </c>
      <c r="AM1306" s="2">
        <v>26085.5454071805</v>
      </c>
      <c r="AN1306" s="2">
        <v>30014.166293192498</v>
      </c>
      <c r="AO1306" s="2">
        <v>26526.426938422701</v>
      </c>
      <c r="AP1306" s="2">
        <v>21484.704226046</v>
      </c>
    </row>
    <row r="1307" spans="1:42" ht="14.5" x14ac:dyDescent="0.35">
      <c r="A1307" s="2" t="s">
        <v>8852</v>
      </c>
      <c r="B1307" s="2">
        <v>255.09722746920099</v>
      </c>
      <c r="C1307" s="2">
        <v>0.73473333333333302</v>
      </c>
      <c r="D1307" s="2" t="s">
        <v>34</v>
      </c>
      <c r="E1307" s="2" t="s">
        <v>8853</v>
      </c>
      <c r="F1307" s="2">
        <v>62264</v>
      </c>
      <c r="G1307" s="3" t="str">
        <f>HYPERLINK("http://funmeta.oebiotech.com/network/62264", "http://funmeta.oebiotech.com/network/62264")</f>
        <v>http://funmeta.oebiotech.com/network/62264</v>
      </c>
      <c r="H1307" s="2" t="s">
        <v>8854</v>
      </c>
      <c r="I1307" s="2">
        <v>93553</v>
      </c>
      <c r="J1307" s="2"/>
      <c r="K1307" s="2"/>
      <c r="L1307" s="2"/>
      <c r="M1307" s="2"/>
      <c r="N1307" s="2"/>
      <c r="O1307" s="2">
        <v>45782784</v>
      </c>
      <c r="P1307" s="2" t="s">
        <v>8855</v>
      </c>
      <c r="Q1307" s="2" t="s">
        <v>8856</v>
      </c>
      <c r="R1307" s="2" t="s">
        <v>8857</v>
      </c>
      <c r="S1307" s="2" t="s">
        <v>491</v>
      </c>
      <c r="T1307" s="2" t="s">
        <v>2184</v>
      </c>
      <c r="U1307" s="2" t="s">
        <v>8858</v>
      </c>
      <c r="V1307" s="2" t="s">
        <v>59</v>
      </c>
      <c r="W1307" s="2">
        <v>44.2</v>
      </c>
      <c r="X1307" s="2">
        <v>29.4</v>
      </c>
      <c r="Y1307" s="2" t="s">
        <v>43</v>
      </c>
      <c r="Z1307" s="2" t="s">
        <v>8859</v>
      </c>
      <c r="AA1307" s="2">
        <v>-1.3520253779671001</v>
      </c>
      <c r="AB1307" s="2">
        <v>0.59737928749578595</v>
      </c>
      <c r="AC1307" s="2">
        <v>161479.75961039501</v>
      </c>
      <c r="AD1307" s="2">
        <v>187275.67144426101</v>
      </c>
      <c r="AE1307" s="2">
        <v>160283.21810320299</v>
      </c>
      <c r="AF1307" s="2">
        <v>166163.289780975</v>
      </c>
      <c r="AG1307" s="2">
        <v>162098.437131388</v>
      </c>
      <c r="AH1307" s="2">
        <v>157222.81228539301</v>
      </c>
      <c r="AI1307" s="2">
        <v>154083.29206221501</v>
      </c>
      <c r="AJ1307" s="2">
        <v>169027.50829919701</v>
      </c>
      <c r="AK1307" s="2">
        <v>189807.56597262199</v>
      </c>
      <c r="AL1307" s="2">
        <v>186083.922756874</v>
      </c>
      <c r="AM1307" s="2">
        <v>193651.236468691</v>
      </c>
      <c r="AN1307" s="2">
        <v>182051.26943813701</v>
      </c>
      <c r="AO1307" s="2">
        <v>176851.5738523</v>
      </c>
      <c r="AP1307" s="2">
        <v>195208.460176939</v>
      </c>
    </row>
    <row r="1308" spans="1:42" ht="14.5" x14ac:dyDescent="0.35">
      <c r="A1308" s="2" t="s">
        <v>8860</v>
      </c>
      <c r="B1308" s="2">
        <v>383.14966478674103</v>
      </c>
      <c r="C1308" s="2">
        <v>6.4626999999999999</v>
      </c>
      <c r="D1308" s="2" t="s">
        <v>70</v>
      </c>
      <c r="E1308" s="2" t="s">
        <v>8861</v>
      </c>
      <c r="F1308" s="2">
        <v>55575</v>
      </c>
      <c r="G1308" s="3" t="str">
        <f>HYPERLINK("http://funmeta.oebiotech.com/network/55575", "http://funmeta.oebiotech.com/network/55575")</f>
        <v>http://funmeta.oebiotech.com/network/55575</v>
      </c>
      <c r="H1308" s="2" t="s">
        <v>8862</v>
      </c>
      <c r="I1308" s="2">
        <v>87228</v>
      </c>
      <c r="J1308" s="2"/>
      <c r="K1308" s="2"/>
      <c r="L1308" s="2"/>
      <c r="M1308" s="2"/>
      <c r="N1308" s="2"/>
      <c r="O1308" s="2">
        <v>177156</v>
      </c>
      <c r="P1308" s="2" t="s">
        <v>8863</v>
      </c>
      <c r="Q1308" s="2" t="s">
        <v>8864</v>
      </c>
      <c r="R1308" s="2" t="s">
        <v>8865</v>
      </c>
      <c r="S1308" s="2" t="s">
        <v>115</v>
      </c>
      <c r="T1308" s="2" t="s">
        <v>758</v>
      </c>
      <c r="U1308" s="2" t="s">
        <v>1477</v>
      </c>
      <c r="V1308" s="2" t="s">
        <v>59</v>
      </c>
      <c r="W1308" s="2">
        <v>47.8</v>
      </c>
      <c r="X1308" s="2">
        <v>44.4</v>
      </c>
      <c r="Y1308" s="2" t="s">
        <v>408</v>
      </c>
      <c r="Z1308" s="2" t="s">
        <v>8866</v>
      </c>
      <c r="AA1308" s="2">
        <v>-1.0269560274920499</v>
      </c>
      <c r="AB1308" s="2">
        <v>0.59736033888103801</v>
      </c>
      <c r="AC1308" s="2">
        <v>23478.2984875207</v>
      </c>
      <c r="AD1308" s="2">
        <v>2.7106294003980101E-5</v>
      </c>
      <c r="AE1308" s="2">
        <v>25384.878198477702</v>
      </c>
      <c r="AF1308" s="2">
        <v>24171.3383500446</v>
      </c>
      <c r="AG1308" s="2">
        <v>21706.1499141922</v>
      </c>
      <c r="AH1308" s="2">
        <v>24585.273280975602</v>
      </c>
      <c r="AI1308" s="2">
        <v>22630.202958532402</v>
      </c>
      <c r="AJ1308" s="2">
        <v>22391.948222901701</v>
      </c>
      <c r="AK1308" s="2">
        <v>2.7106294003980101E-5</v>
      </c>
      <c r="AL1308" s="2">
        <v>2.7106294003980101E-5</v>
      </c>
      <c r="AM1308" s="2">
        <v>2.7106294003980101E-5</v>
      </c>
      <c r="AN1308" s="2">
        <v>2.7106294003980101E-5</v>
      </c>
      <c r="AO1308" s="2">
        <v>2.7106294003980101E-5</v>
      </c>
      <c r="AP1308" s="2">
        <v>2.7106294003980101E-5</v>
      </c>
    </row>
    <row r="1309" spans="1:42" ht="14.5" x14ac:dyDescent="0.35">
      <c r="A1309" s="2" t="s">
        <v>8867</v>
      </c>
      <c r="B1309" s="2">
        <v>237.12719165425699</v>
      </c>
      <c r="C1309" s="2">
        <v>5.2337999999999996</v>
      </c>
      <c r="D1309" s="2" t="s">
        <v>34</v>
      </c>
      <c r="E1309" s="2" t="s">
        <v>8868</v>
      </c>
      <c r="F1309" s="2">
        <v>212180</v>
      </c>
      <c r="G1309" s="3" t="str">
        <f>HYPERLINK("http://funmeta.oebiotech.com/network/212180", "http://funmeta.oebiotech.com/network/212180")</f>
        <v>http://funmeta.oebiotech.com/network/212180</v>
      </c>
      <c r="H1309" s="2" t="s">
        <v>8869</v>
      </c>
      <c r="I1309" s="2"/>
      <c r="J1309" s="2"/>
      <c r="K1309" s="2"/>
      <c r="L1309" s="2"/>
      <c r="M1309" s="2"/>
      <c r="N1309" s="2"/>
      <c r="O1309" s="2">
        <v>133191</v>
      </c>
      <c r="P1309" s="2"/>
      <c r="Q1309" s="2" t="s">
        <v>8870</v>
      </c>
      <c r="R1309" s="2" t="s">
        <v>8871</v>
      </c>
      <c r="S1309" s="2" t="s">
        <v>115</v>
      </c>
      <c r="T1309" s="2" t="s">
        <v>4730</v>
      </c>
      <c r="U1309" s="2" t="s">
        <v>41</v>
      </c>
      <c r="V1309" s="2" t="s">
        <v>59</v>
      </c>
      <c r="W1309" s="2">
        <v>43.8</v>
      </c>
      <c r="X1309" s="2">
        <v>22.1</v>
      </c>
      <c r="Y1309" s="2" t="s">
        <v>266</v>
      </c>
      <c r="Z1309" s="2" t="s">
        <v>8872</v>
      </c>
      <c r="AA1309" s="2">
        <v>-0.78665088194335797</v>
      </c>
      <c r="AB1309" s="2">
        <v>0.59679320611911402</v>
      </c>
      <c r="AC1309" s="2">
        <v>81772.524829468195</v>
      </c>
      <c r="AD1309" s="2">
        <v>108544.72106302599</v>
      </c>
      <c r="AE1309" s="2">
        <v>80123.426722017102</v>
      </c>
      <c r="AF1309" s="2">
        <v>77679.696514411902</v>
      </c>
      <c r="AG1309" s="2">
        <v>86339.567814670605</v>
      </c>
      <c r="AH1309" s="2">
        <v>74283.813550814404</v>
      </c>
      <c r="AI1309" s="2">
        <v>74777.000971716494</v>
      </c>
      <c r="AJ1309" s="2">
        <v>97431.643403178503</v>
      </c>
      <c r="AK1309" s="2">
        <v>108051.050306429</v>
      </c>
      <c r="AL1309" s="2">
        <v>113246.02801486501</v>
      </c>
      <c r="AM1309" s="2">
        <v>119820.26398361901</v>
      </c>
      <c r="AN1309" s="2">
        <v>102943.705522804</v>
      </c>
      <c r="AO1309" s="2">
        <v>107501.10707367001</v>
      </c>
      <c r="AP1309" s="2">
        <v>99706.171476766307</v>
      </c>
    </row>
    <row r="1310" spans="1:42" ht="14.5" x14ac:dyDescent="0.35">
      <c r="A1310" s="2" t="s">
        <v>8873</v>
      </c>
      <c r="B1310" s="2">
        <v>711.41993607586801</v>
      </c>
      <c r="C1310" s="2">
        <v>5.5233833333333298</v>
      </c>
      <c r="D1310" s="2" t="s">
        <v>34</v>
      </c>
      <c r="E1310" s="2" t="s">
        <v>8874</v>
      </c>
      <c r="F1310" s="2">
        <v>27958</v>
      </c>
      <c r="G1310" s="3" t="str">
        <f>HYPERLINK("http://funmeta.oebiotech.com/network/27958", "http://funmeta.oebiotech.com/network/27958")</f>
        <v>http://funmeta.oebiotech.com/network/27958</v>
      </c>
      <c r="H1310" s="2"/>
      <c r="I1310" s="2"/>
      <c r="J1310" s="2" t="s">
        <v>8875</v>
      </c>
      <c r="K1310" s="2"/>
      <c r="L1310" s="2"/>
      <c r="M1310" s="2"/>
      <c r="N1310" s="2"/>
      <c r="O1310" s="2">
        <v>134812405</v>
      </c>
      <c r="P1310" s="2"/>
      <c r="Q1310" s="2" t="s">
        <v>8876</v>
      </c>
      <c r="R1310" s="2" t="s">
        <v>8877</v>
      </c>
      <c r="S1310" s="2" t="s">
        <v>50</v>
      </c>
      <c r="T1310" s="2" t="s">
        <v>51</v>
      </c>
      <c r="U1310" s="2" t="s">
        <v>66</v>
      </c>
      <c r="V1310" s="2" t="s">
        <v>59</v>
      </c>
      <c r="W1310" s="2">
        <v>36.299999999999997</v>
      </c>
      <c r="X1310" s="2">
        <v>0</v>
      </c>
      <c r="Y1310" s="2" t="s">
        <v>43</v>
      </c>
      <c r="Z1310" s="2" t="s">
        <v>8878</v>
      </c>
      <c r="AA1310" s="2">
        <v>1.15022936480299</v>
      </c>
      <c r="AB1310" s="2">
        <v>0.59620292883298898</v>
      </c>
      <c r="AC1310" s="2">
        <v>105525.987084559</v>
      </c>
      <c r="AD1310" s="2">
        <v>78388.764944767201</v>
      </c>
      <c r="AE1310" s="2">
        <v>120357.438919376</v>
      </c>
      <c r="AF1310" s="2">
        <v>113153.451537368</v>
      </c>
      <c r="AG1310" s="2">
        <v>94512.232005365004</v>
      </c>
      <c r="AH1310" s="2">
        <v>108741.06912697099</v>
      </c>
      <c r="AI1310" s="2">
        <v>100858.50433442699</v>
      </c>
      <c r="AJ1310" s="2">
        <v>95533.2265838491</v>
      </c>
      <c r="AK1310" s="2">
        <v>65241.7791845139</v>
      </c>
      <c r="AL1310" s="2">
        <v>83147.8619821865</v>
      </c>
      <c r="AM1310" s="2">
        <v>84488.889329410697</v>
      </c>
      <c r="AN1310" s="2">
        <v>74643.064475807303</v>
      </c>
      <c r="AO1310" s="2">
        <v>80431.410846481594</v>
      </c>
      <c r="AP1310" s="2">
        <v>82379.583850203097</v>
      </c>
    </row>
    <row r="1311" spans="1:42" ht="14.5" x14ac:dyDescent="0.35">
      <c r="A1311" s="2" t="s">
        <v>8879</v>
      </c>
      <c r="B1311" s="2">
        <v>395.24355454805197</v>
      </c>
      <c r="C1311" s="2">
        <v>9.0738666666666692</v>
      </c>
      <c r="D1311" s="2" t="s">
        <v>70</v>
      </c>
      <c r="E1311" s="2" t="s">
        <v>8880</v>
      </c>
      <c r="F1311" s="2">
        <v>7875</v>
      </c>
      <c r="G1311" s="3" t="str">
        <f>HYPERLINK("http://funmeta.oebiotech.com/network/7875", "http://funmeta.oebiotech.com/network/7875")</f>
        <v>http://funmeta.oebiotech.com/network/7875</v>
      </c>
      <c r="H1311" s="2"/>
      <c r="I1311" s="2"/>
      <c r="J1311" s="2" t="s">
        <v>8881</v>
      </c>
      <c r="K1311" s="2"/>
      <c r="L1311" s="2"/>
      <c r="M1311" s="2"/>
      <c r="N1311" s="2"/>
      <c r="O1311" s="2">
        <v>73333014</v>
      </c>
      <c r="P1311" s="2"/>
      <c r="Q1311" s="2" t="s">
        <v>8882</v>
      </c>
      <c r="R1311" s="2" t="s">
        <v>8883</v>
      </c>
      <c r="S1311" s="2" t="s">
        <v>50</v>
      </c>
      <c r="T1311" s="2" t="s">
        <v>229</v>
      </c>
      <c r="U1311" s="2" t="s">
        <v>1283</v>
      </c>
      <c r="V1311" s="2" t="s">
        <v>59</v>
      </c>
      <c r="W1311" s="2">
        <v>45.4</v>
      </c>
      <c r="X1311" s="2">
        <v>31.6</v>
      </c>
      <c r="Y1311" s="2" t="s">
        <v>408</v>
      </c>
      <c r="Z1311" s="2" t="s">
        <v>8580</v>
      </c>
      <c r="AA1311" s="2">
        <v>-1.0218271291277401</v>
      </c>
      <c r="AB1311" s="2">
        <v>0.59539555707782499</v>
      </c>
      <c r="AC1311" s="2">
        <v>35734.826657778503</v>
      </c>
      <c r="AD1311" s="2">
        <v>10296.293221387699</v>
      </c>
      <c r="AE1311" s="2">
        <v>40166.963412690799</v>
      </c>
      <c r="AF1311" s="2">
        <v>32335.402430450398</v>
      </c>
      <c r="AG1311" s="2">
        <v>30029.146994909301</v>
      </c>
      <c r="AH1311" s="2">
        <v>50103.027082265398</v>
      </c>
      <c r="AI1311" s="2">
        <v>31247.4682888631</v>
      </c>
      <c r="AJ1311" s="2">
        <v>30526.9517374922</v>
      </c>
      <c r="AK1311" s="2">
        <v>6108.0879171573997</v>
      </c>
      <c r="AL1311" s="2">
        <v>12627.689645164701</v>
      </c>
      <c r="AM1311" s="2">
        <v>16343.2321042109</v>
      </c>
      <c r="AN1311" s="2">
        <v>9225.8450431765996</v>
      </c>
      <c r="AO1311" s="2">
        <v>8095.1525001668497</v>
      </c>
      <c r="AP1311" s="2">
        <v>9377.7521184494799</v>
      </c>
    </row>
    <row r="1312" spans="1:42" ht="14.5" x14ac:dyDescent="0.35">
      <c r="A1312" s="2" t="s">
        <v>8884</v>
      </c>
      <c r="B1312" s="2">
        <v>329.20847644142799</v>
      </c>
      <c r="C1312" s="2">
        <v>11.4806166666667</v>
      </c>
      <c r="D1312" s="2" t="s">
        <v>34</v>
      </c>
      <c r="E1312" s="2" t="s">
        <v>8885</v>
      </c>
      <c r="F1312" s="2">
        <v>44954</v>
      </c>
      <c r="G1312" s="3" t="str">
        <f>HYPERLINK("http://funmeta.oebiotech.com/network/44954", "http://funmeta.oebiotech.com/network/44954")</f>
        <v>http://funmeta.oebiotech.com/network/44954</v>
      </c>
      <c r="H1312" s="2" t="s">
        <v>8886</v>
      </c>
      <c r="I1312" s="2">
        <v>5508</v>
      </c>
      <c r="J1312" s="2" t="s">
        <v>8887</v>
      </c>
      <c r="K1312" s="2"/>
      <c r="L1312" s="2"/>
      <c r="M1312" s="2"/>
      <c r="N1312" s="2"/>
      <c r="O1312" s="2">
        <v>21252251</v>
      </c>
      <c r="P1312" s="2" t="s">
        <v>8888</v>
      </c>
      <c r="Q1312" s="2" t="s">
        <v>8889</v>
      </c>
      <c r="R1312" s="2" t="s">
        <v>8890</v>
      </c>
      <c r="S1312" s="2" t="s">
        <v>50</v>
      </c>
      <c r="T1312" s="2" t="s">
        <v>124</v>
      </c>
      <c r="U1312" s="2" t="s">
        <v>2373</v>
      </c>
      <c r="V1312" s="2" t="s">
        <v>42</v>
      </c>
      <c r="W1312" s="2">
        <v>49.4</v>
      </c>
      <c r="X1312" s="2">
        <v>48.3</v>
      </c>
      <c r="Y1312" s="2" t="s">
        <v>67</v>
      </c>
      <c r="Z1312" s="2" t="s">
        <v>8891</v>
      </c>
      <c r="AA1312" s="2">
        <v>-0.78067972712348699</v>
      </c>
      <c r="AB1312" s="2">
        <v>0.59414565475273096</v>
      </c>
      <c r="AC1312" s="2">
        <v>32398.347236910999</v>
      </c>
      <c r="AD1312" s="2">
        <v>8901.5816130610801</v>
      </c>
      <c r="AE1312" s="2">
        <v>35601.701255116997</v>
      </c>
      <c r="AF1312" s="2">
        <v>34822.6722270233</v>
      </c>
      <c r="AG1312" s="2">
        <v>31146.8707393408</v>
      </c>
      <c r="AH1312" s="2">
        <v>29911.5472330663</v>
      </c>
      <c r="AI1312" s="2">
        <v>28585.7870113627</v>
      </c>
      <c r="AJ1312" s="2">
        <v>34321.5049555562</v>
      </c>
      <c r="AK1312" s="2">
        <v>7019.1758134085403</v>
      </c>
      <c r="AL1312" s="2">
        <v>11789.7719130569</v>
      </c>
      <c r="AM1312" s="2">
        <v>8383.4262898405304</v>
      </c>
      <c r="AN1312" s="2">
        <v>9196.2320591079097</v>
      </c>
      <c r="AO1312" s="2">
        <v>9720.4650390087099</v>
      </c>
      <c r="AP1312" s="2">
        <v>7300.4185639438801</v>
      </c>
    </row>
    <row r="1313" spans="1:42" ht="14.5" x14ac:dyDescent="0.35">
      <c r="A1313" s="2" t="s">
        <v>8892</v>
      </c>
      <c r="B1313" s="2">
        <v>624.31655525787698</v>
      </c>
      <c r="C1313" s="2">
        <v>5.9879833333333297</v>
      </c>
      <c r="D1313" s="2" t="s">
        <v>34</v>
      </c>
      <c r="E1313" s="2" t="s">
        <v>8893</v>
      </c>
      <c r="F1313" s="2">
        <v>256241</v>
      </c>
      <c r="G1313" s="3" t="str">
        <f>HYPERLINK("http://funmeta.oebiotech.com/network/256241", "http://funmeta.oebiotech.com/network/256241")</f>
        <v>http://funmeta.oebiotech.com/network/256241</v>
      </c>
      <c r="H1313" s="2" t="s">
        <v>8894</v>
      </c>
      <c r="I1313" s="2"/>
      <c r="J1313" s="2"/>
      <c r="K1313" s="2"/>
      <c r="L1313" s="2"/>
      <c r="M1313" s="2"/>
      <c r="N1313" s="2"/>
      <c r="O1313" s="2">
        <v>73194485</v>
      </c>
      <c r="P1313" s="2"/>
      <c r="Q1313" s="2" t="s">
        <v>8895</v>
      </c>
      <c r="R1313" s="2" t="s">
        <v>8896</v>
      </c>
      <c r="S1313" s="2" t="s">
        <v>89</v>
      </c>
      <c r="T1313" s="2" t="s">
        <v>90</v>
      </c>
      <c r="U1313" s="2" t="s">
        <v>99</v>
      </c>
      <c r="V1313" s="2" t="s">
        <v>59</v>
      </c>
      <c r="W1313" s="2">
        <v>46.4</v>
      </c>
      <c r="X1313" s="2">
        <v>43.9</v>
      </c>
      <c r="Y1313" s="2" t="s">
        <v>141</v>
      </c>
      <c r="Z1313" s="2" t="s">
        <v>8897</v>
      </c>
      <c r="AA1313" s="2">
        <v>3.94833999080427</v>
      </c>
      <c r="AB1313" s="2">
        <v>0.59356418311245496</v>
      </c>
      <c r="AC1313" s="2">
        <v>146379.80683597099</v>
      </c>
      <c r="AD1313" s="2">
        <v>190865.94700210201</v>
      </c>
      <c r="AE1313" s="2">
        <v>118694.13400598599</v>
      </c>
      <c r="AF1313" s="2">
        <v>160908.550442498</v>
      </c>
      <c r="AG1313" s="2">
        <v>185113.81088516299</v>
      </c>
      <c r="AH1313" s="2">
        <v>106686.570138827</v>
      </c>
      <c r="AI1313" s="2">
        <v>104646.16900651999</v>
      </c>
      <c r="AJ1313" s="2">
        <v>202229.60653682999</v>
      </c>
      <c r="AK1313" s="2">
        <v>157694.04092100501</v>
      </c>
      <c r="AL1313" s="2">
        <v>195996.68497729799</v>
      </c>
      <c r="AM1313" s="2">
        <v>260823.02469303599</v>
      </c>
      <c r="AN1313" s="2">
        <v>180353.98968865999</v>
      </c>
      <c r="AO1313" s="2">
        <v>178036.304249801</v>
      </c>
      <c r="AP1313" s="2">
        <v>172291.63748281199</v>
      </c>
    </row>
    <row r="1314" spans="1:42" ht="14.5" x14ac:dyDescent="0.35">
      <c r="A1314" s="2" t="s">
        <v>8898</v>
      </c>
      <c r="B1314" s="2">
        <v>206.08156382527201</v>
      </c>
      <c r="C1314" s="2">
        <v>4.6673166666666699</v>
      </c>
      <c r="D1314" s="2" t="s">
        <v>70</v>
      </c>
      <c r="E1314" s="2" t="s">
        <v>8899</v>
      </c>
      <c r="F1314" s="2">
        <v>258368</v>
      </c>
      <c r="G1314" s="3" t="str">
        <f>HYPERLINK("http://funmeta.oebiotech.com/network/258368", "http://funmeta.oebiotech.com/network/258368")</f>
        <v>http://funmeta.oebiotech.com/network/258368</v>
      </c>
      <c r="H1314" s="2" t="s">
        <v>8900</v>
      </c>
      <c r="I1314" s="2">
        <v>5498</v>
      </c>
      <c r="J1314" s="2"/>
      <c r="K1314" s="2"/>
      <c r="L1314" s="2" t="s">
        <v>8901</v>
      </c>
      <c r="M1314" s="2" t="s">
        <v>8902</v>
      </c>
      <c r="N1314" s="2" t="s">
        <v>8903</v>
      </c>
      <c r="O1314" s="2">
        <v>101184</v>
      </c>
      <c r="P1314" s="2" t="s">
        <v>8904</v>
      </c>
      <c r="Q1314" s="2" t="s">
        <v>8905</v>
      </c>
      <c r="R1314" s="2" t="s">
        <v>8906</v>
      </c>
      <c r="S1314" s="2" t="s">
        <v>89</v>
      </c>
      <c r="T1314" s="2" t="s">
        <v>90</v>
      </c>
      <c r="U1314" s="2" t="s">
        <v>99</v>
      </c>
      <c r="V1314" s="2" t="s">
        <v>42</v>
      </c>
      <c r="W1314" s="2">
        <v>57.2</v>
      </c>
      <c r="X1314" s="2">
        <v>91.9</v>
      </c>
      <c r="Y1314" s="2" t="s">
        <v>118</v>
      </c>
      <c r="Z1314" s="2" t="s">
        <v>8907</v>
      </c>
      <c r="AA1314" s="2">
        <v>-3.3947784461431501</v>
      </c>
      <c r="AB1314" s="2">
        <v>0.59172941848112004</v>
      </c>
      <c r="AC1314" s="2">
        <v>127366.36666694999</v>
      </c>
      <c r="AD1314" s="2">
        <v>103491.175060102</v>
      </c>
      <c r="AE1314" s="2">
        <v>127083.236213711</v>
      </c>
      <c r="AF1314" s="2">
        <v>130892.240507444</v>
      </c>
      <c r="AG1314" s="2">
        <v>123233.36920982999</v>
      </c>
      <c r="AH1314" s="2">
        <v>124147.65680041601</v>
      </c>
      <c r="AI1314" s="2">
        <v>125763.85330605099</v>
      </c>
      <c r="AJ1314" s="2">
        <v>133077.84396424901</v>
      </c>
      <c r="AK1314" s="2">
        <v>99500.277257695096</v>
      </c>
      <c r="AL1314" s="2">
        <v>108336.907596423</v>
      </c>
      <c r="AM1314" s="2">
        <v>107144.49708648901</v>
      </c>
      <c r="AN1314" s="2">
        <v>103705.235701805</v>
      </c>
      <c r="AO1314" s="2">
        <v>100316.93591954</v>
      </c>
      <c r="AP1314" s="2">
        <v>101943.19679865699</v>
      </c>
    </row>
    <row r="1315" spans="1:42" ht="14.5" x14ac:dyDescent="0.35">
      <c r="A1315" s="2" t="s">
        <v>8908</v>
      </c>
      <c r="B1315" s="2">
        <v>539.11255847653104</v>
      </c>
      <c r="C1315" s="2">
        <v>0.78071666666666695</v>
      </c>
      <c r="D1315" s="2" t="s">
        <v>34</v>
      </c>
      <c r="E1315" s="2" t="s">
        <v>8909</v>
      </c>
      <c r="F1315" s="2">
        <v>256989</v>
      </c>
      <c r="G1315" s="3" t="str">
        <f>HYPERLINK("http://funmeta.oebiotech.com/network/256989", "http://funmeta.oebiotech.com/network/256989")</f>
        <v>http://funmeta.oebiotech.com/network/256989</v>
      </c>
      <c r="H1315" s="2" t="s">
        <v>8910</v>
      </c>
      <c r="I1315" s="2">
        <v>64014</v>
      </c>
      <c r="J1315" s="2"/>
      <c r="K1315" s="2">
        <v>16578</v>
      </c>
      <c r="L1315" s="2" t="s">
        <v>8911</v>
      </c>
      <c r="M1315" s="2" t="s">
        <v>890</v>
      </c>
      <c r="N1315" s="2" t="s">
        <v>891</v>
      </c>
      <c r="O1315" s="2">
        <v>443199</v>
      </c>
      <c r="P1315" s="2"/>
      <c r="Q1315" s="2" t="s">
        <v>8912</v>
      </c>
      <c r="R1315" s="2" t="s">
        <v>8913</v>
      </c>
      <c r="S1315" s="2" t="s">
        <v>1444</v>
      </c>
      <c r="T1315" s="2" t="s">
        <v>4040</v>
      </c>
      <c r="U1315" s="2" t="s">
        <v>8914</v>
      </c>
      <c r="V1315" s="2" t="s">
        <v>59</v>
      </c>
      <c r="W1315" s="2">
        <v>37.9</v>
      </c>
      <c r="X1315" s="2">
        <v>0</v>
      </c>
      <c r="Y1315" s="2" t="s">
        <v>43</v>
      </c>
      <c r="Z1315" s="2" t="s">
        <v>8915</v>
      </c>
      <c r="AA1315" s="2">
        <v>-4.6879518440069798</v>
      </c>
      <c r="AB1315" s="2">
        <v>0.59166401189995799</v>
      </c>
      <c r="AC1315" s="2">
        <v>11184.3950775753</v>
      </c>
      <c r="AD1315" s="2">
        <v>34378.791522703097</v>
      </c>
      <c r="AE1315" s="2">
        <v>14205.7183922763</v>
      </c>
      <c r="AF1315" s="2">
        <v>9349.7844167088206</v>
      </c>
      <c r="AG1315" s="2">
        <v>10481.6174692769</v>
      </c>
      <c r="AH1315" s="2">
        <v>9802.3808065291505</v>
      </c>
      <c r="AI1315" s="2">
        <v>13150.535477457801</v>
      </c>
      <c r="AJ1315" s="2">
        <v>10116.3339032026</v>
      </c>
      <c r="AK1315" s="2">
        <v>34442.733597080303</v>
      </c>
      <c r="AL1315" s="2">
        <v>30874.662325589001</v>
      </c>
      <c r="AM1315" s="2">
        <v>35232.109325792197</v>
      </c>
      <c r="AN1315" s="2">
        <v>34030.842970347498</v>
      </c>
      <c r="AO1315" s="2">
        <v>36222.588972944497</v>
      </c>
      <c r="AP1315" s="2">
        <v>35469.811944465298</v>
      </c>
    </row>
    <row r="1316" spans="1:42" ht="14.5" x14ac:dyDescent="0.35">
      <c r="A1316" s="2" t="s">
        <v>8916</v>
      </c>
      <c r="B1316" s="2">
        <v>389.097111926575</v>
      </c>
      <c r="C1316" s="2">
        <v>3.7887</v>
      </c>
      <c r="D1316" s="2" t="s">
        <v>34</v>
      </c>
      <c r="E1316" s="2" t="s">
        <v>8917</v>
      </c>
      <c r="F1316" s="2">
        <v>51918</v>
      </c>
      <c r="G1316" s="3" t="str">
        <f>HYPERLINK("http://funmeta.oebiotech.com/network/51918", "http://funmeta.oebiotech.com/network/51918")</f>
        <v>http://funmeta.oebiotech.com/network/51918</v>
      </c>
      <c r="H1316" s="2" t="s">
        <v>8918</v>
      </c>
      <c r="I1316" s="2"/>
      <c r="J1316" s="2"/>
      <c r="K1316" s="2"/>
      <c r="L1316" s="2"/>
      <c r="M1316" s="2"/>
      <c r="N1316" s="2"/>
      <c r="O1316" s="2"/>
      <c r="P1316" s="2"/>
      <c r="Q1316" s="2" t="s">
        <v>8919</v>
      </c>
      <c r="R1316" s="2" t="s">
        <v>8920</v>
      </c>
      <c r="S1316" s="2" t="s">
        <v>89</v>
      </c>
      <c r="T1316" s="2" t="s">
        <v>90</v>
      </c>
      <c r="U1316" s="2" t="s">
        <v>99</v>
      </c>
      <c r="V1316" s="2" t="s">
        <v>59</v>
      </c>
      <c r="W1316" s="2">
        <v>36.9</v>
      </c>
      <c r="X1316" s="2">
        <v>0</v>
      </c>
      <c r="Y1316" s="2" t="s">
        <v>394</v>
      </c>
      <c r="Z1316" s="2" t="s">
        <v>8921</v>
      </c>
      <c r="AA1316" s="2">
        <v>-2.1386358893391102</v>
      </c>
      <c r="AB1316" s="2">
        <v>0.59080756914867305</v>
      </c>
      <c r="AC1316" s="2">
        <v>49362.963818445198</v>
      </c>
      <c r="AD1316" s="2">
        <v>25889.386734353498</v>
      </c>
      <c r="AE1316" s="2">
        <v>45401.365558848003</v>
      </c>
      <c r="AF1316" s="2">
        <v>51623.9992716864</v>
      </c>
      <c r="AG1316" s="2">
        <v>52246.973133509302</v>
      </c>
      <c r="AH1316" s="2">
        <v>51917.847714426302</v>
      </c>
      <c r="AI1316" s="2">
        <v>49251.091947255598</v>
      </c>
      <c r="AJ1316" s="2">
        <v>45736.505284945903</v>
      </c>
      <c r="AK1316" s="2">
        <v>23490.335212725899</v>
      </c>
      <c r="AL1316" s="2">
        <v>27103.503165922801</v>
      </c>
      <c r="AM1316" s="2">
        <v>23035.0547451196</v>
      </c>
      <c r="AN1316" s="2">
        <v>27917.450251114999</v>
      </c>
      <c r="AO1316" s="2">
        <v>24160.1805156152</v>
      </c>
      <c r="AP1316" s="2">
        <v>29629.796515622202</v>
      </c>
    </row>
    <row r="1317" spans="1:42" ht="14.5" x14ac:dyDescent="0.35">
      <c r="A1317" s="2" t="s">
        <v>8922</v>
      </c>
      <c r="B1317" s="2">
        <v>463.233799780276</v>
      </c>
      <c r="C1317" s="2">
        <v>9.4396666666666693</v>
      </c>
      <c r="D1317" s="2" t="s">
        <v>70</v>
      </c>
      <c r="E1317" s="2" t="s">
        <v>8923</v>
      </c>
      <c r="F1317" s="2">
        <v>8562</v>
      </c>
      <c r="G1317" s="3" t="str">
        <f>HYPERLINK("http://funmeta.oebiotech.com/network/8562", "http://funmeta.oebiotech.com/network/8562")</f>
        <v>http://funmeta.oebiotech.com/network/8562</v>
      </c>
      <c r="H1317" s="2"/>
      <c r="I1317" s="2"/>
      <c r="J1317" s="2" t="s">
        <v>8924</v>
      </c>
      <c r="K1317" s="2"/>
      <c r="L1317" s="2"/>
      <c r="M1317" s="2"/>
      <c r="N1317" s="2"/>
      <c r="O1317" s="2">
        <v>46862736</v>
      </c>
      <c r="P1317" s="2"/>
      <c r="Q1317" s="2" t="s">
        <v>8925</v>
      </c>
      <c r="R1317" s="2" t="s">
        <v>8926</v>
      </c>
      <c r="S1317" s="2" t="s">
        <v>89</v>
      </c>
      <c r="T1317" s="2" t="s">
        <v>90</v>
      </c>
      <c r="U1317" s="2" t="s">
        <v>91</v>
      </c>
      <c r="V1317" s="2" t="s">
        <v>59</v>
      </c>
      <c r="W1317" s="2">
        <v>47.6</v>
      </c>
      <c r="X1317" s="2">
        <v>43.6</v>
      </c>
      <c r="Y1317" s="2" t="s">
        <v>286</v>
      </c>
      <c r="Z1317" s="2" t="s">
        <v>8927</v>
      </c>
      <c r="AA1317" s="2">
        <v>0.13892300058397</v>
      </c>
      <c r="AB1317" s="2">
        <v>0.59059744671428305</v>
      </c>
      <c r="AC1317" s="2">
        <v>8181.5027704641197</v>
      </c>
      <c r="AD1317" s="2">
        <v>31570.5681861429</v>
      </c>
      <c r="AE1317" s="2">
        <v>9275.2906796948591</v>
      </c>
      <c r="AF1317" s="2">
        <v>8722.3958363648908</v>
      </c>
      <c r="AG1317" s="2">
        <v>7501.6052880126099</v>
      </c>
      <c r="AH1317" s="2">
        <v>8496.3207035409996</v>
      </c>
      <c r="AI1317" s="2">
        <v>7252.2829338531401</v>
      </c>
      <c r="AJ1317" s="2">
        <v>7841.1211813182299</v>
      </c>
      <c r="AK1317" s="2">
        <v>33891.401947558697</v>
      </c>
      <c r="AL1317" s="2">
        <v>25289.856217540699</v>
      </c>
      <c r="AM1317" s="2">
        <v>31837.114643490298</v>
      </c>
      <c r="AN1317" s="2">
        <v>29940.1176551848</v>
      </c>
      <c r="AO1317" s="2">
        <v>36395.6232189148</v>
      </c>
      <c r="AP1317" s="2">
        <v>32069.2954341681</v>
      </c>
    </row>
    <row r="1318" spans="1:42" ht="14.5" x14ac:dyDescent="0.35">
      <c r="A1318" s="2" t="s">
        <v>8928</v>
      </c>
      <c r="B1318" s="2">
        <v>939.45489186339103</v>
      </c>
      <c r="C1318" s="2">
        <v>10.3988666666667</v>
      </c>
      <c r="D1318" s="2" t="s">
        <v>34</v>
      </c>
      <c r="E1318" s="2" t="s">
        <v>8929</v>
      </c>
      <c r="F1318" s="2">
        <v>55753</v>
      </c>
      <c r="G1318" s="3" t="str">
        <f>HYPERLINK("http://funmeta.oebiotech.com/network/55753", "http://funmeta.oebiotech.com/network/55753")</f>
        <v>http://funmeta.oebiotech.com/network/55753</v>
      </c>
      <c r="H1318" s="2" t="s">
        <v>8930</v>
      </c>
      <c r="I1318" s="2">
        <v>87438</v>
      </c>
      <c r="J1318" s="2"/>
      <c r="K1318" s="2"/>
      <c r="L1318" s="2"/>
      <c r="M1318" s="2"/>
      <c r="N1318" s="2"/>
      <c r="O1318" s="2">
        <v>131751143</v>
      </c>
      <c r="P1318" s="2" t="s">
        <v>8931</v>
      </c>
      <c r="Q1318" s="2" t="s">
        <v>8932</v>
      </c>
      <c r="R1318" s="2" t="s">
        <v>8933</v>
      </c>
      <c r="S1318" s="2" t="s">
        <v>50</v>
      </c>
      <c r="T1318" s="2" t="s">
        <v>124</v>
      </c>
      <c r="U1318" s="2" t="s">
        <v>523</v>
      </c>
      <c r="V1318" s="2" t="s">
        <v>59</v>
      </c>
      <c r="W1318" s="2">
        <v>37.9</v>
      </c>
      <c r="X1318" s="2">
        <v>0</v>
      </c>
      <c r="Y1318" s="2" t="s">
        <v>470</v>
      </c>
      <c r="Z1318" s="2" t="s">
        <v>8934</v>
      </c>
      <c r="AA1318" s="2">
        <v>-1.20996997706261</v>
      </c>
      <c r="AB1318" s="2">
        <v>0.59053507206642197</v>
      </c>
      <c r="AC1318" s="2">
        <v>18125.6153723723</v>
      </c>
      <c r="AD1318" s="2">
        <v>42093.301910875802</v>
      </c>
      <c r="AE1318" s="2">
        <v>17010.829017859902</v>
      </c>
      <c r="AF1318" s="2">
        <v>15718.829882873701</v>
      </c>
      <c r="AG1318" s="2">
        <v>19087.358075449902</v>
      </c>
      <c r="AH1318" s="2">
        <v>21633.603343010102</v>
      </c>
      <c r="AI1318" s="2">
        <v>19742.614184171402</v>
      </c>
      <c r="AJ1318" s="2">
        <v>15560.4577308687</v>
      </c>
      <c r="AK1318" s="2">
        <v>37030.213080711401</v>
      </c>
      <c r="AL1318" s="2">
        <v>33798.360114549403</v>
      </c>
      <c r="AM1318" s="2">
        <v>46436.249630662598</v>
      </c>
      <c r="AN1318" s="2">
        <v>42388.579668459402</v>
      </c>
      <c r="AO1318" s="2">
        <v>46131.911138695999</v>
      </c>
      <c r="AP1318" s="2">
        <v>46774.497832175803</v>
      </c>
    </row>
    <row r="1319" spans="1:42" ht="14.5" x14ac:dyDescent="0.35">
      <c r="A1319" s="2" t="s">
        <v>8935</v>
      </c>
      <c r="B1319" s="2">
        <v>496.34155159611799</v>
      </c>
      <c r="C1319" s="2">
        <v>6.41156666666667</v>
      </c>
      <c r="D1319" s="2" t="s">
        <v>34</v>
      </c>
      <c r="E1319" s="2" t="s">
        <v>8936</v>
      </c>
      <c r="F1319" s="2">
        <v>8343</v>
      </c>
      <c r="G1319" s="3" t="str">
        <f>HYPERLINK("http://funmeta.oebiotech.com/network/8343", "http://funmeta.oebiotech.com/network/8343")</f>
        <v>http://funmeta.oebiotech.com/network/8343</v>
      </c>
      <c r="H1319" s="2" t="s">
        <v>8937</v>
      </c>
      <c r="I1319" s="2">
        <v>58392</v>
      </c>
      <c r="J1319" s="2" t="s">
        <v>8938</v>
      </c>
      <c r="K1319" s="2">
        <v>134423</v>
      </c>
      <c r="L1319" s="2"/>
      <c r="M1319" s="2"/>
      <c r="N1319" s="2"/>
      <c r="O1319" s="2">
        <v>53477825</v>
      </c>
      <c r="P1319" s="2"/>
      <c r="Q1319" s="2" t="s">
        <v>8939</v>
      </c>
      <c r="R1319" s="2" t="s">
        <v>8940</v>
      </c>
      <c r="S1319" s="2" t="s">
        <v>50</v>
      </c>
      <c r="T1319" s="2" t="s">
        <v>229</v>
      </c>
      <c r="U1319" s="2" t="s">
        <v>1914</v>
      </c>
      <c r="V1319" s="2" t="s">
        <v>59</v>
      </c>
      <c r="W1319" s="2">
        <v>37.200000000000003</v>
      </c>
      <c r="X1319" s="2">
        <v>0</v>
      </c>
      <c r="Y1319" s="2" t="s">
        <v>568</v>
      </c>
      <c r="Z1319" s="2" t="s">
        <v>8941</v>
      </c>
      <c r="AA1319" s="2">
        <v>3.8489993222829901</v>
      </c>
      <c r="AB1319" s="2">
        <v>0.59041141511378403</v>
      </c>
      <c r="AC1319" s="2">
        <v>65138.959422620697</v>
      </c>
      <c r="AD1319" s="2">
        <v>88969.076871350204</v>
      </c>
      <c r="AE1319" s="2">
        <v>68116.289733891201</v>
      </c>
      <c r="AF1319" s="2">
        <v>65694.682618174294</v>
      </c>
      <c r="AG1319" s="2">
        <v>61695.510327111901</v>
      </c>
      <c r="AH1319" s="2">
        <v>60033.955656117701</v>
      </c>
      <c r="AI1319" s="2">
        <v>65934.891725035093</v>
      </c>
      <c r="AJ1319" s="2">
        <v>69358.426475393804</v>
      </c>
      <c r="AK1319" s="2">
        <v>88249.374993214005</v>
      </c>
      <c r="AL1319" s="2">
        <v>86281.167769346997</v>
      </c>
      <c r="AM1319" s="2">
        <v>95219.916023354206</v>
      </c>
      <c r="AN1319" s="2">
        <v>83522.488591657995</v>
      </c>
      <c r="AO1319" s="2">
        <v>91452.530939535704</v>
      </c>
      <c r="AP1319" s="2">
        <v>89088.982910992199</v>
      </c>
    </row>
    <row r="1320" spans="1:42" ht="14.5" x14ac:dyDescent="0.35">
      <c r="A1320" s="2" t="s">
        <v>8942</v>
      </c>
      <c r="B1320" s="2">
        <v>857.48511862951796</v>
      </c>
      <c r="C1320" s="2">
        <v>11.935600000000001</v>
      </c>
      <c r="D1320" s="2" t="s">
        <v>34</v>
      </c>
      <c r="E1320" s="2" t="s">
        <v>8943</v>
      </c>
      <c r="F1320" s="2">
        <v>56230</v>
      </c>
      <c r="G1320" s="3" t="str">
        <f>HYPERLINK("http://funmeta.oebiotech.com/network/56230", "http://funmeta.oebiotech.com/network/56230")</f>
        <v>http://funmeta.oebiotech.com/network/56230</v>
      </c>
      <c r="H1320" s="2" t="s">
        <v>8944</v>
      </c>
      <c r="I1320" s="2">
        <v>87923</v>
      </c>
      <c r="J1320" s="2"/>
      <c r="K1320" s="2"/>
      <c r="L1320" s="2"/>
      <c r="M1320" s="2"/>
      <c r="N1320" s="2"/>
      <c r="O1320" s="2">
        <v>131752523</v>
      </c>
      <c r="P1320" s="2"/>
      <c r="Q1320" s="2" t="s">
        <v>8945</v>
      </c>
      <c r="R1320" s="2" t="s">
        <v>8946</v>
      </c>
      <c r="S1320" s="2" t="s">
        <v>50</v>
      </c>
      <c r="T1320" s="2" t="s">
        <v>201</v>
      </c>
      <c r="U1320" s="2" t="s">
        <v>210</v>
      </c>
      <c r="V1320" s="2" t="s">
        <v>59</v>
      </c>
      <c r="W1320" s="2">
        <v>40.5</v>
      </c>
      <c r="X1320" s="2">
        <v>11.8</v>
      </c>
      <c r="Y1320" s="2" t="s">
        <v>323</v>
      </c>
      <c r="Z1320" s="2" t="s">
        <v>8947</v>
      </c>
      <c r="AA1320" s="2">
        <v>-2.1430096819819502</v>
      </c>
      <c r="AB1320" s="2">
        <v>0.59004496710978505</v>
      </c>
      <c r="AC1320" s="2">
        <v>92167.227047642897</v>
      </c>
      <c r="AD1320" s="2">
        <v>66624.737067660797</v>
      </c>
      <c r="AE1320" s="2">
        <v>87063.231069122994</v>
      </c>
      <c r="AF1320" s="2">
        <v>91878.481534726205</v>
      </c>
      <c r="AG1320" s="2">
        <v>94305.633395778495</v>
      </c>
      <c r="AH1320" s="2">
        <v>89823.717605518395</v>
      </c>
      <c r="AI1320" s="2">
        <v>90996.5206442583</v>
      </c>
      <c r="AJ1320" s="2">
        <v>98935.778036453194</v>
      </c>
      <c r="AK1320" s="2">
        <v>83351.222728565699</v>
      </c>
      <c r="AL1320" s="2">
        <v>62838.355983310503</v>
      </c>
      <c r="AM1320" s="2">
        <v>63724.584940247099</v>
      </c>
      <c r="AN1320" s="2">
        <v>55747.297702675001</v>
      </c>
      <c r="AO1320" s="2">
        <v>66649.764610830607</v>
      </c>
      <c r="AP1320" s="2">
        <v>67437.196440335902</v>
      </c>
    </row>
    <row r="1321" spans="1:42" ht="14.5" x14ac:dyDescent="0.35">
      <c r="A1321" s="2" t="s">
        <v>8948</v>
      </c>
      <c r="B1321" s="2">
        <v>438.11531383163401</v>
      </c>
      <c r="C1321" s="2">
        <v>6.0954833333333296</v>
      </c>
      <c r="D1321" s="2" t="s">
        <v>34</v>
      </c>
      <c r="E1321" s="2" t="s">
        <v>8949</v>
      </c>
      <c r="F1321" s="2">
        <v>257246</v>
      </c>
      <c r="G1321" s="3" t="str">
        <f>HYPERLINK("http://funmeta.oebiotech.com/network/257246", "http://funmeta.oebiotech.com/network/257246")</f>
        <v>http://funmeta.oebiotech.com/network/257246</v>
      </c>
      <c r="H1321" s="2" t="s">
        <v>8950</v>
      </c>
      <c r="I1321" s="2"/>
      <c r="J1321" s="2"/>
      <c r="K1321" s="2">
        <v>15819</v>
      </c>
      <c r="L1321" s="2" t="s">
        <v>8951</v>
      </c>
      <c r="M1321" s="2" t="s">
        <v>8952</v>
      </c>
      <c r="N1321" s="2" t="s">
        <v>8953</v>
      </c>
      <c r="O1321" s="2">
        <v>100221</v>
      </c>
      <c r="P1321" s="2"/>
      <c r="Q1321" s="2" t="s">
        <v>8954</v>
      </c>
      <c r="R1321" s="2" t="s">
        <v>8955</v>
      </c>
      <c r="S1321" s="2" t="s">
        <v>1444</v>
      </c>
      <c r="T1321" s="2" t="s">
        <v>4937</v>
      </c>
      <c r="U1321" s="2" t="s">
        <v>5723</v>
      </c>
      <c r="V1321" s="2" t="s">
        <v>59</v>
      </c>
      <c r="W1321" s="2">
        <v>41.6</v>
      </c>
      <c r="X1321" s="2">
        <v>11.5</v>
      </c>
      <c r="Y1321" s="2" t="s">
        <v>470</v>
      </c>
      <c r="Z1321" s="2" t="s">
        <v>8956</v>
      </c>
      <c r="AA1321" s="2">
        <v>0.98393134619448497</v>
      </c>
      <c r="AB1321" s="2">
        <v>0.59004055885984097</v>
      </c>
      <c r="AC1321" s="2">
        <v>23418.603036725199</v>
      </c>
      <c r="AD1321" s="2">
        <v>46854.147616037902</v>
      </c>
      <c r="AE1321" s="2">
        <v>20981.359705400901</v>
      </c>
      <c r="AF1321" s="2">
        <v>24698.909939859801</v>
      </c>
      <c r="AG1321" s="2">
        <v>26577.364448714601</v>
      </c>
      <c r="AH1321" s="2">
        <v>23651.124378534201</v>
      </c>
      <c r="AI1321" s="2">
        <v>25353.6037849723</v>
      </c>
      <c r="AJ1321" s="2">
        <v>19249.255962869502</v>
      </c>
      <c r="AK1321" s="2">
        <v>45368.871257623803</v>
      </c>
      <c r="AL1321" s="2">
        <v>52765.470597592997</v>
      </c>
      <c r="AM1321" s="2">
        <v>46063.008462372898</v>
      </c>
      <c r="AN1321" s="2">
        <v>45630.991889431702</v>
      </c>
      <c r="AO1321" s="2">
        <v>46905.496296536701</v>
      </c>
      <c r="AP1321" s="2">
        <v>44391.047192669103</v>
      </c>
    </row>
    <row r="1322" spans="1:42" ht="14.5" x14ac:dyDescent="0.35">
      <c r="A1322" s="2" t="s">
        <v>8957</v>
      </c>
      <c r="B1322" s="2">
        <v>417.128866796794</v>
      </c>
      <c r="C1322" s="2">
        <v>4.7359166666666699</v>
      </c>
      <c r="D1322" s="2" t="s">
        <v>34</v>
      </c>
      <c r="E1322" s="2" t="s">
        <v>8958</v>
      </c>
      <c r="F1322" s="2">
        <v>53402</v>
      </c>
      <c r="G1322" s="3" t="str">
        <f>HYPERLINK("http://funmeta.oebiotech.com/network/53402", "http://funmeta.oebiotech.com/network/53402")</f>
        <v>http://funmeta.oebiotech.com/network/53402</v>
      </c>
      <c r="H1322" s="2" t="s">
        <v>8959</v>
      </c>
      <c r="I1322" s="2">
        <v>43214</v>
      </c>
      <c r="J1322" s="2"/>
      <c r="K1322" s="2"/>
      <c r="L1322" s="2"/>
      <c r="M1322" s="2"/>
      <c r="N1322" s="2"/>
      <c r="O1322" s="2">
        <v>3037234</v>
      </c>
      <c r="P1322" s="2" t="s">
        <v>8960</v>
      </c>
      <c r="Q1322" s="2" t="s">
        <v>8961</v>
      </c>
      <c r="R1322" s="2" t="s">
        <v>8962</v>
      </c>
      <c r="S1322" s="2" t="s">
        <v>148</v>
      </c>
      <c r="T1322" s="2" t="s">
        <v>149</v>
      </c>
      <c r="U1322" s="2" t="s">
        <v>8963</v>
      </c>
      <c r="V1322" s="2" t="s">
        <v>59</v>
      </c>
      <c r="W1322" s="2">
        <v>37.799999999999997</v>
      </c>
      <c r="X1322" s="2">
        <v>0</v>
      </c>
      <c r="Y1322" s="2" t="s">
        <v>394</v>
      </c>
      <c r="Z1322" s="2" t="s">
        <v>8964</v>
      </c>
      <c r="AA1322" s="2">
        <v>0.870408956292688</v>
      </c>
      <c r="AB1322" s="2">
        <v>0.589433879875497</v>
      </c>
      <c r="AC1322" s="2">
        <v>20472.581499458302</v>
      </c>
      <c r="AD1322" s="2">
        <v>43978.863779780499</v>
      </c>
      <c r="AE1322" s="2">
        <v>19212.349359092699</v>
      </c>
      <c r="AF1322" s="2">
        <v>22969.781943412199</v>
      </c>
      <c r="AG1322" s="2">
        <v>24386.392991035998</v>
      </c>
      <c r="AH1322" s="2">
        <v>19780.144295065998</v>
      </c>
      <c r="AI1322" s="2">
        <v>20611.988991396</v>
      </c>
      <c r="AJ1322" s="2">
        <v>15874.8314167469</v>
      </c>
      <c r="AK1322" s="2">
        <v>41623.896460527103</v>
      </c>
      <c r="AL1322" s="2">
        <v>45941.302600818497</v>
      </c>
      <c r="AM1322" s="2">
        <v>43221.3851124949</v>
      </c>
      <c r="AN1322" s="2">
        <v>46779.475171896702</v>
      </c>
      <c r="AO1322" s="2">
        <v>38831.682126178603</v>
      </c>
      <c r="AP1322" s="2">
        <v>47475.441206767297</v>
      </c>
    </row>
    <row r="1323" spans="1:42" ht="14.5" x14ac:dyDescent="0.35">
      <c r="A1323" s="2" t="s">
        <v>8965</v>
      </c>
      <c r="B1323" s="2">
        <v>325.14418637372802</v>
      </c>
      <c r="C1323" s="2">
        <v>8.5368499999999994</v>
      </c>
      <c r="D1323" s="2" t="s">
        <v>70</v>
      </c>
      <c r="E1323" s="2" t="s">
        <v>8966</v>
      </c>
      <c r="F1323" s="2">
        <v>60369</v>
      </c>
      <c r="G1323" s="3" t="str">
        <f>HYPERLINK("http://funmeta.oebiotech.com/network/60369", "http://funmeta.oebiotech.com/network/60369")</f>
        <v>http://funmeta.oebiotech.com/network/60369</v>
      </c>
      <c r="H1323" s="2" t="s">
        <v>8967</v>
      </c>
      <c r="I1323" s="2">
        <v>91727</v>
      </c>
      <c r="J1323" s="2"/>
      <c r="K1323" s="2">
        <v>174642</v>
      </c>
      <c r="L1323" s="2"/>
      <c r="M1323" s="2"/>
      <c r="N1323" s="2"/>
      <c r="O1323" s="2">
        <v>131752038</v>
      </c>
      <c r="P1323" s="2" t="s">
        <v>8968</v>
      </c>
      <c r="Q1323" s="2" t="s">
        <v>8969</v>
      </c>
      <c r="R1323" s="2" t="s">
        <v>8970</v>
      </c>
      <c r="S1323" s="2" t="s">
        <v>50</v>
      </c>
      <c r="T1323" s="2" t="s">
        <v>201</v>
      </c>
      <c r="U1323" s="2" t="s">
        <v>1217</v>
      </c>
      <c r="V1323" s="2" t="s">
        <v>59</v>
      </c>
      <c r="W1323" s="2">
        <v>41.3</v>
      </c>
      <c r="X1323" s="2">
        <v>11.8</v>
      </c>
      <c r="Y1323" s="2" t="s">
        <v>751</v>
      </c>
      <c r="Z1323" s="2" t="s">
        <v>3335</v>
      </c>
      <c r="AA1323" s="2">
        <v>-1.0064253928859801</v>
      </c>
      <c r="AB1323" s="2">
        <v>0.589424584979102</v>
      </c>
      <c r="AC1323" s="2">
        <v>26781.524499466599</v>
      </c>
      <c r="AD1323" s="2">
        <v>3253.48645152369</v>
      </c>
      <c r="AE1323" s="2">
        <v>34362.902825876197</v>
      </c>
      <c r="AF1323" s="2">
        <v>23355.679385028801</v>
      </c>
      <c r="AG1323" s="2">
        <v>29458.607952587201</v>
      </c>
      <c r="AH1323" s="2">
        <v>23636.5899717549</v>
      </c>
      <c r="AI1323" s="2">
        <v>27190.487716787</v>
      </c>
      <c r="AJ1323" s="2">
        <v>22684.879144765498</v>
      </c>
      <c r="AK1323" s="2">
        <v>2548.1231275151899</v>
      </c>
      <c r="AL1323" s="2">
        <v>5251.2084236713599</v>
      </c>
      <c r="AM1323" s="2">
        <v>3501.38486807352</v>
      </c>
      <c r="AN1323" s="2">
        <v>1474.4525012803001</v>
      </c>
      <c r="AO1323" s="2">
        <v>4145.5983813032999</v>
      </c>
      <c r="AP1323" s="2">
        <v>2600.1514072984501</v>
      </c>
    </row>
    <row r="1324" spans="1:42" ht="14.5" x14ac:dyDescent="0.35">
      <c r="A1324" s="2" t="s">
        <v>8971</v>
      </c>
      <c r="B1324" s="2">
        <v>559.17726235711996</v>
      </c>
      <c r="C1324" s="2">
        <v>5.1996333333333302</v>
      </c>
      <c r="D1324" s="2" t="s">
        <v>34</v>
      </c>
      <c r="E1324" s="2" t="s">
        <v>8972</v>
      </c>
      <c r="F1324" s="2">
        <v>57529</v>
      </c>
      <c r="G1324" s="3" t="str">
        <f>HYPERLINK("http://funmeta.oebiotech.com/network/57529", "http://funmeta.oebiotech.com/network/57529")</f>
        <v>http://funmeta.oebiotech.com/network/57529</v>
      </c>
      <c r="H1324" s="2" t="s">
        <v>8973</v>
      </c>
      <c r="I1324" s="2">
        <v>89139</v>
      </c>
      <c r="J1324" s="2"/>
      <c r="K1324" s="2">
        <v>171720</v>
      </c>
      <c r="L1324" s="2"/>
      <c r="M1324" s="2"/>
      <c r="N1324" s="2"/>
      <c r="O1324" s="2">
        <v>13995448</v>
      </c>
      <c r="P1324" s="2"/>
      <c r="Q1324" s="2" t="s">
        <v>8974</v>
      </c>
      <c r="R1324" s="2" t="s">
        <v>8975</v>
      </c>
      <c r="S1324" s="2" t="s">
        <v>1184</v>
      </c>
      <c r="T1324" s="2" t="s">
        <v>1185</v>
      </c>
      <c r="U1324" s="2" t="s">
        <v>41</v>
      </c>
      <c r="V1324" s="2" t="s">
        <v>59</v>
      </c>
      <c r="W1324" s="2">
        <v>40.299999999999997</v>
      </c>
      <c r="X1324" s="2">
        <v>9.18</v>
      </c>
      <c r="Y1324" s="2" t="s">
        <v>470</v>
      </c>
      <c r="Z1324" s="2" t="s">
        <v>1186</v>
      </c>
      <c r="AA1324" s="2">
        <v>-2.4893888208836299</v>
      </c>
      <c r="AB1324" s="2">
        <v>0.58931226852262197</v>
      </c>
      <c r="AC1324" s="2">
        <v>42418.881034029197</v>
      </c>
      <c r="AD1324" s="2">
        <v>18426.428299762199</v>
      </c>
      <c r="AE1324" s="2">
        <v>43643.7917794858</v>
      </c>
      <c r="AF1324" s="2">
        <v>40649.507127313504</v>
      </c>
      <c r="AG1324" s="2">
        <v>48957.524566714899</v>
      </c>
      <c r="AH1324" s="2">
        <v>37794.490123483498</v>
      </c>
      <c r="AI1324" s="2">
        <v>34532.113988796998</v>
      </c>
      <c r="AJ1324" s="2">
        <v>48935.8586183804</v>
      </c>
      <c r="AK1324" s="2">
        <v>18653.240477894298</v>
      </c>
      <c r="AL1324" s="2">
        <v>17338.344828494399</v>
      </c>
      <c r="AM1324" s="2">
        <v>20483.636133244901</v>
      </c>
      <c r="AN1324" s="2">
        <v>20694.979075472598</v>
      </c>
      <c r="AO1324" s="2">
        <v>19194.704318395601</v>
      </c>
      <c r="AP1324" s="2">
        <v>14193.664965071501</v>
      </c>
    </row>
    <row r="1325" spans="1:42" ht="14.5" x14ac:dyDescent="0.35">
      <c r="A1325" s="2" t="s">
        <v>8976</v>
      </c>
      <c r="B1325" s="2">
        <v>393.13642226841898</v>
      </c>
      <c r="C1325" s="2">
        <v>1.11073333333333</v>
      </c>
      <c r="D1325" s="2" t="s">
        <v>34</v>
      </c>
      <c r="E1325" s="2" t="s">
        <v>8977</v>
      </c>
      <c r="F1325" s="2">
        <v>212234</v>
      </c>
      <c r="G1325" s="3" t="str">
        <f>HYPERLINK("http://funmeta.oebiotech.com/network/212234", "http://funmeta.oebiotech.com/network/212234")</f>
        <v>http://funmeta.oebiotech.com/network/212234</v>
      </c>
      <c r="H1325" s="2" t="s">
        <v>8978</v>
      </c>
      <c r="I1325" s="2"/>
      <c r="J1325" s="2"/>
      <c r="K1325" s="2"/>
      <c r="L1325" s="2"/>
      <c r="M1325" s="2"/>
      <c r="N1325" s="2"/>
      <c r="O1325" s="2"/>
      <c r="P1325" s="2"/>
      <c r="Q1325" s="2" t="s">
        <v>8979</v>
      </c>
      <c r="R1325" s="2" t="s">
        <v>8980</v>
      </c>
      <c r="S1325" s="2" t="s">
        <v>491</v>
      </c>
      <c r="T1325" s="2" t="s">
        <v>2653</v>
      </c>
      <c r="U1325" s="2" t="s">
        <v>41</v>
      </c>
      <c r="V1325" s="2" t="s">
        <v>59</v>
      </c>
      <c r="W1325" s="2">
        <v>42.8</v>
      </c>
      <c r="X1325" s="2">
        <v>29.4</v>
      </c>
      <c r="Y1325" s="2" t="s">
        <v>323</v>
      </c>
      <c r="Z1325" s="2" t="s">
        <v>8981</v>
      </c>
      <c r="AA1325" s="2">
        <v>2.3088828675656701</v>
      </c>
      <c r="AB1325" s="2">
        <v>0.58884279777109005</v>
      </c>
      <c r="AC1325" s="2">
        <v>91914.8227511039</v>
      </c>
      <c r="AD1325" s="2">
        <v>114942.191109309</v>
      </c>
      <c r="AE1325" s="2">
        <v>89852.220424004903</v>
      </c>
      <c r="AF1325" s="2">
        <v>90821.819310483799</v>
      </c>
      <c r="AG1325" s="2">
        <v>91445.424031082701</v>
      </c>
      <c r="AH1325" s="2">
        <v>93091.305666686094</v>
      </c>
      <c r="AI1325" s="2">
        <v>97192.8235629314</v>
      </c>
      <c r="AJ1325" s="2">
        <v>89085.343511434607</v>
      </c>
      <c r="AK1325" s="2">
        <v>116594.584080926</v>
      </c>
      <c r="AL1325" s="2">
        <v>114779.48553886601</v>
      </c>
      <c r="AM1325" s="2">
        <v>114731.005294559</v>
      </c>
      <c r="AN1325" s="2">
        <v>113576.429848702</v>
      </c>
      <c r="AO1325" s="2">
        <v>114514.580553972</v>
      </c>
      <c r="AP1325" s="2">
        <v>115457.061338826</v>
      </c>
    </row>
    <row r="1326" spans="1:42" ht="14.5" x14ac:dyDescent="0.35">
      <c r="A1326" s="2" t="s">
        <v>8982</v>
      </c>
      <c r="B1326" s="2">
        <v>423.16056804994099</v>
      </c>
      <c r="C1326" s="2">
        <v>4.3640166666666698</v>
      </c>
      <c r="D1326" s="2" t="s">
        <v>70</v>
      </c>
      <c r="E1326" s="2" t="s">
        <v>8983</v>
      </c>
      <c r="F1326" s="2">
        <v>35068</v>
      </c>
      <c r="G1326" s="3" t="str">
        <f>HYPERLINK("http://funmeta.oebiotech.com/network/35068", "http://funmeta.oebiotech.com/network/35068")</f>
        <v>http://funmeta.oebiotech.com/network/35068</v>
      </c>
      <c r="H1326" s="2"/>
      <c r="I1326" s="2">
        <v>43624</v>
      </c>
      <c r="J1326" s="2" t="s">
        <v>8984</v>
      </c>
      <c r="K1326" s="2">
        <v>17323</v>
      </c>
      <c r="L1326" s="2" t="s">
        <v>8985</v>
      </c>
      <c r="M1326" s="2" t="s">
        <v>8986</v>
      </c>
      <c r="N1326" s="2" t="s">
        <v>8987</v>
      </c>
      <c r="O1326" s="2">
        <v>5280457</v>
      </c>
      <c r="P1326" s="2" t="s">
        <v>8988</v>
      </c>
      <c r="Q1326" s="2" t="s">
        <v>8989</v>
      </c>
      <c r="R1326" s="2" t="s">
        <v>8990</v>
      </c>
      <c r="S1326" s="2" t="s">
        <v>115</v>
      </c>
      <c r="T1326" s="2" t="s">
        <v>4730</v>
      </c>
      <c r="U1326" s="2" t="s">
        <v>41</v>
      </c>
      <c r="V1326" s="2" t="s">
        <v>59</v>
      </c>
      <c r="W1326" s="2">
        <v>39</v>
      </c>
      <c r="X1326" s="2">
        <v>0</v>
      </c>
      <c r="Y1326" s="2" t="s">
        <v>560</v>
      </c>
      <c r="Z1326" s="2" t="s">
        <v>8991</v>
      </c>
      <c r="AA1326" s="2">
        <v>0.90821210490555504</v>
      </c>
      <c r="AB1326" s="2">
        <v>0.58873828623461499</v>
      </c>
      <c r="AC1326" s="2">
        <v>183389.76014034799</v>
      </c>
      <c r="AD1326" s="2">
        <v>159124.7232069</v>
      </c>
      <c r="AE1326" s="2">
        <v>183983.808915645</v>
      </c>
      <c r="AF1326" s="2">
        <v>189111.78226896399</v>
      </c>
      <c r="AG1326" s="2">
        <v>172048.36820130399</v>
      </c>
      <c r="AH1326" s="2">
        <v>187716.251276758</v>
      </c>
      <c r="AI1326" s="2">
        <v>184112.123721696</v>
      </c>
      <c r="AJ1326" s="2">
        <v>183366.226457724</v>
      </c>
      <c r="AK1326" s="2">
        <v>163467.862866985</v>
      </c>
      <c r="AL1326" s="2">
        <v>159252.47945556499</v>
      </c>
      <c r="AM1326" s="2">
        <v>159198.81349116299</v>
      </c>
      <c r="AN1326" s="2">
        <v>160630.03712046499</v>
      </c>
      <c r="AO1326" s="2">
        <v>152944.93165299299</v>
      </c>
      <c r="AP1326" s="2">
        <v>159254.214654232</v>
      </c>
    </row>
    <row r="1327" spans="1:42" ht="14.5" x14ac:dyDescent="0.35">
      <c r="A1327" s="2" t="s">
        <v>8992</v>
      </c>
      <c r="B1327" s="2">
        <v>779.32187116559703</v>
      </c>
      <c r="C1327" s="2">
        <v>9.6379333333333292</v>
      </c>
      <c r="D1327" s="2" t="s">
        <v>70</v>
      </c>
      <c r="E1327" s="2" t="s">
        <v>8993</v>
      </c>
      <c r="F1327" s="2">
        <v>256216</v>
      </c>
      <c r="G1327" s="3" t="str">
        <f>HYPERLINK("http://funmeta.oebiotech.com/network/256216", "http://funmeta.oebiotech.com/network/256216")</f>
        <v>http://funmeta.oebiotech.com/network/256216</v>
      </c>
      <c r="H1327" s="2" t="s">
        <v>8994</v>
      </c>
      <c r="I1327" s="2"/>
      <c r="J1327" s="2"/>
      <c r="K1327" s="2"/>
      <c r="L1327" s="2"/>
      <c r="M1327" s="2"/>
      <c r="N1327" s="2"/>
      <c r="O1327" s="2">
        <v>24847857</v>
      </c>
      <c r="P1327" s="2"/>
      <c r="Q1327" s="2" t="s">
        <v>8995</v>
      </c>
      <c r="R1327" s="2" t="s">
        <v>8996</v>
      </c>
      <c r="S1327" s="2" t="s">
        <v>79</v>
      </c>
      <c r="T1327" s="2" t="s">
        <v>80</v>
      </c>
      <c r="U1327" s="2" t="s">
        <v>81</v>
      </c>
      <c r="V1327" s="2" t="s">
        <v>59</v>
      </c>
      <c r="W1327" s="2">
        <v>39.6</v>
      </c>
      <c r="X1327" s="2">
        <v>19.5</v>
      </c>
      <c r="Y1327" s="2" t="s">
        <v>118</v>
      </c>
      <c r="Z1327" s="2" t="s">
        <v>8997</v>
      </c>
      <c r="AA1327" s="2">
        <v>3.6192183614945002</v>
      </c>
      <c r="AB1327" s="2">
        <v>0.58841653878422395</v>
      </c>
      <c r="AC1327" s="2">
        <v>48568.223174434199</v>
      </c>
      <c r="AD1327" s="2">
        <v>25329.1595941956</v>
      </c>
      <c r="AE1327" s="2">
        <v>54309.225356821298</v>
      </c>
      <c r="AF1327" s="2">
        <v>46961.434910382901</v>
      </c>
      <c r="AG1327" s="2">
        <v>46294.256683968299</v>
      </c>
      <c r="AH1327" s="2">
        <v>50754.358629376104</v>
      </c>
      <c r="AI1327" s="2">
        <v>48447.8793041221</v>
      </c>
      <c r="AJ1327" s="2">
        <v>44642.1841619345</v>
      </c>
      <c r="AK1327" s="2">
        <v>23412.517929711001</v>
      </c>
      <c r="AL1327" s="2">
        <v>25825.412750372201</v>
      </c>
      <c r="AM1327" s="2">
        <v>27066.043819658498</v>
      </c>
      <c r="AN1327" s="2">
        <v>24008.151786214399</v>
      </c>
      <c r="AO1327" s="2">
        <v>27323.089119582201</v>
      </c>
      <c r="AP1327" s="2">
        <v>24339.742159635502</v>
      </c>
    </row>
    <row r="1328" spans="1:42" ht="14.5" x14ac:dyDescent="0.35">
      <c r="A1328" s="2" t="s">
        <v>8998</v>
      </c>
      <c r="B1328" s="2">
        <v>428.14612918537102</v>
      </c>
      <c r="C1328" s="2">
        <v>4.2251833333333302</v>
      </c>
      <c r="D1328" s="2" t="s">
        <v>34</v>
      </c>
      <c r="E1328" s="2" t="s">
        <v>8999</v>
      </c>
      <c r="F1328" s="2">
        <v>10394</v>
      </c>
      <c r="G1328" s="3" t="str">
        <f>HYPERLINK("http://funmeta.oebiotech.com/network/10394", "http://funmeta.oebiotech.com/network/10394")</f>
        <v>http://funmeta.oebiotech.com/network/10394</v>
      </c>
      <c r="H1328" s="2"/>
      <c r="I1328" s="2"/>
      <c r="J1328" s="2" t="s">
        <v>9000</v>
      </c>
      <c r="K1328" s="2"/>
      <c r="L1328" s="2"/>
      <c r="M1328" s="2"/>
      <c r="N1328" s="2"/>
      <c r="O1328" s="2">
        <v>132934130</v>
      </c>
      <c r="P1328" s="2"/>
      <c r="Q1328" s="2" t="s">
        <v>9001</v>
      </c>
      <c r="R1328" s="2" t="s">
        <v>9002</v>
      </c>
      <c r="S1328" s="2" t="s">
        <v>491</v>
      </c>
      <c r="T1328" s="2" t="s">
        <v>2184</v>
      </c>
      <c r="U1328" s="2" t="s">
        <v>6137</v>
      </c>
      <c r="V1328" s="2" t="s">
        <v>59</v>
      </c>
      <c r="W1328" s="2">
        <v>38.700000000000003</v>
      </c>
      <c r="X1328" s="2">
        <v>5.12</v>
      </c>
      <c r="Y1328" s="2" t="s">
        <v>340</v>
      </c>
      <c r="Z1328" s="2" t="s">
        <v>9003</v>
      </c>
      <c r="AA1328" s="2">
        <v>-2.2264097205847202</v>
      </c>
      <c r="AB1328" s="2">
        <v>0.58769001323233605</v>
      </c>
      <c r="AC1328" s="2">
        <v>145704.60886006599</v>
      </c>
      <c r="AD1328" s="2">
        <v>120334.392350208</v>
      </c>
      <c r="AE1328" s="2">
        <v>147178.561537275</v>
      </c>
      <c r="AF1328" s="2">
        <v>140842.75009849499</v>
      </c>
      <c r="AG1328" s="2">
        <v>139089.829711239</v>
      </c>
      <c r="AH1328" s="2">
        <v>137864.71740274099</v>
      </c>
      <c r="AI1328" s="2">
        <v>147900.981610541</v>
      </c>
      <c r="AJ1328" s="2">
        <v>161350.812800104</v>
      </c>
      <c r="AK1328" s="2">
        <v>118493.23556776201</v>
      </c>
      <c r="AL1328" s="2">
        <v>114518.955696613</v>
      </c>
      <c r="AM1328" s="2">
        <v>120194.70996711</v>
      </c>
      <c r="AN1328" s="2">
        <v>118086.725552213</v>
      </c>
      <c r="AO1328" s="2">
        <v>125714.01671556001</v>
      </c>
      <c r="AP1328" s="2">
        <v>124998.710601991</v>
      </c>
    </row>
    <row r="1329" spans="1:42" ht="14.5" x14ac:dyDescent="0.35">
      <c r="A1329" s="2" t="s">
        <v>9004</v>
      </c>
      <c r="B1329" s="2">
        <v>375.21397125865099</v>
      </c>
      <c r="C1329" s="2">
        <v>4.2432666666666696</v>
      </c>
      <c r="D1329" s="2" t="s">
        <v>34</v>
      </c>
      <c r="E1329" s="2" t="s">
        <v>9005</v>
      </c>
      <c r="F1329" s="2">
        <v>3925</v>
      </c>
      <c r="G1329" s="3" t="str">
        <f>HYPERLINK("http://funmeta.oebiotech.com/network/3925", "http://funmeta.oebiotech.com/network/3925")</f>
        <v>http://funmeta.oebiotech.com/network/3925</v>
      </c>
      <c r="H1329" s="2" t="s">
        <v>9006</v>
      </c>
      <c r="I1329" s="2">
        <v>36266</v>
      </c>
      <c r="J1329" s="2" t="s">
        <v>9007</v>
      </c>
      <c r="K1329" s="2">
        <v>6499</v>
      </c>
      <c r="L1329" s="2" t="s">
        <v>9008</v>
      </c>
      <c r="M1329" s="2" t="s">
        <v>9009</v>
      </c>
      <c r="N1329" s="2" t="s">
        <v>9010</v>
      </c>
      <c r="O1329" s="2">
        <v>5280915</v>
      </c>
      <c r="P1329" s="2" t="s">
        <v>9011</v>
      </c>
      <c r="Q1329" s="2" t="s">
        <v>9012</v>
      </c>
      <c r="R1329" s="2" t="s">
        <v>9013</v>
      </c>
      <c r="S1329" s="2" t="s">
        <v>50</v>
      </c>
      <c r="T1329" s="2" t="s">
        <v>229</v>
      </c>
      <c r="U1329" s="2" t="s">
        <v>766</v>
      </c>
      <c r="V1329" s="2" t="s">
        <v>59</v>
      </c>
      <c r="W1329" s="2">
        <v>40.6</v>
      </c>
      <c r="X1329" s="2">
        <v>10.5</v>
      </c>
      <c r="Y1329" s="2" t="s">
        <v>323</v>
      </c>
      <c r="Z1329" s="2" t="s">
        <v>5018</v>
      </c>
      <c r="AA1329" s="2">
        <v>-0.63466649332812497</v>
      </c>
      <c r="AB1329" s="2">
        <v>0.58740215006315299</v>
      </c>
      <c r="AC1329" s="2">
        <v>98450.922298860896</v>
      </c>
      <c r="AD1329" s="2">
        <v>122620.31732047</v>
      </c>
      <c r="AE1329" s="2">
        <v>94382.219018311996</v>
      </c>
      <c r="AF1329" s="2">
        <v>101269.22213968499</v>
      </c>
      <c r="AG1329" s="2">
        <v>104630.627876503</v>
      </c>
      <c r="AH1329" s="2">
        <v>96607.051610939496</v>
      </c>
      <c r="AI1329" s="2">
        <v>98736.731701475102</v>
      </c>
      <c r="AJ1329" s="2">
        <v>95079.681446250994</v>
      </c>
      <c r="AK1329" s="2">
        <v>125587.724793152</v>
      </c>
      <c r="AL1329" s="2">
        <v>128133.34598189101</v>
      </c>
      <c r="AM1329" s="2">
        <v>121508.19136297501</v>
      </c>
      <c r="AN1329" s="2">
        <v>112966.102906322</v>
      </c>
      <c r="AO1329" s="2">
        <v>126593.101833718</v>
      </c>
      <c r="AP1329" s="2">
        <v>120933.437044759</v>
      </c>
    </row>
    <row r="1330" spans="1:42" ht="14.5" x14ac:dyDescent="0.35">
      <c r="A1330" s="2" t="s">
        <v>9014</v>
      </c>
      <c r="B1330" s="2">
        <v>347.038287165707</v>
      </c>
      <c r="C1330" s="2">
        <v>4.7039999999999997</v>
      </c>
      <c r="D1330" s="2" t="s">
        <v>70</v>
      </c>
      <c r="E1330" s="2" t="s">
        <v>9015</v>
      </c>
      <c r="F1330" s="2">
        <v>32602</v>
      </c>
      <c r="G1330" s="3" t="str">
        <f>HYPERLINK("http://funmeta.oebiotech.com/network/32602", "http://funmeta.oebiotech.com/network/32602")</f>
        <v>http://funmeta.oebiotech.com/network/32602</v>
      </c>
      <c r="H1330" s="2" t="s">
        <v>9016</v>
      </c>
      <c r="I1330" s="2">
        <v>3431</v>
      </c>
      <c r="J1330" s="2" t="s">
        <v>9017</v>
      </c>
      <c r="K1330" s="2">
        <v>75092</v>
      </c>
      <c r="L1330" s="2" t="s">
        <v>9018</v>
      </c>
      <c r="M1330" s="2"/>
      <c r="N1330" s="2"/>
      <c r="O1330" s="2">
        <v>5281670</v>
      </c>
      <c r="P1330" s="2" t="s">
        <v>9019</v>
      </c>
      <c r="Q1330" s="2" t="s">
        <v>9020</v>
      </c>
      <c r="R1330" s="2" t="s">
        <v>9021</v>
      </c>
      <c r="S1330" s="2" t="s">
        <v>115</v>
      </c>
      <c r="T1330" s="2" t="s">
        <v>139</v>
      </c>
      <c r="U1330" s="2" t="s">
        <v>1806</v>
      </c>
      <c r="V1330" s="2" t="s">
        <v>59</v>
      </c>
      <c r="W1330" s="2">
        <v>37.700000000000003</v>
      </c>
      <c r="X1330" s="2">
        <v>0</v>
      </c>
      <c r="Y1330" s="2" t="s">
        <v>1654</v>
      </c>
      <c r="Z1330" s="2" t="s">
        <v>9022</v>
      </c>
      <c r="AA1330" s="2">
        <v>-8.5033086882036208</v>
      </c>
      <c r="AB1330" s="2">
        <v>0.58731931621860201</v>
      </c>
      <c r="AC1330" s="2">
        <v>362732.19207608898</v>
      </c>
      <c r="AD1330" s="2">
        <v>392704.23228549602</v>
      </c>
      <c r="AE1330" s="2">
        <v>373220.04071227298</v>
      </c>
      <c r="AF1330" s="2">
        <v>345042.52757922898</v>
      </c>
      <c r="AG1330" s="2">
        <v>360252.149029786</v>
      </c>
      <c r="AH1330" s="2">
        <v>364590.17652310902</v>
      </c>
      <c r="AI1330" s="2">
        <v>360002.73715038202</v>
      </c>
      <c r="AJ1330" s="2">
        <v>373285.52146175702</v>
      </c>
      <c r="AK1330" s="2">
        <v>396155.17294601997</v>
      </c>
      <c r="AL1330" s="2">
        <v>382259.033421478</v>
      </c>
      <c r="AM1330" s="2">
        <v>416353.721959266</v>
      </c>
      <c r="AN1330" s="2">
        <v>392651.10149517801</v>
      </c>
      <c r="AO1330" s="2">
        <v>403226.87412491901</v>
      </c>
      <c r="AP1330" s="2">
        <v>365579.48976611602</v>
      </c>
    </row>
    <row r="1331" spans="1:42" ht="14.5" x14ac:dyDescent="0.35">
      <c r="A1331" s="2" t="s">
        <v>9023</v>
      </c>
      <c r="B1331" s="2">
        <v>455.18832726911398</v>
      </c>
      <c r="C1331" s="2">
        <v>4.2619999999999996</v>
      </c>
      <c r="D1331" s="2" t="s">
        <v>34</v>
      </c>
      <c r="E1331" s="2" t="s">
        <v>9024</v>
      </c>
      <c r="F1331" s="2">
        <v>206064</v>
      </c>
      <c r="G1331" s="3" t="str">
        <f>HYPERLINK("http://funmeta.oebiotech.com/network/206064", "http://funmeta.oebiotech.com/network/206064")</f>
        <v>http://funmeta.oebiotech.com/network/206064</v>
      </c>
      <c r="H1331" s="2" t="s">
        <v>9025</v>
      </c>
      <c r="I1331" s="2"/>
      <c r="J1331" s="2"/>
      <c r="K1331" s="2"/>
      <c r="L1331" s="2"/>
      <c r="M1331" s="2"/>
      <c r="N1331" s="2"/>
      <c r="O1331" s="2">
        <v>146001</v>
      </c>
      <c r="P1331" s="2"/>
      <c r="Q1331" s="2" t="s">
        <v>9026</v>
      </c>
      <c r="R1331" s="2" t="s">
        <v>9027</v>
      </c>
      <c r="S1331" s="2" t="s">
        <v>41</v>
      </c>
      <c r="T1331" s="2" t="s">
        <v>41</v>
      </c>
      <c r="U1331" s="2" t="s">
        <v>41</v>
      </c>
      <c r="V1331" s="2" t="s">
        <v>59</v>
      </c>
      <c r="W1331" s="2">
        <v>36.700000000000003</v>
      </c>
      <c r="X1331" s="2">
        <v>0</v>
      </c>
      <c r="Y1331" s="2" t="s">
        <v>340</v>
      </c>
      <c r="Z1331" s="2" t="s">
        <v>9028</v>
      </c>
      <c r="AA1331" s="2">
        <v>-2.9373199310334099</v>
      </c>
      <c r="AB1331" s="2">
        <v>0.58716668010846895</v>
      </c>
      <c r="AC1331" s="2">
        <v>44829.297195433603</v>
      </c>
      <c r="AD1331" s="2">
        <v>68038.952140433903</v>
      </c>
      <c r="AE1331" s="2">
        <v>40980.017220554102</v>
      </c>
      <c r="AF1331" s="2">
        <v>47486.225653437199</v>
      </c>
      <c r="AG1331" s="2">
        <v>44798.619800189299</v>
      </c>
      <c r="AH1331" s="2">
        <v>44561.828547620898</v>
      </c>
      <c r="AI1331" s="2">
        <v>50110.572512898703</v>
      </c>
      <c r="AJ1331" s="2">
        <v>41038.519437901399</v>
      </c>
      <c r="AK1331" s="2">
        <v>68740.147438531902</v>
      </c>
      <c r="AL1331" s="2">
        <v>67351.801870486699</v>
      </c>
      <c r="AM1331" s="2">
        <v>65774.5773198346</v>
      </c>
      <c r="AN1331" s="2">
        <v>65218.487366871501</v>
      </c>
      <c r="AO1331" s="2">
        <v>69958.202198129904</v>
      </c>
      <c r="AP1331" s="2">
        <v>71190.496648749002</v>
      </c>
    </row>
    <row r="1332" spans="1:42" ht="14.5" x14ac:dyDescent="0.35">
      <c r="A1332" s="2" t="s">
        <v>9029</v>
      </c>
      <c r="B1332" s="2">
        <v>795.30730503464497</v>
      </c>
      <c r="C1332" s="2">
        <v>6.7447666666666697</v>
      </c>
      <c r="D1332" s="2" t="s">
        <v>70</v>
      </c>
      <c r="E1332" s="2" t="s">
        <v>9030</v>
      </c>
      <c r="F1332" s="2">
        <v>64018</v>
      </c>
      <c r="G1332" s="3" t="str">
        <f>HYPERLINK("http://funmeta.oebiotech.com/network/64018", "http://funmeta.oebiotech.com/network/64018")</f>
        <v>http://funmeta.oebiotech.com/network/64018</v>
      </c>
      <c r="H1332" s="2" t="s">
        <v>9031</v>
      </c>
      <c r="I1332" s="2">
        <v>95349</v>
      </c>
      <c r="J1332" s="2"/>
      <c r="K1332" s="2">
        <v>175975</v>
      </c>
      <c r="L1332" s="2"/>
      <c r="M1332" s="2"/>
      <c r="N1332" s="2"/>
      <c r="O1332" s="2">
        <v>131752977</v>
      </c>
      <c r="P1332" s="2" t="s">
        <v>9032</v>
      </c>
      <c r="Q1332" s="2" t="s">
        <v>9033</v>
      </c>
      <c r="R1332" s="2" t="s">
        <v>9034</v>
      </c>
      <c r="S1332" s="2" t="s">
        <v>50</v>
      </c>
      <c r="T1332" s="2" t="s">
        <v>229</v>
      </c>
      <c r="U1332" s="2" t="s">
        <v>230</v>
      </c>
      <c r="V1332" s="2" t="s">
        <v>42</v>
      </c>
      <c r="W1332" s="2">
        <v>49</v>
      </c>
      <c r="X1332" s="2">
        <v>75.900000000000006</v>
      </c>
      <c r="Y1332" s="2" t="s">
        <v>560</v>
      </c>
      <c r="Z1332" s="2" t="s">
        <v>9035</v>
      </c>
      <c r="AA1332" s="2">
        <v>-0.983722164954004</v>
      </c>
      <c r="AB1332" s="2">
        <v>0.58691000735575405</v>
      </c>
      <c r="AC1332" s="2">
        <v>107519.572782264</v>
      </c>
      <c r="AD1332" s="2">
        <v>81182.500437134993</v>
      </c>
      <c r="AE1332" s="2">
        <v>117018.28620450701</v>
      </c>
      <c r="AF1332" s="2">
        <v>85377.361103705101</v>
      </c>
      <c r="AG1332" s="2">
        <v>107970.85696628501</v>
      </c>
      <c r="AH1332" s="2">
        <v>111991.77142508401</v>
      </c>
      <c r="AI1332" s="2">
        <v>112368.29258024901</v>
      </c>
      <c r="AJ1332" s="2">
        <v>110390.868413756</v>
      </c>
      <c r="AK1332" s="2">
        <v>76329.741980191306</v>
      </c>
      <c r="AL1332" s="2">
        <v>81492.448444022099</v>
      </c>
      <c r="AM1332" s="2">
        <v>86777.064644312195</v>
      </c>
      <c r="AN1332" s="2">
        <v>83101.548642851005</v>
      </c>
      <c r="AO1332" s="2">
        <v>76545.549590683106</v>
      </c>
      <c r="AP1332" s="2">
        <v>82848.649320750294</v>
      </c>
    </row>
    <row r="1333" spans="1:42" ht="14.5" x14ac:dyDescent="0.35">
      <c r="A1333" s="2" t="s">
        <v>9036</v>
      </c>
      <c r="B1333" s="2">
        <v>685.26898818890004</v>
      </c>
      <c r="C1333" s="2">
        <v>4.5065833333333298</v>
      </c>
      <c r="D1333" s="2" t="s">
        <v>70</v>
      </c>
      <c r="E1333" s="2" t="s">
        <v>9037</v>
      </c>
      <c r="F1333" s="2">
        <v>466898</v>
      </c>
      <c r="G1333" s="3" t="str">
        <f>HYPERLINK("http://funmeta.oebiotech.com/network/466898", "http://funmeta.oebiotech.com/network/466898")</f>
        <v>http://funmeta.oebiotech.com/network/466898</v>
      </c>
      <c r="H1333" s="2"/>
      <c r="I1333" s="2">
        <v>85005</v>
      </c>
      <c r="J1333" s="2"/>
      <c r="K1333" s="2"/>
      <c r="L1333" s="2"/>
      <c r="M1333" s="2"/>
      <c r="N1333" s="2"/>
      <c r="O1333" s="2">
        <v>9917980</v>
      </c>
      <c r="P1333" s="2" t="s">
        <v>9038</v>
      </c>
      <c r="Q1333" s="2" t="s">
        <v>9039</v>
      </c>
      <c r="R1333" s="2" t="s">
        <v>9040</v>
      </c>
      <c r="S1333" s="2" t="s">
        <v>1184</v>
      </c>
      <c r="T1333" s="2" t="s">
        <v>1185</v>
      </c>
      <c r="U1333" s="2" t="s">
        <v>41</v>
      </c>
      <c r="V1333" s="2" t="s">
        <v>59</v>
      </c>
      <c r="W1333" s="2">
        <v>39.5</v>
      </c>
      <c r="X1333" s="2">
        <v>9.01</v>
      </c>
      <c r="Y1333" s="2" t="s">
        <v>118</v>
      </c>
      <c r="Z1333" s="2" t="s">
        <v>9041</v>
      </c>
      <c r="AA1333" s="2">
        <v>-3.3816693819342101</v>
      </c>
      <c r="AB1333" s="2">
        <v>0.58680903649690097</v>
      </c>
      <c r="AC1333" s="2">
        <v>90115.255434918203</v>
      </c>
      <c r="AD1333" s="2">
        <v>65799.142400785102</v>
      </c>
      <c r="AE1333" s="2">
        <v>95327.072228039804</v>
      </c>
      <c r="AF1333" s="2">
        <v>87628.414602861696</v>
      </c>
      <c r="AG1333" s="2">
        <v>88584.788451474204</v>
      </c>
      <c r="AH1333" s="2">
        <v>89150.699746509694</v>
      </c>
      <c r="AI1333" s="2">
        <v>93125.845591917896</v>
      </c>
      <c r="AJ1333" s="2">
        <v>86874.7119887062</v>
      </c>
      <c r="AK1333" s="2">
        <v>62253.981038367303</v>
      </c>
      <c r="AL1333" s="2">
        <v>74145.095975124001</v>
      </c>
      <c r="AM1333" s="2">
        <v>65240.674392163099</v>
      </c>
      <c r="AN1333" s="2">
        <v>72945.610795051995</v>
      </c>
      <c r="AO1333" s="2">
        <v>63153.884154984698</v>
      </c>
      <c r="AP1333" s="2">
        <v>57055.608049019502</v>
      </c>
    </row>
    <row r="1334" spans="1:42" ht="14.5" x14ac:dyDescent="0.35">
      <c r="A1334" s="2" t="s">
        <v>9042</v>
      </c>
      <c r="B1334" s="2">
        <v>208.09718972285199</v>
      </c>
      <c r="C1334" s="2">
        <v>2.01128333333333</v>
      </c>
      <c r="D1334" s="2" t="s">
        <v>70</v>
      </c>
      <c r="E1334" s="2" t="s">
        <v>9043</v>
      </c>
      <c r="F1334" s="2">
        <v>83312</v>
      </c>
      <c r="G1334" s="3" t="str">
        <f>HYPERLINK("http://funmeta.oebiotech.com/network/83312", "http://funmeta.oebiotech.com/network/83312")</f>
        <v>http://funmeta.oebiotech.com/network/83312</v>
      </c>
      <c r="H1334" s="2" t="s">
        <v>9044</v>
      </c>
      <c r="I1334" s="2"/>
      <c r="J1334" s="2"/>
      <c r="K1334" s="2">
        <v>84270</v>
      </c>
      <c r="L1334" s="2"/>
      <c r="M1334" s="2"/>
      <c r="N1334" s="2"/>
      <c r="O1334" s="2">
        <v>25354</v>
      </c>
      <c r="P1334" s="2"/>
      <c r="Q1334" s="2" t="s">
        <v>9045</v>
      </c>
      <c r="R1334" s="2" t="s">
        <v>9046</v>
      </c>
      <c r="S1334" s="2" t="s">
        <v>148</v>
      </c>
      <c r="T1334" s="2" t="s">
        <v>149</v>
      </c>
      <c r="U1334" s="2" t="s">
        <v>1593</v>
      </c>
      <c r="V1334" s="2" t="s">
        <v>42</v>
      </c>
      <c r="W1334" s="2">
        <v>49.5</v>
      </c>
      <c r="X1334" s="2">
        <v>53.5</v>
      </c>
      <c r="Y1334" s="2" t="s">
        <v>408</v>
      </c>
      <c r="Z1334" s="2" t="s">
        <v>9047</v>
      </c>
      <c r="AA1334" s="2">
        <v>-4.4585511537211202</v>
      </c>
      <c r="AB1334" s="2">
        <v>0.58486065748134997</v>
      </c>
      <c r="AC1334" s="2">
        <v>365248.52364018903</v>
      </c>
      <c r="AD1334" s="2">
        <v>392185.77301690198</v>
      </c>
      <c r="AE1334" s="2">
        <v>371087.33673722699</v>
      </c>
      <c r="AF1334" s="2">
        <v>347877.86974703602</v>
      </c>
      <c r="AG1334" s="2">
        <v>368355.41361766797</v>
      </c>
      <c r="AH1334" s="2">
        <v>367360.08042544598</v>
      </c>
      <c r="AI1334" s="2">
        <v>359485.53991466103</v>
      </c>
      <c r="AJ1334" s="2">
        <v>377324.90139909898</v>
      </c>
      <c r="AK1334" s="2">
        <v>380195.774005596</v>
      </c>
      <c r="AL1334" s="2">
        <v>398156.43499355402</v>
      </c>
      <c r="AM1334" s="2">
        <v>402037.32181375503</v>
      </c>
      <c r="AN1334" s="2">
        <v>400842.12112748699</v>
      </c>
      <c r="AO1334" s="2">
        <v>387671.555687543</v>
      </c>
      <c r="AP1334" s="2">
        <v>384211.430473477</v>
      </c>
    </row>
    <row r="1335" spans="1:42" ht="14.5" x14ac:dyDescent="0.35">
      <c r="A1335" s="2" t="s">
        <v>9048</v>
      </c>
      <c r="B1335" s="2">
        <v>737.30251811726703</v>
      </c>
      <c r="C1335" s="2">
        <v>4.7931333333333299</v>
      </c>
      <c r="D1335" s="2" t="s">
        <v>70</v>
      </c>
      <c r="E1335" s="2" t="s">
        <v>9049</v>
      </c>
      <c r="F1335" s="2">
        <v>18541</v>
      </c>
      <c r="G1335" s="3" t="str">
        <f>HYPERLINK("http://funmeta.oebiotech.com/network/18541", "http://funmeta.oebiotech.com/network/18541")</f>
        <v>http://funmeta.oebiotech.com/network/18541</v>
      </c>
      <c r="H1335" s="2"/>
      <c r="I1335" s="2">
        <v>39949</v>
      </c>
      <c r="J1335" s="2" t="s">
        <v>9050</v>
      </c>
      <c r="K1335" s="2"/>
      <c r="L1335" s="2"/>
      <c r="M1335" s="2"/>
      <c r="N1335" s="2"/>
      <c r="O1335" s="2">
        <v>24779217</v>
      </c>
      <c r="P1335" s="2"/>
      <c r="Q1335" s="2" t="s">
        <v>9051</v>
      </c>
      <c r="R1335" s="2" t="s">
        <v>9052</v>
      </c>
      <c r="S1335" s="2" t="s">
        <v>50</v>
      </c>
      <c r="T1335" s="2" t="s">
        <v>51</v>
      </c>
      <c r="U1335" s="2" t="s">
        <v>168</v>
      </c>
      <c r="V1335" s="2" t="s">
        <v>59</v>
      </c>
      <c r="W1335" s="2">
        <v>37.1</v>
      </c>
      <c r="X1335" s="2">
        <v>0</v>
      </c>
      <c r="Y1335" s="2" t="s">
        <v>560</v>
      </c>
      <c r="Z1335" s="2" t="s">
        <v>9053</v>
      </c>
      <c r="AA1335" s="2">
        <v>-0.96494524520639802</v>
      </c>
      <c r="AB1335" s="2">
        <v>0.58466129941858702</v>
      </c>
      <c r="AC1335" s="2">
        <v>16397.6242656387</v>
      </c>
      <c r="AD1335" s="2">
        <v>39636.039235803903</v>
      </c>
      <c r="AE1335" s="2">
        <v>17450.131907439601</v>
      </c>
      <c r="AF1335" s="2">
        <v>16698.6517827034</v>
      </c>
      <c r="AG1335" s="2">
        <v>11902.1743608615</v>
      </c>
      <c r="AH1335" s="2">
        <v>18531.844368086899</v>
      </c>
      <c r="AI1335" s="2">
        <v>14310.203601625601</v>
      </c>
      <c r="AJ1335" s="2">
        <v>19492.739573114999</v>
      </c>
      <c r="AK1335" s="2">
        <v>39635.700274578099</v>
      </c>
      <c r="AL1335" s="2">
        <v>46889.895527733301</v>
      </c>
      <c r="AM1335" s="2">
        <v>36637.973641928998</v>
      </c>
      <c r="AN1335" s="2">
        <v>37152.851646039897</v>
      </c>
      <c r="AO1335" s="2">
        <v>39293.848115105102</v>
      </c>
      <c r="AP1335" s="2">
        <v>38205.966209437698</v>
      </c>
    </row>
    <row r="1336" spans="1:42" ht="14.5" x14ac:dyDescent="0.35">
      <c r="A1336" s="2" t="s">
        <v>9054</v>
      </c>
      <c r="B1336" s="2">
        <v>903.21964701965999</v>
      </c>
      <c r="C1336" s="2">
        <v>4.8264500000000004</v>
      </c>
      <c r="D1336" s="2" t="s">
        <v>70</v>
      </c>
      <c r="E1336" s="2" t="s">
        <v>9055</v>
      </c>
      <c r="F1336" s="2">
        <v>32242</v>
      </c>
      <c r="G1336" s="3" t="str">
        <f>HYPERLINK("http://funmeta.oebiotech.com/network/32242", "http://funmeta.oebiotech.com/network/32242")</f>
        <v>http://funmeta.oebiotech.com/network/32242</v>
      </c>
      <c r="H1336" s="2"/>
      <c r="I1336" s="2"/>
      <c r="J1336" s="2" t="s">
        <v>9056</v>
      </c>
      <c r="K1336" s="2"/>
      <c r="L1336" s="2"/>
      <c r="M1336" s="2"/>
      <c r="N1336" s="2"/>
      <c r="O1336" s="2">
        <v>44259203</v>
      </c>
      <c r="P1336" s="2"/>
      <c r="Q1336" s="2" t="s">
        <v>9057</v>
      </c>
      <c r="R1336" s="2" t="s">
        <v>9058</v>
      </c>
      <c r="S1336" s="2" t="s">
        <v>115</v>
      </c>
      <c r="T1336" s="2" t="s">
        <v>139</v>
      </c>
      <c r="U1336" s="2" t="s">
        <v>140</v>
      </c>
      <c r="V1336" s="2" t="s">
        <v>59</v>
      </c>
      <c r="W1336" s="2">
        <v>38.9</v>
      </c>
      <c r="X1336" s="2">
        <v>0</v>
      </c>
      <c r="Y1336" s="2" t="s">
        <v>118</v>
      </c>
      <c r="Z1336" s="2" t="s">
        <v>9059</v>
      </c>
      <c r="AA1336" s="2">
        <v>-0.458080929193385</v>
      </c>
      <c r="AB1336" s="2">
        <v>0.58463752657379697</v>
      </c>
      <c r="AC1336" s="2">
        <v>49797.715451309297</v>
      </c>
      <c r="AD1336" s="2">
        <v>26044.803327951598</v>
      </c>
      <c r="AE1336" s="2">
        <v>44041.098209302902</v>
      </c>
      <c r="AF1336" s="2">
        <v>46020.475928779</v>
      </c>
      <c r="AG1336" s="2">
        <v>47068.085241303103</v>
      </c>
      <c r="AH1336" s="2">
        <v>51586.245740542603</v>
      </c>
      <c r="AI1336" s="2">
        <v>51794.402330921403</v>
      </c>
      <c r="AJ1336" s="2">
        <v>58275.985257006803</v>
      </c>
      <c r="AK1336" s="2">
        <v>23513.8021703171</v>
      </c>
      <c r="AL1336" s="2">
        <v>32785.251298910502</v>
      </c>
      <c r="AM1336" s="2">
        <v>26145.314164967898</v>
      </c>
      <c r="AN1336" s="2">
        <v>22360.652423664698</v>
      </c>
      <c r="AO1336" s="2">
        <v>26911.701035710801</v>
      </c>
      <c r="AP1336" s="2">
        <v>24552.098874138501</v>
      </c>
    </row>
    <row r="1337" spans="1:42" ht="14.5" x14ac:dyDescent="0.35">
      <c r="A1337" s="2" t="s">
        <v>9060</v>
      </c>
      <c r="B1337" s="2">
        <v>361.236854312709</v>
      </c>
      <c r="C1337" s="2">
        <v>9.6350833333333306</v>
      </c>
      <c r="D1337" s="2" t="s">
        <v>34</v>
      </c>
      <c r="E1337" s="2" t="s">
        <v>9061</v>
      </c>
      <c r="F1337" s="2">
        <v>5956</v>
      </c>
      <c r="G1337" s="3" t="str">
        <f>HYPERLINK("http://funmeta.oebiotech.com/network/5956", "http://funmeta.oebiotech.com/network/5956")</f>
        <v>http://funmeta.oebiotech.com/network/5956</v>
      </c>
      <c r="H1337" s="2"/>
      <c r="I1337" s="2">
        <v>75228</v>
      </c>
      <c r="J1337" s="2" t="s">
        <v>9062</v>
      </c>
      <c r="K1337" s="2">
        <v>138643</v>
      </c>
      <c r="L1337" s="2"/>
      <c r="M1337" s="2"/>
      <c r="N1337" s="2"/>
      <c r="O1337" s="2">
        <v>25073193</v>
      </c>
      <c r="P1337" s="2"/>
      <c r="Q1337" s="2" t="s">
        <v>9063</v>
      </c>
      <c r="R1337" s="2" t="s">
        <v>9064</v>
      </c>
      <c r="S1337" s="2" t="s">
        <v>50</v>
      </c>
      <c r="T1337" s="2" t="s">
        <v>229</v>
      </c>
      <c r="U1337" s="2" t="s">
        <v>433</v>
      </c>
      <c r="V1337" s="2" t="s">
        <v>42</v>
      </c>
      <c r="W1337" s="2">
        <v>51.5</v>
      </c>
      <c r="X1337" s="2">
        <v>66.599999999999994</v>
      </c>
      <c r="Y1337" s="2" t="s">
        <v>266</v>
      </c>
      <c r="Z1337" s="2" t="s">
        <v>8484</v>
      </c>
      <c r="AA1337" s="2">
        <v>-1.33698939874769</v>
      </c>
      <c r="AB1337" s="2">
        <v>0.584585422129555</v>
      </c>
      <c r="AC1337" s="2">
        <v>21071.852746837401</v>
      </c>
      <c r="AD1337" s="2">
        <v>43814.957808837498</v>
      </c>
      <c r="AE1337" s="2">
        <v>19161.395865867398</v>
      </c>
      <c r="AF1337" s="2">
        <v>21417.183991899801</v>
      </c>
      <c r="AG1337" s="2">
        <v>20581.533466782901</v>
      </c>
      <c r="AH1337" s="2">
        <v>21470.374380776098</v>
      </c>
      <c r="AI1337" s="2">
        <v>20734.5494893457</v>
      </c>
      <c r="AJ1337" s="2">
        <v>23066.0792863526</v>
      </c>
      <c r="AK1337" s="2">
        <v>40888.390961909798</v>
      </c>
      <c r="AL1337" s="2">
        <v>40394.864106701003</v>
      </c>
      <c r="AM1337" s="2">
        <v>44237.548891284103</v>
      </c>
      <c r="AN1337" s="2">
        <v>47503.5055799892</v>
      </c>
      <c r="AO1337" s="2">
        <v>43393.088551029803</v>
      </c>
      <c r="AP1337" s="2">
        <v>46472.348762111404</v>
      </c>
    </row>
    <row r="1338" spans="1:42" ht="14.5" x14ac:dyDescent="0.35">
      <c r="A1338" s="2" t="s">
        <v>9065</v>
      </c>
      <c r="B1338" s="2">
        <v>387.17980627251598</v>
      </c>
      <c r="C1338" s="2">
        <v>8.8024666666666693</v>
      </c>
      <c r="D1338" s="2" t="s">
        <v>34</v>
      </c>
      <c r="E1338" s="2" t="s">
        <v>9066</v>
      </c>
      <c r="F1338" s="2">
        <v>55546</v>
      </c>
      <c r="G1338" s="3" t="str">
        <f>HYPERLINK("http://funmeta.oebiotech.com/network/55546", "http://funmeta.oebiotech.com/network/55546")</f>
        <v>http://funmeta.oebiotech.com/network/55546</v>
      </c>
      <c r="H1338" s="2" t="s">
        <v>9067</v>
      </c>
      <c r="I1338" s="2"/>
      <c r="J1338" s="2"/>
      <c r="K1338" s="2"/>
      <c r="L1338" s="2"/>
      <c r="M1338" s="2"/>
      <c r="N1338" s="2"/>
      <c r="O1338" s="2">
        <v>131751083</v>
      </c>
      <c r="P1338" s="2" t="s">
        <v>9068</v>
      </c>
      <c r="Q1338" s="2" t="s">
        <v>9069</v>
      </c>
      <c r="R1338" s="2" t="s">
        <v>9070</v>
      </c>
      <c r="S1338" s="2" t="s">
        <v>115</v>
      </c>
      <c r="T1338" s="2" t="s">
        <v>575</v>
      </c>
      <c r="U1338" s="2" t="s">
        <v>4232</v>
      </c>
      <c r="V1338" s="2" t="s">
        <v>59</v>
      </c>
      <c r="W1338" s="2">
        <v>45.4</v>
      </c>
      <c r="X1338" s="2">
        <v>30.4</v>
      </c>
      <c r="Y1338" s="2" t="s">
        <v>9071</v>
      </c>
      <c r="Z1338" s="2" t="s">
        <v>9072</v>
      </c>
      <c r="AA1338" s="2">
        <v>-1.0583617433702599</v>
      </c>
      <c r="AB1338" s="2">
        <v>0.58354303486996095</v>
      </c>
      <c r="AC1338" s="2">
        <v>1745071.1786086899</v>
      </c>
      <c r="AD1338" s="2">
        <v>1916086.7184738701</v>
      </c>
      <c r="AE1338" s="2">
        <v>2061501.9629766699</v>
      </c>
      <c r="AF1338" s="2">
        <v>1580089.32040391</v>
      </c>
      <c r="AG1338" s="2">
        <v>1675225.88997425</v>
      </c>
      <c r="AH1338" s="2">
        <v>1636255.9832732601</v>
      </c>
      <c r="AI1338" s="2">
        <v>1887437.2922414199</v>
      </c>
      <c r="AJ1338" s="2">
        <v>1629916.6227826001</v>
      </c>
      <c r="AK1338" s="2">
        <v>1308310.7377200299</v>
      </c>
      <c r="AL1338" s="2">
        <v>3739156.5000631399</v>
      </c>
      <c r="AM1338" s="2">
        <v>1951242.9968671601</v>
      </c>
      <c r="AN1338" s="2">
        <v>1893091.5482542999</v>
      </c>
      <c r="AO1338" s="2">
        <v>1564571.3425604999</v>
      </c>
      <c r="AP1338" s="2">
        <v>1040147.18537812</v>
      </c>
    </row>
    <row r="1339" spans="1:42" ht="14.5" x14ac:dyDescent="0.35">
      <c r="A1339" s="2" t="s">
        <v>9073</v>
      </c>
      <c r="B1339" s="2">
        <v>149.04429716146799</v>
      </c>
      <c r="C1339" s="2">
        <v>0.76995000000000002</v>
      </c>
      <c r="D1339" s="2" t="s">
        <v>70</v>
      </c>
      <c r="E1339" s="2" t="s">
        <v>9074</v>
      </c>
      <c r="F1339" s="2">
        <v>274789</v>
      </c>
      <c r="G1339" s="3" t="str">
        <f>HYPERLINK("http://funmeta.oebiotech.com/network/274789", "http://funmeta.oebiotech.com/network/274789")</f>
        <v>http://funmeta.oebiotech.com/network/274789</v>
      </c>
      <c r="H1339" s="2"/>
      <c r="I1339" s="2">
        <v>65497</v>
      </c>
      <c r="J1339" s="2"/>
      <c r="K1339" s="2"/>
      <c r="L1339" s="2" t="s">
        <v>9075</v>
      </c>
      <c r="M1339" s="2" t="s">
        <v>9076</v>
      </c>
      <c r="N1339" s="2" t="s">
        <v>9077</v>
      </c>
      <c r="O1339" s="2">
        <v>6902</v>
      </c>
      <c r="P1339" s="2" t="s">
        <v>9078</v>
      </c>
      <c r="Q1339" s="2" t="s">
        <v>9079</v>
      </c>
      <c r="R1339" s="2" t="s">
        <v>9080</v>
      </c>
      <c r="S1339" s="2" t="s">
        <v>79</v>
      </c>
      <c r="T1339" s="2" t="s">
        <v>80</v>
      </c>
      <c r="U1339" s="2" t="s">
        <v>81</v>
      </c>
      <c r="V1339" s="2" t="s">
        <v>59</v>
      </c>
      <c r="W1339" s="2">
        <v>44.3</v>
      </c>
      <c r="X1339" s="2">
        <v>32.5</v>
      </c>
      <c r="Y1339" s="2" t="s">
        <v>118</v>
      </c>
      <c r="Z1339" s="2" t="s">
        <v>9081</v>
      </c>
      <c r="AA1339" s="2">
        <v>-8.3292336914704102</v>
      </c>
      <c r="AB1339" s="2">
        <v>0.58274082944712902</v>
      </c>
      <c r="AC1339" s="2">
        <v>186999.90601193899</v>
      </c>
      <c r="AD1339" s="2">
        <v>160957.81827090599</v>
      </c>
      <c r="AE1339" s="2">
        <v>200660.984109351</v>
      </c>
      <c r="AF1339" s="2">
        <v>184213.57840297301</v>
      </c>
      <c r="AG1339" s="2">
        <v>170051.50623115501</v>
      </c>
      <c r="AH1339" s="2">
        <v>190888.85127846399</v>
      </c>
      <c r="AI1339" s="2">
        <v>190614.154463193</v>
      </c>
      <c r="AJ1339" s="2">
        <v>185570.361586496</v>
      </c>
      <c r="AK1339" s="2">
        <v>164121.34114624301</v>
      </c>
      <c r="AL1339" s="2">
        <v>159805.15252191701</v>
      </c>
      <c r="AM1339" s="2">
        <v>169065.89832819899</v>
      </c>
      <c r="AN1339" s="2">
        <v>150028.38634556599</v>
      </c>
      <c r="AO1339" s="2">
        <v>157811.70959249901</v>
      </c>
      <c r="AP1339" s="2">
        <v>164914.42169101399</v>
      </c>
    </row>
    <row r="1340" spans="1:42" ht="14.5" x14ac:dyDescent="0.35">
      <c r="A1340" s="2" t="s">
        <v>9082</v>
      </c>
      <c r="B1340" s="2">
        <v>104.10686854377499</v>
      </c>
      <c r="C1340" s="2">
        <v>0.70245000000000002</v>
      </c>
      <c r="D1340" s="2" t="s">
        <v>34</v>
      </c>
      <c r="E1340" s="2" t="s">
        <v>9083</v>
      </c>
      <c r="F1340" s="2">
        <v>6087</v>
      </c>
      <c r="G1340" s="3" t="str">
        <f>HYPERLINK("http://funmeta.oebiotech.com/network/6087", "http://funmeta.oebiotech.com/network/6087")</f>
        <v>http://funmeta.oebiotech.com/network/6087</v>
      </c>
      <c r="H1340" s="2" t="s">
        <v>9084</v>
      </c>
      <c r="I1340" s="2">
        <v>46063</v>
      </c>
      <c r="J1340" s="2" t="s">
        <v>9085</v>
      </c>
      <c r="K1340" s="2">
        <v>145352</v>
      </c>
      <c r="L1340" s="2"/>
      <c r="M1340" s="2"/>
      <c r="N1340" s="2"/>
      <c r="O1340" s="2">
        <v>5364919</v>
      </c>
      <c r="P1340" s="2" t="s">
        <v>9086</v>
      </c>
      <c r="Q1340" s="2" t="s">
        <v>9087</v>
      </c>
      <c r="R1340" s="2" t="s">
        <v>9088</v>
      </c>
      <c r="S1340" s="2" t="s">
        <v>79</v>
      </c>
      <c r="T1340" s="2" t="s">
        <v>80</v>
      </c>
      <c r="U1340" s="2" t="s">
        <v>2021</v>
      </c>
      <c r="V1340" s="2" t="s">
        <v>59</v>
      </c>
      <c r="W1340" s="2">
        <v>42.3</v>
      </c>
      <c r="X1340" s="2">
        <v>18</v>
      </c>
      <c r="Y1340" s="2" t="s">
        <v>43</v>
      </c>
      <c r="Z1340" s="2" t="s">
        <v>9089</v>
      </c>
      <c r="AA1340" s="2">
        <v>-1.41654469401411</v>
      </c>
      <c r="AB1340" s="2">
        <v>0.58228403244126403</v>
      </c>
      <c r="AC1340" s="2">
        <v>1392994.74037197</v>
      </c>
      <c r="AD1340" s="2">
        <v>1303827.3647624401</v>
      </c>
      <c r="AE1340" s="2">
        <v>1214260.1538634</v>
      </c>
      <c r="AF1340" s="2">
        <v>1331310.8870062199</v>
      </c>
      <c r="AG1340" s="2">
        <v>1490581.29777113</v>
      </c>
      <c r="AH1340" s="2">
        <v>1275126.5514298901</v>
      </c>
      <c r="AI1340" s="2">
        <v>1499698.8512745399</v>
      </c>
      <c r="AJ1340" s="2">
        <v>1546990.70088666</v>
      </c>
      <c r="AK1340" s="2">
        <v>1136489.93771561</v>
      </c>
      <c r="AL1340" s="2">
        <v>1205284.9111671399</v>
      </c>
      <c r="AM1340" s="2">
        <v>1690569.1786438001</v>
      </c>
      <c r="AN1340" s="2">
        <v>1417419.15341753</v>
      </c>
      <c r="AO1340" s="2">
        <v>1241706.52785259</v>
      </c>
      <c r="AP1340" s="2">
        <v>1131494.4797779501</v>
      </c>
    </row>
    <row r="1341" spans="1:42" ht="14.5" x14ac:dyDescent="0.35">
      <c r="A1341" s="2" t="s">
        <v>9090</v>
      </c>
      <c r="B1341" s="2">
        <v>503.15599646307498</v>
      </c>
      <c r="C1341" s="2">
        <v>4.2044333333333297</v>
      </c>
      <c r="D1341" s="2" t="s">
        <v>70</v>
      </c>
      <c r="E1341" s="2" t="s">
        <v>9091</v>
      </c>
      <c r="F1341" s="2">
        <v>211094</v>
      </c>
      <c r="G1341" s="3" t="str">
        <f>HYPERLINK("http://funmeta.oebiotech.com/network/211094", "http://funmeta.oebiotech.com/network/211094")</f>
        <v>http://funmeta.oebiotech.com/network/211094</v>
      </c>
      <c r="H1341" s="2" t="s">
        <v>9092</v>
      </c>
      <c r="I1341" s="2"/>
      <c r="J1341" s="2"/>
      <c r="K1341" s="2"/>
      <c r="L1341" s="2"/>
      <c r="M1341" s="2"/>
      <c r="N1341" s="2"/>
      <c r="O1341" s="2"/>
      <c r="P1341" s="2"/>
      <c r="Q1341" s="2" t="s">
        <v>9093</v>
      </c>
      <c r="R1341" s="2" t="s">
        <v>9094</v>
      </c>
      <c r="S1341" s="2" t="s">
        <v>41</v>
      </c>
      <c r="T1341" s="2" t="s">
        <v>41</v>
      </c>
      <c r="U1341" s="2" t="s">
        <v>41</v>
      </c>
      <c r="V1341" s="2" t="s">
        <v>59</v>
      </c>
      <c r="W1341" s="2">
        <v>38.1</v>
      </c>
      <c r="X1341" s="2">
        <v>0</v>
      </c>
      <c r="Y1341" s="2" t="s">
        <v>560</v>
      </c>
      <c r="Z1341" s="2" t="s">
        <v>9095</v>
      </c>
      <c r="AA1341" s="2">
        <v>-1.50317848811538</v>
      </c>
      <c r="AB1341" s="2">
        <v>0.58120037347184195</v>
      </c>
      <c r="AC1341" s="2">
        <v>38254.050767811001</v>
      </c>
      <c r="AD1341" s="2">
        <v>15702.606684333001</v>
      </c>
      <c r="AE1341" s="2">
        <v>39149.791794860997</v>
      </c>
      <c r="AF1341" s="2">
        <v>35609.9349664521</v>
      </c>
      <c r="AG1341" s="2">
        <v>37620.209455441996</v>
      </c>
      <c r="AH1341" s="2">
        <v>39151.778195267099</v>
      </c>
      <c r="AI1341" s="2">
        <v>41896.493176004798</v>
      </c>
      <c r="AJ1341" s="2">
        <v>36096.0970188391</v>
      </c>
      <c r="AK1341" s="2">
        <v>16551.825945925499</v>
      </c>
      <c r="AL1341" s="2">
        <v>13246.882196964099</v>
      </c>
      <c r="AM1341" s="2">
        <v>17442.223978037098</v>
      </c>
      <c r="AN1341" s="2">
        <v>17691.173620033402</v>
      </c>
      <c r="AO1341" s="2">
        <v>14738.6644382832</v>
      </c>
      <c r="AP1341" s="2">
        <v>14544.8699267549</v>
      </c>
    </row>
    <row r="1342" spans="1:42" ht="14.5" x14ac:dyDescent="0.35">
      <c r="A1342" s="2" t="s">
        <v>9096</v>
      </c>
      <c r="B1342" s="2">
        <v>350.18934406974302</v>
      </c>
      <c r="C1342" s="2">
        <v>0.78071666666666695</v>
      </c>
      <c r="D1342" s="2" t="s">
        <v>34</v>
      </c>
      <c r="E1342" s="2" t="s">
        <v>9097</v>
      </c>
      <c r="F1342" s="2">
        <v>208917</v>
      </c>
      <c r="G1342" s="3" t="str">
        <f>HYPERLINK("http://funmeta.oebiotech.com/network/208917", "http://funmeta.oebiotech.com/network/208917")</f>
        <v>http://funmeta.oebiotech.com/network/208917</v>
      </c>
      <c r="H1342" s="2" t="s">
        <v>9098</v>
      </c>
      <c r="I1342" s="2"/>
      <c r="J1342" s="2"/>
      <c r="K1342" s="2"/>
      <c r="L1342" s="2"/>
      <c r="M1342" s="2"/>
      <c r="N1342" s="2"/>
      <c r="O1342" s="2">
        <v>193720</v>
      </c>
      <c r="P1342" s="2"/>
      <c r="Q1342" s="2" t="s">
        <v>9099</v>
      </c>
      <c r="R1342" s="2" t="s">
        <v>9100</v>
      </c>
      <c r="S1342" s="2" t="s">
        <v>148</v>
      </c>
      <c r="T1342" s="2" t="s">
        <v>6221</v>
      </c>
      <c r="U1342" s="2" t="s">
        <v>7016</v>
      </c>
      <c r="V1342" s="2" t="s">
        <v>59</v>
      </c>
      <c r="W1342" s="2">
        <v>36.799999999999997</v>
      </c>
      <c r="X1342" s="2">
        <v>0</v>
      </c>
      <c r="Y1342" s="2" t="s">
        <v>394</v>
      </c>
      <c r="Z1342" s="2" t="s">
        <v>9101</v>
      </c>
      <c r="AA1342" s="2">
        <v>-0.94644423275239997</v>
      </c>
      <c r="AB1342" s="2">
        <v>0.58065876159420404</v>
      </c>
      <c r="AC1342" s="2">
        <v>62871.138316900498</v>
      </c>
      <c r="AD1342" s="2">
        <v>86777.072301519001</v>
      </c>
      <c r="AE1342" s="2">
        <v>66141.413188532897</v>
      </c>
      <c r="AF1342" s="2">
        <v>54947.066718740403</v>
      </c>
      <c r="AG1342" s="2">
        <v>67227.413633916294</v>
      </c>
      <c r="AH1342" s="2">
        <v>58653.397433448001</v>
      </c>
      <c r="AI1342" s="2">
        <v>65394.125970161098</v>
      </c>
      <c r="AJ1342" s="2">
        <v>64863.412956604101</v>
      </c>
      <c r="AK1342" s="2">
        <v>83243.313758573306</v>
      </c>
      <c r="AL1342" s="2">
        <v>86018.166277542201</v>
      </c>
      <c r="AM1342" s="2">
        <v>93830.069157656806</v>
      </c>
      <c r="AN1342" s="2">
        <v>79772.5441051737</v>
      </c>
      <c r="AO1342" s="2">
        <v>83969.441435878703</v>
      </c>
      <c r="AP1342" s="2">
        <v>93828.899074289293</v>
      </c>
    </row>
    <row r="1343" spans="1:42" ht="14.5" x14ac:dyDescent="0.35">
      <c r="A1343" s="2" t="s">
        <v>9102</v>
      </c>
      <c r="B1343" s="2">
        <v>375.15867235611898</v>
      </c>
      <c r="C1343" s="2">
        <v>7.8272833333333303</v>
      </c>
      <c r="D1343" s="2" t="s">
        <v>34</v>
      </c>
      <c r="E1343" s="2" t="s">
        <v>9103</v>
      </c>
      <c r="F1343" s="2">
        <v>33960</v>
      </c>
      <c r="G1343" s="3" t="str">
        <f>HYPERLINK("http://funmeta.oebiotech.com/network/33960", "http://funmeta.oebiotech.com/network/33960")</f>
        <v>http://funmeta.oebiotech.com/network/33960</v>
      </c>
      <c r="H1343" s="2"/>
      <c r="I1343" s="2">
        <v>52273</v>
      </c>
      <c r="J1343" s="2" t="s">
        <v>9104</v>
      </c>
      <c r="K1343" s="2"/>
      <c r="L1343" s="2"/>
      <c r="M1343" s="2"/>
      <c r="N1343" s="2"/>
      <c r="O1343" s="2">
        <v>158308</v>
      </c>
      <c r="P1343" s="2"/>
      <c r="Q1343" s="2" t="s">
        <v>9105</v>
      </c>
      <c r="R1343" s="2" t="s">
        <v>9106</v>
      </c>
      <c r="S1343" s="2" t="s">
        <v>115</v>
      </c>
      <c r="T1343" s="2" t="s">
        <v>575</v>
      </c>
      <c r="U1343" s="2" t="s">
        <v>576</v>
      </c>
      <c r="V1343" s="2" t="s">
        <v>59</v>
      </c>
      <c r="W1343" s="2">
        <v>40.1</v>
      </c>
      <c r="X1343" s="2">
        <v>9.6999999999999993</v>
      </c>
      <c r="Y1343" s="2" t="s">
        <v>266</v>
      </c>
      <c r="Z1343" s="2" t="s">
        <v>9107</v>
      </c>
      <c r="AA1343" s="2">
        <v>-1.05380166085011</v>
      </c>
      <c r="AB1343" s="2">
        <v>0.58013160802334396</v>
      </c>
      <c r="AC1343" s="2">
        <v>48823.633217718198</v>
      </c>
      <c r="AD1343" s="2">
        <v>26413.880976084602</v>
      </c>
      <c r="AE1343" s="2">
        <v>48642.836901296003</v>
      </c>
      <c r="AF1343" s="2">
        <v>46184.024381137897</v>
      </c>
      <c r="AG1343" s="2">
        <v>48754.682086038098</v>
      </c>
      <c r="AH1343" s="2">
        <v>48802.901796316</v>
      </c>
      <c r="AI1343" s="2">
        <v>47289.429263744503</v>
      </c>
      <c r="AJ1343" s="2">
        <v>53267.924877776997</v>
      </c>
      <c r="AK1343" s="2">
        <v>23245.304439859399</v>
      </c>
      <c r="AL1343" s="2">
        <v>25701.342655039702</v>
      </c>
      <c r="AM1343" s="2">
        <v>26940.445564424801</v>
      </c>
      <c r="AN1343" s="2">
        <v>26935.501919070099</v>
      </c>
      <c r="AO1343" s="2">
        <v>27530.863020044901</v>
      </c>
      <c r="AP1343" s="2">
        <v>28129.828258068701</v>
      </c>
    </row>
    <row r="1344" spans="1:42" ht="14.5" x14ac:dyDescent="0.35">
      <c r="A1344" s="2" t="s">
        <v>9108</v>
      </c>
      <c r="B1344" s="2">
        <v>325.04819038183098</v>
      </c>
      <c r="C1344" s="2">
        <v>4.3103166666666697</v>
      </c>
      <c r="D1344" s="2" t="s">
        <v>70</v>
      </c>
      <c r="E1344" s="2" t="s">
        <v>9109</v>
      </c>
      <c r="F1344" s="2">
        <v>258335</v>
      </c>
      <c r="G1344" s="3" t="str">
        <f>HYPERLINK("http://funmeta.oebiotech.com/network/258335", "http://funmeta.oebiotech.com/network/258335")</f>
        <v>http://funmeta.oebiotech.com/network/258335</v>
      </c>
      <c r="H1344" s="2"/>
      <c r="I1344" s="2">
        <v>4086</v>
      </c>
      <c r="J1344" s="2"/>
      <c r="K1344" s="2"/>
      <c r="L1344" s="2"/>
      <c r="M1344" s="2"/>
      <c r="N1344" s="2"/>
      <c r="O1344" s="2">
        <v>82047</v>
      </c>
      <c r="P1344" s="2" t="s">
        <v>9110</v>
      </c>
      <c r="Q1344" s="2" t="s">
        <v>9111</v>
      </c>
      <c r="R1344" s="2" t="s">
        <v>9112</v>
      </c>
      <c r="S1344" s="2" t="s">
        <v>148</v>
      </c>
      <c r="T1344" s="2" t="s">
        <v>149</v>
      </c>
      <c r="U1344" s="2" t="s">
        <v>2102</v>
      </c>
      <c r="V1344" s="2" t="s">
        <v>59</v>
      </c>
      <c r="W1344" s="2">
        <v>37.299999999999997</v>
      </c>
      <c r="X1344" s="2">
        <v>0</v>
      </c>
      <c r="Y1344" s="2" t="s">
        <v>408</v>
      </c>
      <c r="Z1344" s="2" t="s">
        <v>9113</v>
      </c>
      <c r="AA1344" s="2">
        <v>-6.3929636959601499</v>
      </c>
      <c r="AB1344" s="2">
        <v>0.57998651950037505</v>
      </c>
      <c r="AC1344" s="2">
        <v>69238.103948404198</v>
      </c>
      <c r="AD1344" s="2">
        <v>92555.995507318701</v>
      </c>
      <c r="AE1344" s="2">
        <v>64840.045640079799</v>
      </c>
      <c r="AF1344" s="2">
        <v>65169.604902756801</v>
      </c>
      <c r="AG1344" s="2">
        <v>67039.448190098599</v>
      </c>
      <c r="AH1344" s="2">
        <v>71197.8057224277</v>
      </c>
      <c r="AI1344" s="2">
        <v>73311.992986413694</v>
      </c>
      <c r="AJ1344" s="2">
        <v>73869.726248648396</v>
      </c>
      <c r="AK1344" s="2">
        <v>84700.414569200293</v>
      </c>
      <c r="AL1344" s="2">
        <v>93145.814879077196</v>
      </c>
      <c r="AM1344" s="2">
        <v>96409.025892465201</v>
      </c>
      <c r="AN1344" s="2">
        <v>88581.174722170297</v>
      </c>
      <c r="AO1344" s="2">
        <v>96032.375143572805</v>
      </c>
      <c r="AP1344" s="2">
        <v>96467.167837426401</v>
      </c>
    </row>
    <row r="1345" spans="1:42" ht="14.5" x14ac:dyDescent="0.35">
      <c r="A1345" s="2" t="s">
        <v>9114</v>
      </c>
      <c r="B1345" s="2">
        <v>665.16460101234202</v>
      </c>
      <c r="C1345" s="2">
        <v>4.0071500000000002</v>
      </c>
      <c r="D1345" s="2" t="s">
        <v>70</v>
      </c>
      <c r="E1345" s="2" t="s">
        <v>9115</v>
      </c>
      <c r="F1345" s="2">
        <v>204675</v>
      </c>
      <c r="G1345" s="3" t="str">
        <f>HYPERLINK("http://funmeta.oebiotech.com/network/204675", "http://funmeta.oebiotech.com/network/204675")</f>
        <v>http://funmeta.oebiotech.com/network/204675</v>
      </c>
      <c r="H1345" s="2" t="s">
        <v>9116</v>
      </c>
      <c r="I1345" s="2"/>
      <c r="J1345" s="2"/>
      <c r="K1345" s="2"/>
      <c r="L1345" s="2"/>
      <c r="M1345" s="2"/>
      <c r="N1345" s="2"/>
      <c r="O1345" s="2">
        <v>75984602</v>
      </c>
      <c r="P1345" s="2"/>
      <c r="Q1345" s="2" t="s">
        <v>9117</v>
      </c>
      <c r="R1345" s="2" t="s">
        <v>9118</v>
      </c>
      <c r="S1345" s="2" t="s">
        <v>89</v>
      </c>
      <c r="T1345" s="2" t="s">
        <v>90</v>
      </c>
      <c r="U1345" s="2" t="s">
        <v>99</v>
      </c>
      <c r="V1345" s="2" t="s">
        <v>59</v>
      </c>
      <c r="W1345" s="2">
        <v>36.4</v>
      </c>
      <c r="X1345" s="2">
        <v>0</v>
      </c>
      <c r="Y1345" s="2" t="s">
        <v>118</v>
      </c>
      <c r="Z1345" s="2" t="s">
        <v>9119</v>
      </c>
      <c r="AA1345" s="2">
        <v>-4.8343623880953599</v>
      </c>
      <c r="AB1345" s="2">
        <v>0.57873473184586499</v>
      </c>
      <c r="AC1345" s="2">
        <v>40907.780546491202</v>
      </c>
      <c r="AD1345" s="2">
        <v>18273.425451338098</v>
      </c>
      <c r="AE1345" s="2">
        <v>40189.603493576702</v>
      </c>
      <c r="AF1345" s="2">
        <v>35048.981958381002</v>
      </c>
      <c r="AG1345" s="2">
        <v>41784.421620038003</v>
      </c>
      <c r="AH1345" s="2">
        <v>42187.936349718599</v>
      </c>
      <c r="AI1345" s="2">
        <v>42349.653107534403</v>
      </c>
      <c r="AJ1345" s="2">
        <v>43886.086749698501</v>
      </c>
      <c r="AK1345" s="2">
        <v>17451.940082720699</v>
      </c>
      <c r="AL1345" s="2">
        <v>19018.748855065602</v>
      </c>
      <c r="AM1345" s="2">
        <v>18552.770145557701</v>
      </c>
      <c r="AN1345" s="2">
        <v>20288.250229422301</v>
      </c>
      <c r="AO1345" s="2">
        <v>13157.460916645599</v>
      </c>
      <c r="AP1345" s="2">
        <v>21171.382478616601</v>
      </c>
    </row>
    <row r="1346" spans="1:42" ht="14.5" x14ac:dyDescent="0.35">
      <c r="A1346" s="2" t="s">
        <v>9120</v>
      </c>
      <c r="B1346" s="2">
        <v>479.26390733792499</v>
      </c>
      <c r="C1346" s="2">
        <v>5.13601666666667</v>
      </c>
      <c r="D1346" s="2" t="s">
        <v>34</v>
      </c>
      <c r="E1346" s="2" t="s">
        <v>9121</v>
      </c>
      <c r="F1346" s="2">
        <v>53326</v>
      </c>
      <c r="G1346" s="3" t="str">
        <f>HYPERLINK("http://funmeta.oebiotech.com/network/53326", "http://funmeta.oebiotech.com/network/53326")</f>
        <v>http://funmeta.oebiotech.com/network/53326</v>
      </c>
      <c r="H1346" s="2" t="s">
        <v>9122</v>
      </c>
      <c r="I1346" s="2">
        <v>1938</v>
      </c>
      <c r="J1346" s="2"/>
      <c r="K1346" s="2">
        <v>8212</v>
      </c>
      <c r="L1346" s="2" t="s">
        <v>9123</v>
      </c>
      <c r="M1346" s="2"/>
      <c r="N1346" s="2"/>
      <c r="O1346" s="2">
        <v>16362</v>
      </c>
      <c r="P1346" s="2" t="s">
        <v>9124</v>
      </c>
      <c r="Q1346" s="2" t="s">
        <v>9125</v>
      </c>
      <c r="R1346" s="2" t="s">
        <v>9126</v>
      </c>
      <c r="S1346" s="2" t="s">
        <v>148</v>
      </c>
      <c r="T1346" s="2" t="s">
        <v>149</v>
      </c>
      <c r="U1346" s="2" t="s">
        <v>3473</v>
      </c>
      <c r="V1346" s="2" t="s">
        <v>59</v>
      </c>
      <c r="W1346" s="2">
        <v>37.5</v>
      </c>
      <c r="X1346" s="2">
        <v>1.17</v>
      </c>
      <c r="Y1346" s="2" t="s">
        <v>43</v>
      </c>
      <c r="Z1346" s="2" t="s">
        <v>9127</v>
      </c>
      <c r="AA1346" s="2">
        <v>4.7976370979112</v>
      </c>
      <c r="AB1346" s="2">
        <v>0.57861404131131</v>
      </c>
      <c r="AC1346" s="2">
        <v>348672.28644639498</v>
      </c>
      <c r="AD1346" s="2">
        <v>319059.99769814702</v>
      </c>
      <c r="AE1346" s="2">
        <v>332690.70907313703</v>
      </c>
      <c r="AF1346" s="2">
        <v>354815.505648244</v>
      </c>
      <c r="AG1346" s="2">
        <v>347494.05936248001</v>
      </c>
      <c r="AH1346" s="2">
        <v>356596.49063050997</v>
      </c>
      <c r="AI1346" s="2">
        <v>339953.18478626298</v>
      </c>
      <c r="AJ1346" s="2">
        <v>360483.76917773701</v>
      </c>
      <c r="AK1346" s="2">
        <v>294072.20528180798</v>
      </c>
      <c r="AL1346" s="2">
        <v>309187.01114042301</v>
      </c>
      <c r="AM1346" s="2">
        <v>339041.04142451799</v>
      </c>
      <c r="AN1346" s="2">
        <v>315585.498612508</v>
      </c>
      <c r="AO1346" s="2">
        <v>316627.73187088902</v>
      </c>
      <c r="AP1346" s="2">
        <v>339846.497858738</v>
      </c>
    </row>
    <row r="1347" spans="1:42" ht="14.5" x14ac:dyDescent="0.35">
      <c r="A1347" s="2" t="s">
        <v>9128</v>
      </c>
      <c r="B1347" s="2">
        <v>852.31871770412295</v>
      </c>
      <c r="C1347" s="2">
        <v>8.8768999999999991</v>
      </c>
      <c r="D1347" s="2" t="s">
        <v>34</v>
      </c>
      <c r="E1347" s="4" t="s">
        <v>9129</v>
      </c>
      <c r="F1347" s="2">
        <v>201471</v>
      </c>
      <c r="G1347" s="3" t="str">
        <f>HYPERLINK("http://funmeta.oebiotech.com/network/201471", "http://funmeta.oebiotech.com/network/201471")</f>
        <v>http://funmeta.oebiotech.com/network/201471</v>
      </c>
      <c r="H1347" s="2" t="s">
        <v>9130</v>
      </c>
      <c r="I1347" s="2"/>
      <c r="J1347" s="2"/>
      <c r="K1347" s="2"/>
      <c r="L1347" s="2"/>
      <c r="M1347" s="2"/>
      <c r="N1347" s="2"/>
      <c r="O1347" s="2">
        <v>21083086</v>
      </c>
      <c r="P1347" s="2"/>
      <c r="Q1347" s="2" t="s">
        <v>9131</v>
      </c>
      <c r="R1347" s="2" t="s">
        <v>9132</v>
      </c>
      <c r="S1347" s="2" t="s">
        <v>50</v>
      </c>
      <c r="T1347" s="2" t="s">
        <v>201</v>
      </c>
      <c r="U1347" s="2" t="s">
        <v>241</v>
      </c>
      <c r="V1347" s="2" t="s">
        <v>59</v>
      </c>
      <c r="W1347" s="2">
        <v>43.4</v>
      </c>
      <c r="X1347" s="2">
        <v>39.700000000000003</v>
      </c>
      <c r="Y1347" s="2" t="s">
        <v>141</v>
      </c>
      <c r="Z1347" s="2" t="s">
        <v>9133</v>
      </c>
      <c r="AA1347" s="2">
        <v>-4.4448000222046904</v>
      </c>
      <c r="AB1347" s="2">
        <v>0.57798342373776501</v>
      </c>
      <c r="AC1347" s="2">
        <v>100339.698817914</v>
      </c>
      <c r="AD1347" s="2">
        <v>77358.834299701295</v>
      </c>
      <c r="AE1347" s="2">
        <v>100709.821523443</v>
      </c>
      <c r="AF1347" s="2">
        <v>100347.70569382</v>
      </c>
      <c r="AG1347" s="2">
        <v>106896.889783441</v>
      </c>
      <c r="AH1347" s="2">
        <v>98028.664663351199</v>
      </c>
      <c r="AI1347" s="2">
        <v>92882.585053476607</v>
      </c>
      <c r="AJ1347" s="2">
        <v>103172.52618995099</v>
      </c>
      <c r="AK1347" s="2">
        <v>78609.024254983</v>
      </c>
      <c r="AL1347" s="2">
        <v>74398.479915103599</v>
      </c>
      <c r="AM1347" s="2">
        <v>78217.346226865498</v>
      </c>
      <c r="AN1347" s="2">
        <v>73931.886331612899</v>
      </c>
      <c r="AO1347" s="2">
        <v>75473.035699911095</v>
      </c>
      <c r="AP1347" s="2">
        <v>83523.233369731795</v>
      </c>
    </row>
    <row r="1348" spans="1:42" ht="14.5" x14ac:dyDescent="0.35">
      <c r="A1348" s="2" t="s">
        <v>9134</v>
      </c>
      <c r="B1348" s="2">
        <v>575.22801854386103</v>
      </c>
      <c r="C1348" s="2">
        <v>4.7017833333333297</v>
      </c>
      <c r="D1348" s="2" t="s">
        <v>34</v>
      </c>
      <c r="E1348" s="2" t="s">
        <v>9135</v>
      </c>
      <c r="F1348" s="2">
        <v>205033</v>
      </c>
      <c r="G1348" s="3" t="str">
        <f>HYPERLINK("http://funmeta.oebiotech.com/network/205033", "http://funmeta.oebiotech.com/network/205033")</f>
        <v>http://funmeta.oebiotech.com/network/205033</v>
      </c>
      <c r="H1348" s="2" t="s">
        <v>9136</v>
      </c>
      <c r="I1348" s="2"/>
      <c r="J1348" s="2"/>
      <c r="K1348" s="2"/>
      <c r="L1348" s="2"/>
      <c r="M1348" s="2"/>
      <c r="N1348" s="2"/>
      <c r="O1348" s="2">
        <v>4169197</v>
      </c>
      <c r="P1348" s="2"/>
      <c r="Q1348" s="2" t="s">
        <v>9137</v>
      </c>
      <c r="R1348" s="2" t="s">
        <v>9138</v>
      </c>
      <c r="S1348" s="2" t="s">
        <v>41</v>
      </c>
      <c r="T1348" s="2" t="s">
        <v>41</v>
      </c>
      <c r="U1348" s="2" t="s">
        <v>41</v>
      </c>
      <c r="V1348" s="2" t="s">
        <v>59</v>
      </c>
      <c r="W1348" s="2">
        <v>37.700000000000003</v>
      </c>
      <c r="X1348" s="2">
        <v>0</v>
      </c>
      <c r="Y1348" s="2" t="s">
        <v>394</v>
      </c>
      <c r="Z1348" s="2" t="s">
        <v>9139</v>
      </c>
      <c r="AA1348" s="2">
        <v>-0.39417620000405401</v>
      </c>
      <c r="AB1348" s="2">
        <v>0.57778734812348698</v>
      </c>
      <c r="AC1348" s="2">
        <v>22321.490928452298</v>
      </c>
      <c r="AD1348" s="2">
        <v>279.57185887222403</v>
      </c>
      <c r="AE1348" s="2">
        <v>24758.809452085501</v>
      </c>
      <c r="AF1348" s="2">
        <v>22158.641424899</v>
      </c>
      <c r="AG1348" s="2">
        <v>23700.458019786201</v>
      </c>
      <c r="AH1348" s="2">
        <v>20149.8132636505</v>
      </c>
      <c r="AI1348" s="2">
        <v>19327.240079248699</v>
      </c>
      <c r="AJ1348" s="2">
        <v>23833.983331043801</v>
      </c>
      <c r="AK1348" s="2">
        <v>1019.60863918729</v>
      </c>
      <c r="AL1348" s="2">
        <v>2.7106294003980101E-5</v>
      </c>
      <c r="AM1348" s="2">
        <v>568.74039757370304</v>
      </c>
      <c r="AN1348" s="2">
        <v>2.7106294003980101E-5</v>
      </c>
      <c r="AO1348" s="2">
        <v>2.7106294003980101E-5</v>
      </c>
      <c r="AP1348" s="2">
        <v>89.082035153468397</v>
      </c>
    </row>
    <row r="1349" spans="1:42" ht="14.5" x14ac:dyDescent="0.35">
      <c r="A1349" s="2" t="s">
        <v>9140</v>
      </c>
      <c r="B1349" s="2">
        <v>888.55217788963398</v>
      </c>
      <c r="C1349" s="2">
        <v>11.7063166666667</v>
      </c>
      <c r="D1349" s="2" t="s">
        <v>34</v>
      </c>
      <c r="E1349" s="2" t="s">
        <v>9141</v>
      </c>
      <c r="F1349" s="2">
        <v>242697</v>
      </c>
      <c r="G1349" s="3" t="str">
        <f>HYPERLINK("http://funmeta.oebiotech.com/network/242697", "http://funmeta.oebiotech.com/network/242697")</f>
        <v>http://funmeta.oebiotech.com/network/242697</v>
      </c>
      <c r="H1349" s="2" t="s">
        <v>9142</v>
      </c>
      <c r="I1349" s="2"/>
      <c r="J1349" s="2"/>
      <c r="K1349" s="2"/>
      <c r="L1349" s="2"/>
      <c r="M1349" s="2"/>
      <c r="N1349" s="2"/>
      <c r="O1349" s="2"/>
      <c r="P1349" s="2"/>
      <c r="Q1349" s="2" t="s">
        <v>9143</v>
      </c>
      <c r="R1349" s="2" t="s">
        <v>9144</v>
      </c>
      <c r="S1349" s="2" t="s">
        <v>41</v>
      </c>
      <c r="T1349" s="2" t="s">
        <v>41</v>
      </c>
      <c r="U1349" s="2" t="s">
        <v>41</v>
      </c>
      <c r="V1349" s="2" t="s">
        <v>59</v>
      </c>
      <c r="W1349" s="2">
        <v>42</v>
      </c>
      <c r="X1349" s="2">
        <v>16.899999999999999</v>
      </c>
      <c r="Y1349" s="2" t="s">
        <v>340</v>
      </c>
      <c r="Z1349" s="2" t="s">
        <v>9145</v>
      </c>
      <c r="AA1349" s="2">
        <v>0.76496446780244598</v>
      </c>
      <c r="AB1349" s="2">
        <v>0.57777319973693997</v>
      </c>
      <c r="AC1349" s="2">
        <v>13891.8492239808</v>
      </c>
      <c r="AD1349" s="2">
        <v>36367.288148058702</v>
      </c>
      <c r="AE1349" s="2">
        <v>11290.8685982637</v>
      </c>
      <c r="AF1349" s="2">
        <v>13400.388758299599</v>
      </c>
      <c r="AG1349" s="2">
        <v>14456.4637691473</v>
      </c>
      <c r="AH1349" s="2">
        <v>12054.551558139799</v>
      </c>
      <c r="AI1349" s="2">
        <v>13571.962477311899</v>
      </c>
      <c r="AJ1349" s="2">
        <v>18576.860182722801</v>
      </c>
      <c r="AK1349" s="2">
        <v>33156.382110381601</v>
      </c>
      <c r="AL1349" s="2">
        <v>33551.810586724103</v>
      </c>
      <c r="AM1349" s="2">
        <v>41288.117603605497</v>
      </c>
      <c r="AN1349" s="2">
        <v>35523.673294232103</v>
      </c>
      <c r="AO1349" s="2">
        <v>39163.685242187799</v>
      </c>
      <c r="AP1349" s="2">
        <v>35520.060051221299</v>
      </c>
    </row>
    <row r="1350" spans="1:42" ht="14.5" x14ac:dyDescent="0.35">
      <c r="A1350" s="2" t="s">
        <v>9146</v>
      </c>
      <c r="B1350" s="2">
        <v>492.25845739285302</v>
      </c>
      <c r="C1350" s="2">
        <v>6.4662166666666696</v>
      </c>
      <c r="D1350" s="2" t="s">
        <v>34</v>
      </c>
      <c r="E1350" s="2" t="s">
        <v>9147</v>
      </c>
      <c r="F1350" s="2">
        <v>467948</v>
      </c>
      <c r="G1350" s="3" t="str">
        <f>HYPERLINK("http://funmeta.oebiotech.com/network/467948", "http://funmeta.oebiotech.com/network/467948")</f>
        <v>http://funmeta.oebiotech.com/network/467948</v>
      </c>
      <c r="H1350" s="2" t="s">
        <v>9148</v>
      </c>
      <c r="I1350" s="2">
        <v>86656</v>
      </c>
      <c r="J1350" s="2"/>
      <c r="K1350" s="2"/>
      <c r="L1350" s="2"/>
      <c r="M1350" s="2"/>
      <c r="N1350" s="2"/>
      <c r="O1350" s="2">
        <v>157978</v>
      </c>
      <c r="P1350" s="2" t="s">
        <v>9149</v>
      </c>
      <c r="Q1350" s="2" t="s">
        <v>9150</v>
      </c>
      <c r="R1350" s="2" t="s">
        <v>9151</v>
      </c>
      <c r="S1350" s="2" t="s">
        <v>491</v>
      </c>
      <c r="T1350" s="2" t="s">
        <v>2251</v>
      </c>
      <c r="U1350" s="2" t="s">
        <v>2252</v>
      </c>
      <c r="V1350" s="2" t="s">
        <v>59</v>
      </c>
      <c r="W1350" s="2">
        <v>36.9</v>
      </c>
      <c r="X1350" s="2">
        <v>0</v>
      </c>
      <c r="Y1350" s="2" t="s">
        <v>43</v>
      </c>
      <c r="Z1350" s="2" t="s">
        <v>930</v>
      </c>
      <c r="AA1350" s="2">
        <v>-1.55239271542487</v>
      </c>
      <c r="AB1350" s="2">
        <v>0.57753534245164595</v>
      </c>
      <c r="AC1350" s="2">
        <v>31670.226264861201</v>
      </c>
      <c r="AD1350" s="2">
        <v>9540.1967461686709</v>
      </c>
      <c r="AE1350" s="2">
        <v>31949.175546019898</v>
      </c>
      <c r="AF1350" s="2">
        <v>28735.574604494199</v>
      </c>
      <c r="AG1350" s="2">
        <v>31607.902127013698</v>
      </c>
      <c r="AH1350" s="2">
        <v>34021.943607662703</v>
      </c>
      <c r="AI1350" s="2">
        <v>30186.1084321979</v>
      </c>
      <c r="AJ1350" s="2">
        <v>33520.653271778698</v>
      </c>
      <c r="AK1350" s="2">
        <v>10306.758801596099</v>
      </c>
      <c r="AL1350" s="2">
        <v>12206.6553151138</v>
      </c>
      <c r="AM1350" s="2">
        <v>9470.4459863626307</v>
      </c>
      <c r="AN1350" s="2">
        <v>9871.3581254358905</v>
      </c>
      <c r="AO1350" s="2">
        <v>6897.2304188817798</v>
      </c>
      <c r="AP1350" s="2">
        <v>8488.73182962184</v>
      </c>
    </row>
    <row r="1351" spans="1:42" ht="14.5" x14ac:dyDescent="0.35">
      <c r="A1351" s="2" t="s">
        <v>9152</v>
      </c>
      <c r="B1351" s="2">
        <v>233.154184542379</v>
      </c>
      <c r="C1351" s="2">
        <v>10.648149999999999</v>
      </c>
      <c r="D1351" s="2" t="s">
        <v>70</v>
      </c>
      <c r="E1351" s="2" t="s">
        <v>9153</v>
      </c>
      <c r="F1351" s="2">
        <v>54874</v>
      </c>
      <c r="G1351" s="3" t="str">
        <f>HYPERLINK("http://funmeta.oebiotech.com/network/54874", "http://funmeta.oebiotech.com/network/54874")</f>
        <v>http://funmeta.oebiotech.com/network/54874</v>
      </c>
      <c r="H1351" s="2" t="s">
        <v>9154</v>
      </c>
      <c r="I1351" s="2"/>
      <c r="J1351" s="2"/>
      <c r="K1351" s="2"/>
      <c r="L1351" s="2" t="s">
        <v>9155</v>
      </c>
      <c r="M1351" s="2"/>
      <c r="N1351" s="2"/>
      <c r="O1351" s="2">
        <v>6042891</v>
      </c>
      <c r="P1351" s="2" t="s">
        <v>9156</v>
      </c>
      <c r="Q1351" s="2" t="s">
        <v>9157</v>
      </c>
      <c r="R1351" s="2" t="s">
        <v>9158</v>
      </c>
      <c r="S1351" s="2" t="s">
        <v>50</v>
      </c>
      <c r="T1351" s="2" t="s">
        <v>201</v>
      </c>
      <c r="U1351" s="2" t="s">
        <v>636</v>
      </c>
      <c r="V1351" s="2" t="s">
        <v>59</v>
      </c>
      <c r="W1351" s="2">
        <v>39.6</v>
      </c>
      <c r="X1351" s="2">
        <v>2.91</v>
      </c>
      <c r="Y1351" s="2" t="s">
        <v>118</v>
      </c>
      <c r="Z1351" s="2" t="s">
        <v>9159</v>
      </c>
      <c r="AA1351" s="2">
        <v>-2.2162875518286902</v>
      </c>
      <c r="AB1351" s="2">
        <v>0.577358861808282</v>
      </c>
      <c r="AC1351" s="2">
        <v>247973.76594888</v>
      </c>
      <c r="AD1351" s="2">
        <v>275566.792344869</v>
      </c>
      <c r="AE1351" s="2">
        <v>244146.38912211399</v>
      </c>
      <c r="AF1351" s="2">
        <v>245477.76602866701</v>
      </c>
      <c r="AG1351" s="2">
        <v>259961.126831892</v>
      </c>
      <c r="AH1351" s="2">
        <v>248013.774809692</v>
      </c>
      <c r="AI1351" s="2">
        <v>242992.99857990901</v>
      </c>
      <c r="AJ1351" s="2">
        <v>247250.54032100399</v>
      </c>
      <c r="AK1351" s="2">
        <v>301596.02976641501</v>
      </c>
      <c r="AL1351" s="2">
        <v>280863.21700784599</v>
      </c>
      <c r="AM1351" s="2">
        <v>270965.52807293099</v>
      </c>
      <c r="AN1351" s="2">
        <v>268620.46313484898</v>
      </c>
      <c r="AO1351" s="2">
        <v>274116.23414599401</v>
      </c>
      <c r="AP1351" s="2">
        <v>257239.28194118</v>
      </c>
    </row>
    <row r="1352" spans="1:42" ht="14.5" x14ac:dyDescent="0.35">
      <c r="A1352" s="2" t="s">
        <v>9160</v>
      </c>
      <c r="B1352" s="2">
        <v>345.15198482364201</v>
      </c>
      <c r="C1352" s="2">
        <v>3.6785666666666699</v>
      </c>
      <c r="D1352" s="2" t="s">
        <v>34</v>
      </c>
      <c r="E1352" s="2" t="s">
        <v>9161</v>
      </c>
      <c r="F1352" s="2">
        <v>56175</v>
      </c>
      <c r="G1352" s="3" t="str">
        <f>HYPERLINK("http://funmeta.oebiotech.com/network/56175", "http://funmeta.oebiotech.com/network/56175")</f>
        <v>http://funmeta.oebiotech.com/network/56175</v>
      </c>
      <c r="H1352" s="2" t="s">
        <v>9162</v>
      </c>
      <c r="I1352" s="2">
        <v>87870</v>
      </c>
      <c r="J1352" s="2"/>
      <c r="K1352" s="2">
        <v>167975</v>
      </c>
      <c r="L1352" s="2"/>
      <c r="M1352" s="2"/>
      <c r="N1352" s="2"/>
      <c r="O1352" s="2">
        <v>76463851</v>
      </c>
      <c r="P1352" s="2"/>
      <c r="Q1352" s="2" t="s">
        <v>9163</v>
      </c>
      <c r="R1352" s="2" t="s">
        <v>9164</v>
      </c>
      <c r="S1352" s="2" t="s">
        <v>50</v>
      </c>
      <c r="T1352" s="2" t="s">
        <v>229</v>
      </c>
      <c r="U1352" s="2" t="s">
        <v>230</v>
      </c>
      <c r="V1352" s="2" t="s">
        <v>59</v>
      </c>
      <c r="W1352" s="2">
        <v>42.6</v>
      </c>
      <c r="X1352" s="2">
        <v>17.399999999999999</v>
      </c>
      <c r="Y1352" s="2" t="s">
        <v>1115</v>
      </c>
      <c r="Z1352" s="2" t="s">
        <v>9165</v>
      </c>
      <c r="AA1352" s="2">
        <v>-1.1319302877588099E-2</v>
      </c>
      <c r="AB1352" s="2">
        <v>0.577165605334369</v>
      </c>
      <c r="AC1352" s="2">
        <v>212068.555863346</v>
      </c>
      <c r="AD1352" s="2">
        <v>236874.381123737</v>
      </c>
      <c r="AE1352" s="2">
        <v>209300.01696533099</v>
      </c>
      <c r="AF1352" s="2">
        <v>206544.544951911</v>
      </c>
      <c r="AG1352" s="2">
        <v>208313.76823710799</v>
      </c>
      <c r="AH1352" s="2">
        <v>207528.20735049</v>
      </c>
      <c r="AI1352" s="2">
        <v>223778.13407001601</v>
      </c>
      <c r="AJ1352" s="2">
        <v>216946.66360522201</v>
      </c>
      <c r="AK1352" s="2">
        <v>229456.516314782</v>
      </c>
      <c r="AL1352" s="2">
        <v>240109.47838560599</v>
      </c>
      <c r="AM1352" s="2">
        <v>232587.74113526099</v>
      </c>
      <c r="AN1352" s="2">
        <v>231885.116639082</v>
      </c>
      <c r="AO1352" s="2">
        <v>235758.811192247</v>
      </c>
      <c r="AP1352" s="2">
        <v>251448.62307544501</v>
      </c>
    </row>
    <row r="1353" spans="1:42" ht="14.5" x14ac:dyDescent="0.35">
      <c r="A1353" s="2" t="s">
        <v>9166</v>
      </c>
      <c r="B1353" s="2">
        <v>634.30139489243902</v>
      </c>
      <c r="C1353" s="2">
        <v>9.0830166666666692</v>
      </c>
      <c r="D1353" s="2" t="s">
        <v>34</v>
      </c>
      <c r="E1353" s="2" t="s">
        <v>9167</v>
      </c>
      <c r="F1353" s="2">
        <v>27946</v>
      </c>
      <c r="G1353" s="3" t="str">
        <f>HYPERLINK("http://funmeta.oebiotech.com/network/27946", "http://funmeta.oebiotech.com/network/27946")</f>
        <v>http://funmeta.oebiotech.com/network/27946</v>
      </c>
      <c r="H1353" s="2"/>
      <c r="I1353" s="2"/>
      <c r="J1353" s="2" t="s">
        <v>9168</v>
      </c>
      <c r="K1353" s="2"/>
      <c r="L1353" s="2"/>
      <c r="M1353" s="2"/>
      <c r="N1353" s="2"/>
      <c r="O1353" s="2">
        <v>134812393</v>
      </c>
      <c r="P1353" s="2"/>
      <c r="Q1353" s="2" t="s">
        <v>9169</v>
      </c>
      <c r="R1353" s="2" t="s">
        <v>9170</v>
      </c>
      <c r="S1353" s="2" t="s">
        <v>50</v>
      </c>
      <c r="T1353" s="2" t="s">
        <v>51</v>
      </c>
      <c r="U1353" s="2" t="s">
        <v>66</v>
      </c>
      <c r="V1353" s="2" t="s">
        <v>59</v>
      </c>
      <c r="W1353" s="2">
        <v>46.3</v>
      </c>
      <c r="X1353" s="2">
        <v>40.5</v>
      </c>
      <c r="Y1353" s="2" t="s">
        <v>141</v>
      </c>
      <c r="Z1353" s="2" t="s">
        <v>9171</v>
      </c>
      <c r="AA1353" s="2">
        <v>4.1545242509493603</v>
      </c>
      <c r="AB1353" s="2">
        <v>0.57711879244981401</v>
      </c>
      <c r="AC1353" s="2">
        <v>41599.515347979002</v>
      </c>
      <c r="AD1353" s="2">
        <v>19417.0878044038</v>
      </c>
      <c r="AE1353" s="2">
        <v>43673.4532642423</v>
      </c>
      <c r="AF1353" s="2">
        <v>38558.962024364599</v>
      </c>
      <c r="AG1353" s="2">
        <v>45225.806733976096</v>
      </c>
      <c r="AH1353" s="2">
        <v>39392.037903309203</v>
      </c>
      <c r="AI1353" s="2">
        <v>39828.005827225403</v>
      </c>
      <c r="AJ1353" s="2">
        <v>42918.826334756202</v>
      </c>
      <c r="AK1353" s="2">
        <v>18246.416180476801</v>
      </c>
      <c r="AL1353" s="2">
        <v>19445.0841169333</v>
      </c>
      <c r="AM1353" s="2">
        <v>22231.808093513599</v>
      </c>
      <c r="AN1353" s="2">
        <v>19603.235629344101</v>
      </c>
      <c r="AO1353" s="2">
        <v>18305.107413481001</v>
      </c>
      <c r="AP1353" s="2">
        <v>18670.875392674199</v>
      </c>
    </row>
    <row r="1354" spans="1:42" ht="14.5" x14ac:dyDescent="0.35">
      <c r="A1354" s="2" t="s">
        <v>9172</v>
      </c>
      <c r="B1354" s="2">
        <v>447.219682137333</v>
      </c>
      <c r="C1354" s="2">
        <v>5.8468499999999999</v>
      </c>
      <c r="D1354" s="2" t="s">
        <v>34</v>
      </c>
      <c r="E1354" s="2" t="s">
        <v>9173</v>
      </c>
      <c r="F1354" s="2">
        <v>82967</v>
      </c>
      <c r="G1354" s="3" t="str">
        <f>HYPERLINK("http://funmeta.oebiotech.com/network/82967", "http://funmeta.oebiotech.com/network/82967")</f>
        <v>http://funmeta.oebiotech.com/network/82967</v>
      </c>
      <c r="H1354" s="2" t="s">
        <v>9174</v>
      </c>
      <c r="I1354" s="2"/>
      <c r="J1354" s="2"/>
      <c r="K1354" s="2"/>
      <c r="L1354" s="2"/>
      <c r="M1354" s="2"/>
      <c r="N1354" s="2"/>
      <c r="O1354" s="2"/>
      <c r="P1354" s="2" t="s">
        <v>9175</v>
      </c>
      <c r="Q1354" s="2" t="s">
        <v>9176</v>
      </c>
      <c r="R1354" s="2" t="s">
        <v>9177</v>
      </c>
      <c r="S1354" s="2" t="s">
        <v>50</v>
      </c>
      <c r="T1354" s="2" t="s">
        <v>124</v>
      </c>
      <c r="U1354" s="2" t="s">
        <v>1136</v>
      </c>
      <c r="V1354" s="2" t="s">
        <v>59</v>
      </c>
      <c r="W1354" s="2">
        <v>36.700000000000003</v>
      </c>
      <c r="X1354" s="2">
        <v>0</v>
      </c>
      <c r="Y1354" s="2" t="s">
        <v>330</v>
      </c>
      <c r="Z1354" s="2" t="s">
        <v>9178</v>
      </c>
      <c r="AA1354" s="2">
        <v>4.1763986794590799</v>
      </c>
      <c r="AB1354" s="2">
        <v>0.57698708518126696</v>
      </c>
      <c r="AC1354" s="2">
        <v>43005.177713255704</v>
      </c>
      <c r="AD1354" s="2">
        <v>65283.2603242404</v>
      </c>
      <c r="AE1354" s="2">
        <v>42946.905801341098</v>
      </c>
      <c r="AF1354" s="2">
        <v>42731.506743481797</v>
      </c>
      <c r="AG1354" s="2">
        <v>43865.725731962397</v>
      </c>
      <c r="AH1354" s="2">
        <v>39112.4123289173</v>
      </c>
      <c r="AI1354" s="2">
        <v>47771.509063140496</v>
      </c>
      <c r="AJ1354" s="2">
        <v>41603.0066106909</v>
      </c>
      <c r="AK1354" s="2">
        <v>63949.377902959997</v>
      </c>
      <c r="AL1354" s="2">
        <v>62294.792723860701</v>
      </c>
      <c r="AM1354" s="2">
        <v>63895.609160353401</v>
      </c>
      <c r="AN1354" s="2">
        <v>67711.104361019505</v>
      </c>
      <c r="AO1354" s="2">
        <v>65294.074955222401</v>
      </c>
      <c r="AP1354" s="2">
        <v>68554.602842026405</v>
      </c>
    </row>
    <row r="1355" spans="1:42" ht="14.5" x14ac:dyDescent="0.35">
      <c r="A1355" s="2" t="s">
        <v>9179</v>
      </c>
      <c r="B1355" s="2">
        <v>507.18677693265801</v>
      </c>
      <c r="C1355" s="2">
        <v>4.4526833333333302</v>
      </c>
      <c r="D1355" s="2" t="s">
        <v>70</v>
      </c>
      <c r="E1355" s="2" t="s">
        <v>9180</v>
      </c>
      <c r="F1355" s="2">
        <v>63792</v>
      </c>
      <c r="G1355" s="3" t="str">
        <f>HYPERLINK("http://funmeta.oebiotech.com/network/63792", "http://funmeta.oebiotech.com/network/63792")</f>
        <v>http://funmeta.oebiotech.com/network/63792</v>
      </c>
      <c r="H1355" s="2" t="s">
        <v>9181</v>
      </c>
      <c r="I1355" s="2"/>
      <c r="J1355" s="2"/>
      <c r="K1355" s="2"/>
      <c r="L1355" s="2"/>
      <c r="M1355" s="2"/>
      <c r="N1355" s="2"/>
      <c r="O1355" s="2">
        <v>101929552</v>
      </c>
      <c r="P1355" s="2" t="s">
        <v>9182</v>
      </c>
      <c r="Q1355" s="2" t="s">
        <v>9183</v>
      </c>
      <c r="R1355" s="2" t="s">
        <v>9184</v>
      </c>
      <c r="S1355" s="2" t="s">
        <v>50</v>
      </c>
      <c r="T1355" s="2" t="s">
        <v>201</v>
      </c>
      <c r="U1355" s="2" t="s">
        <v>202</v>
      </c>
      <c r="V1355" s="2" t="s">
        <v>42</v>
      </c>
      <c r="W1355" s="2">
        <v>55.5</v>
      </c>
      <c r="X1355" s="2">
        <v>86.9</v>
      </c>
      <c r="Y1355" s="2" t="s">
        <v>751</v>
      </c>
      <c r="Z1355" s="2" t="s">
        <v>2036</v>
      </c>
      <c r="AA1355" s="2">
        <v>-0.77626100300581702</v>
      </c>
      <c r="AB1355" s="2">
        <v>0.57643043925909598</v>
      </c>
      <c r="AC1355" s="2">
        <v>161714.70951443701</v>
      </c>
      <c r="AD1355" s="2">
        <v>133067.466610228</v>
      </c>
      <c r="AE1355" s="2">
        <v>160433.72605471901</v>
      </c>
      <c r="AF1355" s="2">
        <v>189174.11467847601</v>
      </c>
      <c r="AG1355" s="2">
        <v>154493.461878442</v>
      </c>
      <c r="AH1355" s="2">
        <v>143346.93988509601</v>
      </c>
      <c r="AI1355" s="2">
        <v>171699.58281937399</v>
      </c>
      <c r="AJ1355" s="2">
        <v>151140.431770514</v>
      </c>
      <c r="AK1355" s="2">
        <v>129274.22332833101</v>
      </c>
      <c r="AL1355" s="2">
        <v>138655.630021925</v>
      </c>
      <c r="AM1355" s="2">
        <v>126362.724154603</v>
      </c>
      <c r="AN1355" s="2">
        <v>144101.41451911701</v>
      </c>
      <c r="AO1355" s="2">
        <v>120279.95991912299</v>
      </c>
      <c r="AP1355" s="2">
        <v>139730.847718267</v>
      </c>
    </row>
    <row r="1356" spans="1:42" ht="14.5" x14ac:dyDescent="0.35">
      <c r="A1356" s="2" t="s">
        <v>9185</v>
      </c>
      <c r="B1356" s="2">
        <v>778.50905272192904</v>
      </c>
      <c r="C1356" s="2">
        <v>10.0553333333333</v>
      </c>
      <c r="D1356" s="2" t="s">
        <v>34</v>
      </c>
      <c r="E1356" s="2" t="s">
        <v>9186</v>
      </c>
      <c r="F1356" s="2">
        <v>18059</v>
      </c>
      <c r="G1356" s="3" t="str">
        <f>HYPERLINK("http://funmeta.oebiotech.com/network/18059", "http://funmeta.oebiotech.com/network/18059")</f>
        <v>http://funmeta.oebiotech.com/network/18059</v>
      </c>
      <c r="H1356" s="2"/>
      <c r="I1356" s="2"/>
      <c r="J1356" s="2" t="s">
        <v>9187</v>
      </c>
      <c r="K1356" s="2"/>
      <c r="L1356" s="2"/>
      <c r="M1356" s="2"/>
      <c r="N1356" s="2"/>
      <c r="O1356" s="2">
        <v>52922105</v>
      </c>
      <c r="P1356" s="2"/>
      <c r="Q1356" s="2" t="s">
        <v>9188</v>
      </c>
      <c r="R1356" s="2" t="s">
        <v>9189</v>
      </c>
      <c r="S1356" s="2" t="s">
        <v>50</v>
      </c>
      <c r="T1356" s="2" t="s">
        <v>229</v>
      </c>
      <c r="U1356" s="2" t="s">
        <v>766</v>
      </c>
      <c r="V1356" s="2" t="s">
        <v>59</v>
      </c>
      <c r="W1356" s="2">
        <v>38.700000000000003</v>
      </c>
      <c r="X1356" s="2">
        <v>0</v>
      </c>
      <c r="Y1356" s="2" t="s">
        <v>43</v>
      </c>
      <c r="Z1356" s="2" t="s">
        <v>9190</v>
      </c>
      <c r="AA1356" s="2">
        <v>-1.230550062836</v>
      </c>
      <c r="AB1356" s="2">
        <v>0.57614087291611005</v>
      </c>
      <c r="AC1356" s="2">
        <v>36055.250497643501</v>
      </c>
      <c r="AD1356" s="2">
        <v>58564.713284609301</v>
      </c>
      <c r="AE1356" s="2">
        <v>35468.633901349698</v>
      </c>
      <c r="AF1356" s="2">
        <v>36974.185935607798</v>
      </c>
      <c r="AG1356" s="2">
        <v>36704.459358966298</v>
      </c>
      <c r="AH1356" s="2">
        <v>32460.099886327302</v>
      </c>
      <c r="AI1356" s="2">
        <v>36513.234782697298</v>
      </c>
      <c r="AJ1356" s="2">
        <v>38210.889120912398</v>
      </c>
      <c r="AK1356" s="2">
        <v>52261.198606596903</v>
      </c>
      <c r="AL1356" s="2">
        <v>57315.949818944202</v>
      </c>
      <c r="AM1356" s="2">
        <v>59192.561467135798</v>
      </c>
      <c r="AN1356" s="2">
        <v>58355.466873469399</v>
      </c>
      <c r="AO1356" s="2">
        <v>59102.597485919701</v>
      </c>
      <c r="AP1356" s="2">
        <v>65160.505455589802</v>
      </c>
    </row>
    <row r="1357" spans="1:42" ht="14.5" x14ac:dyDescent="0.35">
      <c r="A1357" s="2" t="s">
        <v>9191</v>
      </c>
      <c r="B1357" s="2">
        <v>417.22655391334001</v>
      </c>
      <c r="C1357" s="2">
        <v>9.6715166666666708</v>
      </c>
      <c r="D1357" s="2" t="s">
        <v>34</v>
      </c>
      <c r="E1357" s="2" t="s">
        <v>9192</v>
      </c>
      <c r="F1357" s="2">
        <v>208746</v>
      </c>
      <c r="G1357" s="3" t="str">
        <f>HYPERLINK("http://funmeta.oebiotech.com/network/208746", "http://funmeta.oebiotech.com/network/208746")</f>
        <v>http://funmeta.oebiotech.com/network/208746</v>
      </c>
      <c r="H1357" s="2" t="s">
        <v>9193</v>
      </c>
      <c r="I1357" s="2"/>
      <c r="J1357" s="2"/>
      <c r="K1357" s="2"/>
      <c r="L1357" s="2"/>
      <c r="M1357" s="2"/>
      <c r="N1357" s="2"/>
      <c r="O1357" s="2">
        <v>584547</v>
      </c>
      <c r="P1357" s="2"/>
      <c r="Q1357" s="2" t="s">
        <v>9194</v>
      </c>
      <c r="R1357" s="2" t="s">
        <v>9195</v>
      </c>
      <c r="S1357" s="2" t="s">
        <v>50</v>
      </c>
      <c r="T1357" s="2" t="s">
        <v>124</v>
      </c>
      <c r="U1357" s="2" t="s">
        <v>929</v>
      </c>
      <c r="V1357" s="2" t="s">
        <v>42</v>
      </c>
      <c r="W1357" s="2">
        <v>52.1</v>
      </c>
      <c r="X1357" s="2">
        <v>69.400000000000006</v>
      </c>
      <c r="Y1357" s="2" t="s">
        <v>266</v>
      </c>
      <c r="Z1357" s="2" t="s">
        <v>9196</v>
      </c>
      <c r="AA1357" s="2">
        <v>-1.46860416022935</v>
      </c>
      <c r="AB1357" s="2">
        <v>0.57518522661893601</v>
      </c>
      <c r="AC1357" s="2">
        <v>24985.3990210802</v>
      </c>
      <c r="AD1357" s="2">
        <v>49103.2363148519</v>
      </c>
      <c r="AE1357" s="2">
        <v>22324.9170081419</v>
      </c>
      <c r="AF1357" s="2">
        <v>23307.3733657304</v>
      </c>
      <c r="AG1357" s="2">
        <v>26037.779724990101</v>
      </c>
      <c r="AH1357" s="2">
        <v>25231.603857732</v>
      </c>
      <c r="AI1357" s="2">
        <v>25334.161448076</v>
      </c>
      <c r="AJ1357" s="2">
        <v>27676.558721810601</v>
      </c>
      <c r="AK1357" s="2">
        <v>51392.684270924299</v>
      </c>
      <c r="AL1357" s="2">
        <v>35329.235017603998</v>
      </c>
      <c r="AM1357" s="2">
        <v>54553.274311995097</v>
      </c>
      <c r="AN1357" s="2">
        <v>41633.421209603599</v>
      </c>
      <c r="AO1357" s="2">
        <v>59688.021282046298</v>
      </c>
      <c r="AP1357" s="2">
        <v>52022.781796938201</v>
      </c>
    </row>
    <row r="1358" spans="1:42" ht="14.5" x14ac:dyDescent="0.35">
      <c r="A1358" s="2" t="s">
        <v>9197</v>
      </c>
      <c r="B1358" s="2">
        <v>211.16916422039</v>
      </c>
      <c r="C1358" s="2">
        <v>4.3289999999999997</v>
      </c>
      <c r="D1358" s="2" t="s">
        <v>34</v>
      </c>
      <c r="E1358" s="2" t="s">
        <v>9198</v>
      </c>
      <c r="F1358" s="2">
        <v>1909</v>
      </c>
      <c r="G1358" s="3" t="str">
        <f>HYPERLINK("http://funmeta.oebiotech.com/network/1909", "http://funmeta.oebiotech.com/network/1909")</f>
        <v>http://funmeta.oebiotech.com/network/1909</v>
      </c>
      <c r="H1358" s="2" t="s">
        <v>9199</v>
      </c>
      <c r="I1358" s="2">
        <v>91087</v>
      </c>
      <c r="J1358" s="2" t="s">
        <v>9200</v>
      </c>
      <c r="K1358" s="2"/>
      <c r="L1358" s="2"/>
      <c r="M1358" s="2"/>
      <c r="N1358" s="2"/>
      <c r="O1358" s="2">
        <v>5318367</v>
      </c>
      <c r="P1358" s="2" t="s">
        <v>9201</v>
      </c>
      <c r="Q1358" s="2" t="s">
        <v>9202</v>
      </c>
      <c r="R1358" s="2" t="s">
        <v>9203</v>
      </c>
      <c r="S1358" s="2" t="s">
        <v>50</v>
      </c>
      <c r="T1358" s="2" t="s">
        <v>229</v>
      </c>
      <c r="U1358" s="2" t="s">
        <v>433</v>
      </c>
      <c r="V1358" s="2" t="s">
        <v>42</v>
      </c>
      <c r="W1358" s="2">
        <v>51.5</v>
      </c>
      <c r="X1358" s="2">
        <v>60.7</v>
      </c>
      <c r="Y1358" s="2" t="s">
        <v>266</v>
      </c>
      <c r="Z1358" s="2" t="s">
        <v>9204</v>
      </c>
      <c r="AA1358" s="2">
        <v>-0.403895965881789</v>
      </c>
      <c r="AB1358" s="2">
        <v>0.574899354308813</v>
      </c>
      <c r="AC1358" s="2">
        <v>193716.45588649699</v>
      </c>
      <c r="AD1358" s="2">
        <v>218992.830570046</v>
      </c>
      <c r="AE1358" s="2">
        <v>183456.72446397899</v>
      </c>
      <c r="AF1358" s="2">
        <v>192839.98886991499</v>
      </c>
      <c r="AG1358" s="2">
        <v>201949.853367167</v>
      </c>
      <c r="AH1358" s="2">
        <v>184602.48331089801</v>
      </c>
      <c r="AI1358" s="2">
        <v>200791.48807447799</v>
      </c>
      <c r="AJ1358" s="2">
        <v>198658.19723254599</v>
      </c>
      <c r="AK1358" s="2">
        <v>217983.09491106801</v>
      </c>
      <c r="AL1358" s="2">
        <v>206651.89297340799</v>
      </c>
      <c r="AM1358" s="2">
        <v>216874.78464217801</v>
      </c>
      <c r="AN1358" s="2">
        <v>216355.44921775599</v>
      </c>
      <c r="AO1358" s="2">
        <v>223085.49532412199</v>
      </c>
      <c r="AP1358" s="2">
        <v>233006.26635174599</v>
      </c>
    </row>
    <row r="1359" spans="1:42" ht="14.5" x14ac:dyDescent="0.35">
      <c r="A1359" s="2" t="s">
        <v>9205</v>
      </c>
      <c r="B1359" s="2">
        <v>558.30611382835696</v>
      </c>
      <c r="C1359" s="2">
        <v>4.3961833333333296</v>
      </c>
      <c r="D1359" s="2" t="s">
        <v>34</v>
      </c>
      <c r="E1359" s="2" t="s">
        <v>9206</v>
      </c>
      <c r="F1359" s="2">
        <v>203343</v>
      </c>
      <c r="G1359" s="3" t="str">
        <f>HYPERLINK("http://funmeta.oebiotech.com/network/203343", "http://funmeta.oebiotech.com/network/203343")</f>
        <v>http://funmeta.oebiotech.com/network/203343</v>
      </c>
      <c r="H1359" s="2" t="s">
        <v>9207</v>
      </c>
      <c r="I1359" s="2"/>
      <c r="J1359" s="2"/>
      <c r="K1359" s="2"/>
      <c r="L1359" s="2"/>
      <c r="M1359" s="2"/>
      <c r="N1359" s="2"/>
      <c r="O1359" s="2">
        <v>99049</v>
      </c>
      <c r="P1359" s="2"/>
      <c r="Q1359" s="2" t="s">
        <v>9208</v>
      </c>
      <c r="R1359" s="2" t="s">
        <v>9209</v>
      </c>
      <c r="S1359" s="2" t="s">
        <v>39</v>
      </c>
      <c r="T1359" s="2" t="s">
        <v>383</v>
      </c>
      <c r="U1359" s="2" t="s">
        <v>384</v>
      </c>
      <c r="V1359" s="2" t="s">
        <v>59</v>
      </c>
      <c r="W1359" s="2">
        <v>41.5</v>
      </c>
      <c r="X1359" s="2">
        <v>16.399999999999999</v>
      </c>
      <c r="Y1359" s="2" t="s">
        <v>141</v>
      </c>
      <c r="Z1359" s="2" t="s">
        <v>9210</v>
      </c>
      <c r="AA1359" s="2">
        <v>-2.37672990917586</v>
      </c>
      <c r="AB1359" s="2">
        <v>0.57414327303180301</v>
      </c>
      <c r="AC1359" s="2">
        <v>36745.957125274203</v>
      </c>
      <c r="AD1359" s="2">
        <v>59083.484341520001</v>
      </c>
      <c r="AE1359" s="2">
        <v>36296.774347472601</v>
      </c>
      <c r="AF1359" s="2">
        <v>39504.1511348157</v>
      </c>
      <c r="AG1359" s="2">
        <v>38300.151240588202</v>
      </c>
      <c r="AH1359" s="2">
        <v>30972.118830301999</v>
      </c>
      <c r="AI1359" s="2">
        <v>38155.562518544401</v>
      </c>
      <c r="AJ1359" s="2">
        <v>37246.984679922003</v>
      </c>
      <c r="AK1359" s="2">
        <v>56700.869843788198</v>
      </c>
      <c r="AL1359" s="2">
        <v>56709.931113471102</v>
      </c>
      <c r="AM1359" s="2">
        <v>61910.439450684098</v>
      </c>
      <c r="AN1359" s="2">
        <v>59004.124014239002</v>
      </c>
      <c r="AO1359" s="2">
        <v>55959.843210520703</v>
      </c>
      <c r="AP1359" s="2">
        <v>64215.698416416999</v>
      </c>
    </row>
    <row r="1360" spans="1:42" ht="14.5" x14ac:dyDescent="0.35">
      <c r="A1360" s="2" t="s">
        <v>9211</v>
      </c>
      <c r="B1360" s="2">
        <v>713.25849843919002</v>
      </c>
      <c r="C1360" s="2">
        <v>8.4184999999999999</v>
      </c>
      <c r="D1360" s="2" t="s">
        <v>70</v>
      </c>
      <c r="E1360" s="2" t="s">
        <v>9212</v>
      </c>
      <c r="F1360" s="2">
        <v>255060</v>
      </c>
      <c r="G1360" s="3" t="str">
        <f>HYPERLINK("http://funmeta.oebiotech.com/network/255060", "http://funmeta.oebiotech.com/network/255060")</f>
        <v>http://funmeta.oebiotech.com/network/255060</v>
      </c>
      <c r="H1360" s="2" t="s">
        <v>9213</v>
      </c>
      <c r="I1360" s="2"/>
      <c r="J1360" s="2"/>
      <c r="K1360" s="2"/>
      <c r="L1360" s="2"/>
      <c r="M1360" s="2"/>
      <c r="N1360" s="2"/>
      <c r="O1360" s="2">
        <v>73425459</v>
      </c>
      <c r="P1360" s="2"/>
      <c r="Q1360" s="2" t="s">
        <v>9214</v>
      </c>
      <c r="R1360" s="2" t="s">
        <v>9215</v>
      </c>
      <c r="S1360" s="2" t="s">
        <v>115</v>
      </c>
      <c r="T1360" s="2" t="s">
        <v>1095</v>
      </c>
      <c r="U1360" s="2" t="s">
        <v>41</v>
      </c>
      <c r="V1360" s="2" t="s">
        <v>59</v>
      </c>
      <c r="W1360" s="2">
        <v>38.9</v>
      </c>
      <c r="X1360" s="2">
        <v>6.1199999999999996E-3</v>
      </c>
      <c r="Y1360" s="2" t="s">
        <v>118</v>
      </c>
      <c r="Z1360" s="2" t="s">
        <v>9216</v>
      </c>
      <c r="AA1360" s="2">
        <v>-2.5927403125346999</v>
      </c>
      <c r="AB1360" s="2">
        <v>0.57368555766234397</v>
      </c>
      <c r="AC1360" s="2">
        <v>31190.5612294858</v>
      </c>
      <c r="AD1360" s="2">
        <v>6997.0486622192902</v>
      </c>
      <c r="AE1360" s="2">
        <v>39648.456722190203</v>
      </c>
      <c r="AF1360" s="2">
        <v>35099.821677951601</v>
      </c>
      <c r="AG1360" s="2">
        <v>29759.597345472801</v>
      </c>
      <c r="AH1360" s="2">
        <v>40706.127284751099</v>
      </c>
      <c r="AI1360" s="2">
        <v>20954.8448176454</v>
      </c>
      <c r="AJ1360" s="2">
        <v>20974.519528903598</v>
      </c>
      <c r="AK1360" s="2">
        <v>7013.6510234636498</v>
      </c>
      <c r="AL1360" s="2">
        <v>4100.6205714012203</v>
      </c>
      <c r="AM1360" s="2">
        <v>2941.2375642899801</v>
      </c>
      <c r="AN1360" s="2">
        <v>11269.355211399899</v>
      </c>
      <c r="AO1360" s="2">
        <v>12430.8486976041</v>
      </c>
      <c r="AP1360" s="2">
        <v>4226.5789051569</v>
      </c>
    </row>
    <row r="1361" spans="1:42" ht="14.5" x14ac:dyDescent="0.35">
      <c r="A1361" s="2" t="s">
        <v>9217</v>
      </c>
      <c r="B1361" s="2">
        <v>501.10199710679598</v>
      </c>
      <c r="C1361" s="2">
        <v>5.0231500000000002</v>
      </c>
      <c r="D1361" s="2" t="s">
        <v>70</v>
      </c>
      <c r="E1361" s="2" t="s">
        <v>9218</v>
      </c>
      <c r="F1361" s="2">
        <v>47629</v>
      </c>
      <c r="G1361" s="3" t="str">
        <f>HYPERLINK("http://funmeta.oebiotech.com/network/47629", "http://funmeta.oebiotech.com/network/47629")</f>
        <v>http://funmeta.oebiotech.com/network/47629</v>
      </c>
      <c r="H1361" s="2" t="s">
        <v>9219</v>
      </c>
      <c r="I1361" s="2">
        <v>6295</v>
      </c>
      <c r="J1361" s="2"/>
      <c r="K1361" s="2">
        <v>17621</v>
      </c>
      <c r="L1361" s="2" t="s">
        <v>9220</v>
      </c>
      <c r="M1361" s="2" t="s">
        <v>9221</v>
      </c>
      <c r="N1361" s="2" t="s">
        <v>9222</v>
      </c>
      <c r="O1361" s="2">
        <v>643976</v>
      </c>
      <c r="P1361" s="2" t="s">
        <v>9223</v>
      </c>
      <c r="Q1361" s="2" t="s">
        <v>9224</v>
      </c>
      <c r="R1361" s="2" t="s">
        <v>9225</v>
      </c>
      <c r="S1361" s="2" t="s">
        <v>1444</v>
      </c>
      <c r="T1361" s="2" t="s">
        <v>9226</v>
      </c>
      <c r="U1361" s="2" t="s">
        <v>41</v>
      </c>
      <c r="V1361" s="2" t="s">
        <v>59</v>
      </c>
      <c r="W1361" s="2">
        <v>38.9</v>
      </c>
      <c r="X1361" s="2">
        <v>0</v>
      </c>
      <c r="Y1361" s="2" t="s">
        <v>408</v>
      </c>
      <c r="Z1361" s="2" t="s">
        <v>9227</v>
      </c>
      <c r="AA1361" s="2">
        <v>-1.7992843917405299</v>
      </c>
      <c r="AB1361" s="2">
        <v>0.57319434142604997</v>
      </c>
      <c r="AC1361" s="2">
        <v>42555.085307858797</v>
      </c>
      <c r="AD1361" s="2">
        <v>64628.097920012297</v>
      </c>
      <c r="AE1361" s="2">
        <v>41098.885067231298</v>
      </c>
      <c r="AF1361" s="2">
        <v>44885.871300207902</v>
      </c>
      <c r="AG1361" s="2">
        <v>43021.684421393002</v>
      </c>
      <c r="AH1361" s="2">
        <v>39678.926576687998</v>
      </c>
      <c r="AI1361" s="2">
        <v>44283.853900460701</v>
      </c>
      <c r="AJ1361" s="2">
        <v>42361.290581171801</v>
      </c>
      <c r="AK1361" s="2">
        <v>69880.471159855297</v>
      </c>
      <c r="AL1361" s="2">
        <v>65989.977356301606</v>
      </c>
      <c r="AM1361" s="2">
        <v>65539.882568529705</v>
      </c>
      <c r="AN1361" s="2">
        <v>62334.518804394203</v>
      </c>
      <c r="AO1361" s="2">
        <v>61474.255537997</v>
      </c>
      <c r="AP1361" s="2">
        <v>62549.4820929958</v>
      </c>
    </row>
    <row r="1362" spans="1:42" ht="14.5" x14ac:dyDescent="0.35">
      <c r="A1362" s="2" t="s">
        <v>9228</v>
      </c>
      <c r="B1362" s="2">
        <v>423.02168405107199</v>
      </c>
      <c r="C1362" s="2">
        <v>1.27495</v>
      </c>
      <c r="D1362" s="2" t="s">
        <v>34</v>
      </c>
      <c r="E1362" s="2" t="s">
        <v>9229</v>
      </c>
      <c r="F1362" s="2">
        <v>257091</v>
      </c>
      <c r="G1362" s="3" t="str">
        <f>HYPERLINK("http://funmeta.oebiotech.com/network/257091", "http://funmeta.oebiotech.com/network/257091")</f>
        <v>http://funmeta.oebiotech.com/network/257091</v>
      </c>
      <c r="H1362" s="2" t="s">
        <v>9230</v>
      </c>
      <c r="I1362" s="2"/>
      <c r="J1362" s="2"/>
      <c r="K1362" s="2"/>
      <c r="L1362" s="2"/>
      <c r="M1362" s="2"/>
      <c r="N1362" s="2"/>
      <c r="O1362" s="2"/>
      <c r="P1362" s="2"/>
      <c r="Q1362" s="2" t="s">
        <v>9231</v>
      </c>
      <c r="R1362" s="2" t="s">
        <v>9232</v>
      </c>
      <c r="S1362" s="2" t="s">
        <v>39</v>
      </c>
      <c r="T1362" s="2" t="s">
        <v>3643</v>
      </c>
      <c r="U1362" s="2" t="s">
        <v>41</v>
      </c>
      <c r="V1362" s="2" t="s">
        <v>59</v>
      </c>
      <c r="W1362" s="2">
        <v>41.7</v>
      </c>
      <c r="X1362" s="2">
        <v>18</v>
      </c>
      <c r="Y1362" s="2" t="s">
        <v>340</v>
      </c>
      <c r="Z1362" s="2" t="s">
        <v>9233</v>
      </c>
      <c r="AA1362" s="2">
        <v>-2.1855471400395698</v>
      </c>
      <c r="AB1362" s="2">
        <v>0.57201341411243001</v>
      </c>
      <c r="AC1362" s="2">
        <v>124105.509845176</v>
      </c>
      <c r="AD1362" s="2">
        <v>150822.15305653299</v>
      </c>
      <c r="AE1362" s="2">
        <v>114574.364315036</v>
      </c>
      <c r="AF1362" s="2">
        <v>122803.10080857501</v>
      </c>
      <c r="AG1362" s="2">
        <v>123886.93403482701</v>
      </c>
      <c r="AH1362" s="2">
        <v>122477.42279996</v>
      </c>
      <c r="AI1362" s="2">
        <v>127536.256669814</v>
      </c>
      <c r="AJ1362" s="2">
        <v>133354.980442845</v>
      </c>
      <c r="AK1362" s="2">
        <v>129347.330000737</v>
      </c>
      <c r="AL1362" s="2">
        <v>172160.011681114</v>
      </c>
      <c r="AM1362" s="2">
        <v>156516.162023846</v>
      </c>
      <c r="AN1362" s="2">
        <v>152202.36127138801</v>
      </c>
      <c r="AO1362" s="2">
        <v>150173.983669156</v>
      </c>
      <c r="AP1362" s="2">
        <v>144533.069692958</v>
      </c>
    </row>
    <row r="1363" spans="1:42" ht="14.5" x14ac:dyDescent="0.35">
      <c r="A1363" s="2" t="s">
        <v>9234</v>
      </c>
      <c r="B1363" s="2">
        <v>669.22934954708296</v>
      </c>
      <c r="C1363" s="2">
        <v>7.79151666666667</v>
      </c>
      <c r="D1363" s="2" t="s">
        <v>34</v>
      </c>
      <c r="E1363" s="2" t="s">
        <v>9235</v>
      </c>
      <c r="F1363" s="2">
        <v>200107</v>
      </c>
      <c r="G1363" s="3" t="str">
        <f>HYPERLINK("http://funmeta.oebiotech.com/network/200107", "http://funmeta.oebiotech.com/network/200107")</f>
        <v>http://funmeta.oebiotech.com/network/200107</v>
      </c>
      <c r="H1363" s="2" t="s">
        <v>9236</v>
      </c>
      <c r="I1363" s="2"/>
      <c r="J1363" s="2"/>
      <c r="K1363" s="2"/>
      <c r="L1363" s="2"/>
      <c r="M1363" s="2"/>
      <c r="N1363" s="2"/>
      <c r="O1363" s="2">
        <v>71317605</v>
      </c>
      <c r="P1363" s="2"/>
      <c r="Q1363" s="2" t="s">
        <v>9237</v>
      </c>
      <c r="R1363" s="2" t="s">
        <v>9238</v>
      </c>
      <c r="S1363" s="2" t="s">
        <v>41</v>
      </c>
      <c r="T1363" s="2" t="s">
        <v>41</v>
      </c>
      <c r="U1363" s="2" t="s">
        <v>41</v>
      </c>
      <c r="V1363" s="2" t="s">
        <v>59</v>
      </c>
      <c r="W1363" s="2">
        <v>39.700000000000003</v>
      </c>
      <c r="X1363" s="2">
        <v>1.83</v>
      </c>
      <c r="Y1363" s="2" t="s">
        <v>394</v>
      </c>
      <c r="Z1363" s="2" t="s">
        <v>9239</v>
      </c>
      <c r="AA1363" s="2">
        <v>-0.52661057688135304</v>
      </c>
      <c r="AB1363" s="2">
        <v>0.57158360360381899</v>
      </c>
      <c r="AC1363" s="2">
        <v>149392.82663760101</v>
      </c>
      <c r="AD1363" s="2">
        <v>122465.789847833</v>
      </c>
      <c r="AE1363" s="2">
        <v>147160.636261721</v>
      </c>
      <c r="AF1363" s="2">
        <v>150806.61971796499</v>
      </c>
      <c r="AG1363" s="2">
        <v>149134.74615202099</v>
      </c>
      <c r="AH1363" s="2">
        <v>143144.413995273</v>
      </c>
      <c r="AI1363" s="2">
        <v>150337.794719336</v>
      </c>
      <c r="AJ1363" s="2">
        <v>155772.74897928999</v>
      </c>
      <c r="AK1363" s="2">
        <v>95607.328634612801</v>
      </c>
      <c r="AL1363" s="2">
        <v>121857.269886068</v>
      </c>
      <c r="AM1363" s="2">
        <v>117706.514459935</v>
      </c>
      <c r="AN1363" s="2">
        <v>137969.83579667099</v>
      </c>
      <c r="AO1363" s="2">
        <v>128029.62019273</v>
      </c>
      <c r="AP1363" s="2">
        <v>133624.17011698001</v>
      </c>
    </row>
    <row r="1364" spans="1:42" ht="14.5" x14ac:dyDescent="0.35">
      <c r="A1364" s="2" t="s">
        <v>9240</v>
      </c>
      <c r="B1364" s="2">
        <v>511.32710694060899</v>
      </c>
      <c r="C1364" s="2">
        <v>7.1594666666666704</v>
      </c>
      <c r="D1364" s="2" t="s">
        <v>70</v>
      </c>
      <c r="E1364" s="2" t="s">
        <v>9241</v>
      </c>
      <c r="F1364" s="2">
        <v>46371</v>
      </c>
      <c r="G1364" s="3" t="str">
        <f>HYPERLINK("http://funmeta.oebiotech.com/network/46371", "http://funmeta.oebiotech.com/network/46371")</f>
        <v>http://funmeta.oebiotech.com/network/46371</v>
      </c>
      <c r="H1364" s="2"/>
      <c r="I1364" s="2">
        <v>84793</v>
      </c>
      <c r="J1364" s="2" t="s">
        <v>9242</v>
      </c>
      <c r="K1364" s="2"/>
      <c r="L1364" s="2"/>
      <c r="M1364" s="2"/>
      <c r="N1364" s="2"/>
      <c r="O1364" s="2">
        <v>5284221</v>
      </c>
      <c r="P1364" s="2"/>
      <c r="Q1364" s="2" t="s">
        <v>9243</v>
      </c>
      <c r="R1364" s="2" t="s">
        <v>9244</v>
      </c>
      <c r="S1364" s="2" t="s">
        <v>50</v>
      </c>
      <c r="T1364" s="2" t="s">
        <v>124</v>
      </c>
      <c r="U1364" s="2" t="s">
        <v>125</v>
      </c>
      <c r="V1364" s="2" t="s">
        <v>59</v>
      </c>
      <c r="W1364" s="2">
        <v>41.8</v>
      </c>
      <c r="X1364" s="2">
        <v>12.2</v>
      </c>
      <c r="Y1364" s="2" t="s">
        <v>408</v>
      </c>
      <c r="Z1364" s="2" t="s">
        <v>2412</v>
      </c>
      <c r="AA1364" s="2">
        <v>-1.1475191706774901</v>
      </c>
      <c r="AB1364" s="2">
        <v>0.57134040127452901</v>
      </c>
      <c r="AC1364" s="2">
        <v>35661.698155777798</v>
      </c>
      <c r="AD1364" s="2">
        <v>57440.020293183203</v>
      </c>
      <c r="AE1364" s="2">
        <v>37965.360450779197</v>
      </c>
      <c r="AF1364" s="2">
        <v>34900.9716361014</v>
      </c>
      <c r="AG1364" s="2">
        <v>32995.751826860796</v>
      </c>
      <c r="AH1364" s="2">
        <v>32523.550265586699</v>
      </c>
      <c r="AI1364" s="2">
        <v>38504.282675504102</v>
      </c>
      <c r="AJ1364" s="2">
        <v>37080.272079834402</v>
      </c>
      <c r="AK1364" s="2">
        <v>54990.403060529898</v>
      </c>
      <c r="AL1364" s="2">
        <v>58836.576717862801</v>
      </c>
      <c r="AM1364" s="2">
        <v>60749.582442519997</v>
      </c>
      <c r="AN1364" s="2">
        <v>56747.428982347803</v>
      </c>
      <c r="AO1364" s="2">
        <v>56343.7647494989</v>
      </c>
      <c r="AP1364" s="2">
        <v>56972.365806339702</v>
      </c>
    </row>
    <row r="1365" spans="1:42" ht="14.5" x14ac:dyDescent="0.35">
      <c r="A1365" s="2" t="s">
        <v>9245</v>
      </c>
      <c r="B1365" s="2">
        <v>459.223372288924</v>
      </c>
      <c r="C1365" s="2">
        <v>6.5939500000000004</v>
      </c>
      <c r="D1365" s="2" t="s">
        <v>70</v>
      </c>
      <c r="E1365" s="2" t="s">
        <v>9246</v>
      </c>
      <c r="F1365" s="2">
        <v>55614</v>
      </c>
      <c r="G1365" s="3" t="str">
        <f>HYPERLINK("http://funmeta.oebiotech.com/network/55614", "http://funmeta.oebiotech.com/network/55614")</f>
        <v>http://funmeta.oebiotech.com/network/55614</v>
      </c>
      <c r="H1365" s="2" t="s">
        <v>9247</v>
      </c>
      <c r="I1365" s="2">
        <v>87263</v>
      </c>
      <c r="J1365" s="2"/>
      <c r="K1365" s="2">
        <v>168137</v>
      </c>
      <c r="L1365" s="2"/>
      <c r="M1365" s="2"/>
      <c r="N1365" s="2"/>
      <c r="O1365" s="2">
        <v>131751091</v>
      </c>
      <c r="P1365" s="2" t="s">
        <v>9248</v>
      </c>
      <c r="Q1365" s="2" t="s">
        <v>9249</v>
      </c>
      <c r="R1365" s="2" t="s">
        <v>9250</v>
      </c>
      <c r="S1365" s="2" t="s">
        <v>50</v>
      </c>
      <c r="T1365" s="2" t="s">
        <v>201</v>
      </c>
      <c r="U1365" s="2" t="s">
        <v>202</v>
      </c>
      <c r="V1365" s="2" t="s">
        <v>42</v>
      </c>
      <c r="W1365" s="2">
        <v>53</v>
      </c>
      <c r="X1365" s="2">
        <v>70.2</v>
      </c>
      <c r="Y1365" s="2" t="s">
        <v>408</v>
      </c>
      <c r="Z1365" s="2" t="s">
        <v>9251</v>
      </c>
      <c r="AA1365" s="2">
        <v>-0.47951659091511201</v>
      </c>
      <c r="AB1365" s="2">
        <v>0.57049153042817902</v>
      </c>
      <c r="AC1365" s="2">
        <v>70992.147045634905</v>
      </c>
      <c r="AD1365" s="2">
        <v>49347.295997148598</v>
      </c>
      <c r="AE1365" s="2">
        <v>71630.618922506706</v>
      </c>
      <c r="AF1365" s="2">
        <v>69746.635402264103</v>
      </c>
      <c r="AG1365" s="2">
        <v>72624.454365488506</v>
      </c>
      <c r="AH1365" s="2">
        <v>67748.201164419195</v>
      </c>
      <c r="AI1365" s="2">
        <v>71936.629564803196</v>
      </c>
      <c r="AJ1365" s="2">
        <v>72266.342854328002</v>
      </c>
      <c r="AK1365" s="2">
        <v>48254.183459621599</v>
      </c>
      <c r="AL1365" s="2">
        <v>48955.102201464302</v>
      </c>
      <c r="AM1365" s="2">
        <v>51118.487336483602</v>
      </c>
      <c r="AN1365" s="2">
        <v>51152.841997670599</v>
      </c>
      <c r="AO1365" s="2">
        <v>46255.932398409699</v>
      </c>
      <c r="AP1365" s="2">
        <v>50347.228589241902</v>
      </c>
    </row>
    <row r="1366" spans="1:42" ht="14.5" x14ac:dyDescent="0.35">
      <c r="A1366" s="2" t="s">
        <v>9252</v>
      </c>
      <c r="B1366" s="2">
        <v>547.02216132889203</v>
      </c>
      <c r="C1366" s="2">
        <v>9.1084833333333304</v>
      </c>
      <c r="D1366" s="2" t="s">
        <v>70</v>
      </c>
      <c r="E1366" s="2" t="s">
        <v>9253</v>
      </c>
      <c r="F1366" s="2">
        <v>54190</v>
      </c>
      <c r="G1366" s="3" t="str">
        <f>HYPERLINK("http://funmeta.oebiotech.com/network/54190", "http://funmeta.oebiotech.com/network/54190")</f>
        <v>http://funmeta.oebiotech.com/network/54190</v>
      </c>
      <c r="H1366" s="2" t="s">
        <v>9254</v>
      </c>
      <c r="I1366" s="2">
        <v>86083</v>
      </c>
      <c r="J1366" s="2"/>
      <c r="K1366" s="2">
        <v>133508</v>
      </c>
      <c r="L1366" s="2"/>
      <c r="M1366" s="2"/>
      <c r="N1366" s="2"/>
      <c r="O1366" s="2">
        <v>6305574</v>
      </c>
      <c r="P1366" s="2" t="s">
        <v>9255</v>
      </c>
      <c r="Q1366" s="2" t="s">
        <v>9256</v>
      </c>
      <c r="R1366" s="2" t="s">
        <v>9257</v>
      </c>
      <c r="S1366" s="2" t="s">
        <v>115</v>
      </c>
      <c r="T1366" s="2" t="s">
        <v>116</v>
      </c>
      <c r="U1366" s="2" t="s">
        <v>117</v>
      </c>
      <c r="V1366" s="2" t="s">
        <v>59</v>
      </c>
      <c r="W1366" s="2">
        <v>38</v>
      </c>
      <c r="X1366" s="2">
        <v>0</v>
      </c>
      <c r="Y1366" s="2" t="s">
        <v>560</v>
      </c>
      <c r="Z1366" s="2" t="s">
        <v>9258</v>
      </c>
      <c r="AA1366" s="2">
        <v>-1.7434004819334398E-2</v>
      </c>
      <c r="AB1366" s="2">
        <v>0.56894818874179498</v>
      </c>
      <c r="AC1366" s="2">
        <v>203294.337461288</v>
      </c>
      <c r="AD1366" s="2">
        <v>226696.384296226</v>
      </c>
      <c r="AE1366" s="2">
        <v>204753.43977388099</v>
      </c>
      <c r="AF1366" s="2">
        <v>209569.19776315999</v>
      </c>
      <c r="AG1366" s="2">
        <v>200415.92636699</v>
      </c>
      <c r="AH1366" s="2">
        <v>201581.884717234</v>
      </c>
      <c r="AI1366" s="2">
        <v>205005.889408124</v>
      </c>
      <c r="AJ1366" s="2">
        <v>198439.68673834001</v>
      </c>
      <c r="AK1366" s="2">
        <v>237144.031045279</v>
      </c>
      <c r="AL1366" s="2">
        <v>231582.30536798801</v>
      </c>
      <c r="AM1366" s="2">
        <v>227895.96942764401</v>
      </c>
      <c r="AN1366" s="2">
        <v>221116.670834661</v>
      </c>
      <c r="AO1366" s="2">
        <v>225599.58543016401</v>
      </c>
      <c r="AP1366" s="2">
        <v>216839.74367161901</v>
      </c>
    </row>
    <row r="1367" spans="1:42" ht="14.5" x14ac:dyDescent="0.35">
      <c r="A1367" s="2" t="s">
        <v>9259</v>
      </c>
      <c r="B1367" s="2">
        <v>346.06980177229002</v>
      </c>
      <c r="C1367" s="2">
        <v>3.6547999999999998</v>
      </c>
      <c r="D1367" s="2" t="s">
        <v>70</v>
      </c>
      <c r="E1367" s="2" t="s">
        <v>9260</v>
      </c>
      <c r="F1367" s="2">
        <v>256868</v>
      </c>
      <c r="G1367" s="3" t="str">
        <f>HYPERLINK("http://funmeta.oebiotech.com/network/256868", "http://funmeta.oebiotech.com/network/256868")</f>
        <v>http://funmeta.oebiotech.com/network/256868</v>
      </c>
      <c r="H1367" s="2" t="s">
        <v>9261</v>
      </c>
      <c r="I1367" s="2"/>
      <c r="J1367" s="2"/>
      <c r="K1367" s="2"/>
      <c r="L1367" s="2"/>
      <c r="M1367" s="2"/>
      <c r="N1367" s="2"/>
      <c r="O1367" s="2">
        <v>74428143</v>
      </c>
      <c r="P1367" s="2"/>
      <c r="Q1367" s="2" t="s">
        <v>9262</v>
      </c>
      <c r="R1367" s="2" t="s">
        <v>9263</v>
      </c>
      <c r="S1367" s="2" t="s">
        <v>115</v>
      </c>
      <c r="T1367" s="2" t="s">
        <v>1371</v>
      </c>
      <c r="U1367" s="2" t="s">
        <v>6597</v>
      </c>
      <c r="V1367" s="2" t="s">
        <v>59</v>
      </c>
      <c r="W1367" s="2">
        <v>39.700000000000003</v>
      </c>
      <c r="X1367" s="2">
        <v>4.84</v>
      </c>
      <c r="Y1367" s="2" t="s">
        <v>408</v>
      </c>
      <c r="Z1367" s="2" t="s">
        <v>9264</v>
      </c>
      <c r="AA1367" s="2">
        <v>1.28131818494022</v>
      </c>
      <c r="AB1367" s="2">
        <v>0.568902328955598</v>
      </c>
      <c r="AC1367" s="2">
        <v>23290.9634670042</v>
      </c>
      <c r="AD1367" s="2">
        <v>1503.15300031733</v>
      </c>
      <c r="AE1367" s="2">
        <v>19073.929976283602</v>
      </c>
      <c r="AF1367" s="2">
        <v>26768.729572127198</v>
      </c>
      <c r="AG1367" s="2">
        <v>22169.095423337101</v>
      </c>
      <c r="AH1367" s="2">
        <v>22045.3607180541</v>
      </c>
      <c r="AI1367" s="2">
        <v>28544.816863727399</v>
      </c>
      <c r="AJ1367" s="2">
        <v>21143.848248495899</v>
      </c>
      <c r="AK1367" s="2">
        <v>2314.2035982217299</v>
      </c>
      <c r="AL1367" s="2">
        <v>978.11098346158997</v>
      </c>
      <c r="AM1367" s="2">
        <v>1374.91110818075</v>
      </c>
      <c r="AN1367" s="2">
        <v>1434.07044454989</v>
      </c>
      <c r="AO1367" s="2">
        <v>1409.1715233094701</v>
      </c>
      <c r="AP1367" s="2">
        <v>1508.45034418058</v>
      </c>
    </row>
    <row r="1368" spans="1:42" ht="14.5" x14ac:dyDescent="0.35">
      <c r="A1368" s="2" t="s">
        <v>9265</v>
      </c>
      <c r="B1368" s="2">
        <v>263.12753206705202</v>
      </c>
      <c r="C1368" s="2">
        <v>4.8327999999999998</v>
      </c>
      <c r="D1368" s="2" t="s">
        <v>34</v>
      </c>
      <c r="E1368" s="2" t="s">
        <v>9266</v>
      </c>
      <c r="F1368" s="2">
        <v>35663</v>
      </c>
      <c r="G1368" s="3" t="str">
        <f>HYPERLINK("http://funmeta.oebiotech.com/network/35663", "http://funmeta.oebiotech.com/network/35663")</f>
        <v>http://funmeta.oebiotech.com/network/35663</v>
      </c>
      <c r="H1368" s="2"/>
      <c r="I1368" s="2">
        <v>41194</v>
      </c>
      <c r="J1368" s="2" t="s">
        <v>9267</v>
      </c>
      <c r="K1368" s="2">
        <v>7938</v>
      </c>
      <c r="L1368" s="2" t="s">
        <v>9268</v>
      </c>
      <c r="M1368" s="2"/>
      <c r="N1368" s="2"/>
      <c r="O1368" s="2">
        <v>442288</v>
      </c>
      <c r="P1368" s="2" t="s">
        <v>9269</v>
      </c>
      <c r="Q1368" s="2" t="s">
        <v>9270</v>
      </c>
      <c r="R1368" s="2" t="s">
        <v>9271</v>
      </c>
      <c r="S1368" s="2" t="s">
        <v>50</v>
      </c>
      <c r="T1368" s="2" t="s">
        <v>201</v>
      </c>
      <c r="U1368" s="2" t="s">
        <v>1217</v>
      </c>
      <c r="V1368" s="2" t="s">
        <v>42</v>
      </c>
      <c r="W1368" s="2">
        <v>52.3</v>
      </c>
      <c r="X1368" s="2">
        <v>65.7</v>
      </c>
      <c r="Y1368" s="2" t="s">
        <v>266</v>
      </c>
      <c r="Z1368" s="2" t="s">
        <v>5975</v>
      </c>
      <c r="AA1368" s="2">
        <v>-0.966808925586913</v>
      </c>
      <c r="AB1368" s="2">
        <v>0.56877395958436605</v>
      </c>
      <c r="AC1368" s="2">
        <v>54755.681201667103</v>
      </c>
      <c r="AD1368" s="2">
        <v>76458.239121904</v>
      </c>
      <c r="AE1368" s="2">
        <v>55802.6864519554</v>
      </c>
      <c r="AF1368" s="2">
        <v>57492.656506150597</v>
      </c>
      <c r="AG1368" s="2">
        <v>53840.530822844703</v>
      </c>
      <c r="AH1368" s="2">
        <v>54533.894094738098</v>
      </c>
      <c r="AI1368" s="2">
        <v>51009.993409432303</v>
      </c>
      <c r="AJ1368" s="2">
        <v>55854.325924881698</v>
      </c>
      <c r="AK1368" s="2">
        <v>78727.578420904494</v>
      </c>
      <c r="AL1368" s="2">
        <v>71962.283521007004</v>
      </c>
      <c r="AM1368" s="2">
        <v>77725.449311057193</v>
      </c>
      <c r="AN1368" s="2">
        <v>77708.434948773996</v>
      </c>
      <c r="AO1368" s="2">
        <v>74558.302426554394</v>
      </c>
      <c r="AP1368" s="2">
        <v>78067.386103126802</v>
      </c>
    </row>
    <row r="1369" spans="1:42" ht="14.5" x14ac:dyDescent="0.35">
      <c r="A1369" s="2" t="s">
        <v>9272</v>
      </c>
      <c r="B1369" s="2">
        <v>572.35752300017396</v>
      </c>
      <c r="C1369" s="2">
        <v>5.8104500000000003</v>
      </c>
      <c r="D1369" s="2" t="s">
        <v>34</v>
      </c>
      <c r="E1369" s="2" t="s">
        <v>9273</v>
      </c>
      <c r="F1369" s="2">
        <v>198830</v>
      </c>
      <c r="G1369" s="3" t="str">
        <f>HYPERLINK("http://funmeta.oebiotech.com/network/198830", "http://funmeta.oebiotech.com/network/198830")</f>
        <v>http://funmeta.oebiotech.com/network/198830</v>
      </c>
      <c r="H1369" s="2" t="s">
        <v>9274</v>
      </c>
      <c r="I1369" s="2"/>
      <c r="J1369" s="2"/>
      <c r="K1369" s="2"/>
      <c r="L1369" s="2"/>
      <c r="M1369" s="2"/>
      <c r="N1369" s="2"/>
      <c r="O1369" s="2">
        <v>85705844</v>
      </c>
      <c r="P1369" s="2"/>
      <c r="Q1369" s="2" t="s">
        <v>9275</v>
      </c>
      <c r="R1369" s="2" t="s">
        <v>9276</v>
      </c>
      <c r="S1369" s="2" t="s">
        <v>50</v>
      </c>
      <c r="T1369" s="2" t="s">
        <v>124</v>
      </c>
      <c r="U1369" s="2" t="s">
        <v>125</v>
      </c>
      <c r="V1369" s="2" t="s">
        <v>59</v>
      </c>
      <c r="W1369" s="2">
        <v>40.200000000000003</v>
      </c>
      <c r="X1369" s="2">
        <v>5.0199999999999996</v>
      </c>
      <c r="Y1369" s="2" t="s">
        <v>266</v>
      </c>
      <c r="Z1369" s="2" t="s">
        <v>2348</v>
      </c>
      <c r="AA1369" s="2">
        <v>-1.1487598478123799</v>
      </c>
      <c r="AB1369" s="2">
        <v>0.56867466751707096</v>
      </c>
      <c r="AC1369" s="2">
        <v>125624.625088731</v>
      </c>
      <c r="AD1369" s="2">
        <v>148166.84704600301</v>
      </c>
      <c r="AE1369" s="2">
        <v>126138.754679982</v>
      </c>
      <c r="AF1369" s="2">
        <v>125814.622732709</v>
      </c>
      <c r="AG1369" s="2">
        <v>126332.22752746999</v>
      </c>
      <c r="AH1369" s="2">
        <v>126018.54360521201</v>
      </c>
      <c r="AI1369" s="2">
        <v>120723.794601592</v>
      </c>
      <c r="AJ1369" s="2">
        <v>128719.80738542401</v>
      </c>
      <c r="AK1369" s="2">
        <v>146496.40073936101</v>
      </c>
      <c r="AL1369" s="2">
        <v>154912.09267043899</v>
      </c>
      <c r="AM1369" s="2">
        <v>154008.46071739099</v>
      </c>
      <c r="AN1369" s="2">
        <v>147141.39700520399</v>
      </c>
      <c r="AO1369" s="2">
        <v>140443.50263354499</v>
      </c>
      <c r="AP1369" s="2">
        <v>145999.228510079</v>
      </c>
    </row>
    <row r="1370" spans="1:42" ht="14.5" x14ac:dyDescent="0.35">
      <c r="A1370" s="2" t="s">
        <v>9277</v>
      </c>
      <c r="B1370" s="2">
        <v>479.08263221093699</v>
      </c>
      <c r="C1370" s="2">
        <v>4.4886999999999997</v>
      </c>
      <c r="D1370" s="2" t="s">
        <v>70</v>
      </c>
      <c r="E1370" s="2" t="s">
        <v>9278</v>
      </c>
      <c r="F1370" s="2">
        <v>32497</v>
      </c>
      <c r="G1370" s="3" t="str">
        <f>HYPERLINK("http://funmeta.oebiotech.com/network/32497", "http://funmeta.oebiotech.com/network/32497")</f>
        <v>http://funmeta.oebiotech.com/network/32497</v>
      </c>
      <c r="H1370" s="2" t="s">
        <v>9279</v>
      </c>
      <c r="I1370" s="2">
        <v>50828</v>
      </c>
      <c r="J1370" s="2" t="s">
        <v>9280</v>
      </c>
      <c r="K1370" s="2">
        <v>75815</v>
      </c>
      <c r="L1370" s="2"/>
      <c r="M1370" s="2"/>
      <c r="N1370" s="2"/>
      <c r="O1370" s="2">
        <v>5491408</v>
      </c>
      <c r="P1370" s="2" t="s">
        <v>9281</v>
      </c>
      <c r="Q1370" s="2" t="s">
        <v>9282</v>
      </c>
      <c r="R1370" s="2" t="s">
        <v>9283</v>
      </c>
      <c r="S1370" s="2" t="s">
        <v>115</v>
      </c>
      <c r="T1370" s="2" t="s">
        <v>139</v>
      </c>
      <c r="U1370" s="2" t="s">
        <v>140</v>
      </c>
      <c r="V1370" s="2" t="s">
        <v>59</v>
      </c>
      <c r="W1370" s="2">
        <v>42.2</v>
      </c>
      <c r="X1370" s="2">
        <v>17.8</v>
      </c>
      <c r="Y1370" s="2" t="s">
        <v>118</v>
      </c>
      <c r="Z1370" s="2" t="s">
        <v>9284</v>
      </c>
      <c r="AA1370" s="2">
        <v>-1.0040874642316799</v>
      </c>
      <c r="AB1370" s="2">
        <v>0.56844196556855098</v>
      </c>
      <c r="AC1370" s="2">
        <v>50142.438268031299</v>
      </c>
      <c r="AD1370" s="2">
        <v>28005.227793439899</v>
      </c>
      <c r="AE1370" s="2">
        <v>50511.245989414703</v>
      </c>
      <c r="AF1370" s="2">
        <v>47365.282687852203</v>
      </c>
      <c r="AG1370" s="2">
        <v>51584.483403700397</v>
      </c>
      <c r="AH1370" s="2">
        <v>45109.993536123897</v>
      </c>
      <c r="AI1370" s="2">
        <v>47619.473782264002</v>
      </c>
      <c r="AJ1370" s="2">
        <v>58664.1502088325</v>
      </c>
      <c r="AK1370" s="2">
        <v>29819.084124782501</v>
      </c>
      <c r="AL1370" s="2">
        <v>30394.9834461469</v>
      </c>
      <c r="AM1370" s="2">
        <v>25162.469559351</v>
      </c>
      <c r="AN1370" s="2">
        <v>29379.400145855601</v>
      </c>
      <c r="AO1370" s="2">
        <v>25533.754294013099</v>
      </c>
      <c r="AP1370" s="2">
        <v>27741.675190490401</v>
      </c>
    </row>
    <row r="1371" spans="1:42" ht="14.5" x14ac:dyDescent="0.35">
      <c r="A1371" s="2" t="s">
        <v>9285</v>
      </c>
      <c r="B1371" s="2">
        <v>575.11936663876202</v>
      </c>
      <c r="C1371" s="2">
        <v>3.6928666666666699</v>
      </c>
      <c r="D1371" s="2" t="s">
        <v>70</v>
      </c>
      <c r="E1371" s="2" t="s">
        <v>9286</v>
      </c>
      <c r="F1371" s="2">
        <v>256897</v>
      </c>
      <c r="G1371" s="3" t="str">
        <f>HYPERLINK("http://funmeta.oebiotech.com/network/256897", "http://funmeta.oebiotech.com/network/256897")</f>
        <v>http://funmeta.oebiotech.com/network/256897</v>
      </c>
      <c r="H1371" s="2" t="s">
        <v>9287</v>
      </c>
      <c r="I1371" s="2">
        <v>64299</v>
      </c>
      <c r="J1371" s="2"/>
      <c r="K1371" s="2">
        <v>31080</v>
      </c>
      <c r="L1371" s="2" t="s">
        <v>9288</v>
      </c>
      <c r="M1371" s="2" t="s">
        <v>1366</v>
      </c>
      <c r="N1371" s="2" t="s">
        <v>1367</v>
      </c>
      <c r="O1371" s="2">
        <v>443902</v>
      </c>
      <c r="P1371" s="2"/>
      <c r="Q1371" s="2" t="s">
        <v>9289</v>
      </c>
      <c r="R1371" s="2" t="s">
        <v>9290</v>
      </c>
      <c r="S1371" s="2" t="s">
        <v>115</v>
      </c>
      <c r="T1371" s="2" t="s">
        <v>1371</v>
      </c>
      <c r="U1371" s="2" t="s">
        <v>3261</v>
      </c>
      <c r="V1371" s="2" t="s">
        <v>42</v>
      </c>
      <c r="W1371" s="2">
        <v>49.1</v>
      </c>
      <c r="X1371" s="2">
        <v>58.6</v>
      </c>
      <c r="Y1371" s="2" t="s">
        <v>560</v>
      </c>
      <c r="Z1371" s="2" t="s">
        <v>1438</v>
      </c>
      <c r="AA1371" s="2">
        <v>-0.23108392674133901</v>
      </c>
      <c r="AB1371" s="2">
        <v>0.56810397684174896</v>
      </c>
      <c r="AC1371" s="2">
        <v>50699.3754412657</v>
      </c>
      <c r="AD1371" s="2">
        <v>28643.1261326938</v>
      </c>
      <c r="AE1371" s="2">
        <v>54945.085153678498</v>
      </c>
      <c r="AF1371" s="2">
        <v>55204.010345671901</v>
      </c>
      <c r="AG1371" s="2">
        <v>44341.049719658797</v>
      </c>
      <c r="AH1371" s="2">
        <v>54964.884415047803</v>
      </c>
      <c r="AI1371" s="2">
        <v>48475.217170162403</v>
      </c>
      <c r="AJ1371" s="2">
        <v>46266.005843374704</v>
      </c>
      <c r="AK1371" s="2">
        <v>30161.7397186116</v>
      </c>
      <c r="AL1371" s="2">
        <v>27372.1081056041</v>
      </c>
      <c r="AM1371" s="2">
        <v>28454.4374362657</v>
      </c>
      <c r="AN1371" s="2">
        <v>29231.274841706901</v>
      </c>
      <c r="AO1371" s="2">
        <v>27681.725167991401</v>
      </c>
      <c r="AP1371" s="2">
        <v>28957.471525982899</v>
      </c>
    </row>
    <row r="1372" spans="1:42" ht="14.5" x14ac:dyDescent="0.35">
      <c r="A1372" s="2" t="s">
        <v>9291</v>
      </c>
      <c r="B1372" s="2">
        <v>565.20329874503</v>
      </c>
      <c r="C1372" s="2">
        <v>6.484</v>
      </c>
      <c r="D1372" s="2" t="s">
        <v>34</v>
      </c>
      <c r="E1372" s="2" t="s">
        <v>9292</v>
      </c>
      <c r="F1372" s="2">
        <v>211118</v>
      </c>
      <c r="G1372" s="3" t="str">
        <f>HYPERLINK("http://funmeta.oebiotech.com/network/211118", "http://funmeta.oebiotech.com/network/211118")</f>
        <v>http://funmeta.oebiotech.com/network/211118</v>
      </c>
      <c r="H1372" s="2" t="s">
        <v>9293</v>
      </c>
      <c r="I1372" s="2"/>
      <c r="J1372" s="2"/>
      <c r="K1372" s="2"/>
      <c r="L1372" s="2"/>
      <c r="M1372" s="2"/>
      <c r="N1372" s="2"/>
      <c r="O1372" s="2"/>
      <c r="P1372" s="2"/>
      <c r="Q1372" s="2" t="s">
        <v>9294</v>
      </c>
      <c r="R1372" s="2" t="s">
        <v>9295</v>
      </c>
      <c r="S1372" s="2" t="s">
        <v>79</v>
      </c>
      <c r="T1372" s="2" t="s">
        <v>80</v>
      </c>
      <c r="U1372" s="2" t="s">
        <v>81</v>
      </c>
      <c r="V1372" s="2" t="s">
        <v>59</v>
      </c>
      <c r="W1372" s="2">
        <v>37</v>
      </c>
      <c r="X1372" s="2">
        <v>0</v>
      </c>
      <c r="Y1372" s="2" t="s">
        <v>394</v>
      </c>
      <c r="Z1372" s="2" t="s">
        <v>9296</v>
      </c>
      <c r="AA1372" s="2">
        <v>0.88239351177904501</v>
      </c>
      <c r="AB1372" s="2">
        <v>0.56778477898131496</v>
      </c>
      <c r="AC1372" s="2">
        <v>30461.544150762998</v>
      </c>
      <c r="AD1372" s="2">
        <v>8002.2837291940496</v>
      </c>
      <c r="AE1372" s="2">
        <v>25616.835489396301</v>
      </c>
      <c r="AF1372" s="2">
        <v>28104.7616644062</v>
      </c>
      <c r="AG1372" s="2">
        <v>33493.345378695602</v>
      </c>
      <c r="AH1372" s="2">
        <v>32475.7494609729</v>
      </c>
      <c r="AI1372" s="2">
        <v>28270.824829708901</v>
      </c>
      <c r="AJ1372" s="2">
        <v>34807.748081398298</v>
      </c>
      <c r="AK1372" s="2">
        <v>4694.0234690670004</v>
      </c>
      <c r="AL1372" s="2">
        <v>15620.5595634448</v>
      </c>
      <c r="AM1372" s="2">
        <v>7245.0061340387301</v>
      </c>
      <c r="AN1372" s="2">
        <v>3651.1033258151501</v>
      </c>
      <c r="AO1372" s="2">
        <v>13215.609298629701</v>
      </c>
      <c r="AP1372" s="2">
        <v>3587.4005841689</v>
      </c>
    </row>
    <row r="1373" spans="1:42" ht="14.5" x14ac:dyDescent="0.35">
      <c r="A1373" s="2" t="s">
        <v>9297</v>
      </c>
      <c r="B1373" s="2">
        <v>461.28928351505601</v>
      </c>
      <c r="C1373" s="2">
        <v>5.2179000000000002</v>
      </c>
      <c r="D1373" s="2" t="s">
        <v>34</v>
      </c>
      <c r="E1373" s="2" t="s">
        <v>9298</v>
      </c>
      <c r="F1373" s="2">
        <v>61750</v>
      </c>
      <c r="G1373" s="3" t="str">
        <f>HYPERLINK("http://funmeta.oebiotech.com/network/61750", "http://funmeta.oebiotech.com/network/61750")</f>
        <v>http://funmeta.oebiotech.com/network/61750</v>
      </c>
      <c r="H1373" s="2" t="s">
        <v>9299</v>
      </c>
      <c r="I1373" s="2">
        <v>93072</v>
      </c>
      <c r="J1373" s="2"/>
      <c r="K1373" s="2"/>
      <c r="L1373" s="2"/>
      <c r="M1373" s="2"/>
      <c r="N1373" s="2"/>
      <c r="O1373" s="2">
        <v>155493</v>
      </c>
      <c r="P1373" s="2" t="s">
        <v>9300</v>
      </c>
      <c r="Q1373" s="2" t="s">
        <v>9301</v>
      </c>
      <c r="R1373" s="2" t="s">
        <v>9302</v>
      </c>
      <c r="S1373" s="2" t="s">
        <v>50</v>
      </c>
      <c r="T1373" s="2" t="s">
        <v>201</v>
      </c>
      <c r="U1373" s="2" t="s">
        <v>210</v>
      </c>
      <c r="V1373" s="2" t="s">
        <v>59</v>
      </c>
      <c r="W1373" s="2">
        <v>47</v>
      </c>
      <c r="X1373" s="2">
        <v>42</v>
      </c>
      <c r="Y1373" s="2" t="s">
        <v>266</v>
      </c>
      <c r="Z1373" s="2" t="s">
        <v>3507</v>
      </c>
      <c r="AA1373" s="2">
        <v>-1.0470029062611499</v>
      </c>
      <c r="AB1373" s="2">
        <v>0.56721223819822897</v>
      </c>
      <c r="AC1373" s="2">
        <v>43434.156687251001</v>
      </c>
      <c r="AD1373" s="2">
        <v>65238.045558251601</v>
      </c>
      <c r="AE1373" s="2">
        <v>38266.466063001899</v>
      </c>
      <c r="AF1373" s="2">
        <v>43538.264110101903</v>
      </c>
      <c r="AG1373" s="2">
        <v>44444.322127359803</v>
      </c>
      <c r="AH1373" s="2">
        <v>44999.885202584999</v>
      </c>
      <c r="AI1373" s="2">
        <v>43455.650437017401</v>
      </c>
      <c r="AJ1373" s="2">
        <v>45900.352183439703</v>
      </c>
      <c r="AK1373" s="2">
        <v>65295.724438869198</v>
      </c>
      <c r="AL1373" s="2">
        <v>67410.015769465404</v>
      </c>
      <c r="AM1373" s="2">
        <v>68735.156157417499</v>
      </c>
      <c r="AN1373" s="2">
        <v>65121.344337389703</v>
      </c>
      <c r="AO1373" s="2">
        <v>58828.430416078998</v>
      </c>
      <c r="AP1373" s="2">
        <v>66037.6022302887</v>
      </c>
    </row>
    <row r="1374" spans="1:42" ht="14.5" x14ac:dyDescent="0.35">
      <c r="A1374" s="2" t="s">
        <v>9303</v>
      </c>
      <c r="B1374" s="2">
        <v>335.13104732976899</v>
      </c>
      <c r="C1374" s="2">
        <v>1.11073333333333</v>
      </c>
      <c r="D1374" s="2" t="s">
        <v>34</v>
      </c>
      <c r="E1374" s="2" t="s">
        <v>9304</v>
      </c>
      <c r="F1374" s="2">
        <v>46672</v>
      </c>
      <c r="G1374" s="3" t="str">
        <f>HYPERLINK("http://funmeta.oebiotech.com/network/46672", "http://funmeta.oebiotech.com/network/46672")</f>
        <v>http://funmeta.oebiotech.com/network/46672</v>
      </c>
      <c r="H1374" s="2" t="s">
        <v>9305</v>
      </c>
      <c r="I1374" s="2"/>
      <c r="J1374" s="2" t="s">
        <v>9306</v>
      </c>
      <c r="K1374" s="2">
        <v>4866</v>
      </c>
      <c r="L1374" s="2" t="s">
        <v>9307</v>
      </c>
      <c r="M1374" s="2" t="s">
        <v>9308</v>
      </c>
      <c r="N1374" s="2" t="s">
        <v>9309</v>
      </c>
      <c r="O1374" s="2">
        <v>66416</v>
      </c>
      <c r="P1374" s="2" t="s">
        <v>9310</v>
      </c>
      <c r="Q1374" s="2" t="s">
        <v>9311</v>
      </c>
      <c r="R1374" s="2" t="s">
        <v>9312</v>
      </c>
      <c r="S1374" s="2" t="s">
        <v>50</v>
      </c>
      <c r="T1374" s="2" t="s">
        <v>124</v>
      </c>
      <c r="U1374" s="2" t="s">
        <v>9313</v>
      </c>
      <c r="V1374" s="2" t="s">
        <v>59</v>
      </c>
      <c r="W1374" s="2">
        <v>43.3</v>
      </c>
      <c r="X1374" s="2">
        <v>31.3</v>
      </c>
      <c r="Y1374" s="2" t="s">
        <v>141</v>
      </c>
      <c r="Z1374" s="2" t="s">
        <v>9314</v>
      </c>
      <c r="AA1374" s="2">
        <v>-0.31035791196750101</v>
      </c>
      <c r="AB1374" s="2">
        <v>0.56688609612780605</v>
      </c>
      <c r="AC1374" s="2">
        <v>62610.369777748798</v>
      </c>
      <c r="AD1374" s="2">
        <v>86142.028474471706</v>
      </c>
      <c r="AE1374" s="2">
        <v>64896.808563341699</v>
      </c>
      <c r="AF1374" s="2">
        <v>58678.8870981773</v>
      </c>
      <c r="AG1374" s="2">
        <v>57517.480084714698</v>
      </c>
      <c r="AH1374" s="2">
        <v>58416.626327314203</v>
      </c>
      <c r="AI1374" s="2">
        <v>69289.230629126803</v>
      </c>
      <c r="AJ1374" s="2">
        <v>66863.185963818105</v>
      </c>
      <c r="AK1374" s="2">
        <v>88597.3310333423</v>
      </c>
      <c r="AL1374" s="2">
        <v>93018.838572595603</v>
      </c>
      <c r="AM1374" s="2">
        <v>78572.315480489604</v>
      </c>
      <c r="AN1374" s="2">
        <v>79760.176152669301</v>
      </c>
      <c r="AO1374" s="2">
        <v>80708.930074016302</v>
      </c>
      <c r="AP1374" s="2">
        <v>96194.5795337171</v>
      </c>
    </row>
    <row r="1375" spans="1:42" ht="14.5" x14ac:dyDescent="0.35">
      <c r="A1375" s="2" t="s">
        <v>9315</v>
      </c>
      <c r="B1375" s="2">
        <v>745.27060335473902</v>
      </c>
      <c r="C1375" s="2">
        <v>5.4683000000000002</v>
      </c>
      <c r="D1375" s="2" t="s">
        <v>70</v>
      </c>
      <c r="E1375" s="2" t="s">
        <v>9316</v>
      </c>
      <c r="F1375" s="2">
        <v>47737</v>
      </c>
      <c r="G1375" s="3" t="str">
        <f>HYPERLINK("http://funmeta.oebiotech.com/network/47737", "http://funmeta.oebiotech.com/network/47737")</f>
        <v>http://funmeta.oebiotech.com/network/47737</v>
      </c>
      <c r="H1375" s="2" t="s">
        <v>9317</v>
      </c>
      <c r="I1375" s="2">
        <v>6401</v>
      </c>
      <c r="J1375" s="2"/>
      <c r="K1375" s="2"/>
      <c r="L1375" s="2"/>
      <c r="M1375" s="2"/>
      <c r="N1375" s="2"/>
      <c r="O1375" s="2">
        <v>21252264</v>
      </c>
      <c r="P1375" s="2"/>
      <c r="Q1375" s="2" t="s">
        <v>9318</v>
      </c>
      <c r="R1375" s="2" t="s">
        <v>9319</v>
      </c>
      <c r="S1375" s="2" t="s">
        <v>491</v>
      </c>
      <c r="T1375" s="2" t="s">
        <v>492</v>
      </c>
      <c r="U1375" s="2" t="s">
        <v>6398</v>
      </c>
      <c r="V1375" s="2" t="s">
        <v>59</v>
      </c>
      <c r="W1375" s="2">
        <v>37.1</v>
      </c>
      <c r="X1375" s="2">
        <v>0</v>
      </c>
      <c r="Y1375" s="2" t="s">
        <v>408</v>
      </c>
      <c r="Z1375" s="2" t="s">
        <v>9320</v>
      </c>
      <c r="AA1375" s="2">
        <v>-2.91744598067854</v>
      </c>
      <c r="AB1375" s="2">
        <v>0.56640311195301196</v>
      </c>
      <c r="AC1375" s="2">
        <v>64556.115067301602</v>
      </c>
      <c r="AD1375" s="2">
        <v>87193.561676128505</v>
      </c>
      <c r="AE1375" s="2">
        <v>68888.061425294902</v>
      </c>
      <c r="AF1375" s="2">
        <v>67649.880985868498</v>
      </c>
      <c r="AG1375" s="2">
        <v>57306.114655240301</v>
      </c>
      <c r="AH1375" s="2">
        <v>57644.943585932</v>
      </c>
      <c r="AI1375" s="2">
        <v>66664.180052514406</v>
      </c>
      <c r="AJ1375" s="2">
        <v>69183.509698959693</v>
      </c>
      <c r="AK1375" s="2">
        <v>89945.003246973996</v>
      </c>
      <c r="AL1375" s="2">
        <v>84329.986359630202</v>
      </c>
      <c r="AM1375" s="2">
        <v>89071.002155648705</v>
      </c>
      <c r="AN1375" s="2">
        <v>88007.543308441396</v>
      </c>
      <c r="AO1375" s="2">
        <v>80095.350761041002</v>
      </c>
      <c r="AP1375" s="2">
        <v>91712.484225035601</v>
      </c>
    </row>
    <row r="1376" spans="1:42" ht="14.5" x14ac:dyDescent="0.35">
      <c r="A1376" s="2" t="s">
        <v>9321</v>
      </c>
      <c r="B1376" s="2">
        <v>409.150189382946</v>
      </c>
      <c r="C1376" s="2">
        <v>5.3391000000000002</v>
      </c>
      <c r="D1376" s="2" t="s">
        <v>70</v>
      </c>
      <c r="E1376" s="2" t="s">
        <v>9322</v>
      </c>
      <c r="F1376" s="2">
        <v>58583</v>
      </c>
      <c r="G1376" s="3" t="str">
        <f>HYPERLINK("http://funmeta.oebiotech.com/network/58583", "http://funmeta.oebiotech.com/network/58583")</f>
        <v>http://funmeta.oebiotech.com/network/58583</v>
      </c>
      <c r="H1376" s="2" t="s">
        <v>9323</v>
      </c>
      <c r="I1376" s="2">
        <v>90051</v>
      </c>
      <c r="J1376" s="2"/>
      <c r="K1376" s="2">
        <v>168635</v>
      </c>
      <c r="L1376" s="2"/>
      <c r="M1376" s="2"/>
      <c r="N1376" s="2"/>
      <c r="O1376" s="2">
        <v>131751587</v>
      </c>
      <c r="P1376" s="2" t="s">
        <v>9324</v>
      </c>
      <c r="Q1376" s="2" t="s">
        <v>9325</v>
      </c>
      <c r="R1376" s="2" t="s">
        <v>9326</v>
      </c>
      <c r="S1376" s="2" t="s">
        <v>79</v>
      </c>
      <c r="T1376" s="2" t="s">
        <v>80</v>
      </c>
      <c r="U1376" s="2" t="s">
        <v>2021</v>
      </c>
      <c r="V1376" s="2" t="s">
        <v>59</v>
      </c>
      <c r="W1376" s="2">
        <v>45.1</v>
      </c>
      <c r="X1376" s="2">
        <v>34.799999999999997</v>
      </c>
      <c r="Y1376" s="2" t="s">
        <v>286</v>
      </c>
      <c r="Z1376" s="2" t="s">
        <v>9327</v>
      </c>
      <c r="AA1376" s="2">
        <v>-0.52807718427619799</v>
      </c>
      <c r="AB1376" s="2">
        <v>0.56609624252033797</v>
      </c>
      <c r="AC1376" s="2">
        <v>19759.182097052599</v>
      </c>
      <c r="AD1376" s="2">
        <v>41202.771618851002</v>
      </c>
      <c r="AE1376" s="2">
        <v>19651.483301569599</v>
      </c>
      <c r="AF1376" s="2">
        <v>21109.6960251081</v>
      </c>
      <c r="AG1376" s="2">
        <v>22255.727421551401</v>
      </c>
      <c r="AH1376" s="2">
        <v>17469.661610054201</v>
      </c>
      <c r="AI1376" s="2">
        <v>17880.1237716744</v>
      </c>
      <c r="AJ1376" s="2">
        <v>20188.400452358001</v>
      </c>
      <c r="AK1376" s="2">
        <v>36753.772300110199</v>
      </c>
      <c r="AL1376" s="2">
        <v>40213.820266830102</v>
      </c>
      <c r="AM1376" s="2">
        <v>44198.371923225699</v>
      </c>
      <c r="AN1376" s="2">
        <v>42800.899786656002</v>
      </c>
      <c r="AO1376" s="2">
        <v>40301.597854014297</v>
      </c>
      <c r="AP1376" s="2">
        <v>42948.167582269802</v>
      </c>
    </row>
    <row r="1377" spans="1:42" ht="14.5" x14ac:dyDescent="0.35">
      <c r="A1377" s="2" t="s">
        <v>9328</v>
      </c>
      <c r="B1377" s="2">
        <v>961.40643684242696</v>
      </c>
      <c r="C1377" s="2">
        <v>6.1981666666666699</v>
      </c>
      <c r="D1377" s="2" t="s">
        <v>70</v>
      </c>
      <c r="E1377" s="2" t="s">
        <v>9329</v>
      </c>
      <c r="F1377" s="2">
        <v>207074</v>
      </c>
      <c r="G1377" s="3" t="str">
        <f>HYPERLINK("http://funmeta.oebiotech.com/network/207074", "http://funmeta.oebiotech.com/network/207074")</f>
        <v>http://funmeta.oebiotech.com/network/207074</v>
      </c>
      <c r="H1377" s="2" t="s">
        <v>9330</v>
      </c>
      <c r="I1377" s="2"/>
      <c r="J1377" s="2"/>
      <c r="K1377" s="2"/>
      <c r="L1377" s="2"/>
      <c r="M1377" s="2"/>
      <c r="N1377" s="2"/>
      <c r="O1377" s="2">
        <v>129856331</v>
      </c>
      <c r="P1377" s="2"/>
      <c r="Q1377" s="2" t="s">
        <v>9331</v>
      </c>
      <c r="R1377" s="2" t="s">
        <v>9332</v>
      </c>
      <c r="S1377" s="2" t="s">
        <v>79</v>
      </c>
      <c r="T1377" s="2" t="s">
        <v>80</v>
      </c>
      <c r="U1377" s="2" t="s">
        <v>2820</v>
      </c>
      <c r="V1377" s="2" t="s">
        <v>59</v>
      </c>
      <c r="W1377" s="2">
        <v>36</v>
      </c>
      <c r="X1377" s="2">
        <v>0</v>
      </c>
      <c r="Y1377" s="2" t="s">
        <v>560</v>
      </c>
      <c r="Z1377" s="2" t="s">
        <v>9333</v>
      </c>
      <c r="AA1377" s="2">
        <v>-1.0605824255355001</v>
      </c>
      <c r="AB1377" s="2">
        <v>0.566021035891632</v>
      </c>
      <c r="AC1377" s="2">
        <v>112995.809948718</v>
      </c>
      <c r="AD1377" s="2">
        <v>137972.89687593101</v>
      </c>
      <c r="AE1377" s="2">
        <v>116018.487290622</v>
      </c>
      <c r="AF1377" s="2">
        <v>112944.413263997</v>
      </c>
      <c r="AG1377" s="2">
        <v>105680.519491192</v>
      </c>
      <c r="AH1377" s="2">
        <v>106522.437395823</v>
      </c>
      <c r="AI1377" s="2">
        <v>107389.452535365</v>
      </c>
      <c r="AJ1377" s="2">
        <v>129419.549715306</v>
      </c>
      <c r="AK1377" s="2">
        <v>132997.39138539601</v>
      </c>
      <c r="AL1377" s="2">
        <v>137928.273967321</v>
      </c>
      <c r="AM1377" s="2">
        <v>154443.248124873</v>
      </c>
      <c r="AN1377" s="2">
        <v>133110.13219907699</v>
      </c>
      <c r="AO1377" s="2">
        <v>131814.30730061099</v>
      </c>
      <c r="AP1377" s="2">
        <v>137544.02827831</v>
      </c>
    </row>
    <row r="1378" spans="1:42" ht="14.5" x14ac:dyDescent="0.35">
      <c r="A1378" s="2" t="s">
        <v>9334</v>
      </c>
      <c r="B1378" s="2">
        <v>391.24518266756797</v>
      </c>
      <c r="C1378" s="2">
        <v>10.226800000000001</v>
      </c>
      <c r="D1378" s="2" t="s">
        <v>34</v>
      </c>
      <c r="E1378" s="2" t="s">
        <v>9335</v>
      </c>
      <c r="F1378" s="2">
        <v>210235</v>
      </c>
      <c r="G1378" s="3" t="str">
        <f>HYPERLINK("http://funmeta.oebiotech.com/network/210235", "http://funmeta.oebiotech.com/network/210235")</f>
        <v>http://funmeta.oebiotech.com/network/210235</v>
      </c>
      <c r="H1378" s="2" t="s">
        <v>9336</v>
      </c>
      <c r="I1378" s="2"/>
      <c r="J1378" s="2"/>
      <c r="K1378" s="2"/>
      <c r="L1378" s="2"/>
      <c r="M1378" s="2"/>
      <c r="N1378" s="2"/>
      <c r="O1378" s="2">
        <v>2724458</v>
      </c>
      <c r="P1378" s="2"/>
      <c r="Q1378" s="2" t="s">
        <v>9337</v>
      </c>
      <c r="R1378" s="2" t="s">
        <v>9338</v>
      </c>
      <c r="S1378" s="2" t="s">
        <v>50</v>
      </c>
      <c r="T1378" s="2" t="s">
        <v>229</v>
      </c>
      <c r="U1378" s="2" t="s">
        <v>766</v>
      </c>
      <c r="V1378" s="2" t="s">
        <v>59</v>
      </c>
      <c r="W1378" s="2">
        <v>42.6</v>
      </c>
      <c r="X1378" s="2">
        <v>19.100000000000001</v>
      </c>
      <c r="Y1378" s="2" t="s">
        <v>1115</v>
      </c>
      <c r="Z1378" s="2" t="s">
        <v>9339</v>
      </c>
      <c r="AA1378" s="2">
        <v>-0.84795500893542897</v>
      </c>
      <c r="AB1378" s="2">
        <v>0.565582733907107</v>
      </c>
      <c r="AC1378" s="2">
        <v>27601.816069748598</v>
      </c>
      <c r="AD1378" s="2">
        <v>6529.82897069094</v>
      </c>
      <c r="AE1378" s="2">
        <v>29502.053828977401</v>
      </c>
      <c r="AF1378" s="2">
        <v>27490.336850915799</v>
      </c>
      <c r="AG1378" s="2">
        <v>25725.13099306</v>
      </c>
      <c r="AH1378" s="2">
        <v>28401.687995358301</v>
      </c>
      <c r="AI1378" s="2">
        <v>25734.143340604001</v>
      </c>
      <c r="AJ1378" s="2">
        <v>28757.543409576399</v>
      </c>
      <c r="AK1378" s="2">
        <v>7049.6066234947903</v>
      </c>
      <c r="AL1378" s="2">
        <v>6457.6432930778301</v>
      </c>
      <c r="AM1378" s="2">
        <v>6653.4024426460601</v>
      </c>
      <c r="AN1378" s="2">
        <v>6411.0457795908296</v>
      </c>
      <c r="AO1378" s="2">
        <v>6158.9634807652801</v>
      </c>
      <c r="AP1378" s="2">
        <v>6448.3122045708596</v>
      </c>
    </row>
    <row r="1379" spans="1:42" ht="14.5" x14ac:dyDescent="0.35">
      <c r="A1379" s="2" t="s">
        <v>9340</v>
      </c>
      <c r="B1379" s="2">
        <v>832.38913024870999</v>
      </c>
      <c r="C1379" s="2">
        <v>11.2503166666667</v>
      </c>
      <c r="D1379" s="2" t="s">
        <v>34</v>
      </c>
      <c r="E1379" s="2" t="s">
        <v>9341</v>
      </c>
      <c r="F1379" s="2">
        <v>266758</v>
      </c>
      <c r="G1379" s="3" t="str">
        <f>HYPERLINK("http://funmeta.oebiotech.com/network/266758", "http://funmeta.oebiotech.com/network/266758")</f>
        <v>http://funmeta.oebiotech.com/network/266758</v>
      </c>
      <c r="H1379" s="2"/>
      <c r="I1379" s="2">
        <v>43918</v>
      </c>
      <c r="J1379" s="2"/>
      <c r="K1379" s="2"/>
      <c r="L1379" s="2" t="s">
        <v>9342</v>
      </c>
      <c r="M1379" s="2"/>
      <c r="N1379" s="2"/>
      <c r="O1379" s="2">
        <v>8931</v>
      </c>
      <c r="P1379" s="2" t="s">
        <v>9343</v>
      </c>
      <c r="Q1379" s="2" t="s">
        <v>9344</v>
      </c>
      <c r="R1379" s="2" t="s">
        <v>9345</v>
      </c>
      <c r="S1379" s="2" t="s">
        <v>50</v>
      </c>
      <c r="T1379" s="2" t="s">
        <v>124</v>
      </c>
      <c r="U1379" s="2" t="s">
        <v>9346</v>
      </c>
      <c r="V1379" s="2" t="s">
        <v>59</v>
      </c>
      <c r="W1379" s="2">
        <v>39</v>
      </c>
      <c r="X1379" s="2">
        <v>0</v>
      </c>
      <c r="Y1379" s="2" t="s">
        <v>340</v>
      </c>
      <c r="Z1379" s="2" t="s">
        <v>9347</v>
      </c>
      <c r="AA1379" s="2">
        <v>1.40715236303475</v>
      </c>
      <c r="AB1379" s="2">
        <v>0.56557322887724104</v>
      </c>
      <c r="AC1379" s="2">
        <v>101894.58110042301</v>
      </c>
      <c r="AD1379" s="2">
        <v>76277.284804402705</v>
      </c>
      <c r="AE1379" s="2">
        <v>98273.175377110194</v>
      </c>
      <c r="AF1379" s="2">
        <v>95007.886436832705</v>
      </c>
      <c r="AG1379" s="2">
        <v>108283.710617159</v>
      </c>
      <c r="AH1379" s="2">
        <v>102924.053421948</v>
      </c>
      <c r="AI1379" s="2">
        <v>97404.6177065886</v>
      </c>
      <c r="AJ1379" s="2">
        <v>109474.043042898</v>
      </c>
      <c r="AK1379" s="2">
        <v>93972.146415330993</v>
      </c>
      <c r="AL1379" s="2">
        <v>89969.168399580303</v>
      </c>
      <c r="AM1379" s="2">
        <v>67407.053549356395</v>
      </c>
      <c r="AN1379" s="2">
        <v>75630.888589963695</v>
      </c>
      <c r="AO1379" s="2">
        <v>63989.602420335701</v>
      </c>
      <c r="AP1379" s="2">
        <v>66694.849451849193</v>
      </c>
    </row>
    <row r="1380" spans="1:42" ht="14.5" x14ac:dyDescent="0.35">
      <c r="A1380" s="2" t="s">
        <v>9348</v>
      </c>
      <c r="B1380" s="2">
        <v>527.22725912725798</v>
      </c>
      <c r="C1380" s="2">
        <v>9.7086333333333297</v>
      </c>
      <c r="D1380" s="2" t="s">
        <v>34</v>
      </c>
      <c r="E1380" s="2" t="s">
        <v>9349</v>
      </c>
      <c r="F1380" s="2">
        <v>211181</v>
      </c>
      <c r="G1380" s="3" t="str">
        <f>HYPERLINK("http://funmeta.oebiotech.com/network/211181", "http://funmeta.oebiotech.com/network/211181")</f>
        <v>http://funmeta.oebiotech.com/network/211181</v>
      </c>
      <c r="H1380" s="2" t="s">
        <v>9350</v>
      </c>
      <c r="I1380" s="2"/>
      <c r="J1380" s="2"/>
      <c r="K1380" s="2"/>
      <c r="L1380" s="2"/>
      <c r="M1380" s="2"/>
      <c r="N1380" s="2"/>
      <c r="O1380" s="2"/>
      <c r="P1380" s="2"/>
      <c r="Q1380" s="2" t="s">
        <v>9351</v>
      </c>
      <c r="R1380" s="2" t="s">
        <v>9352</v>
      </c>
      <c r="S1380" s="2" t="s">
        <v>50</v>
      </c>
      <c r="T1380" s="2" t="s">
        <v>201</v>
      </c>
      <c r="U1380" s="2" t="s">
        <v>636</v>
      </c>
      <c r="V1380" s="2" t="s">
        <v>42</v>
      </c>
      <c r="W1380" s="2">
        <v>50.5</v>
      </c>
      <c r="X1380" s="2">
        <v>55.8</v>
      </c>
      <c r="Y1380" s="2" t="s">
        <v>141</v>
      </c>
      <c r="Z1380" s="2" t="s">
        <v>243</v>
      </c>
      <c r="AA1380" s="2">
        <v>-0.55118680485298999</v>
      </c>
      <c r="AB1380" s="2">
        <v>0.56495762578205799</v>
      </c>
      <c r="AC1380" s="2">
        <v>206024.50831318201</v>
      </c>
      <c r="AD1380" s="2">
        <v>231294.72393275399</v>
      </c>
      <c r="AE1380" s="2">
        <v>205959.10563339901</v>
      </c>
      <c r="AF1380" s="2">
        <v>198772.78171377801</v>
      </c>
      <c r="AG1380" s="2">
        <v>202460.173940123</v>
      </c>
      <c r="AH1380" s="2">
        <v>205706.34749493399</v>
      </c>
      <c r="AI1380" s="2">
        <v>206651.895693887</v>
      </c>
      <c r="AJ1380" s="2">
        <v>216596.745402973</v>
      </c>
      <c r="AK1380" s="2">
        <v>215302.521052497</v>
      </c>
      <c r="AL1380" s="2">
        <v>227214.97453857999</v>
      </c>
      <c r="AM1380" s="2">
        <v>231484.47414151</v>
      </c>
      <c r="AN1380" s="2">
        <v>223686.194644287</v>
      </c>
      <c r="AO1380" s="2">
        <v>244399.374173374</v>
      </c>
      <c r="AP1380" s="2">
        <v>245680.805046277</v>
      </c>
    </row>
    <row r="1381" spans="1:42" ht="14.5" x14ac:dyDescent="0.35">
      <c r="A1381" s="2" t="s">
        <v>9353</v>
      </c>
      <c r="B1381" s="2">
        <v>495.15078334408901</v>
      </c>
      <c r="C1381" s="2">
        <v>4.5065833333333298</v>
      </c>
      <c r="D1381" s="2" t="s">
        <v>70</v>
      </c>
      <c r="E1381" s="2" t="s">
        <v>9354</v>
      </c>
      <c r="F1381" s="2">
        <v>34032</v>
      </c>
      <c r="G1381" s="3" t="str">
        <f>HYPERLINK("http://funmeta.oebiotech.com/network/34032", "http://funmeta.oebiotech.com/network/34032")</f>
        <v>http://funmeta.oebiotech.com/network/34032</v>
      </c>
      <c r="H1381" s="2"/>
      <c r="I1381" s="2"/>
      <c r="J1381" s="2" t="s">
        <v>9355</v>
      </c>
      <c r="K1381" s="2"/>
      <c r="L1381" s="2"/>
      <c r="M1381" s="2"/>
      <c r="N1381" s="2"/>
      <c r="O1381" s="2">
        <v>12308643</v>
      </c>
      <c r="P1381" s="2"/>
      <c r="Q1381" s="2" t="s">
        <v>9356</v>
      </c>
      <c r="R1381" s="2" t="s">
        <v>9357</v>
      </c>
      <c r="S1381" s="2" t="s">
        <v>115</v>
      </c>
      <c r="T1381" s="2" t="s">
        <v>139</v>
      </c>
      <c r="U1381" s="2" t="s">
        <v>140</v>
      </c>
      <c r="V1381" s="2" t="s">
        <v>42</v>
      </c>
      <c r="W1381" s="2">
        <v>55.5</v>
      </c>
      <c r="X1381" s="2">
        <v>83.1</v>
      </c>
      <c r="Y1381" s="2" t="s">
        <v>408</v>
      </c>
      <c r="Z1381" s="2" t="s">
        <v>8836</v>
      </c>
      <c r="AA1381" s="2">
        <v>-3.6777154158827298E-2</v>
      </c>
      <c r="AB1381" s="2">
        <v>0.56445450778509398</v>
      </c>
      <c r="AC1381" s="2">
        <v>154114.235255465</v>
      </c>
      <c r="AD1381" s="2">
        <v>181323.546884721</v>
      </c>
      <c r="AE1381" s="2">
        <v>160552.73405681801</v>
      </c>
      <c r="AF1381" s="2">
        <v>164495.77739648701</v>
      </c>
      <c r="AG1381" s="2">
        <v>142100.21782258601</v>
      </c>
      <c r="AH1381" s="2">
        <v>141712.730064615</v>
      </c>
      <c r="AI1381" s="2">
        <v>159737.09547937501</v>
      </c>
      <c r="AJ1381" s="2">
        <v>156086.85671291201</v>
      </c>
      <c r="AK1381" s="2">
        <v>186402.50645768901</v>
      </c>
      <c r="AL1381" s="2">
        <v>186471.30919589399</v>
      </c>
      <c r="AM1381" s="2">
        <v>170164.17175088401</v>
      </c>
      <c r="AN1381" s="2">
        <v>200704.613993876</v>
      </c>
      <c r="AO1381" s="2">
        <v>158871.33240920899</v>
      </c>
      <c r="AP1381" s="2">
        <v>185327.347500776</v>
      </c>
    </row>
    <row r="1382" spans="1:42" ht="14.5" x14ac:dyDescent="0.35">
      <c r="A1382" s="2" t="s">
        <v>9358</v>
      </c>
      <c r="B1382" s="2">
        <v>703.29654308966497</v>
      </c>
      <c r="C1382" s="2">
        <v>7.8364166666666701</v>
      </c>
      <c r="D1382" s="2" t="s">
        <v>70</v>
      </c>
      <c r="E1382" s="2" t="s">
        <v>9359</v>
      </c>
      <c r="F1382" s="2">
        <v>62951</v>
      </c>
      <c r="G1382" s="3" t="str">
        <f>HYPERLINK("http://funmeta.oebiotech.com/network/62951", "http://funmeta.oebiotech.com/network/62951")</f>
        <v>http://funmeta.oebiotech.com/network/62951</v>
      </c>
      <c r="H1382" s="2" t="s">
        <v>9360</v>
      </c>
      <c r="I1382" s="2">
        <v>94249</v>
      </c>
      <c r="J1382" s="2"/>
      <c r="K1382" s="2"/>
      <c r="L1382" s="2"/>
      <c r="M1382" s="2"/>
      <c r="N1382" s="2"/>
      <c r="O1382" s="2">
        <v>131752708</v>
      </c>
      <c r="P1382" s="2" t="s">
        <v>9361</v>
      </c>
      <c r="Q1382" s="2" t="s">
        <v>9362</v>
      </c>
      <c r="R1382" s="2" t="s">
        <v>9363</v>
      </c>
      <c r="S1382" s="2" t="s">
        <v>50</v>
      </c>
      <c r="T1382" s="2" t="s">
        <v>124</v>
      </c>
      <c r="U1382" s="2" t="s">
        <v>567</v>
      </c>
      <c r="V1382" s="2" t="s">
        <v>59</v>
      </c>
      <c r="W1382" s="2">
        <v>47.6</v>
      </c>
      <c r="X1382" s="2">
        <v>41.8</v>
      </c>
      <c r="Y1382" s="2" t="s">
        <v>751</v>
      </c>
      <c r="Z1382" s="2" t="s">
        <v>9364</v>
      </c>
      <c r="AA1382" s="2">
        <v>-0.81223186339874398</v>
      </c>
      <c r="AB1382" s="2">
        <v>0.56419418065565696</v>
      </c>
      <c r="AC1382" s="2">
        <v>228319.81650319201</v>
      </c>
      <c r="AD1382" s="2">
        <v>199808.44171605801</v>
      </c>
      <c r="AE1382" s="2">
        <v>231703.40772413599</v>
      </c>
      <c r="AF1382" s="2">
        <v>207575.85752011501</v>
      </c>
      <c r="AG1382" s="2">
        <v>227486.73443370601</v>
      </c>
      <c r="AH1382" s="2">
        <v>233275.266325303</v>
      </c>
      <c r="AI1382" s="2">
        <v>224064.55068268001</v>
      </c>
      <c r="AJ1382" s="2">
        <v>245813.08233321301</v>
      </c>
      <c r="AK1382" s="2">
        <v>186367.62259331599</v>
      </c>
      <c r="AL1382" s="2">
        <v>213580.38877361</v>
      </c>
      <c r="AM1382" s="2">
        <v>205514.41315464</v>
      </c>
      <c r="AN1382" s="2">
        <v>212887.35729365199</v>
      </c>
      <c r="AO1382" s="2">
        <v>206533.926413707</v>
      </c>
      <c r="AP1382" s="2">
        <v>173966.94206742101</v>
      </c>
    </row>
    <row r="1383" spans="1:42" ht="14.5" x14ac:dyDescent="0.35">
      <c r="A1383" s="2" t="s">
        <v>9365</v>
      </c>
      <c r="B1383" s="2">
        <v>371.16236309764901</v>
      </c>
      <c r="C1383" s="2">
        <v>11.935600000000001</v>
      </c>
      <c r="D1383" s="2" t="s">
        <v>34</v>
      </c>
      <c r="E1383" s="2" t="s">
        <v>9366</v>
      </c>
      <c r="F1383" s="2">
        <v>47919</v>
      </c>
      <c r="G1383" s="3" t="str">
        <f>HYPERLINK("http://funmeta.oebiotech.com/network/47919", "http://funmeta.oebiotech.com/network/47919")</f>
        <v>http://funmeta.oebiotech.com/network/47919</v>
      </c>
      <c r="H1383" s="2" t="s">
        <v>9367</v>
      </c>
      <c r="I1383" s="2"/>
      <c r="J1383" s="2"/>
      <c r="K1383" s="2"/>
      <c r="L1383" s="2"/>
      <c r="M1383" s="2"/>
      <c r="N1383" s="2"/>
      <c r="O1383" s="2">
        <v>455260</v>
      </c>
      <c r="P1383" s="2" t="s">
        <v>9368</v>
      </c>
      <c r="Q1383" s="2" t="s">
        <v>9369</v>
      </c>
      <c r="R1383" s="2" t="s">
        <v>9370</v>
      </c>
      <c r="S1383" s="2" t="s">
        <v>50</v>
      </c>
      <c r="T1383" s="2" t="s">
        <v>201</v>
      </c>
      <c r="U1383" s="2" t="s">
        <v>241</v>
      </c>
      <c r="V1383" s="2" t="s">
        <v>59</v>
      </c>
      <c r="W1383" s="2">
        <v>40.299999999999997</v>
      </c>
      <c r="X1383" s="2">
        <v>7.14</v>
      </c>
      <c r="Y1383" s="2" t="s">
        <v>340</v>
      </c>
      <c r="Z1383" s="2" t="s">
        <v>4980</v>
      </c>
      <c r="AA1383" s="2">
        <v>1.3414904074257099</v>
      </c>
      <c r="AB1383" s="2">
        <v>0.563551625867594</v>
      </c>
      <c r="AC1383" s="2">
        <v>44054.836567494996</v>
      </c>
      <c r="AD1383" s="2">
        <v>10909.907162694901</v>
      </c>
      <c r="AE1383" s="2">
        <v>23848.022806450899</v>
      </c>
      <c r="AF1383" s="2">
        <v>34474.882556177101</v>
      </c>
      <c r="AG1383" s="2">
        <v>31989.3986291605</v>
      </c>
      <c r="AH1383" s="2">
        <v>107795.422598002</v>
      </c>
      <c r="AI1383" s="2">
        <v>33938.940783980201</v>
      </c>
      <c r="AJ1383" s="2">
        <v>32282.352031199502</v>
      </c>
      <c r="AK1383" s="2">
        <v>4457.0116261705898</v>
      </c>
      <c r="AL1383" s="2">
        <v>10028.4265082405</v>
      </c>
      <c r="AM1383" s="2">
        <v>11439.224943802299</v>
      </c>
      <c r="AN1383" s="2">
        <v>13147.7104507273</v>
      </c>
      <c r="AO1383" s="2">
        <v>12762.036927740901</v>
      </c>
      <c r="AP1383" s="2">
        <v>13625.032519487801</v>
      </c>
    </row>
    <row r="1384" spans="1:42" ht="14.5" x14ac:dyDescent="0.35">
      <c r="A1384" s="2" t="s">
        <v>9371</v>
      </c>
      <c r="B1384" s="2">
        <v>186.14880759881501</v>
      </c>
      <c r="C1384" s="2">
        <v>4.0195333333333298</v>
      </c>
      <c r="D1384" s="2" t="s">
        <v>34</v>
      </c>
      <c r="E1384" s="2" t="s">
        <v>9372</v>
      </c>
      <c r="F1384" s="2">
        <v>199477</v>
      </c>
      <c r="G1384" s="3" t="str">
        <f>HYPERLINK("http://funmeta.oebiotech.com/network/199477", "http://funmeta.oebiotech.com/network/199477")</f>
        <v>http://funmeta.oebiotech.com/network/199477</v>
      </c>
      <c r="H1384" s="2" t="s">
        <v>9373</v>
      </c>
      <c r="I1384" s="2"/>
      <c r="J1384" s="2"/>
      <c r="K1384" s="2"/>
      <c r="L1384" s="2"/>
      <c r="M1384" s="2"/>
      <c r="N1384" s="2"/>
      <c r="O1384" s="2">
        <v>9815447</v>
      </c>
      <c r="P1384" s="2"/>
      <c r="Q1384" s="2" t="s">
        <v>9374</v>
      </c>
      <c r="R1384" s="2" t="s">
        <v>9375</v>
      </c>
      <c r="S1384" s="2" t="s">
        <v>41</v>
      </c>
      <c r="T1384" s="2" t="s">
        <v>41</v>
      </c>
      <c r="U1384" s="2" t="s">
        <v>41</v>
      </c>
      <c r="V1384" s="2" t="s">
        <v>59</v>
      </c>
      <c r="W1384" s="2">
        <v>41.8</v>
      </c>
      <c r="X1384" s="2">
        <v>11.3</v>
      </c>
      <c r="Y1384" s="2" t="s">
        <v>266</v>
      </c>
      <c r="Z1384" s="2" t="s">
        <v>9376</v>
      </c>
      <c r="AA1384" s="2">
        <v>-0.25756739876464102</v>
      </c>
      <c r="AB1384" s="2">
        <v>0.56328391620937601</v>
      </c>
      <c r="AC1384" s="2">
        <v>317798.71136843401</v>
      </c>
      <c r="AD1384" s="2">
        <v>341488.85194603802</v>
      </c>
      <c r="AE1384" s="2">
        <v>311098.67842430802</v>
      </c>
      <c r="AF1384" s="2">
        <v>320578.216587945</v>
      </c>
      <c r="AG1384" s="2">
        <v>320446.08704877802</v>
      </c>
      <c r="AH1384" s="2">
        <v>310605.115394013</v>
      </c>
      <c r="AI1384" s="2">
        <v>316900.537984606</v>
      </c>
      <c r="AJ1384" s="2">
        <v>327163.63277095399</v>
      </c>
      <c r="AK1384" s="2">
        <v>329930.686998352</v>
      </c>
      <c r="AL1384" s="2">
        <v>346882.10386979301</v>
      </c>
      <c r="AM1384" s="2">
        <v>350431.149109666</v>
      </c>
      <c r="AN1384" s="2">
        <v>345035.24097940099</v>
      </c>
      <c r="AO1384" s="2">
        <v>341873.18386676599</v>
      </c>
      <c r="AP1384" s="2">
        <v>334780.74685224902</v>
      </c>
    </row>
    <row r="1385" spans="1:42" ht="14.5" x14ac:dyDescent="0.35">
      <c r="A1385" s="2" t="s">
        <v>9377</v>
      </c>
      <c r="B1385" s="2">
        <v>245.09194676978501</v>
      </c>
      <c r="C1385" s="2">
        <v>4.8488333333333298</v>
      </c>
      <c r="D1385" s="2" t="s">
        <v>34</v>
      </c>
      <c r="E1385" s="2" t="s">
        <v>9378</v>
      </c>
      <c r="F1385" s="2">
        <v>48644</v>
      </c>
      <c r="G1385" s="3" t="str">
        <f>HYPERLINK("http://funmeta.oebiotech.com/network/48644", "http://funmeta.oebiotech.com/network/48644")</f>
        <v>http://funmeta.oebiotech.com/network/48644</v>
      </c>
      <c r="H1385" s="2" t="s">
        <v>9379</v>
      </c>
      <c r="I1385" s="2"/>
      <c r="J1385" s="2"/>
      <c r="K1385" s="2">
        <v>145761</v>
      </c>
      <c r="L1385" s="2"/>
      <c r="M1385" s="2"/>
      <c r="N1385" s="2"/>
      <c r="O1385" s="2">
        <v>5370648</v>
      </c>
      <c r="P1385" s="2" t="s">
        <v>9380</v>
      </c>
      <c r="Q1385" s="2" t="s">
        <v>9381</v>
      </c>
      <c r="R1385" s="2" t="s">
        <v>9382</v>
      </c>
      <c r="S1385" s="2" t="s">
        <v>89</v>
      </c>
      <c r="T1385" s="2" t="s">
        <v>90</v>
      </c>
      <c r="U1385" s="2" t="s">
        <v>99</v>
      </c>
      <c r="V1385" s="2" t="s">
        <v>59</v>
      </c>
      <c r="W1385" s="2">
        <v>47.4</v>
      </c>
      <c r="X1385" s="2">
        <v>40.1</v>
      </c>
      <c r="Y1385" s="2" t="s">
        <v>266</v>
      </c>
      <c r="Z1385" s="2" t="s">
        <v>9383</v>
      </c>
      <c r="AA1385" s="2">
        <v>-0.49947943893021701</v>
      </c>
      <c r="AB1385" s="2">
        <v>0.56290810309358097</v>
      </c>
      <c r="AC1385" s="2">
        <v>72460.662105253796</v>
      </c>
      <c r="AD1385" s="2">
        <v>51118.1067465202</v>
      </c>
      <c r="AE1385" s="2">
        <v>75147.8903928894</v>
      </c>
      <c r="AF1385" s="2">
        <v>75549.8620674587</v>
      </c>
      <c r="AG1385" s="2">
        <v>71427.715244309205</v>
      </c>
      <c r="AH1385" s="2">
        <v>66987.534715112895</v>
      </c>
      <c r="AI1385" s="2">
        <v>70814.257040851197</v>
      </c>
      <c r="AJ1385" s="2">
        <v>74836.713170901596</v>
      </c>
      <c r="AK1385" s="2">
        <v>52499.5008377989</v>
      </c>
      <c r="AL1385" s="2">
        <v>51095.820707917097</v>
      </c>
      <c r="AM1385" s="2">
        <v>54203.283440364103</v>
      </c>
      <c r="AN1385" s="2">
        <v>50672.928924312801</v>
      </c>
      <c r="AO1385" s="2">
        <v>48004.5660205042</v>
      </c>
      <c r="AP1385" s="2">
        <v>50232.5405482243</v>
      </c>
    </row>
    <row r="1386" spans="1:42" ht="14.5" x14ac:dyDescent="0.35">
      <c r="A1386" s="2" t="s">
        <v>9384</v>
      </c>
      <c r="B1386" s="2">
        <v>633.19894572279497</v>
      </c>
      <c r="C1386" s="2">
        <v>5.1341999999999999</v>
      </c>
      <c r="D1386" s="2" t="s">
        <v>70</v>
      </c>
      <c r="E1386" s="2" t="s">
        <v>9385</v>
      </c>
      <c r="F1386" s="2">
        <v>28814</v>
      </c>
      <c r="G1386" s="3" t="str">
        <f>HYPERLINK("http://funmeta.oebiotech.com/network/28814", "http://funmeta.oebiotech.com/network/28814")</f>
        <v>http://funmeta.oebiotech.com/network/28814</v>
      </c>
      <c r="H1386" s="2"/>
      <c r="I1386" s="2"/>
      <c r="J1386" s="2" t="s">
        <v>9386</v>
      </c>
      <c r="K1386" s="2"/>
      <c r="L1386" s="2"/>
      <c r="M1386" s="2"/>
      <c r="N1386" s="2"/>
      <c r="O1386" s="2">
        <v>44257043</v>
      </c>
      <c r="P1386" s="2"/>
      <c r="Q1386" s="2" t="s">
        <v>9387</v>
      </c>
      <c r="R1386" s="2" t="s">
        <v>9388</v>
      </c>
      <c r="S1386" s="2" t="s">
        <v>148</v>
      </c>
      <c r="T1386" s="2" t="s">
        <v>392</v>
      </c>
      <c r="U1386" s="2" t="s">
        <v>3450</v>
      </c>
      <c r="V1386" s="2" t="s">
        <v>59</v>
      </c>
      <c r="W1386" s="2">
        <v>38.799999999999997</v>
      </c>
      <c r="X1386" s="2">
        <v>0</v>
      </c>
      <c r="Y1386" s="2" t="s">
        <v>560</v>
      </c>
      <c r="Z1386" s="2" t="s">
        <v>9389</v>
      </c>
      <c r="AA1386" s="2">
        <v>1.8852415939159599</v>
      </c>
      <c r="AB1386" s="2">
        <v>0.56270236285694397</v>
      </c>
      <c r="AC1386" s="2">
        <v>28129.046280862902</v>
      </c>
      <c r="AD1386" s="2">
        <v>6578.5168457897798</v>
      </c>
      <c r="AE1386" s="2">
        <v>24584.051800567799</v>
      </c>
      <c r="AF1386" s="2">
        <v>31113.120078848598</v>
      </c>
      <c r="AG1386" s="2">
        <v>30698.7052110939</v>
      </c>
      <c r="AH1386" s="2">
        <v>33051.907472130697</v>
      </c>
      <c r="AI1386" s="2">
        <v>27035.705490240402</v>
      </c>
      <c r="AJ1386" s="2">
        <v>22290.7876322962</v>
      </c>
      <c r="AK1386" s="2">
        <v>5411.7359826675001</v>
      </c>
      <c r="AL1386" s="2">
        <v>5388.8331244354004</v>
      </c>
      <c r="AM1386" s="2">
        <v>8605.0119210080302</v>
      </c>
      <c r="AN1386" s="2">
        <v>3614.5994020559701</v>
      </c>
      <c r="AO1386" s="2">
        <v>8451.5542586409101</v>
      </c>
      <c r="AP1386" s="2">
        <v>7999.3663859308699</v>
      </c>
    </row>
    <row r="1387" spans="1:42" ht="14.5" x14ac:dyDescent="0.35">
      <c r="A1387" s="2" t="s">
        <v>9390</v>
      </c>
      <c r="B1387" s="2">
        <v>153.03112130265501</v>
      </c>
      <c r="C1387" s="2">
        <v>1.40848333333333</v>
      </c>
      <c r="D1387" s="2" t="s">
        <v>70</v>
      </c>
      <c r="E1387" s="2" t="s">
        <v>9391</v>
      </c>
      <c r="F1387" s="2">
        <v>203120</v>
      </c>
      <c r="G1387" s="3" t="str">
        <f>HYPERLINK("http://funmeta.oebiotech.com/network/203120", "http://funmeta.oebiotech.com/network/203120")</f>
        <v>http://funmeta.oebiotech.com/network/203120</v>
      </c>
      <c r="H1387" s="2" t="s">
        <v>9392</v>
      </c>
      <c r="I1387" s="2">
        <v>787</v>
      </c>
      <c r="J1387" s="2"/>
      <c r="K1387" s="2"/>
      <c r="L1387" s="2"/>
      <c r="M1387" s="2"/>
      <c r="N1387" s="2"/>
      <c r="O1387" s="2">
        <v>5310993</v>
      </c>
      <c r="P1387" s="2" t="s">
        <v>9393</v>
      </c>
      <c r="Q1387" s="2" t="s">
        <v>9394</v>
      </c>
      <c r="R1387" s="2" t="s">
        <v>9395</v>
      </c>
      <c r="S1387" s="2" t="s">
        <v>491</v>
      </c>
      <c r="T1387" s="2" t="s">
        <v>4517</v>
      </c>
      <c r="U1387" s="2" t="s">
        <v>9396</v>
      </c>
      <c r="V1387" s="2" t="s">
        <v>59</v>
      </c>
      <c r="W1387" s="2">
        <v>43.8</v>
      </c>
      <c r="X1387" s="2">
        <v>28.6</v>
      </c>
      <c r="Y1387" s="2" t="s">
        <v>118</v>
      </c>
      <c r="Z1387" s="2" t="s">
        <v>9397</v>
      </c>
      <c r="AA1387" s="2">
        <v>3.6073860000041602</v>
      </c>
      <c r="AB1387" s="2">
        <v>0.56233361065626197</v>
      </c>
      <c r="AC1387" s="2">
        <v>25627.906865318299</v>
      </c>
      <c r="AD1387" s="2">
        <v>46779.688503035897</v>
      </c>
      <c r="AE1387" s="2">
        <v>23092.379015171799</v>
      </c>
      <c r="AF1387" s="2">
        <v>26547.280806758201</v>
      </c>
      <c r="AG1387" s="2">
        <v>24624.847740425899</v>
      </c>
      <c r="AH1387" s="2">
        <v>24775.5703234463</v>
      </c>
      <c r="AI1387" s="2">
        <v>27335.943007770002</v>
      </c>
      <c r="AJ1387" s="2">
        <v>27391.420298337402</v>
      </c>
      <c r="AK1387" s="2">
        <v>45086.461403418398</v>
      </c>
      <c r="AL1387" s="2">
        <v>46859.774548802401</v>
      </c>
      <c r="AM1387" s="2">
        <v>43030.381834968102</v>
      </c>
      <c r="AN1387" s="2">
        <v>50552.475114531699</v>
      </c>
      <c r="AO1387" s="2">
        <v>49888.974292049599</v>
      </c>
      <c r="AP1387" s="2">
        <v>45260.063824445002</v>
      </c>
    </row>
    <row r="1388" spans="1:42" ht="14.5" x14ac:dyDescent="0.35">
      <c r="A1388" s="2" t="s">
        <v>9398</v>
      </c>
      <c r="B1388" s="2">
        <v>155.070166938867</v>
      </c>
      <c r="C1388" s="2">
        <v>4.5143500000000003</v>
      </c>
      <c r="D1388" s="2" t="s">
        <v>34</v>
      </c>
      <c r="E1388" s="2" t="s">
        <v>9399</v>
      </c>
      <c r="F1388" s="2">
        <v>267021</v>
      </c>
      <c r="G1388" s="3" t="str">
        <f>HYPERLINK("http://funmeta.oebiotech.com/network/267021", "http://funmeta.oebiotech.com/network/267021")</f>
        <v>http://funmeta.oebiotech.com/network/267021</v>
      </c>
      <c r="H1388" s="2"/>
      <c r="I1388" s="2">
        <v>44513</v>
      </c>
      <c r="J1388" s="2"/>
      <c r="K1388" s="2"/>
      <c r="L1388" s="2"/>
      <c r="M1388" s="2"/>
      <c r="N1388" s="2"/>
      <c r="O1388" s="2">
        <v>238769</v>
      </c>
      <c r="P1388" s="2"/>
      <c r="Q1388" s="2" t="s">
        <v>9400</v>
      </c>
      <c r="R1388" s="2" t="s">
        <v>9401</v>
      </c>
      <c r="S1388" s="2" t="s">
        <v>148</v>
      </c>
      <c r="T1388" s="2" t="s">
        <v>392</v>
      </c>
      <c r="U1388" s="2" t="s">
        <v>3450</v>
      </c>
      <c r="V1388" s="2" t="s">
        <v>59</v>
      </c>
      <c r="W1388" s="2">
        <v>48</v>
      </c>
      <c r="X1388" s="2">
        <v>42.7</v>
      </c>
      <c r="Y1388" s="2" t="s">
        <v>394</v>
      </c>
      <c r="Z1388" s="2" t="s">
        <v>9402</v>
      </c>
      <c r="AA1388" s="2">
        <v>-0.67292287336329903</v>
      </c>
      <c r="AB1388" s="2">
        <v>0.56208224975846199</v>
      </c>
      <c r="AC1388" s="2">
        <v>45257.308252484399</v>
      </c>
      <c r="AD1388" s="2">
        <v>24427.451400056099</v>
      </c>
      <c r="AE1388" s="2">
        <v>45618.523473395398</v>
      </c>
      <c r="AF1388" s="2">
        <v>45746.044490180902</v>
      </c>
      <c r="AG1388" s="2">
        <v>46141.050455644698</v>
      </c>
      <c r="AH1388" s="2">
        <v>46587.269875598402</v>
      </c>
      <c r="AI1388" s="2">
        <v>42808.218849947298</v>
      </c>
      <c r="AJ1388" s="2">
        <v>44642.742370139596</v>
      </c>
      <c r="AK1388" s="2">
        <v>25892.661058169298</v>
      </c>
      <c r="AL1388" s="2">
        <v>25479.150028597</v>
      </c>
      <c r="AM1388" s="2">
        <v>25267.108224817799</v>
      </c>
      <c r="AN1388" s="2">
        <v>22267.675206829099</v>
      </c>
      <c r="AO1388" s="2">
        <v>24022.029082105801</v>
      </c>
      <c r="AP1388" s="2">
        <v>23636.084799817399</v>
      </c>
    </row>
    <row r="1389" spans="1:42" ht="14.5" x14ac:dyDescent="0.35">
      <c r="A1389" s="2" t="s">
        <v>9403</v>
      </c>
      <c r="B1389" s="2">
        <v>681.19954040190999</v>
      </c>
      <c r="C1389" s="2">
        <v>3.45603333333333</v>
      </c>
      <c r="D1389" s="2" t="s">
        <v>34</v>
      </c>
      <c r="E1389" s="2" t="s">
        <v>9404</v>
      </c>
      <c r="F1389" s="2">
        <v>29576</v>
      </c>
      <c r="G1389" s="3" t="str">
        <f>HYPERLINK("http://funmeta.oebiotech.com/network/29576", "http://funmeta.oebiotech.com/network/29576")</f>
        <v>http://funmeta.oebiotech.com/network/29576</v>
      </c>
      <c r="H1389" s="2"/>
      <c r="I1389" s="2"/>
      <c r="J1389" s="2" t="s">
        <v>9405</v>
      </c>
      <c r="K1389" s="2"/>
      <c r="L1389" s="2"/>
      <c r="M1389" s="2"/>
      <c r="N1389" s="2"/>
      <c r="O1389" s="2">
        <v>102077547</v>
      </c>
      <c r="P1389" s="2"/>
      <c r="Q1389" s="2" t="s">
        <v>9406</v>
      </c>
      <c r="R1389" s="2" t="s">
        <v>9407</v>
      </c>
      <c r="S1389" s="2" t="s">
        <v>115</v>
      </c>
      <c r="T1389" s="2" t="s">
        <v>1371</v>
      </c>
      <c r="U1389" s="2" t="s">
        <v>1372</v>
      </c>
      <c r="V1389" s="2" t="s">
        <v>42</v>
      </c>
      <c r="W1389" s="2">
        <v>48.7</v>
      </c>
      <c r="X1389" s="2">
        <v>58.7</v>
      </c>
      <c r="Y1389" s="2" t="s">
        <v>141</v>
      </c>
      <c r="Z1389" s="2" t="s">
        <v>9408</v>
      </c>
      <c r="AA1389" s="2">
        <v>-4.2762732250440401</v>
      </c>
      <c r="AB1389" s="2">
        <v>0.56204605087416604</v>
      </c>
      <c r="AC1389" s="2">
        <v>38014.269904651897</v>
      </c>
      <c r="AD1389" s="2">
        <v>17003.980859435898</v>
      </c>
      <c r="AE1389" s="2">
        <v>39848.356724661098</v>
      </c>
      <c r="AF1389" s="2">
        <v>38734.236521436796</v>
      </c>
      <c r="AG1389" s="2">
        <v>38750.189975122099</v>
      </c>
      <c r="AH1389" s="2">
        <v>34010.617205879702</v>
      </c>
      <c r="AI1389" s="2">
        <v>38494.131955126897</v>
      </c>
      <c r="AJ1389" s="2">
        <v>38248.087045685003</v>
      </c>
      <c r="AK1389" s="2">
        <v>15255.8666582445</v>
      </c>
      <c r="AL1389" s="2">
        <v>17030.668415676901</v>
      </c>
      <c r="AM1389" s="2">
        <v>17107.374618996801</v>
      </c>
      <c r="AN1389" s="2">
        <v>14560.369066052601</v>
      </c>
      <c r="AO1389" s="2">
        <v>19026.826005943301</v>
      </c>
      <c r="AP1389" s="2">
        <v>19042.780391701301</v>
      </c>
    </row>
    <row r="1390" spans="1:42" ht="14.5" x14ac:dyDescent="0.35">
      <c r="A1390" s="2" t="s">
        <v>9409</v>
      </c>
      <c r="B1390" s="2">
        <v>705.33329451418297</v>
      </c>
      <c r="C1390" s="2">
        <v>4.6673166666666699</v>
      </c>
      <c r="D1390" s="2" t="s">
        <v>70</v>
      </c>
      <c r="E1390" s="2" t="s">
        <v>9410</v>
      </c>
      <c r="F1390" s="2">
        <v>47906</v>
      </c>
      <c r="G1390" s="3" t="str">
        <f>HYPERLINK("http://funmeta.oebiotech.com/network/47906", "http://funmeta.oebiotech.com/network/47906")</f>
        <v>http://funmeta.oebiotech.com/network/47906</v>
      </c>
      <c r="H1390" s="2" t="s">
        <v>9411</v>
      </c>
      <c r="I1390" s="2">
        <v>58117</v>
      </c>
      <c r="J1390" s="2"/>
      <c r="K1390" s="2">
        <v>169217</v>
      </c>
      <c r="L1390" s="2"/>
      <c r="M1390" s="2"/>
      <c r="N1390" s="2"/>
      <c r="O1390" s="2">
        <v>14610541</v>
      </c>
      <c r="P1390" s="2" t="s">
        <v>9412</v>
      </c>
      <c r="Q1390" s="2" t="s">
        <v>9413</v>
      </c>
      <c r="R1390" s="2" t="s">
        <v>9414</v>
      </c>
      <c r="S1390" s="2" t="s">
        <v>50</v>
      </c>
      <c r="T1390" s="2" t="s">
        <v>229</v>
      </c>
      <c r="U1390" s="2" t="s">
        <v>230</v>
      </c>
      <c r="V1390" s="2" t="s">
        <v>42</v>
      </c>
      <c r="W1390" s="2">
        <v>54.3</v>
      </c>
      <c r="X1390" s="2">
        <v>76.599999999999994</v>
      </c>
      <c r="Y1390" s="2" t="s">
        <v>408</v>
      </c>
      <c r="Z1390" s="2" t="s">
        <v>9415</v>
      </c>
      <c r="AA1390" s="2">
        <v>-0.93088604879621495</v>
      </c>
      <c r="AB1390" s="2">
        <v>0.561065254021892</v>
      </c>
      <c r="AC1390" s="2">
        <v>536570.36511304905</v>
      </c>
      <c r="AD1390" s="2">
        <v>507600.74627525901</v>
      </c>
      <c r="AE1390" s="2">
        <v>559488.62223877199</v>
      </c>
      <c r="AF1390" s="2">
        <v>526906.50806453999</v>
      </c>
      <c r="AG1390" s="2">
        <v>527943.47828859498</v>
      </c>
      <c r="AH1390" s="2">
        <v>525237.19557951903</v>
      </c>
      <c r="AI1390" s="2">
        <v>527665.85824112396</v>
      </c>
      <c r="AJ1390" s="2">
        <v>552180.52826574305</v>
      </c>
      <c r="AK1390" s="2">
        <v>489972.22832202801</v>
      </c>
      <c r="AL1390" s="2">
        <v>496796.63327170903</v>
      </c>
      <c r="AM1390" s="2">
        <v>525068.120265009</v>
      </c>
      <c r="AN1390" s="2">
        <v>527069.05336391402</v>
      </c>
      <c r="AO1390" s="2">
        <v>495854.08816565201</v>
      </c>
      <c r="AP1390" s="2">
        <v>510844.35426324198</v>
      </c>
    </row>
    <row r="1391" spans="1:42" ht="14.5" x14ac:dyDescent="0.35">
      <c r="A1391" s="2" t="s">
        <v>9416</v>
      </c>
      <c r="B1391" s="2">
        <v>279.12348670665199</v>
      </c>
      <c r="C1391" s="2">
        <v>5.1704666666666697</v>
      </c>
      <c r="D1391" s="2" t="s">
        <v>70</v>
      </c>
      <c r="E1391" s="2" t="s">
        <v>9417</v>
      </c>
      <c r="F1391" s="2">
        <v>59892</v>
      </c>
      <c r="G1391" s="3" t="str">
        <f>HYPERLINK("http://funmeta.oebiotech.com/network/59892", "http://funmeta.oebiotech.com/network/59892")</f>
        <v>http://funmeta.oebiotech.com/network/59892</v>
      </c>
      <c r="H1391" s="2" t="s">
        <v>9418</v>
      </c>
      <c r="I1391" s="2">
        <v>91260</v>
      </c>
      <c r="J1391" s="2"/>
      <c r="K1391" s="2">
        <v>174670</v>
      </c>
      <c r="L1391" s="2"/>
      <c r="M1391" s="2"/>
      <c r="N1391" s="2"/>
      <c r="O1391" s="2">
        <v>131751913</v>
      </c>
      <c r="P1391" s="2" t="s">
        <v>9419</v>
      </c>
      <c r="Q1391" s="2" t="s">
        <v>9420</v>
      </c>
      <c r="R1391" s="2" t="s">
        <v>9421</v>
      </c>
      <c r="S1391" s="2" t="s">
        <v>50</v>
      </c>
      <c r="T1391" s="2" t="s">
        <v>201</v>
      </c>
      <c r="U1391" s="2" t="s">
        <v>636</v>
      </c>
      <c r="V1391" s="2" t="s">
        <v>42</v>
      </c>
      <c r="W1391" s="2">
        <v>52.1</v>
      </c>
      <c r="X1391" s="2">
        <v>64.400000000000006</v>
      </c>
      <c r="Y1391" s="2" t="s">
        <v>792</v>
      </c>
      <c r="Z1391" s="2" t="s">
        <v>4802</v>
      </c>
      <c r="AA1391" s="2">
        <v>-1.10876863473065</v>
      </c>
      <c r="AB1391" s="2">
        <v>0.56084054916117998</v>
      </c>
      <c r="AC1391" s="2">
        <v>210541.21963509399</v>
      </c>
      <c r="AD1391" s="2">
        <v>234249.38135687599</v>
      </c>
      <c r="AE1391" s="2">
        <v>209457.41088415799</v>
      </c>
      <c r="AF1391" s="2">
        <v>216438.79111025899</v>
      </c>
      <c r="AG1391" s="2">
        <v>212850.27422518999</v>
      </c>
      <c r="AH1391" s="2">
        <v>208671.302270888</v>
      </c>
      <c r="AI1391" s="2">
        <v>205423.608424737</v>
      </c>
      <c r="AJ1391" s="2">
        <v>210405.93089533399</v>
      </c>
      <c r="AK1391" s="2">
        <v>225936.62806823899</v>
      </c>
      <c r="AL1391" s="2">
        <v>243599.34976027001</v>
      </c>
      <c r="AM1391" s="2">
        <v>247812.06855298299</v>
      </c>
      <c r="AN1391" s="2">
        <v>234491.33163640101</v>
      </c>
      <c r="AO1391" s="2">
        <v>227701.99668334</v>
      </c>
      <c r="AP1391" s="2">
        <v>225954.913440025</v>
      </c>
    </row>
    <row r="1392" spans="1:42" ht="14.5" x14ac:dyDescent="0.35">
      <c r="A1392" s="2" t="s">
        <v>9422</v>
      </c>
      <c r="B1392" s="2">
        <v>475.12099533006699</v>
      </c>
      <c r="C1392" s="2">
        <v>3.8609</v>
      </c>
      <c r="D1392" s="2" t="s">
        <v>34</v>
      </c>
      <c r="E1392" s="2" t="s">
        <v>9423</v>
      </c>
      <c r="F1392" s="2">
        <v>54164</v>
      </c>
      <c r="G1392" s="3" t="str">
        <f>HYPERLINK("http://funmeta.oebiotech.com/network/54164", "http://funmeta.oebiotech.com/network/54164")</f>
        <v>http://funmeta.oebiotech.com/network/54164</v>
      </c>
      <c r="H1392" s="2" t="s">
        <v>9424</v>
      </c>
      <c r="I1392" s="2"/>
      <c r="J1392" s="2"/>
      <c r="K1392" s="2"/>
      <c r="L1392" s="2"/>
      <c r="M1392" s="2"/>
      <c r="N1392" s="2"/>
      <c r="O1392" s="2">
        <v>131750793</v>
      </c>
      <c r="P1392" s="2" t="s">
        <v>9425</v>
      </c>
      <c r="Q1392" s="2" t="s">
        <v>9426</v>
      </c>
      <c r="R1392" s="2" t="s">
        <v>9427</v>
      </c>
      <c r="S1392" s="2" t="s">
        <v>115</v>
      </c>
      <c r="T1392" s="2" t="s">
        <v>139</v>
      </c>
      <c r="U1392" s="2" t="s">
        <v>140</v>
      </c>
      <c r="V1392" s="2" t="s">
        <v>59</v>
      </c>
      <c r="W1392" s="2">
        <v>39.200000000000003</v>
      </c>
      <c r="X1392" s="2">
        <v>3.85</v>
      </c>
      <c r="Y1392" s="2" t="s">
        <v>323</v>
      </c>
      <c r="Z1392" s="2" t="s">
        <v>2260</v>
      </c>
      <c r="AA1392" s="2">
        <v>-0.19227747659809499</v>
      </c>
      <c r="AB1392" s="2">
        <v>0.56024280438431195</v>
      </c>
      <c r="AC1392" s="2">
        <v>39387.213110325698</v>
      </c>
      <c r="AD1392" s="2">
        <v>60930.166149350902</v>
      </c>
      <c r="AE1392" s="2">
        <v>40099.927949420897</v>
      </c>
      <c r="AF1392" s="2">
        <v>35383.133782896897</v>
      </c>
      <c r="AG1392" s="2">
        <v>41993.736685277101</v>
      </c>
      <c r="AH1392" s="2">
        <v>41681.9578171389</v>
      </c>
      <c r="AI1392" s="2">
        <v>35274.766359289402</v>
      </c>
      <c r="AJ1392" s="2">
        <v>41889.756067930801</v>
      </c>
      <c r="AK1392" s="2">
        <v>59423.042521203301</v>
      </c>
      <c r="AL1392" s="2">
        <v>53636.780985368103</v>
      </c>
      <c r="AM1392" s="2">
        <v>61238.104143970202</v>
      </c>
      <c r="AN1392" s="2">
        <v>63769.267411786597</v>
      </c>
      <c r="AO1392" s="2">
        <v>63557.223574479904</v>
      </c>
      <c r="AP1392" s="2">
        <v>63956.578259297297</v>
      </c>
    </row>
    <row r="1393" spans="1:42" ht="14.5" x14ac:dyDescent="0.35">
      <c r="A1393" s="2" t="s">
        <v>9428</v>
      </c>
      <c r="B1393" s="2">
        <v>713.41136945553706</v>
      </c>
      <c r="C1393" s="2">
        <v>11.522883333333301</v>
      </c>
      <c r="D1393" s="2" t="s">
        <v>70</v>
      </c>
      <c r="E1393" s="2" t="s">
        <v>9429</v>
      </c>
      <c r="F1393" s="2">
        <v>46778</v>
      </c>
      <c r="G1393" s="3" t="str">
        <f>HYPERLINK("http://funmeta.oebiotech.com/network/46778", "http://funmeta.oebiotech.com/network/46778")</f>
        <v>http://funmeta.oebiotech.com/network/46778</v>
      </c>
      <c r="H1393" s="2"/>
      <c r="I1393" s="2"/>
      <c r="J1393" s="2" t="s">
        <v>9430</v>
      </c>
      <c r="K1393" s="2"/>
      <c r="L1393" s="2"/>
      <c r="M1393" s="2"/>
      <c r="N1393" s="2"/>
      <c r="O1393" s="2">
        <v>70699391</v>
      </c>
      <c r="P1393" s="2"/>
      <c r="Q1393" s="2" t="s">
        <v>9431</v>
      </c>
      <c r="R1393" s="2" t="s">
        <v>9432</v>
      </c>
      <c r="S1393" s="2" t="s">
        <v>50</v>
      </c>
      <c r="T1393" s="2" t="s">
        <v>124</v>
      </c>
      <c r="U1393" s="2" t="s">
        <v>523</v>
      </c>
      <c r="V1393" s="2" t="s">
        <v>42</v>
      </c>
      <c r="W1393" s="2">
        <v>53.2</v>
      </c>
      <c r="X1393" s="2">
        <v>73.3</v>
      </c>
      <c r="Y1393" s="2" t="s">
        <v>751</v>
      </c>
      <c r="Z1393" s="2" t="s">
        <v>9433</v>
      </c>
      <c r="AA1393" s="2">
        <v>-0.54087215830169599</v>
      </c>
      <c r="AB1393" s="2">
        <v>0.55996158570574495</v>
      </c>
      <c r="AC1393" s="2">
        <v>52135.112952983698</v>
      </c>
      <c r="AD1393" s="2">
        <v>73436.552579069903</v>
      </c>
      <c r="AE1393" s="2">
        <v>52516.464815532301</v>
      </c>
      <c r="AF1393" s="2">
        <v>50621.514828337597</v>
      </c>
      <c r="AG1393" s="2">
        <v>49176.164625756603</v>
      </c>
      <c r="AH1393" s="2">
        <v>53476.342324354198</v>
      </c>
      <c r="AI1393" s="2">
        <v>54733.783759569298</v>
      </c>
      <c r="AJ1393" s="2">
        <v>52286.407364352002</v>
      </c>
      <c r="AK1393" s="2">
        <v>68492.983775895205</v>
      </c>
      <c r="AL1393" s="2">
        <v>74654.0064526598</v>
      </c>
      <c r="AM1393" s="2">
        <v>71440.0950995413</v>
      </c>
      <c r="AN1393" s="2">
        <v>71593.666521619394</v>
      </c>
      <c r="AO1393" s="2">
        <v>74016.628713081402</v>
      </c>
      <c r="AP1393" s="2">
        <v>80421.934911622302</v>
      </c>
    </row>
    <row r="1394" spans="1:42" ht="14.5" x14ac:dyDescent="0.35">
      <c r="A1394" s="2" t="s">
        <v>9434</v>
      </c>
      <c r="B1394" s="2">
        <v>561.23134380110901</v>
      </c>
      <c r="C1394" s="2">
        <v>5.8226333333333304</v>
      </c>
      <c r="D1394" s="2" t="s">
        <v>70</v>
      </c>
      <c r="E1394" s="2" t="s">
        <v>9435</v>
      </c>
      <c r="F1394" s="2">
        <v>82720</v>
      </c>
      <c r="G1394" s="3" t="str">
        <f>HYPERLINK("http://funmeta.oebiotech.com/network/82720", "http://funmeta.oebiotech.com/network/82720")</f>
        <v>http://funmeta.oebiotech.com/network/82720</v>
      </c>
      <c r="H1394" s="2" t="s">
        <v>9436</v>
      </c>
      <c r="I1394" s="2">
        <v>1797</v>
      </c>
      <c r="J1394" s="2"/>
      <c r="K1394" s="2"/>
      <c r="L1394" s="2"/>
      <c r="M1394" s="2"/>
      <c r="N1394" s="2"/>
      <c r="O1394" s="2">
        <v>179962</v>
      </c>
      <c r="P1394" s="2" t="s">
        <v>9437</v>
      </c>
      <c r="Q1394" s="2" t="s">
        <v>9438</v>
      </c>
      <c r="R1394" s="2" t="s">
        <v>9439</v>
      </c>
      <c r="S1394" s="2" t="s">
        <v>89</v>
      </c>
      <c r="T1394" s="2" t="s">
        <v>1600</v>
      </c>
      <c r="U1394" s="2" t="s">
        <v>1601</v>
      </c>
      <c r="V1394" s="2" t="s">
        <v>59</v>
      </c>
      <c r="W1394" s="2">
        <v>39.9</v>
      </c>
      <c r="X1394" s="2">
        <v>8.57</v>
      </c>
      <c r="Y1394" s="2" t="s">
        <v>408</v>
      </c>
      <c r="Z1394" s="2" t="s">
        <v>9440</v>
      </c>
      <c r="AA1394" s="2">
        <v>2.3844938781076999</v>
      </c>
      <c r="AB1394" s="2">
        <v>0.55951555666339003</v>
      </c>
      <c r="AC1394" s="2">
        <v>103844.253722896</v>
      </c>
      <c r="AD1394" s="2">
        <v>82304.677265192004</v>
      </c>
      <c r="AE1394" s="2">
        <v>103325.95223508999</v>
      </c>
      <c r="AF1394" s="2">
        <v>101975.732568798</v>
      </c>
      <c r="AG1394" s="2">
        <v>110473.157958467</v>
      </c>
      <c r="AH1394" s="2">
        <v>98453.189176809494</v>
      </c>
      <c r="AI1394" s="2">
        <v>102643.60296908001</v>
      </c>
      <c r="AJ1394" s="2">
        <v>106193.887429134</v>
      </c>
      <c r="AK1394" s="2">
        <v>80669.557842398499</v>
      </c>
      <c r="AL1394" s="2">
        <v>81619.872072247104</v>
      </c>
      <c r="AM1394" s="2">
        <v>88625.700674035106</v>
      </c>
      <c r="AN1394" s="2">
        <v>81038.085070526999</v>
      </c>
      <c r="AO1394" s="2">
        <v>82994.175438890903</v>
      </c>
      <c r="AP1394" s="2">
        <v>78880.672493053396</v>
      </c>
    </row>
    <row r="1395" spans="1:42" ht="14.5" x14ac:dyDescent="0.35">
      <c r="A1395" s="2" t="s">
        <v>9441</v>
      </c>
      <c r="B1395" s="2">
        <v>613.26111066809096</v>
      </c>
      <c r="C1395" s="2">
        <v>6.3021166666666701</v>
      </c>
      <c r="D1395" s="2" t="s">
        <v>34</v>
      </c>
      <c r="E1395" s="2" t="s">
        <v>9442</v>
      </c>
      <c r="F1395" s="2">
        <v>202557</v>
      </c>
      <c r="G1395" s="3" t="str">
        <f>HYPERLINK("http://funmeta.oebiotech.com/network/202557", "http://funmeta.oebiotech.com/network/202557")</f>
        <v>http://funmeta.oebiotech.com/network/202557</v>
      </c>
      <c r="H1395" s="2" t="s">
        <v>9443</v>
      </c>
      <c r="I1395" s="2"/>
      <c r="J1395" s="2"/>
      <c r="K1395" s="2"/>
      <c r="L1395" s="2"/>
      <c r="M1395" s="2"/>
      <c r="N1395" s="2"/>
      <c r="O1395" s="2">
        <v>4419977</v>
      </c>
      <c r="P1395" s="2"/>
      <c r="Q1395" s="2" t="s">
        <v>9444</v>
      </c>
      <c r="R1395" s="2" t="s">
        <v>9445</v>
      </c>
      <c r="S1395" s="2" t="s">
        <v>41</v>
      </c>
      <c r="T1395" s="2" t="s">
        <v>41</v>
      </c>
      <c r="U1395" s="2" t="s">
        <v>41</v>
      </c>
      <c r="V1395" s="2" t="s">
        <v>59</v>
      </c>
      <c r="W1395" s="2">
        <v>37.5</v>
      </c>
      <c r="X1395" s="2">
        <v>0</v>
      </c>
      <c r="Y1395" s="2" t="s">
        <v>323</v>
      </c>
      <c r="Z1395" s="2" t="s">
        <v>9446</v>
      </c>
      <c r="AA1395" s="2">
        <v>3.1564614605502599</v>
      </c>
      <c r="AB1395" s="2">
        <v>0.55917183649146696</v>
      </c>
      <c r="AC1395" s="2">
        <v>73036.235331923599</v>
      </c>
      <c r="AD1395" s="2">
        <v>94227.188062747999</v>
      </c>
      <c r="AE1395" s="2">
        <v>72238.575937129397</v>
      </c>
      <c r="AF1395" s="2">
        <v>72190.625970179695</v>
      </c>
      <c r="AG1395" s="2">
        <v>75895.058317982795</v>
      </c>
      <c r="AH1395" s="2">
        <v>68519.813221696604</v>
      </c>
      <c r="AI1395" s="2">
        <v>75698.218773868604</v>
      </c>
      <c r="AJ1395" s="2">
        <v>73675.119770684294</v>
      </c>
      <c r="AK1395" s="2">
        <v>96489.258864569696</v>
      </c>
      <c r="AL1395" s="2">
        <v>96219.871010357499</v>
      </c>
      <c r="AM1395" s="2">
        <v>91410.925657760105</v>
      </c>
      <c r="AN1395" s="2">
        <v>97135.970706149703</v>
      </c>
      <c r="AO1395" s="2">
        <v>88971.845156202602</v>
      </c>
      <c r="AP1395" s="2">
        <v>95135.256981448198</v>
      </c>
    </row>
    <row r="1396" spans="1:42" ht="14.5" x14ac:dyDescent="0.35">
      <c r="A1396" s="2" t="s">
        <v>9447</v>
      </c>
      <c r="B1396" s="2">
        <v>137.023148521781</v>
      </c>
      <c r="C1396" s="2">
        <v>0.76995000000000002</v>
      </c>
      <c r="D1396" s="2" t="s">
        <v>70</v>
      </c>
      <c r="E1396" s="2" t="s">
        <v>9448</v>
      </c>
      <c r="F1396" s="2">
        <v>47065</v>
      </c>
      <c r="G1396" s="3" t="str">
        <f>HYPERLINK("http://funmeta.oebiotech.com/network/47065", "http://funmeta.oebiotech.com/network/47065")</f>
        <v>http://funmeta.oebiotech.com/network/47065</v>
      </c>
      <c r="H1396" s="2" t="s">
        <v>9449</v>
      </c>
      <c r="I1396" s="2">
        <v>3263</v>
      </c>
      <c r="J1396" s="2"/>
      <c r="K1396" s="2">
        <v>30763</v>
      </c>
      <c r="L1396" s="2" t="s">
        <v>9450</v>
      </c>
      <c r="M1396" s="2" t="s">
        <v>9451</v>
      </c>
      <c r="N1396" s="2" t="s">
        <v>9452</v>
      </c>
      <c r="O1396" s="2">
        <v>135</v>
      </c>
      <c r="P1396" s="2" t="s">
        <v>9453</v>
      </c>
      <c r="Q1396" s="2" t="s">
        <v>9454</v>
      </c>
      <c r="R1396" s="2" t="s">
        <v>9455</v>
      </c>
      <c r="S1396" s="2" t="s">
        <v>148</v>
      </c>
      <c r="T1396" s="2" t="s">
        <v>149</v>
      </c>
      <c r="U1396" s="2" t="s">
        <v>1593</v>
      </c>
      <c r="V1396" s="2" t="s">
        <v>42</v>
      </c>
      <c r="W1396" s="2">
        <v>53</v>
      </c>
      <c r="X1396" s="2">
        <v>76.7</v>
      </c>
      <c r="Y1396" s="2" t="s">
        <v>118</v>
      </c>
      <c r="Z1396" s="2" t="s">
        <v>9456</v>
      </c>
      <c r="AA1396" s="2">
        <v>-9.1942457681266898</v>
      </c>
      <c r="AB1396" s="2">
        <v>0.559137120158961</v>
      </c>
      <c r="AC1396" s="2">
        <v>68084.057634001394</v>
      </c>
      <c r="AD1396" s="2">
        <v>89000.090749668394</v>
      </c>
      <c r="AE1396" s="2">
        <v>66429.725650442706</v>
      </c>
      <c r="AF1396" s="2">
        <v>70227.976003664997</v>
      </c>
      <c r="AG1396" s="2">
        <v>69438.743090405696</v>
      </c>
      <c r="AH1396" s="2">
        <v>68038.523674061697</v>
      </c>
      <c r="AI1396" s="2">
        <v>68954.925584758399</v>
      </c>
      <c r="AJ1396" s="2">
        <v>65414.451800674702</v>
      </c>
      <c r="AK1396" s="2">
        <v>86726.030541953398</v>
      </c>
      <c r="AL1396" s="2">
        <v>90893.010700565006</v>
      </c>
      <c r="AM1396" s="2">
        <v>90370.539468406801</v>
      </c>
      <c r="AN1396" s="2">
        <v>85700.859270867295</v>
      </c>
      <c r="AO1396" s="2">
        <v>92337.256929990996</v>
      </c>
      <c r="AP1396" s="2">
        <v>87972.847586226795</v>
      </c>
    </row>
    <row r="1397" spans="1:42" ht="14.5" x14ac:dyDescent="0.35">
      <c r="A1397" s="2" t="s">
        <v>9457</v>
      </c>
      <c r="B1397" s="2">
        <v>640.51382929649697</v>
      </c>
      <c r="C1397" s="2">
        <v>14.858183333333301</v>
      </c>
      <c r="D1397" s="2" t="s">
        <v>34</v>
      </c>
      <c r="E1397" s="2" t="s">
        <v>9458</v>
      </c>
      <c r="F1397" s="2">
        <v>56553</v>
      </c>
      <c r="G1397" s="3" t="str">
        <f>HYPERLINK("http://funmeta.oebiotech.com/network/56553", "http://funmeta.oebiotech.com/network/56553")</f>
        <v>http://funmeta.oebiotech.com/network/56553</v>
      </c>
      <c r="H1397" s="2" t="s">
        <v>9459</v>
      </c>
      <c r="I1397" s="2"/>
      <c r="J1397" s="2"/>
      <c r="K1397" s="2"/>
      <c r="L1397" s="2" t="s">
        <v>9460</v>
      </c>
      <c r="M1397" s="2"/>
      <c r="N1397" s="2"/>
      <c r="O1397" s="2">
        <v>131751256</v>
      </c>
      <c r="P1397" s="2"/>
      <c r="Q1397" s="2" t="s">
        <v>9461</v>
      </c>
      <c r="R1397" s="2" t="s">
        <v>9462</v>
      </c>
      <c r="S1397" s="2" t="s">
        <v>50</v>
      </c>
      <c r="T1397" s="2" t="s">
        <v>229</v>
      </c>
      <c r="U1397" s="2" t="s">
        <v>1283</v>
      </c>
      <c r="V1397" s="2" t="s">
        <v>42</v>
      </c>
      <c r="W1397" s="2">
        <v>49</v>
      </c>
      <c r="X1397" s="2">
        <v>51.6</v>
      </c>
      <c r="Y1397" s="2" t="s">
        <v>43</v>
      </c>
      <c r="Z1397" s="2" t="s">
        <v>9463</v>
      </c>
      <c r="AA1397" s="2">
        <v>-1.3666075627115399</v>
      </c>
      <c r="AB1397" s="2">
        <v>0.55909880930932898</v>
      </c>
      <c r="AC1397" s="2">
        <v>46993.342205075802</v>
      </c>
      <c r="AD1397" s="2">
        <v>24928.373233885501</v>
      </c>
      <c r="AE1397" s="2">
        <v>40497.2982226354</v>
      </c>
      <c r="AF1397" s="2">
        <v>41470.476469725603</v>
      </c>
      <c r="AG1397" s="2">
        <v>46273.197470029503</v>
      </c>
      <c r="AH1397" s="2">
        <v>50716.924746011602</v>
      </c>
      <c r="AI1397" s="2">
        <v>45024.366487986401</v>
      </c>
      <c r="AJ1397" s="2">
        <v>57977.789834066301</v>
      </c>
      <c r="AK1397" s="2">
        <v>25709.005249293801</v>
      </c>
      <c r="AL1397" s="2">
        <v>23138.569151783198</v>
      </c>
      <c r="AM1397" s="2">
        <v>25623.9304010985</v>
      </c>
      <c r="AN1397" s="2">
        <v>22280.089357082201</v>
      </c>
      <c r="AO1397" s="2">
        <v>25801.5861878715</v>
      </c>
      <c r="AP1397" s="2">
        <v>27017.059056183902</v>
      </c>
    </row>
    <row r="1398" spans="1:42" ht="14.5" x14ac:dyDescent="0.35">
      <c r="A1398" s="2" t="s">
        <v>9464</v>
      </c>
      <c r="B1398" s="2">
        <v>371.22107454848702</v>
      </c>
      <c r="C1398" s="2">
        <v>5.65513333333333</v>
      </c>
      <c r="D1398" s="2" t="s">
        <v>34</v>
      </c>
      <c r="E1398" s="2" t="s">
        <v>9465</v>
      </c>
      <c r="F1398" s="2">
        <v>209518</v>
      </c>
      <c r="G1398" s="3" t="str">
        <f>HYPERLINK("http://funmeta.oebiotech.com/network/209518", "http://funmeta.oebiotech.com/network/209518")</f>
        <v>http://funmeta.oebiotech.com/network/209518</v>
      </c>
      <c r="H1398" s="2" t="s">
        <v>9466</v>
      </c>
      <c r="I1398" s="2"/>
      <c r="J1398" s="2"/>
      <c r="K1398" s="2"/>
      <c r="L1398" s="2"/>
      <c r="M1398" s="2"/>
      <c r="N1398" s="2"/>
      <c r="O1398" s="2">
        <v>23297360</v>
      </c>
      <c r="P1398" s="2"/>
      <c r="Q1398" s="2" t="s">
        <v>9467</v>
      </c>
      <c r="R1398" s="2" t="s">
        <v>9468</v>
      </c>
      <c r="S1398" s="2" t="s">
        <v>50</v>
      </c>
      <c r="T1398" s="2" t="s">
        <v>124</v>
      </c>
      <c r="U1398" s="2" t="s">
        <v>929</v>
      </c>
      <c r="V1398" s="2" t="s">
        <v>59</v>
      </c>
      <c r="W1398" s="2">
        <v>43.9</v>
      </c>
      <c r="X1398" s="2">
        <v>44.5</v>
      </c>
      <c r="Y1398" s="2" t="s">
        <v>266</v>
      </c>
      <c r="Z1398" s="2" t="s">
        <v>9469</v>
      </c>
      <c r="AA1398" s="2">
        <v>-1.65126974428349</v>
      </c>
      <c r="AB1398" s="2">
        <v>0.55906789142173596</v>
      </c>
      <c r="AC1398" s="2">
        <v>38958.134506098599</v>
      </c>
      <c r="AD1398" s="2">
        <v>18330.657795180501</v>
      </c>
      <c r="AE1398" s="2">
        <v>39237.189372889203</v>
      </c>
      <c r="AF1398" s="2">
        <v>37098.642814655599</v>
      </c>
      <c r="AG1398" s="2">
        <v>39657.223860096099</v>
      </c>
      <c r="AH1398" s="2">
        <v>40819.214233672399</v>
      </c>
      <c r="AI1398" s="2">
        <v>38512.0463130844</v>
      </c>
      <c r="AJ1398" s="2">
        <v>38424.490442194197</v>
      </c>
      <c r="AK1398" s="2">
        <v>19892.153147179699</v>
      </c>
      <c r="AL1398" s="2">
        <v>16731.1426617379</v>
      </c>
      <c r="AM1398" s="2">
        <v>18526.9607288431</v>
      </c>
      <c r="AN1398" s="2">
        <v>18536.945746535901</v>
      </c>
      <c r="AO1398" s="2">
        <v>17340.809136748499</v>
      </c>
      <c r="AP1398" s="2">
        <v>18955.9353500377</v>
      </c>
    </row>
    <row r="1399" spans="1:42" ht="14.5" x14ac:dyDescent="0.35">
      <c r="A1399" s="2" t="s">
        <v>9470</v>
      </c>
      <c r="B1399" s="2">
        <v>798.45117289709196</v>
      </c>
      <c r="C1399" s="2">
        <v>5.5735333333333301</v>
      </c>
      <c r="D1399" s="2" t="s">
        <v>34</v>
      </c>
      <c r="E1399" s="2" t="s">
        <v>9471</v>
      </c>
      <c r="F1399" s="2">
        <v>213809</v>
      </c>
      <c r="G1399" s="3" t="str">
        <f>HYPERLINK("http://funmeta.oebiotech.com/network/213809", "http://funmeta.oebiotech.com/network/213809")</f>
        <v>http://funmeta.oebiotech.com/network/213809</v>
      </c>
      <c r="H1399" s="2" t="s">
        <v>9472</v>
      </c>
      <c r="I1399" s="2"/>
      <c r="J1399" s="2"/>
      <c r="K1399" s="2"/>
      <c r="L1399" s="2"/>
      <c r="M1399" s="2"/>
      <c r="N1399" s="2"/>
      <c r="O1399" s="2"/>
      <c r="P1399" s="2"/>
      <c r="Q1399" s="2" t="s">
        <v>9473</v>
      </c>
      <c r="R1399" s="2" t="s">
        <v>9474</v>
      </c>
      <c r="S1399" s="2" t="s">
        <v>41</v>
      </c>
      <c r="T1399" s="2" t="s">
        <v>41</v>
      </c>
      <c r="U1399" s="2" t="s">
        <v>41</v>
      </c>
      <c r="V1399" s="2" t="s">
        <v>59</v>
      </c>
      <c r="W1399" s="2">
        <v>36.4</v>
      </c>
      <c r="X1399" s="2">
        <v>0</v>
      </c>
      <c r="Y1399" s="2" t="s">
        <v>323</v>
      </c>
      <c r="Z1399" s="2" t="s">
        <v>9475</v>
      </c>
      <c r="AA1399" s="2">
        <v>-2.07759255753533</v>
      </c>
      <c r="AB1399" s="2">
        <v>0.55890319866256499</v>
      </c>
      <c r="AC1399" s="2">
        <v>162553.075881595</v>
      </c>
      <c r="AD1399" s="2">
        <v>132516.49515504</v>
      </c>
      <c r="AE1399" s="2">
        <v>159914.972288249</v>
      </c>
      <c r="AF1399" s="2">
        <v>166419.007150814</v>
      </c>
      <c r="AG1399" s="2">
        <v>155454.759830444</v>
      </c>
      <c r="AH1399" s="2">
        <v>186918.93781046299</v>
      </c>
      <c r="AI1399" s="2">
        <v>170561.665958383</v>
      </c>
      <c r="AJ1399" s="2">
        <v>136049.11225121401</v>
      </c>
      <c r="AK1399" s="2">
        <v>112698.437385507</v>
      </c>
      <c r="AL1399" s="2">
        <v>124821.314621522</v>
      </c>
      <c r="AM1399" s="2">
        <v>153576.98858608099</v>
      </c>
      <c r="AN1399" s="2">
        <v>153072.26967441899</v>
      </c>
      <c r="AO1399" s="2">
        <v>117370.609735705</v>
      </c>
      <c r="AP1399" s="2">
        <v>133559.350927005</v>
      </c>
    </row>
    <row r="1400" spans="1:42" ht="14.5" x14ac:dyDescent="0.35">
      <c r="A1400" s="2" t="s">
        <v>9476</v>
      </c>
      <c r="B1400" s="2">
        <v>381.128767205229</v>
      </c>
      <c r="C1400" s="2">
        <v>3.7887</v>
      </c>
      <c r="D1400" s="2" t="s">
        <v>34</v>
      </c>
      <c r="E1400" s="2" t="s">
        <v>9477</v>
      </c>
      <c r="F1400" s="2">
        <v>199963</v>
      </c>
      <c r="G1400" s="3" t="str">
        <f>HYPERLINK("http://funmeta.oebiotech.com/network/199963", "http://funmeta.oebiotech.com/network/199963")</f>
        <v>http://funmeta.oebiotech.com/network/199963</v>
      </c>
      <c r="H1400" s="2" t="s">
        <v>9478</v>
      </c>
      <c r="I1400" s="2"/>
      <c r="J1400" s="2"/>
      <c r="K1400" s="2"/>
      <c r="L1400" s="2"/>
      <c r="M1400" s="2"/>
      <c r="N1400" s="2"/>
      <c r="O1400" s="2"/>
      <c r="P1400" s="2"/>
      <c r="Q1400" s="2" t="s">
        <v>9479</v>
      </c>
      <c r="R1400" s="2" t="s">
        <v>9480</v>
      </c>
      <c r="S1400" s="2" t="s">
        <v>491</v>
      </c>
      <c r="T1400" s="2" t="s">
        <v>1516</v>
      </c>
      <c r="U1400" s="2" t="s">
        <v>5320</v>
      </c>
      <c r="V1400" s="2" t="s">
        <v>59</v>
      </c>
      <c r="W1400" s="2">
        <v>38.6</v>
      </c>
      <c r="X1400" s="2">
        <v>3.87</v>
      </c>
      <c r="Y1400" s="2" t="s">
        <v>242</v>
      </c>
      <c r="Z1400" s="2" t="s">
        <v>9481</v>
      </c>
      <c r="AA1400" s="2">
        <v>4.6702020876414201</v>
      </c>
      <c r="AB1400" s="2">
        <v>0.55866390350858997</v>
      </c>
      <c r="AC1400" s="2">
        <v>293131.36516551202</v>
      </c>
      <c r="AD1400" s="2">
        <v>319122.25154852599</v>
      </c>
      <c r="AE1400" s="2">
        <v>296445.64733715501</v>
      </c>
      <c r="AF1400" s="2">
        <v>290972.81299203302</v>
      </c>
      <c r="AG1400" s="2">
        <v>271837.70113257802</v>
      </c>
      <c r="AH1400" s="2">
        <v>296373.20071752003</v>
      </c>
      <c r="AI1400" s="2">
        <v>294276.65422945801</v>
      </c>
      <c r="AJ1400" s="2">
        <v>308882.17458432697</v>
      </c>
      <c r="AK1400" s="2">
        <v>330211.18596745702</v>
      </c>
      <c r="AL1400" s="2">
        <v>308855.147806958</v>
      </c>
      <c r="AM1400" s="2">
        <v>329328.62221330899</v>
      </c>
      <c r="AN1400" s="2">
        <v>317751.09265255003</v>
      </c>
      <c r="AO1400" s="2">
        <v>305423.70458251802</v>
      </c>
      <c r="AP1400" s="2">
        <v>323163.75606836303</v>
      </c>
    </row>
    <row r="1401" spans="1:42" ht="14.5" x14ac:dyDescent="0.35">
      <c r="A1401" s="2" t="s">
        <v>9482</v>
      </c>
      <c r="B1401" s="2">
        <v>677.24125636942802</v>
      </c>
      <c r="C1401" s="2">
        <v>4.1757666666666697</v>
      </c>
      <c r="D1401" s="2" t="s">
        <v>34</v>
      </c>
      <c r="E1401" s="2" t="s">
        <v>9483</v>
      </c>
      <c r="F1401" s="2">
        <v>28992</v>
      </c>
      <c r="G1401" s="3" t="str">
        <f>HYPERLINK("http://funmeta.oebiotech.com/network/28992", "http://funmeta.oebiotech.com/network/28992")</f>
        <v>http://funmeta.oebiotech.com/network/28992</v>
      </c>
      <c r="H1401" s="2"/>
      <c r="I1401" s="2"/>
      <c r="J1401" s="2" t="s">
        <v>9484</v>
      </c>
      <c r="K1401" s="2"/>
      <c r="L1401" s="2"/>
      <c r="M1401" s="2"/>
      <c r="N1401" s="2"/>
      <c r="O1401" s="2">
        <v>44257140</v>
      </c>
      <c r="P1401" s="2"/>
      <c r="Q1401" s="2" t="s">
        <v>9485</v>
      </c>
      <c r="R1401" s="2" t="s">
        <v>9486</v>
      </c>
      <c r="S1401" s="2" t="s">
        <v>115</v>
      </c>
      <c r="T1401" s="2" t="s">
        <v>139</v>
      </c>
      <c r="U1401" s="2" t="s">
        <v>140</v>
      </c>
      <c r="V1401" s="2" t="s">
        <v>59</v>
      </c>
      <c r="W1401" s="2">
        <v>38.799999999999997</v>
      </c>
      <c r="X1401" s="2">
        <v>0</v>
      </c>
      <c r="Y1401" s="2" t="s">
        <v>323</v>
      </c>
      <c r="Z1401" s="2" t="s">
        <v>9487</v>
      </c>
      <c r="AA1401" s="2">
        <v>-0.51195979807803105</v>
      </c>
      <c r="AB1401" s="2">
        <v>0.558334215252005</v>
      </c>
      <c r="AC1401" s="2">
        <v>137078.41469224199</v>
      </c>
      <c r="AD1401" s="2">
        <v>110152.967252546</v>
      </c>
      <c r="AE1401" s="2">
        <v>116865.180289408</v>
      </c>
      <c r="AF1401" s="2">
        <v>150625.988872224</v>
      </c>
      <c r="AG1401" s="2">
        <v>127334.26735335399</v>
      </c>
      <c r="AH1401" s="2">
        <v>131873.38518325199</v>
      </c>
      <c r="AI1401" s="2">
        <v>147783.698017641</v>
      </c>
      <c r="AJ1401" s="2">
        <v>147987.96843757399</v>
      </c>
      <c r="AK1401" s="2">
        <v>111506.857221251</v>
      </c>
      <c r="AL1401" s="2">
        <v>99542.611434874198</v>
      </c>
      <c r="AM1401" s="2">
        <v>102489.30083763201</v>
      </c>
      <c r="AN1401" s="2">
        <v>125540.449718562</v>
      </c>
      <c r="AO1401" s="2">
        <v>101750.040654233</v>
      </c>
      <c r="AP1401" s="2">
        <v>120088.543648726</v>
      </c>
    </row>
    <row r="1402" spans="1:42" ht="14.5" x14ac:dyDescent="0.35">
      <c r="A1402" s="2" t="s">
        <v>9488</v>
      </c>
      <c r="B1402" s="2">
        <v>1013.56779537477</v>
      </c>
      <c r="C1402" s="2">
        <v>11.68605</v>
      </c>
      <c r="D1402" s="2" t="s">
        <v>70</v>
      </c>
      <c r="E1402" s="2" t="s">
        <v>9489</v>
      </c>
      <c r="F1402" s="2">
        <v>27472</v>
      </c>
      <c r="G1402" s="3" t="str">
        <f>HYPERLINK("http://funmeta.oebiotech.com/network/27472", "http://funmeta.oebiotech.com/network/27472")</f>
        <v>http://funmeta.oebiotech.com/network/27472</v>
      </c>
      <c r="H1402" s="2"/>
      <c r="I1402" s="2"/>
      <c r="J1402" s="2" t="s">
        <v>9490</v>
      </c>
      <c r="K1402" s="2"/>
      <c r="L1402" s="2"/>
      <c r="M1402" s="2"/>
      <c r="N1402" s="2"/>
      <c r="O1402" s="2"/>
      <c r="P1402" s="2"/>
      <c r="Q1402" s="2" t="s">
        <v>9491</v>
      </c>
      <c r="R1402" s="2" t="s">
        <v>9492</v>
      </c>
      <c r="S1402" s="2" t="s">
        <v>79</v>
      </c>
      <c r="T1402" s="2" t="s">
        <v>80</v>
      </c>
      <c r="U1402" s="2" t="s">
        <v>81</v>
      </c>
      <c r="V1402" s="2" t="s">
        <v>59</v>
      </c>
      <c r="W1402" s="2">
        <v>38.5</v>
      </c>
      <c r="X1402" s="2">
        <v>0</v>
      </c>
      <c r="Y1402" s="2" t="s">
        <v>118</v>
      </c>
      <c r="Z1402" s="2" t="s">
        <v>9493</v>
      </c>
      <c r="AA1402" s="2">
        <v>-0.28985110170607797</v>
      </c>
      <c r="AB1402" s="2">
        <v>0.55832524312825604</v>
      </c>
      <c r="AC1402" s="2">
        <v>96175.032187175806</v>
      </c>
      <c r="AD1402" s="2">
        <v>70974.622677836698</v>
      </c>
      <c r="AE1402" s="2">
        <v>87577.335518476</v>
      </c>
      <c r="AF1402" s="2">
        <v>80896.995259347503</v>
      </c>
      <c r="AG1402" s="2">
        <v>108380.03811926499</v>
      </c>
      <c r="AH1402" s="2">
        <v>98653.841597214894</v>
      </c>
      <c r="AI1402" s="2">
        <v>106928.019195594</v>
      </c>
      <c r="AJ1402" s="2">
        <v>94613.963433157303</v>
      </c>
      <c r="AK1402" s="2">
        <v>57923.804357250898</v>
      </c>
      <c r="AL1402" s="2">
        <v>69665.375236563006</v>
      </c>
      <c r="AM1402" s="2">
        <v>72836.317193072406</v>
      </c>
      <c r="AN1402" s="2">
        <v>67081.282204061994</v>
      </c>
      <c r="AO1402" s="2">
        <v>74535.810873485796</v>
      </c>
      <c r="AP1402" s="2">
        <v>83805.1462025863</v>
      </c>
    </row>
    <row r="1403" spans="1:42" ht="14.5" x14ac:dyDescent="0.35">
      <c r="A1403" s="2" t="s">
        <v>9494</v>
      </c>
      <c r="B1403" s="2">
        <v>929.19223959650697</v>
      </c>
      <c r="C1403" s="2">
        <v>4.0778333333333299</v>
      </c>
      <c r="D1403" s="2" t="s">
        <v>70</v>
      </c>
      <c r="E1403" s="2" t="s">
        <v>9495</v>
      </c>
      <c r="F1403" s="2">
        <v>28648</v>
      </c>
      <c r="G1403" s="3" t="str">
        <f>HYPERLINK("http://funmeta.oebiotech.com/network/28648", "http://funmeta.oebiotech.com/network/28648")</f>
        <v>http://funmeta.oebiotech.com/network/28648</v>
      </c>
      <c r="H1403" s="2" t="s">
        <v>9496</v>
      </c>
      <c r="I1403" s="2"/>
      <c r="J1403" s="2" t="s">
        <v>9497</v>
      </c>
      <c r="K1403" s="2">
        <v>31463</v>
      </c>
      <c r="L1403" s="2" t="s">
        <v>9498</v>
      </c>
      <c r="M1403" s="2" t="s">
        <v>9499</v>
      </c>
      <c r="N1403" s="2" t="s">
        <v>9500</v>
      </c>
      <c r="O1403" s="2">
        <v>443650</v>
      </c>
      <c r="P1403" s="2" t="s">
        <v>9501</v>
      </c>
      <c r="Q1403" s="2" t="s">
        <v>9502</v>
      </c>
      <c r="R1403" s="2" t="s">
        <v>9503</v>
      </c>
      <c r="S1403" s="2" t="s">
        <v>115</v>
      </c>
      <c r="T1403" s="2" t="s">
        <v>139</v>
      </c>
      <c r="U1403" s="2" t="s">
        <v>140</v>
      </c>
      <c r="V1403" s="2" t="s">
        <v>59</v>
      </c>
      <c r="W1403" s="2">
        <v>36.700000000000003</v>
      </c>
      <c r="X1403" s="2">
        <v>0</v>
      </c>
      <c r="Y1403" s="2" t="s">
        <v>560</v>
      </c>
      <c r="Z1403" s="2" t="s">
        <v>9504</v>
      </c>
      <c r="AA1403" s="2">
        <v>-7.6178645219868297</v>
      </c>
      <c r="AB1403" s="2">
        <v>0.55793864372082502</v>
      </c>
      <c r="AC1403" s="2">
        <v>28273.978231284102</v>
      </c>
      <c r="AD1403" s="2">
        <v>7486.0434997223902</v>
      </c>
      <c r="AE1403" s="2">
        <v>27911.896678831101</v>
      </c>
      <c r="AF1403" s="2">
        <v>25610.968612983001</v>
      </c>
      <c r="AG1403" s="2">
        <v>31958.944543490699</v>
      </c>
      <c r="AH1403" s="2">
        <v>27102.545568098201</v>
      </c>
      <c r="AI1403" s="2">
        <v>27303.363256206001</v>
      </c>
      <c r="AJ1403" s="2">
        <v>29756.150728095501</v>
      </c>
      <c r="AK1403" s="2">
        <v>8925.0747345423006</v>
      </c>
      <c r="AL1403" s="2">
        <v>3922.8746525676902</v>
      </c>
      <c r="AM1403" s="2">
        <v>9894.9221100073992</v>
      </c>
      <c r="AN1403" s="2">
        <v>7442.1284502382096</v>
      </c>
      <c r="AO1403" s="2">
        <v>7148.1803986069799</v>
      </c>
      <c r="AP1403" s="2">
        <v>7583.0806523717401</v>
      </c>
    </row>
    <row r="1404" spans="1:42" ht="14.5" x14ac:dyDescent="0.35">
      <c r="A1404" s="2" t="s">
        <v>9505</v>
      </c>
      <c r="B1404" s="2">
        <v>781.43736847937896</v>
      </c>
      <c r="C1404" s="2">
        <v>10.7807333333333</v>
      </c>
      <c r="D1404" s="2" t="s">
        <v>70</v>
      </c>
      <c r="E1404" s="2" t="s">
        <v>9506</v>
      </c>
      <c r="F1404" s="2">
        <v>61388</v>
      </c>
      <c r="G1404" s="3" t="str">
        <f>HYPERLINK("http://funmeta.oebiotech.com/network/61388", "http://funmeta.oebiotech.com/network/61388")</f>
        <v>http://funmeta.oebiotech.com/network/61388</v>
      </c>
      <c r="H1404" s="2" t="s">
        <v>9507</v>
      </c>
      <c r="I1404" s="2"/>
      <c r="J1404" s="2"/>
      <c r="K1404" s="2"/>
      <c r="L1404" s="2"/>
      <c r="M1404" s="2"/>
      <c r="N1404" s="2"/>
      <c r="O1404" s="2">
        <v>73814007</v>
      </c>
      <c r="P1404" s="2" t="s">
        <v>9508</v>
      </c>
      <c r="Q1404" s="2" t="s">
        <v>9509</v>
      </c>
      <c r="R1404" s="2" t="s">
        <v>9510</v>
      </c>
      <c r="S1404" s="2" t="s">
        <v>50</v>
      </c>
      <c r="T1404" s="2" t="s">
        <v>201</v>
      </c>
      <c r="U1404" s="2" t="s">
        <v>210</v>
      </c>
      <c r="V1404" s="2" t="s">
        <v>42</v>
      </c>
      <c r="W1404" s="2">
        <v>54</v>
      </c>
      <c r="X1404" s="2">
        <v>74.7</v>
      </c>
      <c r="Y1404" s="2" t="s">
        <v>118</v>
      </c>
      <c r="Z1404" s="2" t="s">
        <v>9511</v>
      </c>
      <c r="AA1404" s="2">
        <v>-0.78200880468912104</v>
      </c>
      <c r="AB1404" s="2">
        <v>0.557860881931729</v>
      </c>
      <c r="AC1404" s="2">
        <v>90049.942004470402</v>
      </c>
      <c r="AD1404" s="2">
        <v>66763.623366103202</v>
      </c>
      <c r="AE1404" s="2">
        <v>87837.680802777206</v>
      </c>
      <c r="AF1404" s="2">
        <v>76975.970183705096</v>
      </c>
      <c r="AG1404" s="2">
        <v>86606.954794225894</v>
      </c>
      <c r="AH1404" s="2">
        <v>102580.245203696</v>
      </c>
      <c r="AI1404" s="2">
        <v>90445.283325166194</v>
      </c>
      <c r="AJ1404" s="2">
        <v>95853.517717252194</v>
      </c>
      <c r="AK1404" s="2">
        <v>60277.877407512897</v>
      </c>
      <c r="AL1404" s="2">
        <v>64321.516539112599</v>
      </c>
      <c r="AM1404" s="2">
        <v>71225.839271525794</v>
      </c>
      <c r="AN1404" s="2">
        <v>68453.455487421001</v>
      </c>
      <c r="AO1404" s="2">
        <v>65365.292359494299</v>
      </c>
      <c r="AP1404" s="2">
        <v>70937.759131552695</v>
      </c>
    </row>
    <row r="1405" spans="1:42" ht="14.5" x14ac:dyDescent="0.35">
      <c r="A1405" s="2" t="s">
        <v>9512</v>
      </c>
      <c r="B1405" s="2">
        <v>327.17074368220898</v>
      </c>
      <c r="C1405" s="2">
        <v>4.7359166666666699</v>
      </c>
      <c r="D1405" s="2" t="s">
        <v>34</v>
      </c>
      <c r="E1405" s="2" t="s">
        <v>9513</v>
      </c>
      <c r="F1405" s="2">
        <v>55032</v>
      </c>
      <c r="G1405" s="3" t="str">
        <f>HYPERLINK("http://funmeta.oebiotech.com/network/55032", "http://funmeta.oebiotech.com/network/55032")</f>
        <v>http://funmeta.oebiotech.com/network/55032</v>
      </c>
      <c r="H1405" s="2" t="s">
        <v>9514</v>
      </c>
      <c r="I1405" s="2">
        <v>86798</v>
      </c>
      <c r="J1405" s="2"/>
      <c r="K1405" s="2">
        <v>168437</v>
      </c>
      <c r="L1405" s="2"/>
      <c r="M1405" s="2"/>
      <c r="N1405" s="2"/>
      <c r="O1405" s="2">
        <v>5318825</v>
      </c>
      <c r="P1405" s="2" t="s">
        <v>9515</v>
      </c>
      <c r="Q1405" s="2" t="s">
        <v>9516</v>
      </c>
      <c r="R1405" s="2" t="s">
        <v>9517</v>
      </c>
      <c r="S1405" s="2" t="s">
        <v>491</v>
      </c>
      <c r="T1405" s="2" t="s">
        <v>2184</v>
      </c>
      <c r="U1405" s="2" t="s">
        <v>8546</v>
      </c>
      <c r="V1405" s="2" t="s">
        <v>59</v>
      </c>
      <c r="W1405" s="2">
        <v>39</v>
      </c>
      <c r="X1405" s="2">
        <v>11</v>
      </c>
      <c r="Y1405" s="2" t="s">
        <v>43</v>
      </c>
      <c r="Z1405" s="2" t="s">
        <v>9518</v>
      </c>
      <c r="AA1405" s="2">
        <v>1.3737601607764001</v>
      </c>
      <c r="AB1405" s="2">
        <v>0.55783104980697995</v>
      </c>
      <c r="AC1405" s="2">
        <v>83035.979486358599</v>
      </c>
      <c r="AD1405" s="2">
        <v>106741.46103598599</v>
      </c>
      <c r="AE1405" s="2">
        <v>80382.684479368196</v>
      </c>
      <c r="AF1405" s="2">
        <v>76960.973374112597</v>
      </c>
      <c r="AG1405" s="2">
        <v>89058.146912266195</v>
      </c>
      <c r="AH1405" s="2">
        <v>88728.281214815303</v>
      </c>
      <c r="AI1405" s="2">
        <v>91098.540034145102</v>
      </c>
      <c r="AJ1405" s="2">
        <v>71987.250903443899</v>
      </c>
      <c r="AK1405" s="2">
        <v>100978.95924118299</v>
      </c>
      <c r="AL1405" s="2">
        <v>100399.92069480001</v>
      </c>
      <c r="AM1405" s="2">
        <v>121544.16727902</v>
      </c>
      <c r="AN1405" s="2">
        <v>102055.557585417</v>
      </c>
      <c r="AO1405" s="2">
        <v>108574.925676468</v>
      </c>
      <c r="AP1405" s="2">
        <v>106895.23573903</v>
      </c>
    </row>
    <row r="1406" spans="1:42" ht="14.5" x14ac:dyDescent="0.35">
      <c r="A1406" s="2" t="s">
        <v>9519</v>
      </c>
      <c r="B1406" s="2">
        <v>275.077121376842</v>
      </c>
      <c r="C1406" s="2">
        <v>1.5991</v>
      </c>
      <c r="D1406" s="2" t="s">
        <v>70</v>
      </c>
      <c r="E1406" s="2" t="s">
        <v>9520</v>
      </c>
      <c r="F1406" s="2">
        <v>256025</v>
      </c>
      <c r="G1406" s="3" t="str">
        <f>HYPERLINK("http://funmeta.oebiotech.com/network/256025", "http://funmeta.oebiotech.com/network/256025")</f>
        <v>http://funmeta.oebiotech.com/network/256025</v>
      </c>
      <c r="H1406" s="2" t="s">
        <v>9521</v>
      </c>
      <c r="I1406" s="2">
        <v>67073</v>
      </c>
      <c r="J1406" s="2"/>
      <c r="K1406" s="2"/>
      <c r="L1406" s="2" t="s">
        <v>9522</v>
      </c>
      <c r="M1406" s="2"/>
      <c r="N1406" s="2"/>
      <c r="O1406" s="2">
        <v>441643</v>
      </c>
      <c r="P1406" s="2" t="s">
        <v>9523</v>
      </c>
      <c r="Q1406" s="2" t="s">
        <v>9524</v>
      </c>
      <c r="R1406" s="2" t="s">
        <v>9525</v>
      </c>
      <c r="S1406" s="2" t="s">
        <v>79</v>
      </c>
      <c r="T1406" s="2" t="s">
        <v>80</v>
      </c>
      <c r="U1406" s="2" t="s">
        <v>81</v>
      </c>
      <c r="V1406" s="2" t="s">
        <v>42</v>
      </c>
      <c r="W1406" s="2">
        <v>49.4</v>
      </c>
      <c r="X1406" s="2">
        <v>51.6</v>
      </c>
      <c r="Y1406" s="2" t="s">
        <v>751</v>
      </c>
      <c r="Z1406" s="2" t="s">
        <v>6551</v>
      </c>
      <c r="AA1406" s="2">
        <v>-0.40686317075237</v>
      </c>
      <c r="AB1406" s="2">
        <v>0.55774585628944495</v>
      </c>
      <c r="AC1406" s="2">
        <v>19975.999129194901</v>
      </c>
      <c r="AD1406" s="2">
        <v>40675.484369592297</v>
      </c>
      <c r="AE1406" s="2">
        <v>19160.795591582999</v>
      </c>
      <c r="AF1406" s="2">
        <v>19508.605560058601</v>
      </c>
      <c r="AG1406" s="2">
        <v>20566.439685213401</v>
      </c>
      <c r="AH1406" s="2">
        <v>18950.259397200902</v>
      </c>
      <c r="AI1406" s="2">
        <v>20932.931717366901</v>
      </c>
      <c r="AJ1406" s="2">
        <v>20736.9628237465</v>
      </c>
      <c r="AK1406" s="2">
        <v>38663.9560679352</v>
      </c>
      <c r="AL1406" s="2">
        <v>36379.783015054403</v>
      </c>
      <c r="AM1406" s="2">
        <v>42550.520687074801</v>
      </c>
      <c r="AN1406" s="2">
        <v>41591.490595546296</v>
      </c>
      <c r="AO1406" s="2">
        <v>40881.1649236343</v>
      </c>
      <c r="AP1406" s="2">
        <v>43985.990928308602</v>
      </c>
    </row>
    <row r="1407" spans="1:42" ht="14.5" x14ac:dyDescent="0.35">
      <c r="A1407" s="2" t="s">
        <v>9526</v>
      </c>
      <c r="B1407" s="2">
        <v>795.28661575573403</v>
      </c>
      <c r="C1407" s="2">
        <v>8.2980999999999998</v>
      </c>
      <c r="D1407" s="2" t="s">
        <v>70</v>
      </c>
      <c r="E1407" s="2" t="s">
        <v>9527</v>
      </c>
      <c r="F1407" s="2">
        <v>255284</v>
      </c>
      <c r="G1407" s="3" t="str">
        <f>HYPERLINK("http://funmeta.oebiotech.com/network/255284", "http://funmeta.oebiotech.com/network/255284")</f>
        <v>http://funmeta.oebiotech.com/network/255284</v>
      </c>
      <c r="H1407" s="2" t="s">
        <v>9528</v>
      </c>
      <c r="I1407" s="2"/>
      <c r="J1407" s="2"/>
      <c r="K1407" s="2"/>
      <c r="L1407" s="2"/>
      <c r="M1407" s="2"/>
      <c r="N1407" s="2"/>
      <c r="O1407" s="2">
        <v>24758070</v>
      </c>
      <c r="P1407" s="2"/>
      <c r="Q1407" s="2" t="s">
        <v>9529</v>
      </c>
      <c r="R1407" s="2" t="s">
        <v>9530</v>
      </c>
      <c r="S1407" s="2" t="s">
        <v>1184</v>
      </c>
      <c r="T1407" s="2" t="s">
        <v>3333</v>
      </c>
      <c r="U1407" s="2" t="s">
        <v>3334</v>
      </c>
      <c r="V1407" s="2" t="s">
        <v>59</v>
      </c>
      <c r="W1407" s="2">
        <v>44</v>
      </c>
      <c r="X1407" s="2">
        <v>22.5</v>
      </c>
      <c r="Y1407" s="2" t="s">
        <v>408</v>
      </c>
      <c r="Z1407" s="2" t="s">
        <v>9531</v>
      </c>
      <c r="AA1407" s="2">
        <v>-0.45750828998020798</v>
      </c>
      <c r="AB1407" s="2">
        <v>0.55766347661434401</v>
      </c>
      <c r="AC1407" s="2">
        <v>130266.94474200399</v>
      </c>
      <c r="AD1407" s="2">
        <v>151904.187062588</v>
      </c>
      <c r="AE1407" s="2">
        <v>126205.94396377599</v>
      </c>
      <c r="AF1407" s="2">
        <v>125295.147049851</v>
      </c>
      <c r="AG1407" s="2">
        <v>134911.53599532801</v>
      </c>
      <c r="AH1407" s="2">
        <v>127597.18908909299</v>
      </c>
      <c r="AI1407" s="2">
        <v>130342.55507194001</v>
      </c>
      <c r="AJ1407" s="2">
        <v>137249.297282035</v>
      </c>
      <c r="AK1407" s="2">
        <v>155227.048031479</v>
      </c>
      <c r="AL1407" s="2">
        <v>154060.71920244501</v>
      </c>
      <c r="AM1407" s="2">
        <v>151371.67136761601</v>
      </c>
      <c r="AN1407" s="2">
        <v>153875.83098542699</v>
      </c>
      <c r="AO1407" s="2">
        <v>146066.15916314401</v>
      </c>
      <c r="AP1407" s="2">
        <v>150823.69362541501</v>
      </c>
    </row>
    <row r="1408" spans="1:42" ht="14.5" x14ac:dyDescent="0.35">
      <c r="A1408" s="2" t="s">
        <v>9532</v>
      </c>
      <c r="B1408" s="2">
        <v>640.33110389115495</v>
      </c>
      <c r="C1408" s="2">
        <v>7.9920499999999999</v>
      </c>
      <c r="D1408" s="2" t="s">
        <v>34</v>
      </c>
      <c r="E1408" s="2" t="s">
        <v>9533</v>
      </c>
      <c r="F1408" s="2">
        <v>267225</v>
      </c>
      <c r="G1408" s="3" t="str">
        <f>HYPERLINK("http://funmeta.oebiotech.com/network/267225", "http://funmeta.oebiotech.com/network/267225")</f>
        <v>http://funmeta.oebiotech.com/network/267225</v>
      </c>
      <c r="H1408" s="2"/>
      <c r="I1408" s="2">
        <v>45048</v>
      </c>
      <c r="J1408" s="2"/>
      <c r="K1408" s="2"/>
      <c r="L1408" s="2"/>
      <c r="M1408" s="2"/>
      <c r="N1408" s="2"/>
      <c r="O1408" s="2">
        <v>101070933</v>
      </c>
      <c r="P1408" s="2" t="s">
        <v>9534</v>
      </c>
      <c r="Q1408" s="2" t="s">
        <v>9535</v>
      </c>
      <c r="R1408" s="2" t="s">
        <v>9536</v>
      </c>
      <c r="S1408" s="2" t="s">
        <v>89</v>
      </c>
      <c r="T1408" s="2" t="s">
        <v>90</v>
      </c>
      <c r="U1408" s="2" t="s">
        <v>99</v>
      </c>
      <c r="V1408" s="2" t="s">
        <v>59</v>
      </c>
      <c r="W1408" s="2">
        <v>36.700000000000003</v>
      </c>
      <c r="X1408" s="2">
        <v>0.30399999999999999</v>
      </c>
      <c r="Y1408" s="2" t="s">
        <v>394</v>
      </c>
      <c r="Z1408" s="2" t="s">
        <v>9537</v>
      </c>
      <c r="AA1408" s="2">
        <v>7.6273310468283997</v>
      </c>
      <c r="AB1408" s="2">
        <v>0.55723894762194204</v>
      </c>
      <c r="AC1408" s="2">
        <v>55452.242766250398</v>
      </c>
      <c r="AD1408" s="2">
        <v>81272.322162065204</v>
      </c>
      <c r="AE1408" s="2">
        <v>36127.929378959001</v>
      </c>
      <c r="AF1408" s="2">
        <v>56119.639111281198</v>
      </c>
      <c r="AG1408" s="2">
        <v>57989.855405730297</v>
      </c>
      <c r="AH1408" s="2">
        <v>50789.530634715098</v>
      </c>
      <c r="AI1408" s="2">
        <v>56693.111927145299</v>
      </c>
      <c r="AJ1408" s="2">
        <v>74993.390139671406</v>
      </c>
      <c r="AK1408" s="2">
        <v>75224.009770430697</v>
      </c>
      <c r="AL1408" s="2">
        <v>92286.100879194404</v>
      </c>
      <c r="AM1408" s="2">
        <v>80691.441123972603</v>
      </c>
      <c r="AN1408" s="2">
        <v>92971.017252976293</v>
      </c>
      <c r="AO1408" s="2">
        <v>76186.650442411003</v>
      </c>
      <c r="AP1408" s="2">
        <v>70274.713503406296</v>
      </c>
    </row>
    <row r="1409" spans="1:42" ht="14.5" x14ac:dyDescent="0.35">
      <c r="A1409" s="2" t="s">
        <v>9538</v>
      </c>
      <c r="B1409" s="2">
        <v>531.20535290452494</v>
      </c>
      <c r="C1409" s="2">
        <v>6.3868666666666698</v>
      </c>
      <c r="D1409" s="2" t="s">
        <v>70</v>
      </c>
      <c r="E1409" s="2" t="s">
        <v>9539</v>
      </c>
      <c r="F1409" s="2">
        <v>47107</v>
      </c>
      <c r="G1409" s="3" t="str">
        <f>HYPERLINK("http://funmeta.oebiotech.com/network/47107", "http://funmeta.oebiotech.com/network/47107")</f>
        <v>http://funmeta.oebiotech.com/network/47107</v>
      </c>
      <c r="H1409" s="2" t="s">
        <v>9540</v>
      </c>
      <c r="I1409" s="2">
        <v>5567</v>
      </c>
      <c r="J1409" s="2"/>
      <c r="K1409" s="2">
        <v>89573</v>
      </c>
      <c r="L1409" s="2"/>
      <c r="M1409" s="2"/>
      <c r="N1409" s="2"/>
      <c r="O1409" s="2">
        <v>122304</v>
      </c>
      <c r="P1409" s="2" t="s">
        <v>9541</v>
      </c>
      <c r="Q1409" s="2" t="s">
        <v>9542</v>
      </c>
      <c r="R1409" s="2" t="s">
        <v>9543</v>
      </c>
      <c r="S1409" s="2" t="s">
        <v>50</v>
      </c>
      <c r="T1409" s="2" t="s">
        <v>229</v>
      </c>
      <c r="U1409" s="2" t="s">
        <v>230</v>
      </c>
      <c r="V1409" s="2" t="s">
        <v>59</v>
      </c>
      <c r="W1409" s="2">
        <v>39.1</v>
      </c>
      <c r="X1409" s="2">
        <v>2.8899999999999999E-2</v>
      </c>
      <c r="Y1409" s="2" t="s">
        <v>408</v>
      </c>
      <c r="Z1409" s="2" t="s">
        <v>9544</v>
      </c>
      <c r="AA1409" s="2">
        <v>2.18195594195072</v>
      </c>
      <c r="AB1409" s="2">
        <v>0.55689351474732796</v>
      </c>
      <c r="AC1409" s="2">
        <v>16474.431332088901</v>
      </c>
      <c r="AD1409" s="2">
        <v>37016.796204193801</v>
      </c>
      <c r="AE1409" s="2">
        <v>16427.640322433999</v>
      </c>
      <c r="AF1409" s="2">
        <v>17500.120699036001</v>
      </c>
      <c r="AG1409" s="2">
        <v>15586.0667998234</v>
      </c>
      <c r="AH1409" s="2">
        <v>17094.3553023147</v>
      </c>
      <c r="AI1409" s="2">
        <v>15159.487084550099</v>
      </c>
      <c r="AJ1409" s="2">
        <v>17078.917784375401</v>
      </c>
      <c r="AK1409" s="2">
        <v>34384.615005161097</v>
      </c>
      <c r="AL1409" s="2">
        <v>38616.539598449599</v>
      </c>
      <c r="AM1409" s="2">
        <v>37051.225348010099</v>
      </c>
      <c r="AN1409" s="2">
        <v>37716.328969559698</v>
      </c>
      <c r="AO1409" s="2">
        <v>39215.382998885303</v>
      </c>
      <c r="AP1409" s="2">
        <v>35116.685305097199</v>
      </c>
    </row>
    <row r="1410" spans="1:42" ht="14.5" x14ac:dyDescent="0.35">
      <c r="A1410" s="2" t="s">
        <v>9545</v>
      </c>
      <c r="B1410" s="2">
        <v>523.29070473334104</v>
      </c>
      <c r="C1410" s="2">
        <v>5.0778999999999996</v>
      </c>
      <c r="D1410" s="2" t="s">
        <v>70</v>
      </c>
      <c r="E1410" s="2" t="s">
        <v>9546</v>
      </c>
      <c r="F1410" s="2">
        <v>56361</v>
      </c>
      <c r="G1410" s="3" t="str">
        <f>HYPERLINK("http://funmeta.oebiotech.com/network/56361", "http://funmeta.oebiotech.com/network/56361")</f>
        <v>http://funmeta.oebiotech.com/network/56361</v>
      </c>
      <c r="H1410" s="2" t="s">
        <v>9547</v>
      </c>
      <c r="I1410" s="2">
        <v>88013</v>
      </c>
      <c r="J1410" s="2"/>
      <c r="K1410" s="2">
        <v>176162</v>
      </c>
      <c r="L1410" s="2"/>
      <c r="M1410" s="2"/>
      <c r="N1410" s="2"/>
      <c r="O1410" s="2">
        <v>9912965</v>
      </c>
      <c r="P1410" s="2" t="s">
        <v>9548</v>
      </c>
      <c r="Q1410" s="2" t="s">
        <v>9549</v>
      </c>
      <c r="R1410" s="2" t="s">
        <v>9550</v>
      </c>
      <c r="S1410" s="2" t="s">
        <v>50</v>
      </c>
      <c r="T1410" s="2" t="s">
        <v>201</v>
      </c>
      <c r="U1410" s="2" t="s">
        <v>241</v>
      </c>
      <c r="V1410" s="2" t="s">
        <v>59</v>
      </c>
      <c r="W1410" s="2">
        <v>38.1</v>
      </c>
      <c r="X1410" s="2">
        <v>0</v>
      </c>
      <c r="Y1410" s="2" t="s">
        <v>408</v>
      </c>
      <c r="Z1410" s="2" t="s">
        <v>6024</v>
      </c>
      <c r="AA1410" s="2">
        <v>-1.1537288999794899</v>
      </c>
      <c r="AB1410" s="2">
        <v>0.55685305621400305</v>
      </c>
      <c r="AC1410" s="2">
        <v>21708.426216506101</v>
      </c>
      <c r="AD1410" s="2">
        <v>42804.016794572199</v>
      </c>
      <c r="AE1410" s="2">
        <v>22234.182400924001</v>
      </c>
      <c r="AF1410" s="2">
        <v>22618.858767446702</v>
      </c>
      <c r="AG1410" s="2">
        <v>22248.616978317499</v>
      </c>
      <c r="AH1410" s="2">
        <v>22393.977634106199</v>
      </c>
      <c r="AI1410" s="2">
        <v>21439.6561865972</v>
      </c>
      <c r="AJ1410" s="2">
        <v>19315.2653316451</v>
      </c>
      <c r="AK1410" s="2">
        <v>41416.011083989302</v>
      </c>
      <c r="AL1410" s="2">
        <v>46978.781227890802</v>
      </c>
      <c r="AM1410" s="2">
        <v>38000.1896367277</v>
      </c>
      <c r="AN1410" s="2">
        <v>39457.792457361997</v>
      </c>
      <c r="AO1410" s="2">
        <v>42609.519739335898</v>
      </c>
      <c r="AP1410" s="2">
        <v>48361.806622127398</v>
      </c>
    </row>
    <row r="1411" spans="1:42" ht="14.5" x14ac:dyDescent="0.35">
      <c r="A1411" s="2" t="s">
        <v>9551</v>
      </c>
      <c r="B1411" s="2">
        <v>508.26741979735402</v>
      </c>
      <c r="C1411" s="2">
        <v>6.3948166666666699</v>
      </c>
      <c r="D1411" s="2" t="s">
        <v>34</v>
      </c>
      <c r="E1411" s="2" t="s">
        <v>9552</v>
      </c>
      <c r="F1411" s="2">
        <v>219637</v>
      </c>
      <c r="G1411" s="3" t="str">
        <f>HYPERLINK("http://funmeta.oebiotech.com/network/219637", "http://funmeta.oebiotech.com/network/219637")</f>
        <v>http://funmeta.oebiotech.com/network/219637</v>
      </c>
      <c r="H1411" s="2" t="s">
        <v>9553</v>
      </c>
      <c r="I1411" s="2"/>
      <c r="J1411" s="2"/>
      <c r="K1411" s="2"/>
      <c r="L1411" s="2"/>
      <c r="M1411" s="2"/>
      <c r="N1411" s="2"/>
      <c r="O1411" s="2"/>
      <c r="P1411" s="2"/>
      <c r="Q1411" s="2" t="s">
        <v>9554</v>
      </c>
      <c r="R1411" s="2" t="s">
        <v>9555</v>
      </c>
      <c r="S1411" s="2" t="s">
        <v>41</v>
      </c>
      <c r="T1411" s="2" t="s">
        <v>41</v>
      </c>
      <c r="U1411" s="2" t="s">
        <v>41</v>
      </c>
      <c r="V1411" s="2" t="s">
        <v>59</v>
      </c>
      <c r="W1411" s="2">
        <v>38.299999999999997</v>
      </c>
      <c r="X1411" s="2">
        <v>0</v>
      </c>
      <c r="Y1411" s="2" t="s">
        <v>43</v>
      </c>
      <c r="Z1411" s="2" t="s">
        <v>9556</v>
      </c>
      <c r="AA1411" s="2">
        <v>0.86654802405770903</v>
      </c>
      <c r="AB1411" s="2">
        <v>0.55676418604130495</v>
      </c>
      <c r="AC1411" s="2">
        <v>13808.967929710299</v>
      </c>
      <c r="AD1411" s="2">
        <v>35382.538503956101</v>
      </c>
      <c r="AE1411" s="2">
        <v>12384.367424509001</v>
      </c>
      <c r="AF1411" s="2">
        <v>17901.862995134299</v>
      </c>
      <c r="AG1411" s="2">
        <v>16058.5490592273</v>
      </c>
      <c r="AH1411" s="2">
        <v>11162.9117160113</v>
      </c>
      <c r="AI1411" s="2">
        <v>13599.4530658969</v>
      </c>
      <c r="AJ1411" s="2">
        <v>11746.663317483</v>
      </c>
      <c r="AK1411" s="2">
        <v>26486.837973651898</v>
      </c>
      <c r="AL1411" s="2">
        <v>32884.047258731502</v>
      </c>
      <c r="AM1411" s="2">
        <v>42109.8396193675</v>
      </c>
      <c r="AN1411" s="2">
        <v>39036.666392942701</v>
      </c>
      <c r="AO1411" s="2">
        <v>36184.959574070301</v>
      </c>
      <c r="AP1411" s="2">
        <v>35592.880204972796</v>
      </c>
    </row>
    <row r="1412" spans="1:42" ht="14.5" x14ac:dyDescent="0.35">
      <c r="A1412" s="2" t="s">
        <v>9557</v>
      </c>
      <c r="B1412" s="2">
        <v>417.21283015331801</v>
      </c>
      <c r="C1412" s="2">
        <v>6.0108166666666696</v>
      </c>
      <c r="D1412" s="2" t="s">
        <v>70</v>
      </c>
      <c r="E1412" s="2" t="s">
        <v>9558</v>
      </c>
      <c r="F1412" s="2">
        <v>63811</v>
      </c>
      <c r="G1412" s="3" t="str">
        <f>HYPERLINK("http://funmeta.oebiotech.com/network/63811", "http://funmeta.oebiotech.com/network/63811")</f>
        <v>http://funmeta.oebiotech.com/network/63811</v>
      </c>
      <c r="H1412" s="2" t="s">
        <v>9559</v>
      </c>
      <c r="I1412" s="2"/>
      <c r="J1412" s="2"/>
      <c r="K1412" s="2"/>
      <c r="L1412" s="2"/>
      <c r="M1412" s="2"/>
      <c r="N1412" s="2"/>
      <c r="O1412" s="2">
        <v>14135394</v>
      </c>
      <c r="P1412" s="2" t="s">
        <v>9560</v>
      </c>
      <c r="Q1412" s="2" t="s">
        <v>9561</v>
      </c>
      <c r="R1412" s="2" t="s">
        <v>9562</v>
      </c>
      <c r="S1412" s="2" t="s">
        <v>50</v>
      </c>
      <c r="T1412" s="2" t="s">
        <v>229</v>
      </c>
      <c r="U1412" s="2" t="s">
        <v>230</v>
      </c>
      <c r="V1412" s="2" t="s">
        <v>59</v>
      </c>
      <c r="W1412" s="2">
        <v>46.3</v>
      </c>
      <c r="X1412" s="2">
        <v>37</v>
      </c>
      <c r="Y1412" s="2" t="s">
        <v>408</v>
      </c>
      <c r="Z1412" s="2" t="s">
        <v>9563</v>
      </c>
      <c r="AA1412" s="2">
        <v>-0.47305974999059403</v>
      </c>
      <c r="AB1412" s="2">
        <v>0.55516820205861395</v>
      </c>
      <c r="AC1412" s="2">
        <v>34518.540552631399</v>
      </c>
      <c r="AD1412" s="2">
        <v>14227.5814060752</v>
      </c>
      <c r="AE1412" s="2">
        <v>34272.408076545304</v>
      </c>
      <c r="AF1412" s="2">
        <v>34984.822734396803</v>
      </c>
      <c r="AG1412" s="2">
        <v>33782.029044272</v>
      </c>
      <c r="AH1412" s="2">
        <v>35660.423503911697</v>
      </c>
      <c r="AI1412" s="2">
        <v>34403.864738886899</v>
      </c>
      <c r="AJ1412" s="2">
        <v>34007.695217775603</v>
      </c>
      <c r="AK1412" s="2">
        <v>13954.9309986106</v>
      </c>
      <c r="AL1412" s="2">
        <v>13881.1809045342</v>
      </c>
      <c r="AM1412" s="2">
        <v>15024.129940663401</v>
      </c>
      <c r="AN1412" s="2">
        <v>14513.1829095539</v>
      </c>
      <c r="AO1412" s="2">
        <v>12508.9367614319</v>
      </c>
      <c r="AP1412" s="2">
        <v>15483.1269216571</v>
      </c>
    </row>
    <row r="1413" spans="1:42" ht="14.5" x14ac:dyDescent="0.35">
      <c r="A1413" s="2" t="s">
        <v>9564</v>
      </c>
      <c r="B1413" s="2">
        <v>239.055704987577</v>
      </c>
      <c r="C1413" s="2">
        <v>4.0778333333333299</v>
      </c>
      <c r="D1413" s="2" t="s">
        <v>70</v>
      </c>
      <c r="E1413" s="2" t="s">
        <v>9565</v>
      </c>
      <c r="F1413" s="2">
        <v>55512</v>
      </c>
      <c r="G1413" s="3" t="str">
        <f>HYPERLINK("http://funmeta.oebiotech.com/network/55512", "http://funmeta.oebiotech.com/network/55512")</f>
        <v>http://funmeta.oebiotech.com/network/55512</v>
      </c>
      <c r="H1413" s="2" t="s">
        <v>9566</v>
      </c>
      <c r="I1413" s="2">
        <v>87184</v>
      </c>
      <c r="J1413" s="2"/>
      <c r="K1413" s="2">
        <v>141335</v>
      </c>
      <c r="L1413" s="2"/>
      <c r="M1413" s="2"/>
      <c r="N1413" s="2"/>
      <c r="O1413" s="2">
        <v>169539</v>
      </c>
      <c r="P1413" s="2" t="s">
        <v>9567</v>
      </c>
      <c r="Q1413" s="2" t="s">
        <v>9568</v>
      </c>
      <c r="R1413" s="2" t="s">
        <v>9569</v>
      </c>
      <c r="S1413" s="2" t="s">
        <v>491</v>
      </c>
      <c r="T1413" s="2" t="s">
        <v>2251</v>
      </c>
      <c r="U1413" s="2" t="s">
        <v>9570</v>
      </c>
      <c r="V1413" s="2" t="s">
        <v>42</v>
      </c>
      <c r="W1413" s="2">
        <v>50.5</v>
      </c>
      <c r="X1413" s="2">
        <v>56.7</v>
      </c>
      <c r="Y1413" s="2" t="s">
        <v>408</v>
      </c>
      <c r="Z1413" s="2" t="s">
        <v>1828</v>
      </c>
      <c r="AA1413" s="2">
        <v>-2.0956701304415599</v>
      </c>
      <c r="AB1413" s="2">
        <v>0.55506556062146695</v>
      </c>
      <c r="AC1413" s="2">
        <v>51352.876500655497</v>
      </c>
      <c r="AD1413" s="2">
        <v>27003.255134567102</v>
      </c>
      <c r="AE1413" s="2">
        <v>49598.732175969599</v>
      </c>
      <c r="AF1413" s="2">
        <v>44910.326397172001</v>
      </c>
      <c r="AG1413" s="2">
        <v>62606.799955304399</v>
      </c>
      <c r="AH1413" s="2">
        <v>45752.506638647203</v>
      </c>
      <c r="AI1413" s="2">
        <v>37752.887237463598</v>
      </c>
      <c r="AJ1413" s="2">
        <v>67496.006599376196</v>
      </c>
      <c r="AK1413" s="2">
        <v>24672.619347404001</v>
      </c>
      <c r="AL1413" s="2">
        <v>37436.724746182299</v>
      </c>
      <c r="AM1413" s="2">
        <v>24012.767999189698</v>
      </c>
      <c r="AN1413" s="2">
        <v>23246.279256202299</v>
      </c>
      <c r="AO1413" s="2">
        <v>32075.368108810999</v>
      </c>
      <c r="AP1413" s="2">
        <v>20575.771349613598</v>
      </c>
    </row>
    <row r="1414" spans="1:42" ht="14.5" x14ac:dyDescent="0.35">
      <c r="A1414" s="2" t="s">
        <v>9571</v>
      </c>
      <c r="B1414" s="2">
        <v>139.038870949646</v>
      </c>
      <c r="C1414" s="2">
        <v>4.3112000000000004</v>
      </c>
      <c r="D1414" s="2" t="s">
        <v>34</v>
      </c>
      <c r="E1414" s="2" t="s">
        <v>9572</v>
      </c>
      <c r="F1414" s="2">
        <v>81983</v>
      </c>
      <c r="G1414" s="3" t="str">
        <f>HYPERLINK("http://funmeta.oebiotech.com/network/81983", "http://funmeta.oebiotech.com/network/81983")</f>
        <v>http://funmeta.oebiotech.com/network/81983</v>
      </c>
      <c r="H1414" s="2" t="s">
        <v>9573</v>
      </c>
      <c r="I1414" s="2">
        <v>63101</v>
      </c>
      <c r="J1414" s="2"/>
      <c r="K1414" s="2">
        <v>50205</v>
      </c>
      <c r="L1414" s="2" t="s">
        <v>9574</v>
      </c>
      <c r="M1414" s="2" t="s">
        <v>9575</v>
      </c>
      <c r="N1414" s="2" t="s">
        <v>9576</v>
      </c>
      <c r="O1414" s="2">
        <v>8768</v>
      </c>
      <c r="P1414" s="2" t="s">
        <v>9577</v>
      </c>
      <c r="Q1414" s="2" t="s">
        <v>9578</v>
      </c>
      <c r="R1414" s="2" t="s">
        <v>9579</v>
      </c>
      <c r="S1414" s="2" t="s">
        <v>79</v>
      </c>
      <c r="T1414" s="2" t="s">
        <v>80</v>
      </c>
      <c r="U1414" s="2" t="s">
        <v>2820</v>
      </c>
      <c r="V1414" s="2" t="s">
        <v>42</v>
      </c>
      <c r="W1414" s="2">
        <v>50.6</v>
      </c>
      <c r="X1414" s="2">
        <v>55.6</v>
      </c>
      <c r="Y1414" s="2" t="s">
        <v>394</v>
      </c>
      <c r="Z1414" s="2" t="s">
        <v>9456</v>
      </c>
      <c r="AA1414" s="2">
        <v>-0.72109130011818801</v>
      </c>
      <c r="AB1414" s="2">
        <v>0.55485470185208097</v>
      </c>
      <c r="AC1414" s="2">
        <v>60726.314999249902</v>
      </c>
      <c r="AD1414" s="2">
        <v>81626.203063568406</v>
      </c>
      <c r="AE1414" s="2">
        <v>57333.102459801899</v>
      </c>
      <c r="AF1414" s="2">
        <v>56120.044555471402</v>
      </c>
      <c r="AG1414" s="2">
        <v>64748.316062276797</v>
      </c>
      <c r="AH1414" s="2">
        <v>63267.8801894016</v>
      </c>
      <c r="AI1414" s="2">
        <v>60353.719522565101</v>
      </c>
      <c r="AJ1414" s="2">
        <v>62534.827205982801</v>
      </c>
      <c r="AK1414" s="2">
        <v>81414.024078607006</v>
      </c>
      <c r="AL1414" s="2">
        <v>77342.961371261394</v>
      </c>
      <c r="AM1414" s="2">
        <v>82650.069148517607</v>
      </c>
      <c r="AN1414" s="2">
        <v>80737.912486595204</v>
      </c>
      <c r="AO1414" s="2">
        <v>82011.156142746797</v>
      </c>
      <c r="AP1414" s="2">
        <v>85601.095153682705</v>
      </c>
    </row>
    <row r="1415" spans="1:42" ht="14.5" x14ac:dyDescent="0.35">
      <c r="A1415" s="2" t="s">
        <v>9580</v>
      </c>
      <c r="B1415" s="2">
        <v>300.10572096191498</v>
      </c>
      <c r="C1415" s="2">
        <v>1.29345</v>
      </c>
      <c r="D1415" s="2" t="s">
        <v>34</v>
      </c>
      <c r="E1415" s="2" t="s">
        <v>9581</v>
      </c>
      <c r="F1415" s="2">
        <v>61870</v>
      </c>
      <c r="G1415" s="3" t="str">
        <f>HYPERLINK("http://funmeta.oebiotech.com/network/61870", "http://funmeta.oebiotech.com/network/61870")</f>
        <v>http://funmeta.oebiotech.com/network/61870</v>
      </c>
      <c r="H1415" s="2" t="s">
        <v>9582</v>
      </c>
      <c r="I1415" s="2"/>
      <c r="J1415" s="2"/>
      <c r="K1415" s="2">
        <v>156202</v>
      </c>
      <c r="L1415" s="2"/>
      <c r="M1415" s="2"/>
      <c r="N1415" s="2"/>
      <c r="O1415" s="2">
        <v>131752381</v>
      </c>
      <c r="P1415" s="2" t="s">
        <v>9583</v>
      </c>
      <c r="Q1415" s="2" t="s">
        <v>9584</v>
      </c>
      <c r="R1415" s="2" t="s">
        <v>9585</v>
      </c>
      <c r="S1415" s="2" t="s">
        <v>89</v>
      </c>
      <c r="T1415" s="2" t="s">
        <v>90</v>
      </c>
      <c r="U1415" s="2" t="s">
        <v>99</v>
      </c>
      <c r="V1415" s="2" t="s">
        <v>59</v>
      </c>
      <c r="W1415" s="2">
        <v>40.700000000000003</v>
      </c>
      <c r="X1415" s="2">
        <v>8.76</v>
      </c>
      <c r="Y1415" s="2" t="s">
        <v>323</v>
      </c>
      <c r="Z1415" s="2" t="s">
        <v>9586</v>
      </c>
      <c r="AA1415" s="2">
        <v>1.2569850678105701</v>
      </c>
      <c r="AB1415" s="2">
        <v>0.55395109788820796</v>
      </c>
      <c r="AC1415" s="2">
        <v>52099.999210363501</v>
      </c>
      <c r="AD1415" s="2">
        <v>74765.872180606893</v>
      </c>
      <c r="AE1415" s="2">
        <v>51377.978149842798</v>
      </c>
      <c r="AF1415" s="2">
        <v>52700.203047978299</v>
      </c>
      <c r="AG1415" s="2">
        <v>48815.026696938898</v>
      </c>
      <c r="AH1415" s="2">
        <v>51328.281897683097</v>
      </c>
      <c r="AI1415" s="2">
        <v>58028.839509124598</v>
      </c>
      <c r="AJ1415" s="2">
        <v>50349.665960613602</v>
      </c>
      <c r="AK1415" s="2">
        <v>71561.154806689301</v>
      </c>
      <c r="AL1415" s="2">
        <v>84568.772038591502</v>
      </c>
      <c r="AM1415" s="2">
        <v>67504.848541598694</v>
      </c>
      <c r="AN1415" s="2">
        <v>66335.666079315604</v>
      </c>
      <c r="AO1415" s="2">
        <v>72766.611993793995</v>
      </c>
      <c r="AP1415" s="2">
        <v>85858.179623652395</v>
      </c>
    </row>
    <row r="1416" spans="1:42" ht="14.5" x14ac:dyDescent="0.35">
      <c r="A1416" s="2" t="s">
        <v>9587</v>
      </c>
      <c r="B1416" s="2">
        <v>555.16406619608699</v>
      </c>
      <c r="C1416" s="2">
        <v>5.1704666666666697</v>
      </c>
      <c r="D1416" s="2" t="s">
        <v>70</v>
      </c>
      <c r="E1416" s="2" t="s">
        <v>9588</v>
      </c>
      <c r="F1416" s="2">
        <v>199188</v>
      </c>
      <c r="G1416" s="3" t="str">
        <f>HYPERLINK("http://funmeta.oebiotech.com/network/199188", "http://funmeta.oebiotech.com/network/199188")</f>
        <v>http://funmeta.oebiotech.com/network/199188</v>
      </c>
      <c r="H1416" s="2" t="s">
        <v>9589</v>
      </c>
      <c r="I1416" s="2">
        <v>1898</v>
      </c>
      <c r="J1416" s="2"/>
      <c r="K1416" s="2"/>
      <c r="L1416" s="2"/>
      <c r="M1416" s="2"/>
      <c r="N1416" s="2"/>
      <c r="O1416" s="2">
        <v>14347913</v>
      </c>
      <c r="P1416" s="2" t="s">
        <v>9590</v>
      </c>
      <c r="Q1416" s="2" t="s">
        <v>9591</v>
      </c>
      <c r="R1416" s="2" t="s">
        <v>9592</v>
      </c>
      <c r="S1416" s="2" t="s">
        <v>41</v>
      </c>
      <c r="T1416" s="2" t="s">
        <v>41</v>
      </c>
      <c r="U1416" s="2" t="s">
        <v>41</v>
      </c>
      <c r="V1416" s="2" t="s">
        <v>59</v>
      </c>
      <c r="W1416" s="2">
        <v>42.8</v>
      </c>
      <c r="X1416" s="2">
        <v>22.2</v>
      </c>
      <c r="Y1416" s="2" t="s">
        <v>560</v>
      </c>
      <c r="Z1416" s="2" t="s">
        <v>9593</v>
      </c>
      <c r="AA1416" s="2">
        <v>-2.0024976064161901</v>
      </c>
      <c r="AB1416" s="2">
        <v>0.553830326294522</v>
      </c>
      <c r="AC1416" s="2">
        <v>55773.833244208399</v>
      </c>
      <c r="AD1416" s="2">
        <v>34976.603920239497</v>
      </c>
      <c r="AE1416" s="2">
        <v>57430.017878840103</v>
      </c>
      <c r="AF1416" s="2">
        <v>56391.981625102198</v>
      </c>
      <c r="AG1416" s="2">
        <v>55059.2985864129</v>
      </c>
      <c r="AH1416" s="2">
        <v>55721.3821541457</v>
      </c>
      <c r="AI1416" s="2">
        <v>51439.451452606299</v>
      </c>
      <c r="AJ1416" s="2">
        <v>58600.867768142998</v>
      </c>
      <c r="AK1416" s="2">
        <v>39299.148404277701</v>
      </c>
      <c r="AL1416" s="2">
        <v>36940.212096706498</v>
      </c>
      <c r="AM1416" s="2">
        <v>32731.427755195102</v>
      </c>
      <c r="AN1416" s="2">
        <v>36479.650954421799</v>
      </c>
      <c r="AO1416" s="2">
        <v>28823.480221686099</v>
      </c>
      <c r="AP1416" s="2">
        <v>35585.704089149804</v>
      </c>
    </row>
    <row r="1417" spans="1:42" ht="14.5" x14ac:dyDescent="0.35">
      <c r="A1417" s="2" t="s">
        <v>9594</v>
      </c>
      <c r="B1417" s="2">
        <v>165.03928830901</v>
      </c>
      <c r="C1417" s="2">
        <v>0.71055000000000001</v>
      </c>
      <c r="D1417" s="2" t="s">
        <v>70</v>
      </c>
      <c r="E1417" s="2" t="s">
        <v>9595</v>
      </c>
      <c r="F1417" s="2">
        <v>257720</v>
      </c>
      <c r="G1417" s="3" t="str">
        <f>HYPERLINK("http://funmeta.oebiotech.com/network/257720", "http://funmeta.oebiotech.com/network/257720")</f>
        <v>http://funmeta.oebiotech.com/network/257720</v>
      </c>
      <c r="H1417" s="2" t="s">
        <v>9596</v>
      </c>
      <c r="I1417" s="2">
        <v>289</v>
      </c>
      <c r="J1417" s="2"/>
      <c r="K1417" s="2"/>
      <c r="L1417" s="2" t="s">
        <v>9597</v>
      </c>
      <c r="M1417" s="2"/>
      <c r="N1417" s="2"/>
      <c r="O1417" s="2">
        <v>94176</v>
      </c>
      <c r="P1417" s="2" t="s">
        <v>9598</v>
      </c>
      <c r="Q1417" s="2" t="s">
        <v>9599</v>
      </c>
      <c r="R1417" s="2" t="s">
        <v>9600</v>
      </c>
      <c r="S1417" s="2" t="s">
        <v>79</v>
      </c>
      <c r="T1417" s="2" t="s">
        <v>80</v>
      </c>
      <c r="U1417" s="2" t="s">
        <v>81</v>
      </c>
      <c r="V1417" s="2" t="s">
        <v>59</v>
      </c>
      <c r="W1417" s="2">
        <v>45.9</v>
      </c>
      <c r="X1417" s="2">
        <v>41.1</v>
      </c>
      <c r="Y1417" s="2" t="s">
        <v>9601</v>
      </c>
      <c r="Z1417" s="2" t="s">
        <v>9602</v>
      </c>
      <c r="AA1417" s="2">
        <v>-9.7740229355592607</v>
      </c>
      <c r="AB1417" s="2">
        <v>0.55302005046540903</v>
      </c>
      <c r="AC1417" s="2">
        <v>3735182.7944944198</v>
      </c>
      <c r="AD1417" s="2">
        <v>3882891.3391014999</v>
      </c>
      <c r="AE1417" s="2">
        <v>3205519.61680143</v>
      </c>
      <c r="AF1417" s="2">
        <v>4517827.86415953</v>
      </c>
      <c r="AG1417" s="2">
        <v>2987563.6678512399</v>
      </c>
      <c r="AH1417" s="2">
        <v>4349550.9644801402</v>
      </c>
      <c r="AI1417" s="2">
        <v>4274401.6702982001</v>
      </c>
      <c r="AJ1417" s="2">
        <v>3076232.9833760099</v>
      </c>
      <c r="AK1417" s="2">
        <v>3911580.3808540399</v>
      </c>
      <c r="AL1417" s="2">
        <v>3917635.1788078998</v>
      </c>
      <c r="AM1417" s="2">
        <v>3349398.50812151</v>
      </c>
      <c r="AN1417" s="2">
        <v>4378952.1503970101</v>
      </c>
      <c r="AO1417" s="2">
        <v>4549495.0525527997</v>
      </c>
      <c r="AP1417" s="2">
        <v>3190286.7638757601</v>
      </c>
    </row>
    <row r="1418" spans="1:42" ht="14.5" x14ac:dyDescent="0.35">
      <c r="A1418" s="2" t="s">
        <v>9603</v>
      </c>
      <c r="B1418" s="2">
        <v>973.49781408480499</v>
      </c>
      <c r="C1418" s="2">
        <v>12.326316666666701</v>
      </c>
      <c r="D1418" s="2" t="s">
        <v>70</v>
      </c>
      <c r="E1418" s="2" t="s">
        <v>9604</v>
      </c>
      <c r="F1418" s="2">
        <v>60225</v>
      </c>
      <c r="G1418" s="3" t="str">
        <f>HYPERLINK("http://funmeta.oebiotech.com/network/60225", "http://funmeta.oebiotech.com/network/60225")</f>
        <v>http://funmeta.oebiotech.com/network/60225</v>
      </c>
      <c r="H1418" s="2" t="s">
        <v>9605</v>
      </c>
      <c r="I1418" s="2">
        <v>91600</v>
      </c>
      <c r="J1418" s="2"/>
      <c r="K1418" s="2"/>
      <c r="L1418" s="2"/>
      <c r="M1418" s="2"/>
      <c r="N1418" s="2"/>
      <c r="O1418" s="2">
        <v>85263199</v>
      </c>
      <c r="P1418" s="2" t="s">
        <v>9606</v>
      </c>
      <c r="Q1418" s="2" t="s">
        <v>9607</v>
      </c>
      <c r="R1418" s="2" t="s">
        <v>9608</v>
      </c>
      <c r="S1418" s="2" t="s">
        <v>50</v>
      </c>
      <c r="T1418" s="2" t="s">
        <v>201</v>
      </c>
      <c r="U1418" s="2" t="s">
        <v>202</v>
      </c>
      <c r="V1418" s="2" t="s">
        <v>59</v>
      </c>
      <c r="W1418" s="2">
        <v>45.3</v>
      </c>
      <c r="X1418" s="2">
        <v>40.4</v>
      </c>
      <c r="Y1418" s="2" t="s">
        <v>408</v>
      </c>
      <c r="Z1418" s="2" t="s">
        <v>9609</v>
      </c>
      <c r="AA1418" s="2">
        <v>-3.8280694417144998</v>
      </c>
      <c r="AB1418" s="2">
        <v>0.55218090160034194</v>
      </c>
      <c r="AC1418" s="2">
        <v>86273.915092431795</v>
      </c>
      <c r="AD1418" s="2">
        <v>64195.492376006303</v>
      </c>
      <c r="AE1418" s="2">
        <v>87163.9843167129</v>
      </c>
      <c r="AF1418" s="2">
        <v>79365.592142769499</v>
      </c>
      <c r="AG1418" s="2">
        <v>84975.141335172302</v>
      </c>
      <c r="AH1418" s="2">
        <v>97559.682358676</v>
      </c>
      <c r="AI1418" s="2">
        <v>80686.875365920307</v>
      </c>
      <c r="AJ1418" s="2">
        <v>87892.215035339701</v>
      </c>
      <c r="AK1418" s="2">
        <v>68357.123396274605</v>
      </c>
      <c r="AL1418" s="2">
        <v>64263.343650754803</v>
      </c>
      <c r="AM1418" s="2">
        <v>56804.049385661601</v>
      </c>
      <c r="AN1418" s="2">
        <v>63762.547977716298</v>
      </c>
      <c r="AO1418" s="2">
        <v>61519.2436790231</v>
      </c>
      <c r="AP1418" s="2">
        <v>70466.646166607301</v>
      </c>
    </row>
    <row r="1419" spans="1:42" ht="14.5" x14ac:dyDescent="0.35">
      <c r="A1419" s="2" t="s">
        <v>9610</v>
      </c>
      <c r="B1419" s="2">
        <v>519.40381570806301</v>
      </c>
      <c r="C1419" s="2">
        <v>12.323966666666699</v>
      </c>
      <c r="D1419" s="2" t="s">
        <v>34</v>
      </c>
      <c r="E1419" s="2" t="s">
        <v>9611</v>
      </c>
      <c r="F1419" s="2">
        <v>45792</v>
      </c>
      <c r="G1419" s="3" t="str">
        <f>HYPERLINK("http://funmeta.oebiotech.com/network/45792", "http://funmeta.oebiotech.com/network/45792")</f>
        <v>http://funmeta.oebiotech.com/network/45792</v>
      </c>
      <c r="H1419" s="2"/>
      <c r="I1419" s="2">
        <v>42557</v>
      </c>
      <c r="J1419" s="2" t="s">
        <v>9612</v>
      </c>
      <c r="K1419" s="2"/>
      <c r="L1419" s="2"/>
      <c r="M1419" s="2"/>
      <c r="N1419" s="2"/>
      <c r="O1419" s="2">
        <v>9892841</v>
      </c>
      <c r="P1419" s="2"/>
      <c r="Q1419" s="2" t="s">
        <v>9613</v>
      </c>
      <c r="R1419" s="2" t="s">
        <v>9614</v>
      </c>
      <c r="S1419" s="2" t="s">
        <v>50</v>
      </c>
      <c r="T1419" s="2" t="s">
        <v>124</v>
      </c>
      <c r="U1419" s="2" t="s">
        <v>982</v>
      </c>
      <c r="V1419" s="2" t="s">
        <v>59</v>
      </c>
      <c r="W1419" s="2">
        <v>41.6</v>
      </c>
      <c r="X1419" s="2">
        <v>18.399999999999999</v>
      </c>
      <c r="Y1419" s="2" t="s">
        <v>394</v>
      </c>
      <c r="Z1419" s="2" t="s">
        <v>9615</v>
      </c>
      <c r="AA1419" s="2">
        <v>-1.12954622873743</v>
      </c>
      <c r="AB1419" s="2">
        <v>0.55149399386013798</v>
      </c>
      <c r="AC1419" s="2">
        <v>105574.935579236</v>
      </c>
      <c r="AD1419" s="2">
        <v>84110.399745423696</v>
      </c>
      <c r="AE1419" s="2">
        <v>110396.196912685</v>
      </c>
      <c r="AF1419" s="2">
        <v>110313.242152544</v>
      </c>
      <c r="AG1419" s="2">
        <v>104547.194058491</v>
      </c>
      <c r="AH1419" s="2">
        <v>108336.45397746201</v>
      </c>
      <c r="AI1419" s="2">
        <v>95806.755561461396</v>
      </c>
      <c r="AJ1419" s="2">
        <v>104049.770812772</v>
      </c>
      <c r="AK1419" s="2">
        <v>83403.451200626601</v>
      </c>
      <c r="AL1419" s="2">
        <v>79015.582514767695</v>
      </c>
      <c r="AM1419" s="2">
        <v>85411.006909265896</v>
      </c>
      <c r="AN1419" s="2">
        <v>79879.679556960604</v>
      </c>
      <c r="AO1419" s="2">
        <v>88183.353509206296</v>
      </c>
      <c r="AP1419" s="2">
        <v>88769.324781715099</v>
      </c>
    </row>
    <row r="1420" spans="1:42" ht="14.5" x14ac:dyDescent="0.35">
      <c r="A1420" s="2" t="s">
        <v>9616</v>
      </c>
      <c r="B1420" s="2">
        <v>407.31523692583397</v>
      </c>
      <c r="C1420" s="2">
        <v>11.289483333333299</v>
      </c>
      <c r="D1420" s="2" t="s">
        <v>34</v>
      </c>
      <c r="E1420" s="2" t="s">
        <v>9617</v>
      </c>
      <c r="F1420" s="2">
        <v>51372</v>
      </c>
      <c r="G1420" s="3" t="str">
        <f>HYPERLINK("http://funmeta.oebiotech.com/network/51372", "http://funmeta.oebiotech.com/network/51372")</f>
        <v>http://funmeta.oebiotech.com/network/51372</v>
      </c>
      <c r="H1420" s="2" t="s">
        <v>9618</v>
      </c>
      <c r="I1420" s="2">
        <v>62337</v>
      </c>
      <c r="J1420" s="2"/>
      <c r="K1420" s="2"/>
      <c r="L1420" s="2"/>
      <c r="M1420" s="2"/>
      <c r="N1420" s="2"/>
      <c r="O1420" s="2">
        <v>53480969</v>
      </c>
      <c r="P1420" s="2"/>
      <c r="Q1420" s="2" t="s">
        <v>9619</v>
      </c>
      <c r="R1420" s="2" t="s">
        <v>9620</v>
      </c>
      <c r="S1420" s="2" t="s">
        <v>50</v>
      </c>
      <c r="T1420" s="2" t="s">
        <v>448</v>
      </c>
      <c r="U1420" s="2" t="s">
        <v>7051</v>
      </c>
      <c r="V1420" s="2" t="s">
        <v>42</v>
      </c>
      <c r="W1420" s="2">
        <v>49.6</v>
      </c>
      <c r="X1420" s="2">
        <v>53.9</v>
      </c>
      <c r="Y1420" s="2" t="s">
        <v>266</v>
      </c>
      <c r="Z1420" s="2" t="s">
        <v>9621</v>
      </c>
      <c r="AA1420" s="2">
        <v>-0.85976913916470699</v>
      </c>
      <c r="AB1420" s="2">
        <v>0.55148622901551303</v>
      </c>
      <c r="AC1420" s="2">
        <v>40361.673361285102</v>
      </c>
      <c r="AD1420" s="2">
        <v>60971.061985884298</v>
      </c>
      <c r="AE1420" s="2">
        <v>45423.5296642229</v>
      </c>
      <c r="AF1420" s="2">
        <v>40884.896552891601</v>
      </c>
      <c r="AG1420" s="2">
        <v>41098.257495923601</v>
      </c>
      <c r="AH1420" s="2">
        <v>38719.2384799918</v>
      </c>
      <c r="AI1420" s="2">
        <v>38551.357387371201</v>
      </c>
      <c r="AJ1420" s="2">
        <v>37492.760587309203</v>
      </c>
      <c r="AK1420" s="2">
        <v>62210.97125219</v>
      </c>
      <c r="AL1420" s="2">
        <v>58215.005200858301</v>
      </c>
      <c r="AM1420" s="2">
        <v>60398.3018838473</v>
      </c>
      <c r="AN1420" s="2">
        <v>60936.263330199203</v>
      </c>
      <c r="AO1420" s="2">
        <v>58339.2922847218</v>
      </c>
      <c r="AP1420" s="2">
        <v>65726.537963489303</v>
      </c>
    </row>
    <row r="1421" spans="1:42" ht="14.5" x14ac:dyDescent="0.35">
      <c r="A1421" s="2" t="s">
        <v>9622</v>
      </c>
      <c r="B1421" s="2">
        <v>317.19603819965999</v>
      </c>
      <c r="C1421" s="2">
        <v>5.4735333333333296</v>
      </c>
      <c r="D1421" s="2" t="s">
        <v>34</v>
      </c>
      <c r="E1421" s="2" t="s">
        <v>9623</v>
      </c>
      <c r="F1421" s="2">
        <v>54315</v>
      </c>
      <c r="G1421" s="3" t="str">
        <f>HYPERLINK("http://funmeta.oebiotech.com/network/54315", "http://funmeta.oebiotech.com/network/54315")</f>
        <v>http://funmeta.oebiotech.com/network/54315</v>
      </c>
      <c r="H1421" s="2" t="s">
        <v>9624</v>
      </c>
      <c r="I1421" s="2">
        <v>86207</v>
      </c>
      <c r="J1421" s="2"/>
      <c r="K1421" s="2">
        <v>169359</v>
      </c>
      <c r="L1421" s="2"/>
      <c r="M1421" s="2"/>
      <c r="N1421" s="2"/>
      <c r="O1421" s="2">
        <v>18688993</v>
      </c>
      <c r="P1421" s="2" t="s">
        <v>9625</v>
      </c>
      <c r="Q1421" s="2" t="s">
        <v>9626</v>
      </c>
      <c r="R1421" s="2" t="s">
        <v>9627</v>
      </c>
      <c r="S1421" s="2" t="s">
        <v>50</v>
      </c>
      <c r="T1421" s="2" t="s">
        <v>201</v>
      </c>
      <c r="U1421" s="2" t="s">
        <v>202</v>
      </c>
      <c r="V1421" s="2" t="s">
        <v>59</v>
      </c>
      <c r="W1421" s="2">
        <v>37.4</v>
      </c>
      <c r="X1421" s="2">
        <v>0</v>
      </c>
      <c r="Y1421" s="2" t="s">
        <v>394</v>
      </c>
      <c r="Z1421" s="2" t="s">
        <v>9628</v>
      </c>
      <c r="AA1421" s="2">
        <v>0.54762362008744003</v>
      </c>
      <c r="AB1421" s="2">
        <v>0.55136043888515696</v>
      </c>
      <c r="AC1421" s="2">
        <v>10151.9976356227</v>
      </c>
      <c r="AD1421" s="2">
        <v>30478.406350726698</v>
      </c>
      <c r="AE1421" s="2">
        <v>6821.5827461783902</v>
      </c>
      <c r="AF1421" s="2">
        <v>11873.157378468501</v>
      </c>
      <c r="AG1421" s="2">
        <v>11323.875539631301</v>
      </c>
      <c r="AH1421" s="2">
        <v>8481.3662213316293</v>
      </c>
      <c r="AI1421" s="2">
        <v>12094.756501081099</v>
      </c>
      <c r="AJ1421" s="2">
        <v>10317.247427045</v>
      </c>
      <c r="AK1421" s="2">
        <v>30761.317278895898</v>
      </c>
      <c r="AL1421" s="2">
        <v>31191.215641116301</v>
      </c>
      <c r="AM1421" s="2">
        <v>27703.137612861901</v>
      </c>
      <c r="AN1421" s="2">
        <v>32371.304836718198</v>
      </c>
      <c r="AO1421" s="2">
        <v>27667.276607226999</v>
      </c>
      <c r="AP1421" s="2">
        <v>33176.186127540903</v>
      </c>
    </row>
    <row r="1422" spans="1:42" ht="14.5" x14ac:dyDescent="0.35">
      <c r="A1422" s="2" t="s">
        <v>9629</v>
      </c>
      <c r="B1422" s="2">
        <v>363.28892258696402</v>
      </c>
      <c r="C1422" s="2">
        <v>12.6191333333333</v>
      </c>
      <c r="D1422" s="2" t="s">
        <v>34</v>
      </c>
      <c r="E1422" s="2" t="s">
        <v>9630</v>
      </c>
      <c r="F1422" s="2">
        <v>46580</v>
      </c>
      <c r="G1422" s="3" t="str">
        <f>HYPERLINK("http://funmeta.oebiotech.com/network/46580", "http://funmeta.oebiotech.com/network/46580")</f>
        <v>http://funmeta.oebiotech.com/network/46580</v>
      </c>
      <c r="H1422" s="2"/>
      <c r="I1422" s="2">
        <v>84908</v>
      </c>
      <c r="J1422" s="2" t="s">
        <v>9631</v>
      </c>
      <c r="K1422" s="2"/>
      <c r="L1422" s="2"/>
      <c r="M1422" s="2"/>
      <c r="N1422" s="2"/>
      <c r="O1422" s="2">
        <v>5284299</v>
      </c>
      <c r="P1422" s="2"/>
      <c r="Q1422" s="2" t="s">
        <v>9632</v>
      </c>
      <c r="R1422" s="2" t="s">
        <v>9633</v>
      </c>
      <c r="S1422" s="2" t="s">
        <v>50</v>
      </c>
      <c r="T1422" s="2" t="s">
        <v>124</v>
      </c>
      <c r="U1422" s="2" t="s">
        <v>125</v>
      </c>
      <c r="V1422" s="2" t="s">
        <v>59</v>
      </c>
      <c r="W1422" s="2">
        <v>42.5</v>
      </c>
      <c r="X1422" s="2">
        <v>19.2</v>
      </c>
      <c r="Y1422" s="2" t="s">
        <v>141</v>
      </c>
      <c r="Z1422" s="2" t="s">
        <v>9634</v>
      </c>
      <c r="AA1422" s="2">
        <v>-1.18046999880305</v>
      </c>
      <c r="AB1422" s="2">
        <v>0.55090904845587396</v>
      </c>
      <c r="AC1422" s="2">
        <v>32935.600116224399</v>
      </c>
      <c r="AD1422" s="2">
        <v>12442.604039042701</v>
      </c>
      <c r="AE1422" s="2">
        <v>36396.818872782504</v>
      </c>
      <c r="AF1422" s="2">
        <v>35741.063190681802</v>
      </c>
      <c r="AG1422" s="2">
        <v>32185.689298254201</v>
      </c>
      <c r="AH1422" s="2">
        <v>30197.8253304096</v>
      </c>
      <c r="AI1422" s="2">
        <v>27716.221893368602</v>
      </c>
      <c r="AJ1422" s="2">
        <v>35375.982111849597</v>
      </c>
      <c r="AK1422" s="2">
        <v>13280.883227136999</v>
      </c>
      <c r="AL1422" s="2">
        <v>13740.049429934001</v>
      </c>
      <c r="AM1422" s="2">
        <v>13049.945063184299</v>
      </c>
      <c r="AN1422" s="2">
        <v>13680.274610558001</v>
      </c>
      <c r="AO1422" s="2">
        <v>12772.972177522801</v>
      </c>
      <c r="AP1422" s="2">
        <v>8131.4997259201</v>
      </c>
    </row>
    <row r="1423" spans="1:42" ht="14.5" x14ac:dyDescent="0.35">
      <c r="A1423" s="2" t="s">
        <v>9635</v>
      </c>
      <c r="B1423" s="2">
        <v>1043.4841166966701</v>
      </c>
      <c r="C1423" s="2">
        <v>8.5195666666666696</v>
      </c>
      <c r="D1423" s="2" t="s">
        <v>70</v>
      </c>
      <c r="E1423" s="2" t="s">
        <v>9636</v>
      </c>
      <c r="F1423" s="2">
        <v>50672</v>
      </c>
      <c r="G1423" s="3" t="str">
        <f>HYPERLINK("http://funmeta.oebiotech.com/network/50672", "http://funmeta.oebiotech.com/network/50672")</f>
        <v>http://funmeta.oebiotech.com/network/50672</v>
      </c>
      <c r="H1423" s="2" t="s">
        <v>9637</v>
      </c>
      <c r="I1423" s="2">
        <v>61413</v>
      </c>
      <c r="J1423" s="2"/>
      <c r="K1423" s="2">
        <v>145879</v>
      </c>
      <c r="L1423" s="2" t="s">
        <v>5751</v>
      </c>
      <c r="M1423" s="2"/>
      <c r="N1423" s="2"/>
      <c r="O1423" s="2">
        <v>53480226</v>
      </c>
      <c r="P1423" s="2"/>
      <c r="Q1423" s="2" t="s">
        <v>9638</v>
      </c>
      <c r="R1423" s="2" t="s">
        <v>9639</v>
      </c>
      <c r="S1423" s="2" t="s">
        <v>50</v>
      </c>
      <c r="T1423" s="2" t="s">
        <v>51</v>
      </c>
      <c r="U1423" s="2" t="s">
        <v>5754</v>
      </c>
      <c r="V1423" s="2" t="s">
        <v>59</v>
      </c>
      <c r="W1423" s="2">
        <v>46.3</v>
      </c>
      <c r="X1423" s="2">
        <v>43.2</v>
      </c>
      <c r="Y1423" s="2" t="s">
        <v>408</v>
      </c>
      <c r="Z1423" s="2" t="s">
        <v>9640</v>
      </c>
      <c r="AA1423" s="2">
        <v>-3.8824241957523</v>
      </c>
      <c r="AB1423" s="2">
        <v>0.55080813784003901</v>
      </c>
      <c r="AC1423" s="2">
        <v>202124.33001863299</v>
      </c>
      <c r="AD1423" s="2">
        <v>175226.169755421</v>
      </c>
      <c r="AE1423" s="2">
        <v>201616.19172121899</v>
      </c>
      <c r="AF1423" s="2">
        <v>174117.054397436</v>
      </c>
      <c r="AG1423" s="2">
        <v>202429.215834161</v>
      </c>
      <c r="AH1423" s="2">
        <v>225493.847608134</v>
      </c>
      <c r="AI1423" s="2">
        <v>198492.86377708599</v>
      </c>
      <c r="AJ1423" s="2">
        <v>210596.80677376001</v>
      </c>
      <c r="AK1423" s="2">
        <v>168995.19935195</v>
      </c>
      <c r="AL1423" s="2">
        <v>183510.21925742901</v>
      </c>
      <c r="AM1423" s="2">
        <v>188476.862402481</v>
      </c>
      <c r="AN1423" s="2">
        <v>168794.956997498</v>
      </c>
      <c r="AO1423" s="2">
        <v>170813.97485058001</v>
      </c>
      <c r="AP1423" s="2">
        <v>170765.80567258701</v>
      </c>
    </row>
    <row r="1424" spans="1:42" ht="14.5" x14ac:dyDescent="0.35">
      <c r="A1424" s="2" t="s">
        <v>9641</v>
      </c>
      <c r="B1424" s="2">
        <v>493.13533731110499</v>
      </c>
      <c r="C1424" s="2">
        <v>3.4452333333333298</v>
      </c>
      <c r="D1424" s="2" t="s">
        <v>70</v>
      </c>
      <c r="E1424" s="2" t="s">
        <v>9642</v>
      </c>
      <c r="F1424" s="2">
        <v>34732</v>
      </c>
      <c r="G1424" s="3" t="str">
        <f>HYPERLINK("http://funmeta.oebiotech.com/network/34732", "http://funmeta.oebiotech.com/network/34732")</f>
        <v>http://funmeta.oebiotech.com/network/34732</v>
      </c>
      <c r="H1424" s="2" t="s">
        <v>9643</v>
      </c>
      <c r="I1424" s="2"/>
      <c r="J1424" s="2" t="s">
        <v>9644</v>
      </c>
      <c r="K1424" s="2"/>
      <c r="L1424" s="2"/>
      <c r="M1424" s="2"/>
      <c r="N1424" s="2"/>
      <c r="O1424" s="2">
        <v>348162</v>
      </c>
      <c r="P1424" s="2"/>
      <c r="Q1424" s="2" t="s">
        <v>9645</v>
      </c>
      <c r="R1424" s="2" t="s">
        <v>9646</v>
      </c>
      <c r="S1424" s="2" t="s">
        <v>115</v>
      </c>
      <c r="T1424" s="2" t="s">
        <v>139</v>
      </c>
      <c r="U1424" s="2" t="s">
        <v>140</v>
      </c>
      <c r="V1424" s="2" t="s">
        <v>42</v>
      </c>
      <c r="W1424" s="2">
        <v>55.8</v>
      </c>
      <c r="X1424" s="2">
        <v>87.5</v>
      </c>
      <c r="Y1424" s="2" t="s">
        <v>408</v>
      </c>
      <c r="Z1424" s="2" t="s">
        <v>6990</v>
      </c>
      <c r="AA1424" s="2">
        <v>0.41834494165147701</v>
      </c>
      <c r="AB1424" s="2">
        <v>0.55071646083778203</v>
      </c>
      <c r="AC1424" s="2">
        <v>59147.185167500698</v>
      </c>
      <c r="AD1424" s="2">
        <v>80918.900711885799</v>
      </c>
      <c r="AE1424" s="2">
        <v>55211.097141614002</v>
      </c>
      <c r="AF1424" s="2">
        <v>52354.233496457302</v>
      </c>
      <c r="AG1424" s="2">
        <v>55463.923539075098</v>
      </c>
      <c r="AH1424" s="2">
        <v>65766.085292426098</v>
      </c>
      <c r="AI1424" s="2">
        <v>60709.755851497299</v>
      </c>
      <c r="AJ1424" s="2">
        <v>65378.015683934304</v>
      </c>
      <c r="AK1424" s="2">
        <v>80980.6973716176</v>
      </c>
      <c r="AL1424" s="2">
        <v>73786.8374285725</v>
      </c>
      <c r="AM1424" s="2">
        <v>86759.988084661803</v>
      </c>
      <c r="AN1424" s="2">
        <v>80029.508086161703</v>
      </c>
      <c r="AO1424" s="2">
        <v>77111.581724890595</v>
      </c>
      <c r="AP1424" s="2">
        <v>86844.791575410403</v>
      </c>
    </row>
    <row r="1425" spans="1:42" ht="14.5" x14ac:dyDescent="0.35">
      <c r="A1425" s="2" t="s">
        <v>9647</v>
      </c>
      <c r="B1425" s="2">
        <v>139.00250562017399</v>
      </c>
      <c r="C1425" s="2">
        <v>0.78071666666666695</v>
      </c>
      <c r="D1425" s="2" t="s">
        <v>34</v>
      </c>
      <c r="E1425" s="2" t="s">
        <v>9648</v>
      </c>
      <c r="F1425" s="2">
        <v>48310</v>
      </c>
      <c r="G1425" s="3" t="str">
        <f>HYPERLINK("http://funmeta.oebiotech.com/network/48310", "http://funmeta.oebiotech.com/network/48310")</f>
        <v>http://funmeta.oebiotech.com/network/48310</v>
      </c>
      <c r="H1425" s="2" t="s">
        <v>9649</v>
      </c>
      <c r="I1425" s="2">
        <v>5560</v>
      </c>
      <c r="J1425" s="2"/>
      <c r="K1425" s="2">
        <v>84212</v>
      </c>
      <c r="L1425" s="2" t="s">
        <v>9650</v>
      </c>
      <c r="M1425" s="2" t="s">
        <v>9651</v>
      </c>
      <c r="N1425" s="2" t="s">
        <v>9652</v>
      </c>
      <c r="O1425" s="2">
        <v>76720</v>
      </c>
      <c r="P1425" s="2" t="s">
        <v>9653</v>
      </c>
      <c r="Q1425" s="2" t="s">
        <v>9654</v>
      </c>
      <c r="R1425" s="2" t="s">
        <v>9655</v>
      </c>
      <c r="S1425" s="2" t="s">
        <v>491</v>
      </c>
      <c r="T1425" s="2" t="s">
        <v>9656</v>
      </c>
      <c r="U1425" s="2" t="s">
        <v>9657</v>
      </c>
      <c r="V1425" s="2" t="s">
        <v>59</v>
      </c>
      <c r="W1425" s="2">
        <v>39.299999999999997</v>
      </c>
      <c r="X1425" s="2">
        <v>0</v>
      </c>
      <c r="Y1425" s="2" t="s">
        <v>141</v>
      </c>
      <c r="Z1425" s="2" t="s">
        <v>5837</v>
      </c>
      <c r="AA1425" s="2">
        <v>-0.50867255687900303</v>
      </c>
      <c r="AB1425" s="2">
        <v>0.55050439972732301</v>
      </c>
      <c r="AC1425" s="2">
        <v>30603.738565128799</v>
      </c>
      <c r="AD1425" s="2">
        <v>50932.643837577598</v>
      </c>
      <c r="AE1425" s="2">
        <v>29679.9711785564</v>
      </c>
      <c r="AF1425" s="2">
        <v>25788.099671751101</v>
      </c>
      <c r="AG1425" s="2">
        <v>31113.133846904799</v>
      </c>
      <c r="AH1425" s="2">
        <v>31573.783114755399</v>
      </c>
      <c r="AI1425" s="2">
        <v>33216.536402747603</v>
      </c>
      <c r="AJ1425" s="2">
        <v>32250.907176057601</v>
      </c>
      <c r="AK1425" s="2">
        <v>52399.010106363901</v>
      </c>
      <c r="AL1425" s="2">
        <v>47908.242534480298</v>
      </c>
      <c r="AM1425" s="2">
        <v>51631.711168788701</v>
      </c>
      <c r="AN1425" s="2">
        <v>54131.297923817503</v>
      </c>
      <c r="AO1425" s="2">
        <v>48092.900676783902</v>
      </c>
      <c r="AP1425" s="2">
        <v>51432.700615231501</v>
      </c>
    </row>
    <row r="1426" spans="1:42" ht="14.5" x14ac:dyDescent="0.35">
      <c r="A1426" s="2" t="s">
        <v>9658</v>
      </c>
      <c r="B1426" s="2">
        <v>623.22680135645396</v>
      </c>
      <c r="C1426" s="2">
        <v>7.6666999999999996</v>
      </c>
      <c r="D1426" s="2" t="s">
        <v>70</v>
      </c>
      <c r="E1426" s="2" t="s">
        <v>9659</v>
      </c>
      <c r="F1426" s="2">
        <v>82426</v>
      </c>
      <c r="G1426" s="3" t="str">
        <f>HYPERLINK("http://funmeta.oebiotech.com/network/82426", "http://funmeta.oebiotech.com/network/82426")</f>
        <v>http://funmeta.oebiotech.com/network/82426</v>
      </c>
      <c r="H1426" s="2" t="s">
        <v>9660</v>
      </c>
      <c r="I1426" s="2">
        <v>1900</v>
      </c>
      <c r="J1426" s="2"/>
      <c r="K1426" s="2">
        <v>64050</v>
      </c>
      <c r="L1426" s="2"/>
      <c r="M1426" s="2"/>
      <c r="N1426" s="2"/>
      <c r="O1426" s="2">
        <v>135409468</v>
      </c>
      <c r="P1426" s="2" t="s">
        <v>9661</v>
      </c>
      <c r="Q1426" s="2" t="s">
        <v>9662</v>
      </c>
      <c r="R1426" s="2" t="s">
        <v>9663</v>
      </c>
      <c r="S1426" s="2" t="s">
        <v>491</v>
      </c>
      <c r="T1426" s="2" t="s">
        <v>2653</v>
      </c>
      <c r="U1426" s="2" t="s">
        <v>9664</v>
      </c>
      <c r="V1426" s="2" t="s">
        <v>59</v>
      </c>
      <c r="W1426" s="2">
        <v>36.299999999999997</v>
      </c>
      <c r="X1426" s="2">
        <v>0</v>
      </c>
      <c r="Y1426" s="2" t="s">
        <v>560</v>
      </c>
      <c r="Z1426" s="2" t="s">
        <v>9665</v>
      </c>
      <c r="AA1426" s="2">
        <v>9.1781472084221001</v>
      </c>
      <c r="AB1426" s="2">
        <v>0.55020887299600796</v>
      </c>
      <c r="AC1426" s="2">
        <v>147740.44997553699</v>
      </c>
      <c r="AD1426" s="2">
        <v>124076.947253369</v>
      </c>
      <c r="AE1426" s="2">
        <v>144294.755165329</v>
      </c>
      <c r="AF1426" s="2">
        <v>133815.55063851699</v>
      </c>
      <c r="AG1426" s="2">
        <v>144330.970877413</v>
      </c>
      <c r="AH1426" s="2">
        <v>161139.37989923501</v>
      </c>
      <c r="AI1426" s="2">
        <v>155887.88344190901</v>
      </c>
      <c r="AJ1426" s="2">
        <v>146974.15983081699</v>
      </c>
      <c r="AK1426" s="2">
        <v>132899.24578529701</v>
      </c>
      <c r="AL1426" s="2">
        <v>118065.38104859801</v>
      </c>
      <c r="AM1426" s="2">
        <v>130638.671744982</v>
      </c>
      <c r="AN1426" s="2">
        <v>119581.82586041201</v>
      </c>
      <c r="AO1426" s="2">
        <v>124227.27624725</v>
      </c>
      <c r="AP1426" s="2">
        <v>119049.282833675</v>
      </c>
    </row>
    <row r="1427" spans="1:42" ht="14.5" x14ac:dyDescent="0.35">
      <c r="A1427" s="2" t="s">
        <v>9666</v>
      </c>
      <c r="B1427" s="2">
        <v>510.414992682155</v>
      </c>
      <c r="C1427" s="2">
        <v>11.827999999999999</v>
      </c>
      <c r="D1427" s="2" t="s">
        <v>34</v>
      </c>
      <c r="E1427" s="2" t="s">
        <v>9667</v>
      </c>
      <c r="F1427" s="2">
        <v>44043</v>
      </c>
      <c r="G1427" s="3" t="str">
        <f>HYPERLINK("http://funmeta.oebiotech.com/network/44043", "http://funmeta.oebiotech.com/network/44043")</f>
        <v>http://funmeta.oebiotech.com/network/44043</v>
      </c>
      <c r="H1427" s="2"/>
      <c r="I1427" s="2">
        <v>84014</v>
      </c>
      <c r="J1427" s="2" t="s">
        <v>9668</v>
      </c>
      <c r="K1427" s="2"/>
      <c r="L1427" s="2"/>
      <c r="M1427" s="2"/>
      <c r="N1427" s="2"/>
      <c r="O1427" s="2">
        <v>21636157</v>
      </c>
      <c r="P1427" s="2"/>
      <c r="Q1427" s="2" t="s">
        <v>9669</v>
      </c>
      <c r="R1427" s="2" t="s">
        <v>9670</v>
      </c>
      <c r="S1427" s="2" t="s">
        <v>50</v>
      </c>
      <c r="T1427" s="2" t="s">
        <v>124</v>
      </c>
      <c r="U1427" s="2" t="s">
        <v>723</v>
      </c>
      <c r="V1427" s="2" t="s">
        <v>42</v>
      </c>
      <c r="W1427" s="2">
        <v>54.3</v>
      </c>
      <c r="X1427" s="2">
        <v>77.900000000000006</v>
      </c>
      <c r="Y1427" s="2" t="s">
        <v>43</v>
      </c>
      <c r="Z1427" s="2" t="s">
        <v>9671</v>
      </c>
      <c r="AA1427" s="2">
        <v>-0.62474585382613901</v>
      </c>
      <c r="AB1427" s="2">
        <v>0.54983639390170702</v>
      </c>
      <c r="AC1427" s="2">
        <v>48806.158342925497</v>
      </c>
      <c r="AD1427" s="2">
        <v>25435.470939848201</v>
      </c>
      <c r="AE1427" s="2">
        <v>49896.796465320003</v>
      </c>
      <c r="AF1427" s="2">
        <v>46155.236375366701</v>
      </c>
      <c r="AG1427" s="2">
        <v>48828.422689217397</v>
      </c>
      <c r="AH1427" s="2">
        <v>47070.407570048701</v>
      </c>
      <c r="AI1427" s="2">
        <v>49314.725339058197</v>
      </c>
      <c r="AJ1427" s="2">
        <v>51571.3616185418</v>
      </c>
      <c r="AK1427" s="2">
        <v>45568.581557785401</v>
      </c>
      <c r="AL1427" s="2">
        <v>30263.201563136899</v>
      </c>
      <c r="AM1427" s="2">
        <v>20236.979608035301</v>
      </c>
      <c r="AN1427" s="2">
        <v>24197.104319989001</v>
      </c>
      <c r="AO1427" s="2">
        <v>16607.374568091702</v>
      </c>
      <c r="AP1427" s="2">
        <v>15739.5840220511</v>
      </c>
    </row>
    <row r="1428" spans="1:42" ht="14.5" x14ac:dyDescent="0.35">
      <c r="A1428" s="2" t="s">
        <v>9672</v>
      </c>
      <c r="B1428" s="2">
        <v>722.42816024342301</v>
      </c>
      <c r="C1428" s="2">
        <v>5.5897333333333297</v>
      </c>
      <c r="D1428" s="2" t="s">
        <v>34</v>
      </c>
      <c r="E1428" s="2" t="s">
        <v>9673</v>
      </c>
      <c r="F1428" s="2">
        <v>53633</v>
      </c>
      <c r="G1428" s="3" t="str">
        <f>HYPERLINK("http://funmeta.oebiotech.com/network/53633", "http://funmeta.oebiotech.com/network/53633")</f>
        <v>http://funmeta.oebiotech.com/network/53633</v>
      </c>
      <c r="H1428" s="2" t="s">
        <v>9674</v>
      </c>
      <c r="I1428" s="2">
        <v>67553</v>
      </c>
      <c r="J1428" s="2"/>
      <c r="K1428" s="2"/>
      <c r="L1428" s="2" t="s">
        <v>9675</v>
      </c>
      <c r="M1428" s="2"/>
      <c r="N1428" s="2"/>
      <c r="O1428" s="2">
        <v>11953931</v>
      </c>
      <c r="P1428" s="2" t="s">
        <v>9676</v>
      </c>
      <c r="Q1428" s="2" t="s">
        <v>9677</v>
      </c>
      <c r="R1428" s="2" t="s">
        <v>9678</v>
      </c>
      <c r="S1428" s="2" t="s">
        <v>39</v>
      </c>
      <c r="T1428" s="2" t="s">
        <v>9679</v>
      </c>
      <c r="U1428" s="2" t="s">
        <v>41</v>
      </c>
      <c r="V1428" s="2" t="s">
        <v>59</v>
      </c>
      <c r="W1428" s="2">
        <v>37.6</v>
      </c>
      <c r="X1428" s="2">
        <v>0</v>
      </c>
      <c r="Y1428" s="2" t="s">
        <v>43</v>
      </c>
      <c r="Z1428" s="2" t="s">
        <v>9680</v>
      </c>
      <c r="AA1428" s="2">
        <v>0.80058740870860701</v>
      </c>
      <c r="AB1428" s="2">
        <v>0.54926911196844497</v>
      </c>
      <c r="AC1428" s="2">
        <v>36936.766818574499</v>
      </c>
      <c r="AD1428" s="2">
        <v>15597.830345451899</v>
      </c>
      <c r="AE1428" s="2">
        <v>43925.668665990801</v>
      </c>
      <c r="AF1428" s="2">
        <v>37887.500541226698</v>
      </c>
      <c r="AG1428" s="2">
        <v>38898.720119787104</v>
      </c>
      <c r="AH1428" s="2">
        <v>28007.067332585299</v>
      </c>
      <c r="AI1428" s="2">
        <v>36956.6423710612</v>
      </c>
      <c r="AJ1428" s="2">
        <v>35945.001880795797</v>
      </c>
      <c r="AK1428" s="2">
        <v>22325.463211765698</v>
      </c>
      <c r="AL1428" s="2">
        <v>18253.6086450695</v>
      </c>
      <c r="AM1428" s="2">
        <v>14526.339664695601</v>
      </c>
      <c r="AN1428" s="2">
        <v>8975.85164411396</v>
      </c>
      <c r="AO1428" s="2">
        <v>15468.480485133399</v>
      </c>
      <c r="AP1428" s="2">
        <v>14037.2384219332</v>
      </c>
    </row>
    <row r="1429" spans="1:42" ht="14.5" x14ac:dyDescent="0.35">
      <c r="A1429" s="2" t="s">
        <v>9681</v>
      </c>
      <c r="B1429" s="2">
        <v>375.21599682706898</v>
      </c>
      <c r="C1429" s="2">
        <v>6.6940999999999997</v>
      </c>
      <c r="D1429" s="2" t="s">
        <v>34</v>
      </c>
      <c r="E1429" s="2" t="s">
        <v>9682</v>
      </c>
      <c r="F1429" s="2">
        <v>45107</v>
      </c>
      <c r="G1429" s="3" t="str">
        <f>HYPERLINK("http://funmeta.oebiotech.com/network/45107", "http://funmeta.oebiotech.com/network/45107")</f>
        <v>http://funmeta.oebiotech.com/network/45107</v>
      </c>
      <c r="H1429" s="2"/>
      <c r="I1429" s="2"/>
      <c r="J1429" s="2" t="s">
        <v>9683</v>
      </c>
      <c r="K1429" s="2"/>
      <c r="L1429" s="2"/>
      <c r="M1429" s="2"/>
      <c r="N1429" s="2"/>
      <c r="O1429" s="2"/>
      <c r="P1429" s="2"/>
      <c r="Q1429" s="2" t="s">
        <v>9684</v>
      </c>
      <c r="R1429" s="2" t="s">
        <v>9685</v>
      </c>
      <c r="S1429" s="2" t="s">
        <v>50</v>
      </c>
      <c r="T1429" s="2" t="s">
        <v>124</v>
      </c>
      <c r="U1429" s="2" t="s">
        <v>1136</v>
      </c>
      <c r="V1429" s="2" t="s">
        <v>42</v>
      </c>
      <c r="W1429" s="2">
        <v>51.8</v>
      </c>
      <c r="X1429" s="2">
        <v>72.2</v>
      </c>
      <c r="Y1429" s="2" t="s">
        <v>141</v>
      </c>
      <c r="Z1429" s="2" t="s">
        <v>9686</v>
      </c>
      <c r="AA1429" s="2">
        <v>-1.5391022954993501</v>
      </c>
      <c r="AB1429" s="2">
        <v>0.54924622583381399</v>
      </c>
      <c r="AC1429" s="2">
        <v>89600.279050531506</v>
      </c>
      <c r="AD1429" s="2">
        <v>66082.935322626799</v>
      </c>
      <c r="AE1429" s="2">
        <v>86769.227569549606</v>
      </c>
      <c r="AF1429" s="2">
        <v>105340.246658383</v>
      </c>
      <c r="AG1429" s="2">
        <v>93207.843359176797</v>
      </c>
      <c r="AH1429" s="2">
        <v>78531.321567255203</v>
      </c>
      <c r="AI1429" s="2">
        <v>86752.383111224</v>
      </c>
      <c r="AJ1429" s="2">
        <v>87000.652037600201</v>
      </c>
      <c r="AK1429" s="2">
        <v>69103.1079188125</v>
      </c>
      <c r="AL1429" s="2">
        <v>79385.587039488295</v>
      </c>
      <c r="AM1429" s="2">
        <v>56242.606606971</v>
      </c>
      <c r="AN1429" s="2">
        <v>64216.750059855098</v>
      </c>
      <c r="AO1429" s="2">
        <v>60539.988602698599</v>
      </c>
      <c r="AP1429" s="2">
        <v>67009.571707935</v>
      </c>
    </row>
    <row r="1430" spans="1:42" ht="14.5" x14ac:dyDescent="0.35">
      <c r="A1430" s="2" t="s">
        <v>9687</v>
      </c>
      <c r="B1430" s="2">
        <v>861.28527265754099</v>
      </c>
      <c r="C1430" s="2">
        <v>10.910600000000001</v>
      </c>
      <c r="D1430" s="2" t="s">
        <v>34</v>
      </c>
      <c r="E1430" s="2" t="s">
        <v>9688</v>
      </c>
      <c r="F1430" s="2">
        <v>207183</v>
      </c>
      <c r="G1430" s="3" t="str">
        <f>HYPERLINK("http://funmeta.oebiotech.com/network/207183", "http://funmeta.oebiotech.com/network/207183")</f>
        <v>http://funmeta.oebiotech.com/network/207183</v>
      </c>
      <c r="H1430" s="2" t="s">
        <v>9689</v>
      </c>
      <c r="I1430" s="2"/>
      <c r="J1430" s="2"/>
      <c r="K1430" s="2"/>
      <c r="L1430" s="2"/>
      <c r="M1430" s="2"/>
      <c r="N1430" s="2"/>
      <c r="O1430" s="2">
        <v>76470875</v>
      </c>
      <c r="P1430" s="2"/>
      <c r="Q1430" s="2" t="s">
        <v>9690</v>
      </c>
      <c r="R1430" s="2" t="s">
        <v>9691</v>
      </c>
      <c r="S1430" s="2" t="s">
        <v>89</v>
      </c>
      <c r="T1430" s="2" t="s">
        <v>90</v>
      </c>
      <c r="U1430" s="2" t="s">
        <v>99</v>
      </c>
      <c r="V1430" s="2" t="s">
        <v>59</v>
      </c>
      <c r="W1430" s="2">
        <v>36.200000000000003</v>
      </c>
      <c r="X1430" s="2">
        <v>0</v>
      </c>
      <c r="Y1430" s="2" t="s">
        <v>470</v>
      </c>
      <c r="Z1430" s="2" t="s">
        <v>9692</v>
      </c>
      <c r="AA1430" s="2">
        <v>-2.6947239289333802</v>
      </c>
      <c r="AB1430" s="2">
        <v>0.54917978413320701</v>
      </c>
      <c r="AC1430" s="2">
        <v>14576.0969029691</v>
      </c>
      <c r="AD1430" s="2">
        <v>34816.894173384302</v>
      </c>
      <c r="AE1430" s="2">
        <v>14669.3770963305</v>
      </c>
      <c r="AF1430" s="2">
        <v>12413.3545238436</v>
      </c>
      <c r="AG1430" s="2">
        <v>15576.4768761654</v>
      </c>
      <c r="AH1430" s="2">
        <v>13120.4601749464</v>
      </c>
      <c r="AI1430" s="2">
        <v>14707.2935839724</v>
      </c>
      <c r="AJ1430" s="2">
        <v>16969.619162556301</v>
      </c>
      <c r="AK1430" s="2">
        <v>34734.654042205999</v>
      </c>
      <c r="AL1430" s="2">
        <v>30443.6284625519</v>
      </c>
      <c r="AM1430" s="2">
        <v>34880.350432929699</v>
      </c>
      <c r="AN1430" s="2">
        <v>39940.677263725498</v>
      </c>
      <c r="AO1430" s="2">
        <v>35826.141118937398</v>
      </c>
      <c r="AP1430" s="2">
        <v>33075.913719955402</v>
      </c>
    </row>
    <row r="1431" spans="1:42" ht="14.5" x14ac:dyDescent="0.35">
      <c r="A1431" s="2" t="s">
        <v>9693</v>
      </c>
      <c r="B1431" s="2">
        <v>353.26838483761202</v>
      </c>
      <c r="C1431" s="2">
        <v>11.2503166666667</v>
      </c>
      <c r="D1431" s="2" t="s">
        <v>34</v>
      </c>
      <c r="E1431" s="2" t="s">
        <v>9694</v>
      </c>
      <c r="F1431" s="2">
        <v>51360</v>
      </c>
      <c r="G1431" s="3" t="str">
        <f>HYPERLINK("http://funmeta.oebiotech.com/network/51360", "http://funmeta.oebiotech.com/network/51360")</f>
        <v>http://funmeta.oebiotech.com/network/51360</v>
      </c>
      <c r="H1431" s="2" t="s">
        <v>9695</v>
      </c>
      <c r="I1431" s="2">
        <v>62324</v>
      </c>
      <c r="J1431" s="2"/>
      <c r="K1431" s="2">
        <v>75474</v>
      </c>
      <c r="L1431" s="2"/>
      <c r="M1431" s="2"/>
      <c r="N1431" s="2"/>
      <c r="O1431" s="2">
        <v>11674746</v>
      </c>
      <c r="P1431" s="2"/>
      <c r="Q1431" s="2" t="s">
        <v>9696</v>
      </c>
      <c r="R1431" s="2" t="s">
        <v>9697</v>
      </c>
      <c r="S1431" s="2" t="s">
        <v>50</v>
      </c>
      <c r="T1431" s="2" t="s">
        <v>229</v>
      </c>
      <c r="U1431" s="2" t="s">
        <v>1360</v>
      </c>
      <c r="V1431" s="2" t="s">
        <v>42</v>
      </c>
      <c r="W1431" s="2">
        <v>50.9</v>
      </c>
      <c r="X1431" s="2">
        <v>59.2</v>
      </c>
      <c r="Y1431" s="2" t="s">
        <v>394</v>
      </c>
      <c r="Z1431" s="2" t="s">
        <v>9698</v>
      </c>
      <c r="AA1431" s="2">
        <v>-0.71318395190712303</v>
      </c>
      <c r="AB1431" s="2">
        <v>0.54906885175539299</v>
      </c>
      <c r="AC1431" s="2">
        <v>28051.793676033602</v>
      </c>
      <c r="AD1431" s="2">
        <v>7921.4747756402203</v>
      </c>
      <c r="AE1431" s="2">
        <v>28041.1041288126</v>
      </c>
      <c r="AF1431" s="2">
        <v>29824.103581667801</v>
      </c>
      <c r="AG1431" s="2">
        <v>31719.549908188299</v>
      </c>
      <c r="AH1431" s="2">
        <v>28485.847604824099</v>
      </c>
      <c r="AI1431" s="2">
        <v>27419.198189877501</v>
      </c>
      <c r="AJ1431" s="2">
        <v>22820.958642831501</v>
      </c>
      <c r="AK1431" s="2">
        <v>7558.9851161721399</v>
      </c>
      <c r="AL1431" s="2">
        <v>8658.6307400039495</v>
      </c>
      <c r="AM1431" s="2">
        <v>6635.2681016099395</v>
      </c>
      <c r="AN1431" s="2">
        <v>8127.6300280938003</v>
      </c>
      <c r="AO1431" s="2">
        <v>8244.0362405246597</v>
      </c>
      <c r="AP1431" s="2">
        <v>8304.2984274368591</v>
      </c>
    </row>
    <row r="1432" spans="1:42" ht="14.5" x14ac:dyDescent="0.35">
      <c r="A1432" s="2" t="s">
        <v>9699</v>
      </c>
      <c r="B1432" s="2">
        <v>355.13656348007203</v>
      </c>
      <c r="C1432" s="2">
        <v>4.3289999999999997</v>
      </c>
      <c r="D1432" s="2" t="s">
        <v>34</v>
      </c>
      <c r="E1432" s="2" t="s">
        <v>9700</v>
      </c>
      <c r="F1432" s="2">
        <v>255669</v>
      </c>
      <c r="G1432" s="3" t="str">
        <f>HYPERLINK("http://funmeta.oebiotech.com/network/255669", "http://funmeta.oebiotech.com/network/255669")</f>
        <v>http://funmeta.oebiotech.com/network/255669</v>
      </c>
      <c r="H1432" s="2" t="s">
        <v>9701</v>
      </c>
      <c r="I1432" s="2"/>
      <c r="J1432" s="2"/>
      <c r="K1432" s="2"/>
      <c r="L1432" s="2"/>
      <c r="M1432" s="2"/>
      <c r="N1432" s="2"/>
      <c r="O1432" s="2">
        <v>9602598</v>
      </c>
      <c r="P1432" s="2"/>
      <c r="Q1432" s="2" t="s">
        <v>9702</v>
      </c>
      <c r="R1432" s="2" t="s">
        <v>9703</v>
      </c>
      <c r="S1432" s="2" t="s">
        <v>50</v>
      </c>
      <c r="T1432" s="2" t="s">
        <v>201</v>
      </c>
      <c r="U1432" s="2" t="s">
        <v>265</v>
      </c>
      <c r="V1432" s="2" t="s">
        <v>59</v>
      </c>
      <c r="W1432" s="2">
        <v>37.799999999999997</v>
      </c>
      <c r="X1432" s="2">
        <v>1.33</v>
      </c>
      <c r="Y1432" s="2" t="s">
        <v>470</v>
      </c>
      <c r="Z1432" s="2" t="s">
        <v>9704</v>
      </c>
      <c r="AA1432" s="2">
        <v>-3.34892049156108</v>
      </c>
      <c r="AB1432" s="2">
        <v>0.54899249781571702</v>
      </c>
      <c r="AC1432" s="2">
        <v>50986.625398334902</v>
      </c>
      <c r="AD1432" s="2">
        <v>73469.782645674801</v>
      </c>
      <c r="AE1432" s="2">
        <v>49403.669616180399</v>
      </c>
      <c r="AF1432" s="2">
        <v>49183.242821345797</v>
      </c>
      <c r="AG1432" s="2">
        <v>50045.431609633597</v>
      </c>
      <c r="AH1432" s="2">
        <v>43485.7987812785</v>
      </c>
      <c r="AI1432" s="2">
        <v>60469.796160434198</v>
      </c>
      <c r="AJ1432" s="2">
        <v>53331.8134011367</v>
      </c>
      <c r="AK1432" s="2">
        <v>71929.354108220796</v>
      </c>
      <c r="AL1432" s="2">
        <v>68656.548281548705</v>
      </c>
      <c r="AM1432" s="2">
        <v>69069.085533046906</v>
      </c>
      <c r="AN1432" s="2">
        <v>68731.014405426002</v>
      </c>
      <c r="AO1432" s="2">
        <v>73616.128055110297</v>
      </c>
      <c r="AP1432" s="2">
        <v>88816.565490696201</v>
      </c>
    </row>
    <row r="1433" spans="1:42" ht="14.5" x14ac:dyDescent="0.35">
      <c r="A1433" s="2" t="s">
        <v>9705</v>
      </c>
      <c r="B1433" s="2">
        <v>467.11844695531499</v>
      </c>
      <c r="C1433" s="2">
        <v>3.9663166666666698</v>
      </c>
      <c r="D1433" s="2" t="s">
        <v>34</v>
      </c>
      <c r="E1433" s="2" t="s">
        <v>9706</v>
      </c>
      <c r="F1433" s="2">
        <v>64673</v>
      </c>
      <c r="G1433" s="3" t="str">
        <f>HYPERLINK("http://funmeta.oebiotech.com/network/64673", "http://funmeta.oebiotech.com/network/64673")</f>
        <v>http://funmeta.oebiotech.com/network/64673</v>
      </c>
      <c r="H1433" s="2" t="s">
        <v>9707</v>
      </c>
      <c r="I1433" s="2">
        <v>95974</v>
      </c>
      <c r="J1433" s="2"/>
      <c r="K1433" s="2"/>
      <c r="L1433" s="2"/>
      <c r="M1433" s="2"/>
      <c r="N1433" s="2"/>
      <c r="O1433" s="2">
        <v>14187088</v>
      </c>
      <c r="P1433" s="2" t="s">
        <v>9708</v>
      </c>
      <c r="Q1433" s="2" t="s">
        <v>9709</v>
      </c>
      <c r="R1433" s="2" t="s">
        <v>9710</v>
      </c>
      <c r="S1433" s="2" t="s">
        <v>115</v>
      </c>
      <c r="T1433" s="2" t="s">
        <v>139</v>
      </c>
      <c r="U1433" s="2" t="s">
        <v>140</v>
      </c>
      <c r="V1433" s="2" t="s">
        <v>42</v>
      </c>
      <c r="W1433" s="2">
        <v>54.7</v>
      </c>
      <c r="X1433" s="2">
        <v>81.099999999999994</v>
      </c>
      <c r="Y1433" s="2" t="s">
        <v>394</v>
      </c>
      <c r="Z1433" s="2" t="s">
        <v>9711</v>
      </c>
      <c r="AA1433" s="2">
        <v>9.5219900047280703E-2</v>
      </c>
      <c r="AB1433" s="2">
        <v>0.54895498174026003</v>
      </c>
      <c r="AC1433" s="2">
        <v>81183.658963829803</v>
      </c>
      <c r="AD1433" s="2">
        <v>107008.745065685</v>
      </c>
      <c r="AE1433" s="2">
        <v>68481.705082497894</v>
      </c>
      <c r="AF1433" s="2">
        <v>95004.959998472303</v>
      </c>
      <c r="AG1433" s="2">
        <v>80711.701602138593</v>
      </c>
      <c r="AH1433" s="2">
        <v>69835.159226111806</v>
      </c>
      <c r="AI1433" s="2">
        <v>94491.191848860894</v>
      </c>
      <c r="AJ1433" s="2">
        <v>78577.236024897094</v>
      </c>
      <c r="AK1433" s="2">
        <v>121630.910089446</v>
      </c>
      <c r="AL1433" s="2">
        <v>92076.0924994784</v>
      </c>
      <c r="AM1433" s="2">
        <v>115260.774937412</v>
      </c>
      <c r="AN1433" s="2">
        <v>103703.909472645</v>
      </c>
      <c r="AO1433" s="2">
        <v>93237.645993075101</v>
      </c>
      <c r="AP1433" s="2">
        <v>116143.137402054</v>
      </c>
    </row>
    <row r="1434" spans="1:42" ht="14.5" x14ac:dyDescent="0.35">
      <c r="A1434" s="2" t="s">
        <v>9712</v>
      </c>
      <c r="B1434" s="2">
        <v>373.12901687979399</v>
      </c>
      <c r="C1434" s="2">
        <v>5.8600666666666701</v>
      </c>
      <c r="D1434" s="2" t="s">
        <v>70</v>
      </c>
      <c r="E1434" s="2" t="s">
        <v>9713</v>
      </c>
      <c r="F1434" s="2">
        <v>55384</v>
      </c>
      <c r="G1434" s="3" t="str">
        <f>HYPERLINK("http://funmeta.oebiotech.com/network/55384", "http://funmeta.oebiotech.com/network/55384")</f>
        <v>http://funmeta.oebiotech.com/network/55384</v>
      </c>
      <c r="H1434" s="2" t="s">
        <v>9714</v>
      </c>
      <c r="I1434" s="2"/>
      <c r="J1434" s="2"/>
      <c r="K1434" s="2">
        <v>1007254</v>
      </c>
      <c r="L1434" s="2" t="s">
        <v>9715</v>
      </c>
      <c r="M1434" s="2"/>
      <c r="N1434" s="2"/>
      <c r="O1434" s="2">
        <v>99938</v>
      </c>
      <c r="P1434" s="2" t="s">
        <v>9716</v>
      </c>
      <c r="Q1434" s="2" t="s">
        <v>9717</v>
      </c>
      <c r="R1434" s="2" t="s">
        <v>9718</v>
      </c>
      <c r="S1434" s="2" t="s">
        <v>1184</v>
      </c>
      <c r="T1434" s="2" t="s">
        <v>3333</v>
      </c>
      <c r="U1434" s="2" t="s">
        <v>3334</v>
      </c>
      <c r="V1434" s="2" t="s">
        <v>42</v>
      </c>
      <c r="W1434" s="2">
        <v>56.1</v>
      </c>
      <c r="X1434" s="2">
        <v>86.4</v>
      </c>
      <c r="Y1434" s="2" t="s">
        <v>286</v>
      </c>
      <c r="Z1434" s="2" t="s">
        <v>7523</v>
      </c>
      <c r="AA1434" s="2">
        <v>-0.69421355328839895</v>
      </c>
      <c r="AB1434" s="2">
        <v>0.54892151330819805</v>
      </c>
      <c r="AC1434" s="2">
        <v>24822.855813378999</v>
      </c>
      <c r="AD1434" s="2">
        <v>4859.28863150091</v>
      </c>
      <c r="AE1434" s="2">
        <v>27783.612262794199</v>
      </c>
      <c r="AF1434" s="2">
        <v>23610.3596302152</v>
      </c>
      <c r="AG1434" s="2">
        <v>27449.733874893202</v>
      </c>
      <c r="AH1434" s="2">
        <v>23693.6689225997</v>
      </c>
      <c r="AI1434" s="2">
        <v>22252.6940273443</v>
      </c>
      <c r="AJ1434" s="2">
        <v>24147.066162427302</v>
      </c>
      <c r="AK1434" s="2">
        <v>3935.8036614518001</v>
      </c>
      <c r="AL1434" s="2">
        <v>5238.6076576871801</v>
      </c>
      <c r="AM1434" s="2">
        <v>4590.0568718618797</v>
      </c>
      <c r="AN1434" s="2">
        <v>5615.26498786109</v>
      </c>
      <c r="AO1434" s="2">
        <v>5639.1883283602501</v>
      </c>
      <c r="AP1434" s="2">
        <v>4136.8102817832796</v>
      </c>
    </row>
    <row r="1435" spans="1:42" ht="14.5" x14ac:dyDescent="0.35">
      <c r="A1435" s="2" t="s">
        <v>9719</v>
      </c>
      <c r="B1435" s="2">
        <v>277.08915526373801</v>
      </c>
      <c r="C1435" s="2">
        <v>0.71894999999999998</v>
      </c>
      <c r="D1435" s="2" t="s">
        <v>34</v>
      </c>
      <c r="E1435" s="2" t="s">
        <v>9720</v>
      </c>
      <c r="F1435" s="2">
        <v>48873</v>
      </c>
      <c r="G1435" s="3" t="str">
        <f>HYPERLINK("http://funmeta.oebiotech.com/network/48873", "http://funmeta.oebiotech.com/network/48873")</f>
        <v>http://funmeta.oebiotech.com/network/48873</v>
      </c>
      <c r="H1435" s="2" t="s">
        <v>9721</v>
      </c>
      <c r="I1435" s="2"/>
      <c r="J1435" s="2"/>
      <c r="K1435" s="2">
        <v>15754</v>
      </c>
      <c r="L1435" s="2" t="s">
        <v>9722</v>
      </c>
      <c r="M1435" s="2" t="s">
        <v>9723</v>
      </c>
      <c r="N1435" s="2" t="s">
        <v>9724</v>
      </c>
      <c r="O1435" s="2">
        <v>656504</v>
      </c>
      <c r="P1435" s="2"/>
      <c r="Q1435" s="2" t="s">
        <v>9725</v>
      </c>
      <c r="R1435" s="2" t="s">
        <v>9726</v>
      </c>
      <c r="S1435" s="2" t="s">
        <v>50</v>
      </c>
      <c r="T1435" s="2" t="s">
        <v>448</v>
      </c>
      <c r="U1435" s="2" t="s">
        <v>449</v>
      </c>
      <c r="V1435" s="2" t="s">
        <v>59</v>
      </c>
      <c r="W1435" s="2">
        <v>39.6</v>
      </c>
      <c r="X1435" s="2">
        <v>4.37</v>
      </c>
      <c r="Y1435" s="2" t="s">
        <v>67</v>
      </c>
      <c r="Z1435" s="2" t="s">
        <v>9727</v>
      </c>
      <c r="AA1435" s="2">
        <v>-1.80707874809233</v>
      </c>
      <c r="AB1435" s="2">
        <v>0.54873230517170302</v>
      </c>
      <c r="AC1435" s="2">
        <v>241289.13338825601</v>
      </c>
      <c r="AD1435" s="2">
        <v>268792.99335472099</v>
      </c>
      <c r="AE1435" s="2">
        <v>249568.66382227599</v>
      </c>
      <c r="AF1435" s="2">
        <v>271224.29666179098</v>
      </c>
      <c r="AG1435" s="2">
        <v>240996.160382523</v>
      </c>
      <c r="AH1435" s="2">
        <v>239054.57803824</v>
      </c>
      <c r="AI1435" s="2">
        <v>224013.510672542</v>
      </c>
      <c r="AJ1435" s="2">
        <v>222877.59075216201</v>
      </c>
      <c r="AK1435" s="2">
        <v>282283.83267293702</v>
      </c>
      <c r="AL1435" s="2">
        <v>263820.61732016399</v>
      </c>
      <c r="AM1435" s="2">
        <v>272392.92061519698</v>
      </c>
      <c r="AN1435" s="2">
        <v>263892.82812603202</v>
      </c>
      <c r="AO1435" s="2">
        <v>273758.800216412</v>
      </c>
      <c r="AP1435" s="2">
        <v>256608.96117758099</v>
      </c>
    </row>
    <row r="1436" spans="1:42" ht="14.5" x14ac:dyDescent="0.35">
      <c r="A1436" s="2" t="s">
        <v>9728</v>
      </c>
      <c r="B1436" s="2">
        <v>371.13440534386001</v>
      </c>
      <c r="C1436" s="2">
        <v>4.3281833333333299</v>
      </c>
      <c r="D1436" s="2" t="s">
        <v>70</v>
      </c>
      <c r="E1436" s="2" t="s">
        <v>9729</v>
      </c>
      <c r="F1436" s="2">
        <v>203011</v>
      </c>
      <c r="G1436" s="3" t="str">
        <f>HYPERLINK("http://funmeta.oebiotech.com/network/203011", "http://funmeta.oebiotech.com/network/203011")</f>
        <v>http://funmeta.oebiotech.com/network/203011</v>
      </c>
      <c r="H1436" s="2" t="s">
        <v>9730</v>
      </c>
      <c r="I1436" s="2"/>
      <c r="J1436" s="2"/>
      <c r="K1436" s="2"/>
      <c r="L1436" s="2"/>
      <c r="M1436" s="2"/>
      <c r="N1436" s="2"/>
      <c r="O1436" s="2">
        <v>601562</v>
      </c>
      <c r="P1436" s="2"/>
      <c r="Q1436" s="2" t="s">
        <v>9731</v>
      </c>
      <c r="R1436" s="2" t="s">
        <v>9732</v>
      </c>
      <c r="S1436" s="2" t="s">
        <v>50</v>
      </c>
      <c r="T1436" s="2" t="s">
        <v>201</v>
      </c>
      <c r="U1436" s="2" t="s">
        <v>202</v>
      </c>
      <c r="V1436" s="2" t="s">
        <v>59</v>
      </c>
      <c r="W1436" s="2">
        <v>46.6</v>
      </c>
      <c r="X1436" s="2">
        <v>40.799999999999997</v>
      </c>
      <c r="Y1436" s="2" t="s">
        <v>751</v>
      </c>
      <c r="Z1436" s="2" t="s">
        <v>9733</v>
      </c>
      <c r="AA1436" s="2">
        <v>-0.89853447665111297</v>
      </c>
      <c r="AB1436" s="2">
        <v>0.54861696500227697</v>
      </c>
      <c r="AC1436" s="2">
        <v>20465.230415890601</v>
      </c>
      <c r="AD1436" s="2">
        <v>40372.005203034802</v>
      </c>
      <c r="AE1436" s="2">
        <v>21559.094303525198</v>
      </c>
      <c r="AF1436" s="2">
        <v>21434.040558218901</v>
      </c>
      <c r="AG1436" s="2">
        <v>19273.628417834501</v>
      </c>
      <c r="AH1436" s="2">
        <v>20441.199970905302</v>
      </c>
      <c r="AI1436" s="2">
        <v>19732.097570101301</v>
      </c>
      <c r="AJ1436" s="2">
        <v>20351.321674758201</v>
      </c>
      <c r="AK1436" s="2">
        <v>40296.253962248004</v>
      </c>
      <c r="AL1436" s="2">
        <v>42259.813017622102</v>
      </c>
      <c r="AM1436" s="2">
        <v>40924.430407085099</v>
      </c>
      <c r="AN1436" s="2">
        <v>41858.107741741798</v>
      </c>
      <c r="AO1436" s="2">
        <v>38332.414261493897</v>
      </c>
      <c r="AP1436" s="2">
        <v>38561.011828018098</v>
      </c>
    </row>
    <row r="1437" spans="1:42" ht="14.5" x14ac:dyDescent="0.35">
      <c r="A1437" s="2" t="s">
        <v>9734</v>
      </c>
      <c r="B1437" s="2">
        <v>834.37020301003997</v>
      </c>
      <c r="C1437" s="2">
        <v>7.1405000000000003</v>
      </c>
      <c r="D1437" s="2" t="s">
        <v>70</v>
      </c>
      <c r="E1437" s="2" t="s">
        <v>9735</v>
      </c>
      <c r="F1437" s="2">
        <v>53693</v>
      </c>
      <c r="G1437" s="3" t="str">
        <f>HYPERLINK("http://funmeta.oebiotech.com/network/53693", "http://funmeta.oebiotech.com/network/53693")</f>
        <v>http://funmeta.oebiotech.com/network/53693</v>
      </c>
      <c r="H1437" s="2" t="s">
        <v>9736</v>
      </c>
      <c r="I1437" s="2">
        <v>85581</v>
      </c>
      <c r="J1437" s="2"/>
      <c r="K1437" s="2">
        <v>63584</v>
      </c>
      <c r="L1437" s="2"/>
      <c r="M1437" s="2"/>
      <c r="N1437" s="2"/>
      <c r="O1437" s="2">
        <v>9854073</v>
      </c>
      <c r="P1437" s="2" t="s">
        <v>9737</v>
      </c>
      <c r="Q1437" s="2" t="s">
        <v>9738</v>
      </c>
      <c r="R1437" s="2" t="s">
        <v>9739</v>
      </c>
      <c r="S1437" s="2" t="s">
        <v>50</v>
      </c>
      <c r="T1437" s="2" t="s">
        <v>201</v>
      </c>
      <c r="U1437" s="2" t="s">
        <v>241</v>
      </c>
      <c r="V1437" s="2" t="s">
        <v>59</v>
      </c>
      <c r="W1437" s="2">
        <v>45.1</v>
      </c>
      <c r="X1437" s="2">
        <v>34.1</v>
      </c>
      <c r="Y1437" s="2" t="s">
        <v>118</v>
      </c>
      <c r="Z1437" s="2" t="s">
        <v>9740</v>
      </c>
      <c r="AA1437" s="2">
        <v>-0.51002616507373</v>
      </c>
      <c r="AB1437" s="2">
        <v>0.54859234139726598</v>
      </c>
      <c r="AC1437" s="2">
        <v>98168.338299462295</v>
      </c>
      <c r="AD1437" s="2">
        <v>122990.179072297</v>
      </c>
      <c r="AE1437" s="2">
        <v>100016.576529093</v>
      </c>
      <c r="AF1437" s="2">
        <v>90173.700335157002</v>
      </c>
      <c r="AG1437" s="2">
        <v>105418.222843039</v>
      </c>
      <c r="AH1437" s="2">
        <v>96931.466861746405</v>
      </c>
      <c r="AI1437" s="2">
        <v>90669.962472643296</v>
      </c>
      <c r="AJ1437" s="2">
        <v>105800.100755095</v>
      </c>
      <c r="AK1437" s="2">
        <v>121616.326720939</v>
      </c>
      <c r="AL1437" s="2">
        <v>125998.024996337</v>
      </c>
      <c r="AM1437" s="2">
        <v>146524.78554328301</v>
      </c>
      <c r="AN1437" s="2">
        <v>116533.60797050101</v>
      </c>
      <c r="AO1437" s="2">
        <v>109556.979591671</v>
      </c>
      <c r="AP1437" s="2">
        <v>117711.34961105</v>
      </c>
    </row>
    <row r="1438" spans="1:42" ht="14.5" x14ac:dyDescent="0.35">
      <c r="A1438" s="2" t="s">
        <v>9741</v>
      </c>
      <c r="B1438" s="2">
        <v>269.21097507893103</v>
      </c>
      <c r="C1438" s="2">
        <v>9.48586666666667</v>
      </c>
      <c r="D1438" s="2" t="s">
        <v>34</v>
      </c>
      <c r="E1438" s="2" t="s">
        <v>9742</v>
      </c>
      <c r="F1438" s="2">
        <v>7913</v>
      </c>
      <c r="G1438" s="3" t="str">
        <f>HYPERLINK("http://funmeta.oebiotech.com/network/7913", "http://funmeta.oebiotech.com/network/7913")</f>
        <v>http://funmeta.oebiotech.com/network/7913</v>
      </c>
      <c r="H1438" s="2"/>
      <c r="I1438" s="2"/>
      <c r="J1438" s="2" t="s">
        <v>9743</v>
      </c>
      <c r="K1438" s="2"/>
      <c r="L1438" s="2"/>
      <c r="M1438" s="2"/>
      <c r="N1438" s="2"/>
      <c r="O1438" s="2">
        <v>135338051</v>
      </c>
      <c r="P1438" s="2"/>
      <c r="Q1438" s="2" t="s">
        <v>9744</v>
      </c>
      <c r="R1438" s="2" t="s">
        <v>9745</v>
      </c>
      <c r="S1438" s="2" t="s">
        <v>41</v>
      </c>
      <c r="T1438" s="2" t="s">
        <v>41</v>
      </c>
      <c r="U1438" s="2" t="s">
        <v>41</v>
      </c>
      <c r="V1438" s="2" t="s">
        <v>42</v>
      </c>
      <c r="W1438" s="2">
        <v>51.4</v>
      </c>
      <c r="X1438" s="2">
        <v>61.5</v>
      </c>
      <c r="Y1438" s="2" t="s">
        <v>394</v>
      </c>
      <c r="Z1438" s="2" t="s">
        <v>9746</v>
      </c>
      <c r="AA1438" s="2">
        <v>-0.54477112046614395</v>
      </c>
      <c r="AB1438" s="2">
        <v>0.54843731468535395</v>
      </c>
      <c r="AC1438" s="2">
        <v>101993.206775058</v>
      </c>
      <c r="AD1438" s="2">
        <v>123859.35792296</v>
      </c>
      <c r="AE1438" s="2">
        <v>102043.962204191</v>
      </c>
      <c r="AF1438" s="2">
        <v>104974.10908425</v>
      </c>
      <c r="AG1438" s="2">
        <v>102359.014606913</v>
      </c>
      <c r="AH1438" s="2">
        <v>101992.601044921</v>
      </c>
      <c r="AI1438" s="2">
        <v>101542.72860544</v>
      </c>
      <c r="AJ1438" s="2">
        <v>99046.825104632604</v>
      </c>
      <c r="AK1438" s="2">
        <v>136284.556011487</v>
      </c>
      <c r="AL1438" s="2">
        <v>127780.414080937</v>
      </c>
      <c r="AM1438" s="2">
        <v>123363.16853196301</v>
      </c>
      <c r="AN1438" s="2">
        <v>117507.91050558101</v>
      </c>
      <c r="AO1438" s="2">
        <v>123606.487553917</v>
      </c>
      <c r="AP1438" s="2">
        <v>114613.610853876</v>
      </c>
    </row>
    <row r="1439" spans="1:42" ht="14.5" x14ac:dyDescent="0.35">
      <c r="A1439" s="2" t="s">
        <v>9747</v>
      </c>
      <c r="B1439" s="2">
        <v>254.14974948967401</v>
      </c>
      <c r="C1439" s="2">
        <v>1.3109999999999999</v>
      </c>
      <c r="D1439" s="2" t="s">
        <v>34</v>
      </c>
      <c r="E1439" s="2" t="s">
        <v>9748</v>
      </c>
      <c r="F1439" s="2">
        <v>53734</v>
      </c>
      <c r="G1439" s="3" t="str">
        <f>HYPERLINK("http://funmeta.oebiotech.com/network/53734", "http://funmeta.oebiotech.com/network/53734")</f>
        <v>http://funmeta.oebiotech.com/network/53734</v>
      </c>
      <c r="H1439" s="2" t="s">
        <v>9749</v>
      </c>
      <c r="I1439" s="2"/>
      <c r="J1439" s="2"/>
      <c r="K1439" s="2">
        <v>73807</v>
      </c>
      <c r="L1439" s="2"/>
      <c r="M1439" s="2"/>
      <c r="N1439" s="2"/>
      <c r="O1439" s="2">
        <v>96814</v>
      </c>
      <c r="P1439" s="2" t="s">
        <v>9750</v>
      </c>
      <c r="Q1439" s="2" t="s">
        <v>9751</v>
      </c>
      <c r="R1439" s="2" t="s">
        <v>9752</v>
      </c>
      <c r="S1439" s="2" t="s">
        <v>89</v>
      </c>
      <c r="T1439" s="2" t="s">
        <v>90</v>
      </c>
      <c r="U1439" s="2" t="s">
        <v>99</v>
      </c>
      <c r="V1439" s="2" t="s">
        <v>59</v>
      </c>
      <c r="W1439" s="2">
        <v>43.6</v>
      </c>
      <c r="X1439" s="2">
        <v>22.1</v>
      </c>
      <c r="Y1439" s="2" t="s">
        <v>43</v>
      </c>
      <c r="Z1439" s="2" t="s">
        <v>9753</v>
      </c>
      <c r="AA1439" s="2">
        <v>-0.713300496515751</v>
      </c>
      <c r="AB1439" s="2">
        <v>0.548319995463876</v>
      </c>
      <c r="AC1439" s="2">
        <v>45197.792142468599</v>
      </c>
      <c r="AD1439" s="2">
        <v>25018.293515576501</v>
      </c>
      <c r="AE1439" s="2">
        <v>45836.991783263198</v>
      </c>
      <c r="AF1439" s="2">
        <v>43807.526914502603</v>
      </c>
      <c r="AG1439" s="2">
        <v>44000.398750169203</v>
      </c>
      <c r="AH1439" s="2">
        <v>51589.314751825899</v>
      </c>
      <c r="AI1439" s="2">
        <v>42504.624804748397</v>
      </c>
      <c r="AJ1439" s="2">
        <v>43447.8958503022</v>
      </c>
      <c r="AK1439" s="2">
        <v>25328.795062370598</v>
      </c>
      <c r="AL1439" s="2">
        <v>24794.7204501251</v>
      </c>
      <c r="AM1439" s="2">
        <v>25333.9842380398</v>
      </c>
      <c r="AN1439" s="2">
        <v>25422.590811764101</v>
      </c>
      <c r="AO1439" s="2">
        <v>25805.371994384099</v>
      </c>
      <c r="AP1439" s="2">
        <v>23424.298536775099</v>
      </c>
    </row>
    <row r="1440" spans="1:42" ht="14.5" x14ac:dyDescent="0.35">
      <c r="A1440" s="2" t="s">
        <v>9754</v>
      </c>
      <c r="B1440" s="2">
        <v>541.279194268114</v>
      </c>
      <c r="C1440" s="2">
        <v>8.2503333333333302</v>
      </c>
      <c r="D1440" s="2" t="s">
        <v>34</v>
      </c>
      <c r="E1440" s="2" t="s">
        <v>9755</v>
      </c>
      <c r="F1440" s="2">
        <v>55162</v>
      </c>
      <c r="G1440" s="3" t="str">
        <f>HYPERLINK("http://funmeta.oebiotech.com/network/55162", "http://funmeta.oebiotech.com/network/55162")</f>
        <v>http://funmeta.oebiotech.com/network/55162</v>
      </c>
      <c r="H1440" s="2" t="s">
        <v>9756</v>
      </c>
      <c r="I1440" s="2">
        <v>86904</v>
      </c>
      <c r="J1440" s="2"/>
      <c r="K1440" s="2"/>
      <c r="L1440" s="2"/>
      <c r="M1440" s="2"/>
      <c r="N1440" s="2"/>
      <c r="O1440" s="2">
        <v>12303931</v>
      </c>
      <c r="P1440" s="2" t="s">
        <v>9757</v>
      </c>
      <c r="Q1440" s="2" t="s">
        <v>9758</v>
      </c>
      <c r="R1440" s="2" t="s">
        <v>9759</v>
      </c>
      <c r="S1440" s="2" t="s">
        <v>50</v>
      </c>
      <c r="T1440" s="2" t="s">
        <v>124</v>
      </c>
      <c r="U1440" s="2" t="s">
        <v>523</v>
      </c>
      <c r="V1440" s="2" t="s">
        <v>59</v>
      </c>
      <c r="W1440" s="2">
        <v>46</v>
      </c>
      <c r="X1440" s="2">
        <v>37.200000000000003</v>
      </c>
      <c r="Y1440" s="2" t="s">
        <v>323</v>
      </c>
      <c r="Z1440" s="2" t="s">
        <v>9760</v>
      </c>
      <c r="AA1440" s="2">
        <v>3.8690550738812002</v>
      </c>
      <c r="AB1440" s="2">
        <v>0.54830344491457095</v>
      </c>
      <c r="AC1440" s="2">
        <v>207604.923873391</v>
      </c>
      <c r="AD1440" s="2">
        <v>170745.886886305</v>
      </c>
      <c r="AE1440" s="2">
        <v>194418.30965407001</v>
      </c>
      <c r="AF1440" s="2">
        <v>186368.55075767299</v>
      </c>
      <c r="AG1440" s="2">
        <v>274276.48921258497</v>
      </c>
      <c r="AH1440" s="2">
        <v>210360.93787272801</v>
      </c>
      <c r="AI1440" s="2">
        <v>181744.62019476699</v>
      </c>
      <c r="AJ1440" s="2">
        <v>198460.635548522</v>
      </c>
      <c r="AK1440" s="2">
        <v>196557.65734258501</v>
      </c>
      <c r="AL1440" s="2">
        <v>223256.44697809301</v>
      </c>
      <c r="AM1440" s="2">
        <v>148763.57776507601</v>
      </c>
      <c r="AN1440" s="2">
        <v>148058.198037953</v>
      </c>
      <c r="AO1440" s="2">
        <v>157915.15069845199</v>
      </c>
      <c r="AP1440" s="2">
        <v>149924.290495672</v>
      </c>
    </row>
    <row r="1441" spans="1:42" ht="14.5" x14ac:dyDescent="0.35">
      <c r="A1441" s="2" t="s">
        <v>9761</v>
      </c>
      <c r="B1441" s="2">
        <v>258.10924379531798</v>
      </c>
      <c r="C1441" s="2">
        <v>0.71894999999999998</v>
      </c>
      <c r="D1441" s="2" t="s">
        <v>34</v>
      </c>
      <c r="E1441" s="2" t="s">
        <v>9762</v>
      </c>
      <c r="F1441" s="2">
        <v>46863</v>
      </c>
      <c r="G1441" s="3" t="str">
        <f>HYPERLINK("http://funmeta.oebiotech.com/network/46863", "http://funmeta.oebiotech.com/network/46863")</f>
        <v>http://funmeta.oebiotech.com/network/46863</v>
      </c>
      <c r="H1441" s="2" t="s">
        <v>9763</v>
      </c>
      <c r="I1441" s="2">
        <v>370</v>
      </c>
      <c r="J1441" s="2"/>
      <c r="K1441" s="2">
        <v>16870</v>
      </c>
      <c r="L1441" s="2" t="s">
        <v>9764</v>
      </c>
      <c r="M1441" s="2" t="s">
        <v>9765</v>
      </c>
      <c r="N1441" s="2" t="s">
        <v>9766</v>
      </c>
      <c r="O1441" s="2">
        <v>657272</v>
      </c>
      <c r="P1441" s="2" t="s">
        <v>9767</v>
      </c>
      <c r="Q1441" s="2" t="s">
        <v>9768</v>
      </c>
      <c r="R1441" s="2" t="s">
        <v>9769</v>
      </c>
      <c r="S1441" s="2" t="s">
        <v>50</v>
      </c>
      <c r="T1441" s="2" t="s">
        <v>51</v>
      </c>
      <c r="U1441" s="2" t="s">
        <v>168</v>
      </c>
      <c r="V1441" s="2" t="s">
        <v>59</v>
      </c>
      <c r="W1441" s="2">
        <v>38.1</v>
      </c>
      <c r="X1441" s="2">
        <v>0</v>
      </c>
      <c r="Y1441" s="2" t="s">
        <v>67</v>
      </c>
      <c r="Z1441" s="2" t="s">
        <v>9770</v>
      </c>
      <c r="AA1441" s="2">
        <v>-3.3318585485118102</v>
      </c>
      <c r="AB1441" s="2">
        <v>0.54826223236795402</v>
      </c>
      <c r="AC1441" s="2">
        <v>77310.039789749397</v>
      </c>
      <c r="AD1441" s="2">
        <v>52797.357313049099</v>
      </c>
      <c r="AE1441" s="2">
        <v>64376.909522490801</v>
      </c>
      <c r="AF1441" s="2">
        <v>70020.141799655394</v>
      </c>
      <c r="AG1441" s="2">
        <v>93402.836057583801</v>
      </c>
      <c r="AH1441" s="2">
        <v>68441.038768807994</v>
      </c>
      <c r="AI1441" s="2">
        <v>87720.587900810293</v>
      </c>
      <c r="AJ1441" s="2">
        <v>79898.724689148294</v>
      </c>
      <c r="AK1441" s="2">
        <v>45123.632496916398</v>
      </c>
      <c r="AL1441" s="2">
        <v>52640.109960679103</v>
      </c>
      <c r="AM1441" s="2">
        <v>66789.770966484197</v>
      </c>
      <c r="AN1441" s="2">
        <v>51555.650142522303</v>
      </c>
      <c r="AO1441" s="2">
        <v>51685.234235438802</v>
      </c>
      <c r="AP1441" s="2">
        <v>48989.746076253803</v>
      </c>
    </row>
    <row r="1442" spans="1:42" ht="14.5" x14ac:dyDescent="0.35">
      <c r="A1442" s="2" t="s">
        <v>9771</v>
      </c>
      <c r="B1442" s="2">
        <v>783.18739413622097</v>
      </c>
      <c r="C1442" s="2">
        <v>4.0778333333333299</v>
      </c>
      <c r="D1442" s="2" t="s">
        <v>70</v>
      </c>
      <c r="E1442" s="2" t="s">
        <v>9772</v>
      </c>
      <c r="F1442" s="2">
        <v>53536</v>
      </c>
      <c r="G1442" s="3" t="str">
        <f>HYPERLINK("http://funmeta.oebiotech.com/network/53536", "http://funmeta.oebiotech.com/network/53536")</f>
        <v>http://funmeta.oebiotech.com/network/53536</v>
      </c>
      <c r="H1442" s="2" t="s">
        <v>9773</v>
      </c>
      <c r="I1442" s="2"/>
      <c r="J1442" s="2"/>
      <c r="K1442" s="2"/>
      <c r="L1442" s="2"/>
      <c r="M1442" s="2"/>
      <c r="N1442" s="2"/>
      <c r="O1442" s="2">
        <v>3086655</v>
      </c>
      <c r="P1442" s="2" t="s">
        <v>9774</v>
      </c>
      <c r="Q1442" s="2" t="s">
        <v>9775</v>
      </c>
      <c r="R1442" s="2" t="s">
        <v>9776</v>
      </c>
      <c r="S1442" s="2" t="s">
        <v>491</v>
      </c>
      <c r="T1442" s="2" t="s">
        <v>9777</v>
      </c>
      <c r="U1442" s="2" t="s">
        <v>9778</v>
      </c>
      <c r="V1442" s="2" t="s">
        <v>59</v>
      </c>
      <c r="W1442" s="2">
        <v>36.6</v>
      </c>
      <c r="X1442" s="2">
        <v>0</v>
      </c>
      <c r="Y1442" s="2" t="s">
        <v>560</v>
      </c>
      <c r="Z1442" s="2" t="s">
        <v>9779</v>
      </c>
      <c r="AA1442" s="2">
        <v>-4.3098920451516003</v>
      </c>
      <c r="AB1442" s="2">
        <v>0.547739842975137</v>
      </c>
      <c r="AC1442" s="2">
        <v>26503.312090586402</v>
      </c>
      <c r="AD1442" s="2">
        <v>6252.7028486465697</v>
      </c>
      <c r="AE1442" s="2">
        <v>28482.9752555542</v>
      </c>
      <c r="AF1442" s="2">
        <v>26539.634846437399</v>
      </c>
      <c r="AG1442" s="2">
        <v>22306.438513337001</v>
      </c>
      <c r="AH1442" s="2">
        <v>28813.202251187799</v>
      </c>
      <c r="AI1442" s="2">
        <v>23686.822459864699</v>
      </c>
      <c r="AJ1442" s="2">
        <v>29190.799217136999</v>
      </c>
      <c r="AK1442" s="2">
        <v>4991.9787277557798</v>
      </c>
      <c r="AL1442" s="2">
        <v>7680.82807994634</v>
      </c>
      <c r="AM1442" s="2">
        <v>10095.0964789174</v>
      </c>
      <c r="AN1442" s="2">
        <v>3694.5806343357199</v>
      </c>
      <c r="AO1442" s="2">
        <v>7354.6774436710703</v>
      </c>
      <c r="AP1442" s="2">
        <v>3699.05572725312</v>
      </c>
    </row>
    <row r="1443" spans="1:42" ht="14.5" x14ac:dyDescent="0.35">
      <c r="A1443" s="2" t="s">
        <v>9780</v>
      </c>
      <c r="B1443" s="2">
        <v>291.12963657406999</v>
      </c>
      <c r="C1443" s="2">
        <v>0.75019999999999998</v>
      </c>
      <c r="D1443" s="2" t="s">
        <v>34</v>
      </c>
      <c r="E1443" s="2" t="s">
        <v>9781</v>
      </c>
      <c r="F1443" s="2">
        <v>46845</v>
      </c>
      <c r="G1443" s="3" t="str">
        <f>HYPERLINK("http://funmeta.oebiotech.com/network/46845", "http://funmeta.oebiotech.com/network/46845")</f>
        <v>http://funmeta.oebiotech.com/network/46845</v>
      </c>
      <c r="H1443" s="2" t="s">
        <v>9782</v>
      </c>
      <c r="I1443" s="2">
        <v>389</v>
      </c>
      <c r="J1443" s="2"/>
      <c r="K1443" s="2">
        <v>15682</v>
      </c>
      <c r="L1443" s="2" t="s">
        <v>9783</v>
      </c>
      <c r="M1443" s="2" t="s">
        <v>9784</v>
      </c>
      <c r="N1443" s="2" t="s">
        <v>9785</v>
      </c>
      <c r="O1443" s="2">
        <v>16950</v>
      </c>
      <c r="P1443" s="2" t="s">
        <v>9786</v>
      </c>
      <c r="Q1443" s="2" t="s">
        <v>9787</v>
      </c>
      <c r="R1443" s="2" t="s">
        <v>9788</v>
      </c>
      <c r="S1443" s="2" t="s">
        <v>89</v>
      </c>
      <c r="T1443" s="2" t="s">
        <v>90</v>
      </c>
      <c r="U1443" s="2" t="s">
        <v>99</v>
      </c>
      <c r="V1443" s="2" t="s">
        <v>59</v>
      </c>
      <c r="W1443" s="2">
        <v>44.1</v>
      </c>
      <c r="X1443" s="2">
        <v>27.3</v>
      </c>
      <c r="Y1443" s="2" t="s">
        <v>394</v>
      </c>
      <c r="Z1443" s="2" t="s">
        <v>9789</v>
      </c>
      <c r="AA1443" s="2">
        <v>-0.94502020148312904</v>
      </c>
      <c r="AB1443" s="2">
        <v>0.54653255338464601</v>
      </c>
      <c r="AC1443" s="2">
        <v>30179.448792719599</v>
      </c>
      <c r="AD1443" s="2">
        <v>8918.10500626676</v>
      </c>
      <c r="AE1443" s="2">
        <v>22521.215327973801</v>
      </c>
      <c r="AF1443" s="2">
        <v>32944.196907409401</v>
      </c>
      <c r="AG1443" s="2">
        <v>28874.354496090898</v>
      </c>
      <c r="AH1443" s="2">
        <v>40120.5280008829</v>
      </c>
      <c r="AI1443" s="2">
        <v>23814.632010831101</v>
      </c>
      <c r="AJ1443" s="2">
        <v>32801.7660131292</v>
      </c>
      <c r="AK1443" s="2">
        <v>4950.1382264171798</v>
      </c>
      <c r="AL1443" s="2">
        <v>12471.122081605101</v>
      </c>
      <c r="AM1443" s="2">
        <v>8352.6142966227108</v>
      </c>
      <c r="AN1443" s="2">
        <v>7267.7303706521398</v>
      </c>
      <c r="AO1443" s="2">
        <v>9149.7594527224301</v>
      </c>
      <c r="AP1443" s="2">
        <v>11317.265609581</v>
      </c>
    </row>
    <row r="1444" spans="1:42" ht="14.5" x14ac:dyDescent="0.35">
      <c r="A1444" s="2" t="s">
        <v>9790</v>
      </c>
      <c r="B1444" s="2">
        <v>696.30192581101198</v>
      </c>
      <c r="C1444" s="2">
        <v>6.4248000000000003</v>
      </c>
      <c r="D1444" s="2" t="s">
        <v>70</v>
      </c>
      <c r="E1444" s="2" t="s">
        <v>9791</v>
      </c>
      <c r="F1444" s="2">
        <v>28285</v>
      </c>
      <c r="G1444" s="3" t="str">
        <f>HYPERLINK("http://funmeta.oebiotech.com/network/28285", "http://funmeta.oebiotech.com/network/28285")</f>
        <v>http://funmeta.oebiotech.com/network/28285</v>
      </c>
      <c r="H1444" s="2"/>
      <c r="I1444" s="2">
        <v>41003</v>
      </c>
      <c r="J1444" s="2" t="s">
        <v>9792</v>
      </c>
      <c r="K1444" s="2">
        <v>29673</v>
      </c>
      <c r="L1444" s="2" t="s">
        <v>9793</v>
      </c>
      <c r="M1444" s="2" t="s">
        <v>1390</v>
      </c>
      <c r="N1444" s="2" t="s">
        <v>1391</v>
      </c>
      <c r="O1444" s="2">
        <v>6324616</v>
      </c>
      <c r="P1444" s="2" t="s">
        <v>9794</v>
      </c>
      <c r="Q1444" s="2" t="s">
        <v>9795</v>
      </c>
      <c r="R1444" s="2" t="s">
        <v>9796</v>
      </c>
      <c r="S1444" s="2" t="s">
        <v>115</v>
      </c>
      <c r="T1444" s="2" t="s">
        <v>6130</v>
      </c>
      <c r="U1444" s="2" t="s">
        <v>41</v>
      </c>
      <c r="V1444" s="2" t="s">
        <v>42</v>
      </c>
      <c r="W1444" s="2">
        <v>54.3</v>
      </c>
      <c r="X1444" s="2">
        <v>76.8</v>
      </c>
      <c r="Y1444" s="2" t="s">
        <v>118</v>
      </c>
      <c r="Z1444" s="2" t="s">
        <v>9797</v>
      </c>
      <c r="AA1444" s="2">
        <v>-0.89444286352932001</v>
      </c>
      <c r="AB1444" s="2">
        <v>0.54634866704070195</v>
      </c>
      <c r="AC1444" s="2">
        <v>134021.24726614301</v>
      </c>
      <c r="AD1444" s="2">
        <v>154589.32990674599</v>
      </c>
      <c r="AE1444" s="2">
        <v>136112.91419254101</v>
      </c>
      <c r="AF1444" s="2">
        <v>128180.887707395</v>
      </c>
      <c r="AG1444" s="2">
        <v>134205.63056251701</v>
      </c>
      <c r="AH1444" s="2">
        <v>131789.40512753199</v>
      </c>
      <c r="AI1444" s="2">
        <v>132812.09281773999</v>
      </c>
      <c r="AJ1444" s="2">
        <v>141026.55318913501</v>
      </c>
      <c r="AK1444" s="2">
        <v>150374.519382511</v>
      </c>
      <c r="AL1444" s="2">
        <v>154560.84842131601</v>
      </c>
      <c r="AM1444" s="2">
        <v>158469.774237162</v>
      </c>
      <c r="AN1444" s="2">
        <v>156353.85738382899</v>
      </c>
      <c r="AO1444" s="2">
        <v>155099.49305082901</v>
      </c>
      <c r="AP1444" s="2">
        <v>152677.48696482799</v>
      </c>
    </row>
    <row r="1445" spans="1:42" ht="14.5" x14ac:dyDescent="0.35">
      <c r="A1445" s="2" t="s">
        <v>9798</v>
      </c>
      <c r="B1445" s="2">
        <v>655.18632654984197</v>
      </c>
      <c r="C1445" s="2">
        <v>4.8488333333333298</v>
      </c>
      <c r="D1445" s="2" t="s">
        <v>34</v>
      </c>
      <c r="E1445" s="2" t="s">
        <v>9799</v>
      </c>
      <c r="F1445" s="2">
        <v>61023</v>
      </c>
      <c r="G1445" s="3" t="str">
        <f>HYPERLINK("http://funmeta.oebiotech.com/network/61023", "http://funmeta.oebiotech.com/network/61023")</f>
        <v>http://funmeta.oebiotech.com/network/61023</v>
      </c>
      <c r="H1445" s="2" t="s">
        <v>9800</v>
      </c>
      <c r="I1445" s="2">
        <v>92359</v>
      </c>
      <c r="J1445" s="2"/>
      <c r="K1445" s="2"/>
      <c r="L1445" s="2"/>
      <c r="M1445" s="2"/>
      <c r="N1445" s="2"/>
      <c r="O1445" s="2">
        <v>131752195</v>
      </c>
      <c r="P1445" s="2"/>
      <c r="Q1445" s="2" t="s">
        <v>9801</v>
      </c>
      <c r="R1445" s="2" t="s">
        <v>9802</v>
      </c>
      <c r="S1445" s="2" t="s">
        <v>115</v>
      </c>
      <c r="T1445" s="2" t="s">
        <v>139</v>
      </c>
      <c r="U1445" s="2" t="s">
        <v>140</v>
      </c>
      <c r="V1445" s="2" t="s">
        <v>59</v>
      </c>
      <c r="W1445" s="2">
        <v>38.4</v>
      </c>
      <c r="X1445" s="2">
        <v>0</v>
      </c>
      <c r="Y1445" s="2" t="s">
        <v>67</v>
      </c>
      <c r="Z1445" s="2" t="s">
        <v>9803</v>
      </c>
      <c r="AA1445" s="2">
        <v>-0.83999112449112601</v>
      </c>
      <c r="AB1445" s="2">
        <v>0.546059362312319</v>
      </c>
      <c r="AC1445" s="2">
        <v>173445.06058759001</v>
      </c>
      <c r="AD1445" s="2">
        <v>201164.778616322</v>
      </c>
      <c r="AE1445" s="2">
        <v>167782.96574855701</v>
      </c>
      <c r="AF1445" s="2">
        <v>173475.55179439599</v>
      </c>
      <c r="AG1445" s="2">
        <v>187740.04580732001</v>
      </c>
      <c r="AH1445" s="2">
        <v>150196.37514685001</v>
      </c>
      <c r="AI1445" s="2">
        <v>181120.608986012</v>
      </c>
      <c r="AJ1445" s="2">
        <v>180354.81604240299</v>
      </c>
      <c r="AK1445" s="2">
        <v>188769.78828330501</v>
      </c>
      <c r="AL1445" s="2">
        <v>232478.43720872799</v>
      </c>
      <c r="AM1445" s="2">
        <v>199163.29024777401</v>
      </c>
      <c r="AN1445" s="2">
        <v>190448.087953187</v>
      </c>
      <c r="AO1445" s="2">
        <v>206050.373617654</v>
      </c>
      <c r="AP1445" s="2">
        <v>190078.69438728201</v>
      </c>
    </row>
    <row r="1446" spans="1:42" ht="14.5" x14ac:dyDescent="0.35">
      <c r="A1446" s="2" t="s">
        <v>9804</v>
      </c>
      <c r="B1446" s="2">
        <v>685.343381289749</v>
      </c>
      <c r="C1446" s="2">
        <v>5.7854333333333301</v>
      </c>
      <c r="D1446" s="2" t="s">
        <v>70</v>
      </c>
      <c r="E1446" s="2" t="s">
        <v>9805</v>
      </c>
      <c r="F1446" s="2">
        <v>38888</v>
      </c>
      <c r="G1446" s="3" t="str">
        <f>HYPERLINK("http://funmeta.oebiotech.com/network/38888", "http://funmeta.oebiotech.com/network/38888")</f>
        <v>http://funmeta.oebiotech.com/network/38888</v>
      </c>
      <c r="H1446" s="2"/>
      <c r="I1446" s="2"/>
      <c r="J1446" s="2" t="s">
        <v>9806</v>
      </c>
      <c r="K1446" s="2"/>
      <c r="L1446" s="2"/>
      <c r="M1446" s="2"/>
      <c r="N1446" s="2"/>
      <c r="O1446" s="2">
        <v>56940686</v>
      </c>
      <c r="P1446" s="2"/>
      <c r="Q1446" s="2" t="s">
        <v>9807</v>
      </c>
      <c r="R1446" s="2" t="s">
        <v>9808</v>
      </c>
      <c r="S1446" s="2" t="s">
        <v>89</v>
      </c>
      <c r="T1446" s="2" t="s">
        <v>90</v>
      </c>
      <c r="U1446" s="2" t="s">
        <v>469</v>
      </c>
      <c r="V1446" s="2" t="s">
        <v>59</v>
      </c>
      <c r="W1446" s="2">
        <v>44.9</v>
      </c>
      <c r="X1446" s="2">
        <v>31</v>
      </c>
      <c r="Y1446" s="2" t="s">
        <v>751</v>
      </c>
      <c r="Z1446" s="2" t="s">
        <v>9809</v>
      </c>
      <c r="AA1446" s="2">
        <v>-0.99193262764747903</v>
      </c>
      <c r="AB1446" s="2">
        <v>0.54587930145885499</v>
      </c>
      <c r="AC1446" s="2">
        <v>247569.974639108</v>
      </c>
      <c r="AD1446" s="2">
        <v>223711.05835248699</v>
      </c>
      <c r="AE1446" s="2">
        <v>246886.66765678101</v>
      </c>
      <c r="AF1446" s="2">
        <v>251196.09365368099</v>
      </c>
      <c r="AG1446" s="2">
        <v>245894.19396993</v>
      </c>
      <c r="AH1446" s="2">
        <v>231820.526017203</v>
      </c>
      <c r="AI1446" s="2">
        <v>248285.166542408</v>
      </c>
      <c r="AJ1446" s="2">
        <v>261337.199994642</v>
      </c>
      <c r="AK1446" s="2">
        <v>211847.99769607099</v>
      </c>
      <c r="AL1446" s="2">
        <v>233885.732674675</v>
      </c>
      <c r="AM1446" s="2">
        <v>218204.88411032601</v>
      </c>
      <c r="AN1446" s="2">
        <v>219076.30524895099</v>
      </c>
      <c r="AO1446" s="2">
        <v>233245.95595097501</v>
      </c>
      <c r="AP1446" s="2">
        <v>226005.47443392299</v>
      </c>
    </row>
    <row r="1447" spans="1:42" ht="14.5" x14ac:dyDescent="0.35">
      <c r="A1447" s="2" t="s">
        <v>9810</v>
      </c>
      <c r="B1447" s="2">
        <v>1009.5934659148299</v>
      </c>
      <c r="C1447" s="2">
        <v>11.4425166666667</v>
      </c>
      <c r="D1447" s="2" t="s">
        <v>70</v>
      </c>
      <c r="E1447" s="2" t="s">
        <v>9811</v>
      </c>
      <c r="F1447" s="2">
        <v>242144</v>
      </c>
      <c r="G1447" s="3" t="str">
        <f>HYPERLINK("http://funmeta.oebiotech.com/network/242144", "http://funmeta.oebiotech.com/network/242144")</f>
        <v>http://funmeta.oebiotech.com/network/242144</v>
      </c>
      <c r="H1447" s="2" t="s">
        <v>9812</v>
      </c>
      <c r="I1447" s="2"/>
      <c r="J1447" s="2"/>
      <c r="K1447" s="2"/>
      <c r="L1447" s="2"/>
      <c r="M1447" s="2"/>
      <c r="N1447" s="2"/>
      <c r="O1447" s="2"/>
      <c r="P1447" s="2"/>
      <c r="Q1447" s="2" t="s">
        <v>9813</v>
      </c>
      <c r="R1447" s="2" t="s">
        <v>9814</v>
      </c>
      <c r="S1447" s="2" t="s">
        <v>41</v>
      </c>
      <c r="T1447" s="2" t="s">
        <v>41</v>
      </c>
      <c r="U1447" s="2" t="s">
        <v>41</v>
      </c>
      <c r="V1447" s="2" t="s">
        <v>59</v>
      </c>
      <c r="W1447" s="2">
        <v>36.700000000000003</v>
      </c>
      <c r="X1447" s="2">
        <v>0</v>
      </c>
      <c r="Y1447" s="2" t="s">
        <v>118</v>
      </c>
      <c r="Z1447" s="2" t="s">
        <v>9815</v>
      </c>
      <c r="AA1447" s="2">
        <v>-2.2676023929811402</v>
      </c>
      <c r="AB1447" s="2">
        <v>0.54579699758335398</v>
      </c>
      <c r="AC1447" s="2">
        <v>84411.595534615903</v>
      </c>
      <c r="AD1447" s="2">
        <v>61798.4167811769</v>
      </c>
      <c r="AE1447" s="2">
        <v>82088.116579256297</v>
      </c>
      <c r="AF1447" s="2">
        <v>68041.934473964197</v>
      </c>
      <c r="AG1447" s="2">
        <v>87659.068129171195</v>
      </c>
      <c r="AH1447" s="2">
        <v>94290.860344614295</v>
      </c>
      <c r="AI1447" s="2">
        <v>87640.856255696999</v>
      </c>
      <c r="AJ1447" s="2">
        <v>86748.7374249922</v>
      </c>
      <c r="AK1447" s="2">
        <v>64750.4292785574</v>
      </c>
      <c r="AL1447" s="2">
        <v>56349.312218487299</v>
      </c>
      <c r="AM1447" s="2">
        <v>61839.871524102797</v>
      </c>
      <c r="AN1447" s="2">
        <v>57615.225976644702</v>
      </c>
      <c r="AO1447" s="2">
        <v>61392.106677914999</v>
      </c>
      <c r="AP1447" s="2">
        <v>68843.555011353994</v>
      </c>
    </row>
    <row r="1448" spans="1:42" ht="14.5" x14ac:dyDescent="0.35">
      <c r="A1448" s="2" t="s">
        <v>9816</v>
      </c>
      <c r="B1448" s="2">
        <v>259.11520504481399</v>
      </c>
      <c r="C1448" s="2">
        <v>3.7155666666666698</v>
      </c>
      <c r="D1448" s="2" t="s">
        <v>34</v>
      </c>
      <c r="E1448" s="2" t="s">
        <v>9817</v>
      </c>
      <c r="F1448" s="2">
        <v>202672</v>
      </c>
      <c r="G1448" s="3" t="str">
        <f>HYPERLINK("http://funmeta.oebiotech.com/network/202672", "http://funmeta.oebiotech.com/network/202672")</f>
        <v>http://funmeta.oebiotech.com/network/202672</v>
      </c>
      <c r="H1448" s="2" t="s">
        <v>9818</v>
      </c>
      <c r="I1448" s="2"/>
      <c r="J1448" s="2"/>
      <c r="K1448" s="2"/>
      <c r="L1448" s="2"/>
      <c r="M1448" s="2"/>
      <c r="N1448" s="2"/>
      <c r="O1448" s="2">
        <v>133522</v>
      </c>
      <c r="P1448" s="2"/>
      <c r="Q1448" s="2" t="s">
        <v>9819</v>
      </c>
      <c r="R1448" s="2" t="s">
        <v>9820</v>
      </c>
      <c r="S1448" s="2" t="s">
        <v>41</v>
      </c>
      <c r="T1448" s="2" t="s">
        <v>41</v>
      </c>
      <c r="U1448" s="2" t="s">
        <v>41</v>
      </c>
      <c r="V1448" s="2" t="s">
        <v>59</v>
      </c>
      <c r="W1448" s="2">
        <v>39.6</v>
      </c>
      <c r="X1448" s="2">
        <v>1.23</v>
      </c>
      <c r="Y1448" s="2" t="s">
        <v>43</v>
      </c>
      <c r="Z1448" s="2" t="s">
        <v>9821</v>
      </c>
      <c r="AA1448" s="2">
        <v>1.14343181288893</v>
      </c>
      <c r="AB1448" s="2">
        <v>0.54548207816291605</v>
      </c>
      <c r="AC1448" s="2">
        <v>42521.081944958001</v>
      </c>
      <c r="AD1448" s="2">
        <v>22504.232996049199</v>
      </c>
      <c r="AE1448" s="2">
        <v>39718.120547363498</v>
      </c>
      <c r="AF1448" s="2">
        <v>42997.689257395803</v>
      </c>
      <c r="AG1448" s="2">
        <v>47227.558621374403</v>
      </c>
      <c r="AH1448" s="2">
        <v>44054.268135391998</v>
      </c>
      <c r="AI1448" s="2">
        <v>43349.340396708001</v>
      </c>
      <c r="AJ1448" s="2">
        <v>37779.514711514399</v>
      </c>
      <c r="AK1448" s="2">
        <v>23245.369278907099</v>
      </c>
      <c r="AL1448" s="2">
        <v>23482.9118309023</v>
      </c>
      <c r="AM1448" s="2">
        <v>20709.353970844099</v>
      </c>
      <c r="AN1448" s="2">
        <v>23610.534315432302</v>
      </c>
      <c r="AO1448" s="2">
        <v>21874.643992169102</v>
      </c>
      <c r="AP1448" s="2">
        <v>22102.5845880405</v>
      </c>
    </row>
    <row r="1449" spans="1:42" ht="14.5" x14ac:dyDescent="0.35">
      <c r="A1449" s="2" t="s">
        <v>9822</v>
      </c>
      <c r="B1449" s="2">
        <v>777.232430371193</v>
      </c>
      <c r="C1449" s="2">
        <v>8.5806833333333294</v>
      </c>
      <c r="D1449" s="2" t="s">
        <v>34</v>
      </c>
      <c r="E1449" s="2" t="s">
        <v>9823</v>
      </c>
      <c r="F1449" s="2">
        <v>60738</v>
      </c>
      <c r="G1449" s="3" t="str">
        <f>HYPERLINK("http://funmeta.oebiotech.com/network/60738", "http://funmeta.oebiotech.com/network/60738")</f>
        <v>http://funmeta.oebiotech.com/network/60738</v>
      </c>
      <c r="H1449" s="2" t="s">
        <v>9824</v>
      </c>
      <c r="I1449" s="2">
        <v>92066</v>
      </c>
      <c r="J1449" s="2"/>
      <c r="K1449" s="2"/>
      <c r="L1449" s="2"/>
      <c r="M1449" s="2"/>
      <c r="N1449" s="2"/>
      <c r="O1449" s="2">
        <v>74818467</v>
      </c>
      <c r="P1449" s="2"/>
      <c r="Q1449" s="2" t="s">
        <v>9825</v>
      </c>
      <c r="R1449" s="2" t="s">
        <v>9826</v>
      </c>
      <c r="S1449" s="2" t="s">
        <v>115</v>
      </c>
      <c r="T1449" s="2" t="s">
        <v>139</v>
      </c>
      <c r="U1449" s="2" t="s">
        <v>140</v>
      </c>
      <c r="V1449" s="2" t="s">
        <v>59</v>
      </c>
      <c r="W1449" s="2">
        <v>39</v>
      </c>
      <c r="X1449" s="2">
        <v>3.6200000000000003E-2</v>
      </c>
      <c r="Y1449" s="2" t="s">
        <v>43</v>
      </c>
      <c r="Z1449" s="2" t="s">
        <v>9827</v>
      </c>
      <c r="AA1449" s="2">
        <v>0.29186008303598798</v>
      </c>
      <c r="AB1449" s="2">
        <v>0.54528680407902796</v>
      </c>
      <c r="AC1449" s="2">
        <v>367914.28412375302</v>
      </c>
      <c r="AD1449" s="2">
        <v>390926.68220896501</v>
      </c>
      <c r="AE1449" s="2">
        <v>371462.541428492</v>
      </c>
      <c r="AF1449" s="2">
        <v>364338.28250725899</v>
      </c>
      <c r="AG1449" s="2">
        <v>370074.70617527497</v>
      </c>
      <c r="AH1449" s="2">
        <v>364200.80330784997</v>
      </c>
      <c r="AI1449" s="2">
        <v>377211.68277041201</v>
      </c>
      <c r="AJ1449" s="2">
        <v>360197.68855322798</v>
      </c>
      <c r="AK1449" s="2">
        <v>382356.251032873</v>
      </c>
      <c r="AL1449" s="2">
        <v>379046.75753239699</v>
      </c>
      <c r="AM1449" s="2">
        <v>400992.82182305498</v>
      </c>
      <c r="AN1449" s="2">
        <v>386323.061816481</v>
      </c>
      <c r="AO1449" s="2">
        <v>401453.12040050997</v>
      </c>
      <c r="AP1449" s="2">
        <v>395388.080648473</v>
      </c>
    </row>
    <row r="1450" spans="1:42" ht="14.5" x14ac:dyDescent="0.35">
      <c r="A1450" s="2" t="s">
        <v>9828</v>
      </c>
      <c r="B1450" s="2">
        <v>279.123450744259</v>
      </c>
      <c r="C1450" s="2">
        <v>4.5236333333333301</v>
      </c>
      <c r="D1450" s="2" t="s">
        <v>70</v>
      </c>
      <c r="E1450" s="2" t="s">
        <v>9829</v>
      </c>
      <c r="F1450" s="2">
        <v>59850</v>
      </c>
      <c r="G1450" s="3" t="str">
        <f>HYPERLINK("http://funmeta.oebiotech.com/network/59850", "http://funmeta.oebiotech.com/network/59850")</f>
        <v>http://funmeta.oebiotech.com/network/59850</v>
      </c>
      <c r="H1450" s="2" t="s">
        <v>9830</v>
      </c>
      <c r="I1450" s="2">
        <v>91224</v>
      </c>
      <c r="J1450" s="2"/>
      <c r="K1450" s="2">
        <v>168620</v>
      </c>
      <c r="L1450" s="2"/>
      <c r="M1450" s="2"/>
      <c r="N1450" s="2"/>
      <c r="O1450" s="2">
        <v>14433063</v>
      </c>
      <c r="P1450" s="2" t="s">
        <v>9831</v>
      </c>
      <c r="Q1450" s="2" t="s">
        <v>9832</v>
      </c>
      <c r="R1450" s="2" t="s">
        <v>9833</v>
      </c>
      <c r="S1450" s="2" t="s">
        <v>491</v>
      </c>
      <c r="T1450" s="2" t="s">
        <v>2943</v>
      </c>
      <c r="U1450" s="2" t="s">
        <v>41</v>
      </c>
      <c r="V1450" s="2" t="s">
        <v>42</v>
      </c>
      <c r="W1450" s="2">
        <v>53.3</v>
      </c>
      <c r="X1450" s="2">
        <v>70.5</v>
      </c>
      <c r="Y1450" s="2" t="s">
        <v>408</v>
      </c>
      <c r="Z1450" s="2" t="s">
        <v>9834</v>
      </c>
      <c r="AA1450" s="2">
        <v>-1.48023834034466</v>
      </c>
      <c r="AB1450" s="2">
        <v>0.54507596329744001</v>
      </c>
      <c r="AC1450" s="2">
        <v>32569.235818396599</v>
      </c>
      <c r="AD1450" s="2">
        <v>52517.041639199699</v>
      </c>
      <c r="AE1450" s="2">
        <v>32231.174082274101</v>
      </c>
      <c r="AF1450" s="2">
        <v>34158.012393431702</v>
      </c>
      <c r="AG1450" s="2">
        <v>31482.7629359079</v>
      </c>
      <c r="AH1450" s="2">
        <v>30812.920309313198</v>
      </c>
      <c r="AI1450" s="2">
        <v>35558.447382416998</v>
      </c>
      <c r="AJ1450" s="2">
        <v>31172.0978070358</v>
      </c>
      <c r="AK1450" s="2">
        <v>48423.638901458697</v>
      </c>
      <c r="AL1450" s="2">
        <v>54180.697605606998</v>
      </c>
      <c r="AM1450" s="2">
        <v>53830.996811965102</v>
      </c>
      <c r="AN1450" s="2">
        <v>56792.640583649401</v>
      </c>
      <c r="AO1450" s="2">
        <v>50363.8893395345</v>
      </c>
      <c r="AP1450" s="2">
        <v>51510.386592983799</v>
      </c>
    </row>
    <row r="1451" spans="1:42" ht="14.5" x14ac:dyDescent="0.35">
      <c r="A1451" s="2" t="s">
        <v>9835</v>
      </c>
      <c r="B1451" s="2">
        <v>371.16763598953497</v>
      </c>
      <c r="C1451" s="2">
        <v>5.2660166666666699</v>
      </c>
      <c r="D1451" s="2" t="s">
        <v>34</v>
      </c>
      <c r="E1451" s="2" t="s">
        <v>9836</v>
      </c>
      <c r="F1451" s="2">
        <v>57271</v>
      </c>
      <c r="G1451" s="3" t="str">
        <f>HYPERLINK("http://funmeta.oebiotech.com/network/57271", "http://funmeta.oebiotech.com/network/57271")</f>
        <v>http://funmeta.oebiotech.com/network/57271</v>
      </c>
      <c r="H1451" s="2" t="s">
        <v>9837</v>
      </c>
      <c r="I1451" s="2">
        <v>88901</v>
      </c>
      <c r="J1451" s="2"/>
      <c r="K1451" s="2">
        <v>172572</v>
      </c>
      <c r="L1451" s="2"/>
      <c r="M1451" s="2"/>
      <c r="N1451" s="2"/>
      <c r="O1451" s="2">
        <v>73657192</v>
      </c>
      <c r="P1451" s="2" t="s">
        <v>9838</v>
      </c>
      <c r="Q1451" s="2" t="s">
        <v>9839</v>
      </c>
      <c r="R1451" s="2" t="s">
        <v>9840</v>
      </c>
      <c r="S1451" s="2" t="s">
        <v>79</v>
      </c>
      <c r="T1451" s="2" t="s">
        <v>80</v>
      </c>
      <c r="U1451" s="2" t="s">
        <v>81</v>
      </c>
      <c r="V1451" s="2" t="s">
        <v>59</v>
      </c>
      <c r="W1451" s="2">
        <v>38.6</v>
      </c>
      <c r="X1451" s="2">
        <v>0</v>
      </c>
      <c r="Y1451" s="2" t="s">
        <v>323</v>
      </c>
      <c r="Z1451" s="2" t="s">
        <v>4670</v>
      </c>
      <c r="AA1451" s="2">
        <v>-7.3091992824230404E-3</v>
      </c>
      <c r="AB1451" s="2">
        <v>0.54447248096520495</v>
      </c>
      <c r="AC1451" s="2">
        <v>55423.916606670697</v>
      </c>
      <c r="AD1451" s="2">
        <v>35424.0951896939</v>
      </c>
      <c r="AE1451" s="2">
        <v>54447.632119774898</v>
      </c>
      <c r="AF1451" s="2">
        <v>51223.288159352996</v>
      </c>
      <c r="AG1451" s="2">
        <v>60310.6781974517</v>
      </c>
      <c r="AH1451" s="2">
        <v>52977.534231412101</v>
      </c>
      <c r="AI1451" s="2">
        <v>57781.407840692002</v>
      </c>
      <c r="AJ1451" s="2">
        <v>55802.959091340403</v>
      </c>
      <c r="AK1451" s="2">
        <v>34671.393721384004</v>
      </c>
      <c r="AL1451" s="2">
        <v>33166.6808535452</v>
      </c>
      <c r="AM1451" s="2">
        <v>36853.285037913898</v>
      </c>
      <c r="AN1451" s="2">
        <v>35560.6515856716</v>
      </c>
      <c r="AO1451" s="2">
        <v>35661.991921490298</v>
      </c>
      <c r="AP1451" s="2">
        <v>36630.568018158301</v>
      </c>
    </row>
    <row r="1452" spans="1:42" ht="14.5" x14ac:dyDescent="0.35">
      <c r="A1452" s="2" t="s">
        <v>9841</v>
      </c>
      <c r="B1452" s="2">
        <v>601.30619252183806</v>
      </c>
      <c r="C1452" s="2">
        <v>4.5612000000000004</v>
      </c>
      <c r="D1452" s="2" t="s">
        <v>70</v>
      </c>
      <c r="E1452" s="2" t="s">
        <v>9842</v>
      </c>
      <c r="F1452" s="2">
        <v>206987</v>
      </c>
      <c r="G1452" s="3" t="str">
        <f>HYPERLINK("http://funmeta.oebiotech.com/network/206987", "http://funmeta.oebiotech.com/network/206987")</f>
        <v>http://funmeta.oebiotech.com/network/206987</v>
      </c>
      <c r="H1452" s="2" t="s">
        <v>9843</v>
      </c>
      <c r="I1452" s="2"/>
      <c r="J1452" s="2"/>
      <c r="K1452" s="2"/>
      <c r="L1452" s="2"/>
      <c r="M1452" s="2"/>
      <c r="N1452" s="2"/>
      <c r="O1452" s="2">
        <v>12448</v>
      </c>
      <c r="P1452" s="2"/>
      <c r="Q1452" s="2" t="s">
        <v>9844</v>
      </c>
      <c r="R1452" s="2" t="s">
        <v>9845</v>
      </c>
      <c r="S1452" s="2" t="s">
        <v>148</v>
      </c>
      <c r="T1452" s="2" t="s">
        <v>149</v>
      </c>
      <c r="U1452" s="2" t="s">
        <v>3473</v>
      </c>
      <c r="V1452" s="2" t="s">
        <v>59</v>
      </c>
      <c r="W1452" s="2">
        <v>36.799999999999997</v>
      </c>
      <c r="X1452" s="2">
        <v>0</v>
      </c>
      <c r="Y1452" s="2" t="s">
        <v>560</v>
      </c>
      <c r="Z1452" s="2" t="s">
        <v>9846</v>
      </c>
      <c r="AA1452" s="2">
        <v>-3.8622490726711902</v>
      </c>
      <c r="AB1452" s="2">
        <v>0.54323460856907901</v>
      </c>
      <c r="AC1452" s="2">
        <v>76588.5565417568</v>
      </c>
      <c r="AD1452" s="2">
        <v>98010.536472905398</v>
      </c>
      <c r="AE1452" s="2">
        <v>72932.459311407802</v>
      </c>
      <c r="AF1452" s="2">
        <v>80972.246040150596</v>
      </c>
      <c r="AG1452" s="2">
        <v>82164.073831444402</v>
      </c>
      <c r="AH1452" s="2">
        <v>71434.682248771802</v>
      </c>
      <c r="AI1452" s="2">
        <v>80546.200244444597</v>
      </c>
      <c r="AJ1452" s="2">
        <v>71481.677574321802</v>
      </c>
      <c r="AK1452" s="2">
        <v>96813.120983675806</v>
      </c>
      <c r="AL1452" s="2">
        <v>100023.740290432</v>
      </c>
      <c r="AM1452" s="2">
        <v>102688.562542129</v>
      </c>
      <c r="AN1452" s="2">
        <v>87970.409013109995</v>
      </c>
      <c r="AO1452" s="2">
        <v>96234.6356959314</v>
      </c>
      <c r="AP1452" s="2">
        <v>104332.75031215401</v>
      </c>
    </row>
    <row r="1453" spans="1:42" ht="14.5" x14ac:dyDescent="0.35">
      <c r="A1453" s="2" t="s">
        <v>9847</v>
      </c>
      <c r="B1453" s="2">
        <v>393.17674132826198</v>
      </c>
      <c r="C1453" s="2">
        <v>5.26453333333333</v>
      </c>
      <c r="D1453" s="2" t="s">
        <v>70</v>
      </c>
      <c r="E1453" s="2" t="s">
        <v>9848</v>
      </c>
      <c r="F1453" s="2">
        <v>62326</v>
      </c>
      <c r="G1453" s="3" t="str">
        <f>HYPERLINK("http://funmeta.oebiotech.com/network/62326", "http://funmeta.oebiotech.com/network/62326")</f>
        <v>http://funmeta.oebiotech.com/network/62326</v>
      </c>
      <c r="H1453" s="2" t="s">
        <v>9849</v>
      </c>
      <c r="I1453" s="2">
        <v>93620</v>
      </c>
      <c r="J1453" s="2"/>
      <c r="K1453" s="2">
        <v>175434</v>
      </c>
      <c r="L1453" s="2"/>
      <c r="M1453" s="2"/>
      <c r="N1453" s="2"/>
      <c r="O1453" s="2">
        <v>131752511</v>
      </c>
      <c r="P1453" s="2" t="s">
        <v>9850</v>
      </c>
      <c r="Q1453" s="2" t="s">
        <v>9851</v>
      </c>
      <c r="R1453" s="2" t="s">
        <v>9852</v>
      </c>
      <c r="S1453" s="2" t="s">
        <v>50</v>
      </c>
      <c r="T1453" s="2" t="s">
        <v>201</v>
      </c>
      <c r="U1453" s="2" t="s">
        <v>202</v>
      </c>
      <c r="V1453" s="2" t="s">
        <v>42</v>
      </c>
      <c r="W1453" s="2">
        <v>51.7</v>
      </c>
      <c r="X1453" s="2">
        <v>62.4</v>
      </c>
      <c r="Y1453" s="2" t="s">
        <v>408</v>
      </c>
      <c r="Z1453" s="2" t="s">
        <v>4670</v>
      </c>
      <c r="AA1453" s="2">
        <v>0.34638511644714398</v>
      </c>
      <c r="AB1453" s="2">
        <v>0.54305182675317398</v>
      </c>
      <c r="AC1453" s="2">
        <v>47240.894443225799</v>
      </c>
      <c r="AD1453" s="2">
        <v>27363.861502276101</v>
      </c>
      <c r="AE1453" s="2">
        <v>46180.023380362101</v>
      </c>
      <c r="AF1453" s="2">
        <v>42859.565603423798</v>
      </c>
      <c r="AG1453" s="2">
        <v>46516.544756502699</v>
      </c>
      <c r="AH1453" s="2">
        <v>48281.266932041399</v>
      </c>
      <c r="AI1453" s="2">
        <v>49960.920079230098</v>
      </c>
      <c r="AJ1453" s="2">
        <v>49647.045907794898</v>
      </c>
      <c r="AK1453" s="2">
        <v>26925.891148675299</v>
      </c>
      <c r="AL1453" s="2">
        <v>24161.977287237802</v>
      </c>
      <c r="AM1453" s="2">
        <v>30210.562705764001</v>
      </c>
      <c r="AN1453" s="2">
        <v>26357.896852716702</v>
      </c>
      <c r="AO1453" s="2">
        <v>27994.971788575702</v>
      </c>
      <c r="AP1453" s="2">
        <v>28531.8692306872</v>
      </c>
    </row>
    <row r="1454" spans="1:42" ht="14.5" x14ac:dyDescent="0.35">
      <c r="A1454" s="2" t="s">
        <v>9853</v>
      </c>
      <c r="B1454" s="2">
        <v>673.41654004240195</v>
      </c>
      <c r="C1454" s="2">
        <v>7.8607333333333296</v>
      </c>
      <c r="D1454" s="2" t="s">
        <v>70</v>
      </c>
      <c r="E1454" s="2" t="s">
        <v>9854</v>
      </c>
      <c r="F1454" s="2">
        <v>208421</v>
      </c>
      <c r="G1454" s="3" t="str">
        <f>HYPERLINK("http://funmeta.oebiotech.com/network/208421", "http://funmeta.oebiotech.com/network/208421")</f>
        <v>http://funmeta.oebiotech.com/network/208421</v>
      </c>
      <c r="H1454" s="2" t="s">
        <v>9855</v>
      </c>
      <c r="I1454" s="2"/>
      <c r="J1454" s="2"/>
      <c r="K1454" s="2"/>
      <c r="L1454" s="2"/>
      <c r="M1454" s="2"/>
      <c r="N1454" s="2"/>
      <c r="O1454" s="2">
        <v>18417885</v>
      </c>
      <c r="P1454" s="2"/>
      <c r="Q1454" s="2" t="s">
        <v>9856</v>
      </c>
      <c r="R1454" s="2" t="s">
        <v>9857</v>
      </c>
      <c r="S1454" s="2" t="s">
        <v>50</v>
      </c>
      <c r="T1454" s="2" t="s">
        <v>201</v>
      </c>
      <c r="U1454" s="2" t="s">
        <v>6839</v>
      </c>
      <c r="V1454" s="2" t="s">
        <v>59</v>
      </c>
      <c r="W1454" s="2">
        <v>38.6</v>
      </c>
      <c r="X1454" s="2">
        <v>0</v>
      </c>
      <c r="Y1454" s="2" t="s">
        <v>408</v>
      </c>
      <c r="Z1454" s="2" t="s">
        <v>9858</v>
      </c>
      <c r="AA1454" s="2">
        <v>-0.494809310561725</v>
      </c>
      <c r="AB1454" s="2">
        <v>0.54299389970964695</v>
      </c>
      <c r="AC1454" s="2">
        <v>19851.567529767701</v>
      </c>
      <c r="AD1454" s="2">
        <v>39349.643987784897</v>
      </c>
      <c r="AE1454" s="2">
        <v>20450.949794084401</v>
      </c>
      <c r="AF1454" s="2">
        <v>18713.609725820599</v>
      </c>
      <c r="AG1454" s="2">
        <v>19162.4337064028</v>
      </c>
      <c r="AH1454" s="2">
        <v>21142.2030788478</v>
      </c>
      <c r="AI1454" s="2">
        <v>21478.4663722115</v>
      </c>
      <c r="AJ1454" s="2">
        <v>18161.7425012391</v>
      </c>
      <c r="AK1454" s="2">
        <v>40353.718993018898</v>
      </c>
      <c r="AL1454" s="2">
        <v>37347.547870075199</v>
      </c>
      <c r="AM1454" s="2">
        <v>38256.887794367001</v>
      </c>
      <c r="AN1454" s="2">
        <v>39323.5808899119</v>
      </c>
      <c r="AO1454" s="2">
        <v>39098.330253607397</v>
      </c>
      <c r="AP1454" s="2">
        <v>41717.798125728899</v>
      </c>
    </row>
    <row r="1455" spans="1:42" ht="14.5" x14ac:dyDescent="0.35">
      <c r="A1455" s="2" t="s">
        <v>9859</v>
      </c>
      <c r="B1455" s="2">
        <v>1001.45574147518</v>
      </c>
      <c r="C1455" s="2">
        <v>5.1518499999999996</v>
      </c>
      <c r="D1455" s="2" t="s">
        <v>34</v>
      </c>
      <c r="E1455" s="2" t="s">
        <v>9860</v>
      </c>
      <c r="F1455" s="2">
        <v>50680</v>
      </c>
      <c r="G1455" s="3" t="str">
        <f>HYPERLINK("http://funmeta.oebiotech.com/network/50680", "http://funmeta.oebiotech.com/network/50680")</f>
        <v>http://funmeta.oebiotech.com/network/50680</v>
      </c>
      <c r="H1455" s="2" t="s">
        <v>9861</v>
      </c>
      <c r="I1455" s="2">
        <v>61421</v>
      </c>
      <c r="J1455" s="2"/>
      <c r="K1455" s="2"/>
      <c r="L1455" s="2" t="s">
        <v>5751</v>
      </c>
      <c r="M1455" s="2"/>
      <c r="N1455" s="2"/>
      <c r="O1455" s="2">
        <v>53480234</v>
      </c>
      <c r="P1455" s="2"/>
      <c r="Q1455" s="2" t="s">
        <v>9862</v>
      </c>
      <c r="R1455" s="2" t="s">
        <v>9863</v>
      </c>
      <c r="S1455" s="2" t="s">
        <v>50</v>
      </c>
      <c r="T1455" s="2" t="s">
        <v>51</v>
      </c>
      <c r="U1455" s="2" t="s">
        <v>5754</v>
      </c>
      <c r="V1455" s="2" t="s">
        <v>59</v>
      </c>
      <c r="W1455" s="2">
        <v>37</v>
      </c>
      <c r="X1455" s="2">
        <v>0</v>
      </c>
      <c r="Y1455" s="2" t="s">
        <v>141</v>
      </c>
      <c r="Z1455" s="2" t="s">
        <v>9864</v>
      </c>
      <c r="AA1455" s="2">
        <v>0.52968861436669301</v>
      </c>
      <c r="AB1455" s="2">
        <v>0.54288956672856903</v>
      </c>
      <c r="AC1455" s="2">
        <v>21088.2483846988</v>
      </c>
      <c r="AD1455" s="2">
        <v>534.92163507796704</v>
      </c>
      <c r="AE1455" s="2">
        <v>19617.448121919399</v>
      </c>
      <c r="AF1455" s="2">
        <v>31118.164336891699</v>
      </c>
      <c r="AG1455" s="2">
        <v>21543.922521059401</v>
      </c>
      <c r="AH1455" s="2">
        <v>21181.767077616401</v>
      </c>
      <c r="AI1455" s="2">
        <v>19407.661667504199</v>
      </c>
      <c r="AJ1455" s="2">
        <v>13660.526583201799</v>
      </c>
      <c r="AK1455" s="2">
        <v>2.7106294003980101E-5</v>
      </c>
      <c r="AL1455" s="2">
        <v>2.7106294003980101E-5</v>
      </c>
      <c r="AM1455" s="2">
        <v>2.7106294003980101E-5</v>
      </c>
      <c r="AN1455" s="2">
        <v>3209.5296749363301</v>
      </c>
      <c r="AO1455" s="2">
        <v>2.7106294003980101E-5</v>
      </c>
      <c r="AP1455" s="2">
        <v>2.7106294003980101E-5</v>
      </c>
    </row>
    <row r="1456" spans="1:42" ht="14.5" x14ac:dyDescent="0.35">
      <c r="A1456" s="2" t="s">
        <v>9865</v>
      </c>
      <c r="B1456" s="2">
        <v>494.28956019741997</v>
      </c>
      <c r="C1456" s="2">
        <v>7.60825</v>
      </c>
      <c r="D1456" s="2" t="s">
        <v>34</v>
      </c>
      <c r="E1456" s="2" t="s">
        <v>9866</v>
      </c>
      <c r="F1456" s="2">
        <v>467783</v>
      </c>
      <c r="G1456" s="3" t="str">
        <f>HYPERLINK("http://funmeta.oebiotech.com/network/467783", "http://funmeta.oebiotech.com/network/467783")</f>
        <v>http://funmeta.oebiotech.com/network/467783</v>
      </c>
      <c r="H1456" s="2"/>
      <c r="I1456" s="2">
        <v>85119</v>
      </c>
      <c r="J1456" s="2"/>
      <c r="K1456" s="2"/>
      <c r="L1456" s="2"/>
      <c r="M1456" s="2"/>
      <c r="N1456" s="2"/>
      <c r="O1456" s="2">
        <v>101706637</v>
      </c>
      <c r="P1456" s="2"/>
      <c r="Q1456" s="2" t="s">
        <v>9867</v>
      </c>
      <c r="R1456" s="2" t="s">
        <v>9868</v>
      </c>
      <c r="S1456" s="2" t="s">
        <v>41</v>
      </c>
      <c r="T1456" s="2" t="s">
        <v>41</v>
      </c>
      <c r="U1456" s="2" t="s">
        <v>41</v>
      </c>
      <c r="V1456" s="2" t="s">
        <v>59</v>
      </c>
      <c r="W1456" s="2">
        <v>39.6</v>
      </c>
      <c r="X1456" s="2">
        <v>3.1</v>
      </c>
      <c r="Y1456" s="2" t="s">
        <v>67</v>
      </c>
      <c r="Z1456" s="2" t="s">
        <v>9869</v>
      </c>
      <c r="AA1456" s="2">
        <v>-1.09387127405836</v>
      </c>
      <c r="AB1456" s="2">
        <v>0.54269864136460599</v>
      </c>
      <c r="AC1456" s="2">
        <v>230077.02269216999</v>
      </c>
      <c r="AD1456" s="2">
        <v>253905.23271080299</v>
      </c>
      <c r="AE1456" s="2">
        <v>230716.28313335899</v>
      </c>
      <c r="AF1456" s="2">
        <v>236722.34384444199</v>
      </c>
      <c r="AG1456" s="2">
        <v>229731.054534139</v>
      </c>
      <c r="AH1456" s="2">
        <v>227192.47655031201</v>
      </c>
      <c r="AI1456" s="2">
        <v>224067.11918673301</v>
      </c>
      <c r="AJ1456" s="2">
        <v>232032.85890403501</v>
      </c>
      <c r="AK1456" s="2">
        <v>255925.73705175001</v>
      </c>
      <c r="AL1456" s="2">
        <v>239282.38776644701</v>
      </c>
      <c r="AM1456" s="2">
        <v>261603.88552746901</v>
      </c>
      <c r="AN1456" s="2">
        <v>241574.48167659799</v>
      </c>
      <c r="AO1456" s="2">
        <v>252639.01907602401</v>
      </c>
      <c r="AP1456" s="2">
        <v>272405.885166527</v>
      </c>
    </row>
    <row r="1457" spans="1:42" ht="14.5" x14ac:dyDescent="0.35">
      <c r="A1457" s="2" t="s">
        <v>9870</v>
      </c>
      <c r="B1457" s="2">
        <v>541.33771469381998</v>
      </c>
      <c r="C1457" s="2">
        <v>6.5939500000000004</v>
      </c>
      <c r="D1457" s="2" t="s">
        <v>70</v>
      </c>
      <c r="E1457" s="2" t="s">
        <v>9871</v>
      </c>
      <c r="F1457" s="2">
        <v>8745</v>
      </c>
      <c r="G1457" s="3" t="str">
        <f>HYPERLINK("http://funmeta.oebiotech.com/network/8745", "http://funmeta.oebiotech.com/network/8745")</f>
        <v>http://funmeta.oebiotech.com/network/8745</v>
      </c>
      <c r="H1457" s="2" t="s">
        <v>9872</v>
      </c>
      <c r="I1457" s="2">
        <v>1946</v>
      </c>
      <c r="J1457" s="2" t="s">
        <v>9873</v>
      </c>
      <c r="K1457" s="2">
        <v>4356</v>
      </c>
      <c r="L1457" s="2" t="s">
        <v>9874</v>
      </c>
      <c r="M1457" s="2"/>
      <c r="N1457" s="2"/>
      <c r="O1457" s="2">
        <v>2973</v>
      </c>
      <c r="P1457" s="2" t="s">
        <v>9875</v>
      </c>
      <c r="Q1457" s="2" t="s">
        <v>9876</v>
      </c>
      <c r="R1457" s="2" t="s">
        <v>9877</v>
      </c>
      <c r="S1457" s="2" t="s">
        <v>89</v>
      </c>
      <c r="T1457" s="2" t="s">
        <v>90</v>
      </c>
      <c r="U1457" s="2" t="s">
        <v>401</v>
      </c>
      <c r="V1457" s="2" t="s">
        <v>59</v>
      </c>
      <c r="W1457" s="2">
        <v>38.4</v>
      </c>
      <c r="X1457" s="2">
        <v>0</v>
      </c>
      <c r="Y1457" s="2" t="s">
        <v>751</v>
      </c>
      <c r="Z1457" s="2" t="s">
        <v>9878</v>
      </c>
      <c r="AA1457" s="2">
        <v>3.9141179955543199</v>
      </c>
      <c r="AB1457" s="2">
        <v>0.54259529353967295</v>
      </c>
      <c r="AC1457" s="2">
        <v>41443.449697882199</v>
      </c>
      <c r="AD1457" s="2">
        <v>61342.966415613999</v>
      </c>
      <c r="AE1457" s="2">
        <v>40106.722620306398</v>
      </c>
      <c r="AF1457" s="2">
        <v>40940.493585846598</v>
      </c>
      <c r="AG1457" s="2">
        <v>42556.2929929944</v>
      </c>
      <c r="AH1457" s="2">
        <v>40311.507138013498</v>
      </c>
      <c r="AI1457" s="2">
        <v>41860.374198117701</v>
      </c>
      <c r="AJ1457" s="2">
        <v>42885.307652014497</v>
      </c>
      <c r="AK1457" s="2">
        <v>60050.767810103098</v>
      </c>
      <c r="AL1457" s="2">
        <v>64395.003428794997</v>
      </c>
      <c r="AM1457" s="2">
        <v>61154.1494648769</v>
      </c>
      <c r="AN1457" s="2">
        <v>56519.021199054303</v>
      </c>
      <c r="AO1457" s="2">
        <v>59675.943684915299</v>
      </c>
      <c r="AP1457" s="2">
        <v>66262.912905939404</v>
      </c>
    </row>
    <row r="1458" spans="1:42" ht="14.5" x14ac:dyDescent="0.35">
      <c r="A1458" s="2" t="s">
        <v>9879</v>
      </c>
      <c r="B1458" s="2">
        <v>339.28904513855599</v>
      </c>
      <c r="C1458" s="2">
        <v>13.4065166666667</v>
      </c>
      <c r="D1458" s="2" t="s">
        <v>34</v>
      </c>
      <c r="E1458" s="2" t="s">
        <v>9880</v>
      </c>
      <c r="F1458" s="2">
        <v>2850</v>
      </c>
      <c r="G1458" s="3" t="str">
        <f>HYPERLINK("http://funmeta.oebiotech.com/network/2850", "http://funmeta.oebiotech.com/network/2850")</f>
        <v>http://funmeta.oebiotech.com/network/2850</v>
      </c>
      <c r="H1458" s="2"/>
      <c r="I1458" s="2">
        <v>35988</v>
      </c>
      <c r="J1458" s="2" t="s">
        <v>9881</v>
      </c>
      <c r="K1458" s="2"/>
      <c r="L1458" s="2"/>
      <c r="M1458" s="2"/>
      <c r="N1458" s="2"/>
      <c r="O1458" s="2">
        <v>9543668</v>
      </c>
      <c r="P1458" s="2"/>
      <c r="Q1458" s="2" t="s">
        <v>9882</v>
      </c>
      <c r="R1458" s="2" t="s">
        <v>9883</v>
      </c>
      <c r="S1458" s="2" t="s">
        <v>50</v>
      </c>
      <c r="T1458" s="2" t="s">
        <v>229</v>
      </c>
      <c r="U1458" s="2" t="s">
        <v>433</v>
      </c>
      <c r="V1458" s="2" t="s">
        <v>59</v>
      </c>
      <c r="W1458" s="2">
        <v>40.4</v>
      </c>
      <c r="X1458" s="2">
        <v>9.4700000000000006</v>
      </c>
      <c r="Y1458" s="2" t="s">
        <v>141</v>
      </c>
      <c r="Z1458" s="2" t="s">
        <v>9884</v>
      </c>
      <c r="AA1458" s="2">
        <v>-0.91602359900728603</v>
      </c>
      <c r="AB1458" s="2">
        <v>0.54257961160406298</v>
      </c>
      <c r="AC1458" s="2">
        <v>75346.957073836107</v>
      </c>
      <c r="AD1458" s="2">
        <v>104545.548788691</v>
      </c>
      <c r="AE1458" s="2">
        <v>82582.744724562697</v>
      </c>
      <c r="AF1458" s="2">
        <v>96884.955246883605</v>
      </c>
      <c r="AG1458" s="2">
        <v>84356.498095883901</v>
      </c>
      <c r="AH1458" s="2">
        <v>58526.417458477801</v>
      </c>
      <c r="AI1458" s="2">
        <v>55930.4800028186</v>
      </c>
      <c r="AJ1458" s="2">
        <v>73800.646914390105</v>
      </c>
      <c r="AK1458" s="2">
        <v>90324.336244793594</v>
      </c>
      <c r="AL1458" s="2">
        <v>127340.694073648</v>
      </c>
      <c r="AM1458" s="2">
        <v>102372.584131223</v>
      </c>
      <c r="AN1458" s="2">
        <v>103087.882476741</v>
      </c>
      <c r="AO1458" s="2">
        <v>125779.116454702</v>
      </c>
      <c r="AP1458" s="2">
        <v>78368.679351037295</v>
      </c>
    </row>
    <row r="1459" spans="1:42" ht="14.5" x14ac:dyDescent="0.35">
      <c r="A1459" s="2" t="s">
        <v>9885</v>
      </c>
      <c r="B1459" s="2">
        <v>379.15785572625202</v>
      </c>
      <c r="C1459" s="2">
        <v>12.375349999999999</v>
      </c>
      <c r="D1459" s="2" t="s">
        <v>70</v>
      </c>
      <c r="E1459" s="2" t="s">
        <v>9886</v>
      </c>
      <c r="F1459" s="2">
        <v>53647</v>
      </c>
      <c r="G1459" s="3" t="str">
        <f>HYPERLINK("http://funmeta.oebiotech.com/network/53647", "http://funmeta.oebiotech.com/network/53647")</f>
        <v>http://funmeta.oebiotech.com/network/53647</v>
      </c>
      <c r="H1459" s="2" t="s">
        <v>9887</v>
      </c>
      <c r="I1459" s="2">
        <v>85551</v>
      </c>
      <c r="J1459" s="2"/>
      <c r="K1459" s="2"/>
      <c r="L1459" s="2"/>
      <c r="M1459" s="2"/>
      <c r="N1459" s="2"/>
      <c r="O1459" s="2">
        <v>65781</v>
      </c>
      <c r="P1459" s="2" t="s">
        <v>9888</v>
      </c>
      <c r="Q1459" s="2" t="s">
        <v>9889</v>
      </c>
      <c r="R1459" s="2" t="s">
        <v>9890</v>
      </c>
      <c r="S1459" s="2" t="s">
        <v>50</v>
      </c>
      <c r="T1459" s="2" t="s">
        <v>201</v>
      </c>
      <c r="U1459" s="2" t="s">
        <v>241</v>
      </c>
      <c r="V1459" s="2" t="s">
        <v>59</v>
      </c>
      <c r="W1459" s="2">
        <v>43.9</v>
      </c>
      <c r="X1459" s="2">
        <v>29</v>
      </c>
      <c r="Y1459" s="2" t="s">
        <v>118</v>
      </c>
      <c r="Z1459" s="2" t="s">
        <v>9891</v>
      </c>
      <c r="AA1459" s="2">
        <v>-1.61202716483279</v>
      </c>
      <c r="AB1459" s="2">
        <v>0.54248317711131999</v>
      </c>
      <c r="AC1459" s="2">
        <v>87267.271011817706</v>
      </c>
      <c r="AD1459" s="2">
        <v>122728.39951491301</v>
      </c>
      <c r="AE1459" s="2">
        <v>107203.19891962</v>
      </c>
      <c r="AF1459" s="2">
        <v>54148.244144782802</v>
      </c>
      <c r="AG1459" s="2">
        <v>75602.869366198705</v>
      </c>
      <c r="AH1459" s="2">
        <v>108853.25724620601</v>
      </c>
      <c r="AI1459" s="2">
        <v>107196.531206126</v>
      </c>
      <c r="AJ1459" s="2">
        <v>70599.5251879727</v>
      </c>
      <c r="AK1459" s="2">
        <v>87334.552782811807</v>
      </c>
      <c r="AL1459" s="2">
        <v>171270.10120432</v>
      </c>
      <c r="AM1459" s="2">
        <v>120160.600202702</v>
      </c>
      <c r="AN1459" s="2">
        <v>162320.12648850601</v>
      </c>
      <c r="AO1459" s="2">
        <v>100236.049096092</v>
      </c>
      <c r="AP1459" s="2">
        <v>95048.967315047703</v>
      </c>
    </row>
    <row r="1460" spans="1:42" ht="14.5" x14ac:dyDescent="0.35">
      <c r="A1460" s="2" t="s">
        <v>9892</v>
      </c>
      <c r="B1460" s="2">
        <v>981.57824540970603</v>
      </c>
      <c r="C1460" s="2">
        <v>14.1130333333333</v>
      </c>
      <c r="D1460" s="2" t="s">
        <v>70</v>
      </c>
      <c r="E1460" s="2" t="s">
        <v>9893</v>
      </c>
      <c r="F1460" s="2">
        <v>51166</v>
      </c>
      <c r="G1460" s="3" t="str">
        <f>HYPERLINK("http://funmeta.oebiotech.com/network/51166", "http://funmeta.oebiotech.com/network/51166")</f>
        <v>http://funmeta.oebiotech.com/network/51166</v>
      </c>
      <c r="H1460" s="2" t="s">
        <v>9894</v>
      </c>
      <c r="I1460" s="2">
        <v>61990</v>
      </c>
      <c r="J1460" s="2"/>
      <c r="K1460" s="2">
        <v>142243</v>
      </c>
      <c r="L1460" s="2"/>
      <c r="M1460" s="2"/>
      <c r="N1460" s="2"/>
      <c r="O1460" s="2">
        <v>53480666</v>
      </c>
      <c r="P1460" s="2"/>
      <c r="Q1460" s="2" t="s">
        <v>9895</v>
      </c>
      <c r="R1460" s="2" t="s">
        <v>9896</v>
      </c>
      <c r="S1460" s="2" t="s">
        <v>50</v>
      </c>
      <c r="T1460" s="2" t="s">
        <v>448</v>
      </c>
      <c r="U1460" s="2" t="s">
        <v>449</v>
      </c>
      <c r="V1460" s="2" t="s">
        <v>42</v>
      </c>
      <c r="W1460" s="2">
        <v>53</v>
      </c>
      <c r="X1460" s="2">
        <v>70.8</v>
      </c>
      <c r="Y1460" s="2" t="s">
        <v>408</v>
      </c>
      <c r="Z1460" s="2" t="s">
        <v>1130</v>
      </c>
      <c r="AA1460" s="2">
        <v>-1.0457691863196401</v>
      </c>
      <c r="AB1460" s="2">
        <v>0.54144008928425302</v>
      </c>
      <c r="AC1460" s="2">
        <v>158674.80720319401</v>
      </c>
      <c r="AD1460" s="2">
        <v>136471.51148069801</v>
      </c>
      <c r="AE1460" s="2">
        <v>157940.122234526</v>
      </c>
      <c r="AF1460" s="2">
        <v>157641.28436056699</v>
      </c>
      <c r="AG1460" s="2">
        <v>152435.95449369101</v>
      </c>
      <c r="AH1460" s="2">
        <v>156591.58695646501</v>
      </c>
      <c r="AI1460" s="2">
        <v>156576.02428882301</v>
      </c>
      <c r="AJ1460" s="2">
        <v>170863.87088509201</v>
      </c>
      <c r="AK1460" s="2">
        <v>135923.69353266599</v>
      </c>
      <c r="AL1460" s="2">
        <v>129666.807001996</v>
      </c>
      <c r="AM1460" s="2">
        <v>127303.24511121699</v>
      </c>
      <c r="AN1460" s="2">
        <v>135129.46440587999</v>
      </c>
      <c r="AO1460" s="2">
        <v>145748.94511481799</v>
      </c>
      <c r="AP1460" s="2">
        <v>145056.913717613</v>
      </c>
    </row>
    <row r="1461" spans="1:42" ht="14.5" x14ac:dyDescent="0.35">
      <c r="A1461" s="2" t="s">
        <v>9897</v>
      </c>
      <c r="B1461" s="2">
        <v>351.12576681632498</v>
      </c>
      <c r="C1461" s="2">
        <v>0.76544999999999996</v>
      </c>
      <c r="D1461" s="2" t="s">
        <v>34</v>
      </c>
      <c r="E1461" s="2" t="s">
        <v>9898</v>
      </c>
      <c r="F1461" s="2">
        <v>82807</v>
      </c>
      <c r="G1461" s="3" t="str">
        <f>HYPERLINK("http://funmeta.oebiotech.com/network/82807", "http://funmeta.oebiotech.com/network/82807")</f>
        <v>http://funmeta.oebiotech.com/network/82807</v>
      </c>
      <c r="H1461" s="2" t="s">
        <v>9899</v>
      </c>
      <c r="I1461" s="2"/>
      <c r="J1461" s="2"/>
      <c r="K1461" s="2"/>
      <c r="L1461" s="2"/>
      <c r="M1461" s="2"/>
      <c r="N1461" s="2"/>
      <c r="O1461" s="2">
        <v>93285</v>
      </c>
      <c r="P1461" s="2"/>
      <c r="Q1461" s="2" t="s">
        <v>9900</v>
      </c>
      <c r="R1461" s="2" t="s">
        <v>9901</v>
      </c>
      <c r="S1461" s="2" t="s">
        <v>491</v>
      </c>
      <c r="T1461" s="2" t="s">
        <v>2653</v>
      </c>
      <c r="U1461" s="2" t="s">
        <v>41</v>
      </c>
      <c r="V1461" s="2" t="s">
        <v>59</v>
      </c>
      <c r="W1461" s="2">
        <v>36.9</v>
      </c>
      <c r="X1461" s="2">
        <v>0</v>
      </c>
      <c r="Y1461" s="2" t="s">
        <v>470</v>
      </c>
      <c r="Z1461" s="2" t="s">
        <v>9902</v>
      </c>
      <c r="AA1461" s="2">
        <v>2.3278661041294302</v>
      </c>
      <c r="AB1461" s="2">
        <v>0.541108786555905</v>
      </c>
      <c r="AC1461" s="2">
        <v>306419.53080918599</v>
      </c>
      <c r="AD1461" s="2">
        <v>337667.432211935</v>
      </c>
      <c r="AE1461" s="2">
        <v>289483.22487236402</v>
      </c>
      <c r="AF1461" s="2">
        <v>339470.02298856399</v>
      </c>
      <c r="AG1461" s="2">
        <v>324579.86718123802</v>
      </c>
      <c r="AH1461" s="2">
        <v>304828.19576424902</v>
      </c>
      <c r="AI1461" s="2">
        <v>289033.15047306003</v>
      </c>
      <c r="AJ1461" s="2">
        <v>291122.72357564</v>
      </c>
      <c r="AK1461" s="2">
        <v>344151.76863089</v>
      </c>
      <c r="AL1461" s="2">
        <v>358808.60000824998</v>
      </c>
      <c r="AM1461" s="2">
        <v>321596.67724417901</v>
      </c>
      <c r="AN1461" s="2">
        <v>313578.79412487597</v>
      </c>
      <c r="AO1461" s="2">
        <v>365057.35808372602</v>
      </c>
      <c r="AP1461" s="2">
        <v>322811.39517968899</v>
      </c>
    </row>
    <row r="1462" spans="1:42" ht="14.5" x14ac:dyDescent="0.35">
      <c r="A1462" s="2" t="s">
        <v>9903</v>
      </c>
      <c r="B1462" s="2">
        <v>559.21795211902599</v>
      </c>
      <c r="C1462" s="2">
        <v>6.6313500000000003</v>
      </c>
      <c r="D1462" s="2" t="s">
        <v>70</v>
      </c>
      <c r="E1462" s="2" t="s">
        <v>9904</v>
      </c>
      <c r="F1462" s="2">
        <v>211746</v>
      </c>
      <c r="G1462" s="3" t="str">
        <f>HYPERLINK("http://funmeta.oebiotech.com/network/211746", "http://funmeta.oebiotech.com/network/211746")</f>
        <v>http://funmeta.oebiotech.com/network/211746</v>
      </c>
      <c r="H1462" s="2" t="s">
        <v>9905</v>
      </c>
      <c r="I1462" s="2"/>
      <c r="J1462" s="2"/>
      <c r="K1462" s="2"/>
      <c r="L1462" s="2"/>
      <c r="M1462" s="2"/>
      <c r="N1462" s="2"/>
      <c r="O1462" s="2">
        <v>558009</v>
      </c>
      <c r="P1462" s="2"/>
      <c r="Q1462" s="2" t="s">
        <v>9906</v>
      </c>
      <c r="R1462" s="2" t="s">
        <v>9907</v>
      </c>
      <c r="S1462" s="2" t="s">
        <v>115</v>
      </c>
      <c r="T1462" s="2" t="s">
        <v>9908</v>
      </c>
      <c r="U1462" s="2" t="s">
        <v>9909</v>
      </c>
      <c r="V1462" s="2" t="s">
        <v>59</v>
      </c>
      <c r="W1462" s="2">
        <v>42.1</v>
      </c>
      <c r="X1462" s="2">
        <v>17.899999999999999</v>
      </c>
      <c r="Y1462" s="2" t="s">
        <v>408</v>
      </c>
      <c r="Z1462" s="2" t="s">
        <v>3930</v>
      </c>
      <c r="AA1462" s="2">
        <v>-1.03733246726433</v>
      </c>
      <c r="AB1462" s="2">
        <v>0.540904833509678</v>
      </c>
      <c r="AC1462" s="2">
        <v>117197.789243419</v>
      </c>
      <c r="AD1462" s="2">
        <v>95906.813848880804</v>
      </c>
      <c r="AE1462" s="2">
        <v>119292.51070929</v>
      </c>
      <c r="AF1462" s="2">
        <v>111579.112401237</v>
      </c>
      <c r="AG1462" s="2">
        <v>122519.803481917</v>
      </c>
      <c r="AH1462" s="2">
        <v>113140.054139834</v>
      </c>
      <c r="AI1462" s="2">
        <v>114309.303266634</v>
      </c>
      <c r="AJ1462" s="2">
        <v>122345.95146160301</v>
      </c>
      <c r="AK1462" s="2">
        <v>87007.816640912803</v>
      </c>
      <c r="AL1462" s="2">
        <v>94049.586392145793</v>
      </c>
      <c r="AM1462" s="2">
        <v>106520.451093708</v>
      </c>
      <c r="AN1462" s="2">
        <v>95023.448204335</v>
      </c>
      <c r="AO1462" s="2">
        <v>96166.624773461604</v>
      </c>
      <c r="AP1462" s="2">
        <v>96672.955988721806</v>
      </c>
    </row>
    <row r="1463" spans="1:42" ht="14.5" x14ac:dyDescent="0.35">
      <c r="A1463" s="2" t="s">
        <v>9910</v>
      </c>
      <c r="B1463" s="2">
        <v>637.15373988917304</v>
      </c>
      <c r="C1463" s="2">
        <v>4.0429833333333303</v>
      </c>
      <c r="D1463" s="2" t="s">
        <v>70</v>
      </c>
      <c r="E1463" s="2" t="s">
        <v>9911</v>
      </c>
      <c r="F1463" s="2">
        <v>33650</v>
      </c>
      <c r="G1463" s="3" t="str">
        <f>HYPERLINK("http://funmeta.oebiotech.com/network/33650", "http://funmeta.oebiotech.com/network/33650")</f>
        <v>http://funmeta.oebiotech.com/network/33650</v>
      </c>
      <c r="H1463" s="2"/>
      <c r="I1463" s="2"/>
      <c r="J1463" s="2" t="s">
        <v>9912</v>
      </c>
      <c r="K1463" s="2"/>
      <c r="L1463" s="2"/>
      <c r="M1463" s="2"/>
      <c r="N1463" s="2"/>
      <c r="O1463" s="2">
        <v>10371911</v>
      </c>
      <c r="P1463" s="2"/>
      <c r="Q1463" s="2" t="s">
        <v>9913</v>
      </c>
      <c r="R1463" s="2" t="s">
        <v>9914</v>
      </c>
      <c r="S1463" s="2" t="s">
        <v>115</v>
      </c>
      <c r="T1463" s="2" t="s">
        <v>139</v>
      </c>
      <c r="U1463" s="2" t="s">
        <v>140</v>
      </c>
      <c r="V1463" s="2" t="s">
        <v>59</v>
      </c>
      <c r="W1463" s="2">
        <v>45.4</v>
      </c>
      <c r="X1463" s="2">
        <v>40.299999999999997</v>
      </c>
      <c r="Y1463" s="2" t="s">
        <v>118</v>
      </c>
      <c r="Z1463" s="2" t="s">
        <v>5058</v>
      </c>
      <c r="AA1463" s="2">
        <v>-3.9790971204958798</v>
      </c>
      <c r="AB1463" s="2">
        <v>0.540791853871877</v>
      </c>
      <c r="AC1463" s="2">
        <v>68660.474968258</v>
      </c>
      <c r="AD1463" s="2">
        <v>48665.687475579798</v>
      </c>
      <c r="AE1463" s="2">
        <v>66929.4063797657</v>
      </c>
      <c r="AF1463" s="2">
        <v>70312.804217024299</v>
      </c>
      <c r="AG1463" s="2">
        <v>67200.828474690701</v>
      </c>
      <c r="AH1463" s="2">
        <v>73763.792774275702</v>
      </c>
      <c r="AI1463" s="2">
        <v>65076.752741736796</v>
      </c>
      <c r="AJ1463" s="2">
        <v>68679.265222054994</v>
      </c>
      <c r="AK1463" s="2">
        <v>51857.094135674502</v>
      </c>
      <c r="AL1463" s="2">
        <v>52413.916831186798</v>
      </c>
      <c r="AM1463" s="2">
        <v>48465.199413750997</v>
      </c>
      <c r="AN1463" s="2">
        <v>42118.233332321099</v>
      </c>
      <c r="AO1463" s="2">
        <v>48036.948504292399</v>
      </c>
      <c r="AP1463" s="2">
        <v>49102.732636253102</v>
      </c>
    </row>
    <row r="1464" spans="1:42" ht="14.5" x14ac:dyDescent="0.35">
      <c r="A1464" s="2" t="s">
        <v>9915</v>
      </c>
      <c r="B1464" s="2">
        <v>247.13260611649099</v>
      </c>
      <c r="C1464" s="2">
        <v>5.8999499999999996</v>
      </c>
      <c r="D1464" s="2" t="s">
        <v>34</v>
      </c>
      <c r="E1464" s="5" t="s">
        <v>9916</v>
      </c>
      <c r="F1464" s="2">
        <v>266927</v>
      </c>
      <c r="G1464" s="3" t="str">
        <f>HYPERLINK("http://funmeta.oebiotech.com/network/266927", "http://funmeta.oebiotech.com/network/266927")</f>
        <v>http://funmeta.oebiotech.com/network/266927</v>
      </c>
      <c r="H1464" s="2"/>
      <c r="I1464" s="2">
        <v>44318</v>
      </c>
      <c r="J1464" s="2"/>
      <c r="K1464" s="2"/>
      <c r="L1464" s="2"/>
      <c r="M1464" s="2"/>
      <c r="N1464" s="2"/>
      <c r="O1464" s="2">
        <v>5375199</v>
      </c>
      <c r="P1464" s="2" t="s">
        <v>9917</v>
      </c>
      <c r="Q1464" s="2" t="s">
        <v>9918</v>
      </c>
      <c r="R1464" s="2" t="s">
        <v>9919</v>
      </c>
      <c r="S1464" s="2" t="s">
        <v>50</v>
      </c>
      <c r="T1464" s="2" t="s">
        <v>201</v>
      </c>
      <c r="U1464" s="2" t="s">
        <v>636</v>
      </c>
      <c r="V1464" s="2" t="s">
        <v>59</v>
      </c>
      <c r="W1464" s="2">
        <v>38.1</v>
      </c>
      <c r="X1464" s="2">
        <v>0</v>
      </c>
      <c r="Y1464" s="2" t="s">
        <v>1115</v>
      </c>
      <c r="Z1464" s="2" t="s">
        <v>9920</v>
      </c>
      <c r="AA1464" s="2">
        <v>-1.0023358796361199</v>
      </c>
      <c r="AB1464" s="2">
        <v>0.54070735561238004</v>
      </c>
      <c r="AC1464" s="2">
        <v>9538.5856755299501</v>
      </c>
      <c r="AD1464" s="2">
        <v>29163.868564611199</v>
      </c>
      <c r="AE1464" s="2">
        <v>10174.2328670355</v>
      </c>
      <c r="AF1464" s="2">
        <v>10839.086067538799</v>
      </c>
      <c r="AG1464" s="2">
        <v>8474.4853147365993</v>
      </c>
      <c r="AH1464" s="2">
        <v>7865.3875240340003</v>
      </c>
      <c r="AI1464" s="2">
        <v>10077.5542558056</v>
      </c>
      <c r="AJ1464" s="2">
        <v>9800.7680240292102</v>
      </c>
      <c r="AK1464" s="2">
        <v>28034.109451915101</v>
      </c>
      <c r="AL1464" s="2">
        <v>35023.909854027901</v>
      </c>
      <c r="AM1464" s="2">
        <v>29077.7080602116</v>
      </c>
      <c r="AN1464" s="2">
        <v>27949.742134673201</v>
      </c>
      <c r="AO1464" s="2">
        <v>26774.540348811399</v>
      </c>
      <c r="AP1464" s="2">
        <v>28123.201538028301</v>
      </c>
    </row>
    <row r="1465" spans="1:42" ht="14.5" x14ac:dyDescent="0.35">
      <c r="A1465" s="2" t="s">
        <v>9921</v>
      </c>
      <c r="B1465" s="2">
        <v>315.10825111834299</v>
      </c>
      <c r="C1465" s="2">
        <v>3.4080166666666698</v>
      </c>
      <c r="D1465" s="2" t="s">
        <v>70</v>
      </c>
      <c r="E1465" s="2" t="s">
        <v>9922</v>
      </c>
      <c r="F1465" s="2">
        <v>64135</v>
      </c>
      <c r="G1465" s="3" t="str">
        <f>HYPERLINK("http://funmeta.oebiotech.com/network/64135", "http://funmeta.oebiotech.com/network/64135")</f>
        <v>http://funmeta.oebiotech.com/network/64135</v>
      </c>
      <c r="H1465" s="2" t="s">
        <v>9923</v>
      </c>
      <c r="I1465" s="2">
        <v>95458</v>
      </c>
      <c r="J1465" s="2"/>
      <c r="K1465" s="2">
        <v>167980</v>
      </c>
      <c r="L1465" s="2"/>
      <c r="M1465" s="2"/>
      <c r="N1465" s="2"/>
      <c r="O1465" s="2">
        <v>13845930</v>
      </c>
      <c r="P1465" s="2" t="s">
        <v>9924</v>
      </c>
      <c r="Q1465" s="2" t="s">
        <v>9925</v>
      </c>
      <c r="R1465" s="2" t="s">
        <v>9926</v>
      </c>
      <c r="S1465" s="2" t="s">
        <v>79</v>
      </c>
      <c r="T1465" s="2" t="s">
        <v>80</v>
      </c>
      <c r="U1465" s="2" t="s">
        <v>81</v>
      </c>
      <c r="V1465" s="2" t="s">
        <v>59</v>
      </c>
      <c r="W1465" s="2">
        <v>43.2</v>
      </c>
      <c r="X1465" s="2">
        <v>20.8</v>
      </c>
      <c r="Y1465" s="2" t="s">
        <v>118</v>
      </c>
      <c r="Z1465" s="2" t="s">
        <v>9927</v>
      </c>
      <c r="AA1465" s="2">
        <v>-0.91753566604959602</v>
      </c>
      <c r="AB1465" s="2">
        <v>0.54025175231493106</v>
      </c>
      <c r="AC1465" s="2">
        <v>139743.94399983299</v>
      </c>
      <c r="AD1465" s="2">
        <v>160476.92855249401</v>
      </c>
      <c r="AE1465" s="2">
        <v>139438.73113912999</v>
      </c>
      <c r="AF1465" s="2">
        <v>135185.24458498001</v>
      </c>
      <c r="AG1465" s="2">
        <v>133808.89071172301</v>
      </c>
      <c r="AH1465" s="2">
        <v>142567.934907894</v>
      </c>
      <c r="AI1465" s="2">
        <v>141013.897856183</v>
      </c>
      <c r="AJ1465" s="2">
        <v>146448.96479908601</v>
      </c>
      <c r="AK1465" s="2">
        <v>154989.80999601199</v>
      </c>
      <c r="AL1465" s="2">
        <v>157087.60090851501</v>
      </c>
      <c r="AM1465" s="2">
        <v>167134.50027626299</v>
      </c>
      <c r="AN1465" s="2">
        <v>164570.35295821901</v>
      </c>
      <c r="AO1465" s="2">
        <v>156199.78607186</v>
      </c>
      <c r="AP1465" s="2">
        <v>162879.52110409501</v>
      </c>
    </row>
    <row r="1466" spans="1:42" ht="14.5" x14ac:dyDescent="0.35">
      <c r="A1466" s="2" t="s">
        <v>9928</v>
      </c>
      <c r="B1466" s="2">
        <v>597.01389021124703</v>
      </c>
      <c r="C1466" s="2">
        <v>5.7559333333333296</v>
      </c>
      <c r="D1466" s="2" t="s">
        <v>34</v>
      </c>
      <c r="E1466" s="2" t="s">
        <v>9929</v>
      </c>
      <c r="F1466" s="2">
        <v>61254</v>
      </c>
      <c r="G1466" s="3" t="str">
        <f>HYPERLINK("http://funmeta.oebiotech.com/network/61254", "http://funmeta.oebiotech.com/network/61254")</f>
        <v>http://funmeta.oebiotech.com/network/61254</v>
      </c>
      <c r="H1466" s="2" t="s">
        <v>9930</v>
      </c>
      <c r="I1466" s="2">
        <v>92574</v>
      </c>
      <c r="J1466" s="2"/>
      <c r="K1466" s="2"/>
      <c r="L1466" s="2"/>
      <c r="M1466" s="2"/>
      <c r="N1466" s="2"/>
      <c r="O1466" s="2">
        <v>73829986</v>
      </c>
      <c r="P1466" s="2" t="s">
        <v>9931</v>
      </c>
      <c r="Q1466" s="2" t="s">
        <v>9932</v>
      </c>
      <c r="R1466" s="2" t="s">
        <v>9933</v>
      </c>
      <c r="S1466" s="2" t="s">
        <v>115</v>
      </c>
      <c r="T1466" s="2" t="s">
        <v>139</v>
      </c>
      <c r="U1466" s="2" t="s">
        <v>140</v>
      </c>
      <c r="V1466" s="2" t="s">
        <v>59</v>
      </c>
      <c r="W1466" s="2">
        <v>36.1</v>
      </c>
      <c r="X1466" s="2">
        <v>0</v>
      </c>
      <c r="Y1466" s="2" t="s">
        <v>323</v>
      </c>
      <c r="Z1466" s="2" t="s">
        <v>9934</v>
      </c>
      <c r="AA1466" s="2">
        <v>-3.1367517474870699</v>
      </c>
      <c r="AB1466" s="2">
        <v>0.54023686715561203</v>
      </c>
      <c r="AC1466" s="2">
        <v>153581.404430464</v>
      </c>
      <c r="AD1466" s="2">
        <v>129189.421411508</v>
      </c>
      <c r="AE1466" s="2">
        <v>162157.65932348801</v>
      </c>
      <c r="AF1466" s="2">
        <v>154029.283758481</v>
      </c>
      <c r="AG1466" s="2">
        <v>152542.84018771301</v>
      </c>
      <c r="AH1466" s="2">
        <v>163457.006264889</v>
      </c>
      <c r="AI1466" s="2">
        <v>161579.686889234</v>
      </c>
      <c r="AJ1466" s="2">
        <v>127721.95015898001</v>
      </c>
      <c r="AK1466" s="2">
        <v>123676.737286082</v>
      </c>
      <c r="AL1466" s="2">
        <v>126011.006115168</v>
      </c>
      <c r="AM1466" s="2">
        <v>130024.10700069999</v>
      </c>
      <c r="AN1466" s="2">
        <v>140141.55271222899</v>
      </c>
      <c r="AO1466" s="2">
        <v>126566.041336818</v>
      </c>
      <c r="AP1466" s="2">
        <v>128717.084018051</v>
      </c>
    </row>
    <row r="1467" spans="1:42" ht="14.5" x14ac:dyDescent="0.35">
      <c r="A1467" s="2" t="s">
        <v>9935</v>
      </c>
      <c r="B1467" s="2">
        <v>435.07424213502497</v>
      </c>
      <c r="C1467" s="2">
        <v>0.78071666666666695</v>
      </c>
      <c r="D1467" s="2" t="s">
        <v>34</v>
      </c>
      <c r="E1467" s="2" t="s">
        <v>9936</v>
      </c>
      <c r="F1467" s="2">
        <v>205525</v>
      </c>
      <c r="G1467" s="3" t="str">
        <f>HYPERLINK("http://funmeta.oebiotech.com/network/205525", "http://funmeta.oebiotech.com/network/205525")</f>
        <v>http://funmeta.oebiotech.com/network/205525</v>
      </c>
      <c r="H1467" s="2" t="s">
        <v>9937</v>
      </c>
      <c r="I1467" s="2"/>
      <c r="J1467" s="2"/>
      <c r="K1467" s="2"/>
      <c r="L1467" s="2"/>
      <c r="M1467" s="2"/>
      <c r="N1467" s="2"/>
      <c r="O1467" s="2"/>
      <c r="P1467" s="2"/>
      <c r="Q1467" s="2" t="s">
        <v>9938</v>
      </c>
      <c r="R1467" s="2" t="s">
        <v>9939</v>
      </c>
      <c r="S1467" s="2" t="s">
        <v>41</v>
      </c>
      <c r="T1467" s="2" t="s">
        <v>41</v>
      </c>
      <c r="U1467" s="2" t="s">
        <v>41</v>
      </c>
      <c r="V1467" s="2" t="s">
        <v>59</v>
      </c>
      <c r="W1467" s="2">
        <v>36.4</v>
      </c>
      <c r="X1467" s="2">
        <v>0</v>
      </c>
      <c r="Y1467" s="2" t="s">
        <v>169</v>
      </c>
      <c r="Z1467" s="2" t="s">
        <v>9940</v>
      </c>
      <c r="AA1467" s="2">
        <v>-4.9905504563710004</v>
      </c>
      <c r="AB1467" s="2">
        <v>0.54023493530309896</v>
      </c>
      <c r="AC1467" s="2">
        <v>89288.388465338998</v>
      </c>
      <c r="AD1467" s="2">
        <v>110737.538162413</v>
      </c>
      <c r="AE1467" s="2">
        <v>86423.339630167393</v>
      </c>
      <c r="AF1467" s="2">
        <v>93968.143775850403</v>
      </c>
      <c r="AG1467" s="2">
        <v>86174.336425056405</v>
      </c>
      <c r="AH1467" s="2">
        <v>83710.261596334894</v>
      </c>
      <c r="AI1467" s="2">
        <v>94411.901265405599</v>
      </c>
      <c r="AJ1467" s="2">
        <v>91042.348099219307</v>
      </c>
      <c r="AK1467" s="2">
        <v>113801.143071787</v>
      </c>
      <c r="AL1467" s="2">
        <v>100904.355217765</v>
      </c>
      <c r="AM1467" s="2">
        <v>102847.76651391</v>
      </c>
      <c r="AN1467" s="2">
        <v>114229.92038158901</v>
      </c>
      <c r="AO1467" s="2">
        <v>112953.871147966</v>
      </c>
      <c r="AP1467" s="2">
        <v>119688.17264146</v>
      </c>
    </row>
    <row r="1468" spans="1:42" ht="14.5" x14ac:dyDescent="0.35">
      <c r="A1468" s="2" t="s">
        <v>9941</v>
      </c>
      <c r="B1468" s="2">
        <v>253.121828729463</v>
      </c>
      <c r="C1468" s="2">
        <v>6.7814333333333296</v>
      </c>
      <c r="D1468" s="2" t="s">
        <v>34</v>
      </c>
      <c r="E1468" s="2" t="s">
        <v>9942</v>
      </c>
      <c r="F1468" s="2">
        <v>207475</v>
      </c>
      <c r="G1468" s="3" t="str">
        <f>HYPERLINK("http://funmeta.oebiotech.com/network/207475", "http://funmeta.oebiotech.com/network/207475")</f>
        <v>http://funmeta.oebiotech.com/network/207475</v>
      </c>
      <c r="H1468" s="2" t="s">
        <v>9943</v>
      </c>
      <c r="I1468" s="2">
        <v>358980</v>
      </c>
      <c r="J1468" s="2"/>
      <c r="K1468" s="2">
        <v>42298</v>
      </c>
      <c r="L1468" s="2"/>
      <c r="M1468" s="2"/>
      <c r="N1468" s="2"/>
      <c r="O1468" s="2">
        <v>85255</v>
      </c>
      <c r="P1468" s="2"/>
      <c r="Q1468" s="2" t="s">
        <v>9944</v>
      </c>
      <c r="R1468" s="2" t="s">
        <v>9945</v>
      </c>
      <c r="S1468" s="2" t="s">
        <v>491</v>
      </c>
      <c r="T1468" s="2" t="s">
        <v>5190</v>
      </c>
      <c r="U1468" s="2" t="s">
        <v>5191</v>
      </c>
      <c r="V1468" s="2" t="s">
        <v>59</v>
      </c>
      <c r="W1468" s="2">
        <v>42.1</v>
      </c>
      <c r="X1468" s="2">
        <v>19.399999999999999</v>
      </c>
      <c r="Y1468" s="2" t="s">
        <v>266</v>
      </c>
      <c r="Z1468" s="2" t="s">
        <v>9946</v>
      </c>
      <c r="AA1468" s="2">
        <v>0.69083018681117903</v>
      </c>
      <c r="AB1468" s="2">
        <v>0.54001481691888198</v>
      </c>
      <c r="AC1468" s="2">
        <v>71229.675014577399</v>
      </c>
      <c r="AD1468" s="2">
        <v>51297.871971733497</v>
      </c>
      <c r="AE1468" s="2">
        <v>70089.648262613497</v>
      </c>
      <c r="AF1468" s="2">
        <v>65406.722399083497</v>
      </c>
      <c r="AG1468" s="2">
        <v>76850.624860098396</v>
      </c>
      <c r="AH1468" s="2">
        <v>69060.363458064399</v>
      </c>
      <c r="AI1468" s="2">
        <v>72367.710070978806</v>
      </c>
      <c r="AJ1468" s="2">
        <v>73602.981036626006</v>
      </c>
      <c r="AK1468" s="2">
        <v>53067.234628471902</v>
      </c>
      <c r="AL1468" s="2">
        <v>52186.857789838701</v>
      </c>
      <c r="AM1468" s="2">
        <v>51542.725899603603</v>
      </c>
      <c r="AN1468" s="2">
        <v>50427.262380628403</v>
      </c>
      <c r="AO1468" s="2">
        <v>53004.174675382099</v>
      </c>
      <c r="AP1468" s="2">
        <v>47558.976456476397</v>
      </c>
    </row>
    <row r="1469" spans="1:42" ht="14.5" x14ac:dyDescent="0.35">
      <c r="A1469" s="2" t="s">
        <v>9947</v>
      </c>
      <c r="B1469" s="2">
        <v>365.26933143974401</v>
      </c>
      <c r="C1469" s="2">
        <v>11.246233333333301</v>
      </c>
      <c r="D1469" s="2" t="s">
        <v>70</v>
      </c>
      <c r="E1469" s="2" t="s">
        <v>9948</v>
      </c>
      <c r="F1469" s="2">
        <v>47832</v>
      </c>
      <c r="G1469" s="3" t="str">
        <f>HYPERLINK("http://funmeta.oebiotech.com/network/47832", "http://funmeta.oebiotech.com/network/47832")</f>
        <v>http://funmeta.oebiotech.com/network/47832</v>
      </c>
      <c r="H1469" s="2" t="s">
        <v>9949</v>
      </c>
      <c r="I1469" s="2">
        <v>6515</v>
      </c>
      <c r="J1469" s="2"/>
      <c r="K1469" s="2"/>
      <c r="L1469" s="2"/>
      <c r="M1469" s="2"/>
      <c r="N1469" s="2"/>
      <c r="O1469" s="2">
        <v>120059</v>
      </c>
      <c r="P1469" s="2" t="s">
        <v>9950</v>
      </c>
      <c r="Q1469" s="2" t="s">
        <v>9951</v>
      </c>
      <c r="R1469" s="2" t="s">
        <v>9952</v>
      </c>
      <c r="S1469" s="2" t="s">
        <v>50</v>
      </c>
      <c r="T1469" s="2" t="s">
        <v>124</v>
      </c>
      <c r="U1469" s="2" t="s">
        <v>929</v>
      </c>
      <c r="V1469" s="2" t="s">
        <v>42</v>
      </c>
      <c r="W1469" s="2">
        <v>56</v>
      </c>
      <c r="X1469" s="2">
        <v>84.1</v>
      </c>
      <c r="Y1469" s="2" t="s">
        <v>408</v>
      </c>
      <c r="Z1469" s="2" t="s">
        <v>9953</v>
      </c>
      <c r="AA1469" s="2">
        <v>-1.25463507611648</v>
      </c>
      <c r="AB1469" s="2">
        <v>0.53999358254209995</v>
      </c>
      <c r="AC1469" s="2">
        <v>39271.911410202003</v>
      </c>
      <c r="AD1469" s="2">
        <v>19766.783316480301</v>
      </c>
      <c r="AE1469" s="2">
        <v>41876.253702685601</v>
      </c>
      <c r="AF1469" s="2">
        <v>40338.881866429001</v>
      </c>
      <c r="AG1469" s="2">
        <v>41915.589698217598</v>
      </c>
      <c r="AH1469" s="2">
        <v>36013.263730151797</v>
      </c>
      <c r="AI1469" s="2">
        <v>34810.902941013403</v>
      </c>
      <c r="AJ1469" s="2">
        <v>40676.5765227144</v>
      </c>
      <c r="AK1469" s="2">
        <v>19411.334911042501</v>
      </c>
      <c r="AL1469" s="2">
        <v>18900.951267447101</v>
      </c>
      <c r="AM1469" s="2">
        <v>20376.5099495219</v>
      </c>
      <c r="AN1469" s="2">
        <v>19760.866851807099</v>
      </c>
      <c r="AO1469" s="2">
        <v>21497.404125503501</v>
      </c>
      <c r="AP1469" s="2">
        <v>18653.632793559798</v>
      </c>
    </row>
    <row r="1470" spans="1:42" ht="14.5" x14ac:dyDescent="0.35">
      <c r="A1470" s="2" t="s">
        <v>9954</v>
      </c>
      <c r="B1470" s="2">
        <v>754.306042436653</v>
      </c>
      <c r="C1470" s="2">
        <v>5.5431833333333298</v>
      </c>
      <c r="D1470" s="2" t="s">
        <v>70</v>
      </c>
      <c r="E1470" s="2" t="s">
        <v>9955</v>
      </c>
      <c r="F1470" s="2">
        <v>28283</v>
      </c>
      <c r="G1470" s="3" t="str">
        <f>HYPERLINK("http://funmeta.oebiotech.com/network/28283", "http://funmeta.oebiotech.com/network/28283")</f>
        <v>http://funmeta.oebiotech.com/network/28283</v>
      </c>
      <c r="H1470" s="2"/>
      <c r="I1470" s="2">
        <v>40965</v>
      </c>
      <c r="J1470" s="2" t="s">
        <v>9956</v>
      </c>
      <c r="K1470" s="2">
        <v>17876</v>
      </c>
      <c r="L1470" s="2" t="s">
        <v>9957</v>
      </c>
      <c r="M1470" s="2" t="s">
        <v>1390</v>
      </c>
      <c r="N1470" s="2" t="s">
        <v>1391</v>
      </c>
      <c r="O1470" s="2">
        <v>5459948</v>
      </c>
      <c r="P1470" s="2"/>
      <c r="Q1470" s="2" t="s">
        <v>9958</v>
      </c>
      <c r="R1470" s="2" t="s">
        <v>9959</v>
      </c>
      <c r="S1470" s="2" t="s">
        <v>115</v>
      </c>
      <c r="T1470" s="2" t="s">
        <v>6130</v>
      </c>
      <c r="U1470" s="2" t="s">
        <v>41</v>
      </c>
      <c r="V1470" s="2" t="s">
        <v>59</v>
      </c>
      <c r="W1470" s="2">
        <v>38.200000000000003</v>
      </c>
      <c r="X1470" s="2">
        <v>0.216</v>
      </c>
      <c r="Y1470" s="2" t="s">
        <v>118</v>
      </c>
      <c r="Z1470" s="2" t="s">
        <v>9960</v>
      </c>
      <c r="AA1470" s="2">
        <v>-2.6298704689613599</v>
      </c>
      <c r="AB1470" s="2">
        <v>0.53993406324065096</v>
      </c>
      <c r="AC1470" s="2">
        <v>132489.93332198201</v>
      </c>
      <c r="AD1470" s="2">
        <v>153740.523526412</v>
      </c>
      <c r="AE1470" s="2">
        <v>142642.783648057</v>
      </c>
      <c r="AF1470" s="2">
        <v>137194.66524250701</v>
      </c>
      <c r="AG1470" s="2">
        <v>126899.51633036901</v>
      </c>
      <c r="AH1470" s="2">
        <v>125510.137021235</v>
      </c>
      <c r="AI1470" s="2">
        <v>130553.541427157</v>
      </c>
      <c r="AJ1470" s="2">
        <v>132138.95626256801</v>
      </c>
      <c r="AK1470" s="2">
        <v>158435.09475803701</v>
      </c>
      <c r="AL1470" s="2">
        <v>152500.85328250899</v>
      </c>
      <c r="AM1470" s="2">
        <v>159036.23480914001</v>
      </c>
      <c r="AN1470" s="2">
        <v>153530.088027141</v>
      </c>
      <c r="AO1470" s="2">
        <v>152189.308794713</v>
      </c>
      <c r="AP1470" s="2">
        <v>146751.561486933</v>
      </c>
    </row>
    <row r="1471" spans="1:42" ht="14.5" x14ac:dyDescent="0.35">
      <c r="A1471" s="2" t="s">
        <v>9961</v>
      </c>
      <c r="B1471" s="2">
        <v>487.33919005289698</v>
      </c>
      <c r="C1471" s="2">
        <v>11.827999999999999</v>
      </c>
      <c r="D1471" s="2" t="s">
        <v>34</v>
      </c>
      <c r="E1471" s="2" t="s">
        <v>9962</v>
      </c>
      <c r="F1471" s="2">
        <v>28269</v>
      </c>
      <c r="G1471" s="3" t="str">
        <f>HYPERLINK("http://funmeta.oebiotech.com/network/28269", "http://funmeta.oebiotech.com/network/28269")</f>
        <v>http://funmeta.oebiotech.com/network/28269</v>
      </c>
      <c r="H1471" s="2"/>
      <c r="I1471" s="2">
        <v>41000</v>
      </c>
      <c r="J1471" s="2" t="s">
        <v>9963</v>
      </c>
      <c r="K1471" s="2">
        <v>29656</v>
      </c>
      <c r="L1471" s="2" t="s">
        <v>9964</v>
      </c>
      <c r="M1471" s="2" t="s">
        <v>2604</v>
      </c>
      <c r="N1471" s="2" t="s">
        <v>2605</v>
      </c>
      <c r="O1471" s="2">
        <v>5282033</v>
      </c>
      <c r="P1471" s="2"/>
      <c r="Q1471" s="2" t="s">
        <v>9965</v>
      </c>
      <c r="R1471" s="2" t="s">
        <v>9966</v>
      </c>
      <c r="S1471" s="2" t="s">
        <v>79</v>
      </c>
      <c r="T1471" s="2" t="s">
        <v>80</v>
      </c>
      <c r="U1471" s="2" t="s">
        <v>81</v>
      </c>
      <c r="V1471" s="2" t="s">
        <v>59</v>
      </c>
      <c r="W1471" s="2">
        <v>40.200000000000003</v>
      </c>
      <c r="X1471" s="2">
        <v>9.84</v>
      </c>
      <c r="Y1471" s="2" t="s">
        <v>43</v>
      </c>
      <c r="Z1471" s="2" t="s">
        <v>9967</v>
      </c>
      <c r="AA1471" s="2">
        <v>3.00828952902364</v>
      </c>
      <c r="AB1471" s="2">
        <v>0.53950924142814105</v>
      </c>
      <c r="AC1471" s="2">
        <v>115410.975204281</v>
      </c>
      <c r="AD1471" s="2">
        <v>142327.15631804301</v>
      </c>
      <c r="AE1471" s="2">
        <v>123329.328875942</v>
      </c>
      <c r="AF1471" s="2">
        <v>113919.97311173</v>
      </c>
      <c r="AG1471" s="2">
        <v>114650.07078918599</v>
      </c>
      <c r="AH1471" s="2">
        <v>106565.337114913</v>
      </c>
      <c r="AI1471" s="2">
        <v>115137.30000797501</v>
      </c>
      <c r="AJ1471" s="2">
        <v>118863.84132594</v>
      </c>
      <c r="AK1471" s="2">
        <v>181449.341175118</v>
      </c>
      <c r="AL1471" s="2">
        <v>138255.21873218199</v>
      </c>
      <c r="AM1471" s="2">
        <v>140861.190088926</v>
      </c>
      <c r="AN1471" s="2">
        <v>128430.669167503</v>
      </c>
      <c r="AO1471" s="2">
        <v>130760.133941411</v>
      </c>
      <c r="AP1471" s="2">
        <v>134206.384803116</v>
      </c>
    </row>
    <row r="1472" spans="1:42" ht="14.5" x14ac:dyDescent="0.35">
      <c r="A1472" s="2" t="s">
        <v>9968</v>
      </c>
      <c r="B1472" s="2">
        <v>861.38632139550202</v>
      </c>
      <c r="C1472" s="2">
        <v>4.2085666666666697</v>
      </c>
      <c r="D1472" s="2" t="s">
        <v>34</v>
      </c>
      <c r="E1472" s="2" t="s">
        <v>9969</v>
      </c>
      <c r="F1472" s="2">
        <v>55249</v>
      </c>
      <c r="G1472" s="3" t="str">
        <f>HYPERLINK("http://funmeta.oebiotech.com/network/55249", "http://funmeta.oebiotech.com/network/55249")</f>
        <v>http://funmeta.oebiotech.com/network/55249</v>
      </c>
      <c r="H1472" s="2" t="s">
        <v>9970</v>
      </c>
      <c r="I1472" s="2">
        <v>86975</v>
      </c>
      <c r="J1472" s="2"/>
      <c r="K1472" s="2">
        <v>172837</v>
      </c>
      <c r="L1472" s="2"/>
      <c r="M1472" s="2"/>
      <c r="N1472" s="2"/>
      <c r="O1472" s="2">
        <v>131751016</v>
      </c>
      <c r="P1472" s="2" t="s">
        <v>9971</v>
      </c>
      <c r="Q1472" s="2" t="s">
        <v>9972</v>
      </c>
      <c r="R1472" s="2" t="s">
        <v>9973</v>
      </c>
      <c r="S1472" s="2" t="s">
        <v>79</v>
      </c>
      <c r="T1472" s="2" t="s">
        <v>80</v>
      </c>
      <c r="U1472" s="2" t="s">
        <v>81</v>
      </c>
      <c r="V1472" s="2" t="s">
        <v>59</v>
      </c>
      <c r="W1472" s="2">
        <v>38.1</v>
      </c>
      <c r="X1472" s="2">
        <v>0</v>
      </c>
      <c r="Y1472" s="2" t="s">
        <v>340</v>
      </c>
      <c r="Z1472" s="2" t="s">
        <v>9974</v>
      </c>
      <c r="AA1472" s="2">
        <v>-2.1302287478008499</v>
      </c>
      <c r="AB1472" s="2">
        <v>0.53919395325249297</v>
      </c>
      <c r="AC1472" s="2">
        <v>37700.121286870803</v>
      </c>
      <c r="AD1472" s="2">
        <v>17807.5270030598</v>
      </c>
      <c r="AE1472" s="2">
        <v>34713.9097569718</v>
      </c>
      <c r="AF1472" s="2">
        <v>37471.075250101501</v>
      </c>
      <c r="AG1472" s="2">
        <v>35085.5590694891</v>
      </c>
      <c r="AH1472" s="2">
        <v>37693.6243761972</v>
      </c>
      <c r="AI1472" s="2">
        <v>35636.3227483437</v>
      </c>
      <c r="AJ1472" s="2">
        <v>45600.2365201215</v>
      </c>
      <c r="AK1472" s="2">
        <v>19639.535224253599</v>
      </c>
      <c r="AL1472" s="2">
        <v>20578.590089352601</v>
      </c>
      <c r="AM1472" s="2">
        <v>17296.7675867205</v>
      </c>
      <c r="AN1472" s="2">
        <v>17916.759698646201</v>
      </c>
      <c r="AO1472" s="2">
        <v>17099.371806963201</v>
      </c>
      <c r="AP1472" s="2">
        <v>14314.137612422601</v>
      </c>
    </row>
    <row r="1473" spans="1:42" ht="14.5" x14ac:dyDescent="0.35">
      <c r="A1473" s="2" t="s">
        <v>9975</v>
      </c>
      <c r="B1473" s="2">
        <v>892.37529372994004</v>
      </c>
      <c r="C1473" s="2">
        <v>10.008749999999999</v>
      </c>
      <c r="D1473" s="2" t="s">
        <v>70</v>
      </c>
      <c r="E1473" s="2" t="s">
        <v>9976</v>
      </c>
      <c r="F1473" s="2">
        <v>52136</v>
      </c>
      <c r="G1473" s="3" t="str">
        <f>HYPERLINK("http://funmeta.oebiotech.com/network/52136", "http://funmeta.oebiotech.com/network/52136")</f>
        <v>http://funmeta.oebiotech.com/network/52136</v>
      </c>
      <c r="H1473" s="2" t="s">
        <v>9977</v>
      </c>
      <c r="I1473" s="2"/>
      <c r="J1473" s="2"/>
      <c r="K1473" s="2"/>
      <c r="L1473" s="2"/>
      <c r="M1473" s="2"/>
      <c r="N1473" s="2"/>
      <c r="O1473" s="2">
        <v>53481578</v>
      </c>
      <c r="P1473" s="2"/>
      <c r="Q1473" s="2" t="s">
        <v>9978</v>
      </c>
      <c r="R1473" s="2" t="s">
        <v>9979</v>
      </c>
      <c r="S1473" s="2" t="s">
        <v>89</v>
      </c>
      <c r="T1473" s="2" t="s">
        <v>90</v>
      </c>
      <c r="U1473" s="2" t="s">
        <v>99</v>
      </c>
      <c r="V1473" s="2" t="s">
        <v>59</v>
      </c>
      <c r="W1473" s="2">
        <v>44.1</v>
      </c>
      <c r="X1473" s="2">
        <v>32.1</v>
      </c>
      <c r="Y1473" s="2" t="s">
        <v>408</v>
      </c>
      <c r="Z1473" s="2" t="s">
        <v>9980</v>
      </c>
      <c r="AA1473" s="2">
        <v>-3.34896892630917</v>
      </c>
      <c r="AB1473" s="2">
        <v>0.53867741976586303</v>
      </c>
      <c r="AC1473" s="2">
        <v>40959.094684096199</v>
      </c>
      <c r="AD1473" s="2">
        <v>18433.992716021501</v>
      </c>
      <c r="AE1473" s="2">
        <v>42348.327755300103</v>
      </c>
      <c r="AF1473" s="2">
        <v>37821.899923252</v>
      </c>
      <c r="AG1473" s="2">
        <v>45173.689302379702</v>
      </c>
      <c r="AH1473" s="2">
        <v>37351.0176659059</v>
      </c>
      <c r="AI1473" s="2">
        <v>36999.275505049802</v>
      </c>
      <c r="AJ1473" s="2">
        <v>46060.357952689803</v>
      </c>
      <c r="AK1473" s="2">
        <v>21777.4307563031</v>
      </c>
      <c r="AL1473" s="2">
        <v>37977.967475952602</v>
      </c>
      <c r="AM1473" s="2">
        <v>14641.555047402901</v>
      </c>
      <c r="AN1473" s="2">
        <v>10417.214497946599</v>
      </c>
      <c r="AO1473" s="2">
        <v>16562.309750839999</v>
      </c>
      <c r="AP1473" s="2">
        <v>9227.4787676840697</v>
      </c>
    </row>
    <row r="1474" spans="1:42" ht="14.5" x14ac:dyDescent="0.35">
      <c r="A1474" s="2" t="s">
        <v>9981</v>
      </c>
      <c r="B1474" s="2">
        <v>305.12377381847398</v>
      </c>
      <c r="C1474" s="2">
        <v>3.8975</v>
      </c>
      <c r="D1474" s="2" t="s">
        <v>70</v>
      </c>
      <c r="E1474" s="2" t="s">
        <v>9982</v>
      </c>
      <c r="F1474" s="2">
        <v>57125</v>
      </c>
      <c r="G1474" s="3" t="str">
        <f>HYPERLINK("http://funmeta.oebiotech.com/network/57125", "http://funmeta.oebiotech.com/network/57125")</f>
        <v>http://funmeta.oebiotech.com/network/57125</v>
      </c>
      <c r="H1474" s="2" t="s">
        <v>9983</v>
      </c>
      <c r="I1474" s="2">
        <v>88776</v>
      </c>
      <c r="J1474" s="2"/>
      <c r="K1474" s="2">
        <v>88153</v>
      </c>
      <c r="L1474" s="2"/>
      <c r="M1474" s="2"/>
      <c r="N1474" s="2"/>
      <c r="O1474" s="2">
        <v>8763</v>
      </c>
      <c r="P1474" s="2" t="s">
        <v>9984</v>
      </c>
      <c r="Q1474" s="2" t="s">
        <v>9985</v>
      </c>
      <c r="R1474" s="2" t="s">
        <v>9986</v>
      </c>
      <c r="S1474" s="2" t="s">
        <v>50</v>
      </c>
      <c r="T1474" s="2" t="s">
        <v>448</v>
      </c>
      <c r="U1474" s="2" t="s">
        <v>9987</v>
      </c>
      <c r="V1474" s="2" t="s">
        <v>59</v>
      </c>
      <c r="W1474" s="2">
        <v>40.700000000000003</v>
      </c>
      <c r="X1474" s="2">
        <v>8.8000000000000007</v>
      </c>
      <c r="Y1474" s="2" t="s">
        <v>408</v>
      </c>
      <c r="Z1474" s="2" t="s">
        <v>9988</v>
      </c>
      <c r="AA1474" s="2">
        <v>-1.60464661382794</v>
      </c>
      <c r="AB1474" s="2">
        <v>0.53867257926116796</v>
      </c>
      <c r="AC1474" s="2">
        <v>79002.494814601494</v>
      </c>
      <c r="AD1474" s="2">
        <v>98506.828046525799</v>
      </c>
      <c r="AE1474" s="2">
        <v>82091.172976057394</v>
      </c>
      <c r="AF1474" s="2">
        <v>76205.671006500095</v>
      </c>
      <c r="AG1474" s="2">
        <v>77406.3060276873</v>
      </c>
      <c r="AH1474" s="2">
        <v>78205.250277398794</v>
      </c>
      <c r="AI1474" s="2">
        <v>80723.321602240903</v>
      </c>
      <c r="AJ1474" s="2">
        <v>79383.2469977242</v>
      </c>
      <c r="AK1474" s="2">
        <v>96090.793040720106</v>
      </c>
      <c r="AL1474" s="2">
        <v>98582.570253315105</v>
      </c>
      <c r="AM1474" s="2">
        <v>98921.978607785102</v>
      </c>
      <c r="AN1474" s="2">
        <v>103544.920891235</v>
      </c>
      <c r="AO1474" s="2">
        <v>95725.746641325895</v>
      </c>
      <c r="AP1474" s="2">
        <v>98174.9588447735</v>
      </c>
    </row>
    <row r="1475" spans="1:42" ht="14.5" x14ac:dyDescent="0.35">
      <c r="A1475" s="2" t="s">
        <v>9989</v>
      </c>
      <c r="B1475" s="2">
        <v>954.62930083092704</v>
      </c>
      <c r="C1475" s="2">
        <v>10.984450000000001</v>
      </c>
      <c r="D1475" s="2" t="s">
        <v>34</v>
      </c>
      <c r="E1475" s="2" t="s">
        <v>9990</v>
      </c>
      <c r="F1475" s="2">
        <v>39836</v>
      </c>
      <c r="G1475" s="3" t="str">
        <f>HYPERLINK("http://funmeta.oebiotech.com/network/39836", "http://funmeta.oebiotech.com/network/39836")</f>
        <v>http://funmeta.oebiotech.com/network/39836</v>
      </c>
      <c r="H1475" s="2"/>
      <c r="I1475" s="2"/>
      <c r="J1475" s="2" t="s">
        <v>9991</v>
      </c>
      <c r="K1475" s="2"/>
      <c r="L1475" s="2"/>
      <c r="M1475" s="2"/>
      <c r="N1475" s="2"/>
      <c r="O1475" s="2">
        <v>70699133</v>
      </c>
      <c r="P1475" s="2"/>
      <c r="Q1475" s="2" t="s">
        <v>9992</v>
      </c>
      <c r="R1475" s="2" t="s">
        <v>9993</v>
      </c>
      <c r="S1475" s="2" t="s">
        <v>50</v>
      </c>
      <c r="T1475" s="2" t="s">
        <v>693</v>
      </c>
      <c r="U1475" s="2" t="s">
        <v>3670</v>
      </c>
      <c r="V1475" s="2" t="s">
        <v>59</v>
      </c>
      <c r="W1475" s="2">
        <v>38.299999999999997</v>
      </c>
      <c r="X1475" s="2">
        <v>0</v>
      </c>
      <c r="Y1475" s="2" t="s">
        <v>141</v>
      </c>
      <c r="Z1475" s="2" t="s">
        <v>9994</v>
      </c>
      <c r="AA1475" s="2">
        <v>1.61225666059322</v>
      </c>
      <c r="AB1475" s="2">
        <v>0.53856061176077297</v>
      </c>
      <c r="AC1475" s="2">
        <v>17644.634263730899</v>
      </c>
      <c r="AD1475" s="2">
        <v>37089.544278315698</v>
      </c>
      <c r="AE1475" s="2">
        <v>18708.822667963999</v>
      </c>
      <c r="AF1475" s="2">
        <v>17179.433325104401</v>
      </c>
      <c r="AG1475" s="2">
        <v>16729.155592864601</v>
      </c>
      <c r="AH1475" s="2">
        <v>16320.4511892604</v>
      </c>
      <c r="AI1475" s="2">
        <v>17064.7308605445</v>
      </c>
      <c r="AJ1475" s="2">
        <v>19865.2119466472</v>
      </c>
      <c r="AK1475" s="2">
        <v>36497.176943643397</v>
      </c>
      <c r="AL1475" s="2">
        <v>36745.889179398597</v>
      </c>
      <c r="AM1475" s="2">
        <v>40975.787270463697</v>
      </c>
      <c r="AN1475" s="2">
        <v>39180.665385381799</v>
      </c>
      <c r="AO1475" s="2">
        <v>32426.864261468399</v>
      </c>
      <c r="AP1475" s="2">
        <v>36710.882629538501</v>
      </c>
    </row>
    <row r="1476" spans="1:42" ht="14.5" x14ac:dyDescent="0.35">
      <c r="A1476" s="2" t="s">
        <v>9995</v>
      </c>
      <c r="B1476" s="2">
        <v>177.05449360476399</v>
      </c>
      <c r="C1476" s="2">
        <v>4.2251833333333302</v>
      </c>
      <c r="D1476" s="2" t="s">
        <v>34</v>
      </c>
      <c r="E1476" s="2" t="s">
        <v>9996</v>
      </c>
      <c r="F1476" s="2">
        <v>57252</v>
      </c>
      <c r="G1476" s="3" t="str">
        <f>HYPERLINK("http://funmeta.oebiotech.com/network/57252", "http://funmeta.oebiotech.com/network/57252")</f>
        <v>http://funmeta.oebiotech.com/network/57252</v>
      </c>
      <c r="H1476" s="2" t="s">
        <v>9997</v>
      </c>
      <c r="I1476" s="2">
        <v>88886</v>
      </c>
      <c r="J1476" s="2"/>
      <c r="K1476" s="2"/>
      <c r="L1476" s="2"/>
      <c r="M1476" s="2"/>
      <c r="N1476" s="2"/>
      <c r="O1476" s="2">
        <v>5412913</v>
      </c>
      <c r="P1476" s="2" t="s">
        <v>9998</v>
      </c>
      <c r="Q1476" s="2" t="s">
        <v>9999</v>
      </c>
      <c r="R1476" s="2" t="s">
        <v>10000</v>
      </c>
      <c r="S1476" s="2" t="s">
        <v>115</v>
      </c>
      <c r="T1476" s="2" t="s">
        <v>758</v>
      </c>
      <c r="U1476" s="2" t="s">
        <v>10001</v>
      </c>
      <c r="V1476" s="2" t="s">
        <v>42</v>
      </c>
      <c r="W1476" s="2">
        <v>48.9</v>
      </c>
      <c r="X1476" s="2">
        <v>48.1</v>
      </c>
      <c r="Y1476" s="2" t="s">
        <v>394</v>
      </c>
      <c r="Z1476" s="2" t="s">
        <v>10002</v>
      </c>
      <c r="AA1476" s="2">
        <v>-0.72107010268427796</v>
      </c>
      <c r="AB1476" s="2">
        <v>0.53831679284173195</v>
      </c>
      <c r="AC1476" s="2">
        <v>49894.269125299797</v>
      </c>
      <c r="AD1476" s="2">
        <v>30627.012702723201</v>
      </c>
      <c r="AE1476" s="2">
        <v>49416.177374759303</v>
      </c>
      <c r="AF1476" s="2">
        <v>47008.697099930097</v>
      </c>
      <c r="AG1476" s="2">
        <v>52592.983222650502</v>
      </c>
      <c r="AH1476" s="2">
        <v>48295.2750818157</v>
      </c>
      <c r="AI1476" s="2">
        <v>52062.508956543599</v>
      </c>
      <c r="AJ1476" s="2">
        <v>49989.973016099902</v>
      </c>
      <c r="AK1476" s="2">
        <v>30613.130237443602</v>
      </c>
      <c r="AL1476" s="2">
        <v>31211.259559026799</v>
      </c>
      <c r="AM1476" s="2">
        <v>30772.465334633998</v>
      </c>
      <c r="AN1476" s="2">
        <v>31162.539524237</v>
      </c>
      <c r="AO1476" s="2">
        <v>28912.624641687398</v>
      </c>
      <c r="AP1476" s="2">
        <v>31090.056919310398</v>
      </c>
    </row>
    <row r="1477" spans="1:42" ht="14.5" x14ac:dyDescent="0.35">
      <c r="A1477" s="2" t="s">
        <v>10003</v>
      </c>
      <c r="B1477" s="2">
        <v>755.36247576306801</v>
      </c>
      <c r="C1477" s="2">
        <v>5.2831999999999999</v>
      </c>
      <c r="D1477" s="2" t="s">
        <v>70</v>
      </c>
      <c r="E1477" s="2" t="s">
        <v>10004</v>
      </c>
      <c r="F1477" s="2">
        <v>202806</v>
      </c>
      <c r="G1477" s="3" t="str">
        <f>HYPERLINK("http://funmeta.oebiotech.com/network/202806", "http://funmeta.oebiotech.com/network/202806")</f>
        <v>http://funmeta.oebiotech.com/network/202806</v>
      </c>
      <c r="H1477" s="2" t="s">
        <v>10005</v>
      </c>
      <c r="I1477" s="2"/>
      <c r="J1477" s="2"/>
      <c r="K1477" s="2"/>
      <c r="L1477" s="2"/>
      <c r="M1477" s="2"/>
      <c r="N1477" s="2"/>
      <c r="O1477" s="2">
        <v>23276898</v>
      </c>
      <c r="P1477" s="2"/>
      <c r="Q1477" s="2" t="s">
        <v>10006</v>
      </c>
      <c r="R1477" s="2" t="s">
        <v>10007</v>
      </c>
      <c r="S1477" s="2" t="s">
        <v>41</v>
      </c>
      <c r="T1477" s="2" t="s">
        <v>41</v>
      </c>
      <c r="U1477" s="2" t="s">
        <v>41</v>
      </c>
      <c r="V1477" s="2" t="s">
        <v>59</v>
      </c>
      <c r="W1477" s="2">
        <v>38.5</v>
      </c>
      <c r="X1477" s="2">
        <v>0</v>
      </c>
      <c r="Y1477" s="2" t="s">
        <v>560</v>
      </c>
      <c r="Z1477" s="2" t="s">
        <v>10008</v>
      </c>
      <c r="AA1477" s="2">
        <v>1.64976156503353</v>
      </c>
      <c r="AB1477" s="2">
        <v>0.53685202701535095</v>
      </c>
      <c r="AC1477" s="2">
        <v>71779.210114884001</v>
      </c>
      <c r="AD1477" s="2">
        <v>51335.742837606398</v>
      </c>
      <c r="AE1477" s="2">
        <v>79149.724705667002</v>
      </c>
      <c r="AF1477" s="2">
        <v>71235.495225078805</v>
      </c>
      <c r="AG1477" s="2">
        <v>68875.362156224903</v>
      </c>
      <c r="AH1477" s="2">
        <v>77658.556613173205</v>
      </c>
      <c r="AI1477" s="2">
        <v>61442.767620081497</v>
      </c>
      <c r="AJ1477" s="2">
        <v>72313.354369078806</v>
      </c>
      <c r="AK1477" s="2">
        <v>51999.044445265303</v>
      </c>
      <c r="AL1477" s="2">
        <v>52676.119815495302</v>
      </c>
      <c r="AM1477" s="2">
        <v>49568.048461139202</v>
      </c>
      <c r="AN1477" s="2">
        <v>47367.118173924697</v>
      </c>
      <c r="AO1477" s="2">
        <v>52434.680185805802</v>
      </c>
      <c r="AP1477" s="2">
        <v>53969.445944008199</v>
      </c>
    </row>
    <row r="1478" spans="1:42" ht="14.5" x14ac:dyDescent="0.35">
      <c r="A1478" s="2" t="s">
        <v>10009</v>
      </c>
      <c r="B1478" s="2">
        <v>517.20455816878996</v>
      </c>
      <c r="C1478" s="2">
        <v>5.2493499999999997</v>
      </c>
      <c r="D1478" s="2" t="s">
        <v>34</v>
      </c>
      <c r="E1478" s="2" t="s">
        <v>10010</v>
      </c>
      <c r="F1478" s="2">
        <v>60732</v>
      </c>
      <c r="G1478" s="3" t="str">
        <f>HYPERLINK("http://funmeta.oebiotech.com/network/60732", "http://funmeta.oebiotech.com/network/60732")</f>
        <v>http://funmeta.oebiotech.com/network/60732</v>
      </c>
      <c r="H1478" s="2" t="s">
        <v>10011</v>
      </c>
      <c r="I1478" s="2">
        <v>92060</v>
      </c>
      <c r="J1478" s="2"/>
      <c r="K1478" s="2"/>
      <c r="L1478" s="2"/>
      <c r="M1478" s="2"/>
      <c r="N1478" s="2"/>
      <c r="O1478" s="2">
        <v>131752144</v>
      </c>
      <c r="P1478" s="2" t="s">
        <v>10012</v>
      </c>
      <c r="Q1478" s="2" t="s">
        <v>10013</v>
      </c>
      <c r="R1478" s="2" t="s">
        <v>10014</v>
      </c>
      <c r="S1478" s="2" t="s">
        <v>1184</v>
      </c>
      <c r="T1478" s="2" t="s">
        <v>1185</v>
      </c>
      <c r="U1478" s="2" t="s">
        <v>41</v>
      </c>
      <c r="V1478" s="2" t="s">
        <v>59</v>
      </c>
      <c r="W1478" s="2">
        <v>39.9</v>
      </c>
      <c r="X1478" s="2">
        <v>3.71</v>
      </c>
      <c r="Y1478" s="2" t="s">
        <v>470</v>
      </c>
      <c r="Z1478" s="2" t="s">
        <v>10015</v>
      </c>
      <c r="AA1478" s="2">
        <v>0.283687775804771</v>
      </c>
      <c r="AB1478" s="2">
        <v>0.53674392038192098</v>
      </c>
      <c r="AC1478" s="2">
        <v>157299.71819350799</v>
      </c>
      <c r="AD1478" s="2">
        <v>184943.93709329001</v>
      </c>
      <c r="AE1478" s="2">
        <v>154172.276031191</v>
      </c>
      <c r="AF1478" s="2">
        <v>167817.18512847301</v>
      </c>
      <c r="AG1478" s="2">
        <v>165584.71609526701</v>
      </c>
      <c r="AH1478" s="2">
        <v>139195.97972072399</v>
      </c>
      <c r="AI1478" s="2">
        <v>139863.56201473001</v>
      </c>
      <c r="AJ1478" s="2">
        <v>177164.590170665</v>
      </c>
      <c r="AK1478" s="2">
        <v>172229.53325024201</v>
      </c>
      <c r="AL1478" s="2">
        <v>202816.86789835899</v>
      </c>
      <c r="AM1478" s="2">
        <v>181469.88638636901</v>
      </c>
      <c r="AN1478" s="2">
        <v>203397.10581395699</v>
      </c>
      <c r="AO1478" s="2">
        <v>186554.75436783201</v>
      </c>
      <c r="AP1478" s="2">
        <v>163195.47484298199</v>
      </c>
    </row>
    <row r="1479" spans="1:42" ht="14.5" x14ac:dyDescent="0.35">
      <c r="A1479" s="2" t="s">
        <v>10016</v>
      </c>
      <c r="B1479" s="2">
        <v>587.27065112800597</v>
      </c>
      <c r="C1479" s="2">
        <v>4.1524000000000001</v>
      </c>
      <c r="D1479" s="2" t="s">
        <v>70</v>
      </c>
      <c r="E1479" s="2" t="s">
        <v>10017</v>
      </c>
      <c r="F1479" s="2">
        <v>50888</v>
      </c>
      <c r="G1479" s="3" t="str">
        <f>HYPERLINK("http://funmeta.oebiotech.com/network/50888", "http://funmeta.oebiotech.com/network/50888")</f>
        <v>http://funmeta.oebiotech.com/network/50888</v>
      </c>
      <c r="H1479" s="2" t="s">
        <v>10018</v>
      </c>
      <c r="I1479" s="2">
        <v>61643</v>
      </c>
      <c r="J1479" s="2"/>
      <c r="K1479" s="2">
        <v>88773</v>
      </c>
      <c r="L1479" s="2" t="s">
        <v>1994</v>
      </c>
      <c r="M1479" s="2" t="s">
        <v>1995</v>
      </c>
      <c r="N1479" s="2" t="s">
        <v>1996</v>
      </c>
      <c r="O1479" s="2">
        <v>53480447</v>
      </c>
      <c r="P1479" s="2" t="s">
        <v>10019</v>
      </c>
      <c r="Q1479" s="2" t="s">
        <v>10020</v>
      </c>
      <c r="R1479" s="2" t="s">
        <v>10021</v>
      </c>
      <c r="S1479" s="2" t="s">
        <v>50</v>
      </c>
      <c r="T1479" s="2" t="s">
        <v>124</v>
      </c>
      <c r="U1479" s="2" t="s">
        <v>523</v>
      </c>
      <c r="V1479" s="2" t="s">
        <v>42</v>
      </c>
      <c r="W1479" s="2">
        <v>51.4</v>
      </c>
      <c r="X1479" s="2">
        <v>62.1</v>
      </c>
      <c r="Y1479" s="2" t="s">
        <v>408</v>
      </c>
      <c r="Z1479" s="2" t="s">
        <v>10022</v>
      </c>
      <c r="AA1479" s="2">
        <v>-0.48666305451585401</v>
      </c>
      <c r="AB1479" s="2">
        <v>0.53672178178314101</v>
      </c>
      <c r="AC1479" s="2">
        <v>56522.8443414961</v>
      </c>
      <c r="AD1479" s="2">
        <v>36209.301182848001</v>
      </c>
      <c r="AE1479" s="2">
        <v>47215.8706993511</v>
      </c>
      <c r="AF1479" s="2">
        <v>62587.545357789902</v>
      </c>
      <c r="AG1479" s="2">
        <v>55099.234140765999</v>
      </c>
      <c r="AH1479" s="2">
        <v>59614.970399719103</v>
      </c>
      <c r="AI1479" s="2">
        <v>53153.700173528399</v>
      </c>
      <c r="AJ1479" s="2">
        <v>61465.745277822098</v>
      </c>
      <c r="AK1479" s="2">
        <v>37524.5504307152</v>
      </c>
      <c r="AL1479" s="2">
        <v>34520.158059349596</v>
      </c>
      <c r="AM1479" s="2">
        <v>37900.0587542863</v>
      </c>
      <c r="AN1479" s="2">
        <v>38850.339166432001</v>
      </c>
      <c r="AO1479" s="2">
        <v>33667.678586066002</v>
      </c>
      <c r="AP1479" s="2">
        <v>34793.022100238697</v>
      </c>
    </row>
    <row r="1480" spans="1:42" ht="14.5" x14ac:dyDescent="0.35">
      <c r="A1480" s="2" t="s">
        <v>10023</v>
      </c>
      <c r="B1480" s="2">
        <v>419.15237790065601</v>
      </c>
      <c r="C1480" s="2">
        <v>3.6251333333333302</v>
      </c>
      <c r="D1480" s="2" t="s">
        <v>34</v>
      </c>
      <c r="E1480" s="2" t="s">
        <v>10024</v>
      </c>
      <c r="F1480" s="2">
        <v>63188</v>
      </c>
      <c r="G1480" s="3" t="str">
        <f>HYPERLINK("http://funmeta.oebiotech.com/network/63188", "http://funmeta.oebiotech.com/network/63188")</f>
        <v>http://funmeta.oebiotech.com/network/63188</v>
      </c>
      <c r="H1480" s="2" t="s">
        <v>10025</v>
      </c>
      <c r="I1480" s="2">
        <v>94495</v>
      </c>
      <c r="J1480" s="2"/>
      <c r="K1480" s="2">
        <v>168368</v>
      </c>
      <c r="L1480" s="2"/>
      <c r="M1480" s="2"/>
      <c r="N1480" s="2"/>
      <c r="O1480" s="2">
        <v>74029760</v>
      </c>
      <c r="P1480" s="2" t="s">
        <v>10026</v>
      </c>
      <c r="Q1480" s="2" t="s">
        <v>10027</v>
      </c>
      <c r="R1480" s="2" t="s">
        <v>10028</v>
      </c>
      <c r="S1480" s="2" t="s">
        <v>50</v>
      </c>
      <c r="T1480" s="2" t="s">
        <v>229</v>
      </c>
      <c r="U1480" s="2" t="s">
        <v>230</v>
      </c>
      <c r="V1480" s="2" t="s">
        <v>59</v>
      </c>
      <c r="W1480" s="2">
        <v>46.1</v>
      </c>
      <c r="X1480" s="2">
        <v>34.700000000000003</v>
      </c>
      <c r="Y1480" s="2" t="s">
        <v>323</v>
      </c>
      <c r="Z1480" s="2" t="s">
        <v>10029</v>
      </c>
      <c r="AA1480" s="2">
        <v>-1.1339932799142499E-2</v>
      </c>
      <c r="AB1480" s="2">
        <v>0.53632130615539497</v>
      </c>
      <c r="AC1480" s="2">
        <v>91871.785604335499</v>
      </c>
      <c r="AD1480" s="2">
        <v>112439.629024724</v>
      </c>
      <c r="AE1480" s="2">
        <v>93668.847718249293</v>
      </c>
      <c r="AF1480" s="2">
        <v>90514.872134239995</v>
      </c>
      <c r="AG1480" s="2">
        <v>86812.947417129399</v>
      </c>
      <c r="AH1480" s="2">
        <v>87468.8364642339</v>
      </c>
      <c r="AI1480" s="2">
        <v>94032.763444508295</v>
      </c>
      <c r="AJ1480" s="2">
        <v>98732.446447651993</v>
      </c>
      <c r="AK1480" s="2">
        <v>107473.594336011</v>
      </c>
      <c r="AL1480" s="2">
        <v>106974.584503228</v>
      </c>
      <c r="AM1480" s="2">
        <v>113469.015759837</v>
      </c>
      <c r="AN1480" s="2">
        <v>110933.236033749</v>
      </c>
      <c r="AO1480" s="2">
        <v>114129.714137544</v>
      </c>
      <c r="AP1480" s="2">
        <v>121657.629377972</v>
      </c>
    </row>
    <row r="1481" spans="1:42" ht="14.5" x14ac:dyDescent="0.35">
      <c r="A1481" s="2" t="s">
        <v>10030</v>
      </c>
      <c r="B1481" s="2">
        <v>165.138549459827</v>
      </c>
      <c r="C1481" s="2">
        <v>0.53741666666666699</v>
      </c>
      <c r="D1481" s="2" t="s">
        <v>34</v>
      </c>
      <c r="E1481" s="2" t="s">
        <v>10031</v>
      </c>
      <c r="F1481" s="2">
        <v>199798</v>
      </c>
      <c r="G1481" s="3" t="str">
        <f>HYPERLINK("http://funmeta.oebiotech.com/network/199798", "http://funmeta.oebiotech.com/network/199798")</f>
        <v>http://funmeta.oebiotech.com/network/199798</v>
      </c>
      <c r="H1481" s="2" t="s">
        <v>10032</v>
      </c>
      <c r="I1481" s="2"/>
      <c r="J1481" s="2"/>
      <c r="K1481" s="2"/>
      <c r="L1481" s="2"/>
      <c r="M1481" s="2"/>
      <c r="N1481" s="2"/>
      <c r="O1481" s="2">
        <v>7490</v>
      </c>
      <c r="P1481" s="2"/>
      <c r="Q1481" s="2" t="s">
        <v>10033</v>
      </c>
      <c r="R1481" s="2" t="s">
        <v>10034</v>
      </c>
      <c r="S1481" s="2" t="s">
        <v>1677</v>
      </c>
      <c r="T1481" s="2" t="s">
        <v>1678</v>
      </c>
      <c r="U1481" s="2" t="s">
        <v>1679</v>
      </c>
      <c r="V1481" s="2" t="s">
        <v>59</v>
      </c>
      <c r="W1481" s="2">
        <v>38.200000000000003</v>
      </c>
      <c r="X1481" s="2">
        <v>0.86899999999999999</v>
      </c>
      <c r="Y1481" s="2" t="s">
        <v>440</v>
      </c>
      <c r="Z1481" s="2" t="s">
        <v>10035</v>
      </c>
      <c r="AA1481" s="2">
        <v>-0.45996632187263797</v>
      </c>
      <c r="AB1481" s="2">
        <v>0.536289799269418</v>
      </c>
      <c r="AC1481" s="2">
        <v>24861.939689429499</v>
      </c>
      <c r="AD1481" s="2">
        <v>5676.6432181108603</v>
      </c>
      <c r="AE1481" s="2">
        <v>22597.165869915199</v>
      </c>
      <c r="AF1481" s="2">
        <v>29874.912749848099</v>
      </c>
      <c r="AG1481" s="2">
        <v>24369.132577943401</v>
      </c>
      <c r="AH1481" s="2">
        <v>24049.3887471378</v>
      </c>
      <c r="AI1481" s="2">
        <v>24958.893947701901</v>
      </c>
      <c r="AJ1481" s="2">
        <v>23322.1442440305</v>
      </c>
      <c r="AK1481" s="2">
        <v>5593.9217054910696</v>
      </c>
      <c r="AL1481" s="2">
        <v>6145.1563460534899</v>
      </c>
      <c r="AM1481" s="2">
        <v>4763.88967780658</v>
      </c>
      <c r="AN1481" s="2">
        <v>4725.3116754795001</v>
      </c>
      <c r="AO1481" s="2">
        <v>5234.94110964429</v>
      </c>
      <c r="AP1481" s="2">
        <v>7596.6387941902603</v>
      </c>
    </row>
    <row r="1482" spans="1:42" ht="14.5" x14ac:dyDescent="0.35">
      <c r="A1482" s="2" t="s">
        <v>10036</v>
      </c>
      <c r="B1482" s="2">
        <v>145.027649412616</v>
      </c>
      <c r="C1482" s="2">
        <v>4.1877333333333304</v>
      </c>
      <c r="D1482" s="2" t="s">
        <v>70</v>
      </c>
      <c r="E1482" s="2" t="s">
        <v>10037</v>
      </c>
      <c r="F1482" s="2">
        <v>204060</v>
      </c>
      <c r="G1482" s="3" t="str">
        <f>HYPERLINK("http://funmeta.oebiotech.com/network/204060", "http://funmeta.oebiotech.com/network/204060")</f>
        <v>http://funmeta.oebiotech.com/network/204060</v>
      </c>
      <c r="H1482" s="2" t="s">
        <v>10038</v>
      </c>
      <c r="I1482" s="2"/>
      <c r="J1482" s="2"/>
      <c r="K1482" s="2">
        <v>36810</v>
      </c>
      <c r="L1482" s="2"/>
      <c r="M1482" s="2"/>
      <c r="N1482" s="2"/>
      <c r="O1482" s="2">
        <v>7368</v>
      </c>
      <c r="P1482" s="2"/>
      <c r="Q1482" s="2" t="s">
        <v>10039</v>
      </c>
      <c r="R1482" s="2" t="s">
        <v>10040</v>
      </c>
      <c r="S1482" s="2" t="s">
        <v>148</v>
      </c>
      <c r="T1482" s="2" t="s">
        <v>149</v>
      </c>
      <c r="U1482" s="2" t="s">
        <v>10041</v>
      </c>
      <c r="V1482" s="2" t="s">
        <v>59</v>
      </c>
      <c r="W1482" s="2">
        <v>38.700000000000003</v>
      </c>
      <c r="X1482" s="2">
        <v>0</v>
      </c>
      <c r="Y1482" s="2" t="s">
        <v>118</v>
      </c>
      <c r="Z1482" s="2" t="s">
        <v>10042</v>
      </c>
      <c r="AA1482" s="2">
        <v>4.0471596428546501</v>
      </c>
      <c r="AB1482" s="2">
        <v>0.53582596259750004</v>
      </c>
      <c r="AC1482" s="2">
        <v>81543.021847316806</v>
      </c>
      <c r="AD1482" s="2">
        <v>62465.0567224681</v>
      </c>
      <c r="AE1482" s="2">
        <v>81829.788872930294</v>
      </c>
      <c r="AF1482" s="2">
        <v>80960.421319219298</v>
      </c>
      <c r="AG1482" s="2">
        <v>81645.120384268899</v>
      </c>
      <c r="AH1482" s="2">
        <v>80981.007504020206</v>
      </c>
      <c r="AI1482" s="2">
        <v>79793.212698094896</v>
      </c>
      <c r="AJ1482" s="2">
        <v>84048.580305366995</v>
      </c>
      <c r="AK1482" s="2">
        <v>63636.521543083698</v>
      </c>
      <c r="AL1482" s="2">
        <v>61507.846240614803</v>
      </c>
      <c r="AM1482" s="2">
        <v>65301.5661502968</v>
      </c>
      <c r="AN1482" s="2">
        <v>59728.479018345497</v>
      </c>
      <c r="AO1482" s="2">
        <v>63406.1005734508</v>
      </c>
      <c r="AP1482" s="2">
        <v>61209.826809017199</v>
      </c>
    </row>
    <row r="1483" spans="1:42" ht="14.5" x14ac:dyDescent="0.35">
      <c r="A1483" s="2" t="s">
        <v>10043</v>
      </c>
      <c r="B1483" s="2">
        <v>204.12305872304799</v>
      </c>
      <c r="C1483" s="2">
        <v>1.06171666666667</v>
      </c>
      <c r="D1483" s="2" t="s">
        <v>34</v>
      </c>
      <c r="E1483" s="2" t="s">
        <v>10044</v>
      </c>
      <c r="F1483" s="2">
        <v>46926</v>
      </c>
      <c r="G1483" s="3" t="str">
        <f>HYPERLINK("http://funmeta.oebiotech.com/network/46926", "http://funmeta.oebiotech.com/network/46926")</f>
        <v>http://funmeta.oebiotech.com/network/46926</v>
      </c>
      <c r="H1483" s="2" t="s">
        <v>10045</v>
      </c>
      <c r="I1483" s="2"/>
      <c r="J1483" s="2"/>
      <c r="K1483" s="2">
        <v>57589</v>
      </c>
      <c r="L1483" s="2"/>
      <c r="M1483" s="2"/>
      <c r="N1483" s="2"/>
      <c r="O1483" s="2"/>
      <c r="P1483" s="2" t="s">
        <v>10046</v>
      </c>
      <c r="Q1483" s="2" t="s">
        <v>10047</v>
      </c>
      <c r="R1483" s="2" t="s">
        <v>10048</v>
      </c>
      <c r="S1483" s="2" t="s">
        <v>50</v>
      </c>
      <c r="T1483" s="2" t="s">
        <v>229</v>
      </c>
      <c r="U1483" s="2" t="s">
        <v>1914</v>
      </c>
      <c r="V1483" s="2" t="s">
        <v>59</v>
      </c>
      <c r="W1483" s="2">
        <v>43.9</v>
      </c>
      <c r="X1483" s="2">
        <v>22.3</v>
      </c>
      <c r="Y1483" s="2" t="s">
        <v>394</v>
      </c>
      <c r="Z1483" s="2" t="s">
        <v>10049</v>
      </c>
      <c r="AA1483" s="2">
        <v>0.11945315319589001</v>
      </c>
      <c r="AB1483" s="2">
        <v>0.53577200324479801</v>
      </c>
      <c r="AC1483" s="2">
        <v>21745.8075327601</v>
      </c>
      <c r="AD1483" s="2">
        <v>2718.6139618911998</v>
      </c>
      <c r="AE1483" s="2">
        <v>25573.495823006298</v>
      </c>
      <c r="AF1483" s="2">
        <v>22098.0639175424</v>
      </c>
      <c r="AG1483" s="2">
        <v>19734.037959204001</v>
      </c>
      <c r="AH1483" s="2">
        <v>22310.042782156299</v>
      </c>
      <c r="AI1483" s="2">
        <v>19260.041084754699</v>
      </c>
      <c r="AJ1483" s="2">
        <v>21499.163629897001</v>
      </c>
      <c r="AK1483" s="2">
        <v>2672.9338521442101</v>
      </c>
      <c r="AL1483" s="2">
        <v>2653.7128518449399</v>
      </c>
      <c r="AM1483" s="2">
        <v>2949.1397658999099</v>
      </c>
      <c r="AN1483" s="2">
        <v>3097.16395904306</v>
      </c>
      <c r="AO1483" s="2">
        <v>2481.5987270588298</v>
      </c>
      <c r="AP1483" s="2">
        <v>2457.1346153562599</v>
      </c>
    </row>
    <row r="1484" spans="1:42" ht="14.5" x14ac:dyDescent="0.35">
      <c r="A1484" s="2" t="s">
        <v>10050</v>
      </c>
      <c r="B1484" s="2">
        <v>612.35320298535498</v>
      </c>
      <c r="C1484" s="2">
        <v>6.1811833333333297</v>
      </c>
      <c r="D1484" s="2" t="s">
        <v>34</v>
      </c>
      <c r="E1484" s="2" t="s">
        <v>10051</v>
      </c>
      <c r="F1484" s="2">
        <v>28026</v>
      </c>
      <c r="G1484" s="3" t="str">
        <f>HYPERLINK("http://funmeta.oebiotech.com/network/28026", "http://funmeta.oebiotech.com/network/28026")</f>
        <v>http://funmeta.oebiotech.com/network/28026</v>
      </c>
      <c r="H1484" s="2"/>
      <c r="I1484" s="2"/>
      <c r="J1484" s="2" t="s">
        <v>10052</v>
      </c>
      <c r="K1484" s="2"/>
      <c r="L1484" s="2"/>
      <c r="M1484" s="2"/>
      <c r="N1484" s="2"/>
      <c r="O1484" s="2">
        <v>134812472</v>
      </c>
      <c r="P1484" s="2"/>
      <c r="Q1484" s="2" t="s">
        <v>10053</v>
      </c>
      <c r="R1484" s="2" t="s">
        <v>10054</v>
      </c>
      <c r="S1484" s="2" t="s">
        <v>50</v>
      </c>
      <c r="T1484" s="2" t="s">
        <v>51</v>
      </c>
      <c r="U1484" s="2" t="s">
        <v>738</v>
      </c>
      <c r="V1484" s="2" t="s">
        <v>59</v>
      </c>
      <c r="W1484" s="2">
        <v>43.2</v>
      </c>
      <c r="X1484" s="2">
        <v>27.5</v>
      </c>
      <c r="Y1484" s="2" t="s">
        <v>43</v>
      </c>
      <c r="Z1484" s="2" t="s">
        <v>10055</v>
      </c>
      <c r="AA1484" s="2">
        <v>4.1701230916523198</v>
      </c>
      <c r="AB1484" s="2">
        <v>0.53551898740889803</v>
      </c>
      <c r="AC1484" s="2">
        <v>94657.617518844301</v>
      </c>
      <c r="AD1484" s="2">
        <v>118240.773657524</v>
      </c>
      <c r="AE1484" s="2">
        <v>95104.016411889301</v>
      </c>
      <c r="AF1484" s="2">
        <v>105330.09473084001</v>
      </c>
      <c r="AG1484" s="2">
        <v>96949.926942079197</v>
      </c>
      <c r="AH1484" s="2">
        <v>84975.783196641802</v>
      </c>
      <c r="AI1484" s="2">
        <v>85071.234552361799</v>
      </c>
      <c r="AJ1484" s="2">
        <v>100514.64927925399</v>
      </c>
      <c r="AK1484" s="2">
        <v>97983.521021243301</v>
      </c>
      <c r="AL1484" s="2">
        <v>122405.022631888</v>
      </c>
      <c r="AM1484" s="2">
        <v>119364.152712442</v>
      </c>
      <c r="AN1484" s="2">
        <v>118493.243518319</v>
      </c>
      <c r="AO1484" s="2">
        <v>130365.45835222</v>
      </c>
      <c r="AP1484" s="2">
        <v>120833.243709029</v>
      </c>
    </row>
    <row r="1485" spans="1:42" ht="14.5" x14ac:dyDescent="0.35">
      <c r="A1485" s="2" t="s">
        <v>10056</v>
      </c>
      <c r="B1485" s="2">
        <v>753.40592393485201</v>
      </c>
      <c r="C1485" s="2">
        <v>9.8517499999999991</v>
      </c>
      <c r="D1485" s="2" t="s">
        <v>70</v>
      </c>
      <c r="E1485" s="2" t="s">
        <v>10057</v>
      </c>
      <c r="F1485" s="2">
        <v>44521</v>
      </c>
      <c r="G1485" s="3" t="str">
        <f>HYPERLINK("http://funmeta.oebiotech.com/network/44521", "http://funmeta.oebiotech.com/network/44521")</f>
        <v>http://funmeta.oebiotech.com/network/44521</v>
      </c>
      <c r="H1485" s="2"/>
      <c r="I1485" s="2"/>
      <c r="J1485" s="2" t="s">
        <v>10058</v>
      </c>
      <c r="K1485" s="2"/>
      <c r="L1485" s="2"/>
      <c r="M1485" s="2"/>
      <c r="N1485" s="2"/>
      <c r="O1485" s="2">
        <v>52931463</v>
      </c>
      <c r="P1485" s="2"/>
      <c r="Q1485" s="2" t="s">
        <v>10059</v>
      </c>
      <c r="R1485" s="2" t="s">
        <v>10060</v>
      </c>
      <c r="S1485" s="2" t="s">
        <v>50</v>
      </c>
      <c r="T1485" s="2" t="s">
        <v>124</v>
      </c>
      <c r="U1485" s="2" t="s">
        <v>523</v>
      </c>
      <c r="V1485" s="2" t="s">
        <v>59</v>
      </c>
      <c r="W1485" s="2">
        <v>44</v>
      </c>
      <c r="X1485" s="2">
        <v>30.4</v>
      </c>
      <c r="Y1485" s="2" t="s">
        <v>751</v>
      </c>
      <c r="Z1485" s="2" t="s">
        <v>10061</v>
      </c>
      <c r="AA1485" s="2">
        <v>-0.97911317698169598</v>
      </c>
      <c r="AB1485" s="2">
        <v>0.535472443266654</v>
      </c>
      <c r="AC1485" s="2">
        <v>95584.089365228501</v>
      </c>
      <c r="AD1485" s="2">
        <v>115811.33925816399</v>
      </c>
      <c r="AE1485" s="2">
        <v>92889.371348266694</v>
      </c>
      <c r="AF1485" s="2">
        <v>90955.086525976207</v>
      </c>
      <c r="AG1485" s="2">
        <v>91059.435593492293</v>
      </c>
      <c r="AH1485" s="2">
        <v>95355.470474639107</v>
      </c>
      <c r="AI1485" s="2">
        <v>101346.03656059199</v>
      </c>
      <c r="AJ1485" s="2">
        <v>101899.135688405</v>
      </c>
      <c r="AK1485" s="2">
        <v>115778.490072156</v>
      </c>
      <c r="AL1485" s="2">
        <v>112569.447681209</v>
      </c>
      <c r="AM1485" s="2">
        <v>110118.54473746</v>
      </c>
      <c r="AN1485" s="2">
        <v>115699.53996828401</v>
      </c>
      <c r="AO1485" s="2">
        <v>120014.24043769699</v>
      </c>
      <c r="AP1485" s="2">
        <v>120687.772652178</v>
      </c>
    </row>
    <row r="1486" spans="1:42" ht="14.5" x14ac:dyDescent="0.35">
      <c r="A1486" s="2" t="s">
        <v>10062</v>
      </c>
      <c r="B1486" s="2">
        <v>212.842479047045</v>
      </c>
      <c r="C1486" s="2">
        <v>0.66754999999999998</v>
      </c>
      <c r="D1486" s="2" t="s">
        <v>34</v>
      </c>
      <c r="E1486" s="2" t="s">
        <v>10063</v>
      </c>
      <c r="F1486" s="2">
        <v>256400</v>
      </c>
      <c r="G1486" s="3" t="str">
        <f>HYPERLINK("http://funmeta.oebiotech.com/network/256400", "http://funmeta.oebiotech.com/network/256400")</f>
        <v>http://funmeta.oebiotech.com/network/256400</v>
      </c>
      <c r="H1486" s="2" t="s">
        <v>10064</v>
      </c>
      <c r="I1486" s="2"/>
      <c r="J1486" s="2"/>
      <c r="K1486" s="2">
        <v>32036</v>
      </c>
      <c r="L1486" s="2" t="s">
        <v>10065</v>
      </c>
      <c r="M1486" s="2"/>
      <c r="N1486" s="2"/>
      <c r="O1486" s="2">
        <v>24507</v>
      </c>
      <c r="P1486" s="2"/>
      <c r="Q1486" s="2" t="s">
        <v>10066</v>
      </c>
      <c r="R1486" s="2" t="s">
        <v>10067</v>
      </c>
      <c r="S1486" s="2" t="s">
        <v>7696</v>
      </c>
      <c r="T1486" s="2" t="s">
        <v>7697</v>
      </c>
      <c r="U1486" s="2" t="s">
        <v>10068</v>
      </c>
      <c r="V1486" s="2" t="s">
        <v>59</v>
      </c>
      <c r="W1486" s="2">
        <v>36.1</v>
      </c>
      <c r="X1486" s="2">
        <v>0</v>
      </c>
      <c r="Y1486" s="2" t="s">
        <v>568</v>
      </c>
      <c r="Z1486" s="2" t="s">
        <v>10069</v>
      </c>
      <c r="AA1486" s="2">
        <v>1.0244403233708099</v>
      </c>
      <c r="AB1486" s="2">
        <v>0.53383758169884399</v>
      </c>
      <c r="AC1486" s="2">
        <v>29798.423754822899</v>
      </c>
      <c r="AD1486" s="2">
        <v>49922.911523784998</v>
      </c>
      <c r="AE1486" s="2">
        <v>25427.567769391298</v>
      </c>
      <c r="AF1486" s="2">
        <v>31039.287689660901</v>
      </c>
      <c r="AG1486" s="2">
        <v>29807.6492703365</v>
      </c>
      <c r="AH1486" s="2">
        <v>33278.267606809102</v>
      </c>
      <c r="AI1486" s="2">
        <v>28284.380438436099</v>
      </c>
      <c r="AJ1486" s="2">
        <v>30953.3897543034</v>
      </c>
      <c r="AK1486" s="2">
        <v>52772.207180033802</v>
      </c>
      <c r="AL1486" s="2">
        <v>47356.7617958923</v>
      </c>
      <c r="AM1486" s="2">
        <v>50515.494720184899</v>
      </c>
      <c r="AN1486" s="2">
        <v>59124.780438387301</v>
      </c>
      <c r="AO1486" s="2">
        <v>42660.991402196902</v>
      </c>
      <c r="AP1486" s="2">
        <v>47107.233606014597</v>
      </c>
    </row>
    <row r="1487" spans="1:42" ht="14.5" x14ac:dyDescent="0.35">
      <c r="A1487" s="2" t="s">
        <v>10070</v>
      </c>
      <c r="B1487" s="2">
        <v>511.158727022108</v>
      </c>
      <c r="C1487" s="2">
        <v>4.25878333333333</v>
      </c>
      <c r="D1487" s="2" t="s">
        <v>70</v>
      </c>
      <c r="E1487" s="2" t="s">
        <v>10071</v>
      </c>
      <c r="F1487" s="2">
        <v>32489</v>
      </c>
      <c r="G1487" s="3" t="str">
        <f>HYPERLINK("http://funmeta.oebiotech.com/network/32489", "http://funmeta.oebiotech.com/network/32489")</f>
        <v>http://funmeta.oebiotech.com/network/32489</v>
      </c>
      <c r="H1487" s="2"/>
      <c r="I1487" s="2"/>
      <c r="J1487" s="2" t="s">
        <v>10072</v>
      </c>
      <c r="K1487" s="2"/>
      <c r="L1487" s="2"/>
      <c r="M1487" s="2"/>
      <c r="N1487" s="2"/>
      <c r="O1487" s="2">
        <v>102471953</v>
      </c>
      <c r="P1487" s="2"/>
      <c r="Q1487" s="2" t="s">
        <v>10073</v>
      </c>
      <c r="R1487" s="2" t="s">
        <v>10074</v>
      </c>
      <c r="S1487" s="2" t="s">
        <v>115</v>
      </c>
      <c r="T1487" s="2" t="s">
        <v>139</v>
      </c>
      <c r="U1487" s="2" t="s">
        <v>140</v>
      </c>
      <c r="V1487" s="2" t="s">
        <v>59</v>
      </c>
      <c r="W1487" s="2">
        <v>37.1</v>
      </c>
      <c r="X1487" s="2">
        <v>13.1</v>
      </c>
      <c r="Y1487" s="2" t="s">
        <v>751</v>
      </c>
      <c r="Z1487" s="2" t="s">
        <v>10075</v>
      </c>
      <c r="AA1487" s="2">
        <v>-4.2318461288919504</v>
      </c>
      <c r="AB1487" s="2">
        <v>0.53361982292075805</v>
      </c>
      <c r="AC1487" s="2">
        <v>61482.748135175403</v>
      </c>
      <c r="AD1487" s="2">
        <v>41833.782613362499</v>
      </c>
      <c r="AE1487" s="2">
        <v>63292.913634662</v>
      </c>
      <c r="AF1487" s="2">
        <v>60561.095811045998</v>
      </c>
      <c r="AG1487" s="2">
        <v>60825.473319124401</v>
      </c>
      <c r="AH1487" s="2">
        <v>61721.833586222398</v>
      </c>
      <c r="AI1487" s="2">
        <v>55415.370548505001</v>
      </c>
      <c r="AJ1487" s="2">
        <v>67079.801911492294</v>
      </c>
      <c r="AK1487" s="2">
        <v>38485.108361732098</v>
      </c>
      <c r="AL1487" s="2">
        <v>40927.041313237904</v>
      </c>
      <c r="AM1487" s="2">
        <v>42639.377923589003</v>
      </c>
      <c r="AN1487" s="2">
        <v>47988.516883996002</v>
      </c>
      <c r="AO1487" s="2">
        <v>40468.805869679898</v>
      </c>
      <c r="AP1487" s="2">
        <v>40493.845327940202</v>
      </c>
    </row>
    <row r="1488" spans="1:42" ht="14.5" x14ac:dyDescent="0.35">
      <c r="A1488" s="2" t="s">
        <v>10076</v>
      </c>
      <c r="B1488" s="2">
        <v>513.176302683735</v>
      </c>
      <c r="C1488" s="2">
        <v>7.4513499999999997</v>
      </c>
      <c r="D1488" s="2" t="s">
        <v>70</v>
      </c>
      <c r="E1488" s="2" t="s">
        <v>10077</v>
      </c>
      <c r="F1488" s="2">
        <v>61591</v>
      </c>
      <c r="G1488" s="3" t="str">
        <f>HYPERLINK("http://funmeta.oebiotech.com/network/61591", "http://funmeta.oebiotech.com/network/61591")</f>
        <v>http://funmeta.oebiotech.com/network/61591</v>
      </c>
      <c r="H1488" s="2" t="s">
        <v>10078</v>
      </c>
      <c r="I1488" s="2"/>
      <c r="J1488" s="2"/>
      <c r="K1488" s="2"/>
      <c r="L1488" s="2"/>
      <c r="M1488" s="2"/>
      <c r="N1488" s="2"/>
      <c r="O1488" s="2"/>
      <c r="P1488" s="2" t="s">
        <v>10079</v>
      </c>
      <c r="Q1488" s="2" t="s">
        <v>10080</v>
      </c>
      <c r="R1488" s="2" t="s">
        <v>10081</v>
      </c>
      <c r="S1488" s="2" t="s">
        <v>50</v>
      </c>
      <c r="T1488" s="2" t="s">
        <v>124</v>
      </c>
      <c r="U1488" s="2" t="s">
        <v>567</v>
      </c>
      <c r="V1488" s="2" t="s">
        <v>59</v>
      </c>
      <c r="W1488" s="2">
        <v>41.6</v>
      </c>
      <c r="X1488" s="2">
        <v>11.7</v>
      </c>
      <c r="Y1488" s="2" t="s">
        <v>408</v>
      </c>
      <c r="Z1488" s="2" t="s">
        <v>10082</v>
      </c>
      <c r="AA1488" s="2">
        <v>-0.67931517816502296</v>
      </c>
      <c r="AB1488" s="2">
        <v>0.53342866460843097</v>
      </c>
      <c r="AC1488" s="2">
        <v>41142.689076150302</v>
      </c>
      <c r="AD1488" s="2">
        <v>22190.414064619901</v>
      </c>
      <c r="AE1488" s="2">
        <v>42079.385416336903</v>
      </c>
      <c r="AF1488" s="2">
        <v>40248.294996908196</v>
      </c>
      <c r="AG1488" s="2">
        <v>38940.891104596798</v>
      </c>
      <c r="AH1488" s="2">
        <v>44226.818386602303</v>
      </c>
      <c r="AI1488" s="2">
        <v>39571.697487834303</v>
      </c>
      <c r="AJ1488" s="2">
        <v>41789.047064623301</v>
      </c>
      <c r="AK1488" s="2">
        <v>20395.524475083701</v>
      </c>
      <c r="AL1488" s="2">
        <v>24568.880964152999</v>
      </c>
      <c r="AM1488" s="2">
        <v>21517.140362239799</v>
      </c>
      <c r="AN1488" s="2">
        <v>21229.645487312999</v>
      </c>
      <c r="AO1488" s="2">
        <v>20993.667293049701</v>
      </c>
      <c r="AP1488" s="2">
        <v>24437.6258058805</v>
      </c>
    </row>
    <row r="1489" spans="1:42" ht="14.5" x14ac:dyDescent="0.35">
      <c r="A1489" s="2" t="s">
        <v>10083</v>
      </c>
      <c r="B1489" s="2">
        <v>379.176192625986</v>
      </c>
      <c r="C1489" s="2">
        <v>5.4873666666666701</v>
      </c>
      <c r="D1489" s="2" t="s">
        <v>70</v>
      </c>
      <c r="E1489" s="2" t="s">
        <v>10084</v>
      </c>
      <c r="F1489" s="2">
        <v>199074</v>
      </c>
      <c r="G1489" s="3" t="str">
        <f>HYPERLINK("http://funmeta.oebiotech.com/network/199074", "http://funmeta.oebiotech.com/network/199074")</f>
        <v>http://funmeta.oebiotech.com/network/199074</v>
      </c>
      <c r="H1489" s="2" t="s">
        <v>10085</v>
      </c>
      <c r="I1489" s="2"/>
      <c r="J1489" s="2"/>
      <c r="K1489" s="2"/>
      <c r="L1489" s="2"/>
      <c r="M1489" s="2"/>
      <c r="N1489" s="2"/>
      <c r="O1489" s="2">
        <v>160303</v>
      </c>
      <c r="P1489" s="2"/>
      <c r="Q1489" s="2" t="s">
        <v>10086</v>
      </c>
      <c r="R1489" s="2" t="s">
        <v>10087</v>
      </c>
      <c r="S1489" s="2" t="s">
        <v>79</v>
      </c>
      <c r="T1489" s="2" t="s">
        <v>80</v>
      </c>
      <c r="U1489" s="2" t="s">
        <v>81</v>
      </c>
      <c r="V1489" s="2" t="s">
        <v>42</v>
      </c>
      <c r="W1489" s="2">
        <v>53.1</v>
      </c>
      <c r="X1489" s="2">
        <v>72.2</v>
      </c>
      <c r="Y1489" s="2" t="s">
        <v>751</v>
      </c>
      <c r="Z1489" s="2" t="s">
        <v>10088</v>
      </c>
      <c r="AA1489" s="2">
        <v>-8.58189432028994E-2</v>
      </c>
      <c r="AB1489" s="2">
        <v>0.53295107298189803</v>
      </c>
      <c r="AC1489" s="2">
        <v>22191.877474109999</v>
      </c>
      <c r="AD1489" s="2">
        <v>3467.15702003447</v>
      </c>
      <c r="AE1489" s="2">
        <v>23930.690741407601</v>
      </c>
      <c r="AF1489" s="2">
        <v>20571.8232330385</v>
      </c>
      <c r="AG1489" s="2">
        <v>23327.543258757301</v>
      </c>
      <c r="AH1489" s="2">
        <v>23192.024643716999</v>
      </c>
      <c r="AI1489" s="2">
        <v>20916.455524070901</v>
      </c>
      <c r="AJ1489" s="2">
        <v>21212.727443668398</v>
      </c>
      <c r="AK1489" s="2">
        <v>2657.1195274694501</v>
      </c>
      <c r="AL1489" s="2">
        <v>3868.3891743155</v>
      </c>
      <c r="AM1489" s="2">
        <v>3758.5857023915</v>
      </c>
      <c r="AN1489" s="2">
        <v>2831.6878646149698</v>
      </c>
      <c r="AO1489" s="2">
        <v>3710.9576293826399</v>
      </c>
      <c r="AP1489" s="2">
        <v>3976.2022220327499</v>
      </c>
    </row>
    <row r="1490" spans="1:42" ht="14.5" x14ac:dyDescent="0.35">
      <c r="A1490" s="2" t="s">
        <v>10089</v>
      </c>
      <c r="B1490" s="2">
        <v>642.36232681677905</v>
      </c>
      <c r="C1490" s="2">
        <v>8.5996166666666696</v>
      </c>
      <c r="D1490" s="2" t="s">
        <v>34</v>
      </c>
      <c r="E1490" s="2" t="s">
        <v>10090</v>
      </c>
      <c r="F1490" s="2">
        <v>24887</v>
      </c>
      <c r="G1490" s="3" t="str">
        <f>HYPERLINK("http://funmeta.oebiotech.com/network/24887", "http://funmeta.oebiotech.com/network/24887")</f>
        <v>http://funmeta.oebiotech.com/network/24887</v>
      </c>
      <c r="H1490" s="2"/>
      <c r="I1490" s="2"/>
      <c r="J1490" s="2" t="s">
        <v>10091</v>
      </c>
      <c r="K1490" s="2"/>
      <c r="L1490" s="2"/>
      <c r="M1490" s="2"/>
      <c r="N1490" s="2"/>
      <c r="O1490" s="2">
        <v>52928615</v>
      </c>
      <c r="P1490" s="2"/>
      <c r="Q1490" s="2" t="s">
        <v>10092</v>
      </c>
      <c r="R1490" s="2" t="s">
        <v>10093</v>
      </c>
      <c r="S1490" s="2" t="s">
        <v>50</v>
      </c>
      <c r="T1490" s="2" t="s">
        <v>51</v>
      </c>
      <c r="U1490" s="2" t="s">
        <v>52</v>
      </c>
      <c r="V1490" s="2" t="s">
        <v>59</v>
      </c>
      <c r="W1490" s="2">
        <v>43.2</v>
      </c>
      <c r="X1490" s="2">
        <v>25</v>
      </c>
      <c r="Y1490" s="2" t="s">
        <v>43</v>
      </c>
      <c r="Z1490" s="2" t="s">
        <v>10094</v>
      </c>
      <c r="AA1490" s="2">
        <v>1.66182397763407</v>
      </c>
      <c r="AB1490" s="2">
        <v>0.53279448899487103</v>
      </c>
      <c r="AC1490" s="2">
        <v>28541.720122350402</v>
      </c>
      <c r="AD1490" s="2">
        <v>48077.824733745198</v>
      </c>
      <c r="AE1490" s="2">
        <v>30826.249276121001</v>
      </c>
      <c r="AF1490" s="2">
        <v>25801.811056571602</v>
      </c>
      <c r="AG1490" s="2">
        <v>33167.395734828802</v>
      </c>
      <c r="AH1490" s="2">
        <v>26507.1429917932</v>
      </c>
      <c r="AI1490" s="2">
        <v>30746.824010643999</v>
      </c>
      <c r="AJ1490" s="2">
        <v>24200.897664143598</v>
      </c>
      <c r="AK1490" s="2">
        <v>52991.313124457098</v>
      </c>
      <c r="AL1490" s="2">
        <v>42924.800115197599</v>
      </c>
      <c r="AM1490" s="2">
        <v>49263.865936642098</v>
      </c>
      <c r="AN1490" s="2">
        <v>48713.2687916012</v>
      </c>
      <c r="AO1490" s="2">
        <v>48584.3083496463</v>
      </c>
      <c r="AP1490" s="2">
        <v>45989.392084927102</v>
      </c>
    </row>
    <row r="1491" spans="1:42" ht="14.5" x14ac:dyDescent="0.35">
      <c r="A1491" s="2" t="s">
        <v>10095</v>
      </c>
      <c r="B1491" s="2">
        <v>691.14869062789001</v>
      </c>
      <c r="C1491" s="2">
        <v>4.8264500000000004</v>
      </c>
      <c r="D1491" s="2" t="s">
        <v>70</v>
      </c>
      <c r="E1491" s="2" t="s">
        <v>10096</v>
      </c>
      <c r="F1491" s="2">
        <v>30409</v>
      </c>
      <c r="G1491" s="3" t="str">
        <f>HYPERLINK("http://funmeta.oebiotech.com/network/30409", "http://funmeta.oebiotech.com/network/30409")</f>
        <v>http://funmeta.oebiotech.com/network/30409</v>
      </c>
      <c r="H1491" s="2"/>
      <c r="I1491" s="2"/>
      <c r="J1491" s="2" t="s">
        <v>10097</v>
      </c>
      <c r="K1491" s="2"/>
      <c r="L1491" s="2"/>
      <c r="M1491" s="2"/>
      <c r="N1491" s="2"/>
      <c r="O1491" s="2">
        <v>101243496</v>
      </c>
      <c r="P1491" s="2"/>
      <c r="Q1491" s="2" t="s">
        <v>10098</v>
      </c>
      <c r="R1491" s="2" t="s">
        <v>10099</v>
      </c>
      <c r="S1491" s="2" t="s">
        <v>115</v>
      </c>
      <c r="T1491" s="2" t="s">
        <v>139</v>
      </c>
      <c r="U1491" s="2" t="s">
        <v>140</v>
      </c>
      <c r="V1491" s="2" t="s">
        <v>59</v>
      </c>
      <c r="W1491" s="2">
        <v>37.299999999999997</v>
      </c>
      <c r="X1491" s="2">
        <v>0</v>
      </c>
      <c r="Y1491" s="2" t="s">
        <v>751</v>
      </c>
      <c r="Z1491" s="2" t="s">
        <v>10100</v>
      </c>
      <c r="AA1491" s="2">
        <v>-4.0794689434210696</v>
      </c>
      <c r="AB1491" s="2">
        <v>0.53232263196528895</v>
      </c>
      <c r="AC1491" s="2">
        <v>66404.320547444804</v>
      </c>
      <c r="AD1491" s="2">
        <v>86092.115831149305</v>
      </c>
      <c r="AE1491" s="2">
        <v>65792.0576396385</v>
      </c>
      <c r="AF1491" s="2">
        <v>63685.413360933802</v>
      </c>
      <c r="AG1491" s="2">
        <v>69624.428119801101</v>
      </c>
      <c r="AH1491" s="2">
        <v>64548.930241892704</v>
      </c>
      <c r="AI1491" s="2">
        <v>71835.861340555406</v>
      </c>
      <c r="AJ1491" s="2">
        <v>62939.232581847602</v>
      </c>
      <c r="AK1491" s="2">
        <v>81237.654344607596</v>
      </c>
      <c r="AL1491" s="2">
        <v>85600.196041532006</v>
      </c>
      <c r="AM1491" s="2">
        <v>87415.263624771906</v>
      </c>
      <c r="AN1491" s="2">
        <v>82655.255502453903</v>
      </c>
      <c r="AO1491" s="2">
        <v>93133.441862870299</v>
      </c>
      <c r="AP1491" s="2">
        <v>86510.883610659905</v>
      </c>
    </row>
    <row r="1492" spans="1:42" ht="14.5" x14ac:dyDescent="0.35">
      <c r="A1492" s="2" t="s">
        <v>10101</v>
      </c>
      <c r="B1492" s="2">
        <v>695.288280758513</v>
      </c>
      <c r="C1492" s="2">
        <v>5.4047833333333299</v>
      </c>
      <c r="D1492" s="2" t="s">
        <v>34</v>
      </c>
      <c r="E1492" s="2" t="s">
        <v>10102</v>
      </c>
      <c r="F1492" s="2">
        <v>35928</v>
      </c>
      <c r="G1492" s="3" t="str">
        <f>HYPERLINK("http://funmeta.oebiotech.com/network/35928", "http://funmeta.oebiotech.com/network/35928")</f>
        <v>http://funmeta.oebiotech.com/network/35928</v>
      </c>
      <c r="H1492" s="2"/>
      <c r="I1492" s="2"/>
      <c r="J1492" s="2" t="s">
        <v>10103</v>
      </c>
      <c r="K1492" s="2"/>
      <c r="L1492" s="2"/>
      <c r="M1492" s="2"/>
      <c r="N1492" s="2"/>
      <c r="O1492" s="2"/>
      <c r="P1492" s="2"/>
      <c r="Q1492" s="2" t="s">
        <v>10104</v>
      </c>
      <c r="R1492" s="2" t="s">
        <v>10105</v>
      </c>
      <c r="S1492" s="2" t="s">
        <v>50</v>
      </c>
      <c r="T1492" s="2" t="s">
        <v>201</v>
      </c>
      <c r="U1492" s="2" t="s">
        <v>202</v>
      </c>
      <c r="V1492" s="2" t="s">
        <v>59</v>
      </c>
      <c r="W1492" s="2">
        <v>45.3</v>
      </c>
      <c r="X1492" s="2">
        <v>32.9</v>
      </c>
      <c r="Y1492" s="2" t="s">
        <v>323</v>
      </c>
      <c r="Z1492" s="2" t="s">
        <v>6012</v>
      </c>
      <c r="AA1492" s="2">
        <v>-0.38785439521192</v>
      </c>
      <c r="AB1492" s="2">
        <v>0.53130693654417305</v>
      </c>
      <c r="AC1492" s="2">
        <v>106165.88097537799</v>
      </c>
      <c r="AD1492" s="2">
        <v>85167.038712872803</v>
      </c>
      <c r="AE1492" s="2">
        <v>102046.39014528399</v>
      </c>
      <c r="AF1492" s="2">
        <v>105930.58266350201</v>
      </c>
      <c r="AG1492" s="2">
        <v>100386.75307874</v>
      </c>
      <c r="AH1492" s="2">
        <v>101098.576818644</v>
      </c>
      <c r="AI1492" s="2">
        <v>106133.492276676</v>
      </c>
      <c r="AJ1492" s="2">
        <v>121399.49086942</v>
      </c>
      <c r="AK1492" s="2">
        <v>80934.283420606604</v>
      </c>
      <c r="AL1492" s="2">
        <v>84233.457623693597</v>
      </c>
      <c r="AM1492" s="2">
        <v>88743.976294227105</v>
      </c>
      <c r="AN1492" s="2">
        <v>89818.4928734563</v>
      </c>
      <c r="AO1492" s="2">
        <v>83315.046666882699</v>
      </c>
      <c r="AP1492" s="2">
        <v>83956.975398370298</v>
      </c>
    </row>
    <row r="1493" spans="1:42" ht="14.5" x14ac:dyDescent="0.35">
      <c r="A1493" s="2" t="s">
        <v>10106</v>
      </c>
      <c r="B1493" s="2">
        <v>409.11035439663499</v>
      </c>
      <c r="C1493" s="2">
        <v>3.6785666666666699</v>
      </c>
      <c r="D1493" s="2" t="s">
        <v>34</v>
      </c>
      <c r="E1493" s="2" t="s">
        <v>10107</v>
      </c>
      <c r="F1493" s="2">
        <v>64278</v>
      </c>
      <c r="G1493" s="3" t="str">
        <f>HYPERLINK("http://funmeta.oebiotech.com/network/64278", "http://funmeta.oebiotech.com/network/64278")</f>
        <v>http://funmeta.oebiotech.com/network/64278</v>
      </c>
      <c r="H1493" s="2" t="s">
        <v>10108</v>
      </c>
      <c r="I1493" s="2">
        <v>95597</v>
      </c>
      <c r="J1493" s="2"/>
      <c r="K1493" s="2">
        <v>168021</v>
      </c>
      <c r="L1493" s="2"/>
      <c r="M1493" s="2"/>
      <c r="N1493" s="2"/>
      <c r="O1493" s="2">
        <v>6168296</v>
      </c>
      <c r="P1493" s="2"/>
      <c r="Q1493" s="2" t="s">
        <v>10109</v>
      </c>
      <c r="R1493" s="2" t="s">
        <v>10110</v>
      </c>
      <c r="S1493" s="2" t="s">
        <v>115</v>
      </c>
      <c r="T1493" s="2" t="s">
        <v>116</v>
      </c>
      <c r="U1493" s="2" t="s">
        <v>117</v>
      </c>
      <c r="V1493" s="2" t="s">
        <v>42</v>
      </c>
      <c r="W1493" s="2">
        <v>48</v>
      </c>
      <c r="X1493" s="2">
        <v>47.9</v>
      </c>
      <c r="Y1493" s="2" t="s">
        <v>323</v>
      </c>
      <c r="Z1493" s="2" t="s">
        <v>10111</v>
      </c>
      <c r="AA1493" s="2">
        <v>-0.42262497834847801</v>
      </c>
      <c r="AB1493" s="2">
        <v>0.53129308656090402</v>
      </c>
      <c r="AC1493" s="2">
        <v>52309.504532376603</v>
      </c>
      <c r="AD1493" s="2">
        <v>33411.100142017902</v>
      </c>
      <c r="AE1493" s="2">
        <v>51771.290355446203</v>
      </c>
      <c r="AF1493" s="2">
        <v>52525.3608463848</v>
      </c>
      <c r="AG1493" s="2">
        <v>50865.593618364699</v>
      </c>
      <c r="AH1493" s="2">
        <v>51477.166698790999</v>
      </c>
      <c r="AI1493" s="2">
        <v>57357.882951560598</v>
      </c>
      <c r="AJ1493" s="2">
        <v>49859.732723712303</v>
      </c>
      <c r="AK1493" s="2">
        <v>33535.976722206702</v>
      </c>
      <c r="AL1493" s="2">
        <v>34115.576974755801</v>
      </c>
      <c r="AM1493" s="2">
        <v>32855.159891231298</v>
      </c>
      <c r="AN1493" s="2">
        <v>33853.1388226688</v>
      </c>
      <c r="AO1493" s="2">
        <v>33539.043209035699</v>
      </c>
      <c r="AP1493" s="2">
        <v>32567.7052322093</v>
      </c>
    </row>
    <row r="1494" spans="1:42" ht="14.5" x14ac:dyDescent="0.35">
      <c r="A1494" s="2" t="s">
        <v>10112</v>
      </c>
      <c r="B1494" s="2">
        <v>479.11935193435102</v>
      </c>
      <c r="C1494" s="2">
        <v>5.0231500000000002</v>
      </c>
      <c r="D1494" s="2" t="s">
        <v>70</v>
      </c>
      <c r="E1494" s="2" t="s">
        <v>10113</v>
      </c>
      <c r="F1494" s="2">
        <v>33741</v>
      </c>
      <c r="G1494" s="3" t="str">
        <f>HYPERLINK("http://funmeta.oebiotech.com/network/33741", "http://funmeta.oebiotech.com/network/33741")</f>
        <v>http://funmeta.oebiotech.com/network/33741</v>
      </c>
      <c r="H1494" s="2"/>
      <c r="I1494" s="2"/>
      <c r="J1494" s="2" t="s">
        <v>10114</v>
      </c>
      <c r="K1494" s="2"/>
      <c r="L1494" s="2"/>
      <c r="M1494" s="2"/>
      <c r="N1494" s="2"/>
      <c r="O1494" s="2">
        <v>6526201</v>
      </c>
      <c r="P1494" s="2"/>
      <c r="Q1494" s="2" t="s">
        <v>10115</v>
      </c>
      <c r="R1494" s="2" t="s">
        <v>10116</v>
      </c>
      <c r="S1494" s="2" t="s">
        <v>115</v>
      </c>
      <c r="T1494" s="2" t="s">
        <v>139</v>
      </c>
      <c r="U1494" s="2" t="s">
        <v>140</v>
      </c>
      <c r="V1494" s="2" t="s">
        <v>59</v>
      </c>
      <c r="W1494" s="2">
        <v>46.8</v>
      </c>
      <c r="X1494" s="2">
        <v>39.200000000000003</v>
      </c>
      <c r="Y1494" s="2" t="s">
        <v>408</v>
      </c>
      <c r="Z1494" s="2" t="s">
        <v>3058</v>
      </c>
      <c r="AA1494" s="2">
        <v>-0.340542586421409</v>
      </c>
      <c r="AB1494" s="2">
        <v>0.53064711649848695</v>
      </c>
      <c r="AC1494" s="2">
        <v>35674.155142657801</v>
      </c>
      <c r="AD1494" s="2">
        <v>54925.9142732494</v>
      </c>
      <c r="AE1494" s="2">
        <v>32782.491859108297</v>
      </c>
      <c r="AF1494" s="2">
        <v>41742.096854918098</v>
      </c>
      <c r="AG1494" s="2">
        <v>34799.518713912898</v>
      </c>
      <c r="AH1494" s="2">
        <v>30364.226772080201</v>
      </c>
      <c r="AI1494" s="2">
        <v>36936.300319665999</v>
      </c>
      <c r="AJ1494" s="2">
        <v>37420.296336261403</v>
      </c>
      <c r="AK1494" s="2">
        <v>54582.087679070799</v>
      </c>
      <c r="AL1494" s="2">
        <v>54352.228545155398</v>
      </c>
      <c r="AM1494" s="2">
        <v>58661.407424851699</v>
      </c>
      <c r="AN1494" s="2">
        <v>54207.493114351397</v>
      </c>
      <c r="AO1494" s="2">
        <v>54472.0128463281</v>
      </c>
      <c r="AP1494" s="2">
        <v>53280.256029738797</v>
      </c>
    </row>
    <row r="1495" spans="1:42" ht="14.5" x14ac:dyDescent="0.35">
      <c r="A1495" s="2" t="s">
        <v>10117</v>
      </c>
      <c r="B1495" s="2">
        <v>238.10725338236401</v>
      </c>
      <c r="C1495" s="2">
        <v>3.4373166666666699</v>
      </c>
      <c r="D1495" s="2" t="s">
        <v>34</v>
      </c>
      <c r="E1495" s="2" t="s">
        <v>10118</v>
      </c>
      <c r="F1495" s="2">
        <v>54424</v>
      </c>
      <c r="G1495" s="3" t="str">
        <f>HYPERLINK("http://funmeta.oebiotech.com/network/54424", "http://funmeta.oebiotech.com/network/54424")</f>
        <v>http://funmeta.oebiotech.com/network/54424</v>
      </c>
      <c r="H1495" s="2" t="s">
        <v>10119</v>
      </c>
      <c r="I1495" s="2">
        <v>86291</v>
      </c>
      <c r="J1495" s="2"/>
      <c r="K1495" s="2">
        <v>174117</v>
      </c>
      <c r="L1495" s="2"/>
      <c r="M1495" s="2"/>
      <c r="N1495" s="2"/>
      <c r="O1495" s="2">
        <v>12310980</v>
      </c>
      <c r="P1495" s="2" t="s">
        <v>10120</v>
      </c>
      <c r="Q1495" s="2" t="s">
        <v>10121</v>
      </c>
      <c r="R1495" s="2" t="s">
        <v>10122</v>
      </c>
      <c r="S1495" s="2" t="s">
        <v>491</v>
      </c>
      <c r="T1495" s="2" t="s">
        <v>2251</v>
      </c>
      <c r="U1495" s="2" t="s">
        <v>2252</v>
      </c>
      <c r="V1495" s="2" t="s">
        <v>42</v>
      </c>
      <c r="W1495" s="2">
        <v>49.7</v>
      </c>
      <c r="X1495" s="2">
        <v>54.3</v>
      </c>
      <c r="Y1495" s="2" t="s">
        <v>43</v>
      </c>
      <c r="Z1495" s="2" t="s">
        <v>10123</v>
      </c>
      <c r="AA1495" s="2">
        <v>-0.59530420859004496</v>
      </c>
      <c r="AB1495" s="2">
        <v>0.53052892041447197</v>
      </c>
      <c r="AC1495" s="2">
        <v>44541.0268116671</v>
      </c>
      <c r="AD1495" s="2">
        <v>63245.719435602601</v>
      </c>
      <c r="AE1495" s="2">
        <v>45638.2991666245</v>
      </c>
      <c r="AF1495" s="2">
        <v>43182.470949903101</v>
      </c>
      <c r="AG1495" s="2">
        <v>44839.898671338698</v>
      </c>
      <c r="AH1495" s="2">
        <v>43843.362266476703</v>
      </c>
      <c r="AI1495" s="2">
        <v>44376.8358077429</v>
      </c>
      <c r="AJ1495" s="2">
        <v>45365.294007916702</v>
      </c>
      <c r="AK1495" s="2">
        <v>60946.514139220497</v>
      </c>
      <c r="AL1495" s="2">
        <v>61948.230186827699</v>
      </c>
      <c r="AM1495" s="2">
        <v>61755.821760801497</v>
      </c>
      <c r="AN1495" s="2">
        <v>63952.162971461497</v>
      </c>
      <c r="AO1495" s="2">
        <v>64020.359539595003</v>
      </c>
      <c r="AP1495" s="2">
        <v>66851.228015709203</v>
      </c>
    </row>
    <row r="1496" spans="1:42" ht="14.5" x14ac:dyDescent="0.35">
      <c r="A1496" s="2" t="s">
        <v>10124</v>
      </c>
      <c r="B1496" s="2">
        <v>563.34325715237901</v>
      </c>
      <c r="C1496" s="2">
        <v>11.185316666666701</v>
      </c>
      <c r="D1496" s="2" t="s">
        <v>70</v>
      </c>
      <c r="E1496" s="2" t="s">
        <v>10125</v>
      </c>
      <c r="F1496" s="2">
        <v>10255</v>
      </c>
      <c r="G1496" s="3" t="str">
        <f>HYPERLINK("http://funmeta.oebiotech.com/network/10255", "http://funmeta.oebiotech.com/network/10255")</f>
        <v>http://funmeta.oebiotech.com/network/10255</v>
      </c>
      <c r="H1496" s="2"/>
      <c r="I1496" s="2"/>
      <c r="J1496" s="2" t="s">
        <v>10126</v>
      </c>
      <c r="K1496" s="2"/>
      <c r="L1496" s="2"/>
      <c r="M1496" s="2"/>
      <c r="N1496" s="2"/>
      <c r="O1496" s="2">
        <v>132594567</v>
      </c>
      <c r="P1496" s="2"/>
      <c r="Q1496" s="2" t="s">
        <v>10127</v>
      </c>
      <c r="R1496" s="2" t="s">
        <v>10128</v>
      </c>
      <c r="S1496" s="2" t="s">
        <v>50</v>
      </c>
      <c r="T1496" s="2" t="s">
        <v>229</v>
      </c>
      <c r="U1496" s="2" t="s">
        <v>230</v>
      </c>
      <c r="V1496" s="2" t="s">
        <v>42</v>
      </c>
      <c r="W1496" s="2">
        <v>49</v>
      </c>
      <c r="X1496" s="2">
        <v>46.5</v>
      </c>
      <c r="Y1496" s="2" t="s">
        <v>408</v>
      </c>
      <c r="Z1496" s="2" t="s">
        <v>10129</v>
      </c>
      <c r="AA1496" s="2">
        <v>-0.82743493418418801</v>
      </c>
      <c r="AB1496" s="2">
        <v>0.53051639325696398</v>
      </c>
      <c r="AC1496" s="2">
        <v>96576.126552912101</v>
      </c>
      <c r="AD1496" s="2">
        <v>74563.170489334196</v>
      </c>
      <c r="AE1496" s="2">
        <v>104321.087294087</v>
      </c>
      <c r="AF1496" s="2">
        <v>101667.349508385</v>
      </c>
      <c r="AG1496" s="2">
        <v>105048.646468964</v>
      </c>
      <c r="AH1496" s="2">
        <v>94890.015219769106</v>
      </c>
      <c r="AI1496" s="2">
        <v>80995.398505796096</v>
      </c>
      <c r="AJ1496" s="2">
        <v>92534.262320471404</v>
      </c>
      <c r="AK1496" s="2">
        <v>64014.587437650502</v>
      </c>
      <c r="AL1496" s="2">
        <v>77553.183740251101</v>
      </c>
      <c r="AM1496" s="2">
        <v>74901.831890034096</v>
      </c>
      <c r="AN1496" s="2">
        <v>78974.809011546706</v>
      </c>
      <c r="AO1496" s="2">
        <v>82646.852614713207</v>
      </c>
      <c r="AP1496" s="2">
        <v>69287.758241809701</v>
      </c>
    </row>
    <row r="1497" spans="1:42" ht="14.5" x14ac:dyDescent="0.35">
      <c r="A1497" s="2" t="s">
        <v>10130</v>
      </c>
      <c r="B1497" s="2">
        <v>423.05867606940097</v>
      </c>
      <c r="C1497" s="2">
        <v>3.0156833333333299</v>
      </c>
      <c r="D1497" s="2" t="s">
        <v>70</v>
      </c>
      <c r="E1497" s="2" t="s">
        <v>10131</v>
      </c>
      <c r="F1497" s="2">
        <v>144409</v>
      </c>
      <c r="G1497" s="3" t="str">
        <f>HYPERLINK("http://funmeta.oebiotech.com/network/144409", "http://funmeta.oebiotech.com/network/144409")</f>
        <v>http://funmeta.oebiotech.com/network/144409</v>
      </c>
      <c r="H1497" s="2" t="s">
        <v>10132</v>
      </c>
      <c r="I1497" s="2"/>
      <c r="J1497" s="2"/>
      <c r="K1497" s="2"/>
      <c r="L1497" s="2"/>
      <c r="M1497" s="2"/>
      <c r="N1497" s="2"/>
      <c r="O1497" s="2">
        <v>131835673</v>
      </c>
      <c r="P1497" s="2"/>
      <c r="Q1497" s="2" t="s">
        <v>10133</v>
      </c>
      <c r="R1497" s="2" t="s">
        <v>10134</v>
      </c>
      <c r="S1497" s="2" t="s">
        <v>79</v>
      </c>
      <c r="T1497" s="2" t="s">
        <v>80</v>
      </c>
      <c r="U1497" s="2" t="s">
        <v>81</v>
      </c>
      <c r="V1497" s="2" t="s">
        <v>59</v>
      </c>
      <c r="W1497" s="2">
        <v>37.700000000000003</v>
      </c>
      <c r="X1497" s="2">
        <v>4.92</v>
      </c>
      <c r="Y1497" s="2" t="s">
        <v>408</v>
      </c>
      <c r="Z1497" s="2" t="s">
        <v>10135</v>
      </c>
      <c r="AA1497" s="2">
        <v>4.6991507848297802</v>
      </c>
      <c r="AB1497" s="2">
        <v>0.53007690841771105</v>
      </c>
      <c r="AC1497" s="2">
        <v>28457.490657161499</v>
      </c>
      <c r="AD1497" s="2">
        <v>47433.385672680903</v>
      </c>
      <c r="AE1497" s="2">
        <v>30373.935142015402</v>
      </c>
      <c r="AF1497" s="2">
        <v>30405.736738502201</v>
      </c>
      <c r="AG1497" s="2">
        <v>30033.632415202501</v>
      </c>
      <c r="AH1497" s="2">
        <v>24850.060059188701</v>
      </c>
      <c r="AI1497" s="2">
        <v>27355.4150949904</v>
      </c>
      <c r="AJ1497" s="2">
        <v>27726.164493069999</v>
      </c>
      <c r="AK1497" s="2">
        <v>46139.992159731701</v>
      </c>
      <c r="AL1497" s="2">
        <v>48689.646103586099</v>
      </c>
      <c r="AM1497" s="2">
        <v>51057.088413325298</v>
      </c>
      <c r="AN1497" s="2">
        <v>48294.672057878</v>
      </c>
      <c r="AO1497" s="2">
        <v>43102.128996952801</v>
      </c>
      <c r="AP1497" s="2">
        <v>47316.7863046114</v>
      </c>
    </row>
    <row r="1498" spans="1:42" ht="14.5" x14ac:dyDescent="0.35">
      <c r="A1498" s="2" t="s">
        <v>10136</v>
      </c>
      <c r="B1498" s="2">
        <v>367.06431792217103</v>
      </c>
      <c r="C1498" s="2">
        <v>2.0493000000000001</v>
      </c>
      <c r="D1498" s="2" t="s">
        <v>70</v>
      </c>
      <c r="E1498" s="2" t="s">
        <v>10137</v>
      </c>
      <c r="F1498" s="2">
        <v>61892</v>
      </c>
      <c r="G1498" s="3" t="str">
        <f>HYPERLINK("http://funmeta.oebiotech.com/network/61892", "http://funmeta.oebiotech.com/network/61892")</f>
        <v>http://funmeta.oebiotech.com/network/61892</v>
      </c>
      <c r="H1498" s="2" t="s">
        <v>10138</v>
      </c>
      <c r="I1498" s="2">
        <v>93192</v>
      </c>
      <c r="J1498" s="2"/>
      <c r="K1498" s="2">
        <v>168042</v>
      </c>
      <c r="L1498" s="2"/>
      <c r="M1498" s="2"/>
      <c r="N1498" s="2"/>
      <c r="O1498" s="2">
        <v>131752387</v>
      </c>
      <c r="P1498" s="2"/>
      <c r="Q1498" s="2" t="s">
        <v>10139</v>
      </c>
      <c r="R1498" s="2" t="s">
        <v>10140</v>
      </c>
      <c r="S1498" s="2" t="s">
        <v>89</v>
      </c>
      <c r="T1498" s="2" t="s">
        <v>90</v>
      </c>
      <c r="U1498" s="2" t="s">
        <v>99</v>
      </c>
      <c r="V1498" s="2" t="s">
        <v>59</v>
      </c>
      <c r="W1498" s="2">
        <v>39.9</v>
      </c>
      <c r="X1498" s="2">
        <v>10</v>
      </c>
      <c r="Y1498" s="2" t="s">
        <v>408</v>
      </c>
      <c r="Z1498" s="2" t="s">
        <v>10141</v>
      </c>
      <c r="AA1498" s="2">
        <v>1.2462286241298901</v>
      </c>
      <c r="AB1498" s="2">
        <v>0.52904045191153104</v>
      </c>
      <c r="AC1498" s="2">
        <v>145992.284103399</v>
      </c>
      <c r="AD1498" s="2">
        <v>125549.369766851</v>
      </c>
      <c r="AE1498" s="2">
        <v>148367.53218728799</v>
      </c>
      <c r="AF1498" s="2">
        <v>144693.32070464801</v>
      </c>
      <c r="AG1498" s="2">
        <v>149016.84874000199</v>
      </c>
      <c r="AH1498" s="2">
        <v>145935.97328806901</v>
      </c>
      <c r="AI1498" s="2">
        <v>140971.37951042</v>
      </c>
      <c r="AJ1498" s="2">
        <v>146968.650189968</v>
      </c>
      <c r="AK1498" s="2">
        <v>121417.13462081</v>
      </c>
      <c r="AL1498" s="2">
        <v>124517.035454688</v>
      </c>
      <c r="AM1498" s="2">
        <v>130717.30726088</v>
      </c>
      <c r="AN1498" s="2">
        <v>137128.537845363</v>
      </c>
      <c r="AO1498" s="2">
        <v>117345.70665715801</v>
      </c>
      <c r="AP1498" s="2">
        <v>122170.496762208</v>
      </c>
    </row>
    <row r="1499" spans="1:42" ht="14.5" x14ac:dyDescent="0.35">
      <c r="A1499" s="2" t="s">
        <v>10142</v>
      </c>
      <c r="B1499" s="2">
        <v>331.22653541277401</v>
      </c>
      <c r="C1499" s="2">
        <v>4.8327999999999998</v>
      </c>
      <c r="D1499" s="2" t="s">
        <v>34</v>
      </c>
      <c r="E1499" s="2" t="s">
        <v>10143</v>
      </c>
      <c r="F1499" s="2">
        <v>64045</v>
      </c>
      <c r="G1499" s="3" t="str">
        <f>HYPERLINK("http://funmeta.oebiotech.com/network/64045", "http://funmeta.oebiotech.com/network/64045")</f>
        <v>http://funmeta.oebiotech.com/network/64045</v>
      </c>
      <c r="H1499" s="2" t="s">
        <v>10144</v>
      </c>
      <c r="I1499" s="2">
        <v>95377</v>
      </c>
      <c r="J1499" s="2"/>
      <c r="K1499" s="2"/>
      <c r="L1499" s="2"/>
      <c r="M1499" s="2"/>
      <c r="N1499" s="2"/>
      <c r="O1499" s="2">
        <v>15929155</v>
      </c>
      <c r="P1499" s="2" t="s">
        <v>10145</v>
      </c>
      <c r="Q1499" s="2" t="s">
        <v>10146</v>
      </c>
      <c r="R1499" s="2" t="s">
        <v>10147</v>
      </c>
      <c r="S1499" s="2" t="s">
        <v>50</v>
      </c>
      <c r="T1499" s="2" t="s">
        <v>229</v>
      </c>
      <c r="U1499" s="2" t="s">
        <v>433</v>
      </c>
      <c r="V1499" s="2" t="s">
        <v>59</v>
      </c>
      <c r="W1499" s="2">
        <v>44.1</v>
      </c>
      <c r="X1499" s="2">
        <v>25.8</v>
      </c>
      <c r="Y1499" s="2" t="s">
        <v>266</v>
      </c>
      <c r="Z1499" s="2" t="s">
        <v>10148</v>
      </c>
      <c r="AA1499" s="2">
        <v>-0.71419165138573504</v>
      </c>
      <c r="AB1499" s="2">
        <v>0.52889248369640396</v>
      </c>
      <c r="AC1499" s="2">
        <v>64595.442664102098</v>
      </c>
      <c r="AD1499" s="2">
        <v>83472.925359590896</v>
      </c>
      <c r="AE1499" s="2">
        <v>62654.761709266699</v>
      </c>
      <c r="AF1499" s="2">
        <v>64732.2440475529</v>
      </c>
      <c r="AG1499" s="2">
        <v>63912.698659904301</v>
      </c>
      <c r="AH1499" s="2">
        <v>63677.933937600697</v>
      </c>
      <c r="AI1499" s="2">
        <v>69173.489768192303</v>
      </c>
      <c r="AJ1499" s="2">
        <v>63421.527862095601</v>
      </c>
      <c r="AK1499" s="2">
        <v>82633.916350437794</v>
      </c>
      <c r="AL1499" s="2">
        <v>86021.305070251794</v>
      </c>
      <c r="AM1499" s="2">
        <v>79640.591601017193</v>
      </c>
      <c r="AN1499" s="2">
        <v>81147.280323568004</v>
      </c>
      <c r="AO1499" s="2">
        <v>85041.173530537999</v>
      </c>
      <c r="AP1499" s="2">
        <v>86353.285281732606</v>
      </c>
    </row>
    <row r="1500" spans="1:42" ht="14.5" x14ac:dyDescent="0.35">
      <c r="A1500" s="2" t="s">
        <v>10149</v>
      </c>
      <c r="B1500" s="2">
        <v>465.19422670596799</v>
      </c>
      <c r="C1500" s="2">
        <v>3.7334833333333299</v>
      </c>
      <c r="D1500" s="2" t="s">
        <v>34</v>
      </c>
      <c r="E1500" s="2" t="s">
        <v>10150</v>
      </c>
      <c r="F1500" s="2">
        <v>52843</v>
      </c>
      <c r="G1500" s="3" t="str">
        <f>HYPERLINK("http://funmeta.oebiotech.com/network/52843", "http://funmeta.oebiotech.com/network/52843")</f>
        <v>http://funmeta.oebiotech.com/network/52843</v>
      </c>
      <c r="H1500" s="2" t="s">
        <v>10151</v>
      </c>
      <c r="I1500" s="2">
        <v>85389</v>
      </c>
      <c r="J1500" s="2"/>
      <c r="K1500" s="2">
        <v>391960</v>
      </c>
      <c r="L1500" s="2"/>
      <c r="M1500" s="2"/>
      <c r="N1500" s="2"/>
      <c r="O1500" s="2">
        <v>444031</v>
      </c>
      <c r="P1500" s="2" t="s">
        <v>10152</v>
      </c>
      <c r="Q1500" s="2" t="s">
        <v>10153</v>
      </c>
      <c r="R1500" s="2" t="s">
        <v>10154</v>
      </c>
      <c r="S1500" s="2" t="s">
        <v>148</v>
      </c>
      <c r="T1500" s="2" t="s">
        <v>149</v>
      </c>
      <c r="U1500" s="2" t="s">
        <v>3473</v>
      </c>
      <c r="V1500" s="2" t="s">
        <v>59</v>
      </c>
      <c r="W1500" s="2">
        <v>38.700000000000003</v>
      </c>
      <c r="X1500" s="2">
        <v>4.29</v>
      </c>
      <c r="Y1500" s="2" t="s">
        <v>340</v>
      </c>
      <c r="Z1500" s="2" t="s">
        <v>10155</v>
      </c>
      <c r="AA1500" s="2">
        <v>0.798664021526584</v>
      </c>
      <c r="AB1500" s="2">
        <v>0.52883470043967395</v>
      </c>
      <c r="AC1500" s="2">
        <v>109875.09430844799</v>
      </c>
      <c r="AD1500" s="2">
        <v>89955.546908171396</v>
      </c>
      <c r="AE1500" s="2">
        <v>117220.512402868</v>
      </c>
      <c r="AF1500" s="2">
        <v>108724.116478795</v>
      </c>
      <c r="AG1500" s="2">
        <v>105810.748083363</v>
      </c>
      <c r="AH1500" s="2">
        <v>106780.149878426</v>
      </c>
      <c r="AI1500" s="2">
        <v>108512.419242748</v>
      </c>
      <c r="AJ1500" s="2">
        <v>112202.619764487</v>
      </c>
      <c r="AK1500" s="2">
        <v>85460.138056823605</v>
      </c>
      <c r="AL1500" s="2">
        <v>89709.784432449203</v>
      </c>
      <c r="AM1500" s="2">
        <v>87393.826554047395</v>
      </c>
      <c r="AN1500" s="2">
        <v>99456.186966397698</v>
      </c>
      <c r="AO1500" s="2">
        <v>88855.551908272304</v>
      </c>
      <c r="AP1500" s="2">
        <v>88857.793531038405</v>
      </c>
    </row>
    <row r="1501" spans="1:42" ht="14.5" x14ac:dyDescent="0.35">
      <c r="A1501" s="2" t="s">
        <v>10156</v>
      </c>
      <c r="B1501" s="2">
        <v>344.13375208687302</v>
      </c>
      <c r="C1501" s="2">
        <v>0.78071666666666695</v>
      </c>
      <c r="D1501" s="2" t="s">
        <v>34</v>
      </c>
      <c r="E1501" s="2" t="s">
        <v>10157</v>
      </c>
      <c r="F1501" s="2">
        <v>280459</v>
      </c>
      <c r="G1501" s="3" t="str">
        <f>HYPERLINK("http://funmeta.oebiotech.com/network/280459", "http://funmeta.oebiotech.com/network/280459")</f>
        <v>http://funmeta.oebiotech.com/network/280459</v>
      </c>
      <c r="H1501" s="2"/>
      <c r="I1501" s="2">
        <v>73567</v>
      </c>
      <c r="J1501" s="2"/>
      <c r="K1501" s="2"/>
      <c r="L1501" s="2" t="s">
        <v>10158</v>
      </c>
      <c r="M1501" s="2"/>
      <c r="N1501" s="2"/>
      <c r="O1501" s="2">
        <v>25090658</v>
      </c>
      <c r="P1501" s="2" t="s">
        <v>10159</v>
      </c>
      <c r="Q1501" s="2" t="s">
        <v>10160</v>
      </c>
      <c r="R1501" s="2" t="s">
        <v>10161</v>
      </c>
      <c r="S1501" s="2" t="s">
        <v>50</v>
      </c>
      <c r="T1501" s="2" t="s">
        <v>201</v>
      </c>
      <c r="U1501" s="2" t="s">
        <v>1217</v>
      </c>
      <c r="V1501" s="2" t="s">
        <v>59</v>
      </c>
      <c r="W1501" s="2">
        <v>39.1</v>
      </c>
      <c r="X1501" s="2">
        <v>0</v>
      </c>
      <c r="Y1501" s="2" t="s">
        <v>440</v>
      </c>
      <c r="Z1501" s="2" t="s">
        <v>83</v>
      </c>
      <c r="AA1501" s="2">
        <v>-0.73896578706079696</v>
      </c>
      <c r="AB1501" s="2">
        <v>0.52857825094737099</v>
      </c>
      <c r="AC1501" s="2">
        <v>76013.448184450797</v>
      </c>
      <c r="AD1501" s="2">
        <v>95732.989936351907</v>
      </c>
      <c r="AE1501" s="2">
        <v>74388.486851379595</v>
      </c>
      <c r="AF1501" s="2">
        <v>80562.541174723505</v>
      </c>
      <c r="AG1501" s="2">
        <v>76554.234169983305</v>
      </c>
      <c r="AH1501" s="2">
        <v>74006.863187067094</v>
      </c>
      <c r="AI1501" s="2">
        <v>72855.739316970299</v>
      </c>
      <c r="AJ1501" s="2">
        <v>77712.824406581101</v>
      </c>
      <c r="AK1501" s="2">
        <v>96232.436564507603</v>
      </c>
      <c r="AL1501" s="2">
        <v>90408.306027717903</v>
      </c>
      <c r="AM1501" s="2">
        <v>88266.106552401907</v>
      </c>
      <c r="AN1501" s="2">
        <v>98666.145143388101</v>
      </c>
      <c r="AO1501" s="2">
        <v>101255.722365289</v>
      </c>
      <c r="AP1501" s="2">
        <v>99569.2229648067</v>
      </c>
    </row>
    <row r="1502" spans="1:42" ht="14.5" x14ac:dyDescent="0.35">
      <c r="A1502" s="2" t="s">
        <v>10162</v>
      </c>
      <c r="B1502" s="2">
        <v>593.04261090067905</v>
      </c>
      <c r="C1502" s="2">
        <v>9.4482166666666707</v>
      </c>
      <c r="D1502" s="2" t="s">
        <v>70</v>
      </c>
      <c r="E1502" s="2" t="s">
        <v>10163</v>
      </c>
      <c r="F1502" s="2">
        <v>51976</v>
      </c>
      <c r="G1502" s="3" t="str">
        <f>HYPERLINK("http://funmeta.oebiotech.com/network/51976", "http://funmeta.oebiotech.com/network/51976")</f>
        <v>http://funmeta.oebiotech.com/network/51976</v>
      </c>
      <c r="H1502" s="2" t="s">
        <v>10164</v>
      </c>
      <c r="I1502" s="2">
        <v>62919</v>
      </c>
      <c r="J1502" s="2"/>
      <c r="K1502" s="2">
        <v>85804</v>
      </c>
      <c r="L1502" s="2" t="s">
        <v>10165</v>
      </c>
      <c r="M1502" s="2" t="s">
        <v>10166</v>
      </c>
      <c r="N1502" s="2" t="s">
        <v>10167</v>
      </c>
      <c r="O1502" s="2">
        <v>23724475</v>
      </c>
      <c r="P1502" s="2" t="s">
        <v>10168</v>
      </c>
      <c r="Q1502" s="2" t="s">
        <v>10169</v>
      </c>
      <c r="R1502" s="2" t="s">
        <v>10170</v>
      </c>
      <c r="S1502" s="2" t="s">
        <v>1444</v>
      </c>
      <c r="T1502" s="2" t="s">
        <v>4040</v>
      </c>
      <c r="U1502" s="2" t="s">
        <v>4041</v>
      </c>
      <c r="V1502" s="2" t="s">
        <v>59</v>
      </c>
      <c r="W1502" s="2">
        <v>37.799999999999997</v>
      </c>
      <c r="X1502" s="2">
        <v>0</v>
      </c>
      <c r="Y1502" s="2" t="s">
        <v>408</v>
      </c>
      <c r="Z1502" s="2" t="s">
        <v>10171</v>
      </c>
      <c r="AA1502" s="2">
        <v>-8.7323975760845704E-2</v>
      </c>
      <c r="AB1502" s="2">
        <v>0.52848787236415695</v>
      </c>
      <c r="AC1502" s="2">
        <v>131540.720558731</v>
      </c>
      <c r="AD1502" s="2">
        <v>151499.528031781</v>
      </c>
      <c r="AE1502" s="2">
        <v>128959.335845237</v>
      </c>
      <c r="AF1502" s="2">
        <v>136599.73738924801</v>
      </c>
      <c r="AG1502" s="2">
        <v>132743.763844164</v>
      </c>
      <c r="AH1502" s="2">
        <v>134030.79015693301</v>
      </c>
      <c r="AI1502" s="2">
        <v>129614.124455689</v>
      </c>
      <c r="AJ1502" s="2">
        <v>127296.571661118</v>
      </c>
      <c r="AK1502" s="2">
        <v>160139.92671494</v>
      </c>
      <c r="AL1502" s="2">
        <v>153135.27829862101</v>
      </c>
      <c r="AM1502" s="2">
        <v>151309.279333499</v>
      </c>
      <c r="AN1502" s="2">
        <v>147825.67313292</v>
      </c>
      <c r="AO1502" s="2">
        <v>152743.84175119299</v>
      </c>
      <c r="AP1502" s="2">
        <v>143843.16895951299</v>
      </c>
    </row>
    <row r="1503" spans="1:42" ht="14.5" x14ac:dyDescent="0.35">
      <c r="A1503" s="2" t="s">
        <v>10172</v>
      </c>
      <c r="B1503" s="2">
        <v>341.21098485522498</v>
      </c>
      <c r="C1503" s="2">
        <v>9.5044666666666693</v>
      </c>
      <c r="D1503" s="2" t="s">
        <v>34</v>
      </c>
      <c r="E1503" s="2" t="s">
        <v>10173</v>
      </c>
      <c r="F1503" s="2">
        <v>5353</v>
      </c>
      <c r="G1503" s="3" t="str">
        <f>HYPERLINK("http://funmeta.oebiotech.com/network/5353", "http://funmeta.oebiotech.com/network/5353")</f>
        <v>http://funmeta.oebiotech.com/network/5353</v>
      </c>
      <c r="H1503" s="2"/>
      <c r="I1503" s="2"/>
      <c r="J1503" s="2" t="s">
        <v>10174</v>
      </c>
      <c r="K1503" s="2"/>
      <c r="L1503" s="2"/>
      <c r="M1503" s="2"/>
      <c r="N1503" s="2"/>
      <c r="O1503" s="2">
        <v>131840768</v>
      </c>
      <c r="P1503" s="2"/>
      <c r="Q1503" s="2" t="s">
        <v>10175</v>
      </c>
      <c r="R1503" s="2" t="s">
        <v>10176</v>
      </c>
      <c r="S1503" s="2" t="s">
        <v>50</v>
      </c>
      <c r="T1503" s="2" t="s">
        <v>229</v>
      </c>
      <c r="U1503" s="2" t="s">
        <v>433</v>
      </c>
      <c r="V1503" s="2" t="s">
        <v>42</v>
      </c>
      <c r="W1503" s="2">
        <v>51.7</v>
      </c>
      <c r="X1503" s="2">
        <v>63.1</v>
      </c>
      <c r="Y1503" s="2" t="s">
        <v>266</v>
      </c>
      <c r="Z1503" s="2" t="s">
        <v>7078</v>
      </c>
      <c r="AA1503" s="2">
        <v>-0.38059640007851703</v>
      </c>
      <c r="AB1503" s="2">
        <v>0.52846491813832197</v>
      </c>
      <c r="AC1503" s="2">
        <v>27057.122466876899</v>
      </c>
      <c r="AD1503" s="2">
        <v>8609.2195022550004</v>
      </c>
      <c r="AE1503" s="2">
        <v>27965.677774319502</v>
      </c>
      <c r="AF1503" s="2">
        <v>27280.416498326002</v>
      </c>
      <c r="AG1503" s="2">
        <v>29323.631408772999</v>
      </c>
      <c r="AH1503" s="2">
        <v>27582.719187328501</v>
      </c>
      <c r="AI1503" s="2">
        <v>25647.1875433438</v>
      </c>
      <c r="AJ1503" s="2">
        <v>24543.102389170399</v>
      </c>
      <c r="AK1503" s="2">
        <v>8222.8968299182798</v>
      </c>
      <c r="AL1503" s="2">
        <v>9462.4216232613708</v>
      </c>
      <c r="AM1503" s="2">
        <v>8000.3954572230105</v>
      </c>
      <c r="AN1503" s="2">
        <v>9492.7924450258306</v>
      </c>
      <c r="AO1503" s="2">
        <v>8336.2893953605599</v>
      </c>
      <c r="AP1503" s="2">
        <v>8140.5212627409501</v>
      </c>
    </row>
    <row r="1504" spans="1:42" ht="14.5" x14ac:dyDescent="0.35">
      <c r="A1504" s="2" t="s">
        <v>10177</v>
      </c>
      <c r="B1504" s="2">
        <v>682.32061448318495</v>
      </c>
      <c r="C1504" s="2">
        <v>7.4323499999999996</v>
      </c>
      <c r="D1504" s="2" t="s">
        <v>70</v>
      </c>
      <c r="E1504" s="2" t="s">
        <v>10178</v>
      </c>
      <c r="F1504" s="2">
        <v>27943</v>
      </c>
      <c r="G1504" s="3" t="str">
        <f>HYPERLINK("http://funmeta.oebiotech.com/network/27943", "http://funmeta.oebiotech.com/network/27943")</f>
        <v>http://funmeta.oebiotech.com/network/27943</v>
      </c>
      <c r="H1504" s="2"/>
      <c r="I1504" s="2"/>
      <c r="J1504" s="2" t="s">
        <v>10179</v>
      </c>
      <c r="K1504" s="2"/>
      <c r="L1504" s="2"/>
      <c r="M1504" s="2"/>
      <c r="N1504" s="2"/>
      <c r="O1504" s="2">
        <v>134812390</v>
      </c>
      <c r="P1504" s="2"/>
      <c r="Q1504" s="2" t="s">
        <v>10180</v>
      </c>
      <c r="R1504" s="2" t="s">
        <v>10181</v>
      </c>
      <c r="S1504" s="2" t="s">
        <v>50</v>
      </c>
      <c r="T1504" s="2" t="s">
        <v>51</v>
      </c>
      <c r="U1504" s="2" t="s">
        <v>66</v>
      </c>
      <c r="V1504" s="2" t="s">
        <v>59</v>
      </c>
      <c r="W1504" s="2">
        <v>38.6</v>
      </c>
      <c r="X1504" s="2">
        <v>0</v>
      </c>
      <c r="Y1504" s="2" t="s">
        <v>408</v>
      </c>
      <c r="Z1504" s="2" t="s">
        <v>7394</v>
      </c>
      <c r="AA1504" s="2">
        <v>-0.47248273033522298</v>
      </c>
      <c r="AB1504" s="2">
        <v>0.52815328397001604</v>
      </c>
      <c r="AC1504" s="2">
        <v>10268.432685219999</v>
      </c>
      <c r="AD1504" s="2">
        <v>28715.336413983001</v>
      </c>
      <c r="AE1504" s="2">
        <v>11220.254185887001</v>
      </c>
      <c r="AF1504" s="2">
        <v>10899.553126680999</v>
      </c>
      <c r="AG1504" s="2">
        <v>9999.2999477252906</v>
      </c>
      <c r="AH1504" s="2">
        <v>10719.376889138301</v>
      </c>
      <c r="AI1504" s="2">
        <v>9626.71343313951</v>
      </c>
      <c r="AJ1504" s="2">
        <v>9145.3985287488395</v>
      </c>
      <c r="AK1504" s="2">
        <v>27874.203779863499</v>
      </c>
      <c r="AL1504" s="2">
        <v>26598.796909695</v>
      </c>
      <c r="AM1504" s="2">
        <v>30916.391602965199</v>
      </c>
      <c r="AN1504" s="2">
        <v>30589.674127266699</v>
      </c>
      <c r="AO1504" s="2">
        <v>27935.735241226299</v>
      </c>
      <c r="AP1504" s="2">
        <v>28377.216822881499</v>
      </c>
    </row>
    <row r="1505" spans="1:42" ht="14.5" x14ac:dyDescent="0.35">
      <c r="A1505" s="2" t="s">
        <v>10182</v>
      </c>
      <c r="B1505" s="2">
        <v>509.18406030455998</v>
      </c>
      <c r="C1505" s="2">
        <v>1.4208666666666701</v>
      </c>
      <c r="D1505" s="2" t="s">
        <v>34</v>
      </c>
      <c r="E1505" s="2" t="s">
        <v>10183</v>
      </c>
      <c r="F1505" s="2">
        <v>62402</v>
      </c>
      <c r="G1505" s="3" t="str">
        <f>HYPERLINK("http://funmeta.oebiotech.com/network/62402", "http://funmeta.oebiotech.com/network/62402")</f>
        <v>http://funmeta.oebiotech.com/network/62402</v>
      </c>
      <c r="H1505" s="2" t="s">
        <v>10184</v>
      </c>
      <c r="I1505" s="2">
        <v>93697</v>
      </c>
      <c r="J1505" s="2"/>
      <c r="K1505" s="2"/>
      <c r="L1505" s="2"/>
      <c r="M1505" s="2"/>
      <c r="N1505" s="2"/>
      <c r="O1505" s="2">
        <v>14704876</v>
      </c>
      <c r="P1505" s="2" t="s">
        <v>10185</v>
      </c>
      <c r="Q1505" s="2" t="s">
        <v>10186</v>
      </c>
      <c r="R1505" s="2" t="s">
        <v>10187</v>
      </c>
      <c r="S1505" s="2" t="s">
        <v>50</v>
      </c>
      <c r="T1505" s="2" t="s">
        <v>201</v>
      </c>
      <c r="U1505" s="2" t="s">
        <v>202</v>
      </c>
      <c r="V1505" s="2" t="s">
        <v>59</v>
      </c>
      <c r="W1505" s="2">
        <v>45.9</v>
      </c>
      <c r="X1505" s="2">
        <v>43.8</v>
      </c>
      <c r="Y1505" s="2" t="s">
        <v>141</v>
      </c>
      <c r="Z1505" s="2" t="s">
        <v>10188</v>
      </c>
      <c r="AA1505" s="2">
        <v>-4.6025775426463396</v>
      </c>
      <c r="AB1505" s="2">
        <v>0.52788058314844899</v>
      </c>
      <c r="AC1505" s="2">
        <v>53853.830551929299</v>
      </c>
      <c r="AD1505" s="2">
        <v>73760.748415259906</v>
      </c>
      <c r="AE1505" s="2">
        <v>56815.456332189999</v>
      </c>
      <c r="AF1505" s="2">
        <v>51006.265254015503</v>
      </c>
      <c r="AG1505" s="2">
        <v>57814.755682234099</v>
      </c>
      <c r="AH1505" s="2">
        <v>52340.252936956997</v>
      </c>
      <c r="AI1505" s="2">
        <v>50469.667184242397</v>
      </c>
      <c r="AJ1505" s="2">
        <v>54676.585921936901</v>
      </c>
      <c r="AK1505" s="2">
        <v>74398.392768245001</v>
      </c>
      <c r="AL1505" s="2">
        <v>66051.275637964995</v>
      </c>
      <c r="AM1505" s="2">
        <v>73902.934348842304</v>
      </c>
      <c r="AN1505" s="2">
        <v>73964.291067940896</v>
      </c>
      <c r="AO1505" s="2">
        <v>70561.232643060299</v>
      </c>
      <c r="AP1505" s="2">
        <v>83686.364025506002</v>
      </c>
    </row>
    <row r="1506" spans="1:42" ht="14.5" x14ac:dyDescent="0.35">
      <c r="A1506" s="2" t="s">
        <v>10189</v>
      </c>
      <c r="B1506" s="2">
        <v>543.24561950243401</v>
      </c>
      <c r="C1506" s="2">
        <v>5.3202666666666696</v>
      </c>
      <c r="D1506" s="2" t="s">
        <v>70</v>
      </c>
      <c r="E1506" s="2" t="s">
        <v>10190</v>
      </c>
      <c r="F1506" s="2">
        <v>60528</v>
      </c>
      <c r="G1506" s="3" t="str">
        <f>HYPERLINK("http://funmeta.oebiotech.com/network/60528", "http://funmeta.oebiotech.com/network/60528")</f>
        <v>http://funmeta.oebiotech.com/network/60528</v>
      </c>
      <c r="H1506" s="2" t="s">
        <v>10191</v>
      </c>
      <c r="I1506" s="2">
        <v>91864</v>
      </c>
      <c r="J1506" s="2"/>
      <c r="K1506" s="2"/>
      <c r="L1506" s="2"/>
      <c r="M1506" s="2"/>
      <c r="N1506" s="2"/>
      <c r="O1506" s="2">
        <v>131752068</v>
      </c>
      <c r="P1506" s="2"/>
      <c r="Q1506" s="2" t="s">
        <v>10192</v>
      </c>
      <c r="R1506" s="2" t="s">
        <v>10193</v>
      </c>
      <c r="S1506" s="2" t="s">
        <v>50</v>
      </c>
      <c r="T1506" s="2" t="s">
        <v>201</v>
      </c>
      <c r="U1506" s="2" t="s">
        <v>202</v>
      </c>
      <c r="V1506" s="2" t="s">
        <v>59</v>
      </c>
      <c r="W1506" s="2">
        <v>42.5</v>
      </c>
      <c r="X1506" s="2">
        <v>21.1</v>
      </c>
      <c r="Y1506" s="2" t="s">
        <v>751</v>
      </c>
      <c r="Z1506" s="2" t="s">
        <v>10194</v>
      </c>
      <c r="AA1506" s="2">
        <v>1.6348612020509701</v>
      </c>
      <c r="AB1506" s="2">
        <v>0.52773804275001401</v>
      </c>
      <c r="AC1506" s="2">
        <v>54816.131213468601</v>
      </c>
      <c r="AD1506" s="2">
        <v>35806.246411061198</v>
      </c>
      <c r="AE1506" s="2">
        <v>56030.031459449703</v>
      </c>
      <c r="AF1506" s="2">
        <v>50429.335481238202</v>
      </c>
      <c r="AG1506" s="2">
        <v>58763.020686801603</v>
      </c>
      <c r="AH1506" s="2">
        <v>53417.925823927399</v>
      </c>
      <c r="AI1506" s="2">
        <v>53341.755285056999</v>
      </c>
      <c r="AJ1506" s="2">
        <v>56914.7185443376</v>
      </c>
      <c r="AK1506" s="2">
        <v>36295.506894809398</v>
      </c>
      <c r="AL1506" s="2">
        <v>33656.708677764502</v>
      </c>
      <c r="AM1506" s="2">
        <v>41477.094155175</v>
      </c>
      <c r="AN1506" s="2">
        <v>33115.812664598801</v>
      </c>
      <c r="AO1506" s="2">
        <v>35510.407429138402</v>
      </c>
      <c r="AP1506" s="2">
        <v>34781.948644880998</v>
      </c>
    </row>
    <row r="1507" spans="1:42" ht="14.5" x14ac:dyDescent="0.35">
      <c r="A1507" s="2" t="s">
        <v>10195</v>
      </c>
      <c r="B1507" s="2">
        <v>527.24281475451005</v>
      </c>
      <c r="C1507" s="2">
        <v>9.44783333333333</v>
      </c>
      <c r="D1507" s="2" t="s">
        <v>34</v>
      </c>
      <c r="E1507" s="2" t="s">
        <v>10196</v>
      </c>
      <c r="F1507" s="2">
        <v>204151</v>
      </c>
      <c r="G1507" s="3" t="str">
        <f>HYPERLINK("http://funmeta.oebiotech.com/network/204151", "http://funmeta.oebiotech.com/network/204151")</f>
        <v>http://funmeta.oebiotech.com/network/204151</v>
      </c>
      <c r="H1507" s="2" t="s">
        <v>10197</v>
      </c>
      <c r="I1507" s="2"/>
      <c r="J1507" s="2"/>
      <c r="K1507" s="2"/>
      <c r="L1507" s="2"/>
      <c r="M1507" s="2"/>
      <c r="N1507" s="2"/>
      <c r="O1507" s="2">
        <v>546807</v>
      </c>
      <c r="P1507" s="2"/>
      <c r="Q1507" s="2" t="s">
        <v>10198</v>
      </c>
      <c r="R1507" s="2" t="s">
        <v>10199</v>
      </c>
      <c r="S1507" s="2" t="s">
        <v>50</v>
      </c>
      <c r="T1507" s="2" t="s">
        <v>124</v>
      </c>
      <c r="U1507" s="2" t="s">
        <v>929</v>
      </c>
      <c r="V1507" s="2" t="s">
        <v>42</v>
      </c>
      <c r="W1507" s="2">
        <v>50.1</v>
      </c>
      <c r="X1507" s="2">
        <v>60.9</v>
      </c>
      <c r="Y1507" s="2" t="s">
        <v>470</v>
      </c>
      <c r="Z1507" s="2" t="s">
        <v>10200</v>
      </c>
      <c r="AA1507" s="2">
        <v>2.5033716667738499</v>
      </c>
      <c r="AB1507" s="2">
        <v>0.527621925598181</v>
      </c>
      <c r="AC1507" s="2">
        <v>25256.318847357299</v>
      </c>
      <c r="AD1507" s="2">
        <v>6660.8588153721703</v>
      </c>
      <c r="AE1507" s="2">
        <v>24730.2648658504</v>
      </c>
      <c r="AF1507" s="2">
        <v>25943.226286653298</v>
      </c>
      <c r="AG1507" s="2">
        <v>28843.004339463001</v>
      </c>
      <c r="AH1507" s="2">
        <v>22206.174354000799</v>
      </c>
      <c r="AI1507" s="2">
        <v>22124.949304510701</v>
      </c>
      <c r="AJ1507" s="2">
        <v>27690.293933665402</v>
      </c>
      <c r="AK1507" s="2">
        <v>5885.5268054824701</v>
      </c>
      <c r="AL1507" s="2">
        <v>8942.4099664718906</v>
      </c>
      <c r="AM1507" s="2">
        <v>6474.5538670629703</v>
      </c>
      <c r="AN1507" s="2">
        <v>6201.1854280810203</v>
      </c>
      <c r="AO1507" s="2">
        <v>5827.3701754209997</v>
      </c>
      <c r="AP1507" s="2">
        <v>6634.1066497136799</v>
      </c>
    </row>
    <row r="1508" spans="1:42" ht="14.5" x14ac:dyDescent="0.35">
      <c r="A1508" s="2" t="s">
        <v>10201</v>
      </c>
      <c r="B1508" s="2">
        <v>359.094781924279</v>
      </c>
      <c r="C1508" s="2">
        <v>1.3287</v>
      </c>
      <c r="D1508" s="2" t="s">
        <v>34</v>
      </c>
      <c r="E1508" s="2" t="s">
        <v>10202</v>
      </c>
      <c r="F1508" s="2">
        <v>52817</v>
      </c>
      <c r="G1508" s="3" t="str">
        <f>HYPERLINK("http://funmeta.oebiotech.com/network/52817", "http://funmeta.oebiotech.com/network/52817")</f>
        <v>http://funmeta.oebiotech.com/network/52817</v>
      </c>
      <c r="H1508" s="2" t="s">
        <v>10203</v>
      </c>
      <c r="I1508" s="2">
        <v>44460</v>
      </c>
      <c r="J1508" s="2"/>
      <c r="K1508" s="2">
        <v>157175</v>
      </c>
      <c r="L1508" s="2" t="s">
        <v>10204</v>
      </c>
      <c r="M1508" s="2"/>
      <c r="N1508" s="2"/>
      <c r="O1508" s="2">
        <v>3229</v>
      </c>
      <c r="P1508" s="2" t="s">
        <v>10205</v>
      </c>
      <c r="Q1508" s="2" t="s">
        <v>10206</v>
      </c>
      <c r="R1508" s="2" t="s">
        <v>10207</v>
      </c>
      <c r="S1508" s="2" t="s">
        <v>491</v>
      </c>
      <c r="T1508" s="2" t="s">
        <v>3019</v>
      </c>
      <c r="U1508" s="2" t="s">
        <v>10208</v>
      </c>
      <c r="V1508" s="2" t="s">
        <v>59</v>
      </c>
      <c r="W1508" s="2">
        <v>36.299999999999997</v>
      </c>
      <c r="X1508" s="2">
        <v>0</v>
      </c>
      <c r="Y1508" s="2" t="s">
        <v>340</v>
      </c>
      <c r="Z1508" s="2" t="s">
        <v>10209</v>
      </c>
      <c r="AA1508" s="2">
        <v>9.8560469246723006</v>
      </c>
      <c r="AB1508" s="2">
        <v>0.52709256318972197</v>
      </c>
      <c r="AC1508" s="2">
        <v>29144.166455238999</v>
      </c>
      <c r="AD1508" s="2">
        <v>47449.031871442297</v>
      </c>
      <c r="AE1508" s="2">
        <v>29386.195517611599</v>
      </c>
      <c r="AF1508" s="2">
        <v>28535.2806986139</v>
      </c>
      <c r="AG1508" s="2">
        <v>28000.447672824401</v>
      </c>
      <c r="AH1508" s="2">
        <v>28494.351372220099</v>
      </c>
      <c r="AI1508" s="2">
        <v>29886.0331381959</v>
      </c>
      <c r="AJ1508" s="2">
        <v>30562.6903319679</v>
      </c>
      <c r="AK1508" s="2">
        <v>47690.816987447499</v>
      </c>
      <c r="AL1508" s="2">
        <v>46034.577783597299</v>
      </c>
      <c r="AM1508" s="2">
        <v>47942.527785720398</v>
      </c>
      <c r="AN1508" s="2">
        <v>46811.513544356101</v>
      </c>
      <c r="AO1508" s="2">
        <v>47159.182332616001</v>
      </c>
      <c r="AP1508" s="2">
        <v>49055.572794916297</v>
      </c>
    </row>
    <row r="1509" spans="1:42" ht="14.5" x14ac:dyDescent="0.35">
      <c r="A1509" s="2" t="s">
        <v>10210</v>
      </c>
      <c r="B1509" s="2">
        <v>674.32920943324996</v>
      </c>
      <c r="C1509" s="2">
        <v>7.2058833333333299</v>
      </c>
      <c r="D1509" s="2" t="s">
        <v>34</v>
      </c>
      <c r="E1509" s="2" t="s">
        <v>10211</v>
      </c>
      <c r="F1509" s="2">
        <v>27964</v>
      </c>
      <c r="G1509" s="3" t="str">
        <f>HYPERLINK("http://funmeta.oebiotech.com/network/27964", "http://funmeta.oebiotech.com/network/27964")</f>
        <v>http://funmeta.oebiotech.com/network/27964</v>
      </c>
      <c r="H1509" s="2"/>
      <c r="I1509" s="2"/>
      <c r="J1509" s="2" t="s">
        <v>10212</v>
      </c>
      <c r="K1509" s="2"/>
      <c r="L1509" s="2"/>
      <c r="M1509" s="2"/>
      <c r="N1509" s="2"/>
      <c r="O1509" s="2">
        <v>134812411</v>
      </c>
      <c r="P1509" s="2"/>
      <c r="Q1509" s="2" t="s">
        <v>10213</v>
      </c>
      <c r="R1509" s="2" t="s">
        <v>10214</v>
      </c>
      <c r="S1509" s="2" t="s">
        <v>50</v>
      </c>
      <c r="T1509" s="2" t="s">
        <v>51</v>
      </c>
      <c r="U1509" s="2" t="s">
        <v>66</v>
      </c>
      <c r="V1509" s="2" t="s">
        <v>59</v>
      </c>
      <c r="W1509" s="2">
        <v>43.4</v>
      </c>
      <c r="X1509" s="2">
        <v>26.7</v>
      </c>
      <c r="Y1509" s="2" t="s">
        <v>141</v>
      </c>
      <c r="Z1509" s="2" t="s">
        <v>10215</v>
      </c>
      <c r="AA1509" s="2">
        <v>-1.1278751292198499</v>
      </c>
      <c r="AB1509" s="2">
        <v>0.52704305318877998</v>
      </c>
      <c r="AC1509" s="2">
        <v>123196.195301919</v>
      </c>
      <c r="AD1509" s="2">
        <v>102257.755585962</v>
      </c>
      <c r="AE1509" s="2">
        <v>130936.262434173</v>
      </c>
      <c r="AF1509" s="2">
        <v>128471.075307455</v>
      </c>
      <c r="AG1509" s="2">
        <v>129149.233011541</v>
      </c>
      <c r="AH1509" s="2">
        <v>117038.46932999</v>
      </c>
      <c r="AI1509" s="2">
        <v>116410.400510544</v>
      </c>
      <c r="AJ1509" s="2">
        <v>117171.731217811</v>
      </c>
      <c r="AK1509" s="2">
        <v>104876.93662463099</v>
      </c>
      <c r="AL1509" s="2">
        <v>102948.84848945199</v>
      </c>
      <c r="AM1509" s="2">
        <v>97287.990199276304</v>
      </c>
      <c r="AN1509" s="2">
        <v>111288.39783727399</v>
      </c>
      <c r="AO1509" s="2">
        <v>103817.672015563</v>
      </c>
      <c r="AP1509" s="2">
        <v>93326.688349578399</v>
      </c>
    </row>
    <row r="1510" spans="1:42" ht="14.5" x14ac:dyDescent="0.35">
      <c r="A1510" s="2" t="s">
        <v>10216</v>
      </c>
      <c r="B1510" s="2">
        <v>537.19735242512604</v>
      </c>
      <c r="C1510" s="2">
        <v>4.0592666666666704</v>
      </c>
      <c r="D1510" s="2" t="s">
        <v>70</v>
      </c>
      <c r="E1510" s="2" t="s">
        <v>10217</v>
      </c>
      <c r="F1510" s="2">
        <v>60458</v>
      </c>
      <c r="G1510" s="3" t="str">
        <f>HYPERLINK("http://funmeta.oebiotech.com/network/60458", "http://funmeta.oebiotech.com/network/60458")</f>
        <v>http://funmeta.oebiotech.com/network/60458</v>
      </c>
      <c r="H1510" s="2" t="s">
        <v>10218</v>
      </c>
      <c r="I1510" s="2"/>
      <c r="J1510" s="2"/>
      <c r="K1510" s="2"/>
      <c r="L1510" s="2"/>
      <c r="M1510" s="2"/>
      <c r="N1510" s="2"/>
      <c r="O1510" s="2">
        <v>78173052</v>
      </c>
      <c r="P1510" s="2" t="s">
        <v>10219</v>
      </c>
      <c r="Q1510" s="2" t="s">
        <v>10220</v>
      </c>
      <c r="R1510" s="2" t="s">
        <v>10221</v>
      </c>
      <c r="S1510" s="2" t="s">
        <v>50</v>
      </c>
      <c r="T1510" s="2" t="s">
        <v>201</v>
      </c>
      <c r="U1510" s="2" t="s">
        <v>202</v>
      </c>
      <c r="V1510" s="2" t="s">
        <v>59</v>
      </c>
      <c r="W1510" s="2">
        <v>43.5</v>
      </c>
      <c r="X1510" s="2">
        <v>26.2</v>
      </c>
      <c r="Y1510" s="2" t="s">
        <v>286</v>
      </c>
      <c r="Z1510" s="2" t="s">
        <v>1342</v>
      </c>
      <c r="AA1510" s="2">
        <v>-0.73887822346183696</v>
      </c>
      <c r="AB1510" s="2">
        <v>0.52690718115392998</v>
      </c>
      <c r="AC1510" s="2">
        <v>102548.864273306</v>
      </c>
      <c r="AD1510" s="2">
        <v>125414.459291507</v>
      </c>
      <c r="AE1510" s="2">
        <v>99175.834130685704</v>
      </c>
      <c r="AF1510" s="2">
        <v>109337.579868965</v>
      </c>
      <c r="AG1510" s="2">
        <v>94663.847508327206</v>
      </c>
      <c r="AH1510" s="2">
        <v>100302.100902537</v>
      </c>
      <c r="AI1510" s="2">
        <v>107542.113318895</v>
      </c>
      <c r="AJ1510" s="2">
        <v>104271.70991042499</v>
      </c>
      <c r="AK1510" s="2">
        <v>132411.570090539</v>
      </c>
      <c r="AL1510" s="2">
        <v>120649.599517305</v>
      </c>
      <c r="AM1510" s="2">
        <v>117925.73919413899</v>
      </c>
      <c r="AN1510" s="2">
        <v>140506.309665673</v>
      </c>
      <c r="AO1510" s="2">
        <v>106933.414878194</v>
      </c>
      <c r="AP1510" s="2">
        <v>134060.122403193</v>
      </c>
    </row>
    <row r="1511" spans="1:42" ht="14.5" x14ac:dyDescent="0.35">
      <c r="A1511" s="2" t="s">
        <v>10222</v>
      </c>
      <c r="B1511" s="2">
        <v>609.12496599008</v>
      </c>
      <c r="C1511" s="2">
        <v>3.5017</v>
      </c>
      <c r="D1511" s="2" t="s">
        <v>70</v>
      </c>
      <c r="E1511" s="2" t="s">
        <v>10223</v>
      </c>
      <c r="F1511" s="2">
        <v>32024</v>
      </c>
      <c r="G1511" s="3" t="str">
        <f>HYPERLINK("http://funmeta.oebiotech.com/network/32024", "http://funmeta.oebiotech.com/network/32024")</f>
        <v>http://funmeta.oebiotech.com/network/32024</v>
      </c>
      <c r="H1511" s="2"/>
      <c r="I1511" s="2">
        <v>50353</v>
      </c>
      <c r="J1511" s="2" t="s">
        <v>10224</v>
      </c>
      <c r="K1511" s="2"/>
      <c r="L1511" s="2"/>
      <c r="M1511" s="2"/>
      <c r="N1511" s="2"/>
      <c r="O1511" s="2">
        <v>44259007</v>
      </c>
      <c r="P1511" s="2"/>
      <c r="Q1511" s="2" t="s">
        <v>10225</v>
      </c>
      <c r="R1511" s="2" t="s">
        <v>10226</v>
      </c>
      <c r="S1511" s="2" t="s">
        <v>115</v>
      </c>
      <c r="T1511" s="2" t="s">
        <v>139</v>
      </c>
      <c r="U1511" s="2" t="s">
        <v>140</v>
      </c>
      <c r="V1511" s="2" t="s">
        <v>42</v>
      </c>
      <c r="W1511" s="2">
        <v>53.6</v>
      </c>
      <c r="X1511" s="2">
        <v>75.099999999999994</v>
      </c>
      <c r="Y1511" s="2" t="s">
        <v>408</v>
      </c>
      <c r="Z1511" s="2" t="s">
        <v>10227</v>
      </c>
      <c r="AA1511" s="2">
        <v>-2.31939356229625E-2</v>
      </c>
      <c r="AB1511" s="2">
        <v>0.52684129848414596</v>
      </c>
      <c r="AC1511" s="2">
        <v>25995.699500120401</v>
      </c>
      <c r="AD1511" s="2">
        <v>48791.025089388299</v>
      </c>
      <c r="AE1511" s="2">
        <v>20326.665142546801</v>
      </c>
      <c r="AF1511" s="2">
        <v>25158.981451164302</v>
      </c>
      <c r="AG1511" s="2">
        <v>35141.029401929998</v>
      </c>
      <c r="AH1511" s="2">
        <v>24870.382402908599</v>
      </c>
      <c r="AI1511" s="2">
        <v>25254.036192444401</v>
      </c>
      <c r="AJ1511" s="2">
        <v>25223.102409728199</v>
      </c>
      <c r="AK1511" s="2">
        <v>37262.271120332203</v>
      </c>
      <c r="AL1511" s="2">
        <v>70415.122290858402</v>
      </c>
      <c r="AM1511" s="2">
        <v>50221.604102420999</v>
      </c>
      <c r="AN1511" s="2">
        <v>41479.018544119703</v>
      </c>
      <c r="AO1511" s="2">
        <v>52752.328203960802</v>
      </c>
      <c r="AP1511" s="2">
        <v>40615.806274637602</v>
      </c>
    </row>
    <row r="1512" spans="1:42" ht="14.5" x14ac:dyDescent="0.35">
      <c r="A1512" s="2" t="s">
        <v>10228</v>
      </c>
      <c r="B1512" s="2">
        <v>508.32681027712198</v>
      </c>
      <c r="C1512" s="2">
        <v>10.471816666666699</v>
      </c>
      <c r="D1512" s="2" t="s">
        <v>34</v>
      </c>
      <c r="E1512" s="2" t="s">
        <v>10229</v>
      </c>
      <c r="F1512" s="2">
        <v>64666</v>
      </c>
      <c r="G1512" s="3" t="str">
        <f>HYPERLINK("http://funmeta.oebiotech.com/network/64666", "http://funmeta.oebiotech.com/network/64666")</f>
        <v>http://funmeta.oebiotech.com/network/64666</v>
      </c>
      <c r="H1512" s="2" t="s">
        <v>10230</v>
      </c>
      <c r="I1512" s="2">
        <v>95967</v>
      </c>
      <c r="J1512" s="2"/>
      <c r="K1512" s="2"/>
      <c r="L1512" s="2"/>
      <c r="M1512" s="2"/>
      <c r="N1512" s="2"/>
      <c r="O1512" s="2">
        <v>56776316</v>
      </c>
      <c r="P1512" s="2" t="s">
        <v>10231</v>
      </c>
      <c r="Q1512" s="2" t="s">
        <v>10232</v>
      </c>
      <c r="R1512" s="2" t="s">
        <v>10233</v>
      </c>
      <c r="S1512" s="2" t="s">
        <v>50</v>
      </c>
      <c r="T1512" s="2" t="s">
        <v>201</v>
      </c>
      <c r="U1512" s="2" t="s">
        <v>636</v>
      </c>
      <c r="V1512" s="2" t="s">
        <v>59</v>
      </c>
      <c r="W1512" s="2">
        <v>38.1</v>
      </c>
      <c r="X1512" s="2">
        <v>0</v>
      </c>
      <c r="Y1512" s="2" t="s">
        <v>43</v>
      </c>
      <c r="Z1512" s="2" t="s">
        <v>10234</v>
      </c>
      <c r="AA1512" s="2">
        <v>-0.14060313028067201</v>
      </c>
      <c r="AB1512" s="2">
        <v>0.52668636017558101</v>
      </c>
      <c r="AC1512" s="2">
        <v>20443.3379474008</v>
      </c>
      <c r="AD1512" s="2">
        <v>2046.46901418275</v>
      </c>
      <c r="AE1512" s="2">
        <v>17600.816227499399</v>
      </c>
      <c r="AF1512" s="2">
        <v>21843.526915193001</v>
      </c>
      <c r="AG1512" s="2">
        <v>20801.580916264102</v>
      </c>
      <c r="AH1512" s="2">
        <v>20635.0865529941</v>
      </c>
      <c r="AI1512" s="2">
        <v>18595.493757009001</v>
      </c>
      <c r="AJ1512" s="2">
        <v>23183.523315444902</v>
      </c>
      <c r="AK1512" s="2">
        <v>2167.53633284226</v>
      </c>
      <c r="AL1512" s="2">
        <v>3499.6255868316898</v>
      </c>
      <c r="AM1512" s="2">
        <v>1123.0432037313999</v>
      </c>
      <c r="AN1512" s="2">
        <v>2100.5712358467299</v>
      </c>
      <c r="AO1512" s="2">
        <v>2323.10536147209</v>
      </c>
      <c r="AP1512" s="2">
        <v>1064.9323643723101</v>
      </c>
    </row>
    <row r="1513" spans="1:42" ht="14.5" x14ac:dyDescent="0.35">
      <c r="A1513" s="2" t="s">
        <v>10235</v>
      </c>
      <c r="B1513" s="2">
        <v>403.13642568795899</v>
      </c>
      <c r="C1513" s="2">
        <v>3.6785666666666699</v>
      </c>
      <c r="D1513" s="2" t="s">
        <v>34</v>
      </c>
      <c r="E1513" s="2" t="s">
        <v>10236</v>
      </c>
      <c r="F1513" s="2">
        <v>31557</v>
      </c>
      <c r="G1513" s="3" t="str">
        <f>HYPERLINK("http://funmeta.oebiotech.com/network/31557", "http://funmeta.oebiotech.com/network/31557")</f>
        <v>http://funmeta.oebiotech.com/network/31557</v>
      </c>
      <c r="H1513" s="2" t="s">
        <v>10237</v>
      </c>
      <c r="I1513" s="2">
        <v>44436</v>
      </c>
      <c r="J1513" s="2" t="s">
        <v>10238</v>
      </c>
      <c r="K1513" s="2">
        <v>7602</v>
      </c>
      <c r="L1513" s="2" t="s">
        <v>10239</v>
      </c>
      <c r="M1513" s="2"/>
      <c r="N1513" s="2"/>
      <c r="O1513" s="2">
        <v>72344</v>
      </c>
      <c r="P1513" s="2" t="s">
        <v>10240</v>
      </c>
      <c r="Q1513" s="2" t="s">
        <v>10241</v>
      </c>
      <c r="R1513" s="2" t="s">
        <v>10242</v>
      </c>
      <c r="S1513" s="2" t="s">
        <v>115</v>
      </c>
      <c r="T1513" s="2" t="s">
        <v>139</v>
      </c>
      <c r="U1513" s="2" t="s">
        <v>1552</v>
      </c>
      <c r="V1513" s="2" t="s">
        <v>59</v>
      </c>
      <c r="W1513" s="2">
        <v>41.7</v>
      </c>
      <c r="X1513" s="2">
        <v>18.100000000000001</v>
      </c>
      <c r="Y1513" s="2" t="s">
        <v>394</v>
      </c>
      <c r="Z1513" s="2" t="s">
        <v>10243</v>
      </c>
      <c r="AA1513" s="2">
        <v>-5.7652938098290996</v>
      </c>
      <c r="AB1513" s="2">
        <v>0.52658039238076204</v>
      </c>
      <c r="AC1513" s="2">
        <v>93179.204494284306</v>
      </c>
      <c r="AD1513" s="2">
        <v>113845.771447067</v>
      </c>
      <c r="AE1513" s="2">
        <v>91116.218327441398</v>
      </c>
      <c r="AF1513" s="2">
        <v>98526.369515336904</v>
      </c>
      <c r="AG1513" s="2">
        <v>87024.091386979402</v>
      </c>
      <c r="AH1513" s="2">
        <v>86598.577651585103</v>
      </c>
      <c r="AI1513" s="2">
        <v>102941.26976574599</v>
      </c>
      <c r="AJ1513" s="2">
        <v>92868.700318617106</v>
      </c>
      <c r="AK1513" s="2">
        <v>114297.91816664</v>
      </c>
      <c r="AL1513" s="2">
        <v>103453.19850661801</v>
      </c>
      <c r="AM1513" s="2">
        <v>114926.53942519501</v>
      </c>
      <c r="AN1513" s="2">
        <v>122885.88083610201</v>
      </c>
      <c r="AO1513" s="2">
        <v>112179.702390651</v>
      </c>
      <c r="AP1513" s="2">
        <v>115331.389357195</v>
      </c>
    </row>
    <row r="1514" spans="1:42" ht="14.5" x14ac:dyDescent="0.35">
      <c r="A1514" s="2" t="s">
        <v>10244</v>
      </c>
      <c r="B1514" s="2">
        <v>251.05474863783201</v>
      </c>
      <c r="C1514" s="2">
        <v>5.0723166666666701</v>
      </c>
      <c r="D1514" s="2" t="s">
        <v>34</v>
      </c>
      <c r="E1514" s="2" t="s">
        <v>10245</v>
      </c>
      <c r="F1514" s="2">
        <v>53872</v>
      </c>
      <c r="G1514" s="3" t="str">
        <f>HYPERLINK("http://funmeta.oebiotech.com/network/53872", "http://funmeta.oebiotech.com/network/53872")</f>
        <v>http://funmeta.oebiotech.com/network/53872</v>
      </c>
      <c r="H1514" s="2" t="s">
        <v>10246</v>
      </c>
      <c r="I1514" s="2">
        <v>23939</v>
      </c>
      <c r="J1514" s="2"/>
      <c r="K1514" s="2">
        <v>172454</v>
      </c>
      <c r="L1514" s="2"/>
      <c r="M1514" s="2"/>
      <c r="N1514" s="2"/>
      <c r="O1514" s="2">
        <v>417360</v>
      </c>
      <c r="P1514" s="2"/>
      <c r="Q1514" s="2" t="s">
        <v>10247</v>
      </c>
      <c r="R1514" s="2" t="s">
        <v>10248</v>
      </c>
      <c r="S1514" s="2" t="s">
        <v>89</v>
      </c>
      <c r="T1514" s="2" t="s">
        <v>90</v>
      </c>
      <c r="U1514" s="2" t="s">
        <v>99</v>
      </c>
      <c r="V1514" s="2" t="s">
        <v>59</v>
      </c>
      <c r="W1514" s="2">
        <v>39.1</v>
      </c>
      <c r="X1514" s="2">
        <v>0</v>
      </c>
      <c r="Y1514" s="2" t="s">
        <v>340</v>
      </c>
      <c r="Z1514" s="2" t="s">
        <v>10249</v>
      </c>
      <c r="AA1514" s="2">
        <v>3.0661145235426499</v>
      </c>
      <c r="AB1514" s="2">
        <v>0.52650291485810696</v>
      </c>
      <c r="AC1514" s="2">
        <v>9276.8125740931791</v>
      </c>
      <c r="AD1514" s="2">
        <v>27595.0989663824</v>
      </c>
      <c r="AE1514" s="2">
        <v>9052.4007003120896</v>
      </c>
      <c r="AF1514" s="2">
        <v>9394.3879230948005</v>
      </c>
      <c r="AG1514" s="2">
        <v>9987.6584311137794</v>
      </c>
      <c r="AH1514" s="2">
        <v>8672.7045990063107</v>
      </c>
      <c r="AI1514" s="2">
        <v>8603.9560609540695</v>
      </c>
      <c r="AJ1514" s="2">
        <v>9949.7677300780397</v>
      </c>
      <c r="AK1514" s="2">
        <v>28226.3522340214</v>
      </c>
      <c r="AL1514" s="2">
        <v>28875.743717331701</v>
      </c>
      <c r="AM1514" s="2">
        <v>27310.7478772867</v>
      </c>
      <c r="AN1514" s="2">
        <v>29394.721369719799</v>
      </c>
      <c r="AO1514" s="2">
        <v>26075.5217259864</v>
      </c>
      <c r="AP1514" s="2">
        <v>25687.506873948401</v>
      </c>
    </row>
    <row r="1515" spans="1:42" ht="14.5" x14ac:dyDescent="0.35">
      <c r="A1515" s="2" t="s">
        <v>10250</v>
      </c>
      <c r="B1515" s="2">
        <v>371.098176167009</v>
      </c>
      <c r="C1515" s="2">
        <v>3.7303666666666699</v>
      </c>
      <c r="D1515" s="2" t="s">
        <v>70</v>
      </c>
      <c r="E1515" s="2" t="s">
        <v>10251</v>
      </c>
      <c r="F1515" s="2">
        <v>60593</v>
      </c>
      <c r="G1515" s="3" t="str">
        <f>HYPERLINK("http://funmeta.oebiotech.com/network/60593", "http://funmeta.oebiotech.com/network/60593")</f>
        <v>http://funmeta.oebiotech.com/network/60593</v>
      </c>
      <c r="H1515" s="2" t="s">
        <v>10252</v>
      </c>
      <c r="I1515" s="2">
        <v>91925</v>
      </c>
      <c r="J1515" s="2"/>
      <c r="K1515" s="2">
        <v>168167</v>
      </c>
      <c r="L1515" s="2"/>
      <c r="M1515" s="2"/>
      <c r="N1515" s="2"/>
      <c r="O1515" s="2">
        <v>14158116</v>
      </c>
      <c r="P1515" s="2" t="s">
        <v>10253</v>
      </c>
      <c r="Q1515" s="2" t="s">
        <v>10254</v>
      </c>
      <c r="R1515" s="2" t="s">
        <v>10255</v>
      </c>
      <c r="S1515" s="2" t="s">
        <v>115</v>
      </c>
      <c r="T1515" s="2" t="s">
        <v>116</v>
      </c>
      <c r="U1515" s="2" t="s">
        <v>117</v>
      </c>
      <c r="V1515" s="2" t="s">
        <v>42</v>
      </c>
      <c r="W1515" s="2">
        <v>55.2</v>
      </c>
      <c r="X1515" s="2">
        <v>79.5</v>
      </c>
      <c r="Y1515" s="2" t="s">
        <v>408</v>
      </c>
      <c r="Z1515" s="2" t="s">
        <v>83</v>
      </c>
      <c r="AA1515" s="2">
        <v>-0.59563517568149105</v>
      </c>
      <c r="AB1515" s="2">
        <v>0.52639262114438901</v>
      </c>
      <c r="AC1515" s="2">
        <v>171543.66678692101</v>
      </c>
      <c r="AD1515" s="2">
        <v>151188.19292479299</v>
      </c>
      <c r="AE1515" s="2">
        <v>173951.069724172</v>
      </c>
      <c r="AF1515" s="2">
        <v>172167.954447809</v>
      </c>
      <c r="AG1515" s="2">
        <v>176819.710154342</v>
      </c>
      <c r="AH1515" s="2">
        <v>159735.747199303</v>
      </c>
      <c r="AI1515" s="2">
        <v>171794.79681842501</v>
      </c>
      <c r="AJ1515" s="2">
        <v>174792.72237747401</v>
      </c>
      <c r="AK1515" s="2">
        <v>145978.85459464099</v>
      </c>
      <c r="AL1515" s="2">
        <v>155327.146309829</v>
      </c>
      <c r="AM1515" s="2">
        <v>155441.37480314</v>
      </c>
      <c r="AN1515" s="2">
        <v>156713.25831588701</v>
      </c>
      <c r="AO1515" s="2">
        <v>145988.06806201101</v>
      </c>
      <c r="AP1515" s="2">
        <v>147680.455463252</v>
      </c>
    </row>
    <row r="1516" spans="1:42" ht="14.5" x14ac:dyDescent="0.35">
      <c r="A1516" s="2" t="s">
        <v>10256</v>
      </c>
      <c r="B1516" s="2">
        <v>563.39442710746198</v>
      </c>
      <c r="C1516" s="2">
        <v>11.0433</v>
      </c>
      <c r="D1516" s="2" t="s">
        <v>34</v>
      </c>
      <c r="E1516" s="2" t="s">
        <v>10257</v>
      </c>
      <c r="F1516" s="2">
        <v>247552</v>
      </c>
      <c r="G1516" s="3" t="str">
        <f>HYPERLINK("http://funmeta.oebiotech.com/network/247552", "http://funmeta.oebiotech.com/network/247552")</f>
        <v>http://funmeta.oebiotech.com/network/247552</v>
      </c>
      <c r="H1516" s="2" t="s">
        <v>10258</v>
      </c>
      <c r="I1516" s="2"/>
      <c r="J1516" s="2"/>
      <c r="K1516" s="2"/>
      <c r="L1516" s="2"/>
      <c r="M1516" s="2"/>
      <c r="N1516" s="2"/>
      <c r="O1516" s="2"/>
      <c r="P1516" s="2"/>
      <c r="Q1516" s="2" t="s">
        <v>10259</v>
      </c>
      <c r="R1516" s="2" t="s">
        <v>10260</v>
      </c>
      <c r="S1516" s="2" t="s">
        <v>41</v>
      </c>
      <c r="T1516" s="2" t="s">
        <v>41</v>
      </c>
      <c r="U1516" s="2" t="s">
        <v>41</v>
      </c>
      <c r="V1516" s="2" t="s">
        <v>59</v>
      </c>
      <c r="W1516" s="2">
        <v>38</v>
      </c>
      <c r="X1516" s="2">
        <v>0</v>
      </c>
      <c r="Y1516" s="2" t="s">
        <v>141</v>
      </c>
      <c r="Z1516" s="2" t="s">
        <v>10261</v>
      </c>
      <c r="AA1516" s="2">
        <v>0.33874207874607798</v>
      </c>
      <c r="AB1516" s="2">
        <v>0.526167011441106</v>
      </c>
      <c r="AC1516" s="2">
        <v>8197.9830632881403</v>
      </c>
      <c r="AD1516" s="2">
        <v>26562.9857190156</v>
      </c>
      <c r="AE1516" s="2">
        <v>7971.13416165945</v>
      </c>
      <c r="AF1516" s="2">
        <v>8820.3907933672708</v>
      </c>
      <c r="AG1516" s="2">
        <v>7961.6184120019898</v>
      </c>
      <c r="AH1516" s="2">
        <v>8046.5133430515498</v>
      </c>
      <c r="AI1516" s="2">
        <v>7766.8563455945996</v>
      </c>
      <c r="AJ1516" s="2">
        <v>8621.3853240539793</v>
      </c>
      <c r="AK1516" s="2">
        <v>23787.418741597099</v>
      </c>
      <c r="AL1516" s="2">
        <v>24142.3223444137</v>
      </c>
      <c r="AM1516" s="2">
        <v>28977.504364447199</v>
      </c>
      <c r="AN1516" s="2">
        <v>28555.582422635802</v>
      </c>
      <c r="AO1516" s="2">
        <v>26534.061980046601</v>
      </c>
      <c r="AP1516" s="2">
        <v>27381.024460953198</v>
      </c>
    </row>
    <row r="1517" spans="1:42" ht="14.5" x14ac:dyDescent="0.35">
      <c r="A1517" s="2" t="s">
        <v>10262</v>
      </c>
      <c r="B1517" s="2">
        <v>587.28231677976805</v>
      </c>
      <c r="C1517" s="2">
        <v>9.6898833333333307</v>
      </c>
      <c r="D1517" s="2" t="s">
        <v>34</v>
      </c>
      <c r="E1517" s="2" t="s">
        <v>10263</v>
      </c>
      <c r="F1517" s="2">
        <v>7846</v>
      </c>
      <c r="G1517" s="3" t="str">
        <f>HYPERLINK("http://funmeta.oebiotech.com/network/7846", "http://funmeta.oebiotech.com/network/7846")</f>
        <v>http://funmeta.oebiotech.com/network/7846</v>
      </c>
      <c r="H1517" s="2"/>
      <c r="I1517" s="2"/>
      <c r="J1517" s="2" t="s">
        <v>10264</v>
      </c>
      <c r="K1517" s="2"/>
      <c r="L1517" s="2"/>
      <c r="M1517" s="2"/>
      <c r="N1517" s="2"/>
      <c r="O1517" s="2">
        <v>101443310</v>
      </c>
      <c r="P1517" s="2"/>
      <c r="Q1517" s="2" t="s">
        <v>10265</v>
      </c>
      <c r="R1517" s="2" t="s">
        <v>10266</v>
      </c>
      <c r="S1517" s="2" t="s">
        <v>115</v>
      </c>
      <c r="T1517" s="2" t="s">
        <v>1384</v>
      </c>
      <c r="U1517" s="2" t="s">
        <v>41</v>
      </c>
      <c r="V1517" s="2" t="s">
        <v>42</v>
      </c>
      <c r="W1517" s="2">
        <v>48.8</v>
      </c>
      <c r="X1517" s="2">
        <v>56.1</v>
      </c>
      <c r="Y1517" s="2" t="s">
        <v>323</v>
      </c>
      <c r="Z1517" s="2" t="s">
        <v>10267</v>
      </c>
      <c r="AA1517" s="2">
        <v>-0.622915105127402</v>
      </c>
      <c r="AB1517" s="2">
        <v>0.52612909182039003</v>
      </c>
      <c r="AC1517" s="2">
        <v>18679.421484029099</v>
      </c>
      <c r="AD1517" s="2">
        <v>460.22896633364701</v>
      </c>
      <c r="AE1517" s="2">
        <v>18910.2468207323</v>
      </c>
      <c r="AF1517" s="2">
        <v>19228.9143740482</v>
      </c>
      <c r="AG1517" s="2">
        <v>18680.558059398001</v>
      </c>
      <c r="AH1517" s="2">
        <v>17877.491915979201</v>
      </c>
      <c r="AI1517" s="2">
        <v>16752.586353248102</v>
      </c>
      <c r="AJ1517" s="2">
        <v>20626.731380768899</v>
      </c>
      <c r="AK1517" s="2">
        <v>201.73441320836801</v>
      </c>
      <c r="AL1517" s="2">
        <v>424.40564020982498</v>
      </c>
      <c r="AM1517" s="2">
        <v>792.44292670788298</v>
      </c>
      <c r="AN1517" s="2">
        <v>2.7106294003980101E-5</v>
      </c>
      <c r="AO1517" s="2">
        <v>831.62841976607604</v>
      </c>
      <c r="AP1517" s="2">
        <v>511.16237100343801</v>
      </c>
    </row>
    <row r="1518" spans="1:42" ht="14.5" x14ac:dyDescent="0.35">
      <c r="A1518" s="2" t="s">
        <v>10268</v>
      </c>
      <c r="B1518" s="2">
        <v>467.21301762611898</v>
      </c>
      <c r="C1518" s="2">
        <v>3.5976333333333299</v>
      </c>
      <c r="D1518" s="2" t="s">
        <v>70</v>
      </c>
      <c r="E1518" s="2" t="s">
        <v>10269</v>
      </c>
      <c r="F1518" s="2">
        <v>10236</v>
      </c>
      <c r="G1518" s="3" t="str">
        <f>HYPERLINK("http://funmeta.oebiotech.com/network/10236", "http://funmeta.oebiotech.com/network/10236")</f>
        <v>http://funmeta.oebiotech.com/network/10236</v>
      </c>
      <c r="H1518" s="2" t="s">
        <v>10270</v>
      </c>
      <c r="I1518" s="2">
        <v>88859</v>
      </c>
      <c r="J1518" s="2" t="s">
        <v>10271</v>
      </c>
      <c r="K1518" s="2"/>
      <c r="L1518" s="2"/>
      <c r="M1518" s="2"/>
      <c r="N1518" s="2"/>
      <c r="O1518" s="2">
        <v>24094121</v>
      </c>
      <c r="P1518" s="2" t="s">
        <v>10272</v>
      </c>
      <c r="Q1518" s="2" t="s">
        <v>10273</v>
      </c>
      <c r="R1518" s="2" t="s">
        <v>10274</v>
      </c>
      <c r="S1518" s="2" t="s">
        <v>50</v>
      </c>
      <c r="T1518" s="2" t="s">
        <v>229</v>
      </c>
      <c r="U1518" s="2" t="s">
        <v>230</v>
      </c>
      <c r="V1518" s="2" t="s">
        <v>42</v>
      </c>
      <c r="W1518" s="2">
        <v>50.5</v>
      </c>
      <c r="X1518" s="2">
        <v>58.8</v>
      </c>
      <c r="Y1518" s="2" t="s">
        <v>408</v>
      </c>
      <c r="Z1518" s="2" t="s">
        <v>10275</v>
      </c>
      <c r="AA1518" s="2">
        <v>-0.90600684989703895</v>
      </c>
      <c r="AB1518" s="2">
        <v>0.52578437178334003</v>
      </c>
      <c r="AC1518" s="2">
        <v>49251.813102733897</v>
      </c>
      <c r="AD1518" s="2">
        <v>30847.5153087215</v>
      </c>
      <c r="AE1518" s="2">
        <v>49410.101580174203</v>
      </c>
      <c r="AF1518" s="2">
        <v>47664.8059286512</v>
      </c>
      <c r="AG1518" s="2">
        <v>49291.851008689198</v>
      </c>
      <c r="AH1518" s="2">
        <v>50622.625406248902</v>
      </c>
      <c r="AI1518" s="2">
        <v>51205.273490323903</v>
      </c>
      <c r="AJ1518" s="2">
        <v>47316.221202316003</v>
      </c>
      <c r="AK1518" s="2">
        <v>27709.9557344721</v>
      </c>
      <c r="AL1518" s="2">
        <v>31331.373737827998</v>
      </c>
      <c r="AM1518" s="2">
        <v>30461.157890926799</v>
      </c>
      <c r="AN1518" s="2">
        <v>32199.9931668477</v>
      </c>
      <c r="AO1518" s="2">
        <v>31474.9262049481</v>
      </c>
      <c r="AP1518" s="2">
        <v>31907.6851173061</v>
      </c>
    </row>
    <row r="1519" spans="1:42" ht="14.5" x14ac:dyDescent="0.35">
      <c r="A1519" s="2" t="s">
        <v>10276</v>
      </c>
      <c r="B1519" s="2">
        <v>353.08413020139699</v>
      </c>
      <c r="C1519" s="2">
        <v>3.6785666666666699</v>
      </c>
      <c r="D1519" s="2" t="s">
        <v>34</v>
      </c>
      <c r="E1519" s="2" t="s">
        <v>10277</v>
      </c>
      <c r="F1519" s="2">
        <v>255426</v>
      </c>
      <c r="G1519" s="3" t="str">
        <f>HYPERLINK("http://funmeta.oebiotech.com/network/255426", "http://funmeta.oebiotech.com/network/255426")</f>
        <v>http://funmeta.oebiotech.com/network/255426</v>
      </c>
      <c r="H1519" s="2" t="s">
        <v>10278</v>
      </c>
      <c r="I1519" s="2"/>
      <c r="J1519" s="2"/>
      <c r="K1519" s="2">
        <v>71512</v>
      </c>
      <c r="L1519" s="2" t="s">
        <v>10279</v>
      </c>
      <c r="M1519" s="2"/>
      <c r="N1519" s="2"/>
      <c r="O1519" s="2"/>
      <c r="P1519" s="2"/>
      <c r="Q1519" s="2" t="s">
        <v>10280</v>
      </c>
      <c r="R1519" s="2" t="s">
        <v>10281</v>
      </c>
      <c r="S1519" s="2" t="s">
        <v>115</v>
      </c>
      <c r="T1519" s="2" t="s">
        <v>9908</v>
      </c>
      <c r="U1519" s="2" t="s">
        <v>9909</v>
      </c>
      <c r="V1519" s="2" t="s">
        <v>42</v>
      </c>
      <c r="W1519" s="2">
        <v>49.9</v>
      </c>
      <c r="X1519" s="2">
        <v>54</v>
      </c>
      <c r="Y1519" s="2" t="s">
        <v>323</v>
      </c>
      <c r="Z1519" s="2" t="s">
        <v>4166</v>
      </c>
      <c r="AA1519" s="2">
        <v>-0.52297629381649002</v>
      </c>
      <c r="AB1519" s="2">
        <v>0.52573864643586199</v>
      </c>
      <c r="AC1519" s="2">
        <v>137801.434142807</v>
      </c>
      <c r="AD1519" s="2">
        <v>158910.31155368299</v>
      </c>
      <c r="AE1519" s="2">
        <v>140563.399816433</v>
      </c>
      <c r="AF1519" s="2">
        <v>138695.84239830001</v>
      </c>
      <c r="AG1519" s="2">
        <v>141986.50893692899</v>
      </c>
      <c r="AH1519" s="2">
        <v>126178.767777409</v>
      </c>
      <c r="AI1519" s="2">
        <v>133847.89385074799</v>
      </c>
      <c r="AJ1519" s="2">
        <v>145536.19207702301</v>
      </c>
      <c r="AK1519" s="2">
        <v>168180.679271998</v>
      </c>
      <c r="AL1519" s="2">
        <v>157313.17763238199</v>
      </c>
      <c r="AM1519" s="2">
        <v>156998.60291176601</v>
      </c>
      <c r="AN1519" s="2">
        <v>160197.24339941901</v>
      </c>
      <c r="AO1519" s="2">
        <v>148279.17778968901</v>
      </c>
      <c r="AP1519" s="2">
        <v>162492.988316843</v>
      </c>
    </row>
    <row r="1520" spans="1:42" ht="14.5" x14ac:dyDescent="0.35">
      <c r="A1520" s="2" t="s">
        <v>10282</v>
      </c>
      <c r="B1520" s="2">
        <v>479.15480372774698</v>
      </c>
      <c r="C1520" s="2">
        <v>4.2085666666666697</v>
      </c>
      <c r="D1520" s="2" t="s">
        <v>34</v>
      </c>
      <c r="E1520" s="2" t="s">
        <v>10283</v>
      </c>
      <c r="F1520" s="2">
        <v>209918</v>
      </c>
      <c r="G1520" s="3" t="str">
        <f>HYPERLINK("http://funmeta.oebiotech.com/network/209918", "http://funmeta.oebiotech.com/network/209918")</f>
        <v>http://funmeta.oebiotech.com/network/209918</v>
      </c>
      <c r="H1520" s="2" t="s">
        <v>10284</v>
      </c>
      <c r="I1520" s="2"/>
      <c r="J1520" s="2"/>
      <c r="K1520" s="2"/>
      <c r="L1520" s="2"/>
      <c r="M1520" s="2"/>
      <c r="N1520" s="2"/>
      <c r="O1520" s="2">
        <v>429559</v>
      </c>
      <c r="P1520" s="2"/>
      <c r="Q1520" s="2" t="s">
        <v>10285</v>
      </c>
      <c r="R1520" s="2" t="s">
        <v>10286</v>
      </c>
      <c r="S1520" s="2" t="s">
        <v>50</v>
      </c>
      <c r="T1520" s="2" t="s">
        <v>201</v>
      </c>
      <c r="U1520" s="2" t="s">
        <v>202</v>
      </c>
      <c r="V1520" s="2" t="s">
        <v>59</v>
      </c>
      <c r="W1520" s="2">
        <v>46.9</v>
      </c>
      <c r="X1520" s="2">
        <v>43.7</v>
      </c>
      <c r="Y1520" s="2" t="s">
        <v>1115</v>
      </c>
      <c r="Z1520" s="2" t="s">
        <v>7990</v>
      </c>
      <c r="AA1520" s="2">
        <v>3.1532423837302301E-2</v>
      </c>
      <c r="AB1520" s="2">
        <v>0.52508622098743596</v>
      </c>
      <c r="AC1520" s="2">
        <v>111326.360205658</v>
      </c>
      <c r="AD1520" s="2">
        <v>90731.469331209504</v>
      </c>
      <c r="AE1520" s="2">
        <v>100571.615526651</v>
      </c>
      <c r="AF1520" s="2">
        <v>110287.179635188</v>
      </c>
      <c r="AG1520" s="2">
        <v>117202.527560164</v>
      </c>
      <c r="AH1520" s="2">
        <v>117611.703982027</v>
      </c>
      <c r="AI1520" s="2">
        <v>112692.195661741</v>
      </c>
      <c r="AJ1520" s="2">
        <v>109592.93886817701</v>
      </c>
      <c r="AK1520" s="2">
        <v>88511.504878738197</v>
      </c>
      <c r="AL1520" s="2">
        <v>85154.837088131098</v>
      </c>
      <c r="AM1520" s="2">
        <v>88026.219216876794</v>
      </c>
      <c r="AN1520" s="2">
        <v>94424.338828427601</v>
      </c>
      <c r="AO1520" s="2">
        <v>87340.521266040494</v>
      </c>
      <c r="AP1520" s="2">
        <v>100931.394709043</v>
      </c>
    </row>
    <row r="1521" spans="1:42" ht="14.5" x14ac:dyDescent="0.35">
      <c r="A1521" s="2" t="s">
        <v>10287</v>
      </c>
      <c r="B1521" s="2">
        <v>794.46198191451094</v>
      </c>
      <c r="C1521" s="2">
        <v>5.7384500000000003</v>
      </c>
      <c r="D1521" s="2" t="s">
        <v>34</v>
      </c>
      <c r="E1521" s="2" t="s">
        <v>10288</v>
      </c>
      <c r="F1521" s="2">
        <v>234080</v>
      </c>
      <c r="G1521" s="3" t="str">
        <f>HYPERLINK("http://funmeta.oebiotech.com/network/234080", "http://funmeta.oebiotech.com/network/234080")</f>
        <v>http://funmeta.oebiotech.com/network/234080</v>
      </c>
      <c r="H1521" s="2" t="s">
        <v>10289</v>
      </c>
      <c r="I1521" s="2"/>
      <c r="J1521" s="2"/>
      <c r="K1521" s="2"/>
      <c r="L1521" s="2"/>
      <c r="M1521" s="2"/>
      <c r="N1521" s="2"/>
      <c r="O1521" s="2"/>
      <c r="P1521" s="2"/>
      <c r="Q1521" s="2" t="s">
        <v>10290</v>
      </c>
      <c r="R1521" s="2" t="s">
        <v>10291</v>
      </c>
      <c r="S1521" s="2" t="s">
        <v>41</v>
      </c>
      <c r="T1521" s="2" t="s">
        <v>41</v>
      </c>
      <c r="U1521" s="2" t="s">
        <v>41</v>
      </c>
      <c r="V1521" s="2" t="s">
        <v>59</v>
      </c>
      <c r="W1521" s="2">
        <v>36.200000000000003</v>
      </c>
      <c r="X1521" s="2">
        <v>0</v>
      </c>
      <c r="Y1521" s="2" t="s">
        <v>67</v>
      </c>
      <c r="Z1521" s="2" t="s">
        <v>10292</v>
      </c>
      <c r="AA1521" s="2">
        <v>2.1511693758405799</v>
      </c>
      <c r="AB1521" s="2">
        <v>0.52473031948359505</v>
      </c>
      <c r="AC1521" s="2">
        <v>33352.112819732101</v>
      </c>
      <c r="AD1521" s="2">
        <v>12264.1707781143</v>
      </c>
      <c r="AE1521" s="2">
        <v>33541.773956923404</v>
      </c>
      <c r="AF1521" s="2">
        <v>16464.3274739343</v>
      </c>
      <c r="AG1521" s="2">
        <v>37660.216291109798</v>
      </c>
      <c r="AH1521" s="2">
        <v>35129.967273110196</v>
      </c>
      <c r="AI1521" s="2">
        <v>39378.497728942399</v>
      </c>
      <c r="AJ1521" s="2">
        <v>37937.894194372297</v>
      </c>
      <c r="AK1521" s="2">
        <v>11062.308972949</v>
      </c>
      <c r="AL1521" s="2">
        <v>5186.5939471923102</v>
      </c>
      <c r="AM1521" s="2">
        <v>14732.125755601401</v>
      </c>
      <c r="AN1521" s="2">
        <v>14219.950780568101</v>
      </c>
      <c r="AO1521" s="2">
        <v>10781.9590415039</v>
      </c>
      <c r="AP1521" s="2">
        <v>17602.086170870902</v>
      </c>
    </row>
    <row r="1522" spans="1:42" ht="14.5" x14ac:dyDescent="0.35">
      <c r="A1522" s="2" t="s">
        <v>10293</v>
      </c>
      <c r="B1522" s="2">
        <v>719.253219248135</v>
      </c>
      <c r="C1522" s="2">
        <v>6.5195166666666697</v>
      </c>
      <c r="D1522" s="2" t="s">
        <v>70</v>
      </c>
      <c r="E1522" s="2" t="s">
        <v>10294</v>
      </c>
      <c r="F1522" s="2">
        <v>203801</v>
      </c>
      <c r="G1522" s="3" t="str">
        <f>HYPERLINK("http://funmeta.oebiotech.com/network/203801", "http://funmeta.oebiotech.com/network/203801")</f>
        <v>http://funmeta.oebiotech.com/network/203801</v>
      </c>
      <c r="H1522" s="2" t="s">
        <v>10295</v>
      </c>
      <c r="I1522" s="2"/>
      <c r="J1522" s="2"/>
      <c r="K1522" s="2"/>
      <c r="L1522" s="2"/>
      <c r="M1522" s="2"/>
      <c r="N1522" s="2"/>
      <c r="O1522" s="2">
        <v>2263</v>
      </c>
      <c r="P1522" s="2"/>
      <c r="Q1522" s="2" t="s">
        <v>10296</v>
      </c>
      <c r="R1522" s="2" t="s">
        <v>10297</v>
      </c>
      <c r="S1522" s="2" t="s">
        <v>50</v>
      </c>
      <c r="T1522" s="2" t="s">
        <v>201</v>
      </c>
      <c r="U1522" s="2" t="s">
        <v>210</v>
      </c>
      <c r="V1522" s="2" t="s">
        <v>59</v>
      </c>
      <c r="W1522" s="2">
        <v>43.8</v>
      </c>
      <c r="X1522" s="2">
        <v>34.299999999999997</v>
      </c>
      <c r="Y1522" s="2" t="s">
        <v>118</v>
      </c>
      <c r="Z1522" s="2" t="s">
        <v>10298</v>
      </c>
      <c r="AA1522" s="2">
        <v>-3.3871573635338801</v>
      </c>
      <c r="AB1522" s="2">
        <v>0.52438330062763305</v>
      </c>
      <c r="AC1522" s="2">
        <v>103203.975580136</v>
      </c>
      <c r="AD1522" s="2">
        <v>84050.646412337897</v>
      </c>
      <c r="AE1522" s="2">
        <v>105093.157642762</v>
      </c>
      <c r="AF1522" s="2">
        <v>101793.363142852</v>
      </c>
      <c r="AG1522" s="2">
        <v>109384.96324126799</v>
      </c>
      <c r="AH1522" s="2">
        <v>98851.848713023399</v>
      </c>
      <c r="AI1522" s="2">
        <v>99043.905456178894</v>
      </c>
      <c r="AJ1522" s="2">
        <v>105056.615284732</v>
      </c>
      <c r="AK1522" s="2">
        <v>85456.912350338098</v>
      </c>
      <c r="AL1522" s="2">
        <v>84313.032805239302</v>
      </c>
      <c r="AM1522" s="2">
        <v>89196.245406228205</v>
      </c>
      <c r="AN1522" s="2">
        <v>81289.285918587702</v>
      </c>
      <c r="AO1522" s="2">
        <v>85280.7854827626</v>
      </c>
      <c r="AP1522" s="2">
        <v>78767.616510871507</v>
      </c>
    </row>
    <row r="1523" spans="1:42" ht="14.5" x14ac:dyDescent="0.35">
      <c r="A1523" s="2" t="s">
        <v>10299</v>
      </c>
      <c r="B1523" s="2">
        <v>383.20380508750497</v>
      </c>
      <c r="C1523" s="2">
        <v>11.02375</v>
      </c>
      <c r="D1523" s="2" t="s">
        <v>34</v>
      </c>
      <c r="E1523" s="2" t="s">
        <v>10300</v>
      </c>
      <c r="F1523" s="2">
        <v>299753</v>
      </c>
      <c r="G1523" s="3" t="str">
        <f>HYPERLINK("http://funmeta.oebiotech.com/network/299753", "http://funmeta.oebiotech.com/network/299753")</f>
        <v>http://funmeta.oebiotech.com/network/299753</v>
      </c>
      <c r="H1523" s="2"/>
      <c r="I1523" s="2">
        <v>324874</v>
      </c>
      <c r="J1523" s="2"/>
      <c r="K1523" s="2"/>
      <c r="L1523" s="2"/>
      <c r="M1523" s="2"/>
      <c r="N1523" s="2"/>
      <c r="O1523" s="2">
        <v>6507</v>
      </c>
      <c r="P1523" s="2"/>
      <c r="Q1523" s="2" t="s">
        <v>10301</v>
      </c>
      <c r="R1523" s="2" t="s">
        <v>10302</v>
      </c>
      <c r="S1523" s="2" t="s">
        <v>89</v>
      </c>
      <c r="T1523" s="2" t="s">
        <v>90</v>
      </c>
      <c r="U1523" s="2" t="s">
        <v>91</v>
      </c>
      <c r="V1523" s="2" t="s">
        <v>59</v>
      </c>
      <c r="W1523" s="2">
        <v>39.299999999999997</v>
      </c>
      <c r="X1523" s="2">
        <v>0</v>
      </c>
      <c r="Y1523" s="2" t="s">
        <v>568</v>
      </c>
      <c r="Z1523" s="2" t="s">
        <v>10303</v>
      </c>
      <c r="AA1523" s="2">
        <v>-0.60784746426774094</v>
      </c>
      <c r="AB1523" s="2">
        <v>0.52366199644478995</v>
      </c>
      <c r="AC1523" s="2">
        <v>36581.489001346898</v>
      </c>
      <c r="AD1523" s="2">
        <v>54909.433179279098</v>
      </c>
      <c r="AE1523" s="2">
        <v>36223.948352778098</v>
      </c>
      <c r="AF1523" s="2">
        <v>35612.819559723997</v>
      </c>
      <c r="AG1523" s="2">
        <v>40163.203836878798</v>
      </c>
      <c r="AH1523" s="2">
        <v>37413.020679024397</v>
      </c>
      <c r="AI1523" s="2">
        <v>35190.890939632904</v>
      </c>
      <c r="AJ1523" s="2">
        <v>34885.050640043402</v>
      </c>
      <c r="AK1523" s="2">
        <v>53366.493644715003</v>
      </c>
      <c r="AL1523" s="2">
        <v>57177.208870705603</v>
      </c>
      <c r="AM1523" s="2">
        <v>56362.640558073799</v>
      </c>
      <c r="AN1523" s="2">
        <v>55416.575294652801</v>
      </c>
      <c r="AO1523" s="2">
        <v>54571.453156673102</v>
      </c>
      <c r="AP1523" s="2">
        <v>52562.227550854099</v>
      </c>
    </row>
    <row r="1524" spans="1:42" ht="14.5" x14ac:dyDescent="0.35">
      <c r="A1524" s="2" t="s">
        <v>10304</v>
      </c>
      <c r="B1524" s="2">
        <v>136.07571211177699</v>
      </c>
      <c r="C1524" s="2">
        <v>1.14655</v>
      </c>
      <c r="D1524" s="2" t="s">
        <v>34</v>
      </c>
      <c r="E1524" s="2" t="s">
        <v>10305</v>
      </c>
      <c r="F1524" s="2">
        <v>51144</v>
      </c>
      <c r="G1524" s="3" t="str">
        <f>HYPERLINK("http://funmeta.oebiotech.com/network/51144", "http://funmeta.oebiotech.com/network/51144")</f>
        <v>http://funmeta.oebiotech.com/network/51144</v>
      </c>
      <c r="H1524" s="2" t="s">
        <v>10306</v>
      </c>
      <c r="I1524" s="2">
        <v>3260</v>
      </c>
      <c r="J1524" s="2"/>
      <c r="K1524" s="2">
        <v>16562</v>
      </c>
      <c r="L1524" s="2" t="s">
        <v>10307</v>
      </c>
      <c r="M1524" s="2" t="s">
        <v>10308</v>
      </c>
      <c r="N1524" s="2" t="s">
        <v>10309</v>
      </c>
      <c r="O1524" s="2">
        <v>7680</v>
      </c>
      <c r="P1524" s="2" t="s">
        <v>10310</v>
      </c>
      <c r="Q1524" s="2" t="s">
        <v>10311</v>
      </c>
      <c r="R1524" s="2" t="s">
        <v>10312</v>
      </c>
      <c r="S1524" s="2" t="s">
        <v>148</v>
      </c>
      <c r="T1524" s="2" t="s">
        <v>149</v>
      </c>
      <c r="U1524" s="2" t="s">
        <v>3684</v>
      </c>
      <c r="V1524" s="2" t="s">
        <v>42</v>
      </c>
      <c r="W1524" s="2">
        <v>48.9</v>
      </c>
      <c r="X1524" s="2">
        <v>47.8</v>
      </c>
      <c r="Y1524" s="2" t="s">
        <v>394</v>
      </c>
      <c r="Z1524" s="2" t="s">
        <v>10313</v>
      </c>
      <c r="AA1524" s="2">
        <v>0.16115379266199301</v>
      </c>
      <c r="AB1524" s="2">
        <v>0.52357973800592605</v>
      </c>
      <c r="AC1524" s="2">
        <v>48036.016031505198</v>
      </c>
      <c r="AD1524" s="2">
        <v>68052.757384729106</v>
      </c>
      <c r="AE1524" s="2">
        <v>54900.3485202269</v>
      </c>
      <c r="AF1524" s="2">
        <v>51230.604999306997</v>
      </c>
      <c r="AG1524" s="2">
        <v>45988.643241971899</v>
      </c>
      <c r="AH1524" s="2">
        <v>44881.211804812701</v>
      </c>
      <c r="AI1524" s="2">
        <v>44175.517407473002</v>
      </c>
      <c r="AJ1524" s="2">
        <v>47039.770215239601</v>
      </c>
      <c r="AK1524" s="2">
        <v>59962.981673389499</v>
      </c>
      <c r="AL1524" s="2">
        <v>63438.099315629297</v>
      </c>
      <c r="AM1524" s="2">
        <v>65658.776437104796</v>
      </c>
      <c r="AN1524" s="2">
        <v>71090.148314092701</v>
      </c>
      <c r="AO1524" s="2">
        <v>77410.561758720403</v>
      </c>
      <c r="AP1524" s="2">
        <v>70755.9768094381</v>
      </c>
    </row>
    <row r="1525" spans="1:42" ht="14.5" x14ac:dyDescent="0.35">
      <c r="A1525" s="2" t="s">
        <v>10314</v>
      </c>
      <c r="B1525" s="2">
        <v>650.33055184863701</v>
      </c>
      <c r="C1525" s="2">
        <v>5.8651</v>
      </c>
      <c r="D1525" s="2" t="s">
        <v>34</v>
      </c>
      <c r="E1525" s="2" t="s">
        <v>10315</v>
      </c>
      <c r="F1525" s="2">
        <v>204596</v>
      </c>
      <c r="G1525" s="3" t="str">
        <f>HYPERLINK("http://funmeta.oebiotech.com/network/204596", "http://funmeta.oebiotech.com/network/204596")</f>
        <v>http://funmeta.oebiotech.com/network/204596</v>
      </c>
      <c r="H1525" s="2" t="s">
        <v>10316</v>
      </c>
      <c r="I1525" s="2"/>
      <c r="J1525" s="2"/>
      <c r="K1525" s="2"/>
      <c r="L1525" s="2"/>
      <c r="M1525" s="2"/>
      <c r="N1525" s="2"/>
      <c r="O1525" s="2">
        <v>13504014</v>
      </c>
      <c r="P1525" s="2"/>
      <c r="Q1525" s="2" t="s">
        <v>10317</v>
      </c>
      <c r="R1525" s="2" t="s">
        <v>10318</v>
      </c>
      <c r="S1525" s="2" t="s">
        <v>41</v>
      </c>
      <c r="T1525" s="2" t="s">
        <v>41</v>
      </c>
      <c r="U1525" s="2" t="s">
        <v>41</v>
      </c>
      <c r="V1525" s="2" t="s">
        <v>59</v>
      </c>
      <c r="W1525" s="2">
        <v>38.299999999999997</v>
      </c>
      <c r="X1525" s="2">
        <v>0</v>
      </c>
      <c r="Y1525" s="2" t="s">
        <v>43</v>
      </c>
      <c r="Z1525" s="2" t="s">
        <v>10319</v>
      </c>
      <c r="AA1525" s="2">
        <v>1.3896503043397199</v>
      </c>
      <c r="AB1525" s="2">
        <v>0.52306246113184196</v>
      </c>
      <c r="AC1525" s="2">
        <v>40907.5331865915</v>
      </c>
      <c r="AD1525" s="2">
        <v>60578.396838590001</v>
      </c>
      <c r="AE1525" s="2">
        <v>37653.668932442903</v>
      </c>
      <c r="AF1525" s="2">
        <v>47524.755645192599</v>
      </c>
      <c r="AG1525" s="2">
        <v>37186.162977840402</v>
      </c>
      <c r="AH1525" s="2">
        <v>40921.040506542697</v>
      </c>
      <c r="AI1525" s="2">
        <v>41499.588914080399</v>
      </c>
      <c r="AJ1525" s="2">
        <v>40659.982143449997</v>
      </c>
      <c r="AK1525" s="2">
        <v>55245.522266027998</v>
      </c>
      <c r="AL1525" s="2">
        <v>71092.130736199397</v>
      </c>
      <c r="AM1525" s="2">
        <v>56724.1165475503</v>
      </c>
      <c r="AN1525" s="2">
        <v>61912.898375758603</v>
      </c>
      <c r="AO1525" s="2">
        <v>59136.651603054401</v>
      </c>
      <c r="AP1525" s="2">
        <v>59359.061502949102</v>
      </c>
    </row>
    <row r="1526" spans="1:42" ht="14.5" x14ac:dyDescent="0.35">
      <c r="A1526" s="2" t="s">
        <v>10320</v>
      </c>
      <c r="B1526" s="2">
        <v>289.03211929380598</v>
      </c>
      <c r="C1526" s="2">
        <v>0.73909999999999998</v>
      </c>
      <c r="D1526" s="2" t="s">
        <v>70</v>
      </c>
      <c r="E1526" s="2" t="s">
        <v>10321</v>
      </c>
      <c r="F1526" s="2">
        <v>47378</v>
      </c>
      <c r="G1526" s="3" t="str">
        <f>HYPERLINK("http://funmeta.oebiotech.com/network/47378", "http://funmeta.oebiotech.com/network/47378")</f>
        <v>http://funmeta.oebiotech.com/network/47378</v>
      </c>
      <c r="H1526" s="2" t="s">
        <v>10322</v>
      </c>
      <c r="I1526" s="2"/>
      <c r="J1526" s="2"/>
      <c r="K1526" s="2">
        <v>133983</v>
      </c>
      <c r="L1526" s="2" t="s">
        <v>10323</v>
      </c>
      <c r="M1526" s="2" t="s">
        <v>10324</v>
      </c>
      <c r="N1526" s="2" t="s">
        <v>10325</v>
      </c>
      <c r="O1526" s="2">
        <v>92042786</v>
      </c>
      <c r="P1526" s="2" t="s">
        <v>10326</v>
      </c>
      <c r="Q1526" s="2" t="s">
        <v>10327</v>
      </c>
      <c r="R1526" s="2" t="s">
        <v>10328</v>
      </c>
      <c r="S1526" s="2" t="s">
        <v>79</v>
      </c>
      <c r="T1526" s="2" t="s">
        <v>80</v>
      </c>
      <c r="U1526" s="2" t="s">
        <v>81</v>
      </c>
      <c r="V1526" s="2" t="s">
        <v>42</v>
      </c>
      <c r="W1526" s="2">
        <v>48.8</v>
      </c>
      <c r="X1526" s="2">
        <v>54.5</v>
      </c>
      <c r="Y1526" s="2" t="s">
        <v>118</v>
      </c>
      <c r="Z1526" s="2" t="s">
        <v>10329</v>
      </c>
      <c r="AA1526" s="2">
        <v>-3.0601985152404598</v>
      </c>
      <c r="AB1526" s="2">
        <v>0.52303053914230702</v>
      </c>
      <c r="AC1526" s="2">
        <v>159932.75133678</v>
      </c>
      <c r="AD1526" s="2">
        <v>192149.90130705401</v>
      </c>
      <c r="AE1526" s="2">
        <v>178818.76813724401</v>
      </c>
      <c r="AF1526" s="2">
        <v>182238.07878382501</v>
      </c>
      <c r="AG1526" s="2">
        <v>189711.61028725799</v>
      </c>
      <c r="AH1526" s="2">
        <v>133264.259554966</v>
      </c>
      <c r="AI1526" s="2">
        <v>134485.385114262</v>
      </c>
      <c r="AJ1526" s="2">
        <v>141078.406143122</v>
      </c>
      <c r="AK1526" s="2">
        <v>196120.02453701</v>
      </c>
      <c r="AL1526" s="2">
        <v>208914.20477471399</v>
      </c>
      <c r="AM1526" s="2">
        <v>206751.526317765</v>
      </c>
      <c r="AN1526" s="2">
        <v>202952.341247592</v>
      </c>
      <c r="AO1526" s="2">
        <v>196122.89078384699</v>
      </c>
      <c r="AP1526" s="2">
        <v>142038.42018139601</v>
      </c>
    </row>
    <row r="1527" spans="1:42" ht="14.5" x14ac:dyDescent="0.35">
      <c r="A1527" s="2" t="s">
        <v>10330</v>
      </c>
      <c r="B1527" s="2">
        <v>400.94442119516998</v>
      </c>
      <c r="C1527" s="2">
        <v>1.3161166666666699</v>
      </c>
      <c r="D1527" s="2" t="s">
        <v>70</v>
      </c>
      <c r="E1527" s="2" t="s">
        <v>10331</v>
      </c>
      <c r="F1527" s="2">
        <v>47185</v>
      </c>
      <c r="G1527" s="3" t="str">
        <f>HYPERLINK("http://funmeta.oebiotech.com/network/47185", "http://funmeta.oebiotech.com/network/47185")</f>
        <v>http://funmeta.oebiotech.com/network/47185</v>
      </c>
      <c r="H1527" s="2" t="s">
        <v>10332</v>
      </c>
      <c r="I1527" s="2">
        <v>5699</v>
      </c>
      <c r="J1527" s="2"/>
      <c r="K1527" s="2">
        <v>27891</v>
      </c>
      <c r="L1527" s="2" t="s">
        <v>10333</v>
      </c>
      <c r="M1527" s="2" t="s">
        <v>10334</v>
      </c>
      <c r="N1527" s="2" t="s">
        <v>10335</v>
      </c>
      <c r="O1527" s="2">
        <v>115015</v>
      </c>
      <c r="P1527" s="2" t="s">
        <v>10336</v>
      </c>
      <c r="Q1527" s="2" t="s">
        <v>10337</v>
      </c>
      <c r="R1527" s="2" t="s">
        <v>10338</v>
      </c>
      <c r="S1527" s="2" t="s">
        <v>89</v>
      </c>
      <c r="T1527" s="2" t="s">
        <v>90</v>
      </c>
      <c r="U1527" s="2" t="s">
        <v>99</v>
      </c>
      <c r="V1527" s="2" t="s">
        <v>59</v>
      </c>
      <c r="W1527" s="2">
        <v>43.8</v>
      </c>
      <c r="X1527" s="2">
        <v>35</v>
      </c>
      <c r="Y1527" s="2" t="s">
        <v>560</v>
      </c>
      <c r="Z1527" s="2" t="s">
        <v>10339</v>
      </c>
      <c r="AA1527" s="2">
        <v>-3.5601837836601602</v>
      </c>
      <c r="AB1527" s="2">
        <v>0.52278700302708903</v>
      </c>
      <c r="AC1527" s="2">
        <v>387037.23766460799</v>
      </c>
      <c r="AD1527" s="2">
        <v>417037.10163021798</v>
      </c>
      <c r="AE1527" s="2">
        <v>396756.927200148</v>
      </c>
      <c r="AF1527" s="2">
        <v>380348.73786928999</v>
      </c>
      <c r="AG1527" s="2">
        <v>396609.30451118603</v>
      </c>
      <c r="AH1527" s="2">
        <v>390299.23566333501</v>
      </c>
      <c r="AI1527" s="2">
        <v>389147.89247199602</v>
      </c>
      <c r="AJ1527" s="2">
        <v>369061.32827169501</v>
      </c>
      <c r="AK1527" s="2">
        <v>445060.67846174299</v>
      </c>
      <c r="AL1527" s="2">
        <v>410370.27283914102</v>
      </c>
      <c r="AM1527" s="2">
        <v>365338.199577844</v>
      </c>
      <c r="AN1527" s="2">
        <v>430189.41084464698</v>
      </c>
      <c r="AO1527" s="2">
        <v>440369.54130991502</v>
      </c>
      <c r="AP1527" s="2">
        <v>410894.50674801797</v>
      </c>
    </row>
    <row r="1528" spans="1:42" ht="14.5" x14ac:dyDescent="0.35">
      <c r="A1528" s="2" t="s">
        <v>10340</v>
      </c>
      <c r="B1528" s="2">
        <v>507.27243110825498</v>
      </c>
      <c r="C1528" s="2">
        <v>10.9548666666667</v>
      </c>
      <c r="D1528" s="2" t="s">
        <v>70</v>
      </c>
      <c r="E1528" s="2" t="s">
        <v>10341</v>
      </c>
      <c r="F1528" s="2">
        <v>23676</v>
      </c>
      <c r="G1528" s="3" t="str">
        <f>HYPERLINK("http://funmeta.oebiotech.com/network/23676", "http://funmeta.oebiotech.com/network/23676")</f>
        <v>http://funmeta.oebiotech.com/network/23676</v>
      </c>
      <c r="H1528" s="2" t="s">
        <v>10342</v>
      </c>
      <c r="I1528" s="2">
        <v>80002</v>
      </c>
      <c r="J1528" s="2" t="s">
        <v>10343</v>
      </c>
      <c r="K1528" s="2"/>
      <c r="L1528" s="2"/>
      <c r="M1528" s="2"/>
      <c r="N1528" s="2"/>
      <c r="O1528" s="2">
        <v>52927437</v>
      </c>
      <c r="P1528" s="2" t="s">
        <v>10344</v>
      </c>
      <c r="Q1528" s="2" t="s">
        <v>10345</v>
      </c>
      <c r="R1528" s="2" t="s">
        <v>10346</v>
      </c>
      <c r="S1528" s="2" t="s">
        <v>50</v>
      </c>
      <c r="T1528" s="2" t="s">
        <v>51</v>
      </c>
      <c r="U1528" s="2" t="s">
        <v>738</v>
      </c>
      <c r="V1528" s="2" t="s">
        <v>59</v>
      </c>
      <c r="W1528" s="2">
        <v>45.3</v>
      </c>
      <c r="X1528" s="2">
        <v>32.700000000000003</v>
      </c>
      <c r="Y1528" s="2" t="s">
        <v>118</v>
      </c>
      <c r="Z1528" s="2" t="s">
        <v>10347</v>
      </c>
      <c r="AA1528" s="2">
        <v>-0.81079097827844304</v>
      </c>
      <c r="AB1528" s="2">
        <v>0.52236614921131896</v>
      </c>
      <c r="AC1528" s="2">
        <v>19186.858412578898</v>
      </c>
      <c r="AD1528" s="2">
        <v>38374.348075566697</v>
      </c>
      <c r="AE1528" s="2">
        <v>22546.936724829498</v>
      </c>
      <c r="AF1528" s="2">
        <v>18721.3224489557</v>
      </c>
      <c r="AG1528" s="2">
        <v>20028.2578940208</v>
      </c>
      <c r="AH1528" s="2">
        <v>19304.1525403013</v>
      </c>
      <c r="AI1528" s="2">
        <v>17109.131694200201</v>
      </c>
      <c r="AJ1528" s="2">
        <v>17411.3491731662</v>
      </c>
      <c r="AK1528" s="2">
        <v>44737.946726224996</v>
      </c>
      <c r="AL1528" s="2">
        <v>37723.040220559102</v>
      </c>
      <c r="AM1528" s="2">
        <v>40147.543827987298</v>
      </c>
      <c r="AN1528" s="2">
        <v>31364.414695153901</v>
      </c>
      <c r="AO1528" s="2">
        <v>33643.470279391702</v>
      </c>
      <c r="AP1528" s="2">
        <v>42629.672704083401</v>
      </c>
    </row>
    <row r="1529" spans="1:42" ht="14.5" x14ac:dyDescent="0.35">
      <c r="A1529" s="2" t="s">
        <v>10348</v>
      </c>
      <c r="B1529" s="2">
        <v>736.53272379328598</v>
      </c>
      <c r="C1529" s="2">
        <v>14.575049999999999</v>
      </c>
      <c r="D1529" s="2" t="s">
        <v>34</v>
      </c>
      <c r="E1529" s="2" t="s">
        <v>10349</v>
      </c>
      <c r="F1529" s="2">
        <v>40016</v>
      </c>
      <c r="G1529" s="3" t="str">
        <f>HYPERLINK("http://funmeta.oebiotech.com/network/40016", "http://funmeta.oebiotech.com/network/40016")</f>
        <v>http://funmeta.oebiotech.com/network/40016</v>
      </c>
      <c r="H1529" s="2"/>
      <c r="I1529" s="2"/>
      <c r="J1529" s="2" t="s">
        <v>10350</v>
      </c>
      <c r="K1529" s="2"/>
      <c r="L1529" s="2"/>
      <c r="M1529" s="2"/>
      <c r="N1529" s="2"/>
      <c r="O1529" s="2">
        <v>127034832</v>
      </c>
      <c r="P1529" s="2"/>
      <c r="Q1529" s="2" t="s">
        <v>10351</v>
      </c>
      <c r="R1529" s="2" t="s">
        <v>10352</v>
      </c>
      <c r="S1529" s="2" t="s">
        <v>50</v>
      </c>
      <c r="T1529" s="2" t="s">
        <v>229</v>
      </c>
      <c r="U1529" s="2" t="s">
        <v>230</v>
      </c>
      <c r="V1529" s="2" t="s">
        <v>59</v>
      </c>
      <c r="W1529" s="2">
        <v>39.700000000000003</v>
      </c>
      <c r="X1529" s="2">
        <v>9.19</v>
      </c>
      <c r="Y1529" s="2" t="s">
        <v>323</v>
      </c>
      <c r="Z1529" s="2" t="s">
        <v>8104</v>
      </c>
      <c r="AA1529" s="2">
        <v>-0.95281107953805</v>
      </c>
      <c r="AB1529" s="2">
        <v>0.52234502723123399</v>
      </c>
      <c r="AC1529" s="2">
        <v>220048.128781801</v>
      </c>
      <c r="AD1529" s="2">
        <v>246123.767407729</v>
      </c>
      <c r="AE1529" s="2">
        <v>207763.74276090399</v>
      </c>
      <c r="AF1529" s="2">
        <v>237252.621781728</v>
      </c>
      <c r="AG1529" s="2">
        <v>238829.570228392</v>
      </c>
      <c r="AH1529" s="2">
        <v>211173.566553596</v>
      </c>
      <c r="AI1529" s="2">
        <v>203436.50958779699</v>
      </c>
      <c r="AJ1529" s="2">
        <v>221832.761778391</v>
      </c>
      <c r="AK1529" s="2">
        <v>252609.015359382</v>
      </c>
      <c r="AL1529" s="2">
        <v>267445.85961197701</v>
      </c>
      <c r="AM1529" s="2">
        <v>241175.117831518</v>
      </c>
      <c r="AN1529" s="2">
        <v>236371.72565232901</v>
      </c>
      <c r="AO1529" s="2">
        <v>251437.90505339499</v>
      </c>
      <c r="AP1529" s="2">
        <v>227702.98093777301</v>
      </c>
    </row>
    <row r="1530" spans="1:42" ht="14.5" x14ac:dyDescent="0.35">
      <c r="A1530" s="2" t="s">
        <v>10353</v>
      </c>
      <c r="B1530" s="2">
        <v>677.32882077776799</v>
      </c>
      <c r="C1530" s="2">
        <v>6.3111666666666704</v>
      </c>
      <c r="D1530" s="2" t="s">
        <v>70</v>
      </c>
      <c r="E1530" s="2" t="s">
        <v>10354</v>
      </c>
      <c r="F1530" s="2">
        <v>219713</v>
      </c>
      <c r="G1530" s="3" t="str">
        <f>HYPERLINK("http://funmeta.oebiotech.com/network/219713", "http://funmeta.oebiotech.com/network/219713")</f>
        <v>http://funmeta.oebiotech.com/network/219713</v>
      </c>
      <c r="H1530" s="2" t="s">
        <v>10355</v>
      </c>
      <c r="I1530" s="2"/>
      <c r="J1530" s="2"/>
      <c r="K1530" s="2"/>
      <c r="L1530" s="2"/>
      <c r="M1530" s="2"/>
      <c r="N1530" s="2"/>
      <c r="O1530" s="2"/>
      <c r="P1530" s="2"/>
      <c r="Q1530" s="2" t="s">
        <v>10356</v>
      </c>
      <c r="R1530" s="2" t="s">
        <v>10357</v>
      </c>
      <c r="S1530" s="2" t="s">
        <v>41</v>
      </c>
      <c r="T1530" s="2" t="s">
        <v>41</v>
      </c>
      <c r="U1530" s="2" t="s">
        <v>41</v>
      </c>
      <c r="V1530" s="2" t="s">
        <v>59</v>
      </c>
      <c r="W1530" s="2">
        <v>38.4</v>
      </c>
      <c r="X1530" s="2">
        <v>0</v>
      </c>
      <c r="Y1530" s="2" t="s">
        <v>408</v>
      </c>
      <c r="Z1530" s="2" t="s">
        <v>10358</v>
      </c>
      <c r="AA1530" s="2">
        <v>-3.0541478599660601</v>
      </c>
      <c r="AB1530" s="2">
        <v>0.52182716381327998</v>
      </c>
      <c r="AC1530" s="2">
        <v>20128.399514001601</v>
      </c>
      <c r="AD1530" s="2">
        <v>38145.128029298001</v>
      </c>
      <c r="AE1530" s="2">
        <v>20028.551056085002</v>
      </c>
      <c r="AF1530" s="2">
        <v>19311.278940034899</v>
      </c>
      <c r="AG1530" s="2">
        <v>19665.488024673999</v>
      </c>
      <c r="AH1530" s="2">
        <v>20022.013230773999</v>
      </c>
      <c r="AI1530" s="2">
        <v>20403.966864607901</v>
      </c>
      <c r="AJ1530" s="2">
        <v>21339.098967833601</v>
      </c>
      <c r="AK1530" s="2">
        <v>36288.442089232798</v>
      </c>
      <c r="AL1530" s="2">
        <v>37635.302591956199</v>
      </c>
      <c r="AM1530" s="2">
        <v>40620.054889144303</v>
      </c>
      <c r="AN1530" s="2">
        <v>39047.461759294602</v>
      </c>
      <c r="AO1530" s="2">
        <v>39326.1887450918</v>
      </c>
      <c r="AP1530" s="2">
        <v>35953.318101068398</v>
      </c>
    </row>
    <row r="1531" spans="1:42" ht="14.5" x14ac:dyDescent="0.35">
      <c r="A1531" s="2" t="s">
        <v>10359</v>
      </c>
      <c r="B1531" s="2">
        <v>297.16987476450299</v>
      </c>
      <c r="C1531" s="2">
        <v>4.64978333333333</v>
      </c>
      <c r="D1531" s="2" t="s">
        <v>34</v>
      </c>
      <c r="E1531" s="2" t="s">
        <v>10360</v>
      </c>
      <c r="F1531" s="2">
        <v>54731</v>
      </c>
      <c r="G1531" s="3" t="str">
        <f>HYPERLINK("http://funmeta.oebiotech.com/network/54731", "http://funmeta.oebiotech.com/network/54731")</f>
        <v>http://funmeta.oebiotech.com/network/54731</v>
      </c>
      <c r="H1531" s="2" t="s">
        <v>10361</v>
      </c>
      <c r="I1531" s="2">
        <v>86543</v>
      </c>
      <c r="J1531" s="2"/>
      <c r="K1531" s="2">
        <v>172544</v>
      </c>
      <c r="L1531" s="2"/>
      <c r="M1531" s="2"/>
      <c r="N1531" s="2"/>
      <c r="O1531" s="2">
        <v>10710378</v>
      </c>
      <c r="P1531" s="2" t="s">
        <v>10362</v>
      </c>
      <c r="Q1531" s="2" t="s">
        <v>10363</v>
      </c>
      <c r="R1531" s="2" t="s">
        <v>10364</v>
      </c>
      <c r="S1531" s="2" t="s">
        <v>50</v>
      </c>
      <c r="T1531" s="2" t="s">
        <v>201</v>
      </c>
      <c r="U1531" s="2" t="s">
        <v>202</v>
      </c>
      <c r="V1531" s="2" t="s">
        <v>59</v>
      </c>
      <c r="W1531" s="2">
        <v>37.4</v>
      </c>
      <c r="X1531" s="2">
        <v>0</v>
      </c>
      <c r="Y1531" s="2" t="s">
        <v>266</v>
      </c>
      <c r="Z1531" s="2" t="s">
        <v>10365</v>
      </c>
      <c r="AA1531" s="2">
        <v>0.71445785246316496</v>
      </c>
      <c r="AB1531" s="2">
        <v>0.52161051890723298</v>
      </c>
      <c r="AC1531" s="2">
        <v>49839.627770011299</v>
      </c>
      <c r="AD1531" s="2">
        <v>67959.054752906202</v>
      </c>
      <c r="AE1531" s="2">
        <v>50514.040025042203</v>
      </c>
      <c r="AF1531" s="2">
        <v>50791.597473119997</v>
      </c>
      <c r="AG1531" s="2">
        <v>49069.060468309297</v>
      </c>
      <c r="AH1531" s="2">
        <v>48837.292596007603</v>
      </c>
      <c r="AI1531" s="2">
        <v>47509.740082114098</v>
      </c>
      <c r="AJ1531" s="2">
        <v>52316.0359754745</v>
      </c>
      <c r="AK1531" s="2">
        <v>67468.273077864797</v>
      </c>
      <c r="AL1531" s="2">
        <v>69104.080807830906</v>
      </c>
      <c r="AM1531" s="2">
        <v>69530.444718487794</v>
      </c>
      <c r="AN1531" s="2">
        <v>68869.491292036095</v>
      </c>
      <c r="AO1531" s="2">
        <v>67511.284875383295</v>
      </c>
      <c r="AP1531" s="2">
        <v>65270.753745834401</v>
      </c>
    </row>
    <row r="1532" spans="1:42" ht="14.5" x14ac:dyDescent="0.35">
      <c r="A1532" s="2" t="s">
        <v>10366</v>
      </c>
      <c r="B1532" s="2">
        <v>361.11390046139098</v>
      </c>
      <c r="C1532" s="2">
        <v>3.8614999999999999</v>
      </c>
      <c r="D1532" s="2" t="s">
        <v>70</v>
      </c>
      <c r="E1532" s="2" t="s">
        <v>10367</v>
      </c>
      <c r="F1532" s="2">
        <v>256640</v>
      </c>
      <c r="G1532" s="3" t="str">
        <f>HYPERLINK("http://funmeta.oebiotech.com/network/256640", "http://funmeta.oebiotech.com/network/256640")</f>
        <v>http://funmeta.oebiotech.com/network/256640</v>
      </c>
      <c r="H1532" s="2" t="s">
        <v>10368</v>
      </c>
      <c r="I1532" s="2"/>
      <c r="J1532" s="2"/>
      <c r="K1532" s="2"/>
      <c r="L1532" s="2"/>
      <c r="M1532" s="2"/>
      <c r="N1532" s="2"/>
      <c r="O1532" s="2">
        <v>14158111</v>
      </c>
      <c r="P1532" s="2"/>
      <c r="Q1532" s="2" t="s">
        <v>10369</v>
      </c>
      <c r="R1532" s="2" t="s">
        <v>10370</v>
      </c>
      <c r="S1532" s="2" t="s">
        <v>79</v>
      </c>
      <c r="T1532" s="2" t="s">
        <v>80</v>
      </c>
      <c r="U1532" s="2" t="s">
        <v>81</v>
      </c>
      <c r="V1532" s="2" t="s">
        <v>59</v>
      </c>
      <c r="W1532" s="2">
        <v>47</v>
      </c>
      <c r="X1532" s="2">
        <v>38.200000000000003</v>
      </c>
      <c r="Y1532" s="2" t="s">
        <v>408</v>
      </c>
      <c r="Z1532" s="2" t="s">
        <v>9927</v>
      </c>
      <c r="AA1532" s="2">
        <v>-0.37962823110030303</v>
      </c>
      <c r="AB1532" s="2">
        <v>0.52158995285028198</v>
      </c>
      <c r="AC1532" s="2">
        <v>89002.781666928306</v>
      </c>
      <c r="AD1532" s="2">
        <v>108248.972352406</v>
      </c>
      <c r="AE1532" s="2">
        <v>91249.407953341695</v>
      </c>
      <c r="AF1532" s="2">
        <v>90991.974651291603</v>
      </c>
      <c r="AG1532" s="2">
        <v>90545.315194147595</v>
      </c>
      <c r="AH1532" s="2">
        <v>81776.0424697985</v>
      </c>
      <c r="AI1532" s="2">
        <v>84090.760392766097</v>
      </c>
      <c r="AJ1532" s="2">
        <v>95363.189340224504</v>
      </c>
      <c r="AK1532" s="2">
        <v>104496.699570358</v>
      </c>
      <c r="AL1532" s="2">
        <v>110558.581422923</v>
      </c>
      <c r="AM1532" s="2">
        <v>109810.66720673699</v>
      </c>
      <c r="AN1532" s="2">
        <v>111809.40615523601</v>
      </c>
      <c r="AO1532" s="2">
        <v>105470.430192265</v>
      </c>
      <c r="AP1532" s="2">
        <v>107348.049566917</v>
      </c>
    </row>
    <row r="1533" spans="1:42" ht="14.5" x14ac:dyDescent="0.35">
      <c r="A1533" s="2" t="s">
        <v>10371</v>
      </c>
      <c r="B1533" s="2">
        <v>333.203462659526</v>
      </c>
      <c r="C1533" s="2">
        <v>9.39025</v>
      </c>
      <c r="D1533" s="2" t="s">
        <v>34</v>
      </c>
      <c r="E1533" s="2" t="s">
        <v>10372</v>
      </c>
      <c r="F1533" s="2">
        <v>3007</v>
      </c>
      <c r="G1533" s="3" t="str">
        <f>HYPERLINK("http://funmeta.oebiotech.com/network/3007", "http://funmeta.oebiotech.com/network/3007")</f>
        <v>http://funmeta.oebiotech.com/network/3007</v>
      </c>
      <c r="H1533" s="2" t="s">
        <v>10373</v>
      </c>
      <c r="I1533" s="2">
        <v>36052</v>
      </c>
      <c r="J1533" s="2" t="s">
        <v>10374</v>
      </c>
      <c r="K1533" s="2">
        <v>48905</v>
      </c>
      <c r="L1533" s="2" t="s">
        <v>10375</v>
      </c>
      <c r="M1533" s="2" t="s">
        <v>5653</v>
      </c>
      <c r="N1533" s="2" t="s">
        <v>5654</v>
      </c>
      <c r="O1533" s="2">
        <v>5497123</v>
      </c>
      <c r="P1533" s="2" t="s">
        <v>10376</v>
      </c>
      <c r="Q1533" s="2" t="s">
        <v>10377</v>
      </c>
      <c r="R1533" s="2" t="s">
        <v>10378</v>
      </c>
      <c r="S1533" s="2" t="s">
        <v>50</v>
      </c>
      <c r="T1533" s="2" t="s">
        <v>229</v>
      </c>
      <c r="U1533" s="2" t="s">
        <v>1360</v>
      </c>
      <c r="V1533" s="2" t="s">
        <v>42</v>
      </c>
      <c r="W1533" s="2">
        <v>53.6</v>
      </c>
      <c r="X1533" s="2">
        <v>72.8</v>
      </c>
      <c r="Y1533" s="2" t="s">
        <v>2498</v>
      </c>
      <c r="Z1533" s="2" t="s">
        <v>6441</v>
      </c>
      <c r="AA1533" s="2">
        <v>-0.539822809510486</v>
      </c>
      <c r="AB1533" s="2">
        <v>0.52114768891424301</v>
      </c>
      <c r="AC1533" s="2">
        <v>430448.91714403901</v>
      </c>
      <c r="AD1533" s="2">
        <v>457583.49346950202</v>
      </c>
      <c r="AE1533" s="2">
        <v>436528.68790688697</v>
      </c>
      <c r="AF1533" s="2">
        <v>439657.07958127698</v>
      </c>
      <c r="AG1533" s="2">
        <v>432653.74083528703</v>
      </c>
      <c r="AH1533" s="2">
        <v>430684.135736736</v>
      </c>
      <c r="AI1533" s="2">
        <v>423068.34517666203</v>
      </c>
      <c r="AJ1533" s="2">
        <v>420101.513627387</v>
      </c>
      <c r="AK1533" s="2">
        <v>497262.52917313302</v>
      </c>
      <c r="AL1533" s="2">
        <v>468027.59333459602</v>
      </c>
      <c r="AM1533" s="2">
        <v>443826.54059769597</v>
      </c>
      <c r="AN1533" s="2">
        <v>444211.63228029403</v>
      </c>
      <c r="AO1533" s="2">
        <v>455642.64852016902</v>
      </c>
      <c r="AP1533" s="2">
        <v>436530.01691112202</v>
      </c>
    </row>
    <row r="1534" spans="1:42" ht="14.5" x14ac:dyDescent="0.35">
      <c r="A1534" s="2" t="s">
        <v>10379</v>
      </c>
      <c r="B1534" s="2">
        <v>499.14227596867403</v>
      </c>
      <c r="C1534" s="2">
        <v>3.5301</v>
      </c>
      <c r="D1534" s="2" t="s">
        <v>34</v>
      </c>
      <c r="E1534" s="2" t="s">
        <v>10380</v>
      </c>
      <c r="F1534" s="2">
        <v>213037</v>
      </c>
      <c r="G1534" s="3" t="str">
        <f>HYPERLINK("http://funmeta.oebiotech.com/network/213037", "http://funmeta.oebiotech.com/network/213037")</f>
        <v>http://funmeta.oebiotech.com/network/213037</v>
      </c>
      <c r="H1534" s="2" t="s">
        <v>10381</v>
      </c>
      <c r="I1534" s="2"/>
      <c r="J1534" s="2"/>
      <c r="K1534" s="2"/>
      <c r="L1534" s="2"/>
      <c r="M1534" s="2"/>
      <c r="N1534" s="2"/>
      <c r="O1534" s="2">
        <v>495172</v>
      </c>
      <c r="P1534" s="2"/>
      <c r="Q1534" s="2" t="s">
        <v>10382</v>
      </c>
      <c r="R1534" s="2" t="s">
        <v>10383</v>
      </c>
      <c r="S1534" s="2" t="s">
        <v>79</v>
      </c>
      <c r="T1534" s="2" t="s">
        <v>80</v>
      </c>
      <c r="U1534" s="2" t="s">
        <v>81</v>
      </c>
      <c r="V1534" s="2" t="s">
        <v>59</v>
      </c>
      <c r="W1534" s="2">
        <v>42</v>
      </c>
      <c r="X1534" s="2">
        <v>20.5</v>
      </c>
      <c r="Y1534" s="2" t="s">
        <v>67</v>
      </c>
      <c r="Z1534" s="2" t="s">
        <v>10384</v>
      </c>
      <c r="AA1534" s="2">
        <v>-4.7002126401964004</v>
      </c>
      <c r="AB1534" s="2">
        <v>0.521022089665234</v>
      </c>
      <c r="AC1534" s="2">
        <v>123986.08854519601</v>
      </c>
      <c r="AD1534" s="2">
        <v>103089.732264908</v>
      </c>
      <c r="AE1534" s="2">
        <v>128559.12951887101</v>
      </c>
      <c r="AF1534" s="2">
        <v>131932.55887480799</v>
      </c>
      <c r="AG1534" s="2">
        <v>118673.952898428</v>
      </c>
      <c r="AH1534" s="2">
        <v>109723.191598891</v>
      </c>
      <c r="AI1534" s="2">
        <v>132659.15902901799</v>
      </c>
      <c r="AJ1534" s="2">
        <v>122368.539351161</v>
      </c>
      <c r="AK1534" s="2">
        <v>102637.936460649</v>
      </c>
      <c r="AL1534" s="2">
        <v>100108.32913227</v>
      </c>
      <c r="AM1534" s="2">
        <v>98101.782578365397</v>
      </c>
      <c r="AN1534" s="2">
        <v>106372.254945707</v>
      </c>
      <c r="AO1534" s="2">
        <v>102041.531070661</v>
      </c>
      <c r="AP1534" s="2">
        <v>109276.559401798</v>
      </c>
    </row>
    <row r="1535" spans="1:42" ht="14.5" x14ac:dyDescent="0.35">
      <c r="A1535" s="2" t="s">
        <v>10385</v>
      </c>
      <c r="B1535" s="2">
        <v>597.16209420247503</v>
      </c>
      <c r="C1535" s="2">
        <v>4.6673166666666699</v>
      </c>
      <c r="D1535" s="2" t="s">
        <v>70</v>
      </c>
      <c r="E1535" s="2" t="s">
        <v>10386</v>
      </c>
      <c r="F1535" s="2">
        <v>47779</v>
      </c>
      <c r="G1535" s="3" t="str">
        <f>HYPERLINK("http://funmeta.oebiotech.com/network/47779", "http://funmeta.oebiotech.com/network/47779")</f>
        <v>http://funmeta.oebiotech.com/network/47779</v>
      </c>
      <c r="H1535" s="2" t="s">
        <v>10387</v>
      </c>
      <c r="I1535" s="2">
        <v>44820</v>
      </c>
      <c r="J1535" s="2"/>
      <c r="K1535" s="2">
        <v>1177182</v>
      </c>
      <c r="L1535" s="2"/>
      <c r="M1535" s="2"/>
      <c r="N1535" s="2"/>
      <c r="O1535" s="2">
        <v>65131</v>
      </c>
      <c r="P1535" s="2" t="s">
        <v>10388</v>
      </c>
      <c r="Q1535" s="2" t="s">
        <v>10389</v>
      </c>
      <c r="R1535" s="2" t="s">
        <v>10390</v>
      </c>
      <c r="S1535" s="2" t="s">
        <v>1444</v>
      </c>
      <c r="T1535" s="2" t="s">
        <v>3595</v>
      </c>
      <c r="U1535" s="2" t="s">
        <v>41</v>
      </c>
      <c r="V1535" s="2" t="s">
        <v>59</v>
      </c>
      <c r="W1535" s="2">
        <v>38.1</v>
      </c>
      <c r="X1535" s="2">
        <v>0</v>
      </c>
      <c r="Y1535" s="2" t="s">
        <v>560</v>
      </c>
      <c r="Z1535" s="2" t="s">
        <v>10391</v>
      </c>
      <c r="AA1535" s="2">
        <v>-6.34545693329681</v>
      </c>
      <c r="AB1535" s="2">
        <v>0.52048600355685504</v>
      </c>
      <c r="AC1535" s="2">
        <v>37817.218193399101</v>
      </c>
      <c r="AD1535" s="2">
        <v>57505.7657520106</v>
      </c>
      <c r="AE1535" s="2">
        <v>34974.498660750003</v>
      </c>
      <c r="AF1535" s="2">
        <v>40109.0659373444</v>
      </c>
      <c r="AG1535" s="2">
        <v>41042.336671510697</v>
      </c>
      <c r="AH1535" s="2">
        <v>32788.116463538499</v>
      </c>
      <c r="AI1535" s="2">
        <v>36713.337647737098</v>
      </c>
      <c r="AJ1535" s="2">
        <v>41275.9537795137</v>
      </c>
      <c r="AK1535" s="2">
        <v>50926.016832679103</v>
      </c>
      <c r="AL1535" s="2">
        <v>52274.944430413299</v>
      </c>
      <c r="AM1535" s="2">
        <v>63410.0485247451</v>
      </c>
      <c r="AN1535" s="2">
        <v>52836.044870351201</v>
      </c>
      <c r="AO1535" s="2">
        <v>59857.119454372601</v>
      </c>
      <c r="AP1535" s="2">
        <v>65730.420399502502</v>
      </c>
    </row>
    <row r="1536" spans="1:42" ht="14.5" x14ac:dyDescent="0.35">
      <c r="A1536" s="2" t="s">
        <v>10392</v>
      </c>
      <c r="B1536" s="2">
        <v>1001.56192995718</v>
      </c>
      <c r="C1536" s="2">
        <v>11.778700000000001</v>
      </c>
      <c r="D1536" s="2" t="s">
        <v>34</v>
      </c>
      <c r="E1536" s="2" t="s">
        <v>10393</v>
      </c>
      <c r="F1536" s="2">
        <v>231028</v>
      </c>
      <c r="G1536" s="3" t="str">
        <f>HYPERLINK("http://funmeta.oebiotech.com/network/231028", "http://funmeta.oebiotech.com/network/231028")</f>
        <v>http://funmeta.oebiotech.com/network/231028</v>
      </c>
      <c r="H1536" s="2" t="s">
        <v>10394</v>
      </c>
      <c r="I1536" s="2"/>
      <c r="J1536" s="2"/>
      <c r="K1536" s="2"/>
      <c r="L1536" s="2"/>
      <c r="M1536" s="2"/>
      <c r="N1536" s="2"/>
      <c r="O1536" s="2"/>
      <c r="P1536" s="2"/>
      <c r="Q1536" s="2" t="s">
        <v>10395</v>
      </c>
      <c r="R1536" s="2" t="s">
        <v>10396</v>
      </c>
      <c r="S1536" s="2" t="s">
        <v>41</v>
      </c>
      <c r="T1536" s="2" t="s">
        <v>41</v>
      </c>
      <c r="U1536" s="2" t="s">
        <v>41</v>
      </c>
      <c r="V1536" s="2" t="s">
        <v>59</v>
      </c>
      <c r="W1536" s="2">
        <v>36.4</v>
      </c>
      <c r="X1536" s="2">
        <v>0</v>
      </c>
      <c r="Y1536" s="2" t="s">
        <v>394</v>
      </c>
      <c r="Z1536" s="2" t="s">
        <v>10397</v>
      </c>
      <c r="AA1536" s="2">
        <v>2.2144133881705499</v>
      </c>
      <c r="AB1536" s="2">
        <v>0.52042983462612702</v>
      </c>
      <c r="AC1536" s="2">
        <v>23675.022180157001</v>
      </c>
      <c r="AD1536" s="2">
        <v>5797.62007509057</v>
      </c>
      <c r="AE1536" s="2">
        <v>24080.100847596601</v>
      </c>
      <c r="AF1536" s="2">
        <v>24782.923028990601</v>
      </c>
      <c r="AG1536" s="2">
        <v>23089.849410667801</v>
      </c>
      <c r="AH1536" s="2">
        <v>22147.013863953202</v>
      </c>
      <c r="AI1536" s="2">
        <v>24384.175497220502</v>
      </c>
      <c r="AJ1536" s="2">
        <v>23566.070432513501</v>
      </c>
      <c r="AK1536" s="2">
        <v>6929.2777052905503</v>
      </c>
      <c r="AL1536" s="2">
        <v>5893.80951308976</v>
      </c>
      <c r="AM1536" s="2">
        <v>5964.6485689022802</v>
      </c>
      <c r="AN1536" s="2">
        <v>3481.3875217802201</v>
      </c>
      <c r="AO1536" s="2">
        <v>6688.3921358091602</v>
      </c>
      <c r="AP1536" s="2">
        <v>5828.2050056714597</v>
      </c>
    </row>
    <row r="1537" spans="1:42" ht="14.5" x14ac:dyDescent="0.35">
      <c r="A1537" s="2" t="s">
        <v>10398</v>
      </c>
      <c r="B1537" s="2">
        <v>601.26518036287905</v>
      </c>
      <c r="C1537" s="2">
        <v>8.5008833333333307</v>
      </c>
      <c r="D1537" s="2" t="s">
        <v>70</v>
      </c>
      <c r="E1537" s="2" t="s">
        <v>10399</v>
      </c>
      <c r="F1537" s="2">
        <v>4502</v>
      </c>
      <c r="G1537" s="3" t="str">
        <f>HYPERLINK("http://funmeta.oebiotech.com/network/4502", "http://funmeta.oebiotech.com/network/4502")</f>
        <v>http://funmeta.oebiotech.com/network/4502</v>
      </c>
      <c r="H1537" s="2"/>
      <c r="I1537" s="2">
        <v>985576</v>
      </c>
      <c r="J1537" s="2" t="s">
        <v>10400</v>
      </c>
      <c r="K1537" s="2"/>
      <c r="L1537" s="2"/>
      <c r="M1537" s="2"/>
      <c r="N1537" s="2"/>
      <c r="O1537" s="2">
        <v>102451147</v>
      </c>
      <c r="P1537" s="2"/>
      <c r="Q1537" s="2" t="s">
        <v>10401</v>
      </c>
      <c r="R1537" s="2" t="s">
        <v>10402</v>
      </c>
      <c r="S1537" s="2" t="s">
        <v>50</v>
      </c>
      <c r="T1537" s="2" t="s">
        <v>229</v>
      </c>
      <c r="U1537" s="2" t="s">
        <v>766</v>
      </c>
      <c r="V1537" s="2" t="s">
        <v>59</v>
      </c>
      <c r="W1537" s="2">
        <v>39</v>
      </c>
      <c r="X1537" s="2">
        <v>0</v>
      </c>
      <c r="Y1537" s="2" t="s">
        <v>118</v>
      </c>
      <c r="Z1537" s="2" t="s">
        <v>10403</v>
      </c>
      <c r="AA1537" s="2">
        <v>-0.42400596253640299</v>
      </c>
      <c r="AB1537" s="2">
        <v>0.52037180253955095</v>
      </c>
      <c r="AC1537" s="2">
        <v>97413.315627546399</v>
      </c>
      <c r="AD1537" s="2">
        <v>122285.28136782499</v>
      </c>
      <c r="AE1537" s="2">
        <v>94168.912779864695</v>
      </c>
      <c r="AF1537" s="2">
        <v>93364.413878002</v>
      </c>
      <c r="AG1537" s="2">
        <v>100844.871571834</v>
      </c>
      <c r="AH1537" s="2">
        <v>106509.985875175</v>
      </c>
      <c r="AI1537" s="2">
        <v>95441.660054465799</v>
      </c>
      <c r="AJ1537" s="2">
        <v>94150.049605936802</v>
      </c>
      <c r="AK1537" s="2">
        <v>99799.302172254305</v>
      </c>
      <c r="AL1537" s="2">
        <v>145311.75765003299</v>
      </c>
      <c r="AM1537" s="2">
        <v>120792.407407657</v>
      </c>
      <c r="AN1537" s="2">
        <v>141430.920465259</v>
      </c>
      <c r="AO1537" s="2">
        <v>119539.663275267</v>
      </c>
      <c r="AP1537" s="2">
        <v>106837.63723648099</v>
      </c>
    </row>
    <row r="1538" spans="1:42" ht="14.5" x14ac:dyDescent="0.35">
      <c r="A1538" s="2" t="s">
        <v>10404</v>
      </c>
      <c r="B1538" s="2">
        <v>707.21617425551801</v>
      </c>
      <c r="C1538" s="2">
        <v>4.3453166666666698</v>
      </c>
      <c r="D1538" s="2" t="s">
        <v>34</v>
      </c>
      <c r="E1538" s="2" t="s">
        <v>10405</v>
      </c>
      <c r="F1538" s="2">
        <v>289865</v>
      </c>
      <c r="G1538" s="3" t="str">
        <f>HYPERLINK("http://funmeta.oebiotech.com/network/289865", "http://funmeta.oebiotech.com/network/289865")</f>
        <v>http://funmeta.oebiotech.com/network/289865</v>
      </c>
      <c r="H1538" s="2"/>
      <c r="I1538" s="2">
        <v>985009</v>
      </c>
      <c r="J1538" s="2"/>
      <c r="K1538" s="2"/>
      <c r="L1538" s="2"/>
      <c r="M1538" s="2"/>
      <c r="N1538" s="2"/>
      <c r="O1538" s="2">
        <v>11968790</v>
      </c>
      <c r="P1538" s="2"/>
      <c r="Q1538" s="2" t="s">
        <v>10406</v>
      </c>
      <c r="R1538" s="2" t="s">
        <v>10407</v>
      </c>
      <c r="S1538" s="2" t="s">
        <v>115</v>
      </c>
      <c r="T1538" s="2" t="s">
        <v>116</v>
      </c>
      <c r="U1538" s="2" t="s">
        <v>117</v>
      </c>
      <c r="V1538" s="2" t="s">
        <v>59</v>
      </c>
      <c r="W1538" s="2">
        <v>36.4</v>
      </c>
      <c r="X1538" s="2">
        <v>0</v>
      </c>
      <c r="Y1538" s="2" t="s">
        <v>141</v>
      </c>
      <c r="Z1538" s="2" t="s">
        <v>10408</v>
      </c>
      <c r="AA1538" s="2">
        <v>-2.7642502458111</v>
      </c>
      <c r="AB1538" s="2">
        <v>0.51919317475484805</v>
      </c>
      <c r="AC1538" s="2">
        <v>51860.612570976104</v>
      </c>
      <c r="AD1538" s="2">
        <v>71663.492712317195</v>
      </c>
      <c r="AE1538" s="2">
        <v>51233.902858478403</v>
      </c>
      <c r="AF1538" s="2">
        <v>50284.532385431499</v>
      </c>
      <c r="AG1538" s="2">
        <v>49409.933230270202</v>
      </c>
      <c r="AH1538" s="2">
        <v>46450.697695049603</v>
      </c>
      <c r="AI1538" s="2">
        <v>58504.256566307296</v>
      </c>
      <c r="AJ1538" s="2">
        <v>55280.3526903194</v>
      </c>
      <c r="AK1538" s="2">
        <v>73829.517579817693</v>
      </c>
      <c r="AL1538" s="2">
        <v>60905.898323038797</v>
      </c>
      <c r="AM1538" s="2">
        <v>79069.091060119594</v>
      </c>
      <c r="AN1538" s="2">
        <v>66390.914237336794</v>
      </c>
      <c r="AO1538" s="2">
        <v>74732.484282515201</v>
      </c>
      <c r="AP1538" s="2">
        <v>75053.050791075395</v>
      </c>
    </row>
    <row r="1539" spans="1:42" ht="14.5" x14ac:dyDescent="0.35">
      <c r="A1539" s="2" t="s">
        <v>10409</v>
      </c>
      <c r="B1539" s="2">
        <v>479.21290010696299</v>
      </c>
      <c r="C1539" s="2">
        <v>5.1153166666666703</v>
      </c>
      <c r="D1539" s="2" t="s">
        <v>70</v>
      </c>
      <c r="E1539" s="2" t="s">
        <v>10410</v>
      </c>
      <c r="F1539" s="2">
        <v>82946</v>
      </c>
      <c r="G1539" s="3" t="str">
        <f>HYPERLINK("http://funmeta.oebiotech.com/network/82946", "http://funmeta.oebiotech.com/network/82946")</f>
        <v>http://funmeta.oebiotech.com/network/82946</v>
      </c>
      <c r="H1539" s="2" t="s">
        <v>10411</v>
      </c>
      <c r="I1539" s="2"/>
      <c r="J1539" s="2"/>
      <c r="K1539" s="2"/>
      <c r="L1539" s="2"/>
      <c r="M1539" s="2"/>
      <c r="N1539" s="2"/>
      <c r="O1539" s="2">
        <v>131770037</v>
      </c>
      <c r="P1539" s="2"/>
      <c r="Q1539" s="2" t="s">
        <v>10412</v>
      </c>
      <c r="R1539" s="2" t="s">
        <v>10413</v>
      </c>
      <c r="S1539" s="2" t="s">
        <v>491</v>
      </c>
      <c r="T1539" s="2" t="s">
        <v>5973</v>
      </c>
      <c r="U1539" s="2" t="s">
        <v>6296</v>
      </c>
      <c r="V1539" s="2" t="s">
        <v>59</v>
      </c>
      <c r="W1539" s="2">
        <v>40.299999999999997</v>
      </c>
      <c r="X1539" s="2">
        <v>24.5</v>
      </c>
      <c r="Y1539" s="2" t="s">
        <v>408</v>
      </c>
      <c r="Z1539" s="2" t="s">
        <v>10414</v>
      </c>
      <c r="AA1539" s="2">
        <v>4.61075598377926</v>
      </c>
      <c r="AB1539" s="2">
        <v>0.51899179209795698</v>
      </c>
      <c r="AC1539" s="2">
        <v>26369.674047744498</v>
      </c>
      <c r="AD1539" s="2">
        <v>8637.0111467188308</v>
      </c>
      <c r="AE1539" s="2">
        <v>26008.261737164201</v>
      </c>
      <c r="AF1539" s="2">
        <v>25847.7771216578</v>
      </c>
      <c r="AG1539" s="2">
        <v>25926.446062887899</v>
      </c>
      <c r="AH1539" s="2">
        <v>26994.1871484966</v>
      </c>
      <c r="AI1539" s="2">
        <v>26193.169867991401</v>
      </c>
      <c r="AJ1539" s="2">
        <v>27248.202348269198</v>
      </c>
      <c r="AK1539" s="2">
        <v>8379.1198427519303</v>
      </c>
      <c r="AL1539" s="2">
        <v>9601.1822581572796</v>
      </c>
      <c r="AM1539" s="2">
        <v>7739.052440986</v>
      </c>
      <c r="AN1539" s="2">
        <v>9967.3658578324103</v>
      </c>
      <c r="AO1539" s="2">
        <v>8027.5585019734299</v>
      </c>
      <c r="AP1539" s="2">
        <v>8107.7879786119502</v>
      </c>
    </row>
    <row r="1540" spans="1:42" ht="14.5" x14ac:dyDescent="0.35">
      <c r="A1540" s="2" t="s">
        <v>10415</v>
      </c>
      <c r="B1540" s="2">
        <v>174.076067823301</v>
      </c>
      <c r="C1540" s="2">
        <v>0.78071666666666695</v>
      </c>
      <c r="D1540" s="2" t="s">
        <v>34</v>
      </c>
      <c r="E1540" s="2" t="s">
        <v>10416</v>
      </c>
      <c r="F1540" s="2">
        <v>198786</v>
      </c>
      <c r="G1540" s="3" t="str">
        <f>HYPERLINK("http://funmeta.oebiotech.com/network/198786", "http://funmeta.oebiotech.com/network/198786")</f>
        <v>http://funmeta.oebiotech.com/network/198786</v>
      </c>
      <c r="H1540" s="2" t="s">
        <v>10417</v>
      </c>
      <c r="I1540" s="2"/>
      <c r="J1540" s="2"/>
      <c r="K1540" s="2"/>
      <c r="L1540" s="2"/>
      <c r="M1540" s="2"/>
      <c r="N1540" s="2"/>
      <c r="O1540" s="2">
        <v>1310</v>
      </c>
      <c r="P1540" s="2"/>
      <c r="Q1540" s="2" t="s">
        <v>10418</v>
      </c>
      <c r="R1540" s="2" t="s">
        <v>10419</v>
      </c>
      <c r="S1540" s="2" t="s">
        <v>89</v>
      </c>
      <c r="T1540" s="2" t="s">
        <v>90</v>
      </c>
      <c r="U1540" s="2" t="s">
        <v>99</v>
      </c>
      <c r="V1540" s="2" t="s">
        <v>59</v>
      </c>
      <c r="W1540" s="2">
        <v>47.9</v>
      </c>
      <c r="X1540" s="2">
        <v>40.6</v>
      </c>
      <c r="Y1540" s="2" t="s">
        <v>266</v>
      </c>
      <c r="Z1540" s="2" t="s">
        <v>10420</v>
      </c>
      <c r="AA1540" s="2">
        <v>-9.5017174252393005E-2</v>
      </c>
      <c r="AB1540" s="2">
        <v>0.51894638919068103</v>
      </c>
      <c r="AC1540" s="2">
        <v>75736.649858383797</v>
      </c>
      <c r="AD1540" s="2">
        <v>57075.3045297426</v>
      </c>
      <c r="AE1540" s="2">
        <v>73206.755119116395</v>
      </c>
      <c r="AF1540" s="2">
        <v>74494.453937728904</v>
      </c>
      <c r="AG1540" s="2">
        <v>82061.5173573176</v>
      </c>
      <c r="AH1540" s="2">
        <v>70125.7014811259</v>
      </c>
      <c r="AI1540" s="2">
        <v>77901.325687133503</v>
      </c>
      <c r="AJ1540" s="2">
        <v>76630.145567880594</v>
      </c>
      <c r="AK1540" s="2">
        <v>56897.657773879</v>
      </c>
      <c r="AL1540" s="2">
        <v>62391.796516191302</v>
      </c>
      <c r="AM1540" s="2">
        <v>56008.012830164596</v>
      </c>
      <c r="AN1540" s="2">
        <v>54032.335137693801</v>
      </c>
      <c r="AO1540" s="2">
        <v>56591.341550833298</v>
      </c>
      <c r="AP1540" s="2">
        <v>56530.683369693703</v>
      </c>
    </row>
    <row r="1541" spans="1:42" ht="14.5" x14ac:dyDescent="0.35">
      <c r="A1541" s="2" t="s">
        <v>10421</v>
      </c>
      <c r="B1541" s="2">
        <v>511.239577496734</v>
      </c>
      <c r="C1541" s="2">
        <v>4.5776166666666702</v>
      </c>
      <c r="D1541" s="2" t="s">
        <v>70</v>
      </c>
      <c r="E1541" s="2" t="s">
        <v>10422</v>
      </c>
      <c r="F1541" s="2">
        <v>10369</v>
      </c>
      <c r="G1541" s="3" t="str">
        <f>HYPERLINK("http://funmeta.oebiotech.com/network/10369", "http://funmeta.oebiotech.com/network/10369")</f>
        <v>http://funmeta.oebiotech.com/network/10369</v>
      </c>
      <c r="H1541" s="2"/>
      <c r="I1541" s="2"/>
      <c r="J1541" s="2" t="s">
        <v>10423</v>
      </c>
      <c r="K1541" s="2">
        <v>79301</v>
      </c>
      <c r="L1541" s="2"/>
      <c r="M1541" s="2"/>
      <c r="N1541" s="2"/>
      <c r="O1541" s="2">
        <v>86289876</v>
      </c>
      <c r="P1541" s="2"/>
      <c r="Q1541" s="2" t="s">
        <v>10424</v>
      </c>
      <c r="R1541" s="2" t="s">
        <v>10425</v>
      </c>
      <c r="S1541" s="2" t="s">
        <v>50</v>
      </c>
      <c r="T1541" s="2" t="s">
        <v>229</v>
      </c>
      <c r="U1541" s="2" t="s">
        <v>230</v>
      </c>
      <c r="V1541" s="2" t="s">
        <v>59</v>
      </c>
      <c r="W1541" s="2">
        <v>44.9</v>
      </c>
      <c r="X1541" s="2">
        <v>34.9</v>
      </c>
      <c r="Y1541" s="2" t="s">
        <v>408</v>
      </c>
      <c r="Z1541" s="2" t="s">
        <v>10426</v>
      </c>
      <c r="AA1541" s="2">
        <v>-8.0231152705661099E-2</v>
      </c>
      <c r="AB1541" s="2">
        <v>0.51886369395442899</v>
      </c>
      <c r="AC1541" s="2">
        <v>44596.888605810003</v>
      </c>
      <c r="AD1541" s="2">
        <v>63484.199273595499</v>
      </c>
      <c r="AE1541" s="2">
        <v>44643.987407079498</v>
      </c>
      <c r="AF1541" s="2">
        <v>47008.5247946905</v>
      </c>
      <c r="AG1541" s="2">
        <v>40384.511868150803</v>
      </c>
      <c r="AH1541" s="2">
        <v>44112.623412636203</v>
      </c>
      <c r="AI1541" s="2">
        <v>42900.326421433601</v>
      </c>
      <c r="AJ1541" s="2">
        <v>48531.357730869699</v>
      </c>
      <c r="AK1541" s="2">
        <v>61779.403567320202</v>
      </c>
      <c r="AL1541" s="2">
        <v>64897.638574498204</v>
      </c>
      <c r="AM1541" s="2">
        <v>60459.852146846002</v>
      </c>
      <c r="AN1541" s="2">
        <v>71056.320855607395</v>
      </c>
      <c r="AO1541" s="2">
        <v>57442.200985266703</v>
      </c>
      <c r="AP1541" s="2">
        <v>65269.779512034504</v>
      </c>
    </row>
    <row r="1542" spans="1:42" ht="14.5" x14ac:dyDescent="0.35">
      <c r="A1542" s="2" t="s">
        <v>10427</v>
      </c>
      <c r="B1542" s="2">
        <v>956.28491852259299</v>
      </c>
      <c r="C1542" s="2">
        <v>9.6948833333333297</v>
      </c>
      <c r="D1542" s="2" t="s">
        <v>70</v>
      </c>
      <c r="E1542" s="2" t="s">
        <v>10428</v>
      </c>
      <c r="F1542" s="2">
        <v>8110</v>
      </c>
      <c r="G1542" s="3" t="str">
        <f>HYPERLINK("http://funmeta.oebiotech.com/network/8110", "http://funmeta.oebiotech.com/network/8110")</f>
        <v>http://funmeta.oebiotech.com/network/8110</v>
      </c>
      <c r="H1542" s="2" t="s">
        <v>10429</v>
      </c>
      <c r="I1542" s="2"/>
      <c r="J1542" s="2" t="s">
        <v>10430</v>
      </c>
      <c r="K1542" s="2">
        <v>70712</v>
      </c>
      <c r="L1542" s="2"/>
      <c r="M1542" s="2"/>
      <c r="N1542" s="2"/>
      <c r="O1542" s="2">
        <v>70679011</v>
      </c>
      <c r="P1542" s="2"/>
      <c r="Q1542" s="2" t="s">
        <v>10431</v>
      </c>
      <c r="R1542" s="2" t="s">
        <v>10432</v>
      </c>
      <c r="S1542" s="2" t="s">
        <v>50</v>
      </c>
      <c r="T1542" s="2" t="s">
        <v>229</v>
      </c>
      <c r="U1542" s="2" t="s">
        <v>10433</v>
      </c>
      <c r="V1542" s="2" t="s">
        <v>42</v>
      </c>
      <c r="W1542" s="2">
        <v>47.1</v>
      </c>
      <c r="X1542" s="2">
        <v>58.3</v>
      </c>
      <c r="Y1542" s="2" t="s">
        <v>751</v>
      </c>
      <c r="Z1542" s="2" t="s">
        <v>10434</v>
      </c>
      <c r="AA1542" s="2">
        <v>4.9577284570341096</v>
      </c>
      <c r="AB1542" s="2">
        <v>0.51845786792756099</v>
      </c>
      <c r="AC1542" s="2">
        <v>24607.452155056901</v>
      </c>
      <c r="AD1542" s="2">
        <v>6127.9312294115598</v>
      </c>
      <c r="AE1542" s="2">
        <v>24202.572889203799</v>
      </c>
      <c r="AF1542" s="2">
        <v>20352.2671429986</v>
      </c>
      <c r="AG1542" s="2">
        <v>24867.147934040899</v>
      </c>
      <c r="AH1542" s="2">
        <v>24433.375307911701</v>
      </c>
      <c r="AI1542" s="2">
        <v>23801.950521113598</v>
      </c>
      <c r="AJ1542" s="2">
        <v>29987.399135072901</v>
      </c>
      <c r="AK1542" s="2">
        <v>3051.2852444639502</v>
      </c>
      <c r="AL1542" s="2">
        <v>11602.822490226201</v>
      </c>
      <c r="AM1542" s="2">
        <v>5313.8985636542502</v>
      </c>
      <c r="AN1542" s="2">
        <v>4256.8770342272201</v>
      </c>
      <c r="AO1542" s="2">
        <v>8605.5419636506795</v>
      </c>
      <c r="AP1542" s="2">
        <v>3937.1620802470302</v>
      </c>
    </row>
    <row r="1543" spans="1:42" ht="14.5" x14ac:dyDescent="0.35">
      <c r="A1543" s="2" t="s">
        <v>10435</v>
      </c>
      <c r="B1543" s="2">
        <v>582.18267663595498</v>
      </c>
      <c r="C1543" s="2">
        <v>5.1704666666666697</v>
      </c>
      <c r="D1543" s="2" t="s">
        <v>70</v>
      </c>
      <c r="E1543" s="2" t="s">
        <v>10436</v>
      </c>
      <c r="F1543" s="2">
        <v>58747</v>
      </c>
      <c r="G1543" s="3" t="str">
        <f>HYPERLINK("http://funmeta.oebiotech.com/network/58747", "http://funmeta.oebiotech.com/network/58747")</f>
        <v>http://funmeta.oebiotech.com/network/58747</v>
      </c>
      <c r="H1543" s="2" t="s">
        <v>10437</v>
      </c>
      <c r="I1543" s="2">
        <v>90197</v>
      </c>
      <c r="J1543" s="2"/>
      <c r="K1543" s="2"/>
      <c r="L1543" s="2"/>
      <c r="M1543" s="2"/>
      <c r="N1543" s="2"/>
      <c r="O1543" s="2">
        <v>131751623</v>
      </c>
      <c r="P1543" s="2" t="s">
        <v>10438</v>
      </c>
      <c r="Q1543" s="2" t="s">
        <v>10439</v>
      </c>
      <c r="R1543" s="2" t="s">
        <v>10440</v>
      </c>
      <c r="S1543" s="2" t="s">
        <v>115</v>
      </c>
      <c r="T1543" s="2" t="s">
        <v>116</v>
      </c>
      <c r="U1543" s="2" t="s">
        <v>117</v>
      </c>
      <c r="V1543" s="2" t="s">
        <v>59</v>
      </c>
      <c r="W1543" s="2">
        <v>39.299999999999997</v>
      </c>
      <c r="X1543" s="2">
        <v>0.51500000000000001</v>
      </c>
      <c r="Y1543" s="2" t="s">
        <v>408</v>
      </c>
      <c r="Z1543" s="2" t="s">
        <v>10441</v>
      </c>
      <c r="AA1543" s="2">
        <v>-0.282338190819652</v>
      </c>
      <c r="AB1543" s="2">
        <v>0.51829701259640304</v>
      </c>
      <c r="AC1543" s="2">
        <v>53171.679197800302</v>
      </c>
      <c r="AD1543" s="2">
        <v>34353.272755268103</v>
      </c>
      <c r="AE1543" s="2">
        <v>55057.413429515596</v>
      </c>
      <c r="AF1543" s="2">
        <v>59156.261645658298</v>
      </c>
      <c r="AG1543" s="2">
        <v>49337.676242118301</v>
      </c>
      <c r="AH1543" s="2">
        <v>51365.213976608698</v>
      </c>
      <c r="AI1543" s="2">
        <v>51015.996020444203</v>
      </c>
      <c r="AJ1543" s="2">
        <v>53097.5138724567</v>
      </c>
      <c r="AK1543" s="2">
        <v>34288.850287138601</v>
      </c>
      <c r="AL1543" s="2">
        <v>36153.0293713426</v>
      </c>
      <c r="AM1543" s="2">
        <v>33322.610418260803</v>
      </c>
      <c r="AN1543" s="2">
        <v>38703.9035803312</v>
      </c>
      <c r="AO1543" s="2">
        <v>26543.979625853</v>
      </c>
      <c r="AP1543" s="2">
        <v>37107.263248682102</v>
      </c>
    </row>
    <row r="1544" spans="1:42" ht="14.5" x14ac:dyDescent="0.35">
      <c r="A1544" s="2" t="s">
        <v>10442</v>
      </c>
      <c r="B1544" s="2">
        <v>768.43058502368001</v>
      </c>
      <c r="C1544" s="2">
        <v>9.3124666666666691</v>
      </c>
      <c r="D1544" s="2" t="s">
        <v>34</v>
      </c>
      <c r="E1544" s="2" t="s">
        <v>10443</v>
      </c>
      <c r="F1544" s="2">
        <v>202446</v>
      </c>
      <c r="G1544" s="3" t="str">
        <f>HYPERLINK("http://funmeta.oebiotech.com/network/202446", "http://funmeta.oebiotech.com/network/202446")</f>
        <v>http://funmeta.oebiotech.com/network/202446</v>
      </c>
      <c r="H1544" s="2" t="s">
        <v>10444</v>
      </c>
      <c r="I1544" s="2"/>
      <c r="J1544" s="2"/>
      <c r="K1544" s="2"/>
      <c r="L1544" s="2"/>
      <c r="M1544" s="2"/>
      <c r="N1544" s="2"/>
      <c r="O1544" s="2">
        <v>21947068</v>
      </c>
      <c r="P1544" s="2"/>
      <c r="Q1544" s="2" t="s">
        <v>10445</v>
      </c>
      <c r="R1544" s="2" t="s">
        <v>10446</v>
      </c>
      <c r="S1544" s="2" t="s">
        <v>41</v>
      </c>
      <c r="T1544" s="2" t="s">
        <v>41</v>
      </c>
      <c r="U1544" s="2" t="s">
        <v>41</v>
      </c>
      <c r="V1544" s="2" t="s">
        <v>59</v>
      </c>
      <c r="W1544" s="2">
        <v>41.8</v>
      </c>
      <c r="X1544" s="2">
        <v>17.100000000000001</v>
      </c>
      <c r="Y1544" s="2" t="s">
        <v>141</v>
      </c>
      <c r="Z1544" s="2" t="s">
        <v>10447</v>
      </c>
      <c r="AA1544" s="2">
        <v>-3.1709748158396498</v>
      </c>
      <c r="AB1544" s="2">
        <v>0.51819926268980598</v>
      </c>
      <c r="AC1544" s="2">
        <v>23083.223376180002</v>
      </c>
      <c r="AD1544" s="2">
        <v>41774.212950571702</v>
      </c>
      <c r="AE1544" s="2">
        <v>21046.505615128</v>
      </c>
      <c r="AF1544" s="2">
        <v>24908.372970390101</v>
      </c>
      <c r="AG1544" s="2">
        <v>25505.0326480478</v>
      </c>
      <c r="AH1544" s="2">
        <v>20025.6871292588</v>
      </c>
      <c r="AI1544" s="2">
        <v>22638.695253092599</v>
      </c>
      <c r="AJ1544" s="2">
        <v>24375.046641162899</v>
      </c>
      <c r="AK1544" s="2">
        <v>41894.636450644197</v>
      </c>
      <c r="AL1544" s="2">
        <v>49624.1385586744</v>
      </c>
      <c r="AM1544" s="2">
        <v>37630.250170837899</v>
      </c>
      <c r="AN1544" s="2">
        <v>43768.844100249298</v>
      </c>
      <c r="AO1544" s="2">
        <v>38736.542579169101</v>
      </c>
      <c r="AP1544" s="2">
        <v>38990.865843855201</v>
      </c>
    </row>
    <row r="1545" spans="1:42" ht="14.5" x14ac:dyDescent="0.35">
      <c r="A1545" s="2" t="s">
        <v>10448</v>
      </c>
      <c r="B1545" s="2">
        <v>481.26494312391401</v>
      </c>
      <c r="C1545" s="2">
        <v>4.6304499999999997</v>
      </c>
      <c r="D1545" s="2" t="s">
        <v>70</v>
      </c>
      <c r="E1545" s="2" t="s">
        <v>10449</v>
      </c>
      <c r="F1545" s="2">
        <v>57068</v>
      </c>
      <c r="G1545" s="3" t="str">
        <f>HYPERLINK("http://funmeta.oebiotech.com/network/57068", "http://funmeta.oebiotech.com/network/57068")</f>
        <v>http://funmeta.oebiotech.com/network/57068</v>
      </c>
      <c r="H1545" s="2" t="s">
        <v>10450</v>
      </c>
      <c r="I1545" s="2">
        <v>88720</v>
      </c>
      <c r="J1545" s="2"/>
      <c r="K1545" s="2">
        <v>173292</v>
      </c>
      <c r="L1545" s="2"/>
      <c r="M1545" s="2"/>
      <c r="N1545" s="2"/>
      <c r="O1545" s="2">
        <v>131751312</v>
      </c>
      <c r="P1545" s="2"/>
      <c r="Q1545" s="2" t="s">
        <v>10451</v>
      </c>
      <c r="R1545" s="2" t="s">
        <v>10452</v>
      </c>
      <c r="S1545" s="2" t="s">
        <v>50</v>
      </c>
      <c r="T1545" s="2" t="s">
        <v>229</v>
      </c>
      <c r="U1545" s="2" t="s">
        <v>1283</v>
      </c>
      <c r="V1545" s="2" t="s">
        <v>42</v>
      </c>
      <c r="W1545" s="2">
        <v>48.4</v>
      </c>
      <c r="X1545" s="2">
        <v>49.4</v>
      </c>
      <c r="Y1545" s="2" t="s">
        <v>408</v>
      </c>
      <c r="Z1545" s="2" t="s">
        <v>10453</v>
      </c>
      <c r="AA1545" s="2">
        <v>-1.1291357432984099</v>
      </c>
      <c r="AB1545" s="2">
        <v>0.51818233161221505</v>
      </c>
      <c r="AC1545" s="2">
        <v>43493.496755407898</v>
      </c>
      <c r="AD1545" s="2">
        <v>62537.978177383702</v>
      </c>
      <c r="AE1545" s="2">
        <v>40235.852654747301</v>
      </c>
      <c r="AF1545" s="2">
        <v>43797.802189644499</v>
      </c>
      <c r="AG1545" s="2">
        <v>40885.592363666503</v>
      </c>
      <c r="AH1545" s="2">
        <v>42527.682536286498</v>
      </c>
      <c r="AI1545" s="2">
        <v>47034.234863739999</v>
      </c>
      <c r="AJ1545" s="2">
        <v>46479.8159243626</v>
      </c>
      <c r="AK1545" s="2">
        <v>54149.990442572598</v>
      </c>
      <c r="AL1545" s="2">
        <v>59246.576536300803</v>
      </c>
      <c r="AM1545" s="2">
        <v>68530.061890458499</v>
      </c>
      <c r="AN1545" s="2">
        <v>63615.534035742901</v>
      </c>
      <c r="AO1545" s="2">
        <v>61117.782966318402</v>
      </c>
      <c r="AP1545" s="2">
        <v>68567.923192909104</v>
      </c>
    </row>
    <row r="1546" spans="1:42" ht="14.5" x14ac:dyDescent="0.35">
      <c r="A1546" s="2" t="s">
        <v>10454</v>
      </c>
      <c r="B1546" s="2">
        <v>311.073463139512</v>
      </c>
      <c r="C1546" s="2">
        <v>1.09313333333333</v>
      </c>
      <c r="D1546" s="2" t="s">
        <v>34</v>
      </c>
      <c r="E1546" s="2" t="s">
        <v>10455</v>
      </c>
      <c r="F1546" s="2">
        <v>59452</v>
      </c>
      <c r="G1546" s="3" t="str">
        <f>HYPERLINK("http://funmeta.oebiotech.com/network/59452", "http://funmeta.oebiotech.com/network/59452")</f>
        <v>http://funmeta.oebiotech.com/network/59452</v>
      </c>
      <c r="H1546" s="2" t="s">
        <v>10456</v>
      </c>
      <c r="I1546" s="2"/>
      <c r="J1546" s="2"/>
      <c r="K1546" s="2">
        <v>52560</v>
      </c>
      <c r="L1546" s="2"/>
      <c r="M1546" s="2"/>
      <c r="N1546" s="2"/>
      <c r="O1546" s="2">
        <v>12314169</v>
      </c>
      <c r="P1546" s="2" t="s">
        <v>10457</v>
      </c>
      <c r="Q1546" s="2" t="s">
        <v>10458</v>
      </c>
      <c r="R1546" s="2" t="s">
        <v>10459</v>
      </c>
      <c r="S1546" s="2" t="s">
        <v>79</v>
      </c>
      <c r="T1546" s="2" t="s">
        <v>80</v>
      </c>
      <c r="U1546" s="2" t="s">
        <v>81</v>
      </c>
      <c r="V1546" s="2" t="s">
        <v>59</v>
      </c>
      <c r="W1546" s="2">
        <v>39.6</v>
      </c>
      <c r="X1546" s="2">
        <v>0.52100000000000002</v>
      </c>
      <c r="Y1546" s="2" t="s">
        <v>1781</v>
      </c>
      <c r="Z1546" s="2" t="s">
        <v>4532</v>
      </c>
      <c r="AA1546" s="2">
        <v>-0.95461599258097696</v>
      </c>
      <c r="AB1546" s="2">
        <v>0.51814916185298998</v>
      </c>
      <c r="AC1546" s="2">
        <v>318905.62426325702</v>
      </c>
      <c r="AD1546" s="2">
        <v>291119.61336777202</v>
      </c>
      <c r="AE1546" s="2">
        <v>315475.18730496598</v>
      </c>
      <c r="AF1546" s="2">
        <v>316874.30774531298</v>
      </c>
      <c r="AG1546" s="2">
        <v>330394.73783023597</v>
      </c>
      <c r="AH1546" s="2">
        <v>306279.802907862</v>
      </c>
      <c r="AI1546" s="2">
        <v>341831.62213307398</v>
      </c>
      <c r="AJ1546" s="2">
        <v>302578.08765809098</v>
      </c>
      <c r="AK1546" s="2">
        <v>304277.36119271599</v>
      </c>
      <c r="AL1546" s="2">
        <v>253137.563801596</v>
      </c>
      <c r="AM1546" s="2">
        <v>282119.43864019902</v>
      </c>
      <c r="AN1546" s="2">
        <v>305011.94824579399</v>
      </c>
      <c r="AO1546" s="2">
        <v>294524.77784522099</v>
      </c>
      <c r="AP1546" s="2">
        <v>307646.59048110398</v>
      </c>
    </row>
    <row r="1547" spans="1:42" ht="14.5" x14ac:dyDescent="0.35">
      <c r="A1547" s="2" t="s">
        <v>10460</v>
      </c>
      <c r="B1547" s="2">
        <v>875.47497888670102</v>
      </c>
      <c r="C1547" s="2">
        <v>10.2647666666667</v>
      </c>
      <c r="D1547" s="2" t="s">
        <v>34</v>
      </c>
      <c r="E1547" s="2" t="s">
        <v>10461</v>
      </c>
      <c r="F1547" s="2">
        <v>255590</v>
      </c>
      <c r="G1547" s="3" t="str">
        <f>HYPERLINK("http://funmeta.oebiotech.com/network/255590", "http://funmeta.oebiotech.com/network/255590")</f>
        <v>http://funmeta.oebiotech.com/network/255590</v>
      </c>
      <c r="H1547" s="2" t="s">
        <v>10462</v>
      </c>
      <c r="I1547" s="2"/>
      <c r="J1547" s="2"/>
      <c r="K1547" s="2"/>
      <c r="L1547" s="2"/>
      <c r="M1547" s="2"/>
      <c r="N1547" s="2"/>
      <c r="O1547" s="2"/>
      <c r="P1547" s="2"/>
      <c r="Q1547" s="2" t="s">
        <v>10463</v>
      </c>
      <c r="R1547" s="2" t="s">
        <v>10464</v>
      </c>
      <c r="S1547" s="2" t="s">
        <v>50</v>
      </c>
      <c r="T1547" s="2" t="s">
        <v>201</v>
      </c>
      <c r="U1547" s="2" t="s">
        <v>202</v>
      </c>
      <c r="V1547" s="2" t="s">
        <v>42</v>
      </c>
      <c r="W1547" s="2">
        <v>43.9</v>
      </c>
      <c r="X1547" s="2">
        <v>47.2</v>
      </c>
      <c r="Y1547" s="2" t="s">
        <v>141</v>
      </c>
      <c r="Z1547" s="2" t="s">
        <v>10465</v>
      </c>
      <c r="AA1547" s="2">
        <v>-4.2231497613107196</v>
      </c>
      <c r="AB1547" s="2">
        <v>0.51792901758809695</v>
      </c>
      <c r="AC1547" s="2">
        <v>77731.265990909305</v>
      </c>
      <c r="AD1547" s="2">
        <v>97156.469367247293</v>
      </c>
      <c r="AE1547" s="2">
        <v>78158.955947544906</v>
      </c>
      <c r="AF1547" s="2">
        <v>68845.711966513802</v>
      </c>
      <c r="AG1547" s="2">
        <v>79993.530228812204</v>
      </c>
      <c r="AH1547" s="2">
        <v>83177.024501558495</v>
      </c>
      <c r="AI1547" s="2">
        <v>76640.230992564597</v>
      </c>
      <c r="AJ1547" s="2">
        <v>79572.142308462004</v>
      </c>
      <c r="AK1547" s="2">
        <v>104980.83778330999</v>
      </c>
      <c r="AL1547" s="2">
        <v>99476.191982736898</v>
      </c>
      <c r="AM1547" s="2">
        <v>96067.145819019803</v>
      </c>
      <c r="AN1547" s="2">
        <v>95729.853303133801</v>
      </c>
      <c r="AO1547" s="2">
        <v>97028.868564073404</v>
      </c>
      <c r="AP1547" s="2">
        <v>89655.9187512098</v>
      </c>
    </row>
    <row r="1548" spans="1:42" ht="14.5" x14ac:dyDescent="0.35">
      <c r="A1548" s="2" t="s">
        <v>10466</v>
      </c>
      <c r="B1548" s="2">
        <v>572.28593355004102</v>
      </c>
      <c r="C1548" s="2">
        <v>5.4125166666666704</v>
      </c>
      <c r="D1548" s="2" t="s">
        <v>70</v>
      </c>
      <c r="E1548" s="2" t="s">
        <v>10467</v>
      </c>
      <c r="F1548" s="2">
        <v>204077</v>
      </c>
      <c r="G1548" s="3" t="str">
        <f>HYPERLINK("http://funmeta.oebiotech.com/network/204077", "http://funmeta.oebiotech.com/network/204077")</f>
        <v>http://funmeta.oebiotech.com/network/204077</v>
      </c>
      <c r="H1548" s="2" t="s">
        <v>10468</v>
      </c>
      <c r="I1548" s="2"/>
      <c r="J1548" s="2"/>
      <c r="K1548" s="2"/>
      <c r="L1548" s="2"/>
      <c r="M1548" s="2"/>
      <c r="N1548" s="2"/>
      <c r="O1548" s="2">
        <v>13343336</v>
      </c>
      <c r="P1548" s="2"/>
      <c r="Q1548" s="2" t="s">
        <v>10469</v>
      </c>
      <c r="R1548" s="2" t="s">
        <v>10470</v>
      </c>
      <c r="S1548" s="2" t="s">
        <v>50</v>
      </c>
      <c r="T1548" s="2" t="s">
        <v>201</v>
      </c>
      <c r="U1548" s="2" t="s">
        <v>241</v>
      </c>
      <c r="V1548" s="2" t="s">
        <v>42</v>
      </c>
      <c r="W1548" s="2">
        <v>49.6</v>
      </c>
      <c r="X1548" s="2">
        <v>55.7</v>
      </c>
      <c r="Y1548" s="2" t="s">
        <v>118</v>
      </c>
      <c r="Z1548" s="2" t="s">
        <v>10471</v>
      </c>
      <c r="AA1548" s="2">
        <v>-0.99770453906089895</v>
      </c>
      <c r="AB1548" s="2">
        <v>0.51787332909064598</v>
      </c>
      <c r="AC1548" s="2">
        <v>32602.508370485401</v>
      </c>
      <c r="AD1548" s="2">
        <v>50626.917627801697</v>
      </c>
      <c r="AE1548" s="2">
        <v>32520.2668248222</v>
      </c>
      <c r="AF1548" s="2">
        <v>33496.483330861702</v>
      </c>
      <c r="AG1548" s="2">
        <v>34837.653275742297</v>
      </c>
      <c r="AH1548" s="2">
        <v>30050.8784857594</v>
      </c>
      <c r="AI1548" s="2">
        <v>32547.101790842498</v>
      </c>
      <c r="AJ1548" s="2">
        <v>32162.6665148842</v>
      </c>
      <c r="AK1548" s="2">
        <v>46699.277337227802</v>
      </c>
      <c r="AL1548" s="2">
        <v>49914.576681912797</v>
      </c>
      <c r="AM1548" s="2">
        <v>52319.095154812298</v>
      </c>
      <c r="AN1548" s="2">
        <v>48692.753675246699</v>
      </c>
      <c r="AO1548" s="2">
        <v>53194.8397429338</v>
      </c>
      <c r="AP1548" s="2">
        <v>52940.963174677097</v>
      </c>
    </row>
    <row r="1549" spans="1:42" ht="14.5" x14ac:dyDescent="0.35">
      <c r="A1549" s="2" t="s">
        <v>10472</v>
      </c>
      <c r="B1549" s="2">
        <v>583.25495351582504</v>
      </c>
      <c r="C1549" s="2">
        <v>7.8969500000000004</v>
      </c>
      <c r="D1549" s="2" t="s">
        <v>70</v>
      </c>
      <c r="E1549" s="2" t="s">
        <v>10473</v>
      </c>
      <c r="F1549" s="2">
        <v>208381</v>
      </c>
      <c r="G1549" s="3" t="str">
        <f>HYPERLINK("http://funmeta.oebiotech.com/network/208381", "http://funmeta.oebiotech.com/network/208381")</f>
        <v>http://funmeta.oebiotech.com/network/208381</v>
      </c>
      <c r="H1549" s="2" t="s">
        <v>10474</v>
      </c>
      <c r="I1549" s="2"/>
      <c r="J1549" s="2"/>
      <c r="K1549" s="2"/>
      <c r="L1549" s="2"/>
      <c r="M1549" s="2"/>
      <c r="N1549" s="2"/>
      <c r="O1549" s="2">
        <v>136614764</v>
      </c>
      <c r="P1549" s="2"/>
      <c r="Q1549" s="2" t="s">
        <v>10475</v>
      </c>
      <c r="R1549" s="2" t="s">
        <v>10476</v>
      </c>
      <c r="S1549" s="2" t="s">
        <v>491</v>
      </c>
      <c r="T1549" s="2" t="s">
        <v>492</v>
      </c>
      <c r="U1549" s="2" t="s">
        <v>41</v>
      </c>
      <c r="V1549" s="2" t="s">
        <v>59</v>
      </c>
      <c r="W1549" s="2">
        <v>44.7</v>
      </c>
      <c r="X1549" s="2">
        <v>35.700000000000003</v>
      </c>
      <c r="Y1549" s="2" t="s">
        <v>118</v>
      </c>
      <c r="Z1549" s="2" t="s">
        <v>10477</v>
      </c>
      <c r="AA1549" s="2">
        <v>-2.1479063595000798</v>
      </c>
      <c r="AB1549" s="2">
        <v>0.51780654122202396</v>
      </c>
      <c r="AC1549" s="2">
        <v>44114.730549927801</v>
      </c>
      <c r="AD1549" s="2">
        <v>26189.664031115499</v>
      </c>
      <c r="AE1549" s="2">
        <v>42836.728244257101</v>
      </c>
      <c r="AF1549" s="2">
        <v>41841.155919040197</v>
      </c>
      <c r="AG1549" s="2">
        <v>47141.914623287703</v>
      </c>
      <c r="AH1549" s="2">
        <v>44172.275708527697</v>
      </c>
      <c r="AI1549" s="2">
        <v>41245.934427453103</v>
      </c>
      <c r="AJ1549" s="2">
        <v>47450.3743770008</v>
      </c>
      <c r="AK1549" s="2">
        <v>24912.655998581002</v>
      </c>
      <c r="AL1549" s="2">
        <v>26592.386627201999</v>
      </c>
      <c r="AM1549" s="2">
        <v>27604.324538586799</v>
      </c>
      <c r="AN1549" s="2">
        <v>25087.289453192199</v>
      </c>
      <c r="AO1549" s="2">
        <v>26762.920095764999</v>
      </c>
      <c r="AP1549" s="2">
        <v>26178.407473365802</v>
      </c>
    </row>
    <row r="1550" spans="1:42" ht="14.5" x14ac:dyDescent="0.35">
      <c r="A1550" s="2" t="s">
        <v>10478</v>
      </c>
      <c r="B1550" s="2">
        <v>649.27622928212395</v>
      </c>
      <c r="C1550" s="2">
        <v>9.9230666666666707</v>
      </c>
      <c r="D1550" s="2" t="s">
        <v>70</v>
      </c>
      <c r="E1550" s="2" t="s">
        <v>10479</v>
      </c>
      <c r="F1550" s="2">
        <v>204724</v>
      </c>
      <c r="G1550" s="3" t="str">
        <f>HYPERLINK("http://funmeta.oebiotech.com/network/204724", "http://funmeta.oebiotech.com/network/204724")</f>
        <v>http://funmeta.oebiotech.com/network/204724</v>
      </c>
      <c r="H1550" s="2" t="s">
        <v>10480</v>
      </c>
      <c r="I1550" s="2"/>
      <c r="J1550" s="2"/>
      <c r="K1550" s="2"/>
      <c r="L1550" s="2"/>
      <c r="M1550" s="2"/>
      <c r="N1550" s="2"/>
      <c r="O1550" s="2">
        <v>10448985</v>
      </c>
      <c r="P1550" s="2"/>
      <c r="Q1550" s="2" t="s">
        <v>10481</v>
      </c>
      <c r="R1550" s="2" t="s">
        <v>10482</v>
      </c>
      <c r="S1550" s="2" t="s">
        <v>41</v>
      </c>
      <c r="T1550" s="2" t="s">
        <v>41</v>
      </c>
      <c r="U1550" s="2" t="s">
        <v>41</v>
      </c>
      <c r="V1550" s="2" t="s">
        <v>59</v>
      </c>
      <c r="W1550" s="2">
        <v>38.1</v>
      </c>
      <c r="X1550" s="2">
        <v>1.88</v>
      </c>
      <c r="Y1550" s="2" t="s">
        <v>560</v>
      </c>
      <c r="Z1550" s="2" t="s">
        <v>10483</v>
      </c>
      <c r="AA1550" s="2">
        <v>-2.7330323203570401</v>
      </c>
      <c r="AB1550" s="2">
        <v>0.51729885421874799</v>
      </c>
      <c r="AC1550" s="2">
        <v>28348.896412352002</v>
      </c>
      <c r="AD1550" s="2">
        <v>46320.730626607103</v>
      </c>
      <c r="AE1550" s="2">
        <v>27536.3916744374</v>
      </c>
      <c r="AF1550" s="2">
        <v>28081.7164279069</v>
      </c>
      <c r="AG1550" s="2">
        <v>29506.730757544799</v>
      </c>
      <c r="AH1550" s="2">
        <v>28428.023061062799</v>
      </c>
      <c r="AI1550" s="2">
        <v>29236.651248709</v>
      </c>
      <c r="AJ1550" s="2">
        <v>27303.865304451101</v>
      </c>
      <c r="AK1550" s="2">
        <v>49903.1987123625</v>
      </c>
      <c r="AL1550" s="2">
        <v>42366.501635696201</v>
      </c>
      <c r="AM1550" s="2">
        <v>43718.691740554103</v>
      </c>
      <c r="AN1550" s="2">
        <v>45638.098012873998</v>
      </c>
      <c r="AO1550" s="2">
        <v>47472.222934684301</v>
      </c>
      <c r="AP1550" s="2">
        <v>48825.670723471601</v>
      </c>
    </row>
    <row r="1551" spans="1:42" ht="14.5" x14ac:dyDescent="0.35">
      <c r="A1551" s="2" t="s">
        <v>10484</v>
      </c>
      <c r="B1551" s="2">
        <v>271.115732142159</v>
      </c>
      <c r="C1551" s="2">
        <v>4.0871833333333303</v>
      </c>
      <c r="D1551" s="2" t="s">
        <v>34</v>
      </c>
      <c r="E1551" s="2" t="s">
        <v>10485</v>
      </c>
      <c r="F1551" s="2">
        <v>56341</v>
      </c>
      <c r="G1551" s="3" t="str">
        <f>HYPERLINK("http://funmeta.oebiotech.com/network/56341", "http://funmeta.oebiotech.com/network/56341")</f>
        <v>http://funmeta.oebiotech.com/network/56341</v>
      </c>
      <c r="H1551" s="2" t="s">
        <v>10486</v>
      </c>
      <c r="I1551" s="2"/>
      <c r="J1551" s="2"/>
      <c r="K1551" s="2">
        <v>172490</v>
      </c>
      <c r="L1551" s="2" t="s">
        <v>10487</v>
      </c>
      <c r="M1551" s="2"/>
      <c r="N1551" s="2"/>
      <c r="O1551" s="2">
        <v>14239303</v>
      </c>
      <c r="P1551" s="2" t="s">
        <v>10488</v>
      </c>
      <c r="Q1551" s="2" t="s">
        <v>10489</v>
      </c>
      <c r="R1551" s="2" t="s">
        <v>10490</v>
      </c>
      <c r="S1551" s="2" t="s">
        <v>50</v>
      </c>
      <c r="T1551" s="2" t="s">
        <v>229</v>
      </c>
      <c r="U1551" s="2" t="s">
        <v>230</v>
      </c>
      <c r="V1551" s="2" t="s">
        <v>59</v>
      </c>
      <c r="W1551" s="2">
        <v>45.3</v>
      </c>
      <c r="X1551" s="2">
        <v>34.6</v>
      </c>
      <c r="Y1551" s="2" t="s">
        <v>323</v>
      </c>
      <c r="Z1551" s="2" t="s">
        <v>10491</v>
      </c>
      <c r="AA1551" s="2">
        <v>2.10821688849397</v>
      </c>
      <c r="AB1551" s="2">
        <v>0.51720819741203305</v>
      </c>
      <c r="AC1551" s="2">
        <v>54121.592935427201</v>
      </c>
      <c r="AD1551" s="2">
        <v>71901.892129526299</v>
      </c>
      <c r="AE1551" s="2">
        <v>53135.283186847199</v>
      </c>
      <c r="AF1551" s="2">
        <v>55077.811809083803</v>
      </c>
      <c r="AG1551" s="2">
        <v>53153.682570099299</v>
      </c>
      <c r="AH1551" s="2">
        <v>54762.736178322302</v>
      </c>
      <c r="AI1551" s="2">
        <v>55693.551193919098</v>
      </c>
      <c r="AJ1551" s="2">
        <v>52906.492674291199</v>
      </c>
      <c r="AK1551" s="2">
        <v>72962.860426046798</v>
      </c>
      <c r="AL1551" s="2">
        <v>69662.102224932198</v>
      </c>
      <c r="AM1551" s="2">
        <v>72315.009167191907</v>
      </c>
      <c r="AN1551" s="2">
        <v>70425.818773753897</v>
      </c>
      <c r="AO1551" s="2">
        <v>70929.105830105706</v>
      </c>
      <c r="AP1551" s="2">
        <v>75116.4563551272</v>
      </c>
    </row>
    <row r="1552" spans="1:42" ht="14.5" x14ac:dyDescent="0.35">
      <c r="A1552" s="2" t="s">
        <v>10492</v>
      </c>
      <c r="B1552" s="2">
        <v>668.54475726779197</v>
      </c>
      <c r="C1552" s="2">
        <v>14.858183333333301</v>
      </c>
      <c r="D1552" s="2" t="s">
        <v>34</v>
      </c>
      <c r="E1552" s="2" t="s">
        <v>10493</v>
      </c>
      <c r="F1552" s="2">
        <v>248582</v>
      </c>
      <c r="G1552" s="3" t="str">
        <f>HYPERLINK("http://funmeta.oebiotech.com/network/248582", "http://funmeta.oebiotech.com/network/248582")</f>
        <v>http://funmeta.oebiotech.com/network/248582</v>
      </c>
      <c r="H1552" s="2" t="s">
        <v>10494</v>
      </c>
      <c r="I1552" s="2"/>
      <c r="J1552" s="2"/>
      <c r="K1552" s="2"/>
      <c r="L1552" s="2"/>
      <c r="M1552" s="2"/>
      <c r="N1552" s="2"/>
      <c r="O1552" s="2"/>
      <c r="P1552" s="2"/>
      <c r="Q1552" s="2" t="s">
        <v>10495</v>
      </c>
      <c r="R1552" s="2" t="s">
        <v>10496</v>
      </c>
      <c r="S1552" s="2" t="s">
        <v>41</v>
      </c>
      <c r="T1552" s="2" t="s">
        <v>41</v>
      </c>
      <c r="U1552" s="2" t="s">
        <v>41</v>
      </c>
      <c r="V1552" s="2" t="s">
        <v>59</v>
      </c>
      <c r="W1552" s="2">
        <v>39.1</v>
      </c>
      <c r="X1552" s="2">
        <v>0</v>
      </c>
      <c r="Y1552" s="2" t="s">
        <v>43</v>
      </c>
      <c r="Z1552" s="2" t="s">
        <v>10497</v>
      </c>
      <c r="AA1552" s="2">
        <v>-1.8798173393883999</v>
      </c>
      <c r="AB1552" s="2">
        <v>0.51708357515558601</v>
      </c>
      <c r="AC1552" s="2">
        <v>49100.995463111598</v>
      </c>
      <c r="AD1552" s="2">
        <v>29545.5422712652</v>
      </c>
      <c r="AE1552" s="2">
        <v>43239.978541514502</v>
      </c>
      <c r="AF1552" s="2">
        <v>40271.414313891502</v>
      </c>
      <c r="AG1552" s="2">
        <v>48824.433651483298</v>
      </c>
      <c r="AH1552" s="2">
        <v>50799.901152293503</v>
      </c>
      <c r="AI1552" s="2">
        <v>50499.953510316198</v>
      </c>
      <c r="AJ1552" s="2">
        <v>60970.291609170403</v>
      </c>
      <c r="AK1552" s="2">
        <v>30833.7868554987</v>
      </c>
      <c r="AL1552" s="2">
        <v>30936.396947559999</v>
      </c>
      <c r="AM1552" s="2">
        <v>29819.825830133999</v>
      </c>
      <c r="AN1552" s="2">
        <v>28265.9842201836</v>
      </c>
      <c r="AO1552" s="2">
        <v>30378.824121333899</v>
      </c>
      <c r="AP1552" s="2">
        <v>27038.4356528809</v>
      </c>
    </row>
    <row r="1553" spans="1:42" ht="14.5" x14ac:dyDescent="0.35">
      <c r="A1553" s="2" t="s">
        <v>10498</v>
      </c>
      <c r="B1553" s="2">
        <v>466.31625457308598</v>
      </c>
      <c r="C1553" s="2">
        <v>9.9973333333333301</v>
      </c>
      <c r="D1553" s="2" t="s">
        <v>34</v>
      </c>
      <c r="E1553" s="2" t="s">
        <v>10499</v>
      </c>
      <c r="F1553" s="2">
        <v>46727</v>
      </c>
      <c r="G1553" s="3" t="str">
        <f>HYPERLINK("http://funmeta.oebiotech.com/network/46727", "http://funmeta.oebiotech.com/network/46727")</f>
        <v>http://funmeta.oebiotech.com/network/46727</v>
      </c>
      <c r="H1553" s="2" t="s">
        <v>10500</v>
      </c>
      <c r="I1553" s="2">
        <v>202</v>
      </c>
      <c r="J1553" s="2" t="s">
        <v>10501</v>
      </c>
      <c r="K1553" s="2">
        <v>17687</v>
      </c>
      <c r="L1553" s="2" t="s">
        <v>10502</v>
      </c>
      <c r="M1553" s="2" t="s">
        <v>10503</v>
      </c>
      <c r="N1553" s="2" t="s">
        <v>10504</v>
      </c>
      <c r="O1553" s="2">
        <v>10140</v>
      </c>
      <c r="P1553" s="2" t="s">
        <v>10505</v>
      </c>
      <c r="Q1553" s="2" t="s">
        <v>10506</v>
      </c>
      <c r="R1553" s="2" t="s">
        <v>10507</v>
      </c>
      <c r="S1553" s="2" t="s">
        <v>50</v>
      </c>
      <c r="T1553" s="2" t="s">
        <v>124</v>
      </c>
      <c r="U1553" s="2" t="s">
        <v>125</v>
      </c>
      <c r="V1553" s="2" t="s">
        <v>59</v>
      </c>
      <c r="W1553" s="2">
        <v>40.5</v>
      </c>
      <c r="X1553" s="2">
        <v>6.7</v>
      </c>
      <c r="Y1553" s="2" t="s">
        <v>394</v>
      </c>
      <c r="Z1553" s="2" t="s">
        <v>10508</v>
      </c>
      <c r="AA1553" s="2">
        <v>-0.12886077573018401</v>
      </c>
      <c r="AB1553" s="2">
        <v>0.51685230474068</v>
      </c>
      <c r="AC1553" s="2">
        <v>16832.5262632923</v>
      </c>
      <c r="AD1553" s="2">
        <v>34607.420919208198</v>
      </c>
      <c r="AE1553" s="2">
        <v>16449.921668573701</v>
      </c>
      <c r="AF1553" s="2">
        <v>16617.664515201399</v>
      </c>
      <c r="AG1553" s="2">
        <v>15890.9201129752</v>
      </c>
      <c r="AH1553" s="2">
        <v>18134.070165831101</v>
      </c>
      <c r="AI1553" s="2">
        <v>16620.3227024642</v>
      </c>
      <c r="AJ1553" s="2">
        <v>17282.258414708202</v>
      </c>
      <c r="AK1553" s="2">
        <v>37669.999693979902</v>
      </c>
      <c r="AL1553" s="2">
        <v>36347.339301738102</v>
      </c>
      <c r="AM1553" s="2">
        <v>35067.128753281999</v>
      </c>
      <c r="AN1553" s="2">
        <v>33146.0963928157</v>
      </c>
      <c r="AO1553" s="2">
        <v>32551.896657319401</v>
      </c>
      <c r="AP1553" s="2">
        <v>32862.064716114401</v>
      </c>
    </row>
    <row r="1554" spans="1:42" ht="14.5" x14ac:dyDescent="0.35">
      <c r="A1554" s="2" t="s">
        <v>10509</v>
      </c>
      <c r="B1554" s="2">
        <v>270.117908774059</v>
      </c>
      <c r="C1554" s="2">
        <v>0.79598333333333304</v>
      </c>
      <c r="D1554" s="2" t="s">
        <v>34</v>
      </c>
      <c r="E1554" s="2" t="s">
        <v>10510</v>
      </c>
      <c r="F1554" s="2">
        <v>207221</v>
      </c>
      <c r="G1554" s="3" t="str">
        <f>HYPERLINK("http://funmeta.oebiotech.com/network/207221", "http://funmeta.oebiotech.com/network/207221")</f>
        <v>http://funmeta.oebiotech.com/network/207221</v>
      </c>
      <c r="H1554" s="2" t="s">
        <v>10511</v>
      </c>
      <c r="I1554" s="2"/>
      <c r="J1554" s="2"/>
      <c r="K1554" s="2"/>
      <c r="L1554" s="2"/>
      <c r="M1554" s="2"/>
      <c r="N1554" s="2"/>
      <c r="O1554" s="2"/>
      <c r="P1554" s="2"/>
      <c r="Q1554" s="2" t="s">
        <v>10512</v>
      </c>
      <c r="R1554" s="2" t="s">
        <v>10513</v>
      </c>
      <c r="S1554" s="2" t="s">
        <v>41</v>
      </c>
      <c r="T1554" s="2" t="s">
        <v>41</v>
      </c>
      <c r="U1554" s="2" t="s">
        <v>41</v>
      </c>
      <c r="V1554" s="2" t="s">
        <v>59</v>
      </c>
      <c r="W1554" s="2">
        <v>38.799999999999997</v>
      </c>
      <c r="X1554" s="2">
        <v>3.49</v>
      </c>
      <c r="Y1554" s="2" t="s">
        <v>470</v>
      </c>
      <c r="Z1554" s="2" t="s">
        <v>10514</v>
      </c>
      <c r="AA1554" s="2">
        <v>-1.7225395103293499</v>
      </c>
      <c r="AB1554" s="2">
        <v>0.51654264875616396</v>
      </c>
      <c r="AC1554" s="2">
        <v>59744.962531277197</v>
      </c>
      <c r="AD1554" s="2">
        <v>78663.691306151799</v>
      </c>
      <c r="AE1554" s="2">
        <v>66069.5668956343</v>
      </c>
      <c r="AF1554" s="2">
        <v>52929.598980410701</v>
      </c>
      <c r="AG1554" s="2">
        <v>60262.644652424096</v>
      </c>
      <c r="AH1554" s="2">
        <v>58648.265738257804</v>
      </c>
      <c r="AI1554" s="2">
        <v>61354.428538939399</v>
      </c>
      <c r="AJ1554" s="2">
        <v>59205.270381996903</v>
      </c>
      <c r="AK1554" s="2">
        <v>72333.843912957003</v>
      </c>
      <c r="AL1554" s="2">
        <v>81263.010186558793</v>
      </c>
      <c r="AM1554" s="2">
        <v>84654.143315618203</v>
      </c>
      <c r="AN1554" s="2">
        <v>80168.012085137103</v>
      </c>
      <c r="AO1554" s="2">
        <v>75570.522146010597</v>
      </c>
      <c r="AP1554" s="2">
        <v>77992.616190629196</v>
      </c>
    </row>
    <row r="1555" spans="1:42" ht="14.5" x14ac:dyDescent="0.35">
      <c r="A1555" s="2" t="s">
        <v>10515</v>
      </c>
      <c r="B1555" s="2">
        <v>331.18788654180798</v>
      </c>
      <c r="C1555" s="2">
        <v>10.283666666666701</v>
      </c>
      <c r="D1555" s="2" t="s">
        <v>34</v>
      </c>
      <c r="E1555" s="2" t="s">
        <v>10516</v>
      </c>
      <c r="F1555" s="2">
        <v>54735</v>
      </c>
      <c r="G1555" s="3" t="str">
        <f>HYPERLINK("http://funmeta.oebiotech.com/network/54735", "http://funmeta.oebiotech.com/network/54735")</f>
        <v>http://funmeta.oebiotech.com/network/54735</v>
      </c>
      <c r="H1555" s="2" t="s">
        <v>10517</v>
      </c>
      <c r="I1555" s="2">
        <v>86546</v>
      </c>
      <c r="J1555" s="2"/>
      <c r="K1555" s="2"/>
      <c r="L1555" s="2"/>
      <c r="M1555" s="2"/>
      <c r="N1555" s="2"/>
      <c r="O1555" s="2">
        <v>71391212</v>
      </c>
      <c r="P1555" s="2"/>
      <c r="Q1555" s="2" t="s">
        <v>10518</v>
      </c>
      <c r="R1555" s="2" t="s">
        <v>10519</v>
      </c>
      <c r="S1555" s="2" t="s">
        <v>148</v>
      </c>
      <c r="T1555" s="2" t="s">
        <v>149</v>
      </c>
      <c r="U1555" s="2" t="s">
        <v>4297</v>
      </c>
      <c r="V1555" s="2" t="s">
        <v>42</v>
      </c>
      <c r="W1555" s="2">
        <v>50.5</v>
      </c>
      <c r="X1555" s="2">
        <v>57.9</v>
      </c>
      <c r="Y1555" s="2" t="s">
        <v>67</v>
      </c>
      <c r="Z1555" s="2" t="s">
        <v>7423</v>
      </c>
      <c r="AA1555" s="2">
        <v>-0.303422350917186</v>
      </c>
      <c r="AB1555" s="2">
        <v>0.51629916952833599</v>
      </c>
      <c r="AC1555" s="2">
        <v>55326.315305374301</v>
      </c>
      <c r="AD1555" s="2">
        <v>37539.275855696702</v>
      </c>
      <c r="AE1555" s="2">
        <v>59166.133779377902</v>
      </c>
      <c r="AF1555" s="2">
        <v>54794.008543510397</v>
      </c>
      <c r="AG1555" s="2">
        <v>53552.001077339199</v>
      </c>
      <c r="AH1555" s="2">
        <v>55032.2822327178</v>
      </c>
      <c r="AI1555" s="2">
        <v>52789.019769405699</v>
      </c>
      <c r="AJ1555" s="2">
        <v>56624.446429894902</v>
      </c>
      <c r="AK1555" s="2">
        <v>40344.792188642401</v>
      </c>
      <c r="AL1555" s="2">
        <v>37035.841746108599</v>
      </c>
      <c r="AM1555" s="2">
        <v>37088.834282686999</v>
      </c>
      <c r="AN1555" s="2">
        <v>37386.5286318586</v>
      </c>
      <c r="AO1555" s="2">
        <v>36948.720582611502</v>
      </c>
      <c r="AP1555" s="2">
        <v>36430.937702272102</v>
      </c>
    </row>
    <row r="1556" spans="1:42" ht="14.5" x14ac:dyDescent="0.35">
      <c r="A1556" s="2" t="s">
        <v>10520</v>
      </c>
      <c r="B1556" s="2">
        <v>867.212020495052</v>
      </c>
      <c r="C1556" s="2">
        <v>4.0355999999999996</v>
      </c>
      <c r="D1556" s="2" t="s">
        <v>34</v>
      </c>
      <c r="E1556" s="2" t="s">
        <v>10521</v>
      </c>
      <c r="F1556" s="2">
        <v>61762</v>
      </c>
      <c r="G1556" s="3" t="str">
        <f>HYPERLINK("http://funmeta.oebiotech.com/network/61762", "http://funmeta.oebiotech.com/network/61762")</f>
        <v>http://funmeta.oebiotech.com/network/61762</v>
      </c>
      <c r="H1556" s="2" t="s">
        <v>10522</v>
      </c>
      <c r="I1556" s="2">
        <v>71824</v>
      </c>
      <c r="J1556" s="2"/>
      <c r="K1556" s="2">
        <v>75643</v>
      </c>
      <c r="L1556" s="2" t="s">
        <v>10523</v>
      </c>
      <c r="M1556" s="2"/>
      <c r="N1556" s="2"/>
      <c r="O1556" s="2">
        <v>169853</v>
      </c>
      <c r="P1556" s="2" t="s">
        <v>10524</v>
      </c>
      <c r="Q1556" s="2" t="s">
        <v>10525</v>
      </c>
      <c r="R1556" s="2" t="s">
        <v>10526</v>
      </c>
      <c r="S1556" s="2" t="s">
        <v>115</v>
      </c>
      <c r="T1556" s="2" t="s">
        <v>139</v>
      </c>
      <c r="U1556" s="2" t="s">
        <v>957</v>
      </c>
      <c r="V1556" s="2" t="s">
        <v>42</v>
      </c>
      <c r="W1556" s="2">
        <v>56.6</v>
      </c>
      <c r="X1556" s="2">
        <v>92.5</v>
      </c>
      <c r="Y1556" s="2" t="s">
        <v>67</v>
      </c>
      <c r="Z1556" s="2" t="s">
        <v>10527</v>
      </c>
      <c r="AA1556" s="2">
        <v>-1.2356274570066099</v>
      </c>
      <c r="AB1556" s="2">
        <v>0.51562937881930004</v>
      </c>
      <c r="AC1556" s="2">
        <v>199480.67903132801</v>
      </c>
      <c r="AD1556" s="2">
        <v>160292.310442555</v>
      </c>
      <c r="AE1556" s="2">
        <v>156760.32357412399</v>
      </c>
      <c r="AF1556" s="2">
        <v>156177.172812656</v>
      </c>
      <c r="AG1556" s="2">
        <v>192342.456273911</v>
      </c>
      <c r="AH1556" s="2">
        <v>290118.42698167398</v>
      </c>
      <c r="AI1556" s="2">
        <v>229658.91252755001</v>
      </c>
      <c r="AJ1556" s="2">
        <v>171826.782018053</v>
      </c>
      <c r="AK1556" s="2">
        <v>110226.624997641</v>
      </c>
      <c r="AL1556" s="2">
        <v>170438.35701748601</v>
      </c>
      <c r="AM1556" s="2">
        <v>162932.945753176</v>
      </c>
      <c r="AN1556" s="2">
        <v>163893.83482550801</v>
      </c>
      <c r="AO1556" s="2">
        <v>197789.33668217799</v>
      </c>
      <c r="AP1556" s="2">
        <v>156472.763379343</v>
      </c>
    </row>
    <row r="1557" spans="1:42" ht="14.5" x14ac:dyDescent="0.35">
      <c r="A1557" s="2" t="s">
        <v>10528</v>
      </c>
      <c r="B1557" s="2">
        <v>273.07543565513203</v>
      </c>
      <c r="C1557" s="2">
        <v>5.0258500000000002</v>
      </c>
      <c r="D1557" s="2" t="s">
        <v>34</v>
      </c>
      <c r="E1557" s="2" t="s">
        <v>10529</v>
      </c>
      <c r="F1557" s="2">
        <v>205381</v>
      </c>
      <c r="G1557" s="3" t="str">
        <f>HYPERLINK("http://funmeta.oebiotech.com/network/205381", "http://funmeta.oebiotech.com/network/205381")</f>
        <v>http://funmeta.oebiotech.com/network/205381</v>
      </c>
      <c r="H1557" s="2" t="s">
        <v>10530</v>
      </c>
      <c r="I1557" s="2"/>
      <c r="J1557" s="2"/>
      <c r="K1557" s="2"/>
      <c r="L1557" s="2"/>
      <c r="M1557" s="2"/>
      <c r="N1557" s="2"/>
      <c r="O1557" s="2">
        <v>3085031</v>
      </c>
      <c r="P1557" s="2"/>
      <c r="Q1557" s="2" t="s">
        <v>10531</v>
      </c>
      <c r="R1557" s="2" t="s">
        <v>10532</v>
      </c>
      <c r="S1557" s="2" t="s">
        <v>89</v>
      </c>
      <c r="T1557" s="2" t="s">
        <v>90</v>
      </c>
      <c r="U1557" s="2" t="s">
        <v>99</v>
      </c>
      <c r="V1557" s="2" t="s">
        <v>59</v>
      </c>
      <c r="W1557" s="2">
        <v>39</v>
      </c>
      <c r="X1557" s="2">
        <v>0</v>
      </c>
      <c r="Y1557" s="2" t="s">
        <v>340</v>
      </c>
      <c r="Z1557" s="2" t="s">
        <v>10533</v>
      </c>
      <c r="AA1557" s="2">
        <v>2.57085781671953</v>
      </c>
      <c r="AB1557" s="2">
        <v>0.51534833396552104</v>
      </c>
      <c r="AC1557" s="2">
        <v>38446.666032563902</v>
      </c>
      <c r="AD1557" s="2">
        <v>56647.506754358299</v>
      </c>
      <c r="AE1557" s="2">
        <v>34653.8317732094</v>
      </c>
      <c r="AF1557" s="2">
        <v>40280.918909043699</v>
      </c>
      <c r="AG1557" s="2">
        <v>40967.796922982197</v>
      </c>
      <c r="AH1557" s="2">
        <v>34250.464266704003</v>
      </c>
      <c r="AI1557" s="2">
        <v>38589.439259046201</v>
      </c>
      <c r="AJ1557" s="2">
        <v>41937.545064397797</v>
      </c>
      <c r="AK1557" s="2">
        <v>56358.077862602098</v>
      </c>
      <c r="AL1557" s="2">
        <v>54362.211790293397</v>
      </c>
      <c r="AM1557" s="2">
        <v>60759.869446881603</v>
      </c>
      <c r="AN1557" s="2">
        <v>58445.321259579199</v>
      </c>
      <c r="AO1557" s="2">
        <v>53074.674500111701</v>
      </c>
      <c r="AP1557" s="2">
        <v>56884.885666681897</v>
      </c>
    </row>
    <row r="1558" spans="1:42" ht="14.5" x14ac:dyDescent="0.35">
      <c r="A1558" s="2" t="s">
        <v>10534</v>
      </c>
      <c r="B1558" s="2">
        <v>283.20542726212602</v>
      </c>
      <c r="C1558" s="2">
        <v>4.6168333333333296</v>
      </c>
      <c r="D1558" s="2" t="s">
        <v>34</v>
      </c>
      <c r="E1558" s="2" t="s">
        <v>10535</v>
      </c>
      <c r="F1558" s="2">
        <v>52002</v>
      </c>
      <c r="G1558" s="3" t="str">
        <f>HYPERLINK("http://funmeta.oebiotech.com/network/52002", "http://funmeta.oebiotech.com/network/52002")</f>
        <v>http://funmeta.oebiotech.com/network/52002</v>
      </c>
      <c r="H1558" s="2" t="s">
        <v>10536</v>
      </c>
      <c r="I1558" s="2">
        <v>71285</v>
      </c>
      <c r="J1558" s="2"/>
      <c r="K1558" s="2">
        <v>44597</v>
      </c>
      <c r="L1558" s="2" t="s">
        <v>10537</v>
      </c>
      <c r="M1558" s="2" t="s">
        <v>3602</v>
      </c>
      <c r="N1558" s="2" t="s">
        <v>3603</v>
      </c>
      <c r="O1558" s="2">
        <v>5289090</v>
      </c>
      <c r="P1558" s="2" t="s">
        <v>10538</v>
      </c>
      <c r="Q1558" s="2" t="s">
        <v>10539</v>
      </c>
      <c r="R1558" s="2" t="s">
        <v>10540</v>
      </c>
      <c r="S1558" s="2" t="s">
        <v>50</v>
      </c>
      <c r="T1558" s="2" t="s">
        <v>201</v>
      </c>
      <c r="U1558" s="2" t="s">
        <v>2195</v>
      </c>
      <c r="V1558" s="2" t="s">
        <v>42</v>
      </c>
      <c r="W1558" s="2">
        <v>57.5</v>
      </c>
      <c r="X1558" s="2">
        <v>91.1</v>
      </c>
      <c r="Y1558" s="2" t="s">
        <v>141</v>
      </c>
      <c r="Z1558" s="2" t="s">
        <v>8502</v>
      </c>
      <c r="AA1558" s="2">
        <v>-0.71491862088258795</v>
      </c>
      <c r="AB1558" s="2">
        <v>0.51513223172233502</v>
      </c>
      <c r="AC1558" s="2">
        <v>727980.36888379697</v>
      </c>
      <c r="AD1558" s="2">
        <v>702523.12638707901</v>
      </c>
      <c r="AE1558" s="2">
        <v>716143.26363692305</v>
      </c>
      <c r="AF1558" s="2">
        <v>724596.48071114998</v>
      </c>
      <c r="AG1558" s="2">
        <v>750798.53475706605</v>
      </c>
      <c r="AH1558" s="2">
        <v>712441.68835225003</v>
      </c>
      <c r="AI1558" s="2">
        <v>729465.59200428706</v>
      </c>
      <c r="AJ1558" s="2">
        <v>734436.65384110401</v>
      </c>
      <c r="AK1558" s="2">
        <v>700984.90754186001</v>
      </c>
      <c r="AL1558" s="2">
        <v>717008.99380434898</v>
      </c>
      <c r="AM1558" s="2">
        <v>725677.14665379596</v>
      </c>
      <c r="AN1558" s="2">
        <v>698345.95868218597</v>
      </c>
      <c r="AO1558" s="2">
        <v>686727.09150771098</v>
      </c>
      <c r="AP1558" s="2">
        <v>686394.66013257299</v>
      </c>
    </row>
    <row r="1559" spans="1:42" ht="14.5" x14ac:dyDescent="0.35">
      <c r="A1559" s="2" t="s">
        <v>10541</v>
      </c>
      <c r="B1559" s="2">
        <v>587.26134301713898</v>
      </c>
      <c r="C1559" s="2">
        <v>11.1610333333333</v>
      </c>
      <c r="D1559" s="2" t="s">
        <v>34</v>
      </c>
      <c r="E1559" s="2" t="s">
        <v>10542</v>
      </c>
      <c r="F1559" s="2">
        <v>203235</v>
      </c>
      <c r="G1559" s="3" t="str">
        <f>HYPERLINK("http://funmeta.oebiotech.com/network/203235", "http://funmeta.oebiotech.com/network/203235")</f>
        <v>http://funmeta.oebiotech.com/network/203235</v>
      </c>
      <c r="H1559" s="2" t="s">
        <v>10543</v>
      </c>
      <c r="I1559" s="2"/>
      <c r="J1559" s="2"/>
      <c r="K1559" s="2"/>
      <c r="L1559" s="2"/>
      <c r="M1559" s="2"/>
      <c r="N1559" s="2"/>
      <c r="O1559" s="2">
        <v>2074</v>
      </c>
      <c r="P1559" s="2"/>
      <c r="Q1559" s="2" t="s">
        <v>10544</v>
      </c>
      <c r="R1559" s="2" t="s">
        <v>10545</v>
      </c>
      <c r="S1559" s="2" t="s">
        <v>115</v>
      </c>
      <c r="T1559" s="2" t="s">
        <v>2840</v>
      </c>
      <c r="U1559" s="2" t="s">
        <v>41</v>
      </c>
      <c r="V1559" s="2" t="s">
        <v>59</v>
      </c>
      <c r="W1559" s="2">
        <v>42.9</v>
      </c>
      <c r="X1559" s="2">
        <v>24.7</v>
      </c>
      <c r="Y1559" s="2" t="s">
        <v>43</v>
      </c>
      <c r="Z1559" s="2" t="s">
        <v>10546</v>
      </c>
      <c r="AA1559" s="2">
        <v>2.4966604632760698</v>
      </c>
      <c r="AB1559" s="2">
        <v>0.51510824475913397</v>
      </c>
      <c r="AC1559" s="2">
        <v>50006.461505621097</v>
      </c>
      <c r="AD1559" s="2">
        <v>32353.487839084999</v>
      </c>
      <c r="AE1559" s="2">
        <v>48485.386088104897</v>
      </c>
      <c r="AF1559" s="2">
        <v>51035.896884170703</v>
      </c>
      <c r="AG1559" s="2">
        <v>51484.709193317001</v>
      </c>
      <c r="AH1559" s="2">
        <v>50492.055845148301</v>
      </c>
      <c r="AI1559" s="2">
        <v>50114.353290008999</v>
      </c>
      <c r="AJ1559" s="2">
        <v>48426.367732976898</v>
      </c>
      <c r="AK1559" s="2">
        <v>34442.559215813402</v>
      </c>
      <c r="AL1559" s="2">
        <v>34625.581587699198</v>
      </c>
      <c r="AM1559" s="2">
        <v>33425.879377687001</v>
      </c>
      <c r="AN1559" s="2">
        <v>30303.217294240501</v>
      </c>
      <c r="AO1559" s="2">
        <v>30585.9170022748</v>
      </c>
      <c r="AP1559" s="2">
        <v>30737.772556794898</v>
      </c>
    </row>
    <row r="1560" spans="1:42" ht="14.5" x14ac:dyDescent="0.35">
      <c r="A1560" s="2" t="s">
        <v>10547</v>
      </c>
      <c r="B1560" s="2">
        <v>705.23926036293403</v>
      </c>
      <c r="C1560" s="2">
        <v>4.0429833333333303</v>
      </c>
      <c r="D1560" s="2" t="s">
        <v>70</v>
      </c>
      <c r="E1560" s="2" t="s">
        <v>10548</v>
      </c>
      <c r="F1560" s="2">
        <v>32094</v>
      </c>
      <c r="G1560" s="3" t="str">
        <f>HYPERLINK("http://funmeta.oebiotech.com/network/32094", "http://funmeta.oebiotech.com/network/32094")</f>
        <v>http://funmeta.oebiotech.com/network/32094</v>
      </c>
      <c r="H1560" s="2"/>
      <c r="I1560" s="2"/>
      <c r="J1560" s="2" t="s">
        <v>10549</v>
      </c>
      <c r="K1560" s="2"/>
      <c r="L1560" s="2"/>
      <c r="M1560" s="2"/>
      <c r="N1560" s="2"/>
      <c r="O1560" s="2">
        <v>5318987</v>
      </c>
      <c r="P1560" s="2"/>
      <c r="Q1560" s="2" t="s">
        <v>10550</v>
      </c>
      <c r="R1560" s="2" t="s">
        <v>10551</v>
      </c>
      <c r="S1560" s="2" t="s">
        <v>115</v>
      </c>
      <c r="T1560" s="2" t="s">
        <v>139</v>
      </c>
      <c r="U1560" s="2" t="s">
        <v>140</v>
      </c>
      <c r="V1560" s="2" t="s">
        <v>59</v>
      </c>
      <c r="W1560" s="2">
        <v>38.700000000000003</v>
      </c>
      <c r="X1560" s="2">
        <v>0</v>
      </c>
      <c r="Y1560" s="2" t="s">
        <v>408</v>
      </c>
      <c r="Z1560" s="2" t="s">
        <v>10552</v>
      </c>
      <c r="AA1560" s="2">
        <v>-1.1336205896034699</v>
      </c>
      <c r="AB1560" s="2">
        <v>0.51483593861086996</v>
      </c>
      <c r="AC1560" s="2">
        <v>35983.2046666877</v>
      </c>
      <c r="AD1560" s="2">
        <v>16835.333770993599</v>
      </c>
      <c r="AE1560" s="2">
        <v>36087.884556500503</v>
      </c>
      <c r="AF1560" s="2">
        <v>27201.699821373601</v>
      </c>
      <c r="AG1560" s="2">
        <v>38557.841813946303</v>
      </c>
      <c r="AH1560" s="2">
        <v>31509.031417006499</v>
      </c>
      <c r="AI1560" s="2">
        <v>36116.811109447903</v>
      </c>
      <c r="AJ1560" s="2">
        <v>46425.959281851297</v>
      </c>
      <c r="AK1560" s="2">
        <v>15182.7148754146</v>
      </c>
      <c r="AL1560" s="2">
        <v>14521.3465381653</v>
      </c>
      <c r="AM1560" s="2">
        <v>19082.289900797699</v>
      </c>
      <c r="AN1560" s="2">
        <v>17794.289489848899</v>
      </c>
      <c r="AO1560" s="2">
        <v>17474.1139390139</v>
      </c>
      <c r="AP1560" s="2">
        <v>16957.247882721102</v>
      </c>
    </row>
    <row r="1561" spans="1:42" ht="14.5" x14ac:dyDescent="0.35">
      <c r="A1561" s="2" t="s">
        <v>10553</v>
      </c>
      <c r="B1561" s="2">
        <v>341.13793977237901</v>
      </c>
      <c r="C1561" s="2">
        <v>4.4289500000000004</v>
      </c>
      <c r="D1561" s="2" t="s">
        <v>34</v>
      </c>
      <c r="E1561" s="2" t="s">
        <v>10554</v>
      </c>
      <c r="F1561" s="2">
        <v>206148</v>
      </c>
      <c r="G1561" s="3" t="str">
        <f>HYPERLINK("http://funmeta.oebiotech.com/network/206148", "http://funmeta.oebiotech.com/network/206148")</f>
        <v>http://funmeta.oebiotech.com/network/206148</v>
      </c>
      <c r="H1561" s="2" t="s">
        <v>10555</v>
      </c>
      <c r="I1561" s="2"/>
      <c r="J1561" s="2"/>
      <c r="K1561" s="2"/>
      <c r="L1561" s="2"/>
      <c r="M1561" s="2"/>
      <c r="N1561" s="2"/>
      <c r="O1561" s="2">
        <v>3047143</v>
      </c>
      <c r="P1561" s="2"/>
      <c r="Q1561" s="2" t="s">
        <v>10556</v>
      </c>
      <c r="R1561" s="2" t="s">
        <v>10557</v>
      </c>
      <c r="S1561" s="2" t="s">
        <v>41</v>
      </c>
      <c r="T1561" s="2" t="s">
        <v>41</v>
      </c>
      <c r="U1561" s="2" t="s">
        <v>41</v>
      </c>
      <c r="V1561" s="2" t="s">
        <v>59</v>
      </c>
      <c r="W1561" s="2">
        <v>38.9</v>
      </c>
      <c r="X1561" s="2">
        <v>0</v>
      </c>
      <c r="Y1561" s="2" t="s">
        <v>340</v>
      </c>
      <c r="Z1561" s="2" t="s">
        <v>10558</v>
      </c>
      <c r="AA1561" s="2">
        <v>1.6736319370803601</v>
      </c>
      <c r="AB1561" s="2">
        <v>0.51482987389443502</v>
      </c>
      <c r="AC1561" s="2">
        <v>54590.474850131199</v>
      </c>
      <c r="AD1561" s="2">
        <v>73905.842784195804</v>
      </c>
      <c r="AE1561" s="2">
        <v>53006.594167335701</v>
      </c>
      <c r="AF1561" s="2">
        <v>60040.5489315304</v>
      </c>
      <c r="AG1561" s="2">
        <v>55909.132812248703</v>
      </c>
      <c r="AH1561" s="2">
        <v>46199.722004954303</v>
      </c>
      <c r="AI1561" s="2">
        <v>59817.134337541502</v>
      </c>
      <c r="AJ1561" s="2">
        <v>52569.716847176402</v>
      </c>
      <c r="AK1561" s="2">
        <v>79008.562780352804</v>
      </c>
      <c r="AL1561" s="2">
        <v>73068.943544914495</v>
      </c>
      <c r="AM1561" s="2">
        <v>73712.606139807802</v>
      </c>
      <c r="AN1561" s="2">
        <v>74606.660381048598</v>
      </c>
      <c r="AO1561" s="2">
        <v>64818.005997364897</v>
      </c>
      <c r="AP1561" s="2">
        <v>78220.277861686001</v>
      </c>
    </row>
    <row r="1562" spans="1:42" ht="14.5" x14ac:dyDescent="0.35">
      <c r="A1562" s="2" t="s">
        <v>10559</v>
      </c>
      <c r="B1562" s="2">
        <v>593.27306945752798</v>
      </c>
      <c r="C1562" s="2">
        <v>9.6037999999999997</v>
      </c>
      <c r="D1562" s="2" t="s">
        <v>70</v>
      </c>
      <c r="E1562" s="2" t="s">
        <v>10560</v>
      </c>
      <c r="F1562" s="2">
        <v>24883</v>
      </c>
      <c r="G1562" s="3" t="str">
        <f>HYPERLINK("http://funmeta.oebiotech.com/network/24883", "http://funmeta.oebiotech.com/network/24883")</f>
        <v>http://funmeta.oebiotech.com/network/24883</v>
      </c>
      <c r="H1562" s="2"/>
      <c r="I1562" s="2"/>
      <c r="J1562" s="2" t="s">
        <v>10561</v>
      </c>
      <c r="K1562" s="2">
        <v>138085</v>
      </c>
      <c r="L1562" s="2"/>
      <c r="M1562" s="2"/>
      <c r="N1562" s="2"/>
      <c r="O1562" s="2">
        <v>52928611</v>
      </c>
      <c r="P1562" s="2"/>
      <c r="Q1562" s="2" t="s">
        <v>10562</v>
      </c>
      <c r="R1562" s="2" t="s">
        <v>10563</v>
      </c>
      <c r="S1562" s="2" t="s">
        <v>50</v>
      </c>
      <c r="T1562" s="2" t="s">
        <v>51</v>
      </c>
      <c r="U1562" s="2" t="s">
        <v>52</v>
      </c>
      <c r="V1562" s="2" t="s">
        <v>59</v>
      </c>
      <c r="W1562" s="2">
        <v>42.5</v>
      </c>
      <c r="X1562" s="2">
        <v>15.4</v>
      </c>
      <c r="Y1562" s="2" t="s">
        <v>118</v>
      </c>
      <c r="Z1562" s="2" t="s">
        <v>10564</v>
      </c>
      <c r="AA1562" s="2">
        <v>-0.28216049263002002</v>
      </c>
      <c r="AB1562" s="2">
        <v>0.51445758073359904</v>
      </c>
      <c r="AC1562" s="2">
        <v>43280.161387504697</v>
      </c>
      <c r="AD1562" s="2">
        <v>23917.957277375001</v>
      </c>
      <c r="AE1562" s="2">
        <v>53558.675834518101</v>
      </c>
      <c r="AF1562" s="2">
        <v>45540.171556566798</v>
      </c>
      <c r="AG1562" s="2">
        <v>43455.029739332902</v>
      </c>
      <c r="AH1562" s="2">
        <v>41881.415590814999</v>
      </c>
      <c r="AI1562" s="2">
        <v>39543.034330824499</v>
      </c>
      <c r="AJ1562" s="2">
        <v>35702.641272971203</v>
      </c>
      <c r="AK1562" s="2">
        <v>21016.398973123301</v>
      </c>
      <c r="AL1562" s="2">
        <v>26845.539541918199</v>
      </c>
      <c r="AM1562" s="2">
        <v>26227.850108838698</v>
      </c>
      <c r="AN1562" s="2">
        <v>20384.887112489301</v>
      </c>
      <c r="AO1562" s="2">
        <v>30253.846086545302</v>
      </c>
      <c r="AP1562" s="2">
        <v>18779.221841335398</v>
      </c>
    </row>
    <row r="1563" spans="1:42" ht="14.5" x14ac:dyDescent="0.35">
      <c r="A1563" s="2" t="s">
        <v>10565</v>
      </c>
      <c r="B1563" s="2">
        <v>437.14126716997498</v>
      </c>
      <c r="C1563" s="2">
        <v>4.3112000000000004</v>
      </c>
      <c r="D1563" s="2" t="s">
        <v>34</v>
      </c>
      <c r="E1563" s="2" t="s">
        <v>10566</v>
      </c>
      <c r="F1563" s="2">
        <v>56890</v>
      </c>
      <c r="G1563" s="3" t="str">
        <f>HYPERLINK("http://funmeta.oebiotech.com/network/56890", "http://funmeta.oebiotech.com/network/56890")</f>
        <v>http://funmeta.oebiotech.com/network/56890</v>
      </c>
      <c r="H1563" s="2" t="s">
        <v>10567</v>
      </c>
      <c r="I1563" s="2">
        <v>88555</v>
      </c>
      <c r="J1563" s="2"/>
      <c r="K1563" s="2">
        <v>172655</v>
      </c>
      <c r="L1563" s="2"/>
      <c r="M1563" s="2"/>
      <c r="N1563" s="2"/>
      <c r="O1563" s="2">
        <v>13964506</v>
      </c>
      <c r="P1563" s="2" t="s">
        <v>10568</v>
      </c>
      <c r="Q1563" s="2" t="s">
        <v>10569</v>
      </c>
      <c r="R1563" s="2" t="s">
        <v>10570</v>
      </c>
      <c r="S1563" s="2" t="s">
        <v>79</v>
      </c>
      <c r="T1563" s="2" t="s">
        <v>80</v>
      </c>
      <c r="U1563" s="2" t="s">
        <v>81</v>
      </c>
      <c r="V1563" s="2" t="s">
        <v>59</v>
      </c>
      <c r="W1563" s="2">
        <v>39.700000000000003</v>
      </c>
      <c r="X1563" s="2">
        <v>8.2200000000000006</v>
      </c>
      <c r="Y1563" s="2" t="s">
        <v>323</v>
      </c>
      <c r="Z1563" s="2" t="s">
        <v>10571</v>
      </c>
      <c r="AA1563" s="2">
        <v>-1.3293154478223499</v>
      </c>
      <c r="AB1563" s="2">
        <v>0.513501965736189</v>
      </c>
      <c r="AC1563" s="2">
        <v>49752.057453189402</v>
      </c>
      <c r="AD1563" s="2">
        <v>67991.927618353497</v>
      </c>
      <c r="AE1563" s="2">
        <v>52744.732188161397</v>
      </c>
      <c r="AF1563" s="2">
        <v>49258.8567546587</v>
      </c>
      <c r="AG1563" s="2">
        <v>52633.503367562902</v>
      </c>
      <c r="AH1563" s="2">
        <v>44624.326364120403</v>
      </c>
      <c r="AI1563" s="2">
        <v>47435.034158694099</v>
      </c>
      <c r="AJ1563" s="2">
        <v>51815.891885938603</v>
      </c>
      <c r="AK1563" s="2">
        <v>70928.184488091603</v>
      </c>
      <c r="AL1563" s="2">
        <v>71318.515696041199</v>
      </c>
      <c r="AM1563" s="2">
        <v>62917.5146324616</v>
      </c>
      <c r="AN1563" s="2">
        <v>67148.791452087593</v>
      </c>
      <c r="AO1563" s="2">
        <v>67052.032537271894</v>
      </c>
      <c r="AP1563" s="2">
        <v>68586.526904166807</v>
      </c>
    </row>
    <row r="1564" spans="1:42" ht="14.5" x14ac:dyDescent="0.35">
      <c r="A1564" s="2" t="s">
        <v>10572</v>
      </c>
      <c r="B1564" s="2">
        <v>697.23534389555698</v>
      </c>
      <c r="C1564" s="2">
        <v>4.22216666666667</v>
      </c>
      <c r="D1564" s="2" t="s">
        <v>70</v>
      </c>
      <c r="E1564" s="2" t="s">
        <v>10573</v>
      </c>
      <c r="F1564" s="2">
        <v>210172</v>
      </c>
      <c r="G1564" s="3" t="str">
        <f>HYPERLINK("http://funmeta.oebiotech.com/network/210172", "http://funmeta.oebiotech.com/network/210172")</f>
        <v>http://funmeta.oebiotech.com/network/210172</v>
      </c>
      <c r="H1564" s="2" t="s">
        <v>10574</v>
      </c>
      <c r="I1564" s="2"/>
      <c r="J1564" s="2"/>
      <c r="K1564" s="2">
        <v>71013</v>
      </c>
      <c r="L1564" s="2"/>
      <c r="M1564" s="2"/>
      <c r="N1564" s="2"/>
      <c r="O1564" s="2"/>
      <c r="P1564" s="2"/>
      <c r="Q1564" s="2" t="s">
        <v>10575</v>
      </c>
      <c r="R1564" s="2" t="s">
        <v>10576</v>
      </c>
      <c r="S1564" s="2" t="s">
        <v>491</v>
      </c>
      <c r="T1564" s="2" t="s">
        <v>2238</v>
      </c>
      <c r="U1564" s="2" t="s">
        <v>10577</v>
      </c>
      <c r="V1564" s="2" t="s">
        <v>59</v>
      </c>
      <c r="W1564" s="2">
        <v>38.5</v>
      </c>
      <c r="X1564" s="2">
        <v>0</v>
      </c>
      <c r="Y1564" s="2" t="s">
        <v>560</v>
      </c>
      <c r="Z1564" s="2" t="s">
        <v>10578</v>
      </c>
      <c r="AA1564" s="2">
        <v>-0.57845542158418195</v>
      </c>
      <c r="AB1564" s="2">
        <v>0.51250212679680496</v>
      </c>
      <c r="AC1564" s="2">
        <v>48387.963501462102</v>
      </c>
      <c r="AD1564" s="2">
        <v>28930.887233453501</v>
      </c>
      <c r="AE1564" s="2">
        <v>39172.898787708</v>
      </c>
      <c r="AF1564" s="2">
        <v>56328.307200434101</v>
      </c>
      <c r="AG1564" s="2">
        <v>54948.731503142903</v>
      </c>
      <c r="AH1564" s="2">
        <v>41098.773351920099</v>
      </c>
      <c r="AI1564" s="2">
        <v>45577.538029338997</v>
      </c>
      <c r="AJ1564" s="2">
        <v>53201.532136228299</v>
      </c>
      <c r="AK1564" s="2">
        <v>27006.1072401397</v>
      </c>
      <c r="AL1564" s="2">
        <v>29381.398905759699</v>
      </c>
      <c r="AM1564" s="2">
        <v>34805.644868728603</v>
      </c>
      <c r="AN1564" s="2">
        <v>27900.651249106701</v>
      </c>
      <c r="AO1564" s="2">
        <v>27378.9060743396</v>
      </c>
      <c r="AP1564" s="2">
        <v>27112.615062646801</v>
      </c>
    </row>
    <row r="1565" spans="1:42" ht="14.5" x14ac:dyDescent="0.35">
      <c r="A1565" s="2" t="s">
        <v>10579</v>
      </c>
      <c r="B1565" s="2">
        <v>343.15484609831799</v>
      </c>
      <c r="C1565" s="2">
        <v>7.6856999999999998</v>
      </c>
      <c r="D1565" s="2" t="s">
        <v>70</v>
      </c>
      <c r="E1565" s="2" t="s">
        <v>10580</v>
      </c>
      <c r="F1565" s="2">
        <v>55479</v>
      </c>
      <c r="G1565" s="3" t="str">
        <f>HYPERLINK("http://funmeta.oebiotech.com/network/55479", "http://funmeta.oebiotech.com/network/55479")</f>
        <v>http://funmeta.oebiotech.com/network/55479</v>
      </c>
      <c r="H1565" s="2" t="s">
        <v>10581</v>
      </c>
      <c r="I1565" s="2">
        <v>87155</v>
      </c>
      <c r="J1565" s="2"/>
      <c r="K1565" s="2"/>
      <c r="L1565" s="2"/>
      <c r="M1565" s="2"/>
      <c r="N1565" s="2"/>
      <c r="O1565" s="2">
        <v>14133589</v>
      </c>
      <c r="P1565" s="2" t="s">
        <v>10582</v>
      </c>
      <c r="Q1565" s="2" t="s">
        <v>10583</v>
      </c>
      <c r="R1565" s="2" t="s">
        <v>10584</v>
      </c>
      <c r="S1565" s="2" t="s">
        <v>115</v>
      </c>
      <c r="T1565" s="2" t="s">
        <v>758</v>
      </c>
      <c r="U1565" s="2" t="s">
        <v>10001</v>
      </c>
      <c r="V1565" s="2" t="s">
        <v>42</v>
      </c>
      <c r="W1565" s="2">
        <v>49.2</v>
      </c>
      <c r="X1565" s="2">
        <v>50.4</v>
      </c>
      <c r="Y1565" s="2" t="s">
        <v>1654</v>
      </c>
      <c r="Z1565" s="2" t="s">
        <v>10585</v>
      </c>
      <c r="AA1565" s="2">
        <v>-0.84296525153561697</v>
      </c>
      <c r="AB1565" s="2">
        <v>0.51220670900148302</v>
      </c>
      <c r="AC1565" s="2">
        <v>19513.063398357001</v>
      </c>
      <c r="AD1565" s="2">
        <v>2127.4512110177802</v>
      </c>
      <c r="AE1565" s="2">
        <v>18936.066042083199</v>
      </c>
      <c r="AF1565" s="2">
        <v>20687.645067431298</v>
      </c>
      <c r="AG1565" s="2">
        <v>21466.3794138786</v>
      </c>
      <c r="AH1565" s="2">
        <v>21334.343749938598</v>
      </c>
      <c r="AI1565" s="2">
        <v>16883.3666555741</v>
      </c>
      <c r="AJ1565" s="2">
        <v>17770.579461236499</v>
      </c>
      <c r="AK1565" s="2">
        <v>1601.5142929864301</v>
      </c>
      <c r="AL1565" s="2">
        <v>1526.1760481659401</v>
      </c>
      <c r="AM1565" s="2">
        <v>3562.9830150359198</v>
      </c>
      <c r="AN1565" s="2">
        <v>2217.8306246423299</v>
      </c>
      <c r="AO1565" s="2">
        <v>1738.4629722151501</v>
      </c>
      <c r="AP1565" s="2">
        <v>2117.7403130609</v>
      </c>
    </row>
    <row r="1566" spans="1:42" ht="14.5" x14ac:dyDescent="0.35">
      <c r="A1566" s="2" t="s">
        <v>10586</v>
      </c>
      <c r="B1566" s="2">
        <v>277.15833926383903</v>
      </c>
      <c r="C1566" s="2">
        <v>6.2166833333333296</v>
      </c>
      <c r="D1566" s="2" t="s">
        <v>34</v>
      </c>
      <c r="E1566" s="2" t="s">
        <v>10587</v>
      </c>
      <c r="F1566" s="2">
        <v>208880</v>
      </c>
      <c r="G1566" s="3" t="str">
        <f>HYPERLINK("http://funmeta.oebiotech.com/network/208880", "http://funmeta.oebiotech.com/network/208880")</f>
        <v>http://funmeta.oebiotech.com/network/208880</v>
      </c>
      <c r="H1566" s="2" t="s">
        <v>10588</v>
      </c>
      <c r="I1566" s="2"/>
      <c r="J1566" s="2"/>
      <c r="K1566" s="2"/>
      <c r="L1566" s="2"/>
      <c r="M1566" s="2"/>
      <c r="N1566" s="2"/>
      <c r="O1566" s="2">
        <v>265249</v>
      </c>
      <c r="P1566" s="2"/>
      <c r="Q1566" s="2" t="s">
        <v>10589</v>
      </c>
      <c r="R1566" s="2" t="s">
        <v>10590</v>
      </c>
      <c r="S1566" s="2" t="s">
        <v>50</v>
      </c>
      <c r="T1566" s="2" t="s">
        <v>124</v>
      </c>
      <c r="U1566" s="2" t="s">
        <v>2093</v>
      </c>
      <c r="V1566" s="2" t="s">
        <v>42</v>
      </c>
      <c r="W1566" s="2">
        <v>56.1</v>
      </c>
      <c r="X1566" s="2">
        <v>86.3</v>
      </c>
      <c r="Y1566" s="2" t="s">
        <v>141</v>
      </c>
      <c r="Z1566" s="2" t="s">
        <v>10591</v>
      </c>
      <c r="AA1566" s="2">
        <v>-1.1980842024190801</v>
      </c>
      <c r="AB1566" s="2">
        <v>0.51213468013252605</v>
      </c>
      <c r="AC1566" s="2">
        <v>70987.186627544797</v>
      </c>
      <c r="AD1566" s="2">
        <v>53067.668337709802</v>
      </c>
      <c r="AE1566" s="2">
        <v>73189.295974995097</v>
      </c>
      <c r="AF1566" s="2">
        <v>69113.385425527595</v>
      </c>
      <c r="AG1566" s="2">
        <v>68283.309349309493</v>
      </c>
      <c r="AH1566" s="2">
        <v>70142.362288394695</v>
      </c>
      <c r="AI1566" s="2">
        <v>69823.925461057603</v>
      </c>
      <c r="AJ1566" s="2">
        <v>75370.841265983996</v>
      </c>
      <c r="AK1566" s="2">
        <v>48702.774834950797</v>
      </c>
      <c r="AL1566" s="2">
        <v>54722.360658354097</v>
      </c>
      <c r="AM1566" s="2">
        <v>51176.164035559901</v>
      </c>
      <c r="AN1566" s="2">
        <v>55926.590753912998</v>
      </c>
      <c r="AO1566" s="2">
        <v>55925.043636738999</v>
      </c>
      <c r="AP1566" s="2">
        <v>51953.076106742097</v>
      </c>
    </row>
    <row r="1567" spans="1:42" ht="14.5" x14ac:dyDescent="0.35">
      <c r="A1567" s="2" t="s">
        <v>10592</v>
      </c>
      <c r="B1567" s="2">
        <v>239.142708009242</v>
      </c>
      <c r="C1567" s="2">
        <v>7.1510833333333297</v>
      </c>
      <c r="D1567" s="2" t="s">
        <v>34</v>
      </c>
      <c r="E1567" s="2" t="s">
        <v>10593</v>
      </c>
      <c r="F1567" s="2">
        <v>199905</v>
      </c>
      <c r="G1567" s="3" t="str">
        <f>HYPERLINK("http://funmeta.oebiotech.com/network/199905", "http://funmeta.oebiotech.com/network/199905")</f>
        <v>http://funmeta.oebiotech.com/network/199905</v>
      </c>
      <c r="H1567" s="2" t="s">
        <v>10594</v>
      </c>
      <c r="I1567" s="2">
        <v>342879</v>
      </c>
      <c r="J1567" s="2"/>
      <c r="K1567" s="2"/>
      <c r="L1567" s="2"/>
      <c r="M1567" s="2"/>
      <c r="N1567" s="2"/>
      <c r="O1567" s="2">
        <v>70815</v>
      </c>
      <c r="P1567" s="2"/>
      <c r="Q1567" s="2" t="s">
        <v>10595</v>
      </c>
      <c r="R1567" s="2" t="s">
        <v>10596</v>
      </c>
      <c r="S1567" s="2" t="s">
        <v>1677</v>
      </c>
      <c r="T1567" s="2" t="s">
        <v>1678</v>
      </c>
      <c r="U1567" s="2" t="s">
        <v>10597</v>
      </c>
      <c r="V1567" s="2" t="s">
        <v>59</v>
      </c>
      <c r="W1567" s="2">
        <v>42.8</v>
      </c>
      <c r="X1567" s="2">
        <v>23.5</v>
      </c>
      <c r="Y1567" s="2" t="s">
        <v>43</v>
      </c>
      <c r="Z1567" s="2" t="s">
        <v>10598</v>
      </c>
      <c r="AA1567" s="2">
        <v>1.4382366080082001</v>
      </c>
      <c r="AB1567" s="2">
        <v>0.51153912804498303</v>
      </c>
      <c r="AC1567" s="2">
        <v>18632.432668787798</v>
      </c>
      <c r="AD1567" s="2">
        <v>36028.136808255796</v>
      </c>
      <c r="AE1567" s="2">
        <v>17816.661611828698</v>
      </c>
      <c r="AF1567" s="2">
        <v>16313.7802776514</v>
      </c>
      <c r="AG1567" s="2">
        <v>20697.633898226501</v>
      </c>
      <c r="AH1567" s="2">
        <v>18511.7942079124</v>
      </c>
      <c r="AI1567" s="2">
        <v>18790.751368905501</v>
      </c>
      <c r="AJ1567" s="2">
        <v>19663.9746482023</v>
      </c>
      <c r="AK1567" s="2">
        <v>36033.335894350901</v>
      </c>
      <c r="AL1567" s="2">
        <v>33226.265880982603</v>
      </c>
      <c r="AM1567" s="2">
        <v>35772.497605457596</v>
      </c>
      <c r="AN1567" s="2">
        <v>38297.7890746587</v>
      </c>
      <c r="AO1567" s="2">
        <v>35468.4603631383</v>
      </c>
      <c r="AP1567" s="2">
        <v>37370.472030946497</v>
      </c>
    </row>
    <row r="1568" spans="1:42" ht="14.5" x14ac:dyDescent="0.35">
      <c r="A1568" s="2" t="s">
        <v>10599</v>
      </c>
      <c r="B1568" s="2">
        <v>579.31433510183297</v>
      </c>
      <c r="C1568" s="2">
        <v>6.4438333333333304</v>
      </c>
      <c r="D1568" s="2" t="s">
        <v>70</v>
      </c>
      <c r="E1568" s="2" t="s">
        <v>10600</v>
      </c>
      <c r="F1568" s="2">
        <v>44663</v>
      </c>
      <c r="G1568" s="3" t="str">
        <f>HYPERLINK("http://funmeta.oebiotech.com/network/44663", "http://funmeta.oebiotech.com/network/44663")</f>
        <v>http://funmeta.oebiotech.com/network/44663</v>
      </c>
      <c r="H1568" s="2"/>
      <c r="I1568" s="2">
        <v>43898</v>
      </c>
      <c r="J1568" s="2" t="s">
        <v>10601</v>
      </c>
      <c r="K1568" s="2">
        <v>7522</v>
      </c>
      <c r="L1568" s="2" t="s">
        <v>10602</v>
      </c>
      <c r="M1568" s="2"/>
      <c r="N1568" s="2"/>
      <c r="O1568" s="2">
        <v>441867</v>
      </c>
      <c r="P1568" s="2" t="s">
        <v>10603</v>
      </c>
      <c r="Q1568" s="2" t="s">
        <v>10604</v>
      </c>
      <c r="R1568" s="2" t="s">
        <v>10605</v>
      </c>
      <c r="S1568" s="2" t="s">
        <v>50</v>
      </c>
      <c r="T1568" s="2" t="s">
        <v>124</v>
      </c>
      <c r="U1568" s="2" t="s">
        <v>567</v>
      </c>
      <c r="V1568" s="2" t="s">
        <v>59</v>
      </c>
      <c r="W1568" s="2">
        <v>37.700000000000003</v>
      </c>
      <c r="X1568" s="2">
        <v>0</v>
      </c>
      <c r="Y1568" s="2" t="s">
        <v>408</v>
      </c>
      <c r="Z1568" s="2" t="s">
        <v>10606</v>
      </c>
      <c r="AA1568" s="2">
        <v>-5.8695241813424399</v>
      </c>
      <c r="AB1568" s="2">
        <v>0.511198482830725</v>
      </c>
      <c r="AC1568" s="2">
        <v>37159.5997021273</v>
      </c>
      <c r="AD1568" s="2">
        <v>54776.848098480099</v>
      </c>
      <c r="AE1568" s="2">
        <v>36358.763843565597</v>
      </c>
      <c r="AF1568" s="2">
        <v>35460.753729873497</v>
      </c>
      <c r="AG1568" s="2">
        <v>37559.922192905797</v>
      </c>
      <c r="AH1568" s="2">
        <v>40655.2868390398</v>
      </c>
      <c r="AI1568" s="2">
        <v>34763.9017046031</v>
      </c>
      <c r="AJ1568" s="2">
        <v>38158.969902776</v>
      </c>
      <c r="AK1568" s="2">
        <v>55514.9651109685</v>
      </c>
      <c r="AL1568" s="2">
        <v>54041.979620323997</v>
      </c>
      <c r="AM1568" s="2">
        <v>53158.184026223003</v>
      </c>
      <c r="AN1568" s="2">
        <v>55871.714378230798</v>
      </c>
      <c r="AO1568" s="2">
        <v>58421.095632004901</v>
      </c>
      <c r="AP1568" s="2">
        <v>51653.149823129301</v>
      </c>
    </row>
    <row r="1569" spans="1:42" ht="14.5" x14ac:dyDescent="0.35">
      <c r="A1569" s="2" t="s">
        <v>10607</v>
      </c>
      <c r="B1569" s="2">
        <v>588.29256635148499</v>
      </c>
      <c r="C1569" s="2">
        <v>9.5425000000000004</v>
      </c>
      <c r="D1569" s="2" t="s">
        <v>34</v>
      </c>
      <c r="E1569" s="2" t="s">
        <v>10608</v>
      </c>
      <c r="F1569" s="2">
        <v>257557</v>
      </c>
      <c r="G1569" s="3" t="str">
        <f>HYPERLINK("http://funmeta.oebiotech.com/network/257557", "http://funmeta.oebiotech.com/network/257557")</f>
        <v>http://funmeta.oebiotech.com/network/257557</v>
      </c>
      <c r="H1569" s="2" t="s">
        <v>10609</v>
      </c>
      <c r="I1569" s="2">
        <v>137334</v>
      </c>
      <c r="J1569" s="2"/>
      <c r="K1569" s="2"/>
      <c r="L1569" s="2"/>
      <c r="M1569" s="2"/>
      <c r="N1569" s="2"/>
      <c r="O1569" s="2">
        <v>20006954</v>
      </c>
      <c r="P1569" s="2"/>
      <c r="Q1569" s="2" t="s">
        <v>10610</v>
      </c>
      <c r="R1569" s="2" t="s">
        <v>10611</v>
      </c>
      <c r="S1569" s="2" t="s">
        <v>89</v>
      </c>
      <c r="T1569" s="2" t="s">
        <v>90</v>
      </c>
      <c r="U1569" s="2" t="s">
        <v>99</v>
      </c>
      <c r="V1569" s="2" t="s">
        <v>59</v>
      </c>
      <c r="W1569" s="2">
        <v>37.200000000000003</v>
      </c>
      <c r="X1569" s="2">
        <v>0</v>
      </c>
      <c r="Y1569" s="2" t="s">
        <v>1115</v>
      </c>
      <c r="Z1569" s="2" t="s">
        <v>10612</v>
      </c>
      <c r="AA1569" s="2">
        <v>3.6764279074051198</v>
      </c>
      <c r="AB1569" s="2">
        <v>0.51074902362609997</v>
      </c>
      <c r="AC1569" s="2">
        <v>34478.966190987499</v>
      </c>
      <c r="AD1569" s="2">
        <v>17229.292369504001</v>
      </c>
      <c r="AE1569" s="2">
        <v>34981.911946578002</v>
      </c>
      <c r="AF1569" s="2">
        <v>34149.586436070596</v>
      </c>
      <c r="AG1569" s="2">
        <v>36962.097165424297</v>
      </c>
      <c r="AH1569" s="2">
        <v>33873.529699605897</v>
      </c>
      <c r="AI1569" s="2">
        <v>32779.209004444798</v>
      </c>
      <c r="AJ1569" s="2">
        <v>34127.462893801603</v>
      </c>
      <c r="AK1569" s="2">
        <v>18653.679596402701</v>
      </c>
      <c r="AL1569" s="2">
        <v>15594.1017901629</v>
      </c>
      <c r="AM1569" s="2">
        <v>17204.933842951799</v>
      </c>
      <c r="AN1569" s="2">
        <v>16333.8353867638</v>
      </c>
      <c r="AO1569" s="2">
        <v>17058.273829981899</v>
      </c>
      <c r="AP1569" s="2">
        <v>18530.929770761199</v>
      </c>
    </row>
    <row r="1570" spans="1:42" ht="14.5" x14ac:dyDescent="0.35">
      <c r="A1570" s="2" t="s">
        <v>10613</v>
      </c>
      <c r="B1570" s="2">
        <v>1128.58746102123</v>
      </c>
      <c r="C1570" s="2">
        <v>9.5986833333333301</v>
      </c>
      <c r="D1570" s="2" t="s">
        <v>34</v>
      </c>
      <c r="E1570" s="2" t="s">
        <v>10614</v>
      </c>
      <c r="F1570" s="2">
        <v>246192</v>
      </c>
      <c r="G1570" s="3" t="str">
        <f>HYPERLINK("http://funmeta.oebiotech.com/network/246192", "http://funmeta.oebiotech.com/network/246192")</f>
        <v>http://funmeta.oebiotech.com/network/246192</v>
      </c>
      <c r="H1570" s="2" t="s">
        <v>10615</v>
      </c>
      <c r="I1570" s="2"/>
      <c r="J1570" s="2"/>
      <c r="K1570" s="2"/>
      <c r="L1570" s="2"/>
      <c r="M1570" s="2"/>
      <c r="N1570" s="2"/>
      <c r="O1570" s="2"/>
      <c r="P1570" s="2"/>
      <c r="Q1570" s="2" t="s">
        <v>10616</v>
      </c>
      <c r="R1570" s="2" t="s">
        <v>10617</v>
      </c>
      <c r="S1570" s="2" t="s">
        <v>41</v>
      </c>
      <c r="T1570" s="2" t="s">
        <v>41</v>
      </c>
      <c r="U1570" s="2" t="s">
        <v>41</v>
      </c>
      <c r="V1570" s="2" t="s">
        <v>59</v>
      </c>
      <c r="W1570" s="2">
        <v>38.6</v>
      </c>
      <c r="X1570" s="2">
        <v>0</v>
      </c>
      <c r="Y1570" s="2" t="s">
        <v>323</v>
      </c>
      <c r="Z1570" s="2" t="s">
        <v>10618</v>
      </c>
      <c r="AA1570" s="2">
        <v>0.19767745159414599</v>
      </c>
      <c r="AB1570" s="2">
        <v>0.51030026667714701</v>
      </c>
      <c r="AC1570" s="2">
        <v>17284.194717467199</v>
      </c>
      <c r="AD1570" s="2">
        <v>2.7106294003980101E-5</v>
      </c>
      <c r="AE1570" s="2">
        <v>17078.145579313099</v>
      </c>
      <c r="AF1570" s="2">
        <v>18213.919306692002</v>
      </c>
      <c r="AG1570" s="2">
        <v>14088.3032468683</v>
      </c>
      <c r="AH1570" s="2">
        <v>17696.457107214399</v>
      </c>
      <c r="AI1570" s="2">
        <v>16368.718655041201</v>
      </c>
      <c r="AJ1570" s="2">
        <v>20259.624409674299</v>
      </c>
      <c r="AK1570" s="2">
        <v>2.7106294003980101E-5</v>
      </c>
      <c r="AL1570" s="2">
        <v>2.7106294003980101E-5</v>
      </c>
      <c r="AM1570" s="2">
        <v>2.7106294003980101E-5</v>
      </c>
      <c r="AN1570" s="2">
        <v>2.7106294003980101E-5</v>
      </c>
      <c r="AO1570" s="2">
        <v>2.7106294003980101E-5</v>
      </c>
      <c r="AP1570" s="2">
        <v>2.7106294003980101E-5</v>
      </c>
    </row>
    <row r="1571" spans="1:42" ht="14.5" x14ac:dyDescent="0.35">
      <c r="A1571" s="2" t="s">
        <v>10619</v>
      </c>
      <c r="B1571" s="2">
        <v>511.17959737711197</v>
      </c>
      <c r="C1571" s="2">
        <v>3.91611666666667</v>
      </c>
      <c r="D1571" s="2" t="s">
        <v>70</v>
      </c>
      <c r="E1571" s="2" t="s">
        <v>10620</v>
      </c>
      <c r="F1571" s="2">
        <v>211831</v>
      </c>
      <c r="G1571" s="3" t="str">
        <f>HYPERLINK("http://funmeta.oebiotech.com/network/211831", "http://funmeta.oebiotech.com/network/211831")</f>
        <v>http://funmeta.oebiotech.com/network/211831</v>
      </c>
      <c r="H1571" s="2" t="s">
        <v>10621</v>
      </c>
      <c r="I1571" s="2"/>
      <c r="J1571" s="2"/>
      <c r="K1571" s="2"/>
      <c r="L1571" s="2"/>
      <c r="M1571" s="2"/>
      <c r="N1571" s="2"/>
      <c r="O1571" s="2">
        <v>5065953</v>
      </c>
      <c r="P1571" s="2"/>
      <c r="Q1571" s="2" t="s">
        <v>10622</v>
      </c>
      <c r="R1571" s="2" t="s">
        <v>10623</v>
      </c>
      <c r="S1571" s="2" t="s">
        <v>79</v>
      </c>
      <c r="T1571" s="2" t="s">
        <v>80</v>
      </c>
      <c r="U1571" s="2" t="s">
        <v>81</v>
      </c>
      <c r="V1571" s="2" t="s">
        <v>42</v>
      </c>
      <c r="W1571" s="2">
        <v>49.7</v>
      </c>
      <c r="X1571" s="2">
        <v>55.1</v>
      </c>
      <c r="Y1571" s="2" t="s">
        <v>118</v>
      </c>
      <c r="Z1571" s="2" t="s">
        <v>10624</v>
      </c>
      <c r="AA1571" s="2">
        <v>2.9678697784531498</v>
      </c>
      <c r="AB1571" s="2">
        <v>0.50959593135071302</v>
      </c>
      <c r="AC1571" s="2">
        <v>195123.00524712299</v>
      </c>
      <c r="AD1571" s="2">
        <v>176188.98310885599</v>
      </c>
      <c r="AE1571" s="2">
        <v>199575.50276981699</v>
      </c>
      <c r="AF1571" s="2">
        <v>198192.52984621801</v>
      </c>
      <c r="AG1571" s="2">
        <v>197033.923730465</v>
      </c>
      <c r="AH1571" s="2">
        <v>186390.61536418</v>
      </c>
      <c r="AI1571" s="2">
        <v>193886.492351519</v>
      </c>
      <c r="AJ1571" s="2">
        <v>195658.96742053999</v>
      </c>
      <c r="AK1571" s="2">
        <v>169422.33544012299</v>
      </c>
      <c r="AL1571" s="2">
        <v>183721.40698092501</v>
      </c>
      <c r="AM1571" s="2">
        <v>179619.62825890901</v>
      </c>
      <c r="AN1571" s="2">
        <v>179004.465776522</v>
      </c>
      <c r="AO1571" s="2">
        <v>173510.89915461699</v>
      </c>
      <c r="AP1571" s="2">
        <v>171855.163042042</v>
      </c>
    </row>
    <row r="1572" spans="1:42" ht="14.5" x14ac:dyDescent="0.35">
      <c r="A1572" s="2" t="s">
        <v>10625</v>
      </c>
      <c r="B1572" s="2">
        <v>716.37090883200995</v>
      </c>
      <c r="C1572" s="2">
        <v>10.28895</v>
      </c>
      <c r="D1572" s="2" t="s">
        <v>70</v>
      </c>
      <c r="E1572" s="2" t="s">
        <v>10626</v>
      </c>
      <c r="F1572" s="2">
        <v>274735</v>
      </c>
      <c r="G1572" s="3" t="str">
        <f>HYPERLINK("http://funmeta.oebiotech.com/network/274735", "http://funmeta.oebiotech.com/network/274735")</f>
        <v>http://funmeta.oebiotech.com/network/274735</v>
      </c>
      <c r="H1572" s="2"/>
      <c r="I1572" s="2">
        <v>65383</v>
      </c>
      <c r="J1572" s="2"/>
      <c r="K1572" s="2"/>
      <c r="L1572" s="2"/>
      <c r="M1572" s="2"/>
      <c r="N1572" s="2"/>
      <c r="O1572" s="2">
        <v>45380200</v>
      </c>
      <c r="P1572" s="2"/>
      <c r="Q1572" s="2" t="s">
        <v>10627</v>
      </c>
      <c r="R1572" s="2" t="s">
        <v>10628</v>
      </c>
      <c r="S1572" s="2" t="s">
        <v>89</v>
      </c>
      <c r="T1572" s="2" t="s">
        <v>1600</v>
      </c>
      <c r="U1572" s="2" t="s">
        <v>1601</v>
      </c>
      <c r="V1572" s="2" t="s">
        <v>59</v>
      </c>
      <c r="W1572" s="2">
        <v>36.200000000000003</v>
      </c>
      <c r="X1572" s="2">
        <v>0</v>
      </c>
      <c r="Y1572" s="2" t="s">
        <v>408</v>
      </c>
      <c r="Z1572" s="2" t="s">
        <v>10629</v>
      </c>
      <c r="AA1572" s="2">
        <v>-8.1538666288391202</v>
      </c>
      <c r="AB1572" s="2">
        <v>0.50935132422123697</v>
      </c>
      <c r="AC1572" s="2">
        <v>28869.2193620287</v>
      </c>
      <c r="AD1572" s="2">
        <v>11635.768724314999</v>
      </c>
      <c r="AE1572" s="2">
        <v>31643.952801775398</v>
      </c>
      <c r="AF1572" s="2">
        <v>31111.8106257203</v>
      </c>
      <c r="AG1572" s="2">
        <v>27918.413977656099</v>
      </c>
      <c r="AH1572" s="2">
        <v>28263.313023705599</v>
      </c>
      <c r="AI1572" s="2">
        <v>25517.6360231773</v>
      </c>
      <c r="AJ1572" s="2">
        <v>28760.189720137299</v>
      </c>
      <c r="AK1572" s="2">
        <v>12890.9437731161</v>
      </c>
      <c r="AL1572" s="2">
        <v>11030.7380071507</v>
      </c>
      <c r="AM1572" s="2">
        <v>11795.9801359717</v>
      </c>
      <c r="AN1572" s="2">
        <v>11461.6813390919</v>
      </c>
      <c r="AO1572" s="2">
        <v>10983.728359729201</v>
      </c>
      <c r="AP1572" s="2">
        <v>11651.5407308301</v>
      </c>
    </row>
    <row r="1573" spans="1:42" ht="14.5" x14ac:dyDescent="0.35">
      <c r="A1573" s="2" t="s">
        <v>10630</v>
      </c>
      <c r="B1573" s="2">
        <v>329.08751660623602</v>
      </c>
      <c r="C1573" s="2">
        <v>3.8614999999999999</v>
      </c>
      <c r="D1573" s="2" t="s">
        <v>70</v>
      </c>
      <c r="E1573" s="2" t="s">
        <v>10631</v>
      </c>
      <c r="F1573" s="2">
        <v>209955</v>
      </c>
      <c r="G1573" s="3" t="str">
        <f>HYPERLINK("http://funmeta.oebiotech.com/network/209955", "http://funmeta.oebiotech.com/network/209955")</f>
        <v>http://funmeta.oebiotech.com/network/209955</v>
      </c>
      <c r="H1573" s="2" t="s">
        <v>10632</v>
      </c>
      <c r="I1573" s="2"/>
      <c r="J1573" s="2"/>
      <c r="K1573" s="2"/>
      <c r="L1573" s="2"/>
      <c r="M1573" s="2"/>
      <c r="N1573" s="2"/>
      <c r="O1573" s="2">
        <v>14299270</v>
      </c>
      <c r="P1573" s="2"/>
      <c r="Q1573" s="2" t="s">
        <v>10633</v>
      </c>
      <c r="R1573" s="2" t="s">
        <v>10634</v>
      </c>
      <c r="S1573" s="2" t="s">
        <v>79</v>
      </c>
      <c r="T1573" s="2" t="s">
        <v>80</v>
      </c>
      <c r="U1573" s="2" t="s">
        <v>81</v>
      </c>
      <c r="V1573" s="2" t="s">
        <v>42</v>
      </c>
      <c r="W1573" s="2">
        <v>56</v>
      </c>
      <c r="X1573" s="2">
        <v>83.6</v>
      </c>
      <c r="Y1573" s="2" t="s">
        <v>408</v>
      </c>
      <c r="Z1573" s="2" t="s">
        <v>6734</v>
      </c>
      <c r="AA1573" s="2">
        <v>-1.01768526816826</v>
      </c>
      <c r="AB1573" s="2">
        <v>0.50934469570254104</v>
      </c>
      <c r="AC1573" s="2">
        <v>190630.072425594</v>
      </c>
      <c r="AD1573" s="2">
        <v>168644.62450594199</v>
      </c>
      <c r="AE1573" s="2">
        <v>175515.36761749501</v>
      </c>
      <c r="AF1573" s="2">
        <v>180610.47297302299</v>
      </c>
      <c r="AG1573" s="2">
        <v>190756.287041706</v>
      </c>
      <c r="AH1573" s="2">
        <v>196006.47675371199</v>
      </c>
      <c r="AI1573" s="2">
        <v>196009.55922970199</v>
      </c>
      <c r="AJ1573" s="2">
        <v>204882.27093792401</v>
      </c>
      <c r="AK1573" s="2">
        <v>156721.04867578601</v>
      </c>
      <c r="AL1573" s="2">
        <v>179959.16640089001</v>
      </c>
      <c r="AM1573" s="2">
        <v>171929.16230461601</v>
      </c>
      <c r="AN1573" s="2">
        <v>165563.26302995399</v>
      </c>
      <c r="AO1573" s="2">
        <v>162987.98461950099</v>
      </c>
      <c r="AP1573" s="2">
        <v>174707.12200490601</v>
      </c>
    </row>
    <row r="1574" spans="1:42" ht="14.5" x14ac:dyDescent="0.35">
      <c r="A1574" s="2" t="s">
        <v>10635</v>
      </c>
      <c r="B1574" s="2">
        <v>347.21902178156699</v>
      </c>
      <c r="C1574" s="2">
        <v>10.5845</v>
      </c>
      <c r="D1574" s="2" t="s">
        <v>34</v>
      </c>
      <c r="E1574" s="2" t="s">
        <v>10636</v>
      </c>
      <c r="F1574" s="2">
        <v>6329</v>
      </c>
      <c r="G1574" s="3" t="str">
        <f>HYPERLINK("http://funmeta.oebiotech.com/network/6329", "http://funmeta.oebiotech.com/network/6329")</f>
        <v>http://funmeta.oebiotech.com/network/6329</v>
      </c>
      <c r="H1574" s="2" t="s">
        <v>10637</v>
      </c>
      <c r="I1574" s="2">
        <v>43724</v>
      </c>
      <c r="J1574" s="2" t="s">
        <v>10638</v>
      </c>
      <c r="K1574" s="2"/>
      <c r="L1574" s="2"/>
      <c r="M1574" s="2"/>
      <c r="N1574" s="2"/>
      <c r="O1574" s="2">
        <v>6710762</v>
      </c>
      <c r="P1574" s="2" t="s">
        <v>10639</v>
      </c>
      <c r="Q1574" s="2" t="s">
        <v>10640</v>
      </c>
      <c r="R1574" s="2" t="s">
        <v>10641</v>
      </c>
      <c r="S1574" s="2" t="s">
        <v>50</v>
      </c>
      <c r="T1574" s="2" t="s">
        <v>229</v>
      </c>
      <c r="U1574" s="2" t="s">
        <v>1283</v>
      </c>
      <c r="V1574" s="2" t="s">
        <v>59</v>
      </c>
      <c r="W1574" s="2">
        <v>39.700000000000003</v>
      </c>
      <c r="X1574" s="2">
        <v>3.49</v>
      </c>
      <c r="Y1574" s="2" t="s">
        <v>1269</v>
      </c>
      <c r="Z1574" s="2" t="s">
        <v>10642</v>
      </c>
      <c r="AA1574" s="2">
        <v>-0.79697395669497695</v>
      </c>
      <c r="AB1574" s="2">
        <v>0.508814171816662</v>
      </c>
      <c r="AC1574" s="2">
        <v>52327.718374257303</v>
      </c>
      <c r="AD1574" s="2">
        <v>33949.490624944803</v>
      </c>
      <c r="AE1574" s="2">
        <v>55493.727850644398</v>
      </c>
      <c r="AF1574" s="2">
        <v>48735.401291355098</v>
      </c>
      <c r="AG1574" s="2">
        <v>47863.264613944302</v>
      </c>
      <c r="AH1574" s="2">
        <v>52312.4700141957</v>
      </c>
      <c r="AI1574" s="2">
        <v>48664.124902658201</v>
      </c>
      <c r="AJ1574" s="2">
        <v>60897.321572745997</v>
      </c>
      <c r="AK1574" s="2">
        <v>32319.6446501051</v>
      </c>
      <c r="AL1574" s="2">
        <v>34446.938464455001</v>
      </c>
      <c r="AM1574" s="2">
        <v>35954.739902499001</v>
      </c>
      <c r="AN1574" s="2">
        <v>36366.767007051203</v>
      </c>
      <c r="AO1574" s="2">
        <v>35818.190848192004</v>
      </c>
      <c r="AP1574" s="2">
        <v>28790.662877366402</v>
      </c>
    </row>
    <row r="1575" spans="1:42" ht="14.5" x14ac:dyDescent="0.35">
      <c r="A1575" s="2" t="s">
        <v>10643</v>
      </c>
      <c r="B1575" s="2">
        <v>605.29080322025402</v>
      </c>
      <c r="C1575" s="2">
        <v>10.2647666666667</v>
      </c>
      <c r="D1575" s="2" t="s">
        <v>34</v>
      </c>
      <c r="E1575" s="2" t="s">
        <v>10644</v>
      </c>
      <c r="F1575" s="2">
        <v>44697</v>
      </c>
      <c r="G1575" s="3" t="str">
        <f>HYPERLINK("http://funmeta.oebiotech.com/network/44697", "http://funmeta.oebiotech.com/network/44697")</f>
        <v>http://funmeta.oebiotech.com/network/44697</v>
      </c>
      <c r="H1575" s="2"/>
      <c r="I1575" s="2"/>
      <c r="J1575" s="2" t="s">
        <v>10645</v>
      </c>
      <c r="K1575" s="2"/>
      <c r="L1575" s="2"/>
      <c r="M1575" s="2"/>
      <c r="N1575" s="2"/>
      <c r="O1575" s="2">
        <v>11261800</v>
      </c>
      <c r="P1575" s="2"/>
      <c r="Q1575" s="2" t="s">
        <v>10646</v>
      </c>
      <c r="R1575" s="2" t="s">
        <v>10647</v>
      </c>
      <c r="S1575" s="2" t="s">
        <v>50</v>
      </c>
      <c r="T1575" s="2" t="s">
        <v>124</v>
      </c>
      <c r="U1575" s="2" t="s">
        <v>567</v>
      </c>
      <c r="V1575" s="2" t="s">
        <v>59</v>
      </c>
      <c r="W1575" s="2">
        <v>40.200000000000003</v>
      </c>
      <c r="X1575" s="2">
        <v>12.1</v>
      </c>
      <c r="Y1575" s="2" t="s">
        <v>43</v>
      </c>
      <c r="Z1575" s="2" t="s">
        <v>10648</v>
      </c>
      <c r="AA1575" s="2">
        <v>2.8767967485939598</v>
      </c>
      <c r="AB1575" s="2">
        <v>0.50868022553967795</v>
      </c>
      <c r="AC1575" s="2">
        <v>40870.698326956102</v>
      </c>
      <c r="AD1575" s="2">
        <v>23494.371701415999</v>
      </c>
      <c r="AE1575" s="2">
        <v>43920.584032184903</v>
      </c>
      <c r="AF1575" s="2">
        <v>42463.483457677103</v>
      </c>
      <c r="AG1575" s="2">
        <v>40845.090931830702</v>
      </c>
      <c r="AH1575" s="2">
        <v>36681.895828960303</v>
      </c>
      <c r="AI1575" s="2">
        <v>40092.2298722337</v>
      </c>
      <c r="AJ1575" s="2">
        <v>41220.905838849903</v>
      </c>
      <c r="AK1575" s="2">
        <v>21292.216328099799</v>
      </c>
      <c r="AL1575" s="2">
        <v>25534.556165154099</v>
      </c>
      <c r="AM1575" s="2">
        <v>23871.269812548398</v>
      </c>
      <c r="AN1575" s="2">
        <v>25401.651622172099</v>
      </c>
      <c r="AO1575" s="2">
        <v>22356.269060806801</v>
      </c>
      <c r="AP1575" s="2">
        <v>22510.2672197149</v>
      </c>
    </row>
    <row r="1576" spans="1:42" ht="14.5" x14ac:dyDescent="0.35">
      <c r="A1576" s="2" t="s">
        <v>10649</v>
      </c>
      <c r="B1576" s="2">
        <v>515.00959045328398</v>
      </c>
      <c r="C1576" s="2">
        <v>3.3161666666666698</v>
      </c>
      <c r="D1576" s="2" t="s">
        <v>70</v>
      </c>
      <c r="E1576" s="2" t="s">
        <v>10650</v>
      </c>
      <c r="F1576" s="2">
        <v>54246</v>
      </c>
      <c r="G1576" s="3" t="str">
        <f>HYPERLINK("http://funmeta.oebiotech.com/network/54246", "http://funmeta.oebiotech.com/network/54246")</f>
        <v>http://funmeta.oebiotech.com/network/54246</v>
      </c>
      <c r="H1576" s="2" t="s">
        <v>10651</v>
      </c>
      <c r="I1576" s="2"/>
      <c r="J1576" s="2"/>
      <c r="K1576" s="2"/>
      <c r="L1576" s="2"/>
      <c r="M1576" s="2"/>
      <c r="N1576" s="2"/>
      <c r="O1576" s="2">
        <v>15934028</v>
      </c>
      <c r="P1576" s="2"/>
      <c r="Q1576" s="2" t="s">
        <v>10652</v>
      </c>
      <c r="R1576" s="2" t="s">
        <v>10653</v>
      </c>
      <c r="S1576" s="2" t="s">
        <v>115</v>
      </c>
      <c r="T1576" s="2" t="s">
        <v>9908</v>
      </c>
      <c r="U1576" s="2" t="s">
        <v>9909</v>
      </c>
      <c r="V1576" s="2" t="s">
        <v>59</v>
      </c>
      <c r="W1576" s="2">
        <v>42.5</v>
      </c>
      <c r="X1576" s="2">
        <v>24.9</v>
      </c>
      <c r="Y1576" s="2" t="s">
        <v>408</v>
      </c>
      <c r="Z1576" s="2" t="s">
        <v>10654</v>
      </c>
      <c r="AA1576" s="2">
        <v>-1.6016430877461201</v>
      </c>
      <c r="AB1576" s="2">
        <v>0.50856278041050496</v>
      </c>
      <c r="AC1576" s="2">
        <v>66327.758831640895</v>
      </c>
      <c r="AD1576" s="2">
        <v>84345.467083015799</v>
      </c>
      <c r="AE1576" s="2">
        <v>66683.160795691103</v>
      </c>
      <c r="AF1576" s="2">
        <v>62244.201145544801</v>
      </c>
      <c r="AG1576" s="2">
        <v>66840.611822229999</v>
      </c>
      <c r="AH1576" s="2">
        <v>67843.980485992099</v>
      </c>
      <c r="AI1576" s="2">
        <v>71767.735857910797</v>
      </c>
      <c r="AJ1576" s="2">
        <v>62586.862882476402</v>
      </c>
      <c r="AK1576" s="2">
        <v>87490.187879650606</v>
      </c>
      <c r="AL1576" s="2">
        <v>81840.736027692299</v>
      </c>
      <c r="AM1576" s="2">
        <v>88568.227268523202</v>
      </c>
      <c r="AN1576" s="2">
        <v>87123.701737004099</v>
      </c>
      <c r="AO1576" s="2">
        <v>81806.204361247495</v>
      </c>
      <c r="AP1576" s="2">
        <v>79243.745223977094</v>
      </c>
    </row>
    <row r="1577" spans="1:42" ht="14.5" x14ac:dyDescent="0.35">
      <c r="A1577" s="2" t="s">
        <v>10655</v>
      </c>
      <c r="B1577" s="2">
        <v>915.45740179077302</v>
      </c>
      <c r="C1577" s="2">
        <v>10.36515</v>
      </c>
      <c r="D1577" s="2" t="s">
        <v>70</v>
      </c>
      <c r="E1577" s="2" t="s">
        <v>10656</v>
      </c>
      <c r="F1577" s="2">
        <v>213131</v>
      </c>
      <c r="G1577" s="3" t="str">
        <f>HYPERLINK("http://funmeta.oebiotech.com/network/213131", "http://funmeta.oebiotech.com/network/213131")</f>
        <v>http://funmeta.oebiotech.com/network/213131</v>
      </c>
      <c r="H1577" s="2" t="s">
        <v>10657</v>
      </c>
      <c r="I1577" s="2"/>
      <c r="J1577" s="2"/>
      <c r="K1577" s="2"/>
      <c r="L1577" s="2"/>
      <c r="M1577" s="2"/>
      <c r="N1577" s="2"/>
      <c r="O1577" s="2"/>
      <c r="P1577" s="2"/>
      <c r="Q1577" s="2" t="s">
        <v>10658</v>
      </c>
      <c r="R1577" s="2" t="s">
        <v>10659</v>
      </c>
      <c r="S1577" s="2" t="s">
        <v>1677</v>
      </c>
      <c r="T1577" s="2" t="s">
        <v>1678</v>
      </c>
      <c r="U1577" s="2" t="s">
        <v>1679</v>
      </c>
      <c r="V1577" s="2" t="s">
        <v>59</v>
      </c>
      <c r="W1577" s="2">
        <v>38.4</v>
      </c>
      <c r="X1577" s="2">
        <v>0</v>
      </c>
      <c r="Y1577" s="2" t="s">
        <v>560</v>
      </c>
      <c r="Z1577" s="2" t="s">
        <v>10660</v>
      </c>
      <c r="AA1577" s="2">
        <v>1.1964936030282201</v>
      </c>
      <c r="AB1577" s="2">
        <v>0.50853455901853495</v>
      </c>
      <c r="AC1577" s="2">
        <v>9791.1878690615504</v>
      </c>
      <c r="AD1577" s="2">
        <v>28279.378739774998</v>
      </c>
      <c r="AE1577" s="2">
        <v>11774.5978852101</v>
      </c>
      <c r="AF1577" s="2">
        <v>9613.20840973554</v>
      </c>
      <c r="AG1577" s="2">
        <v>6366.8543028677004</v>
      </c>
      <c r="AH1577" s="2">
        <v>9501.6800865483292</v>
      </c>
      <c r="AI1577" s="2">
        <v>12534.568694015299</v>
      </c>
      <c r="AJ1577" s="2">
        <v>8956.21783599234</v>
      </c>
      <c r="AK1577" s="2">
        <v>21642.974049910299</v>
      </c>
      <c r="AL1577" s="2">
        <v>22425.7465203014</v>
      </c>
      <c r="AM1577" s="2">
        <v>33468.8070676774</v>
      </c>
      <c r="AN1577" s="2">
        <v>27763.631595543498</v>
      </c>
      <c r="AO1577" s="2">
        <v>27582.350417844598</v>
      </c>
      <c r="AP1577" s="2">
        <v>36792.762787372601</v>
      </c>
    </row>
    <row r="1578" spans="1:42" ht="14.5" x14ac:dyDescent="0.35">
      <c r="A1578" s="2" t="s">
        <v>10661</v>
      </c>
      <c r="B1578" s="2">
        <v>486.22648151560702</v>
      </c>
      <c r="C1578" s="2">
        <v>5.7736666666666698</v>
      </c>
      <c r="D1578" s="2" t="s">
        <v>34</v>
      </c>
      <c r="E1578" s="2" t="s">
        <v>10662</v>
      </c>
      <c r="F1578" s="2">
        <v>5974</v>
      </c>
      <c r="G1578" s="3" t="str">
        <f>HYPERLINK("http://funmeta.oebiotech.com/network/5974", "http://funmeta.oebiotech.com/network/5974")</f>
        <v>http://funmeta.oebiotech.com/network/5974</v>
      </c>
      <c r="H1578" s="2"/>
      <c r="I1578" s="2"/>
      <c r="J1578" s="2" t="s">
        <v>10663</v>
      </c>
      <c r="K1578" s="2"/>
      <c r="L1578" s="2"/>
      <c r="M1578" s="2"/>
      <c r="N1578" s="2"/>
      <c r="O1578" s="2">
        <v>132562748</v>
      </c>
      <c r="P1578" s="2"/>
      <c r="Q1578" s="2" t="s">
        <v>10664</v>
      </c>
      <c r="R1578" s="2" t="s">
        <v>10665</v>
      </c>
      <c r="S1578" s="2" t="s">
        <v>50</v>
      </c>
      <c r="T1578" s="2" t="s">
        <v>229</v>
      </c>
      <c r="U1578" s="2" t="s">
        <v>433</v>
      </c>
      <c r="V1578" s="2" t="s">
        <v>59</v>
      </c>
      <c r="W1578" s="2">
        <v>37.299999999999997</v>
      </c>
      <c r="X1578" s="2">
        <v>0</v>
      </c>
      <c r="Y1578" s="2" t="s">
        <v>323</v>
      </c>
      <c r="Z1578" s="2" t="s">
        <v>10666</v>
      </c>
      <c r="AA1578" s="2">
        <v>-4.2817045561321398</v>
      </c>
      <c r="AB1578" s="2">
        <v>0.50852435319854905</v>
      </c>
      <c r="AC1578" s="2">
        <v>46269.627740167503</v>
      </c>
      <c r="AD1578" s="2">
        <v>28580.2279830107</v>
      </c>
      <c r="AE1578" s="2">
        <v>48151.4164662572</v>
      </c>
      <c r="AF1578" s="2">
        <v>46264.235148484098</v>
      </c>
      <c r="AG1578" s="2">
        <v>42592.260029238299</v>
      </c>
      <c r="AH1578" s="2">
        <v>45663.979078226803</v>
      </c>
      <c r="AI1578" s="2">
        <v>44000.7130169296</v>
      </c>
      <c r="AJ1578" s="2">
        <v>50945.162701868903</v>
      </c>
      <c r="AK1578" s="2">
        <v>30997.774267347198</v>
      </c>
      <c r="AL1578" s="2">
        <v>30831.4863654158</v>
      </c>
      <c r="AM1578" s="2">
        <v>30683.292081125601</v>
      </c>
      <c r="AN1578" s="2">
        <v>28696.354551274799</v>
      </c>
      <c r="AO1578" s="2">
        <v>25857.724017173299</v>
      </c>
      <c r="AP1578" s="2">
        <v>24414.736615727499</v>
      </c>
    </row>
    <row r="1579" spans="1:42" ht="14.5" x14ac:dyDescent="0.35">
      <c r="A1579" s="2" t="s">
        <v>10667</v>
      </c>
      <c r="B1579" s="2">
        <v>613.48219384059598</v>
      </c>
      <c r="C1579" s="2">
        <v>14.094333333333299</v>
      </c>
      <c r="D1579" s="2" t="s">
        <v>34</v>
      </c>
      <c r="E1579" s="2" t="s">
        <v>10668</v>
      </c>
      <c r="F1579" s="2">
        <v>49098</v>
      </c>
      <c r="G1579" s="3" t="str">
        <f>HYPERLINK("http://funmeta.oebiotech.com/network/49098", "http://funmeta.oebiotech.com/network/49098")</f>
        <v>http://funmeta.oebiotech.com/network/49098</v>
      </c>
      <c r="H1579" s="2" t="s">
        <v>10669</v>
      </c>
      <c r="I1579" s="2">
        <v>58815</v>
      </c>
      <c r="J1579" s="2"/>
      <c r="K1579" s="2"/>
      <c r="L1579" s="2"/>
      <c r="M1579" s="2"/>
      <c r="N1579" s="2"/>
      <c r="O1579" s="2">
        <v>53478106</v>
      </c>
      <c r="P1579" s="2"/>
      <c r="Q1579" s="2" t="s">
        <v>10670</v>
      </c>
      <c r="R1579" s="2" t="s">
        <v>10671</v>
      </c>
      <c r="S1579" s="2" t="s">
        <v>50</v>
      </c>
      <c r="T1579" s="2" t="s">
        <v>229</v>
      </c>
      <c r="U1579" s="2" t="s">
        <v>1360</v>
      </c>
      <c r="V1579" s="2" t="s">
        <v>59</v>
      </c>
      <c r="W1579" s="2">
        <v>42.8</v>
      </c>
      <c r="X1579" s="2">
        <v>21.2</v>
      </c>
      <c r="Y1579" s="2" t="s">
        <v>394</v>
      </c>
      <c r="Z1579" s="2" t="s">
        <v>10672</v>
      </c>
      <c r="AA1579" s="2">
        <v>-0.74736340821063896</v>
      </c>
      <c r="AB1579" s="2">
        <v>0.50760952805713699</v>
      </c>
      <c r="AC1579" s="2">
        <v>147906.57080535099</v>
      </c>
      <c r="AD1579" s="2">
        <v>125233.427191279</v>
      </c>
      <c r="AE1579" s="2">
        <v>142470.625691158</v>
      </c>
      <c r="AF1579" s="2">
        <v>133443.10193387</v>
      </c>
      <c r="AG1579" s="2">
        <v>154879.45001040099</v>
      </c>
      <c r="AH1579" s="2">
        <v>141524.014455108</v>
      </c>
      <c r="AI1579" s="2">
        <v>147473.79526733901</v>
      </c>
      <c r="AJ1579" s="2">
        <v>167648.43747422801</v>
      </c>
      <c r="AK1579" s="2">
        <v>129796.67190087499</v>
      </c>
      <c r="AL1579" s="2">
        <v>121012.814865218</v>
      </c>
      <c r="AM1579" s="2">
        <v>110308.75306503</v>
      </c>
      <c r="AN1579" s="2">
        <v>119933.817640815</v>
      </c>
      <c r="AO1579" s="2">
        <v>138965.875897124</v>
      </c>
      <c r="AP1579" s="2">
        <v>131382.62977861101</v>
      </c>
    </row>
    <row r="1580" spans="1:42" ht="14.5" x14ac:dyDescent="0.35">
      <c r="A1580" s="2" t="s">
        <v>10673</v>
      </c>
      <c r="B1580" s="2">
        <v>689.32849056876103</v>
      </c>
      <c r="C1580" s="2">
        <v>11.004099999999999</v>
      </c>
      <c r="D1580" s="2" t="s">
        <v>34</v>
      </c>
      <c r="E1580" s="2" t="s">
        <v>10674</v>
      </c>
      <c r="F1580" s="2">
        <v>82676</v>
      </c>
      <c r="G1580" s="3" t="str">
        <f>HYPERLINK("http://funmeta.oebiotech.com/network/82676", "http://funmeta.oebiotech.com/network/82676")</f>
        <v>http://funmeta.oebiotech.com/network/82676</v>
      </c>
      <c r="H1580" s="2" t="s">
        <v>10675</v>
      </c>
      <c r="I1580" s="2"/>
      <c r="J1580" s="2"/>
      <c r="K1580" s="2"/>
      <c r="L1580" s="2"/>
      <c r="M1580" s="2"/>
      <c r="N1580" s="2"/>
      <c r="O1580" s="2">
        <v>5255791</v>
      </c>
      <c r="P1580" s="2"/>
      <c r="Q1580" s="2" t="s">
        <v>10676</v>
      </c>
      <c r="R1580" s="2" t="s">
        <v>10677</v>
      </c>
      <c r="S1580" s="2" t="s">
        <v>50</v>
      </c>
      <c r="T1580" s="2" t="s">
        <v>124</v>
      </c>
      <c r="U1580" s="2" t="s">
        <v>567</v>
      </c>
      <c r="V1580" s="2" t="s">
        <v>59</v>
      </c>
      <c r="W1580" s="2">
        <v>46.2</v>
      </c>
      <c r="X1580" s="2">
        <v>37.799999999999997</v>
      </c>
      <c r="Y1580" s="2" t="s">
        <v>340</v>
      </c>
      <c r="Z1580" s="2" t="s">
        <v>10678</v>
      </c>
      <c r="AA1580" s="2">
        <v>-1.9682101666270599</v>
      </c>
      <c r="AB1580" s="2">
        <v>0.50756250837004802</v>
      </c>
      <c r="AC1580" s="2">
        <v>36745.994204479</v>
      </c>
      <c r="AD1580" s="2">
        <v>18574.909433784698</v>
      </c>
      <c r="AE1580" s="2">
        <v>33488.067988596697</v>
      </c>
      <c r="AF1580" s="2">
        <v>29834.441510803299</v>
      </c>
      <c r="AG1580" s="2">
        <v>38212.491515101799</v>
      </c>
      <c r="AH1580" s="2">
        <v>38323.064176900203</v>
      </c>
      <c r="AI1580" s="2">
        <v>34997.642093772803</v>
      </c>
      <c r="AJ1580" s="2">
        <v>45620.257941698997</v>
      </c>
      <c r="AK1580" s="2">
        <v>17625.380125805299</v>
      </c>
      <c r="AL1580" s="2">
        <v>17992.787162547698</v>
      </c>
      <c r="AM1580" s="2">
        <v>16928.204371874101</v>
      </c>
      <c r="AN1580" s="2">
        <v>19849.772730244898</v>
      </c>
      <c r="AO1580" s="2">
        <v>19046.2149680068</v>
      </c>
      <c r="AP1580" s="2">
        <v>20007.0972442292</v>
      </c>
    </row>
    <row r="1581" spans="1:42" ht="14.5" x14ac:dyDescent="0.35">
      <c r="A1581" s="2" t="s">
        <v>10679</v>
      </c>
      <c r="B1581" s="2">
        <v>301.17966560786402</v>
      </c>
      <c r="C1581" s="2">
        <v>4.7862166666666699</v>
      </c>
      <c r="D1581" s="2" t="s">
        <v>34</v>
      </c>
      <c r="E1581" s="2" t="s">
        <v>10680</v>
      </c>
      <c r="F1581" s="2">
        <v>9114</v>
      </c>
      <c r="G1581" s="3" t="str">
        <f>HYPERLINK("http://funmeta.oebiotech.com/network/9114", "http://funmeta.oebiotech.com/network/9114")</f>
        <v>http://funmeta.oebiotech.com/network/9114</v>
      </c>
      <c r="H1581" s="2"/>
      <c r="I1581" s="2"/>
      <c r="J1581" s="2" t="s">
        <v>10681</v>
      </c>
      <c r="K1581" s="2"/>
      <c r="L1581" s="2"/>
      <c r="M1581" s="2"/>
      <c r="N1581" s="2"/>
      <c r="O1581" s="2">
        <v>10017689</v>
      </c>
      <c r="P1581" s="2"/>
      <c r="Q1581" s="2" t="s">
        <v>10682</v>
      </c>
      <c r="R1581" s="2" t="s">
        <v>10683</v>
      </c>
      <c r="S1581" s="2" t="s">
        <v>50</v>
      </c>
      <c r="T1581" s="2" t="s">
        <v>229</v>
      </c>
      <c r="U1581" s="2" t="s">
        <v>433</v>
      </c>
      <c r="V1581" s="2" t="s">
        <v>59</v>
      </c>
      <c r="W1581" s="2">
        <v>45.2</v>
      </c>
      <c r="X1581" s="2">
        <v>31.4</v>
      </c>
      <c r="Y1581" s="2" t="s">
        <v>394</v>
      </c>
      <c r="Z1581" s="2" t="s">
        <v>6606</v>
      </c>
      <c r="AA1581" s="2">
        <v>-0.51787712976528</v>
      </c>
      <c r="AB1581" s="2">
        <v>0.50744830796696905</v>
      </c>
      <c r="AC1581" s="2">
        <v>79134.460970686807</v>
      </c>
      <c r="AD1581" s="2">
        <v>98195.032459644906</v>
      </c>
      <c r="AE1581" s="2">
        <v>78082.8783960281</v>
      </c>
      <c r="AF1581" s="2">
        <v>81734.623390803594</v>
      </c>
      <c r="AG1581" s="2">
        <v>82320.391472821706</v>
      </c>
      <c r="AH1581" s="2">
        <v>73161.343678451798</v>
      </c>
      <c r="AI1581" s="2">
        <v>83124.100748829893</v>
      </c>
      <c r="AJ1581" s="2">
        <v>76383.428137185896</v>
      </c>
      <c r="AK1581" s="2">
        <v>93222.293848668094</v>
      </c>
      <c r="AL1581" s="2">
        <v>101863.07902683401</v>
      </c>
      <c r="AM1581" s="2">
        <v>90889.653576378594</v>
      </c>
      <c r="AN1581" s="2">
        <v>94300.063748649904</v>
      </c>
      <c r="AO1581" s="2">
        <v>100475.93558566501</v>
      </c>
      <c r="AP1581" s="2">
        <v>108419.16897167399</v>
      </c>
    </row>
    <row r="1582" spans="1:42" ht="14.5" x14ac:dyDescent="0.35">
      <c r="A1582" s="2" t="s">
        <v>10684</v>
      </c>
      <c r="B1582" s="2">
        <v>417.21458808646599</v>
      </c>
      <c r="C1582" s="2">
        <v>5.6884499999999996</v>
      </c>
      <c r="D1582" s="2" t="s">
        <v>34</v>
      </c>
      <c r="E1582" s="2" t="s">
        <v>10685</v>
      </c>
      <c r="F1582" s="2">
        <v>208583</v>
      </c>
      <c r="G1582" s="3" t="str">
        <f>HYPERLINK("http://funmeta.oebiotech.com/network/208583", "http://funmeta.oebiotech.com/network/208583")</f>
        <v>http://funmeta.oebiotech.com/network/208583</v>
      </c>
      <c r="H1582" s="2" t="s">
        <v>10686</v>
      </c>
      <c r="I1582" s="2"/>
      <c r="J1582" s="2"/>
      <c r="K1582" s="2"/>
      <c r="L1582" s="2"/>
      <c r="M1582" s="2"/>
      <c r="N1582" s="2"/>
      <c r="O1582" s="2">
        <v>56657653</v>
      </c>
      <c r="P1582" s="2"/>
      <c r="Q1582" s="2" t="s">
        <v>10687</v>
      </c>
      <c r="R1582" s="2" t="s">
        <v>10688</v>
      </c>
      <c r="S1582" s="2" t="s">
        <v>1444</v>
      </c>
      <c r="T1582" s="2" t="s">
        <v>10689</v>
      </c>
      <c r="U1582" s="2" t="s">
        <v>10690</v>
      </c>
      <c r="V1582" s="2" t="s">
        <v>59</v>
      </c>
      <c r="W1582" s="2">
        <v>36.5</v>
      </c>
      <c r="X1582" s="2">
        <v>0</v>
      </c>
      <c r="Y1582" s="2" t="s">
        <v>43</v>
      </c>
      <c r="Z1582" s="2" t="s">
        <v>10691</v>
      </c>
      <c r="AA1582" s="2">
        <v>0.497947306030259</v>
      </c>
      <c r="AB1582" s="2">
        <v>0.507424337336005</v>
      </c>
      <c r="AC1582" s="2">
        <v>14735.3329182491</v>
      </c>
      <c r="AD1582" s="2">
        <v>32222.165944594501</v>
      </c>
      <c r="AE1582" s="2">
        <v>14497.214480737999</v>
      </c>
      <c r="AF1582" s="2">
        <v>13815.5284034331</v>
      </c>
      <c r="AG1582" s="2">
        <v>12120.7320549666</v>
      </c>
      <c r="AH1582" s="2">
        <v>17329.2172554428</v>
      </c>
      <c r="AI1582" s="2">
        <v>15899.4595291683</v>
      </c>
      <c r="AJ1582" s="2">
        <v>14749.845785746</v>
      </c>
      <c r="AK1582" s="2">
        <v>31583.080488838099</v>
      </c>
      <c r="AL1582" s="2">
        <v>28174.142493117201</v>
      </c>
      <c r="AM1582" s="2">
        <v>37850.120243446603</v>
      </c>
      <c r="AN1582" s="2">
        <v>33668.5673324624</v>
      </c>
      <c r="AO1582" s="2">
        <v>32475.9647535486</v>
      </c>
      <c r="AP1582" s="2">
        <v>29581.120356153999</v>
      </c>
    </row>
    <row r="1583" spans="1:42" ht="14.5" x14ac:dyDescent="0.35">
      <c r="A1583" s="2" t="s">
        <v>10692</v>
      </c>
      <c r="B1583" s="2">
        <v>537.21756371910396</v>
      </c>
      <c r="C1583" s="2">
        <v>5.6357333333333299</v>
      </c>
      <c r="D1583" s="2" t="s">
        <v>70</v>
      </c>
      <c r="E1583" s="2" t="s">
        <v>10693</v>
      </c>
      <c r="F1583" s="2">
        <v>208342</v>
      </c>
      <c r="G1583" s="3" t="str">
        <f>HYPERLINK("http://funmeta.oebiotech.com/network/208342", "http://funmeta.oebiotech.com/network/208342")</f>
        <v>http://funmeta.oebiotech.com/network/208342</v>
      </c>
      <c r="H1583" s="2" t="s">
        <v>10694</v>
      </c>
      <c r="I1583" s="2"/>
      <c r="J1583" s="2"/>
      <c r="K1583" s="2"/>
      <c r="L1583" s="2"/>
      <c r="M1583" s="2"/>
      <c r="N1583" s="2"/>
      <c r="O1583" s="2">
        <v>71421</v>
      </c>
      <c r="P1583" s="2"/>
      <c r="Q1583" s="2" t="s">
        <v>10695</v>
      </c>
      <c r="R1583" s="2" t="s">
        <v>10696</v>
      </c>
      <c r="S1583" s="2" t="s">
        <v>148</v>
      </c>
      <c r="T1583" s="2" t="s">
        <v>149</v>
      </c>
      <c r="U1583" s="2" t="s">
        <v>3473</v>
      </c>
      <c r="V1583" s="2" t="s">
        <v>59</v>
      </c>
      <c r="W1583" s="2">
        <v>37.5</v>
      </c>
      <c r="X1583" s="2">
        <v>23.4</v>
      </c>
      <c r="Y1583" s="2" t="s">
        <v>1395</v>
      </c>
      <c r="Z1583" s="2" t="s">
        <v>10697</v>
      </c>
      <c r="AA1583" s="2">
        <v>2.8244042219833498</v>
      </c>
      <c r="AB1583" s="2">
        <v>0.50723070092287004</v>
      </c>
      <c r="AC1583" s="2">
        <v>122949.40354937001</v>
      </c>
      <c r="AD1583" s="2">
        <v>102916.202289083</v>
      </c>
      <c r="AE1583" s="2">
        <v>122730.66551852399</v>
      </c>
      <c r="AF1583" s="2">
        <v>120664.62670152199</v>
      </c>
      <c r="AG1583" s="2">
        <v>127784.505577695</v>
      </c>
      <c r="AH1583" s="2">
        <v>126101.773176152</v>
      </c>
      <c r="AI1583" s="2">
        <v>119052.945626956</v>
      </c>
      <c r="AJ1583" s="2">
        <v>121361.90469537101</v>
      </c>
      <c r="AK1583" s="2">
        <v>92824.872468759204</v>
      </c>
      <c r="AL1583" s="2">
        <v>96557.496986247002</v>
      </c>
      <c r="AM1583" s="2">
        <v>114283.54099128601</v>
      </c>
      <c r="AN1583" s="2">
        <v>94593.258473573995</v>
      </c>
      <c r="AO1583" s="2">
        <v>107596.83435231401</v>
      </c>
      <c r="AP1583" s="2">
        <v>111641.21046232</v>
      </c>
    </row>
    <row r="1584" spans="1:42" ht="14.5" x14ac:dyDescent="0.35">
      <c r="A1584" s="2" t="s">
        <v>10698</v>
      </c>
      <c r="B1584" s="2">
        <v>233.080654571785</v>
      </c>
      <c r="C1584" s="2">
        <v>4.5991</v>
      </c>
      <c r="D1584" s="2" t="s">
        <v>34</v>
      </c>
      <c r="E1584" s="2" t="s">
        <v>10699</v>
      </c>
      <c r="F1584" s="2">
        <v>64418</v>
      </c>
      <c r="G1584" s="3" t="str">
        <f>HYPERLINK("http://funmeta.oebiotech.com/network/64418", "http://funmeta.oebiotech.com/network/64418")</f>
        <v>http://funmeta.oebiotech.com/network/64418</v>
      </c>
      <c r="H1584" s="2" t="s">
        <v>10700</v>
      </c>
      <c r="I1584" s="2">
        <v>95734</v>
      </c>
      <c r="J1584" s="2"/>
      <c r="K1584" s="2">
        <v>174191</v>
      </c>
      <c r="L1584" s="2"/>
      <c r="M1584" s="2"/>
      <c r="N1584" s="2"/>
      <c r="O1584" s="2">
        <v>636462</v>
      </c>
      <c r="P1584" s="2" t="s">
        <v>10701</v>
      </c>
      <c r="Q1584" s="2" t="s">
        <v>10702</v>
      </c>
      <c r="R1584" s="2" t="s">
        <v>10703</v>
      </c>
      <c r="S1584" s="2" t="s">
        <v>491</v>
      </c>
      <c r="T1584" s="2" t="s">
        <v>2251</v>
      </c>
      <c r="U1584" s="2" t="s">
        <v>2252</v>
      </c>
      <c r="V1584" s="2" t="s">
        <v>42</v>
      </c>
      <c r="W1584" s="2">
        <v>48.8</v>
      </c>
      <c r="X1584" s="2">
        <v>50.5</v>
      </c>
      <c r="Y1584" s="2" t="s">
        <v>394</v>
      </c>
      <c r="Z1584" s="2" t="s">
        <v>10704</v>
      </c>
      <c r="AA1584" s="2">
        <v>-0.77873281366978797</v>
      </c>
      <c r="AB1584" s="2">
        <v>0.50717952712632697</v>
      </c>
      <c r="AC1584" s="2">
        <v>35885.4673271629</v>
      </c>
      <c r="AD1584" s="2">
        <v>53777.344835706099</v>
      </c>
      <c r="AE1584" s="2">
        <v>34058.617079057498</v>
      </c>
      <c r="AF1584" s="2">
        <v>36898.293854725998</v>
      </c>
      <c r="AG1584" s="2">
        <v>36648.4670732991</v>
      </c>
      <c r="AH1584" s="2">
        <v>33357.654111579803</v>
      </c>
      <c r="AI1584" s="2">
        <v>37615.729703293902</v>
      </c>
      <c r="AJ1584" s="2">
        <v>36734.042141020996</v>
      </c>
      <c r="AK1584" s="2">
        <v>59458.966273662598</v>
      </c>
      <c r="AL1584" s="2">
        <v>54207.472689379298</v>
      </c>
      <c r="AM1584" s="2">
        <v>53357.163813658299</v>
      </c>
      <c r="AN1584" s="2">
        <v>55018.404969523603</v>
      </c>
      <c r="AO1584" s="2">
        <v>45549.937406104298</v>
      </c>
      <c r="AP1584" s="2">
        <v>55072.123861908804</v>
      </c>
    </row>
    <row r="1585" spans="1:42" ht="14.5" x14ac:dyDescent="0.35">
      <c r="A1585" s="2" t="s">
        <v>10705</v>
      </c>
      <c r="B1585" s="2">
        <v>204.13822926183701</v>
      </c>
      <c r="C1585" s="2">
        <v>10.5652666666667</v>
      </c>
      <c r="D1585" s="2" t="s">
        <v>34</v>
      </c>
      <c r="E1585" s="2" t="s">
        <v>10706</v>
      </c>
      <c r="F1585" s="2">
        <v>55644</v>
      </c>
      <c r="G1585" s="3" t="str">
        <f>HYPERLINK("http://funmeta.oebiotech.com/network/55644", "http://funmeta.oebiotech.com/network/55644")</f>
        <v>http://funmeta.oebiotech.com/network/55644</v>
      </c>
      <c r="H1585" s="2" t="s">
        <v>10707</v>
      </c>
      <c r="I1585" s="2">
        <v>87296</v>
      </c>
      <c r="J1585" s="2"/>
      <c r="K1585" s="2">
        <v>173890</v>
      </c>
      <c r="L1585" s="2"/>
      <c r="M1585" s="2"/>
      <c r="N1585" s="2"/>
      <c r="O1585" s="2">
        <v>101412523</v>
      </c>
      <c r="P1585" s="2"/>
      <c r="Q1585" s="2" t="s">
        <v>10708</v>
      </c>
      <c r="R1585" s="2" t="s">
        <v>10709</v>
      </c>
      <c r="S1585" s="2" t="s">
        <v>50</v>
      </c>
      <c r="T1585" s="2" t="s">
        <v>229</v>
      </c>
      <c r="U1585" s="2" t="s">
        <v>1283</v>
      </c>
      <c r="V1585" s="2" t="s">
        <v>59</v>
      </c>
      <c r="W1585" s="2">
        <v>42.4</v>
      </c>
      <c r="X1585" s="2">
        <v>14.4</v>
      </c>
      <c r="Y1585" s="2" t="s">
        <v>440</v>
      </c>
      <c r="Z1585" s="2" t="s">
        <v>10710</v>
      </c>
      <c r="AA1585" s="2">
        <v>-0.32958211310922603</v>
      </c>
      <c r="AB1585" s="2">
        <v>0.506689669122806</v>
      </c>
      <c r="AC1585" s="2">
        <v>204530.454311056</v>
      </c>
      <c r="AD1585" s="2">
        <v>224432.65377349901</v>
      </c>
      <c r="AE1585" s="2">
        <v>208513.39365378601</v>
      </c>
      <c r="AF1585" s="2">
        <v>211188.528651311</v>
      </c>
      <c r="AG1585" s="2">
        <v>206465.65360721099</v>
      </c>
      <c r="AH1585" s="2">
        <v>198099.07874939099</v>
      </c>
      <c r="AI1585" s="2">
        <v>203454.16116519101</v>
      </c>
      <c r="AJ1585" s="2">
        <v>199461.91003944899</v>
      </c>
      <c r="AK1585" s="2">
        <v>231000.88131009499</v>
      </c>
      <c r="AL1585" s="2">
        <v>228230.29042840499</v>
      </c>
      <c r="AM1585" s="2">
        <v>218205.53413889601</v>
      </c>
      <c r="AN1585" s="2">
        <v>221901.00285960201</v>
      </c>
      <c r="AO1585" s="2">
        <v>234102.64861681301</v>
      </c>
      <c r="AP1585" s="2">
        <v>213155.565287181</v>
      </c>
    </row>
    <row r="1586" spans="1:42" ht="14.5" x14ac:dyDescent="0.35">
      <c r="A1586" s="2" t="s">
        <v>10711</v>
      </c>
      <c r="B1586" s="2">
        <v>553.20819077972203</v>
      </c>
      <c r="C1586" s="2">
        <v>6.3302166666666704</v>
      </c>
      <c r="D1586" s="2" t="s">
        <v>70</v>
      </c>
      <c r="E1586" s="2" t="s">
        <v>10712</v>
      </c>
      <c r="F1586" s="2">
        <v>255058</v>
      </c>
      <c r="G1586" s="3" t="str">
        <f>HYPERLINK("http://funmeta.oebiotech.com/network/255058", "http://funmeta.oebiotech.com/network/255058")</f>
        <v>http://funmeta.oebiotech.com/network/255058</v>
      </c>
      <c r="H1586" s="2" t="s">
        <v>10713</v>
      </c>
      <c r="I1586" s="2"/>
      <c r="J1586" s="2"/>
      <c r="K1586" s="2"/>
      <c r="L1586" s="2"/>
      <c r="M1586" s="2"/>
      <c r="N1586" s="2"/>
      <c r="O1586" s="2"/>
      <c r="P1586" s="2"/>
      <c r="Q1586" s="2" t="s">
        <v>10714</v>
      </c>
      <c r="R1586" s="2" t="s">
        <v>10715</v>
      </c>
      <c r="S1586" s="2" t="s">
        <v>1184</v>
      </c>
      <c r="T1586" s="2" t="s">
        <v>41</v>
      </c>
      <c r="U1586" s="2" t="s">
        <v>41</v>
      </c>
      <c r="V1586" s="2" t="s">
        <v>59</v>
      </c>
      <c r="W1586" s="2">
        <v>48</v>
      </c>
      <c r="X1586" s="2">
        <v>44.6</v>
      </c>
      <c r="Y1586" s="2" t="s">
        <v>118</v>
      </c>
      <c r="Z1586" s="2" t="s">
        <v>10716</v>
      </c>
      <c r="AA1586" s="2">
        <v>0.487041393379191</v>
      </c>
      <c r="AB1586" s="2">
        <v>0.50657987358650702</v>
      </c>
      <c r="AC1586" s="2">
        <v>61296.0390037752</v>
      </c>
      <c r="AD1586" s="2">
        <v>43046.346125712902</v>
      </c>
      <c r="AE1586" s="2">
        <v>62318.645865534498</v>
      </c>
      <c r="AF1586" s="2">
        <v>68488.283836294606</v>
      </c>
      <c r="AG1586" s="2">
        <v>57621.795301863698</v>
      </c>
      <c r="AH1586" s="2">
        <v>54215.4489390128</v>
      </c>
      <c r="AI1586" s="2">
        <v>60022.534069615198</v>
      </c>
      <c r="AJ1586" s="2">
        <v>65109.526010330199</v>
      </c>
      <c r="AK1586" s="2">
        <v>40446.191440002804</v>
      </c>
      <c r="AL1586" s="2">
        <v>43352.882632903398</v>
      </c>
      <c r="AM1586" s="2">
        <v>40488.435825526802</v>
      </c>
      <c r="AN1586" s="2">
        <v>46180.908816208197</v>
      </c>
      <c r="AO1586" s="2">
        <v>46996.570345691704</v>
      </c>
      <c r="AP1586" s="2">
        <v>40813.087693944501</v>
      </c>
    </row>
    <row r="1587" spans="1:42" ht="14.5" x14ac:dyDescent="0.35">
      <c r="A1587" s="2" t="s">
        <v>10717</v>
      </c>
      <c r="B1587" s="2">
        <v>663.26501838216905</v>
      </c>
      <c r="C1587" s="2">
        <v>6.7822666666666702</v>
      </c>
      <c r="D1587" s="2" t="s">
        <v>70</v>
      </c>
      <c r="E1587" s="2" t="s">
        <v>10718</v>
      </c>
      <c r="F1587" s="2">
        <v>60159</v>
      </c>
      <c r="G1587" s="3" t="str">
        <f>HYPERLINK("http://funmeta.oebiotech.com/network/60159", "http://funmeta.oebiotech.com/network/60159")</f>
        <v>http://funmeta.oebiotech.com/network/60159</v>
      </c>
      <c r="H1587" s="2" t="s">
        <v>10719</v>
      </c>
      <c r="I1587" s="2">
        <v>91542</v>
      </c>
      <c r="J1587" s="2"/>
      <c r="K1587" s="2">
        <v>168214</v>
      </c>
      <c r="L1587" s="2"/>
      <c r="M1587" s="2"/>
      <c r="N1587" s="2"/>
      <c r="O1587" s="2">
        <v>85228900</v>
      </c>
      <c r="P1587" s="2"/>
      <c r="Q1587" s="2" t="s">
        <v>10720</v>
      </c>
      <c r="R1587" s="2" t="s">
        <v>10721</v>
      </c>
      <c r="S1587" s="2" t="s">
        <v>115</v>
      </c>
      <c r="T1587" s="2" t="s">
        <v>139</v>
      </c>
      <c r="U1587" s="2" t="s">
        <v>140</v>
      </c>
      <c r="V1587" s="2" t="s">
        <v>59</v>
      </c>
      <c r="W1587" s="2">
        <v>40.1</v>
      </c>
      <c r="X1587" s="2">
        <v>13.4</v>
      </c>
      <c r="Y1587" s="2" t="s">
        <v>118</v>
      </c>
      <c r="Z1587" s="2" t="s">
        <v>10722</v>
      </c>
      <c r="AA1587" s="2">
        <v>-1.2212909775859899</v>
      </c>
      <c r="AB1587" s="2">
        <v>0.50655941837615504</v>
      </c>
      <c r="AC1587" s="2">
        <v>52326.409919643098</v>
      </c>
      <c r="AD1587" s="2">
        <v>34627.786744184603</v>
      </c>
      <c r="AE1587" s="2">
        <v>55877.697435752503</v>
      </c>
      <c r="AF1587" s="2">
        <v>51008.559602605201</v>
      </c>
      <c r="AG1587" s="2">
        <v>52327.4892290098</v>
      </c>
      <c r="AH1587" s="2">
        <v>50053.783630043297</v>
      </c>
      <c r="AI1587" s="2">
        <v>49108.306417423999</v>
      </c>
      <c r="AJ1587" s="2">
        <v>55582.623203023999</v>
      </c>
      <c r="AK1587" s="2">
        <v>32570.455685238099</v>
      </c>
      <c r="AL1587" s="2">
        <v>31107.691768659301</v>
      </c>
      <c r="AM1587" s="2">
        <v>38964.048727294103</v>
      </c>
      <c r="AN1587" s="2">
        <v>38620.698374553802</v>
      </c>
      <c r="AO1587" s="2">
        <v>32049.784720600299</v>
      </c>
      <c r="AP1587" s="2">
        <v>34454.041188761999</v>
      </c>
    </row>
    <row r="1588" spans="1:42" ht="14.5" x14ac:dyDescent="0.35">
      <c r="A1588" s="2" t="s">
        <v>10723</v>
      </c>
      <c r="B1588" s="2">
        <v>611.12441333250104</v>
      </c>
      <c r="C1588" s="2">
        <v>4.2944166666666703</v>
      </c>
      <c r="D1588" s="2" t="s">
        <v>70</v>
      </c>
      <c r="E1588" s="2" t="s">
        <v>10724</v>
      </c>
      <c r="F1588" s="2">
        <v>32506</v>
      </c>
      <c r="G1588" s="3" t="str">
        <f>HYPERLINK("http://funmeta.oebiotech.com/network/32506", "http://funmeta.oebiotech.com/network/32506")</f>
        <v>http://funmeta.oebiotech.com/network/32506</v>
      </c>
      <c r="H1588" s="2"/>
      <c r="I1588" s="2"/>
      <c r="J1588" s="2" t="s">
        <v>10725</v>
      </c>
      <c r="K1588" s="2"/>
      <c r="L1588" s="2"/>
      <c r="M1588" s="2"/>
      <c r="N1588" s="2"/>
      <c r="O1588" s="2">
        <v>101641678</v>
      </c>
      <c r="P1588" s="2"/>
      <c r="Q1588" s="2" t="s">
        <v>10726</v>
      </c>
      <c r="R1588" s="2" t="s">
        <v>10727</v>
      </c>
      <c r="S1588" s="2" t="s">
        <v>115</v>
      </c>
      <c r="T1588" s="2" t="s">
        <v>139</v>
      </c>
      <c r="U1588" s="2" t="s">
        <v>140</v>
      </c>
      <c r="V1588" s="2" t="s">
        <v>42</v>
      </c>
      <c r="W1588" s="2">
        <v>47.7</v>
      </c>
      <c r="X1588" s="2">
        <v>45.5</v>
      </c>
      <c r="Y1588" s="2" t="s">
        <v>118</v>
      </c>
      <c r="Z1588" s="2" t="s">
        <v>10728</v>
      </c>
      <c r="AA1588" s="2">
        <v>-1.56774185997742</v>
      </c>
      <c r="AB1588" s="2">
        <v>0.50592686124846498</v>
      </c>
      <c r="AC1588" s="2">
        <v>107749.967922678</v>
      </c>
      <c r="AD1588" s="2">
        <v>81841.390700902004</v>
      </c>
      <c r="AE1588" s="2">
        <v>96200.155107483704</v>
      </c>
      <c r="AF1588" s="2">
        <v>92057.797822928696</v>
      </c>
      <c r="AG1588" s="2">
        <v>119408.67505560799</v>
      </c>
      <c r="AH1588" s="2">
        <v>88228.403702108801</v>
      </c>
      <c r="AI1588" s="2">
        <v>101479.59609958599</v>
      </c>
      <c r="AJ1588" s="2">
        <v>149125.179748353</v>
      </c>
      <c r="AK1588" s="2">
        <v>83762.334891018705</v>
      </c>
      <c r="AL1588" s="2">
        <v>87435.190737036595</v>
      </c>
      <c r="AM1588" s="2">
        <v>79182.123549475305</v>
      </c>
      <c r="AN1588" s="2">
        <v>85232.065339735607</v>
      </c>
      <c r="AO1588" s="2">
        <v>83400.132454559207</v>
      </c>
      <c r="AP1588" s="2">
        <v>72036.497233586502</v>
      </c>
    </row>
    <row r="1589" spans="1:42" ht="14.5" x14ac:dyDescent="0.35">
      <c r="A1589" s="2" t="s">
        <v>10729</v>
      </c>
      <c r="B1589" s="2">
        <v>861.519125566301</v>
      </c>
      <c r="C1589" s="2">
        <v>12.1619166666667</v>
      </c>
      <c r="D1589" s="2" t="s">
        <v>34</v>
      </c>
      <c r="E1589" s="2" t="s">
        <v>10730</v>
      </c>
      <c r="F1589" s="2">
        <v>18062</v>
      </c>
      <c r="G1589" s="3" t="str">
        <f>HYPERLINK("http://funmeta.oebiotech.com/network/18062", "http://funmeta.oebiotech.com/network/18062")</f>
        <v>http://funmeta.oebiotech.com/network/18062</v>
      </c>
      <c r="H1589" s="2"/>
      <c r="I1589" s="2"/>
      <c r="J1589" s="2" t="s">
        <v>10731</v>
      </c>
      <c r="K1589" s="2"/>
      <c r="L1589" s="2"/>
      <c r="M1589" s="2"/>
      <c r="N1589" s="2"/>
      <c r="O1589" s="2">
        <v>134812268</v>
      </c>
      <c r="P1589" s="2"/>
      <c r="Q1589" s="2" t="s">
        <v>10732</v>
      </c>
      <c r="R1589" s="2" t="s">
        <v>10733</v>
      </c>
      <c r="S1589" s="2" t="s">
        <v>79</v>
      </c>
      <c r="T1589" s="2" t="s">
        <v>80</v>
      </c>
      <c r="U1589" s="2" t="s">
        <v>81</v>
      </c>
      <c r="V1589" s="2" t="s">
        <v>59</v>
      </c>
      <c r="W1589" s="2">
        <v>37.9</v>
      </c>
      <c r="X1589" s="2">
        <v>0</v>
      </c>
      <c r="Y1589" s="2" t="s">
        <v>323</v>
      </c>
      <c r="Z1589" s="2" t="s">
        <v>10734</v>
      </c>
      <c r="AA1589" s="2">
        <v>-2.47139186642839</v>
      </c>
      <c r="AB1589" s="2">
        <v>0.50588571515090897</v>
      </c>
      <c r="AC1589" s="2">
        <v>28446.606257761599</v>
      </c>
      <c r="AD1589" s="2">
        <v>10003.240195050799</v>
      </c>
      <c r="AE1589" s="2">
        <v>27766.256647420101</v>
      </c>
      <c r="AF1589" s="2">
        <v>28266.081934181799</v>
      </c>
      <c r="AG1589" s="2">
        <v>25479.688128602898</v>
      </c>
      <c r="AH1589" s="2">
        <v>23937.268556920098</v>
      </c>
      <c r="AI1589" s="2">
        <v>29407.180531659102</v>
      </c>
      <c r="AJ1589" s="2">
        <v>35823.161747785503</v>
      </c>
      <c r="AK1589" s="2">
        <v>17390.713925679302</v>
      </c>
      <c r="AL1589" s="2">
        <v>4770.7626056543204</v>
      </c>
      <c r="AM1589" s="2">
        <v>10788.119154881701</v>
      </c>
      <c r="AN1589" s="2">
        <v>3937.37375178005</v>
      </c>
      <c r="AO1589" s="2">
        <v>11858.275645460701</v>
      </c>
      <c r="AP1589" s="2">
        <v>11274.1960868485</v>
      </c>
    </row>
    <row r="1590" spans="1:42" ht="14.5" x14ac:dyDescent="0.35">
      <c r="A1590" s="2" t="s">
        <v>10735</v>
      </c>
      <c r="B1590" s="2">
        <v>417.20155146512599</v>
      </c>
      <c r="C1590" s="2">
        <v>3.7521499999999999</v>
      </c>
      <c r="D1590" s="2" t="s">
        <v>34</v>
      </c>
      <c r="E1590" s="2" t="s">
        <v>10736</v>
      </c>
      <c r="F1590" s="2">
        <v>208885</v>
      </c>
      <c r="G1590" s="3" t="str">
        <f>HYPERLINK("http://funmeta.oebiotech.com/network/208885", "http://funmeta.oebiotech.com/network/208885")</f>
        <v>http://funmeta.oebiotech.com/network/208885</v>
      </c>
      <c r="H1590" s="2" t="s">
        <v>10737</v>
      </c>
      <c r="I1590" s="2"/>
      <c r="J1590" s="2"/>
      <c r="K1590" s="2"/>
      <c r="L1590" s="2"/>
      <c r="M1590" s="2"/>
      <c r="N1590" s="2"/>
      <c r="O1590" s="2">
        <v>18468269</v>
      </c>
      <c r="P1590" s="2"/>
      <c r="Q1590" s="2" t="s">
        <v>10738</v>
      </c>
      <c r="R1590" s="2" t="s">
        <v>10739</v>
      </c>
      <c r="S1590" s="2" t="s">
        <v>41</v>
      </c>
      <c r="T1590" s="2" t="s">
        <v>41</v>
      </c>
      <c r="U1590" s="2" t="s">
        <v>41</v>
      </c>
      <c r="V1590" s="2" t="s">
        <v>59</v>
      </c>
      <c r="W1590" s="2">
        <v>37.9</v>
      </c>
      <c r="X1590" s="2">
        <v>1.5100000000000001E-2</v>
      </c>
      <c r="Y1590" s="2" t="s">
        <v>266</v>
      </c>
      <c r="Z1590" s="2" t="s">
        <v>10740</v>
      </c>
      <c r="AA1590" s="2">
        <v>-1.1090764822316399</v>
      </c>
      <c r="AB1590" s="2">
        <v>0.50561289068302595</v>
      </c>
      <c r="AC1590" s="2">
        <v>31399.204620858101</v>
      </c>
      <c r="AD1590" s="2">
        <v>48702.935454327599</v>
      </c>
      <c r="AE1590" s="2">
        <v>33270.999567985396</v>
      </c>
      <c r="AF1590" s="2">
        <v>27520.2504012672</v>
      </c>
      <c r="AG1590" s="2">
        <v>32157.799375695799</v>
      </c>
      <c r="AH1590" s="2">
        <v>33071.456357327501</v>
      </c>
      <c r="AI1590" s="2">
        <v>29391.9090678467</v>
      </c>
      <c r="AJ1590" s="2">
        <v>32982.812955026297</v>
      </c>
      <c r="AK1590" s="2">
        <v>46463.663391589304</v>
      </c>
      <c r="AL1590" s="2">
        <v>45308.677531709101</v>
      </c>
      <c r="AM1590" s="2">
        <v>48136.440198853401</v>
      </c>
      <c r="AN1590" s="2">
        <v>50459.053250940102</v>
      </c>
      <c r="AO1590" s="2">
        <v>50614.799373361602</v>
      </c>
      <c r="AP1590" s="2">
        <v>51234.9789795119</v>
      </c>
    </row>
    <row r="1591" spans="1:42" ht="14.5" x14ac:dyDescent="0.35">
      <c r="A1591" s="2" t="s">
        <v>10741</v>
      </c>
      <c r="B1591" s="2">
        <v>770.28752065463198</v>
      </c>
      <c r="C1591" s="2">
        <v>5.8600666666666701</v>
      </c>
      <c r="D1591" s="2" t="s">
        <v>70</v>
      </c>
      <c r="E1591" s="2" t="s">
        <v>10742</v>
      </c>
      <c r="F1591" s="2">
        <v>59724</v>
      </c>
      <c r="G1591" s="3" t="str">
        <f>HYPERLINK("http://funmeta.oebiotech.com/network/59724", "http://funmeta.oebiotech.com/network/59724")</f>
        <v>http://funmeta.oebiotech.com/network/59724</v>
      </c>
      <c r="H1591" s="2" t="s">
        <v>10743</v>
      </c>
      <c r="I1591" s="2">
        <v>91107</v>
      </c>
      <c r="J1591" s="2"/>
      <c r="K1591" s="2"/>
      <c r="L1591" s="2"/>
      <c r="M1591" s="2"/>
      <c r="N1591" s="2"/>
      <c r="O1591" s="2">
        <v>85165781</v>
      </c>
      <c r="P1591" s="2" t="s">
        <v>10744</v>
      </c>
      <c r="Q1591" s="2" t="s">
        <v>10745</v>
      </c>
      <c r="R1591" s="2" t="s">
        <v>10746</v>
      </c>
      <c r="S1591" s="2" t="s">
        <v>79</v>
      </c>
      <c r="T1591" s="2" t="s">
        <v>80</v>
      </c>
      <c r="U1591" s="2" t="s">
        <v>81</v>
      </c>
      <c r="V1591" s="2" t="s">
        <v>59</v>
      </c>
      <c r="W1591" s="2">
        <v>39.200000000000003</v>
      </c>
      <c r="X1591" s="2">
        <v>0.93799999999999994</v>
      </c>
      <c r="Y1591" s="2" t="s">
        <v>118</v>
      </c>
      <c r="Z1591" s="2" t="s">
        <v>10747</v>
      </c>
      <c r="AA1591" s="2">
        <v>-0.21605440927519901</v>
      </c>
      <c r="AB1591" s="2">
        <v>0.50501148483252101</v>
      </c>
      <c r="AC1591" s="2">
        <v>69608.772928741993</v>
      </c>
      <c r="AD1591" s="2">
        <v>87660.263013058793</v>
      </c>
      <c r="AE1591" s="2">
        <v>74890.810897561896</v>
      </c>
      <c r="AF1591" s="2">
        <v>65084.310159145403</v>
      </c>
      <c r="AG1591" s="2">
        <v>66448.110249645397</v>
      </c>
      <c r="AH1591" s="2">
        <v>65556.344060553907</v>
      </c>
      <c r="AI1591" s="2">
        <v>70480.651140015296</v>
      </c>
      <c r="AJ1591" s="2">
        <v>75192.411065530105</v>
      </c>
      <c r="AK1591" s="2">
        <v>85618.861422183894</v>
      </c>
      <c r="AL1591" s="2">
        <v>83410.5496337144</v>
      </c>
      <c r="AM1591" s="2">
        <v>84891.592109432095</v>
      </c>
      <c r="AN1591" s="2">
        <v>90992.9222544066</v>
      </c>
      <c r="AO1591" s="2">
        <v>89437.470891053701</v>
      </c>
      <c r="AP1591" s="2">
        <v>91610.181767562302</v>
      </c>
    </row>
    <row r="1592" spans="1:42" ht="14.5" x14ac:dyDescent="0.35">
      <c r="A1592" s="2" t="s">
        <v>10748</v>
      </c>
      <c r="B1592" s="2">
        <v>299.20016729863403</v>
      </c>
      <c r="C1592" s="2">
        <v>6.1988000000000003</v>
      </c>
      <c r="D1592" s="2" t="s">
        <v>34</v>
      </c>
      <c r="E1592" s="2" t="s">
        <v>10749</v>
      </c>
      <c r="F1592" s="2">
        <v>64167</v>
      </c>
      <c r="G1592" s="3" t="str">
        <f>HYPERLINK("http://funmeta.oebiotech.com/network/64167", "http://funmeta.oebiotech.com/network/64167")</f>
        <v>http://funmeta.oebiotech.com/network/64167</v>
      </c>
      <c r="H1592" s="2" t="s">
        <v>10750</v>
      </c>
      <c r="I1592" s="2"/>
      <c r="J1592" s="2"/>
      <c r="K1592" s="2"/>
      <c r="L1592" s="2"/>
      <c r="M1592" s="2"/>
      <c r="N1592" s="2"/>
      <c r="O1592" s="2">
        <v>72781133</v>
      </c>
      <c r="P1592" s="2" t="s">
        <v>10751</v>
      </c>
      <c r="Q1592" s="2" t="s">
        <v>10752</v>
      </c>
      <c r="R1592" s="2" t="s">
        <v>10753</v>
      </c>
      <c r="S1592" s="2" t="s">
        <v>50</v>
      </c>
      <c r="T1592" s="2" t="s">
        <v>201</v>
      </c>
      <c r="U1592" s="2" t="s">
        <v>241</v>
      </c>
      <c r="V1592" s="2" t="s">
        <v>42</v>
      </c>
      <c r="W1592" s="2">
        <v>54.9</v>
      </c>
      <c r="X1592" s="2">
        <v>81.5</v>
      </c>
      <c r="Y1592" s="2" t="s">
        <v>266</v>
      </c>
      <c r="Z1592" s="2" t="s">
        <v>8079</v>
      </c>
      <c r="AA1592" s="2">
        <v>-1.2308768924014599</v>
      </c>
      <c r="AB1592" s="2">
        <v>0.50492134648130804</v>
      </c>
      <c r="AC1592" s="2">
        <v>1059192.7453633</v>
      </c>
      <c r="AD1592" s="2">
        <v>1091786.9045299001</v>
      </c>
      <c r="AE1592" s="2">
        <v>1041448.76094404</v>
      </c>
      <c r="AF1592" s="2">
        <v>1076567.40510347</v>
      </c>
      <c r="AG1592" s="2">
        <v>1069480.23043516</v>
      </c>
      <c r="AH1592" s="2">
        <v>1025858.28976547</v>
      </c>
      <c r="AI1592" s="2">
        <v>1046929.83230785</v>
      </c>
      <c r="AJ1592" s="2">
        <v>1094871.95362378</v>
      </c>
      <c r="AK1592" s="2">
        <v>1073537.3845933401</v>
      </c>
      <c r="AL1592" s="2">
        <v>1156041.72632741</v>
      </c>
      <c r="AM1592" s="2">
        <v>1082891.6275827501</v>
      </c>
      <c r="AN1592" s="2">
        <v>1090701.2936416899</v>
      </c>
      <c r="AO1592" s="2">
        <v>1080828.66115572</v>
      </c>
      <c r="AP1592" s="2">
        <v>1066720.73387848</v>
      </c>
    </row>
    <row r="1593" spans="1:42" ht="14.5" x14ac:dyDescent="0.35">
      <c r="A1593" s="2" t="s">
        <v>10754</v>
      </c>
      <c r="B1593" s="2">
        <v>740.27495286717601</v>
      </c>
      <c r="C1593" s="2">
        <v>3.7887</v>
      </c>
      <c r="D1593" s="2" t="s">
        <v>34</v>
      </c>
      <c r="E1593" s="2" t="s">
        <v>10755</v>
      </c>
      <c r="F1593" s="2">
        <v>29653</v>
      </c>
      <c r="G1593" s="3" t="str">
        <f>HYPERLINK("http://funmeta.oebiotech.com/network/29653", "http://funmeta.oebiotech.com/network/29653")</f>
        <v>http://funmeta.oebiotech.com/network/29653</v>
      </c>
      <c r="H1593" s="2"/>
      <c r="I1593" s="2"/>
      <c r="J1593" s="2" t="s">
        <v>10756</v>
      </c>
      <c r="K1593" s="2"/>
      <c r="L1593" s="2"/>
      <c r="M1593" s="2"/>
      <c r="N1593" s="2"/>
      <c r="O1593" s="2">
        <v>44257398</v>
      </c>
      <c r="P1593" s="2"/>
      <c r="Q1593" s="2" t="s">
        <v>10757</v>
      </c>
      <c r="R1593" s="2" t="s">
        <v>10758</v>
      </c>
      <c r="S1593" s="2" t="s">
        <v>115</v>
      </c>
      <c r="T1593" s="2" t="s">
        <v>1371</v>
      </c>
      <c r="U1593" s="2" t="s">
        <v>10759</v>
      </c>
      <c r="V1593" s="2" t="s">
        <v>59</v>
      </c>
      <c r="W1593" s="2">
        <v>37</v>
      </c>
      <c r="X1593" s="2">
        <v>0</v>
      </c>
      <c r="Y1593" s="2" t="s">
        <v>43</v>
      </c>
      <c r="Z1593" s="2" t="s">
        <v>10760</v>
      </c>
      <c r="AA1593" s="2">
        <v>-1.4850174687776401</v>
      </c>
      <c r="AB1593" s="2">
        <v>0.50485900119038296</v>
      </c>
      <c r="AC1593" s="2">
        <v>21046.460039424601</v>
      </c>
      <c r="AD1593" s="2">
        <v>4071.0655149924801</v>
      </c>
      <c r="AE1593" s="2">
        <v>23668.049878066799</v>
      </c>
      <c r="AF1593" s="2">
        <v>18874.562622285201</v>
      </c>
      <c r="AG1593" s="2">
        <v>20425.664881028901</v>
      </c>
      <c r="AH1593" s="2">
        <v>19994.093103735799</v>
      </c>
      <c r="AI1593" s="2">
        <v>20918.0500319161</v>
      </c>
      <c r="AJ1593" s="2">
        <v>22398.339719514999</v>
      </c>
      <c r="AK1593" s="2">
        <v>1769.09646633387</v>
      </c>
      <c r="AL1593" s="2">
        <v>3701.2005969643501</v>
      </c>
      <c r="AM1593" s="2">
        <v>5858.7045689658398</v>
      </c>
      <c r="AN1593" s="2">
        <v>4762.1302729071203</v>
      </c>
      <c r="AO1593" s="2">
        <v>4627.7545195614402</v>
      </c>
      <c r="AP1593" s="2">
        <v>3707.5066652222399</v>
      </c>
    </row>
    <row r="1594" spans="1:42" ht="14.5" x14ac:dyDescent="0.35">
      <c r="A1594" s="2" t="s">
        <v>10761</v>
      </c>
      <c r="B1594" s="2">
        <v>719.31015047192</v>
      </c>
      <c r="C1594" s="2">
        <v>10.1084333333333</v>
      </c>
      <c r="D1594" s="2" t="s">
        <v>70</v>
      </c>
      <c r="E1594" s="2" t="s">
        <v>10762</v>
      </c>
      <c r="F1594" s="2">
        <v>62407</v>
      </c>
      <c r="G1594" s="3" t="str">
        <f>HYPERLINK("http://funmeta.oebiotech.com/network/62407", "http://funmeta.oebiotech.com/network/62407")</f>
        <v>http://funmeta.oebiotech.com/network/62407</v>
      </c>
      <c r="H1594" s="2" t="s">
        <v>10763</v>
      </c>
      <c r="I1594" s="2">
        <v>93701</v>
      </c>
      <c r="J1594" s="2"/>
      <c r="K1594" s="2">
        <v>175631</v>
      </c>
      <c r="L1594" s="2"/>
      <c r="M1594" s="2"/>
      <c r="N1594" s="2"/>
      <c r="O1594" s="2">
        <v>14213485</v>
      </c>
      <c r="P1594" s="2" t="s">
        <v>10764</v>
      </c>
      <c r="Q1594" s="2" t="s">
        <v>10765</v>
      </c>
      <c r="R1594" s="2" t="s">
        <v>10766</v>
      </c>
      <c r="S1594" s="2" t="s">
        <v>115</v>
      </c>
      <c r="T1594" s="2" t="s">
        <v>1384</v>
      </c>
      <c r="U1594" s="2" t="s">
        <v>10767</v>
      </c>
      <c r="V1594" s="2" t="s">
        <v>59</v>
      </c>
      <c r="W1594" s="2">
        <v>40.1</v>
      </c>
      <c r="X1594" s="2">
        <v>17.399999999999999</v>
      </c>
      <c r="Y1594" s="2" t="s">
        <v>560</v>
      </c>
      <c r="Z1594" s="2" t="s">
        <v>10768</v>
      </c>
      <c r="AA1594" s="2">
        <v>3.9565072418126701</v>
      </c>
      <c r="AB1594" s="2">
        <v>0.50464301202284501</v>
      </c>
      <c r="AC1594" s="2">
        <v>98839.398580672001</v>
      </c>
      <c r="AD1594" s="2">
        <v>116841.45137703299</v>
      </c>
      <c r="AE1594" s="2">
        <v>97494.355015509194</v>
      </c>
      <c r="AF1594" s="2">
        <v>93702.565756959506</v>
      </c>
      <c r="AG1594" s="2">
        <v>94266.368422819505</v>
      </c>
      <c r="AH1594" s="2">
        <v>101361.166114191</v>
      </c>
      <c r="AI1594" s="2">
        <v>104096.08212262701</v>
      </c>
      <c r="AJ1594" s="2">
        <v>102115.854051926</v>
      </c>
      <c r="AK1594" s="2">
        <v>122886.15489345</v>
      </c>
      <c r="AL1594" s="2">
        <v>114068.540481238</v>
      </c>
      <c r="AM1594" s="2">
        <v>114611.47698483701</v>
      </c>
      <c r="AN1594" s="2">
        <v>113849.834266989</v>
      </c>
      <c r="AO1594" s="2">
        <v>120444.27662312701</v>
      </c>
      <c r="AP1594" s="2">
        <v>115188.425012557</v>
      </c>
    </row>
    <row r="1595" spans="1:42" ht="14.5" x14ac:dyDescent="0.35">
      <c r="A1595" s="2" t="s">
        <v>10769</v>
      </c>
      <c r="B1595" s="2">
        <v>649.19789503203697</v>
      </c>
      <c r="C1595" s="2">
        <v>3.4080166666666698</v>
      </c>
      <c r="D1595" s="2" t="s">
        <v>70</v>
      </c>
      <c r="E1595" s="2" t="s">
        <v>10770</v>
      </c>
      <c r="F1595" s="2">
        <v>58672</v>
      </c>
      <c r="G1595" s="3" t="str">
        <f>HYPERLINK("http://funmeta.oebiotech.com/network/58672", "http://funmeta.oebiotech.com/network/58672")</f>
        <v>http://funmeta.oebiotech.com/network/58672</v>
      </c>
      <c r="H1595" s="2" t="s">
        <v>10771</v>
      </c>
      <c r="I1595" s="2">
        <v>90133</v>
      </c>
      <c r="J1595" s="2"/>
      <c r="K1595" s="2"/>
      <c r="L1595" s="2"/>
      <c r="M1595" s="2"/>
      <c r="N1595" s="2"/>
      <c r="O1595" s="2">
        <v>131751608</v>
      </c>
      <c r="P1595" s="2"/>
      <c r="Q1595" s="2" t="s">
        <v>10772</v>
      </c>
      <c r="R1595" s="2" t="s">
        <v>10773</v>
      </c>
      <c r="S1595" s="2" t="s">
        <v>79</v>
      </c>
      <c r="T1595" s="2" t="s">
        <v>80</v>
      </c>
      <c r="U1595" s="2" t="s">
        <v>81</v>
      </c>
      <c r="V1595" s="2" t="s">
        <v>59</v>
      </c>
      <c r="W1595" s="2">
        <v>41.5</v>
      </c>
      <c r="X1595" s="2">
        <v>21</v>
      </c>
      <c r="Y1595" s="2" t="s">
        <v>118</v>
      </c>
      <c r="Z1595" s="2" t="s">
        <v>10774</v>
      </c>
      <c r="AA1595" s="2">
        <v>-0.98877415150811798</v>
      </c>
      <c r="AB1595" s="2">
        <v>0.50457756356764605</v>
      </c>
      <c r="AC1595" s="2">
        <v>53914.694679896798</v>
      </c>
      <c r="AD1595" s="2">
        <v>33831.102988782099</v>
      </c>
      <c r="AE1595" s="2">
        <v>69489.7642761108</v>
      </c>
      <c r="AF1595" s="2">
        <v>42467.756290517602</v>
      </c>
      <c r="AG1595" s="2">
        <v>54269.217802171603</v>
      </c>
      <c r="AH1595" s="2">
        <v>51247.513361941797</v>
      </c>
      <c r="AI1595" s="2">
        <v>49328.281610621903</v>
      </c>
      <c r="AJ1595" s="2">
        <v>56685.634738016801</v>
      </c>
      <c r="AK1595" s="2">
        <v>29352.333603996802</v>
      </c>
      <c r="AL1595" s="2">
        <v>35588.4356115587</v>
      </c>
      <c r="AM1595" s="2">
        <v>37562.459451721697</v>
      </c>
      <c r="AN1595" s="2">
        <v>33078.785189469803</v>
      </c>
      <c r="AO1595" s="2">
        <v>26526.064429820501</v>
      </c>
      <c r="AP1595" s="2">
        <v>40878.539646125202</v>
      </c>
    </row>
    <row r="1596" spans="1:42" ht="14.5" x14ac:dyDescent="0.35">
      <c r="A1596" s="2" t="s">
        <v>10775</v>
      </c>
      <c r="B1596" s="2">
        <v>1003.36575470132</v>
      </c>
      <c r="C1596" s="2">
        <v>3.7494000000000001</v>
      </c>
      <c r="D1596" s="2" t="s">
        <v>70</v>
      </c>
      <c r="E1596" s="2" t="s">
        <v>10776</v>
      </c>
      <c r="F1596" s="2">
        <v>213439</v>
      </c>
      <c r="G1596" s="3" t="str">
        <f>HYPERLINK("http://funmeta.oebiotech.com/network/213439", "http://funmeta.oebiotech.com/network/213439")</f>
        <v>http://funmeta.oebiotech.com/network/213439</v>
      </c>
      <c r="H1596" s="2" t="s">
        <v>10777</v>
      </c>
      <c r="I1596" s="2"/>
      <c r="J1596" s="2"/>
      <c r="K1596" s="2"/>
      <c r="L1596" s="2"/>
      <c r="M1596" s="2"/>
      <c r="N1596" s="2"/>
      <c r="O1596" s="2">
        <v>181784</v>
      </c>
      <c r="P1596" s="2"/>
      <c r="Q1596" s="2" t="s">
        <v>10778</v>
      </c>
      <c r="R1596" s="2" t="s">
        <v>10779</v>
      </c>
      <c r="S1596" s="2" t="s">
        <v>89</v>
      </c>
      <c r="T1596" s="2" t="s">
        <v>90</v>
      </c>
      <c r="U1596" s="2" t="s">
        <v>99</v>
      </c>
      <c r="V1596" s="2" t="s">
        <v>59</v>
      </c>
      <c r="W1596" s="2">
        <v>36.700000000000003</v>
      </c>
      <c r="X1596" s="2">
        <v>0</v>
      </c>
      <c r="Y1596" s="2" t="s">
        <v>560</v>
      </c>
      <c r="Z1596" s="2" t="s">
        <v>10780</v>
      </c>
      <c r="AA1596" s="2">
        <v>2.5508441701826001</v>
      </c>
      <c r="AB1596" s="2">
        <v>0.504403366426602</v>
      </c>
      <c r="AC1596" s="2">
        <v>22447.439024320101</v>
      </c>
      <c r="AD1596" s="2">
        <v>5199.7085624788097</v>
      </c>
      <c r="AE1596" s="2">
        <v>23262.566263127999</v>
      </c>
      <c r="AF1596" s="2">
        <v>19375.778926651099</v>
      </c>
      <c r="AG1596" s="2">
        <v>22291.900125708798</v>
      </c>
      <c r="AH1596" s="2">
        <v>21387.070059100599</v>
      </c>
      <c r="AI1596" s="2">
        <v>19891.344033764599</v>
      </c>
      <c r="AJ1596" s="2">
        <v>28475.974737567401</v>
      </c>
      <c r="AK1596" s="2">
        <v>3899.4297368232401</v>
      </c>
      <c r="AL1596" s="2">
        <v>4515.8312523355899</v>
      </c>
      <c r="AM1596" s="2">
        <v>6323.7303671617601</v>
      </c>
      <c r="AN1596" s="2">
        <v>6154.1608962006903</v>
      </c>
      <c r="AO1596" s="2">
        <v>3907.61918557543</v>
      </c>
      <c r="AP1596" s="2">
        <v>6397.4799367761498</v>
      </c>
    </row>
    <row r="1597" spans="1:42" ht="14.5" x14ac:dyDescent="0.35">
      <c r="A1597" s="2" t="s">
        <v>10781</v>
      </c>
      <c r="B1597" s="2">
        <v>639.37488672071299</v>
      </c>
      <c r="C1597" s="2">
        <v>9.9967166666666696</v>
      </c>
      <c r="D1597" s="2" t="s">
        <v>70</v>
      </c>
      <c r="E1597" s="2" t="s">
        <v>10782</v>
      </c>
      <c r="F1597" s="2">
        <v>256615</v>
      </c>
      <c r="G1597" s="3" t="str">
        <f>HYPERLINK("http://funmeta.oebiotech.com/network/256615", "http://funmeta.oebiotech.com/network/256615")</f>
        <v>http://funmeta.oebiotech.com/network/256615</v>
      </c>
      <c r="H1597" s="2" t="s">
        <v>10783</v>
      </c>
      <c r="I1597" s="2"/>
      <c r="J1597" s="2"/>
      <c r="K1597" s="2"/>
      <c r="L1597" s="2"/>
      <c r="M1597" s="2"/>
      <c r="N1597" s="2"/>
      <c r="O1597" s="2">
        <v>73800785</v>
      </c>
      <c r="P1597" s="2"/>
      <c r="Q1597" s="2" t="s">
        <v>10784</v>
      </c>
      <c r="R1597" s="2" t="s">
        <v>10785</v>
      </c>
      <c r="S1597" s="2" t="s">
        <v>50</v>
      </c>
      <c r="T1597" s="2" t="s">
        <v>124</v>
      </c>
      <c r="U1597" s="2" t="s">
        <v>523</v>
      </c>
      <c r="V1597" s="2" t="s">
        <v>59</v>
      </c>
      <c r="W1597" s="2">
        <v>39.299999999999997</v>
      </c>
      <c r="X1597" s="2">
        <v>0</v>
      </c>
      <c r="Y1597" s="2" t="s">
        <v>408</v>
      </c>
      <c r="Z1597" s="2" t="s">
        <v>10786</v>
      </c>
      <c r="AA1597" s="2">
        <v>-0.16733006687294899</v>
      </c>
      <c r="AB1597" s="2">
        <v>0.50391017754024403</v>
      </c>
      <c r="AC1597" s="2">
        <v>12996.488468137</v>
      </c>
      <c r="AD1597" s="2">
        <v>29892.403752228802</v>
      </c>
      <c r="AE1597" s="2">
        <v>12289.2429547869</v>
      </c>
      <c r="AF1597" s="2">
        <v>14213.706994734201</v>
      </c>
      <c r="AG1597" s="2">
        <v>12146.5679658515</v>
      </c>
      <c r="AH1597" s="2">
        <v>12979.334507378</v>
      </c>
      <c r="AI1597" s="2">
        <v>12918.379203508301</v>
      </c>
      <c r="AJ1597" s="2">
        <v>13431.6991825634</v>
      </c>
      <c r="AK1597" s="2">
        <v>31516.949471610202</v>
      </c>
      <c r="AL1597" s="2">
        <v>29360.127717825999</v>
      </c>
      <c r="AM1597" s="2">
        <v>30335.462611527098</v>
      </c>
      <c r="AN1597" s="2">
        <v>31403.8488262514</v>
      </c>
      <c r="AO1597" s="2">
        <v>25978.478759105001</v>
      </c>
      <c r="AP1597" s="2">
        <v>30759.555127052899</v>
      </c>
    </row>
    <row r="1598" spans="1:42" ht="14.5" x14ac:dyDescent="0.35">
      <c r="A1598" s="2" t="s">
        <v>10787</v>
      </c>
      <c r="B1598" s="2">
        <v>319.04757688402498</v>
      </c>
      <c r="C1598" s="2">
        <v>1.5714333333333299</v>
      </c>
      <c r="D1598" s="2" t="s">
        <v>34</v>
      </c>
      <c r="E1598" s="2" t="s">
        <v>10788</v>
      </c>
      <c r="F1598" s="2">
        <v>81995</v>
      </c>
      <c r="G1598" s="3" t="str">
        <f>HYPERLINK("http://funmeta.oebiotech.com/network/81995", "http://funmeta.oebiotech.com/network/81995")</f>
        <v>http://funmeta.oebiotech.com/network/81995</v>
      </c>
      <c r="H1598" s="2" t="s">
        <v>10789</v>
      </c>
      <c r="I1598" s="2"/>
      <c r="J1598" s="2"/>
      <c r="K1598" s="2">
        <v>88681</v>
      </c>
      <c r="L1598" s="2"/>
      <c r="M1598" s="2"/>
      <c r="N1598" s="2"/>
      <c r="O1598" s="2">
        <v>124202066</v>
      </c>
      <c r="P1598" s="2"/>
      <c r="Q1598" s="2" t="s">
        <v>10790</v>
      </c>
      <c r="R1598" s="2" t="s">
        <v>10791</v>
      </c>
      <c r="S1598" s="2" t="s">
        <v>148</v>
      </c>
      <c r="T1598" s="2" t="s">
        <v>392</v>
      </c>
      <c r="U1598" s="2" t="s">
        <v>2045</v>
      </c>
      <c r="V1598" s="2" t="s">
        <v>59</v>
      </c>
      <c r="W1598" s="2">
        <v>42.3</v>
      </c>
      <c r="X1598" s="2">
        <v>18.600000000000001</v>
      </c>
      <c r="Y1598" s="2" t="s">
        <v>141</v>
      </c>
      <c r="Z1598" s="2" t="s">
        <v>10792</v>
      </c>
      <c r="AA1598" s="2">
        <v>-1.8983850070525301</v>
      </c>
      <c r="AB1598" s="2">
        <v>0.50349999858204397</v>
      </c>
      <c r="AC1598" s="2">
        <v>47243.056142879097</v>
      </c>
      <c r="AD1598" s="2">
        <v>64441.792172472597</v>
      </c>
      <c r="AE1598" s="2">
        <v>47141.444943121402</v>
      </c>
      <c r="AF1598" s="2">
        <v>44620.338734686302</v>
      </c>
      <c r="AG1598" s="2">
        <v>44669.759637420197</v>
      </c>
      <c r="AH1598" s="2">
        <v>45256.128628844497</v>
      </c>
      <c r="AI1598" s="2">
        <v>50309.018046210702</v>
      </c>
      <c r="AJ1598" s="2">
        <v>51461.646866991599</v>
      </c>
      <c r="AK1598" s="2">
        <v>63133.876834608403</v>
      </c>
      <c r="AL1598" s="2">
        <v>63387.206023709303</v>
      </c>
      <c r="AM1598" s="2">
        <v>62603.733842988797</v>
      </c>
      <c r="AN1598" s="2">
        <v>63631.166377096597</v>
      </c>
      <c r="AO1598" s="2">
        <v>65756.323732409306</v>
      </c>
      <c r="AP1598" s="2">
        <v>68138.446224023006</v>
      </c>
    </row>
    <row r="1599" spans="1:42" ht="14.5" x14ac:dyDescent="0.35">
      <c r="A1599" s="2" t="s">
        <v>10793</v>
      </c>
      <c r="B1599" s="2">
        <v>581.22064514892099</v>
      </c>
      <c r="C1599" s="2">
        <v>5.5617999999999999</v>
      </c>
      <c r="D1599" s="2" t="s">
        <v>70</v>
      </c>
      <c r="E1599" s="2" t="s">
        <v>10794</v>
      </c>
      <c r="F1599" s="2">
        <v>13</v>
      </c>
      <c r="G1599" s="3" t="str">
        <f>HYPERLINK("http://funmeta.oebiotech.com/network/13", "http://funmeta.oebiotech.com/network/13")</f>
        <v>http://funmeta.oebiotech.com/network/13</v>
      </c>
      <c r="H1599" s="2"/>
      <c r="I1599" s="2">
        <v>96746</v>
      </c>
      <c r="J1599" s="2" t="s">
        <v>10795</v>
      </c>
      <c r="K1599" s="2"/>
      <c r="L1599" s="2"/>
      <c r="M1599" s="2"/>
      <c r="N1599" s="2"/>
      <c r="O1599" s="2">
        <v>56935790</v>
      </c>
      <c r="P1599" s="2"/>
      <c r="Q1599" s="2" t="s">
        <v>10796</v>
      </c>
      <c r="R1599" s="2" t="s">
        <v>10797</v>
      </c>
      <c r="S1599" s="2" t="s">
        <v>89</v>
      </c>
      <c r="T1599" s="2" t="s">
        <v>1773</v>
      </c>
      <c r="U1599" s="2" t="s">
        <v>1774</v>
      </c>
      <c r="V1599" s="2" t="s">
        <v>59</v>
      </c>
      <c r="W1599" s="2">
        <v>36.700000000000003</v>
      </c>
      <c r="X1599" s="2">
        <v>15.6</v>
      </c>
      <c r="Y1599" s="2" t="s">
        <v>286</v>
      </c>
      <c r="Z1599" s="2" t="s">
        <v>10798</v>
      </c>
      <c r="AA1599" s="2">
        <v>-3.7219875989948799</v>
      </c>
      <c r="AB1599" s="2">
        <v>0.50322118279669603</v>
      </c>
      <c r="AC1599" s="2">
        <v>104793.46551294099</v>
      </c>
      <c r="AD1599" s="2">
        <v>86847.8339350264</v>
      </c>
      <c r="AE1599" s="2">
        <v>108502.46064819999</v>
      </c>
      <c r="AF1599" s="2">
        <v>98431.4528097156</v>
      </c>
      <c r="AG1599" s="2">
        <v>106031.084448697</v>
      </c>
      <c r="AH1599" s="2">
        <v>105424.91859877401</v>
      </c>
      <c r="AI1599" s="2">
        <v>100089.085963028</v>
      </c>
      <c r="AJ1599" s="2">
        <v>110281.79060923</v>
      </c>
      <c r="AK1599" s="2">
        <v>82853.950654865301</v>
      </c>
      <c r="AL1599" s="2">
        <v>87801.359300202093</v>
      </c>
      <c r="AM1599" s="2">
        <v>92384.715973090904</v>
      </c>
      <c r="AN1599" s="2">
        <v>83669.598976712194</v>
      </c>
      <c r="AO1599" s="2">
        <v>86708.314681015894</v>
      </c>
      <c r="AP1599" s="2">
        <v>87669.064024272302</v>
      </c>
    </row>
    <row r="1600" spans="1:42" ht="14.5" x14ac:dyDescent="0.35">
      <c r="A1600" s="2" t="s">
        <v>10799</v>
      </c>
      <c r="B1600" s="2">
        <v>743.14649469524898</v>
      </c>
      <c r="C1600" s="2">
        <v>4.7218999999999998</v>
      </c>
      <c r="D1600" s="2" t="s">
        <v>70</v>
      </c>
      <c r="E1600" s="2" t="s">
        <v>10800</v>
      </c>
      <c r="F1600" s="2">
        <v>30662</v>
      </c>
      <c r="G1600" s="3" t="str">
        <f>HYPERLINK("http://funmeta.oebiotech.com/network/30662", "http://funmeta.oebiotech.com/network/30662")</f>
        <v>http://funmeta.oebiotech.com/network/30662</v>
      </c>
      <c r="H1600" s="2"/>
      <c r="I1600" s="2"/>
      <c r="J1600" s="2" t="s">
        <v>10801</v>
      </c>
      <c r="K1600" s="2"/>
      <c r="L1600" s="2"/>
      <c r="M1600" s="2"/>
      <c r="N1600" s="2"/>
      <c r="O1600" s="2">
        <v>101133681</v>
      </c>
      <c r="P1600" s="2"/>
      <c r="Q1600" s="2" t="s">
        <v>10802</v>
      </c>
      <c r="R1600" s="2" t="s">
        <v>10803</v>
      </c>
      <c r="S1600" s="2" t="s">
        <v>115</v>
      </c>
      <c r="T1600" s="2" t="s">
        <v>139</v>
      </c>
      <c r="U1600" s="2" t="s">
        <v>140</v>
      </c>
      <c r="V1600" s="2" t="s">
        <v>59</v>
      </c>
      <c r="W1600" s="2">
        <v>39</v>
      </c>
      <c r="X1600" s="2">
        <v>0</v>
      </c>
      <c r="Y1600" s="2" t="s">
        <v>751</v>
      </c>
      <c r="Z1600" s="2" t="s">
        <v>10804</v>
      </c>
      <c r="AA1600" s="2">
        <v>-1.0058632361438599E-2</v>
      </c>
      <c r="AB1600" s="2">
        <v>0.50321905660663702</v>
      </c>
      <c r="AC1600" s="2">
        <v>49821.854001338499</v>
      </c>
      <c r="AD1600" s="2">
        <v>31868.757956920901</v>
      </c>
      <c r="AE1600" s="2">
        <v>50057.525204862897</v>
      </c>
      <c r="AF1600" s="2">
        <v>46092.611804462002</v>
      </c>
      <c r="AG1600" s="2">
        <v>48015.836217311597</v>
      </c>
      <c r="AH1600" s="2">
        <v>45064.113446323398</v>
      </c>
      <c r="AI1600" s="2">
        <v>50136.703274311498</v>
      </c>
      <c r="AJ1600" s="2">
        <v>59564.3340607594</v>
      </c>
      <c r="AK1600" s="2">
        <v>31147.098309995901</v>
      </c>
      <c r="AL1600" s="2">
        <v>28515.558179272899</v>
      </c>
      <c r="AM1600" s="2">
        <v>33118.068698359399</v>
      </c>
      <c r="AN1600" s="2">
        <v>31025.484018970001</v>
      </c>
      <c r="AO1600" s="2">
        <v>32700.837201005299</v>
      </c>
      <c r="AP1600" s="2">
        <v>34705.501333922002</v>
      </c>
    </row>
    <row r="1601" spans="1:42" ht="14.5" x14ac:dyDescent="0.35">
      <c r="A1601" s="2" t="s">
        <v>10805</v>
      </c>
      <c r="B1601" s="2">
        <v>777.13865749918398</v>
      </c>
      <c r="C1601" s="2">
        <v>3.0535666666666699</v>
      </c>
      <c r="D1601" s="2" t="s">
        <v>70</v>
      </c>
      <c r="E1601" s="2" t="s">
        <v>10806</v>
      </c>
      <c r="F1601" s="2">
        <v>48913</v>
      </c>
      <c r="G1601" s="3" t="str">
        <f>HYPERLINK("http://funmeta.oebiotech.com/network/48913", "http://funmeta.oebiotech.com/network/48913")</f>
        <v>http://funmeta.oebiotech.com/network/48913</v>
      </c>
      <c r="H1601" s="2" t="s">
        <v>10807</v>
      </c>
      <c r="I1601" s="2">
        <v>58579</v>
      </c>
      <c r="J1601" s="2"/>
      <c r="K1601" s="2">
        <v>37666</v>
      </c>
      <c r="L1601" s="2" t="s">
        <v>10808</v>
      </c>
      <c r="M1601" s="2" t="s">
        <v>10809</v>
      </c>
      <c r="N1601" s="2" t="s">
        <v>10810</v>
      </c>
      <c r="O1601" s="2">
        <v>440867</v>
      </c>
      <c r="P1601" s="2" t="s">
        <v>10811</v>
      </c>
      <c r="Q1601" s="2" t="s">
        <v>10812</v>
      </c>
      <c r="R1601" s="2" t="s">
        <v>10813</v>
      </c>
      <c r="S1601" s="2" t="s">
        <v>1444</v>
      </c>
      <c r="T1601" s="2" t="s">
        <v>4937</v>
      </c>
      <c r="U1601" s="2" t="s">
        <v>5723</v>
      </c>
      <c r="V1601" s="2" t="s">
        <v>59</v>
      </c>
      <c r="W1601" s="2">
        <v>38.200000000000003</v>
      </c>
      <c r="X1601" s="2">
        <v>0</v>
      </c>
      <c r="Y1601" s="2" t="s">
        <v>560</v>
      </c>
      <c r="Z1601" s="2" t="s">
        <v>10814</v>
      </c>
      <c r="AA1601" s="2">
        <v>-1.7532876098227901</v>
      </c>
      <c r="AB1601" s="2">
        <v>0.50225247050322097</v>
      </c>
      <c r="AC1601" s="2">
        <v>23705.853207417102</v>
      </c>
      <c r="AD1601" s="2">
        <v>41524.612086392597</v>
      </c>
      <c r="AE1601" s="2">
        <v>21658.516668295699</v>
      </c>
      <c r="AF1601" s="2">
        <v>26064.708592667801</v>
      </c>
      <c r="AG1601" s="2">
        <v>22264.5268505231</v>
      </c>
      <c r="AH1601" s="2">
        <v>21407.757539654998</v>
      </c>
      <c r="AI1601" s="2">
        <v>24376.341536096101</v>
      </c>
      <c r="AJ1601" s="2">
        <v>26463.268057264599</v>
      </c>
      <c r="AK1601" s="2">
        <v>36291.298177409801</v>
      </c>
      <c r="AL1601" s="2">
        <v>38502.517600814899</v>
      </c>
      <c r="AM1601" s="2">
        <v>40169.637713028103</v>
      </c>
      <c r="AN1601" s="2">
        <v>50994.457409902301</v>
      </c>
      <c r="AO1601" s="2">
        <v>43521.683010271103</v>
      </c>
      <c r="AP1601" s="2">
        <v>39668.078606929397</v>
      </c>
    </row>
    <row r="1602" spans="1:42" ht="14.5" x14ac:dyDescent="0.35">
      <c r="A1602" s="2" t="s">
        <v>10815</v>
      </c>
      <c r="B1602" s="2">
        <v>365.12051142483398</v>
      </c>
      <c r="C1602" s="2">
        <v>4.2619999999999996</v>
      </c>
      <c r="D1602" s="2" t="s">
        <v>34</v>
      </c>
      <c r="E1602" s="2" t="s">
        <v>10816</v>
      </c>
      <c r="F1602" s="2">
        <v>62616</v>
      </c>
      <c r="G1602" s="3" t="str">
        <f>HYPERLINK("http://funmeta.oebiotech.com/network/62616", "http://funmeta.oebiotech.com/network/62616")</f>
        <v>http://funmeta.oebiotech.com/network/62616</v>
      </c>
      <c r="H1602" s="2" t="s">
        <v>10817</v>
      </c>
      <c r="I1602" s="2">
        <v>93916</v>
      </c>
      <c r="J1602" s="2"/>
      <c r="K1602" s="2">
        <v>175342</v>
      </c>
      <c r="L1602" s="2"/>
      <c r="M1602" s="2"/>
      <c r="N1602" s="2"/>
      <c r="O1602" s="2">
        <v>131752609</v>
      </c>
      <c r="P1602" s="2" t="s">
        <v>10818</v>
      </c>
      <c r="Q1602" s="2" t="s">
        <v>10819</v>
      </c>
      <c r="R1602" s="2" t="s">
        <v>10820</v>
      </c>
      <c r="S1602" s="2" t="s">
        <v>50</v>
      </c>
      <c r="T1602" s="2" t="s">
        <v>229</v>
      </c>
      <c r="U1602" s="2" t="s">
        <v>230</v>
      </c>
      <c r="V1602" s="2" t="s">
        <v>42</v>
      </c>
      <c r="W1602" s="2">
        <v>51.6</v>
      </c>
      <c r="X1602" s="2">
        <v>61</v>
      </c>
      <c r="Y1602" s="2" t="s">
        <v>568</v>
      </c>
      <c r="Z1602" s="2" t="s">
        <v>4716</v>
      </c>
      <c r="AA1602" s="2">
        <v>-0.517102933663808</v>
      </c>
      <c r="AB1602" s="2">
        <v>0.50224380808804303</v>
      </c>
      <c r="AC1602" s="2">
        <v>230028.56220276299</v>
      </c>
      <c r="AD1602" s="2">
        <v>252854.18144468</v>
      </c>
      <c r="AE1602" s="2">
        <v>218410.65269839499</v>
      </c>
      <c r="AF1602" s="2">
        <v>214581.486098697</v>
      </c>
      <c r="AG1602" s="2">
        <v>243405.946483515</v>
      </c>
      <c r="AH1602" s="2">
        <v>236264.18592765101</v>
      </c>
      <c r="AI1602" s="2">
        <v>241389.91936468901</v>
      </c>
      <c r="AJ1602" s="2">
        <v>226119.18264363101</v>
      </c>
      <c r="AK1602" s="2">
        <v>257107.65397243699</v>
      </c>
      <c r="AL1602" s="2">
        <v>239914.96469248299</v>
      </c>
      <c r="AM1602" s="2">
        <v>253929.83640346301</v>
      </c>
      <c r="AN1602" s="2">
        <v>262644.76461139898</v>
      </c>
      <c r="AO1602" s="2">
        <v>236751.88484043401</v>
      </c>
      <c r="AP1602" s="2">
        <v>266775.984147863</v>
      </c>
    </row>
    <row r="1603" spans="1:42" ht="14.5" x14ac:dyDescent="0.35">
      <c r="A1603" s="2" t="s">
        <v>10821</v>
      </c>
      <c r="B1603" s="2">
        <v>723.43153830033998</v>
      </c>
      <c r="C1603" s="2">
        <v>11.08745</v>
      </c>
      <c r="D1603" s="2" t="s">
        <v>70</v>
      </c>
      <c r="E1603" s="2" t="s">
        <v>10822</v>
      </c>
      <c r="F1603" s="2">
        <v>82673</v>
      </c>
      <c r="G1603" s="3" t="str">
        <f>HYPERLINK("http://funmeta.oebiotech.com/network/82673", "http://funmeta.oebiotech.com/network/82673")</f>
        <v>http://funmeta.oebiotech.com/network/82673</v>
      </c>
      <c r="H1603" s="2" t="s">
        <v>10823</v>
      </c>
      <c r="I1603" s="2"/>
      <c r="J1603" s="2"/>
      <c r="K1603" s="2"/>
      <c r="L1603" s="2"/>
      <c r="M1603" s="2"/>
      <c r="N1603" s="2"/>
      <c r="O1603" s="2">
        <v>131769961</v>
      </c>
      <c r="P1603" s="2"/>
      <c r="Q1603" s="2" t="s">
        <v>10824</v>
      </c>
      <c r="R1603" s="2" t="s">
        <v>10825</v>
      </c>
      <c r="S1603" s="2" t="s">
        <v>79</v>
      </c>
      <c r="T1603" s="2" t="s">
        <v>80</v>
      </c>
      <c r="U1603" s="2" t="s">
        <v>81</v>
      </c>
      <c r="V1603" s="2" t="s">
        <v>59</v>
      </c>
      <c r="W1603" s="2">
        <v>37.5</v>
      </c>
      <c r="X1603" s="2">
        <v>0</v>
      </c>
      <c r="Y1603" s="2" t="s">
        <v>408</v>
      </c>
      <c r="Z1603" s="2" t="s">
        <v>10826</v>
      </c>
      <c r="AA1603" s="2">
        <v>4.5104084985685198</v>
      </c>
      <c r="AB1603" s="2">
        <v>0.50179831345188197</v>
      </c>
      <c r="AC1603" s="2">
        <v>33760.573667816199</v>
      </c>
      <c r="AD1603" s="2">
        <v>51406.148258800102</v>
      </c>
      <c r="AE1603" s="2">
        <v>36358.3164288318</v>
      </c>
      <c r="AF1603" s="2">
        <v>34112.645540789999</v>
      </c>
      <c r="AG1603" s="2">
        <v>32877.742819357401</v>
      </c>
      <c r="AH1603" s="2">
        <v>31721.602630480102</v>
      </c>
      <c r="AI1603" s="2">
        <v>33105.685826586603</v>
      </c>
      <c r="AJ1603" s="2">
        <v>34387.448760851497</v>
      </c>
      <c r="AK1603" s="2">
        <v>48973.769609827701</v>
      </c>
      <c r="AL1603" s="2">
        <v>43660.369308857698</v>
      </c>
      <c r="AM1603" s="2">
        <v>53021.642880541302</v>
      </c>
      <c r="AN1603" s="2">
        <v>52593.759166649797</v>
      </c>
      <c r="AO1603" s="2">
        <v>51563.304262939098</v>
      </c>
      <c r="AP1603" s="2">
        <v>58624.044323985101</v>
      </c>
    </row>
    <row r="1604" spans="1:42" ht="14.5" x14ac:dyDescent="0.35">
      <c r="A1604" s="2" t="s">
        <v>10827</v>
      </c>
      <c r="B1604" s="2">
        <v>681.28746403735397</v>
      </c>
      <c r="C1604" s="2">
        <v>7.8457166666666698</v>
      </c>
      <c r="D1604" s="2" t="s">
        <v>34</v>
      </c>
      <c r="E1604" s="2" t="s">
        <v>10828</v>
      </c>
      <c r="F1604" s="2">
        <v>35870</v>
      </c>
      <c r="G1604" s="3" t="str">
        <f>HYPERLINK("http://funmeta.oebiotech.com/network/35870", "http://funmeta.oebiotech.com/network/35870")</f>
        <v>http://funmeta.oebiotech.com/network/35870</v>
      </c>
      <c r="H1604" s="2" t="s">
        <v>10829</v>
      </c>
      <c r="I1604" s="2"/>
      <c r="J1604" s="2" t="s">
        <v>10830</v>
      </c>
      <c r="K1604" s="2">
        <v>145030</v>
      </c>
      <c r="L1604" s="2"/>
      <c r="M1604" s="2"/>
      <c r="N1604" s="2"/>
      <c r="O1604" s="2">
        <v>16401639</v>
      </c>
      <c r="P1604" s="2" t="s">
        <v>10831</v>
      </c>
      <c r="Q1604" s="2" t="s">
        <v>10832</v>
      </c>
      <c r="R1604" s="2" t="s">
        <v>10833</v>
      </c>
      <c r="S1604" s="2" t="s">
        <v>50</v>
      </c>
      <c r="T1604" s="2" t="s">
        <v>201</v>
      </c>
      <c r="U1604" s="2" t="s">
        <v>202</v>
      </c>
      <c r="V1604" s="2" t="s">
        <v>42</v>
      </c>
      <c r="W1604" s="2">
        <v>48.5</v>
      </c>
      <c r="X1604" s="2">
        <v>46.3</v>
      </c>
      <c r="Y1604" s="2" t="s">
        <v>340</v>
      </c>
      <c r="Z1604" s="2" t="s">
        <v>10834</v>
      </c>
      <c r="AA1604" s="2">
        <v>-1.3010551384928599</v>
      </c>
      <c r="AB1604" s="2">
        <v>0.50110222086297795</v>
      </c>
      <c r="AC1604" s="2">
        <v>321522.46634937002</v>
      </c>
      <c r="AD1604" s="2">
        <v>297959.59697382897</v>
      </c>
      <c r="AE1604" s="2">
        <v>335041.66600903397</v>
      </c>
      <c r="AF1604" s="2">
        <v>323004.35663662199</v>
      </c>
      <c r="AG1604" s="2">
        <v>336024.20611449098</v>
      </c>
      <c r="AH1604" s="2">
        <v>305339.22502880503</v>
      </c>
      <c r="AI1604" s="2">
        <v>301686.76837186702</v>
      </c>
      <c r="AJ1604" s="2">
        <v>328038.57593540399</v>
      </c>
      <c r="AK1604" s="2">
        <v>276778.09541678702</v>
      </c>
      <c r="AL1604" s="2">
        <v>296124.33253947803</v>
      </c>
      <c r="AM1604" s="2">
        <v>301058.41833399201</v>
      </c>
      <c r="AN1604" s="2">
        <v>305579.34208634798</v>
      </c>
      <c r="AO1604" s="2">
        <v>311886.262867969</v>
      </c>
      <c r="AP1604" s="2">
        <v>296331.13059839897</v>
      </c>
    </row>
    <row r="1605" spans="1:42" ht="14.5" x14ac:dyDescent="0.35">
      <c r="A1605" s="2" t="s">
        <v>10835</v>
      </c>
      <c r="B1605" s="2">
        <v>479.19235225521498</v>
      </c>
      <c r="C1605" s="2">
        <v>5.0778999999999996</v>
      </c>
      <c r="D1605" s="2" t="s">
        <v>70</v>
      </c>
      <c r="E1605" s="2" t="s">
        <v>10836</v>
      </c>
      <c r="F1605" s="2">
        <v>57863</v>
      </c>
      <c r="G1605" s="3" t="str">
        <f>HYPERLINK("http://funmeta.oebiotech.com/network/57863", "http://funmeta.oebiotech.com/network/57863")</f>
        <v>http://funmeta.oebiotech.com/network/57863</v>
      </c>
      <c r="H1605" s="2" t="s">
        <v>10837</v>
      </c>
      <c r="I1605" s="2">
        <v>89452</v>
      </c>
      <c r="J1605" s="2"/>
      <c r="K1605" s="2"/>
      <c r="L1605" s="2"/>
      <c r="M1605" s="2"/>
      <c r="N1605" s="2"/>
      <c r="O1605" s="2">
        <v>131751474</v>
      </c>
      <c r="P1605" s="2" t="s">
        <v>10838</v>
      </c>
      <c r="Q1605" s="2" t="s">
        <v>10839</v>
      </c>
      <c r="R1605" s="2" t="s">
        <v>10840</v>
      </c>
      <c r="S1605" s="2" t="s">
        <v>89</v>
      </c>
      <c r="T1605" s="2" t="s">
        <v>90</v>
      </c>
      <c r="U1605" s="2" t="s">
        <v>1248</v>
      </c>
      <c r="V1605" s="2" t="s">
        <v>59</v>
      </c>
      <c r="W1605" s="2">
        <v>39.299999999999997</v>
      </c>
      <c r="X1605" s="2">
        <v>4.6100000000000003</v>
      </c>
      <c r="Y1605" s="2" t="s">
        <v>286</v>
      </c>
      <c r="Z1605" s="2" t="s">
        <v>10841</v>
      </c>
      <c r="AA1605" s="2">
        <v>0.16964900310630601</v>
      </c>
      <c r="AB1605" s="2">
        <v>0.50071974159469801</v>
      </c>
      <c r="AC1605" s="2">
        <v>82579.6357227236</v>
      </c>
      <c r="AD1605" s="2">
        <v>63950.818539199499</v>
      </c>
      <c r="AE1605" s="2">
        <v>77864.141997556799</v>
      </c>
      <c r="AF1605" s="2">
        <v>82903.728046437202</v>
      </c>
      <c r="AG1605" s="2">
        <v>90674.958451703496</v>
      </c>
      <c r="AH1605" s="2">
        <v>75662.925665499701</v>
      </c>
      <c r="AI1605" s="2">
        <v>78053.452435731102</v>
      </c>
      <c r="AJ1605" s="2">
        <v>90318.607739413404</v>
      </c>
      <c r="AK1605" s="2">
        <v>70199.474502784302</v>
      </c>
      <c r="AL1605" s="2">
        <v>62946.363033390197</v>
      </c>
      <c r="AM1605" s="2">
        <v>62092.468804242497</v>
      </c>
      <c r="AN1605" s="2">
        <v>60945.914571891597</v>
      </c>
      <c r="AO1605" s="2">
        <v>59204.759639236698</v>
      </c>
      <c r="AP1605" s="2">
        <v>68315.930683651706</v>
      </c>
    </row>
    <row r="1606" spans="1:42" ht="14.5" x14ac:dyDescent="0.35">
      <c r="A1606" s="2" t="s">
        <v>10842</v>
      </c>
      <c r="B1606" s="2">
        <v>327.217421676181</v>
      </c>
      <c r="C1606" s="2">
        <v>6.6499833333333296</v>
      </c>
      <c r="D1606" s="2" t="s">
        <v>70</v>
      </c>
      <c r="E1606" s="2" t="s">
        <v>10843</v>
      </c>
      <c r="F1606" s="2">
        <v>534695</v>
      </c>
      <c r="G1606" s="3" t="str">
        <f>HYPERLINK("http://funmeta.oebiotech.com/network/534695", "http://funmeta.oebiotech.com/network/534695")</f>
        <v>http://funmeta.oebiotech.com/network/534695</v>
      </c>
      <c r="H1606" s="2"/>
      <c r="I1606" s="2">
        <v>985181</v>
      </c>
      <c r="J1606" s="2"/>
      <c r="K1606" s="2"/>
      <c r="L1606" s="2"/>
      <c r="M1606" s="2"/>
      <c r="N1606" s="2"/>
      <c r="O1606" s="2">
        <v>23872026</v>
      </c>
      <c r="P1606" s="2"/>
      <c r="Q1606" s="2" t="s">
        <v>10844</v>
      </c>
      <c r="R1606" s="2" t="s">
        <v>10845</v>
      </c>
      <c r="S1606" s="2" t="s">
        <v>50</v>
      </c>
      <c r="T1606" s="2" t="s">
        <v>229</v>
      </c>
      <c r="U1606" s="2" t="s">
        <v>1360</v>
      </c>
      <c r="V1606" s="2" t="s">
        <v>42</v>
      </c>
      <c r="W1606" s="2">
        <v>49.3</v>
      </c>
      <c r="X1606" s="2">
        <v>51.8</v>
      </c>
      <c r="Y1606" s="2" t="s">
        <v>118</v>
      </c>
      <c r="Z1606" s="2" t="s">
        <v>6809</v>
      </c>
      <c r="AA1606" s="2">
        <v>-0.84093497127111905</v>
      </c>
      <c r="AB1606" s="2">
        <v>0.49975320238797999</v>
      </c>
      <c r="AC1606" s="2">
        <v>44461.071235006602</v>
      </c>
      <c r="AD1606" s="2">
        <v>27883.068752640102</v>
      </c>
      <c r="AE1606" s="2">
        <v>45818.620863802098</v>
      </c>
      <c r="AF1606" s="2">
        <v>44692.425378535198</v>
      </c>
      <c r="AG1606" s="2">
        <v>42170.273465540398</v>
      </c>
      <c r="AH1606" s="2">
        <v>46444.5681747899</v>
      </c>
      <c r="AI1606" s="2">
        <v>43786.764248111198</v>
      </c>
      <c r="AJ1606" s="2">
        <v>43853.775279260801</v>
      </c>
      <c r="AK1606" s="2">
        <v>28647.650908618099</v>
      </c>
      <c r="AL1606" s="2">
        <v>29179.322922718799</v>
      </c>
      <c r="AM1606" s="2">
        <v>29043.844757624898</v>
      </c>
      <c r="AN1606" s="2">
        <v>27652.989500225802</v>
      </c>
      <c r="AO1606" s="2">
        <v>26242.351590803901</v>
      </c>
      <c r="AP1606" s="2">
        <v>26532.252835849202</v>
      </c>
    </row>
    <row r="1607" spans="1:42" ht="14.5" x14ac:dyDescent="0.35">
      <c r="A1607" s="2" t="s">
        <v>10846</v>
      </c>
      <c r="B1607" s="2">
        <v>593.21787783721697</v>
      </c>
      <c r="C1607" s="2">
        <v>5.3579833333333298</v>
      </c>
      <c r="D1607" s="2" t="s">
        <v>70</v>
      </c>
      <c r="E1607" s="2" t="s">
        <v>10847</v>
      </c>
      <c r="F1607" s="2">
        <v>53287</v>
      </c>
      <c r="G1607" s="3" t="str">
        <f>HYPERLINK("http://funmeta.oebiotech.com/network/53287", "http://funmeta.oebiotech.com/network/53287")</f>
        <v>http://funmeta.oebiotech.com/network/53287</v>
      </c>
      <c r="H1607" s="2" t="s">
        <v>10848</v>
      </c>
      <c r="I1607" s="2">
        <v>43281</v>
      </c>
      <c r="J1607" s="2"/>
      <c r="K1607" s="2">
        <v>28368</v>
      </c>
      <c r="L1607" s="2" t="s">
        <v>10849</v>
      </c>
      <c r="M1607" s="2" t="s">
        <v>10850</v>
      </c>
      <c r="N1607" s="2" t="s">
        <v>10851</v>
      </c>
      <c r="O1607" s="2">
        <v>54675769</v>
      </c>
      <c r="P1607" s="2" t="s">
        <v>10852</v>
      </c>
      <c r="Q1607" s="2" t="s">
        <v>10853</v>
      </c>
      <c r="R1607" s="2" t="s">
        <v>10854</v>
      </c>
      <c r="S1607" s="2" t="s">
        <v>115</v>
      </c>
      <c r="T1607" s="2" t="s">
        <v>758</v>
      </c>
      <c r="U1607" s="2" t="s">
        <v>759</v>
      </c>
      <c r="V1607" s="2" t="s">
        <v>59</v>
      </c>
      <c r="W1607" s="2">
        <v>36</v>
      </c>
      <c r="X1607" s="2">
        <v>0</v>
      </c>
      <c r="Y1607" s="2" t="s">
        <v>751</v>
      </c>
      <c r="Z1607" s="2" t="s">
        <v>10855</v>
      </c>
      <c r="AA1607" s="2">
        <v>6.2214626109768698</v>
      </c>
      <c r="AB1607" s="2">
        <v>0.49951863292771598</v>
      </c>
      <c r="AC1607" s="2">
        <v>40298.888685919199</v>
      </c>
      <c r="AD1607" s="2">
        <v>23280.2045429545</v>
      </c>
      <c r="AE1607" s="2">
        <v>39415.649560735001</v>
      </c>
      <c r="AF1607" s="2">
        <v>41743.923848652099</v>
      </c>
      <c r="AG1607" s="2">
        <v>40277.870074437698</v>
      </c>
      <c r="AH1607" s="2">
        <v>36994.750055850702</v>
      </c>
      <c r="AI1607" s="2">
        <v>40320.763932788999</v>
      </c>
      <c r="AJ1607" s="2">
        <v>43040.3746430506</v>
      </c>
      <c r="AK1607" s="2">
        <v>23238.519477020101</v>
      </c>
      <c r="AL1607" s="2">
        <v>22586.380780851199</v>
      </c>
      <c r="AM1607" s="2">
        <v>22380.754450775799</v>
      </c>
      <c r="AN1607" s="2">
        <v>29235.355415919701</v>
      </c>
      <c r="AO1607" s="2">
        <v>20927.775096704499</v>
      </c>
      <c r="AP1607" s="2">
        <v>21312.442036455701</v>
      </c>
    </row>
    <row r="1608" spans="1:42" ht="14.5" x14ac:dyDescent="0.35">
      <c r="A1608" s="2" t="s">
        <v>10856</v>
      </c>
      <c r="B1608" s="2">
        <v>665.02978794271496</v>
      </c>
      <c r="C1608" s="2">
        <v>2.9974166666666702</v>
      </c>
      <c r="D1608" s="2" t="s">
        <v>70</v>
      </c>
      <c r="E1608" s="2" t="s">
        <v>10857</v>
      </c>
      <c r="F1608" s="2">
        <v>61816</v>
      </c>
      <c r="G1608" s="3" t="str">
        <f>HYPERLINK("http://funmeta.oebiotech.com/network/61816", "http://funmeta.oebiotech.com/network/61816")</f>
        <v>http://funmeta.oebiotech.com/network/61816</v>
      </c>
      <c r="H1608" s="2" t="s">
        <v>10858</v>
      </c>
      <c r="I1608" s="2"/>
      <c r="J1608" s="2"/>
      <c r="K1608" s="2">
        <v>5399</v>
      </c>
      <c r="L1608" s="2" t="s">
        <v>10859</v>
      </c>
      <c r="M1608" s="2"/>
      <c r="N1608" s="2"/>
      <c r="O1608" s="2">
        <v>9573942</v>
      </c>
      <c r="P1608" s="2" t="s">
        <v>10860</v>
      </c>
      <c r="Q1608" s="2" t="s">
        <v>10861</v>
      </c>
      <c r="R1608" s="2" t="s">
        <v>10862</v>
      </c>
      <c r="S1608" s="2" t="s">
        <v>79</v>
      </c>
      <c r="T1608" s="2" t="s">
        <v>80</v>
      </c>
      <c r="U1608" s="2" t="s">
        <v>81</v>
      </c>
      <c r="V1608" s="2" t="s">
        <v>59</v>
      </c>
      <c r="W1608" s="2">
        <v>40.5</v>
      </c>
      <c r="X1608" s="2">
        <v>19.100000000000001</v>
      </c>
      <c r="Y1608" s="2" t="s">
        <v>560</v>
      </c>
      <c r="Z1608" s="2" t="s">
        <v>10863</v>
      </c>
      <c r="AA1608" s="2">
        <v>-0.87344772194429898</v>
      </c>
      <c r="AB1608" s="2">
        <v>0.49878221519927302</v>
      </c>
      <c r="AC1608" s="2">
        <v>165833.20782759</v>
      </c>
      <c r="AD1608" s="2">
        <v>185032.09958051401</v>
      </c>
      <c r="AE1608" s="2">
        <v>171112.65236202901</v>
      </c>
      <c r="AF1608" s="2">
        <v>162895.77372971599</v>
      </c>
      <c r="AG1608" s="2">
        <v>162063.58106738201</v>
      </c>
      <c r="AH1608" s="2">
        <v>168261.26758117601</v>
      </c>
      <c r="AI1608" s="2">
        <v>167344.594524591</v>
      </c>
      <c r="AJ1608" s="2">
        <v>163321.37770064699</v>
      </c>
      <c r="AK1608" s="2">
        <v>184567.49551944499</v>
      </c>
      <c r="AL1608" s="2">
        <v>193156.238559185</v>
      </c>
      <c r="AM1608" s="2">
        <v>189729.572784855</v>
      </c>
      <c r="AN1608" s="2">
        <v>189133.293279865</v>
      </c>
      <c r="AO1608" s="2">
        <v>184694.66542083901</v>
      </c>
      <c r="AP1608" s="2">
        <v>168911.33191889399</v>
      </c>
    </row>
    <row r="1609" spans="1:42" ht="14.5" x14ac:dyDescent="0.35">
      <c r="A1609" s="2" t="s">
        <v>10864</v>
      </c>
      <c r="B1609" s="2">
        <v>427.35681585629902</v>
      </c>
      <c r="C1609" s="2">
        <v>13.8068833333333</v>
      </c>
      <c r="D1609" s="2" t="s">
        <v>34</v>
      </c>
      <c r="E1609" s="2" t="s">
        <v>10865</v>
      </c>
      <c r="F1609" s="2">
        <v>43511</v>
      </c>
      <c r="G1609" s="3" t="str">
        <f>HYPERLINK("http://funmeta.oebiotech.com/network/43511", "http://funmeta.oebiotech.com/network/43511")</f>
        <v>http://funmeta.oebiotech.com/network/43511</v>
      </c>
      <c r="H1609" s="2"/>
      <c r="I1609" s="2">
        <v>57620</v>
      </c>
      <c r="J1609" s="2" t="s">
        <v>10866</v>
      </c>
      <c r="K1609" s="2">
        <v>18134</v>
      </c>
      <c r="L1609" s="2" t="s">
        <v>10867</v>
      </c>
      <c r="M1609" s="2"/>
      <c r="N1609" s="2"/>
      <c r="O1609" s="2">
        <v>440507</v>
      </c>
      <c r="P1609" s="2"/>
      <c r="Q1609" s="2" t="s">
        <v>10868</v>
      </c>
      <c r="R1609" s="2" t="s">
        <v>10869</v>
      </c>
      <c r="S1609" s="2" t="s">
        <v>50</v>
      </c>
      <c r="T1609" s="2" t="s">
        <v>124</v>
      </c>
      <c r="U1609" s="2" t="s">
        <v>2789</v>
      </c>
      <c r="V1609" s="2" t="s">
        <v>59</v>
      </c>
      <c r="W1609" s="2">
        <v>43.8</v>
      </c>
      <c r="X1609" s="2">
        <v>24.5</v>
      </c>
      <c r="Y1609" s="2" t="s">
        <v>141</v>
      </c>
      <c r="Z1609" s="2" t="s">
        <v>6062</v>
      </c>
      <c r="AA1609" s="2">
        <v>-0.54300916639932395</v>
      </c>
      <c r="AB1609" s="2">
        <v>0.49852958328080998</v>
      </c>
      <c r="AC1609" s="2">
        <v>21184.961950363799</v>
      </c>
      <c r="AD1609" s="2">
        <v>4556.0803042555499</v>
      </c>
      <c r="AE1609" s="2">
        <v>17758.499395684801</v>
      </c>
      <c r="AF1609" s="2">
        <v>20691.2201775834</v>
      </c>
      <c r="AG1609" s="2">
        <v>22275.577560171801</v>
      </c>
      <c r="AH1609" s="2">
        <v>21726.090512901101</v>
      </c>
      <c r="AI1609" s="2">
        <v>21320.546533227902</v>
      </c>
      <c r="AJ1609" s="2">
        <v>23337.837522613499</v>
      </c>
      <c r="AK1609" s="2">
        <v>1968.77344515808</v>
      </c>
      <c r="AL1609" s="2">
        <v>4224.3797753033296</v>
      </c>
      <c r="AM1609" s="2">
        <v>3520.368247071</v>
      </c>
      <c r="AN1609" s="2">
        <v>5684.8250202393101</v>
      </c>
      <c r="AO1609" s="2">
        <v>5943.5610106140703</v>
      </c>
      <c r="AP1609" s="2">
        <v>5994.5743271474803</v>
      </c>
    </row>
    <row r="1610" spans="1:42" ht="14.5" x14ac:dyDescent="0.35">
      <c r="A1610" s="2" t="s">
        <v>10870</v>
      </c>
      <c r="B1610" s="2">
        <v>597.30429344656795</v>
      </c>
      <c r="C1610" s="2">
        <v>11.10285</v>
      </c>
      <c r="D1610" s="2" t="s">
        <v>70</v>
      </c>
      <c r="E1610" s="2" t="s">
        <v>10871</v>
      </c>
      <c r="F1610" s="2">
        <v>24872</v>
      </c>
      <c r="G1610" s="3" t="str">
        <f>HYPERLINK("http://funmeta.oebiotech.com/network/24872", "http://funmeta.oebiotech.com/network/24872")</f>
        <v>http://funmeta.oebiotech.com/network/24872</v>
      </c>
      <c r="H1610" s="2" t="s">
        <v>10872</v>
      </c>
      <c r="I1610" s="2"/>
      <c r="J1610" s="2" t="s">
        <v>10873</v>
      </c>
      <c r="K1610" s="2">
        <v>82753</v>
      </c>
      <c r="L1610" s="2"/>
      <c r="M1610" s="2"/>
      <c r="N1610" s="2"/>
      <c r="O1610" s="2">
        <v>42607496</v>
      </c>
      <c r="P1610" s="2" t="s">
        <v>10874</v>
      </c>
      <c r="Q1610" s="2" t="s">
        <v>10875</v>
      </c>
      <c r="R1610" s="2" t="s">
        <v>10876</v>
      </c>
      <c r="S1610" s="2" t="s">
        <v>50</v>
      </c>
      <c r="T1610" s="2" t="s">
        <v>51</v>
      </c>
      <c r="U1610" s="2" t="s">
        <v>52</v>
      </c>
      <c r="V1610" s="2" t="s">
        <v>42</v>
      </c>
      <c r="W1610" s="2">
        <v>55</v>
      </c>
      <c r="X1610" s="2">
        <v>77.3</v>
      </c>
      <c r="Y1610" s="2" t="s">
        <v>118</v>
      </c>
      <c r="Z1610" s="2" t="s">
        <v>10877</v>
      </c>
      <c r="AA1610" s="2">
        <v>-0.40751614146228998</v>
      </c>
      <c r="AB1610" s="2">
        <v>0.498468531700692</v>
      </c>
      <c r="AC1610" s="2">
        <v>147444.601703917</v>
      </c>
      <c r="AD1610" s="2">
        <v>122052.303510671</v>
      </c>
      <c r="AE1610" s="2">
        <v>169277.88406756299</v>
      </c>
      <c r="AF1610" s="2">
        <v>147049.16201292901</v>
      </c>
      <c r="AG1610" s="2">
        <v>154098.217752956</v>
      </c>
      <c r="AH1610" s="2">
        <v>144216.165495377</v>
      </c>
      <c r="AI1610" s="2">
        <v>130038.215966829</v>
      </c>
      <c r="AJ1610" s="2">
        <v>139987.96492784799</v>
      </c>
      <c r="AK1610" s="2">
        <v>106353.25426740899</v>
      </c>
      <c r="AL1610" s="2">
        <v>140125.92714735499</v>
      </c>
      <c r="AM1610" s="2">
        <v>125269.842465233</v>
      </c>
      <c r="AN1610" s="2">
        <v>113111.58028153901</v>
      </c>
      <c r="AO1610" s="2">
        <v>149381.39768890399</v>
      </c>
      <c r="AP1610" s="2">
        <v>98071.819213583498</v>
      </c>
    </row>
    <row r="1611" spans="1:42" ht="14.5" x14ac:dyDescent="0.35">
      <c r="A1611" s="2" t="s">
        <v>10878</v>
      </c>
      <c r="B1611" s="2">
        <v>568.275605705104</v>
      </c>
      <c r="C1611" s="2">
        <v>8.5996166666666696</v>
      </c>
      <c r="D1611" s="2" t="s">
        <v>34</v>
      </c>
      <c r="E1611" s="2" t="s">
        <v>10879</v>
      </c>
      <c r="F1611" s="2">
        <v>52895</v>
      </c>
      <c r="G1611" s="3" t="str">
        <f>HYPERLINK("http://funmeta.oebiotech.com/network/52895", "http://funmeta.oebiotech.com/network/52895")</f>
        <v>http://funmeta.oebiotech.com/network/52895</v>
      </c>
      <c r="H1611" s="2" t="s">
        <v>10880</v>
      </c>
      <c r="I1611" s="2"/>
      <c r="J1611" s="2"/>
      <c r="K1611" s="2">
        <v>149836</v>
      </c>
      <c r="L1611" s="2" t="s">
        <v>10881</v>
      </c>
      <c r="M1611" s="2"/>
      <c r="N1611" s="2"/>
      <c r="O1611" s="2"/>
      <c r="P1611" s="2" t="s">
        <v>10882</v>
      </c>
      <c r="Q1611" s="2" t="s">
        <v>10883</v>
      </c>
      <c r="R1611" s="2" t="s">
        <v>10884</v>
      </c>
      <c r="S1611" s="2" t="s">
        <v>115</v>
      </c>
      <c r="T1611" s="2" t="s">
        <v>10885</v>
      </c>
      <c r="U1611" s="2" t="s">
        <v>41</v>
      </c>
      <c r="V1611" s="2" t="s">
        <v>59</v>
      </c>
      <c r="W1611" s="2">
        <v>38.6</v>
      </c>
      <c r="X1611" s="2">
        <v>11.1</v>
      </c>
      <c r="Y1611" s="2" t="s">
        <v>141</v>
      </c>
      <c r="Z1611" s="2" t="s">
        <v>10886</v>
      </c>
      <c r="AA1611" s="2">
        <v>-1.65608996188197</v>
      </c>
      <c r="AB1611" s="2">
        <v>0.49832870564185799</v>
      </c>
      <c r="AC1611" s="2">
        <v>66944.215370250196</v>
      </c>
      <c r="AD1611" s="2">
        <v>48548.891140901498</v>
      </c>
      <c r="AE1611" s="2">
        <v>63299.991343736801</v>
      </c>
      <c r="AF1611" s="2">
        <v>73353.090942683993</v>
      </c>
      <c r="AG1611" s="2">
        <v>60469.863018066499</v>
      </c>
      <c r="AH1611" s="2">
        <v>74026.076514721106</v>
      </c>
      <c r="AI1611" s="2">
        <v>67988.104287103197</v>
      </c>
      <c r="AJ1611" s="2">
        <v>62528.166115189502</v>
      </c>
      <c r="AK1611" s="2">
        <v>50083.7166469082</v>
      </c>
      <c r="AL1611" s="2">
        <v>46837.464195022199</v>
      </c>
      <c r="AM1611" s="2">
        <v>39862.142979658602</v>
      </c>
      <c r="AN1611" s="2">
        <v>50982.263722845302</v>
      </c>
      <c r="AO1611" s="2">
        <v>52389.122252518697</v>
      </c>
      <c r="AP1611" s="2">
        <v>51138.637048456003</v>
      </c>
    </row>
    <row r="1612" spans="1:42" ht="14.5" x14ac:dyDescent="0.35">
      <c r="A1612" s="2" t="s">
        <v>10887</v>
      </c>
      <c r="B1612" s="2">
        <v>517.02721316671102</v>
      </c>
      <c r="C1612" s="2">
        <v>1.11073333333333</v>
      </c>
      <c r="D1612" s="2" t="s">
        <v>34</v>
      </c>
      <c r="E1612" s="2" t="s">
        <v>10888</v>
      </c>
      <c r="F1612" s="2">
        <v>257338</v>
      </c>
      <c r="G1612" s="3" t="str">
        <f>HYPERLINK("http://funmeta.oebiotech.com/network/257338", "http://funmeta.oebiotech.com/network/257338")</f>
        <v>http://funmeta.oebiotech.com/network/257338</v>
      </c>
      <c r="H1612" s="2" t="s">
        <v>10889</v>
      </c>
      <c r="I1612" s="2"/>
      <c r="J1612" s="2"/>
      <c r="K1612" s="2"/>
      <c r="L1612" s="2"/>
      <c r="M1612" s="2"/>
      <c r="N1612" s="2"/>
      <c r="O1612" s="2"/>
      <c r="P1612" s="2"/>
      <c r="Q1612" s="2" t="s">
        <v>10890</v>
      </c>
      <c r="R1612" s="2" t="s">
        <v>10891</v>
      </c>
      <c r="S1612" s="2" t="s">
        <v>1444</v>
      </c>
      <c r="T1612" s="2" t="s">
        <v>4040</v>
      </c>
      <c r="U1612" s="2" t="s">
        <v>8914</v>
      </c>
      <c r="V1612" s="2" t="s">
        <v>59</v>
      </c>
      <c r="W1612" s="2">
        <v>39.9</v>
      </c>
      <c r="X1612" s="2">
        <v>14.6</v>
      </c>
      <c r="Y1612" s="2" t="s">
        <v>266</v>
      </c>
      <c r="Z1612" s="2" t="s">
        <v>10892</v>
      </c>
      <c r="AA1612" s="2">
        <v>3.1750960480833701</v>
      </c>
      <c r="AB1612" s="2">
        <v>0.49825980345852799</v>
      </c>
      <c r="AC1612" s="2">
        <v>93405.915025030205</v>
      </c>
      <c r="AD1612" s="2">
        <v>75889.703916681203</v>
      </c>
      <c r="AE1612" s="2">
        <v>96003.597890707795</v>
      </c>
      <c r="AF1612" s="2">
        <v>92953.305683315994</v>
      </c>
      <c r="AG1612" s="2">
        <v>91353.948861940502</v>
      </c>
      <c r="AH1612" s="2">
        <v>90060.240997151195</v>
      </c>
      <c r="AI1612" s="2">
        <v>94420.882985026896</v>
      </c>
      <c r="AJ1612" s="2">
        <v>95643.513732038904</v>
      </c>
      <c r="AK1612" s="2">
        <v>78811.650664087196</v>
      </c>
      <c r="AL1612" s="2">
        <v>66797.376025311794</v>
      </c>
      <c r="AM1612" s="2">
        <v>77969.812655347298</v>
      </c>
      <c r="AN1612" s="2">
        <v>78700.370900295806</v>
      </c>
      <c r="AO1612" s="2">
        <v>75232.267205310505</v>
      </c>
      <c r="AP1612" s="2">
        <v>77826.746049734793</v>
      </c>
    </row>
    <row r="1613" spans="1:42" ht="14.5" x14ac:dyDescent="0.35">
      <c r="A1613" s="2" t="s">
        <v>10893</v>
      </c>
      <c r="B1613" s="2">
        <v>509.21701851025301</v>
      </c>
      <c r="C1613" s="2">
        <v>10.132666666666699</v>
      </c>
      <c r="D1613" s="2" t="s">
        <v>34</v>
      </c>
      <c r="E1613" s="2" t="s">
        <v>10894</v>
      </c>
      <c r="F1613" s="2">
        <v>213107</v>
      </c>
      <c r="G1613" s="3" t="str">
        <f>HYPERLINK("http://funmeta.oebiotech.com/network/213107", "http://funmeta.oebiotech.com/network/213107")</f>
        <v>http://funmeta.oebiotech.com/network/213107</v>
      </c>
      <c r="H1613" s="2" t="s">
        <v>10895</v>
      </c>
      <c r="I1613" s="2"/>
      <c r="J1613" s="2"/>
      <c r="K1613" s="2"/>
      <c r="L1613" s="2"/>
      <c r="M1613" s="2"/>
      <c r="N1613" s="2"/>
      <c r="O1613" s="2">
        <v>9892498</v>
      </c>
      <c r="P1613" s="2"/>
      <c r="Q1613" s="2" t="s">
        <v>10896</v>
      </c>
      <c r="R1613" s="2" t="s">
        <v>10897</v>
      </c>
      <c r="S1613" s="2" t="s">
        <v>41</v>
      </c>
      <c r="T1613" s="2" t="s">
        <v>41</v>
      </c>
      <c r="U1613" s="2" t="s">
        <v>41</v>
      </c>
      <c r="V1613" s="2" t="s">
        <v>59</v>
      </c>
      <c r="W1613" s="2">
        <v>36.4</v>
      </c>
      <c r="X1613" s="2">
        <v>10.199999999999999</v>
      </c>
      <c r="Y1613" s="2" t="s">
        <v>266</v>
      </c>
      <c r="Z1613" s="2" t="s">
        <v>10898</v>
      </c>
      <c r="AA1613" s="2">
        <v>1.73075175854397</v>
      </c>
      <c r="AB1613" s="2">
        <v>0.49809316783439</v>
      </c>
      <c r="AC1613" s="2">
        <v>28066.971607983101</v>
      </c>
      <c r="AD1613" s="2">
        <v>11625.6020288646</v>
      </c>
      <c r="AE1613" s="2">
        <v>28264.771227883299</v>
      </c>
      <c r="AF1613" s="2">
        <v>27028.662018868301</v>
      </c>
      <c r="AG1613" s="2">
        <v>27453.1448884372</v>
      </c>
      <c r="AH1613" s="2">
        <v>29708.261116940099</v>
      </c>
      <c r="AI1613" s="2">
        <v>25998.244096733401</v>
      </c>
      <c r="AJ1613" s="2">
        <v>29948.746299036098</v>
      </c>
      <c r="AK1613" s="2">
        <v>11431.2205662254</v>
      </c>
      <c r="AL1613" s="2">
        <v>12987.449049852399</v>
      </c>
      <c r="AM1613" s="2">
        <v>10971.915015500999</v>
      </c>
      <c r="AN1613" s="2">
        <v>9861.4166735779909</v>
      </c>
      <c r="AO1613" s="2">
        <v>11354.1710379285</v>
      </c>
      <c r="AP1613" s="2">
        <v>13147.439830102199</v>
      </c>
    </row>
    <row r="1614" spans="1:42" ht="14.5" x14ac:dyDescent="0.35">
      <c r="A1614" s="2" t="s">
        <v>10899</v>
      </c>
      <c r="B1614" s="2">
        <v>272.16027085491697</v>
      </c>
      <c r="C1614" s="2">
        <v>1.09313333333333</v>
      </c>
      <c r="D1614" s="2" t="s">
        <v>34</v>
      </c>
      <c r="E1614" s="2" t="s">
        <v>10900</v>
      </c>
      <c r="F1614" s="2">
        <v>52611</v>
      </c>
      <c r="G1614" s="3" t="str">
        <f>HYPERLINK("http://funmeta.oebiotech.com/network/52611", "http://funmeta.oebiotech.com/network/52611")</f>
        <v>http://funmeta.oebiotech.com/network/52611</v>
      </c>
      <c r="H1614" s="2" t="s">
        <v>10901</v>
      </c>
      <c r="I1614" s="2">
        <v>44344</v>
      </c>
      <c r="J1614" s="2"/>
      <c r="K1614" s="2">
        <v>6933</v>
      </c>
      <c r="L1614" s="2" t="s">
        <v>10902</v>
      </c>
      <c r="M1614" s="2"/>
      <c r="N1614" s="2"/>
      <c r="O1614" s="2">
        <v>4195</v>
      </c>
      <c r="P1614" s="2" t="s">
        <v>10903</v>
      </c>
      <c r="Q1614" s="2" t="s">
        <v>10904</v>
      </c>
      <c r="R1614" s="2" t="s">
        <v>10905</v>
      </c>
      <c r="S1614" s="2" t="s">
        <v>148</v>
      </c>
      <c r="T1614" s="2" t="s">
        <v>149</v>
      </c>
      <c r="U1614" s="2" t="s">
        <v>4297</v>
      </c>
      <c r="V1614" s="2" t="s">
        <v>59</v>
      </c>
      <c r="W1614" s="2">
        <v>38.6</v>
      </c>
      <c r="X1614" s="2">
        <v>0</v>
      </c>
      <c r="Y1614" s="2" t="s">
        <v>43</v>
      </c>
      <c r="Z1614" s="2" t="s">
        <v>10906</v>
      </c>
      <c r="AA1614" s="2">
        <v>-0.83320728925911502</v>
      </c>
      <c r="AB1614" s="2">
        <v>0.49792451687306299</v>
      </c>
      <c r="AC1614" s="2">
        <v>34497.138400065</v>
      </c>
      <c r="AD1614" s="2">
        <v>17980.0214675151</v>
      </c>
      <c r="AE1614" s="2">
        <v>35786.5123876992</v>
      </c>
      <c r="AF1614" s="2">
        <v>31875.572783104799</v>
      </c>
      <c r="AG1614" s="2">
        <v>34089.619152726998</v>
      </c>
      <c r="AH1614" s="2">
        <v>37359.424466177203</v>
      </c>
      <c r="AI1614" s="2">
        <v>32503.150254537701</v>
      </c>
      <c r="AJ1614" s="2">
        <v>35368.551356144002</v>
      </c>
      <c r="AK1614" s="2">
        <v>18421.189467760501</v>
      </c>
      <c r="AL1614" s="2">
        <v>19363.032684064699</v>
      </c>
      <c r="AM1614" s="2">
        <v>18829.3159248501</v>
      </c>
      <c r="AN1614" s="2">
        <v>16678.956528928102</v>
      </c>
      <c r="AO1614" s="2">
        <v>17862.458518454201</v>
      </c>
      <c r="AP1614" s="2">
        <v>16725.175681033201</v>
      </c>
    </row>
    <row r="1615" spans="1:42" ht="14.5" x14ac:dyDescent="0.35">
      <c r="A1615" s="2" t="s">
        <v>10907</v>
      </c>
      <c r="B1615" s="2">
        <v>414.22694842703697</v>
      </c>
      <c r="C1615" s="2">
        <v>7.9920499999999999</v>
      </c>
      <c r="D1615" s="2" t="s">
        <v>34</v>
      </c>
      <c r="E1615" s="2" t="s">
        <v>10908</v>
      </c>
      <c r="F1615" s="2">
        <v>62354</v>
      </c>
      <c r="G1615" s="3" t="str">
        <f>HYPERLINK("http://funmeta.oebiotech.com/network/62354", "http://funmeta.oebiotech.com/network/62354")</f>
        <v>http://funmeta.oebiotech.com/network/62354</v>
      </c>
      <c r="H1615" s="2" t="s">
        <v>10909</v>
      </c>
      <c r="I1615" s="2">
        <v>93648</v>
      </c>
      <c r="J1615" s="2"/>
      <c r="K1615" s="2">
        <v>141536</v>
      </c>
      <c r="L1615" s="2"/>
      <c r="M1615" s="2"/>
      <c r="N1615" s="2"/>
      <c r="O1615" s="2">
        <v>3725594</v>
      </c>
      <c r="P1615" s="2"/>
      <c r="Q1615" s="2" t="s">
        <v>10910</v>
      </c>
      <c r="R1615" s="2" t="s">
        <v>10911</v>
      </c>
      <c r="S1615" s="2" t="s">
        <v>115</v>
      </c>
      <c r="T1615" s="2" t="s">
        <v>758</v>
      </c>
      <c r="U1615" s="2" t="s">
        <v>41</v>
      </c>
      <c r="V1615" s="2" t="s">
        <v>59</v>
      </c>
      <c r="W1615" s="2">
        <v>42.4</v>
      </c>
      <c r="X1615" s="2">
        <v>25.5</v>
      </c>
      <c r="Y1615" s="2" t="s">
        <v>43</v>
      </c>
      <c r="Z1615" s="2" t="s">
        <v>10912</v>
      </c>
      <c r="AA1615" s="2">
        <v>-1.39098314624935</v>
      </c>
      <c r="AB1615" s="2">
        <v>0.49758102080736799</v>
      </c>
      <c r="AC1615" s="2">
        <v>53485.763483617498</v>
      </c>
      <c r="AD1615" s="2">
        <v>36456.6939181036</v>
      </c>
      <c r="AE1615" s="2">
        <v>57928.632485270296</v>
      </c>
      <c r="AF1615" s="2">
        <v>51321.981212232597</v>
      </c>
      <c r="AG1615" s="2">
        <v>55222.056699338304</v>
      </c>
      <c r="AH1615" s="2">
        <v>52397.280516275699</v>
      </c>
      <c r="AI1615" s="2">
        <v>51816.320797275002</v>
      </c>
      <c r="AJ1615" s="2">
        <v>52228.309191313201</v>
      </c>
      <c r="AK1615" s="2">
        <v>30785.6379966862</v>
      </c>
      <c r="AL1615" s="2">
        <v>35879.190153048803</v>
      </c>
      <c r="AM1615" s="2">
        <v>37074.540171763598</v>
      </c>
      <c r="AN1615" s="2">
        <v>35598.366484661201</v>
      </c>
      <c r="AO1615" s="2">
        <v>40095.216212003899</v>
      </c>
      <c r="AP1615" s="2">
        <v>39307.212490457903</v>
      </c>
    </row>
    <row r="1616" spans="1:42" ht="14.5" x14ac:dyDescent="0.35">
      <c r="A1616" s="2" t="s">
        <v>10913</v>
      </c>
      <c r="B1616" s="2">
        <v>547.21533163417905</v>
      </c>
      <c r="C1616" s="2">
        <v>4.5663166666666699</v>
      </c>
      <c r="D1616" s="2" t="s">
        <v>34</v>
      </c>
      <c r="E1616" s="2" t="s">
        <v>10914</v>
      </c>
      <c r="F1616" s="2">
        <v>81834</v>
      </c>
      <c r="G1616" s="3" t="str">
        <f>HYPERLINK("http://funmeta.oebiotech.com/network/81834", "http://funmeta.oebiotech.com/network/81834")</f>
        <v>http://funmeta.oebiotech.com/network/81834</v>
      </c>
      <c r="H1616" s="2" t="s">
        <v>10915</v>
      </c>
      <c r="I1616" s="2"/>
      <c r="J1616" s="2"/>
      <c r="K1616" s="2"/>
      <c r="L1616" s="2"/>
      <c r="M1616" s="2"/>
      <c r="N1616" s="2"/>
      <c r="O1616" s="2">
        <v>131769782</v>
      </c>
      <c r="P1616" s="2"/>
      <c r="Q1616" s="2" t="s">
        <v>10916</v>
      </c>
      <c r="R1616" s="2" t="s">
        <v>10917</v>
      </c>
      <c r="S1616" s="2" t="s">
        <v>89</v>
      </c>
      <c r="T1616" s="2" t="s">
        <v>90</v>
      </c>
      <c r="U1616" s="2" t="s">
        <v>99</v>
      </c>
      <c r="V1616" s="2" t="s">
        <v>42</v>
      </c>
      <c r="W1616" s="2">
        <v>52.6</v>
      </c>
      <c r="X1616" s="2">
        <v>66</v>
      </c>
      <c r="Y1616" s="2" t="s">
        <v>43</v>
      </c>
      <c r="Z1616" s="2" t="s">
        <v>10918</v>
      </c>
      <c r="AA1616" s="2">
        <v>1.18794589178231</v>
      </c>
      <c r="AB1616" s="2">
        <v>0.49741604185536797</v>
      </c>
      <c r="AC1616" s="2">
        <v>256737.212076278</v>
      </c>
      <c r="AD1616" s="2">
        <v>228849.361069312</v>
      </c>
      <c r="AE1616" s="2">
        <v>237131.917280088</v>
      </c>
      <c r="AF1616" s="2">
        <v>287028.315116212</v>
      </c>
      <c r="AG1616" s="2">
        <v>254780.17565229299</v>
      </c>
      <c r="AH1616" s="2">
        <v>267009.10481469001</v>
      </c>
      <c r="AI1616" s="2">
        <v>255559.18138486499</v>
      </c>
      <c r="AJ1616" s="2">
        <v>238914.57820952201</v>
      </c>
      <c r="AK1616" s="2">
        <v>245500.829524398</v>
      </c>
      <c r="AL1616" s="2">
        <v>233323.916506026</v>
      </c>
      <c r="AM1616" s="2">
        <v>224392.352089311</v>
      </c>
      <c r="AN1616" s="2">
        <v>262631.45311337803</v>
      </c>
      <c r="AO1616" s="2">
        <v>197154.52739907301</v>
      </c>
      <c r="AP1616" s="2">
        <v>210093.087783683</v>
      </c>
    </row>
    <row r="1617" spans="1:42" ht="14.5" x14ac:dyDescent="0.35">
      <c r="A1617" s="2" t="s">
        <v>10919</v>
      </c>
      <c r="B1617" s="2">
        <v>577.28130976699902</v>
      </c>
      <c r="C1617" s="2">
        <v>5.4125166666666704</v>
      </c>
      <c r="D1617" s="2" t="s">
        <v>70</v>
      </c>
      <c r="E1617" s="2" t="s">
        <v>10920</v>
      </c>
      <c r="F1617" s="2">
        <v>203666</v>
      </c>
      <c r="G1617" s="3" t="str">
        <f>HYPERLINK("http://funmeta.oebiotech.com/network/203666", "http://funmeta.oebiotech.com/network/203666")</f>
        <v>http://funmeta.oebiotech.com/network/203666</v>
      </c>
      <c r="H1617" s="2" t="s">
        <v>10921</v>
      </c>
      <c r="I1617" s="2"/>
      <c r="J1617" s="2"/>
      <c r="K1617" s="2"/>
      <c r="L1617" s="2"/>
      <c r="M1617" s="2"/>
      <c r="N1617" s="2"/>
      <c r="O1617" s="2">
        <v>633091</v>
      </c>
      <c r="P1617" s="2"/>
      <c r="Q1617" s="2" t="s">
        <v>10922</v>
      </c>
      <c r="R1617" s="2" t="s">
        <v>10923</v>
      </c>
      <c r="S1617" s="2" t="s">
        <v>50</v>
      </c>
      <c r="T1617" s="2" t="s">
        <v>124</v>
      </c>
      <c r="U1617" s="2" t="s">
        <v>929</v>
      </c>
      <c r="V1617" s="2" t="s">
        <v>59</v>
      </c>
      <c r="W1617" s="2">
        <v>43</v>
      </c>
      <c r="X1617" s="2">
        <v>27.6</v>
      </c>
      <c r="Y1617" s="2" t="s">
        <v>408</v>
      </c>
      <c r="Z1617" s="2" t="s">
        <v>10924</v>
      </c>
      <c r="AA1617" s="2">
        <v>-0.98626889795497397</v>
      </c>
      <c r="AB1617" s="2">
        <v>0.49633993371957902</v>
      </c>
      <c r="AC1617" s="2">
        <v>34752.706625076797</v>
      </c>
      <c r="AD1617" s="2">
        <v>51200.864243038799</v>
      </c>
      <c r="AE1617" s="2">
        <v>35262.587184363001</v>
      </c>
      <c r="AF1617" s="2">
        <v>34147.9343121614</v>
      </c>
      <c r="AG1617" s="2">
        <v>33311.457519723001</v>
      </c>
      <c r="AH1617" s="2">
        <v>34882.268124538103</v>
      </c>
      <c r="AI1617" s="2">
        <v>33889.140585974499</v>
      </c>
      <c r="AJ1617" s="2">
        <v>37022.852023701002</v>
      </c>
      <c r="AK1617" s="2">
        <v>53227.078758370997</v>
      </c>
      <c r="AL1617" s="2">
        <v>51855.909550140001</v>
      </c>
      <c r="AM1617" s="2">
        <v>48144.676013278098</v>
      </c>
      <c r="AN1617" s="2">
        <v>50349.568263132598</v>
      </c>
      <c r="AO1617" s="2">
        <v>50752.265463604097</v>
      </c>
      <c r="AP1617" s="2">
        <v>52875.687409707098</v>
      </c>
    </row>
    <row r="1618" spans="1:42" ht="14.5" x14ac:dyDescent="0.35">
      <c r="A1618" s="2" t="s">
        <v>10925</v>
      </c>
      <c r="B1618" s="2">
        <v>503.24271289006703</v>
      </c>
      <c r="C1618" s="2">
        <v>10.641500000000001</v>
      </c>
      <c r="D1618" s="2" t="s">
        <v>34</v>
      </c>
      <c r="E1618" s="2" t="s">
        <v>10926</v>
      </c>
      <c r="F1618" s="2">
        <v>36075</v>
      </c>
      <c r="G1618" s="3" t="str">
        <f>HYPERLINK("http://funmeta.oebiotech.com/network/36075", "http://funmeta.oebiotech.com/network/36075")</f>
        <v>http://funmeta.oebiotech.com/network/36075</v>
      </c>
      <c r="H1618" s="2"/>
      <c r="I1618" s="2"/>
      <c r="J1618" s="2" t="s">
        <v>10927</v>
      </c>
      <c r="K1618" s="2"/>
      <c r="L1618" s="2"/>
      <c r="M1618" s="2"/>
      <c r="N1618" s="2"/>
      <c r="O1618" s="2">
        <v>42608246</v>
      </c>
      <c r="P1618" s="2"/>
      <c r="Q1618" s="2"/>
      <c r="R1618" s="2" t="s">
        <v>10928</v>
      </c>
      <c r="S1618" s="2" t="s">
        <v>50</v>
      </c>
      <c r="T1618" s="2" t="s">
        <v>201</v>
      </c>
      <c r="U1618" s="2" t="s">
        <v>241</v>
      </c>
      <c r="V1618" s="2" t="s">
        <v>59</v>
      </c>
      <c r="W1618" s="2">
        <v>42.2</v>
      </c>
      <c r="X1618" s="2">
        <v>22.3</v>
      </c>
      <c r="Y1618" s="2" t="s">
        <v>323</v>
      </c>
      <c r="Z1618" s="2" t="s">
        <v>10929</v>
      </c>
      <c r="AA1618" s="2">
        <v>4.7961113695233699</v>
      </c>
      <c r="AB1618" s="2">
        <v>0.49626157437562601</v>
      </c>
      <c r="AC1618" s="2">
        <v>26264.702217719001</v>
      </c>
      <c r="AD1618" s="2">
        <v>10033.8438464429</v>
      </c>
      <c r="AE1618" s="2">
        <v>26330.800053229599</v>
      </c>
      <c r="AF1618" s="2">
        <v>24695.105264108999</v>
      </c>
      <c r="AG1618" s="2">
        <v>26131.286805546999</v>
      </c>
      <c r="AH1618" s="2">
        <v>27103.7252958311</v>
      </c>
      <c r="AI1618" s="2">
        <v>25972.640729470801</v>
      </c>
      <c r="AJ1618" s="2">
        <v>27354.655158126199</v>
      </c>
      <c r="AK1618" s="2">
        <v>9246.6166256986107</v>
      </c>
      <c r="AL1618" s="2">
        <v>10200.4365943389</v>
      </c>
      <c r="AM1618" s="2">
        <v>9316.52567871889</v>
      </c>
      <c r="AN1618" s="2">
        <v>10070.5133802124</v>
      </c>
      <c r="AO1618" s="2">
        <v>10243.25080079</v>
      </c>
      <c r="AP1618" s="2">
        <v>11125.719998898499</v>
      </c>
    </row>
    <row r="1619" spans="1:42" ht="14.5" x14ac:dyDescent="0.35">
      <c r="A1619" s="2" t="s">
        <v>10930</v>
      </c>
      <c r="B1619" s="2">
        <v>961.29599924385604</v>
      </c>
      <c r="C1619" s="2">
        <v>9.6898833333333307</v>
      </c>
      <c r="D1619" s="2" t="s">
        <v>34</v>
      </c>
      <c r="E1619" s="2" t="s">
        <v>10931</v>
      </c>
      <c r="F1619" s="2">
        <v>64233</v>
      </c>
      <c r="G1619" s="3" t="str">
        <f>HYPERLINK("http://funmeta.oebiotech.com/network/64233", "http://funmeta.oebiotech.com/network/64233")</f>
        <v>http://funmeta.oebiotech.com/network/64233</v>
      </c>
      <c r="H1619" s="2" t="s">
        <v>10932</v>
      </c>
      <c r="I1619" s="2">
        <v>95557</v>
      </c>
      <c r="J1619" s="2"/>
      <c r="K1619" s="2"/>
      <c r="L1619" s="2"/>
      <c r="M1619" s="2"/>
      <c r="N1619" s="2"/>
      <c r="O1619" s="2">
        <v>131753036</v>
      </c>
      <c r="P1619" s="2" t="s">
        <v>10933</v>
      </c>
      <c r="Q1619" s="2" t="s">
        <v>10934</v>
      </c>
      <c r="R1619" s="2" t="s">
        <v>10935</v>
      </c>
      <c r="S1619" s="2" t="s">
        <v>115</v>
      </c>
      <c r="T1619" s="2" t="s">
        <v>116</v>
      </c>
      <c r="U1619" s="2" t="s">
        <v>117</v>
      </c>
      <c r="V1619" s="2" t="s">
        <v>59</v>
      </c>
      <c r="W1619" s="2">
        <v>38.1</v>
      </c>
      <c r="X1619" s="2">
        <v>0</v>
      </c>
      <c r="Y1619" s="2" t="s">
        <v>394</v>
      </c>
      <c r="Z1619" s="2" t="s">
        <v>10936</v>
      </c>
      <c r="AA1619" s="2">
        <v>-1.2653529057198101</v>
      </c>
      <c r="AB1619" s="2">
        <v>0.49587839271171003</v>
      </c>
      <c r="AC1619" s="2">
        <v>28126.356693061</v>
      </c>
      <c r="AD1619" s="2">
        <v>11081.406078312901</v>
      </c>
      <c r="AE1619" s="2">
        <v>26201.1443527747</v>
      </c>
      <c r="AF1619" s="2">
        <v>28283.222652725301</v>
      </c>
      <c r="AG1619" s="2">
        <v>27950.864092185198</v>
      </c>
      <c r="AH1619" s="2">
        <v>28753.6650062183</v>
      </c>
      <c r="AI1619" s="2">
        <v>28995.094439646498</v>
      </c>
      <c r="AJ1619" s="2">
        <v>28574.149614815899</v>
      </c>
      <c r="AK1619" s="2">
        <v>9737.2127411342808</v>
      </c>
      <c r="AL1619" s="2">
        <v>19983.526319230899</v>
      </c>
      <c r="AM1619" s="2">
        <v>8548.4320895634301</v>
      </c>
      <c r="AN1619" s="2">
        <v>9451.6850020312904</v>
      </c>
      <c r="AO1619" s="2">
        <v>10765.513687745401</v>
      </c>
      <c r="AP1619" s="2">
        <v>8002.0666301719702</v>
      </c>
    </row>
    <row r="1620" spans="1:42" ht="14.5" x14ac:dyDescent="0.35">
      <c r="A1620" s="2" t="s">
        <v>10937</v>
      </c>
      <c r="B1620" s="2">
        <v>374.30244017187403</v>
      </c>
      <c r="C1620" s="2">
        <v>11.778700000000001</v>
      </c>
      <c r="D1620" s="2" t="s">
        <v>34</v>
      </c>
      <c r="E1620" s="2" t="s">
        <v>10938</v>
      </c>
      <c r="F1620" s="2">
        <v>198556</v>
      </c>
      <c r="G1620" s="3" t="str">
        <f>HYPERLINK("http://funmeta.oebiotech.com/network/198556", "http://funmeta.oebiotech.com/network/198556")</f>
        <v>http://funmeta.oebiotech.com/network/198556</v>
      </c>
      <c r="H1620" s="2" t="s">
        <v>10939</v>
      </c>
      <c r="I1620" s="2"/>
      <c r="J1620" s="2"/>
      <c r="K1620" s="2"/>
      <c r="L1620" s="2"/>
      <c r="M1620" s="2"/>
      <c r="N1620" s="2"/>
      <c r="O1620" s="2">
        <v>18318649</v>
      </c>
      <c r="P1620" s="2"/>
      <c r="Q1620" s="2" t="s">
        <v>10940</v>
      </c>
      <c r="R1620" s="2" t="s">
        <v>10941</v>
      </c>
      <c r="S1620" s="2" t="s">
        <v>89</v>
      </c>
      <c r="T1620" s="2" t="s">
        <v>90</v>
      </c>
      <c r="U1620" s="2" t="s">
        <v>99</v>
      </c>
      <c r="V1620" s="2" t="s">
        <v>59</v>
      </c>
      <c r="W1620" s="2">
        <v>38.700000000000003</v>
      </c>
      <c r="X1620" s="2">
        <v>0</v>
      </c>
      <c r="Y1620" s="2" t="s">
        <v>440</v>
      </c>
      <c r="Z1620" s="2" t="s">
        <v>10942</v>
      </c>
      <c r="AA1620" s="2">
        <v>3.1072143535998902</v>
      </c>
      <c r="AB1620" s="2">
        <v>0.49560694875766298</v>
      </c>
      <c r="AC1620" s="2">
        <v>101548.176856091</v>
      </c>
      <c r="AD1620" s="2">
        <v>74543.833986494297</v>
      </c>
      <c r="AE1620" s="2">
        <v>100561.515040353</v>
      </c>
      <c r="AF1620" s="2">
        <v>93529.975820956097</v>
      </c>
      <c r="AG1620" s="2">
        <v>73912.070649314905</v>
      </c>
      <c r="AH1620" s="2">
        <v>116298.59607020199</v>
      </c>
      <c r="AI1620" s="2">
        <v>105670.641772345</v>
      </c>
      <c r="AJ1620" s="2">
        <v>119316.261783378</v>
      </c>
      <c r="AK1620" s="2">
        <v>61637.143282782403</v>
      </c>
      <c r="AL1620" s="2">
        <v>83779.200103401294</v>
      </c>
      <c r="AM1620" s="2">
        <v>58844.038598443301</v>
      </c>
      <c r="AN1620" s="2">
        <v>51926.085572825003</v>
      </c>
      <c r="AO1620" s="2">
        <v>77041.452536173805</v>
      </c>
      <c r="AP1620" s="2">
        <v>114035.08382534</v>
      </c>
    </row>
    <row r="1621" spans="1:42" ht="14.5" x14ac:dyDescent="0.35">
      <c r="A1621" s="2" t="s">
        <v>10943</v>
      </c>
      <c r="B1621" s="2">
        <v>303.14115825651203</v>
      </c>
      <c r="C1621" s="2">
        <v>4.4609500000000004</v>
      </c>
      <c r="D1621" s="2" t="s">
        <v>34</v>
      </c>
      <c r="E1621" s="2" t="s">
        <v>10944</v>
      </c>
      <c r="F1621" s="2">
        <v>82898</v>
      </c>
      <c r="G1621" s="3" t="str">
        <f>HYPERLINK("http://funmeta.oebiotech.com/network/82898", "http://funmeta.oebiotech.com/network/82898")</f>
        <v>http://funmeta.oebiotech.com/network/82898</v>
      </c>
      <c r="H1621" s="2" t="s">
        <v>10945</v>
      </c>
      <c r="I1621" s="2"/>
      <c r="J1621" s="2"/>
      <c r="K1621" s="2"/>
      <c r="L1621" s="2"/>
      <c r="M1621" s="2"/>
      <c r="N1621" s="2"/>
      <c r="O1621" s="2">
        <v>131770019</v>
      </c>
      <c r="P1621" s="2"/>
      <c r="Q1621" s="2" t="s">
        <v>10946</v>
      </c>
      <c r="R1621" s="2" t="s">
        <v>10947</v>
      </c>
      <c r="S1621" s="2" t="s">
        <v>1444</v>
      </c>
      <c r="T1621" s="2" t="s">
        <v>3595</v>
      </c>
      <c r="U1621" s="2" t="s">
        <v>41</v>
      </c>
      <c r="V1621" s="2" t="s">
        <v>59</v>
      </c>
      <c r="W1621" s="2">
        <v>39.6</v>
      </c>
      <c r="X1621" s="2">
        <v>0.67600000000000005</v>
      </c>
      <c r="Y1621" s="2" t="s">
        <v>43</v>
      </c>
      <c r="Z1621" s="2" t="s">
        <v>10948</v>
      </c>
      <c r="AA1621" s="2">
        <v>4.9538054191016999E-2</v>
      </c>
      <c r="AB1621" s="2">
        <v>0.49551045309881597</v>
      </c>
      <c r="AC1621" s="2">
        <v>76466.800205780906</v>
      </c>
      <c r="AD1621" s="2">
        <v>93770.152038991393</v>
      </c>
      <c r="AE1621" s="2">
        <v>75019.154397354097</v>
      </c>
      <c r="AF1621" s="2">
        <v>73893.847284502102</v>
      </c>
      <c r="AG1621" s="2">
        <v>77754.897973114203</v>
      </c>
      <c r="AH1621" s="2">
        <v>76254.572338228798</v>
      </c>
      <c r="AI1621" s="2">
        <v>80782.4023367107</v>
      </c>
      <c r="AJ1621" s="2">
        <v>75095.926904775493</v>
      </c>
      <c r="AK1621" s="2">
        <v>100022.020001982</v>
      </c>
      <c r="AL1621" s="2">
        <v>90222.935411826998</v>
      </c>
      <c r="AM1621" s="2">
        <v>89538.493228906402</v>
      </c>
      <c r="AN1621" s="2">
        <v>89806.8011746673</v>
      </c>
      <c r="AO1621" s="2">
        <v>94228.528738525099</v>
      </c>
      <c r="AP1621" s="2">
        <v>98802.133678040802</v>
      </c>
    </row>
    <row r="1622" spans="1:42" ht="14.5" x14ac:dyDescent="0.35">
      <c r="A1622" s="2" t="s">
        <v>10949</v>
      </c>
      <c r="B1622" s="2">
        <v>629.20537478191295</v>
      </c>
      <c r="C1622" s="2">
        <v>1.79495</v>
      </c>
      <c r="D1622" s="2" t="s">
        <v>34</v>
      </c>
      <c r="E1622" s="2" t="s">
        <v>10950</v>
      </c>
      <c r="F1622" s="2">
        <v>207047</v>
      </c>
      <c r="G1622" s="3" t="str">
        <f>HYPERLINK("http://funmeta.oebiotech.com/network/207047", "http://funmeta.oebiotech.com/network/207047")</f>
        <v>http://funmeta.oebiotech.com/network/207047</v>
      </c>
      <c r="H1622" s="2" t="s">
        <v>10951</v>
      </c>
      <c r="I1622" s="2"/>
      <c r="J1622" s="2"/>
      <c r="K1622" s="2"/>
      <c r="L1622" s="2"/>
      <c r="M1622" s="2"/>
      <c r="N1622" s="2"/>
      <c r="O1622" s="2"/>
      <c r="P1622" s="2"/>
      <c r="Q1622" s="2" t="s">
        <v>10952</v>
      </c>
      <c r="R1622" s="2" t="s">
        <v>10953</v>
      </c>
      <c r="S1622" s="2" t="s">
        <v>50</v>
      </c>
      <c r="T1622" s="2" t="s">
        <v>229</v>
      </c>
      <c r="U1622" s="2" t="s">
        <v>230</v>
      </c>
      <c r="V1622" s="2" t="s">
        <v>59</v>
      </c>
      <c r="W1622" s="2">
        <v>37.200000000000003</v>
      </c>
      <c r="X1622" s="2">
        <v>0</v>
      </c>
      <c r="Y1622" s="2" t="s">
        <v>340</v>
      </c>
      <c r="Z1622" s="2" t="s">
        <v>10954</v>
      </c>
      <c r="AA1622" s="2">
        <v>-2.23736499109142</v>
      </c>
      <c r="AB1622" s="2">
        <v>0.49549934550839703</v>
      </c>
      <c r="AC1622" s="2">
        <v>29179.879713526901</v>
      </c>
      <c r="AD1622" s="2">
        <v>45909.627546426702</v>
      </c>
      <c r="AE1622" s="2">
        <v>29988.004392776202</v>
      </c>
      <c r="AF1622" s="2">
        <v>28907.049760139002</v>
      </c>
      <c r="AG1622" s="2">
        <v>27140.564378414601</v>
      </c>
      <c r="AH1622" s="2">
        <v>27414.572809082201</v>
      </c>
      <c r="AI1622" s="2">
        <v>30205.614147063501</v>
      </c>
      <c r="AJ1622" s="2">
        <v>31423.472793685702</v>
      </c>
      <c r="AK1622" s="2">
        <v>42014.8264735306</v>
      </c>
      <c r="AL1622" s="2">
        <v>48469.557977339602</v>
      </c>
      <c r="AM1622" s="2">
        <v>49629.672311968199</v>
      </c>
      <c r="AN1622" s="2">
        <v>43765.149511771699</v>
      </c>
      <c r="AO1622" s="2">
        <v>43308.194899544898</v>
      </c>
      <c r="AP1622" s="2">
        <v>48270.364104405198</v>
      </c>
    </row>
    <row r="1623" spans="1:42" ht="14.5" x14ac:dyDescent="0.35">
      <c r="A1623" s="2" t="s">
        <v>10955</v>
      </c>
      <c r="B1623" s="2">
        <v>611.30702190511499</v>
      </c>
      <c r="C1623" s="2">
        <v>7.2607833333333298</v>
      </c>
      <c r="D1623" s="2" t="s">
        <v>70</v>
      </c>
      <c r="E1623" s="2" t="s">
        <v>10956</v>
      </c>
      <c r="F1623" s="2">
        <v>35727</v>
      </c>
      <c r="G1623" s="3" t="str">
        <f>HYPERLINK("http://funmeta.oebiotech.com/network/35727", "http://funmeta.oebiotech.com/network/35727")</f>
        <v>http://funmeta.oebiotech.com/network/35727</v>
      </c>
      <c r="H1623" s="2"/>
      <c r="I1623" s="2"/>
      <c r="J1623" s="2" t="s">
        <v>10957</v>
      </c>
      <c r="K1623" s="2"/>
      <c r="L1623" s="2"/>
      <c r="M1623" s="2"/>
      <c r="N1623" s="2"/>
      <c r="O1623" s="2"/>
      <c r="P1623" s="2"/>
      <c r="Q1623" s="2" t="s">
        <v>10958</v>
      </c>
      <c r="R1623" s="2" t="s">
        <v>10959</v>
      </c>
      <c r="S1623" s="2" t="s">
        <v>89</v>
      </c>
      <c r="T1623" s="2" t="s">
        <v>90</v>
      </c>
      <c r="U1623" s="2" t="s">
        <v>91</v>
      </c>
      <c r="V1623" s="2" t="s">
        <v>59</v>
      </c>
      <c r="W1623" s="2">
        <v>41.1</v>
      </c>
      <c r="X1623" s="2">
        <v>15.9</v>
      </c>
      <c r="Y1623" s="2" t="s">
        <v>408</v>
      </c>
      <c r="Z1623" s="2" t="s">
        <v>5155</v>
      </c>
      <c r="AA1623" s="2">
        <v>-0.49202053493020198</v>
      </c>
      <c r="AB1623" s="2">
        <v>0.49482727342871502</v>
      </c>
      <c r="AC1623" s="2">
        <v>34648.641691432298</v>
      </c>
      <c r="AD1623" s="2">
        <v>17504.756217793401</v>
      </c>
      <c r="AE1623" s="2">
        <v>32779.6744338723</v>
      </c>
      <c r="AF1623" s="2">
        <v>33348.3727969873</v>
      </c>
      <c r="AG1623" s="2">
        <v>36010.8016896997</v>
      </c>
      <c r="AH1623" s="2">
        <v>32094.257191552399</v>
      </c>
      <c r="AI1623" s="2">
        <v>38071.349240746298</v>
      </c>
      <c r="AJ1623" s="2">
        <v>35587.394795735599</v>
      </c>
      <c r="AK1623" s="2">
        <v>15939.788969859501</v>
      </c>
      <c r="AL1623" s="2">
        <v>24200.832438257999</v>
      </c>
      <c r="AM1623" s="2">
        <v>19866.380227280901</v>
      </c>
      <c r="AN1623" s="2">
        <v>10904.3115103651</v>
      </c>
      <c r="AO1623" s="2">
        <v>16773.405935784202</v>
      </c>
      <c r="AP1623" s="2">
        <v>17343.818225212701</v>
      </c>
    </row>
    <row r="1624" spans="1:42" ht="14.5" x14ac:dyDescent="0.35">
      <c r="A1624" s="2" t="s">
        <v>10960</v>
      </c>
      <c r="B1624" s="2">
        <v>549.23409959126195</v>
      </c>
      <c r="C1624" s="2">
        <v>5.3202666666666696</v>
      </c>
      <c r="D1624" s="2" t="s">
        <v>70</v>
      </c>
      <c r="E1624" s="2" t="s">
        <v>10961</v>
      </c>
      <c r="F1624" s="2">
        <v>62425</v>
      </c>
      <c r="G1624" s="3" t="str">
        <f>HYPERLINK("http://funmeta.oebiotech.com/network/62425", "http://funmeta.oebiotech.com/network/62425")</f>
        <v>http://funmeta.oebiotech.com/network/62425</v>
      </c>
      <c r="H1624" s="2" t="s">
        <v>10962</v>
      </c>
      <c r="I1624" s="2"/>
      <c r="J1624" s="2"/>
      <c r="K1624" s="2">
        <v>17371</v>
      </c>
      <c r="L1624" s="2" t="s">
        <v>10963</v>
      </c>
      <c r="M1624" s="2" t="s">
        <v>2604</v>
      </c>
      <c r="N1624" s="2" t="s">
        <v>2605</v>
      </c>
      <c r="O1624" s="2">
        <v>131752554</v>
      </c>
      <c r="P1624" s="2" t="s">
        <v>10964</v>
      </c>
      <c r="Q1624" s="2" t="s">
        <v>10965</v>
      </c>
      <c r="R1624" s="2" t="s">
        <v>10966</v>
      </c>
      <c r="S1624" s="2" t="s">
        <v>50</v>
      </c>
      <c r="T1624" s="2" t="s">
        <v>201</v>
      </c>
      <c r="U1624" s="2" t="s">
        <v>241</v>
      </c>
      <c r="V1624" s="2" t="s">
        <v>59</v>
      </c>
      <c r="W1624" s="2">
        <v>40</v>
      </c>
      <c r="X1624" s="2">
        <v>7.37</v>
      </c>
      <c r="Y1624" s="2" t="s">
        <v>286</v>
      </c>
      <c r="Z1624" s="2" t="s">
        <v>10967</v>
      </c>
      <c r="AA1624" s="2">
        <v>-7.1413589028544402E-2</v>
      </c>
      <c r="AB1624" s="2">
        <v>0.49454408803028499</v>
      </c>
      <c r="AC1624" s="2">
        <v>27186.466825440399</v>
      </c>
      <c r="AD1624" s="2">
        <v>10877.6964928324</v>
      </c>
      <c r="AE1624" s="2">
        <v>24682.394179135499</v>
      </c>
      <c r="AF1624" s="2">
        <v>28734.191103575002</v>
      </c>
      <c r="AG1624" s="2">
        <v>27442.612569218702</v>
      </c>
      <c r="AH1624" s="2">
        <v>29611.791083870899</v>
      </c>
      <c r="AI1624" s="2">
        <v>27631.0201168288</v>
      </c>
      <c r="AJ1624" s="2">
        <v>25016.791900013501</v>
      </c>
      <c r="AK1624" s="2">
        <v>10208.4439721169</v>
      </c>
      <c r="AL1624" s="2">
        <v>10732.103078063699</v>
      </c>
      <c r="AM1624" s="2">
        <v>10098.363738551199</v>
      </c>
      <c r="AN1624" s="2">
        <v>9677.6224751045593</v>
      </c>
      <c r="AO1624" s="2">
        <v>12374.171011912</v>
      </c>
      <c r="AP1624" s="2">
        <v>12175.474681246</v>
      </c>
    </row>
    <row r="1625" spans="1:42" ht="14.5" x14ac:dyDescent="0.35">
      <c r="A1625" s="2" t="s">
        <v>10968</v>
      </c>
      <c r="B1625" s="2">
        <v>645.28736768109695</v>
      </c>
      <c r="C1625" s="2">
        <v>6.4626999999999999</v>
      </c>
      <c r="D1625" s="2" t="s">
        <v>70</v>
      </c>
      <c r="E1625" s="2" t="s">
        <v>10969</v>
      </c>
      <c r="F1625" s="2">
        <v>211273</v>
      </c>
      <c r="G1625" s="3" t="str">
        <f>HYPERLINK("http://funmeta.oebiotech.com/network/211273", "http://funmeta.oebiotech.com/network/211273")</f>
        <v>http://funmeta.oebiotech.com/network/211273</v>
      </c>
      <c r="H1625" s="2" t="s">
        <v>10970</v>
      </c>
      <c r="I1625" s="2"/>
      <c r="J1625" s="2"/>
      <c r="K1625" s="2"/>
      <c r="L1625" s="2"/>
      <c r="M1625" s="2"/>
      <c r="N1625" s="2"/>
      <c r="O1625" s="2">
        <v>11513431</v>
      </c>
      <c r="P1625" s="2"/>
      <c r="Q1625" s="2" t="s">
        <v>10971</v>
      </c>
      <c r="R1625" s="2" t="s">
        <v>10972</v>
      </c>
      <c r="S1625" s="2" t="s">
        <v>41</v>
      </c>
      <c r="T1625" s="2" t="s">
        <v>41</v>
      </c>
      <c r="U1625" s="2" t="s">
        <v>41</v>
      </c>
      <c r="V1625" s="2" t="s">
        <v>59</v>
      </c>
      <c r="W1625" s="2">
        <v>36.299999999999997</v>
      </c>
      <c r="X1625" s="2">
        <v>2.4E-2</v>
      </c>
      <c r="Y1625" s="2" t="s">
        <v>408</v>
      </c>
      <c r="Z1625" s="2" t="s">
        <v>10973</v>
      </c>
      <c r="AA1625" s="2">
        <v>1.5070106771637699</v>
      </c>
      <c r="AB1625" s="2">
        <v>0.49374091719853702</v>
      </c>
      <c r="AC1625" s="2">
        <v>44918.987346427297</v>
      </c>
      <c r="AD1625" s="2">
        <v>63215.992242797198</v>
      </c>
      <c r="AE1625" s="2">
        <v>45650.854537628198</v>
      </c>
      <c r="AF1625" s="2">
        <v>42123.103920030502</v>
      </c>
      <c r="AG1625" s="2">
        <v>46842.596658944</v>
      </c>
      <c r="AH1625" s="2">
        <v>43848.837012712902</v>
      </c>
      <c r="AI1625" s="2">
        <v>48759.983776044799</v>
      </c>
      <c r="AJ1625" s="2">
        <v>42288.548173203402</v>
      </c>
      <c r="AK1625" s="2">
        <v>54680.8006020744</v>
      </c>
      <c r="AL1625" s="2">
        <v>67835.084437704805</v>
      </c>
      <c r="AM1625" s="2">
        <v>65112.7206537491</v>
      </c>
      <c r="AN1625" s="2">
        <v>55482.027134731601</v>
      </c>
      <c r="AO1625" s="2">
        <v>74148.0670949388</v>
      </c>
      <c r="AP1625" s="2">
        <v>62037.253533584299</v>
      </c>
    </row>
    <row r="1626" spans="1:42" ht="14.5" x14ac:dyDescent="0.35">
      <c r="A1626" s="2" t="s">
        <v>10974</v>
      </c>
      <c r="B1626" s="2">
        <v>359.22110678513798</v>
      </c>
      <c r="C1626" s="2">
        <v>7.4253666666666698</v>
      </c>
      <c r="D1626" s="2" t="s">
        <v>34</v>
      </c>
      <c r="E1626" s="2" t="s">
        <v>10975</v>
      </c>
      <c r="F1626" s="2">
        <v>55268</v>
      </c>
      <c r="G1626" s="3" t="str">
        <f>HYPERLINK("http://funmeta.oebiotech.com/network/55268", "http://funmeta.oebiotech.com/network/55268")</f>
        <v>http://funmeta.oebiotech.com/network/55268</v>
      </c>
      <c r="H1626" s="2" t="s">
        <v>10976</v>
      </c>
      <c r="I1626" s="2"/>
      <c r="J1626" s="2"/>
      <c r="K1626" s="2"/>
      <c r="L1626" s="2"/>
      <c r="M1626" s="2"/>
      <c r="N1626" s="2"/>
      <c r="O1626" s="2">
        <v>131751019</v>
      </c>
      <c r="P1626" s="2" t="s">
        <v>10977</v>
      </c>
      <c r="Q1626" s="2" t="s">
        <v>10978</v>
      </c>
      <c r="R1626" s="2" t="s">
        <v>10979</v>
      </c>
      <c r="S1626" s="2" t="s">
        <v>79</v>
      </c>
      <c r="T1626" s="2" t="s">
        <v>80</v>
      </c>
      <c r="U1626" s="2" t="s">
        <v>2820</v>
      </c>
      <c r="V1626" s="2" t="s">
        <v>42</v>
      </c>
      <c r="W1626" s="2">
        <v>52.1</v>
      </c>
      <c r="X1626" s="2">
        <v>74.400000000000006</v>
      </c>
      <c r="Y1626" s="2" t="s">
        <v>141</v>
      </c>
      <c r="Z1626" s="2" t="s">
        <v>10980</v>
      </c>
      <c r="AA1626" s="2">
        <v>-1.53920909422228</v>
      </c>
      <c r="AB1626" s="2">
        <v>0.493649639570586</v>
      </c>
      <c r="AC1626" s="2">
        <v>45008.962079067402</v>
      </c>
      <c r="AD1626" s="2">
        <v>27898.822188260401</v>
      </c>
      <c r="AE1626" s="2">
        <v>45192.313877762703</v>
      </c>
      <c r="AF1626" s="2">
        <v>51978.009153482599</v>
      </c>
      <c r="AG1626" s="2">
        <v>43063.770858212898</v>
      </c>
      <c r="AH1626" s="2">
        <v>41589.691549237599</v>
      </c>
      <c r="AI1626" s="2">
        <v>45092.953201830001</v>
      </c>
      <c r="AJ1626" s="2">
        <v>43137.033833878697</v>
      </c>
      <c r="AK1626" s="2">
        <v>23295.660019057199</v>
      </c>
      <c r="AL1626" s="2">
        <v>34086.385790365501</v>
      </c>
      <c r="AM1626" s="2">
        <v>26884.349863882398</v>
      </c>
      <c r="AN1626" s="2">
        <v>29171.330996713899</v>
      </c>
      <c r="AO1626" s="2">
        <v>26826.2529605358</v>
      </c>
      <c r="AP1626" s="2">
        <v>27128.953499007399</v>
      </c>
    </row>
    <row r="1627" spans="1:42" ht="14.5" x14ac:dyDescent="0.35">
      <c r="A1627" s="2" t="s">
        <v>10981</v>
      </c>
      <c r="B1627" s="2">
        <v>531.292863372998</v>
      </c>
      <c r="C1627" s="2">
        <v>9.9015833333333294</v>
      </c>
      <c r="D1627" s="2" t="s">
        <v>34</v>
      </c>
      <c r="E1627" s="2" t="s">
        <v>10982</v>
      </c>
      <c r="F1627" s="2">
        <v>3335</v>
      </c>
      <c r="G1627" s="3" t="str">
        <f>HYPERLINK("http://funmeta.oebiotech.com/network/3335", "http://funmeta.oebiotech.com/network/3335")</f>
        <v>http://funmeta.oebiotech.com/network/3335</v>
      </c>
      <c r="H1627" s="2"/>
      <c r="I1627" s="2"/>
      <c r="J1627" s="2" t="s">
        <v>10983</v>
      </c>
      <c r="K1627" s="2"/>
      <c r="L1627" s="2"/>
      <c r="M1627" s="2"/>
      <c r="N1627" s="2"/>
      <c r="O1627" s="2"/>
      <c r="P1627" s="2"/>
      <c r="Q1627" s="2" t="s">
        <v>10984</v>
      </c>
      <c r="R1627" s="2" t="s">
        <v>10985</v>
      </c>
      <c r="S1627" s="2" t="s">
        <v>148</v>
      </c>
      <c r="T1627" s="2" t="s">
        <v>392</v>
      </c>
      <c r="U1627" s="2" t="s">
        <v>3450</v>
      </c>
      <c r="V1627" s="2" t="s">
        <v>59</v>
      </c>
      <c r="W1627" s="2">
        <v>40.1</v>
      </c>
      <c r="X1627" s="2">
        <v>5.29</v>
      </c>
      <c r="Y1627" s="2" t="s">
        <v>2498</v>
      </c>
      <c r="Z1627" s="2" t="s">
        <v>10986</v>
      </c>
      <c r="AA1627" s="2">
        <v>4.7856118351161797E-2</v>
      </c>
      <c r="AB1627" s="2">
        <v>0.49324887553499602</v>
      </c>
      <c r="AC1627" s="2">
        <v>94180.278851135401</v>
      </c>
      <c r="AD1627" s="2">
        <v>76442.263401603806</v>
      </c>
      <c r="AE1627" s="2">
        <v>95805.477043297098</v>
      </c>
      <c r="AF1627" s="2">
        <v>92838.013525020404</v>
      </c>
      <c r="AG1627" s="2">
        <v>93093.774544382104</v>
      </c>
      <c r="AH1627" s="2">
        <v>103675.15193060999</v>
      </c>
      <c r="AI1627" s="2">
        <v>85071.485836146807</v>
      </c>
      <c r="AJ1627" s="2">
        <v>94597.770227355897</v>
      </c>
      <c r="AK1627" s="2">
        <v>78026.145867265499</v>
      </c>
      <c r="AL1627" s="2">
        <v>81650.360762669399</v>
      </c>
      <c r="AM1627" s="2">
        <v>78420.060463400499</v>
      </c>
      <c r="AN1627" s="2">
        <v>72436.278729358804</v>
      </c>
      <c r="AO1627" s="2">
        <v>74144.492525361202</v>
      </c>
      <c r="AP1627" s="2">
        <v>73976.242061567595</v>
      </c>
    </row>
    <row r="1628" spans="1:42" ht="14.5" x14ac:dyDescent="0.35">
      <c r="A1628" s="2" t="s">
        <v>10987</v>
      </c>
      <c r="B1628" s="2">
        <v>577.13474133089699</v>
      </c>
      <c r="C1628" s="2">
        <v>4.4179500000000003</v>
      </c>
      <c r="D1628" s="2" t="s">
        <v>70</v>
      </c>
      <c r="E1628" s="2" t="s">
        <v>10988</v>
      </c>
      <c r="F1628" s="2">
        <v>61759</v>
      </c>
      <c r="G1628" s="3" t="str">
        <f>HYPERLINK("http://funmeta.oebiotech.com/network/61759", "http://funmeta.oebiotech.com/network/61759")</f>
        <v>http://funmeta.oebiotech.com/network/61759</v>
      </c>
      <c r="H1628" s="2" t="s">
        <v>10989</v>
      </c>
      <c r="I1628" s="2"/>
      <c r="J1628" s="2"/>
      <c r="K1628" s="2"/>
      <c r="L1628" s="2"/>
      <c r="M1628" s="2"/>
      <c r="N1628" s="2"/>
      <c r="O1628" s="2">
        <v>131752344</v>
      </c>
      <c r="P1628" s="2" t="s">
        <v>10990</v>
      </c>
      <c r="Q1628" s="2" t="s">
        <v>10991</v>
      </c>
      <c r="R1628" s="2" t="s">
        <v>10992</v>
      </c>
      <c r="S1628" s="2" t="s">
        <v>115</v>
      </c>
      <c r="T1628" s="2" t="s">
        <v>139</v>
      </c>
      <c r="U1628" s="2" t="s">
        <v>1437</v>
      </c>
      <c r="V1628" s="2" t="s">
        <v>42</v>
      </c>
      <c r="W1628" s="2">
        <v>49.6</v>
      </c>
      <c r="X1628" s="2">
        <v>53.4</v>
      </c>
      <c r="Y1628" s="2" t="s">
        <v>118</v>
      </c>
      <c r="Z1628" s="2" t="s">
        <v>958</v>
      </c>
      <c r="AA1628" s="2">
        <v>-0.70658305673526101</v>
      </c>
      <c r="AB1628" s="2">
        <v>0.49289340318630498</v>
      </c>
      <c r="AC1628" s="2">
        <v>329230.60143150098</v>
      </c>
      <c r="AD1628" s="2">
        <v>293593.79140658397</v>
      </c>
      <c r="AE1628" s="2">
        <v>290772.23565997899</v>
      </c>
      <c r="AF1628" s="2">
        <v>294406.67358527897</v>
      </c>
      <c r="AG1628" s="2">
        <v>317190.15491800301</v>
      </c>
      <c r="AH1628" s="2">
        <v>408742.85518228699</v>
      </c>
      <c r="AI1628" s="2">
        <v>357355.38199687999</v>
      </c>
      <c r="AJ1628" s="2">
        <v>306916.30724658002</v>
      </c>
      <c r="AK1628" s="2">
        <v>239999.967842399</v>
      </c>
      <c r="AL1628" s="2">
        <v>302724.966273189</v>
      </c>
      <c r="AM1628" s="2">
        <v>285825.56521350099</v>
      </c>
      <c r="AN1628" s="2">
        <v>306357.77587848698</v>
      </c>
      <c r="AO1628" s="2">
        <v>317549.44853377802</v>
      </c>
      <c r="AP1628" s="2">
        <v>309105.02469814802</v>
      </c>
    </row>
    <row r="1629" spans="1:42" ht="14.5" x14ac:dyDescent="0.35">
      <c r="A1629" s="2" t="s">
        <v>10993</v>
      </c>
      <c r="B1629" s="2">
        <v>737.37565839357103</v>
      </c>
      <c r="C1629" s="2">
        <v>10.2578333333333</v>
      </c>
      <c r="D1629" s="2" t="s">
        <v>70</v>
      </c>
      <c r="E1629" s="2" t="s">
        <v>10994</v>
      </c>
      <c r="F1629" s="2">
        <v>203647</v>
      </c>
      <c r="G1629" s="3" t="str">
        <f>HYPERLINK("http://funmeta.oebiotech.com/network/203647", "http://funmeta.oebiotech.com/network/203647")</f>
        <v>http://funmeta.oebiotech.com/network/203647</v>
      </c>
      <c r="H1629" s="2" t="s">
        <v>10995</v>
      </c>
      <c r="I1629" s="2"/>
      <c r="J1629" s="2"/>
      <c r="K1629" s="2"/>
      <c r="L1629" s="2"/>
      <c r="M1629" s="2"/>
      <c r="N1629" s="2"/>
      <c r="O1629" s="2">
        <v>4223795</v>
      </c>
      <c r="P1629" s="2"/>
      <c r="Q1629" s="2" t="s">
        <v>10996</v>
      </c>
      <c r="R1629" s="2" t="s">
        <v>10997</v>
      </c>
      <c r="S1629" s="2" t="s">
        <v>89</v>
      </c>
      <c r="T1629" s="2" t="s">
        <v>90</v>
      </c>
      <c r="U1629" s="2" t="s">
        <v>99</v>
      </c>
      <c r="V1629" s="2" t="s">
        <v>42</v>
      </c>
      <c r="W1629" s="2">
        <v>53.6</v>
      </c>
      <c r="X1629" s="2">
        <v>75.599999999999994</v>
      </c>
      <c r="Y1629" s="2" t="s">
        <v>751</v>
      </c>
      <c r="Z1629" s="2" t="s">
        <v>10998</v>
      </c>
      <c r="AA1629" s="2">
        <v>2.1499727167837999</v>
      </c>
      <c r="AB1629" s="2">
        <v>0.49256476749015199</v>
      </c>
      <c r="AC1629" s="2">
        <v>73041.895395584201</v>
      </c>
      <c r="AD1629" s="2">
        <v>56040.270403620198</v>
      </c>
      <c r="AE1629" s="2">
        <v>72319.457686427602</v>
      </c>
      <c r="AF1629" s="2">
        <v>68345.362779430594</v>
      </c>
      <c r="AG1629" s="2">
        <v>73640.340056636807</v>
      </c>
      <c r="AH1629" s="2">
        <v>76707.447054535398</v>
      </c>
      <c r="AI1629" s="2">
        <v>70062.768864962694</v>
      </c>
      <c r="AJ1629" s="2">
        <v>77175.995931512094</v>
      </c>
      <c r="AK1629" s="2">
        <v>55585.756576225402</v>
      </c>
      <c r="AL1629" s="2">
        <v>55135.945890772702</v>
      </c>
      <c r="AM1629" s="2">
        <v>59617.089125802799</v>
      </c>
      <c r="AN1629" s="2">
        <v>51634.124806733802</v>
      </c>
      <c r="AO1629" s="2">
        <v>53414.274512490199</v>
      </c>
      <c r="AP1629" s="2">
        <v>60854.431509696296</v>
      </c>
    </row>
    <row r="1630" spans="1:42" ht="14.5" x14ac:dyDescent="0.35">
      <c r="A1630" s="2" t="s">
        <v>10999</v>
      </c>
      <c r="B1630" s="2">
        <v>367.15042822927597</v>
      </c>
      <c r="C1630" s="2">
        <v>9.6350833333333306</v>
      </c>
      <c r="D1630" s="2" t="s">
        <v>34</v>
      </c>
      <c r="E1630" s="2" t="s">
        <v>11000</v>
      </c>
      <c r="F1630" s="2">
        <v>35929</v>
      </c>
      <c r="G1630" s="3" t="str">
        <f>HYPERLINK("http://funmeta.oebiotech.com/network/35929", "http://funmeta.oebiotech.com/network/35929")</f>
        <v>http://funmeta.oebiotech.com/network/35929</v>
      </c>
      <c r="H1630" s="2"/>
      <c r="I1630" s="2"/>
      <c r="J1630" s="2" t="s">
        <v>11001</v>
      </c>
      <c r="K1630" s="2"/>
      <c r="L1630" s="2"/>
      <c r="M1630" s="2"/>
      <c r="N1630" s="2"/>
      <c r="O1630" s="2"/>
      <c r="P1630" s="2"/>
      <c r="Q1630" s="2" t="s">
        <v>11002</v>
      </c>
      <c r="R1630" s="2" t="s">
        <v>11003</v>
      </c>
      <c r="S1630" s="2" t="s">
        <v>148</v>
      </c>
      <c r="T1630" s="2" t="s">
        <v>11004</v>
      </c>
      <c r="U1630" s="2" t="s">
        <v>41</v>
      </c>
      <c r="V1630" s="2" t="s">
        <v>59</v>
      </c>
      <c r="W1630" s="2">
        <v>40</v>
      </c>
      <c r="X1630" s="2">
        <v>14.8</v>
      </c>
      <c r="Y1630" s="2" t="s">
        <v>323</v>
      </c>
      <c r="Z1630" s="2" t="s">
        <v>3335</v>
      </c>
      <c r="AA1630" s="2">
        <v>-3.3888602966831001</v>
      </c>
      <c r="AB1630" s="2">
        <v>0.49199292224082097</v>
      </c>
      <c r="AC1630" s="2">
        <v>33449.883491834102</v>
      </c>
      <c r="AD1630" s="2">
        <v>17401.9526039302</v>
      </c>
      <c r="AE1630" s="2">
        <v>35588.8614713926</v>
      </c>
      <c r="AF1630" s="2">
        <v>32465.879790048901</v>
      </c>
      <c r="AG1630" s="2">
        <v>31878.571169438601</v>
      </c>
      <c r="AH1630" s="2">
        <v>33692.916765375398</v>
      </c>
      <c r="AI1630" s="2">
        <v>33495.291600955497</v>
      </c>
      <c r="AJ1630" s="2">
        <v>33577.780153793603</v>
      </c>
      <c r="AK1630" s="2">
        <v>15556.723568461601</v>
      </c>
      <c r="AL1630" s="2">
        <v>18189.4397756459</v>
      </c>
      <c r="AM1630" s="2">
        <v>17959.513316465702</v>
      </c>
      <c r="AN1630" s="2">
        <v>17649.738662700402</v>
      </c>
      <c r="AO1630" s="2">
        <v>18679.158405660899</v>
      </c>
      <c r="AP1630" s="2">
        <v>16377.1418946469</v>
      </c>
    </row>
    <row r="1631" spans="1:42" ht="14.5" x14ac:dyDescent="0.35">
      <c r="A1631" s="2" t="s">
        <v>11005</v>
      </c>
      <c r="B1631" s="2">
        <v>585.32768211208497</v>
      </c>
      <c r="C1631" s="2">
        <v>10.5979666666667</v>
      </c>
      <c r="D1631" s="2" t="s">
        <v>70</v>
      </c>
      <c r="E1631" s="2" t="s">
        <v>11006</v>
      </c>
      <c r="F1631" s="2">
        <v>201582</v>
      </c>
      <c r="G1631" s="3" t="str">
        <f>HYPERLINK("http://funmeta.oebiotech.com/network/201582", "http://funmeta.oebiotech.com/network/201582")</f>
        <v>http://funmeta.oebiotech.com/network/201582</v>
      </c>
      <c r="H1631" s="2" t="s">
        <v>11007</v>
      </c>
      <c r="I1631" s="2"/>
      <c r="J1631" s="2"/>
      <c r="K1631" s="2"/>
      <c r="L1631" s="2"/>
      <c r="M1631" s="2"/>
      <c r="N1631" s="2"/>
      <c r="O1631" s="2">
        <v>2205</v>
      </c>
      <c r="P1631" s="2"/>
      <c r="Q1631" s="2" t="s">
        <v>11008</v>
      </c>
      <c r="R1631" s="2" t="s">
        <v>11009</v>
      </c>
      <c r="S1631" s="2" t="s">
        <v>89</v>
      </c>
      <c r="T1631" s="2" t="s">
        <v>90</v>
      </c>
      <c r="U1631" s="2" t="s">
        <v>99</v>
      </c>
      <c r="V1631" s="2" t="s">
        <v>42</v>
      </c>
      <c r="W1631" s="2">
        <v>48.5</v>
      </c>
      <c r="X1631" s="2">
        <v>46.7</v>
      </c>
      <c r="Y1631" s="2" t="s">
        <v>751</v>
      </c>
      <c r="Z1631" s="2" t="s">
        <v>11010</v>
      </c>
      <c r="AA1631" s="2">
        <v>1.64484924913946</v>
      </c>
      <c r="AB1631" s="2">
        <v>0.49190055029983598</v>
      </c>
      <c r="AC1631" s="2">
        <v>35657.542576216001</v>
      </c>
      <c r="AD1631" s="2">
        <v>18966.784705731901</v>
      </c>
      <c r="AE1631" s="2">
        <v>42990.592375127198</v>
      </c>
      <c r="AF1631" s="2">
        <v>38041.981697415598</v>
      </c>
      <c r="AG1631" s="2">
        <v>33371.350745286203</v>
      </c>
      <c r="AH1631" s="2">
        <v>33553.186804435703</v>
      </c>
      <c r="AI1631" s="2">
        <v>32642.369456075401</v>
      </c>
      <c r="AJ1631" s="2">
        <v>33345.774378955997</v>
      </c>
      <c r="AK1631" s="2">
        <v>17060.624816555999</v>
      </c>
      <c r="AL1631" s="2">
        <v>21582.657079619999</v>
      </c>
      <c r="AM1631" s="2">
        <v>18402.305957308901</v>
      </c>
      <c r="AN1631" s="2">
        <v>18168.8265627029</v>
      </c>
      <c r="AO1631" s="2">
        <v>19546.330709338799</v>
      </c>
      <c r="AP1631" s="2">
        <v>19039.9631088645</v>
      </c>
    </row>
    <row r="1632" spans="1:42" ht="14.5" x14ac:dyDescent="0.35">
      <c r="A1632" s="2" t="s">
        <v>11011</v>
      </c>
      <c r="B1632" s="2">
        <v>311.03240080554502</v>
      </c>
      <c r="C1632" s="2">
        <v>0.97008333333333296</v>
      </c>
      <c r="D1632" s="2" t="s">
        <v>34</v>
      </c>
      <c r="E1632" s="2" t="s">
        <v>11012</v>
      </c>
      <c r="F1632" s="2">
        <v>56252</v>
      </c>
      <c r="G1632" s="3" t="str">
        <f>HYPERLINK("http://funmeta.oebiotech.com/network/56252", "http://funmeta.oebiotech.com/network/56252")</f>
        <v>http://funmeta.oebiotech.com/network/56252</v>
      </c>
      <c r="H1632" s="2" t="s">
        <v>11013</v>
      </c>
      <c r="I1632" s="2">
        <v>70059</v>
      </c>
      <c r="J1632" s="2"/>
      <c r="K1632" s="2">
        <v>34735</v>
      </c>
      <c r="L1632" s="2" t="s">
        <v>11014</v>
      </c>
      <c r="M1632" s="2"/>
      <c r="N1632" s="2"/>
      <c r="O1632" s="2">
        <v>28292</v>
      </c>
      <c r="P1632" s="2" t="s">
        <v>11015</v>
      </c>
      <c r="Q1632" s="2" t="s">
        <v>11016</v>
      </c>
      <c r="R1632" s="2" t="s">
        <v>11017</v>
      </c>
      <c r="S1632" s="2" t="s">
        <v>148</v>
      </c>
      <c r="T1632" s="2" t="s">
        <v>149</v>
      </c>
      <c r="U1632" s="2" t="s">
        <v>41</v>
      </c>
      <c r="V1632" s="2" t="s">
        <v>59</v>
      </c>
      <c r="W1632" s="2">
        <v>39.200000000000003</v>
      </c>
      <c r="X1632" s="2">
        <v>3.49</v>
      </c>
      <c r="Y1632" s="2" t="s">
        <v>394</v>
      </c>
      <c r="Z1632" s="2" t="s">
        <v>11018</v>
      </c>
      <c r="AA1632" s="2">
        <v>5.1684120118681898E-2</v>
      </c>
      <c r="AB1632" s="2">
        <v>0.49132975839897203</v>
      </c>
      <c r="AC1632" s="2">
        <v>45738.5669824902</v>
      </c>
      <c r="AD1632" s="2">
        <v>62781.674300508399</v>
      </c>
      <c r="AE1632" s="2">
        <v>43740.414606111197</v>
      </c>
      <c r="AF1632" s="2">
        <v>42671.5879889387</v>
      </c>
      <c r="AG1632" s="2">
        <v>51248.609703638198</v>
      </c>
      <c r="AH1632" s="2">
        <v>48320.606437112998</v>
      </c>
      <c r="AI1632" s="2">
        <v>45189.142277934603</v>
      </c>
      <c r="AJ1632" s="2">
        <v>43261.040881205299</v>
      </c>
      <c r="AK1632" s="2">
        <v>67862.938140558501</v>
      </c>
      <c r="AL1632" s="2">
        <v>57852.075771096403</v>
      </c>
      <c r="AM1632" s="2">
        <v>58529.751771722702</v>
      </c>
      <c r="AN1632" s="2">
        <v>62684.721002222999</v>
      </c>
      <c r="AO1632" s="2">
        <v>66088.793573265604</v>
      </c>
      <c r="AP1632" s="2">
        <v>63671.7655441842</v>
      </c>
    </row>
    <row r="1633" spans="1:42" ht="14.5" x14ac:dyDescent="0.35">
      <c r="A1633" s="2" t="s">
        <v>11019</v>
      </c>
      <c r="B1633" s="2">
        <v>529.16024272075197</v>
      </c>
      <c r="C1633" s="2">
        <v>4.0778333333333299</v>
      </c>
      <c r="D1633" s="2" t="s">
        <v>70</v>
      </c>
      <c r="E1633" s="2" t="s">
        <v>11020</v>
      </c>
      <c r="F1633" s="2">
        <v>58840</v>
      </c>
      <c r="G1633" s="3" t="str">
        <f>HYPERLINK("http://funmeta.oebiotech.com/network/58840", "http://funmeta.oebiotech.com/network/58840")</f>
        <v>http://funmeta.oebiotech.com/network/58840</v>
      </c>
      <c r="H1633" s="2" t="s">
        <v>11021</v>
      </c>
      <c r="I1633" s="2">
        <v>90297</v>
      </c>
      <c r="J1633" s="2"/>
      <c r="K1633" s="2"/>
      <c r="L1633" s="2"/>
      <c r="M1633" s="2"/>
      <c r="N1633" s="2"/>
      <c r="O1633" s="2">
        <v>131751636</v>
      </c>
      <c r="P1633" s="2"/>
      <c r="Q1633" s="2" t="s">
        <v>11022</v>
      </c>
      <c r="R1633" s="2" t="s">
        <v>11023</v>
      </c>
      <c r="S1633" s="2" t="s">
        <v>79</v>
      </c>
      <c r="T1633" s="2" t="s">
        <v>80</v>
      </c>
      <c r="U1633" s="2" t="s">
        <v>81</v>
      </c>
      <c r="V1633" s="2" t="s">
        <v>59</v>
      </c>
      <c r="W1633" s="2">
        <v>37.799999999999997</v>
      </c>
      <c r="X1633" s="2">
        <v>0</v>
      </c>
      <c r="Y1633" s="2" t="s">
        <v>408</v>
      </c>
      <c r="Z1633" s="2" t="s">
        <v>11024</v>
      </c>
      <c r="AA1633" s="2">
        <v>8.1864132109594507</v>
      </c>
      <c r="AB1633" s="2">
        <v>0.49124946998250502</v>
      </c>
      <c r="AC1633" s="2">
        <v>88969.304655740401</v>
      </c>
      <c r="AD1633" s="2">
        <v>71504.641614879496</v>
      </c>
      <c r="AE1633" s="2">
        <v>88703.175270679698</v>
      </c>
      <c r="AF1633" s="2">
        <v>88334.778928190499</v>
      </c>
      <c r="AG1633" s="2">
        <v>86889.1795846366</v>
      </c>
      <c r="AH1633" s="2">
        <v>86582.441314215801</v>
      </c>
      <c r="AI1633" s="2">
        <v>93212.811070737094</v>
      </c>
      <c r="AJ1633" s="2">
        <v>90093.441765982599</v>
      </c>
      <c r="AK1633" s="2">
        <v>72928.931273049093</v>
      </c>
      <c r="AL1633" s="2">
        <v>80539.638250175005</v>
      </c>
      <c r="AM1633" s="2">
        <v>72892.496230236706</v>
      </c>
      <c r="AN1633" s="2">
        <v>71971.544952280907</v>
      </c>
      <c r="AO1633" s="2">
        <v>66668.425780113204</v>
      </c>
      <c r="AP1633" s="2">
        <v>64026.813203421902</v>
      </c>
    </row>
    <row r="1634" spans="1:42" ht="14.5" x14ac:dyDescent="0.35">
      <c r="A1634" s="2" t="s">
        <v>11025</v>
      </c>
      <c r="B1634" s="2">
        <v>252.086486220816</v>
      </c>
      <c r="C1634" s="2">
        <v>4.6832000000000003</v>
      </c>
      <c r="D1634" s="2" t="s">
        <v>34</v>
      </c>
      <c r="E1634" s="2" t="s">
        <v>11026</v>
      </c>
      <c r="F1634" s="2">
        <v>62409</v>
      </c>
      <c r="G1634" s="3" t="str">
        <f>HYPERLINK("http://funmeta.oebiotech.com/network/62409", "http://funmeta.oebiotech.com/network/62409")</f>
        <v>http://funmeta.oebiotech.com/network/62409</v>
      </c>
      <c r="H1634" s="2" t="s">
        <v>11027</v>
      </c>
      <c r="I1634" s="2">
        <v>93703</v>
      </c>
      <c r="J1634" s="2"/>
      <c r="K1634" s="2">
        <v>168088</v>
      </c>
      <c r="L1634" s="2"/>
      <c r="M1634" s="2"/>
      <c r="N1634" s="2"/>
      <c r="O1634" s="2">
        <v>21257164</v>
      </c>
      <c r="P1634" s="2"/>
      <c r="Q1634" s="2" t="s">
        <v>11028</v>
      </c>
      <c r="R1634" s="2" t="s">
        <v>11029</v>
      </c>
      <c r="S1634" s="2" t="s">
        <v>89</v>
      </c>
      <c r="T1634" s="2" t="s">
        <v>90</v>
      </c>
      <c r="U1634" s="2" t="s">
        <v>99</v>
      </c>
      <c r="V1634" s="2" t="s">
        <v>59</v>
      </c>
      <c r="W1634" s="2">
        <v>46.4</v>
      </c>
      <c r="X1634" s="2">
        <v>35.700000000000003</v>
      </c>
      <c r="Y1634" s="2" t="s">
        <v>242</v>
      </c>
      <c r="Z1634" s="2" t="s">
        <v>7645</v>
      </c>
      <c r="AA1634" s="2">
        <v>-0.64812450624263096</v>
      </c>
      <c r="AB1634" s="2">
        <v>0.49086569934036201</v>
      </c>
      <c r="AC1634" s="2">
        <v>144472.461309087</v>
      </c>
      <c r="AD1634" s="2">
        <v>126733.525259228</v>
      </c>
      <c r="AE1634" s="2">
        <v>145935.195515742</v>
      </c>
      <c r="AF1634" s="2">
        <v>144742.14765768501</v>
      </c>
      <c r="AG1634" s="2">
        <v>154381.907754204</v>
      </c>
      <c r="AH1634" s="2">
        <v>137578.39233986801</v>
      </c>
      <c r="AI1634" s="2">
        <v>142682.32729726599</v>
      </c>
      <c r="AJ1634" s="2">
        <v>141514.79728976</v>
      </c>
      <c r="AK1634" s="2">
        <v>124884.890108726</v>
      </c>
      <c r="AL1634" s="2">
        <v>133275.048610725</v>
      </c>
      <c r="AM1634" s="2">
        <v>130126.913977558</v>
      </c>
      <c r="AN1634" s="2">
        <v>122550.937774615</v>
      </c>
      <c r="AO1634" s="2">
        <v>121912.16263605301</v>
      </c>
      <c r="AP1634" s="2">
        <v>127651.198447692</v>
      </c>
    </row>
    <row r="1635" spans="1:42" ht="14.5" x14ac:dyDescent="0.35">
      <c r="A1635" s="2" t="s">
        <v>11030</v>
      </c>
      <c r="B1635" s="2">
        <v>547.39916746212396</v>
      </c>
      <c r="C1635" s="2">
        <v>10.831849999999999</v>
      </c>
      <c r="D1635" s="2" t="s">
        <v>34</v>
      </c>
      <c r="E1635" s="2" t="s">
        <v>11031</v>
      </c>
      <c r="F1635" s="2">
        <v>201526</v>
      </c>
      <c r="G1635" s="3" t="str">
        <f>HYPERLINK("http://funmeta.oebiotech.com/network/201526", "http://funmeta.oebiotech.com/network/201526")</f>
        <v>http://funmeta.oebiotech.com/network/201526</v>
      </c>
      <c r="H1635" s="2" t="s">
        <v>11032</v>
      </c>
      <c r="I1635" s="2"/>
      <c r="J1635" s="2"/>
      <c r="K1635" s="2"/>
      <c r="L1635" s="2"/>
      <c r="M1635" s="2"/>
      <c r="N1635" s="2"/>
      <c r="O1635" s="2">
        <v>18725</v>
      </c>
      <c r="P1635" s="2"/>
      <c r="Q1635" s="2" t="s">
        <v>11033</v>
      </c>
      <c r="R1635" s="2" t="s">
        <v>11034</v>
      </c>
      <c r="S1635" s="2" t="s">
        <v>148</v>
      </c>
      <c r="T1635" s="2" t="s">
        <v>149</v>
      </c>
      <c r="U1635" s="2" t="s">
        <v>1593</v>
      </c>
      <c r="V1635" s="2" t="s">
        <v>59</v>
      </c>
      <c r="W1635" s="2">
        <v>37.799999999999997</v>
      </c>
      <c r="X1635" s="2">
        <v>0</v>
      </c>
      <c r="Y1635" s="2" t="s">
        <v>394</v>
      </c>
      <c r="Z1635" s="2" t="s">
        <v>11035</v>
      </c>
      <c r="AA1635" s="2">
        <v>-0.27163465983544199</v>
      </c>
      <c r="AB1635" s="2">
        <v>0.49064421107497902</v>
      </c>
      <c r="AC1635" s="2">
        <v>8873.70221581037</v>
      </c>
      <c r="AD1635" s="2">
        <v>25054.6184037073</v>
      </c>
      <c r="AE1635" s="2">
        <v>8967.8786450771404</v>
      </c>
      <c r="AF1635" s="2">
        <v>8726.67236384426</v>
      </c>
      <c r="AG1635" s="2">
        <v>8500.2640877456597</v>
      </c>
      <c r="AH1635" s="2">
        <v>8771.1758263604297</v>
      </c>
      <c r="AI1635" s="2">
        <v>7991.8174263175097</v>
      </c>
      <c r="AJ1635" s="2">
        <v>10284.404945517201</v>
      </c>
      <c r="AK1635" s="2">
        <v>22153.0941993788</v>
      </c>
      <c r="AL1635" s="2">
        <v>21166.034790850899</v>
      </c>
      <c r="AM1635" s="2">
        <v>25484.402378097999</v>
      </c>
      <c r="AN1635" s="2">
        <v>28097.9135505595</v>
      </c>
      <c r="AO1635" s="2">
        <v>27088.9469278119</v>
      </c>
      <c r="AP1635" s="2">
        <v>26337.318575544501</v>
      </c>
    </row>
    <row r="1636" spans="1:42" ht="14.5" x14ac:dyDescent="0.35">
      <c r="A1636" s="2" t="s">
        <v>11036</v>
      </c>
      <c r="B1636" s="2">
        <v>393.17643551471502</v>
      </c>
      <c r="C1636" s="2">
        <v>4.1337999999999999</v>
      </c>
      <c r="D1636" s="2" t="s">
        <v>70</v>
      </c>
      <c r="E1636" s="2" t="s">
        <v>11037</v>
      </c>
      <c r="F1636" s="2">
        <v>57855</v>
      </c>
      <c r="G1636" s="3" t="str">
        <f>HYPERLINK("http://funmeta.oebiotech.com/network/57855", "http://funmeta.oebiotech.com/network/57855")</f>
        <v>http://funmeta.oebiotech.com/network/57855</v>
      </c>
      <c r="H1636" s="2" t="s">
        <v>11038</v>
      </c>
      <c r="I1636" s="2">
        <v>89444</v>
      </c>
      <c r="J1636" s="2"/>
      <c r="K1636" s="2">
        <v>168435</v>
      </c>
      <c r="L1636" s="2"/>
      <c r="M1636" s="2"/>
      <c r="N1636" s="2"/>
      <c r="O1636" s="2">
        <v>85282611</v>
      </c>
      <c r="P1636" s="2" t="s">
        <v>11039</v>
      </c>
      <c r="Q1636" s="2" t="s">
        <v>11040</v>
      </c>
      <c r="R1636" s="2" t="s">
        <v>11041</v>
      </c>
      <c r="S1636" s="2" t="s">
        <v>50</v>
      </c>
      <c r="T1636" s="2" t="s">
        <v>201</v>
      </c>
      <c r="U1636" s="2" t="s">
        <v>202</v>
      </c>
      <c r="V1636" s="2" t="s">
        <v>42</v>
      </c>
      <c r="W1636" s="2">
        <v>47.7</v>
      </c>
      <c r="X1636" s="2">
        <v>46.6</v>
      </c>
      <c r="Y1636" s="2" t="s">
        <v>408</v>
      </c>
      <c r="Z1636" s="2" t="s">
        <v>4670</v>
      </c>
      <c r="AA1636" s="2">
        <v>-0.53193913117952596</v>
      </c>
      <c r="AB1636" s="2">
        <v>0.49041038891691002</v>
      </c>
      <c r="AC1636" s="2">
        <v>115394.774838311</v>
      </c>
      <c r="AD1636" s="2">
        <v>133627.81841800801</v>
      </c>
      <c r="AE1636" s="2">
        <v>113067.03509559399</v>
      </c>
      <c r="AF1636" s="2">
        <v>113952.098547127</v>
      </c>
      <c r="AG1636" s="2">
        <v>121808.154496402</v>
      </c>
      <c r="AH1636" s="2">
        <v>111588.85640488099</v>
      </c>
      <c r="AI1636" s="2">
        <v>109518.767993947</v>
      </c>
      <c r="AJ1636" s="2">
        <v>122433.736491918</v>
      </c>
      <c r="AK1636" s="2">
        <v>131311.60779636801</v>
      </c>
      <c r="AL1636" s="2">
        <v>139718.926034025</v>
      </c>
      <c r="AM1636" s="2">
        <v>129097.211553011</v>
      </c>
      <c r="AN1636" s="2">
        <v>142426.75957769901</v>
      </c>
      <c r="AO1636" s="2">
        <v>128679.59062045701</v>
      </c>
      <c r="AP1636" s="2">
        <v>130532.814926487</v>
      </c>
    </row>
    <row r="1637" spans="1:42" ht="14.5" x14ac:dyDescent="0.35">
      <c r="A1637" s="2" t="s">
        <v>11042</v>
      </c>
      <c r="B1637" s="2">
        <v>519.23886831076197</v>
      </c>
      <c r="C1637" s="2">
        <v>8.3059499999999993</v>
      </c>
      <c r="D1637" s="2" t="s">
        <v>34</v>
      </c>
      <c r="E1637" s="2" t="s">
        <v>11043</v>
      </c>
      <c r="F1637" s="2">
        <v>210093</v>
      </c>
      <c r="G1637" s="3" t="str">
        <f>HYPERLINK("http://funmeta.oebiotech.com/network/210093", "http://funmeta.oebiotech.com/network/210093")</f>
        <v>http://funmeta.oebiotech.com/network/210093</v>
      </c>
      <c r="H1637" s="2" t="s">
        <v>11044</v>
      </c>
      <c r="I1637" s="2"/>
      <c r="J1637" s="2"/>
      <c r="K1637" s="2"/>
      <c r="L1637" s="2"/>
      <c r="M1637" s="2"/>
      <c r="N1637" s="2"/>
      <c r="O1637" s="2"/>
      <c r="P1637" s="2"/>
      <c r="Q1637" s="2" t="s">
        <v>11045</v>
      </c>
      <c r="R1637" s="2" t="s">
        <v>11046</v>
      </c>
      <c r="S1637" s="2" t="s">
        <v>491</v>
      </c>
      <c r="T1637" s="2" t="s">
        <v>492</v>
      </c>
      <c r="U1637" s="2" t="s">
        <v>6398</v>
      </c>
      <c r="V1637" s="2" t="s">
        <v>59</v>
      </c>
      <c r="W1637" s="2">
        <v>36.9</v>
      </c>
      <c r="X1637" s="2">
        <v>0</v>
      </c>
      <c r="Y1637" s="2" t="s">
        <v>266</v>
      </c>
      <c r="Z1637" s="2" t="s">
        <v>11047</v>
      </c>
      <c r="AA1637" s="2">
        <v>-0.37103170979479599</v>
      </c>
      <c r="AB1637" s="2">
        <v>0.48984296648721098</v>
      </c>
      <c r="AC1637" s="2">
        <v>22032.4094170682</v>
      </c>
      <c r="AD1637" s="2">
        <v>5634.7995348230497</v>
      </c>
      <c r="AE1637" s="2">
        <v>21070.4399846542</v>
      </c>
      <c r="AF1637" s="2">
        <v>21804.5243225866</v>
      </c>
      <c r="AG1637" s="2">
        <v>23819.894346004301</v>
      </c>
      <c r="AH1637" s="2">
        <v>18028.6739822036</v>
      </c>
      <c r="AI1637" s="2">
        <v>20064.037929953302</v>
      </c>
      <c r="AJ1637" s="2">
        <v>27406.885937007199</v>
      </c>
      <c r="AK1637" s="2">
        <v>6427.4251339788698</v>
      </c>
      <c r="AL1637" s="2">
        <v>8932.2075743516707</v>
      </c>
      <c r="AM1637" s="2">
        <v>5234.3071674833</v>
      </c>
      <c r="AN1637" s="2">
        <v>2936.87185824977</v>
      </c>
      <c r="AO1637" s="2">
        <v>6144.0189334976703</v>
      </c>
      <c r="AP1637" s="2">
        <v>4133.9665413769999</v>
      </c>
    </row>
    <row r="1638" spans="1:42" ht="14.5" x14ac:dyDescent="0.35">
      <c r="A1638" s="2" t="s">
        <v>11048</v>
      </c>
      <c r="B1638" s="2">
        <v>341.23307278470401</v>
      </c>
      <c r="C1638" s="2">
        <v>8.0060000000000002</v>
      </c>
      <c r="D1638" s="2" t="s">
        <v>70</v>
      </c>
      <c r="E1638" s="2" t="s">
        <v>11049</v>
      </c>
      <c r="F1638" s="2">
        <v>3269</v>
      </c>
      <c r="G1638" s="3" t="str">
        <f>HYPERLINK("http://funmeta.oebiotech.com/network/3269", "http://funmeta.oebiotech.com/network/3269")</f>
        <v>http://funmeta.oebiotech.com/network/3269</v>
      </c>
      <c r="H1638" s="2"/>
      <c r="I1638" s="2"/>
      <c r="J1638" s="2" t="s">
        <v>11050</v>
      </c>
      <c r="K1638" s="2"/>
      <c r="L1638" s="2"/>
      <c r="M1638" s="2"/>
      <c r="N1638" s="2"/>
      <c r="O1638" s="2">
        <v>131839811</v>
      </c>
      <c r="P1638" s="2"/>
      <c r="Q1638" s="2" t="s">
        <v>11051</v>
      </c>
      <c r="R1638" s="2" t="s">
        <v>11052</v>
      </c>
      <c r="S1638" s="2" t="s">
        <v>50</v>
      </c>
      <c r="T1638" s="2" t="s">
        <v>229</v>
      </c>
      <c r="U1638" s="2" t="s">
        <v>1360</v>
      </c>
      <c r="V1638" s="2" t="s">
        <v>59</v>
      </c>
      <c r="W1638" s="2">
        <v>43.4</v>
      </c>
      <c r="X1638" s="2">
        <v>20.9</v>
      </c>
      <c r="Y1638" s="2" t="s">
        <v>408</v>
      </c>
      <c r="Z1638" s="2" t="s">
        <v>1361</v>
      </c>
      <c r="AA1638" s="2">
        <v>-0.92821605066489399</v>
      </c>
      <c r="AB1638" s="2">
        <v>0.489617696834869</v>
      </c>
      <c r="AC1638" s="2">
        <v>24901.4161419394</v>
      </c>
      <c r="AD1638" s="2">
        <v>9094.1625841689292</v>
      </c>
      <c r="AE1638" s="2">
        <v>24868.3300952024</v>
      </c>
      <c r="AF1638" s="2">
        <v>23135.020224108401</v>
      </c>
      <c r="AG1638" s="2">
        <v>25858.021161083201</v>
      </c>
      <c r="AH1638" s="2">
        <v>24267.039178077601</v>
      </c>
      <c r="AI1638" s="2">
        <v>25696.622394128201</v>
      </c>
      <c r="AJ1638" s="2">
        <v>25583.463799036399</v>
      </c>
      <c r="AK1638" s="2">
        <v>9456.5642671801306</v>
      </c>
      <c r="AL1638" s="2">
        <v>8914.1740700934697</v>
      </c>
      <c r="AM1638" s="2">
        <v>9431.4124432140197</v>
      </c>
      <c r="AN1638" s="2">
        <v>9189.9330461181798</v>
      </c>
      <c r="AO1638" s="2">
        <v>8511.8520890505497</v>
      </c>
      <c r="AP1638" s="2">
        <v>9061.0395893572604</v>
      </c>
    </row>
    <row r="1639" spans="1:42" ht="14.5" x14ac:dyDescent="0.35">
      <c r="A1639" s="2" t="s">
        <v>11053</v>
      </c>
      <c r="B1639" s="2">
        <v>697.27127631463497</v>
      </c>
      <c r="C1639" s="2">
        <v>7.8503333333333298</v>
      </c>
      <c r="D1639" s="2" t="s">
        <v>70</v>
      </c>
      <c r="E1639" s="2" t="s">
        <v>11054</v>
      </c>
      <c r="F1639" s="2">
        <v>280331</v>
      </c>
      <c r="G1639" s="3" t="str">
        <f>HYPERLINK("http://funmeta.oebiotech.com/network/280331", "http://funmeta.oebiotech.com/network/280331")</f>
        <v>http://funmeta.oebiotech.com/network/280331</v>
      </c>
      <c r="H1639" s="2"/>
      <c r="I1639" s="2">
        <v>73402</v>
      </c>
      <c r="J1639" s="2"/>
      <c r="K1639" s="2"/>
      <c r="L1639" s="2" t="s">
        <v>11055</v>
      </c>
      <c r="M1639" s="2" t="s">
        <v>11056</v>
      </c>
      <c r="N1639" s="2" t="s">
        <v>11057</v>
      </c>
      <c r="O1639" s="2">
        <v>10461942</v>
      </c>
      <c r="P1639" s="2"/>
      <c r="Q1639" s="2" t="s">
        <v>11058</v>
      </c>
      <c r="R1639" s="2" t="s">
        <v>11059</v>
      </c>
      <c r="S1639" s="2" t="s">
        <v>50</v>
      </c>
      <c r="T1639" s="2" t="s">
        <v>201</v>
      </c>
      <c r="U1639" s="2" t="s">
        <v>241</v>
      </c>
      <c r="V1639" s="2" t="s">
        <v>59</v>
      </c>
      <c r="W1639" s="2">
        <v>38.299999999999997</v>
      </c>
      <c r="X1639" s="2">
        <v>0</v>
      </c>
      <c r="Y1639" s="2" t="s">
        <v>408</v>
      </c>
      <c r="Z1639" s="2" t="s">
        <v>2531</v>
      </c>
      <c r="AA1639" s="2">
        <v>-5.0040823701974699E-2</v>
      </c>
      <c r="AB1639" s="2">
        <v>0.48935943201968901</v>
      </c>
      <c r="AC1639" s="2">
        <v>15755.9443712505</v>
      </c>
      <c r="AD1639" s="2">
        <v>7.5380146733140796</v>
      </c>
      <c r="AE1639" s="2">
        <v>15092.756868111101</v>
      </c>
      <c r="AF1639" s="2">
        <v>16017.402435215001</v>
      </c>
      <c r="AG1639" s="2">
        <v>16588.346790862699</v>
      </c>
      <c r="AH1639" s="2">
        <v>16844.6725046629</v>
      </c>
      <c r="AI1639" s="2">
        <v>14001.5791788312</v>
      </c>
      <c r="AJ1639" s="2">
        <v>15990.908449819801</v>
      </c>
      <c r="AK1639" s="2">
        <v>7.3484505089795702</v>
      </c>
      <c r="AL1639" s="2">
        <v>37.873430309313399</v>
      </c>
      <c r="AM1639" s="2">
        <v>6.1259027094986802E-3</v>
      </c>
      <c r="AN1639" s="2">
        <v>2.7106294003980101E-5</v>
      </c>
      <c r="AO1639" s="2">
        <v>2.7106294003980101E-5</v>
      </c>
      <c r="AP1639" s="2">
        <v>2.7106294003980101E-5</v>
      </c>
    </row>
    <row r="1640" spans="1:42" ht="14.5" x14ac:dyDescent="0.35">
      <c r="A1640" s="2" t="s">
        <v>11060</v>
      </c>
      <c r="B1640" s="2">
        <v>305.24834353757302</v>
      </c>
      <c r="C1640" s="2">
        <v>12.7891833333333</v>
      </c>
      <c r="D1640" s="2" t="s">
        <v>70</v>
      </c>
      <c r="E1640" s="2" t="s">
        <v>11061</v>
      </c>
      <c r="F1640" s="2">
        <v>202295</v>
      </c>
      <c r="G1640" s="3" t="str">
        <f>HYPERLINK("http://funmeta.oebiotech.com/network/202295", "http://funmeta.oebiotech.com/network/202295")</f>
        <v>http://funmeta.oebiotech.com/network/202295</v>
      </c>
      <c r="H1640" s="2" t="s">
        <v>11062</v>
      </c>
      <c r="I1640" s="2"/>
      <c r="J1640" s="2"/>
      <c r="K1640" s="2"/>
      <c r="L1640" s="2"/>
      <c r="M1640" s="2"/>
      <c r="N1640" s="2"/>
      <c r="O1640" s="2">
        <v>123412</v>
      </c>
      <c r="P1640" s="2"/>
      <c r="Q1640" s="2" t="s">
        <v>11063</v>
      </c>
      <c r="R1640" s="2" t="s">
        <v>11064</v>
      </c>
      <c r="S1640" s="2" t="s">
        <v>50</v>
      </c>
      <c r="T1640" s="2" t="s">
        <v>124</v>
      </c>
      <c r="U1640" s="2" t="s">
        <v>2373</v>
      </c>
      <c r="V1640" s="2" t="s">
        <v>59</v>
      </c>
      <c r="W1640" s="2">
        <v>39.4</v>
      </c>
      <c r="X1640" s="2">
        <v>0.36699999999999999</v>
      </c>
      <c r="Y1640" s="2" t="s">
        <v>408</v>
      </c>
      <c r="Z1640" s="2" t="s">
        <v>11065</v>
      </c>
      <c r="AA1640" s="2">
        <v>-1.0004160080045299</v>
      </c>
      <c r="AB1640" s="2">
        <v>0.48932520714095501</v>
      </c>
      <c r="AC1640" s="2">
        <v>31253.1082247837</v>
      </c>
      <c r="AD1640" s="2">
        <v>15148.0494273857</v>
      </c>
      <c r="AE1640" s="2">
        <v>32324.908288950701</v>
      </c>
      <c r="AF1640" s="2">
        <v>29605.8461815505</v>
      </c>
      <c r="AG1640" s="2">
        <v>33274.7741973542</v>
      </c>
      <c r="AH1640" s="2">
        <v>32009.852681466</v>
      </c>
      <c r="AI1640" s="2">
        <v>27926.403185385701</v>
      </c>
      <c r="AJ1640" s="2">
        <v>32376.8648139951</v>
      </c>
      <c r="AK1640" s="2">
        <v>18654.409814230701</v>
      </c>
      <c r="AL1640" s="2">
        <v>17016.3560424639</v>
      </c>
      <c r="AM1640" s="2">
        <v>15000.7542460894</v>
      </c>
      <c r="AN1640" s="2">
        <v>13771.831347002801</v>
      </c>
      <c r="AO1640" s="2">
        <v>13504.5427241082</v>
      </c>
      <c r="AP1640" s="2">
        <v>12940.4023904191</v>
      </c>
    </row>
    <row r="1641" spans="1:42" ht="14.5" x14ac:dyDescent="0.35">
      <c r="A1641" s="2" t="s">
        <v>11066</v>
      </c>
      <c r="B1641" s="2">
        <v>451.21848012447498</v>
      </c>
      <c r="C1641" s="2">
        <v>4.2944166666666703</v>
      </c>
      <c r="D1641" s="2" t="s">
        <v>70</v>
      </c>
      <c r="E1641" s="2" t="s">
        <v>11067</v>
      </c>
      <c r="F1641" s="2">
        <v>57069</v>
      </c>
      <c r="G1641" s="3" t="str">
        <f>HYPERLINK("http://funmeta.oebiotech.com/network/57069", "http://funmeta.oebiotech.com/network/57069")</f>
        <v>http://funmeta.oebiotech.com/network/57069</v>
      </c>
      <c r="H1641" s="2" t="s">
        <v>11068</v>
      </c>
      <c r="I1641" s="2">
        <v>88721</v>
      </c>
      <c r="J1641" s="2"/>
      <c r="K1641" s="2">
        <v>167932</v>
      </c>
      <c r="L1641" s="2"/>
      <c r="M1641" s="2"/>
      <c r="N1641" s="2"/>
      <c r="O1641" s="2">
        <v>131751313</v>
      </c>
      <c r="P1641" s="2"/>
      <c r="Q1641" s="2" t="s">
        <v>11069</v>
      </c>
      <c r="R1641" s="2" t="s">
        <v>11070</v>
      </c>
      <c r="S1641" s="2" t="s">
        <v>50</v>
      </c>
      <c r="T1641" s="2" t="s">
        <v>229</v>
      </c>
      <c r="U1641" s="2" t="s">
        <v>230</v>
      </c>
      <c r="V1641" s="2" t="s">
        <v>59</v>
      </c>
      <c r="W1641" s="2">
        <v>45.2</v>
      </c>
      <c r="X1641" s="2">
        <v>38.1</v>
      </c>
      <c r="Y1641" s="2" t="s">
        <v>751</v>
      </c>
      <c r="Z1641" s="2" t="s">
        <v>11071</v>
      </c>
      <c r="AA1641" s="2">
        <v>-1.1502524048319101E-2</v>
      </c>
      <c r="AB1641" s="2">
        <v>0.48915790903814899</v>
      </c>
      <c r="AC1641" s="2">
        <v>167618.384192809</v>
      </c>
      <c r="AD1641" s="2">
        <v>142757.66028722399</v>
      </c>
      <c r="AE1641" s="2">
        <v>173524.72492661601</v>
      </c>
      <c r="AF1641" s="2">
        <v>157469.53796914799</v>
      </c>
      <c r="AG1641" s="2">
        <v>145228.090832652</v>
      </c>
      <c r="AH1641" s="2">
        <v>185085.57452283101</v>
      </c>
      <c r="AI1641" s="2">
        <v>166709.860228707</v>
      </c>
      <c r="AJ1641" s="2">
        <v>177692.516676903</v>
      </c>
      <c r="AK1641" s="2">
        <v>147077.95527452801</v>
      </c>
      <c r="AL1641" s="2">
        <v>132114.86109029499</v>
      </c>
      <c r="AM1641" s="2">
        <v>129131.11326833699</v>
      </c>
      <c r="AN1641" s="2">
        <v>175238.24390520601</v>
      </c>
      <c r="AO1641" s="2">
        <v>126231.874885679</v>
      </c>
      <c r="AP1641" s="2">
        <v>146751.913299298</v>
      </c>
    </row>
    <row r="1642" spans="1:42" ht="14.5" x14ac:dyDescent="0.35">
      <c r="A1642" s="2" t="s">
        <v>11072</v>
      </c>
      <c r="B1642" s="2">
        <v>184.98547661092499</v>
      </c>
      <c r="C1642" s="2">
        <v>10.1704166666667</v>
      </c>
      <c r="D1642" s="2" t="s">
        <v>34</v>
      </c>
      <c r="E1642" s="2" t="s">
        <v>11073</v>
      </c>
      <c r="F1642" s="2">
        <v>47351</v>
      </c>
      <c r="G1642" s="3" t="str">
        <f>HYPERLINK("http://funmeta.oebiotech.com/network/47351", "http://funmeta.oebiotech.com/network/47351")</f>
        <v>http://funmeta.oebiotech.com/network/47351</v>
      </c>
      <c r="H1642" s="2" t="s">
        <v>11074</v>
      </c>
      <c r="I1642" s="2">
        <v>484</v>
      </c>
      <c r="J1642" s="2"/>
      <c r="K1642" s="2">
        <v>30933</v>
      </c>
      <c r="L1642" s="2" t="s">
        <v>11075</v>
      </c>
      <c r="M1642" s="2" t="s">
        <v>11076</v>
      </c>
      <c r="N1642" s="2" t="s">
        <v>11077</v>
      </c>
      <c r="O1642" s="2">
        <v>105</v>
      </c>
      <c r="P1642" s="2" t="s">
        <v>11078</v>
      </c>
      <c r="Q1642" s="2" t="s">
        <v>11079</v>
      </c>
      <c r="R1642" s="2" t="s">
        <v>11080</v>
      </c>
      <c r="S1642" s="2" t="s">
        <v>79</v>
      </c>
      <c r="T1642" s="2" t="s">
        <v>80</v>
      </c>
      <c r="U1642" s="2" t="s">
        <v>2820</v>
      </c>
      <c r="V1642" s="2" t="s">
        <v>59</v>
      </c>
      <c r="W1642" s="2">
        <v>39.799999999999997</v>
      </c>
      <c r="X1642" s="2">
        <v>6.51</v>
      </c>
      <c r="Y1642" s="2" t="s">
        <v>394</v>
      </c>
      <c r="Z1642" s="2" t="s">
        <v>11081</v>
      </c>
      <c r="AA1642" s="2">
        <v>4.9519789063706003</v>
      </c>
      <c r="AB1642" s="2">
        <v>0.48908197673266002</v>
      </c>
      <c r="AC1642" s="2">
        <v>147326.64364433999</v>
      </c>
      <c r="AD1642" s="2">
        <v>164134.07962457801</v>
      </c>
      <c r="AE1642" s="2">
        <v>146089.036738989</v>
      </c>
      <c r="AF1642" s="2">
        <v>153066.05258985999</v>
      </c>
      <c r="AG1642" s="2">
        <v>147980.484690957</v>
      </c>
      <c r="AH1642" s="2">
        <v>145889.83722592401</v>
      </c>
      <c r="AI1642" s="2">
        <v>146036.235912114</v>
      </c>
      <c r="AJ1642" s="2">
        <v>144898.21470819699</v>
      </c>
      <c r="AK1642" s="2">
        <v>161824.069049843</v>
      </c>
      <c r="AL1642" s="2">
        <v>164396.45081890799</v>
      </c>
      <c r="AM1642" s="2">
        <v>165923.641431817</v>
      </c>
      <c r="AN1642" s="2">
        <v>162882.35065398901</v>
      </c>
      <c r="AO1642" s="2">
        <v>170633.12774669699</v>
      </c>
      <c r="AP1642" s="2">
        <v>159144.838046216</v>
      </c>
    </row>
    <row r="1643" spans="1:42" ht="14.5" x14ac:dyDescent="0.35">
      <c r="A1643" s="2" t="s">
        <v>11082</v>
      </c>
      <c r="B1643" s="2">
        <v>472.28327720956702</v>
      </c>
      <c r="C1643" s="2">
        <v>5.3873333333333298</v>
      </c>
      <c r="D1643" s="2" t="s">
        <v>34</v>
      </c>
      <c r="E1643" s="2" t="s">
        <v>11083</v>
      </c>
      <c r="F1643" s="2">
        <v>46733</v>
      </c>
      <c r="G1643" s="3" t="str">
        <f>HYPERLINK("http://funmeta.oebiotech.com/network/46733", "http://funmeta.oebiotech.com/network/46733")</f>
        <v>http://funmeta.oebiotech.com/network/46733</v>
      </c>
      <c r="H1643" s="2" t="s">
        <v>11084</v>
      </c>
      <c r="I1643" s="2">
        <v>5666</v>
      </c>
      <c r="J1643" s="2" t="s">
        <v>11085</v>
      </c>
      <c r="K1643" s="2">
        <v>37998</v>
      </c>
      <c r="L1643" s="2" t="s">
        <v>11086</v>
      </c>
      <c r="M1643" s="2"/>
      <c r="N1643" s="2"/>
      <c r="O1643" s="2">
        <v>115245</v>
      </c>
      <c r="P1643" s="2" t="s">
        <v>11087</v>
      </c>
      <c r="Q1643" s="2" t="s">
        <v>11088</v>
      </c>
      <c r="R1643" s="2" t="s">
        <v>11089</v>
      </c>
      <c r="S1643" s="2" t="s">
        <v>50</v>
      </c>
      <c r="T1643" s="2" t="s">
        <v>124</v>
      </c>
      <c r="U1643" s="2" t="s">
        <v>125</v>
      </c>
      <c r="V1643" s="2" t="s">
        <v>59</v>
      </c>
      <c r="W1643" s="2">
        <v>37.799999999999997</v>
      </c>
      <c r="X1643" s="2">
        <v>13.5</v>
      </c>
      <c r="Y1643" s="2" t="s">
        <v>340</v>
      </c>
      <c r="Z1643" s="2" t="s">
        <v>11090</v>
      </c>
      <c r="AA1643" s="2">
        <v>2.1006858183426198</v>
      </c>
      <c r="AB1643" s="2">
        <v>0.488802990733468</v>
      </c>
      <c r="AC1643" s="2">
        <v>135792.599115997</v>
      </c>
      <c r="AD1643" s="2">
        <v>110798.491688416</v>
      </c>
      <c r="AE1643" s="2">
        <v>173696.65605685601</v>
      </c>
      <c r="AF1643" s="2">
        <v>124062.478809304</v>
      </c>
      <c r="AG1643" s="2">
        <v>120856.334353388</v>
      </c>
      <c r="AH1643" s="2">
        <v>136593.461878395</v>
      </c>
      <c r="AI1643" s="2">
        <v>139322.17652773199</v>
      </c>
      <c r="AJ1643" s="2">
        <v>120224.487070309</v>
      </c>
      <c r="AK1643" s="2">
        <v>101026.632998043</v>
      </c>
      <c r="AL1643" s="2">
        <v>100878.007789501</v>
      </c>
      <c r="AM1643" s="2">
        <v>131824.27583241201</v>
      </c>
      <c r="AN1643" s="2">
        <v>118583.058407473</v>
      </c>
      <c r="AO1643" s="2">
        <v>102604.698488136</v>
      </c>
      <c r="AP1643" s="2">
        <v>109874.276614929</v>
      </c>
    </row>
    <row r="1644" spans="1:42" ht="14.5" x14ac:dyDescent="0.35">
      <c r="A1644" s="2" t="s">
        <v>11091</v>
      </c>
      <c r="B1644" s="2">
        <v>745.28286485079195</v>
      </c>
      <c r="C1644" s="2">
        <v>10.360799999999999</v>
      </c>
      <c r="D1644" s="2" t="s">
        <v>34</v>
      </c>
      <c r="E1644" s="2" t="s">
        <v>11092</v>
      </c>
      <c r="F1644" s="2">
        <v>62950</v>
      </c>
      <c r="G1644" s="3" t="str">
        <f>HYPERLINK("http://funmeta.oebiotech.com/network/62950", "http://funmeta.oebiotech.com/network/62950")</f>
        <v>http://funmeta.oebiotech.com/network/62950</v>
      </c>
      <c r="H1644" s="2" t="s">
        <v>11093</v>
      </c>
      <c r="I1644" s="2"/>
      <c r="J1644" s="2"/>
      <c r="K1644" s="2"/>
      <c r="L1644" s="2"/>
      <c r="M1644" s="2"/>
      <c r="N1644" s="2"/>
      <c r="O1644" s="2">
        <v>85091430</v>
      </c>
      <c r="P1644" s="2" t="s">
        <v>11094</v>
      </c>
      <c r="Q1644" s="2" t="s">
        <v>11095</v>
      </c>
      <c r="R1644" s="2" t="s">
        <v>11096</v>
      </c>
      <c r="S1644" s="2" t="s">
        <v>50</v>
      </c>
      <c r="T1644" s="2" t="s">
        <v>124</v>
      </c>
      <c r="U1644" s="2" t="s">
        <v>567</v>
      </c>
      <c r="V1644" s="2" t="s">
        <v>59</v>
      </c>
      <c r="W1644" s="2">
        <v>37.9</v>
      </c>
      <c r="X1644" s="2">
        <v>0</v>
      </c>
      <c r="Y1644" s="2" t="s">
        <v>340</v>
      </c>
      <c r="Z1644" s="2" t="s">
        <v>11097</v>
      </c>
      <c r="AA1644" s="2">
        <v>-0.49482744385472399</v>
      </c>
      <c r="AB1644" s="2">
        <v>0.48868782996172</v>
      </c>
      <c r="AC1644" s="2">
        <v>31354.350090844498</v>
      </c>
      <c r="AD1644" s="2">
        <v>15348.539230083799</v>
      </c>
      <c r="AE1644" s="2">
        <v>31462.3040309186</v>
      </c>
      <c r="AF1644" s="2">
        <v>29540.7396204059</v>
      </c>
      <c r="AG1644" s="2">
        <v>31416.243480417001</v>
      </c>
      <c r="AH1644" s="2">
        <v>34127.692209686204</v>
      </c>
      <c r="AI1644" s="2">
        <v>29603.993830263</v>
      </c>
      <c r="AJ1644" s="2">
        <v>31975.127373376399</v>
      </c>
      <c r="AK1644" s="2">
        <v>14080.7916463164</v>
      </c>
      <c r="AL1644" s="2">
        <v>13059.7932038463</v>
      </c>
      <c r="AM1644" s="2">
        <v>15554.677884504201</v>
      </c>
      <c r="AN1644" s="2">
        <v>16740.713388820201</v>
      </c>
      <c r="AO1644" s="2">
        <v>18209.987428235501</v>
      </c>
      <c r="AP1644" s="2">
        <v>14445.2718287804</v>
      </c>
    </row>
    <row r="1645" spans="1:42" ht="14.5" x14ac:dyDescent="0.35">
      <c r="A1645" s="2" t="s">
        <v>11098</v>
      </c>
      <c r="B1645" s="2">
        <v>453.11854403261998</v>
      </c>
      <c r="C1645" s="2">
        <v>4.4710000000000001</v>
      </c>
      <c r="D1645" s="2" t="s">
        <v>70</v>
      </c>
      <c r="E1645" s="2" t="s">
        <v>11099</v>
      </c>
      <c r="F1645" s="2">
        <v>34925</v>
      </c>
      <c r="G1645" s="3" t="str">
        <f>HYPERLINK("http://funmeta.oebiotech.com/network/34925", "http://funmeta.oebiotech.com/network/34925")</f>
        <v>http://funmeta.oebiotech.com/network/34925</v>
      </c>
      <c r="H1645" s="2"/>
      <c r="I1645" s="2">
        <v>53206</v>
      </c>
      <c r="J1645" s="2" t="s">
        <v>11100</v>
      </c>
      <c r="K1645" s="2"/>
      <c r="L1645" s="2"/>
      <c r="M1645" s="2"/>
      <c r="N1645" s="2"/>
      <c r="O1645" s="2">
        <v>54715762</v>
      </c>
      <c r="P1645" s="2"/>
      <c r="Q1645" s="2" t="s">
        <v>11101</v>
      </c>
      <c r="R1645" s="2" t="s">
        <v>11102</v>
      </c>
      <c r="S1645" s="2" t="s">
        <v>115</v>
      </c>
      <c r="T1645" s="2" t="s">
        <v>758</v>
      </c>
      <c r="U1645" s="2" t="s">
        <v>1477</v>
      </c>
      <c r="V1645" s="2" t="s">
        <v>59</v>
      </c>
      <c r="W1645" s="2">
        <v>46.8</v>
      </c>
      <c r="X1645" s="2">
        <v>39.299999999999997</v>
      </c>
      <c r="Y1645" s="2" t="s">
        <v>408</v>
      </c>
      <c r="Z1645" s="2" t="s">
        <v>11103</v>
      </c>
      <c r="AA1645" s="2">
        <v>-1.3765913374071601</v>
      </c>
      <c r="AB1645" s="2">
        <v>0.48867088914740198</v>
      </c>
      <c r="AC1645" s="2">
        <v>81781.600752294602</v>
      </c>
      <c r="AD1645" s="2">
        <v>98341.094689056205</v>
      </c>
      <c r="AE1645" s="2">
        <v>85471.375046168396</v>
      </c>
      <c r="AF1645" s="2">
        <v>82600.449971887399</v>
      </c>
      <c r="AG1645" s="2">
        <v>77682.441370097105</v>
      </c>
      <c r="AH1645" s="2">
        <v>79379.349301609705</v>
      </c>
      <c r="AI1645" s="2">
        <v>82662.180275833496</v>
      </c>
      <c r="AJ1645" s="2">
        <v>82893.808548171204</v>
      </c>
      <c r="AK1645" s="2">
        <v>94522.298204619394</v>
      </c>
      <c r="AL1645" s="2">
        <v>101173.86021739</v>
      </c>
      <c r="AM1645" s="2">
        <v>102653.117508529</v>
      </c>
      <c r="AN1645" s="2">
        <v>99806.406308346195</v>
      </c>
      <c r="AO1645" s="2">
        <v>97593.825809263406</v>
      </c>
      <c r="AP1645" s="2">
        <v>94297.0600861891</v>
      </c>
    </row>
    <row r="1646" spans="1:42" ht="14.5" x14ac:dyDescent="0.35">
      <c r="A1646" s="2" t="s">
        <v>11104</v>
      </c>
      <c r="B1646" s="2">
        <v>417.260860235856</v>
      </c>
      <c r="C1646" s="2">
        <v>10.5845</v>
      </c>
      <c r="D1646" s="2" t="s">
        <v>34</v>
      </c>
      <c r="E1646" s="2" t="s">
        <v>11105</v>
      </c>
      <c r="F1646" s="2">
        <v>52416</v>
      </c>
      <c r="G1646" s="3" t="str">
        <f>HYPERLINK("http://funmeta.oebiotech.com/network/52416", "http://funmeta.oebiotech.com/network/52416")</f>
        <v>http://funmeta.oebiotech.com/network/52416</v>
      </c>
      <c r="H1646" s="2" t="s">
        <v>11106</v>
      </c>
      <c r="I1646" s="2">
        <v>44863</v>
      </c>
      <c r="J1646" s="2"/>
      <c r="K1646" s="2">
        <v>132121</v>
      </c>
      <c r="L1646" s="2"/>
      <c r="M1646" s="2"/>
      <c r="N1646" s="2"/>
      <c r="O1646" s="2">
        <v>53481916</v>
      </c>
      <c r="P1646" s="2" t="s">
        <v>11107</v>
      </c>
      <c r="Q1646" s="2" t="s">
        <v>11108</v>
      </c>
      <c r="R1646" s="2" t="s">
        <v>11109</v>
      </c>
      <c r="S1646" s="2" t="s">
        <v>50</v>
      </c>
      <c r="T1646" s="2" t="s">
        <v>448</v>
      </c>
      <c r="U1646" s="2" t="s">
        <v>7051</v>
      </c>
      <c r="V1646" s="2" t="s">
        <v>59</v>
      </c>
      <c r="W1646" s="2">
        <v>47.7</v>
      </c>
      <c r="X1646" s="2">
        <v>45</v>
      </c>
      <c r="Y1646" s="2" t="s">
        <v>1115</v>
      </c>
      <c r="Z1646" s="2" t="s">
        <v>11110</v>
      </c>
      <c r="AA1646" s="2">
        <v>-0.72224418239644805</v>
      </c>
      <c r="AB1646" s="2">
        <v>0.48846785186490399</v>
      </c>
      <c r="AC1646" s="2">
        <v>23104.235758704301</v>
      </c>
      <c r="AD1646" s="2">
        <v>7330.4664042250497</v>
      </c>
      <c r="AE1646" s="2">
        <v>24648.181819537302</v>
      </c>
      <c r="AF1646" s="2">
        <v>21320.262076657102</v>
      </c>
      <c r="AG1646" s="2">
        <v>22847.762528289601</v>
      </c>
      <c r="AH1646" s="2">
        <v>23256.398366147099</v>
      </c>
      <c r="AI1646" s="2">
        <v>22662.733068824</v>
      </c>
      <c r="AJ1646" s="2">
        <v>23890.076692770799</v>
      </c>
      <c r="AK1646" s="2">
        <v>9392.63681221144</v>
      </c>
      <c r="AL1646" s="2">
        <v>7400.0073058759899</v>
      </c>
      <c r="AM1646" s="2">
        <v>7008.3229742780004</v>
      </c>
      <c r="AN1646" s="2">
        <v>6925.1882830322402</v>
      </c>
      <c r="AO1646" s="2">
        <v>6779.3723921056999</v>
      </c>
      <c r="AP1646" s="2">
        <v>6477.2706578469297</v>
      </c>
    </row>
    <row r="1647" spans="1:42" ht="14.5" x14ac:dyDescent="0.35">
      <c r="A1647" s="2" t="s">
        <v>11111</v>
      </c>
      <c r="B1647" s="2">
        <v>297.24324736968998</v>
      </c>
      <c r="C1647" s="2">
        <v>10.7203</v>
      </c>
      <c r="D1647" s="2" t="s">
        <v>70</v>
      </c>
      <c r="E1647" s="2" t="s">
        <v>11112</v>
      </c>
      <c r="F1647" s="2">
        <v>3280</v>
      </c>
      <c r="G1647" s="3" t="str">
        <f>HYPERLINK("http://funmeta.oebiotech.com/network/3280", "http://funmeta.oebiotech.com/network/3280")</f>
        <v>http://funmeta.oebiotech.com/network/3280</v>
      </c>
      <c r="H1647" s="2" t="s">
        <v>11113</v>
      </c>
      <c r="I1647" s="2">
        <v>36008</v>
      </c>
      <c r="J1647" s="2" t="s">
        <v>11114</v>
      </c>
      <c r="K1647" s="2">
        <v>85661</v>
      </c>
      <c r="L1647" s="2" t="s">
        <v>11115</v>
      </c>
      <c r="M1647" s="2" t="s">
        <v>3274</v>
      </c>
      <c r="N1647" s="2" t="s">
        <v>3275</v>
      </c>
      <c r="O1647" s="2">
        <v>15868</v>
      </c>
      <c r="P1647" s="2" t="s">
        <v>11116</v>
      </c>
      <c r="Q1647" s="2" t="s">
        <v>11117</v>
      </c>
      <c r="R1647" s="2" t="s">
        <v>11118</v>
      </c>
      <c r="S1647" s="2" t="s">
        <v>50</v>
      </c>
      <c r="T1647" s="2" t="s">
        <v>229</v>
      </c>
      <c r="U1647" s="2" t="s">
        <v>1360</v>
      </c>
      <c r="V1647" s="2" t="s">
        <v>59</v>
      </c>
      <c r="W1647" s="2">
        <v>46.1</v>
      </c>
      <c r="X1647" s="2">
        <v>35.5</v>
      </c>
      <c r="Y1647" s="2" t="s">
        <v>118</v>
      </c>
      <c r="Z1647" s="2" t="s">
        <v>11119</v>
      </c>
      <c r="AA1647" s="2">
        <v>-0.90912538955262301</v>
      </c>
      <c r="AB1647" s="2">
        <v>0.48764211981074002</v>
      </c>
      <c r="AC1647" s="2">
        <v>81319.751876924798</v>
      </c>
      <c r="AD1647" s="2">
        <v>99159.337477955894</v>
      </c>
      <c r="AE1647" s="2">
        <v>83052.855779410005</v>
      </c>
      <c r="AF1647" s="2">
        <v>78145.995030573002</v>
      </c>
      <c r="AG1647" s="2">
        <v>81566.925467482899</v>
      </c>
      <c r="AH1647" s="2">
        <v>93631.912015338996</v>
      </c>
      <c r="AI1647" s="2">
        <v>77971.413590706899</v>
      </c>
      <c r="AJ1647" s="2">
        <v>73549.4093780369</v>
      </c>
      <c r="AK1647" s="2">
        <v>97184.412260792393</v>
      </c>
      <c r="AL1647" s="2">
        <v>102774.02538919399</v>
      </c>
      <c r="AM1647" s="2">
        <v>103269.769849427</v>
      </c>
      <c r="AN1647" s="2">
        <v>97099.2873486514</v>
      </c>
      <c r="AO1647" s="2">
        <v>99194.552721203596</v>
      </c>
      <c r="AP1647" s="2">
        <v>95433.977298466998</v>
      </c>
    </row>
    <row r="1648" spans="1:42" ht="14.5" x14ac:dyDescent="0.35">
      <c r="A1648" s="2" t="s">
        <v>11120</v>
      </c>
      <c r="B1648" s="2">
        <v>794.33441883270802</v>
      </c>
      <c r="C1648" s="2">
        <v>8.0464500000000001</v>
      </c>
      <c r="D1648" s="2" t="s">
        <v>34</v>
      </c>
      <c r="E1648" s="2" t="s">
        <v>11121</v>
      </c>
      <c r="F1648" s="2">
        <v>203122</v>
      </c>
      <c r="G1648" s="3" t="str">
        <f>HYPERLINK("http://funmeta.oebiotech.com/network/203122", "http://funmeta.oebiotech.com/network/203122")</f>
        <v>http://funmeta.oebiotech.com/network/203122</v>
      </c>
      <c r="H1648" s="2" t="s">
        <v>11122</v>
      </c>
      <c r="I1648" s="2"/>
      <c r="J1648" s="2"/>
      <c r="K1648" s="2"/>
      <c r="L1648" s="2"/>
      <c r="M1648" s="2"/>
      <c r="N1648" s="2"/>
      <c r="O1648" s="2">
        <v>2008</v>
      </c>
      <c r="P1648" s="2"/>
      <c r="Q1648" s="2" t="s">
        <v>11123</v>
      </c>
      <c r="R1648" s="2" t="s">
        <v>11124</v>
      </c>
      <c r="S1648" s="2" t="s">
        <v>115</v>
      </c>
      <c r="T1648" s="2" t="s">
        <v>2840</v>
      </c>
      <c r="U1648" s="2" t="s">
        <v>41</v>
      </c>
      <c r="V1648" s="2" t="s">
        <v>59</v>
      </c>
      <c r="W1648" s="2">
        <v>44.1</v>
      </c>
      <c r="X1648" s="2">
        <v>31.9</v>
      </c>
      <c r="Y1648" s="2" t="s">
        <v>141</v>
      </c>
      <c r="Z1648" s="2" t="s">
        <v>11125</v>
      </c>
      <c r="AA1648" s="2">
        <v>-4.6995193852046704</v>
      </c>
      <c r="AB1648" s="2">
        <v>0.48759921713957599</v>
      </c>
      <c r="AC1648" s="2">
        <v>817029.82020997396</v>
      </c>
      <c r="AD1648" s="2">
        <v>849698.90490233002</v>
      </c>
      <c r="AE1648" s="2">
        <v>860175.41364797996</v>
      </c>
      <c r="AF1648" s="2">
        <v>816800.92778767797</v>
      </c>
      <c r="AG1648" s="2">
        <v>823948.66175462201</v>
      </c>
      <c r="AH1648" s="2">
        <v>815504.93626370502</v>
      </c>
      <c r="AI1648" s="2">
        <v>780507.70260418998</v>
      </c>
      <c r="AJ1648" s="2">
        <v>805241.27920167195</v>
      </c>
      <c r="AK1648" s="2">
        <v>778522.75349452905</v>
      </c>
      <c r="AL1648" s="2">
        <v>859507.85671861202</v>
      </c>
      <c r="AM1648" s="2">
        <v>889457.07231092197</v>
      </c>
      <c r="AN1648" s="2">
        <v>845642.53113707702</v>
      </c>
      <c r="AO1648" s="2">
        <v>859992.42636518402</v>
      </c>
      <c r="AP1648" s="2">
        <v>865070.78938765498</v>
      </c>
    </row>
    <row r="1649" spans="1:42" ht="14.5" x14ac:dyDescent="0.35">
      <c r="A1649" s="2" t="s">
        <v>11126</v>
      </c>
      <c r="B1649" s="2">
        <v>510.28472959781101</v>
      </c>
      <c r="C1649" s="2">
        <v>5.65513333333333</v>
      </c>
      <c r="D1649" s="2" t="s">
        <v>34</v>
      </c>
      <c r="E1649" s="2" t="s">
        <v>11127</v>
      </c>
      <c r="F1649" s="2">
        <v>29627</v>
      </c>
      <c r="G1649" s="3" t="str">
        <f>HYPERLINK("http://funmeta.oebiotech.com/network/29627", "http://funmeta.oebiotech.com/network/29627")</f>
        <v>http://funmeta.oebiotech.com/network/29627</v>
      </c>
      <c r="H1649" s="2"/>
      <c r="I1649" s="2">
        <v>47993</v>
      </c>
      <c r="J1649" s="2" t="s">
        <v>11128</v>
      </c>
      <c r="K1649" s="2"/>
      <c r="L1649" s="2"/>
      <c r="M1649" s="2"/>
      <c r="N1649" s="2"/>
      <c r="O1649" s="2">
        <v>14630494</v>
      </c>
      <c r="P1649" s="2"/>
      <c r="Q1649" s="2" t="s">
        <v>11129</v>
      </c>
      <c r="R1649" s="2" t="s">
        <v>11130</v>
      </c>
      <c r="S1649" s="2" t="s">
        <v>115</v>
      </c>
      <c r="T1649" s="2" t="s">
        <v>1371</v>
      </c>
      <c r="U1649" s="2" t="s">
        <v>3261</v>
      </c>
      <c r="V1649" s="2" t="s">
        <v>59</v>
      </c>
      <c r="W1649" s="2">
        <v>38.700000000000003</v>
      </c>
      <c r="X1649" s="2">
        <v>0</v>
      </c>
      <c r="Y1649" s="2" t="s">
        <v>43</v>
      </c>
      <c r="Z1649" s="2" t="s">
        <v>11131</v>
      </c>
      <c r="AA1649" s="2">
        <v>-0.57857467059518997</v>
      </c>
      <c r="AB1649" s="2">
        <v>0.48757099853838698</v>
      </c>
      <c r="AC1649" s="2">
        <v>9729.6028043204806</v>
      </c>
      <c r="AD1649" s="2">
        <v>26134.732424115198</v>
      </c>
      <c r="AE1649" s="2">
        <v>5225.92171361889</v>
      </c>
      <c r="AF1649" s="2">
        <v>14573.248379357799</v>
      </c>
      <c r="AG1649" s="2">
        <v>12025.2404569511</v>
      </c>
      <c r="AH1649" s="2">
        <v>8272.3744984622408</v>
      </c>
      <c r="AI1649" s="2">
        <v>7302.6970712892198</v>
      </c>
      <c r="AJ1649" s="2">
        <v>10978.1347062436</v>
      </c>
      <c r="AK1649" s="2">
        <v>25546.176934902502</v>
      </c>
      <c r="AL1649" s="2">
        <v>26381.4702679123</v>
      </c>
      <c r="AM1649" s="2">
        <v>26555.3816678564</v>
      </c>
      <c r="AN1649" s="2">
        <v>22802.1925232024</v>
      </c>
      <c r="AO1649" s="2">
        <v>26464.947133176898</v>
      </c>
      <c r="AP1649" s="2">
        <v>29058.2260176407</v>
      </c>
    </row>
    <row r="1650" spans="1:42" ht="14.5" x14ac:dyDescent="0.35">
      <c r="A1650" s="2" t="s">
        <v>11132</v>
      </c>
      <c r="B1650" s="2">
        <v>393.22436910179698</v>
      </c>
      <c r="C1650" s="2">
        <v>4.2251833333333302</v>
      </c>
      <c r="D1650" s="2" t="s">
        <v>34</v>
      </c>
      <c r="E1650" s="2" t="s">
        <v>11133</v>
      </c>
      <c r="F1650" s="2">
        <v>48213</v>
      </c>
      <c r="G1650" s="3" t="str">
        <f>HYPERLINK("http://funmeta.oebiotech.com/network/48213", "http://funmeta.oebiotech.com/network/48213")</f>
        <v>http://funmeta.oebiotech.com/network/48213</v>
      </c>
      <c r="H1650" s="2" t="s">
        <v>11134</v>
      </c>
      <c r="I1650" s="2"/>
      <c r="J1650" s="2"/>
      <c r="K1650" s="2">
        <v>174935</v>
      </c>
      <c r="L1650" s="2"/>
      <c r="M1650" s="2"/>
      <c r="N1650" s="2"/>
      <c r="O1650" s="2">
        <v>53477777</v>
      </c>
      <c r="P1650" s="2"/>
      <c r="Q1650" s="2" t="s">
        <v>11135</v>
      </c>
      <c r="R1650" s="2" t="s">
        <v>11136</v>
      </c>
      <c r="S1650" s="2" t="s">
        <v>50</v>
      </c>
      <c r="T1650" s="2" t="s">
        <v>229</v>
      </c>
      <c r="U1650" s="2" t="s">
        <v>766</v>
      </c>
      <c r="V1650" s="2" t="s">
        <v>59</v>
      </c>
      <c r="W1650" s="2">
        <v>41.2</v>
      </c>
      <c r="X1650" s="2">
        <v>13.8</v>
      </c>
      <c r="Y1650" s="2" t="s">
        <v>323</v>
      </c>
      <c r="Z1650" s="2" t="s">
        <v>11137</v>
      </c>
      <c r="AA1650" s="2">
        <v>-1.0544259055187499</v>
      </c>
      <c r="AB1650" s="2">
        <v>0.487339306079551</v>
      </c>
      <c r="AC1650" s="2">
        <v>156097.061282393</v>
      </c>
      <c r="AD1650" s="2">
        <v>173111.81121218501</v>
      </c>
      <c r="AE1650" s="2">
        <v>154929.04895148499</v>
      </c>
      <c r="AF1650" s="2">
        <v>155276.054793922</v>
      </c>
      <c r="AG1650" s="2">
        <v>148132.77407308499</v>
      </c>
      <c r="AH1650" s="2">
        <v>156627.763906037</v>
      </c>
      <c r="AI1650" s="2">
        <v>159665.630801547</v>
      </c>
      <c r="AJ1650" s="2">
        <v>161951.09516827899</v>
      </c>
      <c r="AK1650" s="2">
        <v>172314.37445167601</v>
      </c>
      <c r="AL1650" s="2">
        <v>176924.21629070301</v>
      </c>
      <c r="AM1650" s="2">
        <v>176227.052993113</v>
      </c>
      <c r="AN1650" s="2">
        <v>167880.86303423799</v>
      </c>
      <c r="AO1650" s="2">
        <v>174615.829353965</v>
      </c>
      <c r="AP1650" s="2">
        <v>170708.531149416</v>
      </c>
    </row>
    <row r="1651" spans="1:42" ht="14.5" x14ac:dyDescent="0.35">
      <c r="A1651" s="2" t="s">
        <v>11138</v>
      </c>
      <c r="B1651" s="2">
        <v>651.27717795577405</v>
      </c>
      <c r="C1651" s="2">
        <v>9.5614333333333299</v>
      </c>
      <c r="D1651" s="2" t="s">
        <v>34</v>
      </c>
      <c r="E1651" s="2" t="s">
        <v>11139</v>
      </c>
      <c r="F1651" s="2">
        <v>59392</v>
      </c>
      <c r="G1651" s="3" t="str">
        <f>HYPERLINK("http://funmeta.oebiotech.com/network/59392", "http://funmeta.oebiotech.com/network/59392")</f>
        <v>http://funmeta.oebiotech.com/network/59392</v>
      </c>
      <c r="H1651" s="2" t="s">
        <v>11140</v>
      </c>
      <c r="I1651" s="2">
        <v>90808</v>
      </c>
      <c r="J1651" s="2"/>
      <c r="K1651" s="2">
        <v>168862</v>
      </c>
      <c r="L1651" s="2"/>
      <c r="M1651" s="2"/>
      <c r="N1651" s="2"/>
      <c r="O1651" s="2">
        <v>15330925</v>
      </c>
      <c r="P1651" s="2"/>
      <c r="Q1651" s="2" t="s">
        <v>11141</v>
      </c>
      <c r="R1651" s="2" t="s">
        <v>11142</v>
      </c>
      <c r="S1651" s="2" t="s">
        <v>491</v>
      </c>
      <c r="T1651" s="2" t="s">
        <v>492</v>
      </c>
      <c r="U1651" s="2" t="s">
        <v>41</v>
      </c>
      <c r="V1651" s="2" t="s">
        <v>59</v>
      </c>
      <c r="W1651" s="2">
        <v>37.6</v>
      </c>
      <c r="X1651" s="2">
        <v>0</v>
      </c>
      <c r="Y1651" s="2" t="s">
        <v>323</v>
      </c>
      <c r="Z1651" s="2" t="s">
        <v>11143</v>
      </c>
      <c r="AA1651" s="2">
        <v>-2.77318432356335</v>
      </c>
      <c r="AB1651" s="2">
        <v>0.48722592769291201</v>
      </c>
      <c r="AC1651" s="2">
        <v>31084.430576652801</v>
      </c>
      <c r="AD1651" s="2">
        <v>15434.9091097528</v>
      </c>
      <c r="AE1651" s="2">
        <v>30933.334617580898</v>
      </c>
      <c r="AF1651" s="2">
        <v>30447.014613917101</v>
      </c>
      <c r="AG1651" s="2">
        <v>29874.0590059352</v>
      </c>
      <c r="AH1651" s="2">
        <v>31216.495040551301</v>
      </c>
      <c r="AI1651" s="2">
        <v>32157.5512592876</v>
      </c>
      <c r="AJ1651" s="2">
        <v>31878.128922644599</v>
      </c>
      <c r="AK1651" s="2">
        <v>15412.4350241377</v>
      </c>
      <c r="AL1651" s="2">
        <v>15330.5089474983</v>
      </c>
      <c r="AM1651" s="2">
        <v>15182.651158189499</v>
      </c>
      <c r="AN1651" s="2">
        <v>15517.8690617664</v>
      </c>
      <c r="AO1651" s="2">
        <v>14780.4524792508</v>
      </c>
      <c r="AP1651" s="2">
        <v>16385.537987674099</v>
      </c>
    </row>
    <row r="1652" spans="1:42" ht="14.5" x14ac:dyDescent="0.35">
      <c r="A1652" s="2" t="s">
        <v>11144</v>
      </c>
      <c r="B1652" s="2">
        <v>355.15791865201697</v>
      </c>
      <c r="C1652" s="2">
        <v>12.9499166666667</v>
      </c>
      <c r="D1652" s="2" t="s">
        <v>70</v>
      </c>
      <c r="E1652" s="2" t="s">
        <v>11145</v>
      </c>
      <c r="F1652" s="2">
        <v>202238</v>
      </c>
      <c r="G1652" s="3" t="str">
        <f>HYPERLINK("http://funmeta.oebiotech.com/network/202238", "http://funmeta.oebiotech.com/network/202238")</f>
        <v>http://funmeta.oebiotech.com/network/202238</v>
      </c>
      <c r="H1652" s="2" t="s">
        <v>11146</v>
      </c>
      <c r="I1652" s="2">
        <v>336290</v>
      </c>
      <c r="J1652" s="2"/>
      <c r="K1652" s="2"/>
      <c r="L1652" s="2"/>
      <c r="M1652" s="2"/>
      <c r="N1652" s="2"/>
      <c r="O1652" s="2">
        <v>509554</v>
      </c>
      <c r="P1652" s="2"/>
      <c r="Q1652" s="2" t="s">
        <v>11147</v>
      </c>
      <c r="R1652" s="2" t="s">
        <v>11148</v>
      </c>
      <c r="S1652" s="2" t="s">
        <v>148</v>
      </c>
      <c r="T1652" s="2" t="s">
        <v>149</v>
      </c>
      <c r="U1652" s="2" t="s">
        <v>5024</v>
      </c>
      <c r="V1652" s="2" t="s">
        <v>59</v>
      </c>
      <c r="W1652" s="2">
        <v>38</v>
      </c>
      <c r="X1652" s="2">
        <v>0</v>
      </c>
      <c r="Y1652" s="2" t="s">
        <v>118</v>
      </c>
      <c r="Z1652" s="2" t="s">
        <v>11149</v>
      </c>
      <c r="AA1652" s="2">
        <v>4.1660725390108304</v>
      </c>
      <c r="AB1652" s="2">
        <v>0.487111053041834</v>
      </c>
      <c r="AC1652" s="2">
        <v>39492.9374321453</v>
      </c>
      <c r="AD1652" s="2">
        <v>23000.399374386499</v>
      </c>
      <c r="AE1652" s="2">
        <v>43124.183485666697</v>
      </c>
      <c r="AF1652" s="2">
        <v>38356.5656510954</v>
      </c>
      <c r="AG1652" s="2">
        <v>34605.7492806023</v>
      </c>
      <c r="AH1652" s="2">
        <v>37882.463048454199</v>
      </c>
      <c r="AI1652" s="2">
        <v>37533.601567376398</v>
      </c>
      <c r="AJ1652" s="2">
        <v>45455.061559676898</v>
      </c>
      <c r="AK1652" s="2">
        <v>19181.3193700134</v>
      </c>
      <c r="AL1652" s="2">
        <v>23668.289468504499</v>
      </c>
      <c r="AM1652" s="2">
        <v>23401.097035354102</v>
      </c>
      <c r="AN1652" s="2">
        <v>22646.2124766753</v>
      </c>
      <c r="AO1652" s="2">
        <v>24608.489312661899</v>
      </c>
      <c r="AP1652" s="2">
        <v>24496.98858311</v>
      </c>
    </row>
    <row r="1653" spans="1:42" ht="14.5" x14ac:dyDescent="0.35">
      <c r="A1653" s="2" t="s">
        <v>11150</v>
      </c>
      <c r="B1653" s="2">
        <v>574.32633501277905</v>
      </c>
      <c r="C1653" s="2">
        <v>9.1956833333333297</v>
      </c>
      <c r="D1653" s="2" t="s">
        <v>34</v>
      </c>
      <c r="E1653" s="2" t="s">
        <v>11151</v>
      </c>
      <c r="F1653" s="2">
        <v>21216</v>
      </c>
      <c r="G1653" s="3" t="str">
        <f>HYPERLINK("http://funmeta.oebiotech.com/network/21216", "http://funmeta.oebiotech.com/network/21216")</f>
        <v>http://funmeta.oebiotech.com/network/21216</v>
      </c>
      <c r="H1653" s="2" t="s">
        <v>11152</v>
      </c>
      <c r="I1653" s="2">
        <v>62279</v>
      </c>
      <c r="J1653" s="2" t="s">
        <v>11153</v>
      </c>
      <c r="K1653" s="2"/>
      <c r="L1653" s="2"/>
      <c r="M1653" s="2"/>
      <c r="N1653" s="2"/>
      <c r="O1653" s="2">
        <v>53480940</v>
      </c>
      <c r="P1653" s="2"/>
      <c r="Q1653" s="2" t="s">
        <v>11154</v>
      </c>
      <c r="R1653" s="2" t="s">
        <v>11155</v>
      </c>
      <c r="S1653" s="2" t="s">
        <v>50</v>
      </c>
      <c r="T1653" s="2" t="s">
        <v>51</v>
      </c>
      <c r="U1653" s="2" t="s">
        <v>257</v>
      </c>
      <c r="V1653" s="2" t="s">
        <v>59</v>
      </c>
      <c r="W1653" s="2">
        <v>42.5</v>
      </c>
      <c r="X1653" s="2">
        <v>29.4</v>
      </c>
      <c r="Y1653" s="2" t="s">
        <v>340</v>
      </c>
      <c r="Z1653" s="2" t="s">
        <v>11156</v>
      </c>
      <c r="AA1653" s="2">
        <v>-1.1445875358936399</v>
      </c>
      <c r="AB1653" s="2">
        <v>0.48683080380952698</v>
      </c>
      <c r="AC1653" s="2">
        <v>182885.13235644001</v>
      </c>
      <c r="AD1653" s="2">
        <v>200871.60669084199</v>
      </c>
      <c r="AE1653" s="2">
        <v>180840.47054531201</v>
      </c>
      <c r="AF1653" s="2">
        <v>188495.624209545</v>
      </c>
      <c r="AG1653" s="2">
        <v>184401.16168667501</v>
      </c>
      <c r="AH1653" s="2">
        <v>180119.43027184901</v>
      </c>
      <c r="AI1653" s="2">
        <v>180190.626845725</v>
      </c>
      <c r="AJ1653" s="2">
        <v>183263.48057953501</v>
      </c>
      <c r="AK1653" s="2">
        <v>197014.95875390901</v>
      </c>
      <c r="AL1653" s="2">
        <v>200608.38999065501</v>
      </c>
      <c r="AM1653" s="2">
        <v>206818.45680413599</v>
      </c>
      <c r="AN1653" s="2">
        <v>188454.11888852</v>
      </c>
      <c r="AO1653" s="2">
        <v>205342.54795879201</v>
      </c>
      <c r="AP1653" s="2">
        <v>206991.167749038</v>
      </c>
    </row>
    <row r="1654" spans="1:42" ht="14.5" x14ac:dyDescent="0.35">
      <c r="A1654" s="2" t="s">
        <v>11157</v>
      </c>
      <c r="B1654" s="2">
        <v>457.33077645127997</v>
      </c>
      <c r="C1654" s="2">
        <v>6.4480000000000004</v>
      </c>
      <c r="D1654" s="2" t="s">
        <v>34</v>
      </c>
      <c r="E1654" s="2" t="s">
        <v>11158</v>
      </c>
      <c r="F1654" s="2">
        <v>59046</v>
      </c>
      <c r="G1654" s="3" t="str">
        <f>HYPERLINK("http://funmeta.oebiotech.com/network/59046", "http://funmeta.oebiotech.com/network/59046")</f>
        <v>http://funmeta.oebiotech.com/network/59046</v>
      </c>
      <c r="H1654" s="2" t="s">
        <v>11159</v>
      </c>
      <c r="I1654" s="2">
        <v>90480</v>
      </c>
      <c r="J1654" s="2"/>
      <c r="K1654" s="2"/>
      <c r="L1654" s="2"/>
      <c r="M1654" s="2"/>
      <c r="N1654" s="2"/>
      <c r="O1654" s="2">
        <v>131751674</v>
      </c>
      <c r="P1654" s="2"/>
      <c r="Q1654" s="2" t="s">
        <v>11160</v>
      </c>
      <c r="R1654" s="2" t="s">
        <v>11161</v>
      </c>
      <c r="S1654" s="2" t="s">
        <v>50</v>
      </c>
      <c r="T1654" s="2" t="s">
        <v>201</v>
      </c>
      <c r="U1654" s="2" t="s">
        <v>210</v>
      </c>
      <c r="V1654" s="2" t="s">
        <v>59</v>
      </c>
      <c r="W1654" s="2">
        <v>37.6</v>
      </c>
      <c r="X1654" s="2">
        <v>0</v>
      </c>
      <c r="Y1654" s="2" t="s">
        <v>266</v>
      </c>
      <c r="Z1654" s="2" t="s">
        <v>8110</v>
      </c>
      <c r="AA1654" s="2">
        <v>-0.96950931456343403</v>
      </c>
      <c r="AB1654" s="2">
        <v>0.486296945902156</v>
      </c>
      <c r="AC1654" s="2">
        <v>26575.4283864549</v>
      </c>
      <c r="AD1654" s="2">
        <v>10715.5077017695</v>
      </c>
      <c r="AE1654" s="2">
        <v>24635.646092387498</v>
      </c>
      <c r="AF1654" s="2">
        <v>26329.5565781638</v>
      </c>
      <c r="AG1654" s="2">
        <v>27893.891112158599</v>
      </c>
      <c r="AH1654" s="2">
        <v>29979.415739302502</v>
      </c>
      <c r="AI1654" s="2">
        <v>27022.341805252301</v>
      </c>
      <c r="AJ1654" s="2">
        <v>23591.718991464801</v>
      </c>
      <c r="AK1654" s="2">
        <v>9454.2922827949005</v>
      </c>
      <c r="AL1654" s="2">
        <v>11140.7005763572</v>
      </c>
      <c r="AM1654" s="2">
        <v>10260.1060554752</v>
      </c>
      <c r="AN1654" s="2">
        <v>9583.9627757396993</v>
      </c>
      <c r="AO1654" s="2">
        <v>11167.241901835199</v>
      </c>
      <c r="AP1654" s="2">
        <v>12686.742618415001</v>
      </c>
    </row>
    <row r="1655" spans="1:42" ht="14.5" x14ac:dyDescent="0.35">
      <c r="A1655" s="2" t="s">
        <v>11162</v>
      </c>
      <c r="B1655" s="2">
        <v>649.25299446690804</v>
      </c>
      <c r="C1655" s="2">
        <v>5.04155</v>
      </c>
      <c r="D1655" s="2" t="s">
        <v>70</v>
      </c>
      <c r="E1655" s="2" t="s">
        <v>11163</v>
      </c>
      <c r="F1655" s="2">
        <v>213177</v>
      </c>
      <c r="G1655" s="3" t="str">
        <f>HYPERLINK("http://funmeta.oebiotech.com/network/213177", "http://funmeta.oebiotech.com/network/213177")</f>
        <v>http://funmeta.oebiotech.com/network/213177</v>
      </c>
      <c r="H1655" s="2" t="s">
        <v>11164</v>
      </c>
      <c r="I1655" s="2"/>
      <c r="J1655" s="2"/>
      <c r="K1655" s="2"/>
      <c r="L1655" s="2"/>
      <c r="M1655" s="2"/>
      <c r="N1655" s="2"/>
      <c r="O1655" s="2">
        <v>73325061</v>
      </c>
      <c r="P1655" s="2"/>
      <c r="Q1655" s="2" t="s">
        <v>11165</v>
      </c>
      <c r="R1655" s="2" t="s">
        <v>11166</v>
      </c>
      <c r="S1655" s="2" t="s">
        <v>89</v>
      </c>
      <c r="T1655" s="2" t="s">
        <v>1600</v>
      </c>
      <c r="U1655" s="2" t="s">
        <v>3890</v>
      </c>
      <c r="V1655" s="2" t="s">
        <v>59</v>
      </c>
      <c r="W1655" s="2">
        <v>37.700000000000003</v>
      </c>
      <c r="X1655" s="2">
        <v>0</v>
      </c>
      <c r="Y1655" s="2" t="s">
        <v>751</v>
      </c>
      <c r="Z1655" s="2" t="s">
        <v>11167</v>
      </c>
      <c r="AA1655" s="2">
        <v>0.50069263563409905</v>
      </c>
      <c r="AB1655" s="2">
        <v>0.48625084258311202</v>
      </c>
      <c r="AC1655" s="2">
        <v>55028.899152959697</v>
      </c>
      <c r="AD1655" s="2">
        <v>71159.482613682994</v>
      </c>
      <c r="AE1655" s="2">
        <v>54389.155953690599</v>
      </c>
      <c r="AF1655" s="2">
        <v>55208.877861574503</v>
      </c>
      <c r="AG1655" s="2">
        <v>55800.271988414497</v>
      </c>
      <c r="AH1655" s="2">
        <v>52196.836360813199</v>
      </c>
      <c r="AI1655" s="2">
        <v>51982.570315061101</v>
      </c>
      <c r="AJ1655" s="2">
        <v>60595.682438204298</v>
      </c>
      <c r="AK1655" s="2">
        <v>73453.370872359199</v>
      </c>
      <c r="AL1655" s="2">
        <v>71336.647713440994</v>
      </c>
      <c r="AM1655" s="2">
        <v>70300.814499171902</v>
      </c>
      <c r="AN1655" s="2">
        <v>69682.426853987796</v>
      </c>
      <c r="AO1655" s="2">
        <v>71077.063076890103</v>
      </c>
      <c r="AP1655" s="2">
        <v>71106.572666248205</v>
      </c>
    </row>
    <row r="1656" spans="1:42" ht="14.5" x14ac:dyDescent="0.35">
      <c r="A1656" s="2" t="s">
        <v>11168</v>
      </c>
      <c r="B1656" s="2">
        <v>193.070702401039</v>
      </c>
      <c r="C1656" s="2">
        <v>0.76995000000000002</v>
      </c>
      <c r="D1656" s="2" t="s">
        <v>70</v>
      </c>
      <c r="E1656" s="2" t="s">
        <v>11169</v>
      </c>
      <c r="F1656" s="2">
        <v>267069</v>
      </c>
      <c r="G1656" s="3" t="str">
        <f>HYPERLINK("http://funmeta.oebiotech.com/network/267069", "http://funmeta.oebiotech.com/network/267069")</f>
        <v>http://funmeta.oebiotech.com/network/267069</v>
      </c>
      <c r="H1656" s="2"/>
      <c r="I1656" s="2">
        <v>44659</v>
      </c>
      <c r="J1656" s="2"/>
      <c r="K1656" s="2"/>
      <c r="L1656" s="2"/>
      <c r="M1656" s="2"/>
      <c r="N1656" s="2"/>
      <c r="O1656" s="2">
        <v>151108</v>
      </c>
      <c r="P1656" s="2" t="s">
        <v>11170</v>
      </c>
      <c r="Q1656" s="2" t="s">
        <v>11171</v>
      </c>
      <c r="R1656" s="2" t="s">
        <v>11172</v>
      </c>
      <c r="S1656" s="2" t="s">
        <v>79</v>
      </c>
      <c r="T1656" s="2" t="s">
        <v>80</v>
      </c>
      <c r="U1656" s="2" t="s">
        <v>2021</v>
      </c>
      <c r="V1656" s="2" t="s">
        <v>59</v>
      </c>
      <c r="W1656" s="2">
        <v>44.1</v>
      </c>
      <c r="X1656" s="2">
        <v>31.6</v>
      </c>
      <c r="Y1656" s="2" t="s">
        <v>118</v>
      </c>
      <c r="Z1656" s="2" t="s">
        <v>676</v>
      </c>
      <c r="AA1656" s="2">
        <v>-5.4582571680635503</v>
      </c>
      <c r="AB1656" s="2">
        <v>0.48620316240021499</v>
      </c>
      <c r="AC1656" s="2">
        <v>193145.51834924301</v>
      </c>
      <c r="AD1656" s="2">
        <v>211890.88400251101</v>
      </c>
      <c r="AE1656" s="2">
        <v>197123.095133522</v>
      </c>
      <c r="AF1656" s="2">
        <v>191171.37688807101</v>
      </c>
      <c r="AG1656" s="2">
        <v>189203.36763861999</v>
      </c>
      <c r="AH1656" s="2">
        <v>190197.299761417</v>
      </c>
      <c r="AI1656" s="2">
        <v>191234.77470739</v>
      </c>
      <c r="AJ1656" s="2">
        <v>199943.195966439</v>
      </c>
      <c r="AK1656" s="2">
        <v>216565.29075189299</v>
      </c>
      <c r="AL1656" s="2">
        <v>221169.55522465101</v>
      </c>
      <c r="AM1656" s="2">
        <v>220798.182338885</v>
      </c>
      <c r="AN1656" s="2">
        <v>205316.91497891501</v>
      </c>
      <c r="AO1656" s="2">
        <v>200961.067711454</v>
      </c>
      <c r="AP1656" s="2">
        <v>206534.293009268</v>
      </c>
    </row>
    <row r="1657" spans="1:42" ht="14.5" x14ac:dyDescent="0.35">
      <c r="A1657" s="2" t="s">
        <v>11173</v>
      </c>
      <c r="B1657" s="2">
        <v>375.14360009738999</v>
      </c>
      <c r="C1657" s="2">
        <v>5.0414166666666702</v>
      </c>
      <c r="D1657" s="2" t="s">
        <v>34</v>
      </c>
      <c r="E1657" s="2" t="s">
        <v>11174</v>
      </c>
      <c r="F1657" s="2">
        <v>202549</v>
      </c>
      <c r="G1657" s="3" t="str">
        <f>HYPERLINK("http://funmeta.oebiotech.com/network/202549", "http://funmeta.oebiotech.com/network/202549")</f>
        <v>http://funmeta.oebiotech.com/network/202549</v>
      </c>
      <c r="H1657" s="2" t="s">
        <v>11175</v>
      </c>
      <c r="I1657" s="2"/>
      <c r="J1657" s="2"/>
      <c r="K1657" s="2"/>
      <c r="L1657" s="2"/>
      <c r="M1657" s="2"/>
      <c r="N1657" s="2"/>
      <c r="O1657" s="2">
        <v>44187968</v>
      </c>
      <c r="P1657" s="2"/>
      <c r="Q1657" s="2" t="s">
        <v>11176</v>
      </c>
      <c r="R1657" s="2" t="s">
        <v>11177</v>
      </c>
      <c r="S1657" s="2" t="s">
        <v>1184</v>
      </c>
      <c r="T1657" s="2" t="s">
        <v>3333</v>
      </c>
      <c r="U1657" s="2" t="s">
        <v>3334</v>
      </c>
      <c r="V1657" s="2" t="s">
        <v>42</v>
      </c>
      <c r="W1657" s="2">
        <v>48.8</v>
      </c>
      <c r="X1657" s="2">
        <v>51.3</v>
      </c>
      <c r="Y1657" s="2" t="s">
        <v>266</v>
      </c>
      <c r="Z1657" s="2" t="s">
        <v>7523</v>
      </c>
      <c r="AA1657" s="2">
        <v>-0.61308382707012599</v>
      </c>
      <c r="AB1657" s="2">
        <v>0.48593797605925299</v>
      </c>
      <c r="AC1657" s="2">
        <v>52170.335239030901</v>
      </c>
      <c r="AD1657" s="2">
        <v>35493.390869680399</v>
      </c>
      <c r="AE1657" s="2">
        <v>52719.644805483797</v>
      </c>
      <c r="AF1657" s="2">
        <v>58454.614863991701</v>
      </c>
      <c r="AG1657" s="2">
        <v>56305.739667189002</v>
      </c>
      <c r="AH1657" s="2">
        <v>50394.657692001201</v>
      </c>
      <c r="AI1657" s="2">
        <v>47635.533145514302</v>
      </c>
      <c r="AJ1657" s="2">
        <v>47511.821260005403</v>
      </c>
      <c r="AK1657" s="2">
        <v>38581.332369287302</v>
      </c>
      <c r="AL1657" s="2">
        <v>38052.643663095798</v>
      </c>
      <c r="AM1657" s="2">
        <v>31019.205371180102</v>
      </c>
      <c r="AN1657" s="2">
        <v>35981.993019309397</v>
      </c>
      <c r="AO1657" s="2">
        <v>32844.784466409503</v>
      </c>
      <c r="AP1657" s="2">
        <v>36480.386328800101</v>
      </c>
    </row>
    <row r="1658" spans="1:42" ht="14.5" x14ac:dyDescent="0.35">
      <c r="A1658" s="2" t="s">
        <v>11178</v>
      </c>
      <c r="B1658" s="2">
        <v>227.12828686421301</v>
      </c>
      <c r="C1658" s="2">
        <v>5.6357333333333299</v>
      </c>
      <c r="D1658" s="2" t="s">
        <v>70</v>
      </c>
      <c r="E1658" s="2" t="s">
        <v>11179</v>
      </c>
      <c r="F1658" s="2">
        <v>2004</v>
      </c>
      <c r="G1658" s="3" t="str">
        <f>HYPERLINK("http://funmeta.oebiotech.com/network/2004", "http://funmeta.oebiotech.com/network/2004")</f>
        <v>http://funmeta.oebiotech.com/network/2004</v>
      </c>
      <c r="H1658" s="2"/>
      <c r="I1658" s="2"/>
      <c r="J1658" s="2" t="s">
        <v>11180</v>
      </c>
      <c r="K1658" s="2"/>
      <c r="L1658" s="2"/>
      <c r="M1658" s="2"/>
      <c r="N1658" s="2"/>
      <c r="O1658" s="2">
        <v>21080048</v>
      </c>
      <c r="P1658" s="2"/>
      <c r="Q1658" s="2" t="s">
        <v>11181</v>
      </c>
      <c r="R1658" s="2" t="s">
        <v>11182</v>
      </c>
      <c r="S1658" s="2" t="s">
        <v>89</v>
      </c>
      <c r="T1658" s="2" t="s">
        <v>4218</v>
      </c>
      <c r="U1658" s="2" t="s">
        <v>5830</v>
      </c>
      <c r="V1658" s="2" t="s">
        <v>59</v>
      </c>
      <c r="W1658" s="2">
        <v>44.3</v>
      </c>
      <c r="X1658" s="2">
        <v>28</v>
      </c>
      <c r="Y1658" s="2" t="s">
        <v>792</v>
      </c>
      <c r="Z1658" s="2" t="s">
        <v>11183</v>
      </c>
      <c r="AA1658" s="2">
        <v>-2.6117009637364199</v>
      </c>
      <c r="AB1658" s="2">
        <v>0.485712142816494</v>
      </c>
      <c r="AC1658" s="2">
        <v>45797.366755347401</v>
      </c>
      <c r="AD1658" s="2">
        <v>29912.703746486499</v>
      </c>
      <c r="AE1658" s="2">
        <v>49959.519260914502</v>
      </c>
      <c r="AF1658" s="2">
        <v>46712.9110573707</v>
      </c>
      <c r="AG1658" s="2">
        <v>46635.962883403699</v>
      </c>
      <c r="AH1658" s="2">
        <v>42800.161822508002</v>
      </c>
      <c r="AI1658" s="2">
        <v>43022.845279821202</v>
      </c>
      <c r="AJ1658" s="2">
        <v>45652.800228066102</v>
      </c>
      <c r="AK1658" s="2">
        <v>30833.902787928298</v>
      </c>
      <c r="AL1658" s="2">
        <v>31279.8209964835</v>
      </c>
      <c r="AM1658" s="2">
        <v>31281.133521969899</v>
      </c>
      <c r="AN1658" s="2">
        <v>29163.833623270501</v>
      </c>
      <c r="AO1658" s="2">
        <v>29156.705619542699</v>
      </c>
      <c r="AP1658" s="2">
        <v>27760.825929724298</v>
      </c>
    </row>
    <row r="1659" spans="1:42" ht="14.5" x14ac:dyDescent="0.35">
      <c r="A1659" s="2" t="s">
        <v>11184</v>
      </c>
      <c r="B1659" s="2">
        <v>449.10937335480099</v>
      </c>
      <c r="C1659" s="2">
        <v>4.7218999999999998</v>
      </c>
      <c r="D1659" s="2" t="s">
        <v>70</v>
      </c>
      <c r="E1659" s="2" t="s">
        <v>11185</v>
      </c>
      <c r="F1659" s="2">
        <v>54477</v>
      </c>
      <c r="G1659" s="3" t="str">
        <f>HYPERLINK("http://funmeta.oebiotech.com/network/54477", "http://funmeta.oebiotech.com/network/54477")</f>
        <v>http://funmeta.oebiotech.com/network/54477</v>
      </c>
      <c r="H1659" s="2" t="s">
        <v>11186</v>
      </c>
      <c r="I1659" s="2">
        <v>86330</v>
      </c>
      <c r="J1659" s="2"/>
      <c r="K1659" s="2"/>
      <c r="L1659" s="2"/>
      <c r="M1659" s="2"/>
      <c r="N1659" s="2"/>
      <c r="O1659" s="2">
        <v>13254471</v>
      </c>
      <c r="P1659" s="2" t="s">
        <v>11187</v>
      </c>
      <c r="Q1659" s="2" t="s">
        <v>11188</v>
      </c>
      <c r="R1659" s="2" t="s">
        <v>11189</v>
      </c>
      <c r="S1659" s="2" t="s">
        <v>115</v>
      </c>
      <c r="T1659" s="2" t="s">
        <v>139</v>
      </c>
      <c r="U1659" s="2" t="s">
        <v>140</v>
      </c>
      <c r="V1659" s="2" t="s">
        <v>42</v>
      </c>
      <c r="W1659" s="2">
        <v>50.2</v>
      </c>
      <c r="X1659" s="2">
        <v>56.4</v>
      </c>
      <c r="Y1659" s="2" t="s">
        <v>118</v>
      </c>
      <c r="Z1659" s="2" t="s">
        <v>2471</v>
      </c>
      <c r="AA1659" s="2">
        <v>0.97367321942485097</v>
      </c>
      <c r="AB1659" s="2">
        <v>0.48566757504375202</v>
      </c>
      <c r="AC1659" s="2">
        <v>82158.744054845505</v>
      </c>
      <c r="AD1659" s="2">
        <v>99927.252560292298</v>
      </c>
      <c r="AE1659" s="2">
        <v>81612.876124866103</v>
      </c>
      <c r="AF1659" s="2">
        <v>81461.377666225293</v>
      </c>
      <c r="AG1659" s="2">
        <v>84377.901137067005</v>
      </c>
      <c r="AH1659" s="2">
        <v>77214.049199753601</v>
      </c>
      <c r="AI1659" s="2">
        <v>83970.724409527698</v>
      </c>
      <c r="AJ1659" s="2">
        <v>84315.535791633505</v>
      </c>
      <c r="AK1659" s="2">
        <v>96701.8411735837</v>
      </c>
      <c r="AL1659" s="2">
        <v>91681.027933867794</v>
      </c>
      <c r="AM1659" s="2">
        <v>111004.181966531</v>
      </c>
      <c r="AN1659" s="2">
        <v>104533.747414055</v>
      </c>
      <c r="AO1659" s="2">
        <v>102724.290996219</v>
      </c>
      <c r="AP1659" s="2">
        <v>92918.425877497095</v>
      </c>
    </row>
    <row r="1660" spans="1:42" ht="14.5" x14ac:dyDescent="0.35">
      <c r="A1660" s="2" t="s">
        <v>11190</v>
      </c>
      <c r="B1660" s="2">
        <v>575.18587764599101</v>
      </c>
      <c r="C1660" s="2">
        <v>4.4526833333333302</v>
      </c>
      <c r="D1660" s="2" t="s">
        <v>70</v>
      </c>
      <c r="E1660" s="2" t="s">
        <v>11191</v>
      </c>
      <c r="F1660" s="2">
        <v>203106</v>
      </c>
      <c r="G1660" s="3" t="str">
        <f>HYPERLINK("http://funmeta.oebiotech.com/network/203106", "http://funmeta.oebiotech.com/network/203106")</f>
        <v>http://funmeta.oebiotech.com/network/203106</v>
      </c>
      <c r="H1660" s="2" t="s">
        <v>11192</v>
      </c>
      <c r="I1660" s="2"/>
      <c r="J1660" s="2"/>
      <c r="K1660" s="2"/>
      <c r="L1660" s="2"/>
      <c r="M1660" s="2"/>
      <c r="N1660" s="2"/>
      <c r="O1660" s="2"/>
      <c r="P1660" s="2"/>
      <c r="Q1660" s="2" t="s">
        <v>11193</v>
      </c>
      <c r="R1660" s="2" t="s">
        <v>11194</v>
      </c>
      <c r="S1660" s="2" t="s">
        <v>41</v>
      </c>
      <c r="T1660" s="2" t="s">
        <v>41</v>
      </c>
      <c r="U1660" s="2" t="s">
        <v>41</v>
      </c>
      <c r="V1660" s="2" t="s">
        <v>59</v>
      </c>
      <c r="W1660" s="2">
        <v>38.799999999999997</v>
      </c>
      <c r="X1660" s="2">
        <v>3.06</v>
      </c>
      <c r="Y1660" s="2" t="s">
        <v>408</v>
      </c>
      <c r="Z1660" s="2" t="s">
        <v>11195</v>
      </c>
      <c r="AA1660" s="2">
        <v>3.1165664528226902</v>
      </c>
      <c r="AB1660" s="2">
        <v>0.48563647137948901</v>
      </c>
      <c r="AC1660" s="2">
        <v>299588.19988709199</v>
      </c>
      <c r="AD1660" s="2">
        <v>271945.50374903303</v>
      </c>
      <c r="AE1660" s="2">
        <v>286847.95220636699</v>
      </c>
      <c r="AF1660" s="2">
        <v>349103.53889055998</v>
      </c>
      <c r="AG1660" s="2">
        <v>297879.28647009499</v>
      </c>
      <c r="AH1660" s="2">
        <v>275152.55177983502</v>
      </c>
      <c r="AI1660" s="2">
        <v>311122.54633799603</v>
      </c>
      <c r="AJ1660" s="2">
        <v>277423.32363769901</v>
      </c>
      <c r="AK1660" s="2">
        <v>279363.79732919898</v>
      </c>
      <c r="AL1660" s="2">
        <v>255567.01016563299</v>
      </c>
      <c r="AM1660" s="2">
        <v>273660.27021980198</v>
      </c>
      <c r="AN1660" s="2">
        <v>278475.90754932602</v>
      </c>
      <c r="AO1660" s="2">
        <v>252398.167146919</v>
      </c>
      <c r="AP1660" s="2">
        <v>292207.87008332199</v>
      </c>
    </row>
    <row r="1661" spans="1:42" ht="14.5" x14ac:dyDescent="0.35">
      <c r="A1661" s="2" t="s">
        <v>11196</v>
      </c>
      <c r="B1661" s="2">
        <v>666.32397763390395</v>
      </c>
      <c r="C1661" s="2">
        <v>6.0585333333333304</v>
      </c>
      <c r="D1661" s="2" t="s">
        <v>34</v>
      </c>
      <c r="E1661" s="2" t="s">
        <v>11197</v>
      </c>
      <c r="F1661" s="2">
        <v>27942</v>
      </c>
      <c r="G1661" s="3" t="str">
        <f>HYPERLINK("http://funmeta.oebiotech.com/network/27942", "http://funmeta.oebiotech.com/network/27942")</f>
        <v>http://funmeta.oebiotech.com/network/27942</v>
      </c>
      <c r="H1661" s="2"/>
      <c r="I1661" s="2"/>
      <c r="J1661" s="2" t="s">
        <v>11198</v>
      </c>
      <c r="K1661" s="2"/>
      <c r="L1661" s="2"/>
      <c r="M1661" s="2"/>
      <c r="N1661" s="2"/>
      <c r="O1661" s="2">
        <v>134812389</v>
      </c>
      <c r="P1661" s="2"/>
      <c r="Q1661" s="2" t="s">
        <v>11199</v>
      </c>
      <c r="R1661" s="2" t="s">
        <v>11200</v>
      </c>
      <c r="S1661" s="2" t="s">
        <v>50</v>
      </c>
      <c r="T1661" s="2" t="s">
        <v>51</v>
      </c>
      <c r="U1661" s="2" t="s">
        <v>66</v>
      </c>
      <c r="V1661" s="2" t="s">
        <v>42</v>
      </c>
      <c r="W1661" s="2">
        <v>46.8</v>
      </c>
      <c r="X1661" s="2">
        <v>49</v>
      </c>
      <c r="Y1661" s="2" t="s">
        <v>394</v>
      </c>
      <c r="Z1661" s="2" t="s">
        <v>11201</v>
      </c>
      <c r="AA1661" s="2">
        <v>-1.3920491173855001</v>
      </c>
      <c r="AB1661" s="2">
        <v>0.48494824568748401</v>
      </c>
      <c r="AC1661" s="2">
        <v>133977.75220856199</v>
      </c>
      <c r="AD1661" s="2">
        <v>153421.798724233</v>
      </c>
      <c r="AE1661" s="2">
        <v>130255.199568738</v>
      </c>
      <c r="AF1661" s="2">
        <v>126543.072446419</v>
      </c>
      <c r="AG1661" s="2">
        <v>133139.56440832801</v>
      </c>
      <c r="AH1661" s="2">
        <v>138393.13841628801</v>
      </c>
      <c r="AI1661" s="2">
        <v>137549.93756486301</v>
      </c>
      <c r="AJ1661" s="2">
        <v>137985.60084673701</v>
      </c>
      <c r="AK1661" s="2">
        <v>163790.163926529</v>
      </c>
      <c r="AL1661" s="2">
        <v>153481.07840850001</v>
      </c>
      <c r="AM1661" s="2">
        <v>133162.73177341101</v>
      </c>
      <c r="AN1661" s="2">
        <v>155296.75937307099</v>
      </c>
      <c r="AO1661" s="2">
        <v>157616.59392975</v>
      </c>
      <c r="AP1661" s="2">
        <v>157183.46493413599</v>
      </c>
    </row>
    <row r="1662" spans="1:42" ht="14.5" x14ac:dyDescent="0.35">
      <c r="A1662" s="2" t="s">
        <v>11202</v>
      </c>
      <c r="B1662" s="2">
        <v>429.099076686194</v>
      </c>
      <c r="C1662" s="2">
        <v>3.6547999999999998</v>
      </c>
      <c r="D1662" s="2" t="s">
        <v>70</v>
      </c>
      <c r="E1662" s="2" t="s">
        <v>11203</v>
      </c>
      <c r="F1662" s="2">
        <v>31600</v>
      </c>
      <c r="G1662" s="3" t="str">
        <f>HYPERLINK("http://funmeta.oebiotech.com/network/31600", "http://funmeta.oebiotech.com/network/31600")</f>
        <v>http://funmeta.oebiotech.com/network/31600</v>
      </c>
      <c r="H1662" s="2"/>
      <c r="I1662" s="2">
        <v>49933</v>
      </c>
      <c r="J1662" s="2" t="s">
        <v>11204</v>
      </c>
      <c r="K1662" s="2"/>
      <c r="L1662" s="2"/>
      <c r="M1662" s="2"/>
      <c r="N1662" s="2"/>
      <c r="O1662" s="2">
        <v>44258658</v>
      </c>
      <c r="P1662" s="2"/>
      <c r="Q1662" s="2" t="s">
        <v>11205</v>
      </c>
      <c r="R1662" s="2" t="s">
        <v>11206</v>
      </c>
      <c r="S1662" s="2" t="s">
        <v>491</v>
      </c>
      <c r="T1662" s="2" t="s">
        <v>2251</v>
      </c>
      <c r="U1662" s="2" t="s">
        <v>2252</v>
      </c>
      <c r="V1662" s="2" t="s">
        <v>42</v>
      </c>
      <c r="W1662" s="2">
        <v>45.9</v>
      </c>
      <c r="X1662" s="2">
        <v>46.6</v>
      </c>
      <c r="Y1662" s="2" t="s">
        <v>751</v>
      </c>
      <c r="Z1662" s="2" t="s">
        <v>11207</v>
      </c>
      <c r="AA1662" s="2">
        <v>2.4551874104748901</v>
      </c>
      <c r="AB1662" s="2">
        <v>0.48474524348789899</v>
      </c>
      <c r="AC1662" s="2">
        <v>35599.7286305081</v>
      </c>
      <c r="AD1662" s="2">
        <v>51276.523544201104</v>
      </c>
      <c r="AE1662" s="2">
        <v>34745.061908143201</v>
      </c>
      <c r="AF1662" s="2">
        <v>35449.189380605603</v>
      </c>
      <c r="AG1662" s="2">
        <v>33669.099792202302</v>
      </c>
      <c r="AH1662" s="2">
        <v>33754.719270363297</v>
      </c>
      <c r="AI1662" s="2">
        <v>39059.115775986298</v>
      </c>
      <c r="AJ1662" s="2">
        <v>36921.185655748101</v>
      </c>
      <c r="AK1662" s="2">
        <v>49797.314527489303</v>
      </c>
      <c r="AL1662" s="2">
        <v>50876.185503719797</v>
      </c>
      <c r="AM1662" s="2">
        <v>52330.969627758299</v>
      </c>
      <c r="AN1662" s="2">
        <v>52794.844163236499</v>
      </c>
      <c r="AO1662" s="2">
        <v>49648.352647194297</v>
      </c>
      <c r="AP1662" s="2">
        <v>52211.474795808499</v>
      </c>
    </row>
    <row r="1663" spans="1:42" ht="14.5" x14ac:dyDescent="0.35">
      <c r="A1663" s="2" t="s">
        <v>11208</v>
      </c>
      <c r="B1663" s="2">
        <v>595.28883132737701</v>
      </c>
      <c r="C1663" s="2">
        <v>10.208016666666699</v>
      </c>
      <c r="D1663" s="2" t="s">
        <v>70</v>
      </c>
      <c r="E1663" s="2" t="s">
        <v>11209</v>
      </c>
      <c r="F1663" s="2">
        <v>24877</v>
      </c>
      <c r="G1663" s="3" t="str">
        <f>HYPERLINK("http://funmeta.oebiotech.com/network/24877", "http://funmeta.oebiotech.com/network/24877")</f>
        <v>http://funmeta.oebiotech.com/network/24877</v>
      </c>
      <c r="H1663" s="2" t="s">
        <v>11210</v>
      </c>
      <c r="I1663" s="2"/>
      <c r="J1663" s="2" t="s">
        <v>11211</v>
      </c>
      <c r="K1663" s="2">
        <v>133077</v>
      </c>
      <c r="L1663" s="2"/>
      <c r="M1663" s="2"/>
      <c r="N1663" s="2"/>
      <c r="O1663" s="2">
        <v>52928605</v>
      </c>
      <c r="P1663" s="2" t="s">
        <v>11212</v>
      </c>
      <c r="Q1663" s="2" t="s">
        <v>11213</v>
      </c>
      <c r="R1663" s="2" t="s">
        <v>11214</v>
      </c>
      <c r="S1663" s="2" t="s">
        <v>50</v>
      </c>
      <c r="T1663" s="2" t="s">
        <v>51</v>
      </c>
      <c r="U1663" s="2" t="s">
        <v>52</v>
      </c>
      <c r="V1663" s="2" t="s">
        <v>59</v>
      </c>
      <c r="W1663" s="2">
        <v>44.1</v>
      </c>
      <c r="X1663" s="2">
        <v>23.3</v>
      </c>
      <c r="Y1663" s="2" t="s">
        <v>118</v>
      </c>
      <c r="Z1663" s="2" t="s">
        <v>11215</v>
      </c>
      <c r="AA1663" s="2">
        <v>-9.3706410714681901E-2</v>
      </c>
      <c r="AB1663" s="2">
        <v>0.48334461367339299</v>
      </c>
      <c r="AC1663" s="2">
        <v>49337.713578547198</v>
      </c>
      <c r="AD1663" s="2">
        <v>32407.183152287402</v>
      </c>
      <c r="AE1663" s="2">
        <v>56172.241554858003</v>
      </c>
      <c r="AF1663" s="2">
        <v>49873.521831030303</v>
      </c>
      <c r="AG1663" s="2">
        <v>48655.176500861802</v>
      </c>
      <c r="AH1663" s="2">
        <v>48062.148760253003</v>
      </c>
      <c r="AI1663" s="2">
        <v>46165.246528525102</v>
      </c>
      <c r="AJ1663" s="2">
        <v>47097.946295754999</v>
      </c>
      <c r="AK1663" s="2">
        <v>29585.226021337101</v>
      </c>
      <c r="AL1663" s="2">
        <v>36521.584154632998</v>
      </c>
      <c r="AM1663" s="2">
        <v>29552.059251456401</v>
      </c>
      <c r="AN1663" s="2">
        <v>31292.442491909202</v>
      </c>
      <c r="AO1663" s="2">
        <v>40635.629019578402</v>
      </c>
      <c r="AP1663" s="2">
        <v>26856.157974810201</v>
      </c>
    </row>
    <row r="1664" spans="1:42" ht="14.5" x14ac:dyDescent="0.35">
      <c r="A1664" s="2" t="s">
        <v>11216</v>
      </c>
      <c r="B1664" s="2">
        <v>920.47660107041304</v>
      </c>
      <c r="C1664" s="2">
        <v>8.9900166666666692</v>
      </c>
      <c r="D1664" s="2" t="s">
        <v>34</v>
      </c>
      <c r="E1664" s="2" t="s">
        <v>11217</v>
      </c>
      <c r="F1664" s="2">
        <v>56972</v>
      </c>
      <c r="G1664" s="3" t="str">
        <f>HYPERLINK("http://funmeta.oebiotech.com/network/56972", "http://funmeta.oebiotech.com/network/56972")</f>
        <v>http://funmeta.oebiotech.com/network/56972</v>
      </c>
      <c r="H1664" s="2" t="s">
        <v>11218</v>
      </c>
      <c r="I1664" s="2">
        <v>88630</v>
      </c>
      <c r="J1664" s="2"/>
      <c r="K1664" s="2"/>
      <c r="L1664" s="2"/>
      <c r="M1664" s="2"/>
      <c r="N1664" s="2"/>
      <c r="O1664" s="2">
        <v>73795895</v>
      </c>
      <c r="P1664" s="2" t="s">
        <v>11219</v>
      </c>
      <c r="Q1664" s="2" t="s">
        <v>11220</v>
      </c>
      <c r="R1664" s="2" t="s">
        <v>11221</v>
      </c>
      <c r="S1664" s="2" t="s">
        <v>50</v>
      </c>
      <c r="T1664" s="2" t="s">
        <v>124</v>
      </c>
      <c r="U1664" s="2" t="s">
        <v>523</v>
      </c>
      <c r="V1664" s="2" t="s">
        <v>59</v>
      </c>
      <c r="W1664" s="2">
        <v>36.6</v>
      </c>
      <c r="X1664" s="2">
        <v>0</v>
      </c>
      <c r="Y1664" s="2" t="s">
        <v>43</v>
      </c>
      <c r="Z1664" s="2" t="s">
        <v>11222</v>
      </c>
      <c r="AA1664" s="2">
        <v>-9.2575385511637407</v>
      </c>
      <c r="AB1664" s="2">
        <v>0.48326504094976303</v>
      </c>
      <c r="AC1664" s="2">
        <v>19726.0565880705</v>
      </c>
      <c r="AD1664" s="2">
        <v>3514.6452092203599</v>
      </c>
      <c r="AE1664" s="2">
        <v>24092.3097381361</v>
      </c>
      <c r="AF1664" s="2">
        <v>13507.6441685683</v>
      </c>
      <c r="AG1664" s="2">
        <v>17417.3100380123</v>
      </c>
      <c r="AH1664" s="2">
        <v>19084.205151030201</v>
      </c>
      <c r="AI1664" s="2">
        <v>20250.571886344402</v>
      </c>
      <c r="AJ1664" s="2">
        <v>24004.298546331898</v>
      </c>
      <c r="AK1664" s="2">
        <v>3779.13391480581</v>
      </c>
      <c r="AL1664" s="2">
        <v>2216.5867219230399</v>
      </c>
      <c r="AM1664" s="2">
        <v>5549.7639127995499</v>
      </c>
      <c r="AN1664" s="2">
        <v>1915.0057254624001</v>
      </c>
      <c r="AO1664" s="2">
        <v>3553.5749623987999</v>
      </c>
      <c r="AP1664" s="2">
        <v>4073.8060179325898</v>
      </c>
    </row>
    <row r="1665" spans="1:42" ht="14.5" x14ac:dyDescent="0.35">
      <c r="A1665" s="2" t="s">
        <v>11223</v>
      </c>
      <c r="B1665" s="2">
        <v>545.23620267648801</v>
      </c>
      <c r="C1665" s="2">
        <v>5.0879333333333303</v>
      </c>
      <c r="D1665" s="2" t="s">
        <v>34</v>
      </c>
      <c r="E1665" s="2" t="s">
        <v>11224</v>
      </c>
      <c r="F1665" s="2">
        <v>10229</v>
      </c>
      <c r="G1665" s="3" t="str">
        <f>HYPERLINK("http://funmeta.oebiotech.com/network/10229", "http://funmeta.oebiotech.com/network/10229")</f>
        <v>http://funmeta.oebiotech.com/network/10229</v>
      </c>
      <c r="H1665" s="2" t="s">
        <v>11225</v>
      </c>
      <c r="I1665" s="2">
        <v>93048</v>
      </c>
      <c r="J1665" s="2" t="s">
        <v>11226</v>
      </c>
      <c r="K1665" s="2"/>
      <c r="L1665" s="2"/>
      <c r="M1665" s="2"/>
      <c r="N1665" s="2"/>
      <c r="O1665" s="2">
        <v>20979920</v>
      </c>
      <c r="P1665" s="2" t="s">
        <v>11227</v>
      </c>
      <c r="Q1665" s="2" t="s">
        <v>11228</v>
      </c>
      <c r="R1665" s="2" t="s">
        <v>11229</v>
      </c>
      <c r="S1665" s="2" t="s">
        <v>50</v>
      </c>
      <c r="T1665" s="2" t="s">
        <v>229</v>
      </c>
      <c r="U1665" s="2" t="s">
        <v>230</v>
      </c>
      <c r="V1665" s="2" t="s">
        <v>59</v>
      </c>
      <c r="W1665" s="2">
        <v>38.700000000000003</v>
      </c>
      <c r="X1665" s="2">
        <v>0</v>
      </c>
      <c r="Y1665" s="2" t="s">
        <v>340</v>
      </c>
      <c r="Z1665" s="2" t="s">
        <v>11230</v>
      </c>
      <c r="AA1665" s="2">
        <v>0.65663106125130399</v>
      </c>
      <c r="AB1665" s="2">
        <v>0.48300428112243199</v>
      </c>
      <c r="AC1665" s="2">
        <v>7549.2142048892401</v>
      </c>
      <c r="AD1665" s="2">
        <v>23157.736373928299</v>
      </c>
      <c r="AE1665" s="2">
        <v>8032.1647162305899</v>
      </c>
      <c r="AF1665" s="2">
        <v>7849.57071331104</v>
      </c>
      <c r="AG1665" s="2">
        <v>6830.2602901962</v>
      </c>
      <c r="AH1665" s="2">
        <v>4874.0039008449303</v>
      </c>
      <c r="AI1665" s="2">
        <v>8241.7033532803398</v>
      </c>
      <c r="AJ1665" s="2">
        <v>9467.5822554723509</v>
      </c>
      <c r="AK1665" s="2">
        <v>24236.030495590301</v>
      </c>
      <c r="AL1665" s="2">
        <v>21364.810659843399</v>
      </c>
      <c r="AM1665" s="2">
        <v>20525.443223108101</v>
      </c>
      <c r="AN1665" s="2">
        <v>23526.034190251801</v>
      </c>
      <c r="AO1665" s="2">
        <v>25657.0775907973</v>
      </c>
      <c r="AP1665" s="2">
        <v>23637.0220839789</v>
      </c>
    </row>
    <row r="1666" spans="1:42" ht="14.5" x14ac:dyDescent="0.35">
      <c r="A1666" s="2" t="s">
        <v>11231</v>
      </c>
      <c r="B1666" s="2">
        <v>267.17392160152798</v>
      </c>
      <c r="C1666" s="2">
        <v>6.2166833333333296</v>
      </c>
      <c r="D1666" s="2" t="s">
        <v>34</v>
      </c>
      <c r="E1666" s="2" t="s">
        <v>11232</v>
      </c>
      <c r="F1666" s="2">
        <v>54977</v>
      </c>
      <c r="G1666" s="3" t="str">
        <f>HYPERLINK("http://funmeta.oebiotech.com/network/54977", "http://funmeta.oebiotech.com/network/54977")</f>
        <v>http://funmeta.oebiotech.com/network/54977</v>
      </c>
      <c r="H1666" s="2" t="s">
        <v>11233</v>
      </c>
      <c r="I1666" s="2">
        <v>86754</v>
      </c>
      <c r="J1666" s="2"/>
      <c r="K1666" s="2">
        <v>169276</v>
      </c>
      <c r="L1666" s="2"/>
      <c r="M1666" s="2"/>
      <c r="N1666" s="2"/>
      <c r="O1666" s="2">
        <v>131750968</v>
      </c>
      <c r="P1666" s="2" t="s">
        <v>11234</v>
      </c>
      <c r="Q1666" s="2" t="s">
        <v>11235</v>
      </c>
      <c r="R1666" s="2" t="s">
        <v>11236</v>
      </c>
      <c r="S1666" s="2" t="s">
        <v>115</v>
      </c>
      <c r="T1666" s="2" t="s">
        <v>575</v>
      </c>
      <c r="U1666" s="2" t="s">
        <v>576</v>
      </c>
      <c r="V1666" s="2" t="s">
        <v>59</v>
      </c>
      <c r="W1666" s="2">
        <v>42.2</v>
      </c>
      <c r="X1666" s="2">
        <v>16.8</v>
      </c>
      <c r="Y1666" s="2" t="s">
        <v>266</v>
      </c>
      <c r="Z1666" s="2" t="s">
        <v>11237</v>
      </c>
      <c r="AA1666" s="2">
        <v>-1.5785408003625701</v>
      </c>
      <c r="AB1666" s="2">
        <v>0.48294627288076902</v>
      </c>
      <c r="AC1666" s="2">
        <v>80879.133078012295</v>
      </c>
      <c r="AD1666" s="2">
        <v>64925.741512255998</v>
      </c>
      <c r="AE1666" s="2">
        <v>80132.776176688494</v>
      </c>
      <c r="AF1666" s="2">
        <v>81261.871636483207</v>
      </c>
      <c r="AG1666" s="2">
        <v>82767.292718984594</v>
      </c>
      <c r="AH1666" s="2">
        <v>79764.219279930199</v>
      </c>
      <c r="AI1666" s="2">
        <v>79658.174895988399</v>
      </c>
      <c r="AJ1666" s="2">
        <v>81690.463759999097</v>
      </c>
      <c r="AK1666" s="2">
        <v>63399.512889039703</v>
      </c>
      <c r="AL1666" s="2">
        <v>68509.310538815</v>
      </c>
      <c r="AM1666" s="2">
        <v>62271.919451382397</v>
      </c>
      <c r="AN1666" s="2">
        <v>67098.411726848601</v>
      </c>
      <c r="AO1666" s="2">
        <v>68182.640093619106</v>
      </c>
      <c r="AP1666" s="2">
        <v>60092.654373831203</v>
      </c>
    </row>
    <row r="1667" spans="1:42" ht="14.5" x14ac:dyDescent="0.35">
      <c r="A1667" s="2" t="s">
        <v>11238</v>
      </c>
      <c r="B1667" s="2">
        <v>537.21221984732597</v>
      </c>
      <c r="C1667" s="2">
        <v>4.8836000000000004</v>
      </c>
      <c r="D1667" s="2" t="s">
        <v>34</v>
      </c>
      <c r="E1667" s="2" t="s">
        <v>11239</v>
      </c>
      <c r="F1667" s="2">
        <v>211745</v>
      </c>
      <c r="G1667" s="3" t="str">
        <f>HYPERLINK("http://funmeta.oebiotech.com/network/211745", "http://funmeta.oebiotech.com/network/211745")</f>
        <v>http://funmeta.oebiotech.com/network/211745</v>
      </c>
      <c r="H1667" s="2" t="s">
        <v>11240</v>
      </c>
      <c r="I1667" s="2"/>
      <c r="J1667" s="2"/>
      <c r="K1667" s="2"/>
      <c r="L1667" s="2"/>
      <c r="M1667" s="2"/>
      <c r="N1667" s="2"/>
      <c r="O1667" s="2"/>
      <c r="P1667" s="2"/>
      <c r="Q1667" s="2" t="s">
        <v>11241</v>
      </c>
      <c r="R1667" s="2" t="s">
        <v>11242</v>
      </c>
      <c r="S1667" s="2" t="s">
        <v>115</v>
      </c>
      <c r="T1667" s="2" t="s">
        <v>9908</v>
      </c>
      <c r="U1667" s="2" t="s">
        <v>9909</v>
      </c>
      <c r="V1667" s="2" t="s">
        <v>59</v>
      </c>
      <c r="W1667" s="2">
        <v>36.299999999999997</v>
      </c>
      <c r="X1667" s="2">
        <v>0</v>
      </c>
      <c r="Y1667" s="2" t="s">
        <v>266</v>
      </c>
      <c r="Z1667" s="2" t="s">
        <v>11243</v>
      </c>
      <c r="AA1667" s="2">
        <v>0.579653787592186</v>
      </c>
      <c r="AB1667" s="2">
        <v>0.48292244535307699</v>
      </c>
      <c r="AC1667" s="2">
        <v>56322.742694780798</v>
      </c>
      <c r="AD1667" s="2">
        <v>76587.2337178288</v>
      </c>
      <c r="AE1667" s="2">
        <v>51908.558897318799</v>
      </c>
      <c r="AF1667" s="2">
        <v>73860.635590942795</v>
      </c>
      <c r="AG1667" s="2">
        <v>51289.741057155901</v>
      </c>
      <c r="AH1667" s="2">
        <v>48593.858152168803</v>
      </c>
      <c r="AI1667" s="2">
        <v>57912.566795662402</v>
      </c>
      <c r="AJ1667" s="2">
        <v>54371.095675436402</v>
      </c>
      <c r="AK1667" s="2">
        <v>86484.047013186399</v>
      </c>
      <c r="AL1667" s="2">
        <v>75802.204016710602</v>
      </c>
      <c r="AM1667" s="2">
        <v>57886.744728636899</v>
      </c>
      <c r="AN1667" s="2">
        <v>81476.932249067802</v>
      </c>
      <c r="AO1667" s="2">
        <v>76275.842210365401</v>
      </c>
      <c r="AP1667" s="2">
        <v>81597.632089005405</v>
      </c>
    </row>
    <row r="1668" spans="1:42" ht="14.5" x14ac:dyDescent="0.35">
      <c r="A1668" s="2" t="s">
        <v>11244</v>
      </c>
      <c r="B1668" s="2">
        <v>911.39086997963796</v>
      </c>
      <c r="C1668" s="2">
        <v>4.3640166666666698</v>
      </c>
      <c r="D1668" s="2" t="s">
        <v>70</v>
      </c>
      <c r="E1668" s="2" t="s">
        <v>11245</v>
      </c>
      <c r="F1668" s="2">
        <v>60102</v>
      </c>
      <c r="G1668" s="3" t="str">
        <f>HYPERLINK("http://funmeta.oebiotech.com/network/60102", "http://funmeta.oebiotech.com/network/60102")</f>
        <v>http://funmeta.oebiotech.com/network/60102</v>
      </c>
      <c r="H1668" s="2" t="s">
        <v>11246</v>
      </c>
      <c r="I1668" s="2">
        <v>91483</v>
      </c>
      <c r="J1668" s="2"/>
      <c r="K1668" s="2"/>
      <c r="L1668" s="2"/>
      <c r="M1668" s="2"/>
      <c r="N1668" s="2"/>
      <c r="O1668" s="2">
        <v>45269778</v>
      </c>
      <c r="P1668" s="2" t="s">
        <v>11247</v>
      </c>
      <c r="Q1668" s="2" t="s">
        <v>11248</v>
      </c>
      <c r="R1668" s="2" t="s">
        <v>11249</v>
      </c>
      <c r="S1668" s="2" t="s">
        <v>50</v>
      </c>
      <c r="T1668" s="2" t="s">
        <v>124</v>
      </c>
      <c r="U1668" s="2" t="s">
        <v>523</v>
      </c>
      <c r="V1668" s="2" t="s">
        <v>59</v>
      </c>
      <c r="W1668" s="2">
        <v>39.200000000000003</v>
      </c>
      <c r="X1668" s="2">
        <v>0</v>
      </c>
      <c r="Y1668" s="2" t="s">
        <v>408</v>
      </c>
      <c r="Z1668" s="2" t="s">
        <v>11250</v>
      </c>
      <c r="AA1668" s="2">
        <v>-1.0942264173396801</v>
      </c>
      <c r="AB1668" s="2">
        <v>0.48263341452092001</v>
      </c>
      <c r="AC1668" s="2">
        <v>92224.072376786295</v>
      </c>
      <c r="AD1668" s="2">
        <v>70822.935059026495</v>
      </c>
      <c r="AE1668" s="2">
        <v>90065.334492367096</v>
      </c>
      <c r="AF1668" s="2">
        <v>84050.996902774903</v>
      </c>
      <c r="AG1668" s="2">
        <v>97391.815115570396</v>
      </c>
      <c r="AH1668" s="2">
        <v>99965.499538722594</v>
      </c>
      <c r="AI1668" s="2">
        <v>102533.125804771</v>
      </c>
      <c r="AJ1668" s="2">
        <v>79337.662406511503</v>
      </c>
      <c r="AK1668" s="2">
        <v>67997.917501533302</v>
      </c>
      <c r="AL1668" s="2">
        <v>74094.221980792994</v>
      </c>
      <c r="AM1668" s="2">
        <v>59837.694103775299</v>
      </c>
      <c r="AN1668" s="2">
        <v>74416.463810029396</v>
      </c>
      <c r="AO1668" s="2">
        <v>55696.698353934698</v>
      </c>
      <c r="AP1668" s="2">
        <v>92894.614604093207</v>
      </c>
    </row>
    <row r="1669" spans="1:42" ht="14.5" x14ac:dyDescent="0.35">
      <c r="A1669" s="2" t="s">
        <v>11251</v>
      </c>
      <c r="B1669" s="2">
        <v>713.30164533849097</v>
      </c>
      <c r="C1669" s="2">
        <v>4.5612000000000004</v>
      </c>
      <c r="D1669" s="2" t="s">
        <v>70</v>
      </c>
      <c r="E1669" s="2" t="s">
        <v>11252</v>
      </c>
      <c r="F1669" s="2">
        <v>257996</v>
      </c>
      <c r="G1669" s="3" t="str">
        <f>HYPERLINK("http://funmeta.oebiotech.com/network/257996", "http://funmeta.oebiotech.com/network/257996")</f>
        <v>http://funmeta.oebiotech.com/network/257996</v>
      </c>
      <c r="H1669" s="2"/>
      <c r="I1669" s="2">
        <v>1913</v>
      </c>
      <c r="J1669" s="2"/>
      <c r="K1669" s="2"/>
      <c r="L1669" s="2" t="s">
        <v>11253</v>
      </c>
      <c r="M1669" s="2" t="s">
        <v>9575</v>
      </c>
      <c r="N1669" s="2" t="s">
        <v>9576</v>
      </c>
      <c r="O1669" s="2">
        <v>18991</v>
      </c>
      <c r="P1669" s="2" t="s">
        <v>11254</v>
      </c>
      <c r="Q1669" s="2" t="s">
        <v>11255</v>
      </c>
      <c r="R1669" s="2" t="s">
        <v>11256</v>
      </c>
      <c r="S1669" s="2" t="s">
        <v>11257</v>
      </c>
      <c r="T1669" s="2" t="s">
        <v>11258</v>
      </c>
      <c r="U1669" s="2" t="s">
        <v>41</v>
      </c>
      <c r="V1669" s="2" t="s">
        <v>59</v>
      </c>
      <c r="W1669" s="2">
        <v>36.200000000000003</v>
      </c>
      <c r="X1669" s="2">
        <v>0</v>
      </c>
      <c r="Y1669" s="2" t="s">
        <v>560</v>
      </c>
      <c r="Z1669" s="2" t="s">
        <v>11259</v>
      </c>
      <c r="AA1669" s="2">
        <v>-8.8531078785177506</v>
      </c>
      <c r="AB1669" s="2">
        <v>0.48252684088388198</v>
      </c>
      <c r="AC1669" s="2">
        <v>24709.917985323798</v>
      </c>
      <c r="AD1669" s="2">
        <v>40941.671487969099</v>
      </c>
      <c r="AE1669" s="2">
        <v>24679.8919018532</v>
      </c>
      <c r="AF1669" s="2">
        <v>24666.868390245902</v>
      </c>
      <c r="AG1669" s="2">
        <v>24332.6494748839</v>
      </c>
      <c r="AH1669" s="2">
        <v>23498.181705779101</v>
      </c>
      <c r="AI1669" s="2">
        <v>26476.793270037801</v>
      </c>
      <c r="AJ1669" s="2">
        <v>24605.123169142698</v>
      </c>
      <c r="AK1669" s="2">
        <v>34429.0298786692</v>
      </c>
      <c r="AL1669" s="2">
        <v>46446.687132539097</v>
      </c>
      <c r="AM1669" s="2">
        <v>41741.393892681597</v>
      </c>
      <c r="AN1669" s="2">
        <v>37206.412583356403</v>
      </c>
      <c r="AO1669" s="2">
        <v>43808.3164386672</v>
      </c>
      <c r="AP1669" s="2">
        <v>42018.189001900901</v>
      </c>
    </row>
    <row r="1670" spans="1:42" ht="14.5" x14ac:dyDescent="0.35">
      <c r="A1670" s="2" t="s">
        <v>11260</v>
      </c>
      <c r="B1670" s="2">
        <v>188.09173029378999</v>
      </c>
      <c r="C1670" s="2">
        <v>1.06171666666667</v>
      </c>
      <c r="D1670" s="2" t="s">
        <v>34</v>
      </c>
      <c r="E1670" s="2" t="s">
        <v>11261</v>
      </c>
      <c r="F1670" s="2">
        <v>51865</v>
      </c>
      <c r="G1670" s="3" t="str">
        <f>HYPERLINK("http://funmeta.oebiotech.com/network/51865", "http://funmeta.oebiotech.com/network/51865")</f>
        <v>http://funmeta.oebiotech.com/network/51865</v>
      </c>
      <c r="H1670" s="2" t="s">
        <v>11262</v>
      </c>
      <c r="I1670" s="2"/>
      <c r="J1670" s="2"/>
      <c r="K1670" s="2">
        <v>28376</v>
      </c>
      <c r="L1670" s="2" t="s">
        <v>11263</v>
      </c>
      <c r="M1670" s="2" t="s">
        <v>11264</v>
      </c>
      <c r="N1670" s="2" t="s">
        <v>11265</v>
      </c>
      <c r="O1670" s="2">
        <v>194080</v>
      </c>
      <c r="P1670" s="2"/>
      <c r="Q1670" s="2" t="s">
        <v>11266</v>
      </c>
      <c r="R1670" s="2" t="s">
        <v>11267</v>
      </c>
      <c r="S1670" s="2" t="s">
        <v>89</v>
      </c>
      <c r="T1670" s="2" t="s">
        <v>2718</v>
      </c>
      <c r="U1670" s="2" t="s">
        <v>11268</v>
      </c>
      <c r="V1670" s="2" t="s">
        <v>59</v>
      </c>
      <c r="W1670" s="2">
        <v>39.6</v>
      </c>
      <c r="X1670" s="2">
        <v>0</v>
      </c>
      <c r="Y1670" s="2" t="s">
        <v>266</v>
      </c>
      <c r="Z1670" s="2" t="s">
        <v>11269</v>
      </c>
      <c r="AA1670" s="2">
        <v>-2.1584690309167501E-2</v>
      </c>
      <c r="AB1670" s="2">
        <v>0.48227676009396098</v>
      </c>
      <c r="AC1670" s="2">
        <v>21804.769149044299</v>
      </c>
      <c r="AD1670" s="2">
        <v>37267.693470778402</v>
      </c>
      <c r="AE1670" s="2">
        <v>22824.9905017938</v>
      </c>
      <c r="AF1670" s="2">
        <v>21211.934188772801</v>
      </c>
      <c r="AG1670" s="2">
        <v>20225.417294654599</v>
      </c>
      <c r="AH1670" s="2">
        <v>21867.940230036998</v>
      </c>
      <c r="AI1670" s="2">
        <v>21187.916283576698</v>
      </c>
      <c r="AJ1670" s="2">
        <v>23510.416395430999</v>
      </c>
      <c r="AK1670" s="2">
        <v>36112.222335727201</v>
      </c>
      <c r="AL1670" s="2">
        <v>37223.586192188202</v>
      </c>
      <c r="AM1670" s="2">
        <v>36613.624075364598</v>
      </c>
      <c r="AN1670" s="2">
        <v>39697.342582270299</v>
      </c>
      <c r="AO1670" s="2">
        <v>38599.858999667398</v>
      </c>
      <c r="AP1670" s="2">
        <v>35359.526639452699</v>
      </c>
    </row>
    <row r="1671" spans="1:42" ht="14.5" x14ac:dyDescent="0.35">
      <c r="A1671" s="2" t="s">
        <v>11270</v>
      </c>
      <c r="B1671" s="2">
        <v>254.149738307609</v>
      </c>
      <c r="C1671" s="2">
        <v>1.09313333333333</v>
      </c>
      <c r="D1671" s="2" t="s">
        <v>34</v>
      </c>
      <c r="E1671" s="2" t="s">
        <v>11271</v>
      </c>
      <c r="F1671" s="2">
        <v>257538</v>
      </c>
      <c r="G1671" s="3" t="str">
        <f>HYPERLINK("http://funmeta.oebiotech.com/network/257538", "http://funmeta.oebiotech.com/network/257538")</f>
        <v>http://funmeta.oebiotech.com/network/257538</v>
      </c>
      <c r="H1671" s="2" t="s">
        <v>11272</v>
      </c>
      <c r="I1671" s="2">
        <v>85890</v>
      </c>
      <c r="J1671" s="2"/>
      <c r="K1671" s="2">
        <v>173694</v>
      </c>
      <c r="L1671" s="2"/>
      <c r="M1671" s="2"/>
      <c r="N1671" s="2"/>
      <c r="O1671" s="2">
        <v>352040</v>
      </c>
      <c r="P1671" s="2"/>
      <c r="Q1671" s="2" t="s">
        <v>11273</v>
      </c>
      <c r="R1671" s="2" t="s">
        <v>11274</v>
      </c>
      <c r="S1671" s="2" t="s">
        <v>89</v>
      </c>
      <c r="T1671" s="2" t="s">
        <v>90</v>
      </c>
      <c r="U1671" s="2" t="s">
        <v>99</v>
      </c>
      <c r="V1671" s="2" t="s">
        <v>59</v>
      </c>
      <c r="W1671" s="2">
        <v>44.1</v>
      </c>
      <c r="X1671" s="2">
        <v>24.6</v>
      </c>
      <c r="Y1671" s="2" t="s">
        <v>43</v>
      </c>
      <c r="Z1671" s="2" t="s">
        <v>9753</v>
      </c>
      <c r="AA1671" s="2">
        <v>-0.76065883082385699</v>
      </c>
      <c r="AB1671" s="2">
        <v>0.48217276902160799</v>
      </c>
      <c r="AC1671" s="2">
        <v>41144.260203828497</v>
      </c>
      <c r="AD1671" s="2">
        <v>25136.694913026498</v>
      </c>
      <c r="AE1671" s="2">
        <v>43848.666643764998</v>
      </c>
      <c r="AF1671" s="2">
        <v>35673.552257117801</v>
      </c>
      <c r="AG1671" s="2">
        <v>38696.901214713398</v>
      </c>
      <c r="AH1671" s="2">
        <v>43715.546646316201</v>
      </c>
      <c r="AI1671" s="2">
        <v>39674.429871508197</v>
      </c>
      <c r="AJ1671" s="2">
        <v>45256.464589550698</v>
      </c>
      <c r="AK1671" s="2">
        <v>26752.820236451</v>
      </c>
      <c r="AL1671" s="2">
        <v>26203.213882663102</v>
      </c>
      <c r="AM1671" s="2">
        <v>24180.261019080499</v>
      </c>
      <c r="AN1671" s="2">
        <v>25990.769137196301</v>
      </c>
      <c r="AO1671" s="2">
        <v>24076.545848341499</v>
      </c>
      <c r="AP1671" s="2">
        <v>23616.559354426699</v>
      </c>
    </row>
    <row r="1672" spans="1:42" ht="14.5" x14ac:dyDescent="0.35">
      <c r="A1672" s="2" t="s">
        <v>11275</v>
      </c>
      <c r="B1672" s="2">
        <v>563.28823050991798</v>
      </c>
      <c r="C1672" s="2">
        <v>5.0231500000000002</v>
      </c>
      <c r="D1672" s="2" t="s">
        <v>70</v>
      </c>
      <c r="E1672" s="2" t="s">
        <v>11276</v>
      </c>
      <c r="F1672" s="2">
        <v>43802</v>
      </c>
      <c r="G1672" s="3" t="str">
        <f>HYPERLINK("http://funmeta.oebiotech.com/network/43802", "http://funmeta.oebiotech.com/network/43802")</f>
        <v>http://funmeta.oebiotech.com/network/43802</v>
      </c>
      <c r="H1672" s="2"/>
      <c r="I1672" s="2"/>
      <c r="J1672" s="2" t="s">
        <v>11277</v>
      </c>
      <c r="K1672" s="2"/>
      <c r="L1672" s="2"/>
      <c r="M1672" s="2"/>
      <c r="N1672" s="2"/>
      <c r="O1672" s="2">
        <v>101926945</v>
      </c>
      <c r="P1672" s="2"/>
      <c r="Q1672" s="2" t="s">
        <v>11278</v>
      </c>
      <c r="R1672" s="2" t="s">
        <v>11279</v>
      </c>
      <c r="S1672" s="2" t="s">
        <v>50</v>
      </c>
      <c r="T1672" s="2" t="s">
        <v>201</v>
      </c>
      <c r="U1672" s="2" t="s">
        <v>210</v>
      </c>
      <c r="V1672" s="2" t="s">
        <v>59</v>
      </c>
      <c r="W1672" s="2">
        <v>44.4</v>
      </c>
      <c r="X1672" s="2">
        <v>38.9</v>
      </c>
      <c r="Y1672" s="2" t="s">
        <v>408</v>
      </c>
      <c r="Z1672" s="2" t="s">
        <v>9760</v>
      </c>
      <c r="AA1672" s="2">
        <v>3.9733442093021401</v>
      </c>
      <c r="AB1672" s="2">
        <v>0.48204919547883901</v>
      </c>
      <c r="AC1672" s="2">
        <v>83170.533793277398</v>
      </c>
      <c r="AD1672" s="2">
        <v>66972.035894387896</v>
      </c>
      <c r="AE1672" s="2">
        <v>80750.733183768301</v>
      </c>
      <c r="AF1672" s="2">
        <v>87400.835418913397</v>
      </c>
      <c r="AG1672" s="2">
        <v>80362.902156176497</v>
      </c>
      <c r="AH1672" s="2">
        <v>84118.9824190176</v>
      </c>
      <c r="AI1672" s="2">
        <v>86375.704136601998</v>
      </c>
      <c r="AJ1672" s="2">
        <v>80014.045445186493</v>
      </c>
      <c r="AK1672" s="2">
        <v>62054.794724220301</v>
      </c>
      <c r="AL1672" s="2">
        <v>70971.671685556095</v>
      </c>
      <c r="AM1672" s="2">
        <v>68688.304615197994</v>
      </c>
      <c r="AN1672" s="2">
        <v>67506.520688610006</v>
      </c>
      <c r="AO1672" s="2">
        <v>66308.965048592203</v>
      </c>
      <c r="AP1672" s="2">
        <v>66301.958604150495</v>
      </c>
    </row>
    <row r="1673" spans="1:42" ht="14.5" x14ac:dyDescent="0.35">
      <c r="A1673" s="2" t="s">
        <v>11280</v>
      </c>
      <c r="B1673" s="2">
        <v>639.374779716386</v>
      </c>
      <c r="C1673" s="2">
        <v>8.3118999999999996</v>
      </c>
      <c r="D1673" s="2" t="s">
        <v>70</v>
      </c>
      <c r="E1673" s="2" t="s">
        <v>11281</v>
      </c>
      <c r="F1673" s="2">
        <v>44536</v>
      </c>
      <c r="G1673" s="3" t="str">
        <f>HYPERLINK("http://funmeta.oebiotech.com/network/44536", "http://funmeta.oebiotech.com/network/44536")</f>
        <v>http://funmeta.oebiotech.com/network/44536</v>
      </c>
      <c r="H1673" s="2"/>
      <c r="I1673" s="2"/>
      <c r="J1673" s="2" t="s">
        <v>11282</v>
      </c>
      <c r="K1673" s="2"/>
      <c r="L1673" s="2"/>
      <c r="M1673" s="2"/>
      <c r="N1673" s="2"/>
      <c r="O1673" s="2">
        <v>52931479</v>
      </c>
      <c r="P1673" s="2"/>
      <c r="Q1673" s="2" t="s">
        <v>11283</v>
      </c>
      <c r="R1673" s="2" t="s">
        <v>11284</v>
      </c>
      <c r="S1673" s="2" t="s">
        <v>50</v>
      </c>
      <c r="T1673" s="2" t="s">
        <v>124</v>
      </c>
      <c r="U1673" s="2" t="s">
        <v>523</v>
      </c>
      <c r="V1673" s="2" t="s">
        <v>42</v>
      </c>
      <c r="W1673" s="2">
        <v>54</v>
      </c>
      <c r="X1673" s="2">
        <v>73.900000000000006</v>
      </c>
      <c r="Y1673" s="2" t="s">
        <v>408</v>
      </c>
      <c r="Z1673" s="2" t="s">
        <v>10786</v>
      </c>
      <c r="AA1673" s="2">
        <v>-0.34735783674828402</v>
      </c>
      <c r="AB1673" s="2">
        <v>0.48163317064776301</v>
      </c>
      <c r="AC1673" s="2">
        <v>22125.689009613299</v>
      </c>
      <c r="AD1673" s="2">
        <v>37590.698847899701</v>
      </c>
      <c r="AE1673" s="2">
        <v>22450.3661740721</v>
      </c>
      <c r="AF1673" s="2">
        <v>22601.0914508961</v>
      </c>
      <c r="AG1673" s="2">
        <v>21383.514610120601</v>
      </c>
      <c r="AH1673" s="2">
        <v>21196.047466846801</v>
      </c>
      <c r="AI1673" s="2">
        <v>23354.791128180401</v>
      </c>
      <c r="AJ1673" s="2">
        <v>21768.323227564</v>
      </c>
      <c r="AK1673" s="2">
        <v>38823.817955394203</v>
      </c>
      <c r="AL1673" s="2">
        <v>35916.233792483203</v>
      </c>
      <c r="AM1673" s="2">
        <v>37592.352432601401</v>
      </c>
      <c r="AN1673" s="2">
        <v>36412.472590872203</v>
      </c>
      <c r="AO1673" s="2">
        <v>35788.159225377902</v>
      </c>
      <c r="AP1673" s="2">
        <v>41011.157090669301</v>
      </c>
    </row>
    <row r="1674" spans="1:42" ht="14.5" x14ac:dyDescent="0.35">
      <c r="A1674" s="2" t="s">
        <v>11285</v>
      </c>
      <c r="B1674" s="2">
        <v>507.182706707855</v>
      </c>
      <c r="C1674" s="2">
        <v>3.6251333333333302</v>
      </c>
      <c r="D1674" s="2" t="s">
        <v>34</v>
      </c>
      <c r="E1674" s="2" t="s">
        <v>11286</v>
      </c>
      <c r="F1674" s="2">
        <v>207473</v>
      </c>
      <c r="G1674" s="3" t="str">
        <f>HYPERLINK("http://funmeta.oebiotech.com/network/207473", "http://funmeta.oebiotech.com/network/207473")</f>
        <v>http://funmeta.oebiotech.com/network/207473</v>
      </c>
      <c r="H1674" s="2" t="s">
        <v>11287</v>
      </c>
      <c r="I1674" s="2"/>
      <c r="J1674" s="2"/>
      <c r="K1674" s="2"/>
      <c r="L1674" s="2"/>
      <c r="M1674" s="2"/>
      <c r="N1674" s="2"/>
      <c r="O1674" s="2">
        <v>68526261</v>
      </c>
      <c r="P1674" s="2"/>
      <c r="Q1674" s="2" t="s">
        <v>11288</v>
      </c>
      <c r="R1674" s="2" t="s">
        <v>11289</v>
      </c>
      <c r="S1674" s="2" t="s">
        <v>491</v>
      </c>
      <c r="T1674" s="2" t="s">
        <v>11290</v>
      </c>
      <c r="U1674" s="2" t="s">
        <v>41</v>
      </c>
      <c r="V1674" s="2" t="s">
        <v>42</v>
      </c>
      <c r="W1674" s="2">
        <v>52.3</v>
      </c>
      <c r="X1674" s="2">
        <v>69.5</v>
      </c>
      <c r="Y1674" s="2" t="s">
        <v>340</v>
      </c>
      <c r="Z1674" s="2" t="s">
        <v>11291</v>
      </c>
      <c r="AA1674" s="2">
        <v>4.8374557367729301</v>
      </c>
      <c r="AB1674" s="2">
        <v>0.48147936632397198</v>
      </c>
      <c r="AC1674" s="2">
        <v>115978.929868619</v>
      </c>
      <c r="AD1674" s="2">
        <v>134550.20180041599</v>
      </c>
      <c r="AE1674" s="2">
        <v>119861.622407544</v>
      </c>
      <c r="AF1674" s="2">
        <v>111658.01407033</v>
      </c>
      <c r="AG1674" s="2">
        <v>105373.713715227</v>
      </c>
      <c r="AH1674" s="2">
        <v>109584.83431861299</v>
      </c>
      <c r="AI1674" s="2">
        <v>125236.048045876</v>
      </c>
      <c r="AJ1674" s="2">
        <v>124159.346654122</v>
      </c>
      <c r="AK1674" s="2">
        <v>137185.54232725201</v>
      </c>
      <c r="AL1674" s="2">
        <v>129164.642520828</v>
      </c>
      <c r="AM1674" s="2">
        <v>132210.18861833701</v>
      </c>
      <c r="AN1674" s="2">
        <v>134474.532582154</v>
      </c>
      <c r="AO1674" s="2">
        <v>128826.359688924</v>
      </c>
      <c r="AP1674" s="2">
        <v>145439.94506500199</v>
      </c>
    </row>
    <row r="1675" spans="1:42" ht="14.5" x14ac:dyDescent="0.35">
      <c r="A1675" s="2" t="s">
        <v>11292</v>
      </c>
      <c r="B1675" s="2">
        <v>469.13194695905003</v>
      </c>
      <c r="C1675" s="2">
        <v>3.5301</v>
      </c>
      <c r="D1675" s="2" t="s">
        <v>34</v>
      </c>
      <c r="E1675" s="2" t="s">
        <v>11293</v>
      </c>
      <c r="F1675" s="2">
        <v>29019</v>
      </c>
      <c r="G1675" s="3" t="str">
        <f>HYPERLINK("http://funmeta.oebiotech.com/network/29019", "http://funmeta.oebiotech.com/network/29019")</f>
        <v>http://funmeta.oebiotech.com/network/29019</v>
      </c>
      <c r="H1675" s="2"/>
      <c r="I1675" s="2"/>
      <c r="J1675" s="2" t="s">
        <v>11294</v>
      </c>
      <c r="K1675" s="2"/>
      <c r="L1675" s="2"/>
      <c r="M1675" s="2"/>
      <c r="N1675" s="2"/>
      <c r="O1675" s="2">
        <v>44257153</v>
      </c>
      <c r="P1675" s="2"/>
      <c r="Q1675" s="2" t="s">
        <v>11295</v>
      </c>
      <c r="R1675" s="2" t="s">
        <v>11296</v>
      </c>
      <c r="S1675" s="2" t="s">
        <v>115</v>
      </c>
      <c r="T1675" s="2" t="s">
        <v>139</v>
      </c>
      <c r="U1675" s="2" t="s">
        <v>140</v>
      </c>
      <c r="V1675" s="2" t="s">
        <v>42</v>
      </c>
      <c r="W1675" s="2">
        <v>47.4</v>
      </c>
      <c r="X1675" s="2">
        <v>49.1</v>
      </c>
      <c r="Y1675" s="2" t="s">
        <v>67</v>
      </c>
      <c r="Z1675" s="2" t="s">
        <v>11297</v>
      </c>
      <c r="AA1675" s="2">
        <v>-4.4980920929173704</v>
      </c>
      <c r="AB1675" s="2">
        <v>0.48121969229923001</v>
      </c>
      <c r="AC1675" s="2">
        <v>86262.891379933295</v>
      </c>
      <c r="AD1675" s="2">
        <v>69915.641743364002</v>
      </c>
      <c r="AE1675" s="2">
        <v>85829.348206249604</v>
      </c>
      <c r="AF1675" s="2">
        <v>90037.4976792995</v>
      </c>
      <c r="AG1675" s="2">
        <v>86126.582244434307</v>
      </c>
      <c r="AH1675" s="2">
        <v>79876.491778926094</v>
      </c>
      <c r="AI1675" s="2">
        <v>91360.613450219404</v>
      </c>
      <c r="AJ1675" s="2">
        <v>84346.814920470904</v>
      </c>
      <c r="AK1675" s="2">
        <v>70225.894369954403</v>
      </c>
      <c r="AL1675" s="2">
        <v>68502.363515555</v>
      </c>
      <c r="AM1675" s="2">
        <v>66774.7021796958</v>
      </c>
      <c r="AN1675" s="2">
        <v>74181.559227571604</v>
      </c>
      <c r="AO1675" s="2">
        <v>68448.881162983307</v>
      </c>
      <c r="AP1675" s="2">
        <v>71360.450004423605</v>
      </c>
    </row>
    <row r="1676" spans="1:42" ht="14.5" x14ac:dyDescent="0.35">
      <c r="A1676" s="2" t="s">
        <v>11298</v>
      </c>
      <c r="B1676" s="2">
        <v>161.13237006730299</v>
      </c>
      <c r="C1676" s="2">
        <v>4.4289500000000004</v>
      </c>
      <c r="D1676" s="2" t="s">
        <v>34</v>
      </c>
      <c r="E1676" s="2" t="s">
        <v>11299</v>
      </c>
      <c r="F1676" s="2">
        <v>200535</v>
      </c>
      <c r="G1676" s="3" t="str">
        <f>HYPERLINK("http://funmeta.oebiotech.com/network/200535", "http://funmeta.oebiotech.com/network/200535")</f>
        <v>http://funmeta.oebiotech.com/network/200535</v>
      </c>
      <c r="H1676" s="2" t="s">
        <v>11300</v>
      </c>
      <c r="I1676" s="2"/>
      <c r="J1676" s="2"/>
      <c r="K1676" s="2"/>
      <c r="L1676" s="2"/>
      <c r="M1676" s="2"/>
      <c r="N1676" s="2"/>
      <c r="O1676" s="2">
        <v>13892</v>
      </c>
      <c r="P1676" s="2"/>
      <c r="Q1676" s="2" t="s">
        <v>11301</v>
      </c>
      <c r="R1676" s="2" t="s">
        <v>11302</v>
      </c>
      <c r="S1676" s="2" t="s">
        <v>79</v>
      </c>
      <c r="T1676" s="2" t="s">
        <v>80</v>
      </c>
      <c r="U1676" s="2" t="s">
        <v>2820</v>
      </c>
      <c r="V1676" s="2" t="s">
        <v>42</v>
      </c>
      <c r="W1676" s="2">
        <v>50.4</v>
      </c>
      <c r="X1676" s="2">
        <v>54.8</v>
      </c>
      <c r="Y1676" s="2" t="s">
        <v>141</v>
      </c>
      <c r="Z1676" s="2" t="s">
        <v>11303</v>
      </c>
      <c r="AA1676" s="2">
        <v>-0.59998909549711699</v>
      </c>
      <c r="AB1676" s="2">
        <v>0.48110142730252597</v>
      </c>
      <c r="AC1676" s="2">
        <v>116042.84270168599</v>
      </c>
      <c r="AD1676" s="2">
        <v>100100.337908278</v>
      </c>
      <c r="AE1676" s="2">
        <v>113726.70218194299</v>
      </c>
      <c r="AF1676" s="2">
        <v>115269.97023397801</v>
      </c>
      <c r="AG1676" s="2">
        <v>118418.09986952999</v>
      </c>
      <c r="AH1676" s="2">
        <v>113368.250593798</v>
      </c>
      <c r="AI1676" s="2">
        <v>115085.58334194199</v>
      </c>
      <c r="AJ1676" s="2">
        <v>120388.449988925</v>
      </c>
      <c r="AK1676" s="2">
        <v>103639.705450901</v>
      </c>
      <c r="AL1676" s="2">
        <v>99613.590875492606</v>
      </c>
      <c r="AM1676" s="2">
        <v>102416.70201407</v>
      </c>
      <c r="AN1676" s="2">
        <v>97178.057499864299</v>
      </c>
      <c r="AO1676" s="2">
        <v>96348.637016427499</v>
      </c>
      <c r="AP1676" s="2">
        <v>101405.334592913</v>
      </c>
    </row>
    <row r="1677" spans="1:42" ht="14.5" x14ac:dyDescent="0.35">
      <c r="A1677" s="2" t="s">
        <v>11304</v>
      </c>
      <c r="B1677" s="2">
        <v>659.12590034954997</v>
      </c>
      <c r="C1677" s="2">
        <v>3.3826333333333301</v>
      </c>
      <c r="D1677" s="2" t="s">
        <v>34</v>
      </c>
      <c r="E1677" s="2" t="s">
        <v>11305</v>
      </c>
      <c r="F1677" s="2">
        <v>61792</v>
      </c>
      <c r="G1677" s="3" t="str">
        <f>HYPERLINK("http://funmeta.oebiotech.com/network/61792", "http://funmeta.oebiotech.com/network/61792")</f>
        <v>http://funmeta.oebiotech.com/network/61792</v>
      </c>
      <c r="H1677" s="2" t="s">
        <v>11306</v>
      </c>
      <c r="I1677" s="2"/>
      <c r="J1677" s="2"/>
      <c r="K1677" s="2"/>
      <c r="L1677" s="2"/>
      <c r="M1677" s="2"/>
      <c r="N1677" s="2"/>
      <c r="O1677" s="2">
        <v>131752357</v>
      </c>
      <c r="P1677" s="2" t="s">
        <v>11307</v>
      </c>
      <c r="Q1677" s="2" t="s">
        <v>11308</v>
      </c>
      <c r="R1677" s="2" t="s">
        <v>11309</v>
      </c>
      <c r="S1677" s="2" t="s">
        <v>79</v>
      </c>
      <c r="T1677" s="2" t="s">
        <v>80</v>
      </c>
      <c r="U1677" s="2" t="s">
        <v>81</v>
      </c>
      <c r="V1677" s="2" t="s">
        <v>59</v>
      </c>
      <c r="W1677" s="2">
        <v>43.8</v>
      </c>
      <c r="X1677" s="2">
        <v>30</v>
      </c>
      <c r="Y1677" s="2" t="s">
        <v>43</v>
      </c>
      <c r="Z1677" s="2" t="s">
        <v>11310</v>
      </c>
      <c r="AA1677" s="2">
        <v>2.1949262581785201</v>
      </c>
      <c r="AB1677" s="2">
        <v>0.48105164503729703</v>
      </c>
      <c r="AC1677" s="2">
        <v>835980.76921242604</v>
      </c>
      <c r="AD1677" s="2">
        <v>807316.11833024595</v>
      </c>
      <c r="AE1677" s="2">
        <v>860098.11832715804</v>
      </c>
      <c r="AF1677" s="2">
        <v>788120.09875031305</v>
      </c>
      <c r="AG1677" s="2">
        <v>852294.440654687</v>
      </c>
      <c r="AH1677" s="2">
        <v>853070.59569686698</v>
      </c>
      <c r="AI1677" s="2">
        <v>814271.95761280903</v>
      </c>
      <c r="AJ1677" s="2">
        <v>848029.40423272096</v>
      </c>
      <c r="AK1677" s="2">
        <v>843527.73860454897</v>
      </c>
      <c r="AL1677" s="2">
        <v>793257.406326222</v>
      </c>
      <c r="AM1677" s="2">
        <v>821969.28489256499</v>
      </c>
      <c r="AN1677" s="2">
        <v>791781.72958329099</v>
      </c>
      <c r="AO1677" s="2">
        <v>785577.96742526395</v>
      </c>
      <c r="AP1677" s="2">
        <v>807782.58314958296</v>
      </c>
    </row>
    <row r="1678" spans="1:42" ht="14.5" x14ac:dyDescent="0.35">
      <c r="A1678" s="2" t="s">
        <v>11311</v>
      </c>
      <c r="B1678" s="2">
        <v>459.21421233225499</v>
      </c>
      <c r="C1678" s="2">
        <v>9.5425000000000004</v>
      </c>
      <c r="D1678" s="2" t="s">
        <v>34</v>
      </c>
      <c r="E1678" s="2" t="s">
        <v>11312</v>
      </c>
      <c r="F1678" s="2">
        <v>53122</v>
      </c>
      <c r="G1678" s="3" t="str">
        <f>HYPERLINK("http://funmeta.oebiotech.com/network/53122", "http://funmeta.oebiotech.com/network/53122")</f>
        <v>http://funmeta.oebiotech.com/network/53122</v>
      </c>
      <c r="H1678" s="2" t="s">
        <v>11313</v>
      </c>
      <c r="I1678" s="2">
        <v>4049</v>
      </c>
      <c r="J1678" s="2"/>
      <c r="K1678" s="2">
        <v>774963</v>
      </c>
      <c r="L1678" s="2"/>
      <c r="M1678" s="2"/>
      <c r="N1678" s="2"/>
      <c r="O1678" s="2">
        <v>15209</v>
      </c>
      <c r="P1678" s="2" t="s">
        <v>11314</v>
      </c>
      <c r="Q1678" s="2" t="s">
        <v>11315</v>
      </c>
      <c r="R1678" s="2" t="s">
        <v>11316</v>
      </c>
      <c r="S1678" s="2" t="s">
        <v>50</v>
      </c>
      <c r="T1678" s="2" t="s">
        <v>124</v>
      </c>
      <c r="U1678" s="2" t="s">
        <v>1136</v>
      </c>
      <c r="V1678" s="2" t="s">
        <v>59</v>
      </c>
      <c r="W1678" s="2">
        <v>40.4</v>
      </c>
      <c r="X1678" s="2">
        <v>13.6</v>
      </c>
      <c r="Y1678" s="2" t="s">
        <v>323</v>
      </c>
      <c r="Z1678" s="2" t="s">
        <v>11317</v>
      </c>
      <c r="AA1678" s="2">
        <v>-2.57972498884113</v>
      </c>
      <c r="AB1678" s="2">
        <v>0.48098043472685298</v>
      </c>
      <c r="AC1678" s="2">
        <v>11082.5647718244</v>
      </c>
      <c r="AD1678" s="2">
        <v>27900.567125859601</v>
      </c>
      <c r="AE1678" s="2">
        <v>10590.2010389843</v>
      </c>
      <c r="AF1678" s="2">
        <v>11475.1661927033</v>
      </c>
      <c r="AG1678" s="2">
        <v>10909.401445907701</v>
      </c>
      <c r="AH1678" s="2">
        <v>11870.375734662501</v>
      </c>
      <c r="AI1678" s="2">
        <v>10257.2279419402</v>
      </c>
      <c r="AJ1678" s="2">
        <v>11393.0162767486</v>
      </c>
      <c r="AK1678" s="2">
        <v>30344.449790470098</v>
      </c>
      <c r="AL1678" s="2">
        <v>16849.364842371699</v>
      </c>
      <c r="AM1678" s="2">
        <v>28006.602893490399</v>
      </c>
      <c r="AN1678" s="2">
        <v>25783.5676932731</v>
      </c>
      <c r="AO1678" s="2">
        <v>31592.346230666899</v>
      </c>
      <c r="AP1678" s="2">
        <v>34827.071304885299</v>
      </c>
    </row>
    <row r="1679" spans="1:42" ht="14.5" x14ac:dyDescent="0.35">
      <c r="A1679" s="2" t="s">
        <v>11318</v>
      </c>
      <c r="B1679" s="2">
        <v>632.31912217113097</v>
      </c>
      <c r="C1679" s="2">
        <v>7.8272833333333303</v>
      </c>
      <c r="D1679" s="2" t="s">
        <v>34</v>
      </c>
      <c r="E1679" s="2" t="s">
        <v>11319</v>
      </c>
      <c r="F1679" s="2">
        <v>241972</v>
      </c>
      <c r="G1679" s="3" t="str">
        <f>HYPERLINK("http://funmeta.oebiotech.com/network/241972", "http://funmeta.oebiotech.com/network/241972")</f>
        <v>http://funmeta.oebiotech.com/network/241972</v>
      </c>
      <c r="H1679" s="2" t="s">
        <v>11320</v>
      </c>
      <c r="I1679" s="2"/>
      <c r="J1679" s="2"/>
      <c r="K1679" s="2"/>
      <c r="L1679" s="2"/>
      <c r="M1679" s="2"/>
      <c r="N1679" s="2"/>
      <c r="O1679" s="2"/>
      <c r="P1679" s="2"/>
      <c r="Q1679" s="2" t="s">
        <v>11321</v>
      </c>
      <c r="R1679" s="2" t="s">
        <v>11322</v>
      </c>
      <c r="S1679" s="2" t="s">
        <v>41</v>
      </c>
      <c r="T1679" s="2" t="s">
        <v>41</v>
      </c>
      <c r="U1679" s="2" t="s">
        <v>41</v>
      </c>
      <c r="V1679" s="2" t="s">
        <v>59</v>
      </c>
      <c r="W1679" s="2">
        <v>38.700000000000003</v>
      </c>
      <c r="X1679" s="2">
        <v>0</v>
      </c>
      <c r="Y1679" s="2" t="s">
        <v>394</v>
      </c>
      <c r="Z1679" s="2" t="s">
        <v>11323</v>
      </c>
      <c r="AA1679" s="2">
        <v>-0.47886664209294999</v>
      </c>
      <c r="AB1679" s="2">
        <v>0.480806145683217</v>
      </c>
      <c r="AC1679" s="2">
        <v>36759.598763626702</v>
      </c>
      <c r="AD1679" s="2">
        <v>21053.827433059501</v>
      </c>
      <c r="AE1679" s="2">
        <v>35138.386633879498</v>
      </c>
      <c r="AF1679" s="2">
        <v>36922.741598036097</v>
      </c>
      <c r="AG1679" s="2">
        <v>42759.069485302804</v>
      </c>
      <c r="AH1679" s="2">
        <v>33540.512724378597</v>
      </c>
      <c r="AI1679" s="2">
        <v>36734.0919245064</v>
      </c>
      <c r="AJ1679" s="2">
        <v>35462.790215656802</v>
      </c>
      <c r="AK1679" s="2">
        <v>21903.3663984388</v>
      </c>
      <c r="AL1679" s="2">
        <v>21323.265898931</v>
      </c>
      <c r="AM1679" s="2">
        <v>19614.715880519099</v>
      </c>
      <c r="AN1679" s="2">
        <v>19983.287773529999</v>
      </c>
      <c r="AO1679" s="2">
        <v>22354.595734449598</v>
      </c>
      <c r="AP1679" s="2">
        <v>21143.732912488202</v>
      </c>
    </row>
    <row r="1680" spans="1:42" ht="14.5" x14ac:dyDescent="0.35">
      <c r="A1680" s="2" t="s">
        <v>11324</v>
      </c>
      <c r="B1680" s="2">
        <v>295.22755538241103</v>
      </c>
      <c r="C1680" s="2">
        <v>10.5637333333333</v>
      </c>
      <c r="D1680" s="2" t="s">
        <v>70</v>
      </c>
      <c r="E1680" s="2" t="s">
        <v>11325</v>
      </c>
      <c r="F1680" s="2">
        <v>3262</v>
      </c>
      <c r="G1680" s="3" t="str">
        <f>HYPERLINK("http://funmeta.oebiotech.com/network/3262", "http://funmeta.oebiotech.com/network/3262")</f>
        <v>http://funmeta.oebiotech.com/network/3262</v>
      </c>
      <c r="H1680" s="2"/>
      <c r="I1680" s="2"/>
      <c r="J1680" s="2" t="s">
        <v>11326</v>
      </c>
      <c r="K1680" s="2"/>
      <c r="L1680" s="2"/>
      <c r="M1680" s="2"/>
      <c r="N1680" s="2"/>
      <c r="O1680" s="2">
        <v>92033088</v>
      </c>
      <c r="P1680" s="2"/>
      <c r="Q1680" s="2" t="s">
        <v>11327</v>
      </c>
      <c r="R1680" s="2" t="s">
        <v>11328</v>
      </c>
      <c r="S1680" s="2" t="s">
        <v>50</v>
      </c>
      <c r="T1680" s="2" t="s">
        <v>229</v>
      </c>
      <c r="U1680" s="2" t="s">
        <v>1360</v>
      </c>
      <c r="V1680" s="2" t="s">
        <v>42</v>
      </c>
      <c r="W1680" s="2">
        <v>53.6</v>
      </c>
      <c r="X1680" s="2">
        <v>72.7</v>
      </c>
      <c r="Y1680" s="2" t="s">
        <v>118</v>
      </c>
      <c r="Z1680" s="2" t="s">
        <v>1361</v>
      </c>
      <c r="AA1680" s="2">
        <v>-1.05683108430548</v>
      </c>
      <c r="AB1680" s="2">
        <v>0.48073893775278098</v>
      </c>
      <c r="AC1680" s="2">
        <v>39695.556522352097</v>
      </c>
      <c r="AD1680" s="2">
        <v>24085.448066317698</v>
      </c>
      <c r="AE1680" s="2">
        <v>42200.625891296098</v>
      </c>
      <c r="AF1680" s="2">
        <v>39186.431012724599</v>
      </c>
      <c r="AG1680" s="2">
        <v>38558.466549106</v>
      </c>
      <c r="AH1680" s="2">
        <v>41303.919241017997</v>
      </c>
      <c r="AI1680" s="2">
        <v>37090.721263776701</v>
      </c>
      <c r="AJ1680" s="2">
        <v>39833.1751761915</v>
      </c>
      <c r="AK1680" s="2">
        <v>23095.750701683901</v>
      </c>
      <c r="AL1680" s="2">
        <v>23067.763671081699</v>
      </c>
      <c r="AM1680" s="2">
        <v>28579.393654891701</v>
      </c>
      <c r="AN1680" s="2">
        <v>22355.836264637699</v>
      </c>
      <c r="AO1680" s="2">
        <v>24873.159372931601</v>
      </c>
      <c r="AP1680" s="2">
        <v>22540.784732679302</v>
      </c>
    </row>
    <row r="1681" spans="1:42" ht="14.5" x14ac:dyDescent="0.35">
      <c r="A1681" s="2" t="s">
        <v>11329</v>
      </c>
      <c r="B1681" s="2">
        <v>925.48436374901996</v>
      </c>
      <c r="C1681" s="2">
        <v>11.3090333333333</v>
      </c>
      <c r="D1681" s="2" t="s">
        <v>34</v>
      </c>
      <c r="E1681" s="2" t="s">
        <v>11330</v>
      </c>
      <c r="F1681" s="2">
        <v>225672</v>
      </c>
      <c r="G1681" s="3" t="str">
        <f>HYPERLINK("http://funmeta.oebiotech.com/network/225672", "http://funmeta.oebiotech.com/network/225672")</f>
        <v>http://funmeta.oebiotech.com/network/225672</v>
      </c>
      <c r="H1681" s="2" t="s">
        <v>11331</v>
      </c>
      <c r="I1681" s="2"/>
      <c r="J1681" s="2"/>
      <c r="K1681" s="2"/>
      <c r="L1681" s="2"/>
      <c r="M1681" s="2"/>
      <c r="N1681" s="2"/>
      <c r="O1681" s="2"/>
      <c r="P1681" s="2"/>
      <c r="Q1681" s="2" t="s">
        <v>11332</v>
      </c>
      <c r="R1681" s="2" t="s">
        <v>11333</v>
      </c>
      <c r="S1681" s="2" t="s">
        <v>41</v>
      </c>
      <c r="T1681" s="2" t="s">
        <v>41</v>
      </c>
      <c r="U1681" s="2" t="s">
        <v>41</v>
      </c>
      <c r="V1681" s="2" t="s">
        <v>59</v>
      </c>
      <c r="W1681" s="2">
        <v>37.6</v>
      </c>
      <c r="X1681" s="2">
        <v>0</v>
      </c>
      <c r="Y1681" s="2" t="s">
        <v>394</v>
      </c>
      <c r="Z1681" s="2" t="s">
        <v>11334</v>
      </c>
      <c r="AA1681" s="2">
        <v>0.62483210198345696</v>
      </c>
      <c r="AB1681" s="2">
        <v>0.48033084611406601</v>
      </c>
      <c r="AC1681" s="2">
        <v>26745.550959185101</v>
      </c>
      <c r="AD1681" s="2">
        <v>42789.5401598799</v>
      </c>
      <c r="AE1681" s="2">
        <v>25435.374623010099</v>
      </c>
      <c r="AF1681" s="2">
        <v>25959.647917798498</v>
      </c>
      <c r="AG1681" s="2">
        <v>27164.244353403101</v>
      </c>
      <c r="AH1681" s="2">
        <v>27972.1078784649</v>
      </c>
      <c r="AI1681" s="2">
        <v>26892.549196202399</v>
      </c>
      <c r="AJ1681" s="2">
        <v>27049.381786231501</v>
      </c>
      <c r="AK1681" s="2">
        <v>38829.779957907303</v>
      </c>
      <c r="AL1681" s="2">
        <v>41655.848458725399</v>
      </c>
      <c r="AM1681" s="2">
        <v>37939.362120935897</v>
      </c>
      <c r="AN1681" s="2">
        <v>42845.257882471698</v>
      </c>
      <c r="AO1681" s="2">
        <v>48911.209443260501</v>
      </c>
      <c r="AP1681" s="2">
        <v>46555.783095978797</v>
      </c>
    </row>
    <row r="1682" spans="1:42" ht="14.5" x14ac:dyDescent="0.35">
      <c r="A1682" s="2" t="s">
        <v>11335</v>
      </c>
      <c r="B1682" s="2">
        <v>955.49415807489595</v>
      </c>
      <c r="C1682" s="2">
        <v>11.0433</v>
      </c>
      <c r="D1682" s="2" t="s">
        <v>34</v>
      </c>
      <c r="E1682" s="2" t="s">
        <v>11336</v>
      </c>
      <c r="F1682" s="2">
        <v>213570</v>
      </c>
      <c r="G1682" s="3" t="str">
        <f>HYPERLINK("http://funmeta.oebiotech.com/network/213570", "http://funmeta.oebiotech.com/network/213570")</f>
        <v>http://funmeta.oebiotech.com/network/213570</v>
      </c>
      <c r="H1682" s="2" t="s">
        <v>11337</v>
      </c>
      <c r="I1682" s="2"/>
      <c r="J1682" s="2"/>
      <c r="K1682" s="2"/>
      <c r="L1682" s="2"/>
      <c r="M1682" s="2"/>
      <c r="N1682" s="2"/>
      <c r="O1682" s="2"/>
      <c r="P1682" s="2"/>
      <c r="Q1682" s="2" t="s">
        <v>11338</v>
      </c>
      <c r="R1682" s="2" t="s">
        <v>11339</v>
      </c>
      <c r="S1682" s="2" t="s">
        <v>41</v>
      </c>
      <c r="T1682" s="2" t="s">
        <v>41</v>
      </c>
      <c r="U1682" s="2" t="s">
        <v>41</v>
      </c>
      <c r="V1682" s="2" t="s">
        <v>59</v>
      </c>
      <c r="W1682" s="2">
        <v>38.799999999999997</v>
      </c>
      <c r="X1682" s="2">
        <v>0</v>
      </c>
      <c r="Y1682" s="2" t="s">
        <v>394</v>
      </c>
      <c r="Z1682" s="2" t="s">
        <v>11340</v>
      </c>
      <c r="AA1682" s="2">
        <v>-0.20190448733927099</v>
      </c>
      <c r="AB1682" s="2">
        <v>0.48023514814354901</v>
      </c>
      <c r="AC1682" s="2">
        <v>19569.694275266898</v>
      </c>
      <c r="AD1682" s="2">
        <v>35213.545249787501</v>
      </c>
      <c r="AE1682" s="2">
        <v>19213.454375474801</v>
      </c>
      <c r="AF1682" s="2">
        <v>19806.429713999001</v>
      </c>
      <c r="AG1682" s="2">
        <v>19463.136462430401</v>
      </c>
      <c r="AH1682" s="2">
        <v>18435.831287673402</v>
      </c>
      <c r="AI1682" s="2">
        <v>19245.703881603898</v>
      </c>
      <c r="AJ1682" s="2">
        <v>21253.6099304196</v>
      </c>
      <c r="AK1682" s="2">
        <v>31087.485430151599</v>
      </c>
      <c r="AL1682" s="2">
        <v>31870.8682083028</v>
      </c>
      <c r="AM1682" s="2">
        <v>38160.535892226799</v>
      </c>
      <c r="AN1682" s="2">
        <v>35066.998922745603</v>
      </c>
      <c r="AO1682" s="2">
        <v>37015.059740127501</v>
      </c>
      <c r="AP1682" s="2">
        <v>38080.323305170801</v>
      </c>
    </row>
    <row r="1683" spans="1:42" ht="14.5" x14ac:dyDescent="0.35">
      <c r="A1683" s="2" t="s">
        <v>11341</v>
      </c>
      <c r="B1683" s="2">
        <v>355.284136225319</v>
      </c>
      <c r="C1683" s="2">
        <v>10.0553333333333</v>
      </c>
      <c r="D1683" s="2" t="s">
        <v>34</v>
      </c>
      <c r="E1683" s="2" t="s">
        <v>11342</v>
      </c>
      <c r="F1683" s="2">
        <v>200626</v>
      </c>
      <c r="G1683" s="3" t="str">
        <f>HYPERLINK("http://funmeta.oebiotech.com/network/200626", "http://funmeta.oebiotech.com/network/200626")</f>
        <v>http://funmeta.oebiotech.com/network/200626</v>
      </c>
      <c r="H1683" s="2" t="s">
        <v>11343</v>
      </c>
      <c r="I1683" s="2">
        <v>63032</v>
      </c>
      <c r="J1683" s="2"/>
      <c r="K1683" s="2">
        <v>173124</v>
      </c>
      <c r="L1683" s="2"/>
      <c r="M1683" s="2"/>
      <c r="N1683" s="2"/>
      <c r="O1683" s="2">
        <v>549043</v>
      </c>
      <c r="P1683" s="2" t="s">
        <v>11344</v>
      </c>
      <c r="Q1683" s="2" t="s">
        <v>11345</v>
      </c>
      <c r="R1683" s="2" t="s">
        <v>11346</v>
      </c>
      <c r="S1683" s="2" t="s">
        <v>50</v>
      </c>
      <c r="T1683" s="2" t="s">
        <v>229</v>
      </c>
      <c r="U1683" s="2" t="s">
        <v>1360</v>
      </c>
      <c r="V1683" s="2" t="s">
        <v>42</v>
      </c>
      <c r="W1683" s="2">
        <v>53.9</v>
      </c>
      <c r="X1683" s="2">
        <v>74</v>
      </c>
      <c r="Y1683" s="2" t="s">
        <v>266</v>
      </c>
      <c r="Z1683" s="2" t="s">
        <v>11347</v>
      </c>
      <c r="AA1683" s="2">
        <v>-0.42312534187901701</v>
      </c>
      <c r="AB1683" s="2">
        <v>0.47942532606947103</v>
      </c>
      <c r="AC1683" s="2">
        <v>38268.435075197202</v>
      </c>
      <c r="AD1683" s="2">
        <v>54042.944122421002</v>
      </c>
      <c r="AE1683" s="2">
        <v>40539.422822791203</v>
      </c>
      <c r="AF1683" s="2">
        <v>39253.936783789402</v>
      </c>
      <c r="AG1683" s="2">
        <v>37743.121113100402</v>
      </c>
      <c r="AH1683" s="2">
        <v>37933.776234041798</v>
      </c>
      <c r="AI1683" s="2">
        <v>35685.7475164676</v>
      </c>
      <c r="AJ1683" s="2">
        <v>38454.605980992499</v>
      </c>
      <c r="AK1683" s="2">
        <v>50138.020975420302</v>
      </c>
      <c r="AL1683" s="2">
        <v>59230.541066003803</v>
      </c>
      <c r="AM1683" s="2">
        <v>52802.556569331602</v>
      </c>
      <c r="AN1683" s="2">
        <v>53499.688524684199</v>
      </c>
      <c r="AO1683" s="2">
        <v>56166.154056849802</v>
      </c>
      <c r="AP1683" s="2">
        <v>52420.703542236399</v>
      </c>
    </row>
    <row r="1684" spans="1:42" ht="14.5" x14ac:dyDescent="0.35">
      <c r="A1684" s="2" t="s">
        <v>11348</v>
      </c>
      <c r="B1684" s="2">
        <v>599.11672647624403</v>
      </c>
      <c r="C1684" s="2">
        <v>4.1337999999999999</v>
      </c>
      <c r="D1684" s="2" t="s">
        <v>70</v>
      </c>
      <c r="E1684" s="2" t="s">
        <v>11349</v>
      </c>
      <c r="F1684" s="2">
        <v>30820</v>
      </c>
      <c r="G1684" s="3" t="str">
        <f>HYPERLINK("http://funmeta.oebiotech.com/network/30820", "http://funmeta.oebiotech.com/network/30820")</f>
        <v>http://funmeta.oebiotech.com/network/30820</v>
      </c>
      <c r="H1684" s="2"/>
      <c r="I1684" s="2">
        <v>49158</v>
      </c>
      <c r="J1684" s="2" t="s">
        <v>11350</v>
      </c>
      <c r="K1684" s="2"/>
      <c r="L1684" s="2"/>
      <c r="M1684" s="2"/>
      <c r="N1684" s="2"/>
      <c r="O1684" s="2">
        <v>15293760</v>
      </c>
      <c r="P1684" s="2"/>
      <c r="Q1684" s="2" t="s">
        <v>11351</v>
      </c>
      <c r="R1684" s="2" t="s">
        <v>11352</v>
      </c>
      <c r="S1684" s="2" t="s">
        <v>115</v>
      </c>
      <c r="T1684" s="2" t="s">
        <v>139</v>
      </c>
      <c r="U1684" s="2" t="s">
        <v>1806</v>
      </c>
      <c r="V1684" s="2" t="s">
        <v>42</v>
      </c>
      <c r="W1684" s="2">
        <v>45.9</v>
      </c>
      <c r="X1684" s="2">
        <v>49.9</v>
      </c>
      <c r="Y1684" s="2" t="s">
        <v>560</v>
      </c>
      <c r="Z1684" s="2" t="s">
        <v>11353</v>
      </c>
      <c r="AA1684" s="2">
        <v>-4.6211838332207904</v>
      </c>
      <c r="AB1684" s="2">
        <v>0.47933431432124002</v>
      </c>
      <c r="AC1684" s="2">
        <v>100849.53638859899</v>
      </c>
      <c r="AD1684" s="2">
        <v>119165.316039552</v>
      </c>
      <c r="AE1684" s="2">
        <v>93509.200591268906</v>
      </c>
      <c r="AF1684" s="2">
        <v>98576.048260194701</v>
      </c>
      <c r="AG1684" s="2">
        <v>106258.862635253</v>
      </c>
      <c r="AH1684" s="2">
        <v>114086.259736361</v>
      </c>
      <c r="AI1684" s="2">
        <v>95225.559376165998</v>
      </c>
      <c r="AJ1684" s="2">
        <v>97441.287732348996</v>
      </c>
      <c r="AK1684" s="2">
        <v>110513.280148677</v>
      </c>
      <c r="AL1684" s="2">
        <v>122683.01924562499</v>
      </c>
      <c r="AM1684" s="2">
        <v>117126.765967026</v>
      </c>
      <c r="AN1684" s="2">
        <v>120829.72693566899</v>
      </c>
      <c r="AO1684" s="2">
        <v>127221.407934394</v>
      </c>
      <c r="AP1684" s="2">
        <v>116617.696005918</v>
      </c>
    </row>
    <row r="1685" spans="1:42" ht="14.5" x14ac:dyDescent="0.35">
      <c r="A1685" s="2" t="s">
        <v>11354</v>
      </c>
      <c r="B1685" s="2">
        <v>697.52141898252</v>
      </c>
      <c r="C1685" s="2">
        <v>4.64978333333333</v>
      </c>
      <c r="D1685" s="2" t="s">
        <v>34</v>
      </c>
      <c r="E1685" s="2" t="s">
        <v>11355</v>
      </c>
      <c r="F1685" s="2">
        <v>1551</v>
      </c>
      <c r="G1685" s="3" t="str">
        <f>HYPERLINK("http://funmeta.oebiotech.com/network/1551", "http://funmeta.oebiotech.com/network/1551")</f>
        <v>http://funmeta.oebiotech.com/network/1551</v>
      </c>
      <c r="H1685" s="2"/>
      <c r="I1685" s="2"/>
      <c r="J1685" s="2" t="s">
        <v>11356</v>
      </c>
      <c r="K1685" s="2"/>
      <c r="L1685" s="2"/>
      <c r="M1685" s="2"/>
      <c r="N1685" s="2"/>
      <c r="O1685" s="2">
        <v>24179503</v>
      </c>
      <c r="P1685" s="2"/>
      <c r="Q1685" s="2" t="s">
        <v>11357</v>
      </c>
      <c r="R1685" s="2" t="s">
        <v>11358</v>
      </c>
      <c r="S1685" s="2" t="s">
        <v>50</v>
      </c>
      <c r="T1685" s="2" t="s">
        <v>229</v>
      </c>
      <c r="U1685" s="2" t="s">
        <v>433</v>
      </c>
      <c r="V1685" s="2" t="s">
        <v>59</v>
      </c>
      <c r="W1685" s="2">
        <v>36</v>
      </c>
      <c r="X1685" s="2">
        <v>0</v>
      </c>
      <c r="Y1685" s="2" t="s">
        <v>67</v>
      </c>
      <c r="Z1685" s="2" t="s">
        <v>11359</v>
      </c>
      <c r="AA1685" s="2">
        <v>3.4197434340586601</v>
      </c>
      <c r="AB1685" s="2">
        <v>0.47916893941601002</v>
      </c>
      <c r="AC1685" s="2">
        <v>91914.694500825601</v>
      </c>
      <c r="AD1685" s="2">
        <v>113406.666413131</v>
      </c>
      <c r="AE1685" s="2">
        <v>93788.060351137698</v>
      </c>
      <c r="AF1685" s="2">
        <v>112615.929600217</v>
      </c>
      <c r="AG1685" s="2">
        <v>99758.328679441998</v>
      </c>
      <c r="AH1685" s="2">
        <v>77373.621078830198</v>
      </c>
      <c r="AI1685" s="2">
        <v>71270.578414201605</v>
      </c>
      <c r="AJ1685" s="2">
        <v>96681.648881125293</v>
      </c>
      <c r="AK1685" s="2">
        <v>122866.46590568501</v>
      </c>
      <c r="AL1685" s="2">
        <v>116577.420482099</v>
      </c>
      <c r="AM1685" s="2">
        <v>111030.266040702</v>
      </c>
      <c r="AN1685" s="2">
        <v>107161.980241318</v>
      </c>
      <c r="AO1685" s="2">
        <v>114465.76708715</v>
      </c>
      <c r="AP1685" s="2">
        <v>108338.098721833</v>
      </c>
    </row>
    <row r="1686" spans="1:42" ht="14.5" x14ac:dyDescent="0.35">
      <c r="A1686" s="2" t="s">
        <v>11360</v>
      </c>
      <c r="B1686" s="2">
        <v>543.16814872521502</v>
      </c>
      <c r="C1686" s="2">
        <v>1.79495</v>
      </c>
      <c r="D1686" s="2" t="s">
        <v>34</v>
      </c>
      <c r="E1686" s="2" t="s">
        <v>11361</v>
      </c>
      <c r="F1686" s="2">
        <v>62523</v>
      </c>
      <c r="G1686" s="3" t="str">
        <f>HYPERLINK("http://funmeta.oebiotech.com/network/62523", "http://funmeta.oebiotech.com/network/62523")</f>
        <v>http://funmeta.oebiotech.com/network/62523</v>
      </c>
      <c r="H1686" s="2" t="s">
        <v>11362</v>
      </c>
      <c r="I1686" s="2">
        <v>93826</v>
      </c>
      <c r="J1686" s="2"/>
      <c r="K1686" s="2">
        <v>169466</v>
      </c>
      <c r="L1686" s="2"/>
      <c r="M1686" s="2"/>
      <c r="N1686" s="2"/>
      <c r="O1686" s="2">
        <v>131752582</v>
      </c>
      <c r="P1686" s="2" t="s">
        <v>11363</v>
      </c>
      <c r="Q1686" s="2" t="s">
        <v>11364</v>
      </c>
      <c r="R1686" s="2" t="s">
        <v>11365</v>
      </c>
      <c r="S1686" s="2" t="s">
        <v>79</v>
      </c>
      <c r="T1686" s="2" t="s">
        <v>80</v>
      </c>
      <c r="U1686" s="2" t="s">
        <v>81</v>
      </c>
      <c r="V1686" s="2" t="s">
        <v>42</v>
      </c>
      <c r="W1686" s="2">
        <v>49.4</v>
      </c>
      <c r="X1686" s="2">
        <v>52.8</v>
      </c>
      <c r="Y1686" s="2" t="s">
        <v>323</v>
      </c>
      <c r="Z1686" s="2" t="s">
        <v>11366</v>
      </c>
      <c r="AA1686" s="2">
        <v>-0.53376771313035498</v>
      </c>
      <c r="AB1686" s="2">
        <v>0.47913441159815101</v>
      </c>
      <c r="AC1686" s="2">
        <v>140601.18335473599</v>
      </c>
      <c r="AD1686" s="2">
        <v>160276.651032411</v>
      </c>
      <c r="AE1686" s="2">
        <v>132578.31199069199</v>
      </c>
      <c r="AF1686" s="2">
        <v>142209.959798564</v>
      </c>
      <c r="AG1686" s="2">
        <v>143986.77169415</v>
      </c>
      <c r="AH1686" s="2">
        <v>140796.04981878601</v>
      </c>
      <c r="AI1686" s="2">
        <v>135340.110701889</v>
      </c>
      <c r="AJ1686" s="2">
        <v>148695.896124333</v>
      </c>
      <c r="AK1686" s="2">
        <v>156150.42200765901</v>
      </c>
      <c r="AL1686" s="2">
        <v>158765.322971288</v>
      </c>
      <c r="AM1686" s="2">
        <v>174502.11240372001</v>
      </c>
      <c r="AN1686" s="2">
        <v>171068.79127952</v>
      </c>
      <c r="AO1686" s="2">
        <v>142677.39866868299</v>
      </c>
      <c r="AP1686" s="2">
        <v>158495.858863595</v>
      </c>
    </row>
    <row r="1687" spans="1:42" ht="14.5" x14ac:dyDescent="0.35">
      <c r="A1687" s="2" t="s">
        <v>11367</v>
      </c>
      <c r="B1687" s="2">
        <v>500.32154809209101</v>
      </c>
      <c r="C1687" s="2">
        <v>5.37076666666667</v>
      </c>
      <c r="D1687" s="2" t="s">
        <v>34</v>
      </c>
      <c r="E1687" s="2" t="s">
        <v>11368</v>
      </c>
      <c r="F1687" s="2">
        <v>207539</v>
      </c>
      <c r="G1687" s="3" t="str">
        <f>HYPERLINK("http://funmeta.oebiotech.com/network/207539", "http://funmeta.oebiotech.com/network/207539")</f>
        <v>http://funmeta.oebiotech.com/network/207539</v>
      </c>
      <c r="H1687" s="2" t="s">
        <v>11369</v>
      </c>
      <c r="I1687" s="2"/>
      <c r="J1687" s="2"/>
      <c r="K1687" s="2"/>
      <c r="L1687" s="2"/>
      <c r="M1687" s="2"/>
      <c r="N1687" s="2"/>
      <c r="O1687" s="2"/>
      <c r="P1687" s="2"/>
      <c r="Q1687" s="2" t="s">
        <v>11370</v>
      </c>
      <c r="R1687" s="2" t="s">
        <v>11371</v>
      </c>
      <c r="S1687" s="2" t="s">
        <v>41</v>
      </c>
      <c r="T1687" s="2" t="s">
        <v>41</v>
      </c>
      <c r="U1687" s="2" t="s">
        <v>41</v>
      </c>
      <c r="V1687" s="2" t="s">
        <v>59</v>
      </c>
      <c r="W1687" s="2">
        <v>36.4</v>
      </c>
      <c r="X1687" s="2">
        <v>0</v>
      </c>
      <c r="Y1687" s="2" t="s">
        <v>323</v>
      </c>
      <c r="Z1687" s="2" t="s">
        <v>11372</v>
      </c>
      <c r="AA1687" s="2">
        <v>4.5250513535261403</v>
      </c>
      <c r="AB1687" s="2">
        <v>0.47886714745730802</v>
      </c>
      <c r="AC1687" s="2">
        <v>40982.489222013501</v>
      </c>
      <c r="AD1687" s="2">
        <v>24680.223844118402</v>
      </c>
      <c r="AE1687" s="2">
        <v>49372.2361972008</v>
      </c>
      <c r="AF1687" s="2">
        <v>37796.5942085559</v>
      </c>
      <c r="AG1687" s="2">
        <v>40639.077158566601</v>
      </c>
      <c r="AH1687" s="2">
        <v>37971.544310441997</v>
      </c>
      <c r="AI1687" s="2">
        <v>36243.334872147301</v>
      </c>
      <c r="AJ1687" s="2">
        <v>43872.148585168499</v>
      </c>
      <c r="AK1687" s="2">
        <v>23963.523172053199</v>
      </c>
      <c r="AL1687" s="2">
        <v>27494.471690357201</v>
      </c>
      <c r="AM1687" s="2">
        <v>23821.971322100599</v>
      </c>
      <c r="AN1687" s="2">
        <v>27343.236475589401</v>
      </c>
      <c r="AO1687" s="2">
        <v>23686.944278569801</v>
      </c>
      <c r="AP1687" s="2">
        <v>21771.1961260399</v>
      </c>
    </row>
    <row r="1688" spans="1:42" ht="14.5" x14ac:dyDescent="0.35">
      <c r="A1688" s="2" t="s">
        <v>11373</v>
      </c>
      <c r="B1688" s="2">
        <v>339.19955676833098</v>
      </c>
      <c r="C1688" s="2">
        <v>12.8764</v>
      </c>
      <c r="D1688" s="2" t="s">
        <v>70</v>
      </c>
      <c r="E1688" s="2" t="s">
        <v>11374</v>
      </c>
      <c r="F1688" s="2">
        <v>266875</v>
      </c>
      <c r="G1688" s="3" t="str">
        <f>HYPERLINK("http://funmeta.oebiotech.com/network/266875", "http://funmeta.oebiotech.com/network/266875")</f>
        <v>http://funmeta.oebiotech.com/network/266875</v>
      </c>
      <c r="H1688" s="2"/>
      <c r="I1688" s="2">
        <v>44171</v>
      </c>
      <c r="J1688" s="2"/>
      <c r="K1688" s="2"/>
      <c r="L1688" s="2" t="s">
        <v>11375</v>
      </c>
      <c r="M1688" s="2"/>
      <c r="N1688" s="2"/>
      <c r="O1688" s="2">
        <v>5832</v>
      </c>
      <c r="P1688" s="2" t="s">
        <v>11376</v>
      </c>
      <c r="Q1688" s="2" t="s">
        <v>11377</v>
      </c>
      <c r="R1688" s="2" t="s">
        <v>11378</v>
      </c>
      <c r="S1688" s="2" t="s">
        <v>50</v>
      </c>
      <c r="T1688" s="2" t="s">
        <v>124</v>
      </c>
      <c r="U1688" s="2" t="s">
        <v>8787</v>
      </c>
      <c r="V1688" s="2" t="s">
        <v>59</v>
      </c>
      <c r="W1688" s="2">
        <v>37.9</v>
      </c>
      <c r="X1688" s="2">
        <v>3.25</v>
      </c>
      <c r="Y1688" s="2" t="s">
        <v>118</v>
      </c>
      <c r="Z1688" s="2" t="s">
        <v>11379</v>
      </c>
      <c r="AA1688" s="2">
        <v>8.7842737154152406</v>
      </c>
      <c r="AB1688" s="2">
        <v>0.47884492367903803</v>
      </c>
      <c r="AC1688" s="2">
        <v>412430.08053472999</v>
      </c>
      <c r="AD1688" s="2">
        <v>335618.32746257097</v>
      </c>
      <c r="AE1688" s="2">
        <v>239603.107993137</v>
      </c>
      <c r="AF1688" s="2">
        <v>295997.48499147099</v>
      </c>
      <c r="AG1688" s="2">
        <v>289970.843724009</v>
      </c>
      <c r="AH1688" s="2">
        <v>997938.03995652101</v>
      </c>
      <c r="AI1688" s="2">
        <v>327386.33689522702</v>
      </c>
      <c r="AJ1688" s="2">
        <v>323684.66964801401</v>
      </c>
      <c r="AK1688" s="2">
        <v>232124.406695788</v>
      </c>
      <c r="AL1688" s="2">
        <v>341951.91918024502</v>
      </c>
      <c r="AM1688" s="2">
        <v>337894.16495909699</v>
      </c>
      <c r="AN1688" s="2">
        <v>385666.17710927798</v>
      </c>
      <c r="AO1688" s="2">
        <v>379783.69500625401</v>
      </c>
      <c r="AP1688" s="2">
        <v>336289.60182476701</v>
      </c>
    </row>
    <row r="1689" spans="1:42" ht="14.5" x14ac:dyDescent="0.35">
      <c r="A1689" s="2" t="s">
        <v>11380</v>
      </c>
      <c r="B1689" s="2">
        <v>357.16930080135302</v>
      </c>
      <c r="C1689" s="2">
        <v>9.6161499999999993</v>
      </c>
      <c r="D1689" s="2" t="s">
        <v>34</v>
      </c>
      <c r="E1689" s="2" t="s">
        <v>11381</v>
      </c>
      <c r="F1689" s="2">
        <v>64245</v>
      </c>
      <c r="G1689" s="3" t="str">
        <f>HYPERLINK("http://funmeta.oebiotech.com/network/64245", "http://funmeta.oebiotech.com/network/64245")</f>
        <v>http://funmeta.oebiotech.com/network/64245</v>
      </c>
      <c r="H1689" s="2" t="s">
        <v>11382</v>
      </c>
      <c r="I1689" s="2">
        <v>95568</v>
      </c>
      <c r="J1689" s="2"/>
      <c r="K1689" s="2">
        <v>175820</v>
      </c>
      <c r="L1689" s="2"/>
      <c r="M1689" s="2"/>
      <c r="N1689" s="2"/>
      <c r="O1689" s="2">
        <v>131753040</v>
      </c>
      <c r="P1689" s="2"/>
      <c r="Q1689" s="2" t="s">
        <v>11383</v>
      </c>
      <c r="R1689" s="2" t="s">
        <v>11384</v>
      </c>
      <c r="S1689" s="2" t="s">
        <v>50</v>
      </c>
      <c r="T1689" s="2" t="s">
        <v>201</v>
      </c>
      <c r="U1689" s="2" t="s">
        <v>1217</v>
      </c>
      <c r="V1689" s="2" t="s">
        <v>42</v>
      </c>
      <c r="W1689" s="2">
        <v>46.5</v>
      </c>
      <c r="X1689" s="2">
        <v>48.5</v>
      </c>
      <c r="Y1689" s="2" t="s">
        <v>141</v>
      </c>
      <c r="Z1689" s="2" t="s">
        <v>11385</v>
      </c>
      <c r="AA1689" s="2">
        <v>-0.93405960358316797</v>
      </c>
      <c r="AB1689" s="2">
        <v>0.47843116387864598</v>
      </c>
      <c r="AC1689" s="2">
        <v>14771.954681553099</v>
      </c>
      <c r="AD1689" s="2">
        <v>30209.4622386316</v>
      </c>
      <c r="AE1689" s="2">
        <v>12354.8899820556</v>
      </c>
      <c r="AF1689" s="2">
        <v>13843.2049792898</v>
      </c>
      <c r="AG1689" s="2">
        <v>15194.0002363114</v>
      </c>
      <c r="AH1689" s="2">
        <v>14354.5541034415</v>
      </c>
      <c r="AI1689" s="2">
        <v>16164.6544376437</v>
      </c>
      <c r="AJ1689" s="2">
        <v>16720.424350576599</v>
      </c>
      <c r="AK1689" s="2">
        <v>28881.095176650899</v>
      </c>
      <c r="AL1689" s="2">
        <v>25859.225892336599</v>
      </c>
      <c r="AM1689" s="2">
        <v>33020.103945398499</v>
      </c>
      <c r="AN1689" s="2">
        <v>30266.8152178247</v>
      </c>
      <c r="AO1689" s="2">
        <v>31998.653003730898</v>
      </c>
      <c r="AP1689" s="2">
        <v>31230.8801958478</v>
      </c>
    </row>
    <row r="1690" spans="1:42" ht="14.5" x14ac:dyDescent="0.35">
      <c r="A1690" s="2" t="s">
        <v>11386</v>
      </c>
      <c r="B1690" s="2">
        <v>564.25969695540596</v>
      </c>
      <c r="C1690" s="2">
        <v>6.1053333333333297</v>
      </c>
      <c r="D1690" s="2" t="s">
        <v>70</v>
      </c>
      <c r="E1690" s="2" t="s">
        <v>11387</v>
      </c>
      <c r="F1690" s="2">
        <v>28362</v>
      </c>
      <c r="G1690" s="3" t="str">
        <f>HYPERLINK("http://funmeta.oebiotech.com/network/28362", "http://funmeta.oebiotech.com/network/28362")</f>
        <v>http://funmeta.oebiotech.com/network/28362</v>
      </c>
      <c r="H1690" s="2"/>
      <c r="I1690" s="2"/>
      <c r="J1690" s="2" t="s">
        <v>11388</v>
      </c>
      <c r="K1690" s="2"/>
      <c r="L1690" s="2"/>
      <c r="M1690" s="2"/>
      <c r="N1690" s="2"/>
      <c r="O1690" s="2"/>
      <c r="P1690" s="2"/>
      <c r="Q1690" s="2" t="s">
        <v>11389</v>
      </c>
      <c r="R1690" s="2" t="s">
        <v>11390</v>
      </c>
      <c r="S1690" s="2" t="s">
        <v>491</v>
      </c>
      <c r="T1690" s="2" t="s">
        <v>11391</v>
      </c>
      <c r="U1690" s="2" t="s">
        <v>41</v>
      </c>
      <c r="V1690" s="2" t="s">
        <v>59</v>
      </c>
      <c r="W1690" s="2">
        <v>40.4</v>
      </c>
      <c r="X1690" s="2">
        <v>30.5</v>
      </c>
      <c r="Y1690" s="2" t="s">
        <v>751</v>
      </c>
      <c r="Z1690" s="2" t="s">
        <v>11392</v>
      </c>
      <c r="AA1690" s="2">
        <v>-1.01807400608779</v>
      </c>
      <c r="AB1690" s="2">
        <v>0.47836922165203399</v>
      </c>
      <c r="AC1690" s="2">
        <v>32911.935136540102</v>
      </c>
      <c r="AD1690" s="2">
        <v>48986.235516344801</v>
      </c>
      <c r="AE1690" s="2">
        <v>32348.833389559</v>
      </c>
      <c r="AF1690" s="2">
        <v>36013.788722772901</v>
      </c>
      <c r="AG1690" s="2">
        <v>26055.759819979499</v>
      </c>
      <c r="AH1690" s="2">
        <v>32672.824307591</v>
      </c>
      <c r="AI1690" s="2">
        <v>33567.050059339301</v>
      </c>
      <c r="AJ1690" s="2">
        <v>36813.354519998597</v>
      </c>
      <c r="AK1690" s="2">
        <v>45755.943719451003</v>
      </c>
      <c r="AL1690" s="2">
        <v>50580.867457798202</v>
      </c>
      <c r="AM1690" s="2">
        <v>53236.493745913001</v>
      </c>
      <c r="AN1690" s="2">
        <v>46026.185436050597</v>
      </c>
      <c r="AO1690" s="2">
        <v>50398.9819059699</v>
      </c>
      <c r="AP1690" s="2">
        <v>47918.940832886103</v>
      </c>
    </row>
    <row r="1691" spans="1:42" ht="14.5" x14ac:dyDescent="0.35">
      <c r="A1691" s="2" t="s">
        <v>11393</v>
      </c>
      <c r="B1691" s="2">
        <v>571.158717023088</v>
      </c>
      <c r="C1691" s="2">
        <v>4.5065833333333298</v>
      </c>
      <c r="D1691" s="2" t="s">
        <v>70</v>
      </c>
      <c r="E1691" s="2" t="s">
        <v>11394</v>
      </c>
      <c r="F1691" s="2">
        <v>207346</v>
      </c>
      <c r="G1691" s="3" t="str">
        <f>HYPERLINK("http://funmeta.oebiotech.com/network/207346", "http://funmeta.oebiotech.com/network/207346")</f>
        <v>http://funmeta.oebiotech.com/network/207346</v>
      </c>
      <c r="H1691" s="2" t="s">
        <v>11395</v>
      </c>
      <c r="I1691" s="2"/>
      <c r="J1691" s="2"/>
      <c r="K1691" s="2"/>
      <c r="L1691" s="2"/>
      <c r="M1691" s="2"/>
      <c r="N1691" s="2"/>
      <c r="O1691" s="2">
        <v>91973920</v>
      </c>
      <c r="P1691" s="2"/>
      <c r="Q1691" s="2" t="s">
        <v>11396</v>
      </c>
      <c r="R1691" s="2" t="s">
        <v>11397</v>
      </c>
      <c r="S1691" s="2" t="s">
        <v>41</v>
      </c>
      <c r="T1691" s="2" t="s">
        <v>41</v>
      </c>
      <c r="U1691" s="2" t="s">
        <v>41</v>
      </c>
      <c r="V1691" s="2" t="s">
        <v>59</v>
      </c>
      <c r="W1691" s="2">
        <v>37.4</v>
      </c>
      <c r="X1691" s="2">
        <v>0</v>
      </c>
      <c r="Y1691" s="2" t="s">
        <v>751</v>
      </c>
      <c r="Z1691" s="2" t="s">
        <v>11398</v>
      </c>
      <c r="AA1691" s="2">
        <v>-3.81856164142485</v>
      </c>
      <c r="AB1691" s="2">
        <v>0.47833982086055199</v>
      </c>
      <c r="AC1691" s="2">
        <v>25575.9516081158</v>
      </c>
      <c r="AD1691" s="2">
        <v>42266.828327572803</v>
      </c>
      <c r="AE1691" s="2">
        <v>20851.345197828199</v>
      </c>
      <c r="AF1691" s="2">
        <v>32689.1505435705</v>
      </c>
      <c r="AG1691" s="2">
        <v>23017.302430682801</v>
      </c>
      <c r="AH1691" s="2">
        <v>22270.975732498599</v>
      </c>
      <c r="AI1691" s="2">
        <v>26919.237936711899</v>
      </c>
      <c r="AJ1691" s="2">
        <v>27707.697807403001</v>
      </c>
      <c r="AK1691" s="2">
        <v>43385.064676204602</v>
      </c>
      <c r="AL1691" s="2">
        <v>40271.046032692597</v>
      </c>
      <c r="AM1691" s="2">
        <v>38700.9263656853</v>
      </c>
      <c r="AN1691" s="2">
        <v>41268.800561922399</v>
      </c>
      <c r="AO1691" s="2">
        <v>39256.607205280801</v>
      </c>
      <c r="AP1691" s="2">
        <v>50718.525123651401</v>
      </c>
    </row>
    <row r="1692" spans="1:42" ht="14.5" x14ac:dyDescent="0.35">
      <c r="A1692" s="2" t="s">
        <v>11399</v>
      </c>
      <c r="B1692" s="2">
        <v>418.09898045697702</v>
      </c>
      <c r="C1692" s="2">
        <v>3.4826666666666699</v>
      </c>
      <c r="D1692" s="2" t="s">
        <v>70</v>
      </c>
      <c r="E1692" s="2" t="s">
        <v>11400</v>
      </c>
      <c r="F1692" s="2">
        <v>54610</v>
      </c>
      <c r="G1692" s="3" t="str">
        <f>HYPERLINK("http://funmeta.oebiotech.com/network/54610", "http://funmeta.oebiotech.com/network/54610")</f>
        <v>http://funmeta.oebiotech.com/network/54610</v>
      </c>
      <c r="H1692" s="2" t="s">
        <v>11401</v>
      </c>
      <c r="I1692" s="2">
        <v>86438</v>
      </c>
      <c r="J1692" s="2"/>
      <c r="K1692" s="2">
        <v>168617</v>
      </c>
      <c r="L1692" s="2"/>
      <c r="M1692" s="2"/>
      <c r="N1692" s="2"/>
      <c r="O1692" s="2">
        <v>4480305</v>
      </c>
      <c r="P1692" s="2" t="s">
        <v>11402</v>
      </c>
      <c r="Q1692" s="2" t="s">
        <v>11403</v>
      </c>
      <c r="R1692" s="2" t="s">
        <v>11404</v>
      </c>
      <c r="S1692" s="2" t="s">
        <v>79</v>
      </c>
      <c r="T1692" s="2" t="s">
        <v>80</v>
      </c>
      <c r="U1692" s="2" t="s">
        <v>81</v>
      </c>
      <c r="V1692" s="2" t="s">
        <v>59</v>
      </c>
      <c r="W1692" s="2">
        <v>39.6</v>
      </c>
      <c r="X1692" s="2">
        <v>0.80100000000000005</v>
      </c>
      <c r="Y1692" s="2" t="s">
        <v>408</v>
      </c>
      <c r="Z1692" s="2" t="s">
        <v>11405</v>
      </c>
      <c r="AA1692" s="2">
        <v>-0.31686536886310901</v>
      </c>
      <c r="AB1692" s="2">
        <v>0.47832238564199903</v>
      </c>
      <c r="AC1692" s="2">
        <v>31294.316428316601</v>
      </c>
      <c r="AD1692" s="2">
        <v>16106.6568316557</v>
      </c>
      <c r="AE1692" s="2">
        <v>34080.920279028898</v>
      </c>
      <c r="AF1692" s="2">
        <v>31345.254758292202</v>
      </c>
      <c r="AG1692" s="2">
        <v>31249.790733977501</v>
      </c>
      <c r="AH1692" s="2">
        <v>31233.6977983869</v>
      </c>
      <c r="AI1692" s="2">
        <v>30784.477369230499</v>
      </c>
      <c r="AJ1692" s="2">
        <v>29071.7576309834</v>
      </c>
      <c r="AK1692" s="2">
        <v>16828.604337123801</v>
      </c>
      <c r="AL1692" s="2">
        <v>15013.5879475539</v>
      </c>
      <c r="AM1692" s="2">
        <v>16292.165718814</v>
      </c>
      <c r="AN1692" s="2">
        <v>17267.7637071551</v>
      </c>
      <c r="AO1692" s="2">
        <v>15500.481537711101</v>
      </c>
      <c r="AP1692" s="2">
        <v>15737.337741576401</v>
      </c>
    </row>
    <row r="1693" spans="1:42" ht="14.5" x14ac:dyDescent="0.35">
      <c r="A1693" s="2" t="s">
        <v>11406</v>
      </c>
      <c r="B1693" s="2">
        <v>277.092643388704</v>
      </c>
      <c r="C1693" s="2">
        <v>1.5991</v>
      </c>
      <c r="D1693" s="2" t="s">
        <v>70</v>
      </c>
      <c r="E1693" s="2" t="s">
        <v>11407</v>
      </c>
      <c r="F1693" s="2">
        <v>38883</v>
      </c>
      <c r="G1693" s="3" t="str">
        <f>HYPERLINK("http://funmeta.oebiotech.com/network/38883", "http://funmeta.oebiotech.com/network/38883")</f>
        <v>http://funmeta.oebiotech.com/network/38883</v>
      </c>
      <c r="H1693" s="2"/>
      <c r="I1693" s="2"/>
      <c r="J1693" s="2" t="s">
        <v>11408</v>
      </c>
      <c r="K1693" s="2">
        <v>72781</v>
      </c>
      <c r="L1693" s="2"/>
      <c r="M1693" s="2"/>
      <c r="N1693" s="2"/>
      <c r="O1693" s="2">
        <v>21119819</v>
      </c>
      <c r="P1693" s="2"/>
      <c r="Q1693" s="2" t="s">
        <v>11409</v>
      </c>
      <c r="R1693" s="2" t="s">
        <v>11410</v>
      </c>
      <c r="S1693" s="2" t="s">
        <v>50</v>
      </c>
      <c r="T1693" s="2" t="s">
        <v>106</v>
      </c>
      <c r="U1693" s="2" t="s">
        <v>41</v>
      </c>
      <c r="V1693" s="2" t="s">
        <v>42</v>
      </c>
      <c r="W1693" s="2">
        <v>48.8</v>
      </c>
      <c r="X1693" s="2">
        <v>46.9</v>
      </c>
      <c r="Y1693" s="2" t="s">
        <v>286</v>
      </c>
      <c r="Z1693" s="2" t="s">
        <v>8761</v>
      </c>
      <c r="AA1693" s="2">
        <v>-0.89073314358271505</v>
      </c>
      <c r="AB1693" s="2">
        <v>0.47828752658875701</v>
      </c>
      <c r="AC1693" s="2">
        <v>83934.615766282193</v>
      </c>
      <c r="AD1693" s="2">
        <v>100405.068084119</v>
      </c>
      <c r="AE1693" s="2">
        <v>86751.994150875398</v>
      </c>
      <c r="AF1693" s="2">
        <v>83971.581392579697</v>
      </c>
      <c r="AG1693" s="2">
        <v>81208.3656094951</v>
      </c>
      <c r="AH1693" s="2">
        <v>82620.501472123593</v>
      </c>
      <c r="AI1693" s="2">
        <v>83392.941143142802</v>
      </c>
      <c r="AJ1693" s="2">
        <v>85662.310829476701</v>
      </c>
      <c r="AK1693" s="2">
        <v>96104.602674274196</v>
      </c>
      <c r="AL1693" s="2">
        <v>92929.948396905296</v>
      </c>
      <c r="AM1693" s="2">
        <v>101677.66643867901</v>
      </c>
      <c r="AN1693" s="2">
        <v>102797.191240021</v>
      </c>
      <c r="AO1693" s="2">
        <v>100213.445896373</v>
      </c>
      <c r="AP1693" s="2">
        <v>108707.553858464</v>
      </c>
    </row>
    <row r="1694" spans="1:42" ht="14.5" x14ac:dyDescent="0.35">
      <c r="A1694" s="2" t="s">
        <v>11411</v>
      </c>
      <c r="B1694" s="2">
        <v>232.20560813115901</v>
      </c>
      <c r="C1694" s="2">
        <v>6.7459499999999997</v>
      </c>
      <c r="D1694" s="2" t="s">
        <v>34</v>
      </c>
      <c r="E1694" s="2" t="s">
        <v>11412</v>
      </c>
      <c r="F1694" s="2">
        <v>8955</v>
      </c>
      <c r="G1694" s="3" t="str">
        <f>HYPERLINK("http://funmeta.oebiotech.com/network/8955", "http://funmeta.oebiotech.com/network/8955")</f>
        <v>http://funmeta.oebiotech.com/network/8955</v>
      </c>
      <c r="H1694" s="2"/>
      <c r="I1694" s="2"/>
      <c r="J1694" s="2" t="s">
        <v>11413</v>
      </c>
      <c r="K1694" s="2"/>
      <c r="L1694" s="2"/>
      <c r="M1694" s="2"/>
      <c r="N1694" s="2"/>
      <c r="O1694" s="2">
        <v>15609890</v>
      </c>
      <c r="P1694" s="2"/>
      <c r="Q1694" s="2" t="s">
        <v>11414</v>
      </c>
      <c r="R1694" s="2" t="s">
        <v>11415</v>
      </c>
      <c r="S1694" s="2" t="s">
        <v>50</v>
      </c>
      <c r="T1694" s="2" t="s">
        <v>229</v>
      </c>
      <c r="U1694" s="2" t="s">
        <v>645</v>
      </c>
      <c r="V1694" s="2" t="s">
        <v>42</v>
      </c>
      <c r="W1694" s="2">
        <v>54.1</v>
      </c>
      <c r="X1694" s="2">
        <v>77.599999999999994</v>
      </c>
      <c r="Y1694" s="2" t="s">
        <v>141</v>
      </c>
      <c r="Z1694" s="2" t="s">
        <v>11416</v>
      </c>
      <c r="AA1694" s="2">
        <v>-1.4771083703387899</v>
      </c>
      <c r="AB1694" s="2">
        <v>0.47814961964325903</v>
      </c>
      <c r="AC1694" s="2">
        <v>65746.852712183798</v>
      </c>
      <c r="AD1694" s="2">
        <v>81846.158028121106</v>
      </c>
      <c r="AE1694" s="2">
        <v>69609.194909231097</v>
      </c>
      <c r="AF1694" s="2">
        <v>63902.313842401898</v>
      </c>
      <c r="AG1694" s="2">
        <v>63277.086353653198</v>
      </c>
      <c r="AH1694" s="2">
        <v>64504.293991661703</v>
      </c>
      <c r="AI1694" s="2">
        <v>67788.662266753905</v>
      </c>
      <c r="AJ1694" s="2">
        <v>65399.564909401197</v>
      </c>
      <c r="AK1694" s="2">
        <v>88027.6363985309</v>
      </c>
      <c r="AL1694" s="2">
        <v>78760.468879299893</v>
      </c>
      <c r="AM1694" s="2">
        <v>82998.760261181204</v>
      </c>
      <c r="AN1694" s="2">
        <v>84198.094911096094</v>
      </c>
      <c r="AO1694" s="2">
        <v>81474.656110115597</v>
      </c>
      <c r="AP1694" s="2">
        <v>75617.331608502805</v>
      </c>
    </row>
    <row r="1695" spans="1:42" ht="14.5" x14ac:dyDescent="0.35">
      <c r="A1695" s="2" t="s">
        <v>11417</v>
      </c>
      <c r="B1695" s="2">
        <v>575.28607153591395</v>
      </c>
      <c r="C1695" s="2">
        <v>7.1785166666666704</v>
      </c>
      <c r="D1695" s="2" t="s">
        <v>70</v>
      </c>
      <c r="E1695" s="2" t="s">
        <v>11418</v>
      </c>
      <c r="F1695" s="2">
        <v>210648</v>
      </c>
      <c r="G1695" s="3" t="str">
        <f>HYPERLINK("http://funmeta.oebiotech.com/network/210648", "http://funmeta.oebiotech.com/network/210648")</f>
        <v>http://funmeta.oebiotech.com/network/210648</v>
      </c>
      <c r="H1695" s="2" t="s">
        <v>11419</v>
      </c>
      <c r="I1695" s="2"/>
      <c r="J1695" s="2"/>
      <c r="K1695" s="2"/>
      <c r="L1695" s="2"/>
      <c r="M1695" s="2"/>
      <c r="N1695" s="2"/>
      <c r="O1695" s="2">
        <v>4951</v>
      </c>
      <c r="P1695" s="2"/>
      <c r="Q1695" s="2" t="s">
        <v>11420</v>
      </c>
      <c r="R1695" s="2" t="s">
        <v>11421</v>
      </c>
      <c r="S1695" s="2" t="s">
        <v>50</v>
      </c>
      <c r="T1695" s="2" t="s">
        <v>124</v>
      </c>
      <c r="U1695" s="2" t="s">
        <v>567</v>
      </c>
      <c r="V1695" s="2" t="s">
        <v>59</v>
      </c>
      <c r="W1695" s="2">
        <v>46.1</v>
      </c>
      <c r="X1695" s="2">
        <v>37.299999999999997</v>
      </c>
      <c r="Y1695" s="2" t="s">
        <v>408</v>
      </c>
      <c r="Z1695" s="2" t="s">
        <v>11422</v>
      </c>
      <c r="AA1695" s="2">
        <v>-0.18789320484419</v>
      </c>
      <c r="AB1695" s="2">
        <v>0.47804248592266801</v>
      </c>
      <c r="AC1695" s="2">
        <v>20336.684178777701</v>
      </c>
      <c r="AD1695" s="2">
        <v>4983.7645585583796</v>
      </c>
      <c r="AE1695" s="2">
        <v>19486.139771149799</v>
      </c>
      <c r="AF1695" s="2">
        <v>17157.499449974501</v>
      </c>
      <c r="AG1695" s="2">
        <v>23680.128956567001</v>
      </c>
      <c r="AH1695" s="2">
        <v>21742.954010013</v>
      </c>
      <c r="AI1695" s="2">
        <v>18246.145508545898</v>
      </c>
      <c r="AJ1695" s="2">
        <v>21707.2373764158</v>
      </c>
      <c r="AK1695" s="2">
        <v>3048.63081462748</v>
      </c>
      <c r="AL1695" s="2">
        <v>5572.7926827030396</v>
      </c>
      <c r="AM1695" s="2">
        <v>5970.9349238384502</v>
      </c>
      <c r="AN1695" s="2">
        <v>5092.6213852298497</v>
      </c>
      <c r="AO1695" s="2">
        <v>5679.3014673347498</v>
      </c>
      <c r="AP1695" s="2">
        <v>4538.3060776167304</v>
      </c>
    </row>
    <row r="1696" spans="1:42" ht="14.5" x14ac:dyDescent="0.35">
      <c r="A1696" s="2" t="s">
        <v>11423</v>
      </c>
      <c r="B1696" s="2">
        <v>464.31559084094698</v>
      </c>
      <c r="C1696" s="2">
        <v>8.7271833333333309</v>
      </c>
      <c r="D1696" s="2" t="s">
        <v>34</v>
      </c>
      <c r="E1696" s="2" t="s">
        <v>11424</v>
      </c>
      <c r="F1696" s="2">
        <v>48475</v>
      </c>
      <c r="G1696" s="3" t="str">
        <f>HYPERLINK("http://funmeta.oebiotech.com/network/48475", "http://funmeta.oebiotech.com/network/48475")</f>
        <v>http://funmeta.oebiotech.com/network/48475</v>
      </c>
      <c r="H1696" s="2" t="s">
        <v>11425</v>
      </c>
      <c r="I1696" s="2"/>
      <c r="J1696" s="2"/>
      <c r="K1696" s="2">
        <v>84651</v>
      </c>
      <c r="L1696" s="2"/>
      <c r="M1696" s="2"/>
      <c r="N1696" s="2"/>
      <c r="O1696" s="2">
        <v>46907933</v>
      </c>
      <c r="P1696" s="2" t="s">
        <v>11426</v>
      </c>
      <c r="Q1696" s="2" t="s">
        <v>11427</v>
      </c>
      <c r="R1696" s="2" t="s">
        <v>11428</v>
      </c>
      <c r="S1696" s="2" t="s">
        <v>50</v>
      </c>
      <c r="T1696" s="2" t="s">
        <v>229</v>
      </c>
      <c r="U1696" s="2" t="s">
        <v>1914</v>
      </c>
      <c r="V1696" s="2" t="s">
        <v>59</v>
      </c>
      <c r="W1696" s="2">
        <v>38.1</v>
      </c>
      <c r="X1696" s="2">
        <v>0</v>
      </c>
      <c r="Y1696" s="2" t="s">
        <v>340</v>
      </c>
      <c r="Z1696" s="2" t="s">
        <v>11429</v>
      </c>
      <c r="AA1696" s="2">
        <v>4.5227890332258696</v>
      </c>
      <c r="AB1696" s="2">
        <v>0.47797846602495703</v>
      </c>
      <c r="AC1696" s="2">
        <v>9734.4722356574493</v>
      </c>
      <c r="AD1696" s="2">
        <v>24929.458625712501</v>
      </c>
      <c r="AE1696" s="2">
        <v>9977.3373188986698</v>
      </c>
      <c r="AF1696" s="2">
        <v>10188.179381915401</v>
      </c>
      <c r="AG1696" s="2">
        <v>10314.5391132771</v>
      </c>
      <c r="AH1696" s="2">
        <v>7976.7100976731799</v>
      </c>
      <c r="AI1696" s="2">
        <v>9524.1659679925506</v>
      </c>
      <c r="AJ1696" s="2">
        <v>10425.9015341878</v>
      </c>
      <c r="AK1696" s="2">
        <v>23288.153653440098</v>
      </c>
      <c r="AL1696" s="2">
        <v>22522.229381613201</v>
      </c>
      <c r="AM1696" s="2">
        <v>26242.587534389899</v>
      </c>
      <c r="AN1696" s="2">
        <v>25650.064921808498</v>
      </c>
      <c r="AO1696" s="2">
        <v>27244.705273783798</v>
      </c>
      <c r="AP1696" s="2">
        <v>24629.010989239599</v>
      </c>
    </row>
    <row r="1697" spans="1:42" ht="14.5" x14ac:dyDescent="0.35">
      <c r="A1697" s="2" t="s">
        <v>11430</v>
      </c>
      <c r="B1697" s="2">
        <v>431.31546290484499</v>
      </c>
      <c r="C1697" s="2">
        <v>5.7914500000000002</v>
      </c>
      <c r="D1697" s="2" t="s">
        <v>34</v>
      </c>
      <c r="E1697" s="2" t="s">
        <v>11431</v>
      </c>
      <c r="F1697" s="2">
        <v>44470</v>
      </c>
      <c r="G1697" s="3" t="str">
        <f>HYPERLINK("http://funmeta.oebiotech.com/network/44470", "http://funmeta.oebiotech.com/network/44470")</f>
        <v>http://funmeta.oebiotech.com/network/44470</v>
      </c>
      <c r="H1697" s="2"/>
      <c r="I1697" s="2">
        <v>43920</v>
      </c>
      <c r="J1697" s="2" t="s">
        <v>11432</v>
      </c>
      <c r="K1697" s="2">
        <v>5633</v>
      </c>
      <c r="L1697" s="2" t="s">
        <v>11433</v>
      </c>
      <c r="M1697" s="2"/>
      <c r="N1697" s="2"/>
      <c r="O1697" s="2">
        <v>91453</v>
      </c>
      <c r="P1697" s="2" t="s">
        <v>11434</v>
      </c>
      <c r="Q1697" s="2" t="s">
        <v>11435</v>
      </c>
      <c r="R1697" s="2" t="s">
        <v>11436</v>
      </c>
      <c r="S1697" s="2" t="s">
        <v>50</v>
      </c>
      <c r="T1697" s="2" t="s">
        <v>201</v>
      </c>
      <c r="U1697" s="2" t="s">
        <v>210</v>
      </c>
      <c r="V1697" s="2" t="s">
        <v>42</v>
      </c>
      <c r="W1697" s="2">
        <v>50.6</v>
      </c>
      <c r="X1697" s="2">
        <v>59.7</v>
      </c>
      <c r="Y1697" s="2" t="s">
        <v>394</v>
      </c>
      <c r="Z1697" s="2" t="s">
        <v>7052</v>
      </c>
      <c r="AA1697" s="2">
        <v>-0.286660360075364</v>
      </c>
      <c r="AB1697" s="2">
        <v>0.47771731505378101</v>
      </c>
      <c r="AC1697" s="2">
        <v>33402.029413520002</v>
      </c>
      <c r="AD1697" s="2">
        <v>48761.970978459998</v>
      </c>
      <c r="AE1697" s="2">
        <v>33977.230586603</v>
      </c>
      <c r="AF1697" s="2">
        <v>36784.9934431726</v>
      </c>
      <c r="AG1697" s="2">
        <v>32987.319574972498</v>
      </c>
      <c r="AH1697" s="2">
        <v>29479.812852794701</v>
      </c>
      <c r="AI1697" s="2">
        <v>34282.875216426102</v>
      </c>
      <c r="AJ1697" s="2">
        <v>32899.944807151303</v>
      </c>
      <c r="AK1697" s="2">
        <v>49856.207933624901</v>
      </c>
      <c r="AL1697" s="2">
        <v>48019.138255089798</v>
      </c>
      <c r="AM1697" s="2">
        <v>49395.662426788302</v>
      </c>
      <c r="AN1697" s="2">
        <v>50560.754271993203</v>
      </c>
      <c r="AO1697" s="2">
        <v>47447.858060393701</v>
      </c>
      <c r="AP1697" s="2">
        <v>47292.204922869802</v>
      </c>
    </row>
    <row r="1698" spans="1:42" ht="14.5" x14ac:dyDescent="0.35">
      <c r="A1698" s="2" t="s">
        <v>11437</v>
      </c>
      <c r="B1698" s="2">
        <v>303.21747343832601</v>
      </c>
      <c r="C1698" s="2">
        <v>5.7290666666666699</v>
      </c>
      <c r="D1698" s="2" t="s">
        <v>70</v>
      </c>
      <c r="E1698" s="2" t="s">
        <v>11438</v>
      </c>
      <c r="F1698" s="2">
        <v>1690</v>
      </c>
      <c r="G1698" s="3" t="str">
        <f>HYPERLINK("http://funmeta.oebiotech.com/network/1690", "http://funmeta.oebiotech.com/network/1690")</f>
        <v>http://funmeta.oebiotech.com/network/1690</v>
      </c>
      <c r="H1698" s="2"/>
      <c r="I1698" s="2"/>
      <c r="J1698" s="2" t="s">
        <v>11439</v>
      </c>
      <c r="K1698" s="2"/>
      <c r="L1698" s="2"/>
      <c r="M1698" s="2"/>
      <c r="N1698" s="2"/>
      <c r="O1698" s="2">
        <v>292984</v>
      </c>
      <c r="P1698" s="2"/>
      <c r="Q1698" s="2" t="s">
        <v>11440</v>
      </c>
      <c r="R1698" s="2" t="s">
        <v>11441</v>
      </c>
      <c r="S1698" s="2" t="s">
        <v>50</v>
      </c>
      <c r="T1698" s="2" t="s">
        <v>229</v>
      </c>
      <c r="U1698" s="2" t="s">
        <v>433</v>
      </c>
      <c r="V1698" s="2" t="s">
        <v>59</v>
      </c>
      <c r="W1698" s="2">
        <v>40.299999999999997</v>
      </c>
      <c r="X1698" s="2">
        <v>5.15</v>
      </c>
      <c r="Y1698" s="2" t="s">
        <v>408</v>
      </c>
      <c r="Z1698" s="2" t="s">
        <v>11442</v>
      </c>
      <c r="AA1698" s="2">
        <v>-0.86845671509400602</v>
      </c>
      <c r="AB1698" s="2">
        <v>0.47757486142382799</v>
      </c>
      <c r="AC1698" s="2">
        <v>30648.314542707802</v>
      </c>
      <c r="AD1698" s="2">
        <v>45945.448471216303</v>
      </c>
      <c r="AE1698" s="2">
        <v>30751.558056910901</v>
      </c>
      <c r="AF1698" s="2">
        <v>31776.2416370227</v>
      </c>
      <c r="AG1698" s="2">
        <v>33101.256209933301</v>
      </c>
      <c r="AH1698" s="2">
        <v>28018.920653909499</v>
      </c>
      <c r="AI1698" s="2">
        <v>29723.316512934602</v>
      </c>
      <c r="AJ1698" s="2">
        <v>30518.594185535501</v>
      </c>
      <c r="AK1698" s="2">
        <v>46504.003176635699</v>
      </c>
      <c r="AL1698" s="2">
        <v>45388.805642353</v>
      </c>
      <c r="AM1698" s="2">
        <v>46197.803706444698</v>
      </c>
      <c r="AN1698" s="2">
        <v>48727.205483515703</v>
      </c>
      <c r="AO1698" s="2">
        <v>45525.265411512897</v>
      </c>
      <c r="AP1698" s="2">
        <v>43329.607406835501</v>
      </c>
    </row>
    <row r="1699" spans="1:42" ht="14.5" x14ac:dyDescent="0.35">
      <c r="A1699" s="2" t="s">
        <v>11443</v>
      </c>
      <c r="B1699" s="2">
        <v>309.05805084736602</v>
      </c>
      <c r="C1699" s="2">
        <v>0.70245000000000002</v>
      </c>
      <c r="D1699" s="2" t="s">
        <v>34</v>
      </c>
      <c r="E1699" s="2" t="s">
        <v>11444</v>
      </c>
      <c r="F1699" s="2">
        <v>54819</v>
      </c>
      <c r="G1699" s="3" t="str">
        <f>HYPERLINK("http://funmeta.oebiotech.com/network/54819", "http://funmeta.oebiotech.com/network/54819")</f>
        <v>http://funmeta.oebiotech.com/network/54819</v>
      </c>
      <c r="H1699" s="2" t="s">
        <v>11445</v>
      </c>
      <c r="I1699" s="2"/>
      <c r="J1699" s="2"/>
      <c r="K1699" s="2">
        <v>169540</v>
      </c>
      <c r="L1699" s="2"/>
      <c r="M1699" s="2"/>
      <c r="N1699" s="2"/>
      <c r="O1699" s="2">
        <v>18618148</v>
      </c>
      <c r="P1699" s="2"/>
      <c r="Q1699" s="2" t="s">
        <v>11446</v>
      </c>
      <c r="R1699" s="2" t="s">
        <v>11447</v>
      </c>
      <c r="S1699" s="2" t="s">
        <v>79</v>
      </c>
      <c r="T1699" s="2" t="s">
        <v>80</v>
      </c>
      <c r="U1699" s="2" t="s">
        <v>81</v>
      </c>
      <c r="V1699" s="2" t="s">
        <v>59</v>
      </c>
      <c r="W1699" s="2">
        <v>39.1</v>
      </c>
      <c r="X1699" s="2">
        <v>0</v>
      </c>
      <c r="Y1699" s="2" t="s">
        <v>568</v>
      </c>
      <c r="Z1699" s="2" t="s">
        <v>11448</v>
      </c>
      <c r="AA1699" s="2">
        <v>-0.70118246135662698</v>
      </c>
      <c r="AB1699" s="2">
        <v>0.47741052862213501</v>
      </c>
      <c r="AC1699" s="2">
        <v>45985.2588792674</v>
      </c>
      <c r="AD1699" s="2">
        <v>26435.070261074401</v>
      </c>
      <c r="AE1699" s="2">
        <v>32710.433548042001</v>
      </c>
      <c r="AF1699" s="2">
        <v>46851.038006582501</v>
      </c>
      <c r="AG1699" s="2">
        <v>50722.910847165302</v>
      </c>
      <c r="AH1699" s="2">
        <v>48231.387709575902</v>
      </c>
      <c r="AI1699" s="2">
        <v>47184.008562596799</v>
      </c>
      <c r="AJ1699" s="2">
        <v>50211.774601642101</v>
      </c>
      <c r="AK1699" s="2">
        <v>17203.9264667313</v>
      </c>
      <c r="AL1699" s="2">
        <v>24374.57988587</v>
      </c>
      <c r="AM1699" s="2">
        <v>35664.198103732197</v>
      </c>
      <c r="AN1699" s="2">
        <v>42912.010009741403</v>
      </c>
      <c r="AO1699" s="2">
        <v>16896.528871078499</v>
      </c>
      <c r="AP1699" s="2">
        <v>21559.178229293299</v>
      </c>
    </row>
    <row r="1700" spans="1:42" ht="14.5" x14ac:dyDescent="0.35">
      <c r="A1700" s="2" t="s">
        <v>11449</v>
      </c>
      <c r="B1700" s="2">
        <v>539.35924070809097</v>
      </c>
      <c r="C1700" s="2">
        <v>6.5004833333333298</v>
      </c>
      <c r="D1700" s="2" t="s">
        <v>70</v>
      </c>
      <c r="E1700" s="2" t="s">
        <v>11450</v>
      </c>
      <c r="F1700" s="2">
        <v>55238</v>
      </c>
      <c r="G1700" s="3" t="str">
        <f>HYPERLINK("http://funmeta.oebiotech.com/network/55238", "http://funmeta.oebiotech.com/network/55238")</f>
        <v>http://funmeta.oebiotech.com/network/55238</v>
      </c>
      <c r="H1700" s="2" t="s">
        <v>11451</v>
      </c>
      <c r="I1700" s="2">
        <v>86964</v>
      </c>
      <c r="J1700" s="2"/>
      <c r="K1700" s="2"/>
      <c r="L1700" s="2"/>
      <c r="M1700" s="2"/>
      <c r="N1700" s="2"/>
      <c r="O1700" s="2">
        <v>4285635</v>
      </c>
      <c r="P1700" s="2" t="s">
        <v>11452</v>
      </c>
      <c r="Q1700" s="2" t="s">
        <v>11453</v>
      </c>
      <c r="R1700" s="2" t="s">
        <v>11454</v>
      </c>
      <c r="S1700" s="2" t="s">
        <v>50</v>
      </c>
      <c r="T1700" s="2" t="s">
        <v>124</v>
      </c>
      <c r="U1700" s="2" t="s">
        <v>567</v>
      </c>
      <c r="V1700" s="2" t="s">
        <v>59</v>
      </c>
      <c r="W1700" s="2">
        <v>38.299999999999997</v>
      </c>
      <c r="X1700" s="2">
        <v>0</v>
      </c>
      <c r="Y1700" s="2" t="s">
        <v>408</v>
      </c>
      <c r="Z1700" s="2" t="s">
        <v>11455</v>
      </c>
      <c r="AA1700" s="2">
        <v>0.60384494071855899</v>
      </c>
      <c r="AB1700" s="2">
        <v>0.47727866995759</v>
      </c>
      <c r="AC1700" s="2">
        <v>20959.6506233859</v>
      </c>
      <c r="AD1700" s="2">
        <v>5910.9825975639196</v>
      </c>
      <c r="AE1700" s="2">
        <v>21357.459836272799</v>
      </c>
      <c r="AF1700" s="2">
        <v>20722.657681320299</v>
      </c>
      <c r="AG1700" s="2">
        <v>21087.431462504599</v>
      </c>
      <c r="AH1700" s="2">
        <v>22543.137981858199</v>
      </c>
      <c r="AI1700" s="2">
        <v>18948.515617084799</v>
      </c>
      <c r="AJ1700" s="2">
        <v>21098.701161274599</v>
      </c>
      <c r="AK1700" s="2">
        <v>4864.5509085404901</v>
      </c>
      <c r="AL1700" s="2">
        <v>6994.9264238167598</v>
      </c>
      <c r="AM1700" s="2">
        <v>5841.3113431113597</v>
      </c>
      <c r="AN1700" s="2">
        <v>7119.6818763835599</v>
      </c>
      <c r="AO1700" s="2">
        <v>5405.2812818700804</v>
      </c>
      <c r="AP1700" s="2">
        <v>5240.1437516612896</v>
      </c>
    </row>
    <row r="1701" spans="1:42" ht="14.5" x14ac:dyDescent="0.35">
      <c r="A1701" s="2" t="s">
        <v>11456</v>
      </c>
      <c r="B1701" s="2">
        <v>562.31486986464597</v>
      </c>
      <c r="C1701" s="2">
        <v>9.8834833333333307</v>
      </c>
      <c r="D1701" s="2" t="s">
        <v>70</v>
      </c>
      <c r="E1701" s="2" t="s">
        <v>11457</v>
      </c>
      <c r="F1701" s="2">
        <v>19840</v>
      </c>
      <c r="G1701" s="3" t="str">
        <f>HYPERLINK("http://funmeta.oebiotech.com/network/19840", "http://funmeta.oebiotech.com/network/19840")</f>
        <v>http://funmeta.oebiotech.com/network/19840</v>
      </c>
      <c r="H1701" s="2" t="s">
        <v>11458</v>
      </c>
      <c r="I1701" s="2">
        <v>40304</v>
      </c>
      <c r="J1701" s="2" t="s">
        <v>11459</v>
      </c>
      <c r="K1701" s="2">
        <v>133456</v>
      </c>
      <c r="L1701" s="2"/>
      <c r="M1701" s="2"/>
      <c r="N1701" s="2"/>
      <c r="O1701" s="2">
        <v>24779469</v>
      </c>
      <c r="P1701" s="2"/>
      <c r="Q1701" s="2" t="s">
        <v>11460</v>
      </c>
      <c r="R1701" s="2" t="s">
        <v>11461</v>
      </c>
      <c r="S1701" s="2" t="s">
        <v>50</v>
      </c>
      <c r="T1701" s="2" t="s">
        <v>51</v>
      </c>
      <c r="U1701" s="2" t="s">
        <v>168</v>
      </c>
      <c r="V1701" s="2" t="s">
        <v>42</v>
      </c>
      <c r="W1701" s="2">
        <v>55</v>
      </c>
      <c r="X1701" s="2">
        <v>77.3</v>
      </c>
      <c r="Y1701" s="2" t="s">
        <v>408</v>
      </c>
      <c r="Z1701" s="2" t="s">
        <v>11462</v>
      </c>
      <c r="AA1701" s="2">
        <v>-0.33348311991002699</v>
      </c>
      <c r="AB1701" s="2">
        <v>0.477221026881403</v>
      </c>
      <c r="AC1701" s="2">
        <v>24651.741845385899</v>
      </c>
      <c r="AD1701" s="2">
        <v>40162.463934321597</v>
      </c>
      <c r="AE1701" s="2">
        <v>26449.386171120001</v>
      </c>
      <c r="AF1701" s="2">
        <v>27549.988564909101</v>
      </c>
      <c r="AG1701" s="2">
        <v>25004.831436305602</v>
      </c>
      <c r="AH1701" s="2">
        <v>20680.166207561098</v>
      </c>
      <c r="AI1701" s="2">
        <v>25868.104307239399</v>
      </c>
      <c r="AJ1701" s="2">
        <v>22357.974385180001</v>
      </c>
      <c r="AK1701" s="2">
        <v>40107.322437474999</v>
      </c>
      <c r="AL1701" s="2">
        <v>39938.605265708196</v>
      </c>
      <c r="AM1701" s="2">
        <v>39734.551026085799</v>
      </c>
      <c r="AN1701" s="2">
        <v>37669.893265758197</v>
      </c>
      <c r="AO1701" s="2">
        <v>39743.5571648306</v>
      </c>
      <c r="AP1701" s="2">
        <v>43780.8544460716</v>
      </c>
    </row>
    <row r="1702" spans="1:42" ht="14.5" x14ac:dyDescent="0.35">
      <c r="A1702" s="2" t="s">
        <v>11463</v>
      </c>
      <c r="B1702" s="2">
        <v>300.122867764224</v>
      </c>
      <c r="C1702" s="2">
        <v>8.9527166666666709</v>
      </c>
      <c r="D1702" s="2" t="s">
        <v>34</v>
      </c>
      <c r="E1702" s="2" t="s">
        <v>11464</v>
      </c>
      <c r="F1702" s="2">
        <v>57288</v>
      </c>
      <c r="G1702" s="3" t="str">
        <f>HYPERLINK("http://funmeta.oebiotech.com/network/57288", "http://funmeta.oebiotech.com/network/57288")</f>
        <v>http://funmeta.oebiotech.com/network/57288</v>
      </c>
      <c r="H1702" s="2" t="s">
        <v>11465</v>
      </c>
      <c r="I1702" s="2">
        <v>88918</v>
      </c>
      <c r="J1702" s="2"/>
      <c r="K1702" s="2"/>
      <c r="L1702" s="2"/>
      <c r="M1702" s="2"/>
      <c r="N1702" s="2"/>
      <c r="O1702" s="2">
        <v>9994897</v>
      </c>
      <c r="P1702" s="2" t="s">
        <v>11466</v>
      </c>
      <c r="Q1702" s="2" t="s">
        <v>11467</v>
      </c>
      <c r="R1702" s="2" t="s">
        <v>11468</v>
      </c>
      <c r="S1702" s="2" t="s">
        <v>115</v>
      </c>
      <c r="T1702" s="2" t="s">
        <v>116</v>
      </c>
      <c r="U1702" s="2" t="s">
        <v>117</v>
      </c>
      <c r="V1702" s="2" t="s">
        <v>59</v>
      </c>
      <c r="W1702" s="2">
        <v>44.7</v>
      </c>
      <c r="X1702" s="2">
        <v>28.9</v>
      </c>
      <c r="Y1702" s="2" t="s">
        <v>394</v>
      </c>
      <c r="Z1702" s="2" t="s">
        <v>11469</v>
      </c>
      <c r="AA1702" s="2">
        <v>-0.55729596801764902</v>
      </c>
      <c r="AB1702" s="2">
        <v>0.476429778652813</v>
      </c>
      <c r="AC1702" s="2">
        <v>29387.3366868456</v>
      </c>
      <c r="AD1702" s="2">
        <v>14436.630106545401</v>
      </c>
      <c r="AE1702" s="2">
        <v>30217.9682007212</v>
      </c>
      <c r="AF1702" s="2">
        <v>31048.183004152801</v>
      </c>
      <c r="AG1702" s="2">
        <v>28724.897339324201</v>
      </c>
      <c r="AH1702" s="2">
        <v>29622.2491481535</v>
      </c>
      <c r="AI1702" s="2">
        <v>28133.6326256176</v>
      </c>
      <c r="AJ1702" s="2">
        <v>28577.0898031043</v>
      </c>
      <c r="AK1702" s="2">
        <v>14706.9768704423</v>
      </c>
      <c r="AL1702" s="2">
        <v>14199.957294194501</v>
      </c>
      <c r="AM1702" s="2">
        <v>14425.8640112311</v>
      </c>
      <c r="AN1702" s="2">
        <v>14528.3351398507</v>
      </c>
      <c r="AO1702" s="2">
        <v>13809.3521169423</v>
      </c>
      <c r="AP1702" s="2">
        <v>14949.295206611299</v>
      </c>
    </row>
    <row r="1703" spans="1:42" ht="14.5" x14ac:dyDescent="0.35">
      <c r="A1703" s="2" t="s">
        <v>11470</v>
      </c>
      <c r="B1703" s="2">
        <v>1009.47437408871</v>
      </c>
      <c r="C1703" s="2">
        <v>10.189349999999999</v>
      </c>
      <c r="D1703" s="2" t="s">
        <v>34</v>
      </c>
      <c r="E1703" s="2" t="s">
        <v>11471</v>
      </c>
      <c r="F1703" s="2">
        <v>64132</v>
      </c>
      <c r="G1703" s="3" t="str">
        <f>HYPERLINK("http://funmeta.oebiotech.com/network/64132", "http://funmeta.oebiotech.com/network/64132")</f>
        <v>http://funmeta.oebiotech.com/network/64132</v>
      </c>
      <c r="H1703" s="2" t="s">
        <v>11472</v>
      </c>
      <c r="I1703" s="2">
        <v>95455</v>
      </c>
      <c r="J1703" s="2"/>
      <c r="K1703" s="2"/>
      <c r="L1703" s="2"/>
      <c r="M1703" s="2"/>
      <c r="N1703" s="2"/>
      <c r="O1703" s="2">
        <v>14314620</v>
      </c>
      <c r="P1703" s="2" t="s">
        <v>11473</v>
      </c>
      <c r="Q1703" s="2" t="s">
        <v>11474</v>
      </c>
      <c r="R1703" s="2" t="s">
        <v>11475</v>
      </c>
      <c r="S1703" s="2" t="s">
        <v>50</v>
      </c>
      <c r="T1703" s="2" t="s">
        <v>201</v>
      </c>
      <c r="U1703" s="2" t="s">
        <v>202</v>
      </c>
      <c r="V1703" s="2" t="s">
        <v>59</v>
      </c>
      <c r="W1703" s="2">
        <v>36.5</v>
      </c>
      <c r="X1703" s="2">
        <v>0</v>
      </c>
      <c r="Y1703" s="2" t="s">
        <v>340</v>
      </c>
      <c r="Z1703" s="2" t="s">
        <v>11476</v>
      </c>
      <c r="AA1703" s="2">
        <v>-2.5906530820368099</v>
      </c>
      <c r="AB1703" s="2">
        <v>0.47632355817690902</v>
      </c>
      <c r="AC1703" s="2">
        <v>5495.7443061028698</v>
      </c>
      <c r="AD1703" s="2">
        <v>20808.898375418201</v>
      </c>
      <c r="AE1703" s="2">
        <v>6300.5613321903902</v>
      </c>
      <c r="AF1703" s="2">
        <v>3312.44551490395</v>
      </c>
      <c r="AG1703" s="2">
        <v>6395.8535337903204</v>
      </c>
      <c r="AH1703" s="2">
        <v>5683.0729764800899</v>
      </c>
      <c r="AI1703" s="2">
        <v>3154.4943887726899</v>
      </c>
      <c r="AJ1703" s="2">
        <v>8128.0380904797803</v>
      </c>
      <c r="AK1703" s="2">
        <v>18876.138834544599</v>
      </c>
      <c r="AL1703" s="2">
        <v>20010.830830725001</v>
      </c>
      <c r="AM1703" s="2">
        <v>21089.945339868798</v>
      </c>
      <c r="AN1703" s="2">
        <v>24758.144879341398</v>
      </c>
      <c r="AO1703" s="2">
        <v>20776.406514313301</v>
      </c>
      <c r="AP1703" s="2">
        <v>19341.923853716002</v>
      </c>
    </row>
    <row r="1704" spans="1:42" ht="14.5" x14ac:dyDescent="0.35">
      <c r="A1704" s="2" t="s">
        <v>11477</v>
      </c>
      <c r="B1704" s="2">
        <v>177.02874117825399</v>
      </c>
      <c r="C1704" s="2">
        <v>1.4019333333333299</v>
      </c>
      <c r="D1704" s="2" t="s">
        <v>34</v>
      </c>
      <c r="E1704" s="2" t="s">
        <v>11478</v>
      </c>
      <c r="F1704" s="2">
        <v>51907</v>
      </c>
      <c r="G1704" s="3" t="str">
        <f>HYPERLINK("http://funmeta.oebiotech.com/network/51907", "http://funmeta.oebiotech.com/network/51907")</f>
        <v>http://funmeta.oebiotech.com/network/51907</v>
      </c>
      <c r="H1704" s="2" t="s">
        <v>11479</v>
      </c>
      <c r="I1704" s="2"/>
      <c r="J1704" s="2"/>
      <c r="K1704" s="2">
        <v>27708</v>
      </c>
      <c r="L1704" s="2" t="s">
        <v>11480</v>
      </c>
      <c r="M1704" s="2" t="s">
        <v>3346</v>
      </c>
      <c r="N1704" s="2" t="s">
        <v>3347</v>
      </c>
      <c r="O1704" s="2">
        <v>654</v>
      </c>
      <c r="P1704" s="2" t="s">
        <v>11481</v>
      </c>
      <c r="Q1704" s="2" t="s">
        <v>11482</v>
      </c>
      <c r="R1704" s="2" t="s">
        <v>11483</v>
      </c>
      <c r="S1704" s="2" t="s">
        <v>89</v>
      </c>
      <c r="T1704" s="2" t="s">
        <v>894</v>
      </c>
      <c r="U1704" s="2" t="s">
        <v>895</v>
      </c>
      <c r="V1704" s="2" t="s">
        <v>59</v>
      </c>
      <c r="W1704" s="2">
        <v>39.9</v>
      </c>
      <c r="X1704" s="2">
        <v>1.86</v>
      </c>
      <c r="Y1704" s="2" t="s">
        <v>67</v>
      </c>
      <c r="Z1704" s="2" t="s">
        <v>11484</v>
      </c>
      <c r="AA1704" s="2">
        <v>0.16253781880990001</v>
      </c>
      <c r="AB1704" s="2">
        <v>0.47583528667976499</v>
      </c>
      <c r="AC1704" s="2">
        <v>13805.861438862799</v>
      </c>
      <c r="AD1704" s="2">
        <v>28861.432533105501</v>
      </c>
      <c r="AE1704" s="2">
        <v>12818.7909380492</v>
      </c>
      <c r="AF1704" s="2">
        <v>14986.8455826891</v>
      </c>
      <c r="AG1704" s="2">
        <v>13522.233267879599</v>
      </c>
      <c r="AH1704" s="2">
        <v>12656.1510918288</v>
      </c>
      <c r="AI1704" s="2">
        <v>14700.824476215201</v>
      </c>
      <c r="AJ1704" s="2">
        <v>14150.3232765148</v>
      </c>
      <c r="AK1704" s="2">
        <v>26379.4866271436</v>
      </c>
      <c r="AL1704" s="2">
        <v>27812.7570518721</v>
      </c>
      <c r="AM1704" s="2">
        <v>28254.709212349899</v>
      </c>
      <c r="AN1704" s="2">
        <v>31609.886055722902</v>
      </c>
      <c r="AO1704" s="2">
        <v>29280.0424782679</v>
      </c>
      <c r="AP1704" s="2">
        <v>29831.713773276599</v>
      </c>
    </row>
    <row r="1705" spans="1:42" ht="14.5" x14ac:dyDescent="0.35">
      <c r="A1705" s="2" t="s">
        <v>11485</v>
      </c>
      <c r="B1705" s="2">
        <v>114.091279839724</v>
      </c>
      <c r="C1705" s="2">
        <v>3.8783166666666702</v>
      </c>
      <c r="D1705" s="2" t="s">
        <v>34</v>
      </c>
      <c r="E1705" s="2" t="s">
        <v>11486</v>
      </c>
      <c r="F1705" s="2">
        <v>83778</v>
      </c>
      <c r="G1705" s="3" t="str">
        <f>HYPERLINK("http://funmeta.oebiotech.com/network/83778", "http://funmeta.oebiotech.com/network/83778")</f>
        <v>http://funmeta.oebiotech.com/network/83778</v>
      </c>
      <c r="H1705" s="2" t="s">
        <v>11487</v>
      </c>
      <c r="I1705" s="2">
        <v>44753</v>
      </c>
      <c r="J1705" s="2"/>
      <c r="K1705" s="2">
        <v>28579</v>
      </c>
      <c r="L1705" s="2" t="s">
        <v>11488</v>
      </c>
      <c r="M1705" s="2" t="s">
        <v>11489</v>
      </c>
      <c r="N1705" s="2" t="s">
        <v>11490</v>
      </c>
      <c r="O1705" s="2">
        <v>7768</v>
      </c>
      <c r="P1705" s="2" t="s">
        <v>11491</v>
      </c>
      <c r="Q1705" s="2" t="s">
        <v>11492</v>
      </c>
      <c r="R1705" s="2" t="s">
        <v>11493</v>
      </c>
      <c r="S1705" s="2" t="s">
        <v>491</v>
      </c>
      <c r="T1705" s="2" t="s">
        <v>8419</v>
      </c>
      <c r="U1705" s="2" t="s">
        <v>11494</v>
      </c>
      <c r="V1705" s="2" t="s">
        <v>42</v>
      </c>
      <c r="W1705" s="2">
        <v>49.3</v>
      </c>
      <c r="X1705" s="2">
        <v>48.9</v>
      </c>
      <c r="Y1705" s="2" t="s">
        <v>394</v>
      </c>
      <c r="Z1705" s="2" t="s">
        <v>11495</v>
      </c>
      <c r="AA1705" s="2">
        <v>-0.53561398121289805</v>
      </c>
      <c r="AB1705" s="2">
        <v>0.47499466396620599</v>
      </c>
      <c r="AC1705" s="2">
        <v>92779.789404550698</v>
      </c>
      <c r="AD1705" s="2">
        <v>114750.353000403</v>
      </c>
      <c r="AE1705" s="2">
        <v>94802.6803926797</v>
      </c>
      <c r="AF1705" s="2">
        <v>105525.800747081</v>
      </c>
      <c r="AG1705" s="2">
        <v>94584.114449263201</v>
      </c>
      <c r="AH1705" s="2">
        <v>92813.573255579802</v>
      </c>
      <c r="AI1705" s="2">
        <v>79089.721549447393</v>
      </c>
      <c r="AJ1705" s="2">
        <v>89862.846033253401</v>
      </c>
      <c r="AK1705" s="2">
        <v>112146.95261076999</v>
      </c>
      <c r="AL1705" s="2">
        <v>137998.901211157</v>
      </c>
      <c r="AM1705" s="2">
        <v>119278.03420667999</v>
      </c>
      <c r="AN1705" s="2">
        <v>101817.099693479</v>
      </c>
      <c r="AO1705" s="2">
        <v>123945.99002509601</v>
      </c>
      <c r="AP1705" s="2">
        <v>93315.140255235994</v>
      </c>
    </row>
    <row r="1706" spans="1:42" ht="14.5" x14ac:dyDescent="0.35">
      <c r="A1706" s="2" t="s">
        <v>11496</v>
      </c>
      <c r="B1706" s="2">
        <v>333.16891571811999</v>
      </c>
      <c r="C1706" s="2">
        <v>4.9308666666666703</v>
      </c>
      <c r="D1706" s="2" t="s">
        <v>34</v>
      </c>
      <c r="E1706" s="5" t="s">
        <v>11497</v>
      </c>
      <c r="F1706" s="2">
        <v>36009</v>
      </c>
      <c r="G1706" s="3" t="str">
        <f>HYPERLINK("http://funmeta.oebiotech.com/network/36009", "http://funmeta.oebiotech.com/network/36009")</f>
        <v>http://funmeta.oebiotech.com/network/36009</v>
      </c>
      <c r="H1706" s="2"/>
      <c r="I1706" s="2">
        <v>41233</v>
      </c>
      <c r="J1706" s="2" t="s">
        <v>11498</v>
      </c>
      <c r="K1706" s="2">
        <v>32902</v>
      </c>
      <c r="L1706" s="2" t="s">
        <v>11499</v>
      </c>
      <c r="M1706" s="2" t="s">
        <v>11500</v>
      </c>
      <c r="N1706" s="2" t="s">
        <v>11501</v>
      </c>
      <c r="O1706" s="2">
        <v>443457</v>
      </c>
      <c r="P1706" s="2" t="s">
        <v>11502</v>
      </c>
      <c r="Q1706" s="2" t="s">
        <v>11503</v>
      </c>
      <c r="R1706" s="2" t="s">
        <v>11504</v>
      </c>
      <c r="S1706" s="2" t="s">
        <v>50</v>
      </c>
      <c r="T1706" s="2" t="s">
        <v>201</v>
      </c>
      <c r="U1706" s="2" t="s">
        <v>241</v>
      </c>
      <c r="V1706" s="2" t="s">
        <v>42</v>
      </c>
      <c r="W1706" s="2">
        <v>50.2</v>
      </c>
      <c r="X1706" s="2">
        <v>60.9</v>
      </c>
      <c r="Y1706" s="2" t="s">
        <v>266</v>
      </c>
      <c r="Z1706" s="2" t="s">
        <v>11505</v>
      </c>
      <c r="AA1706" s="2">
        <v>-2.2115128562707498</v>
      </c>
      <c r="AB1706" s="2">
        <v>0.47465652213439002</v>
      </c>
      <c r="AC1706" s="2">
        <v>68339.862870645098</v>
      </c>
      <c r="AD1706" s="2">
        <v>52643.214411099601</v>
      </c>
      <c r="AE1706" s="2">
        <v>66613.7132286876</v>
      </c>
      <c r="AF1706" s="2">
        <v>70413.517727555707</v>
      </c>
      <c r="AG1706" s="2">
        <v>70351.076363540793</v>
      </c>
      <c r="AH1706" s="2">
        <v>64184.424844912202</v>
      </c>
      <c r="AI1706" s="2">
        <v>69435.266703528396</v>
      </c>
      <c r="AJ1706" s="2">
        <v>69041.178355645694</v>
      </c>
      <c r="AK1706" s="2">
        <v>52959.931906038197</v>
      </c>
      <c r="AL1706" s="2">
        <v>53219.7339023842</v>
      </c>
      <c r="AM1706" s="2">
        <v>49334.2289355475</v>
      </c>
      <c r="AN1706" s="2">
        <v>58668.786790659702</v>
      </c>
      <c r="AO1706" s="2">
        <v>48782.679458733801</v>
      </c>
      <c r="AP1706" s="2">
        <v>52893.925473233903</v>
      </c>
    </row>
    <row r="1707" spans="1:42" ht="14.5" x14ac:dyDescent="0.35">
      <c r="A1707" s="2" t="s">
        <v>11506</v>
      </c>
      <c r="B1707" s="2">
        <v>323.30570188358098</v>
      </c>
      <c r="C1707" s="2">
        <v>12.3610166666667</v>
      </c>
      <c r="D1707" s="2" t="s">
        <v>34</v>
      </c>
      <c r="E1707" s="2" t="s">
        <v>11507</v>
      </c>
      <c r="F1707" s="2">
        <v>38995</v>
      </c>
      <c r="G1707" s="3" t="str">
        <f>HYPERLINK("http://funmeta.oebiotech.com/network/38995", "http://funmeta.oebiotech.com/network/38995")</f>
        <v>http://funmeta.oebiotech.com/network/38995</v>
      </c>
      <c r="H1707" s="2"/>
      <c r="I1707" s="2">
        <v>53953</v>
      </c>
      <c r="J1707" s="2" t="s">
        <v>11508</v>
      </c>
      <c r="K1707" s="2">
        <v>137833</v>
      </c>
      <c r="L1707" s="2"/>
      <c r="M1707" s="2"/>
      <c r="N1707" s="2"/>
      <c r="O1707" s="2">
        <v>10425214</v>
      </c>
      <c r="P1707" s="2"/>
      <c r="Q1707" s="2" t="s">
        <v>11509</v>
      </c>
      <c r="R1707" s="2" t="s">
        <v>11510</v>
      </c>
      <c r="S1707" s="2" t="s">
        <v>491</v>
      </c>
      <c r="T1707" s="2" t="s">
        <v>11511</v>
      </c>
      <c r="U1707" s="2" t="s">
        <v>41</v>
      </c>
      <c r="V1707" s="2" t="s">
        <v>59</v>
      </c>
      <c r="W1707" s="2">
        <v>39.6</v>
      </c>
      <c r="X1707" s="2">
        <v>10.1</v>
      </c>
      <c r="Y1707" s="2" t="s">
        <v>43</v>
      </c>
      <c r="Z1707" s="2" t="s">
        <v>11512</v>
      </c>
      <c r="AA1707" s="2">
        <v>3.8021096815744899E-2</v>
      </c>
      <c r="AB1707" s="2">
        <v>0.47443071769376199</v>
      </c>
      <c r="AC1707" s="2">
        <v>23308.643955364601</v>
      </c>
      <c r="AD1707" s="2">
        <v>40398.385018366796</v>
      </c>
      <c r="AE1707" s="2">
        <v>23849.416621574401</v>
      </c>
      <c r="AF1707" s="2">
        <v>20463.876714764199</v>
      </c>
      <c r="AG1707" s="2">
        <v>21055.419819410101</v>
      </c>
      <c r="AH1707" s="2">
        <v>27666.0139669932</v>
      </c>
      <c r="AI1707" s="2">
        <v>25981.4260785841</v>
      </c>
      <c r="AJ1707" s="2">
        <v>20835.710530861299</v>
      </c>
      <c r="AK1707" s="2">
        <v>32120.300227957301</v>
      </c>
      <c r="AL1707" s="2">
        <v>46402.052589777297</v>
      </c>
      <c r="AM1707" s="2">
        <v>37561.799150239603</v>
      </c>
      <c r="AN1707" s="2">
        <v>51727.849886152602</v>
      </c>
      <c r="AO1707" s="2">
        <v>36275.989046661904</v>
      </c>
      <c r="AP1707" s="2">
        <v>38302.319209412097</v>
      </c>
    </row>
    <row r="1708" spans="1:42" ht="14.5" x14ac:dyDescent="0.35">
      <c r="A1708" s="2" t="s">
        <v>11513</v>
      </c>
      <c r="B1708" s="2">
        <v>581.27163788180906</v>
      </c>
      <c r="C1708" s="2">
        <v>8.2870000000000008</v>
      </c>
      <c r="D1708" s="2" t="s">
        <v>34</v>
      </c>
      <c r="E1708" s="2" t="s">
        <v>11514</v>
      </c>
      <c r="F1708" s="2">
        <v>60684</v>
      </c>
      <c r="G1708" s="3" t="str">
        <f>HYPERLINK("http://funmeta.oebiotech.com/network/60684", "http://funmeta.oebiotech.com/network/60684")</f>
        <v>http://funmeta.oebiotech.com/network/60684</v>
      </c>
      <c r="H1708" s="2" t="s">
        <v>11515</v>
      </c>
      <c r="I1708" s="2"/>
      <c r="J1708" s="2"/>
      <c r="K1708" s="2"/>
      <c r="L1708" s="2"/>
      <c r="M1708" s="2"/>
      <c r="N1708" s="2"/>
      <c r="O1708" s="2">
        <v>131752130</v>
      </c>
      <c r="P1708" s="2" t="s">
        <v>11516</v>
      </c>
      <c r="Q1708" s="2" t="s">
        <v>11517</v>
      </c>
      <c r="R1708" s="2" t="s">
        <v>11518</v>
      </c>
      <c r="S1708" s="2" t="s">
        <v>50</v>
      </c>
      <c r="T1708" s="2" t="s">
        <v>201</v>
      </c>
      <c r="U1708" s="2" t="s">
        <v>636</v>
      </c>
      <c r="V1708" s="2" t="s">
        <v>42</v>
      </c>
      <c r="W1708" s="2">
        <v>52.3</v>
      </c>
      <c r="X1708" s="2">
        <v>69.7</v>
      </c>
      <c r="Y1708" s="2" t="s">
        <v>470</v>
      </c>
      <c r="Z1708" s="2" t="s">
        <v>11519</v>
      </c>
      <c r="AA1708" s="2">
        <v>-0.83420284863959404</v>
      </c>
      <c r="AB1708" s="2">
        <v>0.47440988332453499</v>
      </c>
      <c r="AC1708" s="2">
        <v>210164.83555146199</v>
      </c>
      <c r="AD1708" s="2">
        <v>238177.250572449</v>
      </c>
      <c r="AE1708" s="2">
        <v>189029.92099404201</v>
      </c>
      <c r="AF1708" s="2">
        <v>198330.41679601799</v>
      </c>
      <c r="AG1708" s="2">
        <v>257723.42379317401</v>
      </c>
      <c r="AH1708" s="2">
        <v>212245.88115793801</v>
      </c>
      <c r="AI1708" s="2">
        <v>201692.37906870799</v>
      </c>
      <c r="AJ1708" s="2">
        <v>201966.99149889001</v>
      </c>
      <c r="AK1708" s="2">
        <v>256804.93514755199</v>
      </c>
      <c r="AL1708" s="2">
        <v>276045.81172239</v>
      </c>
      <c r="AM1708" s="2">
        <v>216172.54329029701</v>
      </c>
      <c r="AN1708" s="2">
        <v>237277.245850248</v>
      </c>
      <c r="AO1708" s="2">
        <v>225206.55225251199</v>
      </c>
      <c r="AP1708" s="2">
        <v>217556.415171695</v>
      </c>
    </row>
    <row r="1709" spans="1:42" ht="14.5" x14ac:dyDescent="0.35">
      <c r="A1709" s="2" t="s">
        <v>11520</v>
      </c>
      <c r="B1709" s="2">
        <v>643.17175758069004</v>
      </c>
      <c r="C1709" s="2">
        <v>0.76995000000000002</v>
      </c>
      <c r="D1709" s="2" t="s">
        <v>70</v>
      </c>
      <c r="E1709" s="2" t="s">
        <v>11521</v>
      </c>
      <c r="F1709" s="2">
        <v>64204</v>
      </c>
      <c r="G1709" s="3" t="str">
        <f>HYPERLINK("http://funmeta.oebiotech.com/network/64204", "http://funmeta.oebiotech.com/network/64204")</f>
        <v>http://funmeta.oebiotech.com/network/64204</v>
      </c>
      <c r="H1709" s="2" t="s">
        <v>11522</v>
      </c>
      <c r="I1709" s="2"/>
      <c r="J1709" s="2"/>
      <c r="K1709" s="2">
        <v>169657</v>
      </c>
      <c r="L1709" s="2"/>
      <c r="M1709" s="2"/>
      <c r="N1709" s="2"/>
      <c r="O1709" s="2">
        <v>4479101</v>
      </c>
      <c r="P1709" s="2" t="s">
        <v>11523</v>
      </c>
      <c r="Q1709" s="2" t="s">
        <v>11524</v>
      </c>
      <c r="R1709" s="2" t="s">
        <v>11525</v>
      </c>
      <c r="S1709" s="2" t="s">
        <v>79</v>
      </c>
      <c r="T1709" s="2" t="s">
        <v>80</v>
      </c>
      <c r="U1709" s="2" t="s">
        <v>81</v>
      </c>
      <c r="V1709" s="2" t="s">
        <v>42</v>
      </c>
      <c r="W1709" s="2">
        <v>52.9</v>
      </c>
      <c r="X1709" s="2">
        <v>74.5</v>
      </c>
      <c r="Y1709" s="2" t="s">
        <v>560</v>
      </c>
      <c r="Z1709" s="2" t="s">
        <v>11526</v>
      </c>
      <c r="AA1709" s="2">
        <v>-1.4895418045283599</v>
      </c>
      <c r="AB1709" s="2">
        <v>0.474403563682533</v>
      </c>
      <c r="AC1709" s="2">
        <v>201322.79930156801</v>
      </c>
      <c r="AD1709" s="2">
        <v>174902.03984738101</v>
      </c>
      <c r="AE1709" s="2">
        <v>200930.69837823001</v>
      </c>
      <c r="AF1709" s="2">
        <v>194265.038995196</v>
      </c>
      <c r="AG1709" s="2">
        <v>195021.485134424</v>
      </c>
      <c r="AH1709" s="2">
        <v>188306.31509606299</v>
      </c>
      <c r="AI1709" s="2">
        <v>210106.78592931299</v>
      </c>
      <c r="AJ1709" s="2">
        <v>219306.472276182</v>
      </c>
      <c r="AK1709" s="2">
        <v>145794.867066543</v>
      </c>
      <c r="AL1709" s="2">
        <v>199881.53650989299</v>
      </c>
      <c r="AM1709" s="2">
        <v>158482.444026957</v>
      </c>
      <c r="AN1709" s="2">
        <v>147934.64051914</v>
      </c>
      <c r="AO1709" s="2">
        <v>184462.03386875501</v>
      </c>
      <c r="AP1709" s="2">
        <v>212856.717092996</v>
      </c>
    </row>
    <row r="1710" spans="1:42" ht="14.5" x14ac:dyDescent="0.35">
      <c r="A1710" s="2" t="s">
        <v>11527</v>
      </c>
      <c r="B1710" s="2">
        <v>591.31622461802101</v>
      </c>
      <c r="C1710" s="2">
        <v>6.95231666666667</v>
      </c>
      <c r="D1710" s="2" t="s">
        <v>70</v>
      </c>
      <c r="E1710" s="2" t="s">
        <v>11528</v>
      </c>
      <c r="F1710" s="2">
        <v>43775</v>
      </c>
      <c r="G1710" s="3" t="str">
        <f>HYPERLINK("http://funmeta.oebiotech.com/network/43775", "http://funmeta.oebiotech.com/network/43775")</f>
        <v>http://funmeta.oebiotech.com/network/43775</v>
      </c>
      <c r="H1710" s="2"/>
      <c r="I1710" s="2"/>
      <c r="J1710" s="2" t="s">
        <v>11529</v>
      </c>
      <c r="K1710" s="2"/>
      <c r="L1710" s="2"/>
      <c r="M1710" s="2"/>
      <c r="N1710" s="2"/>
      <c r="O1710" s="2"/>
      <c r="P1710" s="2"/>
      <c r="Q1710" s="2" t="s">
        <v>11530</v>
      </c>
      <c r="R1710" s="2" t="s">
        <v>11531</v>
      </c>
      <c r="S1710" s="2" t="s">
        <v>50</v>
      </c>
      <c r="T1710" s="2" t="s">
        <v>124</v>
      </c>
      <c r="U1710" s="2" t="s">
        <v>567</v>
      </c>
      <c r="V1710" s="2" t="s">
        <v>59</v>
      </c>
      <c r="W1710" s="2">
        <v>39.1</v>
      </c>
      <c r="X1710" s="2">
        <v>3.17</v>
      </c>
      <c r="Y1710" s="2" t="s">
        <v>408</v>
      </c>
      <c r="Z1710" s="2" t="s">
        <v>524</v>
      </c>
      <c r="AA1710" s="2">
        <v>-2.28196908078966</v>
      </c>
      <c r="AB1710" s="2">
        <v>0.47419866185850001</v>
      </c>
      <c r="AC1710" s="2">
        <v>39252.372491870803</v>
      </c>
      <c r="AD1710" s="2">
        <v>54664.734564232298</v>
      </c>
      <c r="AE1710" s="2">
        <v>37298.088532072397</v>
      </c>
      <c r="AF1710" s="2">
        <v>39559.552203942003</v>
      </c>
      <c r="AG1710" s="2">
        <v>43014.708729594102</v>
      </c>
      <c r="AH1710" s="2">
        <v>35955.096283187297</v>
      </c>
      <c r="AI1710" s="2">
        <v>40527.492141129398</v>
      </c>
      <c r="AJ1710" s="2">
        <v>39159.297061299301</v>
      </c>
      <c r="AK1710" s="2">
        <v>52649.148133695897</v>
      </c>
      <c r="AL1710" s="2">
        <v>55378.268309281702</v>
      </c>
      <c r="AM1710" s="2">
        <v>53743.132717757297</v>
      </c>
      <c r="AN1710" s="2">
        <v>58188.328655561701</v>
      </c>
      <c r="AO1710" s="2">
        <v>57017.310271789102</v>
      </c>
      <c r="AP1710" s="2">
        <v>51012.219297308002</v>
      </c>
    </row>
    <row r="1711" spans="1:42" ht="14.5" x14ac:dyDescent="0.35">
      <c r="A1711" s="2" t="s">
        <v>11532</v>
      </c>
      <c r="B1711" s="2">
        <v>598.33853613842996</v>
      </c>
      <c r="C1711" s="2">
        <v>7.7996333333333299</v>
      </c>
      <c r="D1711" s="2" t="s">
        <v>70</v>
      </c>
      <c r="E1711" s="2" t="s">
        <v>11533</v>
      </c>
      <c r="F1711" s="2">
        <v>22442</v>
      </c>
      <c r="G1711" s="3" t="str">
        <f>HYPERLINK("http://funmeta.oebiotech.com/network/22442", "http://funmeta.oebiotech.com/network/22442")</f>
        <v>http://funmeta.oebiotech.com/network/22442</v>
      </c>
      <c r="H1711" s="2"/>
      <c r="I1711" s="2">
        <v>78839</v>
      </c>
      <c r="J1711" s="2" t="s">
        <v>11534</v>
      </c>
      <c r="K1711" s="2"/>
      <c r="L1711" s="2"/>
      <c r="M1711" s="2"/>
      <c r="N1711" s="2"/>
      <c r="O1711" s="2">
        <v>52926280</v>
      </c>
      <c r="P1711" s="2"/>
      <c r="Q1711" s="2" t="s">
        <v>11535</v>
      </c>
      <c r="R1711" s="2" t="s">
        <v>11536</v>
      </c>
      <c r="S1711" s="2" t="s">
        <v>50</v>
      </c>
      <c r="T1711" s="2" t="s">
        <v>51</v>
      </c>
      <c r="U1711" s="2" t="s">
        <v>66</v>
      </c>
      <c r="V1711" s="2" t="s">
        <v>59</v>
      </c>
      <c r="W1711" s="2">
        <v>38.6</v>
      </c>
      <c r="X1711" s="2">
        <v>3.61</v>
      </c>
      <c r="Y1711" s="2" t="s">
        <v>408</v>
      </c>
      <c r="Z1711" s="2" t="s">
        <v>11537</v>
      </c>
      <c r="AA1711" s="2">
        <v>4.2729580894950203</v>
      </c>
      <c r="AB1711" s="2">
        <v>0.47378783772215199</v>
      </c>
      <c r="AC1711" s="2">
        <v>14470.036507807001</v>
      </c>
      <c r="AD1711" s="2">
        <v>29299.239954183598</v>
      </c>
      <c r="AE1711" s="2">
        <v>14907.4945398325</v>
      </c>
      <c r="AF1711" s="2">
        <v>13244.028671964999</v>
      </c>
      <c r="AG1711" s="2">
        <v>13675.967839933501</v>
      </c>
      <c r="AH1711" s="2">
        <v>15966.286671132801</v>
      </c>
      <c r="AI1711" s="2">
        <v>14227.7377970743</v>
      </c>
      <c r="AJ1711" s="2">
        <v>14798.703526903901</v>
      </c>
      <c r="AK1711" s="2">
        <v>30294.970041012799</v>
      </c>
      <c r="AL1711" s="2">
        <v>29978.776058426</v>
      </c>
      <c r="AM1711" s="2">
        <v>29299.0719020488</v>
      </c>
      <c r="AN1711" s="2">
        <v>29898.833004919299</v>
      </c>
      <c r="AO1711" s="2">
        <v>28227.9849691298</v>
      </c>
      <c r="AP1711" s="2">
        <v>28095.803749565101</v>
      </c>
    </row>
    <row r="1712" spans="1:42" ht="14.5" x14ac:dyDescent="0.35">
      <c r="A1712" s="2" t="s">
        <v>11538</v>
      </c>
      <c r="B1712" s="2">
        <v>305.24486033838599</v>
      </c>
      <c r="C1712" s="2">
        <v>11.328566666666701</v>
      </c>
      <c r="D1712" s="2" t="s">
        <v>34</v>
      </c>
      <c r="E1712" s="2" t="s">
        <v>11539</v>
      </c>
      <c r="F1712" s="2">
        <v>512</v>
      </c>
      <c r="G1712" s="3" t="str">
        <f>HYPERLINK("http://funmeta.oebiotech.com/network/512", "http://funmeta.oebiotech.com/network/512")</f>
        <v>http://funmeta.oebiotech.com/network/512</v>
      </c>
      <c r="H1712" s="2" t="s">
        <v>11540</v>
      </c>
      <c r="I1712" s="2">
        <v>190</v>
      </c>
      <c r="J1712" s="2" t="s">
        <v>11541</v>
      </c>
      <c r="K1712" s="2">
        <v>16196</v>
      </c>
      <c r="L1712" s="2" t="s">
        <v>11542</v>
      </c>
      <c r="M1712" s="2" t="s">
        <v>11543</v>
      </c>
      <c r="N1712" s="2" t="s">
        <v>11544</v>
      </c>
      <c r="O1712" s="2">
        <v>445639</v>
      </c>
      <c r="P1712" s="2" t="s">
        <v>11545</v>
      </c>
      <c r="Q1712" s="2" t="s">
        <v>11546</v>
      </c>
      <c r="R1712" s="2" t="s">
        <v>11547</v>
      </c>
      <c r="S1712" s="2" t="s">
        <v>50</v>
      </c>
      <c r="T1712" s="2" t="s">
        <v>229</v>
      </c>
      <c r="U1712" s="2" t="s">
        <v>433</v>
      </c>
      <c r="V1712" s="2" t="s">
        <v>59</v>
      </c>
      <c r="W1712" s="2">
        <v>46</v>
      </c>
      <c r="X1712" s="2">
        <v>36.200000000000003</v>
      </c>
      <c r="Y1712" s="2" t="s">
        <v>67</v>
      </c>
      <c r="Z1712" s="2" t="s">
        <v>11548</v>
      </c>
      <c r="AA1712" s="2">
        <v>-0.85266997289211199</v>
      </c>
      <c r="AB1712" s="2">
        <v>0.47345732340906899</v>
      </c>
      <c r="AC1712" s="2">
        <v>338712.65906162199</v>
      </c>
      <c r="AD1712" s="2">
        <v>360099.58253879601</v>
      </c>
      <c r="AE1712" s="2">
        <v>332754.28956043097</v>
      </c>
      <c r="AF1712" s="2">
        <v>346169.73407798097</v>
      </c>
      <c r="AG1712" s="2">
        <v>358668.18123382202</v>
      </c>
      <c r="AH1712" s="2">
        <v>342143.21502606099</v>
      </c>
      <c r="AI1712" s="2">
        <v>339692.99068528402</v>
      </c>
      <c r="AJ1712" s="2">
        <v>312847.54378615197</v>
      </c>
      <c r="AK1712" s="2">
        <v>359040.08244363999</v>
      </c>
      <c r="AL1712" s="2">
        <v>368433.01387219602</v>
      </c>
      <c r="AM1712" s="2">
        <v>352855.08906493901</v>
      </c>
      <c r="AN1712" s="2">
        <v>361285.08492207801</v>
      </c>
      <c r="AO1712" s="2">
        <v>369652.77563202498</v>
      </c>
      <c r="AP1712" s="2">
        <v>349331.44929790101</v>
      </c>
    </row>
    <row r="1713" spans="1:42" ht="14.5" x14ac:dyDescent="0.35">
      <c r="A1713" s="2" t="s">
        <v>11549</v>
      </c>
      <c r="B1713" s="2">
        <v>328.32077107085701</v>
      </c>
      <c r="C1713" s="2">
        <v>11.3656166666667</v>
      </c>
      <c r="D1713" s="2" t="s">
        <v>34</v>
      </c>
      <c r="E1713" s="2" t="s">
        <v>11550</v>
      </c>
      <c r="F1713" s="2">
        <v>595</v>
      </c>
      <c r="G1713" s="3" t="str">
        <f>HYPERLINK("http://funmeta.oebiotech.com/network/595", "http://funmeta.oebiotech.com/network/595")</f>
        <v>http://funmeta.oebiotech.com/network/595</v>
      </c>
      <c r="H1713" s="2"/>
      <c r="I1713" s="2">
        <v>34768</v>
      </c>
      <c r="J1713" s="2" t="s">
        <v>11551</v>
      </c>
      <c r="K1713" s="2"/>
      <c r="L1713" s="2"/>
      <c r="M1713" s="2"/>
      <c r="N1713" s="2"/>
      <c r="O1713" s="2">
        <v>5282770</v>
      </c>
      <c r="P1713" s="2"/>
      <c r="Q1713" s="2" t="s">
        <v>11552</v>
      </c>
      <c r="R1713" s="2" t="s">
        <v>11553</v>
      </c>
      <c r="S1713" s="2" t="s">
        <v>50</v>
      </c>
      <c r="T1713" s="2" t="s">
        <v>229</v>
      </c>
      <c r="U1713" s="2" t="s">
        <v>433</v>
      </c>
      <c r="V1713" s="2" t="s">
        <v>59</v>
      </c>
      <c r="W1713" s="2">
        <v>39.299999999999997</v>
      </c>
      <c r="X1713" s="2">
        <v>0</v>
      </c>
      <c r="Y1713" s="2" t="s">
        <v>43</v>
      </c>
      <c r="Z1713" s="2" t="s">
        <v>11554</v>
      </c>
      <c r="AA1713" s="2">
        <v>-0.75709516069414795</v>
      </c>
      <c r="AB1713" s="2">
        <v>0.47316492129716797</v>
      </c>
      <c r="AC1713" s="2">
        <v>42551.480465622401</v>
      </c>
      <c r="AD1713" s="2">
        <v>26420.4662971127</v>
      </c>
      <c r="AE1713" s="2">
        <v>40787.083951296401</v>
      </c>
      <c r="AF1713" s="2">
        <v>41259.3654331711</v>
      </c>
      <c r="AG1713" s="2">
        <v>45703.240738885201</v>
      </c>
      <c r="AH1713" s="2">
        <v>46420.689777945801</v>
      </c>
      <c r="AI1713" s="2">
        <v>41964.4167507741</v>
      </c>
      <c r="AJ1713" s="2">
        <v>39174.086141661799</v>
      </c>
      <c r="AK1713" s="2">
        <v>31492.026926500199</v>
      </c>
      <c r="AL1713" s="2">
        <v>33034.992791308898</v>
      </c>
      <c r="AM1713" s="2">
        <v>23889.526526392001</v>
      </c>
      <c r="AN1713" s="2">
        <v>26491.000976387098</v>
      </c>
      <c r="AO1713" s="2">
        <v>23603.866065344399</v>
      </c>
      <c r="AP1713" s="2">
        <v>20011.384496743602</v>
      </c>
    </row>
    <row r="1714" spans="1:42" ht="14.5" x14ac:dyDescent="0.35">
      <c r="A1714" s="2" t="s">
        <v>11555</v>
      </c>
      <c r="B1714" s="2">
        <v>803.25610323082901</v>
      </c>
      <c r="C1714" s="2">
        <v>5.5993333333333304</v>
      </c>
      <c r="D1714" s="2" t="s">
        <v>70</v>
      </c>
      <c r="E1714" s="2" t="s">
        <v>11556</v>
      </c>
      <c r="F1714" s="2">
        <v>266581</v>
      </c>
      <c r="G1714" s="3" t="str">
        <f>HYPERLINK("http://funmeta.oebiotech.com/network/266581", "http://funmeta.oebiotech.com/network/266581")</f>
        <v>http://funmeta.oebiotech.com/network/266581</v>
      </c>
      <c r="H1714" s="2"/>
      <c r="I1714" s="2">
        <v>43622</v>
      </c>
      <c r="J1714" s="2"/>
      <c r="K1714" s="2"/>
      <c r="L1714" s="2"/>
      <c r="M1714" s="2"/>
      <c r="N1714" s="2"/>
      <c r="O1714" s="2">
        <v>4303569</v>
      </c>
      <c r="P1714" s="2"/>
      <c r="Q1714" s="2" t="s">
        <v>11557</v>
      </c>
      <c r="R1714" s="2" t="s">
        <v>11558</v>
      </c>
      <c r="S1714" s="2" t="s">
        <v>115</v>
      </c>
      <c r="T1714" s="2" t="s">
        <v>1371</v>
      </c>
      <c r="U1714" s="2" t="s">
        <v>6597</v>
      </c>
      <c r="V1714" s="2" t="s">
        <v>59</v>
      </c>
      <c r="W1714" s="2">
        <v>39</v>
      </c>
      <c r="X1714" s="2">
        <v>0</v>
      </c>
      <c r="Y1714" s="2" t="s">
        <v>560</v>
      </c>
      <c r="Z1714" s="2" t="s">
        <v>10243</v>
      </c>
      <c r="AA1714" s="2">
        <v>0.55247950512423405</v>
      </c>
      <c r="AB1714" s="2">
        <v>0.473048217496293</v>
      </c>
      <c r="AC1714" s="2">
        <v>19371.443647388802</v>
      </c>
      <c r="AD1714" s="2">
        <v>4358.1172234202504</v>
      </c>
      <c r="AE1714" s="2">
        <v>19667.659364840802</v>
      </c>
      <c r="AF1714" s="2">
        <v>20538.0056114896</v>
      </c>
      <c r="AG1714" s="2">
        <v>16459.6942876463</v>
      </c>
      <c r="AH1714" s="2">
        <v>19904.2737608358</v>
      </c>
      <c r="AI1714" s="2">
        <v>17384.156175424901</v>
      </c>
      <c r="AJ1714" s="2">
        <v>22274.872684095601</v>
      </c>
      <c r="AK1714" s="2">
        <v>4534.5852091248498</v>
      </c>
      <c r="AL1714" s="2">
        <v>5681.6611737804096</v>
      </c>
      <c r="AM1714" s="2">
        <v>5565.5726138173204</v>
      </c>
      <c r="AN1714" s="2">
        <v>5120.7488969427995</v>
      </c>
      <c r="AO1714" s="2">
        <v>2572.1418451043</v>
      </c>
      <c r="AP1714" s="2">
        <v>2673.9936017518198</v>
      </c>
    </row>
    <row r="1715" spans="1:42" ht="14.5" x14ac:dyDescent="0.35">
      <c r="A1715" s="2" t="s">
        <v>11559</v>
      </c>
      <c r="B1715" s="2">
        <v>757.33690824095004</v>
      </c>
      <c r="C1715" s="2">
        <v>9.9588999999999999</v>
      </c>
      <c r="D1715" s="2" t="s">
        <v>34</v>
      </c>
      <c r="E1715" s="2" t="s">
        <v>11560</v>
      </c>
      <c r="F1715" s="2">
        <v>205064</v>
      </c>
      <c r="G1715" s="3" t="str">
        <f>HYPERLINK("http://funmeta.oebiotech.com/network/205064", "http://funmeta.oebiotech.com/network/205064")</f>
        <v>http://funmeta.oebiotech.com/network/205064</v>
      </c>
      <c r="H1715" s="2" t="s">
        <v>11561</v>
      </c>
      <c r="I1715" s="2"/>
      <c r="J1715" s="2"/>
      <c r="K1715" s="2"/>
      <c r="L1715" s="2"/>
      <c r="M1715" s="2"/>
      <c r="N1715" s="2"/>
      <c r="O1715" s="2">
        <v>72795424</v>
      </c>
      <c r="P1715" s="2"/>
      <c r="Q1715" s="2" t="s">
        <v>11562</v>
      </c>
      <c r="R1715" s="2" t="s">
        <v>11563</v>
      </c>
      <c r="S1715" s="2" t="s">
        <v>89</v>
      </c>
      <c r="T1715" s="2" t="s">
        <v>90</v>
      </c>
      <c r="U1715" s="2" t="s">
        <v>99</v>
      </c>
      <c r="V1715" s="2" t="s">
        <v>59</v>
      </c>
      <c r="W1715" s="2">
        <v>36.700000000000003</v>
      </c>
      <c r="X1715" s="2">
        <v>0</v>
      </c>
      <c r="Y1715" s="2" t="s">
        <v>141</v>
      </c>
      <c r="Z1715" s="2" t="s">
        <v>11564</v>
      </c>
      <c r="AA1715" s="2">
        <v>-1.14561638142919</v>
      </c>
      <c r="AB1715" s="2">
        <v>0.47298720551711598</v>
      </c>
      <c r="AC1715" s="2">
        <v>31677.285693837101</v>
      </c>
      <c r="AD1715" s="2">
        <v>16884.357891847802</v>
      </c>
      <c r="AE1715" s="2">
        <v>32070.113711615701</v>
      </c>
      <c r="AF1715" s="2">
        <v>33492.939892332397</v>
      </c>
      <c r="AG1715" s="2">
        <v>32329.3434437549</v>
      </c>
      <c r="AH1715" s="2">
        <v>30654.882507021099</v>
      </c>
      <c r="AI1715" s="2">
        <v>29992.008478789601</v>
      </c>
      <c r="AJ1715" s="2">
        <v>31524.4261295092</v>
      </c>
      <c r="AK1715" s="2">
        <v>15545.910947394301</v>
      </c>
      <c r="AL1715" s="2">
        <v>16035.4314251793</v>
      </c>
      <c r="AM1715" s="2">
        <v>17020.0610559138</v>
      </c>
      <c r="AN1715" s="2">
        <v>16938.1006273237</v>
      </c>
      <c r="AO1715" s="2">
        <v>17820.787384077099</v>
      </c>
      <c r="AP1715" s="2">
        <v>17945.8559111988</v>
      </c>
    </row>
    <row r="1716" spans="1:42" ht="14.5" x14ac:dyDescent="0.35">
      <c r="A1716" s="2" t="s">
        <v>11565</v>
      </c>
      <c r="B1716" s="2">
        <v>507.22317511277799</v>
      </c>
      <c r="C1716" s="2">
        <v>5.3016333333333296</v>
      </c>
      <c r="D1716" s="2" t="s">
        <v>70</v>
      </c>
      <c r="E1716" s="2" t="s">
        <v>11566</v>
      </c>
      <c r="F1716" s="2">
        <v>45003</v>
      </c>
      <c r="G1716" s="3" t="str">
        <f>HYPERLINK("http://funmeta.oebiotech.com/network/45003", "http://funmeta.oebiotech.com/network/45003")</f>
        <v>http://funmeta.oebiotech.com/network/45003</v>
      </c>
      <c r="H1716" s="2"/>
      <c r="I1716" s="2">
        <v>41880</v>
      </c>
      <c r="J1716" s="2" t="s">
        <v>11567</v>
      </c>
      <c r="K1716" s="2">
        <v>31677</v>
      </c>
      <c r="L1716" s="2" t="s">
        <v>11568</v>
      </c>
      <c r="M1716" s="2"/>
      <c r="N1716" s="2"/>
      <c r="O1716" s="2">
        <v>16623</v>
      </c>
      <c r="P1716" s="2" t="s">
        <v>11569</v>
      </c>
      <c r="Q1716" s="2" t="s">
        <v>11570</v>
      </c>
      <c r="R1716" s="2" t="s">
        <v>11571</v>
      </c>
      <c r="S1716" s="2" t="s">
        <v>50</v>
      </c>
      <c r="T1716" s="2" t="s">
        <v>124</v>
      </c>
      <c r="U1716" s="2" t="s">
        <v>929</v>
      </c>
      <c r="V1716" s="2" t="s">
        <v>59</v>
      </c>
      <c r="W1716" s="2">
        <v>43.6</v>
      </c>
      <c r="X1716" s="2">
        <v>28.3</v>
      </c>
      <c r="Y1716" s="2" t="s">
        <v>408</v>
      </c>
      <c r="Z1716" s="2" t="s">
        <v>11572</v>
      </c>
      <c r="AA1716" s="2">
        <v>-0.85630108144446904</v>
      </c>
      <c r="AB1716" s="2">
        <v>0.47283761807924601</v>
      </c>
      <c r="AC1716" s="2">
        <v>37489.1155214463</v>
      </c>
      <c r="AD1716" s="2">
        <v>21945.943801271598</v>
      </c>
      <c r="AE1716" s="2">
        <v>37052.4964262094</v>
      </c>
      <c r="AF1716" s="2">
        <v>31505.5530387939</v>
      </c>
      <c r="AG1716" s="2">
        <v>40762.9476749655</v>
      </c>
      <c r="AH1716" s="2">
        <v>36669.404160001097</v>
      </c>
      <c r="AI1716" s="2">
        <v>38890.497698536798</v>
      </c>
      <c r="AJ1716" s="2">
        <v>40053.7941301713</v>
      </c>
      <c r="AK1716" s="2">
        <v>18867.368099738102</v>
      </c>
      <c r="AL1716" s="2">
        <v>20724.506191254401</v>
      </c>
      <c r="AM1716" s="2">
        <v>23942.186768138399</v>
      </c>
      <c r="AN1716" s="2">
        <v>23930.715946162501</v>
      </c>
      <c r="AO1716" s="2">
        <v>19967.6031457832</v>
      </c>
      <c r="AP1716" s="2">
        <v>24243.2826565531</v>
      </c>
    </row>
    <row r="1717" spans="1:42" ht="14.5" x14ac:dyDescent="0.35">
      <c r="A1717" s="2" t="s">
        <v>11573</v>
      </c>
      <c r="B1717" s="2">
        <v>383.25776587178001</v>
      </c>
      <c r="C1717" s="2">
        <v>11.102133333333301</v>
      </c>
      <c r="D1717" s="2" t="s">
        <v>34</v>
      </c>
      <c r="E1717" s="2" t="s">
        <v>11574</v>
      </c>
      <c r="F1717" s="2">
        <v>58879</v>
      </c>
      <c r="G1717" s="3" t="str">
        <f>HYPERLINK("http://funmeta.oebiotech.com/network/58879", "http://funmeta.oebiotech.com/network/58879")</f>
        <v>http://funmeta.oebiotech.com/network/58879</v>
      </c>
      <c r="H1717" s="2" t="s">
        <v>11575</v>
      </c>
      <c r="I1717" s="2">
        <v>90326</v>
      </c>
      <c r="J1717" s="2"/>
      <c r="K1717" s="2">
        <v>171885</v>
      </c>
      <c r="L1717" s="2"/>
      <c r="M1717" s="2"/>
      <c r="N1717" s="2"/>
      <c r="O1717" s="2">
        <v>131751642</v>
      </c>
      <c r="P1717" s="2"/>
      <c r="Q1717" s="2" t="s">
        <v>11576</v>
      </c>
      <c r="R1717" s="2" t="s">
        <v>11577</v>
      </c>
      <c r="S1717" s="2" t="s">
        <v>50</v>
      </c>
      <c r="T1717" s="2" t="s">
        <v>201</v>
      </c>
      <c r="U1717" s="2" t="s">
        <v>241</v>
      </c>
      <c r="V1717" s="2" t="s">
        <v>59</v>
      </c>
      <c r="W1717" s="2">
        <v>43.1</v>
      </c>
      <c r="X1717" s="2">
        <v>20.3</v>
      </c>
      <c r="Y1717" s="2" t="s">
        <v>394</v>
      </c>
      <c r="Z1717" s="2" t="s">
        <v>11578</v>
      </c>
      <c r="AA1717" s="2">
        <v>-0.79923778995930606</v>
      </c>
      <c r="AB1717" s="2">
        <v>0.47240405607908498</v>
      </c>
      <c r="AC1717" s="2">
        <v>30704.675639317698</v>
      </c>
      <c r="AD1717" s="2">
        <v>45420.188898921297</v>
      </c>
      <c r="AE1717" s="2">
        <v>30667.049909957201</v>
      </c>
      <c r="AF1717" s="2">
        <v>30226.5834542878</v>
      </c>
      <c r="AG1717" s="2">
        <v>31167.514811098001</v>
      </c>
      <c r="AH1717" s="2">
        <v>31723.526758360898</v>
      </c>
      <c r="AI1717" s="2">
        <v>30274.4157560483</v>
      </c>
      <c r="AJ1717" s="2">
        <v>30168.963146154099</v>
      </c>
      <c r="AK1717" s="2">
        <v>44777.058817851801</v>
      </c>
      <c r="AL1717" s="2">
        <v>44431.267100598699</v>
      </c>
      <c r="AM1717" s="2">
        <v>47181.486489242001</v>
      </c>
      <c r="AN1717" s="2">
        <v>45062.302585441903</v>
      </c>
      <c r="AO1717" s="2">
        <v>45838.636774258601</v>
      </c>
      <c r="AP1717" s="2">
        <v>45230.381626134702</v>
      </c>
    </row>
    <row r="1718" spans="1:42" ht="14.5" x14ac:dyDescent="0.35">
      <c r="A1718" s="2" t="s">
        <v>11579</v>
      </c>
      <c r="B1718" s="2">
        <v>656.30554703554105</v>
      </c>
      <c r="C1718" s="2">
        <v>6.0246333333333304</v>
      </c>
      <c r="D1718" s="2" t="s">
        <v>34</v>
      </c>
      <c r="E1718" s="2" t="s">
        <v>11580</v>
      </c>
      <c r="F1718" s="2">
        <v>28288</v>
      </c>
      <c r="G1718" s="3" t="str">
        <f>HYPERLINK("http://funmeta.oebiotech.com/network/28288", "http://funmeta.oebiotech.com/network/28288")</f>
        <v>http://funmeta.oebiotech.com/network/28288</v>
      </c>
      <c r="H1718" s="2"/>
      <c r="I1718" s="2"/>
      <c r="J1718" s="2" t="s">
        <v>11581</v>
      </c>
      <c r="K1718" s="2"/>
      <c r="L1718" s="2" t="s">
        <v>11582</v>
      </c>
      <c r="M1718" s="2" t="s">
        <v>1390</v>
      </c>
      <c r="N1718" s="2" t="s">
        <v>1391</v>
      </c>
      <c r="O1718" s="2">
        <v>11954005</v>
      </c>
      <c r="P1718" s="2"/>
      <c r="Q1718" s="2" t="s">
        <v>11583</v>
      </c>
      <c r="R1718" s="2" t="s">
        <v>11584</v>
      </c>
      <c r="S1718" s="2" t="s">
        <v>115</v>
      </c>
      <c r="T1718" s="2" t="s">
        <v>6130</v>
      </c>
      <c r="U1718" s="2" t="s">
        <v>41</v>
      </c>
      <c r="V1718" s="2" t="s">
        <v>59</v>
      </c>
      <c r="W1718" s="2">
        <v>38</v>
      </c>
      <c r="X1718" s="2">
        <v>3.13</v>
      </c>
      <c r="Y1718" s="2" t="s">
        <v>394</v>
      </c>
      <c r="Z1718" s="2" t="s">
        <v>11585</v>
      </c>
      <c r="AA1718" s="2">
        <v>-1.5117666505551399</v>
      </c>
      <c r="AB1718" s="2">
        <v>0.47147549985964399</v>
      </c>
      <c r="AC1718" s="2">
        <v>82567.130353131099</v>
      </c>
      <c r="AD1718" s="2">
        <v>97956.4290618128</v>
      </c>
      <c r="AE1718" s="2">
        <v>81878.385009641599</v>
      </c>
      <c r="AF1718" s="2">
        <v>85494.442473101997</v>
      </c>
      <c r="AG1718" s="2">
        <v>80790.0576279753</v>
      </c>
      <c r="AH1718" s="2">
        <v>77293.713512061295</v>
      </c>
      <c r="AI1718" s="2">
        <v>83915.635263387099</v>
      </c>
      <c r="AJ1718" s="2">
        <v>86030.548232619301</v>
      </c>
      <c r="AK1718" s="2">
        <v>95063.732838801094</v>
      </c>
      <c r="AL1718" s="2">
        <v>96275.754082657906</v>
      </c>
      <c r="AM1718" s="2">
        <v>96484.028258668404</v>
      </c>
      <c r="AN1718" s="2">
        <v>99605.949252096194</v>
      </c>
      <c r="AO1718" s="2">
        <v>98840.287132503407</v>
      </c>
      <c r="AP1718" s="2">
        <v>101468.82280615</v>
      </c>
    </row>
    <row r="1719" spans="1:42" ht="14.5" x14ac:dyDescent="0.35">
      <c r="A1719" s="2" t="s">
        <v>11586</v>
      </c>
      <c r="B1719" s="2">
        <v>565.22101395856498</v>
      </c>
      <c r="C1719" s="2">
        <v>5.5993333333333304</v>
      </c>
      <c r="D1719" s="2" t="s">
        <v>70</v>
      </c>
      <c r="E1719" s="2" t="s">
        <v>11587</v>
      </c>
      <c r="F1719" s="2">
        <v>54973</v>
      </c>
      <c r="G1719" s="3" t="str">
        <f>HYPERLINK("http://funmeta.oebiotech.com/network/54973", "http://funmeta.oebiotech.com/network/54973")</f>
        <v>http://funmeta.oebiotech.com/network/54973</v>
      </c>
      <c r="H1719" s="2" t="s">
        <v>11588</v>
      </c>
      <c r="I1719" s="2">
        <v>86752</v>
      </c>
      <c r="J1719" s="2"/>
      <c r="K1719" s="2"/>
      <c r="L1719" s="2"/>
      <c r="M1719" s="2"/>
      <c r="N1719" s="2"/>
      <c r="O1719" s="2">
        <v>53463094</v>
      </c>
      <c r="P1719" s="2" t="s">
        <v>11589</v>
      </c>
      <c r="Q1719" s="2" t="s">
        <v>11590</v>
      </c>
      <c r="R1719" s="2" t="s">
        <v>11591</v>
      </c>
      <c r="S1719" s="2" t="s">
        <v>50</v>
      </c>
      <c r="T1719" s="2" t="s">
        <v>124</v>
      </c>
      <c r="U1719" s="2" t="s">
        <v>567</v>
      </c>
      <c r="V1719" s="2" t="s">
        <v>59</v>
      </c>
      <c r="W1719" s="2">
        <v>39.5</v>
      </c>
      <c r="X1719" s="2">
        <v>10.8</v>
      </c>
      <c r="Y1719" s="2" t="s">
        <v>408</v>
      </c>
      <c r="Z1719" s="2" t="s">
        <v>11592</v>
      </c>
      <c r="AA1719" s="2">
        <v>5.7408202310601897E-2</v>
      </c>
      <c r="AB1719" s="2">
        <v>0.471401383019248</v>
      </c>
      <c r="AC1719" s="2">
        <v>132090.85703745999</v>
      </c>
      <c r="AD1719" s="2">
        <v>151030.00228887101</v>
      </c>
      <c r="AE1719" s="2">
        <v>135992.453461044</v>
      </c>
      <c r="AF1719" s="2">
        <v>126733.674847809</v>
      </c>
      <c r="AG1719" s="2">
        <v>126262.686523091</v>
      </c>
      <c r="AH1719" s="2">
        <v>127417.729963487</v>
      </c>
      <c r="AI1719" s="2">
        <v>131483.509898855</v>
      </c>
      <c r="AJ1719" s="2">
        <v>144655.087530477</v>
      </c>
      <c r="AK1719" s="2">
        <v>159015.005230346</v>
      </c>
      <c r="AL1719" s="2">
        <v>147289.805178849</v>
      </c>
      <c r="AM1719" s="2">
        <v>163218.21604520699</v>
      </c>
      <c r="AN1719" s="2">
        <v>154988.93752978501</v>
      </c>
      <c r="AO1719" s="2">
        <v>145658.576282027</v>
      </c>
      <c r="AP1719" s="2">
        <v>136009.47346700999</v>
      </c>
    </row>
    <row r="1720" spans="1:42" ht="14.5" x14ac:dyDescent="0.35">
      <c r="A1720" s="2" t="s">
        <v>11593</v>
      </c>
      <c r="B1720" s="2">
        <v>676.38816627310496</v>
      </c>
      <c r="C1720" s="2">
        <v>8.3800833333333298</v>
      </c>
      <c r="D1720" s="2" t="s">
        <v>34</v>
      </c>
      <c r="E1720" s="2" t="s">
        <v>11594</v>
      </c>
      <c r="F1720" s="2">
        <v>38972</v>
      </c>
      <c r="G1720" s="3" t="str">
        <f>HYPERLINK("http://funmeta.oebiotech.com/network/38972", "http://funmeta.oebiotech.com/network/38972")</f>
        <v>http://funmeta.oebiotech.com/network/38972</v>
      </c>
      <c r="H1720" s="2"/>
      <c r="I1720" s="2">
        <v>53930</v>
      </c>
      <c r="J1720" s="2" t="s">
        <v>11595</v>
      </c>
      <c r="K1720" s="2"/>
      <c r="L1720" s="2"/>
      <c r="M1720" s="2"/>
      <c r="N1720" s="2"/>
      <c r="O1720" s="2">
        <v>42608364</v>
      </c>
      <c r="P1720" s="2"/>
      <c r="Q1720" s="2" t="s">
        <v>11596</v>
      </c>
      <c r="R1720" s="2" t="s">
        <v>11597</v>
      </c>
      <c r="S1720" s="2" t="s">
        <v>89</v>
      </c>
      <c r="T1720" s="2" t="s">
        <v>90</v>
      </c>
      <c r="U1720" s="2" t="s">
        <v>11598</v>
      </c>
      <c r="V1720" s="2" t="s">
        <v>59</v>
      </c>
      <c r="W1720" s="2">
        <v>36.4</v>
      </c>
      <c r="X1720" s="2">
        <v>0</v>
      </c>
      <c r="Y1720" s="2" t="s">
        <v>394</v>
      </c>
      <c r="Z1720" s="2" t="s">
        <v>11599</v>
      </c>
      <c r="AA1720" s="2">
        <v>-3.11089558567638</v>
      </c>
      <c r="AB1720" s="2">
        <v>0.47095421439169899</v>
      </c>
      <c r="AC1720" s="2">
        <v>31504.2334879911</v>
      </c>
      <c r="AD1720" s="2">
        <v>46758.0945891546</v>
      </c>
      <c r="AE1720" s="2">
        <v>28797.3125377701</v>
      </c>
      <c r="AF1720" s="2">
        <v>29792.7003964137</v>
      </c>
      <c r="AG1720" s="2">
        <v>31194.455486805899</v>
      </c>
      <c r="AH1720" s="2">
        <v>31771.359992715199</v>
      </c>
      <c r="AI1720" s="2">
        <v>33546.691956811097</v>
      </c>
      <c r="AJ1720" s="2">
        <v>33922.880557430399</v>
      </c>
      <c r="AK1720" s="2">
        <v>44519.289822667597</v>
      </c>
      <c r="AL1720" s="2">
        <v>45324.215650549399</v>
      </c>
      <c r="AM1720" s="2">
        <v>50428.465505635402</v>
      </c>
      <c r="AN1720" s="2">
        <v>42458.632535836499</v>
      </c>
      <c r="AO1720" s="2">
        <v>50369.438461115897</v>
      </c>
      <c r="AP1720" s="2">
        <v>47448.525559122798</v>
      </c>
    </row>
    <row r="1721" spans="1:42" ht="14.5" x14ac:dyDescent="0.35">
      <c r="A1721" s="2" t="s">
        <v>11600</v>
      </c>
      <c r="B1721" s="2">
        <v>283.152525332371</v>
      </c>
      <c r="C1721" s="2">
        <v>9.1675166666666694</v>
      </c>
      <c r="D1721" s="2" t="s">
        <v>70</v>
      </c>
      <c r="E1721" s="2" t="s">
        <v>11601</v>
      </c>
      <c r="F1721" s="2">
        <v>53746</v>
      </c>
      <c r="G1721" s="3" t="str">
        <f>HYPERLINK("http://funmeta.oebiotech.com/network/53746", "http://funmeta.oebiotech.com/network/53746")</f>
        <v>http://funmeta.oebiotech.com/network/53746</v>
      </c>
      <c r="H1721" s="2" t="s">
        <v>11602</v>
      </c>
      <c r="I1721" s="2">
        <v>85622</v>
      </c>
      <c r="J1721" s="2"/>
      <c r="K1721" s="2">
        <v>73813</v>
      </c>
      <c r="L1721" s="2"/>
      <c r="M1721" s="2"/>
      <c r="N1721" s="2"/>
      <c r="O1721" s="2">
        <v>7019985</v>
      </c>
      <c r="P1721" s="2" t="s">
        <v>11603</v>
      </c>
      <c r="Q1721" s="2" t="s">
        <v>11604</v>
      </c>
      <c r="R1721" s="2" t="s">
        <v>11605</v>
      </c>
      <c r="S1721" s="2" t="s">
        <v>89</v>
      </c>
      <c r="T1721" s="2" t="s">
        <v>90</v>
      </c>
      <c r="U1721" s="2" t="s">
        <v>99</v>
      </c>
      <c r="V1721" s="2" t="s">
        <v>59</v>
      </c>
      <c r="W1721" s="2">
        <v>39.200000000000003</v>
      </c>
      <c r="X1721" s="2">
        <v>0</v>
      </c>
      <c r="Y1721" s="2" t="s">
        <v>751</v>
      </c>
      <c r="Z1721" s="2" t="s">
        <v>11606</v>
      </c>
      <c r="AA1721" s="2">
        <v>0.37475492509170499</v>
      </c>
      <c r="AB1721" s="2">
        <v>0.47041366022589498</v>
      </c>
      <c r="AC1721" s="2">
        <v>62332.163130333</v>
      </c>
      <c r="AD1721" s="2">
        <v>77699.510303140996</v>
      </c>
      <c r="AE1721" s="2">
        <v>61141.592767570299</v>
      </c>
      <c r="AF1721" s="2">
        <v>63933.326502579803</v>
      </c>
      <c r="AG1721" s="2">
        <v>64304.1228207362</v>
      </c>
      <c r="AH1721" s="2">
        <v>62142.786310636897</v>
      </c>
      <c r="AI1721" s="2">
        <v>63520.987038756903</v>
      </c>
      <c r="AJ1721" s="2">
        <v>58950.163341717802</v>
      </c>
      <c r="AK1721" s="2">
        <v>82522.267897586702</v>
      </c>
      <c r="AL1721" s="2">
        <v>79353.886678831404</v>
      </c>
      <c r="AM1721" s="2">
        <v>80300.826662009902</v>
      </c>
      <c r="AN1721" s="2">
        <v>75451.427519577599</v>
      </c>
      <c r="AO1721" s="2">
        <v>75206.446213227406</v>
      </c>
      <c r="AP1721" s="2">
        <v>73362.206847613197</v>
      </c>
    </row>
    <row r="1722" spans="1:42" ht="14.5" x14ac:dyDescent="0.35">
      <c r="A1722" s="2" t="s">
        <v>11607</v>
      </c>
      <c r="B1722" s="2">
        <v>241.15815760159401</v>
      </c>
      <c r="C1722" s="2">
        <v>6.6569000000000003</v>
      </c>
      <c r="D1722" s="2" t="s">
        <v>34</v>
      </c>
      <c r="E1722" s="2" t="s">
        <v>11608</v>
      </c>
      <c r="F1722" s="2">
        <v>6367</v>
      </c>
      <c r="G1722" s="3" t="str">
        <f>HYPERLINK("http://funmeta.oebiotech.com/network/6367", "http://funmeta.oebiotech.com/network/6367")</f>
        <v>http://funmeta.oebiotech.com/network/6367</v>
      </c>
      <c r="H1722" s="2"/>
      <c r="I1722" s="2">
        <v>66945</v>
      </c>
      <c r="J1722" s="2" t="s">
        <v>11609</v>
      </c>
      <c r="K1722" s="2">
        <v>3695</v>
      </c>
      <c r="L1722" s="2" t="s">
        <v>11610</v>
      </c>
      <c r="M1722" s="2"/>
      <c r="N1722" s="2"/>
      <c r="O1722" s="2">
        <v>25265910</v>
      </c>
      <c r="P1722" s="2" t="s">
        <v>11611</v>
      </c>
      <c r="Q1722" s="2" t="s">
        <v>11612</v>
      </c>
      <c r="R1722" s="2" t="s">
        <v>11613</v>
      </c>
      <c r="S1722" s="2" t="s">
        <v>50</v>
      </c>
      <c r="T1722" s="2" t="s">
        <v>229</v>
      </c>
      <c r="U1722" s="2" t="s">
        <v>1283</v>
      </c>
      <c r="V1722" s="2" t="s">
        <v>42</v>
      </c>
      <c r="W1722" s="2">
        <v>48.9</v>
      </c>
      <c r="X1722" s="2">
        <v>58.9</v>
      </c>
      <c r="Y1722" s="2" t="s">
        <v>141</v>
      </c>
      <c r="Z1722" s="2" t="s">
        <v>11614</v>
      </c>
      <c r="AA1722" s="2">
        <v>-2.06882929168049</v>
      </c>
      <c r="AB1722" s="2">
        <v>0.47026345627608401</v>
      </c>
      <c r="AC1722" s="2">
        <v>49435.706731579899</v>
      </c>
      <c r="AD1722" s="2">
        <v>65292.485123535502</v>
      </c>
      <c r="AE1722" s="2">
        <v>52935.420603116501</v>
      </c>
      <c r="AF1722" s="2">
        <v>52508.606594114099</v>
      </c>
      <c r="AG1722" s="2">
        <v>49868.754688728499</v>
      </c>
      <c r="AH1722" s="2">
        <v>47522.390695612397</v>
      </c>
      <c r="AI1722" s="2">
        <v>50939.798852435</v>
      </c>
      <c r="AJ1722" s="2">
        <v>42839.268955472697</v>
      </c>
      <c r="AK1722" s="2">
        <v>61610.871870504699</v>
      </c>
      <c r="AL1722" s="2">
        <v>61450.6206277358</v>
      </c>
      <c r="AM1722" s="2">
        <v>62893.450196609701</v>
      </c>
      <c r="AN1722" s="2">
        <v>70897.574069212002</v>
      </c>
      <c r="AO1722" s="2">
        <v>69076.536114912</v>
      </c>
      <c r="AP1722" s="2">
        <v>65825.857862238699</v>
      </c>
    </row>
    <row r="1723" spans="1:42" ht="14.5" x14ac:dyDescent="0.35">
      <c r="A1723" s="2" t="s">
        <v>11615</v>
      </c>
      <c r="B1723" s="2">
        <v>547.166385888533</v>
      </c>
      <c r="C1723" s="2">
        <v>3.8614999999999999</v>
      </c>
      <c r="D1723" s="2" t="s">
        <v>70</v>
      </c>
      <c r="E1723" s="2" t="s">
        <v>11616</v>
      </c>
      <c r="F1723" s="2">
        <v>207821</v>
      </c>
      <c r="G1723" s="3" t="str">
        <f>HYPERLINK("http://funmeta.oebiotech.com/network/207821", "http://funmeta.oebiotech.com/network/207821")</f>
        <v>http://funmeta.oebiotech.com/network/207821</v>
      </c>
      <c r="H1723" s="2" t="s">
        <v>11617</v>
      </c>
      <c r="I1723" s="2"/>
      <c r="J1723" s="2"/>
      <c r="K1723" s="2"/>
      <c r="L1723" s="2"/>
      <c r="M1723" s="2"/>
      <c r="N1723" s="2"/>
      <c r="O1723" s="2">
        <v>9832447</v>
      </c>
      <c r="P1723" s="2"/>
      <c r="Q1723" s="2" t="s">
        <v>11618</v>
      </c>
      <c r="R1723" s="2" t="s">
        <v>11619</v>
      </c>
      <c r="S1723" s="2" t="s">
        <v>79</v>
      </c>
      <c r="T1723" s="2" t="s">
        <v>80</v>
      </c>
      <c r="U1723" s="2" t="s">
        <v>249</v>
      </c>
      <c r="V1723" s="2" t="s">
        <v>59</v>
      </c>
      <c r="W1723" s="2">
        <v>41.5</v>
      </c>
      <c r="X1723" s="2">
        <v>38.200000000000003</v>
      </c>
      <c r="Y1723" s="2" t="s">
        <v>408</v>
      </c>
      <c r="Z1723" s="2" t="s">
        <v>11620</v>
      </c>
      <c r="AA1723" s="2">
        <v>1.40727407870833</v>
      </c>
      <c r="AB1723" s="2">
        <v>0.46995125463863302</v>
      </c>
      <c r="AC1723" s="2">
        <v>74435.164725748094</v>
      </c>
      <c r="AD1723" s="2">
        <v>91260.964767558005</v>
      </c>
      <c r="AE1723" s="2">
        <v>75253.741900500303</v>
      </c>
      <c r="AF1723" s="2">
        <v>70801.250295955004</v>
      </c>
      <c r="AG1723" s="2">
        <v>75333.065231601897</v>
      </c>
      <c r="AH1723" s="2">
        <v>67722.554224084903</v>
      </c>
      <c r="AI1723" s="2">
        <v>72140.619860613995</v>
      </c>
      <c r="AJ1723" s="2">
        <v>85359.756841732495</v>
      </c>
      <c r="AK1723" s="2">
        <v>85817.153824686</v>
      </c>
      <c r="AL1723" s="2">
        <v>91639.972508714403</v>
      </c>
      <c r="AM1723" s="2">
        <v>86158.794828562401</v>
      </c>
      <c r="AN1723" s="2">
        <v>95044.172763517694</v>
      </c>
      <c r="AO1723" s="2">
        <v>91429.226294556298</v>
      </c>
      <c r="AP1723" s="2">
        <v>97476.468385311397</v>
      </c>
    </row>
    <row r="1724" spans="1:42" ht="14.5" x14ac:dyDescent="0.35">
      <c r="A1724" s="2" t="s">
        <v>11621</v>
      </c>
      <c r="B1724" s="2">
        <v>631.28738654225799</v>
      </c>
      <c r="C1724" s="2">
        <v>11.2145166666667</v>
      </c>
      <c r="D1724" s="2" t="s">
        <v>34</v>
      </c>
      <c r="E1724" s="2" t="s">
        <v>11622</v>
      </c>
      <c r="F1724" s="2">
        <v>203597</v>
      </c>
      <c r="G1724" s="3" t="str">
        <f>HYPERLINK("http://funmeta.oebiotech.com/network/203597", "http://funmeta.oebiotech.com/network/203597")</f>
        <v>http://funmeta.oebiotech.com/network/203597</v>
      </c>
      <c r="H1724" s="2" t="s">
        <v>11623</v>
      </c>
      <c r="I1724" s="2"/>
      <c r="J1724" s="2"/>
      <c r="K1724" s="2"/>
      <c r="L1724" s="2"/>
      <c r="M1724" s="2"/>
      <c r="N1724" s="2"/>
      <c r="O1724" s="2"/>
      <c r="P1724" s="2"/>
      <c r="Q1724" s="2" t="s">
        <v>11624</v>
      </c>
      <c r="R1724" s="2" t="s">
        <v>11625</v>
      </c>
      <c r="S1724" s="2" t="s">
        <v>115</v>
      </c>
      <c r="T1724" s="2" t="s">
        <v>1384</v>
      </c>
      <c r="U1724" s="2" t="s">
        <v>41</v>
      </c>
      <c r="V1724" s="2" t="s">
        <v>42</v>
      </c>
      <c r="W1724" s="2">
        <v>50.2</v>
      </c>
      <c r="X1724" s="2">
        <v>54.3</v>
      </c>
      <c r="Y1724" s="2" t="s">
        <v>340</v>
      </c>
      <c r="Z1724" s="2" t="s">
        <v>11626</v>
      </c>
      <c r="AA1724" s="2">
        <v>-0.87666892792631201</v>
      </c>
      <c r="AB1724" s="2">
        <v>0.46953902293164401</v>
      </c>
      <c r="AC1724" s="2">
        <v>116285.483373485</v>
      </c>
      <c r="AD1724" s="2">
        <v>132834.17540899001</v>
      </c>
      <c r="AE1724" s="2">
        <v>114924.16490326</v>
      </c>
      <c r="AF1724" s="2">
        <v>119625.440403541</v>
      </c>
      <c r="AG1724" s="2">
        <v>123031.143395519</v>
      </c>
      <c r="AH1724" s="2">
        <v>111533.02016472501</v>
      </c>
      <c r="AI1724" s="2">
        <v>112798.851378223</v>
      </c>
      <c r="AJ1724" s="2">
        <v>115800.279995644</v>
      </c>
      <c r="AK1724" s="2">
        <v>133302.224393451</v>
      </c>
      <c r="AL1724" s="2">
        <v>142698.36779669201</v>
      </c>
      <c r="AM1724" s="2">
        <v>130978.543095735</v>
      </c>
      <c r="AN1724" s="2">
        <v>131085.96194534199</v>
      </c>
      <c r="AO1724" s="2">
        <v>132348.04295310299</v>
      </c>
      <c r="AP1724" s="2">
        <v>126591.912269614</v>
      </c>
    </row>
    <row r="1725" spans="1:42" ht="14.5" x14ac:dyDescent="0.35">
      <c r="A1725" s="2" t="s">
        <v>11627</v>
      </c>
      <c r="B1725" s="2">
        <v>745.357034359164</v>
      </c>
      <c r="C1725" s="2">
        <v>10.283666666666701</v>
      </c>
      <c r="D1725" s="2" t="s">
        <v>34</v>
      </c>
      <c r="E1725" s="2" t="s">
        <v>11628</v>
      </c>
      <c r="F1725" s="2">
        <v>64140</v>
      </c>
      <c r="G1725" s="3" t="str">
        <f>HYPERLINK("http://funmeta.oebiotech.com/network/64140", "http://funmeta.oebiotech.com/network/64140")</f>
        <v>http://funmeta.oebiotech.com/network/64140</v>
      </c>
      <c r="H1725" s="2" t="s">
        <v>11629</v>
      </c>
      <c r="I1725" s="2">
        <v>95463</v>
      </c>
      <c r="J1725" s="2"/>
      <c r="K1725" s="2"/>
      <c r="L1725" s="2"/>
      <c r="M1725" s="2"/>
      <c r="N1725" s="2"/>
      <c r="O1725" s="2">
        <v>85084179</v>
      </c>
      <c r="P1725" s="2" t="s">
        <v>11630</v>
      </c>
      <c r="Q1725" s="2" t="s">
        <v>11631</v>
      </c>
      <c r="R1725" s="2" t="s">
        <v>11632</v>
      </c>
      <c r="S1725" s="2" t="s">
        <v>50</v>
      </c>
      <c r="T1725" s="2" t="s">
        <v>201</v>
      </c>
      <c r="U1725" s="2" t="s">
        <v>202</v>
      </c>
      <c r="V1725" s="2" t="s">
        <v>59</v>
      </c>
      <c r="W1725" s="2">
        <v>38.9</v>
      </c>
      <c r="X1725" s="2">
        <v>15</v>
      </c>
      <c r="Y1725" s="2" t="s">
        <v>340</v>
      </c>
      <c r="Z1725" s="2" t="s">
        <v>11633</v>
      </c>
      <c r="AA1725" s="2">
        <v>1.4849873095020001</v>
      </c>
      <c r="AB1725" s="2">
        <v>0.46941167028471897</v>
      </c>
      <c r="AC1725" s="2">
        <v>25555.275732717699</v>
      </c>
      <c r="AD1725" s="2">
        <v>10860.2445563405</v>
      </c>
      <c r="AE1725" s="2">
        <v>26016.400023254999</v>
      </c>
      <c r="AF1725" s="2">
        <v>26580.6431224238</v>
      </c>
      <c r="AG1725" s="2">
        <v>26989.064530983502</v>
      </c>
      <c r="AH1725" s="2">
        <v>25795.7517893029</v>
      </c>
      <c r="AI1725" s="2">
        <v>23194.0291233264</v>
      </c>
      <c r="AJ1725" s="2">
        <v>24755.765807014599</v>
      </c>
      <c r="AK1725" s="2">
        <v>10158.793129866999</v>
      </c>
      <c r="AL1725" s="2">
        <v>11946.9992235891</v>
      </c>
      <c r="AM1725" s="2">
        <v>12442.4198725725</v>
      </c>
      <c r="AN1725" s="2">
        <v>12412.066475256401</v>
      </c>
      <c r="AO1725" s="2">
        <v>10022.705915962601</v>
      </c>
      <c r="AP1725" s="2">
        <v>8178.4827207953904</v>
      </c>
    </row>
    <row r="1726" spans="1:42" ht="14.5" x14ac:dyDescent="0.35">
      <c r="A1726" s="2" t="s">
        <v>11634</v>
      </c>
      <c r="B1726" s="2">
        <v>377.14224423623102</v>
      </c>
      <c r="C1726" s="2">
        <v>11.8404166666667</v>
      </c>
      <c r="D1726" s="2" t="s">
        <v>70</v>
      </c>
      <c r="E1726" s="2" t="s">
        <v>11635</v>
      </c>
      <c r="F1726" s="2">
        <v>210538</v>
      </c>
      <c r="G1726" s="3" t="str">
        <f>HYPERLINK("http://funmeta.oebiotech.com/network/210538", "http://funmeta.oebiotech.com/network/210538")</f>
        <v>http://funmeta.oebiotech.com/network/210538</v>
      </c>
      <c r="H1726" s="2" t="s">
        <v>11636</v>
      </c>
      <c r="I1726" s="2"/>
      <c r="J1726" s="2"/>
      <c r="K1726" s="2"/>
      <c r="L1726" s="2"/>
      <c r="M1726" s="2"/>
      <c r="N1726" s="2"/>
      <c r="O1726" s="2">
        <v>9865506</v>
      </c>
      <c r="P1726" s="2"/>
      <c r="Q1726" s="2" t="s">
        <v>11637</v>
      </c>
      <c r="R1726" s="2" t="s">
        <v>11638</v>
      </c>
      <c r="S1726" s="2" t="s">
        <v>41</v>
      </c>
      <c r="T1726" s="2" t="s">
        <v>41</v>
      </c>
      <c r="U1726" s="2" t="s">
        <v>41</v>
      </c>
      <c r="V1726" s="2" t="s">
        <v>59</v>
      </c>
      <c r="W1726" s="2">
        <v>43.9</v>
      </c>
      <c r="X1726" s="2">
        <v>23.3</v>
      </c>
      <c r="Y1726" s="2" t="s">
        <v>751</v>
      </c>
      <c r="Z1726" s="2" t="s">
        <v>11639</v>
      </c>
      <c r="AA1726" s="2">
        <v>0.79913435290881296</v>
      </c>
      <c r="AB1726" s="2">
        <v>0.46936877798853299</v>
      </c>
      <c r="AC1726" s="2">
        <v>22530.8852958143</v>
      </c>
      <c r="AD1726" s="2">
        <v>7937.0421215544902</v>
      </c>
      <c r="AE1726" s="2">
        <v>23698.621566550999</v>
      </c>
      <c r="AF1726" s="2">
        <v>22748.900706910601</v>
      </c>
      <c r="AG1726" s="2">
        <v>25140.7662240231</v>
      </c>
      <c r="AH1726" s="2">
        <v>21083.027021832801</v>
      </c>
      <c r="AI1726" s="2">
        <v>21032.209140455499</v>
      </c>
      <c r="AJ1726" s="2">
        <v>21481.7871151127</v>
      </c>
      <c r="AK1726" s="2">
        <v>7024.9397885350099</v>
      </c>
      <c r="AL1726" s="2">
        <v>8148.58949262236</v>
      </c>
      <c r="AM1726" s="2">
        <v>7828.4395257705701</v>
      </c>
      <c r="AN1726" s="2">
        <v>8078.8419512266</v>
      </c>
      <c r="AO1726" s="2">
        <v>8565.7944786152802</v>
      </c>
      <c r="AP1726" s="2">
        <v>7975.6474925571101</v>
      </c>
    </row>
    <row r="1727" spans="1:42" ht="14.5" x14ac:dyDescent="0.35">
      <c r="A1727" s="2" t="s">
        <v>11640</v>
      </c>
      <c r="B1727" s="2">
        <v>259.04238756201499</v>
      </c>
      <c r="C1727" s="2">
        <v>1.2204999999999999</v>
      </c>
      <c r="D1727" s="2" t="s">
        <v>34</v>
      </c>
      <c r="E1727" s="2" t="s">
        <v>11641</v>
      </c>
      <c r="F1727" s="2">
        <v>82774</v>
      </c>
      <c r="G1727" s="3" t="str">
        <f>HYPERLINK("http://funmeta.oebiotech.com/network/82774", "http://funmeta.oebiotech.com/network/82774")</f>
        <v>http://funmeta.oebiotech.com/network/82774</v>
      </c>
      <c r="H1727" s="2" t="s">
        <v>11642</v>
      </c>
      <c r="I1727" s="2"/>
      <c r="J1727" s="2"/>
      <c r="K1727" s="2"/>
      <c r="L1727" s="2"/>
      <c r="M1727" s="2"/>
      <c r="N1727" s="2"/>
      <c r="O1727" s="2">
        <v>131769994</v>
      </c>
      <c r="P1727" s="2"/>
      <c r="Q1727" s="2" t="s">
        <v>11643</v>
      </c>
      <c r="R1727" s="2" t="s">
        <v>11644</v>
      </c>
      <c r="S1727" s="2" t="s">
        <v>115</v>
      </c>
      <c r="T1727" s="2" t="s">
        <v>7439</v>
      </c>
      <c r="U1727" s="2" t="s">
        <v>41</v>
      </c>
      <c r="V1727" s="2" t="s">
        <v>59</v>
      </c>
      <c r="W1727" s="2">
        <v>45.2</v>
      </c>
      <c r="X1727" s="2">
        <v>37.200000000000003</v>
      </c>
      <c r="Y1727" s="2" t="s">
        <v>141</v>
      </c>
      <c r="Z1727" s="2" t="s">
        <v>2821</v>
      </c>
      <c r="AA1727" s="2">
        <v>0.16645412817497601</v>
      </c>
      <c r="AB1727" s="2">
        <v>0.46930077830907002</v>
      </c>
      <c r="AC1727" s="2">
        <v>781044.05022190697</v>
      </c>
      <c r="AD1727" s="2">
        <v>819129.15008068597</v>
      </c>
      <c r="AE1727" s="2">
        <v>734132.47608822596</v>
      </c>
      <c r="AF1727" s="2">
        <v>770637.86208421399</v>
      </c>
      <c r="AG1727" s="2">
        <v>757481.56792507297</v>
      </c>
      <c r="AH1727" s="2">
        <v>796978.616785725</v>
      </c>
      <c r="AI1727" s="2">
        <v>820975.80351739598</v>
      </c>
      <c r="AJ1727" s="2">
        <v>806057.97493080597</v>
      </c>
      <c r="AK1727" s="2">
        <v>718712.96796981001</v>
      </c>
      <c r="AL1727" s="2">
        <v>764224.62297146395</v>
      </c>
      <c r="AM1727" s="2">
        <v>815570.63009262399</v>
      </c>
      <c r="AN1727" s="2">
        <v>870897.64701432094</v>
      </c>
      <c r="AO1727" s="2">
        <v>848460.95470845303</v>
      </c>
      <c r="AP1727" s="2">
        <v>896908.07772744296</v>
      </c>
    </row>
    <row r="1728" spans="1:42" ht="14.5" x14ac:dyDescent="0.35">
      <c r="A1728" s="2" t="s">
        <v>11645</v>
      </c>
      <c r="B1728" s="2">
        <v>461.253327520597</v>
      </c>
      <c r="C1728" s="2">
        <v>9.7467833333333296</v>
      </c>
      <c r="D1728" s="2" t="s">
        <v>34</v>
      </c>
      <c r="E1728" s="2" t="s">
        <v>11646</v>
      </c>
      <c r="F1728" s="2">
        <v>44722</v>
      </c>
      <c r="G1728" s="3" t="str">
        <f>HYPERLINK("http://funmeta.oebiotech.com/network/44722", "http://funmeta.oebiotech.com/network/44722")</f>
        <v>http://funmeta.oebiotech.com/network/44722</v>
      </c>
      <c r="H1728" s="2"/>
      <c r="I1728" s="2"/>
      <c r="J1728" s="2" t="s">
        <v>11647</v>
      </c>
      <c r="K1728" s="2"/>
      <c r="L1728" s="2"/>
      <c r="M1728" s="2"/>
      <c r="N1728" s="2"/>
      <c r="O1728" s="2">
        <v>15513540</v>
      </c>
      <c r="P1728" s="2"/>
      <c r="Q1728" s="2" t="s">
        <v>11648</v>
      </c>
      <c r="R1728" s="2" t="s">
        <v>11649</v>
      </c>
      <c r="S1728" s="2" t="s">
        <v>50</v>
      </c>
      <c r="T1728" s="2" t="s">
        <v>124</v>
      </c>
      <c r="U1728" s="2" t="s">
        <v>567</v>
      </c>
      <c r="V1728" s="2" t="s">
        <v>59</v>
      </c>
      <c r="W1728" s="2">
        <v>43.7</v>
      </c>
      <c r="X1728" s="2">
        <v>27.5</v>
      </c>
      <c r="Y1728" s="2" t="s">
        <v>394</v>
      </c>
      <c r="Z1728" s="2" t="s">
        <v>11650</v>
      </c>
      <c r="AA1728" s="2">
        <v>-0.113858308691532</v>
      </c>
      <c r="AB1728" s="2">
        <v>0.46877516302009298</v>
      </c>
      <c r="AC1728" s="2">
        <v>93024.428648534202</v>
      </c>
      <c r="AD1728" s="2">
        <v>75857.789647854603</v>
      </c>
      <c r="AE1728" s="2">
        <v>87784.012866589896</v>
      </c>
      <c r="AF1728" s="2">
        <v>92215.867532315504</v>
      </c>
      <c r="AG1728" s="2">
        <v>96093.677395327395</v>
      </c>
      <c r="AH1728" s="2">
        <v>87896.148661976404</v>
      </c>
      <c r="AI1728" s="2">
        <v>93773.618423171298</v>
      </c>
      <c r="AJ1728" s="2">
        <v>100383.24701182501</v>
      </c>
      <c r="AK1728" s="2">
        <v>69584.923609413498</v>
      </c>
      <c r="AL1728" s="2">
        <v>89852.182740939694</v>
      </c>
      <c r="AM1728" s="2">
        <v>74582.866453584895</v>
      </c>
      <c r="AN1728" s="2">
        <v>71614.766161970896</v>
      </c>
      <c r="AO1728" s="2">
        <v>73531.094925035301</v>
      </c>
      <c r="AP1728" s="2">
        <v>75980.903996183595</v>
      </c>
    </row>
    <row r="1729" spans="1:42" ht="14.5" x14ac:dyDescent="0.35">
      <c r="A1729" s="2" t="s">
        <v>11651</v>
      </c>
      <c r="B1729" s="2">
        <v>557.38375236237403</v>
      </c>
      <c r="C1729" s="2">
        <v>10.7738333333333</v>
      </c>
      <c r="D1729" s="2" t="s">
        <v>34</v>
      </c>
      <c r="E1729" s="2" t="s">
        <v>11652</v>
      </c>
      <c r="F1729" s="2">
        <v>60196</v>
      </c>
      <c r="G1729" s="3" t="str">
        <f>HYPERLINK("http://funmeta.oebiotech.com/network/60196", "http://funmeta.oebiotech.com/network/60196")</f>
        <v>http://funmeta.oebiotech.com/network/60196</v>
      </c>
      <c r="H1729" s="2" t="s">
        <v>11653</v>
      </c>
      <c r="I1729" s="2">
        <v>91577</v>
      </c>
      <c r="J1729" s="2"/>
      <c r="K1729" s="2"/>
      <c r="L1729" s="2"/>
      <c r="M1729" s="2"/>
      <c r="N1729" s="2"/>
      <c r="O1729" s="2">
        <v>131751991</v>
      </c>
      <c r="P1729" s="2" t="s">
        <v>11654</v>
      </c>
      <c r="Q1729" s="2" t="s">
        <v>11655</v>
      </c>
      <c r="R1729" s="2" t="s">
        <v>11656</v>
      </c>
      <c r="S1729" s="2" t="s">
        <v>50</v>
      </c>
      <c r="T1729" s="2" t="s">
        <v>201</v>
      </c>
      <c r="U1729" s="2" t="s">
        <v>210</v>
      </c>
      <c r="V1729" s="2" t="s">
        <v>59</v>
      </c>
      <c r="W1729" s="2">
        <v>42.3</v>
      </c>
      <c r="X1729" s="2">
        <v>16.7</v>
      </c>
      <c r="Y1729" s="2" t="s">
        <v>266</v>
      </c>
      <c r="Z1729" s="2" t="s">
        <v>11657</v>
      </c>
      <c r="AA1729" s="2">
        <v>0.15555184513914</v>
      </c>
      <c r="AB1729" s="2">
        <v>0.468264710404796</v>
      </c>
      <c r="AC1729" s="2">
        <v>58131.808113835301</v>
      </c>
      <c r="AD1729" s="2">
        <v>40684.272443224101</v>
      </c>
      <c r="AE1729" s="2">
        <v>54799.1943515858</v>
      </c>
      <c r="AF1729" s="2">
        <v>52637.588224291801</v>
      </c>
      <c r="AG1729" s="2">
        <v>60244.312043888996</v>
      </c>
      <c r="AH1729" s="2">
        <v>61331.183184588503</v>
      </c>
      <c r="AI1729" s="2">
        <v>59619.432901930901</v>
      </c>
      <c r="AJ1729" s="2">
        <v>60159.137976726</v>
      </c>
      <c r="AK1729" s="2">
        <v>33714.187308786801</v>
      </c>
      <c r="AL1729" s="2">
        <v>35315.3326737147</v>
      </c>
      <c r="AM1729" s="2">
        <v>34441.6046959511</v>
      </c>
      <c r="AN1729" s="2">
        <v>40575.154457325501</v>
      </c>
      <c r="AO1729" s="2">
        <v>55726.684445627499</v>
      </c>
      <c r="AP1729" s="2">
        <v>44332.671077938903</v>
      </c>
    </row>
    <row r="1730" spans="1:42" ht="14.5" x14ac:dyDescent="0.35">
      <c r="A1730" s="2" t="s">
        <v>11658</v>
      </c>
      <c r="B1730" s="2">
        <v>582.30568214350501</v>
      </c>
      <c r="C1730" s="2">
        <v>5.5395666666666701</v>
      </c>
      <c r="D1730" s="2" t="s">
        <v>34</v>
      </c>
      <c r="E1730" s="2" t="s">
        <v>11659</v>
      </c>
      <c r="F1730" s="2">
        <v>213225</v>
      </c>
      <c r="G1730" s="3" t="str">
        <f>HYPERLINK("http://funmeta.oebiotech.com/network/213225", "http://funmeta.oebiotech.com/network/213225")</f>
        <v>http://funmeta.oebiotech.com/network/213225</v>
      </c>
      <c r="H1730" s="2" t="s">
        <v>11660</v>
      </c>
      <c r="I1730" s="2"/>
      <c r="J1730" s="2"/>
      <c r="K1730" s="2"/>
      <c r="L1730" s="2"/>
      <c r="M1730" s="2"/>
      <c r="N1730" s="2"/>
      <c r="O1730" s="2"/>
      <c r="P1730" s="2"/>
      <c r="Q1730" s="2" t="s">
        <v>11661</v>
      </c>
      <c r="R1730" s="2" t="s">
        <v>11662</v>
      </c>
      <c r="S1730" s="2" t="s">
        <v>41</v>
      </c>
      <c r="T1730" s="2" t="s">
        <v>41</v>
      </c>
      <c r="U1730" s="2" t="s">
        <v>41</v>
      </c>
      <c r="V1730" s="2" t="s">
        <v>59</v>
      </c>
      <c r="W1730" s="2">
        <v>39.700000000000003</v>
      </c>
      <c r="X1730" s="2">
        <v>11.1</v>
      </c>
      <c r="Y1730" s="2" t="s">
        <v>43</v>
      </c>
      <c r="Z1730" s="2" t="s">
        <v>11663</v>
      </c>
      <c r="AA1730" s="2">
        <v>-3.1882375453574299</v>
      </c>
      <c r="AB1730" s="2">
        <v>0.46765041395930601</v>
      </c>
      <c r="AC1730" s="2">
        <v>687487.109113888</v>
      </c>
      <c r="AD1730" s="2">
        <v>718732.40881445003</v>
      </c>
      <c r="AE1730" s="2">
        <v>680565.84935982397</v>
      </c>
      <c r="AF1730" s="2">
        <v>726637.15012082795</v>
      </c>
      <c r="AG1730" s="2">
        <v>705723.41660809005</v>
      </c>
      <c r="AH1730" s="2">
        <v>703150.86613832205</v>
      </c>
      <c r="AI1730" s="2">
        <v>649202.83782507398</v>
      </c>
      <c r="AJ1730" s="2">
        <v>659642.53463119303</v>
      </c>
      <c r="AK1730" s="2">
        <v>667151.19401780202</v>
      </c>
      <c r="AL1730" s="2">
        <v>691055.61761864496</v>
      </c>
      <c r="AM1730" s="2">
        <v>730832.97839721094</v>
      </c>
      <c r="AN1730" s="2">
        <v>713967.72493179794</v>
      </c>
      <c r="AO1730" s="2">
        <v>757721.90796180803</v>
      </c>
      <c r="AP1730" s="2">
        <v>751665.02995943394</v>
      </c>
    </row>
    <row r="1731" spans="1:42" ht="14.5" x14ac:dyDescent="0.35">
      <c r="A1731" s="2" t="s">
        <v>11664</v>
      </c>
      <c r="B1731" s="2">
        <v>891.50616086013599</v>
      </c>
      <c r="C1731" s="2">
        <v>5.0569833333333296</v>
      </c>
      <c r="D1731" s="2" t="s">
        <v>34</v>
      </c>
      <c r="E1731" s="2" t="s">
        <v>11665</v>
      </c>
      <c r="F1731" s="2">
        <v>64443</v>
      </c>
      <c r="G1731" s="3" t="str">
        <f>HYPERLINK("http://funmeta.oebiotech.com/network/64443", "http://funmeta.oebiotech.com/network/64443")</f>
        <v>http://funmeta.oebiotech.com/network/64443</v>
      </c>
      <c r="H1731" s="2" t="s">
        <v>11666</v>
      </c>
      <c r="I1731" s="2">
        <v>95757</v>
      </c>
      <c r="J1731" s="2"/>
      <c r="K1731" s="2"/>
      <c r="L1731" s="2"/>
      <c r="M1731" s="2"/>
      <c r="N1731" s="2"/>
      <c r="O1731" s="2">
        <v>131753115</v>
      </c>
      <c r="P1731" s="2" t="s">
        <v>11667</v>
      </c>
      <c r="Q1731" s="2" t="s">
        <v>11668</v>
      </c>
      <c r="R1731" s="2" t="s">
        <v>11669</v>
      </c>
      <c r="S1731" s="2" t="s">
        <v>50</v>
      </c>
      <c r="T1731" s="2" t="s">
        <v>201</v>
      </c>
      <c r="U1731" s="2" t="s">
        <v>210</v>
      </c>
      <c r="V1731" s="2" t="s">
        <v>59</v>
      </c>
      <c r="W1731" s="2">
        <v>38</v>
      </c>
      <c r="X1731" s="2">
        <v>0</v>
      </c>
      <c r="Y1731" s="2" t="s">
        <v>323</v>
      </c>
      <c r="Z1731" s="2" t="s">
        <v>11670</v>
      </c>
      <c r="AA1731" s="2">
        <v>-1.7058366824911</v>
      </c>
      <c r="AB1731" s="2">
        <v>0.46727181018295499</v>
      </c>
      <c r="AC1731" s="2">
        <v>7702.5328360268704</v>
      </c>
      <c r="AD1731" s="2">
        <v>25296.789974967302</v>
      </c>
      <c r="AE1731" s="2">
        <v>7815.8137586920102</v>
      </c>
      <c r="AF1731" s="2">
        <v>8403.6485364170803</v>
      </c>
      <c r="AG1731" s="2">
        <v>7465.5120316267203</v>
      </c>
      <c r="AH1731" s="2">
        <v>4546.9086647658696</v>
      </c>
      <c r="AI1731" s="2">
        <v>6277.4553334598404</v>
      </c>
      <c r="AJ1731" s="2">
        <v>11705.858691199701</v>
      </c>
      <c r="AK1731" s="2">
        <v>26710.134602005499</v>
      </c>
      <c r="AL1731" s="2">
        <v>39999.423653838297</v>
      </c>
      <c r="AM1731" s="2">
        <v>15046.8456693265</v>
      </c>
      <c r="AN1731" s="2">
        <v>16323.6770177011</v>
      </c>
      <c r="AO1731" s="2">
        <v>24658.1695720198</v>
      </c>
      <c r="AP1731" s="2">
        <v>29042.489334912701</v>
      </c>
    </row>
    <row r="1732" spans="1:42" ht="14.5" x14ac:dyDescent="0.35">
      <c r="A1732" s="2" t="s">
        <v>11671</v>
      </c>
      <c r="B1732" s="2">
        <v>168.138343320552</v>
      </c>
      <c r="C1732" s="2">
        <v>2.3729499999999999</v>
      </c>
      <c r="D1732" s="2" t="s">
        <v>34</v>
      </c>
      <c r="E1732" s="2" t="s">
        <v>11672</v>
      </c>
      <c r="F1732" s="2">
        <v>48294</v>
      </c>
      <c r="G1732" s="3" t="str">
        <f>HYPERLINK("http://funmeta.oebiotech.com/network/48294", "http://funmeta.oebiotech.com/network/48294")</f>
        <v>http://funmeta.oebiotech.com/network/48294</v>
      </c>
      <c r="H1732" s="2" t="s">
        <v>11673</v>
      </c>
      <c r="I1732" s="2"/>
      <c r="J1732" s="2"/>
      <c r="K1732" s="2">
        <v>15399</v>
      </c>
      <c r="L1732" s="2" t="s">
        <v>11674</v>
      </c>
      <c r="M1732" s="2" t="s">
        <v>7753</v>
      </c>
      <c r="N1732" s="2" t="s">
        <v>7754</v>
      </c>
      <c r="O1732" s="2">
        <v>16724</v>
      </c>
      <c r="P1732" s="2" t="s">
        <v>11675</v>
      </c>
      <c r="Q1732" s="2" t="s">
        <v>11676</v>
      </c>
      <c r="R1732" s="2" t="s">
        <v>11677</v>
      </c>
      <c r="S1732" s="2" t="s">
        <v>50</v>
      </c>
      <c r="T1732" s="2" t="s">
        <v>201</v>
      </c>
      <c r="U1732" s="2" t="s">
        <v>265</v>
      </c>
      <c r="V1732" s="2" t="s">
        <v>59</v>
      </c>
      <c r="W1732" s="2">
        <v>45.2</v>
      </c>
      <c r="X1732" s="2">
        <v>27.8</v>
      </c>
      <c r="Y1732" s="2" t="s">
        <v>43</v>
      </c>
      <c r="Z1732" s="2" t="s">
        <v>11678</v>
      </c>
      <c r="AA1732" s="2">
        <v>0.35123546614628698</v>
      </c>
      <c r="AB1732" s="2">
        <v>0.46692162627976003</v>
      </c>
      <c r="AC1732" s="2">
        <v>46017.774353516601</v>
      </c>
      <c r="AD1732" s="2">
        <v>60496.001823596896</v>
      </c>
      <c r="AE1732" s="2">
        <v>45990.742230609598</v>
      </c>
      <c r="AF1732" s="2">
        <v>45190.9880974146</v>
      </c>
      <c r="AG1732" s="2">
        <v>45993.243696327299</v>
      </c>
      <c r="AH1732" s="2">
        <v>45819.523832421</v>
      </c>
      <c r="AI1732" s="2">
        <v>45946.419326286603</v>
      </c>
      <c r="AJ1732" s="2">
        <v>47165.7289380402</v>
      </c>
      <c r="AK1732" s="2">
        <v>61203.712875495301</v>
      </c>
      <c r="AL1732" s="2">
        <v>60521.710086431704</v>
      </c>
      <c r="AM1732" s="2">
        <v>62338.530132445201</v>
      </c>
      <c r="AN1732" s="2">
        <v>59355.954627052997</v>
      </c>
      <c r="AO1732" s="2">
        <v>61695.266257992</v>
      </c>
      <c r="AP1732" s="2">
        <v>57860.836962164503</v>
      </c>
    </row>
    <row r="1733" spans="1:42" ht="14.5" x14ac:dyDescent="0.35">
      <c r="A1733" s="2" t="s">
        <v>11679</v>
      </c>
      <c r="B1733" s="2">
        <v>878.46482110659804</v>
      </c>
      <c r="C1733" s="2">
        <v>9.8244000000000007</v>
      </c>
      <c r="D1733" s="2" t="s">
        <v>34</v>
      </c>
      <c r="E1733" s="2" t="s">
        <v>11680</v>
      </c>
      <c r="F1733" s="2">
        <v>218479</v>
      </c>
      <c r="G1733" s="3" t="str">
        <f>HYPERLINK("http://funmeta.oebiotech.com/network/218479", "http://funmeta.oebiotech.com/network/218479")</f>
        <v>http://funmeta.oebiotech.com/network/218479</v>
      </c>
      <c r="H1733" s="2" t="s">
        <v>11681</v>
      </c>
      <c r="I1733" s="2"/>
      <c r="J1733" s="2"/>
      <c r="K1733" s="2"/>
      <c r="L1733" s="2"/>
      <c r="M1733" s="2"/>
      <c r="N1733" s="2"/>
      <c r="O1733" s="2"/>
      <c r="P1733" s="2"/>
      <c r="Q1733" s="2" t="s">
        <v>11682</v>
      </c>
      <c r="R1733" s="2" t="s">
        <v>11683</v>
      </c>
      <c r="S1733" s="2" t="s">
        <v>41</v>
      </c>
      <c r="T1733" s="2" t="s">
        <v>41</v>
      </c>
      <c r="U1733" s="2" t="s">
        <v>41</v>
      </c>
      <c r="V1733" s="2" t="s">
        <v>59</v>
      </c>
      <c r="W1733" s="2">
        <v>37.200000000000003</v>
      </c>
      <c r="X1733" s="2">
        <v>0</v>
      </c>
      <c r="Y1733" s="2" t="s">
        <v>394</v>
      </c>
      <c r="Z1733" s="2" t="s">
        <v>11684</v>
      </c>
      <c r="AA1733" s="2">
        <v>1.3390017320218901</v>
      </c>
      <c r="AB1733" s="2">
        <v>0.46683963720609201</v>
      </c>
      <c r="AC1733" s="2">
        <v>13637.3017955786</v>
      </c>
      <c r="AD1733" s="2">
        <v>28251.703075723199</v>
      </c>
      <c r="AE1733" s="2">
        <v>13841.955154944801</v>
      </c>
      <c r="AF1733" s="2">
        <v>14908.016470307201</v>
      </c>
      <c r="AG1733" s="2">
        <v>14484.474316529901</v>
      </c>
      <c r="AH1733" s="2">
        <v>12557.2499757021</v>
      </c>
      <c r="AI1733" s="2">
        <v>12673.5477049745</v>
      </c>
      <c r="AJ1733" s="2">
        <v>13358.5671510133</v>
      </c>
      <c r="AK1733" s="2">
        <v>27538.4779065287</v>
      </c>
      <c r="AL1733" s="2">
        <v>31895.279590615399</v>
      </c>
      <c r="AM1733" s="2">
        <v>27499.211702254299</v>
      </c>
      <c r="AN1733" s="2">
        <v>27745.439873657699</v>
      </c>
      <c r="AO1733" s="2">
        <v>28925.830587247201</v>
      </c>
      <c r="AP1733" s="2">
        <v>25905.9787940358</v>
      </c>
    </row>
    <row r="1734" spans="1:42" ht="14.5" x14ac:dyDescent="0.35">
      <c r="A1734" s="2" t="s">
        <v>11685</v>
      </c>
      <c r="B1734" s="2">
        <v>581.23917241483298</v>
      </c>
      <c r="C1734" s="2">
        <v>4.7862166666666699</v>
      </c>
      <c r="D1734" s="2" t="s">
        <v>34</v>
      </c>
      <c r="E1734" s="2" t="s">
        <v>11686</v>
      </c>
      <c r="F1734" s="2">
        <v>257092</v>
      </c>
      <c r="G1734" s="3" t="str">
        <f>HYPERLINK("http://funmeta.oebiotech.com/network/257092", "http://funmeta.oebiotech.com/network/257092")</f>
        <v>http://funmeta.oebiotech.com/network/257092</v>
      </c>
      <c r="H1734" s="2" t="s">
        <v>11687</v>
      </c>
      <c r="I1734" s="2"/>
      <c r="J1734" s="2"/>
      <c r="K1734" s="2"/>
      <c r="L1734" s="2"/>
      <c r="M1734" s="2"/>
      <c r="N1734" s="2"/>
      <c r="O1734" s="2"/>
      <c r="P1734" s="2"/>
      <c r="Q1734" s="2" t="s">
        <v>11688</v>
      </c>
      <c r="R1734" s="2" t="s">
        <v>11689</v>
      </c>
      <c r="S1734" s="2" t="s">
        <v>491</v>
      </c>
      <c r="T1734" s="2" t="s">
        <v>492</v>
      </c>
      <c r="U1734" s="2" t="s">
        <v>11690</v>
      </c>
      <c r="V1734" s="2" t="s">
        <v>59</v>
      </c>
      <c r="W1734" s="2">
        <v>37.299999999999997</v>
      </c>
      <c r="X1734" s="2">
        <v>0</v>
      </c>
      <c r="Y1734" s="2" t="s">
        <v>394</v>
      </c>
      <c r="Z1734" s="2" t="s">
        <v>11691</v>
      </c>
      <c r="AA1734" s="2">
        <v>-0.49769725665845499</v>
      </c>
      <c r="AB1734" s="2">
        <v>0.466755772800378</v>
      </c>
      <c r="AC1734" s="2">
        <v>24501.633821252901</v>
      </c>
      <c r="AD1734" s="2">
        <v>40483.215286971303</v>
      </c>
      <c r="AE1734" s="2">
        <v>20640.303414916601</v>
      </c>
      <c r="AF1734" s="2">
        <v>25434.368488186799</v>
      </c>
      <c r="AG1734" s="2">
        <v>25395.683655070101</v>
      </c>
      <c r="AH1734" s="2">
        <v>30439.799099774398</v>
      </c>
      <c r="AI1734" s="2">
        <v>23319.204351244302</v>
      </c>
      <c r="AJ1734" s="2">
        <v>21780.443918325302</v>
      </c>
      <c r="AK1734" s="2">
        <v>42556.213021074298</v>
      </c>
      <c r="AL1734" s="2">
        <v>39634.974443584797</v>
      </c>
      <c r="AM1734" s="2">
        <v>40213.5503223618</v>
      </c>
      <c r="AN1734" s="2">
        <v>31305.782313449901</v>
      </c>
      <c r="AO1734" s="2">
        <v>45607.894856863197</v>
      </c>
      <c r="AP1734" s="2">
        <v>43580.876764493703</v>
      </c>
    </row>
    <row r="1735" spans="1:42" ht="14.5" x14ac:dyDescent="0.35">
      <c r="A1735" s="2" t="s">
        <v>11692</v>
      </c>
      <c r="B1735" s="2">
        <v>331.09996738022301</v>
      </c>
      <c r="C1735" s="2">
        <v>3.7521499999999999</v>
      </c>
      <c r="D1735" s="2" t="s">
        <v>34</v>
      </c>
      <c r="E1735" s="2" t="s">
        <v>11693</v>
      </c>
      <c r="F1735" s="2">
        <v>47336</v>
      </c>
      <c r="G1735" s="3" t="str">
        <f>HYPERLINK("http://funmeta.oebiotech.com/network/47336", "http://funmeta.oebiotech.com/network/47336")</f>
        <v>http://funmeta.oebiotech.com/network/47336</v>
      </c>
      <c r="H1735" s="2" t="s">
        <v>11694</v>
      </c>
      <c r="I1735" s="2"/>
      <c r="J1735" s="2"/>
      <c r="K1735" s="2"/>
      <c r="L1735" s="2"/>
      <c r="M1735" s="2"/>
      <c r="N1735" s="2"/>
      <c r="O1735" s="2">
        <v>131878633</v>
      </c>
      <c r="P1735" s="2" t="s">
        <v>11695</v>
      </c>
      <c r="Q1735" s="2" t="s">
        <v>11696</v>
      </c>
      <c r="R1735" s="2" t="s">
        <v>11697</v>
      </c>
      <c r="S1735" s="2" t="s">
        <v>79</v>
      </c>
      <c r="T1735" s="2" t="s">
        <v>80</v>
      </c>
      <c r="U1735" s="2" t="s">
        <v>81</v>
      </c>
      <c r="V1735" s="2" t="s">
        <v>59</v>
      </c>
      <c r="W1735" s="2">
        <v>40.4</v>
      </c>
      <c r="X1735" s="2">
        <v>10.1</v>
      </c>
      <c r="Y1735" s="2" t="s">
        <v>470</v>
      </c>
      <c r="Z1735" s="2" t="s">
        <v>11698</v>
      </c>
      <c r="AA1735" s="2">
        <v>-4.3417594355293501</v>
      </c>
      <c r="AB1735" s="2">
        <v>0.46634785556706598</v>
      </c>
      <c r="AC1735" s="2">
        <v>297173.45932805102</v>
      </c>
      <c r="AD1735" s="2">
        <v>276455.39171855699</v>
      </c>
      <c r="AE1735" s="2">
        <v>287752.79803755699</v>
      </c>
      <c r="AF1735" s="2">
        <v>302654.43841965799</v>
      </c>
      <c r="AG1735" s="2">
        <v>305160.32946684799</v>
      </c>
      <c r="AH1735" s="2">
        <v>295622.92786068702</v>
      </c>
      <c r="AI1735" s="2">
        <v>308895.34168287599</v>
      </c>
      <c r="AJ1735" s="2">
        <v>282954.92050067999</v>
      </c>
      <c r="AK1735" s="2">
        <v>273502.91292242799</v>
      </c>
      <c r="AL1735" s="2">
        <v>258268.54597111899</v>
      </c>
      <c r="AM1735" s="2">
        <v>290000.13315093098</v>
      </c>
      <c r="AN1735" s="2">
        <v>291741.83595008199</v>
      </c>
      <c r="AO1735" s="2">
        <v>276799.03986418399</v>
      </c>
      <c r="AP1735" s="2">
        <v>268419.88245259802</v>
      </c>
    </row>
    <row r="1736" spans="1:42" ht="14.5" x14ac:dyDescent="0.35">
      <c r="A1736" s="2" t="s">
        <v>11699</v>
      </c>
      <c r="B1736" s="2">
        <v>613.37139155829198</v>
      </c>
      <c r="C1736" s="2">
        <v>11.18065</v>
      </c>
      <c r="D1736" s="2" t="s">
        <v>34</v>
      </c>
      <c r="E1736" s="2" t="s">
        <v>11700</v>
      </c>
      <c r="F1736" s="2">
        <v>208207</v>
      </c>
      <c r="G1736" s="3" t="str">
        <f>HYPERLINK("http://funmeta.oebiotech.com/network/208207", "http://funmeta.oebiotech.com/network/208207")</f>
        <v>http://funmeta.oebiotech.com/network/208207</v>
      </c>
      <c r="H1736" s="2" t="s">
        <v>11701</v>
      </c>
      <c r="I1736" s="2"/>
      <c r="J1736" s="2"/>
      <c r="K1736" s="2"/>
      <c r="L1736" s="2"/>
      <c r="M1736" s="2"/>
      <c r="N1736" s="2"/>
      <c r="O1736" s="2">
        <v>3888</v>
      </c>
      <c r="P1736" s="2"/>
      <c r="Q1736" s="2" t="s">
        <v>11702</v>
      </c>
      <c r="R1736" s="2" t="s">
        <v>11703</v>
      </c>
      <c r="S1736" s="2" t="s">
        <v>50</v>
      </c>
      <c r="T1736" s="2" t="s">
        <v>201</v>
      </c>
      <c r="U1736" s="2" t="s">
        <v>202</v>
      </c>
      <c r="V1736" s="2" t="s">
        <v>59</v>
      </c>
      <c r="W1736" s="2">
        <v>44.2</v>
      </c>
      <c r="X1736" s="2">
        <v>24</v>
      </c>
      <c r="Y1736" s="2" t="s">
        <v>568</v>
      </c>
      <c r="Z1736" s="2" t="s">
        <v>11704</v>
      </c>
      <c r="AA1736" s="2">
        <v>0.51185520430664699</v>
      </c>
      <c r="AB1736" s="2">
        <v>0.46604559489543401</v>
      </c>
      <c r="AC1736" s="2">
        <v>78779.562373747205</v>
      </c>
      <c r="AD1736" s="2">
        <v>62232.041961445597</v>
      </c>
      <c r="AE1736" s="2">
        <v>82100.337682953003</v>
      </c>
      <c r="AF1736" s="2">
        <v>74037.482695671803</v>
      </c>
      <c r="AG1736" s="2">
        <v>78090.945212466206</v>
      </c>
      <c r="AH1736" s="2">
        <v>82691.859876952105</v>
      </c>
      <c r="AI1736" s="2">
        <v>69922.949547599404</v>
      </c>
      <c r="AJ1736" s="2">
        <v>85833.799226841002</v>
      </c>
      <c r="AK1736" s="2">
        <v>68864.358058293699</v>
      </c>
      <c r="AL1736" s="2">
        <v>67627.003244427004</v>
      </c>
      <c r="AM1736" s="2">
        <v>62661.452490834097</v>
      </c>
      <c r="AN1736" s="2">
        <v>59271.688063391302</v>
      </c>
      <c r="AO1736" s="2">
        <v>57973.334328804202</v>
      </c>
      <c r="AP1736" s="2">
        <v>56994.415582923299</v>
      </c>
    </row>
    <row r="1737" spans="1:42" ht="14.5" x14ac:dyDescent="0.35">
      <c r="A1737" s="2" t="s">
        <v>11705</v>
      </c>
      <c r="B1737" s="2">
        <v>286.97213254637302</v>
      </c>
      <c r="C1737" s="2">
        <v>1.27495</v>
      </c>
      <c r="D1737" s="2" t="s">
        <v>34</v>
      </c>
      <c r="E1737" s="2" t="s">
        <v>11706</v>
      </c>
      <c r="F1737" s="2">
        <v>210197</v>
      </c>
      <c r="G1737" s="3" t="str">
        <f>HYPERLINK("http://funmeta.oebiotech.com/network/210197", "http://funmeta.oebiotech.com/network/210197")</f>
        <v>http://funmeta.oebiotech.com/network/210197</v>
      </c>
      <c r="H1737" s="2" t="s">
        <v>11707</v>
      </c>
      <c r="I1737" s="2">
        <v>346583</v>
      </c>
      <c r="J1737" s="2"/>
      <c r="K1737" s="2">
        <v>83491</v>
      </c>
      <c r="L1737" s="2"/>
      <c r="M1737" s="2"/>
      <c r="N1737" s="2"/>
      <c r="O1737" s="2">
        <v>75921</v>
      </c>
      <c r="P1737" s="2"/>
      <c r="Q1737" s="2" t="s">
        <v>11708</v>
      </c>
      <c r="R1737" s="2" t="s">
        <v>11709</v>
      </c>
      <c r="S1737" s="2" t="s">
        <v>2811</v>
      </c>
      <c r="T1737" s="2" t="s">
        <v>2812</v>
      </c>
      <c r="U1737" s="2" t="s">
        <v>2813</v>
      </c>
      <c r="V1737" s="2" t="s">
        <v>59</v>
      </c>
      <c r="W1737" s="2">
        <v>41.8</v>
      </c>
      <c r="X1737" s="2">
        <v>16.2</v>
      </c>
      <c r="Y1737" s="2" t="s">
        <v>323</v>
      </c>
      <c r="Z1737" s="2" t="s">
        <v>11710</v>
      </c>
      <c r="AA1737" s="2">
        <v>-1.40684975259376</v>
      </c>
      <c r="AB1737" s="2">
        <v>0.46591033276772797</v>
      </c>
      <c r="AC1737" s="2">
        <v>65908.448682179296</v>
      </c>
      <c r="AD1737" s="2">
        <v>81939.167036898798</v>
      </c>
      <c r="AE1737" s="2">
        <v>66898.580088306902</v>
      </c>
      <c r="AF1737" s="2">
        <v>71104.009456778906</v>
      </c>
      <c r="AG1737" s="2">
        <v>63291.099854424901</v>
      </c>
      <c r="AH1737" s="2">
        <v>68510.471215122103</v>
      </c>
      <c r="AI1737" s="2">
        <v>64303.264449435497</v>
      </c>
      <c r="AJ1737" s="2">
        <v>61343.267029007402</v>
      </c>
      <c r="AK1737" s="2">
        <v>89435.7813958154</v>
      </c>
      <c r="AL1737" s="2">
        <v>81527.083238229097</v>
      </c>
      <c r="AM1737" s="2">
        <v>82992.718235056105</v>
      </c>
      <c r="AN1737" s="2">
        <v>82206.584033817693</v>
      </c>
      <c r="AO1737" s="2">
        <v>82451.643195277793</v>
      </c>
      <c r="AP1737" s="2">
        <v>73021.192123196495</v>
      </c>
    </row>
    <row r="1738" spans="1:42" ht="14.5" x14ac:dyDescent="0.35">
      <c r="A1738" s="2" t="s">
        <v>11711</v>
      </c>
      <c r="B1738" s="2">
        <v>411.28881159154002</v>
      </c>
      <c r="C1738" s="2">
        <v>6.4662166666666696</v>
      </c>
      <c r="D1738" s="2" t="s">
        <v>34</v>
      </c>
      <c r="E1738" s="2" t="s">
        <v>11712</v>
      </c>
      <c r="F1738" s="2">
        <v>93663</v>
      </c>
      <c r="G1738" s="3" t="str">
        <f>HYPERLINK("http://funmeta.oebiotech.com/network/93663", "http://funmeta.oebiotech.com/network/93663")</f>
        <v>http://funmeta.oebiotech.com/network/93663</v>
      </c>
      <c r="H1738" s="2" t="s">
        <v>11713</v>
      </c>
      <c r="I1738" s="2"/>
      <c r="J1738" s="2"/>
      <c r="K1738" s="2"/>
      <c r="L1738" s="2"/>
      <c r="M1738" s="2"/>
      <c r="N1738" s="2"/>
      <c r="O1738" s="2"/>
      <c r="P1738" s="2"/>
      <c r="Q1738" s="2" t="s">
        <v>11714</v>
      </c>
      <c r="R1738" s="2" t="s">
        <v>11715</v>
      </c>
      <c r="S1738" s="2" t="s">
        <v>50</v>
      </c>
      <c r="T1738" s="2" t="s">
        <v>448</v>
      </c>
      <c r="U1738" s="2" t="s">
        <v>7051</v>
      </c>
      <c r="V1738" s="2" t="s">
        <v>59</v>
      </c>
      <c r="W1738" s="2">
        <v>38.200000000000003</v>
      </c>
      <c r="X1738" s="2">
        <v>0</v>
      </c>
      <c r="Y1738" s="2" t="s">
        <v>340</v>
      </c>
      <c r="Z1738" s="2" t="s">
        <v>11716</v>
      </c>
      <c r="AA1738" s="2">
        <v>4.5487865485396597</v>
      </c>
      <c r="AB1738" s="2">
        <v>0.465844183607594</v>
      </c>
      <c r="AC1738" s="2">
        <v>16139.059709720301</v>
      </c>
      <c r="AD1738" s="2">
        <v>30532.910144953701</v>
      </c>
      <c r="AE1738" s="2">
        <v>16080.577296077399</v>
      </c>
      <c r="AF1738" s="2">
        <v>16181.5128005064</v>
      </c>
      <c r="AG1738" s="2">
        <v>17953.178241371301</v>
      </c>
      <c r="AH1738" s="2">
        <v>15269.794029961</v>
      </c>
      <c r="AI1738" s="2">
        <v>16111.711930715001</v>
      </c>
      <c r="AJ1738" s="2">
        <v>15237.583959690701</v>
      </c>
      <c r="AK1738" s="2">
        <v>31924.132100740801</v>
      </c>
      <c r="AL1738" s="2">
        <v>30378.0026697338</v>
      </c>
      <c r="AM1738" s="2">
        <v>29407.100161573399</v>
      </c>
      <c r="AN1738" s="2">
        <v>29813.003175729202</v>
      </c>
      <c r="AO1738" s="2">
        <v>29581.577504324101</v>
      </c>
      <c r="AP1738" s="2">
        <v>32093.645257620701</v>
      </c>
    </row>
    <row r="1739" spans="1:42" ht="14.5" x14ac:dyDescent="0.35">
      <c r="A1739" s="2" t="s">
        <v>11717</v>
      </c>
      <c r="B1739" s="2">
        <v>232.057964511748</v>
      </c>
      <c r="C1739" s="2">
        <v>3.8609</v>
      </c>
      <c r="D1739" s="2" t="s">
        <v>34</v>
      </c>
      <c r="E1739" s="2" t="s">
        <v>11718</v>
      </c>
      <c r="F1739" s="2">
        <v>82276</v>
      </c>
      <c r="G1739" s="3" t="str">
        <f>HYPERLINK("http://funmeta.oebiotech.com/network/82276", "http://funmeta.oebiotech.com/network/82276")</f>
        <v>http://funmeta.oebiotech.com/network/82276</v>
      </c>
      <c r="H1739" s="2" t="s">
        <v>11719</v>
      </c>
      <c r="I1739" s="2"/>
      <c r="J1739" s="2"/>
      <c r="K1739" s="2">
        <v>80589</v>
      </c>
      <c r="L1739" s="2" t="s">
        <v>11720</v>
      </c>
      <c r="M1739" s="2" t="s">
        <v>11721</v>
      </c>
      <c r="N1739" s="2" t="s">
        <v>11722</v>
      </c>
      <c r="O1739" s="2">
        <v>3025746</v>
      </c>
      <c r="P1739" s="2"/>
      <c r="Q1739" s="2" t="s">
        <v>11723</v>
      </c>
      <c r="R1739" s="2" t="s">
        <v>11724</v>
      </c>
      <c r="S1739" s="2" t="s">
        <v>148</v>
      </c>
      <c r="T1739" s="2" t="s">
        <v>149</v>
      </c>
      <c r="U1739" s="2" t="s">
        <v>41</v>
      </c>
      <c r="V1739" s="2" t="s">
        <v>59</v>
      </c>
      <c r="W1739" s="2">
        <v>44.9</v>
      </c>
      <c r="X1739" s="2">
        <v>28.9</v>
      </c>
      <c r="Y1739" s="2" t="s">
        <v>323</v>
      </c>
      <c r="Z1739" s="2" t="s">
        <v>11725</v>
      </c>
      <c r="AA1739" s="2">
        <v>-0.30613874072861902</v>
      </c>
      <c r="AB1739" s="2">
        <v>0.46525344514838501</v>
      </c>
      <c r="AC1739" s="2">
        <v>30511.0529369428</v>
      </c>
      <c r="AD1739" s="2">
        <v>44985.750161374097</v>
      </c>
      <c r="AE1739" s="2">
        <v>30526.127930032701</v>
      </c>
      <c r="AF1739" s="2">
        <v>28724.205430096099</v>
      </c>
      <c r="AG1739" s="2">
        <v>30795.988084061901</v>
      </c>
      <c r="AH1739" s="2">
        <v>31183.312170585501</v>
      </c>
      <c r="AI1739" s="2">
        <v>33157.498557242703</v>
      </c>
      <c r="AJ1739" s="2">
        <v>28679.185449638</v>
      </c>
      <c r="AK1739" s="2">
        <v>46057.752799673799</v>
      </c>
      <c r="AL1739" s="2">
        <v>41963.0079535603</v>
      </c>
      <c r="AM1739" s="2">
        <v>44270.117927770298</v>
      </c>
      <c r="AN1739" s="2">
        <v>45256.6288571607</v>
      </c>
      <c r="AO1739" s="2">
        <v>45584.6524177553</v>
      </c>
      <c r="AP1739" s="2">
        <v>46782.341012324003</v>
      </c>
    </row>
    <row r="1740" spans="1:42" ht="14.5" x14ac:dyDescent="0.35">
      <c r="A1740" s="2" t="s">
        <v>11726</v>
      </c>
      <c r="B1740" s="2">
        <v>320.13975599322902</v>
      </c>
      <c r="C1740" s="2">
        <v>3.2905500000000001</v>
      </c>
      <c r="D1740" s="2" t="s">
        <v>34</v>
      </c>
      <c r="E1740" s="2" t="s">
        <v>11727</v>
      </c>
      <c r="F1740" s="2">
        <v>303100</v>
      </c>
      <c r="G1740" s="3" t="str">
        <f>HYPERLINK("http://funmeta.oebiotech.com/network/303100", "http://funmeta.oebiotech.com/network/303100")</f>
        <v>http://funmeta.oebiotech.com/network/303100</v>
      </c>
      <c r="H1740" s="2"/>
      <c r="I1740" s="2">
        <v>329058</v>
      </c>
      <c r="J1740" s="2"/>
      <c r="K1740" s="2"/>
      <c r="L1740" s="2"/>
      <c r="M1740" s="2"/>
      <c r="N1740" s="2"/>
      <c r="O1740" s="2">
        <v>70446</v>
      </c>
      <c r="P1740" s="2"/>
      <c r="Q1740" s="2" t="s">
        <v>11728</v>
      </c>
      <c r="R1740" s="2" t="s">
        <v>11729</v>
      </c>
      <c r="S1740" s="2" t="s">
        <v>89</v>
      </c>
      <c r="T1740" s="2" t="s">
        <v>6048</v>
      </c>
      <c r="U1740" s="2" t="s">
        <v>11730</v>
      </c>
      <c r="V1740" s="2" t="s">
        <v>59</v>
      </c>
      <c r="W1740" s="2">
        <v>37.1</v>
      </c>
      <c r="X1740" s="2">
        <v>0</v>
      </c>
      <c r="Y1740" s="2" t="s">
        <v>43</v>
      </c>
      <c r="Z1740" s="2" t="s">
        <v>11731</v>
      </c>
      <c r="AA1740" s="2">
        <v>3.7030730564823702</v>
      </c>
      <c r="AB1740" s="2">
        <v>0.46509243740933398</v>
      </c>
      <c r="AC1740" s="2">
        <v>16654.090534697301</v>
      </c>
      <c r="AD1740" s="2">
        <v>31073.6195489192</v>
      </c>
      <c r="AE1740" s="2">
        <v>16678.318922304399</v>
      </c>
      <c r="AF1740" s="2">
        <v>15288.966655620499</v>
      </c>
      <c r="AG1740" s="2">
        <v>16486.3196746307</v>
      </c>
      <c r="AH1740" s="2">
        <v>15873.9600177222</v>
      </c>
      <c r="AI1740" s="2">
        <v>17627.046749885601</v>
      </c>
      <c r="AJ1740" s="2">
        <v>17969.931188020699</v>
      </c>
      <c r="AK1740" s="2">
        <v>28480.650783196201</v>
      </c>
      <c r="AL1740" s="2">
        <v>33450.028810565098</v>
      </c>
      <c r="AM1740" s="2">
        <v>30871.830089652201</v>
      </c>
      <c r="AN1740" s="2">
        <v>30798.561169462399</v>
      </c>
      <c r="AO1740" s="2">
        <v>32673.184114387601</v>
      </c>
      <c r="AP1740" s="2">
        <v>30167.462326251702</v>
      </c>
    </row>
    <row r="1741" spans="1:42" ht="14.5" x14ac:dyDescent="0.35">
      <c r="A1741" s="2" t="s">
        <v>11732</v>
      </c>
      <c r="B1741" s="2">
        <v>267.26793565857901</v>
      </c>
      <c r="C1741" s="2">
        <v>11.889900000000001</v>
      </c>
      <c r="D1741" s="2" t="s">
        <v>34</v>
      </c>
      <c r="E1741" s="2" t="s">
        <v>11733</v>
      </c>
      <c r="F1741" s="2">
        <v>6027</v>
      </c>
      <c r="G1741" s="3" t="str">
        <f>HYPERLINK("http://funmeta.oebiotech.com/network/6027", "http://funmeta.oebiotech.com/network/6027")</f>
        <v>http://funmeta.oebiotech.com/network/6027</v>
      </c>
      <c r="H1741" s="2"/>
      <c r="I1741" s="2">
        <v>36504</v>
      </c>
      <c r="J1741" s="2" t="s">
        <v>11734</v>
      </c>
      <c r="K1741" s="2"/>
      <c r="L1741" s="2"/>
      <c r="M1741" s="2"/>
      <c r="N1741" s="2"/>
      <c r="O1741" s="2">
        <v>5283296</v>
      </c>
      <c r="P1741" s="2"/>
      <c r="Q1741" s="2" t="s">
        <v>11735</v>
      </c>
      <c r="R1741" s="2" t="s">
        <v>11736</v>
      </c>
      <c r="S1741" s="2" t="s">
        <v>50</v>
      </c>
      <c r="T1741" s="2" t="s">
        <v>229</v>
      </c>
      <c r="U1741" s="2" t="s">
        <v>1283</v>
      </c>
      <c r="V1741" s="2" t="s">
        <v>42</v>
      </c>
      <c r="W1741" s="2">
        <v>39.299999999999997</v>
      </c>
      <c r="X1741" s="2">
        <v>47.9</v>
      </c>
      <c r="Y1741" s="2" t="s">
        <v>394</v>
      </c>
      <c r="Z1741" s="2" t="s">
        <v>11737</v>
      </c>
      <c r="AA1741" s="2">
        <v>-1.1510638083848199</v>
      </c>
      <c r="AB1741" s="2">
        <v>0.46464303555033398</v>
      </c>
      <c r="AC1741" s="2">
        <v>39591.001324435303</v>
      </c>
      <c r="AD1741" s="2">
        <v>23780.393178910799</v>
      </c>
      <c r="AE1741" s="2">
        <v>44779.835490808</v>
      </c>
      <c r="AF1741" s="2">
        <v>34682.862022309302</v>
      </c>
      <c r="AG1741" s="2">
        <v>40374.256969963702</v>
      </c>
      <c r="AH1741" s="2">
        <v>37195.065656678998</v>
      </c>
      <c r="AI1741" s="2">
        <v>44376.767736920898</v>
      </c>
      <c r="AJ1741" s="2">
        <v>36137.220069930598</v>
      </c>
      <c r="AK1741" s="2">
        <v>22163.589372366401</v>
      </c>
      <c r="AL1741" s="2">
        <v>29254.512115880199</v>
      </c>
      <c r="AM1741" s="2">
        <v>22836.5580632608</v>
      </c>
      <c r="AN1741" s="2">
        <v>28524.556443631001</v>
      </c>
      <c r="AO1741" s="2">
        <v>20202.1107045155</v>
      </c>
      <c r="AP1741" s="2">
        <v>19701.0323738109</v>
      </c>
    </row>
    <row r="1742" spans="1:42" ht="14.5" x14ac:dyDescent="0.35">
      <c r="A1742" s="2" t="s">
        <v>11738</v>
      </c>
      <c r="B1742" s="2">
        <v>754.37698384000305</v>
      </c>
      <c r="C1742" s="2">
        <v>9.2734333333333296</v>
      </c>
      <c r="D1742" s="2" t="s">
        <v>34</v>
      </c>
      <c r="E1742" s="2" t="s">
        <v>11739</v>
      </c>
      <c r="F1742" s="2">
        <v>27995</v>
      </c>
      <c r="G1742" s="3" t="str">
        <f>HYPERLINK("http://funmeta.oebiotech.com/network/27995", "http://funmeta.oebiotech.com/network/27995")</f>
        <v>http://funmeta.oebiotech.com/network/27995</v>
      </c>
      <c r="H1742" s="2"/>
      <c r="I1742" s="2"/>
      <c r="J1742" s="2" t="s">
        <v>11740</v>
      </c>
      <c r="K1742" s="2"/>
      <c r="L1742" s="2"/>
      <c r="M1742" s="2"/>
      <c r="N1742" s="2"/>
      <c r="O1742" s="2">
        <v>134812442</v>
      </c>
      <c r="P1742" s="2"/>
      <c r="Q1742" s="2" t="s">
        <v>11741</v>
      </c>
      <c r="R1742" s="2" t="s">
        <v>11742</v>
      </c>
      <c r="S1742" s="2" t="s">
        <v>50</v>
      </c>
      <c r="T1742" s="2" t="s">
        <v>51</v>
      </c>
      <c r="U1742" s="2" t="s">
        <v>52</v>
      </c>
      <c r="V1742" s="2" t="s">
        <v>59</v>
      </c>
      <c r="W1742" s="2">
        <v>38.700000000000003</v>
      </c>
      <c r="X1742" s="2">
        <v>0</v>
      </c>
      <c r="Y1742" s="2" t="s">
        <v>43</v>
      </c>
      <c r="Z1742" s="2" t="s">
        <v>11743</v>
      </c>
      <c r="AA1742" s="2">
        <v>-0.47456300400184898</v>
      </c>
      <c r="AB1742" s="2">
        <v>0.46417904366701401</v>
      </c>
      <c r="AC1742" s="2">
        <v>17986.2405762737</v>
      </c>
      <c r="AD1742" s="2">
        <v>3671.5746979879</v>
      </c>
      <c r="AE1742" s="2">
        <v>19656.863040547902</v>
      </c>
      <c r="AF1742" s="2">
        <v>17350.0252347278</v>
      </c>
      <c r="AG1742" s="2">
        <v>15295.324274119201</v>
      </c>
      <c r="AH1742" s="2">
        <v>18754.023523647102</v>
      </c>
      <c r="AI1742" s="2">
        <v>17473.507166444298</v>
      </c>
      <c r="AJ1742" s="2">
        <v>19387.7002181557</v>
      </c>
      <c r="AK1742" s="2">
        <v>3977.8689097910201</v>
      </c>
      <c r="AL1742" s="2">
        <v>4401.82254202282</v>
      </c>
      <c r="AM1742" s="2">
        <v>3176.92843842404</v>
      </c>
      <c r="AN1742" s="2">
        <v>2580.1835450787999</v>
      </c>
      <c r="AO1742" s="2">
        <v>4464.1978924659898</v>
      </c>
      <c r="AP1742" s="2">
        <v>3428.4468601447102</v>
      </c>
    </row>
    <row r="1743" spans="1:42" ht="14.5" x14ac:dyDescent="0.35">
      <c r="A1743" s="2" t="s">
        <v>11744</v>
      </c>
      <c r="B1743" s="2">
        <v>549.32790091664901</v>
      </c>
      <c r="C1743" s="2">
        <v>7.6856999999999998</v>
      </c>
      <c r="D1743" s="2" t="s">
        <v>70</v>
      </c>
      <c r="E1743" s="2" t="s">
        <v>11745</v>
      </c>
      <c r="F1743" s="2">
        <v>211037</v>
      </c>
      <c r="G1743" s="3" t="str">
        <f>HYPERLINK("http://funmeta.oebiotech.com/network/211037", "http://funmeta.oebiotech.com/network/211037")</f>
        <v>http://funmeta.oebiotech.com/network/211037</v>
      </c>
      <c r="H1743" s="2" t="s">
        <v>11746</v>
      </c>
      <c r="I1743" s="2"/>
      <c r="J1743" s="2"/>
      <c r="K1743" s="2"/>
      <c r="L1743" s="2"/>
      <c r="M1743" s="2"/>
      <c r="N1743" s="2"/>
      <c r="O1743" s="2">
        <v>58475060</v>
      </c>
      <c r="P1743" s="2"/>
      <c r="Q1743" s="2" t="s">
        <v>11747</v>
      </c>
      <c r="R1743" s="2" t="s">
        <v>11748</v>
      </c>
      <c r="S1743" s="2" t="s">
        <v>50</v>
      </c>
      <c r="T1743" s="2" t="s">
        <v>229</v>
      </c>
      <c r="U1743" s="2" t="s">
        <v>230</v>
      </c>
      <c r="V1743" s="2" t="s">
        <v>42</v>
      </c>
      <c r="W1743" s="2">
        <v>52.2</v>
      </c>
      <c r="X1743" s="2">
        <v>66.400000000000006</v>
      </c>
      <c r="Y1743" s="2" t="s">
        <v>408</v>
      </c>
      <c r="Z1743" s="2" t="s">
        <v>11749</v>
      </c>
      <c r="AA1743" s="2">
        <v>-0.26781828488562198</v>
      </c>
      <c r="AB1743" s="2">
        <v>0.46363022153676797</v>
      </c>
      <c r="AC1743" s="2">
        <v>24151.475635334598</v>
      </c>
      <c r="AD1743" s="2">
        <v>8947.1829341022003</v>
      </c>
      <c r="AE1743" s="2">
        <v>24484.390904124499</v>
      </c>
      <c r="AF1743" s="2">
        <v>16090.070633621501</v>
      </c>
      <c r="AG1743" s="2">
        <v>29602.0171402577</v>
      </c>
      <c r="AH1743" s="2">
        <v>27640.856125501799</v>
      </c>
      <c r="AI1743" s="2">
        <v>22720.275683029398</v>
      </c>
      <c r="AJ1743" s="2">
        <v>24371.2433254725</v>
      </c>
      <c r="AK1743" s="2">
        <v>9069.7199011033008</v>
      </c>
      <c r="AL1743" s="2">
        <v>8670.0949266630796</v>
      </c>
      <c r="AM1743" s="2">
        <v>9482.30892587585</v>
      </c>
      <c r="AN1743" s="2">
        <v>8708.9040949894097</v>
      </c>
      <c r="AO1743" s="2">
        <v>10162.0893780059</v>
      </c>
      <c r="AP1743" s="2">
        <v>7589.9803779756703</v>
      </c>
    </row>
    <row r="1744" spans="1:42" ht="14.5" x14ac:dyDescent="0.35">
      <c r="A1744" s="2" t="s">
        <v>11750</v>
      </c>
      <c r="B1744" s="2">
        <v>574.30084735649496</v>
      </c>
      <c r="C1744" s="2">
        <v>8.4891833333333295</v>
      </c>
      <c r="D1744" s="2" t="s">
        <v>34</v>
      </c>
      <c r="E1744" s="2" t="s">
        <v>11751</v>
      </c>
      <c r="F1744" s="2">
        <v>54303</v>
      </c>
      <c r="G1744" s="3" t="str">
        <f>HYPERLINK("http://funmeta.oebiotech.com/network/54303", "http://funmeta.oebiotech.com/network/54303")</f>
        <v>http://funmeta.oebiotech.com/network/54303</v>
      </c>
      <c r="H1744" s="2" t="s">
        <v>11752</v>
      </c>
      <c r="I1744" s="2"/>
      <c r="J1744" s="2"/>
      <c r="K1744" s="2"/>
      <c r="L1744" s="2"/>
      <c r="M1744" s="2"/>
      <c r="N1744" s="2"/>
      <c r="O1744" s="2"/>
      <c r="P1744" s="2" t="s">
        <v>11753</v>
      </c>
      <c r="Q1744" s="2" t="s">
        <v>11754</v>
      </c>
      <c r="R1744" s="2" t="s">
        <v>11755</v>
      </c>
      <c r="S1744" s="2" t="s">
        <v>89</v>
      </c>
      <c r="T1744" s="2" t="s">
        <v>90</v>
      </c>
      <c r="U1744" s="2" t="s">
        <v>99</v>
      </c>
      <c r="V1744" s="2" t="s">
        <v>59</v>
      </c>
      <c r="W1744" s="2">
        <v>39.299999999999997</v>
      </c>
      <c r="X1744" s="2">
        <v>15</v>
      </c>
      <c r="Y1744" s="2" t="s">
        <v>141</v>
      </c>
      <c r="Z1744" s="2" t="s">
        <v>11756</v>
      </c>
      <c r="AA1744" s="2">
        <v>-2.61869584012888</v>
      </c>
      <c r="AB1744" s="2">
        <v>0.46345538650878199</v>
      </c>
      <c r="AC1744" s="2">
        <v>69467.033642745097</v>
      </c>
      <c r="AD1744" s="2">
        <v>88632.099165161504</v>
      </c>
      <c r="AE1744" s="2">
        <v>60793.938110227296</v>
      </c>
      <c r="AF1744" s="2">
        <v>80453.424119898002</v>
      </c>
      <c r="AG1744" s="2">
        <v>67928.043537518897</v>
      </c>
      <c r="AH1744" s="2">
        <v>66288.091839086497</v>
      </c>
      <c r="AI1744" s="2">
        <v>65434.019405486601</v>
      </c>
      <c r="AJ1744" s="2">
        <v>75904.684844253396</v>
      </c>
      <c r="AK1744" s="2">
        <v>75595.797341577607</v>
      </c>
      <c r="AL1744" s="2">
        <v>106806.837013326</v>
      </c>
      <c r="AM1744" s="2">
        <v>86956.964231456106</v>
      </c>
      <c r="AN1744" s="2">
        <v>97269.320099318298</v>
      </c>
      <c r="AO1744" s="2">
        <v>82727.087317829501</v>
      </c>
      <c r="AP1744" s="2">
        <v>82436.588987461801</v>
      </c>
    </row>
    <row r="1745" spans="1:42" ht="14.5" x14ac:dyDescent="0.35">
      <c r="A1745" s="2" t="s">
        <v>11757</v>
      </c>
      <c r="B1745" s="2">
        <v>642.52982405914202</v>
      </c>
      <c r="C1745" s="2">
        <v>15.015333333333301</v>
      </c>
      <c r="D1745" s="2" t="s">
        <v>34</v>
      </c>
      <c r="E1745" s="2" t="s">
        <v>11758</v>
      </c>
      <c r="F1745" s="2">
        <v>55253</v>
      </c>
      <c r="G1745" s="3" t="str">
        <f>HYPERLINK("http://funmeta.oebiotech.com/network/55253", "http://funmeta.oebiotech.com/network/55253")</f>
        <v>http://funmeta.oebiotech.com/network/55253</v>
      </c>
      <c r="H1745" s="2" t="s">
        <v>11759</v>
      </c>
      <c r="I1745" s="2"/>
      <c r="J1745" s="2"/>
      <c r="K1745" s="2"/>
      <c r="L1745" s="2"/>
      <c r="M1745" s="2"/>
      <c r="N1745" s="2"/>
      <c r="O1745" s="2">
        <v>78172839</v>
      </c>
      <c r="P1745" s="2" t="s">
        <v>11760</v>
      </c>
      <c r="Q1745" s="2" t="s">
        <v>11761</v>
      </c>
      <c r="R1745" s="2" t="s">
        <v>11762</v>
      </c>
      <c r="S1745" s="2" t="s">
        <v>50</v>
      </c>
      <c r="T1745" s="2" t="s">
        <v>229</v>
      </c>
      <c r="U1745" s="2" t="s">
        <v>1283</v>
      </c>
      <c r="V1745" s="2" t="s">
        <v>59</v>
      </c>
      <c r="W1745" s="2">
        <v>39.200000000000003</v>
      </c>
      <c r="X1745" s="2">
        <v>0</v>
      </c>
      <c r="Y1745" s="2" t="s">
        <v>43</v>
      </c>
      <c r="Z1745" s="2" t="s">
        <v>11763</v>
      </c>
      <c r="AA1745" s="2">
        <v>-0.81023438022958205</v>
      </c>
      <c r="AB1745" s="2">
        <v>0.46285932427622301</v>
      </c>
      <c r="AC1745" s="2">
        <v>26613.954766021001</v>
      </c>
      <c r="AD1745" s="2">
        <v>11810.797767792999</v>
      </c>
      <c r="AE1745" s="2">
        <v>24082.057945871798</v>
      </c>
      <c r="AF1745" s="2">
        <v>21413.584293465799</v>
      </c>
      <c r="AG1745" s="2">
        <v>26661.2194821138</v>
      </c>
      <c r="AH1745" s="2">
        <v>28849.9686546587</v>
      </c>
      <c r="AI1745" s="2">
        <v>27340.719554158099</v>
      </c>
      <c r="AJ1745" s="2">
        <v>31336.1786658581</v>
      </c>
      <c r="AK1745" s="2">
        <v>11205.2066105378</v>
      </c>
      <c r="AL1745" s="2">
        <v>10654.965249549001</v>
      </c>
      <c r="AM1745" s="2">
        <v>11718.3955773287</v>
      </c>
      <c r="AN1745" s="2">
        <v>10810.497630648</v>
      </c>
      <c r="AO1745" s="2">
        <v>13126.6342832847</v>
      </c>
      <c r="AP1745" s="2">
        <v>13349.087255409901</v>
      </c>
    </row>
    <row r="1746" spans="1:42" ht="14.5" x14ac:dyDescent="0.35">
      <c r="A1746" s="2" t="s">
        <v>11764</v>
      </c>
      <c r="B1746" s="2">
        <v>718.30730963436201</v>
      </c>
      <c r="C1746" s="2">
        <v>8.7089333333333308</v>
      </c>
      <c r="D1746" s="2" t="s">
        <v>34</v>
      </c>
      <c r="E1746" s="2" t="s">
        <v>11765</v>
      </c>
      <c r="F1746" s="2">
        <v>213188</v>
      </c>
      <c r="G1746" s="3" t="str">
        <f>HYPERLINK("http://funmeta.oebiotech.com/network/213188", "http://funmeta.oebiotech.com/network/213188")</f>
        <v>http://funmeta.oebiotech.com/network/213188</v>
      </c>
      <c r="H1746" s="2" t="s">
        <v>11766</v>
      </c>
      <c r="I1746" s="2">
        <v>806432</v>
      </c>
      <c r="J1746" s="2"/>
      <c r="K1746" s="2"/>
      <c r="L1746" s="2"/>
      <c r="M1746" s="2"/>
      <c r="N1746" s="2"/>
      <c r="O1746" s="2">
        <v>44135215</v>
      </c>
      <c r="P1746" s="2"/>
      <c r="Q1746" s="2" t="s">
        <v>11767</v>
      </c>
      <c r="R1746" s="2" t="s">
        <v>11768</v>
      </c>
      <c r="S1746" s="2" t="s">
        <v>41</v>
      </c>
      <c r="T1746" s="2" t="s">
        <v>41</v>
      </c>
      <c r="U1746" s="2" t="s">
        <v>41</v>
      </c>
      <c r="V1746" s="2" t="s">
        <v>59</v>
      </c>
      <c r="W1746" s="2">
        <v>38.4</v>
      </c>
      <c r="X1746" s="2">
        <v>0</v>
      </c>
      <c r="Y1746" s="2" t="s">
        <v>323</v>
      </c>
      <c r="Z1746" s="2" t="s">
        <v>11769</v>
      </c>
      <c r="AA1746" s="2">
        <v>0.436375983510851</v>
      </c>
      <c r="AB1746" s="2">
        <v>0.46207450609492601</v>
      </c>
      <c r="AC1746" s="2">
        <v>72347.122361141999</v>
      </c>
      <c r="AD1746" s="2">
        <v>55889.631381183397</v>
      </c>
      <c r="AE1746" s="2">
        <v>71567.394775782595</v>
      </c>
      <c r="AF1746" s="2">
        <v>82551.853670743396</v>
      </c>
      <c r="AG1746" s="2">
        <v>66657.576416456694</v>
      </c>
      <c r="AH1746" s="2">
        <v>65792.114139395402</v>
      </c>
      <c r="AI1746" s="2">
        <v>68682.667380568295</v>
      </c>
      <c r="AJ1746" s="2">
        <v>78831.127783905395</v>
      </c>
      <c r="AK1746" s="2">
        <v>50242.7600248042</v>
      </c>
      <c r="AL1746" s="2">
        <v>52094.574686097301</v>
      </c>
      <c r="AM1746" s="2">
        <v>56141.563623026799</v>
      </c>
      <c r="AN1746" s="2">
        <v>59440.1621322594</v>
      </c>
      <c r="AO1746" s="2">
        <v>58110.1294705533</v>
      </c>
      <c r="AP1746" s="2">
        <v>59308.5983503596</v>
      </c>
    </row>
    <row r="1747" spans="1:42" ht="14.5" x14ac:dyDescent="0.35">
      <c r="A1747" s="2" t="s">
        <v>11770</v>
      </c>
      <c r="B1747" s="2">
        <v>435.271804489972</v>
      </c>
      <c r="C1747" s="2">
        <v>9.7086333333333297</v>
      </c>
      <c r="D1747" s="2" t="s">
        <v>34</v>
      </c>
      <c r="E1747" s="2" t="s">
        <v>11771</v>
      </c>
      <c r="F1747" s="2">
        <v>213597</v>
      </c>
      <c r="G1747" s="3" t="str">
        <f>HYPERLINK("http://funmeta.oebiotech.com/network/213597", "http://funmeta.oebiotech.com/network/213597")</f>
        <v>http://funmeta.oebiotech.com/network/213597</v>
      </c>
      <c r="H1747" s="2" t="s">
        <v>11772</v>
      </c>
      <c r="I1747" s="2"/>
      <c r="J1747" s="2"/>
      <c r="K1747" s="2"/>
      <c r="L1747" s="2"/>
      <c r="M1747" s="2"/>
      <c r="N1747" s="2"/>
      <c r="O1747" s="2"/>
      <c r="P1747" s="2"/>
      <c r="Q1747" s="2" t="s">
        <v>11773</v>
      </c>
      <c r="R1747" s="2" t="s">
        <v>11774</v>
      </c>
      <c r="S1747" s="2" t="s">
        <v>41</v>
      </c>
      <c r="T1747" s="2" t="s">
        <v>41</v>
      </c>
      <c r="U1747" s="2" t="s">
        <v>41</v>
      </c>
      <c r="V1747" s="2" t="s">
        <v>59</v>
      </c>
      <c r="W1747" s="2">
        <v>39.299999999999997</v>
      </c>
      <c r="X1747" s="2">
        <v>2.81</v>
      </c>
      <c r="Y1747" s="2" t="s">
        <v>323</v>
      </c>
      <c r="Z1747" s="2" t="s">
        <v>11775</v>
      </c>
      <c r="AA1747" s="2">
        <v>0.22996322870827099</v>
      </c>
      <c r="AB1747" s="2">
        <v>0.46158837129444302</v>
      </c>
      <c r="AC1747" s="2">
        <v>19935.2377835835</v>
      </c>
      <c r="AD1747" s="2">
        <v>5796.20449360974</v>
      </c>
      <c r="AE1747" s="2">
        <v>21777.837119497501</v>
      </c>
      <c r="AF1747" s="2">
        <v>17627.6905530451</v>
      </c>
      <c r="AG1747" s="2">
        <v>19911.409651022201</v>
      </c>
      <c r="AH1747" s="2">
        <v>20918.476899813199</v>
      </c>
      <c r="AI1747" s="2">
        <v>18668.226397815299</v>
      </c>
      <c r="AJ1747" s="2">
        <v>20707.786080307898</v>
      </c>
      <c r="AK1747" s="2">
        <v>6232.9458196895503</v>
      </c>
      <c r="AL1747" s="2">
        <v>4667.5745922508004</v>
      </c>
      <c r="AM1747" s="2">
        <v>6368.3779254276596</v>
      </c>
      <c r="AN1747" s="2">
        <v>6264.5143005947102</v>
      </c>
      <c r="AO1747" s="2">
        <v>5562.9549051244503</v>
      </c>
      <c r="AP1747" s="2">
        <v>5680.85941857129</v>
      </c>
    </row>
    <row r="1748" spans="1:42" ht="14.5" x14ac:dyDescent="0.35">
      <c r="A1748" s="2" t="s">
        <v>11776</v>
      </c>
      <c r="B1748" s="2">
        <v>343.22663177205698</v>
      </c>
      <c r="C1748" s="2">
        <v>10.1513166666667</v>
      </c>
      <c r="D1748" s="2" t="s">
        <v>34</v>
      </c>
      <c r="E1748" s="2" t="s">
        <v>11777</v>
      </c>
      <c r="F1748" s="2">
        <v>4864</v>
      </c>
      <c r="G1748" s="3" t="str">
        <f>HYPERLINK("http://funmeta.oebiotech.com/network/4864", "http://funmeta.oebiotech.com/network/4864")</f>
        <v>http://funmeta.oebiotech.com/network/4864</v>
      </c>
      <c r="H1748" s="2"/>
      <c r="I1748" s="2">
        <v>75213</v>
      </c>
      <c r="J1748" s="2" t="s">
        <v>11778</v>
      </c>
      <c r="K1748" s="2">
        <v>137360</v>
      </c>
      <c r="L1748" s="2"/>
      <c r="M1748" s="2"/>
      <c r="N1748" s="2"/>
      <c r="O1748" s="2">
        <v>52921994</v>
      </c>
      <c r="P1748" s="2"/>
      <c r="Q1748" s="2" t="s">
        <v>11779</v>
      </c>
      <c r="R1748" s="2" t="s">
        <v>11780</v>
      </c>
      <c r="S1748" s="2" t="s">
        <v>50</v>
      </c>
      <c r="T1748" s="2" t="s">
        <v>229</v>
      </c>
      <c r="U1748" s="2" t="s">
        <v>433</v>
      </c>
      <c r="V1748" s="2" t="s">
        <v>42</v>
      </c>
      <c r="W1748" s="2">
        <v>48.8</v>
      </c>
      <c r="X1748" s="2">
        <v>48.2</v>
      </c>
      <c r="Y1748" s="2" t="s">
        <v>141</v>
      </c>
      <c r="Z1748" s="2" t="s">
        <v>8484</v>
      </c>
      <c r="AA1748" s="2">
        <v>-0.38720373078368497</v>
      </c>
      <c r="AB1748" s="2">
        <v>0.46155285256845002</v>
      </c>
      <c r="AC1748" s="2">
        <v>113704.50396998</v>
      </c>
      <c r="AD1748" s="2">
        <v>128060.046966704</v>
      </c>
      <c r="AE1748" s="2">
        <v>115336.41060550501</v>
      </c>
      <c r="AF1748" s="2">
        <v>114344.018652093</v>
      </c>
      <c r="AG1748" s="2">
        <v>112530.734837262</v>
      </c>
      <c r="AH1748" s="2">
        <v>113939.05775736101</v>
      </c>
      <c r="AI1748" s="2">
        <v>111114.02202043599</v>
      </c>
      <c r="AJ1748" s="2">
        <v>114962.779947224</v>
      </c>
      <c r="AK1748" s="2">
        <v>128094.98546269099</v>
      </c>
      <c r="AL1748" s="2">
        <v>129354.425794119</v>
      </c>
      <c r="AM1748" s="2">
        <v>128228.366253054</v>
      </c>
      <c r="AN1748" s="2">
        <v>127287.630038774</v>
      </c>
      <c r="AO1748" s="2">
        <v>125042.03813445001</v>
      </c>
      <c r="AP1748" s="2">
        <v>130352.83611713399</v>
      </c>
    </row>
    <row r="1749" spans="1:42" ht="14.5" x14ac:dyDescent="0.35">
      <c r="A1749" s="2" t="s">
        <v>11781</v>
      </c>
      <c r="B1749" s="2">
        <v>551.17672351824297</v>
      </c>
      <c r="C1749" s="2">
        <v>5.6913166666666699</v>
      </c>
      <c r="D1749" s="2" t="s">
        <v>70</v>
      </c>
      <c r="E1749" s="2" t="s">
        <v>11782</v>
      </c>
      <c r="F1749" s="2">
        <v>54928</v>
      </c>
      <c r="G1749" s="3" t="str">
        <f>HYPERLINK("http://funmeta.oebiotech.com/network/54928", "http://funmeta.oebiotech.com/network/54928")</f>
        <v>http://funmeta.oebiotech.com/network/54928</v>
      </c>
      <c r="H1749" s="2" t="s">
        <v>11783</v>
      </c>
      <c r="I1749" s="2">
        <v>86716</v>
      </c>
      <c r="J1749" s="2"/>
      <c r="K1749" s="2"/>
      <c r="L1749" s="2"/>
      <c r="M1749" s="2"/>
      <c r="N1749" s="2"/>
      <c r="O1749" s="2">
        <v>181843</v>
      </c>
      <c r="P1749" s="2" t="s">
        <v>11784</v>
      </c>
      <c r="Q1749" s="2" t="s">
        <v>11785</v>
      </c>
      <c r="R1749" s="2" t="s">
        <v>11786</v>
      </c>
      <c r="S1749" s="2" t="s">
        <v>491</v>
      </c>
      <c r="T1749" s="2" t="s">
        <v>1341</v>
      </c>
      <c r="U1749" s="2" t="s">
        <v>41</v>
      </c>
      <c r="V1749" s="2" t="s">
        <v>42</v>
      </c>
      <c r="W1749" s="2">
        <v>50.1</v>
      </c>
      <c r="X1749" s="2">
        <v>55.4</v>
      </c>
      <c r="Y1749" s="2" t="s">
        <v>408</v>
      </c>
      <c r="Z1749" s="2" t="s">
        <v>6245</v>
      </c>
      <c r="AA1749" s="2">
        <v>-0.57515054081249695</v>
      </c>
      <c r="AB1749" s="2">
        <v>0.46138390757546599</v>
      </c>
      <c r="AC1749" s="2">
        <v>22827.520443934201</v>
      </c>
      <c r="AD1749" s="2">
        <v>8548.9078741909598</v>
      </c>
      <c r="AE1749" s="2">
        <v>21788.942003098698</v>
      </c>
      <c r="AF1749" s="2">
        <v>24978.641110737801</v>
      </c>
      <c r="AG1749" s="2">
        <v>21432.0853999674</v>
      </c>
      <c r="AH1749" s="2">
        <v>25716.073327639198</v>
      </c>
      <c r="AI1749" s="2">
        <v>23034.882344537698</v>
      </c>
      <c r="AJ1749" s="2">
        <v>20014.4984776241</v>
      </c>
      <c r="AK1749" s="2">
        <v>8868.29257233918</v>
      </c>
      <c r="AL1749" s="2">
        <v>8072.3300260709002</v>
      </c>
      <c r="AM1749" s="2">
        <v>8058.65114029085</v>
      </c>
      <c r="AN1749" s="2">
        <v>9594.5613183756905</v>
      </c>
      <c r="AO1749" s="2">
        <v>7616.2091951501397</v>
      </c>
      <c r="AP1749" s="2">
        <v>9083.4029929190001</v>
      </c>
    </row>
    <row r="1750" spans="1:42" ht="14.5" x14ac:dyDescent="0.35">
      <c r="A1750" s="2" t="s">
        <v>11787</v>
      </c>
      <c r="B1750" s="2">
        <v>503.14031951139702</v>
      </c>
      <c r="C1750" s="2">
        <v>1.84433333333333</v>
      </c>
      <c r="D1750" s="2" t="s">
        <v>70</v>
      </c>
      <c r="E1750" s="2" t="s">
        <v>11788</v>
      </c>
      <c r="F1750" s="2">
        <v>82570</v>
      </c>
      <c r="G1750" s="3" t="str">
        <f>HYPERLINK("http://funmeta.oebiotech.com/network/82570", "http://funmeta.oebiotech.com/network/82570")</f>
        <v>http://funmeta.oebiotech.com/network/82570</v>
      </c>
      <c r="H1750" s="2" t="s">
        <v>11789</v>
      </c>
      <c r="I1750" s="2"/>
      <c r="J1750" s="2"/>
      <c r="K1750" s="2"/>
      <c r="L1750" s="2"/>
      <c r="M1750" s="2"/>
      <c r="N1750" s="2"/>
      <c r="O1750" s="2">
        <v>131769925</v>
      </c>
      <c r="P1750" s="2"/>
      <c r="Q1750" s="2" t="s">
        <v>11790</v>
      </c>
      <c r="R1750" s="2" t="s">
        <v>11791</v>
      </c>
      <c r="S1750" s="2" t="s">
        <v>79</v>
      </c>
      <c r="T1750" s="2" t="s">
        <v>80</v>
      </c>
      <c r="U1750" s="2" t="s">
        <v>81</v>
      </c>
      <c r="V1750" s="2" t="s">
        <v>59</v>
      </c>
      <c r="W1750" s="2">
        <v>46.9</v>
      </c>
      <c r="X1750" s="2">
        <v>44.7</v>
      </c>
      <c r="Y1750" s="2" t="s">
        <v>408</v>
      </c>
      <c r="Z1750" s="2" t="s">
        <v>11792</v>
      </c>
      <c r="AA1750" s="2">
        <v>-3.5950283585534599</v>
      </c>
      <c r="AB1750" s="2">
        <v>0.461096621163255</v>
      </c>
      <c r="AC1750" s="2">
        <v>50297.596056318704</v>
      </c>
      <c r="AD1750" s="2">
        <v>35500.637257748698</v>
      </c>
      <c r="AE1750" s="2">
        <v>50977.408912010404</v>
      </c>
      <c r="AF1750" s="2">
        <v>49032.812455298001</v>
      </c>
      <c r="AG1750" s="2">
        <v>50523.713008447601</v>
      </c>
      <c r="AH1750" s="2">
        <v>46237.126895935202</v>
      </c>
      <c r="AI1750" s="2">
        <v>48180.2241268285</v>
      </c>
      <c r="AJ1750" s="2">
        <v>56834.290939392602</v>
      </c>
      <c r="AK1750" s="2">
        <v>34581.367805654903</v>
      </c>
      <c r="AL1750" s="2">
        <v>38588.909526219897</v>
      </c>
      <c r="AM1750" s="2">
        <v>34350.233976984797</v>
      </c>
      <c r="AN1750" s="2">
        <v>36355.292311178302</v>
      </c>
      <c r="AO1750" s="2">
        <v>32796.700789220697</v>
      </c>
      <c r="AP1750" s="2">
        <v>36331.3191372336</v>
      </c>
    </row>
    <row r="1751" spans="1:42" ht="14.5" x14ac:dyDescent="0.35">
      <c r="A1751" s="2" t="s">
        <v>11793</v>
      </c>
      <c r="B1751" s="2">
        <v>561.12308926659603</v>
      </c>
      <c r="C1751" s="2">
        <v>3.5976333333333299</v>
      </c>
      <c r="D1751" s="2" t="s">
        <v>70</v>
      </c>
      <c r="E1751" s="2" t="s">
        <v>11794</v>
      </c>
      <c r="F1751" s="2">
        <v>60921</v>
      </c>
      <c r="G1751" s="3" t="str">
        <f>HYPERLINK("http://funmeta.oebiotech.com/network/60921", "http://funmeta.oebiotech.com/network/60921")</f>
        <v>http://funmeta.oebiotech.com/network/60921</v>
      </c>
      <c r="H1751" s="2" t="s">
        <v>11795</v>
      </c>
      <c r="I1751" s="2">
        <v>92275</v>
      </c>
      <c r="J1751" s="2"/>
      <c r="K1751" s="2">
        <v>176206</v>
      </c>
      <c r="L1751" s="2"/>
      <c r="M1751" s="2"/>
      <c r="N1751" s="2"/>
      <c r="O1751" s="2">
        <v>73829950</v>
      </c>
      <c r="P1751" s="2" t="s">
        <v>11796</v>
      </c>
      <c r="Q1751" s="2" t="s">
        <v>11797</v>
      </c>
      <c r="R1751" s="2" t="s">
        <v>11798</v>
      </c>
      <c r="S1751" s="2" t="s">
        <v>115</v>
      </c>
      <c r="T1751" s="2" t="s">
        <v>139</v>
      </c>
      <c r="U1751" s="2" t="s">
        <v>140</v>
      </c>
      <c r="V1751" s="2" t="s">
        <v>59</v>
      </c>
      <c r="W1751" s="2">
        <v>41.7</v>
      </c>
      <c r="X1751" s="2">
        <v>22.8</v>
      </c>
      <c r="Y1751" s="2" t="s">
        <v>286</v>
      </c>
      <c r="Z1751" s="2" t="s">
        <v>11799</v>
      </c>
      <c r="AA1751" s="2">
        <v>-3.66151862599237</v>
      </c>
      <c r="AB1751" s="2">
        <v>0.460443040590653</v>
      </c>
      <c r="AC1751" s="2">
        <v>30757.178773415199</v>
      </c>
      <c r="AD1751" s="2">
        <v>45265.925335966604</v>
      </c>
      <c r="AE1751" s="2">
        <v>31449.651433011499</v>
      </c>
      <c r="AF1751" s="2">
        <v>28989.248724445199</v>
      </c>
      <c r="AG1751" s="2">
        <v>30315.433387851299</v>
      </c>
      <c r="AH1751" s="2">
        <v>28497.304164311001</v>
      </c>
      <c r="AI1751" s="2">
        <v>31762.233627889102</v>
      </c>
      <c r="AJ1751" s="2">
        <v>33529.201302983303</v>
      </c>
      <c r="AK1751" s="2">
        <v>42297.221900545097</v>
      </c>
      <c r="AL1751" s="2">
        <v>41439.5823403412</v>
      </c>
      <c r="AM1751" s="2">
        <v>48377.072844938702</v>
      </c>
      <c r="AN1751" s="2">
        <v>45687.2136085069</v>
      </c>
      <c r="AO1751" s="2">
        <v>45567.081278586898</v>
      </c>
      <c r="AP1751" s="2">
        <v>48227.380042880803</v>
      </c>
    </row>
    <row r="1752" spans="1:42" ht="14.5" x14ac:dyDescent="0.35">
      <c r="A1752" s="2" t="s">
        <v>11800</v>
      </c>
      <c r="B1752" s="2">
        <v>527.191938163739</v>
      </c>
      <c r="C1752" s="2">
        <v>7.4513499999999997</v>
      </c>
      <c r="D1752" s="2" t="s">
        <v>70</v>
      </c>
      <c r="E1752" s="2" t="s">
        <v>11801</v>
      </c>
      <c r="F1752" s="2">
        <v>58381</v>
      </c>
      <c r="G1752" s="3" t="str">
        <f>HYPERLINK("http://funmeta.oebiotech.com/network/58381", "http://funmeta.oebiotech.com/network/58381")</f>
        <v>http://funmeta.oebiotech.com/network/58381</v>
      </c>
      <c r="H1752" s="2" t="s">
        <v>11802</v>
      </c>
      <c r="I1752" s="2"/>
      <c r="J1752" s="2"/>
      <c r="K1752" s="2">
        <v>4659</v>
      </c>
      <c r="L1752" s="2" t="s">
        <v>11803</v>
      </c>
      <c r="M1752" s="2"/>
      <c r="N1752" s="2"/>
      <c r="O1752" s="2">
        <v>101405</v>
      </c>
      <c r="P1752" s="2" t="s">
        <v>11804</v>
      </c>
      <c r="Q1752" s="2" t="s">
        <v>11805</v>
      </c>
      <c r="R1752" s="2" t="s">
        <v>11806</v>
      </c>
      <c r="S1752" s="2" t="s">
        <v>50</v>
      </c>
      <c r="T1752" s="2" t="s">
        <v>124</v>
      </c>
      <c r="U1752" s="2" t="s">
        <v>7796</v>
      </c>
      <c r="V1752" s="2" t="s">
        <v>59</v>
      </c>
      <c r="W1752" s="2">
        <v>40.1</v>
      </c>
      <c r="X1752" s="2">
        <v>6.73</v>
      </c>
      <c r="Y1752" s="2" t="s">
        <v>118</v>
      </c>
      <c r="Z1752" s="2" t="s">
        <v>11807</v>
      </c>
      <c r="AA1752" s="2">
        <v>-0.62973567948127895</v>
      </c>
      <c r="AB1752" s="2">
        <v>0.46042757992845801</v>
      </c>
      <c r="AC1752" s="2">
        <v>29329.8175801365</v>
      </c>
      <c r="AD1752" s="2">
        <v>15205.097547064301</v>
      </c>
      <c r="AE1752" s="2">
        <v>28947.338694839898</v>
      </c>
      <c r="AF1752" s="2">
        <v>27199.4783057602</v>
      </c>
      <c r="AG1752" s="2">
        <v>30425.830515243699</v>
      </c>
      <c r="AH1752" s="2">
        <v>30590.734654251501</v>
      </c>
      <c r="AI1752" s="2">
        <v>29358.383759033899</v>
      </c>
      <c r="AJ1752" s="2">
        <v>29457.139551690001</v>
      </c>
      <c r="AK1752" s="2">
        <v>13359.409459681799</v>
      </c>
      <c r="AL1752" s="2">
        <v>17112.7654417634</v>
      </c>
      <c r="AM1752" s="2">
        <v>15610.1803317126</v>
      </c>
      <c r="AN1752" s="2">
        <v>13964.228088627</v>
      </c>
      <c r="AO1752" s="2">
        <v>14438.8196786395</v>
      </c>
      <c r="AP1752" s="2">
        <v>16745.182281961599</v>
      </c>
    </row>
    <row r="1753" spans="1:42" ht="14.5" x14ac:dyDescent="0.35">
      <c r="A1753" s="2" t="s">
        <v>11808</v>
      </c>
      <c r="B1753" s="2">
        <v>611.35591214100305</v>
      </c>
      <c r="C1753" s="2">
        <v>11.442033333333301</v>
      </c>
      <c r="D1753" s="2" t="s">
        <v>34</v>
      </c>
      <c r="E1753" s="2" t="s">
        <v>11809</v>
      </c>
      <c r="F1753" s="2">
        <v>206150</v>
      </c>
      <c r="G1753" s="3" t="str">
        <f>HYPERLINK("http://funmeta.oebiotech.com/network/206150", "http://funmeta.oebiotech.com/network/206150")</f>
        <v>http://funmeta.oebiotech.com/network/206150</v>
      </c>
      <c r="H1753" s="2" t="s">
        <v>11810</v>
      </c>
      <c r="I1753" s="2"/>
      <c r="J1753" s="2"/>
      <c r="K1753" s="2"/>
      <c r="L1753" s="2"/>
      <c r="M1753" s="2"/>
      <c r="N1753" s="2"/>
      <c r="O1753" s="2">
        <v>138397764</v>
      </c>
      <c r="P1753" s="2"/>
      <c r="Q1753" s="2" t="s">
        <v>11811</v>
      </c>
      <c r="R1753" s="2" t="s">
        <v>11812</v>
      </c>
      <c r="S1753" s="2" t="s">
        <v>41</v>
      </c>
      <c r="T1753" s="2" t="s">
        <v>41</v>
      </c>
      <c r="U1753" s="2" t="s">
        <v>41</v>
      </c>
      <c r="V1753" s="2" t="s">
        <v>59</v>
      </c>
      <c r="W1753" s="2">
        <v>39</v>
      </c>
      <c r="X1753" s="2">
        <v>9.6999999999999993</v>
      </c>
      <c r="Y1753" s="2" t="s">
        <v>340</v>
      </c>
      <c r="Z1753" s="2" t="s">
        <v>11813</v>
      </c>
      <c r="AA1753" s="2">
        <v>-4.6648240598269597</v>
      </c>
      <c r="AB1753" s="2">
        <v>0.45940637596370598</v>
      </c>
      <c r="AC1753" s="2">
        <v>29375.583292575098</v>
      </c>
      <c r="AD1753" s="2">
        <v>44070.788926600297</v>
      </c>
      <c r="AE1753" s="2">
        <v>30829.694314120199</v>
      </c>
      <c r="AF1753" s="2">
        <v>26233.6417819095</v>
      </c>
      <c r="AG1753" s="2">
        <v>28450.342809149399</v>
      </c>
      <c r="AH1753" s="2">
        <v>31491.3980223217</v>
      </c>
      <c r="AI1753" s="2">
        <v>26483.073378467499</v>
      </c>
      <c r="AJ1753" s="2">
        <v>32765.349449482401</v>
      </c>
      <c r="AK1753" s="2">
        <v>48284.645057252499</v>
      </c>
      <c r="AL1753" s="2">
        <v>41442.0104141513</v>
      </c>
      <c r="AM1753" s="2">
        <v>46644.699449820502</v>
      </c>
      <c r="AN1753" s="2">
        <v>42141.896507507801</v>
      </c>
      <c r="AO1753" s="2">
        <v>44561.561014808904</v>
      </c>
      <c r="AP1753" s="2">
        <v>41349.921116060599</v>
      </c>
    </row>
    <row r="1754" spans="1:42" ht="14.5" x14ac:dyDescent="0.35">
      <c r="A1754" s="2" t="s">
        <v>11814</v>
      </c>
      <c r="B1754" s="2">
        <v>731.31063300420101</v>
      </c>
      <c r="C1754" s="2">
        <v>9.8920666666666701</v>
      </c>
      <c r="D1754" s="2" t="s">
        <v>70</v>
      </c>
      <c r="E1754" s="2" t="s">
        <v>11815</v>
      </c>
      <c r="F1754" s="2">
        <v>83295</v>
      </c>
      <c r="G1754" s="3" t="str">
        <f>HYPERLINK("http://funmeta.oebiotech.com/network/83295", "http://funmeta.oebiotech.com/network/83295")</f>
        <v>http://funmeta.oebiotech.com/network/83295</v>
      </c>
      <c r="H1754" s="2" t="s">
        <v>11816</v>
      </c>
      <c r="I1754" s="2"/>
      <c r="J1754" s="2"/>
      <c r="K1754" s="2">
        <v>68606</v>
      </c>
      <c r="L1754" s="2"/>
      <c r="M1754" s="2"/>
      <c r="N1754" s="2"/>
      <c r="O1754" s="2">
        <v>6451164</v>
      </c>
      <c r="P1754" s="2"/>
      <c r="Q1754" s="2" t="s">
        <v>11817</v>
      </c>
      <c r="R1754" s="2" t="s">
        <v>11818</v>
      </c>
      <c r="S1754" s="2" t="s">
        <v>148</v>
      </c>
      <c r="T1754" s="2" t="s">
        <v>149</v>
      </c>
      <c r="U1754" s="2" t="s">
        <v>11819</v>
      </c>
      <c r="V1754" s="2" t="s">
        <v>59</v>
      </c>
      <c r="W1754" s="2">
        <v>38.9</v>
      </c>
      <c r="X1754" s="2">
        <v>0</v>
      </c>
      <c r="Y1754" s="2" t="s">
        <v>560</v>
      </c>
      <c r="Z1754" s="2" t="s">
        <v>11820</v>
      </c>
      <c r="AA1754" s="2">
        <v>-0.92825162304872799</v>
      </c>
      <c r="AB1754" s="2">
        <v>0.45933889197516697</v>
      </c>
      <c r="AC1754" s="2">
        <v>3486.4631283414401</v>
      </c>
      <c r="AD1754" s="2">
        <v>17430.264046416502</v>
      </c>
      <c r="AE1754" s="2">
        <v>3740.1961002804101</v>
      </c>
      <c r="AF1754" s="2">
        <v>3066.7682531015998</v>
      </c>
      <c r="AG1754" s="2">
        <v>3602.39966064383</v>
      </c>
      <c r="AH1754" s="2">
        <v>4262.6718359759698</v>
      </c>
      <c r="AI1754" s="2">
        <v>3529.7175870682699</v>
      </c>
      <c r="AJ1754" s="2">
        <v>2717.0253329785601</v>
      </c>
      <c r="AK1754" s="2">
        <v>17860.247685481001</v>
      </c>
      <c r="AL1754" s="2">
        <v>15667.4563039775</v>
      </c>
      <c r="AM1754" s="2">
        <v>16709.394572816502</v>
      </c>
      <c r="AN1754" s="2">
        <v>19551.907963707901</v>
      </c>
      <c r="AO1754" s="2">
        <v>17496.4859328327</v>
      </c>
      <c r="AP1754" s="2">
        <v>17296.091819683399</v>
      </c>
    </row>
    <row r="1755" spans="1:42" ht="14.5" x14ac:dyDescent="0.35">
      <c r="A1755" s="2" t="s">
        <v>11821</v>
      </c>
      <c r="B1755" s="2">
        <v>935.52164057366804</v>
      </c>
      <c r="C1755" s="2">
        <v>11.282216666666701</v>
      </c>
      <c r="D1755" s="2" t="s">
        <v>70</v>
      </c>
      <c r="E1755" s="2" t="s">
        <v>11822</v>
      </c>
      <c r="F1755" s="2">
        <v>82819</v>
      </c>
      <c r="G1755" s="3" t="str">
        <f>HYPERLINK("http://funmeta.oebiotech.com/network/82819", "http://funmeta.oebiotech.com/network/82819")</f>
        <v>http://funmeta.oebiotech.com/network/82819</v>
      </c>
      <c r="H1755" s="2" t="s">
        <v>11823</v>
      </c>
      <c r="I1755" s="2">
        <v>824801</v>
      </c>
      <c r="J1755" s="2"/>
      <c r="K1755" s="2"/>
      <c r="L1755" s="2"/>
      <c r="M1755" s="2"/>
      <c r="N1755" s="2"/>
      <c r="O1755" s="2">
        <v>46781896</v>
      </c>
      <c r="P1755" s="2"/>
      <c r="Q1755" s="2" t="s">
        <v>11824</v>
      </c>
      <c r="R1755" s="2" t="s">
        <v>11825</v>
      </c>
      <c r="S1755" s="2" t="s">
        <v>491</v>
      </c>
      <c r="T1755" s="2" t="s">
        <v>7584</v>
      </c>
      <c r="U1755" s="2" t="s">
        <v>7585</v>
      </c>
      <c r="V1755" s="2" t="s">
        <v>59</v>
      </c>
      <c r="W1755" s="2">
        <v>36.4</v>
      </c>
      <c r="X1755" s="2">
        <v>0</v>
      </c>
      <c r="Y1755" s="2" t="s">
        <v>560</v>
      </c>
      <c r="Z1755" s="2" t="s">
        <v>11826</v>
      </c>
      <c r="AA1755" s="2">
        <v>4.3485037819504102</v>
      </c>
      <c r="AB1755" s="2">
        <v>0.45890839194384597</v>
      </c>
      <c r="AC1755" s="2">
        <v>21989.399401460301</v>
      </c>
      <c r="AD1755" s="2">
        <v>36545.879513523003</v>
      </c>
      <c r="AE1755" s="2">
        <v>24789.4270141708</v>
      </c>
      <c r="AF1755" s="2">
        <v>20068.652198809799</v>
      </c>
      <c r="AG1755" s="2">
        <v>25068.668294151299</v>
      </c>
      <c r="AH1755" s="2">
        <v>18025.566836075799</v>
      </c>
      <c r="AI1755" s="2">
        <v>19257.175139102601</v>
      </c>
      <c r="AJ1755" s="2">
        <v>24726.9069264514</v>
      </c>
      <c r="AK1755" s="2">
        <v>36453.5922298554</v>
      </c>
      <c r="AL1755" s="2">
        <v>33496.547568985399</v>
      </c>
      <c r="AM1755" s="2">
        <v>38604.449872136902</v>
      </c>
      <c r="AN1755" s="2">
        <v>37854.700105839504</v>
      </c>
      <c r="AO1755" s="2">
        <v>35958.7342408599</v>
      </c>
      <c r="AP1755" s="2">
        <v>36907.253063461103</v>
      </c>
    </row>
    <row r="1756" spans="1:42" ht="14.5" x14ac:dyDescent="0.35">
      <c r="A1756" s="2" t="s">
        <v>11827</v>
      </c>
      <c r="B1756" s="2">
        <v>514.21461456691895</v>
      </c>
      <c r="C1756" s="2">
        <v>5.1341999999999999</v>
      </c>
      <c r="D1756" s="2" t="s">
        <v>70</v>
      </c>
      <c r="E1756" s="2" t="s">
        <v>11828</v>
      </c>
      <c r="F1756" s="2">
        <v>48799</v>
      </c>
      <c r="G1756" s="3" t="str">
        <f>HYPERLINK("http://funmeta.oebiotech.com/network/48799", "http://funmeta.oebiotech.com/network/48799")</f>
        <v>http://funmeta.oebiotech.com/network/48799</v>
      </c>
      <c r="H1756" s="2" t="s">
        <v>11829</v>
      </c>
      <c r="I1756" s="2">
        <v>58480</v>
      </c>
      <c r="J1756" s="2"/>
      <c r="K1756" s="2"/>
      <c r="L1756" s="2"/>
      <c r="M1756" s="2"/>
      <c r="N1756" s="2"/>
      <c r="O1756" s="2">
        <v>53477862</v>
      </c>
      <c r="P1756" s="2" t="s">
        <v>11830</v>
      </c>
      <c r="Q1756" s="2" t="s">
        <v>11831</v>
      </c>
      <c r="R1756" s="2" t="s">
        <v>11832</v>
      </c>
      <c r="S1756" s="2" t="s">
        <v>79</v>
      </c>
      <c r="T1756" s="2" t="s">
        <v>80</v>
      </c>
      <c r="U1756" s="2" t="s">
        <v>81</v>
      </c>
      <c r="V1756" s="2" t="s">
        <v>59</v>
      </c>
      <c r="W1756" s="2">
        <v>38.700000000000003</v>
      </c>
      <c r="X1756" s="2">
        <v>0</v>
      </c>
      <c r="Y1756" s="2" t="s">
        <v>118</v>
      </c>
      <c r="Z1756" s="2" t="s">
        <v>11833</v>
      </c>
      <c r="AA1756" s="2">
        <v>0.94354326961752399</v>
      </c>
      <c r="AB1756" s="2">
        <v>0.45886448872888402</v>
      </c>
      <c r="AC1756" s="2">
        <v>17401.321889508399</v>
      </c>
      <c r="AD1756" s="2">
        <v>3217.7603229503502</v>
      </c>
      <c r="AE1756" s="2">
        <v>13966.635470775</v>
      </c>
      <c r="AF1756" s="2">
        <v>19209.685343536701</v>
      </c>
      <c r="AG1756" s="2">
        <v>19750.237756920498</v>
      </c>
      <c r="AH1756" s="2">
        <v>19075.6370836034</v>
      </c>
      <c r="AI1756" s="2">
        <v>17632.1209155611</v>
      </c>
      <c r="AJ1756" s="2">
        <v>14773.6147666539</v>
      </c>
      <c r="AK1756" s="2">
        <v>2891.42607464209</v>
      </c>
      <c r="AL1756" s="2">
        <v>3096.6035602942202</v>
      </c>
      <c r="AM1756" s="2">
        <v>4049.0513073910502</v>
      </c>
      <c r="AN1756" s="2">
        <v>2595.7704209605199</v>
      </c>
      <c r="AO1756" s="2">
        <v>4063.1110731768699</v>
      </c>
      <c r="AP1756" s="2">
        <v>2610.5995012373401</v>
      </c>
    </row>
    <row r="1757" spans="1:42" ht="14.5" x14ac:dyDescent="0.35">
      <c r="A1757" s="2" t="s">
        <v>11834</v>
      </c>
      <c r="B1757" s="2">
        <v>634.33357347893502</v>
      </c>
      <c r="C1757" s="2">
        <v>10.661899999999999</v>
      </c>
      <c r="D1757" s="2" t="s">
        <v>70</v>
      </c>
      <c r="E1757" s="2" t="s">
        <v>11835</v>
      </c>
      <c r="F1757" s="2">
        <v>27916</v>
      </c>
      <c r="G1757" s="3" t="str">
        <f>HYPERLINK("http://funmeta.oebiotech.com/network/27916", "http://funmeta.oebiotech.com/network/27916")</f>
        <v>http://funmeta.oebiotech.com/network/27916</v>
      </c>
      <c r="H1757" s="2"/>
      <c r="I1757" s="2"/>
      <c r="J1757" s="2" t="s">
        <v>11836</v>
      </c>
      <c r="K1757" s="2"/>
      <c r="L1757" s="2"/>
      <c r="M1757" s="2"/>
      <c r="N1757" s="2"/>
      <c r="O1757" s="2">
        <v>134812373</v>
      </c>
      <c r="P1757" s="2"/>
      <c r="Q1757" s="2" t="s">
        <v>11837</v>
      </c>
      <c r="R1757" s="2" t="s">
        <v>11838</v>
      </c>
      <c r="S1757" s="2" t="s">
        <v>50</v>
      </c>
      <c r="T1757" s="2" t="s">
        <v>51</v>
      </c>
      <c r="U1757" s="2" t="s">
        <v>257</v>
      </c>
      <c r="V1757" s="2" t="s">
        <v>59</v>
      </c>
      <c r="W1757" s="2">
        <v>39.1</v>
      </c>
      <c r="X1757" s="2">
        <v>5.46</v>
      </c>
      <c r="Y1757" s="2" t="s">
        <v>118</v>
      </c>
      <c r="Z1757" s="2" t="s">
        <v>11839</v>
      </c>
      <c r="AA1757" s="2">
        <v>-4.0895531579966899</v>
      </c>
      <c r="AB1757" s="2">
        <v>0.45874578148259498</v>
      </c>
      <c r="AC1757" s="2">
        <v>22719.903399738501</v>
      </c>
      <c r="AD1757" s="2">
        <v>36684.642269733697</v>
      </c>
      <c r="AE1757" s="2">
        <v>22875.933406786899</v>
      </c>
      <c r="AF1757" s="2">
        <v>23174.247460498202</v>
      </c>
      <c r="AG1757" s="2">
        <v>22200.074971226801</v>
      </c>
      <c r="AH1757" s="2">
        <v>21917.1295385702</v>
      </c>
      <c r="AI1757" s="2">
        <v>22709.3810755263</v>
      </c>
      <c r="AJ1757" s="2">
        <v>23442.653945822301</v>
      </c>
      <c r="AK1757" s="2">
        <v>34953.401071619701</v>
      </c>
      <c r="AL1757" s="2">
        <v>38304.166982678398</v>
      </c>
      <c r="AM1757" s="2">
        <v>35156.756459946198</v>
      </c>
      <c r="AN1757" s="2">
        <v>36332.389054081097</v>
      </c>
      <c r="AO1757" s="2">
        <v>37134.779122698499</v>
      </c>
      <c r="AP1757" s="2">
        <v>38226.360927378097</v>
      </c>
    </row>
    <row r="1758" spans="1:42" ht="14.5" x14ac:dyDescent="0.35">
      <c r="A1758" s="2" t="s">
        <v>11840</v>
      </c>
      <c r="B1758" s="2">
        <v>788.32795468077597</v>
      </c>
      <c r="C1758" s="2">
        <v>8.8018000000000001</v>
      </c>
      <c r="D1758" s="2" t="s">
        <v>70</v>
      </c>
      <c r="E1758" s="2" t="s">
        <v>11841</v>
      </c>
      <c r="F1758" s="2">
        <v>53453</v>
      </c>
      <c r="G1758" s="3" t="str">
        <f>HYPERLINK("http://funmeta.oebiotech.com/network/53453", "http://funmeta.oebiotech.com/network/53453")</f>
        <v>http://funmeta.oebiotech.com/network/53453</v>
      </c>
      <c r="H1758" s="2" t="s">
        <v>11842</v>
      </c>
      <c r="I1758" s="2">
        <v>563</v>
      </c>
      <c r="J1758" s="2"/>
      <c r="K1758" s="2">
        <v>4672</v>
      </c>
      <c r="L1758" s="2" t="s">
        <v>11843</v>
      </c>
      <c r="M1758" s="2" t="s">
        <v>4185</v>
      </c>
      <c r="N1758" s="2" t="s">
        <v>4186</v>
      </c>
      <c r="O1758" s="2">
        <v>148124</v>
      </c>
      <c r="P1758" s="2" t="s">
        <v>11844</v>
      </c>
      <c r="Q1758" s="2" t="s">
        <v>11845</v>
      </c>
      <c r="R1758" s="2" t="s">
        <v>11846</v>
      </c>
      <c r="S1758" s="2" t="s">
        <v>50</v>
      </c>
      <c r="T1758" s="2" t="s">
        <v>201</v>
      </c>
      <c r="U1758" s="2" t="s">
        <v>241</v>
      </c>
      <c r="V1758" s="2" t="s">
        <v>42</v>
      </c>
      <c r="W1758" s="2">
        <v>48.5</v>
      </c>
      <c r="X1758" s="2">
        <v>48.6</v>
      </c>
      <c r="Y1758" s="2" t="s">
        <v>751</v>
      </c>
      <c r="Z1758" s="2" t="s">
        <v>11847</v>
      </c>
      <c r="AA1758" s="2">
        <v>-1.0027633330166801</v>
      </c>
      <c r="AB1758" s="2">
        <v>0.45838635830656699</v>
      </c>
      <c r="AC1758" s="2">
        <v>47360.126444305701</v>
      </c>
      <c r="AD1758" s="2">
        <v>31993.1628076013</v>
      </c>
      <c r="AE1758" s="2">
        <v>45992.580537271999</v>
      </c>
      <c r="AF1758" s="2">
        <v>49087.855943570699</v>
      </c>
      <c r="AG1758" s="2">
        <v>39583.530018953097</v>
      </c>
      <c r="AH1758" s="2">
        <v>49760.7702109698</v>
      </c>
      <c r="AI1758" s="2">
        <v>48197.708816154904</v>
      </c>
      <c r="AJ1758" s="2">
        <v>51538.313138913603</v>
      </c>
      <c r="AK1758" s="2">
        <v>32377.187101194901</v>
      </c>
      <c r="AL1758" s="2">
        <v>29102.865666623999</v>
      </c>
      <c r="AM1758" s="2">
        <v>29776.506364648099</v>
      </c>
      <c r="AN1758" s="2">
        <v>32528.866905301598</v>
      </c>
      <c r="AO1758" s="2">
        <v>28804.0702249198</v>
      </c>
      <c r="AP1758" s="2">
        <v>39369.480582919401</v>
      </c>
    </row>
    <row r="1759" spans="1:42" ht="14.5" x14ac:dyDescent="0.35">
      <c r="A1759" s="2" t="s">
        <v>11848</v>
      </c>
      <c r="B1759" s="2">
        <v>207.185485250537</v>
      </c>
      <c r="C1759" s="2">
        <v>4.0195333333333298</v>
      </c>
      <c r="D1759" s="2" t="s">
        <v>34</v>
      </c>
      <c r="E1759" s="2" t="s">
        <v>11849</v>
      </c>
      <c r="F1759" s="2">
        <v>55112</v>
      </c>
      <c r="G1759" s="3" t="str">
        <f>HYPERLINK("http://funmeta.oebiotech.com/network/55112", "http://funmeta.oebiotech.com/network/55112")</f>
        <v>http://funmeta.oebiotech.com/network/55112</v>
      </c>
      <c r="H1759" s="2" t="s">
        <v>11850</v>
      </c>
      <c r="I1759" s="2"/>
      <c r="J1759" s="2"/>
      <c r="K1759" s="2">
        <v>27920</v>
      </c>
      <c r="L1759" s="2" t="s">
        <v>11851</v>
      </c>
      <c r="M1759" s="2" t="s">
        <v>11852</v>
      </c>
      <c r="N1759" s="2" t="s">
        <v>11853</v>
      </c>
      <c r="O1759" s="2">
        <v>441070</v>
      </c>
      <c r="P1759" s="2" t="s">
        <v>11854</v>
      </c>
      <c r="Q1759" s="2" t="s">
        <v>11855</v>
      </c>
      <c r="R1759" s="2" t="s">
        <v>11856</v>
      </c>
      <c r="S1759" s="2" t="s">
        <v>39</v>
      </c>
      <c r="T1759" s="2" t="s">
        <v>41</v>
      </c>
      <c r="U1759" s="2" t="s">
        <v>41</v>
      </c>
      <c r="V1759" s="2" t="s">
        <v>59</v>
      </c>
      <c r="W1759" s="2">
        <v>39.9</v>
      </c>
      <c r="X1759" s="2">
        <v>4.18</v>
      </c>
      <c r="Y1759" s="2" t="s">
        <v>141</v>
      </c>
      <c r="Z1759" s="2" t="s">
        <v>11857</v>
      </c>
      <c r="AA1759" s="2">
        <v>-0.40099361461182198</v>
      </c>
      <c r="AB1759" s="2">
        <v>0.458300395755877</v>
      </c>
      <c r="AC1759" s="2">
        <v>90677.239958683698</v>
      </c>
      <c r="AD1759" s="2">
        <v>105198.554713002</v>
      </c>
      <c r="AE1759" s="2">
        <v>86428.123454261702</v>
      </c>
      <c r="AF1759" s="2">
        <v>88928.512147254805</v>
      </c>
      <c r="AG1759" s="2">
        <v>89392.669776767594</v>
      </c>
      <c r="AH1759" s="2">
        <v>93105.647946366298</v>
      </c>
      <c r="AI1759" s="2">
        <v>93300.271684698906</v>
      </c>
      <c r="AJ1759" s="2">
        <v>92908.214742753</v>
      </c>
      <c r="AK1759" s="2">
        <v>101567.481940051</v>
      </c>
      <c r="AL1759" s="2">
        <v>103666.417739404</v>
      </c>
      <c r="AM1759" s="2">
        <v>105857.464693817</v>
      </c>
      <c r="AN1759" s="2">
        <v>109091.26357833399</v>
      </c>
      <c r="AO1759" s="2">
        <v>103791.398640585</v>
      </c>
      <c r="AP1759" s="2">
        <v>107217.30168582</v>
      </c>
    </row>
    <row r="1760" spans="1:42" ht="14.5" x14ac:dyDescent="0.35">
      <c r="A1760" s="2" t="s">
        <v>11858</v>
      </c>
      <c r="B1760" s="2">
        <v>803.34854480813499</v>
      </c>
      <c r="C1760" s="2">
        <v>4.0250666666666701</v>
      </c>
      <c r="D1760" s="2" t="s">
        <v>70</v>
      </c>
      <c r="E1760" s="2" t="s">
        <v>11859</v>
      </c>
      <c r="F1760" s="2">
        <v>27772</v>
      </c>
      <c r="G1760" s="3" t="str">
        <f>HYPERLINK("http://funmeta.oebiotech.com/network/27772", "http://funmeta.oebiotech.com/network/27772")</f>
        <v>http://funmeta.oebiotech.com/network/27772</v>
      </c>
      <c r="H1760" s="2"/>
      <c r="I1760" s="2"/>
      <c r="J1760" s="2" t="s">
        <v>11860</v>
      </c>
      <c r="K1760" s="2"/>
      <c r="L1760" s="2"/>
      <c r="M1760" s="2"/>
      <c r="N1760" s="2"/>
      <c r="O1760" s="2">
        <v>126457662</v>
      </c>
      <c r="P1760" s="2"/>
      <c r="Q1760" s="2" t="s">
        <v>11861</v>
      </c>
      <c r="R1760" s="2" t="s">
        <v>11862</v>
      </c>
      <c r="S1760" s="2" t="s">
        <v>50</v>
      </c>
      <c r="T1760" s="2" t="s">
        <v>51</v>
      </c>
      <c r="U1760" s="2" t="s">
        <v>52</v>
      </c>
      <c r="V1760" s="2" t="s">
        <v>59</v>
      </c>
      <c r="W1760" s="2">
        <v>37.799999999999997</v>
      </c>
      <c r="X1760" s="2">
        <v>0</v>
      </c>
      <c r="Y1760" s="2" t="s">
        <v>408</v>
      </c>
      <c r="Z1760" s="2" t="s">
        <v>11863</v>
      </c>
      <c r="AA1760" s="2">
        <v>1.7866226603654201</v>
      </c>
      <c r="AB1760" s="2">
        <v>0.45818110963581099</v>
      </c>
      <c r="AC1760" s="2">
        <v>65140.830993562602</v>
      </c>
      <c r="AD1760" s="2">
        <v>47918.648853911996</v>
      </c>
      <c r="AE1760" s="2">
        <v>63434.504727429397</v>
      </c>
      <c r="AF1760" s="2">
        <v>56875.1378437249</v>
      </c>
      <c r="AG1760" s="2">
        <v>70121.237829970298</v>
      </c>
      <c r="AH1760" s="2">
        <v>60322.835367998203</v>
      </c>
      <c r="AI1760" s="2">
        <v>63639.735762442397</v>
      </c>
      <c r="AJ1760" s="2">
        <v>76451.534429810301</v>
      </c>
      <c r="AK1760" s="2">
        <v>40378.131007885597</v>
      </c>
      <c r="AL1760" s="2">
        <v>53974.163558339198</v>
      </c>
      <c r="AM1760" s="2">
        <v>47205.1329357168</v>
      </c>
      <c r="AN1760" s="2">
        <v>57038.044778863499</v>
      </c>
      <c r="AO1760" s="2">
        <v>39484.990218072999</v>
      </c>
      <c r="AP1760" s="2">
        <v>49431.430624594199</v>
      </c>
    </row>
    <row r="1761" spans="1:42" ht="14.5" x14ac:dyDescent="0.35">
      <c r="A1761" s="2" t="s">
        <v>11864</v>
      </c>
      <c r="B1761" s="2">
        <v>615.49514689696503</v>
      </c>
      <c r="C1761" s="2">
        <v>14.6552166666667</v>
      </c>
      <c r="D1761" s="2" t="s">
        <v>34</v>
      </c>
      <c r="E1761" s="2" t="s">
        <v>11865</v>
      </c>
      <c r="F1761" s="2">
        <v>10903</v>
      </c>
      <c r="G1761" s="3" t="str">
        <f>HYPERLINK("http://funmeta.oebiotech.com/network/10903", "http://funmeta.oebiotech.com/network/10903")</f>
        <v>http://funmeta.oebiotech.com/network/10903</v>
      </c>
      <c r="H1761" s="2" t="s">
        <v>11866</v>
      </c>
      <c r="I1761" s="2">
        <v>58657</v>
      </c>
      <c r="J1761" s="2" t="s">
        <v>11867</v>
      </c>
      <c r="K1761" s="2">
        <v>88796</v>
      </c>
      <c r="L1761" s="2"/>
      <c r="M1761" s="2"/>
      <c r="N1761" s="2"/>
      <c r="O1761" s="2">
        <v>53477957</v>
      </c>
      <c r="P1761" s="2"/>
      <c r="Q1761" s="2" t="s">
        <v>11868</v>
      </c>
      <c r="R1761" s="2" t="s">
        <v>11869</v>
      </c>
      <c r="S1761" s="2" t="s">
        <v>50</v>
      </c>
      <c r="T1761" s="2" t="s">
        <v>448</v>
      </c>
      <c r="U1761" s="2" t="s">
        <v>1864</v>
      </c>
      <c r="V1761" s="2" t="s">
        <v>59</v>
      </c>
      <c r="W1761" s="2">
        <v>38.1</v>
      </c>
      <c r="X1761" s="2">
        <v>0</v>
      </c>
      <c r="Y1761" s="2" t="s">
        <v>323</v>
      </c>
      <c r="Z1761" s="2" t="s">
        <v>11870</v>
      </c>
      <c r="AA1761" s="2">
        <v>-1.2642247352042999</v>
      </c>
      <c r="AB1761" s="2">
        <v>0.45815202097695201</v>
      </c>
      <c r="AC1761" s="2">
        <v>21191.520644193501</v>
      </c>
      <c r="AD1761" s="2">
        <v>35661.578347700699</v>
      </c>
      <c r="AE1761" s="2">
        <v>21060.261786920299</v>
      </c>
      <c r="AF1761" s="2">
        <v>19421.565285083499</v>
      </c>
      <c r="AG1761" s="2">
        <v>20122.03564301</v>
      </c>
      <c r="AH1761" s="2">
        <v>21623.679923662701</v>
      </c>
      <c r="AI1761" s="2">
        <v>22613.686925026901</v>
      </c>
      <c r="AJ1761" s="2">
        <v>22307.8943014578</v>
      </c>
      <c r="AK1761" s="2">
        <v>36371.1881799033</v>
      </c>
      <c r="AL1761" s="2">
        <v>33102.287295572904</v>
      </c>
      <c r="AM1761" s="2">
        <v>31498.8352080935</v>
      </c>
      <c r="AN1761" s="2">
        <v>35982.672819311098</v>
      </c>
      <c r="AO1761" s="2">
        <v>41693.604336144199</v>
      </c>
      <c r="AP1761" s="2">
        <v>35320.882247179397</v>
      </c>
    </row>
    <row r="1762" spans="1:42" ht="14.5" x14ac:dyDescent="0.35">
      <c r="A1762" s="2" t="s">
        <v>11871</v>
      </c>
      <c r="B1762" s="2">
        <v>405.22457632199502</v>
      </c>
      <c r="C1762" s="2">
        <v>9.7661333333333307</v>
      </c>
      <c r="D1762" s="2" t="s">
        <v>34</v>
      </c>
      <c r="E1762" s="2" t="s">
        <v>11872</v>
      </c>
      <c r="F1762" s="2">
        <v>44987</v>
      </c>
      <c r="G1762" s="3" t="str">
        <f>HYPERLINK("http://funmeta.oebiotech.com/network/44987", "http://funmeta.oebiotech.com/network/44987")</f>
        <v>http://funmeta.oebiotech.com/network/44987</v>
      </c>
      <c r="H1762" s="2"/>
      <c r="I1762" s="2">
        <v>41869</v>
      </c>
      <c r="J1762" s="2" t="s">
        <v>11873</v>
      </c>
      <c r="K1762" s="2">
        <v>17609</v>
      </c>
      <c r="L1762" s="2" t="s">
        <v>11874</v>
      </c>
      <c r="M1762" s="2"/>
      <c r="N1762" s="2"/>
      <c r="O1762" s="2">
        <v>5744</v>
      </c>
      <c r="P1762" s="2"/>
      <c r="Q1762" s="2" t="s">
        <v>11875</v>
      </c>
      <c r="R1762" s="2" t="s">
        <v>11876</v>
      </c>
      <c r="S1762" s="2" t="s">
        <v>50</v>
      </c>
      <c r="T1762" s="2" t="s">
        <v>124</v>
      </c>
      <c r="U1762" s="2" t="s">
        <v>929</v>
      </c>
      <c r="V1762" s="2" t="s">
        <v>59</v>
      </c>
      <c r="W1762" s="2">
        <v>44.1</v>
      </c>
      <c r="X1762" s="2">
        <v>34.6</v>
      </c>
      <c r="Y1762" s="2" t="s">
        <v>394</v>
      </c>
      <c r="Z1762" s="2" t="s">
        <v>11877</v>
      </c>
      <c r="AA1762" s="2">
        <v>-6.4045676048013203</v>
      </c>
      <c r="AB1762" s="2">
        <v>0.45790800634493101</v>
      </c>
      <c r="AC1762" s="2">
        <v>20173.6487937772</v>
      </c>
      <c r="AD1762" s="2">
        <v>6314.9495081670402</v>
      </c>
      <c r="AE1762" s="2">
        <v>19830.854673210099</v>
      </c>
      <c r="AF1762" s="2">
        <v>20060.794260623799</v>
      </c>
      <c r="AG1762" s="2">
        <v>19557.419892785801</v>
      </c>
      <c r="AH1762" s="2">
        <v>21235.416357671202</v>
      </c>
      <c r="AI1762" s="2">
        <v>18409.302200717699</v>
      </c>
      <c r="AJ1762" s="2">
        <v>21948.1053776548</v>
      </c>
      <c r="AK1762" s="2">
        <v>7417.2431881985503</v>
      </c>
      <c r="AL1762" s="2">
        <v>6967.9790580025601</v>
      </c>
      <c r="AM1762" s="2">
        <v>6288.8979684374199</v>
      </c>
      <c r="AN1762" s="2">
        <v>5574.5255769491096</v>
      </c>
      <c r="AO1762" s="2">
        <v>5856.8811981578001</v>
      </c>
      <c r="AP1762" s="2">
        <v>5784.1700592568204</v>
      </c>
    </row>
    <row r="1763" spans="1:42" ht="14.5" x14ac:dyDescent="0.35">
      <c r="A1763" s="2" t="s">
        <v>11878</v>
      </c>
      <c r="B1763" s="2">
        <v>794.302680083788</v>
      </c>
      <c r="C1763" s="2">
        <v>7.1785166666666704</v>
      </c>
      <c r="D1763" s="2" t="s">
        <v>70</v>
      </c>
      <c r="E1763" s="2" t="s">
        <v>11879</v>
      </c>
      <c r="F1763" s="2">
        <v>206218</v>
      </c>
      <c r="G1763" s="3" t="str">
        <f>HYPERLINK("http://funmeta.oebiotech.com/network/206218", "http://funmeta.oebiotech.com/network/206218")</f>
        <v>http://funmeta.oebiotech.com/network/206218</v>
      </c>
      <c r="H1763" s="2" t="s">
        <v>11880</v>
      </c>
      <c r="I1763" s="2"/>
      <c r="J1763" s="2"/>
      <c r="K1763" s="2"/>
      <c r="L1763" s="2"/>
      <c r="M1763" s="2"/>
      <c r="N1763" s="2"/>
      <c r="O1763" s="2">
        <v>101574147</v>
      </c>
      <c r="P1763" s="2"/>
      <c r="Q1763" s="2" t="s">
        <v>11881</v>
      </c>
      <c r="R1763" s="2" t="s">
        <v>11882</v>
      </c>
      <c r="S1763" s="2" t="s">
        <v>41</v>
      </c>
      <c r="T1763" s="2" t="s">
        <v>41</v>
      </c>
      <c r="U1763" s="2" t="s">
        <v>41</v>
      </c>
      <c r="V1763" s="2" t="s">
        <v>59</v>
      </c>
      <c r="W1763" s="2">
        <v>40.200000000000003</v>
      </c>
      <c r="X1763" s="2">
        <v>11.6</v>
      </c>
      <c r="Y1763" s="2" t="s">
        <v>751</v>
      </c>
      <c r="Z1763" s="2" t="s">
        <v>11883</v>
      </c>
      <c r="AA1763" s="2">
        <v>-3.8378519178805299</v>
      </c>
      <c r="AB1763" s="2">
        <v>0.45735982054596702</v>
      </c>
      <c r="AC1763" s="2">
        <v>96683.709233326997</v>
      </c>
      <c r="AD1763" s="2">
        <v>112922.18207611299</v>
      </c>
      <c r="AE1763" s="2">
        <v>100991.23683015699</v>
      </c>
      <c r="AF1763" s="2">
        <v>85865.125025618894</v>
      </c>
      <c r="AG1763" s="2">
        <v>101891.270040274</v>
      </c>
      <c r="AH1763" s="2">
        <v>96269.262110878495</v>
      </c>
      <c r="AI1763" s="2">
        <v>92511.880700831898</v>
      </c>
      <c r="AJ1763" s="2">
        <v>102573.48069220201</v>
      </c>
      <c r="AK1763" s="2">
        <v>116045.11142595499</v>
      </c>
      <c r="AL1763" s="2">
        <v>108290.446124758</v>
      </c>
      <c r="AM1763" s="2">
        <v>113993.014096354</v>
      </c>
      <c r="AN1763" s="2">
        <v>117168.50984228399</v>
      </c>
      <c r="AO1763" s="2">
        <v>106475.824792655</v>
      </c>
      <c r="AP1763" s="2">
        <v>115560.18617467101</v>
      </c>
    </row>
    <row r="1764" spans="1:42" ht="14.5" x14ac:dyDescent="0.35">
      <c r="A1764" s="2" t="s">
        <v>11884</v>
      </c>
      <c r="B1764" s="2">
        <v>389.21664431596901</v>
      </c>
      <c r="C1764" s="2">
        <v>4.4128166666666697</v>
      </c>
      <c r="D1764" s="2" t="s">
        <v>34</v>
      </c>
      <c r="E1764" s="2" t="s">
        <v>11885</v>
      </c>
      <c r="F1764" s="2">
        <v>62054</v>
      </c>
      <c r="G1764" s="3" t="str">
        <f>HYPERLINK("http://funmeta.oebiotech.com/network/62054", "http://funmeta.oebiotech.com/network/62054")</f>
        <v>http://funmeta.oebiotech.com/network/62054</v>
      </c>
      <c r="H1764" s="2" t="s">
        <v>11886</v>
      </c>
      <c r="I1764" s="2">
        <v>93346</v>
      </c>
      <c r="J1764" s="2"/>
      <c r="K1764" s="2">
        <v>168221</v>
      </c>
      <c r="L1764" s="2"/>
      <c r="M1764" s="2"/>
      <c r="N1764" s="2"/>
      <c r="O1764" s="2">
        <v>131752431</v>
      </c>
      <c r="P1764" s="2" t="s">
        <v>11887</v>
      </c>
      <c r="Q1764" s="2" t="s">
        <v>11888</v>
      </c>
      <c r="R1764" s="2" t="s">
        <v>11889</v>
      </c>
      <c r="S1764" s="2" t="s">
        <v>50</v>
      </c>
      <c r="T1764" s="2" t="s">
        <v>201</v>
      </c>
      <c r="U1764" s="2" t="s">
        <v>202</v>
      </c>
      <c r="V1764" s="2" t="s">
        <v>42</v>
      </c>
      <c r="W1764" s="2">
        <v>53</v>
      </c>
      <c r="X1764" s="2">
        <v>70.5</v>
      </c>
      <c r="Y1764" s="2" t="s">
        <v>141</v>
      </c>
      <c r="Z1764" s="2" t="s">
        <v>6935</v>
      </c>
      <c r="AA1764" s="2">
        <v>-0.86184876921468601</v>
      </c>
      <c r="AB1764" s="2">
        <v>0.456870316916273</v>
      </c>
      <c r="AC1764" s="2">
        <v>530952.79175221501</v>
      </c>
      <c r="AD1764" s="2">
        <v>508777.69796449301</v>
      </c>
      <c r="AE1764" s="2">
        <v>537484.05437985901</v>
      </c>
      <c r="AF1764" s="2">
        <v>530186.80536201503</v>
      </c>
      <c r="AG1764" s="2">
        <v>526992.258125711</v>
      </c>
      <c r="AH1764" s="2">
        <v>516461.32902373601</v>
      </c>
      <c r="AI1764" s="2">
        <v>533608.18130781199</v>
      </c>
      <c r="AJ1764" s="2">
        <v>540984.12231415499</v>
      </c>
      <c r="AK1764" s="2">
        <v>498320.06759207998</v>
      </c>
      <c r="AL1764" s="2">
        <v>489305.703840103</v>
      </c>
      <c r="AM1764" s="2">
        <v>520506.12036233098</v>
      </c>
      <c r="AN1764" s="2">
        <v>507506.064989915</v>
      </c>
      <c r="AO1764" s="2">
        <v>494407.27528584399</v>
      </c>
      <c r="AP1764" s="2">
        <v>542620.95571668295</v>
      </c>
    </row>
    <row r="1765" spans="1:42" ht="14.5" x14ac:dyDescent="0.35">
      <c r="A1765" s="2" t="s">
        <v>11890</v>
      </c>
      <c r="B1765" s="2">
        <v>127.038915170539</v>
      </c>
      <c r="C1765" s="2">
        <v>1.09313333333333</v>
      </c>
      <c r="D1765" s="2" t="s">
        <v>34</v>
      </c>
      <c r="E1765" s="2" t="s">
        <v>11891</v>
      </c>
      <c r="F1765" s="2">
        <v>52425</v>
      </c>
      <c r="G1765" s="3" t="str">
        <f>HYPERLINK("http://funmeta.oebiotech.com/network/52425", "http://funmeta.oebiotech.com/network/52425")</f>
        <v>http://funmeta.oebiotech.com/network/52425</v>
      </c>
      <c r="H1765" s="2" t="s">
        <v>11892</v>
      </c>
      <c r="I1765" s="2">
        <v>65561</v>
      </c>
      <c r="J1765" s="2"/>
      <c r="K1765" s="2">
        <v>16164</v>
      </c>
      <c r="L1765" s="2" t="s">
        <v>11893</v>
      </c>
      <c r="M1765" s="2" t="s">
        <v>3346</v>
      </c>
      <c r="N1765" s="2" t="s">
        <v>3347</v>
      </c>
      <c r="O1765" s="2">
        <v>1057</v>
      </c>
      <c r="P1765" s="2" t="s">
        <v>11894</v>
      </c>
      <c r="Q1765" s="2" t="s">
        <v>11895</v>
      </c>
      <c r="R1765" s="2" t="s">
        <v>11896</v>
      </c>
      <c r="S1765" s="2" t="s">
        <v>148</v>
      </c>
      <c r="T1765" s="2" t="s">
        <v>392</v>
      </c>
      <c r="U1765" s="2" t="s">
        <v>8632</v>
      </c>
      <c r="V1765" s="2" t="s">
        <v>42</v>
      </c>
      <c r="W1765" s="2">
        <v>51.4</v>
      </c>
      <c r="X1765" s="2">
        <v>59</v>
      </c>
      <c r="Y1765" s="2" t="s">
        <v>394</v>
      </c>
      <c r="Z1765" s="2" t="s">
        <v>11897</v>
      </c>
      <c r="AA1765" s="2">
        <v>-0.43887818291347702</v>
      </c>
      <c r="AB1765" s="2">
        <v>0.45684073055836599</v>
      </c>
      <c r="AC1765" s="2">
        <v>565774.22464766901</v>
      </c>
      <c r="AD1765" s="2">
        <v>538985.92446052702</v>
      </c>
      <c r="AE1765" s="2">
        <v>532469.76125223597</v>
      </c>
      <c r="AF1765" s="2">
        <v>574034.18005754601</v>
      </c>
      <c r="AG1765" s="2">
        <v>567288.92945563898</v>
      </c>
      <c r="AH1765" s="2">
        <v>559669.83371780894</v>
      </c>
      <c r="AI1765" s="2">
        <v>578158.10461840895</v>
      </c>
      <c r="AJ1765" s="2">
        <v>583024.53878437495</v>
      </c>
      <c r="AK1765" s="2">
        <v>491903.93244023097</v>
      </c>
      <c r="AL1765" s="2">
        <v>519921.13218878198</v>
      </c>
      <c r="AM1765" s="2">
        <v>539792.42855551105</v>
      </c>
      <c r="AN1765" s="2">
        <v>551201.62802785495</v>
      </c>
      <c r="AO1765" s="2">
        <v>568391.51416565396</v>
      </c>
      <c r="AP1765" s="2">
        <v>562704.91138513095</v>
      </c>
    </row>
    <row r="1766" spans="1:42" ht="14.5" x14ac:dyDescent="0.35">
      <c r="A1766" s="2" t="s">
        <v>11898</v>
      </c>
      <c r="B1766" s="2">
        <v>395.19209755091401</v>
      </c>
      <c r="C1766" s="2">
        <v>4.22216666666667</v>
      </c>
      <c r="D1766" s="2" t="s">
        <v>70</v>
      </c>
      <c r="E1766" s="2" t="s">
        <v>11899</v>
      </c>
      <c r="F1766" s="2">
        <v>52814</v>
      </c>
      <c r="G1766" s="3" t="str">
        <f>HYPERLINK("http://funmeta.oebiotech.com/network/52814", "http://funmeta.oebiotech.com/network/52814")</f>
        <v>http://funmeta.oebiotech.com/network/52814</v>
      </c>
      <c r="H1766" s="2" t="s">
        <v>11900</v>
      </c>
      <c r="I1766" s="2">
        <v>85385</v>
      </c>
      <c r="J1766" s="2"/>
      <c r="K1766" s="2">
        <v>102408</v>
      </c>
      <c r="L1766" s="2"/>
      <c r="M1766" s="2"/>
      <c r="N1766" s="2"/>
      <c r="O1766" s="2">
        <v>4099</v>
      </c>
      <c r="P1766" s="2" t="s">
        <v>11901</v>
      </c>
      <c r="Q1766" s="2" t="s">
        <v>11902</v>
      </c>
      <c r="R1766" s="2" t="s">
        <v>11903</v>
      </c>
      <c r="S1766" s="2" t="s">
        <v>491</v>
      </c>
      <c r="T1766" s="2" t="s">
        <v>4517</v>
      </c>
      <c r="U1766" s="2" t="s">
        <v>4518</v>
      </c>
      <c r="V1766" s="2" t="s">
        <v>59</v>
      </c>
      <c r="W1766" s="2">
        <v>38.9</v>
      </c>
      <c r="X1766" s="2">
        <v>0</v>
      </c>
      <c r="Y1766" s="2" t="s">
        <v>560</v>
      </c>
      <c r="Z1766" s="2" t="s">
        <v>11904</v>
      </c>
      <c r="AA1766" s="2">
        <v>-3.8128425868536699</v>
      </c>
      <c r="AB1766" s="2">
        <v>0.45679938580344998</v>
      </c>
      <c r="AC1766" s="2">
        <v>23758.055040147199</v>
      </c>
      <c r="AD1766" s="2">
        <v>38310.934127275403</v>
      </c>
      <c r="AE1766" s="2">
        <v>24651.222356989299</v>
      </c>
      <c r="AF1766" s="2">
        <v>19100.9052831605</v>
      </c>
      <c r="AG1766" s="2">
        <v>25818.672676924201</v>
      </c>
      <c r="AH1766" s="2">
        <v>22123.727526651801</v>
      </c>
      <c r="AI1766" s="2">
        <v>23329.217110584901</v>
      </c>
      <c r="AJ1766" s="2">
        <v>27524.585286572201</v>
      </c>
      <c r="AK1766" s="2">
        <v>40102.335226221803</v>
      </c>
      <c r="AL1766" s="2">
        <v>36082.434439588003</v>
      </c>
      <c r="AM1766" s="2">
        <v>39571.828765924998</v>
      </c>
      <c r="AN1766" s="2">
        <v>42081.331802217202</v>
      </c>
      <c r="AO1766" s="2">
        <v>37898.125862836801</v>
      </c>
      <c r="AP1766" s="2">
        <v>34129.548666863499</v>
      </c>
    </row>
    <row r="1767" spans="1:42" ht="14.5" x14ac:dyDescent="0.35">
      <c r="A1767" s="2" t="s">
        <v>11905</v>
      </c>
      <c r="B1767" s="2">
        <v>447.16554837058601</v>
      </c>
      <c r="C1767" s="2">
        <v>6.0676500000000004</v>
      </c>
      <c r="D1767" s="2" t="s">
        <v>70</v>
      </c>
      <c r="E1767" s="2" t="s">
        <v>11906</v>
      </c>
      <c r="F1767" s="2">
        <v>54475</v>
      </c>
      <c r="G1767" s="3" t="str">
        <f>HYPERLINK("http://funmeta.oebiotech.com/network/54475", "http://funmeta.oebiotech.com/network/54475")</f>
        <v>http://funmeta.oebiotech.com/network/54475</v>
      </c>
      <c r="H1767" s="2" t="s">
        <v>11907</v>
      </c>
      <c r="I1767" s="2">
        <v>86328</v>
      </c>
      <c r="J1767" s="2"/>
      <c r="K1767" s="2">
        <v>582747</v>
      </c>
      <c r="L1767" s="2"/>
      <c r="M1767" s="2"/>
      <c r="N1767" s="2"/>
      <c r="O1767" s="2">
        <v>44575537</v>
      </c>
      <c r="P1767" s="2" t="s">
        <v>11908</v>
      </c>
      <c r="Q1767" s="2" t="s">
        <v>11909</v>
      </c>
      <c r="R1767" s="2" t="s">
        <v>11910</v>
      </c>
      <c r="S1767" s="2" t="s">
        <v>1184</v>
      </c>
      <c r="T1767" s="2" t="s">
        <v>3333</v>
      </c>
      <c r="U1767" s="2" t="s">
        <v>3334</v>
      </c>
      <c r="V1767" s="2" t="s">
        <v>59</v>
      </c>
      <c r="W1767" s="2">
        <v>42.1</v>
      </c>
      <c r="X1767" s="2">
        <v>18.8</v>
      </c>
      <c r="Y1767" s="2" t="s">
        <v>408</v>
      </c>
      <c r="Z1767" s="2" t="s">
        <v>11911</v>
      </c>
      <c r="AA1767" s="2">
        <v>-1.26233399847161</v>
      </c>
      <c r="AB1767" s="2">
        <v>0.45657645537198999</v>
      </c>
      <c r="AC1767" s="2">
        <v>32938.536235806198</v>
      </c>
      <c r="AD1767" s="2">
        <v>19023.557528121499</v>
      </c>
      <c r="AE1767" s="2">
        <v>34499.988061394703</v>
      </c>
      <c r="AF1767" s="2">
        <v>32275.627041795498</v>
      </c>
      <c r="AG1767" s="2">
        <v>31427.5074677517</v>
      </c>
      <c r="AH1767" s="2">
        <v>34429.7910546239</v>
      </c>
      <c r="AI1767" s="2">
        <v>30689.582290996099</v>
      </c>
      <c r="AJ1767" s="2">
        <v>34308.721498275503</v>
      </c>
      <c r="AK1767" s="2">
        <v>18148.997517451498</v>
      </c>
      <c r="AL1767" s="2">
        <v>20581.641476393899</v>
      </c>
      <c r="AM1767" s="2">
        <v>19256.5612933712</v>
      </c>
      <c r="AN1767" s="2">
        <v>19724.974677374001</v>
      </c>
      <c r="AO1767" s="2">
        <v>19384.271757726401</v>
      </c>
      <c r="AP1767" s="2">
        <v>17044.8984464122</v>
      </c>
    </row>
    <row r="1768" spans="1:42" ht="14.5" x14ac:dyDescent="0.35">
      <c r="A1768" s="2" t="s">
        <v>11912</v>
      </c>
      <c r="B1768" s="2">
        <v>807.44751448037096</v>
      </c>
      <c r="C1768" s="2">
        <v>9.7086333333333297</v>
      </c>
      <c r="D1768" s="2" t="s">
        <v>34</v>
      </c>
      <c r="E1768" s="2" t="s">
        <v>11913</v>
      </c>
      <c r="F1768" s="2">
        <v>18043</v>
      </c>
      <c r="G1768" s="3" t="str">
        <f>HYPERLINK("http://funmeta.oebiotech.com/network/18043", "http://funmeta.oebiotech.com/network/18043")</f>
        <v>http://funmeta.oebiotech.com/network/18043</v>
      </c>
      <c r="H1768" s="2"/>
      <c r="I1768" s="2"/>
      <c r="J1768" s="2" t="s">
        <v>11914</v>
      </c>
      <c r="K1768" s="2"/>
      <c r="L1768" s="2"/>
      <c r="M1768" s="2"/>
      <c r="N1768" s="2"/>
      <c r="O1768" s="2">
        <v>52922089</v>
      </c>
      <c r="P1768" s="2"/>
      <c r="Q1768" s="2" t="s">
        <v>11915</v>
      </c>
      <c r="R1768" s="2" t="s">
        <v>11916</v>
      </c>
      <c r="S1768" s="2" t="s">
        <v>50</v>
      </c>
      <c r="T1768" s="2" t="s">
        <v>448</v>
      </c>
      <c r="U1768" s="2" t="s">
        <v>449</v>
      </c>
      <c r="V1768" s="2" t="s">
        <v>42</v>
      </c>
      <c r="W1768" s="2">
        <v>45.3</v>
      </c>
      <c r="X1768" s="2">
        <v>49.7</v>
      </c>
      <c r="Y1768" s="2" t="s">
        <v>340</v>
      </c>
      <c r="Z1768" s="2" t="s">
        <v>11917</v>
      </c>
      <c r="AA1768" s="2">
        <v>4.0443719577611503</v>
      </c>
      <c r="AB1768" s="2">
        <v>0.45631323444071298</v>
      </c>
      <c r="AC1768" s="2">
        <v>44007.3905634455</v>
      </c>
      <c r="AD1768" s="2">
        <v>29007.1603837933</v>
      </c>
      <c r="AE1768" s="2">
        <v>42722.442636406398</v>
      </c>
      <c r="AF1768" s="2">
        <v>36771.384581447099</v>
      </c>
      <c r="AG1768" s="2">
        <v>44959.868218074298</v>
      </c>
      <c r="AH1768" s="2">
        <v>45508.148289022101</v>
      </c>
      <c r="AI1768" s="2">
        <v>44230.526959403098</v>
      </c>
      <c r="AJ1768" s="2">
        <v>49851.972696319797</v>
      </c>
      <c r="AK1768" s="2">
        <v>29982.394854020898</v>
      </c>
      <c r="AL1768" s="2">
        <v>28452.4887172829</v>
      </c>
      <c r="AM1768" s="2">
        <v>28494.357038470302</v>
      </c>
      <c r="AN1768" s="2">
        <v>23627.4726609299</v>
      </c>
      <c r="AO1768" s="2">
        <v>30852.7991973889</v>
      </c>
      <c r="AP1768" s="2">
        <v>32633.449834666801</v>
      </c>
    </row>
    <row r="1769" spans="1:42" ht="14.5" x14ac:dyDescent="0.35">
      <c r="A1769" s="2" t="s">
        <v>11918</v>
      </c>
      <c r="B1769" s="2">
        <v>515.19242500933001</v>
      </c>
      <c r="C1769" s="2">
        <v>5.3391000000000002</v>
      </c>
      <c r="D1769" s="2" t="s">
        <v>70</v>
      </c>
      <c r="E1769" s="2" t="s">
        <v>11919</v>
      </c>
      <c r="F1769" s="2">
        <v>266708</v>
      </c>
      <c r="G1769" s="3" t="str">
        <f>HYPERLINK("http://funmeta.oebiotech.com/network/266708", "http://funmeta.oebiotech.com/network/266708")</f>
        <v>http://funmeta.oebiotech.com/network/266708</v>
      </c>
      <c r="H1769" s="2"/>
      <c r="I1769" s="2">
        <v>43811</v>
      </c>
      <c r="J1769" s="2"/>
      <c r="K1769" s="2"/>
      <c r="L1769" s="2"/>
      <c r="M1769" s="2"/>
      <c r="N1769" s="2"/>
      <c r="O1769" s="2">
        <v>6857755</v>
      </c>
      <c r="P1769" s="2"/>
      <c r="Q1769" s="2" t="s">
        <v>11920</v>
      </c>
      <c r="R1769" s="2" t="s">
        <v>11921</v>
      </c>
      <c r="S1769" s="2" t="s">
        <v>50</v>
      </c>
      <c r="T1769" s="2" t="s">
        <v>201</v>
      </c>
      <c r="U1769" s="2" t="s">
        <v>210</v>
      </c>
      <c r="V1769" s="2" t="s">
        <v>59</v>
      </c>
      <c r="W1769" s="2">
        <v>38.5</v>
      </c>
      <c r="X1769" s="2">
        <v>0</v>
      </c>
      <c r="Y1769" s="2" t="s">
        <v>408</v>
      </c>
      <c r="Z1769" s="2" t="s">
        <v>11922</v>
      </c>
      <c r="AA1769" s="2">
        <v>0.32799382240176</v>
      </c>
      <c r="AB1769" s="2">
        <v>0.45631156909711901</v>
      </c>
      <c r="AC1769" s="2">
        <v>25762.443677941301</v>
      </c>
      <c r="AD1769" s="2">
        <v>11475.9892902717</v>
      </c>
      <c r="AE1769" s="2">
        <v>30105.3981419458</v>
      </c>
      <c r="AF1769" s="2">
        <v>25588.2908988032</v>
      </c>
      <c r="AG1769" s="2">
        <v>26452.5020405424</v>
      </c>
      <c r="AH1769" s="2">
        <v>22968.209867818299</v>
      </c>
      <c r="AI1769" s="2">
        <v>26862.833036771899</v>
      </c>
      <c r="AJ1769" s="2">
        <v>22597.4280817662</v>
      </c>
      <c r="AK1769" s="2">
        <v>11643.8531392185</v>
      </c>
      <c r="AL1769" s="2">
        <v>12126.122430671599</v>
      </c>
      <c r="AM1769" s="2">
        <v>14781.3016354557</v>
      </c>
      <c r="AN1769" s="2">
        <v>9563.2912691153197</v>
      </c>
      <c r="AO1769" s="2">
        <v>9393.7365769752196</v>
      </c>
      <c r="AP1769" s="2">
        <v>11347.630690194001</v>
      </c>
    </row>
    <row r="1770" spans="1:42" ht="14.5" x14ac:dyDescent="0.35">
      <c r="A1770" s="2" t="s">
        <v>11923</v>
      </c>
      <c r="B1770" s="2">
        <v>281.24733828953703</v>
      </c>
      <c r="C1770" s="2">
        <v>12.0614166666667</v>
      </c>
      <c r="D1770" s="2" t="s">
        <v>34</v>
      </c>
      <c r="E1770" s="2" t="s">
        <v>11924</v>
      </c>
      <c r="F1770" s="2">
        <v>3134</v>
      </c>
      <c r="G1770" s="3" t="str">
        <f>HYPERLINK("http://funmeta.oebiotech.com/network/3134", "http://funmeta.oebiotech.com/network/3134")</f>
        <v>http://funmeta.oebiotech.com/network/3134</v>
      </c>
      <c r="H1770" s="2"/>
      <c r="I1770" s="2">
        <v>35568</v>
      </c>
      <c r="J1770" s="2" t="s">
        <v>11925</v>
      </c>
      <c r="K1770" s="2">
        <v>144923</v>
      </c>
      <c r="L1770" s="2"/>
      <c r="M1770" s="2"/>
      <c r="N1770" s="2"/>
      <c r="O1770" s="2">
        <v>5312772</v>
      </c>
      <c r="P1770" s="2"/>
      <c r="Q1770" s="2" t="s">
        <v>11926</v>
      </c>
      <c r="R1770" s="2" t="s">
        <v>11927</v>
      </c>
      <c r="S1770" s="2" t="s">
        <v>50</v>
      </c>
      <c r="T1770" s="2" t="s">
        <v>229</v>
      </c>
      <c r="U1770" s="2" t="s">
        <v>433</v>
      </c>
      <c r="V1770" s="2" t="s">
        <v>42</v>
      </c>
      <c r="W1770" s="2">
        <v>54.1</v>
      </c>
      <c r="X1770" s="2">
        <v>77.599999999999994</v>
      </c>
      <c r="Y1770" s="2" t="s">
        <v>141</v>
      </c>
      <c r="Z1770" s="2" t="s">
        <v>11119</v>
      </c>
      <c r="AA1770" s="2">
        <v>-0.56465741662640101</v>
      </c>
      <c r="AB1770" s="2">
        <v>0.456218490394114</v>
      </c>
      <c r="AC1770" s="2">
        <v>35881.372447198701</v>
      </c>
      <c r="AD1770" s="2">
        <v>21819.757910718701</v>
      </c>
      <c r="AE1770" s="2">
        <v>36456.829695397602</v>
      </c>
      <c r="AF1770" s="2">
        <v>37622.924151798798</v>
      </c>
      <c r="AG1770" s="2">
        <v>38508.889266968297</v>
      </c>
      <c r="AH1770" s="2">
        <v>32798.638682910598</v>
      </c>
      <c r="AI1770" s="2">
        <v>36241.662628150101</v>
      </c>
      <c r="AJ1770" s="2">
        <v>33659.290257966597</v>
      </c>
      <c r="AK1770" s="2">
        <v>24210.610583814101</v>
      </c>
      <c r="AL1770" s="2">
        <v>23304.0052216556</v>
      </c>
      <c r="AM1770" s="2">
        <v>20290.401056768598</v>
      </c>
      <c r="AN1770" s="2">
        <v>20152.779077343901</v>
      </c>
      <c r="AO1770" s="2">
        <v>22072.949605069101</v>
      </c>
      <c r="AP1770" s="2">
        <v>20887.8019196606</v>
      </c>
    </row>
    <row r="1771" spans="1:42" ht="14.5" x14ac:dyDescent="0.35">
      <c r="A1771" s="2" t="s">
        <v>11928</v>
      </c>
      <c r="B1771" s="2">
        <v>322.08068308577901</v>
      </c>
      <c r="C1771" s="2">
        <v>3.4003333333333301</v>
      </c>
      <c r="D1771" s="2" t="s">
        <v>34</v>
      </c>
      <c r="E1771" s="2" t="s">
        <v>11929</v>
      </c>
      <c r="F1771" s="2">
        <v>47658</v>
      </c>
      <c r="G1771" s="3" t="str">
        <f>HYPERLINK("http://funmeta.oebiotech.com/network/47658", "http://funmeta.oebiotech.com/network/47658")</f>
        <v>http://funmeta.oebiotech.com/network/47658</v>
      </c>
      <c r="H1771" s="2" t="s">
        <v>11930</v>
      </c>
      <c r="I1771" s="2"/>
      <c r="J1771" s="2"/>
      <c r="K1771" s="2">
        <v>17013</v>
      </c>
      <c r="L1771" s="2" t="s">
        <v>11931</v>
      </c>
      <c r="M1771" s="2" t="s">
        <v>11932</v>
      </c>
      <c r="N1771" s="2" t="s">
        <v>11933</v>
      </c>
      <c r="O1771" s="2">
        <v>53477735</v>
      </c>
      <c r="P1771" s="2" t="s">
        <v>11934</v>
      </c>
      <c r="Q1771" s="2" t="s">
        <v>11935</v>
      </c>
      <c r="R1771" s="2" t="s">
        <v>11936</v>
      </c>
      <c r="S1771" s="2" t="s">
        <v>491</v>
      </c>
      <c r="T1771" s="2" t="s">
        <v>4517</v>
      </c>
      <c r="U1771" s="2" t="s">
        <v>4518</v>
      </c>
      <c r="V1771" s="2" t="s">
        <v>59</v>
      </c>
      <c r="W1771" s="2">
        <v>38.9</v>
      </c>
      <c r="X1771" s="2">
        <v>9.1</v>
      </c>
      <c r="Y1771" s="2" t="s">
        <v>43</v>
      </c>
      <c r="Z1771" s="2" t="s">
        <v>11937</v>
      </c>
      <c r="AA1771" s="2">
        <v>2.6974939570441401</v>
      </c>
      <c r="AB1771" s="2">
        <v>0.45605210058136397</v>
      </c>
      <c r="AC1771" s="2">
        <v>167221.39284307501</v>
      </c>
      <c r="AD1771" s="2">
        <v>144140.80878892099</v>
      </c>
      <c r="AE1771" s="2">
        <v>165885.093920735</v>
      </c>
      <c r="AF1771" s="2">
        <v>164837.614032168</v>
      </c>
      <c r="AG1771" s="2">
        <v>160775.73273234401</v>
      </c>
      <c r="AH1771" s="2">
        <v>211536.825008382</v>
      </c>
      <c r="AI1771" s="2">
        <v>162004.81075066101</v>
      </c>
      <c r="AJ1771" s="2">
        <v>138288.280614157</v>
      </c>
      <c r="AK1771" s="2">
        <v>150756.378663824</v>
      </c>
      <c r="AL1771" s="2">
        <v>143523.58760598299</v>
      </c>
      <c r="AM1771" s="2">
        <v>144045.64937679999</v>
      </c>
      <c r="AN1771" s="2">
        <v>142885.44973739501</v>
      </c>
      <c r="AO1771" s="2">
        <v>146378.69912250701</v>
      </c>
      <c r="AP1771" s="2">
        <v>137255.088227019</v>
      </c>
    </row>
    <row r="1772" spans="1:42" ht="14.5" x14ac:dyDescent="0.35">
      <c r="A1772" s="2" t="s">
        <v>11938</v>
      </c>
      <c r="B1772" s="2">
        <v>503.16081468538999</v>
      </c>
      <c r="C1772" s="2">
        <v>0.73909999999999998</v>
      </c>
      <c r="D1772" s="2" t="s">
        <v>70</v>
      </c>
      <c r="E1772" s="2" t="s">
        <v>11939</v>
      </c>
      <c r="F1772" s="2">
        <v>51501</v>
      </c>
      <c r="G1772" s="3" t="str">
        <f>HYPERLINK("http://funmeta.oebiotech.com/network/51501", "http://funmeta.oebiotech.com/network/51501")</f>
        <v>http://funmeta.oebiotech.com/network/51501</v>
      </c>
      <c r="H1772" s="2" t="s">
        <v>11940</v>
      </c>
      <c r="I1772" s="2">
        <v>43984</v>
      </c>
      <c r="J1772" s="2"/>
      <c r="K1772" s="2">
        <v>6731</v>
      </c>
      <c r="L1772" s="2" t="s">
        <v>11941</v>
      </c>
      <c r="M1772" s="2"/>
      <c r="N1772" s="2"/>
      <c r="O1772" s="2">
        <v>92817</v>
      </c>
      <c r="P1772" s="2" t="s">
        <v>11942</v>
      </c>
      <c r="Q1772" s="2" t="s">
        <v>11943</v>
      </c>
      <c r="R1772" s="2" t="s">
        <v>11944</v>
      </c>
      <c r="S1772" s="2" t="s">
        <v>79</v>
      </c>
      <c r="T1772" s="2" t="s">
        <v>80</v>
      </c>
      <c r="U1772" s="2" t="s">
        <v>81</v>
      </c>
      <c r="V1772" s="2" t="s">
        <v>42</v>
      </c>
      <c r="W1772" s="2">
        <v>50.7</v>
      </c>
      <c r="X1772" s="2">
        <v>70.8</v>
      </c>
      <c r="Y1772" s="2" t="s">
        <v>118</v>
      </c>
      <c r="Z1772" s="2" t="s">
        <v>543</v>
      </c>
      <c r="AA1772" s="2">
        <v>-1.87203446543753</v>
      </c>
      <c r="AB1772" s="2">
        <v>0.45567888158772502</v>
      </c>
      <c r="AC1772" s="2">
        <v>127874.912176586</v>
      </c>
      <c r="AD1772" s="2">
        <v>150058.01135135099</v>
      </c>
      <c r="AE1772" s="2">
        <v>128830.576652046</v>
      </c>
      <c r="AF1772" s="2">
        <v>125460.22393508699</v>
      </c>
      <c r="AG1772" s="2">
        <v>129147.97853496901</v>
      </c>
      <c r="AH1772" s="2">
        <v>137494.59318817599</v>
      </c>
      <c r="AI1772" s="2">
        <v>114473.114181921</v>
      </c>
      <c r="AJ1772" s="2">
        <v>131842.98656731599</v>
      </c>
      <c r="AK1772" s="2">
        <v>150339.909702654</v>
      </c>
      <c r="AL1772" s="2">
        <v>162001.998671582</v>
      </c>
      <c r="AM1772" s="2">
        <v>154374.836511651</v>
      </c>
      <c r="AN1772" s="2">
        <v>118888.08703606301</v>
      </c>
      <c r="AO1772" s="2">
        <v>177349.888007851</v>
      </c>
      <c r="AP1772" s="2">
        <v>137393.34817830601</v>
      </c>
    </row>
    <row r="1773" spans="1:42" ht="14.5" x14ac:dyDescent="0.35">
      <c r="A1773" s="2" t="s">
        <v>11945</v>
      </c>
      <c r="B1773" s="2">
        <v>565.19213951341806</v>
      </c>
      <c r="C1773" s="2">
        <v>4.6673166666666699</v>
      </c>
      <c r="D1773" s="2" t="s">
        <v>70</v>
      </c>
      <c r="E1773" s="2" t="s">
        <v>11946</v>
      </c>
      <c r="F1773" s="2">
        <v>254886</v>
      </c>
      <c r="G1773" s="3" t="str">
        <f>HYPERLINK("http://funmeta.oebiotech.com/network/254886", "http://funmeta.oebiotech.com/network/254886")</f>
        <v>http://funmeta.oebiotech.com/network/254886</v>
      </c>
      <c r="H1773" s="2" t="s">
        <v>11947</v>
      </c>
      <c r="I1773" s="2">
        <v>71761</v>
      </c>
      <c r="J1773" s="2"/>
      <c r="K1773" s="2">
        <v>81162</v>
      </c>
      <c r="L1773" s="2" t="s">
        <v>11948</v>
      </c>
      <c r="M1773" s="2"/>
      <c r="N1773" s="2"/>
      <c r="O1773" s="2">
        <v>11168362</v>
      </c>
      <c r="P1773" s="2" t="s">
        <v>11949</v>
      </c>
      <c r="Q1773" s="2" t="s">
        <v>11950</v>
      </c>
      <c r="R1773" s="2" t="s">
        <v>11951</v>
      </c>
      <c r="S1773" s="2" t="s">
        <v>1184</v>
      </c>
      <c r="T1773" s="2" t="s">
        <v>1185</v>
      </c>
      <c r="U1773" s="2" t="s">
        <v>41</v>
      </c>
      <c r="V1773" s="2" t="s">
        <v>42</v>
      </c>
      <c r="W1773" s="2">
        <v>48.8</v>
      </c>
      <c r="X1773" s="2">
        <v>52.4</v>
      </c>
      <c r="Y1773" s="2" t="s">
        <v>408</v>
      </c>
      <c r="Z1773" s="2" t="s">
        <v>1218</v>
      </c>
      <c r="AA1773" s="2">
        <v>-1.0096185569832099</v>
      </c>
      <c r="AB1773" s="2">
        <v>0.45507649328799299</v>
      </c>
      <c r="AC1773" s="2">
        <v>23672.316761514299</v>
      </c>
      <c r="AD1773" s="2">
        <v>38580.922604178697</v>
      </c>
      <c r="AE1773" s="2">
        <v>21326.033987786701</v>
      </c>
      <c r="AF1773" s="2">
        <v>23384.510735535299</v>
      </c>
      <c r="AG1773" s="2">
        <v>20590.459292924999</v>
      </c>
      <c r="AH1773" s="2">
        <v>21895.4346932074</v>
      </c>
      <c r="AI1773" s="2">
        <v>26237.2354751698</v>
      </c>
      <c r="AJ1773" s="2">
        <v>28600.226384461399</v>
      </c>
      <c r="AK1773" s="2">
        <v>38891.176702549703</v>
      </c>
      <c r="AL1773" s="2">
        <v>37975.967406508003</v>
      </c>
      <c r="AM1773" s="2">
        <v>34344.857177174301</v>
      </c>
      <c r="AN1773" s="2">
        <v>43793.229628737499</v>
      </c>
      <c r="AO1773" s="2">
        <v>33415.276925689803</v>
      </c>
      <c r="AP1773" s="2">
        <v>43065.027784412603</v>
      </c>
    </row>
    <row r="1774" spans="1:42" ht="14.5" x14ac:dyDescent="0.35">
      <c r="A1774" s="2" t="s">
        <v>11952</v>
      </c>
      <c r="B1774" s="2">
        <v>695.26721394937397</v>
      </c>
      <c r="C1774" s="2">
        <v>9.39025</v>
      </c>
      <c r="D1774" s="2" t="s">
        <v>34</v>
      </c>
      <c r="E1774" s="2" t="s">
        <v>11953</v>
      </c>
      <c r="F1774" s="2">
        <v>58462</v>
      </c>
      <c r="G1774" s="3" t="str">
        <f>HYPERLINK("http://funmeta.oebiotech.com/network/58462", "http://funmeta.oebiotech.com/network/58462")</f>
        <v>http://funmeta.oebiotech.com/network/58462</v>
      </c>
      <c r="H1774" s="2" t="s">
        <v>11954</v>
      </c>
      <c r="I1774" s="2">
        <v>89935</v>
      </c>
      <c r="J1774" s="2"/>
      <c r="K1774" s="2">
        <v>169085</v>
      </c>
      <c r="L1774" s="2"/>
      <c r="M1774" s="2"/>
      <c r="N1774" s="2"/>
      <c r="O1774" s="2">
        <v>5065</v>
      </c>
      <c r="P1774" s="2" t="s">
        <v>11955</v>
      </c>
      <c r="Q1774" s="2" t="s">
        <v>11956</v>
      </c>
      <c r="R1774" s="2" t="s">
        <v>11957</v>
      </c>
      <c r="S1774" s="2" t="s">
        <v>491</v>
      </c>
      <c r="T1774" s="2" t="s">
        <v>4914</v>
      </c>
      <c r="U1774" s="2" t="s">
        <v>7721</v>
      </c>
      <c r="V1774" s="2" t="s">
        <v>59</v>
      </c>
      <c r="W1774" s="2">
        <v>39.299999999999997</v>
      </c>
      <c r="X1774" s="2">
        <v>2.0099999999999998</v>
      </c>
      <c r="Y1774" s="2" t="s">
        <v>340</v>
      </c>
      <c r="Z1774" s="2" t="s">
        <v>11958</v>
      </c>
      <c r="AA1774" s="2">
        <v>-2.57160099895823</v>
      </c>
      <c r="AB1774" s="2">
        <v>0.45493156358076398</v>
      </c>
      <c r="AC1774" s="2">
        <v>341188.076685787</v>
      </c>
      <c r="AD1774" s="2">
        <v>319482.82327868498</v>
      </c>
      <c r="AE1774" s="2">
        <v>343891.13161581999</v>
      </c>
      <c r="AF1774" s="2">
        <v>347394.06076545501</v>
      </c>
      <c r="AG1774" s="2">
        <v>351082.57859127002</v>
      </c>
      <c r="AH1774" s="2">
        <v>309914.39707871299</v>
      </c>
      <c r="AI1774" s="2">
        <v>332537.88117942499</v>
      </c>
      <c r="AJ1774" s="2">
        <v>362308.41088403802</v>
      </c>
      <c r="AK1774" s="2">
        <v>318561.77489809401</v>
      </c>
      <c r="AL1774" s="2">
        <v>339634.94796564901</v>
      </c>
      <c r="AM1774" s="2">
        <v>308291.30038048897</v>
      </c>
      <c r="AN1774" s="2">
        <v>321141.77051363798</v>
      </c>
      <c r="AO1774" s="2">
        <v>308422.78730317001</v>
      </c>
      <c r="AP1774" s="2">
        <v>320844.358611067</v>
      </c>
    </row>
    <row r="1775" spans="1:42" ht="14.5" x14ac:dyDescent="0.35">
      <c r="A1775" s="2" t="s">
        <v>11959</v>
      </c>
      <c r="B1775" s="2">
        <v>795.36513160362404</v>
      </c>
      <c r="C1775" s="2">
        <v>4.2944166666666703</v>
      </c>
      <c r="D1775" s="2" t="s">
        <v>70</v>
      </c>
      <c r="E1775" s="2" t="s">
        <v>11960</v>
      </c>
      <c r="F1775" s="2">
        <v>199984</v>
      </c>
      <c r="G1775" s="3" t="str">
        <f>HYPERLINK("http://funmeta.oebiotech.com/network/199984", "http://funmeta.oebiotech.com/network/199984")</f>
        <v>http://funmeta.oebiotech.com/network/199984</v>
      </c>
      <c r="H1775" s="2" t="s">
        <v>11961</v>
      </c>
      <c r="I1775" s="2">
        <v>413594</v>
      </c>
      <c r="J1775" s="2"/>
      <c r="K1775" s="2">
        <v>88334</v>
      </c>
      <c r="L1775" s="2"/>
      <c r="M1775" s="2"/>
      <c r="N1775" s="2"/>
      <c r="O1775" s="2">
        <v>135411</v>
      </c>
      <c r="P1775" s="2"/>
      <c r="Q1775" s="2" t="s">
        <v>11962</v>
      </c>
      <c r="R1775" s="2" t="s">
        <v>11963</v>
      </c>
      <c r="S1775" s="2" t="s">
        <v>148</v>
      </c>
      <c r="T1775" s="2" t="s">
        <v>6221</v>
      </c>
      <c r="U1775" s="2" t="s">
        <v>11964</v>
      </c>
      <c r="V1775" s="2" t="s">
        <v>59</v>
      </c>
      <c r="W1775" s="2">
        <v>38.1</v>
      </c>
      <c r="X1775" s="2">
        <v>0</v>
      </c>
      <c r="Y1775" s="2" t="s">
        <v>560</v>
      </c>
      <c r="Z1775" s="2" t="s">
        <v>11965</v>
      </c>
      <c r="AA1775" s="2">
        <v>-4.9993312573780404</v>
      </c>
      <c r="AB1775" s="2">
        <v>0.45488053331425199</v>
      </c>
      <c r="AC1775" s="2">
        <v>36813.336653086299</v>
      </c>
      <c r="AD1775" s="2">
        <v>22010.713168319999</v>
      </c>
      <c r="AE1775" s="2">
        <v>39182.657826356</v>
      </c>
      <c r="AF1775" s="2">
        <v>36045.5842528867</v>
      </c>
      <c r="AG1775" s="2">
        <v>34532.503462509201</v>
      </c>
      <c r="AH1775" s="2">
        <v>36278.941438796697</v>
      </c>
      <c r="AI1775" s="2">
        <v>40330.641036016197</v>
      </c>
      <c r="AJ1775" s="2">
        <v>34509.691901953003</v>
      </c>
      <c r="AK1775" s="2">
        <v>17337.1844179939</v>
      </c>
      <c r="AL1775" s="2">
        <v>18316.105759453301</v>
      </c>
      <c r="AM1775" s="2">
        <v>27067.506289826801</v>
      </c>
      <c r="AN1775" s="2">
        <v>26470.952548593101</v>
      </c>
      <c r="AO1775" s="2">
        <v>20373.6661883415</v>
      </c>
      <c r="AP1775" s="2">
        <v>22498.863805711098</v>
      </c>
    </row>
    <row r="1776" spans="1:42" ht="14.5" x14ac:dyDescent="0.35">
      <c r="A1776" s="2" t="s">
        <v>11966</v>
      </c>
      <c r="B1776" s="2">
        <v>667.26022972286296</v>
      </c>
      <c r="C1776" s="2">
        <v>7.1973833333333301</v>
      </c>
      <c r="D1776" s="2" t="s">
        <v>70</v>
      </c>
      <c r="E1776" s="2" t="s">
        <v>11967</v>
      </c>
      <c r="F1776" s="2">
        <v>60087</v>
      </c>
      <c r="G1776" s="3" t="str">
        <f>HYPERLINK("http://funmeta.oebiotech.com/network/60087", "http://funmeta.oebiotech.com/network/60087")</f>
        <v>http://funmeta.oebiotech.com/network/60087</v>
      </c>
      <c r="H1776" s="2" t="s">
        <v>11968</v>
      </c>
      <c r="I1776" s="2"/>
      <c r="J1776" s="2"/>
      <c r="K1776" s="2">
        <v>172801</v>
      </c>
      <c r="L1776" s="2"/>
      <c r="M1776" s="2"/>
      <c r="N1776" s="2"/>
      <c r="O1776" s="2">
        <v>74328989</v>
      </c>
      <c r="P1776" s="2" t="s">
        <v>9038</v>
      </c>
      <c r="Q1776" s="2" t="s">
        <v>11969</v>
      </c>
      <c r="R1776" s="2" t="s">
        <v>11970</v>
      </c>
      <c r="S1776" s="2" t="s">
        <v>1184</v>
      </c>
      <c r="T1776" s="2" t="s">
        <v>1185</v>
      </c>
      <c r="U1776" s="2" t="s">
        <v>41</v>
      </c>
      <c r="V1776" s="2" t="s">
        <v>59</v>
      </c>
      <c r="W1776" s="2">
        <v>37.6</v>
      </c>
      <c r="X1776" s="2">
        <v>0.27100000000000002</v>
      </c>
      <c r="Y1776" s="2" t="s">
        <v>751</v>
      </c>
      <c r="Z1776" s="2" t="s">
        <v>9041</v>
      </c>
      <c r="AA1776" s="2">
        <v>-0.749761580483296</v>
      </c>
      <c r="AB1776" s="2">
        <v>0.45461143748106397</v>
      </c>
      <c r="AC1776" s="2">
        <v>36179.079372829197</v>
      </c>
      <c r="AD1776" s="2">
        <v>22045.728925206899</v>
      </c>
      <c r="AE1776" s="2">
        <v>38112.137721550898</v>
      </c>
      <c r="AF1776" s="2">
        <v>33190.177370220597</v>
      </c>
      <c r="AG1776" s="2">
        <v>38647.428967585503</v>
      </c>
      <c r="AH1776" s="2">
        <v>32524.684977065201</v>
      </c>
      <c r="AI1776" s="2">
        <v>35340.996648702603</v>
      </c>
      <c r="AJ1776" s="2">
        <v>39259.050551850603</v>
      </c>
      <c r="AK1776" s="2">
        <v>19758.369908279001</v>
      </c>
      <c r="AL1776" s="2">
        <v>21919.2380336649</v>
      </c>
      <c r="AM1776" s="2">
        <v>23690.6707013628</v>
      </c>
      <c r="AN1776" s="2">
        <v>21742.525152192899</v>
      </c>
      <c r="AO1776" s="2">
        <v>21666.911659495399</v>
      </c>
      <c r="AP1776" s="2">
        <v>23496.658096246301</v>
      </c>
    </row>
    <row r="1777" spans="1:42" ht="14.5" x14ac:dyDescent="0.35">
      <c r="A1777" s="2" t="s">
        <v>11971</v>
      </c>
      <c r="B1777" s="2">
        <v>270.27886836436801</v>
      </c>
      <c r="C1777" s="2">
        <v>12.5232166666667</v>
      </c>
      <c r="D1777" s="2" t="s">
        <v>34</v>
      </c>
      <c r="E1777" s="2" t="s">
        <v>11972</v>
      </c>
      <c r="F1777" s="2">
        <v>6147</v>
      </c>
      <c r="G1777" s="3" t="str">
        <f>HYPERLINK("http://funmeta.oebiotech.com/network/6147", "http://funmeta.oebiotech.com/network/6147")</f>
        <v>http://funmeta.oebiotech.com/network/6147</v>
      </c>
      <c r="H1777" s="2"/>
      <c r="I1777" s="2">
        <v>46121</v>
      </c>
      <c r="J1777" s="2" t="s">
        <v>11973</v>
      </c>
      <c r="K1777" s="2"/>
      <c r="L1777" s="2"/>
      <c r="M1777" s="2"/>
      <c r="N1777" s="2"/>
      <c r="O1777" s="2">
        <v>44256517</v>
      </c>
      <c r="P1777" s="2"/>
      <c r="Q1777" s="2" t="s">
        <v>11974</v>
      </c>
      <c r="R1777" s="2" t="s">
        <v>11975</v>
      </c>
      <c r="S1777" s="2" t="s">
        <v>50</v>
      </c>
      <c r="T1777" s="2" t="s">
        <v>229</v>
      </c>
      <c r="U1777" s="2" t="s">
        <v>1283</v>
      </c>
      <c r="V1777" s="2" t="s">
        <v>59</v>
      </c>
      <c r="W1777" s="2">
        <v>42.1</v>
      </c>
      <c r="X1777" s="2">
        <v>15.3</v>
      </c>
      <c r="Y1777" s="2" t="s">
        <v>43</v>
      </c>
      <c r="Z1777" s="2" t="s">
        <v>11976</v>
      </c>
      <c r="AA1777" s="2">
        <v>-1.08153220367597</v>
      </c>
      <c r="AB1777" s="2">
        <v>0.45384485992419599</v>
      </c>
      <c r="AC1777" s="2">
        <v>38031.198313212299</v>
      </c>
      <c r="AD1777" s="2">
        <v>23440.940956937699</v>
      </c>
      <c r="AE1777" s="2">
        <v>36775.405318314202</v>
      </c>
      <c r="AF1777" s="2">
        <v>36236.758969654198</v>
      </c>
      <c r="AG1777" s="2">
        <v>40206.430841335103</v>
      </c>
      <c r="AH1777" s="2">
        <v>40689.369221659603</v>
      </c>
      <c r="AI1777" s="2">
        <v>39128.724209850501</v>
      </c>
      <c r="AJ1777" s="2">
        <v>35150.501318460199</v>
      </c>
      <c r="AK1777" s="2">
        <v>22255.982522526301</v>
      </c>
      <c r="AL1777" s="2">
        <v>29935.099876686701</v>
      </c>
      <c r="AM1777" s="2">
        <v>21451.340073004802</v>
      </c>
      <c r="AN1777" s="2">
        <v>26413.864514341501</v>
      </c>
      <c r="AO1777" s="2">
        <v>21590.328127797198</v>
      </c>
      <c r="AP1777" s="2">
        <v>18999.0306272694</v>
      </c>
    </row>
    <row r="1778" spans="1:42" ht="14.5" x14ac:dyDescent="0.35">
      <c r="A1778" s="2" t="s">
        <v>11977</v>
      </c>
      <c r="B1778" s="2">
        <v>534.30429816126605</v>
      </c>
      <c r="C1778" s="2">
        <v>5.2829833333333296</v>
      </c>
      <c r="D1778" s="2" t="s">
        <v>34</v>
      </c>
      <c r="E1778" s="2" t="s">
        <v>11978</v>
      </c>
      <c r="F1778" s="2">
        <v>60188</v>
      </c>
      <c r="G1778" s="3" t="str">
        <f>HYPERLINK("http://funmeta.oebiotech.com/network/60188", "http://funmeta.oebiotech.com/network/60188")</f>
        <v>http://funmeta.oebiotech.com/network/60188</v>
      </c>
      <c r="H1778" s="2" t="s">
        <v>11979</v>
      </c>
      <c r="I1778" s="2"/>
      <c r="J1778" s="2"/>
      <c r="K1778" s="2"/>
      <c r="L1778" s="2"/>
      <c r="M1778" s="2"/>
      <c r="N1778" s="2"/>
      <c r="O1778" s="2">
        <v>74028535</v>
      </c>
      <c r="P1778" s="2" t="s">
        <v>11980</v>
      </c>
      <c r="Q1778" s="2" t="s">
        <v>11981</v>
      </c>
      <c r="R1778" s="2" t="s">
        <v>11982</v>
      </c>
      <c r="S1778" s="2" t="s">
        <v>50</v>
      </c>
      <c r="T1778" s="2" t="s">
        <v>201</v>
      </c>
      <c r="U1778" s="2" t="s">
        <v>210</v>
      </c>
      <c r="V1778" s="2" t="s">
        <v>59</v>
      </c>
      <c r="W1778" s="2">
        <v>39.299999999999997</v>
      </c>
      <c r="X1778" s="2">
        <v>26.6</v>
      </c>
      <c r="Y1778" s="2" t="s">
        <v>43</v>
      </c>
      <c r="Z1778" s="2" t="s">
        <v>11983</v>
      </c>
      <c r="AA1778" s="2">
        <v>-3.5748730837868301</v>
      </c>
      <c r="AB1778" s="2">
        <v>0.45382445514701297</v>
      </c>
      <c r="AC1778" s="2">
        <v>127161.98081587099</v>
      </c>
      <c r="AD1778" s="2">
        <v>144989.04417683301</v>
      </c>
      <c r="AE1778" s="2">
        <v>117960.23045925501</v>
      </c>
      <c r="AF1778" s="2">
        <v>128810.686187435</v>
      </c>
      <c r="AG1778" s="2">
        <v>125569.014315251</v>
      </c>
      <c r="AH1778" s="2">
        <v>136445.49805835701</v>
      </c>
      <c r="AI1778" s="2">
        <v>136851.385015601</v>
      </c>
      <c r="AJ1778" s="2">
        <v>117335.070859325</v>
      </c>
      <c r="AK1778" s="2">
        <v>142165.151035855</v>
      </c>
      <c r="AL1778" s="2">
        <v>141727.312578457</v>
      </c>
      <c r="AM1778" s="2">
        <v>151142.282222921</v>
      </c>
      <c r="AN1778" s="2">
        <v>138036.06678931299</v>
      </c>
      <c r="AO1778" s="2">
        <v>159454.95950340299</v>
      </c>
      <c r="AP1778" s="2">
        <v>137408.49293105101</v>
      </c>
    </row>
    <row r="1779" spans="1:42" ht="14.5" x14ac:dyDescent="0.35">
      <c r="A1779" s="2" t="s">
        <v>11984</v>
      </c>
      <c r="B1779" s="2">
        <v>413.16630642221003</v>
      </c>
      <c r="C1779" s="2">
        <v>3.9884499999999998</v>
      </c>
      <c r="D1779" s="2" t="s">
        <v>70</v>
      </c>
      <c r="E1779" s="2" t="s">
        <v>11985</v>
      </c>
      <c r="F1779" s="2">
        <v>64355</v>
      </c>
      <c r="G1779" s="3" t="str">
        <f>HYPERLINK("http://funmeta.oebiotech.com/network/64355", "http://funmeta.oebiotech.com/network/64355")</f>
        <v>http://funmeta.oebiotech.com/network/64355</v>
      </c>
      <c r="H1779" s="2" t="s">
        <v>11986</v>
      </c>
      <c r="I1779" s="2">
        <v>95673</v>
      </c>
      <c r="J1779" s="2"/>
      <c r="K1779" s="2">
        <v>168098</v>
      </c>
      <c r="L1779" s="2"/>
      <c r="M1779" s="2"/>
      <c r="N1779" s="2"/>
      <c r="O1779" s="2">
        <v>131753087</v>
      </c>
      <c r="P1779" s="2"/>
      <c r="Q1779" s="2" t="s">
        <v>11987</v>
      </c>
      <c r="R1779" s="2" t="s">
        <v>11988</v>
      </c>
      <c r="S1779" s="2" t="s">
        <v>79</v>
      </c>
      <c r="T1779" s="2" t="s">
        <v>80</v>
      </c>
      <c r="U1779" s="2" t="s">
        <v>81</v>
      </c>
      <c r="V1779" s="2" t="s">
        <v>59</v>
      </c>
      <c r="W1779" s="2">
        <v>45.1</v>
      </c>
      <c r="X1779" s="2">
        <v>30.2</v>
      </c>
      <c r="Y1779" s="2" t="s">
        <v>286</v>
      </c>
      <c r="Z1779" s="2" t="s">
        <v>11989</v>
      </c>
      <c r="AA1779" s="2">
        <v>-0.38987976712482197</v>
      </c>
      <c r="AB1779" s="2">
        <v>0.45336808545535401</v>
      </c>
      <c r="AC1779" s="2">
        <v>58220.3470203529</v>
      </c>
      <c r="AD1779" s="2">
        <v>43823.767524173803</v>
      </c>
      <c r="AE1779" s="2">
        <v>54658.429865289203</v>
      </c>
      <c r="AF1779" s="2">
        <v>55018.277587499397</v>
      </c>
      <c r="AG1779" s="2">
        <v>58451.690509294996</v>
      </c>
      <c r="AH1779" s="2">
        <v>59529.909727882303</v>
      </c>
      <c r="AI1779" s="2">
        <v>59236.0151474675</v>
      </c>
      <c r="AJ1779" s="2">
        <v>62427.759284683998</v>
      </c>
      <c r="AK1779" s="2">
        <v>40362.959892327199</v>
      </c>
      <c r="AL1779" s="2">
        <v>44779.490170029203</v>
      </c>
      <c r="AM1779" s="2">
        <v>45065.756247939702</v>
      </c>
      <c r="AN1779" s="2">
        <v>41313.902359471504</v>
      </c>
      <c r="AO1779" s="2">
        <v>43117.326323458998</v>
      </c>
      <c r="AP1779" s="2">
        <v>48303.170151816499</v>
      </c>
    </row>
    <row r="1780" spans="1:42" ht="14.5" x14ac:dyDescent="0.35">
      <c r="A1780" s="2" t="s">
        <v>11990</v>
      </c>
      <c r="B1780" s="2">
        <v>381.11890993268599</v>
      </c>
      <c r="C1780" s="2">
        <v>4.5236333333333301</v>
      </c>
      <c r="D1780" s="2" t="s">
        <v>70</v>
      </c>
      <c r="E1780" s="2" t="s">
        <v>11991</v>
      </c>
      <c r="F1780" s="2">
        <v>289976</v>
      </c>
      <c r="G1780" s="3" t="str">
        <f>HYPERLINK("http://funmeta.oebiotech.com/network/289976", "http://funmeta.oebiotech.com/network/289976")</f>
        <v>http://funmeta.oebiotech.com/network/289976</v>
      </c>
      <c r="H1780" s="2"/>
      <c r="I1780" s="2">
        <v>985578</v>
      </c>
      <c r="J1780" s="2"/>
      <c r="K1780" s="2"/>
      <c r="L1780" s="2"/>
      <c r="M1780" s="2"/>
      <c r="N1780" s="2"/>
      <c r="O1780" s="2">
        <v>51042105</v>
      </c>
      <c r="P1780" s="2"/>
      <c r="Q1780" s="2" t="s">
        <v>11992</v>
      </c>
      <c r="R1780" s="2" t="s">
        <v>11993</v>
      </c>
      <c r="S1780" s="2" t="s">
        <v>50</v>
      </c>
      <c r="T1780" s="2" t="s">
        <v>229</v>
      </c>
      <c r="U1780" s="2" t="s">
        <v>766</v>
      </c>
      <c r="V1780" s="2" t="s">
        <v>59</v>
      </c>
      <c r="W1780" s="2">
        <v>36</v>
      </c>
      <c r="X1780" s="2">
        <v>0</v>
      </c>
      <c r="Y1780" s="2" t="s">
        <v>792</v>
      </c>
      <c r="Z1780" s="2" t="s">
        <v>11994</v>
      </c>
      <c r="AA1780" s="2">
        <v>-7.5262500479756298</v>
      </c>
      <c r="AB1780" s="2">
        <v>0.45284635914543298</v>
      </c>
      <c r="AC1780" s="2">
        <v>37071.081615804302</v>
      </c>
      <c r="AD1780" s="2">
        <v>23240.522110173901</v>
      </c>
      <c r="AE1780" s="2">
        <v>37300.432618276202</v>
      </c>
      <c r="AF1780" s="2">
        <v>35688.587715158297</v>
      </c>
      <c r="AG1780" s="2">
        <v>38733.611794987402</v>
      </c>
      <c r="AH1780" s="2">
        <v>36484.052692778401</v>
      </c>
      <c r="AI1780" s="2">
        <v>38769.637326538097</v>
      </c>
      <c r="AJ1780" s="2">
        <v>35450.1675470872</v>
      </c>
      <c r="AK1780" s="2">
        <v>19582.782108928699</v>
      </c>
      <c r="AL1780" s="2">
        <v>22571.566659863998</v>
      </c>
      <c r="AM1780" s="2">
        <v>24433.7899027237</v>
      </c>
      <c r="AN1780" s="2">
        <v>24131.949561983201</v>
      </c>
      <c r="AO1780" s="2">
        <v>24619.816980394098</v>
      </c>
      <c r="AP1780" s="2">
        <v>24103.227447149598</v>
      </c>
    </row>
    <row r="1781" spans="1:42" ht="14.5" x14ac:dyDescent="0.35">
      <c r="A1781" s="2" t="s">
        <v>11995</v>
      </c>
      <c r="B1781" s="2">
        <v>741.44233238332299</v>
      </c>
      <c r="C1781" s="2">
        <v>12.358783333333299</v>
      </c>
      <c r="D1781" s="2" t="s">
        <v>70</v>
      </c>
      <c r="E1781" s="2" t="s">
        <v>11996</v>
      </c>
      <c r="F1781" s="2">
        <v>52983</v>
      </c>
      <c r="G1781" s="3" t="str">
        <f>HYPERLINK("http://funmeta.oebiotech.com/network/52983", "http://funmeta.oebiotech.com/network/52983")</f>
        <v>http://funmeta.oebiotech.com/network/52983</v>
      </c>
      <c r="H1781" s="2" t="s">
        <v>11997</v>
      </c>
      <c r="I1781" s="2">
        <v>593</v>
      </c>
      <c r="J1781" s="2"/>
      <c r="K1781" s="2">
        <v>41774</v>
      </c>
      <c r="L1781" s="2" t="s">
        <v>11998</v>
      </c>
      <c r="M1781" s="2" t="s">
        <v>11721</v>
      </c>
      <c r="N1781" s="2" t="s">
        <v>11722</v>
      </c>
      <c r="O1781" s="2">
        <v>2733526</v>
      </c>
      <c r="P1781" s="2" t="s">
        <v>11999</v>
      </c>
      <c r="Q1781" s="2" t="s">
        <v>12000</v>
      </c>
      <c r="R1781" s="2" t="s">
        <v>12001</v>
      </c>
      <c r="S1781" s="2" t="s">
        <v>115</v>
      </c>
      <c r="T1781" s="2" t="s">
        <v>4730</v>
      </c>
      <c r="U1781" s="2" t="s">
        <v>41</v>
      </c>
      <c r="V1781" s="2" t="s">
        <v>59</v>
      </c>
      <c r="W1781" s="2">
        <v>39</v>
      </c>
      <c r="X1781" s="2">
        <v>0</v>
      </c>
      <c r="Y1781" s="2" t="s">
        <v>560</v>
      </c>
      <c r="Z1781" s="2" t="s">
        <v>12002</v>
      </c>
      <c r="AA1781" s="2">
        <v>-0.296711574218957</v>
      </c>
      <c r="AB1781" s="2">
        <v>0.45275630776467701</v>
      </c>
      <c r="AC1781" s="2">
        <v>6255.5948576857099</v>
      </c>
      <c r="AD1781" s="2">
        <v>19931.450519903599</v>
      </c>
      <c r="AE1781" s="2">
        <v>5814.6616177651804</v>
      </c>
      <c r="AF1781" s="2">
        <v>4510.93695789922</v>
      </c>
      <c r="AG1781" s="2">
        <v>5127.1037372303899</v>
      </c>
      <c r="AH1781" s="2">
        <v>7804.2081654084104</v>
      </c>
      <c r="AI1781" s="2">
        <v>7906.0981722863398</v>
      </c>
      <c r="AJ1781" s="2">
        <v>6370.56049552473</v>
      </c>
      <c r="AK1781" s="2">
        <v>21211.435269485999</v>
      </c>
      <c r="AL1781" s="2">
        <v>17149.174461844999</v>
      </c>
      <c r="AM1781" s="2">
        <v>20495.641970217901</v>
      </c>
      <c r="AN1781" s="2">
        <v>21772.061056129602</v>
      </c>
      <c r="AO1781" s="2">
        <v>19197.886934196202</v>
      </c>
      <c r="AP1781" s="2">
        <v>19762.503427547101</v>
      </c>
    </row>
    <row r="1782" spans="1:42" ht="14.5" x14ac:dyDescent="0.35">
      <c r="A1782" s="2" t="s">
        <v>12003</v>
      </c>
      <c r="B1782" s="2">
        <v>321.061323207763</v>
      </c>
      <c r="C1782" s="2">
        <v>4.5612000000000004</v>
      </c>
      <c r="D1782" s="2" t="s">
        <v>70</v>
      </c>
      <c r="E1782" s="2" t="s">
        <v>12004</v>
      </c>
      <c r="F1782" s="2">
        <v>257409</v>
      </c>
      <c r="G1782" s="3" t="str">
        <f>HYPERLINK("http://funmeta.oebiotech.com/network/257409", "http://funmeta.oebiotech.com/network/257409")</f>
        <v>http://funmeta.oebiotech.com/network/257409</v>
      </c>
      <c r="H1782" s="2" t="s">
        <v>12005</v>
      </c>
      <c r="I1782" s="2"/>
      <c r="J1782" s="2"/>
      <c r="K1782" s="2"/>
      <c r="L1782" s="2"/>
      <c r="M1782" s="2"/>
      <c r="N1782" s="2"/>
      <c r="O1782" s="2">
        <v>11500740</v>
      </c>
      <c r="P1782" s="2"/>
      <c r="Q1782" s="2" t="s">
        <v>12006</v>
      </c>
      <c r="R1782" s="2" t="s">
        <v>12007</v>
      </c>
      <c r="S1782" s="2" t="s">
        <v>115</v>
      </c>
      <c r="T1782" s="2" t="s">
        <v>139</v>
      </c>
      <c r="U1782" s="2" t="s">
        <v>1437</v>
      </c>
      <c r="V1782" s="2" t="s">
        <v>59</v>
      </c>
      <c r="W1782" s="2">
        <v>44.5</v>
      </c>
      <c r="X1782" s="2">
        <v>27.3</v>
      </c>
      <c r="Y1782" s="2" t="s">
        <v>4732</v>
      </c>
      <c r="Z1782" s="2" t="s">
        <v>12008</v>
      </c>
      <c r="AA1782" s="2">
        <v>-0.83139267366419101</v>
      </c>
      <c r="AB1782" s="2">
        <v>0.452734002651215</v>
      </c>
      <c r="AC1782" s="2">
        <v>117697.61656551</v>
      </c>
      <c r="AD1782" s="2">
        <v>102703.43715313599</v>
      </c>
      <c r="AE1782" s="2">
        <v>126528.92600719701</v>
      </c>
      <c r="AF1782" s="2">
        <v>113672.187037996</v>
      </c>
      <c r="AG1782" s="2">
        <v>119459.177126414</v>
      </c>
      <c r="AH1782" s="2">
        <v>118661.58489555999</v>
      </c>
      <c r="AI1782" s="2">
        <v>111382.46195774199</v>
      </c>
      <c r="AJ1782" s="2">
        <v>116481.362368152</v>
      </c>
      <c r="AK1782" s="2">
        <v>103227.892444802</v>
      </c>
      <c r="AL1782" s="2">
        <v>100524.90948381</v>
      </c>
      <c r="AM1782" s="2">
        <v>107382.91723736101</v>
      </c>
      <c r="AN1782" s="2">
        <v>101771.864462479</v>
      </c>
      <c r="AO1782" s="2">
        <v>100465.42485179201</v>
      </c>
      <c r="AP1782" s="2">
        <v>102847.61443857101</v>
      </c>
    </row>
    <row r="1783" spans="1:42" ht="14.5" x14ac:dyDescent="0.35">
      <c r="A1783" s="2" t="s">
        <v>12009</v>
      </c>
      <c r="B1783" s="2">
        <v>815.27664515033098</v>
      </c>
      <c r="C1783" s="2">
        <v>9.5617000000000001</v>
      </c>
      <c r="D1783" s="2" t="s">
        <v>70</v>
      </c>
      <c r="E1783" s="2" t="s">
        <v>12010</v>
      </c>
      <c r="F1783" s="2">
        <v>36137</v>
      </c>
      <c r="G1783" s="3" t="str">
        <f>HYPERLINK("http://funmeta.oebiotech.com/network/36137", "http://funmeta.oebiotech.com/network/36137")</f>
        <v>http://funmeta.oebiotech.com/network/36137</v>
      </c>
      <c r="H1783" s="2"/>
      <c r="I1783" s="2"/>
      <c r="J1783" s="2" t="s">
        <v>12011</v>
      </c>
      <c r="K1783" s="2">
        <v>5355</v>
      </c>
      <c r="L1783" s="2" t="s">
        <v>12012</v>
      </c>
      <c r="M1783" s="2" t="s">
        <v>236</v>
      </c>
      <c r="N1783" s="2" t="s">
        <v>237</v>
      </c>
      <c r="O1783" s="2">
        <v>441293</v>
      </c>
      <c r="P1783" s="2"/>
      <c r="Q1783" s="2"/>
      <c r="R1783" s="2" t="s">
        <v>12013</v>
      </c>
      <c r="S1783" s="2" t="s">
        <v>50</v>
      </c>
      <c r="T1783" s="2" t="s">
        <v>201</v>
      </c>
      <c r="U1783" s="2" t="s">
        <v>1217</v>
      </c>
      <c r="V1783" s="2" t="s">
        <v>59</v>
      </c>
      <c r="W1783" s="2">
        <v>43.2</v>
      </c>
      <c r="X1783" s="2">
        <v>32.799999999999997</v>
      </c>
      <c r="Y1783" s="2" t="s">
        <v>560</v>
      </c>
      <c r="Z1783" s="2" t="s">
        <v>6689</v>
      </c>
      <c r="AA1783" s="2">
        <v>-0.17531777853614799</v>
      </c>
      <c r="AB1783" s="2">
        <v>0.45238323856469098</v>
      </c>
      <c r="AC1783" s="2">
        <v>24539.503519705198</v>
      </c>
      <c r="AD1783" s="2">
        <v>38423.218820942799</v>
      </c>
      <c r="AE1783" s="2">
        <v>24286.408593169101</v>
      </c>
      <c r="AF1783" s="2">
        <v>27446.9540834203</v>
      </c>
      <c r="AG1783" s="2">
        <v>23177.2862565387</v>
      </c>
      <c r="AH1783" s="2">
        <v>25707.923210765301</v>
      </c>
      <c r="AI1783" s="2">
        <v>24128.043858129</v>
      </c>
      <c r="AJ1783" s="2">
        <v>22490.405116209098</v>
      </c>
      <c r="AK1783" s="2">
        <v>36034.522629899198</v>
      </c>
      <c r="AL1783" s="2">
        <v>41388.136993324602</v>
      </c>
      <c r="AM1783" s="2">
        <v>36516.169694262899</v>
      </c>
      <c r="AN1783" s="2">
        <v>40130.733579836597</v>
      </c>
      <c r="AO1783" s="2">
        <v>37465.987274865802</v>
      </c>
      <c r="AP1783" s="2">
        <v>39003.762753467599</v>
      </c>
    </row>
    <row r="1784" spans="1:42" ht="14.5" x14ac:dyDescent="0.35">
      <c r="A1784" s="2" t="s">
        <v>12014</v>
      </c>
      <c r="B1784" s="2">
        <v>247.166407909561</v>
      </c>
      <c r="C1784" s="2">
        <v>1.11073333333333</v>
      </c>
      <c r="D1784" s="2" t="s">
        <v>34</v>
      </c>
      <c r="E1784" s="2" t="s">
        <v>12015</v>
      </c>
      <c r="F1784" s="2">
        <v>7329</v>
      </c>
      <c r="G1784" s="3" t="str">
        <f>HYPERLINK("http://funmeta.oebiotech.com/network/7329", "http://funmeta.oebiotech.com/network/7329")</f>
        <v>http://funmeta.oebiotech.com/network/7329</v>
      </c>
      <c r="H1784" s="2"/>
      <c r="I1784" s="2">
        <v>97288</v>
      </c>
      <c r="J1784" s="2" t="s">
        <v>12016</v>
      </c>
      <c r="K1784" s="2"/>
      <c r="L1784" s="2"/>
      <c r="M1784" s="2"/>
      <c r="N1784" s="2"/>
      <c r="O1784" s="2">
        <v>5364537</v>
      </c>
      <c r="P1784" s="2"/>
      <c r="Q1784" s="2" t="s">
        <v>12017</v>
      </c>
      <c r="R1784" s="2" t="s">
        <v>12018</v>
      </c>
      <c r="S1784" s="2" t="s">
        <v>50</v>
      </c>
      <c r="T1784" s="2" t="s">
        <v>229</v>
      </c>
      <c r="U1784" s="2" t="s">
        <v>1914</v>
      </c>
      <c r="V1784" s="2" t="s">
        <v>59</v>
      </c>
      <c r="W1784" s="2">
        <v>39</v>
      </c>
      <c r="X1784" s="2">
        <v>6.08</v>
      </c>
      <c r="Y1784" s="2" t="s">
        <v>323</v>
      </c>
      <c r="Z1784" s="2" t="s">
        <v>2900</v>
      </c>
      <c r="AA1784" s="2">
        <v>-1.9751267741401699</v>
      </c>
      <c r="AB1784" s="2">
        <v>0.452283754257366</v>
      </c>
      <c r="AC1784" s="2">
        <v>40306.233469998901</v>
      </c>
      <c r="AD1784" s="2">
        <v>56493.043262485597</v>
      </c>
      <c r="AE1784" s="2">
        <v>47306.968860171197</v>
      </c>
      <c r="AF1784" s="2">
        <v>37635.966532689701</v>
      </c>
      <c r="AG1784" s="2">
        <v>41332.943655256298</v>
      </c>
      <c r="AH1784" s="2">
        <v>37678.911725215097</v>
      </c>
      <c r="AI1784" s="2">
        <v>39913.107150228599</v>
      </c>
      <c r="AJ1784" s="2">
        <v>37969.502896432597</v>
      </c>
      <c r="AK1784" s="2">
        <v>69471.850199086504</v>
      </c>
      <c r="AL1784" s="2">
        <v>60978.912828358902</v>
      </c>
      <c r="AM1784" s="2">
        <v>49847.430527789002</v>
      </c>
      <c r="AN1784" s="2">
        <v>53902.094361939598</v>
      </c>
      <c r="AO1784" s="2">
        <v>51562.922444178897</v>
      </c>
      <c r="AP1784" s="2">
        <v>53195.049213560698</v>
      </c>
    </row>
    <row r="1785" spans="1:42" ht="14.5" x14ac:dyDescent="0.35">
      <c r="A1785" s="2" t="s">
        <v>12019</v>
      </c>
      <c r="B1785" s="2">
        <v>875.39141094138802</v>
      </c>
      <c r="C1785" s="2">
        <v>8.11355</v>
      </c>
      <c r="D1785" s="2" t="s">
        <v>70</v>
      </c>
      <c r="E1785" s="2" t="s">
        <v>12020</v>
      </c>
      <c r="F1785" s="2">
        <v>54868</v>
      </c>
      <c r="G1785" s="3" t="str">
        <f>HYPERLINK("http://funmeta.oebiotech.com/network/54868", "http://funmeta.oebiotech.com/network/54868")</f>
        <v>http://funmeta.oebiotech.com/network/54868</v>
      </c>
      <c r="H1785" s="2" t="s">
        <v>12021</v>
      </c>
      <c r="I1785" s="2">
        <v>86661</v>
      </c>
      <c r="J1785" s="2"/>
      <c r="K1785" s="2"/>
      <c r="L1785" s="2"/>
      <c r="M1785" s="2"/>
      <c r="N1785" s="2"/>
      <c r="O1785" s="2">
        <v>131750941</v>
      </c>
      <c r="P1785" s="2"/>
      <c r="Q1785" s="2" t="s">
        <v>12022</v>
      </c>
      <c r="R1785" s="2" t="s">
        <v>12023</v>
      </c>
      <c r="S1785" s="2" t="s">
        <v>50</v>
      </c>
      <c r="T1785" s="2" t="s">
        <v>124</v>
      </c>
      <c r="U1785" s="2" t="s">
        <v>567</v>
      </c>
      <c r="V1785" s="2" t="s">
        <v>59</v>
      </c>
      <c r="W1785" s="2">
        <v>37.5</v>
      </c>
      <c r="X1785" s="2">
        <v>0</v>
      </c>
      <c r="Y1785" s="2" t="s">
        <v>118</v>
      </c>
      <c r="Z1785" s="2" t="s">
        <v>12024</v>
      </c>
      <c r="AA1785" s="2">
        <v>-0.46448050236322302</v>
      </c>
      <c r="AB1785" s="2">
        <v>0.45171732318348801</v>
      </c>
      <c r="AC1785" s="2">
        <v>52078.810554042597</v>
      </c>
      <c r="AD1785" s="2">
        <v>37963.659579098901</v>
      </c>
      <c r="AE1785" s="2">
        <v>49849.75773007</v>
      </c>
      <c r="AF1785" s="2">
        <v>49361.550918105597</v>
      </c>
      <c r="AG1785" s="2">
        <v>54264.977941746198</v>
      </c>
      <c r="AH1785" s="2">
        <v>51208.021748084502</v>
      </c>
      <c r="AI1785" s="2">
        <v>57619.693079388002</v>
      </c>
      <c r="AJ1785" s="2">
        <v>50168.861906861101</v>
      </c>
      <c r="AK1785" s="2">
        <v>38161.155558706101</v>
      </c>
      <c r="AL1785" s="2">
        <v>35895.827068136197</v>
      </c>
      <c r="AM1785" s="2">
        <v>38254.376882734898</v>
      </c>
      <c r="AN1785" s="2">
        <v>38618.380128327502</v>
      </c>
      <c r="AO1785" s="2">
        <v>39096.9629048512</v>
      </c>
      <c r="AP1785" s="2">
        <v>37755.254931837502</v>
      </c>
    </row>
    <row r="1786" spans="1:42" ht="14.5" x14ac:dyDescent="0.35">
      <c r="A1786" s="2" t="s">
        <v>12025</v>
      </c>
      <c r="B1786" s="2">
        <v>575.28428375518297</v>
      </c>
      <c r="C1786" s="2">
        <v>6.3948166666666699</v>
      </c>
      <c r="D1786" s="2" t="s">
        <v>34</v>
      </c>
      <c r="E1786" s="2" t="s">
        <v>12026</v>
      </c>
      <c r="F1786" s="2">
        <v>57999</v>
      </c>
      <c r="G1786" s="3" t="str">
        <f>HYPERLINK("http://funmeta.oebiotech.com/network/57999", "http://funmeta.oebiotech.com/network/57999")</f>
        <v>http://funmeta.oebiotech.com/network/57999</v>
      </c>
      <c r="H1786" s="2" t="s">
        <v>12027</v>
      </c>
      <c r="I1786" s="2">
        <v>89556</v>
      </c>
      <c r="J1786" s="2"/>
      <c r="K1786" s="2">
        <v>176019</v>
      </c>
      <c r="L1786" s="2"/>
      <c r="M1786" s="2"/>
      <c r="N1786" s="2"/>
      <c r="O1786" s="2">
        <v>12309172</v>
      </c>
      <c r="P1786" s="2" t="s">
        <v>12028</v>
      </c>
      <c r="Q1786" s="2" t="s">
        <v>12029</v>
      </c>
      <c r="R1786" s="2" t="s">
        <v>12030</v>
      </c>
      <c r="S1786" s="2" t="s">
        <v>50</v>
      </c>
      <c r="T1786" s="2" t="s">
        <v>124</v>
      </c>
      <c r="U1786" s="2" t="s">
        <v>567</v>
      </c>
      <c r="V1786" s="2" t="s">
        <v>59</v>
      </c>
      <c r="W1786" s="2">
        <v>44.3</v>
      </c>
      <c r="X1786" s="2">
        <v>34.799999999999997</v>
      </c>
      <c r="Y1786" s="2" t="s">
        <v>323</v>
      </c>
      <c r="Z1786" s="2" t="s">
        <v>12031</v>
      </c>
      <c r="AA1786" s="2">
        <v>2.9250184125129701</v>
      </c>
      <c r="AB1786" s="2">
        <v>0.45116896165112702</v>
      </c>
      <c r="AC1786" s="2">
        <v>79741.352537629296</v>
      </c>
      <c r="AD1786" s="2">
        <v>64545.855240516299</v>
      </c>
      <c r="AE1786" s="2">
        <v>79433.276427411198</v>
      </c>
      <c r="AF1786" s="2">
        <v>81561.906362228998</v>
      </c>
      <c r="AG1786" s="2">
        <v>85108.667036847895</v>
      </c>
      <c r="AH1786" s="2">
        <v>80402.821908420097</v>
      </c>
      <c r="AI1786" s="2">
        <v>73262.826777399605</v>
      </c>
      <c r="AJ1786" s="2">
        <v>78678.616713467898</v>
      </c>
      <c r="AK1786" s="2">
        <v>62686.011241280503</v>
      </c>
      <c r="AL1786" s="2">
        <v>59575.144140033</v>
      </c>
      <c r="AM1786" s="2">
        <v>69025.064981518299</v>
      </c>
      <c r="AN1786" s="2">
        <v>65066.574751596498</v>
      </c>
      <c r="AO1786" s="2">
        <v>58852.220181596</v>
      </c>
      <c r="AP1786" s="2">
        <v>72070.116147073597</v>
      </c>
    </row>
    <row r="1787" spans="1:42" ht="14.5" x14ac:dyDescent="0.35">
      <c r="A1787" s="2" t="s">
        <v>12032</v>
      </c>
      <c r="B1787" s="2">
        <v>747.33294150675101</v>
      </c>
      <c r="C1787" s="2">
        <v>6.5004833333333298</v>
      </c>
      <c r="D1787" s="2" t="s">
        <v>70</v>
      </c>
      <c r="E1787" s="2" t="s">
        <v>12033</v>
      </c>
      <c r="F1787" s="2">
        <v>28000</v>
      </c>
      <c r="G1787" s="3" t="str">
        <f>HYPERLINK("http://funmeta.oebiotech.com/network/28000", "http://funmeta.oebiotech.com/network/28000")</f>
        <v>http://funmeta.oebiotech.com/network/28000</v>
      </c>
      <c r="H1787" s="2"/>
      <c r="I1787" s="2"/>
      <c r="J1787" s="2" t="s">
        <v>12034</v>
      </c>
      <c r="K1787" s="2"/>
      <c r="L1787" s="2"/>
      <c r="M1787" s="2"/>
      <c r="N1787" s="2"/>
      <c r="O1787" s="2">
        <v>134812447</v>
      </c>
      <c r="P1787" s="2"/>
      <c r="Q1787" s="2" t="s">
        <v>12035</v>
      </c>
      <c r="R1787" s="2" t="s">
        <v>12036</v>
      </c>
      <c r="S1787" s="2" t="s">
        <v>50</v>
      </c>
      <c r="T1787" s="2" t="s">
        <v>51</v>
      </c>
      <c r="U1787" s="2" t="s">
        <v>52</v>
      </c>
      <c r="V1787" s="2" t="s">
        <v>59</v>
      </c>
      <c r="W1787" s="2">
        <v>39.200000000000003</v>
      </c>
      <c r="X1787" s="2">
        <v>5.58</v>
      </c>
      <c r="Y1787" s="2" t="s">
        <v>751</v>
      </c>
      <c r="Z1787" s="2" t="s">
        <v>12037</v>
      </c>
      <c r="AA1787" s="2">
        <v>-4.29280466660685</v>
      </c>
      <c r="AB1787" s="2">
        <v>0.45076997821347597</v>
      </c>
      <c r="AC1787" s="2">
        <v>399919.48138391302</v>
      </c>
      <c r="AD1787" s="2">
        <v>378750.14297398902</v>
      </c>
      <c r="AE1787" s="2">
        <v>405323.93731841102</v>
      </c>
      <c r="AF1787" s="2">
        <v>381209.10115962202</v>
      </c>
      <c r="AG1787" s="2">
        <v>413767.56000234699</v>
      </c>
      <c r="AH1787" s="2">
        <v>420513.168898164</v>
      </c>
      <c r="AI1787" s="2">
        <v>387260.54706238402</v>
      </c>
      <c r="AJ1787" s="2">
        <v>391442.57386254898</v>
      </c>
      <c r="AK1787" s="2">
        <v>375726.58864505502</v>
      </c>
      <c r="AL1787" s="2">
        <v>383515.92405246798</v>
      </c>
      <c r="AM1787" s="2">
        <v>401481.07164722099</v>
      </c>
      <c r="AN1787" s="2">
        <v>362365.42590423598</v>
      </c>
      <c r="AO1787" s="2">
        <v>378047.73198500799</v>
      </c>
      <c r="AP1787" s="2">
        <v>371364.11560994497</v>
      </c>
    </row>
    <row r="1788" spans="1:42" ht="14.5" x14ac:dyDescent="0.35">
      <c r="A1788" s="2" t="s">
        <v>12038</v>
      </c>
      <c r="B1788" s="2">
        <v>986.61881340829098</v>
      </c>
      <c r="C1788" s="2">
        <v>10.341383333333299</v>
      </c>
      <c r="D1788" s="2" t="s">
        <v>34</v>
      </c>
      <c r="E1788" s="2" t="s">
        <v>12039</v>
      </c>
      <c r="F1788" s="2">
        <v>39848</v>
      </c>
      <c r="G1788" s="3" t="str">
        <f>HYPERLINK("http://funmeta.oebiotech.com/network/39848", "http://funmeta.oebiotech.com/network/39848")</f>
        <v>http://funmeta.oebiotech.com/network/39848</v>
      </c>
      <c r="H1788" s="2"/>
      <c r="I1788" s="2"/>
      <c r="J1788" s="2" t="s">
        <v>12040</v>
      </c>
      <c r="K1788" s="2"/>
      <c r="L1788" s="2"/>
      <c r="M1788" s="2"/>
      <c r="N1788" s="2"/>
      <c r="O1788" s="2">
        <v>70699145</v>
      </c>
      <c r="P1788" s="2"/>
      <c r="Q1788" s="2" t="s">
        <v>12041</v>
      </c>
      <c r="R1788" s="2" t="s">
        <v>12042</v>
      </c>
      <c r="S1788" s="2" t="s">
        <v>50</v>
      </c>
      <c r="T1788" s="2" t="s">
        <v>693</v>
      </c>
      <c r="U1788" s="2" t="s">
        <v>3670</v>
      </c>
      <c r="V1788" s="2" t="s">
        <v>59</v>
      </c>
      <c r="W1788" s="2">
        <v>38.6</v>
      </c>
      <c r="X1788" s="2">
        <v>0</v>
      </c>
      <c r="Y1788" s="2" t="s">
        <v>141</v>
      </c>
      <c r="Z1788" s="2" t="s">
        <v>12043</v>
      </c>
      <c r="AA1788" s="2">
        <v>1.2453476128849299</v>
      </c>
      <c r="AB1788" s="2">
        <v>0.45075283415252598</v>
      </c>
      <c r="AC1788" s="2">
        <v>13354.2386620378</v>
      </c>
      <c r="AD1788" s="2">
        <v>27203.566702489599</v>
      </c>
      <c r="AE1788" s="2">
        <v>12580.422132086</v>
      </c>
      <c r="AF1788" s="2">
        <v>12863.662841462399</v>
      </c>
      <c r="AG1788" s="2">
        <v>13706.713616692001</v>
      </c>
      <c r="AH1788" s="2">
        <v>12082.9062922171</v>
      </c>
      <c r="AI1788" s="2">
        <v>14130.606804827799</v>
      </c>
      <c r="AJ1788" s="2">
        <v>14761.1202849414</v>
      </c>
      <c r="AK1788" s="2">
        <v>25995.838430101099</v>
      </c>
      <c r="AL1788" s="2">
        <v>23131.603043514799</v>
      </c>
      <c r="AM1788" s="2">
        <v>29074.202744851598</v>
      </c>
      <c r="AN1788" s="2">
        <v>28548.098796342401</v>
      </c>
      <c r="AO1788" s="2">
        <v>31339.799022763898</v>
      </c>
      <c r="AP1788" s="2">
        <v>25131.858177363902</v>
      </c>
    </row>
    <row r="1789" spans="1:42" ht="14.5" x14ac:dyDescent="0.35">
      <c r="A1789" s="2" t="s">
        <v>12044</v>
      </c>
      <c r="B1789" s="2">
        <v>359.18627589180397</v>
      </c>
      <c r="C1789" s="2">
        <v>8.5837666666666692</v>
      </c>
      <c r="D1789" s="2" t="s">
        <v>70</v>
      </c>
      <c r="E1789" s="2" t="s">
        <v>12045</v>
      </c>
      <c r="F1789" s="2">
        <v>35958</v>
      </c>
      <c r="G1789" s="3" t="str">
        <f>HYPERLINK("http://funmeta.oebiotech.com/network/35958", "http://funmeta.oebiotech.com/network/35958")</f>
        <v>http://funmeta.oebiotech.com/network/35958</v>
      </c>
      <c r="H1789" s="2"/>
      <c r="I1789" s="2"/>
      <c r="J1789" s="2" t="s">
        <v>12046</v>
      </c>
      <c r="K1789" s="2"/>
      <c r="L1789" s="2"/>
      <c r="M1789" s="2"/>
      <c r="N1789" s="2"/>
      <c r="O1789" s="2"/>
      <c r="P1789" s="2"/>
      <c r="Q1789" s="2" t="s">
        <v>12047</v>
      </c>
      <c r="R1789" s="2" t="s">
        <v>12048</v>
      </c>
      <c r="S1789" s="2" t="s">
        <v>50</v>
      </c>
      <c r="T1789" s="2" t="s">
        <v>201</v>
      </c>
      <c r="U1789" s="2" t="s">
        <v>241</v>
      </c>
      <c r="V1789" s="2" t="s">
        <v>42</v>
      </c>
      <c r="W1789" s="2">
        <v>55</v>
      </c>
      <c r="X1789" s="2">
        <v>78.400000000000006</v>
      </c>
      <c r="Y1789" s="2" t="s">
        <v>408</v>
      </c>
      <c r="Z1789" s="2" t="s">
        <v>12049</v>
      </c>
      <c r="AA1789" s="2">
        <v>-0.38725419220090102</v>
      </c>
      <c r="AB1789" s="2">
        <v>0.45067564517735798</v>
      </c>
      <c r="AC1789" s="2">
        <v>15329.039417162099</v>
      </c>
      <c r="AD1789" s="2">
        <v>152.13651394395799</v>
      </c>
      <c r="AE1789" s="2">
        <v>15086.403983886799</v>
      </c>
      <c r="AF1789" s="2">
        <v>25990.4954657091</v>
      </c>
      <c r="AG1789" s="2">
        <v>17508.499258980301</v>
      </c>
      <c r="AH1789" s="2">
        <v>16677.329935357699</v>
      </c>
      <c r="AI1789" s="2">
        <v>9216.2519725978891</v>
      </c>
      <c r="AJ1789" s="2">
        <v>7495.2558864406201</v>
      </c>
      <c r="AK1789" s="2">
        <v>114.22095623552499</v>
      </c>
      <c r="AL1789" s="2">
        <v>209.20645740437101</v>
      </c>
      <c r="AM1789" s="2">
        <v>323.09152085661498</v>
      </c>
      <c r="AN1789" s="2">
        <v>2.7106294003980101E-5</v>
      </c>
      <c r="AO1789" s="2">
        <v>201.74587591954599</v>
      </c>
      <c r="AP1789" s="2">
        <v>64.554246141394401</v>
      </c>
    </row>
    <row r="1790" spans="1:42" ht="14.5" x14ac:dyDescent="0.35">
      <c r="A1790" s="2" t="s">
        <v>12050</v>
      </c>
      <c r="B1790" s="2">
        <v>432.17079574285299</v>
      </c>
      <c r="C1790" s="2">
        <v>0.71894999999999998</v>
      </c>
      <c r="D1790" s="2" t="s">
        <v>34</v>
      </c>
      <c r="E1790" s="2" t="s">
        <v>12051</v>
      </c>
      <c r="F1790" s="2">
        <v>62203</v>
      </c>
      <c r="G1790" s="3" t="str">
        <f>HYPERLINK("http://funmeta.oebiotech.com/network/62203", "http://funmeta.oebiotech.com/network/62203")</f>
        <v>http://funmeta.oebiotech.com/network/62203</v>
      </c>
      <c r="H1790" s="2" t="s">
        <v>12052</v>
      </c>
      <c r="I1790" s="2">
        <v>93488</v>
      </c>
      <c r="J1790" s="2"/>
      <c r="K1790" s="2">
        <v>167935</v>
      </c>
      <c r="L1790" s="2"/>
      <c r="M1790" s="2"/>
      <c r="N1790" s="2"/>
      <c r="O1790" s="2">
        <v>131752478</v>
      </c>
      <c r="P1790" s="2" t="s">
        <v>12053</v>
      </c>
      <c r="Q1790" s="2" t="s">
        <v>12054</v>
      </c>
      <c r="R1790" s="2" t="s">
        <v>12055</v>
      </c>
      <c r="S1790" s="2" t="s">
        <v>79</v>
      </c>
      <c r="T1790" s="2" t="s">
        <v>80</v>
      </c>
      <c r="U1790" s="2" t="s">
        <v>81</v>
      </c>
      <c r="V1790" s="2" t="s">
        <v>59</v>
      </c>
      <c r="W1790" s="2">
        <v>37.299999999999997</v>
      </c>
      <c r="X1790" s="2">
        <v>0</v>
      </c>
      <c r="Y1790" s="2" t="s">
        <v>43</v>
      </c>
      <c r="Z1790" s="2" t="s">
        <v>12056</v>
      </c>
      <c r="AA1790" s="2">
        <v>-0.89505391234787202</v>
      </c>
      <c r="AB1790" s="2">
        <v>0.450658464171104</v>
      </c>
      <c r="AC1790" s="2">
        <v>33604.310519075603</v>
      </c>
      <c r="AD1790" s="2">
        <v>18419.652538336701</v>
      </c>
      <c r="AE1790" s="2">
        <v>37534.361976747598</v>
      </c>
      <c r="AF1790" s="2">
        <v>34346.082176799398</v>
      </c>
      <c r="AG1790" s="2">
        <v>35483.905586769397</v>
      </c>
      <c r="AH1790" s="2">
        <v>35102.749880098199</v>
      </c>
      <c r="AI1790" s="2">
        <v>36087.293851341601</v>
      </c>
      <c r="AJ1790" s="2">
        <v>23071.469642697401</v>
      </c>
      <c r="AK1790" s="2">
        <v>18747.468123458799</v>
      </c>
      <c r="AL1790" s="2">
        <v>16248.357451358799</v>
      </c>
      <c r="AM1790" s="2">
        <v>16809.307537443601</v>
      </c>
      <c r="AN1790" s="2">
        <v>15320.823281278799</v>
      </c>
      <c r="AO1790" s="2">
        <v>25402.4250959655</v>
      </c>
      <c r="AP1790" s="2">
        <v>17989.533740514998</v>
      </c>
    </row>
    <row r="1791" spans="1:42" ht="14.5" x14ac:dyDescent="0.35">
      <c r="A1791" s="2" t="s">
        <v>12057</v>
      </c>
      <c r="B1791" s="2">
        <v>469.23023610386701</v>
      </c>
      <c r="C1791" s="2">
        <v>3.8609</v>
      </c>
      <c r="D1791" s="2" t="s">
        <v>34</v>
      </c>
      <c r="E1791" s="2" t="s">
        <v>12058</v>
      </c>
      <c r="F1791" s="2">
        <v>208338</v>
      </c>
      <c r="G1791" s="3" t="str">
        <f>HYPERLINK("http://funmeta.oebiotech.com/network/208338", "http://funmeta.oebiotech.com/network/208338")</f>
        <v>http://funmeta.oebiotech.com/network/208338</v>
      </c>
      <c r="H1791" s="2" t="s">
        <v>12059</v>
      </c>
      <c r="I1791" s="2">
        <v>320839</v>
      </c>
      <c r="J1791" s="2"/>
      <c r="K1791" s="2"/>
      <c r="L1791" s="2"/>
      <c r="M1791" s="2"/>
      <c r="N1791" s="2"/>
      <c r="O1791" s="2">
        <v>3949</v>
      </c>
      <c r="P1791" s="2"/>
      <c r="Q1791" s="2" t="s">
        <v>12060</v>
      </c>
      <c r="R1791" s="2" t="s">
        <v>12061</v>
      </c>
      <c r="S1791" s="2" t="s">
        <v>148</v>
      </c>
      <c r="T1791" s="2" t="s">
        <v>149</v>
      </c>
      <c r="U1791" s="2" t="s">
        <v>3473</v>
      </c>
      <c r="V1791" s="2" t="s">
        <v>59</v>
      </c>
      <c r="W1791" s="2">
        <v>41.9</v>
      </c>
      <c r="X1791" s="2">
        <v>17.5</v>
      </c>
      <c r="Y1791" s="2" t="s">
        <v>394</v>
      </c>
      <c r="Z1791" s="2" t="s">
        <v>12062</v>
      </c>
      <c r="AA1791" s="2">
        <v>1.0900833314512599</v>
      </c>
      <c r="AB1791" s="2">
        <v>0.45054088768876199</v>
      </c>
      <c r="AC1791" s="2">
        <v>137273.529520563</v>
      </c>
      <c r="AD1791" s="2">
        <v>155392.97635114699</v>
      </c>
      <c r="AE1791" s="2">
        <v>130966.02476689901</v>
      </c>
      <c r="AF1791" s="2">
        <v>143640.28725096301</v>
      </c>
      <c r="AG1791" s="2">
        <v>133333.595161409</v>
      </c>
      <c r="AH1791" s="2">
        <v>152201.406870548</v>
      </c>
      <c r="AI1791" s="2">
        <v>138936.61916014701</v>
      </c>
      <c r="AJ1791" s="2">
        <v>124563.24391340899</v>
      </c>
      <c r="AK1791" s="2">
        <v>141476.28547818001</v>
      </c>
      <c r="AL1791" s="2">
        <v>152516.28355983901</v>
      </c>
      <c r="AM1791" s="2">
        <v>158511.09594998299</v>
      </c>
      <c r="AN1791" s="2">
        <v>155711.934440577</v>
      </c>
      <c r="AO1791" s="2">
        <v>156226.64863535299</v>
      </c>
      <c r="AP1791" s="2">
        <v>167915.610042949</v>
      </c>
    </row>
    <row r="1792" spans="1:42" ht="14.5" x14ac:dyDescent="0.35">
      <c r="A1792" s="2" t="s">
        <v>12063</v>
      </c>
      <c r="B1792" s="2">
        <v>523.18222711743101</v>
      </c>
      <c r="C1792" s="2">
        <v>5.2831999999999999</v>
      </c>
      <c r="D1792" s="2" t="s">
        <v>70</v>
      </c>
      <c r="E1792" s="2" t="s">
        <v>12064</v>
      </c>
      <c r="F1792" s="2">
        <v>58728</v>
      </c>
      <c r="G1792" s="3" t="str">
        <f>HYPERLINK("http://funmeta.oebiotech.com/network/58728", "http://funmeta.oebiotech.com/network/58728")</f>
        <v>http://funmeta.oebiotech.com/network/58728</v>
      </c>
      <c r="H1792" s="2" t="s">
        <v>12065</v>
      </c>
      <c r="I1792" s="2"/>
      <c r="J1792" s="2"/>
      <c r="K1792" s="2"/>
      <c r="L1792" s="2"/>
      <c r="M1792" s="2"/>
      <c r="N1792" s="2"/>
      <c r="O1792" s="2">
        <v>10392063</v>
      </c>
      <c r="P1792" s="2" t="s">
        <v>12066</v>
      </c>
      <c r="Q1792" s="2" t="s">
        <v>12067</v>
      </c>
      <c r="R1792" s="2" t="s">
        <v>12068</v>
      </c>
      <c r="S1792" s="2" t="s">
        <v>50</v>
      </c>
      <c r="T1792" s="2" t="s">
        <v>201</v>
      </c>
      <c r="U1792" s="2" t="s">
        <v>202</v>
      </c>
      <c r="V1792" s="2" t="s">
        <v>59</v>
      </c>
      <c r="W1792" s="2">
        <v>44.3</v>
      </c>
      <c r="X1792" s="2">
        <v>29.5</v>
      </c>
      <c r="Y1792" s="2" t="s">
        <v>118</v>
      </c>
      <c r="Z1792" s="2" t="s">
        <v>12069</v>
      </c>
      <c r="AA1792" s="2">
        <v>0.24244762811081</v>
      </c>
      <c r="AB1792" s="2">
        <v>0.450266690065661</v>
      </c>
      <c r="AC1792" s="2">
        <v>46103.341114249801</v>
      </c>
      <c r="AD1792" s="2">
        <v>60121.848410394698</v>
      </c>
      <c r="AE1792" s="2">
        <v>45425.520611336397</v>
      </c>
      <c r="AF1792" s="2">
        <v>46612.102354115101</v>
      </c>
      <c r="AG1792" s="2">
        <v>45385.369914868599</v>
      </c>
      <c r="AH1792" s="2">
        <v>45254.638838824503</v>
      </c>
      <c r="AI1792" s="2">
        <v>45801.890714225498</v>
      </c>
      <c r="AJ1792" s="2">
        <v>48140.524252128504</v>
      </c>
      <c r="AK1792" s="2">
        <v>63145.421601836002</v>
      </c>
      <c r="AL1792" s="2">
        <v>57123.724434529497</v>
      </c>
      <c r="AM1792" s="2">
        <v>62725.811022696696</v>
      </c>
      <c r="AN1792" s="2">
        <v>59269.476687022499</v>
      </c>
      <c r="AO1792" s="2">
        <v>55253.842619770003</v>
      </c>
      <c r="AP1792" s="2">
        <v>63212.814096513503</v>
      </c>
    </row>
    <row r="1793" spans="1:42" ht="14.5" x14ac:dyDescent="0.35">
      <c r="A1793" s="2" t="s">
        <v>12070</v>
      </c>
      <c r="B1793" s="2">
        <v>953.47080725514002</v>
      </c>
      <c r="C1793" s="2">
        <v>9.8048666666666708</v>
      </c>
      <c r="D1793" s="2" t="s">
        <v>34</v>
      </c>
      <c r="E1793" s="2" t="s">
        <v>12071</v>
      </c>
      <c r="F1793" s="2">
        <v>27467</v>
      </c>
      <c r="G1793" s="3" t="str">
        <f>HYPERLINK("http://funmeta.oebiotech.com/network/27467", "http://funmeta.oebiotech.com/network/27467")</f>
        <v>http://funmeta.oebiotech.com/network/27467</v>
      </c>
      <c r="H1793" s="2"/>
      <c r="I1793" s="2"/>
      <c r="J1793" s="2" t="s">
        <v>12072</v>
      </c>
      <c r="K1793" s="2"/>
      <c r="L1793" s="2"/>
      <c r="M1793" s="2"/>
      <c r="N1793" s="2"/>
      <c r="O1793" s="2"/>
      <c r="P1793" s="2"/>
      <c r="Q1793" s="2" t="s">
        <v>12073</v>
      </c>
      <c r="R1793" s="2" t="s">
        <v>12074</v>
      </c>
      <c r="S1793" s="2" t="s">
        <v>79</v>
      </c>
      <c r="T1793" s="2" t="s">
        <v>80</v>
      </c>
      <c r="U1793" s="2" t="s">
        <v>81</v>
      </c>
      <c r="V1793" s="2" t="s">
        <v>59</v>
      </c>
      <c r="W1793" s="2">
        <v>39.4</v>
      </c>
      <c r="X1793" s="2">
        <v>0</v>
      </c>
      <c r="Y1793" s="2" t="s">
        <v>470</v>
      </c>
      <c r="Z1793" s="2" t="s">
        <v>12075</v>
      </c>
      <c r="AA1793" s="2">
        <v>0.130123408527857</v>
      </c>
      <c r="AB1793" s="2">
        <v>0.45006938264166602</v>
      </c>
      <c r="AC1793" s="2">
        <v>29134.007296723899</v>
      </c>
      <c r="AD1793" s="2">
        <v>15339.641844698101</v>
      </c>
      <c r="AE1793" s="2">
        <v>27233.062092664699</v>
      </c>
      <c r="AF1793" s="2">
        <v>25140.442850508902</v>
      </c>
      <c r="AG1793" s="2">
        <v>33212.386597446697</v>
      </c>
      <c r="AH1793" s="2">
        <v>29578.116321802601</v>
      </c>
      <c r="AI1793" s="2">
        <v>28972.028939690801</v>
      </c>
      <c r="AJ1793" s="2">
        <v>30668.006978229401</v>
      </c>
      <c r="AK1793" s="2">
        <v>14441.1942684063</v>
      </c>
      <c r="AL1793" s="2">
        <v>16550.927313982302</v>
      </c>
      <c r="AM1793" s="2">
        <v>15006.8914050574</v>
      </c>
      <c r="AN1793" s="2">
        <v>13866.3916125737</v>
      </c>
      <c r="AO1793" s="2">
        <v>16504.752845289499</v>
      </c>
      <c r="AP1793" s="2">
        <v>15667.6936228793</v>
      </c>
    </row>
    <row r="1794" spans="1:42" ht="14.5" x14ac:dyDescent="0.35">
      <c r="A1794" s="2" t="s">
        <v>12076</v>
      </c>
      <c r="B1794" s="2">
        <v>786.36907795013201</v>
      </c>
      <c r="C1794" s="2">
        <v>9.6350833333333306</v>
      </c>
      <c r="D1794" s="2" t="s">
        <v>34</v>
      </c>
      <c r="E1794" s="2" t="s">
        <v>12077</v>
      </c>
      <c r="F1794" s="2">
        <v>58688</v>
      </c>
      <c r="G1794" s="3" t="str">
        <f>HYPERLINK("http://funmeta.oebiotech.com/network/58688", "http://funmeta.oebiotech.com/network/58688")</f>
        <v>http://funmeta.oebiotech.com/network/58688</v>
      </c>
      <c r="H1794" s="2" t="s">
        <v>12078</v>
      </c>
      <c r="I1794" s="2">
        <v>90147</v>
      </c>
      <c r="J1794" s="2"/>
      <c r="K1794" s="2"/>
      <c r="L1794" s="2"/>
      <c r="M1794" s="2"/>
      <c r="N1794" s="2"/>
      <c r="O1794" s="2">
        <v>14077782</v>
      </c>
      <c r="P1794" s="2" t="s">
        <v>12079</v>
      </c>
      <c r="Q1794" s="2" t="s">
        <v>12080</v>
      </c>
      <c r="R1794" s="2" t="s">
        <v>12081</v>
      </c>
      <c r="S1794" s="2" t="s">
        <v>89</v>
      </c>
      <c r="T1794" s="2" t="s">
        <v>90</v>
      </c>
      <c r="U1794" s="2" t="s">
        <v>1669</v>
      </c>
      <c r="V1794" s="2" t="s">
        <v>59</v>
      </c>
      <c r="W1794" s="2">
        <v>36.799999999999997</v>
      </c>
      <c r="X1794" s="2">
        <v>0</v>
      </c>
      <c r="Y1794" s="2" t="s">
        <v>340</v>
      </c>
      <c r="Z1794" s="2" t="s">
        <v>12082</v>
      </c>
      <c r="AA1794" s="2">
        <v>2.4078214362914001</v>
      </c>
      <c r="AB1794" s="2">
        <v>0.44983332350581101</v>
      </c>
      <c r="AC1794" s="2">
        <v>85954.115685818702</v>
      </c>
      <c r="AD1794" s="2">
        <v>71469.6942828381</v>
      </c>
      <c r="AE1794" s="2">
        <v>86891.475645976505</v>
      </c>
      <c r="AF1794" s="2">
        <v>84183.846380005503</v>
      </c>
      <c r="AG1794" s="2">
        <v>89102.326524586999</v>
      </c>
      <c r="AH1794" s="2">
        <v>86007.356441608499</v>
      </c>
      <c r="AI1794" s="2">
        <v>80436.078395874298</v>
      </c>
      <c r="AJ1794" s="2">
        <v>89103.610726860599</v>
      </c>
      <c r="AK1794" s="2">
        <v>67236.179336221205</v>
      </c>
      <c r="AL1794" s="2">
        <v>70582.171950795106</v>
      </c>
      <c r="AM1794" s="2">
        <v>74938.605259351403</v>
      </c>
      <c r="AN1794" s="2">
        <v>69320.853869264</v>
      </c>
      <c r="AO1794" s="2">
        <v>77147.421461219303</v>
      </c>
      <c r="AP1794" s="2">
        <v>69592.933820177597</v>
      </c>
    </row>
    <row r="1795" spans="1:42" ht="14.5" x14ac:dyDescent="0.35">
      <c r="A1795" s="2" t="s">
        <v>12083</v>
      </c>
      <c r="B1795" s="2">
        <v>208.03932667765099</v>
      </c>
      <c r="C1795" s="2">
        <v>0.60526666666666695</v>
      </c>
      <c r="D1795" s="2" t="s">
        <v>34</v>
      </c>
      <c r="E1795" s="2" t="s">
        <v>12084</v>
      </c>
      <c r="F1795" s="2">
        <v>211102</v>
      </c>
      <c r="G1795" s="3" t="str">
        <f>HYPERLINK("http://funmeta.oebiotech.com/network/211102", "http://funmeta.oebiotech.com/network/211102")</f>
        <v>http://funmeta.oebiotech.com/network/211102</v>
      </c>
      <c r="H1795" s="2" t="s">
        <v>12085</v>
      </c>
      <c r="I1795" s="2"/>
      <c r="J1795" s="2"/>
      <c r="K1795" s="2"/>
      <c r="L1795" s="2"/>
      <c r="M1795" s="2"/>
      <c r="N1795" s="2"/>
      <c r="O1795" s="2">
        <v>21884726</v>
      </c>
      <c r="P1795" s="2"/>
      <c r="Q1795" s="2" t="s">
        <v>12086</v>
      </c>
      <c r="R1795" s="2" t="s">
        <v>12087</v>
      </c>
      <c r="S1795" s="2" t="s">
        <v>89</v>
      </c>
      <c r="T1795" s="2" t="s">
        <v>90</v>
      </c>
      <c r="U1795" s="2" t="s">
        <v>99</v>
      </c>
      <c r="V1795" s="2" t="s">
        <v>59</v>
      </c>
      <c r="W1795" s="2">
        <v>40.9</v>
      </c>
      <c r="X1795" s="2">
        <v>16.100000000000001</v>
      </c>
      <c r="Y1795" s="2" t="s">
        <v>394</v>
      </c>
      <c r="Z1795" s="2" t="s">
        <v>12088</v>
      </c>
      <c r="AA1795" s="2">
        <v>3.2529580364379198</v>
      </c>
      <c r="AB1795" s="2">
        <v>0.44980797606661999</v>
      </c>
      <c r="AC1795" s="2">
        <v>107158.89337935499</v>
      </c>
      <c r="AD1795" s="2">
        <v>85392.956633419904</v>
      </c>
      <c r="AE1795" s="2">
        <v>118228.950814489</v>
      </c>
      <c r="AF1795" s="2">
        <v>143811.57064591299</v>
      </c>
      <c r="AG1795" s="2">
        <v>103392.36580657199</v>
      </c>
      <c r="AH1795" s="2">
        <v>86137.122033803593</v>
      </c>
      <c r="AI1795" s="2">
        <v>105266.578156091</v>
      </c>
      <c r="AJ1795" s="2">
        <v>86116.772819264093</v>
      </c>
      <c r="AK1795" s="2">
        <v>80851.907444716999</v>
      </c>
      <c r="AL1795" s="2">
        <v>93507.582181976701</v>
      </c>
      <c r="AM1795" s="2">
        <v>82166.798641801695</v>
      </c>
      <c r="AN1795" s="2">
        <v>86981.664576039795</v>
      </c>
      <c r="AO1795" s="2">
        <v>84885.764155344499</v>
      </c>
      <c r="AP1795" s="2">
        <v>83964.022800639999</v>
      </c>
    </row>
    <row r="1796" spans="1:42" ht="14.5" x14ac:dyDescent="0.35">
      <c r="A1796" s="2" t="s">
        <v>12089</v>
      </c>
      <c r="B1796" s="2">
        <v>711.26601313411504</v>
      </c>
      <c r="C1796" s="2">
        <v>4.6673166666666699</v>
      </c>
      <c r="D1796" s="2" t="s">
        <v>70</v>
      </c>
      <c r="E1796" s="2" t="s">
        <v>12090</v>
      </c>
      <c r="F1796" s="2">
        <v>205559</v>
      </c>
      <c r="G1796" s="3" t="str">
        <f>HYPERLINK("http://funmeta.oebiotech.com/network/205559", "http://funmeta.oebiotech.com/network/205559")</f>
        <v>http://funmeta.oebiotech.com/network/205559</v>
      </c>
      <c r="H1796" s="2" t="s">
        <v>12091</v>
      </c>
      <c r="I1796" s="2"/>
      <c r="J1796" s="2"/>
      <c r="K1796" s="2"/>
      <c r="L1796" s="2"/>
      <c r="M1796" s="2"/>
      <c r="N1796" s="2"/>
      <c r="O1796" s="2">
        <v>9939609</v>
      </c>
      <c r="P1796" s="2"/>
      <c r="Q1796" s="2" t="s">
        <v>12092</v>
      </c>
      <c r="R1796" s="2" t="s">
        <v>12093</v>
      </c>
      <c r="S1796" s="2" t="s">
        <v>148</v>
      </c>
      <c r="T1796" s="2" t="s">
        <v>149</v>
      </c>
      <c r="U1796" s="2" t="s">
        <v>5292</v>
      </c>
      <c r="V1796" s="2" t="s">
        <v>59</v>
      </c>
      <c r="W1796" s="2">
        <v>36.4</v>
      </c>
      <c r="X1796" s="2">
        <v>0.111</v>
      </c>
      <c r="Y1796" s="2" t="s">
        <v>408</v>
      </c>
      <c r="Z1796" s="2" t="s">
        <v>12094</v>
      </c>
      <c r="AA1796" s="2">
        <v>3.97725604367416</v>
      </c>
      <c r="AB1796" s="2">
        <v>0.449790114321235</v>
      </c>
      <c r="AC1796" s="2">
        <v>105008.17297874</v>
      </c>
      <c r="AD1796" s="2">
        <v>123489.506638115</v>
      </c>
      <c r="AE1796" s="2">
        <v>96721.568454860797</v>
      </c>
      <c r="AF1796" s="2">
        <v>119118.716896906</v>
      </c>
      <c r="AG1796" s="2">
        <v>94569.705491332104</v>
      </c>
      <c r="AH1796" s="2">
        <v>102030.655583791</v>
      </c>
      <c r="AI1796" s="2">
        <v>113001.911772142</v>
      </c>
      <c r="AJ1796" s="2">
        <v>104606.479673408</v>
      </c>
      <c r="AK1796" s="2">
        <v>126984.57948497499</v>
      </c>
      <c r="AL1796" s="2">
        <v>117300.278837032</v>
      </c>
      <c r="AM1796" s="2">
        <v>113693.19182823101</v>
      </c>
      <c r="AN1796" s="2">
        <v>129905.52302254101</v>
      </c>
      <c r="AO1796" s="2">
        <v>113720.14865942601</v>
      </c>
      <c r="AP1796" s="2">
        <v>139333.317996486</v>
      </c>
    </row>
    <row r="1797" spans="1:42" ht="14.5" x14ac:dyDescent="0.35">
      <c r="A1797" s="2" t="s">
        <v>12095</v>
      </c>
      <c r="B1797" s="2">
        <v>611.32738709816795</v>
      </c>
      <c r="C1797" s="2">
        <v>5.84148333333333</v>
      </c>
      <c r="D1797" s="2" t="s">
        <v>70</v>
      </c>
      <c r="E1797" s="2" t="s">
        <v>12096</v>
      </c>
      <c r="F1797" s="2">
        <v>55890</v>
      </c>
      <c r="G1797" s="3" t="str">
        <f>HYPERLINK("http://funmeta.oebiotech.com/network/55890", "http://funmeta.oebiotech.com/network/55890")</f>
        <v>http://funmeta.oebiotech.com/network/55890</v>
      </c>
      <c r="H1797" s="2" t="s">
        <v>12097</v>
      </c>
      <c r="I1797" s="2"/>
      <c r="J1797" s="2"/>
      <c r="K1797" s="2"/>
      <c r="L1797" s="2"/>
      <c r="M1797" s="2"/>
      <c r="N1797" s="2"/>
      <c r="O1797" s="2">
        <v>131751153</v>
      </c>
      <c r="P1797" s="2" t="s">
        <v>12098</v>
      </c>
      <c r="Q1797" s="2" t="s">
        <v>12099</v>
      </c>
      <c r="R1797" s="2" t="s">
        <v>12100</v>
      </c>
      <c r="S1797" s="2" t="s">
        <v>50</v>
      </c>
      <c r="T1797" s="2" t="s">
        <v>229</v>
      </c>
      <c r="U1797" s="2" t="s">
        <v>230</v>
      </c>
      <c r="V1797" s="2" t="s">
        <v>42</v>
      </c>
      <c r="W1797" s="2">
        <v>50.3</v>
      </c>
      <c r="X1797" s="2">
        <v>64.3</v>
      </c>
      <c r="Y1797" s="2" t="s">
        <v>560</v>
      </c>
      <c r="Z1797" s="2" t="s">
        <v>12101</v>
      </c>
      <c r="AA1797" s="2">
        <v>-1.7030058865739901</v>
      </c>
      <c r="AB1797" s="2">
        <v>0.44937885061119998</v>
      </c>
      <c r="AC1797" s="2">
        <v>25411.711237157899</v>
      </c>
      <c r="AD1797" s="2">
        <v>39264.415136380099</v>
      </c>
      <c r="AE1797" s="2">
        <v>27833.688667043702</v>
      </c>
      <c r="AF1797" s="2">
        <v>26042.6624169352</v>
      </c>
      <c r="AG1797" s="2">
        <v>24176.378840103502</v>
      </c>
      <c r="AH1797" s="2">
        <v>23981.1975458782</v>
      </c>
      <c r="AI1797" s="2">
        <v>25362.089791623799</v>
      </c>
      <c r="AJ1797" s="2">
        <v>25074.250161363099</v>
      </c>
      <c r="AK1797" s="2">
        <v>41575.720806562102</v>
      </c>
      <c r="AL1797" s="2">
        <v>34281.6129557491</v>
      </c>
      <c r="AM1797" s="2">
        <v>38532.437997105502</v>
      </c>
      <c r="AN1797" s="2">
        <v>43101.753130033998</v>
      </c>
      <c r="AO1797" s="2">
        <v>38528.9321254362</v>
      </c>
      <c r="AP1797" s="2">
        <v>39566.033803393599</v>
      </c>
    </row>
    <row r="1798" spans="1:42" ht="14.5" x14ac:dyDescent="0.35">
      <c r="A1798" s="2" t="s">
        <v>12102</v>
      </c>
      <c r="B1798" s="2">
        <v>351.12949850788698</v>
      </c>
      <c r="C1798" s="2">
        <v>3.7494000000000001</v>
      </c>
      <c r="D1798" s="2" t="s">
        <v>70</v>
      </c>
      <c r="E1798" s="2" t="s">
        <v>12103</v>
      </c>
      <c r="F1798" s="2">
        <v>2893</v>
      </c>
      <c r="G1798" s="3" t="str">
        <f>HYPERLINK("http://funmeta.oebiotech.com/network/2893", "http://funmeta.oebiotech.com/network/2893")</f>
        <v>http://funmeta.oebiotech.com/network/2893</v>
      </c>
      <c r="H1798" s="2" t="s">
        <v>12104</v>
      </c>
      <c r="I1798" s="2">
        <v>45921</v>
      </c>
      <c r="J1798" s="2" t="s">
        <v>12105</v>
      </c>
      <c r="K1798" s="2"/>
      <c r="L1798" s="2"/>
      <c r="M1798" s="2"/>
      <c r="N1798" s="2"/>
      <c r="O1798" s="2">
        <v>21252268</v>
      </c>
      <c r="P1798" s="2" t="s">
        <v>12106</v>
      </c>
      <c r="Q1798" s="2" t="s">
        <v>12107</v>
      </c>
      <c r="R1798" s="2" t="s">
        <v>12108</v>
      </c>
      <c r="S1798" s="2" t="s">
        <v>50</v>
      </c>
      <c r="T1798" s="2" t="s">
        <v>229</v>
      </c>
      <c r="U1798" s="2" t="s">
        <v>433</v>
      </c>
      <c r="V1798" s="2" t="s">
        <v>59</v>
      </c>
      <c r="W1798" s="2">
        <v>44.5</v>
      </c>
      <c r="X1798" s="2">
        <v>29.8</v>
      </c>
      <c r="Y1798" s="2" t="s">
        <v>560</v>
      </c>
      <c r="Z1798" s="2" t="s">
        <v>12109</v>
      </c>
      <c r="AA1798" s="2">
        <v>-0.48851844364986302</v>
      </c>
      <c r="AB1798" s="2">
        <v>0.449307509102082</v>
      </c>
      <c r="AC1798" s="2">
        <v>75410.366231953507</v>
      </c>
      <c r="AD1798" s="2">
        <v>88969.976159007201</v>
      </c>
      <c r="AE1798" s="2">
        <v>74179.641156865793</v>
      </c>
      <c r="AF1798" s="2">
        <v>75189.099035315696</v>
      </c>
      <c r="AG1798" s="2">
        <v>75373.048571652806</v>
      </c>
      <c r="AH1798" s="2">
        <v>72593.366062549394</v>
      </c>
      <c r="AI1798" s="2">
        <v>77226.921377227904</v>
      </c>
      <c r="AJ1798" s="2">
        <v>77900.121188109493</v>
      </c>
      <c r="AK1798" s="2">
        <v>87601.183269072397</v>
      </c>
      <c r="AL1798" s="2">
        <v>88095.305377401994</v>
      </c>
      <c r="AM1798" s="2">
        <v>90483.717563756494</v>
      </c>
      <c r="AN1798" s="2">
        <v>88022.250789865793</v>
      </c>
      <c r="AO1798" s="2">
        <v>88692.913897323204</v>
      </c>
      <c r="AP1798" s="2">
        <v>90924.486056623398</v>
      </c>
    </row>
    <row r="1799" spans="1:42" ht="14.5" x14ac:dyDescent="0.35">
      <c r="A1799" s="2" t="s">
        <v>12110</v>
      </c>
      <c r="B1799" s="2">
        <v>647.21306768577995</v>
      </c>
      <c r="C1799" s="2">
        <v>4.7765333333333304</v>
      </c>
      <c r="D1799" s="2" t="s">
        <v>70</v>
      </c>
      <c r="E1799" s="2" t="s">
        <v>12111</v>
      </c>
      <c r="F1799" s="2">
        <v>204352</v>
      </c>
      <c r="G1799" s="3" t="str">
        <f>HYPERLINK("http://funmeta.oebiotech.com/network/204352", "http://funmeta.oebiotech.com/network/204352")</f>
        <v>http://funmeta.oebiotech.com/network/204352</v>
      </c>
      <c r="H1799" s="2" t="s">
        <v>12112</v>
      </c>
      <c r="I1799" s="2"/>
      <c r="J1799" s="2"/>
      <c r="K1799" s="2"/>
      <c r="L1799" s="2"/>
      <c r="M1799" s="2"/>
      <c r="N1799" s="2"/>
      <c r="O1799" s="2">
        <v>129805</v>
      </c>
      <c r="P1799" s="2"/>
      <c r="Q1799" s="2" t="s">
        <v>12113</v>
      </c>
      <c r="R1799" s="2" t="s">
        <v>12114</v>
      </c>
      <c r="S1799" s="2" t="s">
        <v>41</v>
      </c>
      <c r="T1799" s="2" t="s">
        <v>41</v>
      </c>
      <c r="U1799" s="2" t="s">
        <v>41</v>
      </c>
      <c r="V1799" s="2" t="s">
        <v>59</v>
      </c>
      <c r="W1799" s="2">
        <v>37.5</v>
      </c>
      <c r="X1799" s="2">
        <v>0</v>
      </c>
      <c r="Y1799" s="2" t="s">
        <v>560</v>
      </c>
      <c r="Z1799" s="2" t="s">
        <v>12115</v>
      </c>
      <c r="AA1799" s="2">
        <v>-2.5760990894448401</v>
      </c>
      <c r="AB1799" s="2">
        <v>0.44918246636639803</v>
      </c>
      <c r="AC1799" s="2">
        <v>41663.128160653498</v>
      </c>
      <c r="AD1799" s="2">
        <v>26526.113432504699</v>
      </c>
      <c r="AE1799" s="2">
        <v>40710.753525975</v>
      </c>
      <c r="AF1799" s="2">
        <v>40137.573325599697</v>
      </c>
      <c r="AG1799" s="2">
        <v>41859.668060411102</v>
      </c>
      <c r="AH1799" s="2">
        <v>49055.659466992998</v>
      </c>
      <c r="AI1799" s="2">
        <v>45820.138698440504</v>
      </c>
      <c r="AJ1799" s="2">
        <v>32394.975886501499</v>
      </c>
      <c r="AK1799" s="2">
        <v>28421.073241150902</v>
      </c>
      <c r="AL1799" s="2">
        <v>22178.715612594799</v>
      </c>
      <c r="AM1799" s="2">
        <v>29174.3156401493</v>
      </c>
      <c r="AN1799" s="2">
        <v>27951.612395498902</v>
      </c>
      <c r="AO1799" s="2">
        <v>27459.693214753799</v>
      </c>
      <c r="AP1799" s="2">
        <v>23971.270490880699</v>
      </c>
    </row>
    <row r="1800" spans="1:42" ht="14.5" x14ac:dyDescent="0.35">
      <c r="A1800" s="2" t="s">
        <v>12116</v>
      </c>
      <c r="B1800" s="2">
        <v>431.18572913923401</v>
      </c>
      <c r="C1800" s="2">
        <v>5.48966666666667</v>
      </c>
      <c r="D1800" s="2" t="s">
        <v>34</v>
      </c>
      <c r="E1800" s="2" t="s">
        <v>12117</v>
      </c>
      <c r="F1800" s="2">
        <v>52047</v>
      </c>
      <c r="G1800" s="3" t="str">
        <f>HYPERLINK("http://funmeta.oebiotech.com/network/52047", "http://funmeta.oebiotech.com/network/52047")</f>
        <v>http://funmeta.oebiotech.com/network/52047</v>
      </c>
      <c r="H1800" s="2" t="s">
        <v>12118</v>
      </c>
      <c r="I1800" s="2"/>
      <c r="J1800" s="2"/>
      <c r="K1800" s="2"/>
      <c r="L1800" s="2"/>
      <c r="M1800" s="2"/>
      <c r="N1800" s="2"/>
      <c r="O1800" s="2">
        <v>53481472</v>
      </c>
      <c r="P1800" s="2"/>
      <c r="Q1800" s="2" t="s">
        <v>12119</v>
      </c>
      <c r="R1800" s="2" t="s">
        <v>12120</v>
      </c>
      <c r="S1800" s="2" t="s">
        <v>89</v>
      </c>
      <c r="T1800" s="2" t="s">
        <v>90</v>
      </c>
      <c r="U1800" s="2" t="s">
        <v>99</v>
      </c>
      <c r="V1800" s="2" t="s">
        <v>59</v>
      </c>
      <c r="W1800" s="2">
        <v>38.700000000000003</v>
      </c>
      <c r="X1800" s="2">
        <v>0</v>
      </c>
      <c r="Y1800" s="2" t="s">
        <v>43</v>
      </c>
      <c r="Z1800" s="2" t="s">
        <v>12121</v>
      </c>
      <c r="AA1800" s="2">
        <v>2.6150295799132599</v>
      </c>
      <c r="AB1800" s="2">
        <v>0.44864898444849499</v>
      </c>
      <c r="AC1800" s="2">
        <v>14554.0850120757</v>
      </c>
      <c r="AD1800" s="2">
        <v>1256.1901935353701</v>
      </c>
      <c r="AE1800" s="2">
        <v>15709.207220554599</v>
      </c>
      <c r="AF1800" s="2">
        <v>13347.359935483601</v>
      </c>
      <c r="AG1800" s="2">
        <v>14195.754136945399</v>
      </c>
      <c r="AH1800" s="2">
        <v>14752.422087163999</v>
      </c>
      <c r="AI1800" s="2">
        <v>15539.6802732217</v>
      </c>
      <c r="AJ1800" s="2">
        <v>13780.086419084701</v>
      </c>
      <c r="AK1800" s="2">
        <v>1197.12675835666</v>
      </c>
      <c r="AL1800" s="2">
        <v>918.38093805510903</v>
      </c>
      <c r="AM1800" s="2">
        <v>1667.66429990495</v>
      </c>
      <c r="AN1800" s="2">
        <v>1712.8563223614999</v>
      </c>
      <c r="AO1800" s="2">
        <v>449.719059301995</v>
      </c>
      <c r="AP1800" s="2">
        <v>1591.39378323202</v>
      </c>
    </row>
    <row r="1801" spans="1:42" ht="14.5" x14ac:dyDescent="0.35">
      <c r="A1801" s="2" t="s">
        <v>12122</v>
      </c>
      <c r="B1801" s="2">
        <v>645.26644180882704</v>
      </c>
      <c r="C1801" s="2">
        <v>10.641500000000001</v>
      </c>
      <c r="D1801" s="2" t="s">
        <v>34</v>
      </c>
      <c r="E1801" s="2" t="s">
        <v>12123</v>
      </c>
      <c r="F1801" s="2">
        <v>201460</v>
      </c>
      <c r="G1801" s="3" t="str">
        <f>HYPERLINK("http://funmeta.oebiotech.com/network/201460", "http://funmeta.oebiotech.com/network/201460")</f>
        <v>http://funmeta.oebiotech.com/network/201460</v>
      </c>
      <c r="H1801" s="2" t="s">
        <v>12124</v>
      </c>
      <c r="I1801" s="2"/>
      <c r="J1801" s="2"/>
      <c r="K1801" s="2"/>
      <c r="L1801" s="2"/>
      <c r="M1801" s="2"/>
      <c r="N1801" s="2"/>
      <c r="O1801" s="2"/>
      <c r="P1801" s="2"/>
      <c r="Q1801" s="2" t="s">
        <v>12125</v>
      </c>
      <c r="R1801" s="2" t="s">
        <v>12126</v>
      </c>
      <c r="S1801" s="2" t="s">
        <v>41</v>
      </c>
      <c r="T1801" s="2" t="s">
        <v>41</v>
      </c>
      <c r="U1801" s="2" t="s">
        <v>41</v>
      </c>
      <c r="V1801" s="2" t="s">
        <v>42</v>
      </c>
      <c r="W1801" s="2">
        <v>48.5</v>
      </c>
      <c r="X1801" s="2">
        <v>52.6</v>
      </c>
      <c r="Y1801" s="2" t="s">
        <v>43</v>
      </c>
      <c r="Z1801" s="2" t="s">
        <v>12127</v>
      </c>
      <c r="AA1801" s="2">
        <v>1.65912042242424</v>
      </c>
      <c r="AB1801" s="2">
        <v>0.44862530510306697</v>
      </c>
      <c r="AC1801" s="2">
        <v>71742.321437204795</v>
      </c>
      <c r="AD1801" s="2">
        <v>57414.740971356397</v>
      </c>
      <c r="AE1801" s="2">
        <v>67063.397165907198</v>
      </c>
      <c r="AF1801" s="2">
        <v>69548.114452701804</v>
      </c>
      <c r="AG1801" s="2">
        <v>79381.577656298396</v>
      </c>
      <c r="AH1801" s="2">
        <v>72384.3687093279</v>
      </c>
      <c r="AI1801" s="2">
        <v>70265.732535362593</v>
      </c>
      <c r="AJ1801" s="2">
        <v>71810.738103630894</v>
      </c>
      <c r="AK1801" s="2">
        <v>60037.7443146593</v>
      </c>
      <c r="AL1801" s="2">
        <v>58998.9008132858</v>
      </c>
      <c r="AM1801" s="2">
        <v>55400.523345804002</v>
      </c>
      <c r="AN1801" s="2">
        <v>56983.612805224999</v>
      </c>
      <c r="AO1801" s="2">
        <v>58805.631275327098</v>
      </c>
      <c r="AP1801" s="2">
        <v>54262.033273837202</v>
      </c>
    </row>
    <row r="1802" spans="1:42" ht="14.5" x14ac:dyDescent="0.35">
      <c r="A1802" s="2" t="s">
        <v>12128</v>
      </c>
      <c r="B1802" s="2">
        <v>263.12857974010501</v>
      </c>
      <c r="C1802" s="2">
        <v>5.3016333333333296</v>
      </c>
      <c r="D1802" s="2" t="s">
        <v>70</v>
      </c>
      <c r="E1802" s="2" t="s">
        <v>12129</v>
      </c>
      <c r="F1802" s="2">
        <v>64417</v>
      </c>
      <c r="G1802" s="3" t="str">
        <f>HYPERLINK("http://funmeta.oebiotech.com/network/64417", "http://funmeta.oebiotech.com/network/64417")</f>
        <v>http://funmeta.oebiotech.com/network/64417</v>
      </c>
      <c r="H1802" s="2" t="s">
        <v>12130</v>
      </c>
      <c r="I1802" s="2"/>
      <c r="J1802" s="2"/>
      <c r="K1802" s="2"/>
      <c r="L1802" s="2"/>
      <c r="M1802" s="2"/>
      <c r="N1802" s="2"/>
      <c r="O1802" s="2">
        <v>85503029</v>
      </c>
      <c r="P1802" s="2" t="s">
        <v>12131</v>
      </c>
      <c r="Q1802" s="2" t="s">
        <v>12132</v>
      </c>
      <c r="R1802" s="2" t="s">
        <v>12133</v>
      </c>
      <c r="S1802" s="2" t="s">
        <v>491</v>
      </c>
      <c r="T1802" s="2" t="s">
        <v>12134</v>
      </c>
      <c r="U1802" s="2" t="s">
        <v>41</v>
      </c>
      <c r="V1802" s="2" t="s">
        <v>42</v>
      </c>
      <c r="W1802" s="2">
        <v>55.7</v>
      </c>
      <c r="X1802" s="2">
        <v>83.4</v>
      </c>
      <c r="Y1802" s="2" t="s">
        <v>751</v>
      </c>
      <c r="Z1802" s="2" t="s">
        <v>12135</v>
      </c>
      <c r="AA1802" s="2">
        <v>-1.07370814305995</v>
      </c>
      <c r="AB1802" s="2">
        <v>0.44806845121628303</v>
      </c>
      <c r="AC1802" s="2">
        <v>12787.598377125199</v>
      </c>
      <c r="AD1802" s="2">
        <v>26336.284558755699</v>
      </c>
      <c r="AE1802" s="2">
        <v>14010.4793566484</v>
      </c>
      <c r="AF1802" s="2">
        <v>12150.9271780865</v>
      </c>
      <c r="AG1802" s="2">
        <v>12238.896782719799</v>
      </c>
      <c r="AH1802" s="2">
        <v>13299.166896208801</v>
      </c>
      <c r="AI1802" s="2">
        <v>10723.377942699501</v>
      </c>
      <c r="AJ1802" s="2">
        <v>14302.742106388099</v>
      </c>
      <c r="AK1802" s="2">
        <v>28078.1820776198</v>
      </c>
      <c r="AL1802" s="2">
        <v>25935.369050974401</v>
      </c>
      <c r="AM1802" s="2">
        <v>26262.253982634102</v>
      </c>
      <c r="AN1802" s="2">
        <v>25638.890569900501</v>
      </c>
      <c r="AO1802" s="2">
        <v>28973.3311493324</v>
      </c>
      <c r="AP1802" s="2">
        <v>23129.680522072998</v>
      </c>
    </row>
    <row r="1803" spans="1:42" ht="14.5" x14ac:dyDescent="0.35">
      <c r="A1803" s="2" t="s">
        <v>12136</v>
      </c>
      <c r="B1803" s="2">
        <v>767.34147368116703</v>
      </c>
      <c r="C1803" s="2">
        <v>9.6350833333333306</v>
      </c>
      <c r="D1803" s="2" t="s">
        <v>34</v>
      </c>
      <c r="E1803" s="2" t="s">
        <v>12137</v>
      </c>
      <c r="F1803" s="2">
        <v>207348</v>
      </c>
      <c r="G1803" s="3" t="str">
        <f>HYPERLINK("http://funmeta.oebiotech.com/network/207348", "http://funmeta.oebiotech.com/network/207348")</f>
        <v>http://funmeta.oebiotech.com/network/207348</v>
      </c>
      <c r="H1803" s="2" t="s">
        <v>12138</v>
      </c>
      <c r="I1803" s="2"/>
      <c r="J1803" s="2"/>
      <c r="K1803" s="2"/>
      <c r="L1803" s="2"/>
      <c r="M1803" s="2"/>
      <c r="N1803" s="2"/>
      <c r="O1803" s="2">
        <v>72535808</v>
      </c>
      <c r="P1803" s="2"/>
      <c r="Q1803" s="2" t="s">
        <v>12139</v>
      </c>
      <c r="R1803" s="2" t="s">
        <v>12140</v>
      </c>
      <c r="S1803" s="2" t="s">
        <v>89</v>
      </c>
      <c r="T1803" s="2" t="s">
        <v>90</v>
      </c>
      <c r="U1803" s="2" t="s">
        <v>99</v>
      </c>
      <c r="V1803" s="2" t="s">
        <v>59</v>
      </c>
      <c r="W1803" s="2">
        <v>38.799999999999997</v>
      </c>
      <c r="X1803" s="2">
        <v>7.88</v>
      </c>
      <c r="Y1803" s="2" t="s">
        <v>394</v>
      </c>
      <c r="Z1803" s="2" t="s">
        <v>12141</v>
      </c>
      <c r="AA1803" s="2">
        <v>-2.3500907914627698</v>
      </c>
      <c r="AB1803" s="2">
        <v>0.44800161381883202</v>
      </c>
      <c r="AC1803" s="2">
        <v>81860.050151795498</v>
      </c>
      <c r="AD1803" s="2">
        <v>67780.614860775604</v>
      </c>
      <c r="AE1803" s="2">
        <v>84255.438848882404</v>
      </c>
      <c r="AF1803" s="2">
        <v>85564.9315932397</v>
      </c>
      <c r="AG1803" s="2">
        <v>81270.325576368297</v>
      </c>
      <c r="AH1803" s="2">
        <v>75729.231584980298</v>
      </c>
      <c r="AI1803" s="2">
        <v>82534.434786334896</v>
      </c>
      <c r="AJ1803" s="2">
        <v>81805.938520967306</v>
      </c>
      <c r="AK1803" s="2">
        <v>64403.712292289703</v>
      </c>
      <c r="AL1803" s="2">
        <v>70996.498484875105</v>
      </c>
      <c r="AM1803" s="2">
        <v>66630.274106594094</v>
      </c>
      <c r="AN1803" s="2">
        <v>68735.003437978099</v>
      </c>
      <c r="AO1803" s="2">
        <v>69469.521029982701</v>
      </c>
      <c r="AP1803" s="2">
        <v>66448.679812933799</v>
      </c>
    </row>
    <row r="1804" spans="1:42" ht="14.5" x14ac:dyDescent="0.35">
      <c r="A1804" s="2" t="s">
        <v>12142</v>
      </c>
      <c r="B1804" s="2">
        <v>469.111286188897</v>
      </c>
      <c r="C1804" s="2">
        <v>4.6857333333333298</v>
      </c>
      <c r="D1804" s="2" t="s">
        <v>70</v>
      </c>
      <c r="E1804" s="2" t="s">
        <v>12143</v>
      </c>
      <c r="F1804" s="2">
        <v>211921</v>
      </c>
      <c r="G1804" s="3" t="str">
        <f>HYPERLINK("http://funmeta.oebiotech.com/network/211921", "http://funmeta.oebiotech.com/network/211921")</f>
        <v>http://funmeta.oebiotech.com/network/211921</v>
      </c>
      <c r="H1804" s="2" t="s">
        <v>12144</v>
      </c>
      <c r="I1804" s="2"/>
      <c r="J1804" s="2"/>
      <c r="K1804" s="2"/>
      <c r="L1804" s="2"/>
      <c r="M1804" s="2"/>
      <c r="N1804" s="2"/>
      <c r="O1804" s="2">
        <v>74328238</v>
      </c>
      <c r="P1804" s="2"/>
      <c r="Q1804" s="2" t="s">
        <v>12145</v>
      </c>
      <c r="R1804" s="2" t="s">
        <v>12146</v>
      </c>
      <c r="S1804" s="2" t="s">
        <v>79</v>
      </c>
      <c r="T1804" s="2" t="s">
        <v>80</v>
      </c>
      <c r="U1804" s="2" t="s">
        <v>81</v>
      </c>
      <c r="V1804" s="2" t="s">
        <v>59</v>
      </c>
      <c r="W1804" s="2">
        <v>40</v>
      </c>
      <c r="X1804" s="2">
        <v>37.200000000000003</v>
      </c>
      <c r="Y1804" s="2" t="s">
        <v>408</v>
      </c>
      <c r="Z1804" s="2" t="s">
        <v>12147</v>
      </c>
      <c r="AA1804" s="2">
        <v>4.6231264470553004</v>
      </c>
      <c r="AB1804" s="2">
        <v>0.44780756057758597</v>
      </c>
      <c r="AC1804" s="2">
        <v>111879.05966103</v>
      </c>
      <c r="AD1804" s="2">
        <v>94646.947175687194</v>
      </c>
      <c r="AE1804" s="2">
        <v>125246.512234237</v>
      </c>
      <c r="AF1804" s="2">
        <v>114263.857204901</v>
      </c>
      <c r="AG1804" s="2">
        <v>112588.771426782</v>
      </c>
      <c r="AH1804" s="2">
        <v>115895.802124753</v>
      </c>
      <c r="AI1804" s="2">
        <v>99654.453097213001</v>
      </c>
      <c r="AJ1804" s="2">
        <v>103624.961878291</v>
      </c>
      <c r="AK1804" s="2">
        <v>105637.416124164</v>
      </c>
      <c r="AL1804" s="2">
        <v>94751.047844409404</v>
      </c>
      <c r="AM1804" s="2">
        <v>98543.936208129104</v>
      </c>
      <c r="AN1804" s="2">
        <v>91600.941924500701</v>
      </c>
      <c r="AO1804" s="2">
        <v>93047.500550977595</v>
      </c>
      <c r="AP1804" s="2">
        <v>84300.840401942201</v>
      </c>
    </row>
    <row r="1805" spans="1:42" ht="14.5" x14ac:dyDescent="0.35">
      <c r="A1805" s="2" t="s">
        <v>12148</v>
      </c>
      <c r="B1805" s="2">
        <v>545.25298374307602</v>
      </c>
      <c r="C1805" s="2">
        <v>10.7167833333333</v>
      </c>
      <c r="D1805" s="2" t="s">
        <v>34</v>
      </c>
      <c r="E1805" s="2" t="s">
        <v>12149</v>
      </c>
      <c r="F1805" s="2">
        <v>199825</v>
      </c>
      <c r="G1805" s="3" t="str">
        <f>HYPERLINK("http://funmeta.oebiotech.com/network/199825", "http://funmeta.oebiotech.com/network/199825")</f>
        <v>http://funmeta.oebiotech.com/network/199825</v>
      </c>
      <c r="H1805" s="2" t="s">
        <v>12150</v>
      </c>
      <c r="I1805" s="2"/>
      <c r="J1805" s="2"/>
      <c r="K1805" s="2"/>
      <c r="L1805" s="2"/>
      <c r="M1805" s="2"/>
      <c r="N1805" s="2"/>
      <c r="O1805" s="2">
        <v>25127414</v>
      </c>
      <c r="P1805" s="2"/>
      <c r="Q1805" s="2" t="s">
        <v>12151</v>
      </c>
      <c r="R1805" s="2" t="s">
        <v>12152</v>
      </c>
      <c r="S1805" s="2" t="s">
        <v>1677</v>
      </c>
      <c r="T1805" s="2" t="s">
        <v>1678</v>
      </c>
      <c r="U1805" s="2" t="s">
        <v>1679</v>
      </c>
      <c r="V1805" s="2" t="s">
        <v>59</v>
      </c>
      <c r="W1805" s="2">
        <v>38.200000000000003</v>
      </c>
      <c r="X1805" s="2">
        <v>0</v>
      </c>
      <c r="Y1805" s="2" t="s">
        <v>340</v>
      </c>
      <c r="Z1805" s="2" t="s">
        <v>12153</v>
      </c>
      <c r="AA1805" s="2">
        <v>-1.61461744467597</v>
      </c>
      <c r="AB1805" s="2">
        <v>0.44779434017513098</v>
      </c>
      <c r="AC1805" s="2">
        <v>18773.973652652701</v>
      </c>
      <c r="AD1805" s="2">
        <v>5505.4716682879898</v>
      </c>
      <c r="AE1805" s="2">
        <v>17982.264640192901</v>
      </c>
      <c r="AF1805" s="2">
        <v>18025.531012788801</v>
      </c>
      <c r="AG1805" s="2">
        <v>18519.938419432201</v>
      </c>
      <c r="AH1805" s="2">
        <v>18505.376401997699</v>
      </c>
      <c r="AI1805" s="2">
        <v>18601.219862124199</v>
      </c>
      <c r="AJ1805" s="2">
        <v>21009.511579380502</v>
      </c>
      <c r="AK1805" s="2">
        <v>4987.7910424879801</v>
      </c>
      <c r="AL1805" s="2">
        <v>4973.8566680765298</v>
      </c>
      <c r="AM1805" s="2">
        <v>5063.0617304734296</v>
      </c>
      <c r="AN1805" s="2">
        <v>6072.22780080137</v>
      </c>
      <c r="AO1805" s="2">
        <v>5443.53251109747</v>
      </c>
      <c r="AP1805" s="2">
        <v>6492.3602567911303</v>
      </c>
    </row>
    <row r="1806" spans="1:42" ht="14.5" x14ac:dyDescent="0.35">
      <c r="A1806" s="2" t="s">
        <v>12154</v>
      </c>
      <c r="B1806" s="2">
        <v>373.20058439969398</v>
      </c>
      <c r="C1806" s="2">
        <v>9.1582833333333298</v>
      </c>
      <c r="D1806" s="2" t="s">
        <v>34</v>
      </c>
      <c r="E1806" s="2" t="s">
        <v>12155</v>
      </c>
      <c r="F1806" s="2">
        <v>274620</v>
      </c>
      <c r="G1806" s="3" t="str">
        <f>HYPERLINK("http://funmeta.oebiotech.com/network/274620", "http://funmeta.oebiotech.com/network/274620")</f>
        <v>http://funmeta.oebiotech.com/network/274620</v>
      </c>
      <c r="H1806" s="2"/>
      <c r="I1806" s="2">
        <v>64751</v>
      </c>
      <c r="J1806" s="2"/>
      <c r="K1806" s="2"/>
      <c r="L1806" s="2"/>
      <c r="M1806" s="2"/>
      <c r="N1806" s="2"/>
      <c r="O1806" s="2">
        <v>454217</v>
      </c>
      <c r="P1806" s="2" t="s">
        <v>12156</v>
      </c>
      <c r="Q1806" s="2" t="s">
        <v>12157</v>
      </c>
      <c r="R1806" s="2" t="s">
        <v>12158</v>
      </c>
      <c r="S1806" s="2" t="s">
        <v>50</v>
      </c>
      <c r="T1806" s="2" t="s">
        <v>201</v>
      </c>
      <c r="U1806" s="2" t="s">
        <v>241</v>
      </c>
      <c r="V1806" s="2" t="s">
        <v>42</v>
      </c>
      <c r="W1806" s="2">
        <v>54.3</v>
      </c>
      <c r="X1806" s="2">
        <v>78.099999999999994</v>
      </c>
      <c r="Y1806" s="2" t="s">
        <v>266</v>
      </c>
      <c r="Z1806" s="2" t="s">
        <v>4455</v>
      </c>
      <c r="AA1806" s="2">
        <v>-0.93804661775245002</v>
      </c>
      <c r="AB1806" s="2">
        <v>0.44724077169821802</v>
      </c>
      <c r="AC1806" s="2">
        <v>308481.16404532298</v>
      </c>
      <c r="AD1806" s="2">
        <v>287436.39782957302</v>
      </c>
      <c r="AE1806" s="2">
        <v>304079.83024090901</v>
      </c>
      <c r="AF1806" s="2">
        <v>305629.22744464001</v>
      </c>
      <c r="AG1806" s="2">
        <v>302549.42192548799</v>
      </c>
      <c r="AH1806" s="2">
        <v>312732.345622483</v>
      </c>
      <c r="AI1806" s="2">
        <v>306602.94802910002</v>
      </c>
      <c r="AJ1806" s="2">
        <v>319293.21100931702</v>
      </c>
      <c r="AK1806" s="2">
        <v>251138.759020041</v>
      </c>
      <c r="AL1806" s="2">
        <v>283741.156960678</v>
      </c>
      <c r="AM1806" s="2">
        <v>292452.86401786399</v>
      </c>
      <c r="AN1806" s="2">
        <v>294838.501561496</v>
      </c>
      <c r="AO1806" s="2">
        <v>296241.43030185602</v>
      </c>
      <c r="AP1806" s="2">
        <v>306205.67511550098</v>
      </c>
    </row>
    <row r="1807" spans="1:42" ht="14.5" x14ac:dyDescent="0.35">
      <c r="A1807" s="2" t="s">
        <v>12159</v>
      </c>
      <c r="B1807" s="2">
        <v>943.48998827751495</v>
      </c>
      <c r="C1807" s="2">
        <v>10.208016666666699</v>
      </c>
      <c r="D1807" s="2" t="s">
        <v>70</v>
      </c>
      <c r="E1807" s="2" t="s">
        <v>12160</v>
      </c>
      <c r="F1807" s="2">
        <v>55932</v>
      </c>
      <c r="G1807" s="3" t="str">
        <f>HYPERLINK("http://funmeta.oebiotech.com/network/55932", "http://funmeta.oebiotech.com/network/55932")</f>
        <v>http://funmeta.oebiotech.com/network/55932</v>
      </c>
      <c r="H1807" s="2" t="s">
        <v>12161</v>
      </c>
      <c r="I1807" s="2">
        <v>87611</v>
      </c>
      <c r="J1807" s="2"/>
      <c r="K1807" s="2"/>
      <c r="L1807" s="2"/>
      <c r="M1807" s="2"/>
      <c r="N1807" s="2"/>
      <c r="O1807" s="2">
        <v>75051913</v>
      </c>
      <c r="P1807" s="2" t="s">
        <v>12162</v>
      </c>
      <c r="Q1807" s="2" t="s">
        <v>12163</v>
      </c>
      <c r="R1807" s="2" t="s">
        <v>12164</v>
      </c>
      <c r="S1807" s="2" t="s">
        <v>50</v>
      </c>
      <c r="T1807" s="2" t="s">
        <v>201</v>
      </c>
      <c r="U1807" s="2" t="s">
        <v>202</v>
      </c>
      <c r="V1807" s="2" t="s">
        <v>59</v>
      </c>
      <c r="W1807" s="2">
        <v>38.1</v>
      </c>
      <c r="X1807" s="2">
        <v>0</v>
      </c>
      <c r="Y1807" s="2" t="s">
        <v>408</v>
      </c>
      <c r="Z1807" s="2" t="s">
        <v>12165</v>
      </c>
      <c r="AA1807" s="2">
        <v>-0.90762927149816197</v>
      </c>
      <c r="AB1807" s="2">
        <v>0.44699200779441101</v>
      </c>
      <c r="AC1807" s="2">
        <v>28662.6629431205</v>
      </c>
      <c r="AD1807" s="2">
        <v>14958.993611666499</v>
      </c>
      <c r="AE1807" s="2">
        <v>27267.414278962999</v>
      </c>
      <c r="AF1807" s="2">
        <v>23629.513657286599</v>
      </c>
      <c r="AG1807" s="2">
        <v>29360.422301066799</v>
      </c>
      <c r="AH1807" s="2">
        <v>31567.379821867398</v>
      </c>
      <c r="AI1807" s="2">
        <v>28211.351751203201</v>
      </c>
      <c r="AJ1807" s="2">
        <v>31939.895848335898</v>
      </c>
      <c r="AK1807" s="2">
        <v>15955.541387264901</v>
      </c>
      <c r="AL1807" s="2">
        <v>14038.067086114101</v>
      </c>
      <c r="AM1807" s="2">
        <v>15297.341479938301</v>
      </c>
      <c r="AN1807" s="2">
        <v>14908.4763172517</v>
      </c>
      <c r="AO1807" s="2">
        <v>15575.0708674004</v>
      </c>
      <c r="AP1807" s="2">
        <v>13979.4645320294</v>
      </c>
    </row>
    <row r="1808" spans="1:42" ht="14.5" x14ac:dyDescent="0.35">
      <c r="A1808" s="2" t="s">
        <v>12166</v>
      </c>
      <c r="B1808" s="2">
        <v>441.04725503722699</v>
      </c>
      <c r="C1808" s="2">
        <v>3.8966500000000002</v>
      </c>
      <c r="D1808" s="2" t="s">
        <v>34</v>
      </c>
      <c r="E1808" s="2" t="s">
        <v>12167</v>
      </c>
      <c r="F1808" s="2">
        <v>33118</v>
      </c>
      <c r="G1808" s="3" t="str">
        <f>HYPERLINK("http://funmeta.oebiotech.com/network/33118", "http://funmeta.oebiotech.com/network/33118")</f>
        <v>http://funmeta.oebiotech.com/network/33118</v>
      </c>
      <c r="H1808" s="2"/>
      <c r="I1808" s="2">
        <v>51445</v>
      </c>
      <c r="J1808" s="2" t="s">
        <v>12168</v>
      </c>
      <c r="K1808" s="2"/>
      <c r="L1808" s="2"/>
      <c r="M1808" s="2"/>
      <c r="N1808" s="2"/>
      <c r="O1808" s="2">
        <v>44259879</v>
      </c>
      <c r="P1808" s="2"/>
      <c r="Q1808" s="2" t="s">
        <v>12169</v>
      </c>
      <c r="R1808" s="2" t="s">
        <v>12170</v>
      </c>
      <c r="S1808" s="2" t="s">
        <v>115</v>
      </c>
      <c r="T1808" s="2" t="s">
        <v>139</v>
      </c>
      <c r="U1808" s="2" t="s">
        <v>1552</v>
      </c>
      <c r="V1808" s="2" t="s">
        <v>59</v>
      </c>
      <c r="W1808" s="2">
        <v>37.1</v>
      </c>
      <c r="X1808" s="2">
        <v>0</v>
      </c>
      <c r="Y1808" s="2" t="s">
        <v>394</v>
      </c>
      <c r="Z1808" s="2" t="s">
        <v>12171</v>
      </c>
      <c r="AA1808" s="2">
        <v>-3.07635431895745</v>
      </c>
      <c r="AB1808" s="2">
        <v>0.44691891407856699</v>
      </c>
      <c r="AC1808" s="2">
        <v>32303.616488000502</v>
      </c>
      <c r="AD1808" s="2">
        <v>46702.295915237002</v>
      </c>
      <c r="AE1808" s="2">
        <v>31514.361496334001</v>
      </c>
      <c r="AF1808" s="2">
        <v>32681.3671532669</v>
      </c>
      <c r="AG1808" s="2">
        <v>36360.752276553401</v>
      </c>
      <c r="AH1808" s="2">
        <v>33599.133258012</v>
      </c>
      <c r="AI1808" s="2">
        <v>29389.590547645701</v>
      </c>
      <c r="AJ1808" s="2">
        <v>30276.494196190899</v>
      </c>
      <c r="AK1808" s="2">
        <v>47614.285972841797</v>
      </c>
      <c r="AL1808" s="2">
        <v>53658.819999716703</v>
      </c>
      <c r="AM1808" s="2">
        <v>46082.365404213197</v>
      </c>
      <c r="AN1808" s="2">
        <v>40846.881880524699</v>
      </c>
      <c r="AO1808" s="2">
        <v>46763.297994997898</v>
      </c>
      <c r="AP1808" s="2">
        <v>45248.124239127501</v>
      </c>
    </row>
    <row r="1809" spans="1:42" ht="14.5" x14ac:dyDescent="0.35">
      <c r="A1809" s="2" t="s">
        <v>12172</v>
      </c>
      <c r="B1809" s="2">
        <v>645.31134880480397</v>
      </c>
      <c r="C1809" s="2">
        <v>4.8984333333333296</v>
      </c>
      <c r="D1809" s="2" t="s">
        <v>70</v>
      </c>
      <c r="E1809" s="2" t="s">
        <v>12173</v>
      </c>
      <c r="F1809" s="2">
        <v>266774</v>
      </c>
      <c r="G1809" s="3" t="str">
        <f>HYPERLINK("http://funmeta.oebiotech.com/network/266774", "http://funmeta.oebiotech.com/network/266774")</f>
        <v>http://funmeta.oebiotech.com/network/266774</v>
      </c>
      <c r="H1809" s="2"/>
      <c r="I1809" s="2">
        <v>43950</v>
      </c>
      <c r="J1809" s="2"/>
      <c r="K1809" s="2"/>
      <c r="L1809" s="2"/>
      <c r="M1809" s="2"/>
      <c r="N1809" s="2"/>
      <c r="O1809" s="2">
        <v>6857794</v>
      </c>
      <c r="P1809" s="2"/>
      <c r="Q1809" s="2" t="s">
        <v>12174</v>
      </c>
      <c r="R1809" s="2" t="s">
        <v>12175</v>
      </c>
      <c r="S1809" s="2" t="s">
        <v>491</v>
      </c>
      <c r="T1809" s="2" t="s">
        <v>2251</v>
      </c>
      <c r="U1809" s="2" t="s">
        <v>2252</v>
      </c>
      <c r="V1809" s="2" t="s">
        <v>59</v>
      </c>
      <c r="W1809" s="2">
        <v>36.9</v>
      </c>
      <c r="X1809" s="2">
        <v>0</v>
      </c>
      <c r="Y1809" s="2" t="s">
        <v>118</v>
      </c>
      <c r="Z1809" s="2" t="s">
        <v>12176</v>
      </c>
      <c r="AA1809" s="2">
        <v>6.8731054650465504</v>
      </c>
      <c r="AB1809" s="2">
        <v>0.44638521270752402</v>
      </c>
      <c r="AC1809" s="2">
        <v>38916.646050657997</v>
      </c>
      <c r="AD1809" s="2">
        <v>53276.339602809203</v>
      </c>
      <c r="AE1809" s="2">
        <v>37604.634352194102</v>
      </c>
      <c r="AF1809" s="2">
        <v>45444.271928231501</v>
      </c>
      <c r="AG1809" s="2">
        <v>40308.462724275501</v>
      </c>
      <c r="AH1809" s="2">
        <v>36515.741898932298</v>
      </c>
      <c r="AI1809" s="2">
        <v>33096.807132927803</v>
      </c>
      <c r="AJ1809" s="2">
        <v>40529.958267387097</v>
      </c>
      <c r="AK1809" s="2">
        <v>52853.001177821003</v>
      </c>
      <c r="AL1809" s="2">
        <v>54373.544474659699</v>
      </c>
      <c r="AM1809" s="2">
        <v>56255.963235032599</v>
      </c>
      <c r="AN1809" s="2">
        <v>49556.885757645003</v>
      </c>
      <c r="AO1809" s="2">
        <v>52035.753546639098</v>
      </c>
      <c r="AP1809" s="2">
        <v>54582.889425057598</v>
      </c>
    </row>
    <row r="1810" spans="1:42" ht="14.5" x14ac:dyDescent="0.35">
      <c r="A1810" s="2" t="s">
        <v>12177</v>
      </c>
      <c r="B1810" s="2">
        <v>481.27920836642801</v>
      </c>
      <c r="C1810" s="2">
        <v>6.3386333333333296</v>
      </c>
      <c r="D1810" s="2" t="s">
        <v>34</v>
      </c>
      <c r="E1810" s="2" t="s">
        <v>12178</v>
      </c>
      <c r="F1810" s="2">
        <v>35869</v>
      </c>
      <c r="G1810" s="3" t="str">
        <f>HYPERLINK("http://funmeta.oebiotech.com/network/35869", "http://funmeta.oebiotech.com/network/35869")</f>
        <v>http://funmeta.oebiotech.com/network/35869</v>
      </c>
      <c r="H1810" s="2"/>
      <c r="I1810" s="2"/>
      <c r="J1810" s="2" t="s">
        <v>12179</v>
      </c>
      <c r="K1810" s="2"/>
      <c r="L1810" s="2"/>
      <c r="M1810" s="2"/>
      <c r="N1810" s="2"/>
      <c r="O1810" s="2">
        <v>152758</v>
      </c>
      <c r="P1810" s="2"/>
      <c r="Q1810" s="2" t="s">
        <v>12180</v>
      </c>
      <c r="R1810" s="2" t="s">
        <v>12181</v>
      </c>
      <c r="S1810" s="2" t="s">
        <v>50</v>
      </c>
      <c r="T1810" s="2" t="s">
        <v>201</v>
      </c>
      <c r="U1810" s="2" t="s">
        <v>202</v>
      </c>
      <c r="V1810" s="2" t="s">
        <v>42</v>
      </c>
      <c r="W1810" s="2">
        <v>52.9</v>
      </c>
      <c r="X1810" s="2">
        <v>74.5</v>
      </c>
      <c r="Y1810" s="2" t="s">
        <v>394</v>
      </c>
      <c r="Z1810" s="2" t="s">
        <v>3203</v>
      </c>
      <c r="AA1810" s="2">
        <v>-0.80434544700372201</v>
      </c>
      <c r="AB1810" s="2">
        <v>0.44588663972604298</v>
      </c>
      <c r="AC1810" s="2">
        <v>239358.98107539801</v>
      </c>
      <c r="AD1810" s="2">
        <v>256771.91105344601</v>
      </c>
      <c r="AE1810" s="2">
        <v>240107.294024667</v>
      </c>
      <c r="AF1810" s="2">
        <v>240888.97754781999</v>
      </c>
      <c r="AG1810" s="2">
        <v>235418.777078357</v>
      </c>
      <c r="AH1810" s="2">
        <v>242744.733923847</v>
      </c>
      <c r="AI1810" s="2">
        <v>237014.07891617599</v>
      </c>
      <c r="AJ1810" s="2">
        <v>239980.02496152199</v>
      </c>
      <c r="AK1810" s="2">
        <v>254416.727056681</v>
      </c>
      <c r="AL1810" s="2">
        <v>273406.62947994802</v>
      </c>
      <c r="AM1810" s="2">
        <v>242044.94096989901</v>
      </c>
      <c r="AN1810" s="2">
        <v>254718.347427673</v>
      </c>
      <c r="AO1810" s="2">
        <v>266610.22293014498</v>
      </c>
      <c r="AP1810" s="2">
        <v>249434.59845632801</v>
      </c>
    </row>
    <row r="1811" spans="1:42" ht="14.5" x14ac:dyDescent="0.35">
      <c r="A1811" s="2" t="s">
        <v>12182</v>
      </c>
      <c r="B1811" s="2">
        <v>941.47049884714795</v>
      </c>
      <c r="C1811" s="2">
        <v>9.4096333333333302</v>
      </c>
      <c r="D1811" s="2" t="s">
        <v>34</v>
      </c>
      <c r="E1811" s="2" t="s">
        <v>12183</v>
      </c>
      <c r="F1811" s="2">
        <v>54893</v>
      </c>
      <c r="G1811" s="3" t="str">
        <f>HYPERLINK("http://funmeta.oebiotech.com/network/54893", "http://funmeta.oebiotech.com/network/54893")</f>
        <v>http://funmeta.oebiotech.com/network/54893</v>
      </c>
      <c r="H1811" s="2" t="s">
        <v>12184</v>
      </c>
      <c r="I1811" s="2">
        <v>86682</v>
      </c>
      <c r="J1811" s="2"/>
      <c r="K1811" s="2"/>
      <c r="L1811" s="2"/>
      <c r="M1811" s="2"/>
      <c r="N1811" s="2"/>
      <c r="O1811" s="2">
        <v>131750948</v>
      </c>
      <c r="P1811" s="2" t="s">
        <v>12185</v>
      </c>
      <c r="Q1811" s="2" t="s">
        <v>12186</v>
      </c>
      <c r="R1811" s="2" t="s">
        <v>12187</v>
      </c>
      <c r="S1811" s="2" t="s">
        <v>50</v>
      </c>
      <c r="T1811" s="2" t="s">
        <v>124</v>
      </c>
      <c r="U1811" s="2" t="s">
        <v>523</v>
      </c>
      <c r="V1811" s="2" t="s">
        <v>59</v>
      </c>
      <c r="W1811" s="2">
        <v>38.1</v>
      </c>
      <c r="X1811" s="2">
        <v>0</v>
      </c>
      <c r="Y1811" s="2" t="s">
        <v>470</v>
      </c>
      <c r="Z1811" s="2" t="s">
        <v>12188</v>
      </c>
      <c r="AA1811" s="2">
        <v>-1.2542185174484899</v>
      </c>
      <c r="AB1811" s="2">
        <v>0.445543540383945</v>
      </c>
      <c r="AC1811" s="2">
        <v>29143.672099892199</v>
      </c>
      <c r="AD1811" s="2">
        <v>15309.2122267342</v>
      </c>
      <c r="AE1811" s="2">
        <v>29174.006572619099</v>
      </c>
      <c r="AF1811" s="2">
        <v>25649.161931043302</v>
      </c>
      <c r="AG1811" s="2">
        <v>28157.228106391802</v>
      </c>
      <c r="AH1811" s="2">
        <v>27345.287311528798</v>
      </c>
      <c r="AI1811" s="2">
        <v>28388.531213696398</v>
      </c>
      <c r="AJ1811" s="2">
        <v>36147.817464073698</v>
      </c>
      <c r="AK1811" s="2">
        <v>15143.6678966503</v>
      </c>
      <c r="AL1811" s="2">
        <v>15048.6264204285</v>
      </c>
      <c r="AM1811" s="2">
        <v>16504.9048255503</v>
      </c>
      <c r="AN1811" s="2">
        <v>14417.590491958899</v>
      </c>
      <c r="AO1811" s="2">
        <v>16840.518803414201</v>
      </c>
      <c r="AP1811" s="2">
        <v>13899.9649224033</v>
      </c>
    </row>
    <row r="1812" spans="1:42" ht="14.5" x14ac:dyDescent="0.35">
      <c r="A1812" s="2" t="s">
        <v>12189</v>
      </c>
      <c r="B1812" s="2">
        <v>973.54755866358903</v>
      </c>
      <c r="C1812" s="2">
        <v>12.457316666666699</v>
      </c>
      <c r="D1812" s="2" t="s">
        <v>34</v>
      </c>
      <c r="E1812" s="2" t="s">
        <v>12190</v>
      </c>
      <c r="F1812" s="2">
        <v>18074</v>
      </c>
      <c r="G1812" s="3" t="str">
        <f>HYPERLINK("http://funmeta.oebiotech.com/network/18074", "http://funmeta.oebiotech.com/network/18074")</f>
        <v>http://funmeta.oebiotech.com/network/18074</v>
      </c>
      <c r="H1812" s="2"/>
      <c r="I1812" s="2"/>
      <c r="J1812" s="2" t="s">
        <v>12191</v>
      </c>
      <c r="K1812" s="2"/>
      <c r="L1812" s="2"/>
      <c r="M1812" s="2"/>
      <c r="N1812" s="2"/>
      <c r="O1812" s="2">
        <v>102583562</v>
      </c>
      <c r="P1812" s="2"/>
      <c r="Q1812" s="2" t="s">
        <v>12192</v>
      </c>
      <c r="R1812" s="2" t="s">
        <v>12193</v>
      </c>
      <c r="S1812" s="2" t="s">
        <v>50</v>
      </c>
      <c r="T1812" s="2" t="s">
        <v>448</v>
      </c>
      <c r="U1812" s="2" t="s">
        <v>449</v>
      </c>
      <c r="V1812" s="2" t="s">
        <v>59</v>
      </c>
      <c r="W1812" s="2">
        <v>37.799999999999997</v>
      </c>
      <c r="X1812" s="2">
        <v>0</v>
      </c>
      <c r="Y1812" s="2" t="s">
        <v>323</v>
      </c>
      <c r="Z1812" s="2" t="s">
        <v>12194</v>
      </c>
      <c r="AA1812" s="2">
        <v>-2.0499058695040699</v>
      </c>
      <c r="AB1812" s="2">
        <v>0.44531070908888598</v>
      </c>
      <c r="AC1812" s="2">
        <v>22791.448380293001</v>
      </c>
      <c r="AD1812" s="2">
        <v>9146.7522966435699</v>
      </c>
      <c r="AE1812" s="2">
        <v>18933.949894597099</v>
      </c>
      <c r="AF1812" s="2">
        <v>22319.283863614401</v>
      </c>
      <c r="AG1812" s="2">
        <v>26546.069074150899</v>
      </c>
      <c r="AH1812" s="2">
        <v>25649.5079305367</v>
      </c>
      <c r="AI1812" s="2">
        <v>19745.0492548367</v>
      </c>
      <c r="AJ1812" s="2">
        <v>23554.830264022301</v>
      </c>
      <c r="AK1812" s="2">
        <v>10967.995170341699</v>
      </c>
      <c r="AL1812" s="2">
        <v>9175.1915535612698</v>
      </c>
      <c r="AM1812" s="2">
        <v>8469.8458121853491</v>
      </c>
      <c r="AN1812" s="2">
        <v>7142.34539518984</v>
      </c>
      <c r="AO1812" s="2">
        <v>7930.1234840336601</v>
      </c>
      <c r="AP1812" s="2">
        <v>11195.012364549601</v>
      </c>
    </row>
    <row r="1813" spans="1:42" ht="14.5" x14ac:dyDescent="0.35">
      <c r="A1813" s="2" t="s">
        <v>12195</v>
      </c>
      <c r="B1813" s="2">
        <v>161.09577856600899</v>
      </c>
      <c r="C1813" s="2">
        <v>10.5277666666667</v>
      </c>
      <c r="D1813" s="2" t="s">
        <v>34</v>
      </c>
      <c r="E1813" s="2" t="s">
        <v>12196</v>
      </c>
      <c r="F1813" s="2">
        <v>47778</v>
      </c>
      <c r="G1813" s="3" t="str">
        <f>HYPERLINK("http://funmeta.oebiotech.com/network/47778", "http://funmeta.oebiotech.com/network/47778")</f>
        <v>http://funmeta.oebiotech.com/network/47778</v>
      </c>
      <c r="H1813" s="2" t="s">
        <v>12197</v>
      </c>
      <c r="I1813" s="2">
        <v>6456</v>
      </c>
      <c r="J1813" s="2"/>
      <c r="K1813" s="2">
        <v>40131</v>
      </c>
      <c r="L1813" s="2"/>
      <c r="M1813" s="2"/>
      <c r="N1813" s="2"/>
      <c r="O1813" s="2">
        <v>16757</v>
      </c>
      <c r="P1813" s="2" t="s">
        <v>12198</v>
      </c>
      <c r="Q1813" s="2" t="s">
        <v>12199</v>
      </c>
      <c r="R1813" s="2" t="s">
        <v>12200</v>
      </c>
      <c r="S1813" s="2" t="s">
        <v>50</v>
      </c>
      <c r="T1813" s="2" t="s">
        <v>229</v>
      </c>
      <c r="U1813" s="2" t="s">
        <v>433</v>
      </c>
      <c r="V1813" s="2" t="s">
        <v>59</v>
      </c>
      <c r="W1813" s="2">
        <v>46.6</v>
      </c>
      <c r="X1813" s="2">
        <v>37.700000000000003</v>
      </c>
      <c r="Y1813" s="2" t="s">
        <v>141</v>
      </c>
      <c r="Z1813" s="2" t="s">
        <v>12201</v>
      </c>
      <c r="AA1813" s="2">
        <v>-1.75672757027261</v>
      </c>
      <c r="AB1813" s="2">
        <v>0.445279133463924</v>
      </c>
      <c r="AC1813" s="2">
        <v>15128.819861690399</v>
      </c>
      <c r="AD1813" s="2">
        <v>2089.0161501781299</v>
      </c>
      <c r="AE1813" s="2">
        <v>15003.739960224</v>
      </c>
      <c r="AF1813" s="2">
        <v>15938.306938608001</v>
      </c>
      <c r="AG1813" s="2">
        <v>15263.915411686399</v>
      </c>
      <c r="AH1813" s="2">
        <v>14678.7852772612</v>
      </c>
      <c r="AI1813" s="2">
        <v>13732.3144944411</v>
      </c>
      <c r="AJ1813" s="2">
        <v>16155.8570879216</v>
      </c>
      <c r="AK1813" s="2">
        <v>2128.3208539786101</v>
      </c>
      <c r="AL1813" s="2">
        <v>2438.0268190132101</v>
      </c>
      <c r="AM1813" s="2">
        <v>2039.74296075033</v>
      </c>
      <c r="AN1813" s="2">
        <v>2062.0229830141502</v>
      </c>
      <c r="AO1813" s="2">
        <v>1931.6091283466401</v>
      </c>
      <c r="AP1813" s="2">
        <v>1934.3741559658699</v>
      </c>
    </row>
    <row r="1814" spans="1:42" ht="14.5" x14ac:dyDescent="0.35">
      <c r="A1814" s="2" t="s">
        <v>12202</v>
      </c>
      <c r="B1814" s="2">
        <v>639.24414892314803</v>
      </c>
      <c r="C1814" s="2">
        <v>5.6539333333333301</v>
      </c>
      <c r="D1814" s="2" t="s">
        <v>70</v>
      </c>
      <c r="E1814" s="2" t="s">
        <v>12203</v>
      </c>
      <c r="F1814" s="2">
        <v>53265</v>
      </c>
      <c r="G1814" s="3" t="str">
        <f>HYPERLINK("http://funmeta.oebiotech.com/network/53265", "http://funmeta.oebiotech.com/network/53265")</f>
        <v>http://funmeta.oebiotech.com/network/53265</v>
      </c>
      <c r="H1814" s="2" t="s">
        <v>12204</v>
      </c>
      <c r="I1814" s="2">
        <v>44122</v>
      </c>
      <c r="J1814" s="2"/>
      <c r="K1814" s="2">
        <v>168396</v>
      </c>
      <c r="L1814" s="2" t="s">
        <v>12205</v>
      </c>
      <c r="M1814" s="2"/>
      <c r="N1814" s="2"/>
      <c r="O1814" s="2">
        <v>446541</v>
      </c>
      <c r="P1814" s="2" t="s">
        <v>12206</v>
      </c>
      <c r="Q1814" s="2" t="s">
        <v>12207</v>
      </c>
      <c r="R1814" s="2" t="s">
        <v>12208</v>
      </c>
      <c r="S1814" s="2" t="s">
        <v>491</v>
      </c>
      <c r="T1814" s="2" t="s">
        <v>12209</v>
      </c>
      <c r="U1814" s="2" t="s">
        <v>12210</v>
      </c>
      <c r="V1814" s="2" t="s">
        <v>42</v>
      </c>
      <c r="W1814" s="2">
        <v>46.2</v>
      </c>
      <c r="X1814" s="2">
        <v>45.9</v>
      </c>
      <c r="Y1814" s="2" t="s">
        <v>560</v>
      </c>
      <c r="Z1814" s="2" t="s">
        <v>12211</v>
      </c>
      <c r="AA1814" s="2">
        <v>-0.861164653452827</v>
      </c>
      <c r="AB1814" s="2">
        <v>0.44521582647128799</v>
      </c>
      <c r="AC1814" s="2">
        <v>36576.830358001404</v>
      </c>
      <c r="AD1814" s="2">
        <v>50899.442485542699</v>
      </c>
      <c r="AE1814" s="2">
        <v>36154.560891875997</v>
      </c>
      <c r="AF1814" s="2">
        <v>39272.473115581903</v>
      </c>
      <c r="AG1814" s="2">
        <v>38295.484286159299</v>
      </c>
      <c r="AH1814" s="2">
        <v>35334.835001463602</v>
      </c>
      <c r="AI1814" s="2">
        <v>32568.932497216199</v>
      </c>
      <c r="AJ1814" s="2">
        <v>37834.6963557114</v>
      </c>
      <c r="AK1814" s="2">
        <v>46419.536026969101</v>
      </c>
      <c r="AL1814" s="2">
        <v>56556.337039125603</v>
      </c>
      <c r="AM1814" s="2">
        <v>51372.241901428497</v>
      </c>
      <c r="AN1814" s="2">
        <v>55447.388366312298</v>
      </c>
      <c r="AO1814" s="2">
        <v>49037.409473594103</v>
      </c>
      <c r="AP1814" s="2">
        <v>46563.742105826903</v>
      </c>
    </row>
    <row r="1815" spans="1:42" ht="14.5" x14ac:dyDescent="0.35">
      <c r="A1815" s="2" t="s">
        <v>12212</v>
      </c>
      <c r="B1815" s="2">
        <v>404.130782968635</v>
      </c>
      <c r="C1815" s="2">
        <v>4.2085666666666697</v>
      </c>
      <c r="D1815" s="2" t="s">
        <v>34</v>
      </c>
      <c r="E1815" s="2" t="s">
        <v>12213</v>
      </c>
      <c r="F1815" s="2">
        <v>212514</v>
      </c>
      <c r="G1815" s="3" t="str">
        <f>HYPERLINK("http://funmeta.oebiotech.com/network/212514", "http://funmeta.oebiotech.com/network/212514")</f>
        <v>http://funmeta.oebiotech.com/network/212514</v>
      </c>
      <c r="H1815" s="2" t="s">
        <v>12214</v>
      </c>
      <c r="I1815" s="2"/>
      <c r="J1815" s="2"/>
      <c r="K1815" s="2"/>
      <c r="L1815" s="2"/>
      <c r="M1815" s="2"/>
      <c r="N1815" s="2"/>
      <c r="O1815" s="2"/>
      <c r="P1815" s="2"/>
      <c r="Q1815" s="2" t="s">
        <v>12215</v>
      </c>
      <c r="R1815" s="2" t="s">
        <v>12216</v>
      </c>
      <c r="S1815" s="2" t="s">
        <v>41</v>
      </c>
      <c r="T1815" s="2" t="s">
        <v>41</v>
      </c>
      <c r="U1815" s="2" t="s">
        <v>41</v>
      </c>
      <c r="V1815" s="2" t="s">
        <v>59</v>
      </c>
      <c r="W1815" s="2">
        <v>37.5</v>
      </c>
      <c r="X1815" s="2">
        <v>0</v>
      </c>
      <c r="Y1815" s="2" t="s">
        <v>340</v>
      </c>
      <c r="Z1815" s="2" t="s">
        <v>12217</v>
      </c>
      <c r="AA1815" s="2">
        <v>0.56994960536532602</v>
      </c>
      <c r="AB1815" s="2">
        <v>0.44516638451269203</v>
      </c>
      <c r="AC1815" s="2">
        <v>39487.483874770202</v>
      </c>
      <c r="AD1815" s="2">
        <v>25828.069462849198</v>
      </c>
      <c r="AE1815" s="2">
        <v>40125.124487232802</v>
      </c>
      <c r="AF1815" s="2">
        <v>38241.478116726197</v>
      </c>
      <c r="AG1815" s="2">
        <v>38963.821961629299</v>
      </c>
      <c r="AH1815" s="2">
        <v>38484.8109902836</v>
      </c>
      <c r="AI1815" s="2">
        <v>37512.3786627995</v>
      </c>
      <c r="AJ1815" s="2">
        <v>43597.289029949803</v>
      </c>
      <c r="AK1815" s="2">
        <v>20514.347925693601</v>
      </c>
      <c r="AL1815" s="2">
        <v>27187.7880747038</v>
      </c>
      <c r="AM1815" s="2">
        <v>26248.631475259099</v>
      </c>
      <c r="AN1815" s="2">
        <v>27167.512700872201</v>
      </c>
      <c r="AO1815" s="2">
        <v>26523.430900668998</v>
      </c>
      <c r="AP1815" s="2">
        <v>27326.705699897499</v>
      </c>
    </row>
    <row r="1816" spans="1:42" ht="14.5" x14ac:dyDescent="0.35">
      <c r="A1816" s="2" t="s">
        <v>12218</v>
      </c>
      <c r="B1816" s="2">
        <v>615.24295363580904</v>
      </c>
      <c r="C1816" s="2">
        <v>5.8651</v>
      </c>
      <c r="D1816" s="2" t="s">
        <v>34</v>
      </c>
      <c r="E1816" s="2" t="s">
        <v>12219</v>
      </c>
      <c r="F1816" s="2">
        <v>257378</v>
      </c>
      <c r="G1816" s="3" t="str">
        <f>HYPERLINK("http://funmeta.oebiotech.com/network/257378", "http://funmeta.oebiotech.com/network/257378")</f>
        <v>http://funmeta.oebiotech.com/network/257378</v>
      </c>
      <c r="H1816" s="2" t="s">
        <v>12220</v>
      </c>
      <c r="I1816" s="2"/>
      <c r="J1816" s="2"/>
      <c r="K1816" s="2">
        <v>86635</v>
      </c>
      <c r="L1816" s="2"/>
      <c r="M1816" s="2"/>
      <c r="N1816" s="2"/>
      <c r="O1816" s="2">
        <v>353908</v>
      </c>
      <c r="P1816" s="2"/>
      <c r="Q1816" s="2" t="s">
        <v>12221</v>
      </c>
      <c r="R1816" s="2" t="s">
        <v>12222</v>
      </c>
      <c r="S1816" s="2" t="s">
        <v>1184</v>
      </c>
      <c r="T1816" s="2" t="s">
        <v>3333</v>
      </c>
      <c r="U1816" s="2" t="s">
        <v>41</v>
      </c>
      <c r="V1816" s="2" t="s">
        <v>59</v>
      </c>
      <c r="W1816" s="2">
        <v>37.5</v>
      </c>
      <c r="X1816" s="2">
        <v>0</v>
      </c>
      <c r="Y1816" s="2" t="s">
        <v>394</v>
      </c>
      <c r="Z1816" s="2" t="s">
        <v>12223</v>
      </c>
      <c r="AA1816" s="2">
        <v>-1.05732849476022</v>
      </c>
      <c r="AB1816" s="2">
        <v>0.44511879925381598</v>
      </c>
      <c r="AC1816" s="2">
        <v>40050.464977254996</v>
      </c>
      <c r="AD1816" s="2">
        <v>53933.1722181929</v>
      </c>
      <c r="AE1816" s="2">
        <v>42393.387142503801</v>
      </c>
      <c r="AF1816" s="2">
        <v>39377.705560106901</v>
      </c>
      <c r="AG1816" s="2">
        <v>39101.032582360698</v>
      </c>
      <c r="AH1816" s="2">
        <v>35692.857364702802</v>
      </c>
      <c r="AI1816" s="2">
        <v>40913.981802477698</v>
      </c>
      <c r="AJ1816" s="2">
        <v>42823.8254113781</v>
      </c>
      <c r="AK1816" s="2">
        <v>49737.385190259898</v>
      </c>
      <c r="AL1816" s="2">
        <v>51210.887235037299</v>
      </c>
      <c r="AM1816" s="2">
        <v>53749.034766830096</v>
      </c>
      <c r="AN1816" s="2">
        <v>56850.168956304697</v>
      </c>
      <c r="AO1816" s="2">
        <v>54026.747935789899</v>
      </c>
      <c r="AP1816" s="2">
        <v>58024.809224935598</v>
      </c>
    </row>
    <row r="1817" spans="1:42" ht="14.5" x14ac:dyDescent="0.35">
      <c r="A1817" s="2" t="s">
        <v>12224</v>
      </c>
      <c r="B1817" s="2">
        <v>970.57555838235396</v>
      </c>
      <c r="C1817" s="2">
        <v>13.226516666666701</v>
      </c>
      <c r="D1817" s="2" t="s">
        <v>34</v>
      </c>
      <c r="E1817" s="2" t="s">
        <v>12225</v>
      </c>
      <c r="F1817" s="2">
        <v>28095</v>
      </c>
      <c r="G1817" s="3" t="str">
        <f>HYPERLINK("http://funmeta.oebiotech.com/network/28095", "http://funmeta.oebiotech.com/network/28095")</f>
        <v>http://funmeta.oebiotech.com/network/28095</v>
      </c>
      <c r="H1817" s="2"/>
      <c r="I1817" s="2"/>
      <c r="J1817" s="2" t="s">
        <v>12226</v>
      </c>
      <c r="K1817" s="2"/>
      <c r="L1817" s="2"/>
      <c r="M1817" s="2"/>
      <c r="N1817" s="2"/>
      <c r="O1817" s="2"/>
      <c r="P1817" s="2"/>
      <c r="Q1817" s="2" t="s">
        <v>12227</v>
      </c>
      <c r="R1817" s="2" t="s">
        <v>12228</v>
      </c>
      <c r="S1817" s="2" t="s">
        <v>79</v>
      </c>
      <c r="T1817" s="2" t="s">
        <v>80</v>
      </c>
      <c r="U1817" s="2" t="s">
        <v>81</v>
      </c>
      <c r="V1817" s="2" t="s">
        <v>59</v>
      </c>
      <c r="W1817" s="2">
        <v>37.9</v>
      </c>
      <c r="X1817" s="2">
        <v>0</v>
      </c>
      <c r="Y1817" s="2" t="s">
        <v>340</v>
      </c>
      <c r="Z1817" s="2" t="s">
        <v>12229</v>
      </c>
      <c r="AA1817" s="2">
        <v>-2.7675306696427602</v>
      </c>
      <c r="AB1817" s="2">
        <v>0.44478153323525299</v>
      </c>
      <c r="AC1817" s="2">
        <v>29831.876791811301</v>
      </c>
      <c r="AD1817" s="2">
        <v>15703.3794402779</v>
      </c>
      <c r="AE1817" s="2">
        <v>27520.4724371995</v>
      </c>
      <c r="AF1817" s="2">
        <v>28677.549020142898</v>
      </c>
      <c r="AG1817" s="2">
        <v>31585.573829740399</v>
      </c>
      <c r="AH1817" s="2">
        <v>29116.296061677</v>
      </c>
      <c r="AI1817" s="2">
        <v>26635.464983033002</v>
      </c>
      <c r="AJ1817" s="2">
        <v>35455.904419074999</v>
      </c>
      <c r="AK1817" s="2">
        <v>21464.051266355102</v>
      </c>
      <c r="AL1817" s="2">
        <v>11887.2588820868</v>
      </c>
      <c r="AM1817" s="2">
        <v>14366.0363516897</v>
      </c>
      <c r="AN1817" s="2">
        <v>13477.5254899215</v>
      </c>
      <c r="AO1817" s="2">
        <v>18318.198489658502</v>
      </c>
      <c r="AP1817" s="2">
        <v>14707.206161955901</v>
      </c>
    </row>
    <row r="1818" spans="1:42" ht="14.5" x14ac:dyDescent="0.35">
      <c r="A1818" s="2" t="s">
        <v>12230</v>
      </c>
      <c r="B1818" s="2">
        <v>317.25826197589299</v>
      </c>
      <c r="C1818" s="2">
        <v>6.9429166666666697</v>
      </c>
      <c r="D1818" s="2" t="s">
        <v>34</v>
      </c>
      <c r="E1818" s="2" t="s">
        <v>12231</v>
      </c>
      <c r="F1818" s="2">
        <v>205327</v>
      </c>
      <c r="G1818" s="3" t="str">
        <f>HYPERLINK("http://funmeta.oebiotech.com/network/205327", "http://funmeta.oebiotech.com/network/205327")</f>
        <v>http://funmeta.oebiotech.com/network/205327</v>
      </c>
      <c r="H1818" s="2" t="s">
        <v>12232</v>
      </c>
      <c r="I1818" s="2"/>
      <c r="J1818" s="2"/>
      <c r="K1818" s="2"/>
      <c r="L1818" s="2"/>
      <c r="M1818" s="2"/>
      <c r="N1818" s="2"/>
      <c r="O1818" s="2">
        <v>30211</v>
      </c>
      <c r="P1818" s="2"/>
      <c r="Q1818" s="2" t="s">
        <v>12233</v>
      </c>
      <c r="R1818" s="2" t="s">
        <v>12234</v>
      </c>
      <c r="S1818" s="2" t="s">
        <v>50</v>
      </c>
      <c r="T1818" s="2" t="s">
        <v>201</v>
      </c>
      <c r="U1818" s="2" t="s">
        <v>2195</v>
      </c>
      <c r="V1818" s="2" t="s">
        <v>59</v>
      </c>
      <c r="W1818" s="2">
        <v>44.1</v>
      </c>
      <c r="X1818" s="2">
        <v>37</v>
      </c>
      <c r="Y1818" s="2" t="s">
        <v>43</v>
      </c>
      <c r="Z1818" s="2" t="s">
        <v>12235</v>
      </c>
      <c r="AA1818" s="2">
        <v>-1.5978231544052199</v>
      </c>
      <c r="AB1818" s="2">
        <v>0.444635404013765</v>
      </c>
      <c r="AC1818" s="2">
        <v>15800.4383652161</v>
      </c>
      <c r="AD1818" s="2">
        <v>28921.8231229023</v>
      </c>
      <c r="AE1818" s="2">
        <v>15962.1877291561</v>
      </c>
      <c r="AF1818" s="2">
        <v>15483.1078091739</v>
      </c>
      <c r="AG1818" s="2">
        <v>14435.288369297799</v>
      </c>
      <c r="AH1818" s="2">
        <v>16527.342489032999</v>
      </c>
      <c r="AI1818" s="2">
        <v>16491.929993487101</v>
      </c>
      <c r="AJ1818" s="2">
        <v>15902.7738011485</v>
      </c>
      <c r="AK1818" s="2">
        <v>29074.671656441398</v>
      </c>
      <c r="AL1818" s="2">
        <v>27275.859028114599</v>
      </c>
      <c r="AM1818" s="2">
        <v>27785.386799501899</v>
      </c>
      <c r="AN1818" s="2">
        <v>29878.037566295501</v>
      </c>
      <c r="AO1818" s="2">
        <v>31297.9039739121</v>
      </c>
      <c r="AP1818" s="2">
        <v>28219.0797131484</v>
      </c>
    </row>
    <row r="1819" spans="1:42" ht="14.5" x14ac:dyDescent="0.35">
      <c r="A1819" s="2" t="s">
        <v>12236</v>
      </c>
      <c r="B1819" s="2">
        <v>146.04466484989601</v>
      </c>
      <c r="C1819" s="2">
        <v>0.78071666666666695</v>
      </c>
      <c r="D1819" s="2" t="s">
        <v>34</v>
      </c>
      <c r="E1819" s="2" t="s">
        <v>12237</v>
      </c>
      <c r="F1819" s="2">
        <v>47885</v>
      </c>
      <c r="G1819" s="3" t="str">
        <f>HYPERLINK("http://funmeta.oebiotech.com/network/47885", "http://funmeta.oebiotech.com/network/47885")</f>
        <v>http://funmeta.oebiotech.com/network/47885</v>
      </c>
      <c r="H1819" s="2" t="s">
        <v>12238</v>
      </c>
      <c r="I1819" s="2">
        <v>63472</v>
      </c>
      <c r="J1819" s="2"/>
      <c r="K1819" s="2">
        <v>21285</v>
      </c>
      <c r="L1819" s="2" t="s">
        <v>12239</v>
      </c>
      <c r="M1819" s="2" t="s">
        <v>12240</v>
      </c>
      <c r="N1819" s="2" t="s">
        <v>12241</v>
      </c>
      <c r="O1819" s="2">
        <v>440854</v>
      </c>
      <c r="P1819" s="2" t="s">
        <v>12242</v>
      </c>
      <c r="Q1819" s="2" t="s">
        <v>12243</v>
      </c>
      <c r="R1819" s="2" t="s">
        <v>12244</v>
      </c>
      <c r="S1819" s="2" t="s">
        <v>89</v>
      </c>
      <c r="T1819" s="2" t="s">
        <v>90</v>
      </c>
      <c r="U1819" s="2" t="s">
        <v>99</v>
      </c>
      <c r="V1819" s="2" t="s">
        <v>59</v>
      </c>
      <c r="W1819" s="2">
        <v>38.6</v>
      </c>
      <c r="X1819" s="2">
        <v>0</v>
      </c>
      <c r="Y1819" s="2" t="s">
        <v>1115</v>
      </c>
      <c r="Z1819" s="2" t="s">
        <v>12245</v>
      </c>
      <c r="AA1819" s="2">
        <v>-0.73163289896417605</v>
      </c>
      <c r="AB1819" s="2">
        <v>0.44434278745292599</v>
      </c>
      <c r="AC1819" s="2">
        <v>25869.4117589288</v>
      </c>
      <c r="AD1819" s="2">
        <v>12525.2816329296</v>
      </c>
      <c r="AE1819" s="2">
        <v>24566.429253190599</v>
      </c>
      <c r="AF1819" s="2">
        <v>23343.447631145202</v>
      </c>
      <c r="AG1819" s="2">
        <v>27225.0837970916</v>
      </c>
      <c r="AH1819" s="2">
        <v>24479.2598769627</v>
      </c>
      <c r="AI1819" s="2">
        <v>25372.691976783899</v>
      </c>
      <c r="AJ1819" s="2">
        <v>30229.5580183989</v>
      </c>
      <c r="AK1819" s="2">
        <v>12018.412259802</v>
      </c>
      <c r="AL1819" s="2">
        <v>12279.1792057968</v>
      </c>
      <c r="AM1819" s="2">
        <v>13417.158450847999</v>
      </c>
      <c r="AN1819" s="2">
        <v>12369.499872156</v>
      </c>
      <c r="AO1819" s="2">
        <v>12587.539179232101</v>
      </c>
      <c r="AP1819" s="2">
        <v>12479.900829742801</v>
      </c>
    </row>
    <row r="1820" spans="1:42" ht="14.5" x14ac:dyDescent="0.35">
      <c r="A1820" s="2" t="s">
        <v>12246</v>
      </c>
      <c r="B1820" s="2">
        <v>335.13470684538601</v>
      </c>
      <c r="C1820" s="2">
        <v>2.3664833333333299</v>
      </c>
      <c r="D1820" s="2" t="s">
        <v>70</v>
      </c>
      <c r="E1820" s="2" t="s">
        <v>12247</v>
      </c>
      <c r="F1820" s="2">
        <v>64595</v>
      </c>
      <c r="G1820" s="3" t="str">
        <f>HYPERLINK("http://funmeta.oebiotech.com/network/64595", "http://funmeta.oebiotech.com/network/64595")</f>
        <v>http://funmeta.oebiotech.com/network/64595</v>
      </c>
      <c r="H1820" s="2" t="s">
        <v>12248</v>
      </c>
      <c r="I1820" s="2">
        <v>95897</v>
      </c>
      <c r="J1820" s="2"/>
      <c r="K1820" s="2">
        <v>168053</v>
      </c>
      <c r="L1820" s="2"/>
      <c r="M1820" s="2"/>
      <c r="N1820" s="2"/>
      <c r="O1820" s="2">
        <v>131753154</v>
      </c>
      <c r="P1820" s="2" t="s">
        <v>12249</v>
      </c>
      <c r="Q1820" s="2" t="s">
        <v>12250</v>
      </c>
      <c r="R1820" s="2" t="s">
        <v>12251</v>
      </c>
      <c r="S1820" s="2" t="s">
        <v>79</v>
      </c>
      <c r="T1820" s="2" t="s">
        <v>80</v>
      </c>
      <c r="U1820" s="2" t="s">
        <v>81</v>
      </c>
      <c r="V1820" s="2" t="s">
        <v>59</v>
      </c>
      <c r="W1820" s="2">
        <v>42.4</v>
      </c>
      <c r="X1820" s="2">
        <v>16</v>
      </c>
      <c r="Y1820" s="2" t="s">
        <v>751</v>
      </c>
      <c r="Z1820" s="2" t="s">
        <v>12252</v>
      </c>
      <c r="AA1820" s="2">
        <v>-0.13853924663880901</v>
      </c>
      <c r="AB1820" s="2">
        <v>0.444183378587025</v>
      </c>
      <c r="AC1820" s="2">
        <v>40624.637205827697</v>
      </c>
      <c r="AD1820" s="2">
        <v>53871.725726766199</v>
      </c>
      <c r="AE1820" s="2">
        <v>42235.990333143003</v>
      </c>
      <c r="AF1820" s="2">
        <v>39471.1371038582</v>
      </c>
      <c r="AG1820" s="2">
        <v>41761.708517763698</v>
      </c>
      <c r="AH1820" s="2">
        <v>41087.9236614365</v>
      </c>
      <c r="AI1820" s="2">
        <v>39543.300883233103</v>
      </c>
      <c r="AJ1820" s="2">
        <v>39647.762735532</v>
      </c>
      <c r="AK1820" s="2">
        <v>52824.3717459822</v>
      </c>
      <c r="AL1820" s="2">
        <v>53043.165120090802</v>
      </c>
      <c r="AM1820" s="2">
        <v>54637.133135349599</v>
      </c>
      <c r="AN1820" s="2">
        <v>55854.545285760301</v>
      </c>
      <c r="AO1820" s="2">
        <v>51193.772388601603</v>
      </c>
      <c r="AP1820" s="2">
        <v>55677.366684812703</v>
      </c>
    </row>
    <row r="1821" spans="1:42" ht="14.5" x14ac:dyDescent="0.35">
      <c r="A1821" s="2" t="s">
        <v>12253</v>
      </c>
      <c r="B1821" s="2">
        <v>580.32630729427206</v>
      </c>
      <c r="C1821" s="2">
        <v>8.0464500000000001</v>
      </c>
      <c r="D1821" s="2" t="s">
        <v>34</v>
      </c>
      <c r="E1821" s="2" t="s">
        <v>12254</v>
      </c>
      <c r="F1821" s="2">
        <v>27908</v>
      </c>
      <c r="G1821" s="3" t="str">
        <f>HYPERLINK("http://funmeta.oebiotech.com/network/27908", "http://funmeta.oebiotech.com/network/27908")</f>
        <v>http://funmeta.oebiotech.com/network/27908</v>
      </c>
      <c r="H1821" s="2"/>
      <c r="I1821" s="2"/>
      <c r="J1821" s="2" t="s">
        <v>12255</v>
      </c>
      <c r="K1821" s="2"/>
      <c r="L1821" s="2"/>
      <c r="M1821" s="2"/>
      <c r="N1821" s="2"/>
      <c r="O1821" s="2">
        <v>134812365</v>
      </c>
      <c r="P1821" s="2"/>
      <c r="Q1821" s="2" t="s">
        <v>12256</v>
      </c>
      <c r="R1821" s="2" t="s">
        <v>12257</v>
      </c>
      <c r="S1821" s="2" t="s">
        <v>50</v>
      </c>
      <c r="T1821" s="2" t="s">
        <v>51</v>
      </c>
      <c r="U1821" s="2" t="s">
        <v>257</v>
      </c>
      <c r="V1821" s="2" t="s">
        <v>59</v>
      </c>
      <c r="W1821" s="2">
        <v>44.9</v>
      </c>
      <c r="X1821" s="2">
        <v>44.6</v>
      </c>
      <c r="Y1821" s="2" t="s">
        <v>394</v>
      </c>
      <c r="Z1821" s="2" t="s">
        <v>12258</v>
      </c>
      <c r="AA1821" s="2">
        <v>3.10266684305833</v>
      </c>
      <c r="AB1821" s="2">
        <v>0.44413668642969201</v>
      </c>
      <c r="AC1821" s="2">
        <v>88276.497344843097</v>
      </c>
      <c r="AD1821" s="2">
        <v>70221.326310178003</v>
      </c>
      <c r="AE1821" s="2">
        <v>95157.678490065897</v>
      </c>
      <c r="AF1821" s="2">
        <v>88099.484154494799</v>
      </c>
      <c r="AG1821" s="2">
        <v>89930.041567339198</v>
      </c>
      <c r="AH1821" s="2">
        <v>92293.115819923594</v>
      </c>
      <c r="AI1821" s="2">
        <v>86842.645602011704</v>
      </c>
      <c r="AJ1821" s="2">
        <v>77336.018435223305</v>
      </c>
      <c r="AK1821" s="2">
        <v>88367.558595040493</v>
      </c>
      <c r="AL1821" s="2">
        <v>60012.313240273499</v>
      </c>
      <c r="AM1821" s="2">
        <v>70006.372595038905</v>
      </c>
      <c r="AN1821" s="2">
        <v>54325.987615319202</v>
      </c>
      <c r="AO1821" s="2">
        <v>69878.3744259222</v>
      </c>
      <c r="AP1821" s="2">
        <v>78737.351389474003</v>
      </c>
    </row>
    <row r="1822" spans="1:42" ht="14.5" x14ac:dyDescent="0.35">
      <c r="A1822" s="2" t="s">
        <v>12259</v>
      </c>
      <c r="B1822" s="2">
        <v>124.015236043312</v>
      </c>
      <c r="C1822" s="2">
        <v>3.4080166666666698</v>
      </c>
      <c r="D1822" s="2" t="s">
        <v>70</v>
      </c>
      <c r="E1822" s="2" t="s">
        <v>12260</v>
      </c>
      <c r="F1822" s="2">
        <v>208007</v>
      </c>
      <c r="G1822" s="3" t="str">
        <f>HYPERLINK("http://funmeta.oebiotech.com/network/208007", "http://funmeta.oebiotech.com/network/208007")</f>
        <v>http://funmeta.oebiotech.com/network/208007</v>
      </c>
      <c r="H1822" s="2" t="s">
        <v>12261</v>
      </c>
      <c r="I1822" s="2"/>
      <c r="J1822" s="2"/>
      <c r="K1822" s="2"/>
      <c r="L1822" s="2"/>
      <c r="M1822" s="2"/>
      <c r="N1822" s="2"/>
      <c r="O1822" s="2">
        <v>77518</v>
      </c>
      <c r="P1822" s="2"/>
      <c r="Q1822" s="2" t="s">
        <v>12262</v>
      </c>
      <c r="R1822" s="2" t="s">
        <v>12263</v>
      </c>
      <c r="S1822" s="2" t="s">
        <v>491</v>
      </c>
      <c r="T1822" s="2" t="s">
        <v>4517</v>
      </c>
      <c r="U1822" s="2" t="s">
        <v>4518</v>
      </c>
      <c r="V1822" s="2" t="s">
        <v>59</v>
      </c>
      <c r="W1822" s="2">
        <v>46.3</v>
      </c>
      <c r="X1822" s="2">
        <v>32.6</v>
      </c>
      <c r="Y1822" s="2" t="s">
        <v>751</v>
      </c>
      <c r="Z1822" s="2" t="s">
        <v>12264</v>
      </c>
      <c r="AA1822" s="2">
        <v>-9.6971395278277805E-2</v>
      </c>
      <c r="AB1822" s="2">
        <v>0.444096523736627</v>
      </c>
      <c r="AC1822" s="2">
        <v>95683.383184127495</v>
      </c>
      <c r="AD1822" s="2">
        <v>81671.697590356605</v>
      </c>
      <c r="AE1822" s="2">
        <v>96066.230492860603</v>
      </c>
      <c r="AF1822" s="2">
        <v>88702.705437566605</v>
      </c>
      <c r="AG1822" s="2">
        <v>94613.866625387207</v>
      </c>
      <c r="AH1822" s="2">
        <v>98602.540838557004</v>
      </c>
      <c r="AI1822" s="2">
        <v>96611.276968642298</v>
      </c>
      <c r="AJ1822" s="2">
        <v>99503.678741751297</v>
      </c>
      <c r="AK1822" s="2">
        <v>78580.911556537103</v>
      </c>
      <c r="AL1822" s="2">
        <v>81607.682951858107</v>
      </c>
      <c r="AM1822" s="2">
        <v>84449.115651039596</v>
      </c>
      <c r="AN1822" s="2">
        <v>83474.7865556623</v>
      </c>
      <c r="AO1822" s="2">
        <v>80988.629405614905</v>
      </c>
      <c r="AP1822" s="2">
        <v>80929.059421427897</v>
      </c>
    </row>
    <row r="1823" spans="1:42" ht="14.5" x14ac:dyDescent="0.35">
      <c r="A1823" s="2" t="s">
        <v>12265</v>
      </c>
      <c r="B1823" s="2">
        <v>771.19885439998097</v>
      </c>
      <c r="C1823" s="2">
        <v>3.95061666666667</v>
      </c>
      <c r="D1823" s="2" t="s">
        <v>70</v>
      </c>
      <c r="E1823" s="2" t="s">
        <v>12266</v>
      </c>
      <c r="F1823" s="2">
        <v>31833</v>
      </c>
      <c r="G1823" s="3" t="str">
        <f>HYPERLINK("http://funmeta.oebiotech.com/network/31833", "http://funmeta.oebiotech.com/network/31833")</f>
        <v>http://funmeta.oebiotech.com/network/31833</v>
      </c>
      <c r="H1823" s="2" t="s">
        <v>12267</v>
      </c>
      <c r="I1823" s="2">
        <v>50160</v>
      </c>
      <c r="J1823" s="2" t="s">
        <v>12268</v>
      </c>
      <c r="K1823" s="2">
        <v>31744</v>
      </c>
      <c r="L1823" s="2" t="s">
        <v>12269</v>
      </c>
      <c r="M1823" s="2" t="s">
        <v>824</v>
      </c>
      <c r="N1823" s="2" t="s">
        <v>4398</v>
      </c>
      <c r="O1823" s="2">
        <v>5282156</v>
      </c>
      <c r="P1823" s="2" t="s">
        <v>12270</v>
      </c>
      <c r="Q1823" s="2" t="s">
        <v>12271</v>
      </c>
      <c r="R1823" s="2" t="s">
        <v>12272</v>
      </c>
      <c r="S1823" s="2" t="s">
        <v>115</v>
      </c>
      <c r="T1823" s="2" t="s">
        <v>139</v>
      </c>
      <c r="U1823" s="2" t="s">
        <v>140</v>
      </c>
      <c r="V1823" s="2" t="s">
        <v>59</v>
      </c>
      <c r="W1823" s="2">
        <v>39.4</v>
      </c>
      <c r="X1823" s="2">
        <v>0</v>
      </c>
      <c r="Y1823" s="2" t="s">
        <v>286</v>
      </c>
      <c r="Z1823" s="2" t="s">
        <v>12273</v>
      </c>
      <c r="AA1823" s="2">
        <v>-0.100312038703344</v>
      </c>
      <c r="AB1823" s="2">
        <v>0.44351127045206901</v>
      </c>
      <c r="AC1823" s="2">
        <v>48083.845896741703</v>
      </c>
      <c r="AD1823" s="2">
        <v>33396.647504020497</v>
      </c>
      <c r="AE1823" s="2">
        <v>46362.577230496601</v>
      </c>
      <c r="AF1823" s="2">
        <v>44780.891665002498</v>
      </c>
      <c r="AG1823" s="2">
        <v>46315.152430031798</v>
      </c>
      <c r="AH1823" s="2">
        <v>48517.120989629999</v>
      </c>
      <c r="AI1823" s="2">
        <v>48331.721534861303</v>
      </c>
      <c r="AJ1823" s="2">
        <v>54195.611530428199</v>
      </c>
      <c r="AK1823" s="2">
        <v>31346.5636905108</v>
      </c>
      <c r="AL1823" s="2">
        <v>33587.364962935098</v>
      </c>
      <c r="AM1823" s="2">
        <v>41280.572831652797</v>
      </c>
      <c r="AN1823" s="2">
        <v>36249.697614796503</v>
      </c>
      <c r="AO1823" s="2">
        <v>26100.9888117839</v>
      </c>
      <c r="AP1823" s="2">
        <v>31814.697112443901</v>
      </c>
    </row>
    <row r="1824" spans="1:42" ht="14.5" x14ac:dyDescent="0.35">
      <c r="A1824" s="2" t="s">
        <v>12274</v>
      </c>
      <c r="B1824" s="2">
        <v>232.11774286621301</v>
      </c>
      <c r="C1824" s="2">
        <v>0.76544999999999996</v>
      </c>
      <c r="D1824" s="2" t="s">
        <v>34</v>
      </c>
      <c r="E1824" s="2" t="s">
        <v>12275</v>
      </c>
      <c r="F1824" s="2">
        <v>199398</v>
      </c>
      <c r="G1824" s="3" t="str">
        <f>HYPERLINK("http://funmeta.oebiotech.com/network/199398", "http://funmeta.oebiotech.com/network/199398")</f>
        <v>http://funmeta.oebiotech.com/network/199398</v>
      </c>
      <c r="H1824" s="2" t="s">
        <v>12276</v>
      </c>
      <c r="I1824" s="2"/>
      <c r="J1824" s="2"/>
      <c r="K1824" s="2"/>
      <c r="L1824" s="2"/>
      <c r="M1824" s="2"/>
      <c r="N1824" s="2"/>
      <c r="O1824" s="2">
        <v>220877</v>
      </c>
      <c r="P1824" s="2"/>
      <c r="Q1824" s="2" t="s">
        <v>12277</v>
      </c>
      <c r="R1824" s="2" t="s">
        <v>12278</v>
      </c>
      <c r="S1824" s="2" t="s">
        <v>41</v>
      </c>
      <c r="T1824" s="2" t="s">
        <v>41</v>
      </c>
      <c r="U1824" s="2" t="s">
        <v>41</v>
      </c>
      <c r="V1824" s="2" t="s">
        <v>59</v>
      </c>
      <c r="W1824" s="2">
        <v>40.6</v>
      </c>
      <c r="X1824" s="2">
        <v>8.02</v>
      </c>
      <c r="Y1824" s="2" t="s">
        <v>266</v>
      </c>
      <c r="Z1824" s="2" t="s">
        <v>12279</v>
      </c>
      <c r="AA1824" s="2">
        <v>-0.82777076459678001</v>
      </c>
      <c r="AB1824" s="2">
        <v>0.443387048901762</v>
      </c>
      <c r="AC1824" s="2">
        <v>115839.902072015</v>
      </c>
      <c r="AD1824" s="2">
        <v>133163.76516489399</v>
      </c>
      <c r="AE1824" s="2">
        <v>113572.01295881601</v>
      </c>
      <c r="AF1824" s="2">
        <v>129064.36611996499</v>
      </c>
      <c r="AG1824" s="2">
        <v>122267.690520765</v>
      </c>
      <c r="AH1824" s="2">
        <v>107233.17377127201</v>
      </c>
      <c r="AI1824" s="2">
        <v>105975.24937489801</v>
      </c>
      <c r="AJ1824" s="2">
        <v>116926.91968637401</v>
      </c>
      <c r="AK1824" s="2">
        <v>122629.144843595</v>
      </c>
      <c r="AL1824" s="2">
        <v>137046.36659138399</v>
      </c>
      <c r="AM1824" s="2">
        <v>124027.12564814799</v>
      </c>
      <c r="AN1824" s="2">
        <v>139017.304815754</v>
      </c>
      <c r="AO1824" s="2">
        <v>137120.75886396301</v>
      </c>
      <c r="AP1824" s="2">
        <v>139141.89022652101</v>
      </c>
    </row>
    <row r="1825" spans="1:42" ht="14.5" x14ac:dyDescent="0.35">
      <c r="A1825" s="2" t="s">
        <v>12280</v>
      </c>
      <c r="B1825" s="2">
        <v>864.37986905189996</v>
      </c>
      <c r="C1825" s="2">
        <v>7.2976999999999999</v>
      </c>
      <c r="D1825" s="2" t="s">
        <v>34</v>
      </c>
      <c r="E1825" s="2" t="s">
        <v>12281</v>
      </c>
      <c r="F1825" s="2">
        <v>135834</v>
      </c>
      <c r="G1825" s="3" t="str">
        <f>HYPERLINK("http://funmeta.oebiotech.com/network/135834", "http://funmeta.oebiotech.com/network/135834")</f>
        <v>http://funmeta.oebiotech.com/network/135834</v>
      </c>
      <c r="H1825" s="2" t="s">
        <v>12282</v>
      </c>
      <c r="I1825" s="2"/>
      <c r="J1825" s="2"/>
      <c r="K1825" s="2"/>
      <c r="L1825" s="2"/>
      <c r="M1825" s="2"/>
      <c r="N1825" s="2"/>
      <c r="O1825" s="2">
        <v>131822813</v>
      </c>
      <c r="P1825" s="2"/>
      <c r="Q1825" s="2" t="s">
        <v>12283</v>
      </c>
      <c r="R1825" s="2" t="s">
        <v>12284</v>
      </c>
      <c r="S1825" s="2" t="s">
        <v>50</v>
      </c>
      <c r="T1825" s="2" t="s">
        <v>51</v>
      </c>
      <c r="U1825" s="2" t="s">
        <v>12285</v>
      </c>
      <c r="V1825" s="2" t="s">
        <v>59</v>
      </c>
      <c r="W1825" s="2">
        <v>37.5</v>
      </c>
      <c r="X1825" s="2">
        <v>0</v>
      </c>
      <c r="Y1825" s="2" t="s">
        <v>323</v>
      </c>
      <c r="Z1825" s="2" t="s">
        <v>12286</v>
      </c>
      <c r="AA1825" s="2">
        <v>1.8501779559353899</v>
      </c>
      <c r="AB1825" s="2">
        <v>0.44336602030371502</v>
      </c>
      <c r="AC1825" s="2">
        <v>18356.047639338201</v>
      </c>
      <c r="AD1825" s="2">
        <v>32365.503677444602</v>
      </c>
      <c r="AE1825" s="2">
        <v>15499.188135746501</v>
      </c>
      <c r="AF1825" s="2">
        <v>18409.1028580735</v>
      </c>
      <c r="AG1825" s="2">
        <v>20428.2347103512</v>
      </c>
      <c r="AH1825" s="2">
        <v>15364.383373443001</v>
      </c>
      <c r="AI1825" s="2">
        <v>16792.6724197986</v>
      </c>
      <c r="AJ1825" s="2">
        <v>23642.704338616699</v>
      </c>
      <c r="AK1825" s="2">
        <v>32914.273295863299</v>
      </c>
      <c r="AL1825" s="2">
        <v>33100.608113046001</v>
      </c>
      <c r="AM1825" s="2">
        <v>31342.225715544799</v>
      </c>
      <c r="AN1825" s="2">
        <v>36249.552899753202</v>
      </c>
      <c r="AO1825" s="2">
        <v>26656.384387582599</v>
      </c>
      <c r="AP1825" s="2">
        <v>33929.977652877496</v>
      </c>
    </row>
    <row r="1826" spans="1:42" ht="14.5" x14ac:dyDescent="0.35">
      <c r="A1826" s="2" t="s">
        <v>12287</v>
      </c>
      <c r="B1826" s="2">
        <v>843.23194520233096</v>
      </c>
      <c r="C1826" s="2">
        <v>4.3640166666666698</v>
      </c>
      <c r="D1826" s="2" t="s">
        <v>70</v>
      </c>
      <c r="E1826" s="2" t="s">
        <v>12288</v>
      </c>
      <c r="F1826" s="2">
        <v>534661</v>
      </c>
      <c r="G1826" s="3" t="str">
        <f>HYPERLINK("http://funmeta.oebiotech.com/network/534661", "http://funmeta.oebiotech.com/network/534661")</f>
        <v>http://funmeta.oebiotech.com/network/534661</v>
      </c>
      <c r="H1826" s="2"/>
      <c r="I1826" s="2">
        <v>984917</v>
      </c>
      <c r="J1826" s="2"/>
      <c r="K1826" s="2"/>
      <c r="L1826" s="2"/>
      <c r="M1826" s="2"/>
      <c r="N1826" s="2"/>
      <c r="O1826" s="2">
        <v>51136539</v>
      </c>
      <c r="P1826" s="2"/>
      <c r="Q1826" s="2" t="s">
        <v>12289</v>
      </c>
      <c r="R1826" s="2" t="s">
        <v>12290</v>
      </c>
      <c r="S1826" s="2" t="s">
        <v>115</v>
      </c>
      <c r="T1826" s="2" t="s">
        <v>139</v>
      </c>
      <c r="U1826" s="2" t="s">
        <v>140</v>
      </c>
      <c r="V1826" s="2" t="s">
        <v>59</v>
      </c>
      <c r="W1826" s="2">
        <v>36.799999999999997</v>
      </c>
      <c r="X1826" s="2">
        <v>0</v>
      </c>
      <c r="Y1826" s="2" t="s">
        <v>560</v>
      </c>
      <c r="Z1826" s="2" t="s">
        <v>12291</v>
      </c>
      <c r="AA1826" s="2">
        <v>-3.9943115572869901</v>
      </c>
      <c r="AB1826" s="2">
        <v>0.44315062031456798</v>
      </c>
      <c r="AC1826" s="2">
        <v>15398.413946242499</v>
      </c>
      <c r="AD1826" s="2">
        <v>1962.8396695253</v>
      </c>
      <c r="AE1826" s="2">
        <v>12716.017094429</v>
      </c>
      <c r="AF1826" s="2">
        <v>19200.697792629901</v>
      </c>
      <c r="AG1826" s="2">
        <v>15708.181288424201</v>
      </c>
      <c r="AH1826" s="2">
        <v>16763.656692550801</v>
      </c>
      <c r="AI1826" s="2">
        <v>13367.218815915099</v>
      </c>
      <c r="AJ1826" s="2">
        <v>14634.7119935059</v>
      </c>
      <c r="AK1826" s="2">
        <v>2.7106294003980101E-5</v>
      </c>
      <c r="AL1826" s="2">
        <v>4150.10330108979</v>
      </c>
      <c r="AM1826" s="2">
        <v>2.7106294003980101E-5</v>
      </c>
      <c r="AN1826" s="2">
        <v>2.7106294003980101E-5</v>
      </c>
      <c r="AO1826" s="2">
        <v>3474.7781208470101</v>
      </c>
      <c r="AP1826" s="2">
        <v>4152.1565138961296</v>
      </c>
    </row>
    <row r="1827" spans="1:42" ht="14.5" x14ac:dyDescent="0.35">
      <c r="A1827" s="2" t="s">
        <v>12292</v>
      </c>
      <c r="B1827" s="2">
        <v>497.23764493198303</v>
      </c>
      <c r="C1827" s="2">
        <v>4.1233166666666703</v>
      </c>
      <c r="D1827" s="2" t="s">
        <v>34</v>
      </c>
      <c r="E1827" s="2" t="s">
        <v>12293</v>
      </c>
      <c r="F1827" s="2">
        <v>275796</v>
      </c>
      <c r="G1827" s="3" t="str">
        <f>HYPERLINK("http://funmeta.oebiotech.com/network/275796", "http://funmeta.oebiotech.com/network/275796")</f>
        <v>http://funmeta.oebiotech.com/network/275796</v>
      </c>
      <c r="H1827" s="2"/>
      <c r="I1827" s="2">
        <v>67179</v>
      </c>
      <c r="J1827" s="2"/>
      <c r="K1827" s="2"/>
      <c r="L1827" s="2" t="s">
        <v>12294</v>
      </c>
      <c r="M1827" s="2"/>
      <c r="N1827" s="2"/>
      <c r="O1827" s="2">
        <v>441794</v>
      </c>
      <c r="P1827" s="2" t="s">
        <v>12295</v>
      </c>
      <c r="Q1827" s="2" t="s">
        <v>12296</v>
      </c>
      <c r="R1827" s="2" t="s">
        <v>12297</v>
      </c>
      <c r="S1827" s="2" t="s">
        <v>50</v>
      </c>
      <c r="T1827" s="2" t="s">
        <v>201</v>
      </c>
      <c r="U1827" s="2" t="s">
        <v>1217</v>
      </c>
      <c r="V1827" s="2" t="s">
        <v>59</v>
      </c>
      <c r="W1827" s="2">
        <v>38.700000000000003</v>
      </c>
      <c r="X1827" s="2">
        <v>0</v>
      </c>
      <c r="Y1827" s="2" t="s">
        <v>394</v>
      </c>
      <c r="Z1827" s="2" t="s">
        <v>12298</v>
      </c>
      <c r="AA1827" s="2">
        <v>-0.96497454737006805</v>
      </c>
      <c r="AB1827" s="2">
        <v>0.44314116795782099</v>
      </c>
      <c r="AC1827" s="2">
        <v>19059.228335488198</v>
      </c>
      <c r="AD1827" s="2">
        <v>32554.053338571201</v>
      </c>
      <c r="AE1827" s="2">
        <v>20215.868057464799</v>
      </c>
      <c r="AF1827" s="2">
        <v>19601.636703680499</v>
      </c>
      <c r="AG1827" s="2">
        <v>17116.728745459699</v>
      </c>
      <c r="AH1827" s="2">
        <v>16803.852277432899</v>
      </c>
      <c r="AI1827" s="2">
        <v>20130.0055541568</v>
      </c>
      <c r="AJ1827" s="2">
        <v>20487.2786747344</v>
      </c>
      <c r="AK1827" s="2">
        <v>33904.976231140303</v>
      </c>
      <c r="AL1827" s="2">
        <v>28842.412360255301</v>
      </c>
      <c r="AM1827" s="2">
        <v>30892.092812495601</v>
      </c>
      <c r="AN1827" s="2">
        <v>33145.473234359997</v>
      </c>
      <c r="AO1827" s="2">
        <v>31397.527093739998</v>
      </c>
      <c r="AP1827" s="2">
        <v>37141.838299436102</v>
      </c>
    </row>
    <row r="1828" spans="1:42" ht="14.5" x14ac:dyDescent="0.35">
      <c r="A1828" s="2" t="s">
        <v>12299</v>
      </c>
      <c r="B1828" s="2">
        <v>982.26573367144601</v>
      </c>
      <c r="C1828" s="2">
        <v>9.04463333333333</v>
      </c>
      <c r="D1828" s="2" t="s">
        <v>70</v>
      </c>
      <c r="E1828" s="2" t="s">
        <v>12300</v>
      </c>
      <c r="F1828" s="2">
        <v>58561</v>
      </c>
      <c r="G1828" s="3" t="str">
        <f>HYPERLINK("http://funmeta.oebiotech.com/network/58561", "http://funmeta.oebiotech.com/network/58561")</f>
        <v>http://funmeta.oebiotech.com/network/58561</v>
      </c>
      <c r="H1828" s="2" t="s">
        <v>12301</v>
      </c>
      <c r="I1828" s="2">
        <v>6328</v>
      </c>
      <c r="J1828" s="2"/>
      <c r="K1828" s="2">
        <v>86544</v>
      </c>
      <c r="L1828" s="2"/>
      <c r="M1828" s="2"/>
      <c r="N1828" s="2"/>
      <c r="O1828" s="2">
        <v>5282714</v>
      </c>
      <c r="P1828" s="2" t="s">
        <v>12302</v>
      </c>
      <c r="Q1828" s="2" t="s">
        <v>12303</v>
      </c>
      <c r="R1828" s="2" t="s">
        <v>12304</v>
      </c>
      <c r="S1828" s="2" t="s">
        <v>50</v>
      </c>
      <c r="T1828" s="2" t="s">
        <v>106</v>
      </c>
      <c r="U1828" s="2" t="s">
        <v>41</v>
      </c>
      <c r="V1828" s="2" t="s">
        <v>59</v>
      </c>
      <c r="W1828" s="2">
        <v>36.299999999999997</v>
      </c>
      <c r="X1828" s="2">
        <v>0</v>
      </c>
      <c r="Y1828" s="2" t="s">
        <v>751</v>
      </c>
      <c r="Z1828" s="2" t="s">
        <v>12305</v>
      </c>
      <c r="AA1828" s="2">
        <v>3.46884116825384</v>
      </c>
      <c r="AB1828" s="2">
        <v>0.44204061597243299</v>
      </c>
      <c r="AC1828" s="2">
        <v>47546.290697410099</v>
      </c>
      <c r="AD1828" s="2">
        <v>33114.251343537398</v>
      </c>
      <c r="AE1828" s="2">
        <v>46139.291771444303</v>
      </c>
      <c r="AF1828" s="2">
        <v>48901.241926002302</v>
      </c>
      <c r="AG1828" s="2">
        <v>49607.6192478964</v>
      </c>
      <c r="AH1828" s="2">
        <v>48863.699905507601</v>
      </c>
      <c r="AI1828" s="2">
        <v>46541.925962024201</v>
      </c>
      <c r="AJ1828" s="2">
        <v>45223.965371586099</v>
      </c>
      <c r="AK1828" s="2">
        <v>30994.784431366701</v>
      </c>
      <c r="AL1828" s="2">
        <v>30843.576924373101</v>
      </c>
      <c r="AM1828" s="2">
        <v>40872.506208594503</v>
      </c>
      <c r="AN1828" s="2">
        <v>34083.853339075999</v>
      </c>
      <c r="AO1828" s="2">
        <v>25024.395732741501</v>
      </c>
      <c r="AP1828" s="2">
        <v>36866.391425072798</v>
      </c>
    </row>
    <row r="1829" spans="1:42" ht="14.5" x14ac:dyDescent="0.35">
      <c r="A1829" s="2" t="s">
        <v>12306</v>
      </c>
      <c r="B1829" s="2">
        <v>413.10786963849102</v>
      </c>
      <c r="C1829" s="2">
        <v>4.2085666666666697</v>
      </c>
      <c r="D1829" s="2" t="s">
        <v>34</v>
      </c>
      <c r="E1829" s="2" t="s">
        <v>12307</v>
      </c>
      <c r="F1829" s="2">
        <v>277060</v>
      </c>
      <c r="G1829" s="3" t="str">
        <f>HYPERLINK("http://funmeta.oebiotech.com/network/277060", "http://funmeta.oebiotech.com/network/277060")</f>
        <v>http://funmeta.oebiotech.com/network/277060</v>
      </c>
      <c r="H1829" s="2"/>
      <c r="I1829" s="2">
        <v>68684</v>
      </c>
      <c r="J1829" s="2"/>
      <c r="K1829" s="2"/>
      <c r="L1829" s="2" t="s">
        <v>12308</v>
      </c>
      <c r="M1829" s="2"/>
      <c r="N1829" s="2"/>
      <c r="O1829" s="2">
        <v>443031</v>
      </c>
      <c r="P1829" s="2" t="s">
        <v>12309</v>
      </c>
      <c r="Q1829" s="2" t="s">
        <v>12310</v>
      </c>
      <c r="R1829" s="2" t="s">
        <v>12311</v>
      </c>
      <c r="S1829" s="2" t="s">
        <v>79</v>
      </c>
      <c r="T1829" s="2" t="s">
        <v>80</v>
      </c>
      <c r="U1829" s="2" t="s">
        <v>249</v>
      </c>
      <c r="V1829" s="2" t="s">
        <v>59</v>
      </c>
      <c r="W1829" s="2">
        <v>38</v>
      </c>
      <c r="X1829" s="2">
        <v>0</v>
      </c>
      <c r="Y1829" s="2" t="s">
        <v>141</v>
      </c>
      <c r="Z1829" s="2" t="s">
        <v>12312</v>
      </c>
      <c r="AA1829" s="2">
        <v>-3.03563500158196</v>
      </c>
      <c r="AB1829" s="2">
        <v>0.441719286257794</v>
      </c>
      <c r="AC1829" s="2">
        <v>50895.692150236398</v>
      </c>
      <c r="AD1829" s="2">
        <v>37493.457376897903</v>
      </c>
      <c r="AE1829" s="2">
        <v>51023.7029158074</v>
      </c>
      <c r="AF1829" s="2">
        <v>49334.306643511802</v>
      </c>
      <c r="AG1829" s="2">
        <v>50302.718745491497</v>
      </c>
      <c r="AH1829" s="2">
        <v>51695.617625573803</v>
      </c>
      <c r="AI1829" s="2">
        <v>53409.138266028101</v>
      </c>
      <c r="AJ1829" s="2">
        <v>49608.668705005599</v>
      </c>
      <c r="AK1829" s="2">
        <v>35409.337233046703</v>
      </c>
      <c r="AL1829" s="2">
        <v>34405.666546486602</v>
      </c>
      <c r="AM1829" s="2">
        <v>38651.6322053732</v>
      </c>
      <c r="AN1829" s="2">
        <v>38073.095659665603</v>
      </c>
      <c r="AO1829" s="2">
        <v>36578.461513819602</v>
      </c>
      <c r="AP1829" s="2">
        <v>41842.551102995603</v>
      </c>
    </row>
    <row r="1830" spans="1:42" ht="14.5" x14ac:dyDescent="0.35">
      <c r="A1830" s="2" t="s">
        <v>12313</v>
      </c>
      <c r="B1830" s="2">
        <v>695.18025450217499</v>
      </c>
      <c r="C1830" s="2">
        <v>3.7303666666666699</v>
      </c>
      <c r="D1830" s="2" t="s">
        <v>70</v>
      </c>
      <c r="E1830" s="2" t="s">
        <v>12314</v>
      </c>
      <c r="F1830" s="2">
        <v>213033</v>
      </c>
      <c r="G1830" s="3" t="str">
        <f>HYPERLINK("http://funmeta.oebiotech.com/network/213033", "http://funmeta.oebiotech.com/network/213033")</f>
        <v>http://funmeta.oebiotech.com/network/213033</v>
      </c>
      <c r="H1830" s="2" t="s">
        <v>12315</v>
      </c>
      <c r="I1830" s="2"/>
      <c r="J1830" s="2"/>
      <c r="K1830" s="2"/>
      <c r="L1830" s="2"/>
      <c r="M1830" s="2"/>
      <c r="N1830" s="2"/>
      <c r="O1830" s="2"/>
      <c r="P1830" s="2"/>
      <c r="Q1830" s="2" t="s">
        <v>12316</v>
      </c>
      <c r="R1830" s="2" t="s">
        <v>12317</v>
      </c>
      <c r="S1830" s="2" t="s">
        <v>148</v>
      </c>
      <c r="T1830" s="2" t="s">
        <v>6221</v>
      </c>
      <c r="U1830" s="2" t="s">
        <v>41</v>
      </c>
      <c r="V1830" s="2" t="s">
        <v>59</v>
      </c>
      <c r="W1830" s="2">
        <v>37.5</v>
      </c>
      <c r="X1830" s="2">
        <v>0</v>
      </c>
      <c r="Y1830" s="2" t="s">
        <v>560</v>
      </c>
      <c r="Z1830" s="2" t="s">
        <v>12318</v>
      </c>
      <c r="AA1830" s="2">
        <v>1.4843874431049999</v>
      </c>
      <c r="AB1830" s="2">
        <v>0.441492724379559</v>
      </c>
      <c r="AC1830" s="2">
        <v>38027.473025903601</v>
      </c>
      <c r="AD1830" s="2">
        <v>51335.964354241602</v>
      </c>
      <c r="AE1830" s="2">
        <v>36074.624136715203</v>
      </c>
      <c r="AF1830" s="2">
        <v>36855.802174339697</v>
      </c>
      <c r="AG1830" s="2">
        <v>37632.842574601302</v>
      </c>
      <c r="AH1830" s="2">
        <v>38980.983569586599</v>
      </c>
      <c r="AI1830" s="2">
        <v>38774.665744229198</v>
      </c>
      <c r="AJ1830" s="2">
        <v>39845.919955949401</v>
      </c>
      <c r="AK1830" s="2">
        <v>48745.007852629104</v>
      </c>
      <c r="AL1830" s="2">
        <v>47960.730008955099</v>
      </c>
      <c r="AM1830" s="2">
        <v>54478.091114319497</v>
      </c>
      <c r="AN1830" s="2">
        <v>51325.650156291696</v>
      </c>
      <c r="AO1830" s="2">
        <v>51076.411327314301</v>
      </c>
      <c r="AP1830" s="2">
        <v>54429.895665939599</v>
      </c>
    </row>
    <row r="1831" spans="1:42" ht="14.5" x14ac:dyDescent="0.35">
      <c r="A1831" s="2" t="s">
        <v>12319</v>
      </c>
      <c r="B1831" s="2">
        <v>741.14599567488801</v>
      </c>
      <c r="C1831" s="2">
        <v>9.9728333333333303</v>
      </c>
      <c r="D1831" s="2" t="s">
        <v>70</v>
      </c>
      <c r="E1831" s="2" t="s">
        <v>12320</v>
      </c>
      <c r="F1831" s="2">
        <v>210716</v>
      </c>
      <c r="G1831" s="3" t="str">
        <f>HYPERLINK("http://funmeta.oebiotech.com/network/210716", "http://funmeta.oebiotech.com/network/210716")</f>
        <v>http://funmeta.oebiotech.com/network/210716</v>
      </c>
      <c r="H1831" s="2" t="s">
        <v>12321</v>
      </c>
      <c r="I1831" s="2"/>
      <c r="J1831" s="2"/>
      <c r="K1831" s="2"/>
      <c r="L1831" s="2"/>
      <c r="M1831" s="2"/>
      <c r="N1831" s="2"/>
      <c r="O1831" s="2">
        <v>2856906</v>
      </c>
      <c r="P1831" s="2"/>
      <c r="Q1831" s="2" t="s">
        <v>12322</v>
      </c>
      <c r="R1831" s="2" t="s">
        <v>12323</v>
      </c>
      <c r="S1831" s="2" t="s">
        <v>41</v>
      </c>
      <c r="T1831" s="2" t="s">
        <v>41</v>
      </c>
      <c r="U1831" s="2" t="s">
        <v>41</v>
      </c>
      <c r="V1831" s="2" t="s">
        <v>59</v>
      </c>
      <c r="W1831" s="2">
        <v>39</v>
      </c>
      <c r="X1831" s="2">
        <v>18.7</v>
      </c>
      <c r="Y1831" s="2" t="s">
        <v>560</v>
      </c>
      <c r="Z1831" s="2" t="s">
        <v>12324</v>
      </c>
      <c r="AA1831" s="2">
        <v>3.46637203101821</v>
      </c>
      <c r="AB1831" s="2">
        <v>0.44101543126470699</v>
      </c>
      <c r="AC1831" s="2">
        <v>175619.720337195</v>
      </c>
      <c r="AD1831" s="2">
        <v>199588.88453014201</v>
      </c>
      <c r="AE1831" s="2">
        <v>189074.95403302001</v>
      </c>
      <c r="AF1831" s="2">
        <v>182743.19300395201</v>
      </c>
      <c r="AG1831" s="2">
        <v>187005.58990540999</v>
      </c>
      <c r="AH1831" s="2">
        <v>145143.189046363</v>
      </c>
      <c r="AI1831" s="2">
        <v>153253.30287755499</v>
      </c>
      <c r="AJ1831" s="2">
        <v>196498.09315686699</v>
      </c>
      <c r="AK1831" s="2">
        <v>236537.41916943999</v>
      </c>
      <c r="AL1831" s="2">
        <v>182389.13018428301</v>
      </c>
      <c r="AM1831" s="2">
        <v>194968.542553198</v>
      </c>
      <c r="AN1831" s="2">
        <v>190342.87624347099</v>
      </c>
      <c r="AO1831" s="2">
        <v>188871.71000381801</v>
      </c>
      <c r="AP1831" s="2">
        <v>204423.62902664399</v>
      </c>
    </row>
    <row r="1832" spans="1:42" ht="14.5" x14ac:dyDescent="0.35">
      <c r="A1832" s="2" t="s">
        <v>12325</v>
      </c>
      <c r="B1832" s="2">
        <v>245.11705727059399</v>
      </c>
      <c r="C1832" s="2">
        <v>4.5143500000000003</v>
      </c>
      <c r="D1832" s="2" t="s">
        <v>34</v>
      </c>
      <c r="E1832" s="2" t="s">
        <v>12326</v>
      </c>
      <c r="F1832" s="2">
        <v>255136</v>
      </c>
      <c r="G1832" s="3" t="str">
        <f>HYPERLINK("http://funmeta.oebiotech.com/network/255136", "http://funmeta.oebiotech.com/network/255136")</f>
        <v>http://funmeta.oebiotech.com/network/255136</v>
      </c>
      <c r="H1832" s="2" t="s">
        <v>12327</v>
      </c>
      <c r="I1832" s="2">
        <v>44022</v>
      </c>
      <c r="J1832" s="2"/>
      <c r="K1832" s="2"/>
      <c r="L1832" s="2" t="s">
        <v>12328</v>
      </c>
      <c r="M1832" s="2"/>
      <c r="N1832" s="2"/>
      <c r="O1832" s="2">
        <v>10228</v>
      </c>
      <c r="P1832" s="2" t="s">
        <v>12329</v>
      </c>
      <c r="Q1832" s="2" t="s">
        <v>12330</v>
      </c>
      <c r="R1832" s="2" t="s">
        <v>12331</v>
      </c>
      <c r="S1832" s="2" t="s">
        <v>115</v>
      </c>
      <c r="T1832" s="2" t="s">
        <v>758</v>
      </c>
      <c r="U1832" s="2" t="s">
        <v>41</v>
      </c>
      <c r="V1832" s="2" t="s">
        <v>59</v>
      </c>
      <c r="W1832" s="2">
        <v>45.3</v>
      </c>
      <c r="X1832" s="2">
        <v>33.4</v>
      </c>
      <c r="Y1832" s="2" t="s">
        <v>266</v>
      </c>
      <c r="Z1832" s="2" t="s">
        <v>12332</v>
      </c>
      <c r="AA1832" s="2">
        <v>-0.669916199197367</v>
      </c>
      <c r="AB1832" s="2">
        <v>0.44095308541748302</v>
      </c>
      <c r="AC1832" s="2">
        <v>26612.813411160801</v>
      </c>
      <c r="AD1832" s="2">
        <v>39920.157782082097</v>
      </c>
      <c r="AE1832" s="2">
        <v>26352.249042464799</v>
      </c>
      <c r="AF1832" s="2">
        <v>27697.088167283899</v>
      </c>
      <c r="AG1832" s="2">
        <v>26725.9721402699</v>
      </c>
      <c r="AH1832" s="2">
        <v>24568.1904804964</v>
      </c>
      <c r="AI1832" s="2">
        <v>26639.904108171799</v>
      </c>
      <c r="AJ1832" s="2">
        <v>27693.476528278301</v>
      </c>
      <c r="AK1832" s="2">
        <v>42961.716097800199</v>
      </c>
      <c r="AL1832" s="2">
        <v>40454.450529097499</v>
      </c>
      <c r="AM1832" s="2">
        <v>42093.8870085772</v>
      </c>
      <c r="AN1832" s="2">
        <v>35139.763969502703</v>
      </c>
      <c r="AO1832" s="2">
        <v>39585.485884214897</v>
      </c>
      <c r="AP1832" s="2">
        <v>39285.643203300002</v>
      </c>
    </row>
    <row r="1833" spans="1:42" ht="14.5" x14ac:dyDescent="0.35">
      <c r="A1833" s="2" t="s">
        <v>12333</v>
      </c>
      <c r="B1833" s="2">
        <v>920.34603593945894</v>
      </c>
      <c r="C1833" s="2">
        <v>9.4096333333333302</v>
      </c>
      <c r="D1833" s="2" t="s">
        <v>34</v>
      </c>
      <c r="E1833" s="2" t="s">
        <v>12334</v>
      </c>
      <c r="F1833" s="2">
        <v>204110</v>
      </c>
      <c r="G1833" s="3" t="str">
        <f>HYPERLINK("http://funmeta.oebiotech.com/network/204110", "http://funmeta.oebiotech.com/network/204110")</f>
        <v>http://funmeta.oebiotech.com/network/204110</v>
      </c>
      <c r="H1833" s="2" t="s">
        <v>12335</v>
      </c>
      <c r="I1833" s="2"/>
      <c r="J1833" s="2"/>
      <c r="K1833" s="2"/>
      <c r="L1833" s="2"/>
      <c r="M1833" s="2"/>
      <c r="N1833" s="2"/>
      <c r="O1833" s="2">
        <v>2276</v>
      </c>
      <c r="P1833" s="2"/>
      <c r="Q1833" s="2" t="s">
        <v>12336</v>
      </c>
      <c r="R1833" s="2" t="s">
        <v>12337</v>
      </c>
      <c r="S1833" s="2" t="s">
        <v>89</v>
      </c>
      <c r="T1833" s="2" t="s">
        <v>90</v>
      </c>
      <c r="U1833" s="2" t="s">
        <v>99</v>
      </c>
      <c r="V1833" s="2" t="s">
        <v>59</v>
      </c>
      <c r="W1833" s="2">
        <v>38.5</v>
      </c>
      <c r="X1833" s="2">
        <v>4.1799999999999997E-2</v>
      </c>
      <c r="Y1833" s="2" t="s">
        <v>394</v>
      </c>
      <c r="Z1833" s="2" t="s">
        <v>12338</v>
      </c>
      <c r="AA1833" s="2">
        <v>0.62705015468867997</v>
      </c>
      <c r="AB1833" s="2">
        <v>0.44087146213044498</v>
      </c>
      <c r="AC1833" s="2">
        <v>54442.405201775298</v>
      </c>
      <c r="AD1833" s="2">
        <v>40817.520401978501</v>
      </c>
      <c r="AE1833" s="2">
        <v>55543.473374441703</v>
      </c>
      <c r="AF1833" s="2">
        <v>55996.241099224797</v>
      </c>
      <c r="AG1833" s="2">
        <v>49826.213830405999</v>
      </c>
      <c r="AH1833" s="2">
        <v>54514.241946123097</v>
      </c>
      <c r="AI1833" s="2">
        <v>54766.922913167698</v>
      </c>
      <c r="AJ1833" s="2">
        <v>56007.3380472887</v>
      </c>
      <c r="AK1833" s="2">
        <v>43273.174410696403</v>
      </c>
      <c r="AL1833" s="2">
        <v>39919.350936451403</v>
      </c>
      <c r="AM1833" s="2">
        <v>37541.294937092403</v>
      </c>
      <c r="AN1833" s="2">
        <v>43019.165262194299</v>
      </c>
      <c r="AO1833" s="2">
        <v>36832.881697037301</v>
      </c>
      <c r="AP1833" s="2">
        <v>44319.255168399402</v>
      </c>
    </row>
    <row r="1834" spans="1:42" ht="14.5" x14ac:dyDescent="0.35">
      <c r="A1834" s="2" t="s">
        <v>12339</v>
      </c>
      <c r="B1834" s="2">
        <v>198.03195804773799</v>
      </c>
      <c r="C1834" s="2">
        <v>3.7303666666666699</v>
      </c>
      <c r="D1834" s="2" t="s">
        <v>70</v>
      </c>
      <c r="E1834" s="2" t="s">
        <v>12340</v>
      </c>
      <c r="F1834" s="2">
        <v>200093</v>
      </c>
      <c r="G1834" s="3" t="str">
        <f>HYPERLINK("http://funmeta.oebiotech.com/network/200093", "http://funmeta.oebiotech.com/network/200093")</f>
        <v>http://funmeta.oebiotech.com/network/200093</v>
      </c>
      <c r="H1834" s="2" t="s">
        <v>12341</v>
      </c>
      <c r="I1834" s="2">
        <v>44308</v>
      </c>
      <c r="J1834" s="2"/>
      <c r="K1834" s="2"/>
      <c r="L1834" s="2"/>
      <c r="M1834" s="2"/>
      <c r="N1834" s="2"/>
      <c r="O1834" s="2">
        <v>4652</v>
      </c>
      <c r="P1834" s="2" t="s">
        <v>12342</v>
      </c>
      <c r="Q1834" s="2" t="s">
        <v>12343</v>
      </c>
      <c r="R1834" s="2" t="s">
        <v>12344</v>
      </c>
      <c r="S1834" s="2" t="s">
        <v>89</v>
      </c>
      <c r="T1834" s="2" t="s">
        <v>90</v>
      </c>
      <c r="U1834" s="2" t="s">
        <v>99</v>
      </c>
      <c r="V1834" s="2" t="s">
        <v>42</v>
      </c>
      <c r="W1834" s="2">
        <v>50.7</v>
      </c>
      <c r="X1834" s="2">
        <v>83.2</v>
      </c>
      <c r="Y1834" s="2" t="s">
        <v>118</v>
      </c>
      <c r="Z1834" s="2" t="s">
        <v>12345</v>
      </c>
      <c r="AA1834" s="2">
        <v>-3.87753646387949</v>
      </c>
      <c r="AB1834" s="2">
        <v>0.44081734061363897</v>
      </c>
      <c r="AC1834" s="2">
        <v>70580.931485841604</v>
      </c>
      <c r="AD1834" s="2">
        <v>84800.624838262607</v>
      </c>
      <c r="AE1834" s="2">
        <v>71737.519002156201</v>
      </c>
      <c r="AF1834" s="2">
        <v>72090.025723810701</v>
      </c>
      <c r="AG1834" s="2">
        <v>66639.965535617695</v>
      </c>
      <c r="AH1834" s="2">
        <v>72969.522770644195</v>
      </c>
      <c r="AI1834" s="2">
        <v>74695.355972184407</v>
      </c>
      <c r="AJ1834" s="2">
        <v>65353.1999106363</v>
      </c>
      <c r="AK1834" s="2">
        <v>85278.216897220904</v>
      </c>
      <c r="AL1834" s="2">
        <v>92455.957100041007</v>
      </c>
      <c r="AM1834" s="2">
        <v>84296.949453541005</v>
      </c>
      <c r="AN1834" s="2">
        <v>83340.741253412605</v>
      </c>
      <c r="AO1834" s="2">
        <v>81652.498713266599</v>
      </c>
      <c r="AP1834" s="2">
        <v>81779.385612093494</v>
      </c>
    </row>
    <row r="1835" spans="1:42" ht="14.5" x14ac:dyDescent="0.35">
      <c r="A1835" s="2" t="s">
        <v>12346</v>
      </c>
      <c r="B1835" s="2">
        <v>771.31116789443695</v>
      </c>
      <c r="C1835" s="2">
        <v>10.28895</v>
      </c>
      <c r="D1835" s="2" t="s">
        <v>70</v>
      </c>
      <c r="E1835" s="2" t="s">
        <v>12347</v>
      </c>
      <c r="F1835" s="2">
        <v>197045</v>
      </c>
      <c r="G1835" s="3" t="str">
        <f>HYPERLINK("http://funmeta.oebiotech.com/network/197045", "http://funmeta.oebiotech.com/network/197045")</f>
        <v>http://funmeta.oebiotech.com/network/197045</v>
      </c>
      <c r="H1835" s="2" t="s">
        <v>12348</v>
      </c>
      <c r="I1835" s="2"/>
      <c r="J1835" s="2"/>
      <c r="K1835" s="2"/>
      <c r="L1835" s="2"/>
      <c r="M1835" s="2"/>
      <c r="N1835" s="2"/>
      <c r="O1835" s="2">
        <v>3084040</v>
      </c>
      <c r="P1835" s="2"/>
      <c r="Q1835" s="2" t="s">
        <v>12349</v>
      </c>
      <c r="R1835" s="2" t="s">
        <v>12350</v>
      </c>
      <c r="S1835" s="2" t="s">
        <v>79</v>
      </c>
      <c r="T1835" s="2" t="s">
        <v>80</v>
      </c>
      <c r="U1835" s="2" t="s">
        <v>81</v>
      </c>
      <c r="V1835" s="2" t="s">
        <v>59</v>
      </c>
      <c r="W1835" s="2">
        <v>38.4</v>
      </c>
      <c r="X1835" s="2">
        <v>0</v>
      </c>
      <c r="Y1835" s="2" t="s">
        <v>751</v>
      </c>
      <c r="Z1835" s="2" t="s">
        <v>12351</v>
      </c>
      <c r="AA1835" s="2">
        <v>3.8965076341098799</v>
      </c>
      <c r="AB1835" s="2">
        <v>0.44071707604892901</v>
      </c>
      <c r="AC1835" s="2">
        <v>20192.4001930554</v>
      </c>
      <c r="AD1835" s="2">
        <v>7066.5699911545298</v>
      </c>
      <c r="AE1835" s="2">
        <v>24504.2799688413</v>
      </c>
      <c r="AF1835" s="2">
        <v>20777.661534646199</v>
      </c>
      <c r="AG1835" s="2">
        <v>18100.670355816401</v>
      </c>
      <c r="AH1835" s="2">
        <v>19039.790950591501</v>
      </c>
      <c r="AI1835" s="2">
        <v>18415.775782339399</v>
      </c>
      <c r="AJ1835" s="2">
        <v>20316.2225660976</v>
      </c>
      <c r="AK1835" s="2">
        <v>6801.4207050545501</v>
      </c>
      <c r="AL1835" s="2">
        <v>7950.95833891042</v>
      </c>
      <c r="AM1835" s="2">
        <v>8537.2457386125006</v>
      </c>
      <c r="AN1835" s="2">
        <v>6631.06889117431</v>
      </c>
      <c r="AO1835" s="2">
        <v>7022.8389865338404</v>
      </c>
      <c r="AP1835" s="2">
        <v>5455.8872866415704</v>
      </c>
    </row>
    <row r="1836" spans="1:42" ht="14.5" x14ac:dyDescent="0.35">
      <c r="A1836" s="2" t="s">
        <v>12352</v>
      </c>
      <c r="B1836" s="2">
        <v>785.17208031788505</v>
      </c>
      <c r="C1836" s="2">
        <v>10.0394666666667</v>
      </c>
      <c r="D1836" s="2" t="s">
        <v>70</v>
      </c>
      <c r="E1836" s="2" t="s">
        <v>12353</v>
      </c>
      <c r="F1836" s="2">
        <v>29124</v>
      </c>
      <c r="G1836" s="3" t="str">
        <f>HYPERLINK("http://funmeta.oebiotech.com/network/29124", "http://funmeta.oebiotech.com/network/29124")</f>
        <v>http://funmeta.oebiotech.com/network/29124</v>
      </c>
      <c r="H1836" s="2"/>
      <c r="I1836" s="2">
        <v>47511</v>
      </c>
      <c r="J1836" s="2" t="s">
        <v>12354</v>
      </c>
      <c r="K1836" s="2">
        <v>6110</v>
      </c>
      <c r="L1836" s="2" t="s">
        <v>12355</v>
      </c>
      <c r="M1836" s="2"/>
      <c r="N1836" s="2"/>
      <c r="O1836" s="2">
        <v>442686</v>
      </c>
      <c r="P1836" s="2"/>
      <c r="Q1836" s="2" t="s">
        <v>12356</v>
      </c>
      <c r="R1836" s="2" t="s">
        <v>12357</v>
      </c>
      <c r="S1836" s="2" t="s">
        <v>115</v>
      </c>
      <c r="T1836" s="2" t="s">
        <v>139</v>
      </c>
      <c r="U1836" s="2" t="s">
        <v>957</v>
      </c>
      <c r="V1836" s="2" t="s">
        <v>59</v>
      </c>
      <c r="W1836" s="2">
        <v>40.799999999999997</v>
      </c>
      <c r="X1836" s="2">
        <v>10.6</v>
      </c>
      <c r="Y1836" s="2" t="s">
        <v>408</v>
      </c>
      <c r="Z1836" s="2" t="s">
        <v>12358</v>
      </c>
      <c r="AA1836" s="2">
        <v>-0.328127865745799</v>
      </c>
      <c r="AB1836" s="2">
        <v>0.44066031313257098</v>
      </c>
      <c r="AC1836" s="2">
        <v>87662.679344536096</v>
      </c>
      <c r="AD1836" s="2">
        <v>108930.78411305</v>
      </c>
      <c r="AE1836" s="2">
        <v>91890.798115886893</v>
      </c>
      <c r="AF1836" s="2">
        <v>110449.14662654301</v>
      </c>
      <c r="AG1836" s="2">
        <v>108955.496353058</v>
      </c>
      <c r="AH1836" s="2">
        <v>61697.909639728598</v>
      </c>
      <c r="AI1836" s="2">
        <v>70240.831080987205</v>
      </c>
      <c r="AJ1836" s="2">
        <v>82741.894251012607</v>
      </c>
      <c r="AK1836" s="2">
        <v>115802.926081856</v>
      </c>
      <c r="AL1836" s="2">
        <v>106793.013009139</v>
      </c>
      <c r="AM1836" s="2">
        <v>98606.065355836297</v>
      </c>
      <c r="AN1836" s="2">
        <v>119809.509280774</v>
      </c>
      <c r="AO1836" s="2">
        <v>108681.138331041</v>
      </c>
      <c r="AP1836" s="2">
        <v>103892.05261965199</v>
      </c>
    </row>
    <row r="1837" spans="1:42" ht="14.5" x14ac:dyDescent="0.35">
      <c r="A1837" s="2" t="s">
        <v>12359</v>
      </c>
      <c r="B1837" s="2">
        <v>265.14312215743303</v>
      </c>
      <c r="C1837" s="2">
        <v>4.8662333333333301</v>
      </c>
      <c r="D1837" s="2" t="s">
        <v>34</v>
      </c>
      <c r="E1837" s="5" t="s">
        <v>12360</v>
      </c>
      <c r="F1837" s="2">
        <v>35496</v>
      </c>
      <c r="G1837" s="3" t="str">
        <f>HYPERLINK("http://funmeta.oebiotech.com/network/35496", "http://funmeta.oebiotech.com/network/35496")</f>
        <v>http://funmeta.oebiotech.com/network/35496</v>
      </c>
      <c r="H1837" s="2" t="s">
        <v>12361</v>
      </c>
      <c r="I1837" s="2">
        <v>45378</v>
      </c>
      <c r="J1837" s="2" t="s">
        <v>12362</v>
      </c>
      <c r="K1837" s="2">
        <v>18743</v>
      </c>
      <c r="L1837" s="2" t="s">
        <v>12363</v>
      </c>
      <c r="M1837" s="2" t="s">
        <v>12364</v>
      </c>
      <c r="N1837" s="2" t="s">
        <v>12365</v>
      </c>
      <c r="O1837" s="2">
        <v>5702609</v>
      </c>
      <c r="P1837" s="2" t="s">
        <v>12366</v>
      </c>
      <c r="Q1837" s="2" t="s">
        <v>12367</v>
      </c>
      <c r="R1837" s="2" t="s">
        <v>12368</v>
      </c>
      <c r="S1837" s="2" t="s">
        <v>50</v>
      </c>
      <c r="T1837" s="2" t="s">
        <v>201</v>
      </c>
      <c r="U1837" s="2" t="s">
        <v>636</v>
      </c>
      <c r="V1837" s="2" t="s">
        <v>42</v>
      </c>
      <c r="W1837" s="2">
        <v>56.6</v>
      </c>
      <c r="X1837" s="2">
        <v>88.6</v>
      </c>
      <c r="Y1837" s="2" t="s">
        <v>394</v>
      </c>
      <c r="Z1837" s="2" t="s">
        <v>9920</v>
      </c>
      <c r="AA1837" s="2">
        <v>-1.18648733354182</v>
      </c>
      <c r="AB1837" s="2">
        <v>0.44061650339497099</v>
      </c>
      <c r="AC1837" s="2">
        <v>84770.481839780099</v>
      </c>
      <c r="AD1837" s="2">
        <v>98297.482708025302</v>
      </c>
      <c r="AE1837" s="2">
        <v>87945.133435732205</v>
      </c>
      <c r="AF1837" s="2">
        <v>87327.4980165077</v>
      </c>
      <c r="AG1837" s="2">
        <v>83162.564941612494</v>
      </c>
      <c r="AH1837" s="2">
        <v>81233.314445815398</v>
      </c>
      <c r="AI1837" s="2">
        <v>84167.541545894506</v>
      </c>
      <c r="AJ1837" s="2">
        <v>84786.838653118306</v>
      </c>
      <c r="AK1837" s="2">
        <v>97032.635574774293</v>
      </c>
      <c r="AL1837" s="2">
        <v>97257.869091407294</v>
      </c>
      <c r="AM1837" s="2">
        <v>99335.524124003903</v>
      </c>
      <c r="AN1837" s="2">
        <v>103347.357212583</v>
      </c>
      <c r="AO1837" s="2">
        <v>97597.369208184697</v>
      </c>
      <c r="AP1837" s="2">
        <v>95214.141037198598</v>
      </c>
    </row>
    <row r="1838" spans="1:42" ht="14.5" x14ac:dyDescent="0.35">
      <c r="A1838" s="2" t="s">
        <v>12369</v>
      </c>
      <c r="B1838" s="2">
        <v>643.27734047776198</v>
      </c>
      <c r="C1838" s="2">
        <v>8.5008833333333307</v>
      </c>
      <c r="D1838" s="2" t="s">
        <v>70</v>
      </c>
      <c r="E1838" s="2" t="s">
        <v>12370</v>
      </c>
      <c r="F1838" s="2">
        <v>208588</v>
      </c>
      <c r="G1838" s="3" t="str">
        <f>HYPERLINK("http://funmeta.oebiotech.com/network/208588", "http://funmeta.oebiotech.com/network/208588")</f>
        <v>http://funmeta.oebiotech.com/network/208588</v>
      </c>
      <c r="H1838" s="2" t="s">
        <v>12371</v>
      </c>
      <c r="I1838" s="2"/>
      <c r="J1838" s="2"/>
      <c r="K1838" s="2"/>
      <c r="L1838" s="2"/>
      <c r="M1838" s="2"/>
      <c r="N1838" s="2"/>
      <c r="O1838" s="2"/>
      <c r="P1838" s="2"/>
      <c r="Q1838" s="2" t="s">
        <v>12372</v>
      </c>
      <c r="R1838" s="2" t="s">
        <v>12373</v>
      </c>
      <c r="S1838" s="2" t="s">
        <v>41</v>
      </c>
      <c r="T1838" s="2" t="s">
        <v>41</v>
      </c>
      <c r="U1838" s="2" t="s">
        <v>41</v>
      </c>
      <c r="V1838" s="2" t="s">
        <v>59</v>
      </c>
      <c r="W1838" s="2">
        <v>39.299999999999997</v>
      </c>
      <c r="X1838" s="2">
        <v>0</v>
      </c>
      <c r="Y1838" s="2" t="s">
        <v>560</v>
      </c>
      <c r="Z1838" s="2" t="s">
        <v>12374</v>
      </c>
      <c r="AA1838" s="2">
        <v>-2.0716909850270402</v>
      </c>
      <c r="AB1838" s="2">
        <v>0.43989100711045098</v>
      </c>
      <c r="AC1838" s="2">
        <v>23122.902454697502</v>
      </c>
      <c r="AD1838" s="2">
        <v>9763.2509630137192</v>
      </c>
      <c r="AE1838" s="2">
        <v>27329.976224132701</v>
      </c>
      <c r="AF1838" s="2">
        <v>18352.054800461599</v>
      </c>
      <c r="AG1838" s="2">
        <v>23072.235978123001</v>
      </c>
      <c r="AH1838" s="2">
        <v>24754.0866760637</v>
      </c>
      <c r="AI1838" s="2">
        <v>22709.164289394099</v>
      </c>
      <c r="AJ1838" s="2">
        <v>22519.8967600096</v>
      </c>
      <c r="AK1838" s="2">
        <v>11297.7329349801</v>
      </c>
      <c r="AL1838" s="2">
        <v>11374.0899190659</v>
      </c>
      <c r="AM1838" s="2">
        <v>10823.3554684926</v>
      </c>
      <c r="AN1838" s="2">
        <v>8667.6199755804191</v>
      </c>
      <c r="AO1838" s="2">
        <v>9264.2977888799905</v>
      </c>
      <c r="AP1838" s="2">
        <v>7152.4096910833096</v>
      </c>
    </row>
    <row r="1839" spans="1:42" ht="14.5" x14ac:dyDescent="0.35">
      <c r="A1839" s="2" t="s">
        <v>12375</v>
      </c>
      <c r="B1839" s="2">
        <v>763.32803648160598</v>
      </c>
      <c r="C1839" s="2">
        <v>5.4125166666666704</v>
      </c>
      <c r="D1839" s="2" t="s">
        <v>70</v>
      </c>
      <c r="E1839" s="2" t="s">
        <v>12376</v>
      </c>
      <c r="F1839" s="2">
        <v>207356</v>
      </c>
      <c r="G1839" s="3" t="str">
        <f>HYPERLINK("http://funmeta.oebiotech.com/network/207356", "http://funmeta.oebiotech.com/network/207356")</f>
        <v>http://funmeta.oebiotech.com/network/207356</v>
      </c>
      <c r="H1839" s="2" t="s">
        <v>12377</v>
      </c>
      <c r="I1839" s="2"/>
      <c r="J1839" s="2"/>
      <c r="K1839" s="2"/>
      <c r="L1839" s="2"/>
      <c r="M1839" s="2"/>
      <c r="N1839" s="2"/>
      <c r="O1839" s="2"/>
      <c r="P1839" s="2"/>
      <c r="Q1839" s="2" t="s">
        <v>12378</v>
      </c>
      <c r="R1839" s="2" t="s">
        <v>12379</v>
      </c>
      <c r="S1839" s="2" t="s">
        <v>491</v>
      </c>
      <c r="T1839" s="2" t="s">
        <v>2238</v>
      </c>
      <c r="U1839" s="2" t="s">
        <v>6482</v>
      </c>
      <c r="V1839" s="2" t="s">
        <v>59</v>
      </c>
      <c r="W1839" s="2">
        <v>38.1</v>
      </c>
      <c r="X1839" s="2">
        <v>0</v>
      </c>
      <c r="Y1839" s="2" t="s">
        <v>560</v>
      </c>
      <c r="Z1839" s="2" t="s">
        <v>12380</v>
      </c>
      <c r="AA1839" s="2">
        <v>-1.2337435341681899</v>
      </c>
      <c r="AB1839" s="2">
        <v>0.439541191355524</v>
      </c>
      <c r="AC1839" s="2">
        <v>15762.0923285477</v>
      </c>
      <c r="AD1839" s="2">
        <v>28845.784917418601</v>
      </c>
      <c r="AE1839" s="2">
        <v>16863.114502011798</v>
      </c>
      <c r="AF1839" s="2">
        <v>13120.0436521755</v>
      </c>
      <c r="AG1839" s="2">
        <v>16518.693199000099</v>
      </c>
      <c r="AH1839" s="2">
        <v>15585.748768506801</v>
      </c>
      <c r="AI1839" s="2">
        <v>17883.533624125299</v>
      </c>
      <c r="AJ1839" s="2">
        <v>14601.4202254667</v>
      </c>
      <c r="AK1839" s="2">
        <v>28112.2112861192</v>
      </c>
      <c r="AL1839" s="2">
        <v>27532.8650437713</v>
      </c>
      <c r="AM1839" s="2">
        <v>31034.566457827299</v>
      </c>
      <c r="AN1839" s="2">
        <v>31449.392342416701</v>
      </c>
      <c r="AO1839" s="2">
        <v>25830.925878421102</v>
      </c>
      <c r="AP1839" s="2">
        <v>29114.748495956301</v>
      </c>
    </row>
    <row r="1840" spans="1:42" ht="14.5" x14ac:dyDescent="0.35">
      <c r="A1840" s="2" t="s">
        <v>12381</v>
      </c>
      <c r="B1840" s="2">
        <v>235.16908410595201</v>
      </c>
      <c r="C1840" s="2">
        <v>10.641500000000001</v>
      </c>
      <c r="D1840" s="2" t="s">
        <v>34</v>
      </c>
      <c r="E1840" s="2" t="s">
        <v>12382</v>
      </c>
      <c r="F1840" s="2">
        <v>59497</v>
      </c>
      <c r="G1840" s="3" t="str">
        <f>HYPERLINK("http://funmeta.oebiotech.com/network/59497", "http://funmeta.oebiotech.com/network/59497")</f>
        <v>http://funmeta.oebiotech.com/network/59497</v>
      </c>
      <c r="H1840" s="2" t="s">
        <v>12383</v>
      </c>
      <c r="I1840" s="2">
        <v>90907</v>
      </c>
      <c r="J1840" s="2"/>
      <c r="K1840" s="2"/>
      <c r="L1840" s="2"/>
      <c r="M1840" s="2"/>
      <c r="N1840" s="2"/>
      <c r="O1840" s="2">
        <v>495921</v>
      </c>
      <c r="P1840" s="2" t="s">
        <v>12384</v>
      </c>
      <c r="Q1840" s="2" t="s">
        <v>12385</v>
      </c>
      <c r="R1840" s="2" t="s">
        <v>12386</v>
      </c>
      <c r="S1840" s="2" t="s">
        <v>50</v>
      </c>
      <c r="T1840" s="2" t="s">
        <v>201</v>
      </c>
      <c r="U1840" s="2" t="s">
        <v>636</v>
      </c>
      <c r="V1840" s="2" t="s">
        <v>42</v>
      </c>
      <c r="W1840" s="2">
        <v>51.5</v>
      </c>
      <c r="X1840" s="2">
        <v>63.1</v>
      </c>
      <c r="Y1840" s="2" t="s">
        <v>394</v>
      </c>
      <c r="Z1840" s="2" t="s">
        <v>9159</v>
      </c>
      <c r="AA1840" s="2">
        <v>-0.73569034710688597</v>
      </c>
      <c r="AB1840" s="2">
        <v>0.43897012218758202</v>
      </c>
      <c r="AC1840" s="2">
        <v>118971.499590511</v>
      </c>
      <c r="AD1840" s="2">
        <v>133774.572697686</v>
      </c>
      <c r="AE1840" s="2">
        <v>119897.48656402899</v>
      </c>
      <c r="AF1840" s="2">
        <v>118555.84260976499</v>
      </c>
      <c r="AG1840" s="2">
        <v>125704.873319518</v>
      </c>
      <c r="AH1840" s="2">
        <v>114366.115765316</v>
      </c>
      <c r="AI1840" s="2">
        <v>120000.226649274</v>
      </c>
      <c r="AJ1840" s="2">
        <v>115304.452635166</v>
      </c>
      <c r="AK1840" s="2">
        <v>136416.332602838</v>
      </c>
      <c r="AL1840" s="2">
        <v>136548.94286246301</v>
      </c>
      <c r="AM1840" s="2">
        <v>125077.772082954</v>
      </c>
      <c r="AN1840" s="2">
        <v>132687.13840767401</v>
      </c>
      <c r="AO1840" s="2">
        <v>141196.99518442701</v>
      </c>
      <c r="AP1840" s="2">
        <v>130720.25504576</v>
      </c>
    </row>
    <row r="1841" spans="1:42" ht="14.5" x14ac:dyDescent="0.35">
      <c r="A1841" s="2" t="s">
        <v>12387</v>
      </c>
      <c r="B1841" s="2">
        <v>301.14087741347203</v>
      </c>
      <c r="C1841" s="2">
        <v>11.0433</v>
      </c>
      <c r="D1841" s="2" t="s">
        <v>34</v>
      </c>
      <c r="E1841" s="2" t="s">
        <v>12388</v>
      </c>
      <c r="F1841" s="2">
        <v>201052</v>
      </c>
      <c r="G1841" s="3" t="str">
        <f>HYPERLINK("http://funmeta.oebiotech.com/network/201052", "http://funmeta.oebiotech.com/network/201052")</f>
        <v>http://funmeta.oebiotech.com/network/201052</v>
      </c>
      <c r="H1841" s="2" t="s">
        <v>12389</v>
      </c>
      <c r="I1841" s="2"/>
      <c r="J1841" s="2"/>
      <c r="K1841" s="2"/>
      <c r="L1841" s="2"/>
      <c r="M1841" s="2"/>
      <c r="N1841" s="2"/>
      <c r="O1841" s="2">
        <v>90900</v>
      </c>
      <c r="P1841" s="2"/>
      <c r="Q1841" s="2" t="s">
        <v>12390</v>
      </c>
      <c r="R1841" s="2" t="s">
        <v>12391</v>
      </c>
      <c r="S1841" s="2" t="s">
        <v>148</v>
      </c>
      <c r="T1841" s="2" t="s">
        <v>149</v>
      </c>
      <c r="U1841" s="2" t="s">
        <v>1593</v>
      </c>
      <c r="V1841" s="2" t="s">
        <v>59</v>
      </c>
      <c r="W1841" s="2">
        <v>39.200000000000003</v>
      </c>
      <c r="X1841" s="2">
        <v>0.745</v>
      </c>
      <c r="Y1841" s="2" t="s">
        <v>323</v>
      </c>
      <c r="Z1841" s="2" t="s">
        <v>4837</v>
      </c>
      <c r="AA1841" s="2">
        <v>-0.54808310653810599</v>
      </c>
      <c r="AB1841" s="2">
        <v>0.43856919848166898</v>
      </c>
      <c r="AC1841" s="2">
        <v>27276.500475246299</v>
      </c>
      <c r="AD1841" s="2">
        <v>40634.612007796401</v>
      </c>
      <c r="AE1841" s="2">
        <v>22850.0212485921</v>
      </c>
      <c r="AF1841" s="2">
        <v>26272.238349990399</v>
      </c>
      <c r="AG1841" s="2">
        <v>29720.5157589509</v>
      </c>
      <c r="AH1841" s="2">
        <v>32085.690123793102</v>
      </c>
      <c r="AI1841" s="2">
        <v>27567.101304968699</v>
      </c>
      <c r="AJ1841" s="2">
        <v>25163.436065182599</v>
      </c>
      <c r="AK1841" s="2">
        <v>38678.8533410866</v>
      </c>
      <c r="AL1841" s="2">
        <v>38918.613511439798</v>
      </c>
      <c r="AM1841" s="2">
        <v>40488.687303101302</v>
      </c>
      <c r="AN1841" s="2">
        <v>42294.554346223696</v>
      </c>
      <c r="AO1841" s="2">
        <v>42432.798623426897</v>
      </c>
      <c r="AP1841" s="2">
        <v>40994.164921500203</v>
      </c>
    </row>
    <row r="1842" spans="1:42" ht="14.5" x14ac:dyDescent="0.35">
      <c r="A1842" s="2" t="s">
        <v>12392</v>
      </c>
      <c r="B1842" s="2">
        <v>459.18695996358201</v>
      </c>
      <c r="C1842" s="2">
        <v>4.3640166666666698</v>
      </c>
      <c r="D1842" s="2" t="s">
        <v>70</v>
      </c>
      <c r="E1842" s="2" t="s">
        <v>12393</v>
      </c>
      <c r="F1842" s="2">
        <v>56382</v>
      </c>
      <c r="G1842" s="3" t="str">
        <f>HYPERLINK("http://funmeta.oebiotech.com/network/56382", "http://funmeta.oebiotech.com/network/56382")</f>
        <v>http://funmeta.oebiotech.com/network/56382</v>
      </c>
      <c r="H1842" s="2" t="s">
        <v>12394</v>
      </c>
      <c r="I1842" s="2"/>
      <c r="J1842" s="2"/>
      <c r="K1842" s="2"/>
      <c r="L1842" s="2"/>
      <c r="M1842" s="2"/>
      <c r="N1842" s="2"/>
      <c r="O1842" s="2">
        <v>14466263</v>
      </c>
      <c r="P1842" s="2" t="s">
        <v>12395</v>
      </c>
      <c r="Q1842" s="2" t="s">
        <v>12396</v>
      </c>
      <c r="R1842" s="2" t="s">
        <v>12397</v>
      </c>
      <c r="S1842" s="2" t="s">
        <v>50</v>
      </c>
      <c r="T1842" s="2" t="s">
        <v>201</v>
      </c>
      <c r="U1842" s="2" t="s">
        <v>202</v>
      </c>
      <c r="V1842" s="2" t="s">
        <v>42</v>
      </c>
      <c r="W1842" s="2">
        <v>50.3</v>
      </c>
      <c r="X1842" s="2">
        <v>57.4</v>
      </c>
      <c r="Y1842" s="2" t="s">
        <v>751</v>
      </c>
      <c r="Z1842" s="2" t="s">
        <v>12398</v>
      </c>
      <c r="AA1842" s="2">
        <v>-0.47143276644008603</v>
      </c>
      <c r="AB1842" s="2">
        <v>0.438383745939186</v>
      </c>
      <c r="AC1842" s="2">
        <v>80807.480665884403</v>
      </c>
      <c r="AD1842" s="2">
        <v>67658.541818733895</v>
      </c>
      <c r="AE1842" s="2">
        <v>82507.619742188501</v>
      </c>
      <c r="AF1842" s="2">
        <v>78772.916428255703</v>
      </c>
      <c r="AG1842" s="2">
        <v>79364.434496392307</v>
      </c>
      <c r="AH1842" s="2">
        <v>79694.883953503901</v>
      </c>
      <c r="AI1842" s="2">
        <v>80158.235061895495</v>
      </c>
      <c r="AJ1842" s="2">
        <v>84346.794313070801</v>
      </c>
      <c r="AK1842" s="2">
        <v>66312.649152784303</v>
      </c>
      <c r="AL1842" s="2">
        <v>66120.180172335706</v>
      </c>
      <c r="AM1842" s="2">
        <v>70685.411707976804</v>
      </c>
      <c r="AN1842" s="2">
        <v>67890.792403389598</v>
      </c>
      <c r="AO1842" s="2">
        <v>65551.233615227698</v>
      </c>
      <c r="AP1842" s="2">
        <v>69390.983860689099</v>
      </c>
    </row>
    <row r="1843" spans="1:42" ht="14.5" x14ac:dyDescent="0.35">
      <c r="A1843" s="2" t="s">
        <v>12399</v>
      </c>
      <c r="B1843" s="2">
        <v>715.35440807450505</v>
      </c>
      <c r="C1843" s="2">
        <v>8.5837666666666692</v>
      </c>
      <c r="D1843" s="2" t="s">
        <v>70</v>
      </c>
      <c r="E1843" s="2" t="s">
        <v>12400</v>
      </c>
      <c r="F1843" s="2">
        <v>57725</v>
      </c>
      <c r="G1843" s="3" t="str">
        <f>HYPERLINK("http://funmeta.oebiotech.com/network/57725", "http://funmeta.oebiotech.com/network/57725")</f>
        <v>http://funmeta.oebiotech.com/network/57725</v>
      </c>
      <c r="H1843" s="2" t="s">
        <v>12401</v>
      </c>
      <c r="I1843" s="2">
        <v>89319</v>
      </c>
      <c r="J1843" s="2"/>
      <c r="K1843" s="2">
        <v>168046</v>
      </c>
      <c r="L1843" s="2"/>
      <c r="M1843" s="2"/>
      <c r="N1843" s="2"/>
      <c r="O1843" s="2">
        <v>131751441</v>
      </c>
      <c r="P1843" s="2" t="s">
        <v>12402</v>
      </c>
      <c r="Q1843" s="2" t="s">
        <v>12403</v>
      </c>
      <c r="R1843" s="2" t="s">
        <v>12404</v>
      </c>
      <c r="S1843" s="2" t="s">
        <v>50</v>
      </c>
      <c r="T1843" s="2" t="s">
        <v>201</v>
      </c>
      <c r="U1843" s="2" t="s">
        <v>202</v>
      </c>
      <c r="V1843" s="2" t="s">
        <v>42</v>
      </c>
      <c r="W1843" s="2">
        <v>51.8</v>
      </c>
      <c r="X1843" s="2">
        <v>62.6</v>
      </c>
      <c r="Y1843" s="2" t="s">
        <v>118</v>
      </c>
      <c r="Z1843" s="2" t="s">
        <v>12405</v>
      </c>
      <c r="AA1843" s="2">
        <v>-0.33025598886792101</v>
      </c>
      <c r="AB1843" s="2">
        <v>0.43815636562027799</v>
      </c>
      <c r="AC1843" s="2">
        <v>288125.16305067501</v>
      </c>
      <c r="AD1843" s="2">
        <v>269665.02397019498</v>
      </c>
      <c r="AE1843" s="2">
        <v>287627.19054439099</v>
      </c>
      <c r="AF1843" s="2">
        <v>271805.71968498098</v>
      </c>
      <c r="AG1843" s="2">
        <v>288362.24860712799</v>
      </c>
      <c r="AH1843" s="2">
        <v>293571.90474428597</v>
      </c>
      <c r="AI1843" s="2">
        <v>289359.28348108398</v>
      </c>
      <c r="AJ1843" s="2">
        <v>298024.63124217902</v>
      </c>
      <c r="AK1843" s="2">
        <v>256719.46994741101</v>
      </c>
      <c r="AL1843" s="2">
        <v>259370.44532179501</v>
      </c>
      <c r="AM1843" s="2">
        <v>277380.11588600901</v>
      </c>
      <c r="AN1843" s="2">
        <v>276319.67852295202</v>
      </c>
      <c r="AO1843" s="2">
        <v>286522.27049258898</v>
      </c>
      <c r="AP1843" s="2">
        <v>261678.163650417</v>
      </c>
    </row>
    <row r="1844" spans="1:42" ht="14.5" x14ac:dyDescent="0.35">
      <c r="A1844" s="2" t="s">
        <v>12406</v>
      </c>
      <c r="B1844" s="2">
        <v>367.245464174277</v>
      </c>
      <c r="C1844" s="2">
        <v>11.2145166666667</v>
      </c>
      <c r="D1844" s="2" t="s">
        <v>34</v>
      </c>
      <c r="E1844" s="2" t="s">
        <v>12407</v>
      </c>
      <c r="F1844" s="2">
        <v>204781</v>
      </c>
      <c r="G1844" s="3" t="str">
        <f>HYPERLINK("http://funmeta.oebiotech.com/network/204781", "http://funmeta.oebiotech.com/network/204781")</f>
        <v>http://funmeta.oebiotech.com/network/204781</v>
      </c>
      <c r="H1844" s="2" t="s">
        <v>12408</v>
      </c>
      <c r="I1844" s="2"/>
      <c r="J1844" s="2"/>
      <c r="K1844" s="2"/>
      <c r="L1844" s="2"/>
      <c r="M1844" s="2"/>
      <c r="N1844" s="2"/>
      <c r="O1844" s="2">
        <v>124835</v>
      </c>
      <c r="P1844" s="2"/>
      <c r="Q1844" s="2" t="s">
        <v>12409</v>
      </c>
      <c r="R1844" s="2" t="s">
        <v>12410</v>
      </c>
      <c r="S1844" s="2" t="s">
        <v>50</v>
      </c>
      <c r="T1844" s="2" t="s">
        <v>448</v>
      </c>
      <c r="U1844" s="2" t="s">
        <v>1864</v>
      </c>
      <c r="V1844" s="2" t="s">
        <v>59</v>
      </c>
      <c r="W1844" s="2">
        <v>40.799999999999997</v>
      </c>
      <c r="X1844" s="2">
        <v>6.62</v>
      </c>
      <c r="Y1844" s="2" t="s">
        <v>12411</v>
      </c>
      <c r="Z1844" s="2" t="s">
        <v>12412</v>
      </c>
      <c r="AA1844" s="2">
        <v>-8.9346354351806698E-2</v>
      </c>
      <c r="AB1844" s="2">
        <v>0.43767667891276102</v>
      </c>
      <c r="AC1844" s="2">
        <v>103196.639260633</v>
      </c>
      <c r="AD1844" s="2">
        <v>68077.334140550302</v>
      </c>
      <c r="AE1844" s="2">
        <v>64570.718280253903</v>
      </c>
      <c r="AF1844" s="2">
        <v>122078.611128659</v>
      </c>
      <c r="AG1844" s="2">
        <v>175683.616269049</v>
      </c>
      <c r="AH1844" s="2">
        <v>37718.410355657899</v>
      </c>
      <c r="AI1844" s="2">
        <v>168660.167576092</v>
      </c>
      <c r="AJ1844" s="2">
        <v>50468.311954086697</v>
      </c>
      <c r="AK1844" s="2">
        <v>57932.161447641098</v>
      </c>
      <c r="AL1844" s="2">
        <v>79056.716920244595</v>
      </c>
      <c r="AM1844" s="2">
        <v>37128.493954166501</v>
      </c>
      <c r="AN1844" s="2">
        <v>48428.468504723198</v>
      </c>
      <c r="AO1844" s="2">
        <v>50875.386893446099</v>
      </c>
      <c r="AP1844" s="2">
        <v>135042.77712308001</v>
      </c>
    </row>
    <row r="1845" spans="1:42" ht="14.5" x14ac:dyDescent="0.35">
      <c r="A1845" s="2" t="s">
        <v>12413</v>
      </c>
      <c r="B1845" s="2">
        <v>284.09884406430501</v>
      </c>
      <c r="C1845" s="2">
        <v>1.3109999999999999</v>
      </c>
      <c r="D1845" s="2" t="s">
        <v>34</v>
      </c>
      <c r="E1845" s="2" t="s">
        <v>12414</v>
      </c>
      <c r="F1845" s="2">
        <v>46890</v>
      </c>
      <c r="G1845" s="3" t="str">
        <f>HYPERLINK("http://funmeta.oebiotech.com/network/46890", "http://funmeta.oebiotech.com/network/46890")</f>
        <v>http://funmeta.oebiotech.com/network/46890</v>
      </c>
      <c r="H1845" s="2" t="s">
        <v>12415</v>
      </c>
      <c r="I1845" s="2">
        <v>87</v>
      </c>
      <c r="J1845" s="2"/>
      <c r="K1845" s="2">
        <v>16750</v>
      </c>
      <c r="L1845" s="2" t="s">
        <v>12416</v>
      </c>
      <c r="M1845" s="2" t="s">
        <v>12417</v>
      </c>
      <c r="N1845" s="2" t="s">
        <v>12418</v>
      </c>
      <c r="O1845" s="2">
        <v>6802</v>
      </c>
      <c r="P1845" s="2" t="s">
        <v>12419</v>
      </c>
      <c r="Q1845" s="2" t="s">
        <v>12420</v>
      </c>
      <c r="R1845" s="2" t="s">
        <v>12421</v>
      </c>
      <c r="S1845" s="2" t="s">
        <v>1444</v>
      </c>
      <c r="T1845" s="2" t="s">
        <v>3595</v>
      </c>
      <c r="U1845" s="2" t="s">
        <v>41</v>
      </c>
      <c r="V1845" s="2" t="s">
        <v>42</v>
      </c>
      <c r="W1845" s="2">
        <v>51.2</v>
      </c>
      <c r="X1845" s="2">
        <v>60.2</v>
      </c>
      <c r="Y1845" s="2" t="s">
        <v>67</v>
      </c>
      <c r="Z1845" s="2" t="s">
        <v>3424</v>
      </c>
      <c r="AA1845" s="2">
        <v>-0.35644427722257199</v>
      </c>
      <c r="AB1845" s="2">
        <v>0.43767253907297499</v>
      </c>
      <c r="AC1845" s="2">
        <v>91056.322495008397</v>
      </c>
      <c r="AD1845" s="2">
        <v>76899.196196527002</v>
      </c>
      <c r="AE1845" s="2">
        <v>94981.562833336604</v>
      </c>
      <c r="AF1845" s="2">
        <v>90769.757923551195</v>
      </c>
      <c r="AG1845" s="2">
        <v>85184.590297963994</v>
      </c>
      <c r="AH1845" s="2">
        <v>96425.438230803207</v>
      </c>
      <c r="AI1845" s="2">
        <v>91052.794121872197</v>
      </c>
      <c r="AJ1845" s="2">
        <v>87923.791562522907</v>
      </c>
      <c r="AK1845" s="2">
        <v>78160.028217078507</v>
      </c>
      <c r="AL1845" s="2">
        <v>73808.309697809804</v>
      </c>
      <c r="AM1845" s="2">
        <v>71108.745365042196</v>
      </c>
      <c r="AN1845" s="2">
        <v>77285.940983799504</v>
      </c>
      <c r="AO1845" s="2">
        <v>80284.068044986794</v>
      </c>
      <c r="AP1845" s="2">
        <v>80748.084870445193</v>
      </c>
    </row>
    <row r="1846" spans="1:42" ht="14.5" x14ac:dyDescent="0.35">
      <c r="A1846" s="2" t="s">
        <v>12422</v>
      </c>
      <c r="B1846" s="2">
        <v>432.18296743759601</v>
      </c>
      <c r="C1846" s="2">
        <v>6.484</v>
      </c>
      <c r="D1846" s="2" t="s">
        <v>34</v>
      </c>
      <c r="E1846" s="2" t="s">
        <v>12423</v>
      </c>
      <c r="F1846" s="2">
        <v>257149</v>
      </c>
      <c r="G1846" s="3" t="str">
        <f>HYPERLINK("http://funmeta.oebiotech.com/network/257149", "http://funmeta.oebiotech.com/network/257149")</f>
        <v>http://funmeta.oebiotech.com/network/257149</v>
      </c>
      <c r="H1846" s="2" t="s">
        <v>12424</v>
      </c>
      <c r="I1846" s="2"/>
      <c r="J1846" s="2"/>
      <c r="K1846" s="2"/>
      <c r="L1846" s="2"/>
      <c r="M1846" s="2"/>
      <c r="N1846" s="2"/>
      <c r="O1846" s="2"/>
      <c r="P1846" s="2"/>
      <c r="Q1846" s="2" t="s">
        <v>12425</v>
      </c>
      <c r="R1846" s="2" t="s">
        <v>12426</v>
      </c>
      <c r="S1846" s="2" t="s">
        <v>50</v>
      </c>
      <c r="T1846" s="2" t="s">
        <v>201</v>
      </c>
      <c r="U1846" s="2" t="s">
        <v>241</v>
      </c>
      <c r="V1846" s="2" t="s">
        <v>59</v>
      </c>
      <c r="W1846" s="2">
        <v>37.700000000000003</v>
      </c>
      <c r="X1846" s="2">
        <v>0</v>
      </c>
      <c r="Y1846" s="2" t="s">
        <v>141</v>
      </c>
      <c r="Z1846" s="2" t="s">
        <v>12427</v>
      </c>
      <c r="AA1846" s="2">
        <v>1.01064687270249</v>
      </c>
      <c r="AB1846" s="2">
        <v>0.43713920012282198</v>
      </c>
      <c r="AC1846" s="2">
        <v>43197.175822442499</v>
      </c>
      <c r="AD1846" s="2">
        <v>60664.252929550697</v>
      </c>
      <c r="AE1846" s="2">
        <v>44323.815951947203</v>
      </c>
      <c r="AF1846" s="2">
        <v>47247.898606470902</v>
      </c>
      <c r="AG1846" s="2">
        <v>41693.714104130901</v>
      </c>
      <c r="AH1846" s="2">
        <v>42583.397138892797</v>
      </c>
      <c r="AI1846" s="2">
        <v>39254.3381019523</v>
      </c>
      <c r="AJ1846" s="2">
        <v>44079.891031261097</v>
      </c>
      <c r="AK1846" s="2">
        <v>55798.266368822697</v>
      </c>
      <c r="AL1846" s="2">
        <v>68930.847410392802</v>
      </c>
      <c r="AM1846" s="2">
        <v>49541.982021051801</v>
      </c>
      <c r="AN1846" s="2">
        <v>48267.449026813701</v>
      </c>
      <c r="AO1846" s="2">
        <v>60378.627773936299</v>
      </c>
      <c r="AP1846" s="2">
        <v>81068.344976286899</v>
      </c>
    </row>
    <row r="1847" spans="1:42" ht="14.5" x14ac:dyDescent="0.35">
      <c r="A1847" s="2" t="s">
        <v>12428</v>
      </c>
      <c r="B1847" s="2">
        <v>517.15592207940995</v>
      </c>
      <c r="C1847" s="2">
        <v>2.9974166666666702</v>
      </c>
      <c r="D1847" s="2" t="s">
        <v>70</v>
      </c>
      <c r="E1847" s="2" t="s">
        <v>12429</v>
      </c>
      <c r="F1847" s="2">
        <v>211519</v>
      </c>
      <c r="G1847" s="3" t="str">
        <f>HYPERLINK("http://funmeta.oebiotech.com/network/211519", "http://funmeta.oebiotech.com/network/211519")</f>
        <v>http://funmeta.oebiotech.com/network/211519</v>
      </c>
      <c r="H1847" s="2" t="s">
        <v>12430</v>
      </c>
      <c r="I1847" s="2"/>
      <c r="J1847" s="2"/>
      <c r="K1847" s="2"/>
      <c r="L1847" s="2"/>
      <c r="M1847" s="2"/>
      <c r="N1847" s="2"/>
      <c r="O1847" s="2">
        <v>57262882</v>
      </c>
      <c r="P1847" s="2"/>
      <c r="Q1847" s="2" t="s">
        <v>12431</v>
      </c>
      <c r="R1847" s="2" t="s">
        <v>12432</v>
      </c>
      <c r="S1847" s="2" t="s">
        <v>41</v>
      </c>
      <c r="T1847" s="2" t="s">
        <v>41</v>
      </c>
      <c r="U1847" s="2" t="s">
        <v>41</v>
      </c>
      <c r="V1847" s="2" t="s">
        <v>42</v>
      </c>
      <c r="W1847" s="2">
        <v>49.3</v>
      </c>
      <c r="X1847" s="2">
        <v>49.3</v>
      </c>
      <c r="Y1847" s="2" t="s">
        <v>560</v>
      </c>
      <c r="Z1847" s="2" t="s">
        <v>12433</v>
      </c>
      <c r="AA1847" s="2">
        <v>-0.668922568928492</v>
      </c>
      <c r="AB1847" s="2">
        <v>0.43700859624126498</v>
      </c>
      <c r="AC1847" s="2">
        <v>23793.363186802198</v>
      </c>
      <c r="AD1847" s="2">
        <v>36688.941508742202</v>
      </c>
      <c r="AE1847" s="2">
        <v>23541.905333849299</v>
      </c>
      <c r="AF1847" s="2">
        <v>24090.324235204898</v>
      </c>
      <c r="AG1847" s="2">
        <v>24796.118581004001</v>
      </c>
      <c r="AH1847" s="2">
        <v>22636.087197590201</v>
      </c>
      <c r="AI1847" s="2">
        <v>24210.865632471701</v>
      </c>
      <c r="AJ1847" s="2">
        <v>23484.878140692901</v>
      </c>
      <c r="AK1847" s="2">
        <v>32823.707912585902</v>
      </c>
      <c r="AL1847" s="2">
        <v>39006.222338490297</v>
      </c>
      <c r="AM1847" s="2">
        <v>38268.020958152003</v>
      </c>
      <c r="AN1847" s="2">
        <v>36111.788052362601</v>
      </c>
      <c r="AO1847" s="2">
        <v>35741.011419434399</v>
      </c>
      <c r="AP1847" s="2">
        <v>38182.898371428098</v>
      </c>
    </row>
    <row r="1848" spans="1:42" ht="14.5" x14ac:dyDescent="0.35">
      <c r="A1848" s="2" t="s">
        <v>12434</v>
      </c>
      <c r="B1848" s="2">
        <v>544.33960869367104</v>
      </c>
      <c r="C1848" s="2">
        <v>10.113516666666699</v>
      </c>
      <c r="D1848" s="2" t="s">
        <v>34</v>
      </c>
      <c r="E1848" s="2" t="s">
        <v>12435</v>
      </c>
      <c r="F1848" s="2">
        <v>19889</v>
      </c>
      <c r="G1848" s="3" t="str">
        <f>HYPERLINK("http://funmeta.oebiotech.com/network/19889", "http://funmeta.oebiotech.com/network/19889")</f>
        <v>http://funmeta.oebiotech.com/network/19889</v>
      </c>
      <c r="H1848" s="2" t="s">
        <v>12436</v>
      </c>
      <c r="I1848" s="2">
        <v>61706</v>
      </c>
      <c r="J1848" s="2" t="s">
        <v>12437</v>
      </c>
      <c r="K1848" s="2">
        <v>86259</v>
      </c>
      <c r="L1848" s="2" t="s">
        <v>1451</v>
      </c>
      <c r="M1848" s="2" t="s">
        <v>1452</v>
      </c>
      <c r="N1848" s="2" t="s">
        <v>1453</v>
      </c>
      <c r="O1848" s="2">
        <v>53480469</v>
      </c>
      <c r="P1848" s="2"/>
      <c r="Q1848" s="2" t="s">
        <v>12438</v>
      </c>
      <c r="R1848" s="2" t="s">
        <v>12439</v>
      </c>
      <c r="S1848" s="2" t="s">
        <v>50</v>
      </c>
      <c r="T1848" s="2" t="s">
        <v>51</v>
      </c>
      <c r="U1848" s="2" t="s">
        <v>168</v>
      </c>
      <c r="V1848" s="2" t="s">
        <v>59</v>
      </c>
      <c r="W1848" s="2">
        <v>42.3</v>
      </c>
      <c r="X1848" s="2">
        <v>14.4</v>
      </c>
      <c r="Y1848" s="2" t="s">
        <v>394</v>
      </c>
      <c r="Z1848" s="2" t="s">
        <v>12440</v>
      </c>
      <c r="AA1848" s="2">
        <v>-0.289534588334384</v>
      </c>
      <c r="AB1848" s="2">
        <v>0.43698073994173098</v>
      </c>
      <c r="AC1848" s="2">
        <v>17518.080742234801</v>
      </c>
      <c r="AD1848" s="2">
        <v>30422.316823620102</v>
      </c>
      <c r="AE1848" s="2">
        <v>17054.648415915901</v>
      </c>
      <c r="AF1848" s="2">
        <v>19534.552297391401</v>
      </c>
      <c r="AG1848" s="2">
        <v>18130.775990424299</v>
      </c>
      <c r="AH1848" s="2">
        <v>16921.6147401938</v>
      </c>
      <c r="AI1848" s="2">
        <v>16494.0933482867</v>
      </c>
      <c r="AJ1848" s="2">
        <v>16972.799661196801</v>
      </c>
      <c r="AK1848" s="2">
        <v>31898.636018785499</v>
      </c>
      <c r="AL1848" s="2">
        <v>32490.640838216699</v>
      </c>
      <c r="AM1848" s="2">
        <v>29312.084414315399</v>
      </c>
      <c r="AN1848" s="2">
        <v>27761.057211962401</v>
      </c>
      <c r="AO1848" s="2">
        <v>28956.379543206102</v>
      </c>
      <c r="AP1848" s="2">
        <v>32115.1029152343</v>
      </c>
    </row>
    <row r="1849" spans="1:42" ht="14.5" x14ac:dyDescent="0.35">
      <c r="A1849" s="2" t="s">
        <v>12441</v>
      </c>
      <c r="B1849" s="2">
        <v>293.21208326503</v>
      </c>
      <c r="C1849" s="2">
        <v>10.737716666666699</v>
      </c>
      <c r="D1849" s="2" t="s">
        <v>70</v>
      </c>
      <c r="E1849" s="2" t="s">
        <v>12442</v>
      </c>
      <c r="F1849" s="2">
        <v>3126</v>
      </c>
      <c r="G1849" s="3" t="str">
        <f>HYPERLINK("http://funmeta.oebiotech.com/network/3126", "http://funmeta.oebiotech.com/network/3126")</f>
        <v>http://funmeta.oebiotech.com/network/3126</v>
      </c>
      <c r="H1849" s="2"/>
      <c r="I1849" s="2">
        <v>74525</v>
      </c>
      <c r="J1849" s="2" t="s">
        <v>12443</v>
      </c>
      <c r="K1849" s="2"/>
      <c r="L1849" s="2"/>
      <c r="M1849" s="2"/>
      <c r="N1849" s="2"/>
      <c r="O1849" s="2">
        <v>5282969</v>
      </c>
      <c r="P1849" s="2"/>
      <c r="Q1849" s="2" t="s">
        <v>12444</v>
      </c>
      <c r="R1849" s="2" t="s">
        <v>12445</v>
      </c>
      <c r="S1849" s="2" t="s">
        <v>50</v>
      </c>
      <c r="T1849" s="2" t="s">
        <v>229</v>
      </c>
      <c r="U1849" s="2" t="s">
        <v>1360</v>
      </c>
      <c r="V1849" s="2" t="s">
        <v>59</v>
      </c>
      <c r="W1849" s="2">
        <v>47.9</v>
      </c>
      <c r="X1849" s="2">
        <v>43.3</v>
      </c>
      <c r="Y1849" s="2" t="s">
        <v>751</v>
      </c>
      <c r="Z1849" s="2" t="s">
        <v>4584</v>
      </c>
      <c r="AA1849" s="2">
        <v>-0.43275606017559998</v>
      </c>
      <c r="AB1849" s="2">
        <v>0.43677477061256598</v>
      </c>
      <c r="AC1849" s="2">
        <v>30105.9814319449</v>
      </c>
      <c r="AD1849" s="2">
        <v>17100.694280855099</v>
      </c>
      <c r="AE1849" s="2">
        <v>32963.693168081198</v>
      </c>
      <c r="AF1849" s="2">
        <v>28411.159379275799</v>
      </c>
      <c r="AG1849" s="2">
        <v>28001.388356450701</v>
      </c>
      <c r="AH1849" s="2">
        <v>34087.814754123101</v>
      </c>
      <c r="AI1849" s="2">
        <v>27096.587036085199</v>
      </c>
      <c r="AJ1849" s="2">
        <v>30075.245897653302</v>
      </c>
      <c r="AK1849" s="2">
        <v>16019.205033469299</v>
      </c>
      <c r="AL1849" s="2">
        <v>17215.1401604321</v>
      </c>
      <c r="AM1849" s="2">
        <v>17904.901684508699</v>
      </c>
      <c r="AN1849" s="2">
        <v>16897.793715289099</v>
      </c>
      <c r="AO1849" s="2">
        <v>17396.2872603375</v>
      </c>
      <c r="AP1849" s="2">
        <v>17170.837831094101</v>
      </c>
    </row>
    <row r="1850" spans="1:42" ht="14.5" x14ac:dyDescent="0.35">
      <c r="A1850" s="2" t="s">
        <v>12446</v>
      </c>
      <c r="B1850" s="2">
        <v>573.27141170241305</v>
      </c>
      <c r="C1850" s="2">
        <v>6.3868666666666698</v>
      </c>
      <c r="D1850" s="2" t="s">
        <v>70</v>
      </c>
      <c r="E1850" s="2" t="s">
        <v>12447</v>
      </c>
      <c r="F1850" s="2">
        <v>61103</v>
      </c>
      <c r="G1850" s="3" t="str">
        <f>HYPERLINK("http://funmeta.oebiotech.com/network/61103", "http://funmeta.oebiotech.com/network/61103")</f>
        <v>http://funmeta.oebiotech.com/network/61103</v>
      </c>
      <c r="H1850" s="2" t="s">
        <v>12448</v>
      </c>
      <c r="I1850" s="2">
        <v>92422</v>
      </c>
      <c r="J1850" s="2"/>
      <c r="K1850" s="2"/>
      <c r="L1850" s="2"/>
      <c r="M1850" s="2"/>
      <c r="N1850" s="2"/>
      <c r="O1850" s="2">
        <v>131752206</v>
      </c>
      <c r="P1850" s="2" t="s">
        <v>12449</v>
      </c>
      <c r="Q1850" s="2" t="s">
        <v>12450</v>
      </c>
      <c r="R1850" s="2" t="s">
        <v>12451</v>
      </c>
      <c r="S1850" s="2" t="s">
        <v>491</v>
      </c>
      <c r="T1850" s="2" t="s">
        <v>5973</v>
      </c>
      <c r="U1850" s="2" t="s">
        <v>6296</v>
      </c>
      <c r="V1850" s="2" t="s">
        <v>59</v>
      </c>
      <c r="W1850" s="2">
        <v>42.7</v>
      </c>
      <c r="X1850" s="2">
        <v>17.2</v>
      </c>
      <c r="Y1850" s="2" t="s">
        <v>408</v>
      </c>
      <c r="Z1850" s="2" t="s">
        <v>3732</v>
      </c>
      <c r="AA1850" s="2">
        <v>1.68585992876329</v>
      </c>
      <c r="AB1850" s="2">
        <v>0.43676292353698898</v>
      </c>
      <c r="AC1850" s="2">
        <v>36471.479671548201</v>
      </c>
      <c r="AD1850" s="2">
        <v>23644.571399558201</v>
      </c>
      <c r="AE1850" s="2">
        <v>37953.917333686099</v>
      </c>
      <c r="AF1850" s="2">
        <v>35086.533599228896</v>
      </c>
      <c r="AG1850" s="2">
        <v>39088.002919070103</v>
      </c>
      <c r="AH1850" s="2">
        <v>36556.971032529</v>
      </c>
      <c r="AI1850" s="2">
        <v>34044.132804118599</v>
      </c>
      <c r="AJ1850" s="2">
        <v>36099.320340656697</v>
      </c>
      <c r="AK1850" s="2">
        <v>23542.445395298098</v>
      </c>
      <c r="AL1850" s="2">
        <v>21181.5762124867</v>
      </c>
      <c r="AM1850" s="2">
        <v>25398.957650067201</v>
      </c>
      <c r="AN1850" s="2">
        <v>23569.460741622301</v>
      </c>
      <c r="AO1850" s="2">
        <v>23981.911865258899</v>
      </c>
      <c r="AP1850" s="2">
        <v>24193.076532616</v>
      </c>
    </row>
    <row r="1851" spans="1:42" ht="14.5" x14ac:dyDescent="0.35">
      <c r="A1851" s="2" t="s">
        <v>12452</v>
      </c>
      <c r="B1851" s="2">
        <v>423.21785580115198</v>
      </c>
      <c r="C1851" s="2">
        <v>9.4292666666666705</v>
      </c>
      <c r="D1851" s="2" t="s">
        <v>70</v>
      </c>
      <c r="E1851" s="2" t="s">
        <v>12453</v>
      </c>
      <c r="F1851" s="2">
        <v>56438</v>
      </c>
      <c r="G1851" s="3" t="str">
        <f>HYPERLINK("http://funmeta.oebiotech.com/network/56438", "http://funmeta.oebiotech.com/network/56438")</f>
        <v>http://funmeta.oebiotech.com/network/56438</v>
      </c>
      <c r="H1851" s="2" t="s">
        <v>12454</v>
      </c>
      <c r="I1851" s="2">
        <v>88089</v>
      </c>
      <c r="J1851" s="2"/>
      <c r="K1851" s="2">
        <v>175004</v>
      </c>
      <c r="L1851" s="2"/>
      <c r="M1851" s="2"/>
      <c r="N1851" s="2"/>
      <c r="O1851" s="2">
        <v>101938024</v>
      </c>
      <c r="P1851" s="2" t="s">
        <v>12455</v>
      </c>
      <c r="Q1851" s="2" t="s">
        <v>12456</v>
      </c>
      <c r="R1851" s="2" t="s">
        <v>12457</v>
      </c>
      <c r="S1851" s="2" t="s">
        <v>50</v>
      </c>
      <c r="T1851" s="2" t="s">
        <v>201</v>
      </c>
      <c r="U1851" s="2" t="s">
        <v>241</v>
      </c>
      <c r="V1851" s="2" t="s">
        <v>59</v>
      </c>
      <c r="W1851" s="2">
        <v>37.700000000000003</v>
      </c>
      <c r="X1851" s="2">
        <v>0</v>
      </c>
      <c r="Y1851" s="2" t="s">
        <v>408</v>
      </c>
      <c r="Z1851" s="2" t="s">
        <v>12458</v>
      </c>
      <c r="AA1851" s="2">
        <v>0.41803866290386998</v>
      </c>
      <c r="AB1851" s="2">
        <v>0.43673043374015202</v>
      </c>
      <c r="AC1851" s="2">
        <v>12525.066740951301</v>
      </c>
      <c r="AD1851" s="2">
        <v>2.7106294003980101E-5</v>
      </c>
      <c r="AE1851" s="2">
        <v>12716.293870544199</v>
      </c>
      <c r="AF1851" s="2">
        <v>12782.808689013</v>
      </c>
      <c r="AG1851" s="2">
        <v>13125.8902124858</v>
      </c>
      <c r="AH1851" s="2">
        <v>12929.6018163641</v>
      </c>
      <c r="AI1851" s="2">
        <v>11744.693105585</v>
      </c>
      <c r="AJ1851" s="2">
        <v>11851.1127517158</v>
      </c>
      <c r="AK1851" s="2">
        <v>2.7106294003980101E-5</v>
      </c>
      <c r="AL1851" s="2">
        <v>2.7106294003980101E-5</v>
      </c>
      <c r="AM1851" s="2">
        <v>2.7106294003980101E-5</v>
      </c>
      <c r="AN1851" s="2">
        <v>2.7106294003980101E-5</v>
      </c>
      <c r="AO1851" s="2">
        <v>2.7106294003980101E-5</v>
      </c>
      <c r="AP1851" s="2">
        <v>2.7106294003980101E-5</v>
      </c>
    </row>
    <row r="1852" spans="1:42" ht="14.5" x14ac:dyDescent="0.35">
      <c r="A1852" s="2" t="s">
        <v>12459</v>
      </c>
      <c r="B1852" s="2">
        <v>463.37806918789499</v>
      </c>
      <c r="C1852" s="2">
        <v>12.573183333333301</v>
      </c>
      <c r="D1852" s="2" t="s">
        <v>34</v>
      </c>
      <c r="E1852" s="2" t="s">
        <v>12460</v>
      </c>
      <c r="F1852" s="2">
        <v>35226</v>
      </c>
      <c r="G1852" s="3" t="str">
        <f>HYPERLINK("http://funmeta.oebiotech.com/network/35226", "http://funmeta.oebiotech.com/network/35226")</f>
        <v>http://funmeta.oebiotech.com/network/35226</v>
      </c>
      <c r="H1852" s="2"/>
      <c r="I1852" s="2"/>
      <c r="J1852" s="2" t="s">
        <v>12461</v>
      </c>
      <c r="K1852" s="2"/>
      <c r="L1852" s="2"/>
      <c r="M1852" s="2"/>
      <c r="N1852" s="2"/>
      <c r="O1852" s="2"/>
      <c r="P1852" s="2"/>
      <c r="Q1852" s="2" t="s">
        <v>12462</v>
      </c>
      <c r="R1852" s="2" t="s">
        <v>12463</v>
      </c>
      <c r="S1852" s="2" t="s">
        <v>41</v>
      </c>
      <c r="T1852" s="2" t="s">
        <v>41</v>
      </c>
      <c r="U1852" s="2" t="s">
        <v>41</v>
      </c>
      <c r="V1852" s="2" t="s">
        <v>42</v>
      </c>
      <c r="W1852" s="2">
        <v>52.8</v>
      </c>
      <c r="X1852" s="2">
        <v>70.3</v>
      </c>
      <c r="Y1852" s="2" t="s">
        <v>394</v>
      </c>
      <c r="Z1852" s="2" t="s">
        <v>12464</v>
      </c>
      <c r="AA1852" s="2">
        <v>-0.25374832809842601</v>
      </c>
      <c r="AB1852" s="2">
        <v>0.436693753747949</v>
      </c>
      <c r="AC1852" s="2">
        <v>25777.124523369901</v>
      </c>
      <c r="AD1852" s="2">
        <v>12816.110773202299</v>
      </c>
      <c r="AE1852" s="2">
        <v>25954.835084242801</v>
      </c>
      <c r="AF1852" s="2">
        <v>25848.027882048002</v>
      </c>
      <c r="AG1852" s="2">
        <v>26714.382277887202</v>
      </c>
      <c r="AH1852" s="2">
        <v>25500.751747517799</v>
      </c>
      <c r="AI1852" s="2">
        <v>22667.015066975498</v>
      </c>
      <c r="AJ1852" s="2">
        <v>27977.735081547999</v>
      </c>
      <c r="AK1852" s="2">
        <v>16929.738673674299</v>
      </c>
      <c r="AL1852" s="2">
        <v>13408.307440168201</v>
      </c>
      <c r="AM1852" s="2">
        <v>11262.876975232401</v>
      </c>
      <c r="AN1852" s="2">
        <v>13025.284955696699</v>
      </c>
      <c r="AO1852" s="2">
        <v>11560.799017306799</v>
      </c>
      <c r="AP1852" s="2">
        <v>10709.6575771351</v>
      </c>
    </row>
    <row r="1853" spans="1:42" ht="14.5" x14ac:dyDescent="0.35">
      <c r="A1853" s="2" t="s">
        <v>12465</v>
      </c>
      <c r="B1853" s="2">
        <v>490.35240708403001</v>
      </c>
      <c r="C1853" s="2">
        <v>6.4480000000000004</v>
      </c>
      <c r="D1853" s="2" t="s">
        <v>34</v>
      </c>
      <c r="E1853" s="2" t="s">
        <v>12466</v>
      </c>
      <c r="F1853" s="2">
        <v>198859</v>
      </c>
      <c r="G1853" s="3" t="str">
        <f>HYPERLINK("http://funmeta.oebiotech.com/network/198859", "http://funmeta.oebiotech.com/network/198859")</f>
        <v>http://funmeta.oebiotech.com/network/198859</v>
      </c>
      <c r="H1853" s="2" t="s">
        <v>12467</v>
      </c>
      <c r="I1853" s="2"/>
      <c r="J1853" s="2"/>
      <c r="K1853" s="2"/>
      <c r="L1853" s="2"/>
      <c r="M1853" s="2"/>
      <c r="N1853" s="2"/>
      <c r="O1853" s="2"/>
      <c r="P1853" s="2"/>
      <c r="Q1853" s="2" t="s">
        <v>12468</v>
      </c>
      <c r="R1853" s="2" t="s">
        <v>12469</v>
      </c>
      <c r="S1853" s="2" t="s">
        <v>41</v>
      </c>
      <c r="T1853" s="2" t="s">
        <v>41</v>
      </c>
      <c r="U1853" s="2" t="s">
        <v>41</v>
      </c>
      <c r="V1853" s="2" t="s">
        <v>59</v>
      </c>
      <c r="W1853" s="2">
        <v>36.200000000000003</v>
      </c>
      <c r="X1853" s="2">
        <v>0</v>
      </c>
      <c r="Y1853" s="2" t="s">
        <v>266</v>
      </c>
      <c r="Z1853" s="2" t="s">
        <v>12470</v>
      </c>
      <c r="AA1853" s="2">
        <v>-0.59867293249576603</v>
      </c>
      <c r="AB1853" s="2">
        <v>0.43608973417771302</v>
      </c>
      <c r="AC1853" s="2">
        <v>16971.352526076502</v>
      </c>
      <c r="AD1853" s="2">
        <v>30051.588600616898</v>
      </c>
      <c r="AE1853" s="2">
        <v>16813.937274727901</v>
      </c>
      <c r="AF1853" s="2">
        <v>16900.757332664802</v>
      </c>
      <c r="AG1853" s="2">
        <v>14108.231495599801</v>
      </c>
      <c r="AH1853" s="2">
        <v>19559.716827161301</v>
      </c>
      <c r="AI1853" s="2">
        <v>15601.362510563</v>
      </c>
      <c r="AJ1853" s="2">
        <v>18844.109715742299</v>
      </c>
      <c r="AK1853" s="2">
        <v>28672.3437016926</v>
      </c>
      <c r="AL1853" s="2">
        <v>29149.4781645939</v>
      </c>
      <c r="AM1853" s="2">
        <v>27970.689757309501</v>
      </c>
      <c r="AN1853" s="2">
        <v>34495.987921402397</v>
      </c>
      <c r="AO1853" s="2">
        <v>28464.118220665201</v>
      </c>
      <c r="AP1853" s="2">
        <v>31556.913838037701</v>
      </c>
    </row>
    <row r="1854" spans="1:42" ht="14.5" x14ac:dyDescent="0.35">
      <c r="A1854" s="2" t="s">
        <v>12471</v>
      </c>
      <c r="B1854" s="2">
        <v>398.32628160594697</v>
      </c>
      <c r="C1854" s="2">
        <v>11.3656166666667</v>
      </c>
      <c r="D1854" s="2" t="s">
        <v>34</v>
      </c>
      <c r="E1854" s="2" t="s">
        <v>12472</v>
      </c>
      <c r="F1854" s="2">
        <v>62680</v>
      </c>
      <c r="G1854" s="3" t="str">
        <f>HYPERLINK("http://funmeta.oebiotech.com/network/62680", "http://funmeta.oebiotech.com/network/62680")</f>
        <v>http://funmeta.oebiotech.com/network/62680</v>
      </c>
      <c r="H1854" s="2" t="s">
        <v>12473</v>
      </c>
      <c r="I1854" s="2">
        <v>93979</v>
      </c>
      <c r="J1854" s="2"/>
      <c r="K1854" s="2"/>
      <c r="L1854" s="2"/>
      <c r="M1854" s="2"/>
      <c r="N1854" s="2"/>
      <c r="O1854" s="2">
        <v>10126440</v>
      </c>
      <c r="P1854" s="2"/>
      <c r="Q1854" s="2" t="s">
        <v>12474</v>
      </c>
      <c r="R1854" s="2" t="s">
        <v>12475</v>
      </c>
      <c r="S1854" s="2" t="s">
        <v>50</v>
      </c>
      <c r="T1854" s="2" t="s">
        <v>229</v>
      </c>
      <c r="U1854" s="2" t="s">
        <v>1283</v>
      </c>
      <c r="V1854" s="2" t="s">
        <v>59</v>
      </c>
      <c r="W1854" s="2">
        <v>39.6</v>
      </c>
      <c r="X1854" s="2">
        <v>1.65</v>
      </c>
      <c r="Y1854" s="2" t="s">
        <v>43</v>
      </c>
      <c r="Z1854" s="2" t="s">
        <v>9634</v>
      </c>
      <c r="AA1854" s="2">
        <v>-0.535600906669495</v>
      </c>
      <c r="AB1854" s="2">
        <v>0.43607359977087001</v>
      </c>
      <c r="AC1854" s="2">
        <v>33669.240740660898</v>
      </c>
      <c r="AD1854" s="2">
        <v>12173.628749543999</v>
      </c>
      <c r="AE1854" s="2">
        <v>18548.2998202366</v>
      </c>
      <c r="AF1854" s="2">
        <v>24922.0905964862</v>
      </c>
      <c r="AG1854" s="2">
        <v>25651.371745689001</v>
      </c>
      <c r="AH1854" s="2">
        <v>80646.808290529807</v>
      </c>
      <c r="AI1854" s="2">
        <v>24285.4667318254</v>
      </c>
      <c r="AJ1854" s="2">
        <v>27961.4072591982</v>
      </c>
      <c r="AK1854" s="2">
        <v>8910.6343410116297</v>
      </c>
      <c r="AL1854" s="2">
        <v>13893.3286467321</v>
      </c>
      <c r="AM1854" s="2">
        <v>11266.5915059822</v>
      </c>
      <c r="AN1854" s="2">
        <v>13772.2962643918</v>
      </c>
      <c r="AO1854" s="2">
        <v>14463.548354938601</v>
      </c>
      <c r="AP1854" s="2">
        <v>10735.3733842076</v>
      </c>
    </row>
    <row r="1855" spans="1:42" ht="14.5" x14ac:dyDescent="0.35">
      <c r="A1855" s="2" t="s">
        <v>12476</v>
      </c>
      <c r="B1855" s="2">
        <v>391.103384243378</v>
      </c>
      <c r="C1855" s="2">
        <v>4.7218999999999998</v>
      </c>
      <c r="D1855" s="2" t="s">
        <v>70</v>
      </c>
      <c r="E1855" s="2" t="s">
        <v>12477</v>
      </c>
      <c r="F1855" s="2">
        <v>61523</v>
      </c>
      <c r="G1855" s="3" t="str">
        <f>HYPERLINK("http://funmeta.oebiotech.com/network/61523", "http://funmeta.oebiotech.com/network/61523")</f>
        <v>http://funmeta.oebiotech.com/network/61523</v>
      </c>
      <c r="H1855" s="2" t="s">
        <v>12478</v>
      </c>
      <c r="I1855" s="2"/>
      <c r="J1855" s="2"/>
      <c r="K1855" s="2"/>
      <c r="L1855" s="2"/>
      <c r="M1855" s="2"/>
      <c r="N1855" s="2"/>
      <c r="O1855" s="2">
        <v>85362951</v>
      </c>
      <c r="P1855" s="2"/>
      <c r="Q1855" s="2" t="s">
        <v>12479</v>
      </c>
      <c r="R1855" s="2" t="s">
        <v>12480</v>
      </c>
      <c r="S1855" s="2" t="s">
        <v>79</v>
      </c>
      <c r="T1855" s="2" t="s">
        <v>80</v>
      </c>
      <c r="U1855" s="2" t="s">
        <v>81</v>
      </c>
      <c r="V1855" s="2" t="s">
        <v>42</v>
      </c>
      <c r="W1855" s="2">
        <v>53.6</v>
      </c>
      <c r="X1855" s="2">
        <v>72.599999999999994</v>
      </c>
      <c r="Y1855" s="2" t="s">
        <v>118</v>
      </c>
      <c r="Z1855" s="2" t="s">
        <v>12481</v>
      </c>
      <c r="AA1855" s="2">
        <v>-0.18245371982327499</v>
      </c>
      <c r="AB1855" s="2">
        <v>0.43599370200273002</v>
      </c>
      <c r="AC1855" s="2">
        <v>216730.58273895801</v>
      </c>
      <c r="AD1855" s="2">
        <v>198413.96786592601</v>
      </c>
      <c r="AE1855" s="2">
        <v>218917.72778377499</v>
      </c>
      <c r="AF1855" s="2">
        <v>220830.24437774401</v>
      </c>
      <c r="AG1855" s="2">
        <v>209876.99432803399</v>
      </c>
      <c r="AH1855" s="2">
        <v>216032.67525954801</v>
      </c>
      <c r="AI1855" s="2">
        <v>217780.65455583099</v>
      </c>
      <c r="AJ1855" s="2">
        <v>216945.200128817</v>
      </c>
      <c r="AK1855" s="2">
        <v>173698.81740890199</v>
      </c>
      <c r="AL1855" s="2">
        <v>191179.55746952101</v>
      </c>
      <c r="AM1855" s="2">
        <v>207470.20977344699</v>
      </c>
      <c r="AN1855" s="2">
        <v>214320.323771795</v>
      </c>
      <c r="AO1855" s="2">
        <v>198114.122100104</v>
      </c>
      <c r="AP1855" s="2">
        <v>205700.77667178499</v>
      </c>
    </row>
    <row r="1856" spans="1:42" ht="14.5" x14ac:dyDescent="0.35">
      <c r="A1856" s="2" t="s">
        <v>12482</v>
      </c>
      <c r="B1856" s="2">
        <v>252.12263154291099</v>
      </c>
      <c r="C1856" s="2">
        <v>8.3238000000000003</v>
      </c>
      <c r="D1856" s="2" t="s">
        <v>34</v>
      </c>
      <c r="E1856" s="2" t="s">
        <v>12483</v>
      </c>
      <c r="F1856" s="2">
        <v>59565</v>
      </c>
      <c r="G1856" s="3" t="str">
        <f>HYPERLINK("http://funmeta.oebiotech.com/network/59565", "http://funmeta.oebiotech.com/network/59565")</f>
        <v>http://funmeta.oebiotech.com/network/59565</v>
      </c>
      <c r="H1856" s="2" t="s">
        <v>12484</v>
      </c>
      <c r="I1856" s="2">
        <v>90970</v>
      </c>
      <c r="J1856" s="2"/>
      <c r="K1856" s="2">
        <v>174202</v>
      </c>
      <c r="L1856" s="2"/>
      <c r="M1856" s="2"/>
      <c r="N1856" s="2"/>
      <c r="O1856" s="2">
        <v>5318230</v>
      </c>
      <c r="P1856" s="2" t="s">
        <v>12485</v>
      </c>
      <c r="Q1856" s="2" t="s">
        <v>12486</v>
      </c>
      <c r="R1856" s="2" t="s">
        <v>12487</v>
      </c>
      <c r="S1856" s="2" t="s">
        <v>491</v>
      </c>
      <c r="T1856" s="2" t="s">
        <v>2251</v>
      </c>
      <c r="U1856" s="2" t="s">
        <v>2252</v>
      </c>
      <c r="V1856" s="2" t="s">
        <v>42</v>
      </c>
      <c r="W1856" s="2">
        <v>49.8</v>
      </c>
      <c r="X1856" s="2">
        <v>53.8</v>
      </c>
      <c r="Y1856" s="2" t="s">
        <v>43</v>
      </c>
      <c r="Z1856" s="2" t="s">
        <v>12488</v>
      </c>
      <c r="AA1856" s="2">
        <v>-1.7211998385362699</v>
      </c>
      <c r="AB1856" s="2">
        <v>0.43576637541794599</v>
      </c>
      <c r="AC1856" s="2">
        <v>97185.097626423798</v>
      </c>
      <c r="AD1856" s="2">
        <v>82009.034058820005</v>
      </c>
      <c r="AE1856" s="2">
        <v>97282.080711872404</v>
      </c>
      <c r="AF1856" s="2">
        <v>96963.866291568993</v>
      </c>
      <c r="AG1856" s="2">
        <v>99887.085388683903</v>
      </c>
      <c r="AH1856" s="2">
        <v>88922.750842028996</v>
      </c>
      <c r="AI1856" s="2">
        <v>91423.322679030302</v>
      </c>
      <c r="AJ1856" s="2">
        <v>108631.479845358</v>
      </c>
      <c r="AK1856" s="2">
        <v>77161.205771846493</v>
      </c>
      <c r="AL1856" s="2">
        <v>88017.245364627204</v>
      </c>
      <c r="AM1856" s="2">
        <v>87621.253542955907</v>
      </c>
      <c r="AN1856" s="2">
        <v>80356.744487499294</v>
      </c>
      <c r="AO1856" s="2">
        <v>79870.597280911898</v>
      </c>
      <c r="AP1856" s="2">
        <v>79027.157905079395</v>
      </c>
    </row>
    <row r="1857" spans="1:42" ht="14.5" x14ac:dyDescent="0.35">
      <c r="A1857" s="2" t="s">
        <v>12489</v>
      </c>
      <c r="B1857" s="2">
        <v>497.26359119056201</v>
      </c>
      <c r="C1857" s="2">
        <v>13.340866666666701</v>
      </c>
      <c r="D1857" s="2" t="s">
        <v>34</v>
      </c>
      <c r="E1857" s="2" t="s">
        <v>12490</v>
      </c>
      <c r="F1857" s="2">
        <v>3844</v>
      </c>
      <c r="G1857" s="3" t="str">
        <f>HYPERLINK("http://funmeta.oebiotech.com/network/3844", "http://funmeta.oebiotech.com/network/3844")</f>
        <v>http://funmeta.oebiotech.com/network/3844</v>
      </c>
      <c r="H1857" s="2" t="s">
        <v>12491</v>
      </c>
      <c r="I1857" s="2">
        <v>3583</v>
      </c>
      <c r="J1857" s="2" t="s">
        <v>12492</v>
      </c>
      <c r="K1857" s="2">
        <v>28666</v>
      </c>
      <c r="L1857" s="2" t="s">
        <v>12493</v>
      </c>
      <c r="M1857" s="2" t="s">
        <v>12494</v>
      </c>
      <c r="N1857" s="2" t="s">
        <v>12495</v>
      </c>
      <c r="O1857" s="2">
        <v>5280878</v>
      </c>
      <c r="P1857" s="2" t="s">
        <v>12496</v>
      </c>
      <c r="Q1857" s="2" t="s">
        <v>12497</v>
      </c>
      <c r="R1857" s="2" t="s">
        <v>12498</v>
      </c>
      <c r="S1857" s="2" t="s">
        <v>50</v>
      </c>
      <c r="T1857" s="2" t="s">
        <v>229</v>
      </c>
      <c r="U1857" s="2" t="s">
        <v>766</v>
      </c>
      <c r="V1857" s="2" t="s">
        <v>59</v>
      </c>
      <c r="W1857" s="2">
        <v>36.299999999999997</v>
      </c>
      <c r="X1857" s="2">
        <v>0.249</v>
      </c>
      <c r="Y1857" s="2" t="s">
        <v>394</v>
      </c>
      <c r="Z1857" s="2" t="s">
        <v>12499</v>
      </c>
      <c r="AA1857" s="2">
        <v>-8.8527081177877704</v>
      </c>
      <c r="AB1857" s="2">
        <v>0.43570452256415898</v>
      </c>
      <c r="AC1857" s="2">
        <v>31424.380863595601</v>
      </c>
      <c r="AD1857" s="2">
        <v>17611.950594527501</v>
      </c>
      <c r="AE1857" s="2">
        <v>32309.016259832701</v>
      </c>
      <c r="AF1857" s="2">
        <v>31380.530626999102</v>
      </c>
      <c r="AG1857" s="2">
        <v>33180.291676499503</v>
      </c>
      <c r="AH1857" s="2">
        <v>33295.459188500703</v>
      </c>
      <c r="AI1857" s="2">
        <v>27885.118516170001</v>
      </c>
      <c r="AJ1857" s="2">
        <v>30495.868913571801</v>
      </c>
      <c r="AK1857" s="2">
        <v>13385.0754413677</v>
      </c>
      <c r="AL1857" s="2">
        <v>18366.061644754998</v>
      </c>
      <c r="AM1857" s="2">
        <v>17363.7456385271</v>
      </c>
      <c r="AN1857" s="2">
        <v>17003.628149685901</v>
      </c>
      <c r="AO1857" s="2">
        <v>26330.412463194501</v>
      </c>
      <c r="AP1857" s="2">
        <v>13222.7802296347</v>
      </c>
    </row>
    <row r="1858" spans="1:42" ht="14.5" x14ac:dyDescent="0.35">
      <c r="A1858" s="2" t="s">
        <v>12500</v>
      </c>
      <c r="B1858" s="2">
        <v>281.06641305547402</v>
      </c>
      <c r="C1858" s="2">
        <v>4.3103166666666697</v>
      </c>
      <c r="D1858" s="2" t="s">
        <v>70</v>
      </c>
      <c r="E1858" s="2" t="s">
        <v>12501</v>
      </c>
      <c r="F1858" s="2">
        <v>197117</v>
      </c>
      <c r="G1858" s="3" t="str">
        <f>HYPERLINK("http://funmeta.oebiotech.com/network/197117", "http://funmeta.oebiotech.com/network/197117")</f>
        <v>http://funmeta.oebiotech.com/network/197117</v>
      </c>
      <c r="H1858" s="2" t="s">
        <v>12502</v>
      </c>
      <c r="I1858" s="2"/>
      <c r="J1858" s="2"/>
      <c r="K1858" s="2"/>
      <c r="L1858" s="2"/>
      <c r="M1858" s="2"/>
      <c r="N1858" s="2"/>
      <c r="O1858" s="2"/>
      <c r="P1858" s="2"/>
      <c r="Q1858" s="2" t="s">
        <v>12503</v>
      </c>
      <c r="R1858" s="2" t="s">
        <v>12504</v>
      </c>
      <c r="S1858" s="2" t="s">
        <v>79</v>
      </c>
      <c r="T1858" s="2" t="s">
        <v>80</v>
      </c>
      <c r="U1858" s="2" t="s">
        <v>81</v>
      </c>
      <c r="V1858" s="2" t="s">
        <v>42</v>
      </c>
      <c r="W1858" s="2">
        <v>53.2</v>
      </c>
      <c r="X1858" s="2">
        <v>74.599999999999994</v>
      </c>
      <c r="Y1858" s="2" t="s">
        <v>792</v>
      </c>
      <c r="Z1858" s="2" t="s">
        <v>12505</v>
      </c>
      <c r="AA1858" s="2">
        <v>-0.87739990051184702</v>
      </c>
      <c r="AB1858" s="2">
        <v>0.43567590621314001</v>
      </c>
      <c r="AC1858" s="2">
        <v>10947.4728756362</v>
      </c>
      <c r="AD1858" s="2">
        <v>23587.448666522701</v>
      </c>
      <c r="AE1858" s="2">
        <v>10830.3630509417</v>
      </c>
      <c r="AF1858" s="2">
        <v>12642.941606714499</v>
      </c>
      <c r="AG1858" s="2">
        <v>11079.3129320883</v>
      </c>
      <c r="AH1858" s="2">
        <v>10340.526949916501</v>
      </c>
      <c r="AI1858" s="2">
        <v>10483.9887358016</v>
      </c>
      <c r="AJ1858" s="2">
        <v>10307.703978354801</v>
      </c>
      <c r="AK1858" s="2">
        <v>23356.002919355</v>
      </c>
      <c r="AL1858" s="2">
        <v>24082.994084974202</v>
      </c>
      <c r="AM1858" s="2">
        <v>22825.5888172249</v>
      </c>
      <c r="AN1858" s="2">
        <v>25450.432635120898</v>
      </c>
      <c r="AO1858" s="2">
        <v>21434.4060717229</v>
      </c>
      <c r="AP1858" s="2">
        <v>24375.267470738501</v>
      </c>
    </row>
    <row r="1859" spans="1:42" ht="14.5" x14ac:dyDescent="0.35">
      <c r="A1859" s="2" t="s">
        <v>12506</v>
      </c>
      <c r="B1859" s="2">
        <v>134.036051076272</v>
      </c>
      <c r="C1859" s="2">
        <v>4.84418333333333</v>
      </c>
      <c r="D1859" s="2" t="s">
        <v>70</v>
      </c>
      <c r="E1859" s="2" t="s">
        <v>12507</v>
      </c>
      <c r="F1859" s="2">
        <v>199991</v>
      </c>
      <c r="G1859" s="3" t="str">
        <f>HYPERLINK("http://funmeta.oebiotech.com/network/199991", "http://funmeta.oebiotech.com/network/199991")</f>
        <v>http://funmeta.oebiotech.com/network/199991</v>
      </c>
      <c r="H1859" s="2" t="s">
        <v>12508</v>
      </c>
      <c r="I1859" s="2">
        <v>414229</v>
      </c>
      <c r="J1859" s="2"/>
      <c r="K1859" s="2"/>
      <c r="L1859" s="2"/>
      <c r="M1859" s="2"/>
      <c r="N1859" s="2"/>
      <c r="O1859" s="2">
        <v>130855</v>
      </c>
      <c r="P1859" s="2"/>
      <c r="Q1859" s="2" t="s">
        <v>12509</v>
      </c>
      <c r="R1859" s="2" t="s">
        <v>12510</v>
      </c>
      <c r="S1859" s="2" t="s">
        <v>41</v>
      </c>
      <c r="T1859" s="2" t="s">
        <v>41</v>
      </c>
      <c r="U1859" s="2" t="s">
        <v>41</v>
      </c>
      <c r="V1859" s="2" t="s">
        <v>59</v>
      </c>
      <c r="W1859" s="2">
        <v>42.6</v>
      </c>
      <c r="X1859" s="2">
        <v>14.4</v>
      </c>
      <c r="Y1859" s="2" t="s">
        <v>751</v>
      </c>
      <c r="Z1859" s="2" t="s">
        <v>12511</v>
      </c>
      <c r="AA1859" s="2">
        <v>0.42938006223511199</v>
      </c>
      <c r="AB1859" s="2">
        <v>0.43534567287193099</v>
      </c>
      <c r="AC1859" s="2">
        <v>46028.742068286898</v>
      </c>
      <c r="AD1859" s="2">
        <v>33326.469556768097</v>
      </c>
      <c r="AE1859" s="2">
        <v>46969.518854622802</v>
      </c>
      <c r="AF1859" s="2">
        <v>43917.421107506299</v>
      </c>
      <c r="AG1859" s="2">
        <v>46534.645066487297</v>
      </c>
      <c r="AH1859" s="2">
        <v>45834.326787382401</v>
      </c>
      <c r="AI1859" s="2">
        <v>45156.254319175903</v>
      </c>
      <c r="AJ1859" s="2">
        <v>47760.286274546597</v>
      </c>
      <c r="AK1859" s="2">
        <v>31707.4783097953</v>
      </c>
      <c r="AL1859" s="2">
        <v>32335.936047229399</v>
      </c>
      <c r="AM1859" s="2">
        <v>36013.836402395398</v>
      </c>
      <c r="AN1859" s="2">
        <v>33041.729664371502</v>
      </c>
      <c r="AO1859" s="2">
        <v>33723.011841186199</v>
      </c>
      <c r="AP1859" s="2">
        <v>33136.825075630797</v>
      </c>
    </row>
    <row r="1860" spans="1:42" ht="14.5" x14ac:dyDescent="0.35">
      <c r="A1860" s="2" t="s">
        <v>12512</v>
      </c>
      <c r="B1860" s="2">
        <v>657.26846631754495</v>
      </c>
      <c r="C1860" s="2">
        <v>10.4180166666667</v>
      </c>
      <c r="D1860" s="2" t="s">
        <v>34</v>
      </c>
      <c r="E1860" s="2" t="s">
        <v>12513</v>
      </c>
      <c r="F1860" s="2">
        <v>208259</v>
      </c>
      <c r="G1860" s="3" t="str">
        <f>HYPERLINK("http://funmeta.oebiotech.com/network/208259", "http://funmeta.oebiotech.com/network/208259")</f>
        <v>http://funmeta.oebiotech.com/network/208259</v>
      </c>
      <c r="H1860" s="2" t="s">
        <v>12514</v>
      </c>
      <c r="I1860" s="2"/>
      <c r="J1860" s="2"/>
      <c r="K1860" s="2"/>
      <c r="L1860" s="2"/>
      <c r="M1860" s="2"/>
      <c r="N1860" s="2"/>
      <c r="O1860" s="2">
        <v>3608363</v>
      </c>
      <c r="P1860" s="2"/>
      <c r="Q1860" s="2" t="s">
        <v>12515</v>
      </c>
      <c r="R1860" s="2" t="s">
        <v>12516</v>
      </c>
      <c r="S1860" s="2" t="s">
        <v>115</v>
      </c>
      <c r="T1860" s="2" t="s">
        <v>2840</v>
      </c>
      <c r="U1860" s="2" t="s">
        <v>41</v>
      </c>
      <c r="V1860" s="2" t="s">
        <v>59</v>
      </c>
      <c r="W1860" s="2">
        <v>37.9</v>
      </c>
      <c r="X1860" s="2">
        <v>14.2</v>
      </c>
      <c r="Y1860" s="2" t="s">
        <v>266</v>
      </c>
      <c r="Z1860" s="2" t="s">
        <v>12517</v>
      </c>
      <c r="AA1860" s="2">
        <v>4.6706597755739399</v>
      </c>
      <c r="AB1860" s="2">
        <v>0.43533969474725998</v>
      </c>
      <c r="AC1860" s="2">
        <v>29404.596343997699</v>
      </c>
      <c r="AD1860" s="2">
        <v>16525.896203549499</v>
      </c>
      <c r="AE1860" s="2">
        <v>29744.137966377799</v>
      </c>
      <c r="AF1860" s="2">
        <v>28830.288710708399</v>
      </c>
      <c r="AG1860" s="2">
        <v>27886.4318157835</v>
      </c>
      <c r="AH1860" s="2">
        <v>30578.817486819</v>
      </c>
      <c r="AI1860" s="2">
        <v>27142.155216027</v>
      </c>
      <c r="AJ1860" s="2">
        <v>32245.746868270799</v>
      </c>
      <c r="AK1860" s="2">
        <v>14224.966166689201</v>
      </c>
      <c r="AL1860" s="2">
        <v>14166.822591878599</v>
      </c>
      <c r="AM1860" s="2">
        <v>17837.957016100601</v>
      </c>
      <c r="AN1860" s="2">
        <v>18000.675909761099</v>
      </c>
      <c r="AO1860" s="2">
        <v>18383.4026652965</v>
      </c>
      <c r="AP1860" s="2">
        <v>16541.552871571199</v>
      </c>
    </row>
    <row r="1861" spans="1:42" ht="14.5" x14ac:dyDescent="0.35">
      <c r="A1861" s="2" t="s">
        <v>12518</v>
      </c>
      <c r="B1861" s="2">
        <v>585.30786426440795</v>
      </c>
      <c r="C1861" s="2">
        <v>4.5826500000000001</v>
      </c>
      <c r="D1861" s="2" t="s">
        <v>34</v>
      </c>
      <c r="E1861" s="2" t="s">
        <v>12519</v>
      </c>
      <c r="F1861" s="2">
        <v>203605</v>
      </c>
      <c r="G1861" s="3" t="str">
        <f>HYPERLINK("http://funmeta.oebiotech.com/network/203605", "http://funmeta.oebiotech.com/network/203605")</f>
        <v>http://funmeta.oebiotech.com/network/203605</v>
      </c>
      <c r="H1861" s="2" t="s">
        <v>12520</v>
      </c>
      <c r="I1861" s="2"/>
      <c r="J1861" s="2"/>
      <c r="K1861" s="2"/>
      <c r="L1861" s="2"/>
      <c r="M1861" s="2"/>
      <c r="N1861" s="2"/>
      <c r="O1861" s="2">
        <v>176405</v>
      </c>
      <c r="P1861" s="2"/>
      <c r="Q1861" s="2" t="s">
        <v>12521</v>
      </c>
      <c r="R1861" s="2" t="s">
        <v>12522</v>
      </c>
      <c r="S1861" s="2" t="s">
        <v>89</v>
      </c>
      <c r="T1861" s="2" t="s">
        <v>6048</v>
      </c>
      <c r="U1861" s="2" t="s">
        <v>12523</v>
      </c>
      <c r="V1861" s="2" t="s">
        <v>59</v>
      </c>
      <c r="W1861" s="2">
        <v>37.200000000000003</v>
      </c>
      <c r="X1861" s="2">
        <v>0</v>
      </c>
      <c r="Y1861" s="2" t="s">
        <v>470</v>
      </c>
      <c r="Z1861" s="2" t="s">
        <v>12524</v>
      </c>
      <c r="AA1861" s="2">
        <v>-0.32664770025426398</v>
      </c>
      <c r="AB1861" s="2">
        <v>0.43529489151199902</v>
      </c>
      <c r="AC1861" s="2">
        <v>26021.042903160302</v>
      </c>
      <c r="AD1861" s="2">
        <v>10637.5697109638</v>
      </c>
      <c r="AE1861" s="2">
        <v>21480.768148200001</v>
      </c>
      <c r="AF1861" s="2">
        <v>29925.2502605095</v>
      </c>
      <c r="AG1861" s="2">
        <v>36376.515323379303</v>
      </c>
      <c r="AH1861" s="2">
        <v>18430.770375430198</v>
      </c>
      <c r="AI1861" s="2">
        <v>28828.561452925602</v>
      </c>
      <c r="AJ1861" s="2">
        <v>21084.3918585172</v>
      </c>
      <c r="AK1861" s="2">
        <v>20091.1076335078</v>
      </c>
      <c r="AL1861" s="2">
        <v>10651.5925499598</v>
      </c>
      <c r="AM1861" s="2">
        <v>13520.993212259</v>
      </c>
      <c r="AN1861" s="2">
        <v>5410.1783061095002</v>
      </c>
      <c r="AO1861" s="2">
        <v>7138.9646559083403</v>
      </c>
      <c r="AP1861" s="2">
        <v>7012.5819080384599</v>
      </c>
    </row>
    <row r="1862" spans="1:42" ht="14.5" x14ac:dyDescent="0.35">
      <c r="A1862" s="2" t="s">
        <v>12525</v>
      </c>
      <c r="B1862" s="2">
        <v>599.40944735512801</v>
      </c>
      <c r="C1862" s="2">
        <v>9.9973333333333301</v>
      </c>
      <c r="D1862" s="2" t="s">
        <v>34</v>
      </c>
      <c r="E1862" s="2" t="s">
        <v>12526</v>
      </c>
      <c r="F1862" s="2">
        <v>37442</v>
      </c>
      <c r="G1862" s="3" t="str">
        <f>HYPERLINK("http://funmeta.oebiotech.com/network/37442", "http://funmeta.oebiotech.com/network/37442")</f>
        <v>http://funmeta.oebiotech.com/network/37442</v>
      </c>
      <c r="H1862" s="2" t="s">
        <v>12527</v>
      </c>
      <c r="I1862" s="2">
        <v>5915</v>
      </c>
      <c r="J1862" s="2" t="s">
        <v>12528</v>
      </c>
      <c r="K1862" s="2">
        <v>16835</v>
      </c>
      <c r="L1862" s="2" t="s">
        <v>12529</v>
      </c>
      <c r="M1862" s="2"/>
      <c r="N1862" s="2"/>
      <c r="O1862" s="2">
        <v>5280776</v>
      </c>
      <c r="P1862" s="2" t="s">
        <v>12530</v>
      </c>
      <c r="Q1862" s="2" t="s">
        <v>12531</v>
      </c>
      <c r="R1862" s="2" t="s">
        <v>12532</v>
      </c>
      <c r="S1862" s="2" t="s">
        <v>50</v>
      </c>
      <c r="T1862" s="2" t="s">
        <v>201</v>
      </c>
      <c r="U1862" s="2" t="s">
        <v>12533</v>
      </c>
      <c r="V1862" s="2" t="s">
        <v>59</v>
      </c>
      <c r="W1862" s="2">
        <v>46.9</v>
      </c>
      <c r="X1862" s="2">
        <v>43.2</v>
      </c>
      <c r="Y1862" s="2" t="s">
        <v>323</v>
      </c>
      <c r="Z1862" s="2" t="s">
        <v>12534</v>
      </c>
      <c r="AA1862" s="2">
        <v>4.1053567750872499</v>
      </c>
      <c r="AB1862" s="2">
        <v>0.43502501651937397</v>
      </c>
      <c r="AC1862" s="2">
        <v>62005.913864184098</v>
      </c>
      <c r="AD1862" s="2">
        <v>43524.559626258</v>
      </c>
      <c r="AE1862" s="2">
        <v>58810.023276290303</v>
      </c>
      <c r="AF1862" s="2">
        <v>46202.378133512197</v>
      </c>
      <c r="AG1862" s="2">
        <v>47336.549878198297</v>
      </c>
      <c r="AH1862" s="2">
        <v>85412.494366609506</v>
      </c>
      <c r="AI1862" s="2">
        <v>70608.616351428107</v>
      </c>
      <c r="AJ1862" s="2">
        <v>63665.421179066398</v>
      </c>
      <c r="AK1862" s="2">
        <v>41873.542608044401</v>
      </c>
      <c r="AL1862" s="2">
        <v>39076.466579524698</v>
      </c>
      <c r="AM1862" s="2">
        <v>40924.251292409397</v>
      </c>
      <c r="AN1862" s="2">
        <v>48127.490081265503</v>
      </c>
      <c r="AO1862" s="2">
        <v>48618.434549539903</v>
      </c>
      <c r="AP1862" s="2">
        <v>42527.172646763996</v>
      </c>
    </row>
    <row r="1863" spans="1:42" ht="14.5" x14ac:dyDescent="0.35">
      <c r="A1863" s="2" t="s">
        <v>12535</v>
      </c>
      <c r="B1863" s="2">
        <v>315.19504959311598</v>
      </c>
      <c r="C1863" s="2">
        <v>6.6940999999999997</v>
      </c>
      <c r="D1863" s="2" t="s">
        <v>34</v>
      </c>
      <c r="E1863" s="2" t="s">
        <v>12536</v>
      </c>
      <c r="F1863" s="2">
        <v>35922</v>
      </c>
      <c r="G1863" s="3" t="str">
        <f>HYPERLINK("http://funmeta.oebiotech.com/network/35922", "http://funmeta.oebiotech.com/network/35922")</f>
        <v>http://funmeta.oebiotech.com/network/35922</v>
      </c>
      <c r="H1863" s="2"/>
      <c r="I1863" s="2"/>
      <c r="J1863" s="2" t="s">
        <v>12537</v>
      </c>
      <c r="K1863" s="2"/>
      <c r="L1863" s="2"/>
      <c r="M1863" s="2"/>
      <c r="N1863" s="2"/>
      <c r="O1863" s="2"/>
      <c r="P1863" s="2"/>
      <c r="Q1863" s="2" t="s">
        <v>12538</v>
      </c>
      <c r="R1863" s="2" t="s">
        <v>12539</v>
      </c>
      <c r="S1863" s="2" t="s">
        <v>50</v>
      </c>
      <c r="T1863" s="2" t="s">
        <v>201</v>
      </c>
      <c r="U1863" s="2" t="s">
        <v>241</v>
      </c>
      <c r="V1863" s="2" t="s">
        <v>42</v>
      </c>
      <c r="W1863" s="2">
        <v>49.5</v>
      </c>
      <c r="X1863" s="2">
        <v>63.4</v>
      </c>
      <c r="Y1863" s="2" t="s">
        <v>141</v>
      </c>
      <c r="Z1863" s="2" t="s">
        <v>4980</v>
      </c>
      <c r="AA1863" s="2">
        <v>-1.2689182971991799</v>
      </c>
      <c r="AB1863" s="2">
        <v>0.43449070290174202</v>
      </c>
      <c r="AC1863" s="2">
        <v>49438.605140818698</v>
      </c>
      <c r="AD1863" s="2">
        <v>35971.641017608803</v>
      </c>
      <c r="AE1863" s="2">
        <v>48047.212296403901</v>
      </c>
      <c r="AF1863" s="2">
        <v>51463.360854600702</v>
      </c>
      <c r="AG1863" s="2">
        <v>52416.146443121797</v>
      </c>
      <c r="AH1863" s="2">
        <v>46213.063292629296</v>
      </c>
      <c r="AI1863" s="2">
        <v>49733.553189576902</v>
      </c>
      <c r="AJ1863" s="2">
        <v>48758.294768579603</v>
      </c>
      <c r="AK1863" s="2">
        <v>32566.9474460653</v>
      </c>
      <c r="AL1863" s="2">
        <v>41882.795863717198</v>
      </c>
      <c r="AM1863" s="2">
        <v>37051.896002912399</v>
      </c>
      <c r="AN1863" s="2">
        <v>38690.785283706602</v>
      </c>
      <c r="AO1863" s="2">
        <v>32819.667578551103</v>
      </c>
      <c r="AP1863" s="2">
        <v>32817.753930700099</v>
      </c>
    </row>
    <row r="1864" spans="1:42" ht="14.5" x14ac:dyDescent="0.35">
      <c r="A1864" s="2" t="s">
        <v>12540</v>
      </c>
      <c r="B1864" s="2">
        <v>868.35581290728499</v>
      </c>
      <c r="C1864" s="2">
        <v>9.8236333333333299</v>
      </c>
      <c r="D1864" s="2" t="s">
        <v>70</v>
      </c>
      <c r="E1864" s="2" t="s">
        <v>12541</v>
      </c>
      <c r="F1864" s="2">
        <v>55323</v>
      </c>
      <c r="G1864" s="3" t="str">
        <f>HYPERLINK("http://funmeta.oebiotech.com/network/55323", "http://funmeta.oebiotech.com/network/55323")</f>
        <v>http://funmeta.oebiotech.com/network/55323</v>
      </c>
      <c r="H1864" s="2" t="s">
        <v>12542</v>
      </c>
      <c r="I1864" s="2"/>
      <c r="J1864" s="2"/>
      <c r="K1864" s="2"/>
      <c r="L1864" s="2" t="s">
        <v>12543</v>
      </c>
      <c r="M1864" s="2"/>
      <c r="N1864" s="2"/>
      <c r="O1864" s="2">
        <v>122731</v>
      </c>
      <c r="P1864" s="2" t="s">
        <v>12544</v>
      </c>
      <c r="Q1864" s="2" t="s">
        <v>12545</v>
      </c>
      <c r="R1864" s="2" t="s">
        <v>12546</v>
      </c>
      <c r="S1864" s="2" t="s">
        <v>89</v>
      </c>
      <c r="T1864" s="2" t="s">
        <v>1600</v>
      </c>
      <c r="U1864" s="2" t="s">
        <v>1601</v>
      </c>
      <c r="V1864" s="2" t="s">
        <v>42</v>
      </c>
      <c r="W1864" s="2">
        <v>50.2</v>
      </c>
      <c r="X1864" s="2">
        <v>65.3</v>
      </c>
      <c r="Y1864" s="2" t="s">
        <v>408</v>
      </c>
      <c r="Z1864" s="2" t="s">
        <v>12547</v>
      </c>
      <c r="AA1864" s="2">
        <v>4.2742687436666502</v>
      </c>
      <c r="AB1864" s="2">
        <v>0.43442500452558402</v>
      </c>
      <c r="AC1864" s="2">
        <v>19056.719168958301</v>
      </c>
      <c r="AD1864" s="2">
        <v>6484.3723933964002</v>
      </c>
      <c r="AE1864" s="2">
        <v>17874.419326687501</v>
      </c>
      <c r="AF1864" s="2">
        <v>21819.832678345199</v>
      </c>
      <c r="AG1864" s="2">
        <v>18141.592557902299</v>
      </c>
      <c r="AH1864" s="2">
        <v>19727.7612427489</v>
      </c>
      <c r="AI1864" s="2">
        <v>18166.448529843601</v>
      </c>
      <c r="AJ1864" s="2">
        <v>18610.260678222399</v>
      </c>
      <c r="AK1864" s="2">
        <v>6076.52428850049</v>
      </c>
      <c r="AL1864" s="2">
        <v>6994.1779978149598</v>
      </c>
      <c r="AM1864" s="2">
        <v>7300.39499070081</v>
      </c>
      <c r="AN1864" s="2">
        <v>5072.4242080005397</v>
      </c>
      <c r="AO1864" s="2">
        <v>5800.12303893642</v>
      </c>
      <c r="AP1864" s="2">
        <v>7662.5898364251898</v>
      </c>
    </row>
    <row r="1865" spans="1:42" ht="14.5" x14ac:dyDescent="0.35">
      <c r="A1865" s="2" t="s">
        <v>12548</v>
      </c>
      <c r="B1865" s="2">
        <v>394.083431735636</v>
      </c>
      <c r="C1865" s="2">
        <v>3.7303666666666699</v>
      </c>
      <c r="D1865" s="2" t="s">
        <v>70</v>
      </c>
      <c r="E1865" s="2" t="s">
        <v>12549</v>
      </c>
      <c r="F1865" s="2">
        <v>200931</v>
      </c>
      <c r="G1865" s="3" t="str">
        <f>HYPERLINK("http://funmeta.oebiotech.com/network/200931", "http://funmeta.oebiotech.com/network/200931")</f>
        <v>http://funmeta.oebiotech.com/network/200931</v>
      </c>
      <c r="H1865" s="2" t="s">
        <v>12550</v>
      </c>
      <c r="I1865" s="2"/>
      <c r="J1865" s="2"/>
      <c r="K1865" s="2"/>
      <c r="L1865" s="2"/>
      <c r="M1865" s="2"/>
      <c r="N1865" s="2"/>
      <c r="O1865" s="2">
        <v>11545682</v>
      </c>
      <c r="P1865" s="2"/>
      <c r="Q1865" s="2" t="s">
        <v>12551</v>
      </c>
      <c r="R1865" s="2" t="s">
        <v>12552</v>
      </c>
      <c r="S1865" s="2" t="s">
        <v>41</v>
      </c>
      <c r="T1865" s="2" t="s">
        <v>41</v>
      </c>
      <c r="U1865" s="2" t="s">
        <v>41</v>
      </c>
      <c r="V1865" s="2" t="s">
        <v>59</v>
      </c>
      <c r="W1865" s="2">
        <v>36.700000000000003</v>
      </c>
      <c r="X1865" s="2">
        <v>0</v>
      </c>
      <c r="Y1865" s="2" t="s">
        <v>118</v>
      </c>
      <c r="Z1865" s="2" t="s">
        <v>12553</v>
      </c>
      <c r="AA1865" s="2">
        <v>-2.0862482136768499</v>
      </c>
      <c r="AB1865" s="2">
        <v>0.43441505137913899</v>
      </c>
      <c r="AC1865" s="2">
        <v>26843.498036949299</v>
      </c>
      <c r="AD1865" s="2">
        <v>39405.755352275497</v>
      </c>
      <c r="AE1865" s="2">
        <v>26705.741634142501</v>
      </c>
      <c r="AF1865" s="2">
        <v>25900.691490420199</v>
      </c>
      <c r="AG1865" s="2">
        <v>27222.276694917298</v>
      </c>
      <c r="AH1865" s="2">
        <v>25529.837775591899</v>
      </c>
      <c r="AI1865" s="2">
        <v>27296.755676947199</v>
      </c>
      <c r="AJ1865" s="2">
        <v>28405.684949676699</v>
      </c>
      <c r="AK1865" s="2">
        <v>37479.191176883702</v>
      </c>
      <c r="AL1865" s="2">
        <v>39461.819268785403</v>
      </c>
      <c r="AM1865" s="2">
        <v>41114.937034784802</v>
      </c>
      <c r="AN1865" s="2">
        <v>40821.980388243101</v>
      </c>
      <c r="AO1865" s="2">
        <v>38305.534714128502</v>
      </c>
      <c r="AP1865" s="2">
        <v>39251.069530827299</v>
      </c>
    </row>
    <row r="1866" spans="1:42" ht="14.5" x14ac:dyDescent="0.35">
      <c r="A1866" s="2" t="s">
        <v>12554</v>
      </c>
      <c r="B1866" s="2">
        <v>220.09683048144899</v>
      </c>
      <c r="C1866" s="2">
        <v>9.3124666666666691</v>
      </c>
      <c r="D1866" s="2" t="s">
        <v>34</v>
      </c>
      <c r="E1866" s="2" t="s">
        <v>12555</v>
      </c>
      <c r="F1866" s="2">
        <v>202697</v>
      </c>
      <c r="G1866" s="3" t="str">
        <f>HYPERLINK("http://funmeta.oebiotech.com/network/202697", "http://funmeta.oebiotech.com/network/202697")</f>
        <v>http://funmeta.oebiotech.com/network/202697</v>
      </c>
      <c r="H1866" s="2" t="s">
        <v>12556</v>
      </c>
      <c r="I1866" s="2"/>
      <c r="J1866" s="2"/>
      <c r="K1866" s="2"/>
      <c r="L1866" s="2"/>
      <c r="M1866" s="2"/>
      <c r="N1866" s="2"/>
      <c r="O1866" s="2">
        <v>21574476</v>
      </c>
      <c r="P1866" s="2"/>
      <c r="Q1866" s="2" t="s">
        <v>12557</v>
      </c>
      <c r="R1866" s="2" t="s">
        <v>12558</v>
      </c>
      <c r="S1866" s="2" t="s">
        <v>491</v>
      </c>
      <c r="T1866" s="2" t="s">
        <v>12559</v>
      </c>
      <c r="U1866" s="2" t="s">
        <v>41</v>
      </c>
      <c r="V1866" s="2" t="s">
        <v>59</v>
      </c>
      <c r="W1866" s="2">
        <v>43.2</v>
      </c>
      <c r="X1866" s="2">
        <v>18.7</v>
      </c>
      <c r="Y1866" s="2" t="s">
        <v>394</v>
      </c>
      <c r="Z1866" s="2" t="s">
        <v>12560</v>
      </c>
      <c r="AA1866" s="2">
        <v>4.9153688542390897E-2</v>
      </c>
      <c r="AB1866" s="2">
        <v>0.43432082342341199</v>
      </c>
      <c r="AC1866" s="2">
        <v>34283.675412223798</v>
      </c>
      <c r="AD1866" s="2">
        <v>21786.8709315087</v>
      </c>
      <c r="AE1866" s="2">
        <v>34568.997516565403</v>
      </c>
      <c r="AF1866" s="2">
        <v>34426.149774291298</v>
      </c>
      <c r="AG1866" s="2">
        <v>34341.3122039503</v>
      </c>
      <c r="AH1866" s="2">
        <v>34524.860832523897</v>
      </c>
      <c r="AI1866" s="2">
        <v>33784.454042720397</v>
      </c>
      <c r="AJ1866" s="2">
        <v>34056.278103291399</v>
      </c>
      <c r="AK1866" s="2">
        <v>21270.569878033599</v>
      </c>
      <c r="AL1866" s="2">
        <v>24695.526735660402</v>
      </c>
      <c r="AM1866" s="2">
        <v>20868.002664696302</v>
      </c>
      <c r="AN1866" s="2">
        <v>20869.820113988699</v>
      </c>
      <c r="AO1866" s="2">
        <v>21405.3446813355</v>
      </c>
      <c r="AP1866" s="2">
        <v>21611.9615153376</v>
      </c>
    </row>
    <row r="1867" spans="1:42" ht="14.5" x14ac:dyDescent="0.35">
      <c r="A1867" s="2" t="s">
        <v>12561</v>
      </c>
      <c r="B1867" s="2">
        <v>842.47636905361605</v>
      </c>
      <c r="C1867" s="2">
        <v>5.6720833333333296</v>
      </c>
      <c r="D1867" s="2" t="s">
        <v>34</v>
      </c>
      <c r="E1867" s="2" t="s">
        <v>12562</v>
      </c>
      <c r="F1867" s="2">
        <v>267228</v>
      </c>
      <c r="G1867" s="3" t="str">
        <f>HYPERLINK("http://funmeta.oebiotech.com/network/267228", "http://funmeta.oebiotech.com/network/267228")</f>
        <v>http://funmeta.oebiotech.com/network/267228</v>
      </c>
      <c r="H1867" s="2"/>
      <c r="I1867" s="2">
        <v>45052</v>
      </c>
      <c r="J1867" s="2"/>
      <c r="K1867" s="2"/>
      <c r="L1867" s="2" t="s">
        <v>12563</v>
      </c>
      <c r="M1867" s="2"/>
      <c r="N1867" s="2"/>
      <c r="O1867" s="2">
        <v>14217092</v>
      </c>
      <c r="P1867" s="2" t="s">
        <v>12564</v>
      </c>
      <c r="Q1867" s="2" t="s">
        <v>12565</v>
      </c>
      <c r="R1867" s="2" t="s">
        <v>12566</v>
      </c>
      <c r="S1867" s="2" t="s">
        <v>89</v>
      </c>
      <c r="T1867" s="2" t="s">
        <v>90</v>
      </c>
      <c r="U1867" s="2" t="s">
        <v>99</v>
      </c>
      <c r="V1867" s="2" t="s">
        <v>59</v>
      </c>
      <c r="W1867" s="2">
        <v>36</v>
      </c>
      <c r="X1867" s="2">
        <v>0</v>
      </c>
      <c r="Y1867" s="2" t="s">
        <v>43</v>
      </c>
      <c r="Z1867" s="2" t="s">
        <v>12567</v>
      </c>
      <c r="AA1867" s="2">
        <v>-0.84497579606643902</v>
      </c>
      <c r="AB1867" s="2">
        <v>0.43420201619926102</v>
      </c>
      <c r="AC1867" s="2">
        <v>63096.266042955198</v>
      </c>
      <c r="AD1867" s="2">
        <v>46892.668980538001</v>
      </c>
      <c r="AE1867" s="2">
        <v>63300.4174811872</v>
      </c>
      <c r="AF1867" s="2">
        <v>59469.809615232698</v>
      </c>
      <c r="AG1867" s="2">
        <v>60343.530778349799</v>
      </c>
      <c r="AH1867" s="2">
        <v>74567.732783424901</v>
      </c>
      <c r="AI1867" s="2">
        <v>57816.8243453494</v>
      </c>
      <c r="AJ1867" s="2">
        <v>63079.281254187401</v>
      </c>
      <c r="AK1867" s="2">
        <v>41377.836223186197</v>
      </c>
      <c r="AL1867" s="2">
        <v>37749.302407192699</v>
      </c>
      <c r="AM1867" s="2">
        <v>53063.530659211698</v>
      </c>
      <c r="AN1867" s="2">
        <v>56414.2237602327</v>
      </c>
      <c r="AO1867" s="2">
        <v>38283.6142156352</v>
      </c>
      <c r="AP1867" s="2">
        <v>54467.506617769599</v>
      </c>
    </row>
    <row r="1868" spans="1:42" ht="14.5" x14ac:dyDescent="0.35">
      <c r="A1868" s="2" t="s">
        <v>12568</v>
      </c>
      <c r="B1868" s="2">
        <v>332.073883743892</v>
      </c>
      <c r="C1868" s="2">
        <v>4.2432666666666696</v>
      </c>
      <c r="D1868" s="2" t="s">
        <v>34</v>
      </c>
      <c r="E1868" s="2" t="s">
        <v>12569</v>
      </c>
      <c r="F1868" s="2">
        <v>54320</v>
      </c>
      <c r="G1868" s="3" t="str">
        <f>HYPERLINK("http://funmeta.oebiotech.com/network/54320", "http://funmeta.oebiotech.com/network/54320")</f>
        <v>http://funmeta.oebiotech.com/network/54320</v>
      </c>
      <c r="H1868" s="2" t="s">
        <v>12570</v>
      </c>
      <c r="I1868" s="2">
        <v>86214</v>
      </c>
      <c r="J1868" s="2"/>
      <c r="K1868" s="2"/>
      <c r="L1868" s="2"/>
      <c r="M1868" s="2"/>
      <c r="N1868" s="2"/>
      <c r="O1868" s="2">
        <v>156908031</v>
      </c>
      <c r="P1868" s="2" t="s">
        <v>12571</v>
      </c>
      <c r="Q1868" s="2" t="s">
        <v>12572</v>
      </c>
      <c r="R1868" s="2" t="s">
        <v>12573</v>
      </c>
      <c r="S1868" s="2" t="s">
        <v>89</v>
      </c>
      <c r="T1868" s="2" t="s">
        <v>90</v>
      </c>
      <c r="U1868" s="2" t="s">
        <v>99</v>
      </c>
      <c r="V1868" s="2" t="s">
        <v>59</v>
      </c>
      <c r="W1868" s="2">
        <v>39.1</v>
      </c>
      <c r="X1868" s="2">
        <v>0</v>
      </c>
      <c r="Y1868" s="2" t="s">
        <v>1129</v>
      </c>
      <c r="Z1868" s="2" t="s">
        <v>12574</v>
      </c>
      <c r="AA1868" s="2">
        <v>-1.1630632791339299</v>
      </c>
      <c r="AB1868" s="2">
        <v>0.43420041144724703</v>
      </c>
      <c r="AC1868" s="2">
        <v>37810.445308927898</v>
      </c>
      <c r="AD1868" s="2">
        <v>25311.622241890102</v>
      </c>
      <c r="AE1868" s="2">
        <v>36890.285767806803</v>
      </c>
      <c r="AF1868" s="2">
        <v>37762.910988582204</v>
      </c>
      <c r="AG1868" s="2">
        <v>36833.704392310101</v>
      </c>
      <c r="AH1868" s="2">
        <v>40096.373247894502</v>
      </c>
      <c r="AI1868" s="2">
        <v>37022.163640760104</v>
      </c>
      <c r="AJ1868" s="2">
        <v>38257.2338162136</v>
      </c>
      <c r="AK1868" s="2">
        <v>24783.936538777099</v>
      </c>
      <c r="AL1868" s="2">
        <v>25989.7673557737</v>
      </c>
      <c r="AM1868" s="2">
        <v>24545.9453347005</v>
      </c>
      <c r="AN1868" s="2">
        <v>25314.037396201998</v>
      </c>
      <c r="AO1868" s="2">
        <v>24919.378972160699</v>
      </c>
      <c r="AP1868" s="2">
        <v>26316.6678537263</v>
      </c>
    </row>
    <row r="1869" spans="1:42" ht="14.5" x14ac:dyDescent="0.35">
      <c r="A1869" s="2" t="s">
        <v>12575</v>
      </c>
      <c r="B1869" s="2">
        <v>507.22313685186703</v>
      </c>
      <c r="C1869" s="2">
        <v>6.6124999999999998</v>
      </c>
      <c r="D1869" s="2" t="s">
        <v>70</v>
      </c>
      <c r="E1869" s="2" t="s">
        <v>12576</v>
      </c>
      <c r="F1869" s="2">
        <v>60653</v>
      </c>
      <c r="G1869" s="3" t="str">
        <f>HYPERLINK("http://funmeta.oebiotech.com/network/60653", "http://funmeta.oebiotech.com/network/60653")</f>
        <v>http://funmeta.oebiotech.com/network/60653</v>
      </c>
      <c r="H1869" s="2" t="s">
        <v>12577</v>
      </c>
      <c r="I1869" s="2">
        <v>91985</v>
      </c>
      <c r="J1869" s="2"/>
      <c r="K1869" s="2"/>
      <c r="L1869" s="2"/>
      <c r="M1869" s="2"/>
      <c r="N1869" s="2"/>
      <c r="O1869" s="2">
        <v>73822377</v>
      </c>
      <c r="P1869" s="2" t="s">
        <v>12578</v>
      </c>
      <c r="Q1869" s="2" t="s">
        <v>12579</v>
      </c>
      <c r="R1869" s="2" t="s">
        <v>12580</v>
      </c>
      <c r="S1869" s="2" t="s">
        <v>491</v>
      </c>
      <c r="T1869" s="2" t="s">
        <v>2943</v>
      </c>
      <c r="U1869" s="2" t="s">
        <v>41</v>
      </c>
      <c r="V1869" s="2" t="s">
        <v>42</v>
      </c>
      <c r="W1869" s="2">
        <v>56.9</v>
      </c>
      <c r="X1869" s="2">
        <v>93.3</v>
      </c>
      <c r="Y1869" s="2" t="s">
        <v>118</v>
      </c>
      <c r="Z1869" s="2" t="s">
        <v>5071</v>
      </c>
      <c r="AA1869" s="2">
        <v>-0.85407301726349405</v>
      </c>
      <c r="AB1869" s="2">
        <v>0.434173984651404</v>
      </c>
      <c r="AC1869" s="2">
        <v>15338.8888803187</v>
      </c>
      <c r="AD1869" s="2">
        <v>2839.9049745478301</v>
      </c>
      <c r="AE1869" s="2">
        <v>14767.9893352459</v>
      </c>
      <c r="AF1869" s="2">
        <v>13817.383009547701</v>
      </c>
      <c r="AG1869" s="2">
        <v>17165.115149803602</v>
      </c>
      <c r="AH1869" s="2">
        <v>15659.7025938767</v>
      </c>
      <c r="AI1869" s="2">
        <v>15377.063819549599</v>
      </c>
      <c r="AJ1869" s="2">
        <v>15246.079373888701</v>
      </c>
      <c r="AK1869" s="2">
        <v>4019.1897242039599</v>
      </c>
      <c r="AL1869" s="2">
        <v>2732.4417904817801</v>
      </c>
      <c r="AM1869" s="2">
        <v>1708.1756282721101</v>
      </c>
      <c r="AN1869" s="2">
        <v>3451.0912230629201</v>
      </c>
      <c r="AO1869" s="2">
        <v>3102.9275241360401</v>
      </c>
      <c r="AP1869" s="2">
        <v>2025.6039571301901</v>
      </c>
    </row>
    <row r="1870" spans="1:42" ht="14.5" x14ac:dyDescent="0.35">
      <c r="A1870" s="2" t="s">
        <v>12581</v>
      </c>
      <c r="B1870" s="2">
        <v>677.18588635267804</v>
      </c>
      <c r="C1870" s="2">
        <v>3.7870499999999998</v>
      </c>
      <c r="D1870" s="2" t="s">
        <v>70</v>
      </c>
      <c r="E1870" s="2" t="s">
        <v>12582</v>
      </c>
      <c r="F1870" s="2">
        <v>56448</v>
      </c>
      <c r="G1870" s="3" t="str">
        <f>HYPERLINK("http://funmeta.oebiotech.com/network/56448", "http://funmeta.oebiotech.com/network/56448")</f>
        <v>http://funmeta.oebiotech.com/network/56448</v>
      </c>
      <c r="H1870" s="2" t="s">
        <v>12583</v>
      </c>
      <c r="I1870" s="2"/>
      <c r="J1870" s="2"/>
      <c r="K1870" s="2"/>
      <c r="L1870" s="2"/>
      <c r="M1870" s="2"/>
      <c r="N1870" s="2"/>
      <c r="O1870" s="2">
        <v>131751237</v>
      </c>
      <c r="P1870" s="2"/>
      <c r="Q1870" s="2" t="s">
        <v>12584</v>
      </c>
      <c r="R1870" s="2" t="s">
        <v>12585</v>
      </c>
      <c r="S1870" s="2" t="s">
        <v>115</v>
      </c>
      <c r="T1870" s="2" t="s">
        <v>139</v>
      </c>
      <c r="U1870" s="2" t="s">
        <v>140</v>
      </c>
      <c r="V1870" s="2" t="s">
        <v>59</v>
      </c>
      <c r="W1870" s="2">
        <v>37.6</v>
      </c>
      <c r="X1870" s="2">
        <v>0</v>
      </c>
      <c r="Y1870" s="2" t="s">
        <v>751</v>
      </c>
      <c r="Z1870" s="2" t="s">
        <v>12586</v>
      </c>
      <c r="AA1870" s="2">
        <v>-2.4317179841322201</v>
      </c>
      <c r="AB1870" s="2">
        <v>0.434019210241326</v>
      </c>
      <c r="AC1870" s="2">
        <v>35154.105904855503</v>
      </c>
      <c r="AD1870" s="2">
        <v>22088.491487777301</v>
      </c>
      <c r="AE1870" s="2">
        <v>32173.735189978601</v>
      </c>
      <c r="AF1870" s="2">
        <v>36178.090158211897</v>
      </c>
      <c r="AG1870" s="2">
        <v>37162.668769368698</v>
      </c>
      <c r="AH1870" s="2">
        <v>34786.443960946301</v>
      </c>
      <c r="AI1870" s="2">
        <v>32186.725100634099</v>
      </c>
      <c r="AJ1870" s="2">
        <v>38436.972249993501</v>
      </c>
      <c r="AK1870" s="2">
        <v>20050.965370405302</v>
      </c>
      <c r="AL1870" s="2">
        <v>20364.164731296001</v>
      </c>
      <c r="AM1870" s="2">
        <v>26142.015791879101</v>
      </c>
      <c r="AN1870" s="2">
        <v>23144.5342791238</v>
      </c>
      <c r="AO1870" s="2">
        <v>22398.961467146801</v>
      </c>
      <c r="AP1870" s="2">
        <v>20430.307286812698</v>
      </c>
    </row>
    <row r="1871" spans="1:42" ht="14.5" x14ac:dyDescent="0.35">
      <c r="A1871" s="2" t="s">
        <v>12587</v>
      </c>
      <c r="B1871" s="2">
        <v>497.16251627745498</v>
      </c>
      <c r="C1871" s="2">
        <v>4.6168333333333296</v>
      </c>
      <c r="D1871" s="2" t="s">
        <v>34</v>
      </c>
      <c r="E1871" s="2" t="s">
        <v>12588</v>
      </c>
      <c r="F1871" s="2">
        <v>59996</v>
      </c>
      <c r="G1871" s="3" t="str">
        <f>HYPERLINK("http://funmeta.oebiotech.com/network/59996", "http://funmeta.oebiotech.com/network/59996")</f>
        <v>http://funmeta.oebiotech.com/network/59996</v>
      </c>
      <c r="H1871" s="2" t="s">
        <v>12589</v>
      </c>
      <c r="I1871" s="2">
        <v>91362</v>
      </c>
      <c r="J1871" s="2"/>
      <c r="K1871" s="2">
        <v>168320</v>
      </c>
      <c r="L1871" s="2"/>
      <c r="M1871" s="2"/>
      <c r="N1871" s="2"/>
      <c r="O1871" s="2">
        <v>131751922</v>
      </c>
      <c r="P1871" s="2" t="s">
        <v>12590</v>
      </c>
      <c r="Q1871" s="2" t="s">
        <v>12591</v>
      </c>
      <c r="R1871" s="2" t="s">
        <v>12592</v>
      </c>
      <c r="S1871" s="2" t="s">
        <v>50</v>
      </c>
      <c r="T1871" s="2" t="s">
        <v>229</v>
      </c>
      <c r="U1871" s="2" t="s">
        <v>230</v>
      </c>
      <c r="V1871" s="2" t="s">
        <v>59</v>
      </c>
      <c r="W1871" s="2">
        <v>39</v>
      </c>
      <c r="X1871" s="2">
        <v>1.29</v>
      </c>
      <c r="Y1871" s="2" t="s">
        <v>323</v>
      </c>
      <c r="Z1871" s="2" t="s">
        <v>12593</v>
      </c>
      <c r="AA1871" s="2">
        <v>-0.90852643420155299</v>
      </c>
      <c r="AB1871" s="2">
        <v>0.43372805687632998</v>
      </c>
      <c r="AC1871" s="2">
        <v>48050.619740661197</v>
      </c>
      <c r="AD1871" s="2">
        <v>62286.825602127297</v>
      </c>
      <c r="AE1871" s="2">
        <v>45241.0687576415</v>
      </c>
      <c r="AF1871" s="2">
        <v>58908.847738814598</v>
      </c>
      <c r="AG1871" s="2">
        <v>43257.266962749003</v>
      </c>
      <c r="AH1871" s="2">
        <v>44067.226637433101</v>
      </c>
      <c r="AI1871" s="2">
        <v>49618.675951442201</v>
      </c>
      <c r="AJ1871" s="2">
        <v>47210.632395886598</v>
      </c>
      <c r="AK1871" s="2">
        <v>66609.399609302098</v>
      </c>
      <c r="AL1871" s="2">
        <v>61965.5950743051</v>
      </c>
      <c r="AM1871" s="2">
        <v>63227.393257222102</v>
      </c>
      <c r="AN1871" s="2">
        <v>62438.260210975903</v>
      </c>
      <c r="AO1871" s="2">
        <v>60132.026072908498</v>
      </c>
      <c r="AP1871" s="2">
        <v>59348.279388050301</v>
      </c>
    </row>
    <row r="1872" spans="1:42" ht="14.5" x14ac:dyDescent="0.35">
      <c r="A1872" s="2" t="s">
        <v>12594</v>
      </c>
      <c r="B1872" s="2">
        <v>383.14971270090598</v>
      </c>
      <c r="C1872" s="2">
        <v>7.0086666666666702</v>
      </c>
      <c r="D1872" s="2" t="s">
        <v>70</v>
      </c>
      <c r="E1872" s="2" t="s">
        <v>12595</v>
      </c>
      <c r="F1872" s="2">
        <v>33914</v>
      </c>
      <c r="G1872" s="3" t="str">
        <f>HYPERLINK("http://funmeta.oebiotech.com/network/33914", "http://funmeta.oebiotech.com/network/33914")</f>
        <v>http://funmeta.oebiotech.com/network/33914</v>
      </c>
      <c r="H1872" s="2"/>
      <c r="I1872" s="2">
        <v>52227</v>
      </c>
      <c r="J1872" s="2" t="s">
        <v>12596</v>
      </c>
      <c r="K1872" s="2"/>
      <c r="L1872" s="2"/>
      <c r="M1872" s="2"/>
      <c r="N1872" s="2"/>
      <c r="O1872" s="2">
        <v>5318998</v>
      </c>
      <c r="P1872" s="2" t="s">
        <v>12597</v>
      </c>
      <c r="Q1872" s="2" t="s">
        <v>12598</v>
      </c>
      <c r="R1872" s="2" t="s">
        <v>12599</v>
      </c>
      <c r="S1872" s="2" t="s">
        <v>115</v>
      </c>
      <c r="T1872" s="2" t="s">
        <v>12600</v>
      </c>
      <c r="U1872" s="2" t="s">
        <v>12601</v>
      </c>
      <c r="V1872" s="2" t="s">
        <v>59</v>
      </c>
      <c r="W1872" s="2">
        <v>38.700000000000003</v>
      </c>
      <c r="X1872" s="2">
        <v>0</v>
      </c>
      <c r="Y1872" s="2" t="s">
        <v>408</v>
      </c>
      <c r="Z1872" s="2" t="s">
        <v>8866</v>
      </c>
      <c r="AA1872" s="2">
        <v>-0.88526178469074801</v>
      </c>
      <c r="AB1872" s="2">
        <v>0.43372678057007502</v>
      </c>
      <c r="AC1872" s="2">
        <v>12462.817857841401</v>
      </c>
      <c r="AD1872" s="2">
        <v>2.7106294003980101E-5</v>
      </c>
      <c r="AE1872" s="2">
        <v>11814.813581456199</v>
      </c>
      <c r="AF1872" s="2">
        <v>13122.952860398</v>
      </c>
      <c r="AG1872" s="2">
        <v>11672.805122772001</v>
      </c>
      <c r="AH1872" s="2">
        <v>12870.4295365694</v>
      </c>
      <c r="AI1872" s="2">
        <v>14295.8402071081</v>
      </c>
      <c r="AJ1872" s="2">
        <v>11000.065838745</v>
      </c>
      <c r="AK1872" s="2">
        <v>2.7106294003980101E-5</v>
      </c>
      <c r="AL1872" s="2">
        <v>2.7106294003980101E-5</v>
      </c>
      <c r="AM1872" s="2">
        <v>2.7106294003980101E-5</v>
      </c>
      <c r="AN1872" s="2">
        <v>2.7106294003980101E-5</v>
      </c>
      <c r="AO1872" s="2">
        <v>2.7106294003980101E-5</v>
      </c>
      <c r="AP1872" s="2">
        <v>2.7106294003980101E-5</v>
      </c>
    </row>
    <row r="1873" spans="1:42" ht="14.5" x14ac:dyDescent="0.35">
      <c r="A1873" s="2" t="s">
        <v>12602</v>
      </c>
      <c r="B1873" s="2">
        <v>1031.5162950198701</v>
      </c>
      <c r="C1873" s="2">
        <v>5.2179000000000002</v>
      </c>
      <c r="D1873" s="2" t="s">
        <v>34</v>
      </c>
      <c r="E1873" s="2" t="s">
        <v>12603</v>
      </c>
      <c r="F1873" s="2">
        <v>244012</v>
      </c>
      <c r="G1873" s="3" t="str">
        <f>HYPERLINK("http://funmeta.oebiotech.com/network/244012", "http://funmeta.oebiotech.com/network/244012")</f>
        <v>http://funmeta.oebiotech.com/network/244012</v>
      </c>
      <c r="H1873" s="2" t="s">
        <v>12604</v>
      </c>
      <c r="I1873" s="2"/>
      <c r="J1873" s="2"/>
      <c r="K1873" s="2"/>
      <c r="L1873" s="2"/>
      <c r="M1873" s="2"/>
      <c r="N1873" s="2"/>
      <c r="O1873" s="2"/>
      <c r="P1873" s="2"/>
      <c r="Q1873" s="2" t="s">
        <v>12605</v>
      </c>
      <c r="R1873" s="2" t="s">
        <v>12606</v>
      </c>
      <c r="S1873" s="2" t="s">
        <v>41</v>
      </c>
      <c r="T1873" s="2" t="s">
        <v>41</v>
      </c>
      <c r="U1873" s="2" t="s">
        <v>41</v>
      </c>
      <c r="V1873" s="2" t="s">
        <v>59</v>
      </c>
      <c r="W1873" s="2">
        <v>36.9</v>
      </c>
      <c r="X1873" s="2">
        <v>0</v>
      </c>
      <c r="Y1873" s="2" t="s">
        <v>43</v>
      </c>
      <c r="Z1873" s="2" t="s">
        <v>12607</v>
      </c>
      <c r="AA1873" s="2">
        <v>4.5021535182719097</v>
      </c>
      <c r="AB1873" s="2">
        <v>0.43350296894796603</v>
      </c>
      <c r="AC1873" s="2">
        <v>27133.004047112201</v>
      </c>
      <c r="AD1873" s="2">
        <v>40604.387520945398</v>
      </c>
      <c r="AE1873" s="2">
        <v>22789.0897290711</v>
      </c>
      <c r="AF1873" s="2">
        <v>27208.7817351218</v>
      </c>
      <c r="AG1873" s="2">
        <v>29847.969503422501</v>
      </c>
      <c r="AH1873" s="2">
        <v>24028.086847909799</v>
      </c>
      <c r="AI1873" s="2">
        <v>29063.377344997501</v>
      </c>
      <c r="AJ1873" s="2">
        <v>29860.7191221504</v>
      </c>
      <c r="AK1873" s="2">
        <v>39562.603672421901</v>
      </c>
      <c r="AL1873" s="2">
        <v>44365.007736239299</v>
      </c>
      <c r="AM1873" s="2">
        <v>41952.916829616901</v>
      </c>
      <c r="AN1873" s="2">
        <v>43369.792402151303</v>
      </c>
      <c r="AO1873" s="2">
        <v>34760.3322132658</v>
      </c>
      <c r="AP1873" s="2">
        <v>39615.672271977499</v>
      </c>
    </row>
    <row r="1874" spans="1:42" ht="14.5" x14ac:dyDescent="0.35">
      <c r="A1874" s="2" t="s">
        <v>12608</v>
      </c>
      <c r="B1874" s="2">
        <v>277.21598202865601</v>
      </c>
      <c r="C1874" s="2">
        <v>10.2458166666667</v>
      </c>
      <c r="D1874" s="2" t="s">
        <v>34</v>
      </c>
      <c r="E1874" s="2" t="s">
        <v>12609</v>
      </c>
      <c r="F1874" s="2">
        <v>3193</v>
      </c>
      <c r="G1874" s="3" t="str">
        <f>HYPERLINK("http://funmeta.oebiotech.com/network/3193", "http://funmeta.oebiotech.com/network/3193")</f>
        <v>http://funmeta.oebiotech.com/network/3193</v>
      </c>
      <c r="H1874" s="2" t="s">
        <v>12610</v>
      </c>
      <c r="I1874" s="2">
        <v>45842</v>
      </c>
      <c r="J1874" s="2" t="s">
        <v>12611</v>
      </c>
      <c r="K1874" s="2"/>
      <c r="L1874" s="2"/>
      <c r="M1874" s="2"/>
      <c r="N1874" s="2"/>
      <c r="O1874" s="2">
        <v>44256502</v>
      </c>
      <c r="P1874" s="2"/>
      <c r="Q1874" s="2" t="s">
        <v>12612</v>
      </c>
      <c r="R1874" s="2" t="s">
        <v>12613</v>
      </c>
      <c r="S1874" s="2" t="s">
        <v>50</v>
      </c>
      <c r="T1874" s="2" t="s">
        <v>229</v>
      </c>
      <c r="U1874" s="2" t="s">
        <v>1360</v>
      </c>
      <c r="V1874" s="2" t="s">
        <v>42</v>
      </c>
      <c r="W1874" s="2">
        <v>51.1</v>
      </c>
      <c r="X1874" s="2">
        <v>59.5</v>
      </c>
      <c r="Y1874" s="2" t="s">
        <v>141</v>
      </c>
      <c r="Z1874" s="2" t="s">
        <v>5658</v>
      </c>
      <c r="AA1874" s="2">
        <v>-0.76317894748063497</v>
      </c>
      <c r="AB1874" s="2">
        <v>0.43348424124723101</v>
      </c>
      <c r="AC1874" s="2">
        <v>34747.819275598202</v>
      </c>
      <c r="AD1874" s="2">
        <v>22286.371315260501</v>
      </c>
      <c r="AE1874" s="2">
        <v>35899.477547938397</v>
      </c>
      <c r="AF1874" s="2">
        <v>33270.364672698699</v>
      </c>
      <c r="AG1874" s="2">
        <v>34210.893334627901</v>
      </c>
      <c r="AH1874" s="2">
        <v>35500.500557868501</v>
      </c>
      <c r="AI1874" s="2">
        <v>34424.076904510403</v>
      </c>
      <c r="AJ1874" s="2">
        <v>35181.602635945397</v>
      </c>
      <c r="AK1874" s="2">
        <v>21873.7895270095</v>
      </c>
      <c r="AL1874" s="2">
        <v>23329.025682093899</v>
      </c>
      <c r="AM1874" s="2">
        <v>22814.0140138883</v>
      </c>
      <c r="AN1874" s="2">
        <v>22604.063448780202</v>
      </c>
      <c r="AO1874" s="2">
        <v>22656.254184224501</v>
      </c>
      <c r="AP1874" s="2">
        <v>20441.081035566702</v>
      </c>
    </row>
    <row r="1875" spans="1:42" ht="14.5" x14ac:dyDescent="0.35">
      <c r="A1875" s="2" t="s">
        <v>12614</v>
      </c>
      <c r="B1875" s="2">
        <v>311.14935135277602</v>
      </c>
      <c r="C1875" s="2">
        <v>5.6390833333333301</v>
      </c>
      <c r="D1875" s="2" t="s">
        <v>34</v>
      </c>
      <c r="E1875" s="2" t="s">
        <v>12615</v>
      </c>
      <c r="F1875" s="2">
        <v>202488</v>
      </c>
      <c r="G1875" s="3" t="str">
        <f>HYPERLINK("http://funmeta.oebiotech.com/network/202488", "http://funmeta.oebiotech.com/network/202488")</f>
        <v>http://funmeta.oebiotech.com/network/202488</v>
      </c>
      <c r="H1875" s="2" t="s">
        <v>12616</v>
      </c>
      <c r="I1875" s="2">
        <v>1566</v>
      </c>
      <c r="J1875" s="2"/>
      <c r="K1875" s="2"/>
      <c r="L1875" s="2"/>
      <c r="M1875" s="2"/>
      <c r="N1875" s="2"/>
      <c r="O1875" s="2">
        <v>96190</v>
      </c>
      <c r="P1875" s="2" t="s">
        <v>12617</v>
      </c>
      <c r="Q1875" s="2" t="s">
        <v>12618</v>
      </c>
      <c r="R1875" s="2" t="s">
        <v>12619</v>
      </c>
      <c r="S1875" s="2" t="s">
        <v>491</v>
      </c>
      <c r="T1875" s="2" t="s">
        <v>2653</v>
      </c>
      <c r="U1875" s="2" t="s">
        <v>12620</v>
      </c>
      <c r="V1875" s="2" t="s">
        <v>59</v>
      </c>
      <c r="W1875" s="2">
        <v>44</v>
      </c>
      <c r="X1875" s="2">
        <v>36.4</v>
      </c>
      <c r="Y1875" s="2" t="s">
        <v>43</v>
      </c>
      <c r="Z1875" s="2" t="s">
        <v>12621</v>
      </c>
      <c r="AA1875" s="2">
        <v>-3.07356296608546</v>
      </c>
      <c r="AB1875" s="2">
        <v>0.43348096038525002</v>
      </c>
      <c r="AC1875" s="2">
        <v>40277.8943356522</v>
      </c>
      <c r="AD1875" s="2">
        <v>54135.233431070097</v>
      </c>
      <c r="AE1875" s="2">
        <v>37809.425609505597</v>
      </c>
      <c r="AF1875" s="2">
        <v>38217.574884191301</v>
      </c>
      <c r="AG1875" s="2">
        <v>46481.482890027102</v>
      </c>
      <c r="AH1875" s="2">
        <v>37471.076873716302</v>
      </c>
      <c r="AI1875" s="2">
        <v>37686.0677339057</v>
      </c>
      <c r="AJ1875" s="2">
        <v>44001.738022567297</v>
      </c>
      <c r="AK1875" s="2">
        <v>48397.773965608001</v>
      </c>
      <c r="AL1875" s="2">
        <v>58722.911146956001</v>
      </c>
      <c r="AM1875" s="2">
        <v>53387.922670635198</v>
      </c>
      <c r="AN1875" s="2">
        <v>56775.683600793302</v>
      </c>
      <c r="AO1875" s="2">
        <v>51829.636685080201</v>
      </c>
      <c r="AP1875" s="2">
        <v>55697.472517347604</v>
      </c>
    </row>
    <row r="1876" spans="1:42" ht="14.5" x14ac:dyDescent="0.35">
      <c r="A1876" s="2" t="s">
        <v>12622</v>
      </c>
      <c r="B1876" s="2">
        <v>149.05970235690799</v>
      </c>
      <c r="C1876" s="2">
        <v>2.0508333333333302</v>
      </c>
      <c r="D1876" s="2" t="s">
        <v>34</v>
      </c>
      <c r="E1876" s="2" t="s">
        <v>12623</v>
      </c>
      <c r="F1876" s="2">
        <v>60311</v>
      </c>
      <c r="G1876" s="3" t="str">
        <f>HYPERLINK("http://funmeta.oebiotech.com/network/60311", "http://funmeta.oebiotech.com/network/60311")</f>
        <v>http://funmeta.oebiotech.com/network/60311</v>
      </c>
      <c r="H1876" s="2" t="s">
        <v>12624</v>
      </c>
      <c r="I1876" s="2">
        <v>65745</v>
      </c>
      <c r="J1876" s="2"/>
      <c r="K1876" s="2">
        <v>16151</v>
      </c>
      <c r="L1876" s="2" t="s">
        <v>12625</v>
      </c>
      <c r="M1876" s="2" t="s">
        <v>12626</v>
      </c>
      <c r="N1876" s="2" t="s">
        <v>12627</v>
      </c>
      <c r="O1876" s="2">
        <v>660</v>
      </c>
      <c r="P1876" s="2" t="s">
        <v>12628</v>
      </c>
      <c r="Q1876" s="2" t="s">
        <v>12629</v>
      </c>
      <c r="R1876" s="2" t="s">
        <v>12630</v>
      </c>
      <c r="S1876" s="2" t="s">
        <v>115</v>
      </c>
      <c r="T1876" s="2" t="s">
        <v>12631</v>
      </c>
      <c r="U1876" s="2" t="s">
        <v>41</v>
      </c>
      <c r="V1876" s="2" t="s">
        <v>42</v>
      </c>
      <c r="W1876" s="2">
        <v>48.5</v>
      </c>
      <c r="X1876" s="2">
        <v>45.9</v>
      </c>
      <c r="Y1876" s="2" t="s">
        <v>266</v>
      </c>
      <c r="Z1876" s="2" t="s">
        <v>12632</v>
      </c>
      <c r="AA1876" s="2">
        <v>-2.41182921827825E-2</v>
      </c>
      <c r="AB1876" s="2">
        <v>0.43333768154117203</v>
      </c>
      <c r="AC1876" s="2">
        <v>82612.395022411394</v>
      </c>
      <c r="AD1876" s="2">
        <v>95468.985278324501</v>
      </c>
      <c r="AE1876" s="2">
        <v>78994.726337611995</v>
      </c>
      <c r="AF1876" s="2">
        <v>84205.034930909998</v>
      </c>
      <c r="AG1876" s="2">
        <v>86322.369243931302</v>
      </c>
      <c r="AH1876" s="2">
        <v>79868.569779424099</v>
      </c>
      <c r="AI1876" s="2">
        <v>82969.181032479493</v>
      </c>
      <c r="AJ1876" s="2">
        <v>83314.488810111696</v>
      </c>
      <c r="AK1876" s="2">
        <v>95683.077497083999</v>
      </c>
      <c r="AL1876" s="2">
        <v>93538.787340163602</v>
      </c>
      <c r="AM1876" s="2">
        <v>97025.334015079105</v>
      </c>
      <c r="AN1876" s="2">
        <v>96226.162095495398</v>
      </c>
      <c r="AO1876" s="2">
        <v>95453.700476649698</v>
      </c>
      <c r="AP1876" s="2">
        <v>94886.850245475202</v>
      </c>
    </row>
    <row r="1877" spans="1:42" ht="14.5" x14ac:dyDescent="0.35">
      <c r="A1877" s="2" t="s">
        <v>12633</v>
      </c>
      <c r="B1877" s="2">
        <v>571.25233270246395</v>
      </c>
      <c r="C1877" s="2">
        <v>6.0424333333333298</v>
      </c>
      <c r="D1877" s="2" t="s">
        <v>34</v>
      </c>
      <c r="E1877" s="2" t="s">
        <v>12634</v>
      </c>
      <c r="F1877" s="2">
        <v>44690</v>
      </c>
      <c r="G1877" s="3" t="str">
        <f>HYPERLINK("http://funmeta.oebiotech.com/network/44690", "http://funmeta.oebiotech.com/network/44690")</f>
        <v>http://funmeta.oebiotech.com/network/44690</v>
      </c>
      <c r="H1877" s="2"/>
      <c r="I1877" s="2"/>
      <c r="J1877" s="2" t="s">
        <v>12635</v>
      </c>
      <c r="K1877" s="2"/>
      <c r="L1877" s="2"/>
      <c r="M1877" s="2"/>
      <c r="N1877" s="2"/>
      <c r="O1877" s="2">
        <v>15118545</v>
      </c>
      <c r="P1877" s="2"/>
      <c r="Q1877" s="2" t="s">
        <v>12636</v>
      </c>
      <c r="R1877" s="2" t="s">
        <v>12637</v>
      </c>
      <c r="S1877" s="2" t="s">
        <v>50</v>
      </c>
      <c r="T1877" s="2" t="s">
        <v>124</v>
      </c>
      <c r="U1877" s="2" t="s">
        <v>567</v>
      </c>
      <c r="V1877" s="2" t="s">
        <v>59</v>
      </c>
      <c r="W1877" s="2">
        <v>44.3</v>
      </c>
      <c r="X1877" s="2">
        <v>31.4</v>
      </c>
      <c r="Y1877" s="2" t="s">
        <v>323</v>
      </c>
      <c r="Z1877" s="2" t="s">
        <v>12638</v>
      </c>
      <c r="AA1877" s="2">
        <v>1.7592753176548599</v>
      </c>
      <c r="AB1877" s="2">
        <v>0.43326952341047398</v>
      </c>
      <c r="AC1877" s="2">
        <v>105472.42484788899</v>
      </c>
      <c r="AD1877" s="2">
        <v>121469.43520095</v>
      </c>
      <c r="AE1877" s="2">
        <v>109314.455526983</v>
      </c>
      <c r="AF1877" s="2">
        <v>102594.241125627</v>
      </c>
      <c r="AG1877" s="2">
        <v>106760.239776988</v>
      </c>
      <c r="AH1877" s="2">
        <v>99240.559520729497</v>
      </c>
      <c r="AI1877" s="2">
        <v>103352.57977250101</v>
      </c>
      <c r="AJ1877" s="2">
        <v>111572.473364506</v>
      </c>
      <c r="AK1877" s="2">
        <v>116786.408266852</v>
      </c>
      <c r="AL1877" s="2">
        <v>136499.64870006</v>
      </c>
      <c r="AM1877" s="2">
        <v>124620.13612110799</v>
      </c>
      <c r="AN1877" s="2">
        <v>124686.391160826</v>
      </c>
      <c r="AO1877" s="2">
        <v>114296.907107466</v>
      </c>
      <c r="AP1877" s="2">
        <v>111927.119849389</v>
      </c>
    </row>
    <row r="1878" spans="1:42" ht="14.5" x14ac:dyDescent="0.35">
      <c r="A1878" s="2" t="s">
        <v>12639</v>
      </c>
      <c r="B1878" s="2">
        <v>517.19064991259995</v>
      </c>
      <c r="C1878" s="2">
        <v>4.09636666666667</v>
      </c>
      <c r="D1878" s="2" t="s">
        <v>70</v>
      </c>
      <c r="E1878" s="2" t="s">
        <v>12640</v>
      </c>
      <c r="F1878" s="2">
        <v>35631</v>
      </c>
      <c r="G1878" s="3" t="str">
        <f>HYPERLINK("http://funmeta.oebiotech.com/network/35631", "http://funmeta.oebiotech.com/network/35631")</f>
        <v>http://funmeta.oebiotech.com/network/35631</v>
      </c>
      <c r="H1878" s="2" t="s">
        <v>12641</v>
      </c>
      <c r="I1878" s="2">
        <v>41189</v>
      </c>
      <c r="J1878" s="2" t="s">
        <v>12642</v>
      </c>
      <c r="K1878" s="2"/>
      <c r="L1878" s="2" t="s">
        <v>12643</v>
      </c>
      <c r="M1878" s="2" t="s">
        <v>12644</v>
      </c>
      <c r="N1878" s="2" t="s">
        <v>12645</v>
      </c>
      <c r="O1878" s="2">
        <v>3503</v>
      </c>
      <c r="P1878" s="2" t="s">
        <v>12646</v>
      </c>
      <c r="Q1878" s="2" t="s">
        <v>12647</v>
      </c>
      <c r="R1878" s="2" t="s">
        <v>12648</v>
      </c>
      <c r="S1878" s="2" t="s">
        <v>50</v>
      </c>
      <c r="T1878" s="2" t="s">
        <v>201</v>
      </c>
      <c r="U1878" s="2" t="s">
        <v>636</v>
      </c>
      <c r="V1878" s="2" t="s">
        <v>59</v>
      </c>
      <c r="W1878" s="2">
        <v>44.3</v>
      </c>
      <c r="X1878" s="2">
        <v>43.9</v>
      </c>
      <c r="Y1878" s="2" t="s">
        <v>118</v>
      </c>
      <c r="Z1878" s="2" t="s">
        <v>12649</v>
      </c>
      <c r="AA1878" s="2">
        <v>7.4459092815789401</v>
      </c>
      <c r="AB1878" s="2">
        <v>0.433130831808272</v>
      </c>
      <c r="AC1878" s="2">
        <v>35814.831414499</v>
      </c>
      <c r="AD1878" s="2">
        <v>48729.375414599897</v>
      </c>
      <c r="AE1878" s="2">
        <v>33293.399696134402</v>
      </c>
      <c r="AF1878" s="2">
        <v>37457.898286079202</v>
      </c>
      <c r="AG1878" s="2">
        <v>35673.4411159296</v>
      </c>
      <c r="AH1878" s="2">
        <v>35172.439489210999</v>
      </c>
      <c r="AI1878" s="2">
        <v>36908.364493391004</v>
      </c>
      <c r="AJ1878" s="2">
        <v>36383.4454062488</v>
      </c>
      <c r="AK1878" s="2">
        <v>48013.9392276281</v>
      </c>
      <c r="AL1878" s="2">
        <v>47935.844614852504</v>
      </c>
      <c r="AM1878" s="2">
        <v>51670.890357230397</v>
      </c>
      <c r="AN1878" s="2">
        <v>46576.231261970897</v>
      </c>
      <c r="AO1878" s="2">
        <v>45529.683607057101</v>
      </c>
      <c r="AP1878" s="2">
        <v>52649.663418860102</v>
      </c>
    </row>
    <row r="1879" spans="1:42" ht="14.5" x14ac:dyDescent="0.35">
      <c r="A1879" s="2" t="s">
        <v>12650</v>
      </c>
      <c r="B1879" s="2">
        <v>312.996160848145</v>
      </c>
      <c r="C1879" s="2">
        <v>1.3109999999999999</v>
      </c>
      <c r="D1879" s="2" t="s">
        <v>34</v>
      </c>
      <c r="E1879" s="2" t="s">
        <v>12651</v>
      </c>
      <c r="F1879" s="2">
        <v>61843</v>
      </c>
      <c r="G1879" s="3" t="str">
        <f>HYPERLINK("http://funmeta.oebiotech.com/network/61843", "http://funmeta.oebiotech.com/network/61843")</f>
        <v>http://funmeta.oebiotech.com/network/61843</v>
      </c>
      <c r="H1879" s="2" t="s">
        <v>12652</v>
      </c>
      <c r="I1879" s="2">
        <v>93147</v>
      </c>
      <c r="J1879" s="2"/>
      <c r="K1879" s="2">
        <v>169239</v>
      </c>
      <c r="L1879" s="2"/>
      <c r="M1879" s="2"/>
      <c r="N1879" s="2"/>
      <c r="O1879" s="2">
        <v>131752377</v>
      </c>
      <c r="P1879" s="2" t="s">
        <v>12653</v>
      </c>
      <c r="Q1879" s="2" t="s">
        <v>12654</v>
      </c>
      <c r="R1879" s="2" t="s">
        <v>12655</v>
      </c>
      <c r="S1879" s="2" t="s">
        <v>491</v>
      </c>
      <c r="T1879" s="2" t="s">
        <v>8753</v>
      </c>
      <c r="U1879" s="2" t="s">
        <v>41</v>
      </c>
      <c r="V1879" s="2" t="s">
        <v>59</v>
      </c>
      <c r="W1879" s="2">
        <v>36.4</v>
      </c>
      <c r="X1879" s="2">
        <v>0</v>
      </c>
      <c r="Y1879" s="2" t="s">
        <v>323</v>
      </c>
      <c r="Z1879" s="2" t="s">
        <v>12656</v>
      </c>
      <c r="AA1879" s="2">
        <v>-0.67588418009926698</v>
      </c>
      <c r="AB1879" s="2">
        <v>0.43305759942398703</v>
      </c>
      <c r="AC1879" s="2">
        <v>55966.410565086699</v>
      </c>
      <c r="AD1879" s="2">
        <v>69034.792118343306</v>
      </c>
      <c r="AE1879" s="2">
        <v>53426.336623807903</v>
      </c>
      <c r="AF1879" s="2">
        <v>57405.151797169397</v>
      </c>
      <c r="AG1879" s="2">
        <v>57116.256567892997</v>
      </c>
      <c r="AH1879" s="2">
        <v>55679.028568128699</v>
      </c>
      <c r="AI1879" s="2">
        <v>56922.024219002502</v>
      </c>
      <c r="AJ1879" s="2">
        <v>55249.665614518701</v>
      </c>
      <c r="AK1879" s="2">
        <v>69734.330312904</v>
      </c>
      <c r="AL1879" s="2">
        <v>72934.5379700208</v>
      </c>
      <c r="AM1879" s="2">
        <v>68028.236293127004</v>
      </c>
      <c r="AN1879" s="2">
        <v>72431.301519797693</v>
      </c>
      <c r="AO1879" s="2">
        <v>66478.629533765605</v>
      </c>
      <c r="AP1879" s="2">
        <v>64601.717080444498</v>
      </c>
    </row>
    <row r="1880" spans="1:42" ht="14.5" x14ac:dyDescent="0.35">
      <c r="A1880" s="2" t="s">
        <v>12657</v>
      </c>
      <c r="B1880" s="2">
        <v>485.194610273173</v>
      </c>
      <c r="C1880" s="2">
        <v>5.7479666666666702</v>
      </c>
      <c r="D1880" s="2" t="s">
        <v>70</v>
      </c>
      <c r="E1880" s="2" t="s">
        <v>12658</v>
      </c>
      <c r="F1880" s="2">
        <v>31616</v>
      </c>
      <c r="G1880" s="3" t="str">
        <f>HYPERLINK("http://funmeta.oebiotech.com/network/31616", "http://funmeta.oebiotech.com/network/31616")</f>
        <v>http://funmeta.oebiotech.com/network/31616</v>
      </c>
      <c r="H1880" s="2"/>
      <c r="I1880" s="2">
        <v>49949</v>
      </c>
      <c r="J1880" s="2" t="s">
        <v>12659</v>
      </c>
      <c r="K1880" s="2"/>
      <c r="L1880" s="2"/>
      <c r="M1880" s="2"/>
      <c r="N1880" s="2"/>
      <c r="O1880" s="2">
        <v>44258668</v>
      </c>
      <c r="P1880" s="2"/>
      <c r="Q1880" s="2" t="s">
        <v>12660</v>
      </c>
      <c r="R1880" s="2" t="s">
        <v>12661</v>
      </c>
      <c r="S1880" s="2" t="s">
        <v>491</v>
      </c>
      <c r="T1880" s="2" t="s">
        <v>2251</v>
      </c>
      <c r="U1880" s="2" t="s">
        <v>2252</v>
      </c>
      <c r="V1880" s="2" t="s">
        <v>59</v>
      </c>
      <c r="W1880" s="2">
        <v>40.799999999999997</v>
      </c>
      <c r="X1880" s="2">
        <v>30.8</v>
      </c>
      <c r="Y1880" s="2" t="s">
        <v>751</v>
      </c>
      <c r="Z1880" s="2" t="s">
        <v>12662</v>
      </c>
      <c r="AA1880" s="2">
        <v>-4.6646190694677001</v>
      </c>
      <c r="AB1880" s="2">
        <v>0.433005968068158</v>
      </c>
      <c r="AC1880" s="2">
        <v>41749.822210231097</v>
      </c>
      <c r="AD1880" s="2">
        <v>28924.644473558099</v>
      </c>
      <c r="AE1880" s="2">
        <v>43599.0016856078</v>
      </c>
      <c r="AF1880" s="2">
        <v>40396.927957021697</v>
      </c>
      <c r="AG1880" s="2">
        <v>40452.2636435565</v>
      </c>
      <c r="AH1880" s="2">
        <v>42994.445187249003</v>
      </c>
      <c r="AI1880" s="2">
        <v>37873.330187063097</v>
      </c>
      <c r="AJ1880" s="2">
        <v>45182.964600888801</v>
      </c>
      <c r="AK1880" s="2">
        <v>27872.386493592399</v>
      </c>
      <c r="AL1880" s="2">
        <v>29256.0703331861</v>
      </c>
      <c r="AM1880" s="2">
        <v>28780.1747474843</v>
      </c>
      <c r="AN1880" s="2">
        <v>30707.869821716598</v>
      </c>
      <c r="AO1880" s="2">
        <v>30070.412837229898</v>
      </c>
      <c r="AP1880" s="2">
        <v>26860.952608139301</v>
      </c>
    </row>
    <row r="1881" spans="1:42" ht="14.5" x14ac:dyDescent="0.35">
      <c r="A1881" s="2" t="s">
        <v>12663</v>
      </c>
      <c r="B1881" s="2">
        <v>255.01193342025999</v>
      </c>
      <c r="C1881" s="2">
        <v>2.6128999999999998</v>
      </c>
      <c r="D1881" s="2" t="s">
        <v>70</v>
      </c>
      <c r="E1881" s="2" t="s">
        <v>12664</v>
      </c>
      <c r="F1881" s="2">
        <v>206108</v>
      </c>
      <c r="G1881" s="3" t="str">
        <f>HYPERLINK("http://funmeta.oebiotech.com/network/206108", "http://funmeta.oebiotech.com/network/206108")</f>
        <v>http://funmeta.oebiotech.com/network/206108</v>
      </c>
      <c r="H1881" s="2" t="s">
        <v>12665</v>
      </c>
      <c r="I1881" s="2">
        <v>44559</v>
      </c>
      <c r="J1881" s="2"/>
      <c r="K1881" s="2">
        <v>38661</v>
      </c>
      <c r="L1881" s="2" t="s">
        <v>12666</v>
      </c>
      <c r="M1881" s="2"/>
      <c r="N1881" s="2"/>
      <c r="O1881" s="2">
        <v>3118</v>
      </c>
      <c r="P1881" s="2" t="s">
        <v>12667</v>
      </c>
      <c r="Q1881" s="2" t="s">
        <v>12668</v>
      </c>
      <c r="R1881" s="2" t="s">
        <v>12669</v>
      </c>
      <c r="S1881" s="2" t="s">
        <v>89</v>
      </c>
      <c r="T1881" s="2" t="s">
        <v>12670</v>
      </c>
      <c r="U1881" s="2" t="s">
        <v>12671</v>
      </c>
      <c r="V1881" s="2" t="s">
        <v>59</v>
      </c>
      <c r="W1881" s="2">
        <v>36.1</v>
      </c>
      <c r="X1881" s="2">
        <v>0</v>
      </c>
      <c r="Y1881" s="2" t="s">
        <v>751</v>
      </c>
      <c r="Z1881" s="2" t="s">
        <v>12672</v>
      </c>
      <c r="AA1881" s="2">
        <v>4.7260117341800196</v>
      </c>
      <c r="AB1881" s="2">
        <v>0.43280492495950601</v>
      </c>
      <c r="AC1881" s="2">
        <v>91883.184047790797</v>
      </c>
      <c r="AD1881" s="2">
        <v>105556.93076613999</v>
      </c>
      <c r="AE1881" s="2">
        <v>93473.530137935901</v>
      </c>
      <c r="AF1881" s="2">
        <v>87068.041285853804</v>
      </c>
      <c r="AG1881" s="2">
        <v>92693.717379586204</v>
      </c>
      <c r="AH1881" s="2">
        <v>92775.607277786999</v>
      </c>
      <c r="AI1881" s="2">
        <v>90795.6508782366</v>
      </c>
      <c r="AJ1881" s="2">
        <v>94492.557327345203</v>
      </c>
      <c r="AK1881" s="2">
        <v>112887.600308806</v>
      </c>
      <c r="AL1881" s="2">
        <v>99475.649117920198</v>
      </c>
      <c r="AM1881" s="2">
        <v>103943.72402642301</v>
      </c>
      <c r="AN1881" s="2">
        <v>105465.925739196</v>
      </c>
      <c r="AO1881" s="2">
        <v>107483.857507179</v>
      </c>
      <c r="AP1881" s="2">
        <v>104084.82789731699</v>
      </c>
    </row>
    <row r="1882" spans="1:42" ht="14.5" x14ac:dyDescent="0.35">
      <c r="A1882" s="2" t="s">
        <v>12673</v>
      </c>
      <c r="B1882" s="2">
        <v>735.28883313192102</v>
      </c>
      <c r="C1882" s="2">
        <v>6.1235166666666698</v>
      </c>
      <c r="D1882" s="2" t="s">
        <v>70</v>
      </c>
      <c r="E1882" s="2" t="s">
        <v>12674</v>
      </c>
      <c r="F1882" s="2">
        <v>10414</v>
      </c>
      <c r="G1882" s="3" t="str">
        <f>HYPERLINK("http://funmeta.oebiotech.com/network/10414", "http://funmeta.oebiotech.com/network/10414")</f>
        <v>http://funmeta.oebiotech.com/network/10414</v>
      </c>
      <c r="H1882" s="2"/>
      <c r="I1882" s="2"/>
      <c r="J1882" s="2" t="s">
        <v>12675</v>
      </c>
      <c r="K1882" s="2"/>
      <c r="L1882" s="2"/>
      <c r="M1882" s="2"/>
      <c r="N1882" s="2"/>
      <c r="O1882" s="2"/>
      <c r="P1882" s="2"/>
      <c r="Q1882" s="2" t="s">
        <v>12676</v>
      </c>
      <c r="R1882" s="2" t="s">
        <v>12677</v>
      </c>
      <c r="S1882" s="2" t="s">
        <v>79</v>
      </c>
      <c r="T1882" s="2" t="s">
        <v>80</v>
      </c>
      <c r="U1882" s="2" t="s">
        <v>81</v>
      </c>
      <c r="V1882" s="2" t="s">
        <v>42</v>
      </c>
      <c r="W1882" s="2">
        <v>49.6</v>
      </c>
      <c r="X1882" s="2">
        <v>63.5</v>
      </c>
      <c r="Y1882" s="2" t="s">
        <v>560</v>
      </c>
      <c r="Z1882" s="2" t="s">
        <v>12678</v>
      </c>
      <c r="AA1882" s="2">
        <v>2.5453297210778398</v>
      </c>
      <c r="AB1882" s="2">
        <v>0.43261853837439501</v>
      </c>
      <c r="AC1882" s="2">
        <v>48994.430542920702</v>
      </c>
      <c r="AD1882" s="2">
        <v>35445.519785485398</v>
      </c>
      <c r="AE1882" s="2">
        <v>47169.868758154204</v>
      </c>
      <c r="AF1882" s="2">
        <v>54381.506329188203</v>
      </c>
      <c r="AG1882" s="2">
        <v>48783.201044313697</v>
      </c>
      <c r="AH1882" s="2">
        <v>45287.096086043202</v>
      </c>
      <c r="AI1882" s="2">
        <v>50287.361858002398</v>
      </c>
      <c r="AJ1882" s="2">
        <v>48057.5491818222</v>
      </c>
      <c r="AK1882" s="2">
        <v>32176.490548235499</v>
      </c>
      <c r="AL1882" s="2">
        <v>30987.196910135099</v>
      </c>
      <c r="AM1882" s="2">
        <v>39878.078057094703</v>
      </c>
      <c r="AN1882" s="2">
        <v>39131.478109342497</v>
      </c>
      <c r="AO1882" s="2">
        <v>36153.609719907399</v>
      </c>
      <c r="AP1882" s="2">
        <v>34346.265368196997</v>
      </c>
    </row>
    <row r="1883" spans="1:42" ht="14.5" x14ac:dyDescent="0.35">
      <c r="A1883" s="2" t="s">
        <v>12679</v>
      </c>
      <c r="B1883" s="2">
        <v>775.33014514570402</v>
      </c>
      <c r="C1883" s="2">
        <v>6.2923</v>
      </c>
      <c r="D1883" s="2" t="s">
        <v>70</v>
      </c>
      <c r="E1883" s="2" t="s">
        <v>12680</v>
      </c>
      <c r="F1883" s="2">
        <v>30127</v>
      </c>
      <c r="G1883" s="3" t="str">
        <f>HYPERLINK("http://funmeta.oebiotech.com/network/30127", "http://funmeta.oebiotech.com/network/30127")</f>
        <v>http://funmeta.oebiotech.com/network/30127</v>
      </c>
      <c r="H1883" s="2"/>
      <c r="I1883" s="2">
        <v>48470</v>
      </c>
      <c r="J1883" s="2" t="s">
        <v>12681</v>
      </c>
      <c r="K1883" s="2"/>
      <c r="L1883" s="2"/>
      <c r="M1883" s="2"/>
      <c r="N1883" s="2"/>
      <c r="O1883" s="2">
        <v>15516846</v>
      </c>
      <c r="P1883" s="2"/>
      <c r="Q1883" s="2" t="s">
        <v>12682</v>
      </c>
      <c r="R1883" s="2" t="s">
        <v>12683</v>
      </c>
      <c r="S1883" s="2" t="s">
        <v>115</v>
      </c>
      <c r="T1883" s="2" t="s">
        <v>139</v>
      </c>
      <c r="U1883" s="2" t="s">
        <v>1806</v>
      </c>
      <c r="V1883" s="2" t="s">
        <v>59</v>
      </c>
      <c r="W1883" s="2">
        <v>37.5</v>
      </c>
      <c r="X1883" s="2">
        <v>0</v>
      </c>
      <c r="Y1883" s="2" t="s">
        <v>560</v>
      </c>
      <c r="Z1883" s="2" t="s">
        <v>12684</v>
      </c>
      <c r="AA1883" s="2">
        <v>3.22422939367608</v>
      </c>
      <c r="AB1883" s="2">
        <v>0.43246050172386302</v>
      </c>
      <c r="AC1883" s="2">
        <v>37663.942823638201</v>
      </c>
      <c r="AD1883" s="2">
        <v>25025.605137104099</v>
      </c>
      <c r="AE1883" s="2">
        <v>39996.771013563302</v>
      </c>
      <c r="AF1883" s="2">
        <v>35010.163019773398</v>
      </c>
      <c r="AG1883" s="2">
        <v>36183.404588289297</v>
      </c>
      <c r="AH1883" s="2">
        <v>37127.469059344301</v>
      </c>
      <c r="AI1883" s="2">
        <v>38183.434650362498</v>
      </c>
      <c r="AJ1883" s="2">
        <v>39482.414610496497</v>
      </c>
      <c r="AK1883" s="2">
        <v>24033.043436202199</v>
      </c>
      <c r="AL1883" s="2">
        <v>24765.716040289899</v>
      </c>
      <c r="AM1883" s="2">
        <v>27243.9593342197</v>
      </c>
      <c r="AN1883" s="2">
        <v>25768.976823560599</v>
      </c>
      <c r="AO1883" s="2">
        <v>24569.743832375101</v>
      </c>
      <c r="AP1883" s="2">
        <v>23772.191355977098</v>
      </c>
    </row>
    <row r="1884" spans="1:42" ht="14.5" x14ac:dyDescent="0.35">
      <c r="A1884" s="2" t="s">
        <v>12685</v>
      </c>
      <c r="B1884" s="2">
        <v>499.26612071227697</v>
      </c>
      <c r="C1884" s="2">
        <v>10.436733333333301</v>
      </c>
      <c r="D1884" s="2" t="s">
        <v>34</v>
      </c>
      <c r="E1884" s="2" t="s">
        <v>12686</v>
      </c>
      <c r="F1884" s="2">
        <v>59728</v>
      </c>
      <c r="G1884" s="3" t="str">
        <f>HYPERLINK("http://funmeta.oebiotech.com/network/59728", "http://funmeta.oebiotech.com/network/59728")</f>
        <v>http://funmeta.oebiotech.com/network/59728</v>
      </c>
      <c r="H1884" s="2" t="s">
        <v>12687</v>
      </c>
      <c r="I1884" s="2">
        <v>91110</v>
      </c>
      <c r="J1884" s="2"/>
      <c r="K1884" s="2"/>
      <c r="L1884" s="2"/>
      <c r="M1884" s="2"/>
      <c r="N1884" s="2"/>
      <c r="O1884" s="2">
        <v>22310</v>
      </c>
      <c r="P1884" s="2" t="s">
        <v>12688</v>
      </c>
      <c r="Q1884" s="2" t="s">
        <v>12689</v>
      </c>
      <c r="R1884" s="2" t="s">
        <v>12690</v>
      </c>
      <c r="S1884" s="2" t="s">
        <v>50</v>
      </c>
      <c r="T1884" s="2" t="s">
        <v>201</v>
      </c>
      <c r="U1884" s="2" t="s">
        <v>210</v>
      </c>
      <c r="V1884" s="2" t="s">
        <v>59</v>
      </c>
      <c r="W1884" s="2">
        <v>40.9</v>
      </c>
      <c r="X1884" s="2">
        <v>10.8</v>
      </c>
      <c r="Y1884" s="2" t="s">
        <v>323</v>
      </c>
      <c r="Z1884" s="2" t="s">
        <v>8640</v>
      </c>
      <c r="AA1884" s="2">
        <v>-1.05734061520085</v>
      </c>
      <c r="AB1884" s="2">
        <v>0.43221863816029799</v>
      </c>
      <c r="AC1884" s="2">
        <v>28938.378362036801</v>
      </c>
      <c r="AD1884" s="2">
        <v>16188.662727766001</v>
      </c>
      <c r="AE1884" s="2">
        <v>29606.4796267887</v>
      </c>
      <c r="AF1884" s="2">
        <v>28078.663915958099</v>
      </c>
      <c r="AG1884" s="2">
        <v>27131.935482754499</v>
      </c>
      <c r="AH1884" s="2">
        <v>31953.131928463801</v>
      </c>
      <c r="AI1884" s="2">
        <v>25677.341805802502</v>
      </c>
      <c r="AJ1884" s="2">
        <v>31182.717412453301</v>
      </c>
      <c r="AK1884" s="2">
        <v>17577.158902407798</v>
      </c>
      <c r="AL1884" s="2">
        <v>15077.2224470447</v>
      </c>
      <c r="AM1884" s="2">
        <v>18280.346018682802</v>
      </c>
      <c r="AN1884" s="2">
        <v>16053.560015983599</v>
      </c>
      <c r="AO1884" s="2">
        <v>16155.710222776001</v>
      </c>
      <c r="AP1884" s="2">
        <v>13987.9787597009</v>
      </c>
    </row>
    <row r="1885" spans="1:42" ht="14.5" x14ac:dyDescent="0.35">
      <c r="A1885" s="2" t="s">
        <v>12691</v>
      </c>
      <c r="B1885" s="2">
        <v>447.25138181545702</v>
      </c>
      <c r="C1885" s="2">
        <v>12.3092666666667</v>
      </c>
      <c r="D1885" s="2" t="s">
        <v>70</v>
      </c>
      <c r="E1885" s="2" t="s">
        <v>12692</v>
      </c>
      <c r="F1885" s="2">
        <v>203089</v>
      </c>
      <c r="G1885" s="3" t="str">
        <f>HYPERLINK("http://funmeta.oebiotech.com/network/203089", "http://funmeta.oebiotech.com/network/203089")</f>
        <v>http://funmeta.oebiotech.com/network/203089</v>
      </c>
      <c r="H1885" s="2" t="s">
        <v>12693</v>
      </c>
      <c r="I1885" s="2"/>
      <c r="J1885" s="2"/>
      <c r="K1885" s="2"/>
      <c r="L1885" s="2"/>
      <c r="M1885" s="2"/>
      <c r="N1885" s="2"/>
      <c r="O1885" s="2">
        <v>29918992</v>
      </c>
      <c r="P1885" s="2"/>
      <c r="Q1885" s="2" t="s">
        <v>12694</v>
      </c>
      <c r="R1885" s="2" t="s">
        <v>12695</v>
      </c>
      <c r="S1885" s="2" t="s">
        <v>79</v>
      </c>
      <c r="T1885" s="2" t="s">
        <v>80</v>
      </c>
      <c r="U1885" s="2" t="s">
        <v>2820</v>
      </c>
      <c r="V1885" s="2" t="s">
        <v>59</v>
      </c>
      <c r="W1885" s="2">
        <v>38.5</v>
      </c>
      <c r="X1885" s="2">
        <v>5.8000000000000003E-2</v>
      </c>
      <c r="Y1885" s="2" t="s">
        <v>751</v>
      </c>
      <c r="Z1885" s="2" t="s">
        <v>12696</v>
      </c>
      <c r="AA1885" s="2">
        <v>-3.4405879915945403E-2</v>
      </c>
      <c r="AB1885" s="2">
        <v>0.43213732014581202</v>
      </c>
      <c r="AC1885" s="2">
        <v>199801.582333775</v>
      </c>
      <c r="AD1885" s="2">
        <v>227136.41066610601</v>
      </c>
      <c r="AE1885" s="2">
        <v>211130.94142610501</v>
      </c>
      <c r="AF1885" s="2">
        <v>188860.52031038099</v>
      </c>
      <c r="AG1885" s="2">
        <v>201347.28885328499</v>
      </c>
      <c r="AH1885" s="2">
        <v>211170.67791285799</v>
      </c>
      <c r="AI1885" s="2">
        <v>186725.661925983</v>
      </c>
      <c r="AJ1885" s="2">
        <v>199574.40357403801</v>
      </c>
      <c r="AK1885" s="2">
        <v>209123.81096823301</v>
      </c>
      <c r="AL1885" s="2">
        <v>253958.11350938899</v>
      </c>
      <c r="AM1885" s="2">
        <v>223262.97728572399</v>
      </c>
      <c r="AN1885" s="2">
        <v>208158.28151480301</v>
      </c>
      <c r="AO1885" s="2">
        <v>291960.46093220898</v>
      </c>
      <c r="AP1885" s="2">
        <v>176354.819786279</v>
      </c>
    </row>
    <row r="1886" spans="1:42" ht="14.5" x14ac:dyDescent="0.35">
      <c r="A1886" s="2" t="s">
        <v>12697</v>
      </c>
      <c r="B1886" s="2">
        <v>462.18105818361801</v>
      </c>
      <c r="C1886" s="2">
        <v>0.71894999999999998</v>
      </c>
      <c r="D1886" s="2" t="s">
        <v>34</v>
      </c>
      <c r="E1886" s="2" t="s">
        <v>12698</v>
      </c>
      <c r="F1886" s="2">
        <v>82783</v>
      </c>
      <c r="G1886" s="3" t="str">
        <f>HYPERLINK("http://funmeta.oebiotech.com/network/82783", "http://funmeta.oebiotech.com/network/82783")</f>
        <v>http://funmeta.oebiotech.com/network/82783</v>
      </c>
      <c r="H1886" s="2" t="s">
        <v>12699</v>
      </c>
      <c r="I1886" s="2">
        <v>3122</v>
      </c>
      <c r="J1886" s="2"/>
      <c r="K1886" s="2"/>
      <c r="L1886" s="2"/>
      <c r="M1886" s="2"/>
      <c r="N1886" s="2"/>
      <c r="O1886" s="2">
        <v>131769998</v>
      </c>
      <c r="P1886" s="2" t="s">
        <v>12700</v>
      </c>
      <c r="Q1886" s="2" t="s">
        <v>12701</v>
      </c>
      <c r="R1886" s="2" t="s">
        <v>12702</v>
      </c>
      <c r="S1886" s="2" t="s">
        <v>148</v>
      </c>
      <c r="T1886" s="2" t="s">
        <v>149</v>
      </c>
      <c r="U1886" s="2" t="s">
        <v>4282</v>
      </c>
      <c r="V1886" s="2" t="s">
        <v>59</v>
      </c>
      <c r="W1886" s="2">
        <v>36.6</v>
      </c>
      <c r="X1886" s="2">
        <v>0</v>
      </c>
      <c r="Y1886" s="2" t="s">
        <v>394</v>
      </c>
      <c r="Z1886" s="2" t="s">
        <v>12703</v>
      </c>
      <c r="AA1886" s="2">
        <v>1.0663321988866199</v>
      </c>
      <c r="AB1886" s="2">
        <v>0.43158708856253097</v>
      </c>
      <c r="AC1886" s="2">
        <v>83216.348449193494</v>
      </c>
      <c r="AD1886" s="2">
        <v>61777.013803143302</v>
      </c>
      <c r="AE1886" s="2">
        <v>94516.143533794195</v>
      </c>
      <c r="AF1886" s="2">
        <v>56977.283044060001</v>
      </c>
      <c r="AG1886" s="2">
        <v>87545.686506682105</v>
      </c>
      <c r="AH1886" s="2">
        <v>63637.795208817202</v>
      </c>
      <c r="AI1886" s="2">
        <v>105666.69060061801</v>
      </c>
      <c r="AJ1886" s="2">
        <v>90954.4918011892</v>
      </c>
      <c r="AK1886" s="2">
        <v>59992.087495733598</v>
      </c>
      <c r="AL1886" s="2">
        <v>48615.180024107001</v>
      </c>
      <c r="AM1886" s="2">
        <v>66195.607236123105</v>
      </c>
      <c r="AN1886" s="2">
        <v>47705.819587076898</v>
      </c>
      <c r="AO1886" s="2">
        <v>85259.283472843206</v>
      </c>
      <c r="AP1886" s="2">
        <v>62894.105002975703</v>
      </c>
    </row>
    <row r="1887" spans="1:42" ht="14.5" x14ac:dyDescent="0.35">
      <c r="A1887" s="2" t="s">
        <v>12704</v>
      </c>
      <c r="B1887" s="2">
        <v>271.059412937236</v>
      </c>
      <c r="C1887" s="2">
        <v>5.01</v>
      </c>
      <c r="D1887" s="2" t="s">
        <v>34</v>
      </c>
      <c r="E1887" s="2" t="s">
        <v>12705</v>
      </c>
      <c r="F1887" s="2">
        <v>266534</v>
      </c>
      <c r="G1887" s="3" t="str">
        <f>HYPERLINK("http://funmeta.oebiotech.com/network/266534", "http://funmeta.oebiotech.com/network/266534")</f>
        <v>http://funmeta.oebiotech.com/network/266534</v>
      </c>
      <c r="H1887" s="2"/>
      <c r="I1887" s="2">
        <v>43492</v>
      </c>
      <c r="J1887" s="2"/>
      <c r="K1887" s="2"/>
      <c r="L1887" s="2"/>
      <c r="M1887" s="2"/>
      <c r="N1887" s="2"/>
      <c r="O1887" s="2">
        <v>5501</v>
      </c>
      <c r="P1887" s="2" t="s">
        <v>12706</v>
      </c>
      <c r="Q1887" s="2" t="s">
        <v>12707</v>
      </c>
      <c r="R1887" s="2" t="s">
        <v>12708</v>
      </c>
      <c r="S1887" s="2" t="s">
        <v>491</v>
      </c>
      <c r="T1887" s="2" t="s">
        <v>3019</v>
      </c>
      <c r="U1887" s="2" t="s">
        <v>3020</v>
      </c>
      <c r="V1887" s="2" t="s">
        <v>59</v>
      </c>
      <c r="W1887" s="2">
        <v>39.299999999999997</v>
      </c>
      <c r="X1887" s="2">
        <v>0</v>
      </c>
      <c r="Y1887" s="2" t="s">
        <v>340</v>
      </c>
      <c r="Z1887" s="2" t="s">
        <v>12709</v>
      </c>
      <c r="AA1887" s="2">
        <v>0.98758294407662395</v>
      </c>
      <c r="AB1887" s="2">
        <v>0.43154493699305901</v>
      </c>
      <c r="AC1887" s="2">
        <v>51913.699990956302</v>
      </c>
      <c r="AD1887" s="2">
        <v>64874.613483024099</v>
      </c>
      <c r="AE1887" s="2">
        <v>49430.179072612598</v>
      </c>
      <c r="AF1887" s="2">
        <v>55863.128659178103</v>
      </c>
      <c r="AG1887" s="2">
        <v>51020.040897897299</v>
      </c>
      <c r="AH1887" s="2">
        <v>50219.633161938997</v>
      </c>
      <c r="AI1887" s="2">
        <v>51822.733019857798</v>
      </c>
      <c r="AJ1887" s="2">
        <v>53126.485134253096</v>
      </c>
      <c r="AK1887" s="2">
        <v>67901.889405570706</v>
      </c>
      <c r="AL1887" s="2">
        <v>60073.273005783798</v>
      </c>
      <c r="AM1887" s="2">
        <v>65364.743208694897</v>
      </c>
      <c r="AN1887" s="2">
        <v>63839.198416316904</v>
      </c>
      <c r="AO1887" s="2">
        <v>65640.815332193102</v>
      </c>
      <c r="AP1887" s="2">
        <v>66427.761529585507</v>
      </c>
    </row>
    <row r="1888" spans="1:42" ht="14.5" x14ac:dyDescent="0.35">
      <c r="A1888" s="2" t="s">
        <v>12710</v>
      </c>
      <c r="B1888" s="2">
        <v>239.16378896228801</v>
      </c>
      <c r="C1888" s="2">
        <v>6.3948166666666699</v>
      </c>
      <c r="D1888" s="2" t="s">
        <v>34</v>
      </c>
      <c r="E1888" s="2" t="s">
        <v>12711</v>
      </c>
      <c r="F1888" s="2">
        <v>3350</v>
      </c>
      <c r="G1888" s="3" t="str">
        <f>HYPERLINK("http://funmeta.oebiotech.com/network/3350", "http://funmeta.oebiotech.com/network/3350")</f>
        <v>http://funmeta.oebiotech.com/network/3350</v>
      </c>
      <c r="H1888" s="2"/>
      <c r="I1888" s="2">
        <v>36062</v>
      </c>
      <c r="J1888" s="2" t="s">
        <v>12712</v>
      </c>
      <c r="K1888" s="2">
        <v>137704</v>
      </c>
      <c r="L1888" s="2"/>
      <c r="M1888" s="2"/>
      <c r="N1888" s="2"/>
      <c r="O1888" s="2">
        <v>5716900</v>
      </c>
      <c r="P1888" s="2"/>
      <c r="Q1888" s="2" t="s">
        <v>12713</v>
      </c>
      <c r="R1888" s="2" t="s">
        <v>12714</v>
      </c>
      <c r="S1888" s="2" t="s">
        <v>79</v>
      </c>
      <c r="T1888" s="2" t="s">
        <v>80</v>
      </c>
      <c r="U1888" s="2" t="s">
        <v>2820</v>
      </c>
      <c r="V1888" s="2" t="s">
        <v>59</v>
      </c>
      <c r="W1888" s="2">
        <v>43</v>
      </c>
      <c r="X1888" s="2">
        <v>26.9</v>
      </c>
      <c r="Y1888" s="2" t="s">
        <v>266</v>
      </c>
      <c r="Z1888" s="2" t="s">
        <v>12715</v>
      </c>
      <c r="AA1888" s="2">
        <v>-1.6041271132222401</v>
      </c>
      <c r="AB1888" s="2">
        <v>0.43058408773951101</v>
      </c>
      <c r="AC1888" s="2">
        <v>11745.7530173496</v>
      </c>
      <c r="AD1888" s="2">
        <v>24114.098094221001</v>
      </c>
      <c r="AE1888" s="2">
        <v>10897.804028319901</v>
      </c>
      <c r="AF1888" s="2">
        <v>13081.045298884999</v>
      </c>
      <c r="AG1888" s="2">
        <v>13424.051807383799</v>
      </c>
      <c r="AH1888" s="2">
        <v>11200.996139884999</v>
      </c>
      <c r="AI1888" s="2">
        <v>11659.141894415499</v>
      </c>
      <c r="AJ1888" s="2">
        <v>10211.478935208101</v>
      </c>
      <c r="AK1888" s="2">
        <v>25190.268818719502</v>
      </c>
      <c r="AL1888" s="2">
        <v>25409.8342073893</v>
      </c>
      <c r="AM1888" s="2">
        <v>23271.6972052112</v>
      </c>
      <c r="AN1888" s="2">
        <v>23098.376512848499</v>
      </c>
      <c r="AO1888" s="2">
        <v>24555.562814026998</v>
      </c>
      <c r="AP1888" s="2">
        <v>23158.849007130499</v>
      </c>
    </row>
    <row r="1889" spans="1:42" ht="14.5" x14ac:dyDescent="0.35">
      <c r="A1889" s="2" t="s">
        <v>12716</v>
      </c>
      <c r="B1889" s="2">
        <v>557.23492071987403</v>
      </c>
      <c r="C1889" s="2">
        <v>7.9734333333333298</v>
      </c>
      <c r="D1889" s="2" t="s">
        <v>34</v>
      </c>
      <c r="E1889" s="2" t="s">
        <v>12717</v>
      </c>
      <c r="F1889" s="2">
        <v>56397</v>
      </c>
      <c r="G1889" s="3" t="str">
        <f>HYPERLINK("http://funmeta.oebiotech.com/network/56397", "http://funmeta.oebiotech.com/network/56397")</f>
        <v>http://funmeta.oebiotech.com/network/56397</v>
      </c>
      <c r="H1889" s="2" t="s">
        <v>12718</v>
      </c>
      <c r="I1889" s="2">
        <v>88048</v>
      </c>
      <c r="J1889" s="2"/>
      <c r="K1889" s="2">
        <v>138796</v>
      </c>
      <c r="L1889" s="2"/>
      <c r="M1889" s="2"/>
      <c r="N1889" s="2"/>
      <c r="O1889" s="2">
        <v>85183002</v>
      </c>
      <c r="P1889" s="2" t="s">
        <v>12719</v>
      </c>
      <c r="Q1889" s="2" t="s">
        <v>12720</v>
      </c>
      <c r="R1889" s="2" t="s">
        <v>12721</v>
      </c>
      <c r="S1889" s="2" t="s">
        <v>50</v>
      </c>
      <c r="T1889" s="2" t="s">
        <v>229</v>
      </c>
      <c r="U1889" s="2" t="s">
        <v>230</v>
      </c>
      <c r="V1889" s="2" t="s">
        <v>42</v>
      </c>
      <c r="W1889" s="2">
        <v>50.2</v>
      </c>
      <c r="X1889" s="2">
        <v>60</v>
      </c>
      <c r="Y1889" s="2" t="s">
        <v>340</v>
      </c>
      <c r="Z1889" s="2" t="s">
        <v>12722</v>
      </c>
      <c r="AA1889" s="2">
        <v>-1.83208994778769</v>
      </c>
      <c r="AB1889" s="2">
        <v>0.42981020052220698</v>
      </c>
      <c r="AC1889" s="2">
        <v>42895.605800284902</v>
      </c>
      <c r="AD1889" s="2">
        <v>29414.3691514034</v>
      </c>
      <c r="AE1889" s="2">
        <v>41055.791865286803</v>
      </c>
      <c r="AF1889" s="2">
        <v>40089.441236042599</v>
      </c>
      <c r="AG1889" s="2">
        <v>47627.974235564499</v>
      </c>
      <c r="AH1889" s="2">
        <v>43305.234709092198</v>
      </c>
      <c r="AI1889" s="2">
        <v>47757.251147998097</v>
      </c>
      <c r="AJ1889" s="2">
        <v>37537.941607724897</v>
      </c>
      <c r="AK1889" s="2">
        <v>25664.748186533401</v>
      </c>
      <c r="AL1889" s="2">
        <v>29603.436539125501</v>
      </c>
      <c r="AM1889" s="2">
        <v>33962.349324459901</v>
      </c>
      <c r="AN1889" s="2">
        <v>28424.9253936364</v>
      </c>
      <c r="AO1889" s="2">
        <v>29830.962481618699</v>
      </c>
      <c r="AP1889" s="2">
        <v>28999.792983046598</v>
      </c>
    </row>
    <row r="1890" spans="1:42" ht="14.5" x14ac:dyDescent="0.35">
      <c r="A1890" s="2" t="s">
        <v>12723</v>
      </c>
      <c r="B1890" s="2">
        <v>475.23234518701298</v>
      </c>
      <c r="C1890" s="2">
        <v>9.1582833333333298</v>
      </c>
      <c r="D1890" s="2" t="s">
        <v>34</v>
      </c>
      <c r="E1890" s="2" t="s">
        <v>12724</v>
      </c>
      <c r="F1890" s="2">
        <v>83276</v>
      </c>
      <c r="G1890" s="3" t="str">
        <f>HYPERLINK("http://funmeta.oebiotech.com/network/83276", "http://funmeta.oebiotech.com/network/83276")</f>
        <v>http://funmeta.oebiotech.com/network/83276</v>
      </c>
      <c r="H1890" s="2" t="s">
        <v>12725</v>
      </c>
      <c r="I1890" s="2"/>
      <c r="J1890" s="2"/>
      <c r="K1890" s="2"/>
      <c r="L1890" s="2"/>
      <c r="M1890" s="2"/>
      <c r="N1890" s="2"/>
      <c r="O1890" s="2">
        <v>131770406</v>
      </c>
      <c r="P1890" s="2"/>
      <c r="Q1890" s="2" t="s">
        <v>12726</v>
      </c>
      <c r="R1890" s="2" t="s">
        <v>12727</v>
      </c>
      <c r="S1890" s="2" t="s">
        <v>50</v>
      </c>
      <c r="T1890" s="2" t="s">
        <v>201</v>
      </c>
      <c r="U1890" s="2" t="s">
        <v>202</v>
      </c>
      <c r="V1890" s="2" t="s">
        <v>42</v>
      </c>
      <c r="W1890" s="2">
        <v>54.9</v>
      </c>
      <c r="X1890" s="2">
        <v>77.599999999999994</v>
      </c>
      <c r="Y1890" s="2" t="s">
        <v>266</v>
      </c>
      <c r="Z1890" s="2" t="s">
        <v>12728</v>
      </c>
      <c r="AA1890" s="2">
        <v>-0.60802864382109301</v>
      </c>
      <c r="AB1890" s="2">
        <v>0.42970938702643002</v>
      </c>
      <c r="AC1890" s="2">
        <v>497321.33512295497</v>
      </c>
      <c r="AD1890" s="2">
        <v>470942.00185172999</v>
      </c>
      <c r="AE1890" s="2">
        <v>491408.12460496201</v>
      </c>
      <c r="AF1890" s="2">
        <v>498635.75226349698</v>
      </c>
      <c r="AG1890" s="2">
        <v>490423.90006454702</v>
      </c>
      <c r="AH1890" s="2">
        <v>491425.273998124</v>
      </c>
      <c r="AI1890" s="2">
        <v>481807.272758684</v>
      </c>
      <c r="AJ1890" s="2">
        <v>530227.68704791903</v>
      </c>
      <c r="AK1890" s="2">
        <v>401755.168821119</v>
      </c>
      <c r="AL1890" s="2">
        <v>465380.64469327399</v>
      </c>
      <c r="AM1890" s="2">
        <v>489120.10963292501</v>
      </c>
      <c r="AN1890" s="2">
        <v>486455.62174586602</v>
      </c>
      <c r="AO1890" s="2">
        <v>485854.000563793</v>
      </c>
      <c r="AP1890" s="2">
        <v>497086.46565340302</v>
      </c>
    </row>
    <row r="1891" spans="1:42" ht="14.5" x14ac:dyDescent="0.35">
      <c r="A1891" s="2" t="s">
        <v>12729</v>
      </c>
      <c r="B1891" s="2">
        <v>839.23515848094996</v>
      </c>
      <c r="C1891" s="2">
        <v>7.9733000000000001</v>
      </c>
      <c r="D1891" s="2" t="s">
        <v>70</v>
      </c>
      <c r="E1891" s="2" t="s">
        <v>12730</v>
      </c>
      <c r="F1891" s="2">
        <v>55297</v>
      </c>
      <c r="G1891" s="3" t="str">
        <f>HYPERLINK("http://funmeta.oebiotech.com/network/55297", "http://funmeta.oebiotech.com/network/55297")</f>
        <v>http://funmeta.oebiotech.com/network/55297</v>
      </c>
      <c r="H1891" s="2" t="s">
        <v>12731</v>
      </c>
      <c r="I1891" s="2">
        <v>87011</v>
      </c>
      <c r="J1891" s="2"/>
      <c r="K1891" s="2"/>
      <c r="L1891" s="2"/>
      <c r="M1891" s="2"/>
      <c r="N1891" s="2"/>
      <c r="O1891" s="2">
        <v>131751030</v>
      </c>
      <c r="P1891" s="2" t="s">
        <v>12732</v>
      </c>
      <c r="Q1891" s="2" t="s">
        <v>12733</v>
      </c>
      <c r="R1891" s="2" t="s">
        <v>12734</v>
      </c>
      <c r="S1891" s="2" t="s">
        <v>491</v>
      </c>
      <c r="T1891" s="2" t="s">
        <v>2251</v>
      </c>
      <c r="U1891" s="2" t="s">
        <v>2252</v>
      </c>
      <c r="V1891" s="2" t="s">
        <v>59</v>
      </c>
      <c r="W1891" s="2">
        <v>39.5</v>
      </c>
      <c r="X1891" s="2">
        <v>8.0299999999999994</v>
      </c>
      <c r="Y1891" s="2" t="s">
        <v>560</v>
      </c>
      <c r="Z1891" s="2" t="s">
        <v>12735</v>
      </c>
      <c r="AA1891" s="2">
        <v>0.74854203306508205</v>
      </c>
      <c r="AB1891" s="2">
        <v>0.42963818607093501</v>
      </c>
      <c r="AC1891" s="2">
        <v>23487.415442739901</v>
      </c>
      <c r="AD1891" s="2">
        <v>36009.886787841497</v>
      </c>
      <c r="AE1891" s="2">
        <v>23849.750948894001</v>
      </c>
      <c r="AF1891" s="2">
        <v>21540.702923217901</v>
      </c>
      <c r="AG1891" s="2">
        <v>24053.781913242299</v>
      </c>
      <c r="AH1891" s="2">
        <v>22570.601036157699</v>
      </c>
      <c r="AI1891" s="2">
        <v>26173.419484994902</v>
      </c>
      <c r="AJ1891" s="2">
        <v>22736.2363499327</v>
      </c>
      <c r="AK1891" s="2">
        <v>33093.562703290903</v>
      </c>
      <c r="AL1891" s="2">
        <v>35286.376773174103</v>
      </c>
      <c r="AM1891" s="2">
        <v>38616.573383435003</v>
      </c>
      <c r="AN1891" s="2">
        <v>37720.089407766602</v>
      </c>
      <c r="AO1891" s="2">
        <v>34094.905861340798</v>
      </c>
      <c r="AP1891" s="2">
        <v>37247.812598041703</v>
      </c>
    </row>
    <row r="1892" spans="1:42" ht="14.5" x14ac:dyDescent="0.35">
      <c r="A1892" s="2" t="s">
        <v>12736</v>
      </c>
      <c r="B1892" s="2">
        <v>707.25539883444605</v>
      </c>
      <c r="C1892" s="2">
        <v>8.7537000000000003</v>
      </c>
      <c r="D1892" s="2" t="s">
        <v>70</v>
      </c>
      <c r="E1892" s="2" t="s">
        <v>12737</v>
      </c>
      <c r="F1892" s="2">
        <v>207025</v>
      </c>
      <c r="G1892" s="3" t="str">
        <f>HYPERLINK("http://funmeta.oebiotech.com/network/207025", "http://funmeta.oebiotech.com/network/207025")</f>
        <v>http://funmeta.oebiotech.com/network/207025</v>
      </c>
      <c r="H1892" s="2" t="s">
        <v>12738</v>
      </c>
      <c r="I1892" s="2"/>
      <c r="J1892" s="2"/>
      <c r="K1892" s="2"/>
      <c r="L1892" s="2"/>
      <c r="M1892" s="2"/>
      <c r="N1892" s="2"/>
      <c r="O1892" s="2">
        <v>520035</v>
      </c>
      <c r="P1892" s="2"/>
      <c r="Q1892" s="2" t="s">
        <v>12739</v>
      </c>
      <c r="R1892" s="2" t="s">
        <v>12740</v>
      </c>
      <c r="S1892" s="2" t="s">
        <v>50</v>
      </c>
      <c r="T1892" s="2" t="s">
        <v>201</v>
      </c>
      <c r="U1892" s="2" t="s">
        <v>636</v>
      </c>
      <c r="V1892" s="2" t="s">
        <v>42</v>
      </c>
      <c r="W1892" s="2">
        <v>47.4</v>
      </c>
      <c r="X1892" s="2">
        <v>50.5</v>
      </c>
      <c r="Y1892" s="2" t="s">
        <v>560</v>
      </c>
      <c r="Z1892" s="2" t="s">
        <v>12741</v>
      </c>
      <c r="AA1892" s="2">
        <v>-0.36717662503889398</v>
      </c>
      <c r="AB1892" s="2">
        <v>0.42959725320709502</v>
      </c>
      <c r="AC1892" s="2">
        <v>51576.915812671003</v>
      </c>
      <c r="AD1892" s="2">
        <v>38343.170803891699</v>
      </c>
      <c r="AE1892" s="2">
        <v>51608.590937928799</v>
      </c>
      <c r="AF1892" s="2">
        <v>51768.533904907999</v>
      </c>
      <c r="AG1892" s="2">
        <v>46503.027374142199</v>
      </c>
      <c r="AH1892" s="2">
        <v>53482.765052220901</v>
      </c>
      <c r="AI1892" s="2">
        <v>52733.199387451401</v>
      </c>
      <c r="AJ1892" s="2">
        <v>53365.378219374601</v>
      </c>
      <c r="AK1892" s="2">
        <v>38203.086147901799</v>
      </c>
      <c r="AL1892" s="2">
        <v>40668.278905154097</v>
      </c>
      <c r="AM1892" s="2">
        <v>32892.461657392298</v>
      </c>
      <c r="AN1892" s="2">
        <v>40252.638377842602</v>
      </c>
      <c r="AO1892" s="2">
        <v>35320.7727571754</v>
      </c>
      <c r="AP1892" s="2">
        <v>42721.786977884003</v>
      </c>
    </row>
    <row r="1893" spans="1:42" ht="14.5" x14ac:dyDescent="0.35">
      <c r="A1893" s="2" t="s">
        <v>12742</v>
      </c>
      <c r="B1893" s="2">
        <v>479.15563473342598</v>
      </c>
      <c r="C1893" s="2">
        <v>5.4498833333333296</v>
      </c>
      <c r="D1893" s="2" t="s">
        <v>70</v>
      </c>
      <c r="E1893" s="2" t="s">
        <v>12743</v>
      </c>
      <c r="F1893" s="2">
        <v>62045</v>
      </c>
      <c r="G1893" s="3" t="str">
        <f>HYPERLINK("http://funmeta.oebiotech.com/network/62045", "http://funmeta.oebiotech.com/network/62045")</f>
        <v>http://funmeta.oebiotech.com/network/62045</v>
      </c>
      <c r="H1893" s="2" t="s">
        <v>12744</v>
      </c>
      <c r="I1893" s="2">
        <v>93336</v>
      </c>
      <c r="J1893" s="2"/>
      <c r="K1893" s="2"/>
      <c r="L1893" s="2"/>
      <c r="M1893" s="2"/>
      <c r="N1893" s="2"/>
      <c r="O1893" s="2">
        <v>131752423</v>
      </c>
      <c r="P1893" s="2" t="s">
        <v>12745</v>
      </c>
      <c r="Q1893" s="2" t="s">
        <v>12746</v>
      </c>
      <c r="R1893" s="2" t="s">
        <v>12747</v>
      </c>
      <c r="S1893" s="2" t="s">
        <v>50</v>
      </c>
      <c r="T1893" s="2" t="s">
        <v>201</v>
      </c>
      <c r="U1893" s="2" t="s">
        <v>241</v>
      </c>
      <c r="V1893" s="2" t="s">
        <v>42</v>
      </c>
      <c r="W1893" s="2">
        <v>53.9</v>
      </c>
      <c r="X1893" s="2">
        <v>76.599999999999994</v>
      </c>
      <c r="Y1893" s="2" t="s">
        <v>751</v>
      </c>
      <c r="Z1893" s="2" t="s">
        <v>12748</v>
      </c>
      <c r="AA1893" s="2">
        <v>-0.50292374190820799</v>
      </c>
      <c r="AB1893" s="2">
        <v>0.42950262501620501</v>
      </c>
      <c r="AC1893" s="2">
        <v>46855.4006310568</v>
      </c>
      <c r="AD1893" s="2">
        <v>33881.438240221003</v>
      </c>
      <c r="AE1893" s="2">
        <v>51606.164359568997</v>
      </c>
      <c r="AF1893" s="2">
        <v>44977.512903857598</v>
      </c>
      <c r="AG1893" s="2">
        <v>49077.731012249802</v>
      </c>
      <c r="AH1893" s="2">
        <v>43456.415954183802</v>
      </c>
      <c r="AI1893" s="2">
        <v>44771.131877563799</v>
      </c>
      <c r="AJ1893" s="2">
        <v>47243.447678916797</v>
      </c>
      <c r="AK1893" s="2">
        <v>34167.679022885997</v>
      </c>
      <c r="AL1893" s="2">
        <v>38004.535337156798</v>
      </c>
      <c r="AM1893" s="2">
        <v>35254.770793801799</v>
      </c>
      <c r="AN1893" s="2">
        <v>33289.003329568797</v>
      </c>
      <c r="AO1893" s="2">
        <v>31775.961438182101</v>
      </c>
      <c r="AP1893" s="2">
        <v>30796.6795197303</v>
      </c>
    </row>
    <row r="1894" spans="1:42" ht="14.5" x14ac:dyDescent="0.35">
      <c r="A1894" s="2" t="s">
        <v>12749</v>
      </c>
      <c r="B1894" s="2">
        <v>951.48822662766997</v>
      </c>
      <c r="C1894" s="2">
        <v>12.1619166666667</v>
      </c>
      <c r="D1894" s="2" t="s">
        <v>34</v>
      </c>
      <c r="E1894" s="2" t="s">
        <v>12750</v>
      </c>
      <c r="F1894" s="2">
        <v>229823</v>
      </c>
      <c r="G1894" s="3" t="str">
        <f>HYPERLINK("http://funmeta.oebiotech.com/network/229823", "http://funmeta.oebiotech.com/network/229823")</f>
        <v>http://funmeta.oebiotech.com/network/229823</v>
      </c>
      <c r="H1894" s="2" t="s">
        <v>12751</v>
      </c>
      <c r="I1894" s="2"/>
      <c r="J1894" s="2"/>
      <c r="K1894" s="2"/>
      <c r="L1894" s="2"/>
      <c r="M1894" s="2"/>
      <c r="N1894" s="2"/>
      <c r="O1894" s="2"/>
      <c r="P1894" s="2"/>
      <c r="Q1894" s="2" t="s">
        <v>12752</v>
      </c>
      <c r="R1894" s="2" t="s">
        <v>12753</v>
      </c>
      <c r="S1894" s="2" t="s">
        <v>41</v>
      </c>
      <c r="T1894" s="2" t="s">
        <v>41</v>
      </c>
      <c r="U1894" s="2" t="s">
        <v>41</v>
      </c>
      <c r="V1894" s="2" t="s">
        <v>59</v>
      </c>
      <c r="W1894" s="2">
        <v>36.700000000000003</v>
      </c>
      <c r="X1894" s="2">
        <v>0</v>
      </c>
      <c r="Y1894" s="2" t="s">
        <v>323</v>
      </c>
      <c r="Z1894" s="2" t="s">
        <v>12754</v>
      </c>
      <c r="AA1894" s="2">
        <v>4.3973695703070401</v>
      </c>
      <c r="AB1894" s="2">
        <v>0.42904383953720998</v>
      </c>
      <c r="AC1894" s="2">
        <v>13708.849079182501</v>
      </c>
      <c r="AD1894" s="2">
        <v>1080.35012116444</v>
      </c>
      <c r="AE1894" s="2">
        <v>14831.632022281399</v>
      </c>
      <c r="AF1894" s="2">
        <v>17257.180027647701</v>
      </c>
      <c r="AG1894" s="2">
        <v>10794.438197445799</v>
      </c>
      <c r="AH1894" s="2">
        <v>10783.302403150499</v>
      </c>
      <c r="AI1894" s="2">
        <v>11986.9218361437</v>
      </c>
      <c r="AJ1894" s="2">
        <v>16599.619988425999</v>
      </c>
      <c r="AK1894" s="2">
        <v>1619.3197625350101</v>
      </c>
      <c r="AL1894" s="2">
        <v>2.7106294003980101E-5</v>
      </c>
      <c r="AM1894" s="2">
        <v>1364.6482419364199</v>
      </c>
      <c r="AN1894" s="2">
        <v>2.7106294003980101E-5</v>
      </c>
      <c r="AO1894" s="2">
        <v>2393.87834433137</v>
      </c>
      <c r="AP1894" s="2">
        <v>1104.25432397124</v>
      </c>
    </row>
    <row r="1895" spans="1:42" ht="14.5" x14ac:dyDescent="0.35">
      <c r="A1895" s="2" t="s">
        <v>12755</v>
      </c>
      <c r="B1895" s="2">
        <v>682.35660589570102</v>
      </c>
      <c r="C1895" s="2">
        <v>7.9193166666666697</v>
      </c>
      <c r="D1895" s="2" t="s">
        <v>34</v>
      </c>
      <c r="E1895" s="2" t="s">
        <v>12756</v>
      </c>
      <c r="F1895" s="2">
        <v>28033</v>
      </c>
      <c r="G1895" s="3" t="str">
        <f>HYPERLINK("http://funmeta.oebiotech.com/network/28033", "http://funmeta.oebiotech.com/network/28033")</f>
        <v>http://funmeta.oebiotech.com/network/28033</v>
      </c>
      <c r="H1895" s="2"/>
      <c r="I1895" s="2"/>
      <c r="J1895" s="2" t="s">
        <v>12757</v>
      </c>
      <c r="K1895" s="2"/>
      <c r="L1895" s="2"/>
      <c r="M1895" s="2"/>
      <c r="N1895" s="2"/>
      <c r="O1895" s="2">
        <v>134812479</v>
      </c>
      <c r="P1895" s="2"/>
      <c r="Q1895" s="2" t="s">
        <v>12758</v>
      </c>
      <c r="R1895" s="2" t="s">
        <v>12759</v>
      </c>
      <c r="S1895" s="2" t="s">
        <v>50</v>
      </c>
      <c r="T1895" s="2" t="s">
        <v>51</v>
      </c>
      <c r="U1895" s="2" t="s">
        <v>738</v>
      </c>
      <c r="V1895" s="2" t="s">
        <v>59</v>
      </c>
      <c r="W1895" s="2">
        <v>37.5</v>
      </c>
      <c r="X1895" s="2">
        <v>0</v>
      </c>
      <c r="Y1895" s="2" t="s">
        <v>43</v>
      </c>
      <c r="Z1895" s="2" t="s">
        <v>12760</v>
      </c>
      <c r="AA1895" s="2">
        <v>0.60510036031357595</v>
      </c>
      <c r="AB1895" s="2">
        <v>0.42901681975907902</v>
      </c>
      <c r="AC1895" s="2">
        <v>17042.959229477601</v>
      </c>
      <c r="AD1895" s="2">
        <v>31238.3699048495</v>
      </c>
      <c r="AE1895" s="2">
        <v>14666.8530388747</v>
      </c>
      <c r="AF1895" s="2">
        <v>18829.436150870901</v>
      </c>
      <c r="AG1895" s="2">
        <v>25919.6342823081</v>
      </c>
      <c r="AH1895" s="2">
        <v>15422.182268782901</v>
      </c>
      <c r="AI1895" s="2">
        <v>13458.2049322081</v>
      </c>
      <c r="AJ1895" s="2">
        <v>13961.4447038209</v>
      </c>
      <c r="AK1895" s="2">
        <v>39836.672173399798</v>
      </c>
      <c r="AL1895" s="2">
        <v>29457.610718895899</v>
      </c>
      <c r="AM1895" s="2">
        <v>27072.7142206809</v>
      </c>
      <c r="AN1895" s="2">
        <v>28363.228431790099</v>
      </c>
      <c r="AO1895" s="2">
        <v>32568.463285666301</v>
      </c>
      <c r="AP1895" s="2">
        <v>30131.5305986641</v>
      </c>
    </row>
    <row r="1896" spans="1:42" ht="14.5" x14ac:dyDescent="0.35">
      <c r="A1896" s="2" t="s">
        <v>12761</v>
      </c>
      <c r="B1896" s="2">
        <v>437.12741948843399</v>
      </c>
      <c r="C1896" s="2">
        <v>3.35293333333333</v>
      </c>
      <c r="D1896" s="2" t="s">
        <v>70</v>
      </c>
      <c r="E1896" s="2" t="s">
        <v>12762</v>
      </c>
      <c r="F1896" s="2">
        <v>213108</v>
      </c>
      <c r="G1896" s="3" t="str">
        <f>HYPERLINK("http://funmeta.oebiotech.com/network/213108", "http://funmeta.oebiotech.com/network/213108")</f>
        <v>http://funmeta.oebiotech.com/network/213108</v>
      </c>
      <c r="H1896" s="2" t="s">
        <v>12763</v>
      </c>
      <c r="I1896" s="2"/>
      <c r="J1896" s="2"/>
      <c r="K1896" s="2">
        <v>38539</v>
      </c>
      <c r="L1896" s="2"/>
      <c r="M1896" s="2"/>
      <c r="N1896" s="2"/>
      <c r="O1896" s="2">
        <v>31657</v>
      </c>
      <c r="P1896" s="2"/>
      <c r="Q1896" s="2" t="s">
        <v>12764</v>
      </c>
      <c r="R1896" s="2" t="s">
        <v>12765</v>
      </c>
      <c r="S1896" s="2" t="s">
        <v>89</v>
      </c>
      <c r="T1896" s="2" t="s">
        <v>90</v>
      </c>
      <c r="U1896" s="2" t="s">
        <v>401</v>
      </c>
      <c r="V1896" s="2" t="s">
        <v>59</v>
      </c>
      <c r="W1896" s="2">
        <v>38.5</v>
      </c>
      <c r="X1896" s="2">
        <v>0.54400000000000004</v>
      </c>
      <c r="Y1896" s="2" t="s">
        <v>560</v>
      </c>
      <c r="Z1896" s="2" t="s">
        <v>12766</v>
      </c>
      <c r="AA1896" s="2">
        <v>-1.89133156109547</v>
      </c>
      <c r="AB1896" s="2">
        <v>0.42901437824630401</v>
      </c>
      <c r="AC1896" s="2">
        <v>31216.227770085399</v>
      </c>
      <c r="AD1896" s="2">
        <v>18752.3826307614</v>
      </c>
      <c r="AE1896" s="2">
        <v>31030.986963676402</v>
      </c>
      <c r="AF1896" s="2">
        <v>31423.463163634999</v>
      </c>
      <c r="AG1896" s="2">
        <v>31073.475321992599</v>
      </c>
      <c r="AH1896" s="2">
        <v>29997.058010267101</v>
      </c>
      <c r="AI1896" s="2">
        <v>34877.716901899003</v>
      </c>
      <c r="AJ1896" s="2">
        <v>28894.6662590421</v>
      </c>
      <c r="AK1896" s="2">
        <v>17797.3004689794</v>
      </c>
      <c r="AL1896" s="2">
        <v>18604.740184353301</v>
      </c>
      <c r="AM1896" s="2">
        <v>19863.769653765801</v>
      </c>
      <c r="AN1896" s="2">
        <v>19651.488067834402</v>
      </c>
      <c r="AO1896" s="2">
        <v>17169.4601002134</v>
      </c>
      <c r="AP1896" s="2">
        <v>19427.537309421899</v>
      </c>
    </row>
    <row r="1897" spans="1:42" ht="14.5" x14ac:dyDescent="0.35">
      <c r="A1897" s="2" t="s">
        <v>12767</v>
      </c>
      <c r="B1897" s="2">
        <v>669.31257971410696</v>
      </c>
      <c r="C1897" s="2">
        <v>6.57588333333333</v>
      </c>
      <c r="D1897" s="2" t="s">
        <v>70</v>
      </c>
      <c r="E1897" s="2" t="s">
        <v>12768</v>
      </c>
      <c r="F1897" s="2">
        <v>207549</v>
      </c>
      <c r="G1897" s="3" t="str">
        <f>HYPERLINK("http://funmeta.oebiotech.com/network/207549", "http://funmeta.oebiotech.com/network/207549")</f>
        <v>http://funmeta.oebiotech.com/network/207549</v>
      </c>
      <c r="H1897" s="2" t="s">
        <v>12769</v>
      </c>
      <c r="I1897" s="2"/>
      <c r="J1897" s="2"/>
      <c r="K1897" s="2"/>
      <c r="L1897" s="2"/>
      <c r="M1897" s="2"/>
      <c r="N1897" s="2"/>
      <c r="O1897" s="2">
        <v>259599</v>
      </c>
      <c r="P1897" s="2"/>
      <c r="Q1897" s="2" t="s">
        <v>12770</v>
      </c>
      <c r="R1897" s="2" t="s">
        <v>12771</v>
      </c>
      <c r="S1897" s="2" t="s">
        <v>89</v>
      </c>
      <c r="T1897" s="2" t="s">
        <v>90</v>
      </c>
      <c r="U1897" s="2" t="s">
        <v>99</v>
      </c>
      <c r="V1897" s="2" t="s">
        <v>42</v>
      </c>
      <c r="W1897" s="2">
        <v>45.6</v>
      </c>
      <c r="X1897" s="2">
        <v>55</v>
      </c>
      <c r="Y1897" s="2" t="s">
        <v>560</v>
      </c>
      <c r="Z1897" s="2" t="s">
        <v>12772</v>
      </c>
      <c r="AA1897" s="2">
        <v>1.7123118789190199</v>
      </c>
      <c r="AB1897" s="2">
        <v>0.42883781758643502</v>
      </c>
      <c r="AC1897" s="2">
        <v>323073.81067017902</v>
      </c>
      <c r="AD1897" s="2">
        <v>305474.06334233697</v>
      </c>
      <c r="AE1897" s="2">
        <v>330697.71486256103</v>
      </c>
      <c r="AF1897" s="2">
        <v>301536.262653368</v>
      </c>
      <c r="AG1897" s="2">
        <v>336234.42919110099</v>
      </c>
      <c r="AH1897" s="2">
        <v>320716.24083475902</v>
      </c>
      <c r="AI1897" s="2">
        <v>319195.481858332</v>
      </c>
      <c r="AJ1897" s="2">
        <v>330062.73462095199</v>
      </c>
      <c r="AK1897" s="2">
        <v>300548.25573148701</v>
      </c>
      <c r="AL1897" s="2">
        <v>302252.45483079797</v>
      </c>
      <c r="AM1897" s="2">
        <v>313070.02151031903</v>
      </c>
      <c r="AN1897" s="2">
        <v>310781.00227305602</v>
      </c>
      <c r="AO1897" s="2">
        <v>294436.20797651901</v>
      </c>
      <c r="AP1897" s="2">
        <v>311756.437731846</v>
      </c>
    </row>
    <row r="1898" spans="1:42" ht="14.5" x14ac:dyDescent="0.35">
      <c r="A1898" s="2" t="s">
        <v>12773</v>
      </c>
      <c r="B1898" s="2">
        <v>463.15826352105</v>
      </c>
      <c r="C1898" s="2">
        <v>1.11073333333333</v>
      </c>
      <c r="D1898" s="2" t="s">
        <v>34</v>
      </c>
      <c r="E1898" s="2" t="s">
        <v>12774</v>
      </c>
      <c r="F1898" s="2">
        <v>204349</v>
      </c>
      <c r="G1898" s="3" t="str">
        <f>HYPERLINK("http://funmeta.oebiotech.com/network/204349", "http://funmeta.oebiotech.com/network/204349")</f>
        <v>http://funmeta.oebiotech.com/network/204349</v>
      </c>
      <c r="H1898" s="2" t="s">
        <v>12775</v>
      </c>
      <c r="I1898" s="2"/>
      <c r="J1898" s="2"/>
      <c r="K1898" s="2"/>
      <c r="L1898" s="2"/>
      <c r="M1898" s="2"/>
      <c r="N1898" s="2"/>
      <c r="O1898" s="2">
        <v>4649133</v>
      </c>
      <c r="P1898" s="2"/>
      <c r="Q1898" s="2" t="s">
        <v>12776</v>
      </c>
      <c r="R1898" s="2" t="s">
        <v>12777</v>
      </c>
      <c r="S1898" s="2" t="s">
        <v>41</v>
      </c>
      <c r="T1898" s="2" t="s">
        <v>41</v>
      </c>
      <c r="U1898" s="2" t="s">
        <v>41</v>
      </c>
      <c r="V1898" s="2" t="s">
        <v>59</v>
      </c>
      <c r="W1898" s="2">
        <v>36.200000000000003</v>
      </c>
      <c r="X1898" s="2">
        <v>0</v>
      </c>
      <c r="Y1898" s="2" t="s">
        <v>43</v>
      </c>
      <c r="Z1898" s="2" t="s">
        <v>12778</v>
      </c>
      <c r="AA1898" s="2">
        <v>-1.29850951770759</v>
      </c>
      <c r="AB1898" s="2">
        <v>0.42859141572565501</v>
      </c>
      <c r="AC1898" s="2">
        <v>10154.2198533306</v>
      </c>
      <c r="AD1898" s="2">
        <v>22510.028310605499</v>
      </c>
      <c r="AE1898" s="2">
        <v>8483.6887035579894</v>
      </c>
      <c r="AF1898" s="2">
        <v>11215.9708171683</v>
      </c>
      <c r="AG1898" s="2">
        <v>9853.2347716526492</v>
      </c>
      <c r="AH1898" s="2">
        <v>9632.4862282161503</v>
      </c>
      <c r="AI1898" s="2">
        <v>11086.4003181689</v>
      </c>
      <c r="AJ1898" s="2">
        <v>10653.5382812195</v>
      </c>
      <c r="AK1898" s="2">
        <v>25034.9387571919</v>
      </c>
      <c r="AL1898" s="2">
        <v>19340.101585598</v>
      </c>
      <c r="AM1898" s="2">
        <v>21592.457435815799</v>
      </c>
      <c r="AN1898" s="2">
        <v>24157.4086636682</v>
      </c>
      <c r="AO1898" s="2">
        <v>22386.625483821099</v>
      </c>
      <c r="AP1898" s="2">
        <v>22548.637937538198</v>
      </c>
    </row>
    <row r="1899" spans="1:42" ht="14.5" x14ac:dyDescent="0.35">
      <c r="A1899" s="2" t="s">
        <v>12779</v>
      </c>
      <c r="B1899" s="2">
        <v>590.34603827370199</v>
      </c>
      <c r="C1899" s="2">
        <v>10.523999999999999</v>
      </c>
      <c r="D1899" s="2" t="s">
        <v>70</v>
      </c>
      <c r="E1899" s="2" t="s">
        <v>12780</v>
      </c>
      <c r="F1899" s="2">
        <v>19888</v>
      </c>
      <c r="G1899" s="3" t="str">
        <f>HYPERLINK("http://funmeta.oebiotech.com/network/19888", "http://funmeta.oebiotech.com/network/19888")</f>
        <v>http://funmeta.oebiotech.com/network/19888</v>
      </c>
      <c r="H1899" s="2" t="s">
        <v>12781</v>
      </c>
      <c r="I1899" s="2">
        <v>61703</v>
      </c>
      <c r="J1899" s="2" t="s">
        <v>12782</v>
      </c>
      <c r="K1899" s="2">
        <v>74343</v>
      </c>
      <c r="L1899" s="2" t="s">
        <v>1451</v>
      </c>
      <c r="M1899" s="2" t="s">
        <v>1452</v>
      </c>
      <c r="N1899" s="2" t="s">
        <v>1453</v>
      </c>
      <c r="O1899" s="2">
        <v>53480467</v>
      </c>
      <c r="P1899" s="2" t="s">
        <v>12783</v>
      </c>
      <c r="Q1899" s="2" t="s">
        <v>12784</v>
      </c>
      <c r="R1899" s="2" t="s">
        <v>12785</v>
      </c>
      <c r="S1899" s="2" t="s">
        <v>50</v>
      </c>
      <c r="T1899" s="2" t="s">
        <v>51</v>
      </c>
      <c r="U1899" s="2" t="s">
        <v>168</v>
      </c>
      <c r="V1899" s="2" t="s">
        <v>42</v>
      </c>
      <c r="W1899" s="2">
        <v>57</v>
      </c>
      <c r="X1899" s="2">
        <v>87.3</v>
      </c>
      <c r="Y1899" s="2" t="s">
        <v>408</v>
      </c>
      <c r="Z1899" s="2" t="s">
        <v>12786</v>
      </c>
      <c r="AA1899" s="2">
        <v>-0.55787420172512403</v>
      </c>
      <c r="AB1899" s="2">
        <v>0.42835470542161003</v>
      </c>
      <c r="AC1899" s="2">
        <v>27240.1994567478</v>
      </c>
      <c r="AD1899" s="2">
        <v>40123.310455135797</v>
      </c>
      <c r="AE1899" s="2">
        <v>28434.883620468299</v>
      </c>
      <c r="AF1899" s="2">
        <v>27580.953201454398</v>
      </c>
      <c r="AG1899" s="2">
        <v>29131.460709875599</v>
      </c>
      <c r="AH1899" s="2">
        <v>23608.512229000102</v>
      </c>
      <c r="AI1899" s="2">
        <v>27522.9512738704</v>
      </c>
      <c r="AJ1899" s="2">
        <v>27162.435705817799</v>
      </c>
      <c r="AK1899" s="2">
        <v>39575.174256532802</v>
      </c>
      <c r="AL1899" s="2">
        <v>41022.471453789803</v>
      </c>
      <c r="AM1899" s="2">
        <v>41267.77594616</v>
      </c>
      <c r="AN1899" s="2">
        <v>35020.225347578402</v>
      </c>
      <c r="AO1899" s="2">
        <v>39151.722512857901</v>
      </c>
      <c r="AP1899" s="2">
        <v>44702.493213895803</v>
      </c>
    </row>
    <row r="1900" spans="1:42" ht="14.5" x14ac:dyDescent="0.35">
      <c r="A1900" s="2" t="s">
        <v>12787</v>
      </c>
      <c r="B1900" s="2">
        <v>769.30870351105898</v>
      </c>
      <c r="C1900" s="2">
        <v>4.9873666666666701</v>
      </c>
      <c r="D1900" s="2" t="s">
        <v>70</v>
      </c>
      <c r="E1900" s="2" t="s">
        <v>12788</v>
      </c>
      <c r="F1900" s="2">
        <v>205230</v>
      </c>
      <c r="G1900" s="3" t="str">
        <f>HYPERLINK("http://funmeta.oebiotech.com/network/205230", "http://funmeta.oebiotech.com/network/205230")</f>
        <v>http://funmeta.oebiotech.com/network/205230</v>
      </c>
      <c r="H1900" s="2" t="s">
        <v>12789</v>
      </c>
      <c r="I1900" s="2"/>
      <c r="J1900" s="2"/>
      <c r="K1900" s="2"/>
      <c r="L1900" s="2"/>
      <c r="M1900" s="2"/>
      <c r="N1900" s="2"/>
      <c r="O1900" s="2"/>
      <c r="P1900" s="2"/>
      <c r="Q1900" s="2" t="s">
        <v>12790</v>
      </c>
      <c r="R1900" s="2" t="s">
        <v>12791</v>
      </c>
      <c r="S1900" s="2" t="s">
        <v>50</v>
      </c>
      <c r="T1900" s="2" t="s">
        <v>124</v>
      </c>
      <c r="U1900" s="2" t="s">
        <v>1136</v>
      </c>
      <c r="V1900" s="2" t="s">
        <v>59</v>
      </c>
      <c r="W1900" s="2">
        <v>38.1</v>
      </c>
      <c r="X1900" s="2">
        <v>0</v>
      </c>
      <c r="Y1900" s="2" t="s">
        <v>751</v>
      </c>
      <c r="Z1900" s="2" t="s">
        <v>12792</v>
      </c>
      <c r="AA1900" s="2">
        <v>1.27999210206814</v>
      </c>
      <c r="AB1900" s="2">
        <v>0.42789937890011698</v>
      </c>
      <c r="AC1900" s="2">
        <v>62964.921777599302</v>
      </c>
      <c r="AD1900" s="2">
        <v>78354.832459903293</v>
      </c>
      <c r="AE1900" s="2">
        <v>62082.232199865597</v>
      </c>
      <c r="AF1900" s="2">
        <v>71626.498366358399</v>
      </c>
      <c r="AG1900" s="2">
        <v>57663.1004561593</v>
      </c>
      <c r="AH1900" s="2">
        <v>55706.700429702803</v>
      </c>
      <c r="AI1900" s="2">
        <v>65664.9466446156</v>
      </c>
      <c r="AJ1900" s="2">
        <v>65046.0525688938</v>
      </c>
      <c r="AK1900" s="2">
        <v>81042.60441806</v>
      </c>
      <c r="AL1900" s="2">
        <v>85258.416127844597</v>
      </c>
      <c r="AM1900" s="2">
        <v>75007.232427852694</v>
      </c>
      <c r="AN1900" s="2">
        <v>82117.985026153794</v>
      </c>
      <c r="AO1900" s="2">
        <v>64611.749346210097</v>
      </c>
      <c r="AP1900" s="2">
        <v>82091.007413298605</v>
      </c>
    </row>
    <row r="1901" spans="1:42" ht="14.5" x14ac:dyDescent="0.35">
      <c r="A1901" s="2" t="s">
        <v>12793</v>
      </c>
      <c r="B1901" s="2">
        <v>479.15557060403199</v>
      </c>
      <c r="C1901" s="2">
        <v>5.2266333333333304</v>
      </c>
      <c r="D1901" s="2" t="s">
        <v>70</v>
      </c>
      <c r="E1901" s="2" t="s">
        <v>12794</v>
      </c>
      <c r="F1901" s="2">
        <v>34162</v>
      </c>
      <c r="G1901" s="3" t="str">
        <f>HYPERLINK("http://funmeta.oebiotech.com/network/34162", "http://funmeta.oebiotech.com/network/34162")</f>
        <v>http://funmeta.oebiotech.com/network/34162</v>
      </c>
      <c r="H1901" s="2"/>
      <c r="I1901" s="2"/>
      <c r="J1901" s="2" t="s">
        <v>12795</v>
      </c>
      <c r="K1901" s="2"/>
      <c r="L1901" s="2"/>
      <c r="M1901" s="2"/>
      <c r="N1901" s="2"/>
      <c r="O1901" s="2">
        <v>42607784</v>
      </c>
      <c r="P1901" s="2"/>
      <c r="Q1901" s="2" t="s">
        <v>12796</v>
      </c>
      <c r="R1901" s="2" t="s">
        <v>12797</v>
      </c>
      <c r="S1901" s="2" t="s">
        <v>79</v>
      </c>
      <c r="T1901" s="2" t="s">
        <v>80</v>
      </c>
      <c r="U1901" s="2" t="s">
        <v>81</v>
      </c>
      <c r="V1901" s="2" t="s">
        <v>59</v>
      </c>
      <c r="W1901" s="2">
        <v>46.5</v>
      </c>
      <c r="X1901" s="2">
        <v>38.299999999999997</v>
      </c>
      <c r="Y1901" s="2" t="s">
        <v>286</v>
      </c>
      <c r="Z1901" s="2" t="s">
        <v>12798</v>
      </c>
      <c r="AA1901" s="2">
        <v>-0.724796176299767</v>
      </c>
      <c r="AB1901" s="2">
        <v>0.42777552902876198</v>
      </c>
      <c r="AC1901" s="2">
        <v>62294.849137544901</v>
      </c>
      <c r="AD1901" s="2">
        <v>49141.106743470496</v>
      </c>
      <c r="AE1901" s="2">
        <v>65450.308552626499</v>
      </c>
      <c r="AF1901" s="2">
        <v>57556.006107438698</v>
      </c>
      <c r="AG1901" s="2">
        <v>62042.982200529303</v>
      </c>
      <c r="AH1901" s="2">
        <v>63743.030147728903</v>
      </c>
      <c r="AI1901" s="2">
        <v>59171.159151352898</v>
      </c>
      <c r="AJ1901" s="2">
        <v>65805.608665592998</v>
      </c>
      <c r="AK1901" s="2">
        <v>50234.309560416099</v>
      </c>
      <c r="AL1901" s="2">
        <v>47552.945926925502</v>
      </c>
      <c r="AM1901" s="2">
        <v>50779.4753232117</v>
      </c>
      <c r="AN1901" s="2">
        <v>53907.083548535498</v>
      </c>
      <c r="AO1901" s="2">
        <v>46561.458880467297</v>
      </c>
      <c r="AP1901" s="2">
        <v>45811.367221266701</v>
      </c>
    </row>
    <row r="1902" spans="1:42" ht="14.5" x14ac:dyDescent="0.35">
      <c r="A1902" s="2" t="s">
        <v>12799</v>
      </c>
      <c r="B1902" s="2">
        <v>189.03929857674899</v>
      </c>
      <c r="C1902" s="2">
        <v>0.78071666666666695</v>
      </c>
      <c r="D1902" s="2" t="s">
        <v>34</v>
      </c>
      <c r="E1902" s="2" t="s">
        <v>12800</v>
      </c>
      <c r="F1902" s="2">
        <v>207214</v>
      </c>
      <c r="G1902" s="3" t="str">
        <f>HYPERLINK("http://funmeta.oebiotech.com/network/207214", "http://funmeta.oebiotech.com/network/207214")</f>
        <v>http://funmeta.oebiotech.com/network/207214</v>
      </c>
      <c r="H1902" s="2" t="s">
        <v>12801</v>
      </c>
      <c r="I1902" s="2"/>
      <c r="J1902" s="2"/>
      <c r="K1902" s="2"/>
      <c r="L1902" s="2"/>
      <c r="M1902" s="2"/>
      <c r="N1902" s="2"/>
      <c r="O1902" s="2">
        <v>141057530</v>
      </c>
      <c r="P1902" s="2"/>
      <c r="Q1902" s="2" t="s">
        <v>12802</v>
      </c>
      <c r="R1902" s="2" t="s">
        <v>12803</v>
      </c>
      <c r="S1902" s="2" t="s">
        <v>41</v>
      </c>
      <c r="T1902" s="2" t="s">
        <v>41</v>
      </c>
      <c r="U1902" s="2" t="s">
        <v>41</v>
      </c>
      <c r="V1902" s="2" t="s">
        <v>59</v>
      </c>
      <c r="W1902" s="2">
        <v>48.2</v>
      </c>
      <c r="X1902" s="2">
        <v>44.4</v>
      </c>
      <c r="Y1902" s="2" t="s">
        <v>141</v>
      </c>
      <c r="Z1902" s="2" t="s">
        <v>12804</v>
      </c>
      <c r="AA1902" s="2">
        <v>-0.31950118054658</v>
      </c>
      <c r="AB1902" s="2">
        <v>0.42767623589090797</v>
      </c>
      <c r="AC1902" s="2">
        <v>81070.425106184193</v>
      </c>
      <c r="AD1902" s="2">
        <v>94941.916650268802</v>
      </c>
      <c r="AE1902" s="2">
        <v>78810.246421625707</v>
      </c>
      <c r="AF1902" s="2">
        <v>79494.453152684306</v>
      </c>
      <c r="AG1902" s="2">
        <v>82445.212376115494</v>
      </c>
      <c r="AH1902" s="2">
        <v>80385.310316532705</v>
      </c>
      <c r="AI1902" s="2">
        <v>81975.952740881199</v>
      </c>
      <c r="AJ1902" s="2">
        <v>83311.375629265603</v>
      </c>
      <c r="AK1902" s="2">
        <v>87214.705291185994</v>
      </c>
      <c r="AL1902" s="2">
        <v>94864.033756349207</v>
      </c>
      <c r="AM1902" s="2">
        <v>101347.46056976799</v>
      </c>
      <c r="AN1902" s="2">
        <v>96215.930512537801</v>
      </c>
      <c r="AO1902" s="2">
        <v>88686.441067601103</v>
      </c>
      <c r="AP1902" s="2">
        <v>101322.928704171</v>
      </c>
    </row>
    <row r="1903" spans="1:42" ht="14.5" x14ac:dyDescent="0.35">
      <c r="A1903" s="2" t="s">
        <v>12805</v>
      </c>
      <c r="B1903" s="2">
        <v>267.08609561082699</v>
      </c>
      <c r="C1903" s="2">
        <v>3.4190666666666698</v>
      </c>
      <c r="D1903" s="2" t="s">
        <v>34</v>
      </c>
      <c r="E1903" s="2" t="s">
        <v>12806</v>
      </c>
      <c r="F1903" s="2">
        <v>205935</v>
      </c>
      <c r="G1903" s="3" t="str">
        <f>HYPERLINK("http://funmeta.oebiotech.com/network/205935", "http://funmeta.oebiotech.com/network/205935")</f>
        <v>http://funmeta.oebiotech.com/network/205935</v>
      </c>
      <c r="H1903" s="2" t="s">
        <v>12807</v>
      </c>
      <c r="I1903" s="2"/>
      <c r="J1903" s="2"/>
      <c r="K1903" s="2"/>
      <c r="L1903" s="2"/>
      <c r="M1903" s="2"/>
      <c r="N1903" s="2"/>
      <c r="O1903" s="2">
        <v>15558919</v>
      </c>
      <c r="P1903" s="2"/>
      <c r="Q1903" s="2" t="s">
        <v>12808</v>
      </c>
      <c r="R1903" s="2" t="s">
        <v>12809</v>
      </c>
      <c r="S1903" s="2" t="s">
        <v>148</v>
      </c>
      <c r="T1903" s="2" t="s">
        <v>149</v>
      </c>
      <c r="U1903" s="2" t="s">
        <v>1593</v>
      </c>
      <c r="V1903" s="2" t="s">
        <v>59</v>
      </c>
      <c r="W1903" s="2">
        <v>41.1</v>
      </c>
      <c r="X1903" s="2">
        <v>9.8000000000000007</v>
      </c>
      <c r="Y1903" s="2" t="s">
        <v>266</v>
      </c>
      <c r="Z1903" s="2" t="s">
        <v>12810</v>
      </c>
      <c r="AA1903" s="2">
        <v>-0.82301677745343305</v>
      </c>
      <c r="AB1903" s="2">
        <v>0.42738993436818701</v>
      </c>
      <c r="AC1903" s="2">
        <v>191566.49115906001</v>
      </c>
      <c r="AD1903" s="2">
        <v>177396.359440812</v>
      </c>
      <c r="AE1903" s="2">
        <v>192130.518966592</v>
      </c>
      <c r="AF1903" s="2">
        <v>184639.34836208701</v>
      </c>
      <c r="AG1903" s="2">
        <v>197616.43036416499</v>
      </c>
      <c r="AH1903" s="2">
        <v>190008.80753041399</v>
      </c>
      <c r="AI1903" s="2">
        <v>186813.56032253499</v>
      </c>
      <c r="AJ1903" s="2">
        <v>198190.28140856701</v>
      </c>
      <c r="AK1903" s="2">
        <v>179158.12963572601</v>
      </c>
      <c r="AL1903" s="2">
        <v>183016.70747348201</v>
      </c>
      <c r="AM1903" s="2">
        <v>180289.42244729999</v>
      </c>
      <c r="AN1903" s="2">
        <v>174881.73227156801</v>
      </c>
      <c r="AO1903" s="2">
        <v>170509.77906395</v>
      </c>
      <c r="AP1903" s="2">
        <v>176522.385752848</v>
      </c>
    </row>
    <row r="1904" spans="1:42" ht="14.5" x14ac:dyDescent="0.35">
      <c r="A1904" s="2" t="s">
        <v>12811</v>
      </c>
      <c r="B1904" s="2">
        <v>617.51327284227102</v>
      </c>
      <c r="C1904" s="2">
        <v>15.358983333333301</v>
      </c>
      <c r="D1904" s="2" t="s">
        <v>34</v>
      </c>
      <c r="E1904" s="2" t="s">
        <v>12812</v>
      </c>
      <c r="F1904" s="2">
        <v>10912</v>
      </c>
      <c r="G1904" s="3" t="str">
        <f>HYPERLINK("http://funmeta.oebiotech.com/network/10912", "http://funmeta.oebiotech.com/network/10912")</f>
        <v>http://funmeta.oebiotech.com/network/10912</v>
      </c>
      <c r="H1904" s="2" t="s">
        <v>12813</v>
      </c>
      <c r="I1904" s="2">
        <v>58666</v>
      </c>
      <c r="J1904" s="2" t="s">
        <v>12814</v>
      </c>
      <c r="K1904" s="2">
        <v>88790</v>
      </c>
      <c r="L1904" s="2"/>
      <c r="M1904" s="2"/>
      <c r="N1904" s="2"/>
      <c r="O1904" s="2">
        <v>53477966</v>
      </c>
      <c r="P1904" s="2"/>
      <c r="Q1904" s="2" t="s">
        <v>12815</v>
      </c>
      <c r="R1904" s="2" t="s">
        <v>12816</v>
      </c>
      <c r="S1904" s="2" t="s">
        <v>50</v>
      </c>
      <c r="T1904" s="2" t="s">
        <v>448</v>
      </c>
      <c r="U1904" s="2" t="s">
        <v>1864</v>
      </c>
      <c r="V1904" s="2" t="s">
        <v>59</v>
      </c>
      <c r="W1904" s="2">
        <v>38.4</v>
      </c>
      <c r="X1904" s="2">
        <v>0</v>
      </c>
      <c r="Y1904" s="2" t="s">
        <v>394</v>
      </c>
      <c r="Z1904" s="2" t="s">
        <v>12817</v>
      </c>
      <c r="AA1904" s="2">
        <v>-1.1011531853005201</v>
      </c>
      <c r="AB1904" s="2">
        <v>0.42707438588198698</v>
      </c>
      <c r="AC1904" s="2">
        <v>20809.250005481699</v>
      </c>
      <c r="AD1904" s="2">
        <v>34708.054429183503</v>
      </c>
      <c r="AE1904" s="2">
        <v>22834.5721828079</v>
      </c>
      <c r="AF1904" s="2">
        <v>17310.9822147134</v>
      </c>
      <c r="AG1904" s="2">
        <v>19879.974572184601</v>
      </c>
      <c r="AH1904" s="2">
        <v>22195.9680177544</v>
      </c>
      <c r="AI1904" s="2">
        <v>21922.1583949866</v>
      </c>
      <c r="AJ1904" s="2">
        <v>20711.844650443301</v>
      </c>
      <c r="AK1904" s="2">
        <v>33575.750629930699</v>
      </c>
      <c r="AL1904" s="2">
        <v>30708.897779573901</v>
      </c>
      <c r="AM1904" s="2">
        <v>27048.491917414402</v>
      </c>
      <c r="AN1904" s="2">
        <v>37333.812505393304</v>
      </c>
      <c r="AO1904" s="2">
        <v>44934.919497183699</v>
      </c>
      <c r="AP1904" s="2">
        <v>34646.454245604997</v>
      </c>
    </row>
    <row r="1905" spans="1:42" ht="14.5" x14ac:dyDescent="0.35">
      <c r="A1905" s="2" t="s">
        <v>12818</v>
      </c>
      <c r="B1905" s="2">
        <v>561.14018815544898</v>
      </c>
      <c r="C1905" s="2">
        <v>4.3640166666666698</v>
      </c>
      <c r="D1905" s="2" t="s">
        <v>70</v>
      </c>
      <c r="E1905" s="2" t="s">
        <v>12819</v>
      </c>
      <c r="F1905" s="2">
        <v>34890</v>
      </c>
      <c r="G1905" s="3" t="str">
        <f>HYPERLINK("http://funmeta.oebiotech.com/network/34890", "http://funmeta.oebiotech.com/network/34890")</f>
        <v>http://funmeta.oebiotech.com/network/34890</v>
      </c>
      <c r="H1905" s="2"/>
      <c r="I1905" s="2">
        <v>53177</v>
      </c>
      <c r="J1905" s="2" t="s">
        <v>12820</v>
      </c>
      <c r="K1905" s="2"/>
      <c r="L1905" s="2"/>
      <c r="M1905" s="2"/>
      <c r="N1905" s="2"/>
      <c r="O1905" s="2">
        <v>10436583</v>
      </c>
      <c r="P1905" s="2"/>
      <c r="Q1905" s="2" t="s">
        <v>12821</v>
      </c>
      <c r="R1905" s="2" t="s">
        <v>12822</v>
      </c>
      <c r="S1905" s="2" t="s">
        <v>115</v>
      </c>
      <c r="T1905" s="2" t="s">
        <v>575</v>
      </c>
      <c r="U1905" s="2" t="s">
        <v>576</v>
      </c>
      <c r="V1905" s="2" t="s">
        <v>59</v>
      </c>
      <c r="W1905" s="2">
        <v>41.5</v>
      </c>
      <c r="X1905" s="2">
        <v>10.4</v>
      </c>
      <c r="Y1905" s="2" t="s">
        <v>1395</v>
      </c>
      <c r="Z1905" s="2" t="s">
        <v>12823</v>
      </c>
      <c r="AA1905" s="2">
        <v>-9.1176978886707893E-2</v>
      </c>
      <c r="AB1905" s="2">
        <v>0.42659185640296299</v>
      </c>
      <c r="AC1905" s="2">
        <v>379674.57400804001</v>
      </c>
      <c r="AD1905" s="2">
        <v>356197.989202542</v>
      </c>
      <c r="AE1905" s="2">
        <v>383237.91976295703</v>
      </c>
      <c r="AF1905" s="2">
        <v>345120.23354257498</v>
      </c>
      <c r="AG1905" s="2">
        <v>366000.506727751</v>
      </c>
      <c r="AH1905" s="2">
        <v>419156.073201627</v>
      </c>
      <c r="AI1905" s="2">
        <v>376781.54943514901</v>
      </c>
      <c r="AJ1905" s="2">
        <v>387751.16137818398</v>
      </c>
      <c r="AK1905" s="2">
        <v>324923.67964556802</v>
      </c>
      <c r="AL1905" s="2">
        <v>353951.36615461402</v>
      </c>
      <c r="AM1905" s="2">
        <v>373061.347088304</v>
      </c>
      <c r="AN1905" s="2">
        <v>350205.98249370302</v>
      </c>
      <c r="AO1905" s="2">
        <v>370898.93627638201</v>
      </c>
      <c r="AP1905" s="2">
        <v>364146.62355667999</v>
      </c>
    </row>
    <row r="1906" spans="1:42" ht="14.5" x14ac:dyDescent="0.35">
      <c r="A1906" s="2" t="s">
        <v>12824</v>
      </c>
      <c r="B1906" s="2">
        <v>587.30669166833002</v>
      </c>
      <c r="C1906" s="2">
        <v>6.3677999999999999</v>
      </c>
      <c r="D1906" s="2" t="s">
        <v>70</v>
      </c>
      <c r="E1906" s="2" t="s">
        <v>12825</v>
      </c>
      <c r="F1906" s="2">
        <v>255535</v>
      </c>
      <c r="G1906" s="3" t="str">
        <f>HYPERLINK("http://funmeta.oebiotech.com/network/255535", "http://funmeta.oebiotech.com/network/255535")</f>
        <v>http://funmeta.oebiotech.com/network/255535</v>
      </c>
      <c r="H1906" s="2" t="s">
        <v>12826</v>
      </c>
      <c r="I1906" s="2"/>
      <c r="J1906" s="2"/>
      <c r="K1906" s="2"/>
      <c r="L1906" s="2"/>
      <c r="M1906" s="2"/>
      <c r="N1906" s="2"/>
      <c r="O1906" s="2">
        <v>5385029</v>
      </c>
      <c r="P1906" s="2"/>
      <c r="Q1906" s="2" t="s">
        <v>12827</v>
      </c>
      <c r="R1906" s="2" t="s">
        <v>12828</v>
      </c>
      <c r="S1906" s="2" t="s">
        <v>115</v>
      </c>
      <c r="T1906" s="2" t="s">
        <v>1384</v>
      </c>
      <c r="U1906" s="2" t="s">
        <v>41</v>
      </c>
      <c r="V1906" s="2" t="s">
        <v>42</v>
      </c>
      <c r="W1906" s="2">
        <v>55.8</v>
      </c>
      <c r="X1906" s="2">
        <v>85.8</v>
      </c>
      <c r="Y1906" s="2" t="s">
        <v>1395</v>
      </c>
      <c r="Z1906" s="2" t="s">
        <v>12829</v>
      </c>
      <c r="AA1906" s="2">
        <v>-1.1227406897465699</v>
      </c>
      <c r="AB1906" s="2">
        <v>0.426025344098314</v>
      </c>
      <c r="AC1906" s="2">
        <v>71099.237553694198</v>
      </c>
      <c r="AD1906" s="2">
        <v>84284.206039401499</v>
      </c>
      <c r="AE1906" s="2">
        <v>72691.674361105106</v>
      </c>
      <c r="AF1906" s="2">
        <v>71048.099053120197</v>
      </c>
      <c r="AG1906" s="2">
        <v>71180.931620512303</v>
      </c>
      <c r="AH1906" s="2">
        <v>67992.013983982804</v>
      </c>
      <c r="AI1906" s="2">
        <v>71744.370156075893</v>
      </c>
      <c r="AJ1906" s="2">
        <v>71938.336147368696</v>
      </c>
      <c r="AK1906" s="2">
        <v>79797.163653060605</v>
      </c>
      <c r="AL1906" s="2">
        <v>89926.092040589007</v>
      </c>
      <c r="AM1906" s="2">
        <v>88847.744857649595</v>
      </c>
      <c r="AN1906" s="2">
        <v>79843.162103930503</v>
      </c>
      <c r="AO1906" s="2">
        <v>85784.854454044194</v>
      </c>
      <c r="AP1906" s="2">
        <v>81506.219127135293</v>
      </c>
    </row>
    <row r="1907" spans="1:42" ht="14.5" x14ac:dyDescent="0.35">
      <c r="A1907" s="2" t="s">
        <v>12830</v>
      </c>
      <c r="B1907" s="2">
        <v>385.19952973967798</v>
      </c>
      <c r="C1907" s="2">
        <v>10.3984166666667</v>
      </c>
      <c r="D1907" s="2" t="s">
        <v>70</v>
      </c>
      <c r="E1907" s="2" t="s">
        <v>12831</v>
      </c>
      <c r="F1907" s="2">
        <v>210223</v>
      </c>
      <c r="G1907" s="3" t="str">
        <f>HYPERLINK("http://funmeta.oebiotech.com/network/210223", "http://funmeta.oebiotech.com/network/210223")</f>
        <v>http://funmeta.oebiotech.com/network/210223</v>
      </c>
      <c r="H1907" s="2" t="s">
        <v>12832</v>
      </c>
      <c r="I1907" s="2"/>
      <c r="J1907" s="2"/>
      <c r="K1907" s="2"/>
      <c r="L1907" s="2"/>
      <c r="M1907" s="2"/>
      <c r="N1907" s="2"/>
      <c r="O1907" s="2">
        <v>21071928</v>
      </c>
      <c r="P1907" s="2"/>
      <c r="Q1907" s="2" t="s">
        <v>12833</v>
      </c>
      <c r="R1907" s="2" t="s">
        <v>12834</v>
      </c>
      <c r="S1907" s="2" t="s">
        <v>491</v>
      </c>
      <c r="T1907" s="2" t="s">
        <v>2238</v>
      </c>
      <c r="U1907" s="2" t="s">
        <v>12835</v>
      </c>
      <c r="V1907" s="2" t="s">
        <v>59</v>
      </c>
      <c r="W1907" s="2">
        <v>38.9</v>
      </c>
      <c r="X1907" s="2">
        <v>0</v>
      </c>
      <c r="Y1907" s="2" t="s">
        <v>408</v>
      </c>
      <c r="Z1907" s="2" t="s">
        <v>12836</v>
      </c>
      <c r="AA1907" s="2">
        <v>0.49221360324045799</v>
      </c>
      <c r="AB1907" s="2">
        <v>0.42572132228203802</v>
      </c>
      <c r="AC1907" s="2">
        <v>12561.0932839292</v>
      </c>
      <c r="AD1907" s="2">
        <v>503.230700731902</v>
      </c>
      <c r="AE1907" s="2">
        <v>13466.2132993823</v>
      </c>
      <c r="AF1907" s="2">
        <v>15058.462397921399</v>
      </c>
      <c r="AG1907" s="2">
        <v>11691.366412397399</v>
      </c>
      <c r="AH1907" s="2">
        <v>13292.2489890496</v>
      </c>
      <c r="AI1907" s="2">
        <v>10558.7084341266</v>
      </c>
      <c r="AJ1907" s="2">
        <v>11299.5601706979</v>
      </c>
      <c r="AK1907" s="2">
        <v>256.92097968106702</v>
      </c>
      <c r="AL1907" s="2">
        <v>383.54260249710802</v>
      </c>
      <c r="AM1907" s="2">
        <v>848.47792372717402</v>
      </c>
      <c r="AN1907" s="2">
        <v>172.54900954369501</v>
      </c>
      <c r="AO1907" s="2">
        <v>972.11984975509495</v>
      </c>
      <c r="AP1907" s="2">
        <v>385.77383918727401</v>
      </c>
    </row>
    <row r="1908" spans="1:42" ht="14.5" x14ac:dyDescent="0.35">
      <c r="A1908" s="2" t="s">
        <v>12837</v>
      </c>
      <c r="B1908" s="2">
        <v>337.17934297671502</v>
      </c>
      <c r="C1908" s="2">
        <v>5.9690166666666702</v>
      </c>
      <c r="D1908" s="2" t="s">
        <v>34</v>
      </c>
      <c r="E1908" s="2" t="s">
        <v>12838</v>
      </c>
      <c r="F1908" s="2">
        <v>267119</v>
      </c>
      <c r="G1908" s="3" t="str">
        <f>HYPERLINK("http://funmeta.oebiotech.com/network/267119", "http://funmeta.oebiotech.com/network/267119")</f>
        <v>http://funmeta.oebiotech.com/network/267119</v>
      </c>
      <c r="H1908" s="2"/>
      <c r="I1908" s="2">
        <v>44812</v>
      </c>
      <c r="J1908" s="2"/>
      <c r="K1908" s="2"/>
      <c r="L1908" s="2"/>
      <c r="M1908" s="2"/>
      <c r="N1908" s="2"/>
      <c r="O1908" s="2">
        <v>71433688</v>
      </c>
      <c r="P1908" s="2" t="s">
        <v>12839</v>
      </c>
      <c r="Q1908" s="2" t="s">
        <v>12840</v>
      </c>
      <c r="R1908" s="2" t="s">
        <v>12841</v>
      </c>
      <c r="S1908" s="2" t="s">
        <v>89</v>
      </c>
      <c r="T1908" s="2" t="s">
        <v>90</v>
      </c>
      <c r="U1908" s="2" t="s">
        <v>99</v>
      </c>
      <c r="V1908" s="2" t="s">
        <v>59</v>
      </c>
      <c r="W1908" s="2">
        <v>38.9</v>
      </c>
      <c r="X1908" s="2">
        <v>0</v>
      </c>
      <c r="Y1908" s="2" t="s">
        <v>43</v>
      </c>
      <c r="Z1908" s="2" t="s">
        <v>12842</v>
      </c>
      <c r="AA1908" s="2">
        <v>0.54377219691951095</v>
      </c>
      <c r="AB1908" s="2">
        <v>0.42545644062182397</v>
      </c>
      <c r="AC1908" s="2">
        <v>17624.550961675701</v>
      </c>
      <c r="AD1908" s="2">
        <v>5631.4143225694297</v>
      </c>
      <c r="AE1908" s="2">
        <v>16297.673793350299</v>
      </c>
      <c r="AF1908" s="2">
        <v>17066.281624846601</v>
      </c>
      <c r="AG1908" s="2">
        <v>18501.905874242799</v>
      </c>
      <c r="AH1908" s="2">
        <v>18344.3911276412</v>
      </c>
      <c r="AI1908" s="2">
        <v>17095.8554919993</v>
      </c>
      <c r="AJ1908" s="2">
        <v>18441.197857974199</v>
      </c>
      <c r="AK1908" s="2">
        <v>5602.4734371643099</v>
      </c>
      <c r="AL1908" s="2">
        <v>7040.7930927020298</v>
      </c>
      <c r="AM1908" s="2">
        <v>6079.8053381046502</v>
      </c>
      <c r="AN1908" s="2">
        <v>5965.48919906833</v>
      </c>
      <c r="AO1908" s="2">
        <v>4727.0504211423404</v>
      </c>
      <c r="AP1908" s="2">
        <v>4372.8744472349299</v>
      </c>
    </row>
    <row r="1909" spans="1:42" ht="14.5" x14ac:dyDescent="0.35">
      <c r="A1909" s="2" t="s">
        <v>12843</v>
      </c>
      <c r="B1909" s="2">
        <v>276.016548624552</v>
      </c>
      <c r="C1909" s="2">
        <v>3.6431833333333299</v>
      </c>
      <c r="D1909" s="2" t="s">
        <v>34</v>
      </c>
      <c r="E1909" s="2" t="s">
        <v>12844</v>
      </c>
      <c r="F1909" s="2">
        <v>257649</v>
      </c>
      <c r="G1909" s="3" t="str">
        <f>HYPERLINK("http://funmeta.oebiotech.com/network/257649", "http://funmeta.oebiotech.com/network/257649")</f>
        <v>http://funmeta.oebiotech.com/network/257649</v>
      </c>
      <c r="H1909" s="2" t="s">
        <v>12845</v>
      </c>
      <c r="I1909" s="2"/>
      <c r="J1909" s="2"/>
      <c r="K1909" s="2">
        <v>149604</v>
      </c>
      <c r="L1909" s="2"/>
      <c r="M1909" s="2"/>
      <c r="N1909" s="2"/>
      <c r="O1909" s="2">
        <v>129830950</v>
      </c>
      <c r="P1909" s="2"/>
      <c r="Q1909" s="2" t="s">
        <v>12846</v>
      </c>
      <c r="R1909" s="2" t="s">
        <v>12847</v>
      </c>
      <c r="S1909" s="2" t="s">
        <v>148</v>
      </c>
      <c r="T1909" s="2" t="s">
        <v>149</v>
      </c>
      <c r="U1909" s="2" t="s">
        <v>1593</v>
      </c>
      <c r="V1909" s="2" t="s">
        <v>59</v>
      </c>
      <c r="W1909" s="2">
        <v>38.299999999999997</v>
      </c>
      <c r="X1909" s="2">
        <v>0</v>
      </c>
      <c r="Y1909" s="2" t="s">
        <v>394</v>
      </c>
      <c r="Z1909" s="2" t="s">
        <v>12848</v>
      </c>
      <c r="AA1909" s="2">
        <v>-2.5469541766102601</v>
      </c>
      <c r="AB1909" s="2">
        <v>0.42505827020272602</v>
      </c>
      <c r="AC1909" s="2">
        <v>17825.670945107198</v>
      </c>
      <c r="AD1909" s="2">
        <v>29912.838092030201</v>
      </c>
      <c r="AE1909" s="2">
        <v>17094.746331247199</v>
      </c>
      <c r="AF1909" s="2">
        <v>18016.8425903436</v>
      </c>
      <c r="AG1909" s="2">
        <v>19325.9016482029</v>
      </c>
      <c r="AH1909" s="2">
        <v>16192.549115244899</v>
      </c>
      <c r="AI1909" s="2">
        <v>17713.386848584702</v>
      </c>
      <c r="AJ1909" s="2">
        <v>18610.599137019999</v>
      </c>
      <c r="AK1909" s="2">
        <v>31795.815701904299</v>
      </c>
      <c r="AL1909" s="2">
        <v>31330.886834810299</v>
      </c>
      <c r="AM1909" s="2">
        <v>29744.8720816065</v>
      </c>
      <c r="AN1909" s="2">
        <v>29410.076093650601</v>
      </c>
      <c r="AO1909" s="2">
        <v>29102.456407921902</v>
      </c>
      <c r="AP1909" s="2">
        <v>28092.9214322874</v>
      </c>
    </row>
    <row r="1910" spans="1:42" ht="14.5" x14ac:dyDescent="0.35">
      <c r="A1910" s="2" t="s">
        <v>12849</v>
      </c>
      <c r="B1910" s="2">
        <v>515.14516487818901</v>
      </c>
      <c r="C1910" s="2">
        <v>3.9323666666666699</v>
      </c>
      <c r="D1910" s="2" t="s">
        <v>70</v>
      </c>
      <c r="E1910" s="2" t="s">
        <v>12850</v>
      </c>
      <c r="F1910" s="2">
        <v>267338</v>
      </c>
      <c r="G1910" s="3" t="str">
        <f>HYPERLINK("http://funmeta.oebiotech.com/network/267338", "http://funmeta.oebiotech.com/network/267338")</f>
        <v>http://funmeta.oebiotech.com/network/267338</v>
      </c>
      <c r="H1910" s="2"/>
      <c r="I1910" s="2">
        <v>45281</v>
      </c>
      <c r="J1910" s="2"/>
      <c r="K1910" s="2"/>
      <c r="L1910" s="2"/>
      <c r="M1910" s="2"/>
      <c r="N1910" s="2"/>
      <c r="O1910" s="2">
        <v>5328748</v>
      </c>
      <c r="P1910" s="2" t="s">
        <v>12851</v>
      </c>
      <c r="Q1910" s="2" t="s">
        <v>12852</v>
      </c>
      <c r="R1910" s="2" t="s">
        <v>12853</v>
      </c>
      <c r="S1910" s="2" t="s">
        <v>491</v>
      </c>
      <c r="T1910" s="2" t="s">
        <v>2184</v>
      </c>
      <c r="U1910" s="2" t="s">
        <v>3838</v>
      </c>
      <c r="V1910" s="2" t="s">
        <v>59</v>
      </c>
      <c r="W1910" s="2">
        <v>36.5</v>
      </c>
      <c r="X1910" s="2">
        <v>0</v>
      </c>
      <c r="Y1910" s="2" t="s">
        <v>560</v>
      </c>
      <c r="Z1910" s="2" t="s">
        <v>12854</v>
      </c>
      <c r="AA1910" s="2">
        <v>-6.7794452328510797</v>
      </c>
      <c r="AB1910" s="2">
        <v>0.42416376212537998</v>
      </c>
      <c r="AC1910" s="2">
        <v>28002.210285137899</v>
      </c>
      <c r="AD1910" s="2">
        <v>15199.3232289264</v>
      </c>
      <c r="AE1910" s="2">
        <v>32789.330071204196</v>
      </c>
      <c r="AF1910" s="2">
        <v>24615.728447029102</v>
      </c>
      <c r="AG1910" s="2">
        <v>29132.219357153201</v>
      </c>
      <c r="AH1910" s="2">
        <v>28320.493621575901</v>
      </c>
      <c r="AI1910" s="2">
        <v>28862.863094013301</v>
      </c>
      <c r="AJ1910" s="2">
        <v>24292.627119852001</v>
      </c>
      <c r="AK1910" s="2">
        <v>14283.182528290001</v>
      </c>
      <c r="AL1910" s="2">
        <v>15361.5206346656</v>
      </c>
      <c r="AM1910" s="2">
        <v>15743.2430430733</v>
      </c>
      <c r="AN1910" s="2">
        <v>18990.650631156699</v>
      </c>
      <c r="AO1910" s="2">
        <v>10903.542196890799</v>
      </c>
      <c r="AP1910" s="2">
        <v>15913.800339482001</v>
      </c>
    </row>
    <row r="1911" spans="1:42" ht="14.5" x14ac:dyDescent="0.35">
      <c r="A1911" s="2" t="s">
        <v>12855</v>
      </c>
      <c r="B1911" s="2">
        <v>150.05492148093501</v>
      </c>
      <c r="C1911" s="2">
        <v>0.73473333333333302</v>
      </c>
      <c r="D1911" s="2" t="s">
        <v>34</v>
      </c>
      <c r="E1911" s="2" t="s">
        <v>12856</v>
      </c>
      <c r="F1911" s="2">
        <v>58823</v>
      </c>
      <c r="G1911" s="3" t="str">
        <f>HYPERLINK("http://funmeta.oebiotech.com/network/58823", "http://funmeta.oebiotech.com/network/58823")</f>
        <v>http://funmeta.oebiotech.com/network/58823</v>
      </c>
      <c r="H1911" s="2" t="s">
        <v>12857</v>
      </c>
      <c r="I1911" s="2">
        <v>90275</v>
      </c>
      <c r="J1911" s="2"/>
      <c r="K1911" s="2"/>
      <c r="L1911" s="2"/>
      <c r="M1911" s="2"/>
      <c r="N1911" s="2"/>
      <c r="O1911" s="2">
        <v>130791563</v>
      </c>
      <c r="P1911" s="2"/>
      <c r="Q1911" s="2" t="s">
        <v>12858</v>
      </c>
      <c r="R1911" s="2" t="s">
        <v>12859</v>
      </c>
      <c r="S1911" s="2" t="s">
        <v>491</v>
      </c>
      <c r="T1911" s="2" t="s">
        <v>11391</v>
      </c>
      <c r="U1911" s="2" t="s">
        <v>12860</v>
      </c>
      <c r="V1911" s="2" t="s">
        <v>59</v>
      </c>
      <c r="W1911" s="2">
        <v>44.5</v>
      </c>
      <c r="X1911" s="2">
        <v>31.3</v>
      </c>
      <c r="Y1911" s="2" t="s">
        <v>266</v>
      </c>
      <c r="Z1911" s="2" t="s">
        <v>12861</v>
      </c>
      <c r="AA1911" s="2">
        <v>-0.20005702647925799</v>
      </c>
      <c r="AB1911" s="2">
        <v>0.42365356478149002</v>
      </c>
      <c r="AC1911" s="2">
        <v>50404.1803475696</v>
      </c>
      <c r="AD1911" s="2">
        <v>62718.717879461103</v>
      </c>
      <c r="AE1911" s="2">
        <v>47809.3065551869</v>
      </c>
      <c r="AF1911" s="2">
        <v>50285.940184790699</v>
      </c>
      <c r="AG1911" s="2">
        <v>51922.263370721201</v>
      </c>
      <c r="AH1911" s="2">
        <v>53099.358799118403</v>
      </c>
      <c r="AI1911" s="2">
        <v>47517.007874843403</v>
      </c>
      <c r="AJ1911" s="2">
        <v>51791.205300757203</v>
      </c>
      <c r="AK1911" s="2">
        <v>63162.664820088998</v>
      </c>
      <c r="AL1911" s="2">
        <v>64171.952762188397</v>
      </c>
      <c r="AM1911" s="2">
        <v>63351.132041124802</v>
      </c>
      <c r="AN1911" s="2">
        <v>59758.666287875501</v>
      </c>
      <c r="AO1911" s="2">
        <v>63270.672596041899</v>
      </c>
      <c r="AP1911" s="2">
        <v>62597.218769446998</v>
      </c>
    </row>
    <row r="1912" spans="1:42" ht="14.5" x14ac:dyDescent="0.35">
      <c r="A1912" s="2" t="s">
        <v>12862</v>
      </c>
      <c r="B1912" s="2">
        <v>429.137787517655</v>
      </c>
      <c r="C1912" s="2">
        <v>4.8087833333333299</v>
      </c>
      <c r="D1912" s="2" t="s">
        <v>70</v>
      </c>
      <c r="E1912" s="2" t="s">
        <v>12863</v>
      </c>
      <c r="F1912" s="2">
        <v>206324</v>
      </c>
      <c r="G1912" s="3" t="str">
        <f>HYPERLINK("http://funmeta.oebiotech.com/network/206324", "http://funmeta.oebiotech.com/network/206324")</f>
        <v>http://funmeta.oebiotech.com/network/206324</v>
      </c>
      <c r="H1912" s="2" t="s">
        <v>12864</v>
      </c>
      <c r="I1912" s="2"/>
      <c r="J1912" s="2"/>
      <c r="K1912" s="2"/>
      <c r="L1912" s="2"/>
      <c r="M1912" s="2"/>
      <c r="N1912" s="2"/>
      <c r="O1912" s="2"/>
      <c r="P1912" s="2"/>
      <c r="Q1912" s="2" t="s">
        <v>12865</v>
      </c>
      <c r="R1912" s="2" t="s">
        <v>12866</v>
      </c>
      <c r="S1912" s="2" t="s">
        <v>115</v>
      </c>
      <c r="T1912" s="2" t="s">
        <v>12600</v>
      </c>
      <c r="U1912" s="2" t="s">
        <v>12601</v>
      </c>
      <c r="V1912" s="2" t="s">
        <v>59</v>
      </c>
      <c r="W1912" s="2">
        <v>39</v>
      </c>
      <c r="X1912" s="2">
        <v>7.77</v>
      </c>
      <c r="Y1912" s="2" t="s">
        <v>408</v>
      </c>
      <c r="Z1912" s="2" t="s">
        <v>12867</v>
      </c>
      <c r="AA1912" s="2">
        <v>0.14161451834069499</v>
      </c>
      <c r="AB1912" s="2">
        <v>0.42359149512842098</v>
      </c>
      <c r="AC1912" s="2">
        <v>44758.915792948203</v>
      </c>
      <c r="AD1912" s="2">
        <v>60386.087914865697</v>
      </c>
      <c r="AE1912" s="2">
        <v>38673.375944033898</v>
      </c>
      <c r="AF1912" s="2">
        <v>51705.011448478697</v>
      </c>
      <c r="AG1912" s="2">
        <v>51371.402757814903</v>
      </c>
      <c r="AH1912" s="2">
        <v>38504.715272926303</v>
      </c>
      <c r="AI1912" s="2">
        <v>46253.548711726602</v>
      </c>
      <c r="AJ1912" s="2">
        <v>42045.440622709</v>
      </c>
      <c r="AK1912" s="2">
        <v>59945.936037837302</v>
      </c>
      <c r="AL1912" s="2">
        <v>75300.642370520698</v>
      </c>
      <c r="AM1912" s="2">
        <v>60523.251973627703</v>
      </c>
      <c r="AN1912" s="2">
        <v>52745.691262596498</v>
      </c>
      <c r="AO1912" s="2">
        <v>62245.374498270001</v>
      </c>
      <c r="AP1912" s="2">
        <v>51555.631346342001</v>
      </c>
    </row>
    <row r="1913" spans="1:42" ht="14.5" x14ac:dyDescent="0.35">
      <c r="A1913" s="2" t="s">
        <v>12868</v>
      </c>
      <c r="B1913" s="2">
        <v>365.26838159239099</v>
      </c>
      <c r="C1913" s="2">
        <v>13.069366666666699</v>
      </c>
      <c r="D1913" s="2" t="s">
        <v>34</v>
      </c>
      <c r="E1913" s="2" t="s">
        <v>12869</v>
      </c>
      <c r="F1913" s="2">
        <v>3724</v>
      </c>
      <c r="G1913" s="3" t="str">
        <f>HYPERLINK("http://funmeta.oebiotech.com/network/3724", "http://funmeta.oebiotech.com/network/3724")</f>
        <v>http://funmeta.oebiotech.com/network/3724</v>
      </c>
      <c r="H1913" s="2"/>
      <c r="I1913" s="2">
        <v>36171</v>
      </c>
      <c r="J1913" s="2" t="s">
        <v>12870</v>
      </c>
      <c r="K1913" s="2"/>
      <c r="L1913" s="2"/>
      <c r="M1913" s="2"/>
      <c r="N1913" s="2"/>
      <c r="O1913" s="2">
        <v>5283099</v>
      </c>
      <c r="P1913" s="2"/>
      <c r="Q1913" s="2" t="s">
        <v>12871</v>
      </c>
      <c r="R1913" s="2" t="s">
        <v>12872</v>
      </c>
      <c r="S1913" s="2" t="s">
        <v>50</v>
      </c>
      <c r="T1913" s="2" t="s">
        <v>229</v>
      </c>
      <c r="U1913" s="2" t="s">
        <v>766</v>
      </c>
      <c r="V1913" s="2" t="s">
        <v>42</v>
      </c>
      <c r="W1913" s="2">
        <v>52.4</v>
      </c>
      <c r="X1913" s="2">
        <v>67.5</v>
      </c>
      <c r="Y1913" s="2" t="s">
        <v>141</v>
      </c>
      <c r="Z1913" s="2" t="s">
        <v>12873</v>
      </c>
      <c r="AA1913" s="2">
        <v>-0.66568861750931696</v>
      </c>
      <c r="AB1913" s="2">
        <v>0.42341974925980003</v>
      </c>
      <c r="AC1913" s="2">
        <v>14385.8330190509</v>
      </c>
      <c r="AD1913" s="2">
        <v>2415.6232971957902</v>
      </c>
      <c r="AE1913" s="2">
        <v>14495.524246507601</v>
      </c>
      <c r="AF1913" s="2">
        <v>15989.8382396541</v>
      </c>
      <c r="AG1913" s="2">
        <v>13353.722825712999</v>
      </c>
      <c r="AH1913" s="2">
        <v>12356.184762103199</v>
      </c>
      <c r="AI1913" s="2">
        <v>14124.293991938999</v>
      </c>
      <c r="AJ1913" s="2">
        <v>15995.434048388701</v>
      </c>
      <c r="AK1913" s="2">
        <v>1868.63801298675</v>
      </c>
      <c r="AL1913" s="2">
        <v>2326.8972789343302</v>
      </c>
      <c r="AM1913" s="2">
        <v>1037.8179441253201</v>
      </c>
      <c r="AN1913" s="2">
        <v>3694.6612233977999</v>
      </c>
      <c r="AO1913" s="2">
        <v>3390.43213751126</v>
      </c>
      <c r="AP1913" s="2">
        <v>2175.29318621928</v>
      </c>
    </row>
    <row r="1914" spans="1:42" ht="14.5" x14ac:dyDescent="0.35">
      <c r="A1914" s="2" t="s">
        <v>12874</v>
      </c>
      <c r="B1914" s="2">
        <v>259.02212321863402</v>
      </c>
      <c r="C1914" s="2">
        <v>0.65605000000000002</v>
      </c>
      <c r="D1914" s="2" t="s">
        <v>70</v>
      </c>
      <c r="E1914" s="2" t="s">
        <v>12875</v>
      </c>
      <c r="F1914" s="2">
        <v>258415</v>
      </c>
      <c r="G1914" s="3" t="str">
        <f>HYPERLINK("http://funmeta.oebiotech.com/network/258415", "http://funmeta.oebiotech.com/network/258415")</f>
        <v>http://funmeta.oebiotech.com/network/258415</v>
      </c>
      <c r="H1914" s="2" t="s">
        <v>12876</v>
      </c>
      <c r="I1914" s="2">
        <v>6151</v>
      </c>
      <c r="J1914" s="2"/>
      <c r="K1914" s="2"/>
      <c r="L1914" s="2" t="s">
        <v>12877</v>
      </c>
      <c r="M1914" s="2" t="s">
        <v>5345</v>
      </c>
      <c r="N1914" s="2" t="s">
        <v>5346</v>
      </c>
      <c r="O1914" s="2">
        <v>440043</v>
      </c>
      <c r="P1914" s="2" t="s">
        <v>12878</v>
      </c>
      <c r="Q1914" s="2" t="s">
        <v>12879</v>
      </c>
      <c r="R1914" s="2" t="s">
        <v>12880</v>
      </c>
      <c r="S1914" s="2" t="s">
        <v>79</v>
      </c>
      <c r="T1914" s="2" t="s">
        <v>80</v>
      </c>
      <c r="U1914" s="2" t="s">
        <v>2021</v>
      </c>
      <c r="V1914" s="2" t="s">
        <v>59</v>
      </c>
      <c r="W1914" s="2">
        <v>44.5</v>
      </c>
      <c r="X1914" s="2">
        <v>26.4</v>
      </c>
      <c r="Y1914" s="2" t="s">
        <v>792</v>
      </c>
      <c r="Z1914" s="2" t="s">
        <v>12881</v>
      </c>
      <c r="AA1914" s="2">
        <v>-1.22667638793006</v>
      </c>
      <c r="AB1914" s="2">
        <v>0.42315047963809199</v>
      </c>
      <c r="AC1914" s="2">
        <v>68267.633024651994</v>
      </c>
      <c r="AD1914" s="2">
        <v>52269.399551953597</v>
      </c>
      <c r="AE1914" s="2">
        <v>59108.198035423004</v>
      </c>
      <c r="AF1914" s="2">
        <v>85372.109715625804</v>
      </c>
      <c r="AG1914" s="2">
        <v>68589.786513433006</v>
      </c>
      <c r="AH1914" s="2">
        <v>71348.719298543001</v>
      </c>
      <c r="AI1914" s="2">
        <v>69011.130177539395</v>
      </c>
      <c r="AJ1914" s="2">
        <v>56175.854407348001</v>
      </c>
      <c r="AK1914" s="2">
        <v>45434.530105637503</v>
      </c>
      <c r="AL1914" s="2">
        <v>49643.125284456801</v>
      </c>
      <c r="AM1914" s="2">
        <v>50623.538700793099</v>
      </c>
      <c r="AN1914" s="2">
        <v>54465.428678044998</v>
      </c>
      <c r="AO1914" s="2">
        <v>59913.223527269802</v>
      </c>
      <c r="AP1914" s="2">
        <v>53536.551015519697</v>
      </c>
    </row>
    <row r="1915" spans="1:42" ht="14.5" x14ac:dyDescent="0.35">
      <c r="A1915" s="2" t="s">
        <v>12882</v>
      </c>
      <c r="B1915" s="2">
        <v>423.31139115134499</v>
      </c>
      <c r="C1915" s="2">
        <v>11.298883333333301</v>
      </c>
      <c r="D1915" s="2" t="s">
        <v>70</v>
      </c>
      <c r="E1915" s="2" t="s">
        <v>12883</v>
      </c>
      <c r="F1915" s="2">
        <v>1532</v>
      </c>
      <c r="G1915" s="3" t="str">
        <f>HYPERLINK("http://funmeta.oebiotech.com/network/1532", "http://funmeta.oebiotech.com/network/1532")</f>
        <v>http://funmeta.oebiotech.com/network/1532</v>
      </c>
      <c r="H1915" s="2"/>
      <c r="I1915" s="2"/>
      <c r="J1915" s="2" t="s">
        <v>12884</v>
      </c>
      <c r="K1915" s="2"/>
      <c r="L1915" s="2"/>
      <c r="M1915" s="2"/>
      <c r="N1915" s="2"/>
      <c r="O1915" s="2">
        <v>145721312</v>
      </c>
      <c r="P1915" s="2"/>
      <c r="Q1915" s="2" t="s">
        <v>12885</v>
      </c>
      <c r="R1915" s="2" t="s">
        <v>12886</v>
      </c>
      <c r="S1915" s="2" t="s">
        <v>50</v>
      </c>
      <c r="T1915" s="2" t="s">
        <v>229</v>
      </c>
      <c r="U1915" s="2" t="s">
        <v>433</v>
      </c>
      <c r="V1915" s="2" t="s">
        <v>42</v>
      </c>
      <c r="W1915" s="2">
        <v>50.8</v>
      </c>
      <c r="X1915" s="2">
        <v>58.3</v>
      </c>
      <c r="Y1915" s="2" t="s">
        <v>408</v>
      </c>
      <c r="Z1915" s="2" t="s">
        <v>12887</v>
      </c>
      <c r="AA1915" s="2">
        <v>-0.54696523456706703</v>
      </c>
      <c r="AB1915" s="2">
        <v>0.42296199878816199</v>
      </c>
      <c r="AC1915" s="2">
        <v>22243.164081192299</v>
      </c>
      <c r="AD1915" s="2">
        <v>34761.835216175401</v>
      </c>
      <c r="AE1915" s="2">
        <v>22884.838538033498</v>
      </c>
      <c r="AF1915" s="2">
        <v>23023.282570527401</v>
      </c>
      <c r="AG1915" s="2">
        <v>23555.561939298201</v>
      </c>
      <c r="AH1915" s="2">
        <v>21088.699109181602</v>
      </c>
      <c r="AI1915" s="2">
        <v>20418.073670836598</v>
      </c>
      <c r="AJ1915" s="2">
        <v>22488.528659276799</v>
      </c>
      <c r="AK1915" s="2">
        <v>33731.433796201403</v>
      </c>
      <c r="AL1915" s="2">
        <v>31175.713253085702</v>
      </c>
      <c r="AM1915" s="2">
        <v>35069.979673591297</v>
      </c>
      <c r="AN1915" s="2">
        <v>33942.983490377999</v>
      </c>
      <c r="AO1915" s="2">
        <v>33640.271784409801</v>
      </c>
      <c r="AP1915" s="2">
        <v>41010.629299386303</v>
      </c>
    </row>
    <row r="1916" spans="1:42" ht="14.5" x14ac:dyDescent="0.35">
      <c r="A1916" s="2" t="s">
        <v>12888</v>
      </c>
      <c r="B1916" s="2">
        <v>761.26291119694304</v>
      </c>
      <c r="C1916" s="2">
        <v>5.5805999999999996</v>
      </c>
      <c r="D1916" s="2" t="s">
        <v>70</v>
      </c>
      <c r="E1916" s="2" t="s">
        <v>12889</v>
      </c>
      <c r="F1916" s="2">
        <v>206705</v>
      </c>
      <c r="G1916" s="3" t="str">
        <f>HYPERLINK("http://funmeta.oebiotech.com/network/206705", "http://funmeta.oebiotech.com/network/206705")</f>
        <v>http://funmeta.oebiotech.com/network/206705</v>
      </c>
      <c r="H1916" s="2" t="s">
        <v>12890</v>
      </c>
      <c r="I1916" s="2"/>
      <c r="J1916" s="2"/>
      <c r="K1916" s="2">
        <v>135595</v>
      </c>
      <c r="L1916" s="2"/>
      <c r="M1916" s="2"/>
      <c r="N1916" s="2"/>
      <c r="O1916" s="2">
        <v>40821</v>
      </c>
      <c r="P1916" s="2"/>
      <c r="Q1916" s="2" t="s">
        <v>12891</v>
      </c>
      <c r="R1916" s="2" t="s">
        <v>12892</v>
      </c>
      <c r="S1916" s="2" t="s">
        <v>491</v>
      </c>
      <c r="T1916" s="2" t="s">
        <v>12893</v>
      </c>
      <c r="U1916" s="2" t="s">
        <v>12894</v>
      </c>
      <c r="V1916" s="2" t="s">
        <v>59</v>
      </c>
      <c r="W1916" s="2">
        <v>46.4</v>
      </c>
      <c r="X1916" s="2">
        <v>42.8</v>
      </c>
      <c r="Y1916" s="2" t="s">
        <v>560</v>
      </c>
      <c r="Z1916" s="2" t="s">
        <v>12895</v>
      </c>
      <c r="AA1916" s="2">
        <v>-3.6723283192267999</v>
      </c>
      <c r="AB1916" s="2">
        <v>0.42267731596806701</v>
      </c>
      <c r="AC1916" s="2">
        <v>23230.334609947</v>
      </c>
      <c r="AD1916" s="2">
        <v>36201.9009043767</v>
      </c>
      <c r="AE1916" s="2">
        <v>28121.3337490255</v>
      </c>
      <c r="AF1916" s="2">
        <v>24002.745295630699</v>
      </c>
      <c r="AG1916" s="2">
        <v>21494.138516443101</v>
      </c>
      <c r="AH1916" s="2">
        <v>21883.075827490298</v>
      </c>
      <c r="AI1916" s="2">
        <v>18305.8554834274</v>
      </c>
      <c r="AJ1916" s="2">
        <v>25574.8587876651</v>
      </c>
      <c r="AK1916" s="2">
        <v>34966.133024657902</v>
      </c>
      <c r="AL1916" s="2">
        <v>35018.6569893052</v>
      </c>
      <c r="AM1916" s="2">
        <v>38952.924964554899</v>
      </c>
      <c r="AN1916" s="2">
        <v>36934.039875752802</v>
      </c>
      <c r="AO1916" s="2">
        <v>40064.928068022702</v>
      </c>
      <c r="AP1916" s="2">
        <v>31274.722503966699</v>
      </c>
    </row>
    <row r="1917" spans="1:42" ht="14.5" x14ac:dyDescent="0.35">
      <c r="A1917" s="2" t="s">
        <v>12896</v>
      </c>
      <c r="B1917" s="2">
        <v>607.28903155498801</v>
      </c>
      <c r="C1917" s="2">
        <v>10.641500000000001</v>
      </c>
      <c r="D1917" s="2" t="s">
        <v>34</v>
      </c>
      <c r="E1917" s="2" t="s">
        <v>12897</v>
      </c>
      <c r="F1917" s="2">
        <v>47941</v>
      </c>
      <c r="G1917" s="3" t="str">
        <f>HYPERLINK("http://funmeta.oebiotech.com/network/47941", "http://funmeta.oebiotech.com/network/47941")</f>
        <v>http://funmeta.oebiotech.com/network/47941</v>
      </c>
      <c r="H1917" s="2" t="s">
        <v>12898</v>
      </c>
      <c r="I1917" s="2">
        <v>6678</v>
      </c>
      <c r="J1917" s="2"/>
      <c r="K1917" s="2"/>
      <c r="L1917" s="2"/>
      <c r="M1917" s="2"/>
      <c r="N1917" s="2"/>
      <c r="O1917" s="2">
        <v>21252299</v>
      </c>
      <c r="P1917" s="2" t="s">
        <v>12899</v>
      </c>
      <c r="Q1917" s="2" t="s">
        <v>12900</v>
      </c>
      <c r="R1917" s="2" t="s">
        <v>12901</v>
      </c>
      <c r="S1917" s="2" t="s">
        <v>50</v>
      </c>
      <c r="T1917" s="2" t="s">
        <v>124</v>
      </c>
      <c r="U1917" s="2" t="s">
        <v>523</v>
      </c>
      <c r="V1917" s="2" t="s">
        <v>59</v>
      </c>
      <c r="W1917" s="2">
        <v>38.200000000000003</v>
      </c>
      <c r="X1917" s="2">
        <v>0</v>
      </c>
      <c r="Y1917" s="2" t="s">
        <v>340</v>
      </c>
      <c r="Z1917" s="2" t="s">
        <v>12902</v>
      </c>
      <c r="AA1917" s="2">
        <v>1.9808041666583001</v>
      </c>
      <c r="AB1917" s="2">
        <v>0.422301786280466</v>
      </c>
      <c r="AC1917" s="2">
        <v>20463.046377696999</v>
      </c>
      <c r="AD1917" s="2">
        <v>8605.1188251998301</v>
      </c>
      <c r="AE1917" s="2">
        <v>19592.468528683101</v>
      </c>
      <c r="AF1917" s="2">
        <v>20083.0054833715</v>
      </c>
      <c r="AG1917" s="2">
        <v>19989.3825053</v>
      </c>
      <c r="AH1917" s="2">
        <v>21151.194633207499</v>
      </c>
      <c r="AI1917" s="2">
        <v>20367.369850409701</v>
      </c>
      <c r="AJ1917" s="2">
        <v>21594.857265210401</v>
      </c>
      <c r="AK1917" s="2">
        <v>6909.3172193685396</v>
      </c>
      <c r="AL1917" s="2">
        <v>8155.3988007053304</v>
      </c>
      <c r="AM1917" s="2">
        <v>8920.6294864143201</v>
      </c>
      <c r="AN1917" s="2">
        <v>8552.5382371190499</v>
      </c>
      <c r="AO1917" s="2">
        <v>10675.872965012</v>
      </c>
      <c r="AP1917" s="2">
        <v>8416.9562425797303</v>
      </c>
    </row>
    <row r="1918" spans="1:42" ht="14.5" x14ac:dyDescent="0.35">
      <c r="A1918" s="2" t="s">
        <v>12903</v>
      </c>
      <c r="B1918" s="2">
        <v>453.11688642769798</v>
      </c>
      <c r="C1918" s="2">
        <v>5.0599499999999997</v>
      </c>
      <c r="D1918" s="2" t="s">
        <v>70</v>
      </c>
      <c r="E1918" s="2" t="s">
        <v>12904</v>
      </c>
      <c r="F1918" s="2">
        <v>29162</v>
      </c>
      <c r="G1918" s="3" t="str">
        <f>HYPERLINK("http://funmeta.oebiotech.com/network/29162", "http://funmeta.oebiotech.com/network/29162")</f>
        <v>http://funmeta.oebiotech.com/network/29162</v>
      </c>
      <c r="H1918" s="2"/>
      <c r="I1918" s="2"/>
      <c r="J1918" s="2" t="s">
        <v>12905</v>
      </c>
      <c r="K1918" s="2"/>
      <c r="L1918" s="2"/>
      <c r="M1918" s="2"/>
      <c r="N1918" s="2"/>
      <c r="O1918" s="2">
        <v>102463148</v>
      </c>
      <c r="P1918" s="2"/>
      <c r="Q1918" s="2" t="s">
        <v>12906</v>
      </c>
      <c r="R1918" s="2" t="s">
        <v>12907</v>
      </c>
      <c r="S1918" s="2" t="s">
        <v>115</v>
      </c>
      <c r="T1918" s="2" t="s">
        <v>1371</v>
      </c>
      <c r="U1918" s="2" t="s">
        <v>1372</v>
      </c>
      <c r="V1918" s="2" t="s">
        <v>59</v>
      </c>
      <c r="W1918" s="2">
        <v>40.4</v>
      </c>
      <c r="X1918" s="2">
        <v>13.8</v>
      </c>
      <c r="Y1918" s="2" t="s">
        <v>751</v>
      </c>
      <c r="Z1918" s="2" t="s">
        <v>12908</v>
      </c>
      <c r="AA1918" s="2">
        <v>-4.7007919982083104</v>
      </c>
      <c r="AB1918" s="2">
        <v>0.42221792168580602</v>
      </c>
      <c r="AC1918" s="2">
        <v>122803.16807231899</v>
      </c>
      <c r="AD1918" s="2">
        <v>105195.580893238</v>
      </c>
      <c r="AE1918" s="2">
        <v>141207.01362787199</v>
      </c>
      <c r="AF1918" s="2">
        <v>118585.334088491</v>
      </c>
      <c r="AG1918" s="2">
        <v>103951.334717857</v>
      </c>
      <c r="AH1918" s="2">
        <v>133796.28500511701</v>
      </c>
      <c r="AI1918" s="2">
        <v>118113.71382891299</v>
      </c>
      <c r="AJ1918" s="2">
        <v>121165.32716566601</v>
      </c>
      <c r="AK1918" s="2">
        <v>117150.38095767899</v>
      </c>
      <c r="AL1918" s="2">
        <v>104189.622032614</v>
      </c>
      <c r="AM1918" s="2">
        <v>107973.62167743201</v>
      </c>
      <c r="AN1918" s="2">
        <v>102673.66862780201</v>
      </c>
      <c r="AO1918" s="2">
        <v>106762.210182275</v>
      </c>
      <c r="AP1918" s="2">
        <v>92423.981881625004</v>
      </c>
    </row>
    <row r="1919" spans="1:42" ht="14.5" x14ac:dyDescent="0.35">
      <c r="A1919" s="2" t="s">
        <v>12909</v>
      </c>
      <c r="B1919" s="2">
        <v>477.19390804389599</v>
      </c>
      <c r="C1919" s="2">
        <v>3.8783166666666702</v>
      </c>
      <c r="D1919" s="2" t="s">
        <v>34</v>
      </c>
      <c r="E1919" s="2" t="s">
        <v>12910</v>
      </c>
      <c r="F1919" s="2">
        <v>4555</v>
      </c>
      <c r="G1919" s="3" t="str">
        <f>HYPERLINK("http://funmeta.oebiotech.com/network/4555", "http://funmeta.oebiotech.com/network/4555")</f>
        <v>http://funmeta.oebiotech.com/network/4555</v>
      </c>
      <c r="H1919" s="2"/>
      <c r="I1919" s="2"/>
      <c r="J1919" s="2" t="s">
        <v>12911</v>
      </c>
      <c r="K1919" s="2"/>
      <c r="L1919" s="2"/>
      <c r="M1919" s="2"/>
      <c r="N1919" s="2"/>
      <c r="O1919" s="2">
        <v>56935886</v>
      </c>
      <c r="P1919" s="2"/>
      <c r="Q1919" s="2" t="s">
        <v>12912</v>
      </c>
      <c r="R1919" s="2" t="s">
        <v>12913</v>
      </c>
      <c r="S1919" s="2" t="s">
        <v>50</v>
      </c>
      <c r="T1919" s="2" t="s">
        <v>229</v>
      </c>
      <c r="U1919" s="2" t="s">
        <v>230</v>
      </c>
      <c r="V1919" s="2" t="s">
        <v>59</v>
      </c>
      <c r="W1919" s="2">
        <v>39.6</v>
      </c>
      <c r="X1919" s="2">
        <v>7.16</v>
      </c>
      <c r="Y1919" s="2" t="s">
        <v>323</v>
      </c>
      <c r="Z1919" s="2" t="s">
        <v>12914</v>
      </c>
      <c r="AA1919" s="2">
        <v>-0.74671389357946505</v>
      </c>
      <c r="AB1919" s="2">
        <v>0.42221736113102398</v>
      </c>
      <c r="AC1919" s="2">
        <v>59277.574299153603</v>
      </c>
      <c r="AD1919" s="2">
        <v>72461.173910755999</v>
      </c>
      <c r="AE1919" s="2">
        <v>63904.125232771599</v>
      </c>
      <c r="AF1919" s="2">
        <v>63587.231718882198</v>
      </c>
      <c r="AG1919" s="2">
        <v>56908.931408334101</v>
      </c>
      <c r="AH1919" s="2">
        <v>51256.242316623902</v>
      </c>
      <c r="AI1919" s="2">
        <v>58414.0481145089</v>
      </c>
      <c r="AJ1919" s="2">
        <v>61594.867003801097</v>
      </c>
      <c r="AK1919" s="2">
        <v>72032.676046733206</v>
      </c>
      <c r="AL1919" s="2">
        <v>73688.093177685601</v>
      </c>
      <c r="AM1919" s="2">
        <v>68752.104764082702</v>
      </c>
      <c r="AN1919" s="2">
        <v>73470.921797140894</v>
      </c>
      <c r="AO1919" s="2">
        <v>72352.377454541303</v>
      </c>
      <c r="AP1919" s="2">
        <v>74470.870224352097</v>
      </c>
    </row>
    <row r="1920" spans="1:42" ht="14.5" x14ac:dyDescent="0.35">
      <c r="A1920" s="2" t="s">
        <v>12915</v>
      </c>
      <c r="B1920" s="2">
        <v>407.04793830367902</v>
      </c>
      <c r="C1920" s="2">
        <v>2.9409666666666698</v>
      </c>
      <c r="D1920" s="2" t="s">
        <v>34</v>
      </c>
      <c r="E1920" s="2" t="s">
        <v>12916</v>
      </c>
      <c r="F1920" s="2">
        <v>210762</v>
      </c>
      <c r="G1920" s="3" t="str">
        <f>HYPERLINK("http://funmeta.oebiotech.com/network/210762", "http://funmeta.oebiotech.com/network/210762")</f>
        <v>http://funmeta.oebiotech.com/network/210762</v>
      </c>
      <c r="H1920" s="2" t="s">
        <v>12917</v>
      </c>
      <c r="I1920" s="2">
        <v>320744</v>
      </c>
      <c r="J1920" s="2"/>
      <c r="K1920" s="2"/>
      <c r="L1920" s="2"/>
      <c r="M1920" s="2"/>
      <c r="N1920" s="2"/>
      <c r="O1920" s="2">
        <v>14190</v>
      </c>
      <c r="P1920" s="2"/>
      <c r="Q1920" s="2" t="s">
        <v>12918</v>
      </c>
      <c r="R1920" s="2" t="s">
        <v>12919</v>
      </c>
      <c r="S1920" s="2" t="s">
        <v>491</v>
      </c>
      <c r="T1920" s="2" t="s">
        <v>2238</v>
      </c>
      <c r="U1920" s="2" t="s">
        <v>12920</v>
      </c>
      <c r="V1920" s="2" t="s">
        <v>59</v>
      </c>
      <c r="W1920" s="2">
        <v>37.5</v>
      </c>
      <c r="X1920" s="2">
        <v>0</v>
      </c>
      <c r="Y1920" s="2" t="s">
        <v>340</v>
      </c>
      <c r="Z1920" s="2" t="s">
        <v>12921</v>
      </c>
      <c r="AA1920" s="2">
        <v>-4.53400434923378</v>
      </c>
      <c r="AB1920" s="2">
        <v>0.42212284758572699</v>
      </c>
      <c r="AC1920" s="2">
        <v>70950.716362959196</v>
      </c>
      <c r="AD1920" s="2">
        <v>84520.440652071702</v>
      </c>
      <c r="AE1920" s="2">
        <v>68030.864958028993</v>
      </c>
      <c r="AF1920" s="2">
        <v>75983.900019691602</v>
      </c>
      <c r="AG1920" s="2">
        <v>69646.614606400806</v>
      </c>
      <c r="AH1920" s="2">
        <v>65673.539169748605</v>
      </c>
      <c r="AI1920" s="2">
        <v>69306.734537525306</v>
      </c>
      <c r="AJ1920" s="2">
        <v>77062.644886359907</v>
      </c>
      <c r="AK1920" s="2">
        <v>86893.164977054097</v>
      </c>
      <c r="AL1920" s="2">
        <v>90575.228997439393</v>
      </c>
      <c r="AM1920" s="2">
        <v>83563.8239420561</v>
      </c>
      <c r="AN1920" s="2">
        <v>82589.025319788794</v>
      </c>
      <c r="AO1920" s="2">
        <v>84817.145382614704</v>
      </c>
      <c r="AP1920" s="2">
        <v>78684.255293476905</v>
      </c>
    </row>
    <row r="1921" spans="1:42" ht="14.5" x14ac:dyDescent="0.35">
      <c r="A1921" s="2" t="s">
        <v>12922</v>
      </c>
      <c r="B1921" s="2">
        <v>305.13409228077899</v>
      </c>
      <c r="C1921" s="2">
        <v>0.71894999999999998</v>
      </c>
      <c r="D1921" s="2" t="s">
        <v>34</v>
      </c>
      <c r="E1921" s="2" t="s">
        <v>12923</v>
      </c>
      <c r="F1921" s="2">
        <v>58062</v>
      </c>
      <c r="G1921" s="3" t="str">
        <f>HYPERLINK("http://funmeta.oebiotech.com/network/58062", "http://funmeta.oebiotech.com/network/58062")</f>
        <v>http://funmeta.oebiotech.com/network/58062</v>
      </c>
      <c r="H1921" s="2" t="s">
        <v>12924</v>
      </c>
      <c r="I1921" s="2"/>
      <c r="J1921" s="2"/>
      <c r="K1921" s="2"/>
      <c r="L1921" s="2"/>
      <c r="M1921" s="2"/>
      <c r="N1921" s="2"/>
      <c r="O1921" s="2">
        <v>4641377</v>
      </c>
      <c r="P1921" s="2"/>
      <c r="Q1921" s="2" t="s">
        <v>12925</v>
      </c>
      <c r="R1921" s="2" t="s">
        <v>12926</v>
      </c>
      <c r="S1921" s="2" t="s">
        <v>89</v>
      </c>
      <c r="T1921" s="2" t="s">
        <v>90</v>
      </c>
      <c r="U1921" s="2" t="s">
        <v>99</v>
      </c>
      <c r="V1921" s="2" t="s">
        <v>59</v>
      </c>
      <c r="W1921" s="2">
        <v>38.299999999999997</v>
      </c>
      <c r="X1921" s="2">
        <v>0</v>
      </c>
      <c r="Y1921" s="2" t="s">
        <v>394</v>
      </c>
      <c r="Z1921" s="2" t="s">
        <v>12927</v>
      </c>
      <c r="AA1921" s="2">
        <v>-0.77316088773934599</v>
      </c>
      <c r="AB1921" s="2">
        <v>0.421790921886118</v>
      </c>
      <c r="AC1921" s="2">
        <v>44475.387629580902</v>
      </c>
      <c r="AD1921" s="2">
        <v>30748.259522365101</v>
      </c>
      <c r="AE1921" s="2">
        <v>39166.604088129403</v>
      </c>
      <c r="AF1921" s="2">
        <v>38349.313549103499</v>
      </c>
      <c r="AG1921" s="2">
        <v>48285.739854885498</v>
      </c>
      <c r="AH1921" s="2">
        <v>46302.000574375401</v>
      </c>
      <c r="AI1921" s="2">
        <v>47580.116291187303</v>
      </c>
      <c r="AJ1921" s="2">
        <v>47168.5514198042</v>
      </c>
      <c r="AK1921" s="2">
        <v>28414.635658858799</v>
      </c>
      <c r="AL1921" s="2">
        <v>25989.3203272397</v>
      </c>
      <c r="AM1921" s="2">
        <v>38793.223110029001</v>
      </c>
      <c r="AN1921" s="2">
        <v>27516.289703481001</v>
      </c>
      <c r="AO1921" s="2">
        <v>31889.596742601199</v>
      </c>
      <c r="AP1921" s="2">
        <v>31886.491591980699</v>
      </c>
    </row>
    <row r="1922" spans="1:42" ht="14.5" x14ac:dyDescent="0.35">
      <c r="A1922" s="2" t="s">
        <v>12928</v>
      </c>
      <c r="B1922" s="2">
        <v>660.346613795287</v>
      </c>
      <c r="C1922" s="2">
        <v>8.9336000000000002</v>
      </c>
      <c r="D1922" s="2" t="s">
        <v>34</v>
      </c>
      <c r="E1922" s="2" t="s">
        <v>12929</v>
      </c>
      <c r="F1922" s="2">
        <v>211802</v>
      </c>
      <c r="G1922" s="3" t="str">
        <f>HYPERLINK("http://funmeta.oebiotech.com/network/211802", "http://funmeta.oebiotech.com/network/211802")</f>
        <v>http://funmeta.oebiotech.com/network/211802</v>
      </c>
      <c r="H1922" s="2" t="s">
        <v>12930</v>
      </c>
      <c r="I1922" s="2">
        <v>71082</v>
      </c>
      <c r="J1922" s="2"/>
      <c r="K1922" s="2">
        <v>80079</v>
      </c>
      <c r="L1922" s="2" t="s">
        <v>12931</v>
      </c>
      <c r="M1922" s="2"/>
      <c r="N1922" s="2"/>
      <c r="O1922" s="2">
        <v>494023</v>
      </c>
      <c r="P1922" s="2" t="s">
        <v>12932</v>
      </c>
      <c r="Q1922" s="2" t="s">
        <v>12933</v>
      </c>
      <c r="R1922" s="2" t="s">
        <v>12934</v>
      </c>
      <c r="S1922" s="2" t="s">
        <v>89</v>
      </c>
      <c r="T1922" s="2" t="s">
        <v>90</v>
      </c>
      <c r="U1922" s="2" t="s">
        <v>99</v>
      </c>
      <c r="V1922" s="2" t="s">
        <v>59</v>
      </c>
      <c r="W1922" s="2">
        <v>40.6</v>
      </c>
      <c r="X1922" s="2">
        <v>11.9</v>
      </c>
      <c r="Y1922" s="2" t="s">
        <v>340</v>
      </c>
      <c r="Z1922" s="2" t="s">
        <v>12935</v>
      </c>
      <c r="AA1922" s="2">
        <v>-2.4804119999694501</v>
      </c>
      <c r="AB1922" s="2">
        <v>0.42171614671657498</v>
      </c>
      <c r="AC1922" s="2">
        <v>70620.0447046872</v>
      </c>
      <c r="AD1922" s="2">
        <v>56885.495522496502</v>
      </c>
      <c r="AE1922" s="2">
        <v>72223.910854911795</v>
      </c>
      <c r="AF1922" s="2">
        <v>71085.775724356994</v>
      </c>
      <c r="AG1922" s="2">
        <v>71227.636148502104</v>
      </c>
      <c r="AH1922" s="2">
        <v>71419.206244814501</v>
      </c>
      <c r="AI1922" s="2">
        <v>67190.218738041702</v>
      </c>
      <c r="AJ1922" s="2">
        <v>70573.520517495999</v>
      </c>
      <c r="AK1922" s="2">
        <v>59392.591982650403</v>
      </c>
      <c r="AL1922" s="2">
        <v>68163.486374156593</v>
      </c>
      <c r="AM1922" s="2">
        <v>52065.9142423913</v>
      </c>
      <c r="AN1922" s="2">
        <v>51730.668821393701</v>
      </c>
      <c r="AO1922" s="2">
        <v>58648.561954547004</v>
      </c>
      <c r="AP1922" s="2">
        <v>51311.749759839797</v>
      </c>
    </row>
    <row r="1923" spans="1:42" ht="14.5" x14ac:dyDescent="0.35">
      <c r="A1923" s="2" t="s">
        <v>12936</v>
      </c>
      <c r="B1923" s="2">
        <v>477.21288694969201</v>
      </c>
      <c r="C1923" s="2">
        <v>6.1053333333333297</v>
      </c>
      <c r="D1923" s="2" t="s">
        <v>70</v>
      </c>
      <c r="E1923" s="2" t="s">
        <v>12937</v>
      </c>
      <c r="F1923" s="2">
        <v>197138</v>
      </c>
      <c r="G1923" s="3" t="str">
        <f>HYPERLINK("http://funmeta.oebiotech.com/network/197138", "http://funmeta.oebiotech.com/network/197138")</f>
        <v>http://funmeta.oebiotech.com/network/197138</v>
      </c>
      <c r="H1923" s="2" t="s">
        <v>12938</v>
      </c>
      <c r="I1923" s="2"/>
      <c r="J1923" s="2"/>
      <c r="K1923" s="2"/>
      <c r="L1923" s="2"/>
      <c r="M1923" s="2"/>
      <c r="N1923" s="2"/>
      <c r="O1923" s="2"/>
      <c r="P1923" s="2"/>
      <c r="Q1923" s="2" t="s">
        <v>12939</v>
      </c>
      <c r="R1923" s="2" t="s">
        <v>12940</v>
      </c>
      <c r="S1923" s="2" t="s">
        <v>50</v>
      </c>
      <c r="T1923" s="2" t="s">
        <v>201</v>
      </c>
      <c r="U1923" s="2" t="s">
        <v>202</v>
      </c>
      <c r="V1923" s="2" t="s">
        <v>42</v>
      </c>
      <c r="W1923" s="2">
        <v>54.9</v>
      </c>
      <c r="X1923" s="2">
        <v>81.900000000000006</v>
      </c>
      <c r="Y1923" s="2" t="s">
        <v>751</v>
      </c>
      <c r="Z1923" s="2" t="s">
        <v>12298</v>
      </c>
      <c r="AA1923" s="2">
        <v>-0.240372860252656</v>
      </c>
      <c r="AB1923" s="2">
        <v>0.42146695407926299</v>
      </c>
      <c r="AC1923" s="2">
        <v>22294.720603672198</v>
      </c>
      <c r="AD1923" s="2">
        <v>10224.985876316199</v>
      </c>
      <c r="AE1923" s="2">
        <v>22664.248329341099</v>
      </c>
      <c r="AF1923" s="2">
        <v>21925.8340295007</v>
      </c>
      <c r="AG1923" s="2">
        <v>23158.0479352129</v>
      </c>
      <c r="AH1923" s="2">
        <v>19668.293364373501</v>
      </c>
      <c r="AI1923" s="2">
        <v>21342.344454868002</v>
      </c>
      <c r="AJ1923" s="2">
        <v>25009.555508737099</v>
      </c>
      <c r="AK1923" s="2">
        <v>11658.4943845733</v>
      </c>
      <c r="AL1923" s="2">
        <v>8624.8005059523002</v>
      </c>
      <c r="AM1923" s="2">
        <v>11710.011645523</v>
      </c>
      <c r="AN1923" s="2">
        <v>10924.412936656599</v>
      </c>
      <c r="AO1923" s="2">
        <v>7380.1967375383902</v>
      </c>
      <c r="AP1923" s="2">
        <v>11051.9990476537</v>
      </c>
    </row>
    <row r="1924" spans="1:42" ht="14.5" x14ac:dyDescent="0.35">
      <c r="A1924" s="2" t="s">
        <v>12941</v>
      </c>
      <c r="B1924" s="2">
        <v>929.27124978204802</v>
      </c>
      <c r="C1924" s="2">
        <v>4.2764166666666696</v>
      </c>
      <c r="D1924" s="2" t="s">
        <v>70</v>
      </c>
      <c r="E1924" s="2" t="s">
        <v>12942</v>
      </c>
      <c r="F1924" s="2">
        <v>55155</v>
      </c>
      <c r="G1924" s="3" t="str">
        <f>HYPERLINK("http://funmeta.oebiotech.com/network/55155", "http://funmeta.oebiotech.com/network/55155")</f>
        <v>http://funmeta.oebiotech.com/network/55155</v>
      </c>
      <c r="H1924" s="2" t="s">
        <v>12943</v>
      </c>
      <c r="I1924" s="2">
        <v>86899</v>
      </c>
      <c r="J1924" s="2"/>
      <c r="K1924" s="2"/>
      <c r="L1924" s="2"/>
      <c r="M1924" s="2"/>
      <c r="N1924" s="2"/>
      <c r="O1924" s="2">
        <v>131751001</v>
      </c>
      <c r="P1924" s="2"/>
      <c r="Q1924" s="2" t="s">
        <v>12944</v>
      </c>
      <c r="R1924" s="2" t="s">
        <v>12945</v>
      </c>
      <c r="S1924" s="2" t="s">
        <v>115</v>
      </c>
      <c r="T1924" s="2" t="s">
        <v>116</v>
      </c>
      <c r="U1924" s="2" t="s">
        <v>117</v>
      </c>
      <c r="V1924" s="2" t="s">
        <v>59</v>
      </c>
      <c r="W1924" s="2">
        <v>36.6</v>
      </c>
      <c r="X1924" s="2">
        <v>0</v>
      </c>
      <c r="Y1924" s="2" t="s">
        <v>118</v>
      </c>
      <c r="Z1924" s="2" t="s">
        <v>12946</v>
      </c>
      <c r="AA1924" s="2">
        <v>-0.91050043185173601</v>
      </c>
      <c r="AB1924" s="2">
        <v>0.42105020313883301</v>
      </c>
      <c r="AC1924" s="2">
        <v>27661.815926966399</v>
      </c>
      <c r="AD1924" s="2">
        <v>13038.1230384889</v>
      </c>
      <c r="AE1924" s="2">
        <v>25092.999463009401</v>
      </c>
      <c r="AF1924" s="2">
        <v>16017.335297948899</v>
      </c>
      <c r="AG1924" s="2">
        <v>31357.3374341177</v>
      </c>
      <c r="AH1924" s="2">
        <v>29769.719807376801</v>
      </c>
      <c r="AI1924" s="2">
        <v>31153.491342148202</v>
      </c>
      <c r="AJ1924" s="2">
        <v>32580.012217197502</v>
      </c>
      <c r="AK1924" s="2">
        <v>15045.3169210863</v>
      </c>
      <c r="AL1924" s="2">
        <v>23504.978300298899</v>
      </c>
      <c r="AM1924" s="2">
        <v>6479.9245746187999</v>
      </c>
      <c r="AN1924" s="2">
        <v>12659.5646581405</v>
      </c>
      <c r="AO1924" s="2">
        <v>9068.77419268216</v>
      </c>
      <c r="AP1924" s="2">
        <v>11470.1795841067</v>
      </c>
    </row>
    <row r="1925" spans="1:42" ht="14.5" x14ac:dyDescent="0.35">
      <c r="A1925" s="2" t="s">
        <v>12947</v>
      </c>
      <c r="B1925" s="2">
        <v>530.44107791560896</v>
      </c>
      <c r="C1925" s="2">
        <v>14.575049999999999</v>
      </c>
      <c r="D1925" s="2" t="s">
        <v>34</v>
      </c>
      <c r="E1925" s="2" t="s">
        <v>12948</v>
      </c>
      <c r="F1925" s="2">
        <v>212659</v>
      </c>
      <c r="G1925" s="3" t="str">
        <f>HYPERLINK("http://funmeta.oebiotech.com/network/212659", "http://funmeta.oebiotech.com/network/212659")</f>
        <v>http://funmeta.oebiotech.com/network/212659</v>
      </c>
      <c r="H1925" s="2" t="s">
        <v>12949</v>
      </c>
      <c r="I1925" s="2">
        <v>414144</v>
      </c>
      <c r="J1925" s="2"/>
      <c r="K1925" s="2"/>
      <c r="L1925" s="2"/>
      <c r="M1925" s="2"/>
      <c r="N1925" s="2"/>
      <c r="O1925" s="2">
        <v>31350</v>
      </c>
      <c r="P1925" s="2"/>
      <c r="Q1925" s="2" t="s">
        <v>12950</v>
      </c>
      <c r="R1925" s="2" t="s">
        <v>12951</v>
      </c>
      <c r="S1925" s="2" t="s">
        <v>50</v>
      </c>
      <c r="T1925" s="2" t="s">
        <v>448</v>
      </c>
      <c r="U1925" s="2" t="s">
        <v>9987</v>
      </c>
      <c r="V1925" s="2" t="s">
        <v>42</v>
      </c>
      <c r="W1925" s="2">
        <v>50.5</v>
      </c>
      <c r="X1925" s="2">
        <v>57.3</v>
      </c>
      <c r="Y1925" s="2" t="s">
        <v>43</v>
      </c>
      <c r="Z1925" s="2" t="s">
        <v>12952</v>
      </c>
      <c r="AA1925" s="2">
        <v>-0.85308569648629795</v>
      </c>
      <c r="AB1925" s="2">
        <v>0.42058107127296102</v>
      </c>
      <c r="AC1925" s="2">
        <v>16433.391358247602</v>
      </c>
      <c r="AD1925" s="2">
        <v>28410.0702602499</v>
      </c>
      <c r="AE1925" s="2">
        <v>14915.5292987333</v>
      </c>
      <c r="AF1925" s="2">
        <v>14847.0870098834</v>
      </c>
      <c r="AG1925" s="2">
        <v>17054.317303571999</v>
      </c>
      <c r="AH1925" s="2">
        <v>18296.152252351301</v>
      </c>
      <c r="AI1925" s="2">
        <v>16630.2052901762</v>
      </c>
      <c r="AJ1925" s="2">
        <v>16857.0569947693</v>
      </c>
      <c r="AK1925" s="2">
        <v>28686.5605085631</v>
      </c>
      <c r="AL1925" s="2">
        <v>26497.756542804698</v>
      </c>
      <c r="AM1925" s="2">
        <v>29138.374769927701</v>
      </c>
      <c r="AN1925" s="2">
        <v>26590.506361199001</v>
      </c>
      <c r="AO1925" s="2">
        <v>27742.054354000898</v>
      </c>
      <c r="AP1925" s="2">
        <v>31805.169025003801</v>
      </c>
    </row>
    <row r="1926" spans="1:42" ht="14.5" x14ac:dyDescent="0.35">
      <c r="A1926" s="2" t="s">
        <v>12953</v>
      </c>
      <c r="B1926" s="2">
        <v>503.14034140728597</v>
      </c>
      <c r="C1926" s="2">
        <v>3.5017</v>
      </c>
      <c r="D1926" s="2" t="s">
        <v>70</v>
      </c>
      <c r="E1926" s="2" t="s">
        <v>12954</v>
      </c>
      <c r="F1926" s="2">
        <v>60736</v>
      </c>
      <c r="G1926" s="3" t="str">
        <f>HYPERLINK("http://funmeta.oebiotech.com/network/60736", "http://funmeta.oebiotech.com/network/60736")</f>
        <v>http://funmeta.oebiotech.com/network/60736</v>
      </c>
      <c r="H1926" s="2" t="s">
        <v>12955</v>
      </c>
      <c r="I1926" s="2">
        <v>92064</v>
      </c>
      <c r="J1926" s="2"/>
      <c r="K1926" s="2">
        <v>167954</v>
      </c>
      <c r="L1926" s="2"/>
      <c r="M1926" s="2"/>
      <c r="N1926" s="2"/>
      <c r="O1926" s="2">
        <v>131752145</v>
      </c>
      <c r="P1926" s="2"/>
      <c r="Q1926" s="2" t="s">
        <v>12956</v>
      </c>
      <c r="R1926" s="2" t="s">
        <v>12957</v>
      </c>
      <c r="S1926" s="2" t="s">
        <v>79</v>
      </c>
      <c r="T1926" s="2" t="s">
        <v>80</v>
      </c>
      <c r="U1926" s="2" t="s">
        <v>81</v>
      </c>
      <c r="V1926" s="2" t="s">
        <v>59</v>
      </c>
      <c r="W1926" s="2">
        <v>48</v>
      </c>
      <c r="X1926" s="2">
        <v>41.9</v>
      </c>
      <c r="Y1926" s="2" t="s">
        <v>408</v>
      </c>
      <c r="Z1926" s="2" t="s">
        <v>12958</v>
      </c>
      <c r="AA1926" s="2">
        <v>-0.62803887613276599</v>
      </c>
      <c r="AB1926" s="2">
        <v>0.42055179694778799</v>
      </c>
      <c r="AC1926" s="2">
        <v>100621.702169889</v>
      </c>
      <c r="AD1926" s="2">
        <v>87073.6309077521</v>
      </c>
      <c r="AE1926" s="2">
        <v>102363.18040941301</v>
      </c>
      <c r="AF1926" s="2">
        <v>99257.469133438295</v>
      </c>
      <c r="AG1926" s="2">
        <v>98428.398378715603</v>
      </c>
      <c r="AH1926" s="2">
        <v>99136.340424199094</v>
      </c>
      <c r="AI1926" s="2">
        <v>100574.87936433899</v>
      </c>
      <c r="AJ1926" s="2">
        <v>103969.945309232</v>
      </c>
      <c r="AK1926" s="2">
        <v>82304.859293293193</v>
      </c>
      <c r="AL1926" s="2">
        <v>86333.801725180499</v>
      </c>
      <c r="AM1926" s="2">
        <v>90971.413016920997</v>
      </c>
      <c r="AN1926" s="2">
        <v>84586.142310317402</v>
      </c>
      <c r="AO1926" s="2">
        <v>81262.436761249002</v>
      </c>
      <c r="AP1926" s="2">
        <v>96983.132339551506</v>
      </c>
    </row>
    <row r="1927" spans="1:42" ht="14.5" x14ac:dyDescent="0.35">
      <c r="A1927" s="2" t="s">
        <v>12959</v>
      </c>
      <c r="B1927" s="2">
        <v>725.22557883070294</v>
      </c>
      <c r="C1927" s="2">
        <v>1.9036999999999999</v>
      </c>
      <c r="D1927" s="2" t="s">
        <v>34</v>
      </c>
      <c r="E1927" s="2" t="s">
        <v>12960</v>
      </c>
      <c r="F1927" s="2">
        <v>34435</v>
      </c>
      <c r="G1927" s="3" t="str">
        <f>HYPERLINK("http://funmeta.oebiotech.com/network/34435", "http://funmeta.oebiotech.com/network/34435")</f>
        <v>http://funmeta.oebiotech.com/network/34435</v>
      </c>
      <c r="H1927" s="2" t="s">
        <v>12961</v>
      </c>
      <c r="I1927" s="2">
        <v>52742</v>
      </c>
      <c r="J1927" s="2" t="s">
        <v>12962</v>
      </c>
      <c r="K1927" s="2"/>
      <c r="L1927" s="2"/>
      <c r="M1927" s="2"/>
      <c r="N1927" s="2"/>
      <c r="O1927" s="2">
        <v>42607917</v>
      </c>
      <c r="P1927" s="2" t="s">
        <v>12963</v>
      </c>
      <c r="Q1927" s="2" t="s">
        <v>12964</v>
      </c>
      <c r="R1927" s="2" t="s">
        <v>12965</v>
      </c>
      <c r="S1927" s="2" t="s">
        <v>115</v>
      </c>
      <c r="T1927" s="2" t="s">
        <v>139</v>
      </c>
      <c r="U1927" s="2" t="s">
        <v>140</v>
      </c>
      <c r="V1927" s="2" t="s">
        <v>42</v>
      </c>
      <c r="W1927" s="2">
        <v>50.9</v>
      </c>
      <c r="X1927" s="2">
        <v>67.7</v>
      </c>
      <c r="Y1927" s="2" t="s">
        <v>141</v>
      </c>
      <c r="Z1927" s="2" t="s">
        <v>12966</v>
      </c>
      <c r="AA1927" s="2">
        <v>-4.2601743828257801</v>
      </c>
      <c r="AB1927" s="2">
        <v>0.42046654763911501</v>
      </c>
      <c r="AC1927" s="2">
        <v>169432.24675985501</v>
      </c>
      <c r="AD1927" s="2">
        <v>188327.33389377801</v>
      </c>
      <c r="AE1927" s="2">
        <v>181197.96942409399</v>
      </c>
      <c r="AF1927" s="2">
        <v>167411.125105757</v>
      </c>
      <c r="AG1927" s="2">
        <v>174639.85872489799</v>
      </c>
      <c r="AH1927" s="2">
        <v>151007.74524268199</v>
      </c>
      <c r="AI1927" s="2">
        <v>174302.45065069699</v>
      </c>
      <c r="AJ1927" s="2">
        <v>168034.33141099999</v>
      </c>
      <c r="AK1927" s="2">
        <v>197822.05843060499</v>
      </c>
      <c r="AL1927" s="2">
        <v>164406.80824582101</v>
      </c>
      <c r="AM1927" s="2">
        <v>200025.291033966</v>
      </c>
      <c r="AN1927" s="2">
        <v>184275.95507867599</v>
      </c>
      <c r="AO1927" s="2">
        <v>177217.53481692099</v>
      </c>
      <c r="AP1927" s="2">
        <v>206216.355756676</v>
      </c>
    </row>
    <row r="1928" spans="1:42" ht="14.5" x14ac:dyDescent="0.35">
      <c r="A1928" s="2" t="s">
        <v>12967</v>
      </c>
      <c r="B1928" s="2">
        <v>670.35812250830702</v>
      </c>
      <c r="C1928" s="2">
        <v>11.004099999999999</v>
      </c>
      <c r="D1928" s="2" t="s">
        <v>34</v>
      </c>
      <c r="E1928" s="2" t="s">
        <v>12968</v>
      </c>
      <c r="F1928" s="2">
        <v>28015</v>
      </c>
      <c r="G1928" s="3" t="str">
        <f>HYPERLINK("http://funmeta.oebiotech.com/network/28015", "http://funmeta.oebiotech.com/network/28015")</f>
        <v>http://funmeta.oebiotech.com/network/28015</v>
      </c>
      <c r="H1928" s="2"/>
      <c r="I1928" s="2"/>
      <c r="J1928" s="2" t="s">
        <v>12969</v>
      </c>
      <c r="K1928" s="2"/>
      <c r="L1928" s="2"/>
      <c r="M1928" s="2"/>
      <c r="N1928" s="2"/>
      <c r="O1928" s="2">
        <v>134812461</v>
      </c>
      <c r="P1928" s="2"/>
      <c r="Q1928" s="2" t="s">
        <v>12970</v>
      </c>
      <c r="R1928" s="2" t="s">
        <v>12971</v>
      </c>
      <c r="S1928" s="2" t="s">
        <v>50</v>
      </c>
      <c r="T1928" s="2" t="s">
        <v>51</v>
      </c>
      <c r="U1928" s="2" t="s">
        <v>738</v>
      </c>
      <c r="V1928" s="2" t="s">
        <v>59</v>
      </c>
      <c r="W1928" s="2">
        <v>38.5</v>
      </c>
      <c r="X1928" s="2">
        <v>0</v>
      </c>
      <c r="Y1928" s="2" t="s">
        <v>43</v>
      </c>
      <c r="Z1928" s="2" t="s">
        <v>12972</v>
      </c>
      <c r="AA1928" s="2">
        <v>2.9411750709784701</v>
      </c>
      <c r="AB1928" s="2">
        <v>0.42036420144893499</v>
      </c>
      <c r="AC1928" s="2">
        <v>15887.1115071234</v>
      </c>
      <c r="AD1928" s="2">
        <v>4124.8142182129905</v>
      </c>
      <c r="AE1928" s="2">
        <v>16319.2862431836</v>
      </c>
      <c r="AF1928" s="2">
        <v>14438.861096398399</v>
      </c>
      <c r="AG1928" s="2">
        <v>14973.318146822299</v>
      </c>
      <c r="AH1928" s="2">
        <v>15613.4754396805</v>
      </c>
      <c r="AI1928" s="2">
        <v>16129.1310937654</v>
      </c>
      <c r="AJ1928" s="2">
        <v>17848.597022890099</v>
      </c>
      <c r="AK1928" s="2">
        <v>5111.9087225616404</v>
      </c>
      <c r="AL1928" s="2">
        <v>4803.5998989479704</v>
      </c>
      <c r="AM1928" s="2">
        <v>4469.2389410410597</v>
      </c>
      <c r="AN1928" s="2">
        <v>3940.07322397702</v>
      </c>
      <c r="AO1928" s="2">
        <v>3991.7285432395902</v>
      </c>
      <c r="AP1928" s="2">
        <v>2432.3359795106599</v>
      </c>
    </row>
    <row r="1929" spans="1:42" ht="14.5" x14ac:dyDescent="0.35">
      <c r="A1929" s="2" t="s">
        <v>12973</v>
      </c>
      <c r="B1929" s="2">
        <v>281.24827830483503</v>
      </c>
      <c r="C1929" s="2">
        <v>13.1527166666667</v>
      </c>
      <c r="D1929" s="2" t="s">
        <v>70</v>
      </c>
      <c r="E1929" s="2" t="s">
        <v>12974</v>
      </c>
      <c r="F1929" s="2">
        <v>9246</v>
      </c>
      <c r="G1929" s="3" t="str">
        <f>HYPERLINK("http://funmeta.oebiotech.com/network/9246", "http://funmeta.oebiotech.com/network/9246")</f>
        <v>http://funmeta.oebiotech.com/network/9246</v>
      </c>
      <c r="H1929" s="2"/>
      <c r="I1929" s="2">
        <v>97545</v>
      </c>
      <c r="J1929" s="2" t="s">
        <v>12975</v>
      </c>
      <c r="K1929" s="2"/>
      <c r="L1929" s="2"/>
      <c r="M1929" s="2"/>
      <c r="N1929" s="2"/>
      <c r="O1929" s="2">
        <v>56936109</v>
      </c>
      <c r="P1929" s="2"/>
      <c r="Q1929" s="2" t="s">
        <v>12976</v>
      </c>
      <c r="R1929" s="2" t="s">
        <v>12977</v>
      </c>
      <c r="S1929" s="2" t="s">
        <v>3194</v>
      </c>
      <c r="T1929" s="2" t="s">
        <v>3195</v>
      </c>
      <c r="U1929" s="2" t="s">
        <v>12978</v>
      </c>
      <c r="V1929" s="2" t="s">
        <v>59</v>
      </c>
      <c r="W1929" s="2">
        <v>39.4</v>
      </c>
      <c r="X1929" s="2">
        <v>0.108</v>
      </c>
      <c r="Y1929" s="2" t="s">
        <v>408</v>
      </c>
      <c r="Z1929" s="2" t="s">
        <v>12979</v>
      </c>
      <c r="AA1929" s="2">
        <v>-1.3781623396165099</v>
      </c>
      <c r="AB1929" s="2">
        <v>0.42027152551018299</v>
      </c>
      <c r="AC1929" s="2">
        <v>16462.965924850501</v>
      </c>
      <c r="AD1929" s="2">
        <v>29060.289040336898</v>
      </c>
      <c r="AE1929" s="2">
        <v>16533.6943699929</v>
      </c>
      <c r="AF1929" s="2">
        <v>15754.4005892975</v>
      </c>
      <c r="AG1929" s="2">
        <v>17864.6909753455</v>
      </c>
      <c r="AH1929" s="2">
        <v>17609.0497545541</v>
      </c>
      <c r="AI1929" s="2">
        <v>15745.2971468538</v>
      </c>
      <c r="AJ1929" s="2">
        <v>15270.6627130591</v>
      </c>
      <c r="AK1929" s="2">
        <v>34560.559310226097</v>
      </c>
      <c r="AL1929" s="2">
        <v>32406.8911550495</v>
      </c>
      <c r="AM1929" s="2">
        <v>28716.780334281899</v>
      </c>
      <c r="AN1929" s="2">
        <v>26440.995068556102</v>
      </c>
      <c r="AO1929" s="2">
        <v>28464.765796559099</v>
      </c>
      <c r="AP1929" s="2">
        <v>23771.742577348501</v>
      </c>
    </row>
    <row r="1930" spans="1:42" ht="14.5" x14ac:dyDescent="0.35">
      <c r="A1930" s="2" t="s">
        <v>12980</v>
      </c>
      <c r="B1930" s="2">
        <v>435.074335274139</v>
      </c>
      <c r="C1930" s="2">
        <v>1.06171666666667</v>
      </c>
      <c r="D1930" s="2" t="s">
        <v>34</v>
      </c>
      <c r="E1930" s="2" t="s">
        <v>12981</v>
      </c>
      <c r="F1930" s="2">
        <v>62141</v>
      </c>
      <c r="G1930" s="3" t="str">
        <f>HYPERLINK("http://funmeta.oebiotech.com/network/62141", "http://funmeta.oebiotech.com/network/62141")</f>
        <v>http://funmeta.oebiotech.com/network/62141</v>
      </c>
      <c r="H1930" s="2" t="s">
        <v>12982</v>
      </c>
      <c r="I1930" s="2">
        <v>93432</v>
      </c>
      <c r="J1930" s="2"/>
      <c r="K1930" s="2"/>
      <c r="L1930" s="2"/>
      <c r="M1930" s="2"/>
      <c r="N1930" s="2"/>
      <c r="O1930" s="2">
        <v>5321987</v>
      </c>
      <c r="P1930" s="2"/>
      <c r="Q1930" s="2" t="s">
        <v>12983</v>
      </c>
      <c r="R1930" s="2" t="s">
        <v>12984</v>
      </c>
      <c r="S1930" s="2" t="s">
        <v>115</v>
      </c>
      <c r="T1930" s="2" t="s">
        <v>1371</v>
      </c>
      <c r="U1930" s="2" t="s">
        <v>6597</v>
      </c>
      <c r="V1930" s="2" t="s">
        <v>59</v>
      </c>
      <c r="W1930" s="2">
        <v>37</v>
      </c>
      <c r="X1930" s="2">
        <v>0</v>
      </c>
      <c r="Y1930" s="2" t="s">
        <v>266</v>
      </c>
      <c r="Z1930" s="2" t="s">
        <v>12985</v>
      </c>
      <c r="AA1930" s="2">
        <v>-0.20862090101547601</v>
      </c>
      <c r="AB1930" s="2">
        <v>0.419907787923885</v>
      </c>
      <c r="AC1930" s="2">
        <v>49750.569982446097</v>
      </c>
      <c r="AD1930" s="2">
        <v>62239.565785793602</v>
      </c>
      <c r="AE1930" s="2">
        <v>47239.935085279503</v>
      </c>
      <c r="AF1930" s="2">
        <v>48889.635380811698</v>
      </c>
      <c r="AG1930" s="2">
        <v>50126.409583514403</v>
      </c>
      <c r="AH1930" s="2">
        <v>48871.847070698503</v>
      </c>
      <c r="AI1930" s="2">
        <v>52642.1476264011</v>
      </c>
      <c r="AJ1930" s="2">
        <v>50733.445147971499</v>
      </c>
      <c r="AK1930" s="2">
        <v>58669.387240542303</v>
      </c>
      <c r="AL1930" s="2">
        <v>58786.847368873103</v>
      </c>
      <c r="AM1930" s="2">
        <v>67681.020639057504</v>
      </c>
      <c r="AN1930" s="2">
        <v>61427.600208871299</v>
      </c>
      <c r="AO1930" s="2">
        <v>65566.101055960899</v>
      </c>
      <c r="AP1930" s="2">
        <v>61306.438201456498</v>
      </c>
    </row>
    <row r="1931" spans="1:42" ht="14.5" x14ac:dyDescent="0.35">
      <c r="A1931" s="2" t="s">
        <v>12986</v>
      </c>
      <c r="B1931" s="2">
        <v>393.19092389157498</v>
      </c>
      <c r="C1931" s="2">
        <v>4.3640166666666698</v>
      </c>
      <c r="D1931" s="2" t="s">
        <v>70</v>
      </c>
      <c r="E1931" s="2" t="s">
        <v>12987</v>
      </c>
      <c r="F1931" s="2">
        <v>4521</v>
      </c>
      <c r="G1931" s="3" t="str">
        <f>HYPERLINK("http://funmeta.oebiotech.com/network/4521", "http://funmeta.oebiotech.com/network/4521")</f>
        <v>http://funmeta.oebiotech.com/network/4521</v>
      </c>
      <c r="H1931" s="2"/>
      <c r="I1931" s="2"/>
      <c r="J1931" s="2" t="s">
        <v>12988</v>
      </c>
      <c r="K1931" s="2"/>
      <c r="L1931" s="2"/>
      <c r="M1931" s="2"/>
      <c r="N1931" s="2"/>
      <c r="O1931" s="2">
        <v>5283236</v>
      </c>
      <c r="P1931" s="2"/>
      <c r="Q1931" s="2" t="s">
        <v>12989</v>
      </c>
      <c r="R1931" s="2" t="s">
        <v>12990</v>
      </c>
      <c r="S1931" s="2" t="s">
        <v>50</v>
      </c>
      <c r="T1931" s="2" t="s">
        <v>229</v>
      </c>
      <c r="U1931" s="2" t="s">
        <v>433</v>
      </c>
      <c r="V1931" s="2" t="s">
        <v>59</v>
      </c>
      <c r="W1931" s="2">
        <v>36.9</v>
      </c>
      <c r="X1931" s="2">
        <v>10</v>
      </c>
      <c r="Y1931" s="2" t="s">
        <v>408</v>
      </c>
      <c r="Z1931" s="2" t="s">
        <v>1820</v>
      </c>
      <c r="AA1931" s="2">
        <v>-2.7369083833697401</v>
      </c>
      <c r="AB1931" s="2">
        <v>0.41935857258361597</v>
      </c>
      <c r="AC1931" s="2">
        <v>44191.566506185198</v>
      </c>
      <c r="AD1931" s="2">
        <v>56813.001645971803</v>
      </c>
      <c r="AE1931" s="2">
        <v>45780.106017444697</v>
      </c>
      <c r="AF1931" s="2">
        <v>47983.814414861998</v>
      </c>
      <c r="AG1931" s="2">
        <v>44017.699484817698</v>
      </c>
      <c r="AH1931" s="2">
        <v>46511.152905640804</v>
      </c>
      <c r="AI1931" s="2">
        <v>39703.590440580701</v>
      </c>
      <c r="AJ1931" s="2">
        <v>41153.035773765499</v>
      </c>
      <c r="AK1931" s="2">
        <v>56361.187592964197</v>
      </c>
      <c r="AL1931" s="2">
        <v>59067.499175162498</v>
      </c>
      <c r="AM1931" s="2">
        <v>57539.773558205001</v>
      </c>
      <c r="AN1931" s="2">
        <v>54080.603747263798</v>
      </c>
      <c r="AO1931" s="2">
        <v>53738.389435423698</v>
      </c>
      <c r="AP1931" s="2">
        <v>60090.556366811703</v>
      </c>
    </row>
    <row r="1932" spans="1:42" ht="14.5" x14ac:dyDescent="0.35">
      <c r="A1932" s="2" t="s">
        <v>12991</v>
      </c>
      <c r="B1932" s="2">
        <v>495.25962050726702</v>
      </c>
      <c r="C1932" s="2">
        <v>6.4814833333333297</v>
      </c>
      <c r="D1932" s="2" t="s">
        <v>70</v>
      </c>
      <c r="E1932" s="2" t="s">
        <v>12992</v>
      </c>
      <c r="F1932" s="2">
        <v>250018</v>
      </c>
      <c r="G1932" s="3" t="str">
        <f>HYPERLINK("http://funmeta.oebiotech.com/network/250018", "http://funmeta.oebiotech.com/network/250018")</f>
        <v>http://funmeta.oebiotech.com/network/250018</v>
      </c>
      <c r="H1932" s="2" t="s">
        <v>12993</v>
      </c>
      <c r="I1932" s="2"/>
      <c r="J1932" s="2"/>
      <c r="K1932" s="2"/>
      <c r="L1932" s="2"/>
      <c r="M1932" s="2"/>
      <c r="N1932" s="2"/>
      <c r="O1932" s="2"/>
      <c r="P1932" s="2"/>
      <c r="Q1932" s="2" t="s">
        <v>12994</v>
      </c>
      <c r="R1932" s="2" t="s">
        <v>12995</v>
      </c>
      <c r="S1932" s="2" t="s">
        <v>41</v>
      </c>
      <c r="T1932" s="2" t="s">
        <v>41</v>
      </c>
      <c r="U1932" s="2" t="s">
        <v>41</v>
      </c>
      <c r="V1932" s="2" t="s">
        <v>42</v>
      </c>
      <c r="W1932" s="2">
        <v>48.9</v>
      </c>
      <c r="X1932" s="2">
        <v>53.4</v>
      </c>
      <c r="Y1932" s="2" t="s">
        <v>408</v>
      </c>
      <c r="Z1932" s="2" t="s">
        <v>12996</v>
      </c>
      <c r="AA1932" s="2">
        <v>-0.74605118087254896</v>
      </c>
      <c r="AB1932" s="2">
        <v>0.419147222940149</v>
      </c>
      <c r="AC1932" s="2">
        <v>64116.524483861998</v>
      </c>
      <c r="AD1932" s="2">
        <v>52206.711049373698</v>
      </c>
      <c r="AE1932" s="2">
        <v>65527.345485520797</v>
      </c>
      <c r="AF1932" s="2">
        <v>63510.102579621504</v>
      </c>
      <c r="AG1932" s="2">
        <v>61962.567880044597</v>
      </c>
      <c r="AH1932" s="2">
        <v>66167.241299933507</v>
      </c>
      <c r="AI1932" s="2">
        <v>63956.551990163702</v>
      </c>
      <c r="AJ1932" s="2">
        <v>63575.337667888001</v>
      </c>
      <c r="AK1932" s="2">
        <v>51970.019155038302</v>
      </c>
      <c r="AL1932" s="2">
        <v>51136.879194977897</v>
      </c>
      <c r="AM1932" s="2">
        <v>54662.572038361897</v>
      </c>
      <c r="AN1932" s="2">
        <v>49373.017015343197</v>
      </c>
      <c r="AO1932" s="2">
        <v>52774.477575857898</v>
      </c>
      <c r="AP1932" s="2">
        <v>53323.301316662997</v>
      </c>
    </row>
    <row r="1933" spans="1:42" ht="14.5" x14ac:dyDescent="0.35">
      <c r="A1933" s="2" t="s">
        <v>12997</v>
      </c>
      <c r="B1933" s="2">
        <v>357.108399908987</v>
      </c>
      <c r="C1933" s="2">
        <v>3.4826666666666699</v>
      </c>
      <c r="D1933" s="2" t="s">
        <v>70</v>
      </c>
      <c r="E1933" s="2" t="s">
        <v>12998</v>
      </c>
      <c r="F1933" s="2">
        <v>209591</v>
      </c>
      <c r="G1933" s="3" t="str">
        <f>HYPERLINK("http://funmeta.oebiotech.com/network/209591", "http://funmeta.oebiotech.com/network/209591")</f>
        <v>http://funmeta.oebiotech.com/network/209591</v>
      </c>
      <c r="H1933" s="2" t="s">
        <v>12999</v>
      </c>
      <c r="I1933" s="2"/>
      <c r="J1933" s="2"/>
      <c r="K1933" s="2"/>
      <c r="L1933" s="2"/>
      <c r="M1933" s="2"/>
      <c r="N1933" s="2"/>
      <c r="O1933" s="2"/>
      <c r="P1933" s="2"/>
      <c r="Q1933" s="2" t="s">
        <v>13000</v>
      </c>
      <c r="R1933" s="2" t="s">
        <v>13001</v>
      </c>
      <c r="S1933" s="2" t="s">
        <v>41</v>
      </c>
      <c r="T1933" s="2" t="s">
        <v>41</v>
      </c>
      <c r="U1933" s="2" t="s">
        <v>41</v>
      </c>
      <c r="V1933" s="2" t="s">
        <v>42</v>
      </c>
      <c r="W1933" s="2">
        <v>51.4</v>
      </c>
      <c r="X1933" s="2">
        <v>70.900000000000006</v>
      </c>
      <c r="Y1933" s="2" t="s">
        <v>118</v>
      </c>
      <c r="Z1933" s="2" t="s">
        <v>13002</v>
      </c>
      <c r="AA1933" s="2">
        <v>-2.2617312067101798</v>
      </c>
      <c r="AB1933" s="2">
        <v>0.419027719121361</v>
      </c>
      <c r="AC1933" s="2">
        <v>23682.869214828399</v>
      </c>
      <c r="AD1933" s="2">
        <v>12049.702484286099</v>
      </c>
      <c r="AE1933" s="2">
        <v>24938.3265196666</v>
      </c>
      <c r="AF1933" s="2">
        <v>22951.062606408199</v>
      </c>
      <c r="AG1933" s="2">
        <v>23708.040427716001</v>
      </c>
      <c r="AH1933" s="2">
        <v>24757.600576282999</v>
      </c>
      <c r="AI1933" s="2">
        <v>22872.4204388201</v>
      </c>
      <c r="AJ1933" s="2">
        <v>22869.7647200762</v>
      </c>
      <c r="AK1933" s="2">
        <v>11730.5822941025</v>
      </c>
      <c r="AL1933" s="2">
        <v>11084.460814095501</v>
      </c>
      <c r="AM1933" s="2">
        <v>13205.8892605782</v>
      </c>
      <c r="AN1933" s="2">
        <v>12558.690538357499</v>
      </c>
      <c r="AO1933" s="2">
        <v>11263.3974997198</v>
      </c>
      <c r="AP1933" s="2">
        <v>12455.194498863</v>
      </c>
    </row>
    <row r="1934" spans="1:42" ht="14.5" x14ac:dyDescent="0.35">
      <c r="A1934" s="2" t="s">
        <v>13003</v>
      </c>
      <c r="B1934" s="2">
        <v>329.15722470938601</v>
      </c>
      <c r="C1934" s="2">
        <v>4.7017833333333297</v>
      </c>
      <c r="D1934" s="2" t="s">
        <v>34</v>
      </c>
      <c r="E1934" s="2" t="s">
        <v>13004</v>
      </c>
      <c r="F1934" s="2">
        <v>48319</v>
      </c>
      <c r="G1934" s="3" t="str">
        <f>HYPERLINK("http://funmeta.oebiotech.com/network/48319", "http://funmeta.oebiotech.com/network/48319")</f>
        <v>http://funmeta.oebiotech.com/network/48319</v>
      </c>
      <c r="H1934" s="2" t="s">
        <v>13005</v>
      </c>
      <c r="I1934" s="2">
        <v>7086</v>
      </c>
      <c r="J1934" s="2"/>
      <c r="K1934" s="2">
        <v>19289</v>
      </c>
      <c r="L1934" s="2"/>
      <c r="M1934" s="2"/>
      <c r="N1934" s="2"/>
      <c r="O1934" s="2">
        <v>92919</v>
      </c>
      <c r="P1934" s="2" t="s">
        <v>13006</v>
      </c>
      <c r="Q1934" s="2" t="s">
        <v>13007</v>
      </c>
      <c r="R1934" s="2" t="s">
        <v>13008</v>
      </c>
      <c r="S1934" s="2" t="s">
        <v>1444</v>
      </c>
      <c r="T1934" s="2" t="s">
        <v>3595</v>
      </c>
      <c r="U1934" s="2" t="s">
        <v>41</v>
      </c>
      <c r="V1934" s="2" t="s">
        <v>59</v>
      </c>
      <c r="W1934" s="2">
        <v>41</v>
      </c>
      <c r="X1934" s="2">
        <v>10.9</v>
      </c>
      <c r="Y1934" s="2" t="s">
        <v>43</v>
      </c>
      <c r="Z1934" s="2" t="s">
        <v>13009</v>
      </c>
      <c r="AA1934" s="2">
        <v>1.3837371044161699</v>
      </c>
      <c r="AB1934" s="2">
        <v>0.41868349812397399</v>
      </c>
      <c r="AC1934" s="2">
        <v>57347.288594522797</v>
      </c>
      <c r="AD1934" s="2">
        <v>70244.194435530299</v>
      </c>
      <c r="AE1934" s="2">
        <v>58491.612976170902</v>
      </c>
      <c r="AF1934" s="2">
        <v>57653.446700516499</v>
      </c>
      <c r="AG1934" s="2">
        <v>55318.066954780901</v>
      </c>
      <c r="AH1934" s="2">
        <v>57051.555755013404</v>
      </c>
      <c r="AI1934" s="2">
        <v>60162.761301234001</v>
      </c>
      <c r="AJ1934" s="2">
        <v>55406.287879420801</v>
      </c>
      <c r="AK1934" s="2">
        <v>77746.506235465698</v>
      </c>
      <c r="AL1934" s="2">
        <v>64117.043706255601</v>
      </c>
      <c r="AM1934" s="2">
        <v>70056.571170255105</v>
      </c>
      <c r="AN1934" s="2">
        <v>66815.035348749196</v>
      </c>
      <c r="AO1934" s="2">
        <v>69623.183223008702</v>
      </c>
      <c r="AP1934" s="2">
        <v>73106.826929447401</v>
      </c>
    </row>
    <row r="1935" spans="1:42" ht="14.5" x14ac:dyDescent="0.35">
      <c r="A1935" s="2" t="s">
        <v>13010</v>
      </c>
      <c r="B1935" s="2">
        <v>611.35554141307205</v>
      </c>
      <c r="C1935" s="2">
        <v>11.8024</v>
      </c>
      <c r="D1935" s="2" t="s">
        <v>34</v>
      </c>
      <c r="E1935" s="2" t="s">
        <v>13011</v>
      </c>
      <c r="F1935" s="2">
        <v>50908</v>
      </c>
      <c r="G1935" s="3" t="str">
        <f>HYPERLINK("http://funmeta.oebiotech.com/network/50908", "http://funmeta.oebiotech.com/network/50908")</f>
        <v>http://funmeta.oebiotech.com/network/50908</v>
      </c>
      <c r="H1935" s="2" t="s">
        <v>13012</v>
      </c>
      <c r="I1935" s="2">
        <v>61661</v>
      </c>
      <c r="J1935" s="2"/>
      <c r="K1935" s="2"/>
      <c r="L1935" s="2" t="s">
        <v>1994</v>
      </c>
      <c r="M1935" s="2" t="s">
        <v>1995</v>
      </c>
      <c r="N1935" s="2" t="s">
        <v>1996</v>
      </c>
      <c r="O1935" s="2">
        <v>6444033</v>
      </c>
      <c r="P1935" s="2"/>
      <c r="Q1935" s="2" t="s">
        <v>13013</v>
      </c>
      <c r="R1935" s="2" t="s">
        <v>13014</v>
      </c>
      <c r="S1935" s="2" t="s">
        <v>50</v>
      </c>
      <c r="T1935" s="2" t="s">
        <v>124</v>
      </c>
      <c r="U1935" s="2" t="s">
        <v>982</v>
      </c>
      <c r="V1935" s="2" t="s">
        <v>59</v>
      </c>
      <c r="W1935" s="2">
        <v>40</v>
      </c>
      <c r="X1935" s="2">
        <v>11.1</v>
      </c>
      <c r="Y1935" s="2" t="s">
        <v>323</v>
      </c>
      <c r="Z1935" s="2" t="s">
        <v>13015</v>
      </c>
      <c r="AA1935" s="2">
        <v>0.17354659161643399</v>
      </c>
      <c r="AB1935" s="2">
        <v>0.41822033117696</v>
      </c>
      <c r="AC1935" s="2">
        <v>19855.761671552998</v>
      </c>
      <c r="AD1935" s="2">
        <v>31763.581430845101</v>
      </c>
      <c r="AE1935" s="2">
        <v>21087.969824102802</v>
      </c>
      <c r="AF1935" s="2">
        <v>19147.083482923601</v>
      </c>
      <c r="AG1935" s="2">
        <v>18461.495644059702</v>
      </c>
      <c r="AH1935" s="2">
        <v>20080.5634436564</v>
      </c>
      <c r="AI1935" s="2">
        <v>19865.2269508465</v>
      </c>
      <c r="AJ1935" s="2">
        <v>20492.230683728802</v>
      </c>
      <c r="AK1935" s="2">
        <v>35554.894445742197</v>
      </c>
      <c r="AL1935" s="2">
        <v>30438.608655727799</v>
      </c>
      <c r="AM1935" s="2">
        <v>33353.963453878998</v>
      </c>
      <c r="AN1935" s="2">
        <v>28991.1153643447</v>
      </c>
      <c r="AO1935" s="2">
        <v>30616.046622819402</v>
      </c>
      <c r="AP1935" s="2">
        <v>31626.860042557601</v>
      </c>
    </row>
    <row r="1936" spans="1:42" ht="14.5" x14ac:dyDescent="0.35">
      <c r="A1936" s="2" t="s">
        <v>13016</v>
      </c>
      <c r="B1936" s="2">
        <v>509.21662848495703</v>
      </c>
      <c r="C1936" s="2">
        <v>6.484</v>
      </c>
      <c r="D1936" s="2" t="s">
        <v>34</v>
      </c>
      <c r="E1936" s="2" t="s">
        <v>13017</v>
      </c>
      <c r="F1936" s="2">
        <v>54986</v>
      </c>
      <c r="G1936" s="3" t="str">
        <f>HYPERLINK("http://funmeta.oebiotech.com/network/54986", "http://funmeta.oebiotech.com/network/54986")</f>
        <v>http://funmeta.oebiotech.com/network/54986</v>
      </c>
      <c r="H1936" s="2" t="s">
        <v>13018</v>
      </c>
      <c r="I1936" s="2"/>
      <c r="J1936" s="2"/>
      <c r="K1936" s="2"/>
      <c r="L1936" s="2"/>
      <c r="M1936" s="2"/>
      <c r="N1936" s="2"/>
      <c r="O1936" s="2">
        <v>131750972</v>
      </c>
      <c r="P1936" s="2" t="s">
        <v>13019</v>
      </c>
      <c r="Q1936" s="2" t="s">
        <v>13020</v>
      </c>
      <c r="R1936" s="2" t="s">
        <v>13021</v>
      </c>
      <c r="S1936" s="2" t="s">
        <v>491</v>
      </c>
      <c r="T1936" s="2" t="s">
        <v>2251</v>
      </c>
      <c r="U1936" s="2" t="s">
        <v>2252</v>
      </c>
      <c r="V1936" s="2" t="s">
        <v>59</v>
      </c>
      <c r="W1936" s="2">
        <v>38.5</v>
      </c>
      <c r="X1936" s="2">
        <v>4.82</v>
      </c>
      <c r="Y1936" s="2" t="s">
        <v>323</v>
      </c>
      <c r="Z1936" s="2" t="s">
        <v>13022</v>
      </c>
      <c r="AA1936" s="2">
        <v>4.19508777501657</v>
      </c>
      <c r="AB1936" s="2">
        <v>0.41789915761808</v>
      </c>
      <c r="AC1936" s="2">
        <v>91629.878256993296</v>
      </c>
      <c r="AD1936" s="2">
        <v>106400.127069056</v>
      </c>
      <c r="AE1936" s="2">
        <v>90186.1678339176</v>
      </c>
      <c r="AF1936" s="2">
        <v>95500.052387118107</v>
      </c>
      <c r="AG1936" s="2">
        <v>83522.507481426801</v>
      </c>
      <c r="AH1936" s="2">
        <v>93942.341491450396</v>
      </c>
      <c r="AI1936" s="2">
        <v>97999.284183597003</v>
      </c>
      <c r="AJ1936" s="2">
        <v>88628.916164449998</v>
      </c>
      <c r="AK1936" s="2">
        <v>95831.006820411101</v>
      </c>
      <c r="AL1936" s="2">
        <v>100799.151638829</v>
      </c>
      <c r="AM1936" s="2">
        <v>116055.68182218799</v>
      </c>
      <c r="AN1936" s="2">
        <v>102329.676566079</v>
      </c>
      <c r="AO1936" s="2">
        <v>109739.72595774299</v>
      </c>
      <c r="AP1936" s="2">
        <v>113645.51960908801</v>
      </c>
    </row>
    <row r="1937" spans="1:42" ht="14.5" x14ac:dyDescent="0.35">
      <c r="A1937" s="2" t="s">
        <v>13023</v>
      </c>
      <c r="B1937" s="2">
        <v>314.268843201278</v>
      </c>
      <c r="C1937" s="2">
        <v>9.4096333333333302</v>
      </c>
      <c r="D1937" s="2" t="s">
        <v>34</v>
      </c>
      <c r="E1937" s="2" t="s">
        <v>13024</v>
      </c>
      <c r="F1937" s="2">
        <v>8656</v>
      </c>
      <c r="G1937" s="3" t="str">
        <f>HYPERLINK("http://funmeta.oebiotech.com/network/8656", "http://funmeta.oebiotech.com/network/8656")</f>
        <v>http://funmeta.oebiotech.com/network/8656</v>
      </c>
      <c r="H1937" s="2" t="s">
        <v>13025</v>
      </c>
      <c r="I1937" s="2">
        <v>45157</v>
      </c>
      <c r="J1937" s="2" t="s">
        <v>13026</v>
      </c>
      <c r="K1937" s="2">
        <v>39540</v>
      </c>
      <c r="L1937" s="2"/>
      <c r="M1937" s="2"/>
      <c r="N1937" s="2"/>
      <c r="O1937" s="2">
        <v>151008</v>
      </c>
      <c r="P1937" s="2" t="s">
        <v>13027</v>
      </c>
      <c r="Q1937" s="2" t="s">
        <v>13028</v>
      </c>
      <c r="R1937" s="2" t="s">
        <v>13029</v>
      </c>
      <c r="S1937" s="2" t="s">
        <v>89</v>
      </c>
      <c r="T1937" s="2" t="s">
        <v>90</v>
      </c>
      <c r="U1937" s="2" t="s">
        <v>99</v>
      </c>
      <c r="V1937" s="2" t="s">
        <v>59</v>
      </c>
      <c r="W1937" s="2">
        <v>40</v>
      </c>
      <c r="X1937" s="2">
        <v>6.61</v>
      </c>
      <c r="Y1937" s="2" t="s">
        <v>266</v>
      </c>
      <c r="Z1937" s="2" t="s">
        <v>13030</v>
      </c>
      <c r="AA1937" s="2">
        <v>-0.406103441455548</v>
      </c>
      <c r="AB1937" s="2">
        <v>0.41769587435271599</v>
      </c>
      <c r="AC1937" s="2">
        <v>26972.218710916099</v>
      </c>
      <c r="AD1937" s="2">
        <v>39015.630057559902</v>
      </c>
      <c r="AE1937" s="2">
        <v>25574.140861452299</v>
      </c>
      <c r="AF1937" s="2">
        <v>26250.167482790999</v>
      </c>
      <c r="AG1937" s="2">
        <v>27931.3487596134</v>
      </c>
      <c r="AH1937" s="2">
        <v>26888.837541903798</v>
      </c>
      <c r="AI1937" s="2">
        <v>27131.3512869222</v>
      </c>
      <c r="AJ1937" s="2">
        <v>28057.466332813899</v>
      </c>
      <c r="AK1937" s="2">
        <v>42960.302690377997</v>
      </c>
      <c r="AL1937" s="2">
        <v>41629.6855552614</v>
      </c>
      <c r="AM1937" s="2">
        <v>36241.556234625801</v>
      </c>
      <c r="AN1937" s="2">
        <v>38001.5822402868</v>
      </c>
      <c r="AO1937" s="2">
        <v>39219.915064993103</v>
      </c>
      <c r="AP1937" s="2">
        <v>36040.738559814403</v>
      </c>
    </row>
    <row r="1938" spans="1:42" ht="14.5" x14ac:dyDescent="0.35">
      <c r="A1938" s="2" t="s">
        <v>13031</v>
      </c>
      <c r="B1938" s="2">
        <v>673.34376499844097</v>
      </c>
      <c r="C1938" s="2">
        <v>9.4292666666666705</v>
      </c>
      <c r="D1938" s="2" t="s">
        <v>70</v>
      </c>
      <c r="E1938" s="2" t="s">
        <v>13032</v>
      </c>
      <c r="F1938" s="2">
        <v>18024</v>
      </c>
      <c r="G1938" s="3" t="str">
        <f>HYPERLINK("http://funmeta.oebiotech.com/network/18024", "http://funmeta.oebiotech.com/network/18024")</f>
        <v>http://funmeta.oebiotech.com/network/18024</v>
      </c>
      <c r="H1938" s="2"/>
      <c r="I1938" s="2"/>
      <c r="J1938" s="2" t="s">
        <v>13033</v>
      </c>
      <c r="K1938" s="2"/>
      <c r="L1938" s="2"/>
      <c r="M1938" s="2"/>
      <c r="N1938" s="2"/>
      <c r="O1938" s="2"/>
      <c r="P1938" s="2"/>
      <c r="Q1938" s="2" t="s">
        <v>13034</v>
      </c>
      <c r="R1938" s="2" t="s">
        <v>13035</v>
      </c>
      <c r="S1938" s="2" t="s">
        <v>50</v>
      </c>
      <c r="T1938" s="2" t="s">
        <v>448</v>
      </c>
      <c r="U1938" s="2" t="s">
        <v>449</v>
      </c>
      <c r="V1938" s="2" t="s">
        <v>59</v>
      </c>
      <c r="W1938" s="2">
        <v>38.1</v>
      </c>
      <c r="X1938" s="2">
        <v>0</v>
      </c>
      <c r="Y1938" s="2" t="s">
        <v>118</v>
      </c>
      <c r="Z1938" s="2" t="s">
        <v>13036</v>
      </c>
      <c r="AA1938" s="2">
        <v>-0.467078735719406</v>
      </c>
      <c r="AB1938" s="2">
        <v>0.41748112825433198</v>
      </c>
      <c r="AC1938" s="2">
        <v>23797.534068471501</v>
      </c>
      <c r="AD1938" s="2">
        <v>35606.532246652503</v>
      </c>
      <c r="AE1938" s="2">
        <v>20893.955890428799</v>
      </c>
      <c r="AF1938" s="2">
        <v>25406.387748307599</v>
      </c>
      <c r="AG1938" s="2">
        <v>21940.1670423162</v>
      </c>
      <c r="AH1938" s="2">
        <v>23870.026099157702</v>
      </c>
      <c r="AI1938" s="2">
        <v>25234.263159815699</v>
      </c>
      <c r="AJ1938" s="2">
        <v>25440.4044708033</v>
      </c>
      <c r="AK1938" s="2">
        <v>35053.246124716097</v>
      </c>
      <c r="AL1938" s="2">
        <v>32744.0493514355</v>
      </c>
      <c r="AM1938" s="2">
        <v>36158.055583760601</v>
      </c>
      <c r="AN1938" s="2">
        <v>36428.762738476398</v>
      </c>
      <c r="AO1938" s="2">
        <v>36294.817482603699</v>
      </c>
      <c r="AP1938" s="2">
        <v>36960.262198922799</v>
      </c>
    </row>
    <row r="1939" spans="1:42" ht="14.5" x14ac:dyDescent="0.35">
      <c r="A1939" s="2" t="s">
        <v>13037</v>
      </c>
      <c r="B1939" s="2">
        <v>803.31255773511703</v>
      </c>
      <c r="C1939" s="2">
        <v>8.5008833333333307</v>
      </c>
      <c r="D1939" s="2" t="s">
        <v>70</v>
      </c>
      <c r="E1939" s="2" t="s">
        <v>13038</v>
      </c>
      <c r="F1939" s="2">
        <v>210356</v>
      </c>
      <c r="G1939" s="3" t="str">
        <f>HYPERLINK("http://funmeta.oebiotech.com/network/210356", "http://funmeta.oebiotech.com/network/210356")</f>
        <v>http://funmeta.oebiotech.com/network/210356</v>
      </c>
      <c r="H1939" s="2" t="s">
        <v>13039</v>
      </c>
      <c r="I1939" s="2"/>
      <c r="J1939" s="2"/>
      <c r="K1939" s="2"/>
      <c r="L1939" s="2"/>
      <c r="M1939" s="2"/>
      <c r="N1939" s="2"/>
      <c r="O1939" s="2">
        <v>332244</v>
      </c>
      <c r="P1939" s="2"/>
      <c r="Q1939" s="2" t="s">
        <v>13040</v>
      </c>
      <c r="R1939" s="2" t="s">
        <v>13041</v>
      </c>
      <c r="S1939" s="2" t="s">
        <v>89</v>
      </c>
      <c r="T1939" s="2" t="s">
        <v>90</v>
      </c>
      <c r="U1939" s="2" t="s">
        <v>1248</v>
      </c>
      <c r="V1939" s="2" t="s">
        <v>59</v>
      </c>
      <c r="W1939" s="2">
        <v>38.6</v>
      </c>
      <c r="X1939" s="2">
        <v>0.13500000000000001</v>
      </c>
      <c r="Y1939" s="2" t="s">
        <v>118</v>
      </c>
      <c r="Z1939" s="2" t="s">
        <v>13042</v>
      </c>
      <c r="AA1939" s="2">
        <v>-0.76590498496791704</v>
      </c>
      <c r="AB1939" s="2">
        <v>0.417466906355004</v>
      </c>
      <c r="AC1939" s="2">
        <v>33822.170836879399</v>
      </c>
      <c r="AD1939" s="2">
        <v>21642.4750051597</v>
      </c>
      <c r="AE1939" s="2">
        <v>35711.503944381497</v>
      </c>
      <c r="AF1939" s="2">
        <v>31990.834646748499</v>
      </c>
      <c r="AG1939" s="2">
        <v>35591.979855466299</v>
      </c>
      <c r="AH1939" s="2">
        <v>37294.430753582303</v>
      </c>
      <c r="AI1939" s="2">
        <v>32803.2593684038</v>
      </c>
      <c r="AJ1939" s="2">
        <v>29541.016452693999</v>
      </c>
      <c r="AK1939" s="2">
        <v>21649.269927371501</v>
      </c>
      <c r="AL1939" s="2">
        <v>19544.258765803199</v>
      </c>
      <c r="AM1939" s="2">
        <v>20641.198379932699</v>
      </c>
      <c r="AN1939" s="2">
        <v>21172.349115383298</v>
      </c>
      <c r="AO1939" s="2">
        <v>25267.9866741185</v>
      </c>
      <c r="AP1939" s="2">
        <v>21579.787168349201</v>
      </c>
    </row>
    <row r="1940" spans="1:42" ht="14.5" x14ac:dyDescent="0.35">
      <c r="A1940" s="2" t="s">
        <v>13043</v>
      </c>
      <c r="B1940" s="2">
        <v>321.096300411301</v>
      </c>
      <c r="C1940" s="2">
        <v>4.0871833333333303</v>
      </c>
      <c r="D1940" s="2" t="s">
        <v>34</v>
      </c>
      <c r="E1940" s="2" t="s">
        <v>13044</v>
      </c>
      <c r="F1940" s="2">
        <v>28954</v>
      </c>
      <c r="G1940" s="3" t="str">
        <f>HYPERLINK("http://funmeta.oebiotech.com/network/28954", "http://funmeta.oebiotech.com/network/28954")</f>
        <v>http://funmeta.oebiotech.com/network/28954</v>
      </c>
      <c r="H1940" s="2" t="s">
        <v>13045</v>
      </c>
      <c r="I1940" s="2">
        <v>47350</v>
      </c>
      <c r="J1940" s="2" t="s">
        <v>13046</v>
      </c>
      <c r="K1940" s="2"/>
      <c r="L1940" s="2"/>
      <c r="M1940" s="2"/>
      <c r="N1940" s="2"/>
      <c r="O1940" s="2">
        <v>176920</v>
      </c>
      <c r="P1940" s="2"/>
      <c r="Q1940" s="2" t="s">
        <v>13047</v>
      </c>
      <c r="R1940" s="2" t="s">
        <v>13048</v>
      </c>
      <c r="S1940" s="2" t="s">
        <v>115</v>
      </c>
      <c r="T1940" s="2" t="s">
        <v>139</v>
      </c>
      <c r="U1940" s="2" t="s">
        <v>1437</v>
      </c>
      <c r="V1940" s="2" t="s">
        <v>59</v>
      </c>
      <c r="W1940" s="2">
        <v>46</v>
      </c>
      <c r="X1940" s="2">
        <v>38.4</v>
      </c>
      <c r="Y1940" s="2" t="s">
        <v>394</v>
      </c>
      <c r="Z1940" s="2" t="s">
        <v>13049</v>
      </c>
      <c r="AA1940" s="2">
        <v>-1.8084646724215001</v>
      </c>
      <c r="AB1940" s="2">
        <v>0.41744676901021999</v>
      </c>
      <c r="AC1940" s="2">
        <v>33698.544315416497</v>
      </c>
      <c r="AD1940" s="2">
        <v>46544.607376284999</v>
      </c>
      <c r="AE1940" s="2">
        <v>28401.195182382002</v>
      </c>
      <c r="AF1940" s="2">
        <v>32924.795594131203</v>
      </c>
      <c r="AG1940" s="2">
        <v>38318.705092068099</v>
      </c>
      <c r="AH1940" s="2">
        <v>30918.064134070399</v>
      </c>
      <c r="AI1940" s="2">
        <v>33623.043571146402</v>
      </c>
      <c r="AJ1940" s="2">
        <v>38005.4623187006</v>
      </c>
      <c r="AK1940" s="2">
        <v>45038.885827817001</v>
      </c>
      <c r="AL1940" s="2">
        <v>50914.1040354418</v>
      </c>
      <c r="AM1940" s="2">
        <v>44526.136413180699</v>
      </c>
      <c r="AN1940" s="2">
        <v>46750.767659285899</v>
      </c>
      <c r="AO1940" s="2">
        <v>49604.342624764198</v>
      </c>
      <c r="AP1940" s="2">
        <v>42433.4076972205</v>
      </c>
    </row>
    <row r="1941" spans="1:42" ht="14.5" x14ac:dyDescent="0.35">
      <c r="A1941" s="2" t="s">
        <v>13050</v>
      </c>
      <c r="B1941" s="2">
        <v>445.13499384033798</v>
      </c>
      <c r="C1941" s="2">
        <v>4.6492000000000004</v>
      </c>
      <c r="D1941" s="2" t="s">
        <v>70</v>
      </c>
      <c r="E1941" s="2" t="s">
        <v>13051</v>
      </c>
      <c r="F1941" s="2">
        <v>53606</v>
      </c>
      <c r="G1941" s="3" t="str">
        <f>HYPERLINK("http://funmeta.oebiotech.com/network/53606", "http://funmeta.oebiotech.com/network/53606")</f>
        <v>http://funmeta.oebiotech.com/network/53606</v>
      </c>
      <c r="H1941" s="2" t="s">
        <v>13052</v>
      </c>
      <c r="I1941" s="2">
        <v>3109</v>
      </c>
      <c r="J1941" s="2"/>
      <c r="K1941" s="2">
        <v>51364</v>
      </c>
      <c r="L1941" s="2"/>
      <c r="M1941" s="2"/>
      <c r="N1941" s="2"/>
      <c r="O1941" s="2">
        <v>5311507</v>
      </c>
      <c r="P1941" s="2" t="s">
        <v>13053</v>
      </c>
      <c r="Q1941" s="2" t="s">
        <v>13054</v>
      </c>
      <c r="R1941" s="2" t="s">
        <v>13055</v>
      </c>
      <c r="S1941" s="2" t="s">
        <v>491</v>
      </c>
      <c r="T1941" s="2" t="s">
        <v>7038</v>
      </c>
      <c r="U1941" s="2" t="s">
        <v>7039</v>
      </c>
      <c r="V1941" s="2" t="s">
        <v>59</v>
      </c>
      <c r="W1941" s="2">
        <v>37</v>
      </c>
      <c r="X1941" s="2">
        <v>12.1</v>
      </c>
      <c r="Y1941" s="2" t="s">
        <v>1395</v>
      </c>
      <c r="Z1941" s="2" t="s">
        <v>13056</v>
      </c>
      <c r="AA1941" s="2">
        <v>-2.0521954129720199</v>
      </c>
      <c r="AB1941" s="2">
        <v>0.41730348863661298</v>
      </c>
      <c r="AC1941" s="2">
        <v>74561.341752235603</v>
      </c>
      <c r="AD1941" s="2">
        <v>88082.896327404</v>
      </c>
      <c r="AE1941" s="2">
        <v>76915.105232025904</v>
      </c>
      <c r="AF1941" s="2">
        <v>77083.022057582697</v>
      </c>
      <c r="AG1941" s="2">
        <v>71136.556773364398</v>
      </c>
      <c r="AH1941" s="2">
        <v>76864.990584225103</v>
      </c>
      <c r="AI1941" s="2">
        <v>69407.499277410694</v>
      </c>
      <c r="AJ1941" s="2">
        <v>75960.876588805098</v>
      </c>
      <c r="AK1941" s="2">
        <v>90401.355856283699</v>
      </c>
      <c r="AL1941" s="2">
        <v>87991.957037569693</v>
      </c>
      <c r="AM1941" s="2">
        <v>91658.565400780702</v>
      </c>
      <c r="AN1941" s="2">
        <v>95434.277681086998</v>
      </c>
      <c r="AO1941" s="2">
        <v>82003.521202324904</v>
      </c>
      <c r="AP1941" s="2">
        <v>81007.700786377696</v>
      </c>
    </row>
    <row r="1942" spans="1:42" ht="14.5" x14ac:dyDescent="0.35">
      <c r="A1942" s="2" t="s">
        <v>13057</v>
      </c>
      <c r="B1942" s="2">
        <v>807.422613044537</v>
      </c>
      <c r="C1942" s="2">
        <v>4.9343500000000002</v>
      </c>
      <c r="D1942" s="2" t="s">
        <v>70</v>
      </c>
      <c r="E1942" s="2" t="s">
        <v>13058</v>
      </c>
      <c r="F1942" s="2">
        <v>227466</v>
      </c>
      <c r="G1942" s="3" t="str">
        <f>HYPERLINK("http://funmeta.oebiotech.com/network/227466", "http://funmeta.oebiotech.com/network/227466")</f>
        <v>http://funmeta.oebiotech.com/network/227466</v>
      </c>
      <c r="H1942" s="2" t="s">
        <v>13059</v>
      </c>
      <c r="I1942" s="2"/>
      <c r="J1942" s="2"/>
      <c r="K1942" s="2"/>
      <c r="L1942" s="2"/>
      <c r="M1942" s="2"/>
      <c r="N1942" s="2"/>
      <c r="O1942" s="2"/>
      <c r="P1942" s="2"/>
      <c r="Q1942" s="2" t="s">
        <v>13060</v>
      </c>
      <c r="R1942" s="2" t="s">
        <v>13061</v>
      </c>
      <c r="S1942" s="2" t="s">
        <v>41</v>
      </c>
      <c r="T1942" s="2" t="s">
        <v>41</v>
      </c>
      <c r="U1942" s="2" t="s">
        <v>41</v>
      </c>
      <c r="V1942" s="2" t="s">
        <v>59</v>
      </c>
      <c r="W1942" s="2">
        <v>38</v>
      </c>
      <c r="X1942" s="2">
        <v>0</v>
      </c>
      <c r="Y1942" s="2" t="s">
        <v>751</v>
      </c>
      <c r="Z1942" s="2" t="s">
        <v>13062</v>
      </c>
      <c r="AA1942" s="2">
        <v>0.87595214870532101</v>
      </c>
      <c r="AB1942" s="2">
        <v>0.41713131086667898</v>
      </c>
      <c r="AC1942" s="2">
        <v>59288.445511198697</v>
      </c>
      <c r="AD1942" s="2">
        <v>72978.551897882993</v>
      </c>
      <c r="AE1942" s="2">
        <v>59225.502193063097</v>
      </c>
      <c r="AF1942" s="2">
        <v>56357.776772281999</v>
      </c>
      <c r="AG1942" s="2">
        <v>58912.628866063496</v>
      </c>
      <c r="AH1942" s="2">
        <v>66867.224684452507</v>
      </c>
      <c r="AI1942" s="2">
        <v>63783.575635433597</v>
      </c>
      <c r="AJ1942" s="2">
        <v>50583.964915897603</v>
      </c>
      <c r="AK1942" s="2">
        <v>69578.601350038196</v>
      </c>
      <c r="AL1942" s="2">
        <v>75480.587034466007</v>
      </c>
      <c r="AM1942" s="2">
        <v>79891.003621451498</v>
      </c>
      <c r="AN1942" s="2">
        <v>68272.0799528059</v>
      </c>
      <c r="AO1942" s="2">
        <v>73535.589644810301</v>
      </c>
      <c r="AP1942" s="2">
        <v>71113.449783726101</v>
      </c>
    </row>
    <row r="1943" spans="1:42" ht="14.5" x14ac:dyDescent="0.35">
      <c r="A1943" s="2" t="s">
        <v>13063</v>
      </c>
      <c r="B1943" s="2">
        <v>571.03805622855498</v>
      </c>
      <c r="C1943" s="2">
        <v>1.34713333333333</v>
      </c>
      <c r="D1943" s="2" t="s">
        <v>34</v>
      </c>
      <c r="E1943" s="2" t="s">
        <v>13064</v>
      </c>
      <c r="F1943" s="2">
        <v>204667</v>
      </c>
      <c r="G1943" s="3" t="str">
        <f>HYPERLINK("http://funmeta.oebiotech.com/network/204667", "http://funmeta.oebiotech.com/network/204667")</f>
        <v>http://funmeta.oebiotech.com/network/204667</v>
      </c>
      <c r="H1943" s="2" t="s">
        <v>13065</v>
      </c>
      <c r="I1943" s="2"/>
      <c r="J1943" s="2"/>
      <c r="K1943" s="2"/>
      <c r="L1943" s="2"/>
      <c r="M1943" s="2"/>
      <c r="N1943" s="2"/>
      <c r="O1943" s="2">
        <v>44097</v>
      </c>
      <c r="P1943" s="2"/>
      <c r="Q1943" s="2" t="s">
        <v>13066</v>
      </c>
      <c r="R1943" s="2" t="s">
        <v>13067</v>
      </c>
      <c r="S1943" s="2" t="s">
        <v>491</v>
      </c>
      <c r="T1943" s="2" t="s">
        <v>8419</v>
      </c>
      <c r="U1943" s="2" t="s">
        <v>8420</v>
      </c>
      <c r="V1943" s="2" t="s">
        <v>59</v>
      </c>
      <c r="W1943" s="2">
        <v>36.9</v>
      </c>
      <c r="X1943" s="2">
        <v>0</v>
      </c>
      <c r="Y1943" s="2" t="s">
        <v>340</v>
      </c>
      <c r="Z1943" s="2" t="s">
        <v>13068</v>
      </c>
      <c r="AA1943" s="2">
        <v>4.9664898842329102</v>
      </c>
      <c r="AB1943" s="2">
        <v>0.41705634247606999</v>
      </c>
      <c r="AC1943" s="2">
        <v>44919.479754464403</v>
      </c>
      <c r="AD1943" s="2">
        <v>57247.062016314798</v>
      </c>
      <c r="AE1943" s="2">
        <v>47109.935298157499</v>
      </c>
      <c r="AF1943" s="2">
        <v>41297.760560820097</v>
      </c>
      <c r="AG1943" s="2">
        <v>49995.417657712103</v>
      </c>
      <c r="AH1943" s="2">
        <v>42485.509946705301</v>
      </c>
      <c r="AI1943" s="2">
        <v>43109.567789845001</v>
      </c>
      <c r="AJ1943" s="2">
        <v>45518.687273546602</v>
      </c>
      <c r="AK1943" s="2">
        <v>56168.744635697498</v>
      </c>
      <c r="AL1943" s="2">
        <v>58298.455482453297</v>
      </c>
      <c r="AM1943" s="2">
        <v>59635.6329757485</v>
      </c>
      <c r="AN1943" s="2">
        <v>58410.451761441102</v>
      </c>
      <c r="AO1943" s="2">
        <v>57091.255568905603</v>
      </c>
      <c r="AP1943" s="2">
        <v>53877.8316736427</v>
      </c>
    </row>
    <row r="1944" spans="1:42" ht="14.5" x14ac:dyDescent="0.35">
      <c r="A1944" s="2" t="s">
        <v>13069</v>
      </c>
      <c r="B1944" s="2">
        <v>386.12972648474198</v>
      </c>
      <c r="C1944" s="2">
        <v>3.37063333333333</v>
      </c>
      <c r="D1944" s="2" t="s">
        <v>70</v>
      </c>
      <c r="E1944" s="2" t="s">
        <v>13070</v>
      </c>
      <c r="F1944" s="2">
        <v>48795</v>
      </c>
      <c r="G1944" s="3" t="str">
        <f>HYPERLINK("http://funmeta.oebiotech.com/network/48795", "http://funmeta.oebiotech.com/network/48795")</f>
        <v>http://funmeta.oebiotech.com/network/48795</v>
      </c>
      <c r="H1944" s="2" t="s">
        <v>13071</v>
      </c>
      <c r="I1944" s="2">
        <v>3675</v>
      </c>
      <c r="J1944" s="2"/>
      <c r="K1944" s="2">
        <v>25001</v>
      </c>
      <c r="L1944" s="2" t="s">
        <v>13072</v>
      </c>
      <c r="M1944" s="2" t="s">
        <v>13073</v>
      </c>
      <c r="N1944" s="2" t="s">
        <v>13074</v>
      </c>
      <c r="O1944" s="2">
        <v>119065</v>
      </c>
      <c r="P1944" s="2" t="s">
        <v>13075</v>
      </c>
      <c r="Q1944" s="2" t="s">
        <v>13076</v>
      </c>
      <c r="R1944" s="2" t="s">
        <v>13077</v>
      </c>
      <c r="S1944" s="2" t="s">
        <v>50</v>
      </c>
      <c r="T1944" s="2" t="s">
        <v>229</v>
      </c>
      <c r="U1944" s="2" t="s">
        <v>230</v>
      </c>
      <c r="V1944" s="2" t="s">
        <v>59</v>
      </c>
      <c r="W1944" s="2">
        <v>41</v>
      </c>
      <c r="X1944" s="2">
        <v>12</v>
      </c>
      <c r="Y1944" s="2" t="s">
        <v>408</v>
      </c>
      <c r="Z1944" s="2" t="s">
        <v>13078</v>
      </c>
      <c r="AA1944" s="2">
        <v>-1.9708584417988999</v>
      </c>
      <c r="AB1944" s="2">
        <v>0.41689949363637202</v>
      </c>
      <c r="AC1944" s="2">
        <v>30246.927254439699</v>
      </c>
      <c r="AD1944" s="2">
        <v>18369.574004271199</v>
      </c>
      <c r="AE1944" s="2">
        <v>28871.422566578101</v>
      </c>
      <c r="AF1944" s="2">
        <v>31258.795699685601</v>
      </c>
      <c r="AG1944" s="2">
        <v>28960.203029124299</v>
      </c>
      <c r="AH1944" s="2">
        <v>29573.1648813518</v>
      </c>
      <c r="AI1944" s="2">
        <v>31042.896430244102</v>
      </c>
      <c r="AJ1944" s="2">
        <v>31775.0809196546</v>
      </c>
      <c r="AK1944" s="2">
        <v>18377.4516464054</v>
      </c>
      <c r="AL1944" s="2">
        <v>14649.3047065343</v>
      </c>
      <c r="AM1944" s="2">
        <v>18785.711235984101</v>
      </c>
      <c r="AN1944" s="2">
        <v>21349.4569298602</v>
      </c>
      <c r="AO1944" s="2">
        <v>17640.311849727099</v>
      </c>
      <c r="AP1944" s="2">
        <v>19415.207657115901</v>
      </c>
    </row>
    <row r="1945" spans="1:42" ht="14.5" x14ac:dyDescent="0.35">
      <c r="A1945" s="2" t="s">
        <v>13079</v>
      </c>
      <c r="B1945" s="2">
        <v>479.11898983849301</v>
      </c>
      <c r="C1945" s="2">
        <v>4.7579333333333302</v>
      </c>
      <c r="D1945" s="2" t="s">
        <v>70</v>
      </c>
      <c r="E1945" s="2" t="s">
        <v>13080</v>
      </c>
      <c r="F1945" s="2">
        <v>256784</v>
      </c>
      <c r="G1945" s="3" t="str">
        <f>HYPERLINK("http://funmeta.oebiotech.com/network/256784", "http://funmeta.oebiotech.com/network/256784")</f>
        <v>http://funmeta.oebiotech.com/network/256784</v>
      </c>
      <c r="H1945" s="2" t="s">
        <v>13081</v>
      </c>
      <c r="I1945" s="2">
        <v>63986</v>
      </c>
      <c r="J1945" s="2"/>
      <c r="K1945" s="2">
        <v>39564</v>
      </c>
      <c r="L1945" s="2" t="s">
        <v>13082</v>
      </c>
      <c r="M1945" s="2" t="s">
        <v>1589</v>
      </c>
      <c r="N1945" s="2" t="s">
        <v>1590</v>
      </c>
      <c r="O1945" s="2">
        <v>5287432</v>
      </c>
      <c r="P1945" s="2"/>
      <c r="Q1945" s="2" t="s">
        <v>13083</v>
      </c>
      <c r="R1945" s="2" t="s">
        <v>13084</v>
      </c>
      <c r="S1945" s="2" t="s">
        <v>89</v>
      </c>
      <c r="T1945" s="2" t="s">
        <v>2718</v>
      </c>
      <c r="U1945" s="2" t="s">
        <v>6030</v>
      </c>
      <c r="V1945" s="2" t="s">
        <v>59</v>
      </c>
      <c r="W1945" s="2">
        <v>38.799999999999997</v>
      </c>
      <c r="X1945" s="2">
        <v>0</v>
      </c>
      <c r="Y1945" s="2" t="s">
        <v>560</v>
      </c>
      <c r="Z1945" s="2" t="s">
        <v>13085</v>
      </c>
      <c r="AA1945" s="2">
        <v>-1.06208179308826</v>
      </c>
      <c r="AB1945" s="2">
        <v>0.41624330031645701</v>
      </c>
      <c r="AC1945" s="2">
        <v>19311.1728131829</v>
      </c>
      <c r="AD1945" s="2">
        <v>30917.376338871301</v>
      </c>
      <c r="AE1945" s="2">
        <v>20284.855613482301</v>
      </c>
      <c r="AF1945" s="2">
        <v>17901.856789068999</v>
      </c>
      <c r="AG1945" s="2">
        <v>20866.724667466799</v>
      </c>
      <c r="AH1945" s="2">
        <v>17179.4485779641</v>
      </c>
      <c r="AI1945" s="2">
        <v>19258.646224919499</v>
      </c>
      <c r="AJ1945" s="2">
        <v>20375.505006195501</v>
      </c>
      <c r="AK1945" s="2">
        <v>30737.041863607701</v>
      </c>
      <c r="AL1945" s="2">
        <v>29111.255403783802</v>
      </c>
      <c r="AM1945" s="2">
        <v>30500.275551960502</v>
      </c>
      <c r="AN1945" s="2">
        <v>32432.7720807964</v>
      </c>
      <c r="AO1945" s="2">
        <v>30884.388412052798</v>
      </c>
      <c r="AP1945" s="2">
        <v>31838.524721026599</v>
      </c>
    </row>
    <row r="1946" spans="1:42" ht="14.5" x14ac:dyDescent="0.35">
      <c r="A1946" s="2" t="s">
        <v>13086</v>
      </c>
      <c r="B1946" s="2">
        <v>391.25197932626298</v>
      </c>
      <c r="C1946" s="2">
        <v>10.9720333333333</v>
      </c>
      <c r="D1946" s="2" t="s">
        <v>70</v>
      </c>
      <c r="E1946" s="2" t="s">
        <v>13087</v>
      </c>
      <c r="F1946" s="2">
        <v>35215</v>
      </c>
      <c r="G1946" s="3" t="str">
        <f>HYPERLINK("http://funmeta.oebiotech.com/network/35215", "http://funmeta.oebiotech.com/network/35215")</f>
        <v>http://funmeta.oebiotech.com/network/35215</v>
      </c>
      <c r="H1946" s="2"/>
      <c r="I1946" s="2">
        <v>43889</v>
      </c>
      <c r="J1946" s="2" t="s">
        <v>13088</v>
      </c>
      <c r="K1946" s="2">
        <v>5354</v>
      </c>
      <c r="L1946" s="2" t="s">
        <v>13089</v>
      </c>
      <c r="M1946" s="2"/>
      <c r="N1946" s="2"/>
      <c r="O1946" s="2">
        <v>5281858</v>
      </c>
      <c r="P1946" s="2" t="s">
        <v>13090</v>
      </c>
      <c r="Q1946" s="2" t="s">
        <v>13091</v>
      </c>
      <c r="R1946" s="2" t="s">
        <v>13092</v>
      </c>
      <c r="S1946" s="2" t="s">
        <v>148</v>
      </c>
      <c r="T1946" s="2" t="s">
        <v>149</v>
      </c>
      <c r="U1946" s="2" t="s">
        <v>1593</v>
      </c>
      <c r="V1946" s="2" t="s">
        <v>59</v>
      </c>
      <c r="W1946" s="2">
        <v>36.799999999999997</v>
      </c>
      <c r="X1946" s="2">
        <v>0</v>
      </c>
      <c r="Y1946" s="2" t="s">
        <v>408</v>
      </c>
      <c r="Z1946" s="2" t="s">
        <v>13093</v>
      </c>
      <c r="AA1946" s="2">
        <v>8.6108313586849601</v>
      </c>
      <c r="AB1946" s="2">
        <v>0.41602578527804202</v>
      </c>
      <c r="AC1946" s="2">
        <v>90612.167423747494</v>
      </c>
      <c r="AD1946" s="2">
        <v>102827.333547491</v>
      </c>
      <c r="AE1946" s="2">
        <v>93700.570966921194</v>
      </c>
      <c r="AF1946" s="2">
        <v>90505.351230870903</v>
      </c>
      <c r="AG1946" s="2">
        <v>91650.047673617097</v>
      </c>
      <c r="AH1946" s="2">
        <v>91400.891973149497</v>
      </c>
      <c r="AI1946" s="2">
        <v>90447.997040108006</v>
      </c>
      <c r="AJ1946" s="2">
        <v>85968.145657818401</v>
      </c>
      <c r="AK1946" s="2">
        <v>102429.244039264</v>
      </c>
      <c r="AL1946" s="2">
        <v>102847.17068757799</v>
      </c>
      <c r="AM1946" s="2">
        <v>107835.186467589</v>
      </c>
      <c r="AN1946" s="2">
        <v>99863.750872546298</v>
      </c>
      <c r="AO1946" s="2">
        <v>102700.99155056399</v>
      </c>
      <c r="AP1946" s="2">
        <v>101287.657667402</v>
      </c>
    </row>
    <row r="1947" spans="1:42" ht="14.5" x14ac:dyDescent="0.35">
      <c r="A1947" s="2" t="s">
        <v>13094</v>
      </c>
      <c r="B1947" s="2">
        <v>510.32107990660802</v>
      </c>
      <c r="C1947" s="2">
        <v>7.4609833333333304</v>
      </c>
      <c r="D1947" s="2" t="s">
        <v>34</v>
      </c>
      <c r="E1947" s="2" t="s">
        <v>13095</v>
      </c>
      <c r="F1947" s="2">
        <v>267298</v>
      </c>
      <c r="G1947" s="3" t="str">
        <f>HYPERLINK("http://funmeta.oebiotech.com/network/267298", "http://funmeta.oebiotech.com/network/267298")</f>
        <v>http://funmeta.oebiotech.com/network/267298</v>
      </c>
      <c r="H1947" s="2"/>
      <c r="I1947" s="2">
        <v>45203</v>
      </c>
      <c r="J1947" s="2"/>
      <c r="K1947" s="2"/>
      <c r="L1947" s="2"/>
      <c r="M1947" s="2"/>
      <c r="N1947" s="2"/>
      <c r="O1947" s="2">
        <v>620428</v>
      </c>
      <c r="P1947" s="2" t="s">
        <v>13096</v>
      </c>
      <c r="Q1947" s="2" t="s">
        <v>13097</v>
      </c>
      <c r="R1947" s="2" t="s">
        <v>13098</v>
      </c>
      <c r="S1947" s="2" t="s">
        <v>50</v>
      </c>
      <c r="T1947" s="2" t="s">
        <v>51</v>
      </c>
      <c r="U1947" s="2" t="s">
        <v>168</v>
      </c>
      <c r="V1947" s="2" t="s">
        <v>59</v>
      </c>
      <c r="W1947" s="2">
        <v>44.6</v>
      </c>
      <c r="X1947" s="2">
        <v>32.5</v>
      </c>
      <c r="Y1947" s="2" t="s">
        <v>394</v>
      </c>
      <c r="Z1947" s="2" t="s">
        <v>13099</v>
      </c>
      <c r="AA1947" s="2">
        <v>4.0237515652493103</v>
      </c>
      <c r="AB1947" s="2">
        <v>0.416022443333178</v>
      </c>
      <c r="AC1947" s="2">
        <v>24964.707407908201</v>
      </c>
      <c r="AD1947" s="2">
        <v>12857.115721472799</v>
      </c>
      <c r="AE1947" s="2">
        <v>25761.861294923201</v>
      </c>
      <c r="AF1947" s="2">
        <v>28354.0301489093</v>
      </c>
      <c r="AG1947" s="2">
        <v>21854.081533402899</v>
      </c>
      <c r="AH1947" s="2">
        <v>24058.365875640298</v>
      </c>
      <c r="AI1947" s="2">
        <v>28465.090348612001</v>
      </c>
      <c r="AJ1947" s="2">
        <v>21294.815245961199</v>
      </c>
      <c r="AK1947" s="2">
        <v>12815.412368001</v>
      </c>
      <c r="AL1947" s="2">
        <v>11190.8860410917</v>
      </c>
      <c r="AM1947" s="2">
        <v>11750.8453691462</v>
      </c>
      <c r="AN1947" s="2">
        <v>13192.3728611267</v>
      </c>
      <c r="AO1947" s="2">
        <v>14647.256655807099</v>
      </c>
      <c r="AP1947" s="2">
        <v>13545.921033664201</v>
      </c>
    </row>
    <row r="1948" spans="1:42" ht="14.5" x14ac:dyDescent="0.35">
      <c r="A1948" s="2" t="s">
        <v>13100</v>
      </c>
      <c r="B1948" s="2">
        <v>541.20892782403803</v>
      </c>
      <c r="C1948" s="2">
        <v>4.8984333333333296</v>
      </c>
      <c r="D1948" s="2" t="s">
        <v>70</v>
      </c>
      <c r="E1948" s="2" t="s">
        <v>13101</v>
      </c>
      <c r="F1948" s="2">
        <v>289940</v>
      </c>
      <c r="G1948" s="3" t="str">
        <f>HYPERLINK("http://funmeta.oebiotech.com/network/289940", "http://funmeta.oebiotech.com/network/289940")</f>
        <v>http://funmeta.oebiotech.com/network/289940</v>
      </c>
      <c r="H1948" s="2"/>
      <c r="I1948" s="2">
        <v>985345</v>
      </c>
      <c r="J1948" s="2"/>
      <c r="K1948" s="2"/>
      <c r="L1948" s="2"/>
      <c r="M1948" s="2"/>
      <c r="N1948" s="2"/>
      <c r="O1948" s="2">
        <v>102329399</v>
      </c>
      <c r="P1948" s="2"/>
      <c r="Q1948" s="2" t="s">
        <v>13102</v>
      </c>
      <c r="R1948" s="2" t="s">
        <v>13103</v>
      </c>
      <c r="S1948" s="2" t="s">
        <v>491</v>
      </c>
      <c r="T1948" s="2" t="s">
        <v>2321</v>
      </c>
      <c r="U1948" s="2" t="s">
        <v>2322</v>
      </c>
      <c r="V1948" s="2" t="s">
        <v>59</v>
      </c>
      <c r="W1948" s="2">
        <v>38.299999999999997</v>
      </c>
      <c r="X1948" s="2">
        <v>0</v>
      </c>
      <c r="Y1948" s="2" t="s">
        <v>408</v>
      </c>
      <c r="Z1948" s="2" t="s">
        <v>13104</v>
      </c>
      <c r="AA1948" s="2">
        <v>2.02932607181984</v>
      </c>
      <c r="AB1948" s="2">
        <v>0.415936203670703</v>
      </c>
      <c r="AC1948" s="2">
        <v>77701.427224145606</v>
      </c>
      <c r="AD1948" s="2">
        <v>63758.433300885299</v>
      </c>
      <c r="AE1948" s="2">
        <v>76167.388892422401</v>
      </c>
      <c r="AF1948" s="2">
        <v>85639.426274014098</v>
      </c>
      <c r="AG1948" s="2">
        <v>73802.483988907101</v>
      </c>
      <c r="AH1948" s="2">
        <v>67246.197554359504</v>
      </c>
      <c r="AI1948" s="2">
        <v>84584.187802170796</v>
      </c>
      <c r="AJ1948" s="2">
        <v>78768.878832999602</v>
      </c>
      <c r="AK1948" s="2">
        <v>66208.4318309269</v>
      </c>
      <c r="AL1948" s="2">
        <v>66137.370300754905</v>
      </c>
      <c r="AM1948" s="2">
        <v>57462.601125887202</v>
      </c>
      <c r="AN1948" s="2">
        <v>63967.849802080098</v>
      </c>
      <c r="AO1948" s="2">
        <v>63547.736076688998</v>
      </c>
      <c r="AP1948" s="2">
        <v>65226.610668973801</v>
      </c>
    </row>
    <row r="1949" spans="1:42" ht="14.5" x14ac:dyDescent="0.35">
      <c r="A1949" s="2" t="s">
        <v>13105</v>
      </c>
      <c r="B1949" s="2">
        <v>383.04790129285101</v>
      </c>
      <c r="C1949" s="2">
        <v>3.30925</v>
      </c>
      <c r="D1949" s="2" t="s">
        <v>34</v>
      </c>
      <c r="E1949" s="2" t="s">
        <v>13106</v>
      </c>
      <c r="F1949" s="2">
        <v>201029</v>
      </c>
      <c r="G1949" s="3" t="str">
        <f>HYPERLINK("http://funmeta.oebiotech.com/network/201029", "http://funmeta.oebiotech.com/network/201029")</f>
        <v>http://funmeta.oebiotech.com/network/201029</v>
      </c>
      <c r="H1949" s="2" t="s">
        <v>13107</v>
      </c>
      <c r="I1949" s="2"/>
      <c r="J1949" s="2"/>
      <c r="K1949" s="2"/>
      <c r="L1949" s="2"/>
      <c r="M1949" s="2"/>
      <c r="N1949" s="2"/>
      <c r="O1949" s="2">
        <v>89498</v>
      </c>
      <c r="P1949" s="2"/>
      <c r="Q1949" s="2" t="s">
        <v>13108</v>
      </c>
      <c r="R1949" s="2" t="s">
        <v>13109</v>
      </c>
      <c r="S1949" s="2" t="s">
        <v>41</v>
      </c>
      <c r="T1949" s="2" t="s">
        <v>41</v>
      </c>
      <c r="U1949" s="2" t="s">
        <v>41</v>
      </c>
      <c r="V1949" s="2" t="s">
        <v>59</v>
      </c>
      <c r="W1949" s="2">
        <v>36.700000000000003</v>
      </c>
      <c r="X1949" s="2">
        <v>0</v>
      </c>
      <c r="Y1949" s="2" t="s">
        <v>340</v>
      </c>
      <c r="Z1949" s="2" t="s">
        <v>13110</v>
      </c>
      <c r="AA1949" s="2">
        <v>4.8395634587440099</v>
      </c>
      <c r="AB1949" s="2">
        <v>0.41592086263787897</v>
      </c>
      <c r="AC1949" s="2">
        <v>36560.0491282043</v>
      </c>
      <c r="AD1949" s="2">
        <v>48606.540535337597</v>
      </c>
      <c r="AE1949" s="2">
        <v>41591.176218279601</v>
      </c>
      <c r="AF1949" s="2">
        <v>35737.521558547502</v>
      </c>
      <c r="AG1949" s="2">
        <v>34337.618730467802</v>
      </c>
      <c r="AH1949" s="2">
        <v>34747.963791397997</v>
      </c>
      <c r="AI1949" s="2">
        <v>36986.302951303398</v>
      </c>
      <c r="AJ1949" s="2">
        <v>35959.711519229502</v>
      </c>
      <c r="AK1949" s="2">
        <v>51574.222139429403</v>
      </c>
      <c r="AL1949" s="2">
        <v>49424.696366927797</v>
      </c>
      <c r="AM1949" s="2">
        <v>48065.934617378698</v>
      </c>
      <c r="AN1949" s="2">
        <v>45708.790675127799</v>
      </c>
      <c r="AO1949" s="2">
        <v>48918.389753349402</v>
      </c>
      <c r="AP1949" s="2">
        <v>47947.209659812499</v>
      </c>
    </row>
    <row r="1950" spans="1:42" ht="14.5" x14ac:dyDescent="0.35">
      <c r="A1950" s="2" t="s">
        <v>13111</v>
      </c>
      <c r="B1950" s="2">
        <v>461.23913923910902</v>
      </c>
      <c r="C1950" s="2">
        <v>4.7218999999999998</v>
      </c>
      <c r="D1950" s="2" t="s">
        <v>70</v>
      </c>
      <c r="E1950" s="2" t="s">
        <v>13112</v>
      </c>
      <c r="F1950" s="2">
        <v>53406</v>
      </c>
      <c r="G1950" s="3" t="str">
        <f>HYPERLINK("http://funmeta.oebiotech.com/network/53406", "http://funmeta.oebiotech.com/network/53406")</f>
        <v>http://funmeta.oebiotech.com/network/53406</v>
      </c>
      <c r="H1950" s="2" t="s">
        <v>13113</v>
      </c>
      <c r="I1950" s="2">
        <v>1956</v>
      </c>
      <c r="J1950" s="2"/>
      <c r="K1950" s="2">
        <v>439329</v>
      </c>
      <c r="L1950" s="2"/>
      <c r="M1950" s="2"/>
      <c r="N1950" s="2"/>
      <c r="O1950" s="2">
        <v>66265</v>
      </c>
      <c r="P1950" s="2" t="s">
        <v>13114</v>
      </c>
      <c r="Q1950" s="2" t="s">
        <v>13115</v>
      </c>
      <c r="R1950" s="2" t="s">
        <v>13116</v>
      </c>
      <c r="S1950" s="2" t="s">
        <v>148</v>
      </c>
      <c r="T1950" s="2" t="s">
        <v>149</v>
      </c>
      <c r="U1950" s="2" t="s">
        <v>13117</v>
      </c>
      <c r="V1950" s="2" t="s">
        <v>59</v>
      </c>
      <c r="W1950" s="2">
        <v>38.5</v>
      </c>
      <c r="X1950" s="2">
        <v>0</v>
      </c>
      <c r="Y1950" s="2" t="s">
        <v>560</v>
      </c>
      <c r="Z1950" s="2" t="s">
        <v>13118</v>
      </c>
      <c r="AA1950" s="2">
        <v>-1.1956481470407301</v>
      </c>
      <c r="AB1950" s="2">
        <v>0.41587588586422303</v>
      </c>
      <c r="AC1950" s="2">
        <v>33902.430378350196</v>
      </c>
      <c r="AD1950" s="2">
        <v>22101.4004085622</v>
      </c>
      <c r="AE1950" s="2">
        <v>31562.834740066599</v>
      </c>
      <c r="AF1950" s="2">
        <v>37369.001042186799</v>
      </c>
      <c r="AG1950" s="2">
        <v>35524.250839320499</v>
      </c>
      <c r="AH1950" s="2">
        <v>34830.651899012701</v>
      </c>
      <c r="AI1950" s="2">
        <v>32072.433173733902</v>
      </c>
      <c r="AJ1950" s="2">
        <v>32055.410575780399</v>
      </c>
      <c r="AK1950" s="2">
        <v>24143.702931792501</v>
      </c>
      <c r="AL1950" s="2">
        <v>21817.943865465601</v>
      </c>
      <c r="AM1950" s="2">
        <v>20329.752321360502</v>
      </c>
      <c r="AN1950" s="2">
        <v>22635.775104078599</v>
      </c>
      <c r="AO1950" s="2">
        <v>20972.211566153499</v>
      </c>
      <c r="AP1950" s="2">
        <v>22709.016662522601</v>
      </c>
    </row>
    <row r="1951" spans="1:42" ht="14.5" x14ac:dyDescent="0.35">
      <c r="A1951" s="2" t="s">
        <v>13119</v>
      </c>
      <c r="B1951" s="2">
        <v>369.11540944406102</v>
      </c>
      <c r="C1951" s="2">
        <v>1.1287499999999999</v>
      </c>
      <c r="D1951" s="2" t="s">
        <v>34</v>
      </c>
      <c r="E1951" s="2" t="s">
        <v>13120</v>
      </c>
      <c r="F1951" s="2">
        <v>57014</v>
      </c>
      <c r="G1951" s="3" t="str">
        <f>HYPERLINK("http://funmeta.oebiotech.com/network/57014", "http://funmeta.oebiotech.com/network/57014")</f>
        <v>http://funmeta.oebiotech.com/network/57014</v>
      </c>
      <c r="H1951" s="2" t="s">
        <v>13121</v>
      </c>
      <c r="I1951" s="2"/>
      <c r="J1951" s="2"/>
      <c r="K1951" s="2"/>
      <c r="L1951" s="2"/>
      <c r="M1951" s="2"/>
      <c r="N1951" s="2"/>
      <c r="O1951" s="2">
        <v>13965334</v>
      </c>
      <c r="P1951" s="2" t="s">
        <v>13122</v>
      </c>
      <c r="Q1951" s="2" t="s">
        <v>13123</v>
      </c>
      <c r="R1951" s="2" t="s">
        <v>13124</v>
      </c>
      <c r="S1951" s="2" t="s">
        <v>79</v>
      </c>
      <c r="T1951" s="2" t="s">
        <v>80</v>
      </c>
      <c r="U1951" s="2" t="s">
        <v>81</v>
      </c>
      <c r="V1951" s="2" t="s">
        <v>59</v>
      </c>
      <c r="W1951" s="2">
        <v>45.1</v>
      </c>
      <c r="X1951" s="2">
        <v>28.3</v>
      </c>
      <c r="Y1951" s="2" t="s">
        <v>568</v>
      </c>
      <c r="Z1951" s="2" t="s">
        <v>13125</v>
      </c>
      <c r="AA1951" s="2">
        <v>-0.55909497070702097</v>
      </c>
      <c r="AB1951" s="2">
        <v>0.41563816723786901</v>
      </c>
      <c r="AC1951" s="2">
        <v>472127.68945361697</v>
      </c>
      <c r="AD1951" s="2">
        <v>495756.81307902798</v>
      </c>
      <c r="AE1951" s="2">
        <v>486514.046841175</v>
      </c>
      <c r="AF1951" s="2">
        <v>486964.92225947499</v>
      </c>
      <c r="AG1951" s="2">
        <v>441579.83034192398</v>
      </c>
      <c r="AH1951" s="2">
        <v>449176.51549571397</v>
      </c>
      <c r="AI1951" s="2">
        <v>505038.727901062</v>
      </c>
      <c r="AJ1951" s="2">
        <v>463492.09388235398</v>
      </c>
      <c r="AK1951" s="2">
        <v>520557.55422901298</v>
      </c>
      <c r="AL1951" s="2">
        <v>506820.29482984898</v>
      </c>
      <c r="AM1951" s="2">
        <v>477515.99312738603</v>
      </c>
      <c r="AN1951" s="2">
        <v>510550.94467975199</v>
      </c>
      <c r="AO1951" s="2">
        <v>458028.91300290701</v>
      </c>
      <c r="AP1951" s="2">
        <v>501067.17860525899</v>
      </c>
    </row>
    <row r="1952" spans="1:42" ht="14.5" x14ac:dyDescent="0.35">
      <c r="A1952" s="2" t="s">
        <v>13126</v>
      </c>
      <c r="B1952" s="2">
        <v>481.11382727914201</v>
      </c>
      <c r="C1952" s="2">
        <v>5.3579833333333298</v>
      </c>
      <c r="D1952" s="2" t="s">
        <v>70</v>
      </c>
      <c r="E1952" s="2" t="s">
        <v>13127</v>
      </c>
      <c r="F1952" s="2">
        <v>28902</v>
      </c>
      <c r="G1952" s="3" t="str">
        <f>HYPERLINK("http://funmeta.oebiotech.com/network/28902", "http://funmeta.oebiotech.com/network/28902")</f>
        <v>http://funmeta.oebiotech.com/network/28902</v>
      </c>
      <c r="H1952" s="2"/>
      <c r="I1952" s="2">
        <v>47298</v>
      </c>
      <c r="J1952" s="2" t="s">
        <v>13128</v>
      </c>
      <c r="K1952" s="2"/>
      <c r="L1952" s="2"/>
      <c r="M1952" s="2"/>
      <c r="N1952" s="2"/>
      <c r="O1952" s="2">
        <v>44257102</v>
      </c>
      <c r="P1952" s="2"/>
      <c r="Q1952" s="2" t="s">
        <v>13129</v>
      </c>
      <c r="R1952" s="2" t="s">
        <v>13130</v>
      </c>
      <c r="S1952" s="2" t="s">
        <v>115</v>
      </c>
      <c r="T1952" s="2" t="s">
        <v>139</v>
      </c>
      <c r="U1952" s="2" t="s">
        <v>1437</v>
      </c>
      <c r="V1952" s="2" t="s">
        <v>42</v>
      </c>
      <c r="W1952" s="2">
        <v>56</v>
      </c>
      <c r="X1952" s="2">
        <v>82.3</v>
      </c>
      <c r="Y1952" s="2" t="s">
        <v>1654</v>
      </c>
      <c r="Z1952" s="2" t="s">
        <v>13131</v>
      </c>
      <c r="AA1952" s="2">
        <v>-0.44297576443520098</v>
      </c>
      <c r="AB1952" s="2">
        <v>0.41552342619064098</v>
      </c>
      <c r="AC1952" s="2">
        <v>522045.03145176597</v>
      </c>
      <c r="AD1952" s="2">
        <v>498390.53646723297</v>
      </c>
      <c r="AE1952" s="2">
        <v>517263.27636984503</v>
      </c>
      <c r="AF1952" s="2">
        <v>481360.34172406298</v>
      </c>
      <c r="AG1952" s="2">
        <v>538809.75956776901</v>
      </c>
      <c r="AH1952" s="2">
        <v>541237.81923238398</v>
      </c>
      <c r="AI1952" s="2">
        <v>525702.360032317</v>
      </c>
      <c r="AJ1952" s="2">
        <v>527896.63178422104</v>
      </c>
      <c r="AK1952" s="2">
        <v>483568.38128322503</v>
      </c>
      <c r="AL1952" s="2">
        <v>474916.80684844998</v>
      </c>
      <c r="AM1952" s="2">
        <v>544097.85557722801</v>
      </c>
      <c r="AN1952" s="2">
        <v>493695.57264639501</v>
      </c>
      <c r="AO1952" s="2">
        <v>487881.59000707901</v>
      </c>
      <c r="AP1952" s="2">
        <v>506183.01244102302</v>
      </c>
    </row>
    <row r="1953" spans="1:42" ht="14.5" x14ac:dyDescent="0.35">
      <c r="A1953" s="2" t="s">
        <v>13132</v>
      </c>
      <c r="B1953" s="2">
        <v>508.30566817450398</v>
      </c>
      <c r="C1953" s="2">
        <v>7.79151666666667</v>
      </c>
      <c r="D1953" s="2" t="s">
        <v>34</v>
      </c>
      <c r="E1953" s="2" t="s">
        <v>13133</v>
      </c>
      <c r="F1953" s="2">
        <v>211755</v>
      </c>
      <c r="G1953" s="3" t="str">
        <f>HYPERLINK("http://funmeta.oebiotech.com/network/211755", "http://funmeta.oebiotech.com/network/211755")</f>
        <v>http://funmeta.oebiotech.com/network/211755</v>
      </c>
      <c r="H1953" s="2" t="s">
        <v>13134</v>
      </c>
      <c r="I1953" s="2"/>
      <c r="J1953" s="2"/>
      <c r="K1953" s="2"/>
      <c r="L1953" s="2"/>
      <c r="M1953" s="2"/>
      <c r="N1953" s="2"/>
      <c r="O1953" s="2"/>
      <c r="P1953" s="2"/>
      <c r="Q1953" s="2" t="s">
        <v>13135</v>
      </c>
      <c r="R1953" s="2" t="s">
        <v>13136</v>
      </c>
      <c r="S1953" s="2" t="s">
        <v>79</v>
      </c>
      <c r="T1953" s="2" t="s">
        <v>80</v>
      </c>
      <c r="U1953" s="2" t="s">
        <v>2820</v>
      </c>
      <c r="V1953" s="2" t="s">
        <v>42</v>
      </c>
      <c r="W1953" s="2">
        <v>47.2</v>
      </c>
      <c r="X1953" s="2">
        <v>48.6</v>
      </c>
      <c r="Y1953" s="2" t="s">
        <v>323</v>
      </c>
      <c r="Z1953" s="2" t="s">
        <v>13137</v>
      </c>
      <c r="AA1953" s="2">
        <v>4.7886776441277101</v>
      </c>
      <c r="AB1953" s="2">
        <v>0.41531438597314602</v>
      </c>
      <c r="AC1953" s="2">
        <v>32872.000819688903</v>
      </c>
      <c r="AD1953" s="2">
        <v>21256.068762139799</v>
      </c>
      <c r="AE1953" s="2">
        <v>33025.857268136402</v>
      </c>
      <c r="AF1953" s="2">
        <v>30958.999964523598</v>
      </c>
      <c r="AG1953" s="2">
        <v>36178.463737622304</v>
      </c>
      <c r="AH1953" s="2">
        <v>33486.861070421699</v>
      </c>
      <c r="AI1953" s="2">
        <v>30638.388366528201</v>
      </c>
      <c r="AJ1953" s="2">
        <v>32943.434510901199</v>
      </c>
      <c r="AK1953" s="2">
        <v>21630.265371375801</v>
      </c>
      <c r="AL1953" s="2">
        <v>22126.380774694499</v>
      </c>
      <c r="AM1953" s="2">
        <v>20191.6549757141</v>
      </c>
      <c r="AN1953" s="2">
        <v>21607.604436301299</v>
      </c>
      <c r="AO1953" s="2">
        <v>19916.8547649231</v>
      </c>
      <c r="AP1953" s="2">
        <v>22063.652249829702</v>
      </c>
    </row>
    <row r="1954" spans="1:42" ht="14.5" x14ac:dyDescent="0.35">
      <c r="A1954" s="2" t="s">
        <v>13138</v>
      </c>
      <c r="B1954" s="2">
        <v>405.13987982946298</v>
      </c>
      <c r="C1954" s="2">
        <v>3.7870499999999998</v>
      </c>
      <c r="D1954" s="2" t="s">
        <v>70</v>
      </c>
      <c r="E1954" s="2" t="s">
        <v>13139</v>
      </c>
      <c r="F1954" s="2">
        <v>58620</v>
      </c>
      <c r="G1954" s="3" t="str">
        <f>HYPERLINK("http://funmeta.oebiotech.com/network/58620", "http://funmeta.oebiotech.com/network/58620")</f>
        <v>http://funmeta.oebiotech.com/network/58620</v>
      </c>
      <c r="H1954" s="2" t="s">
        <v>13140</v>
      </c>
      <c r="I1954" s="2">
        <v>90089</v>
      </c>
      <c r="J1954" s="2"/>
      <c r="K1954" s="2">
        <v>167946</v>
      </c>
      <c r="L1954" s="2"/>
      <c r="M1954" s="2"/>
      <c r="N1954" s="2"/>
      <c r="O1954" s="2">
        <v>85242014</v>
      </c>
      <c r="P1954" s="2" t="s">
        <v>13141</v>
      </c>
      <c r="Q1954" s="2" t="s">
        <v>13142</v>
      </c>
      <c r="R1954" s="2" t="s">
        <v>13143</v>
      </c>
      <c r="S1954" s="2" t="s">
        <v>79</v>
      </c>
      <c r="T1954" s="2" t="s">
        <v>80</v>
      </c>
      <c r="U1954" s="2" t="s">
        <v>81</v>
      </c>
      <c r="V1954" s="2" t="s">
        <v>42</v>
      </c>
      <c r="W1954" s="2">
        <v>55.3</v>
      </c>
      <c r="X1954" s="2">
        <v>81</v>
      </c>
      <c r="Y1954" s="2" t="s">
        <v>408</v>
      </c>
      <c r="Z1954" s="2" t="s">
        <v>13144</v>
      </c>
      <c r="AA1954" s="2">
        <v>-0.98679472274129298</v>
      </c>
      <c r="AB1954" s="2">
        <v>0.41529408090511</v>
      </c>
      <c r="AC1954" s="2">
        <v>92524.216542597205</v>
      </c>
      <c r="AD1954" s="2">
        <v>79953.928271061202</v>
      </c>
      <c r="AE1954" s="2">
        <v>95065.718086423105</v>
      </c>
      <c r="AF1954" s="2">
        <v>95368.343946129506</v>
      </c>
      <c r="AG1954" s="2">
        <v>88034.153752635306</v>
      </c>
      <c r="AH1954" s="2">
        <v>91602.288747698898</v>
      </c>
      <c r="AI1954" s="2">
        <v>94273.104796055297</v>
      </c>
      <c r="AJ1954" s="2">
        <v>90801.689926641106</v>
      </c>
      <c r="AK1954" s="2">
        <v>77826.6409999467</v>
      </c>
      <c r="AL1954" s="2">
        <v>80337.303099905301</v>
      </c>
      <c r="AM1954" s="2">
        <v>81202.0237537762</v>
      </c>
      <c r="AN1954" s="2">
        <v>81460.097555704604</v>
      </c>
      <c r="AO1954" s="2">
        <v>74053.118516472998</v>
      </c>
      <c r="AP1954" s="2">
        <v>84844.385700561106</v>
      </c>
    </row>
    <row r="1955" spans="1:42" ht="14.5" x14ac:dyDescent="0.35">
      <c r="A1955" s="2" t="s">
        <v>13145</v>
      </c>
      <c r="B1955" s="2">
        <v>827.29484406200299</v>
      </c>
      <c r="C1955" s="2">
        <v>5.4498833333333296</v>
      </c>
      <c r="D1955" s="2" t="s">
        <v>70</v>
      </c>
      <c r="E1955" s="2" t="s">
        <v>13146</v>
      </c>
      <c r="F1955" s="2">
        <v>206516</v>
      </c>
      <c r="G1955" s="3" t="str">
        <f>HYPERLINK("http://funmeta.oebiotech.com/network/206516", "http://funmeta.oebiotech.com/network/206516")</f>
        <v>http://funmeta.oebiotech.com/network/206516</v>
      </c>
      <c r="H1955" s="2" t="s">
        <v>13147</v>
      </c>
      <c r="I1955" s="2"/>
      <c r="J1955" s="2"/>
      <c r="K1955" s="2"/>
      <c r="L1955" s="2"/>
      <c r="M1955" s="2"/>
      <c r="N1955" s="2"/>
      <c r="O1955" s="2">
        <v>3633</v>
      </c>
      <c r="P1955" s="2"/>
      <c r="Q1955" s="2" t="s">
        <v>13148</v>
      </c>
      <c r="R1955" s="2" t="s">
        <v>13149</v>
      </c>
      <c r="S1955" s="2" t="s">
        <v>41</v>
      </c>
      <c r="T1955" s="2" t="s">
        <v>41</v>
      </c>
      <c r="U1955" s="2" t="s">
        <v>41</v>
      </c>
      <c r="V1955" s="2" t="s">
        <v>59</v>
      </c>
      <c r="W1955" s="2">
        <v>39.200000000000003</v>
      </c>
      <c r="X1955" s="2">
        <v>0</v>
      </c>
      <c r="Y1955" s="2" t="s">
        <v>751</v>
      </c>
      <c r="Z1955" s="2" t="s">
        <v>13150</v>
      </c>
      <c r="AA1955" s="2">
        <v>1.1215615982065601</v>
      </c>
      <c r="AB1955" s="2">
        <v>0.41510621506949702</v>
      </c>
      <c r="AC1955" s="2">
        <v>35304.271837478002</v>
      </c>
      <c r="AD1955" s="2">
        <v>47545.971372959102</v>
      </c>
      <c r="AE1955" s="2">
        <v>38423.712928522698</v>
      </c>
      <c r="AF1955" s="2">
        <v>32052.013701518201</v>
      </c>
      <c r="AG1955" s="2">
        <v>33579.586194688301</v>
      </c>
      <c r="AH1955" s="2">
        <v>32167.162207359699</v>
      </c>
      <c r="AI1955" s="2">
        <v>40325.668335987197</v>
      </c>
      <c r="AJ1955" s="2">
        <v>35277.487656791804</v>
      </c>
      <c r="AK1955" s="2">
        <v>50653.574190753403</v>
      </c>
      <c r="AL1955" s="2">
        <v>44316.595716539698</v>
      </c>
      <c r="AM1955" s="2">
        <v>46465.958123070799</v>
      </c>
      <c r="AN1955" s="2">
        <v>46554.082670866701</v>
      </c>
      <c r="AO1955" s="2">
        <v>49258.869301204199</v>
      </c>
      <c r="AP1955" s="2">
        <v>48026.748235320098</v>
      </c>
    </row>
    <row r="1956" spans="1:42" ht="14.5" x14ac:dyDescent="0.35">
      <c r="A1956" s="2" t="s">
        <v>13151</v>
      </c>
      <c r="B1956" s="2">
        <v>650.28382821065804</v>
      </c>
      <c r="C1956" s="2">
        <v>10.24235</v>
      </c>
      <c r="D1956" s="2" t="s">
        <v>70</v>
      </c>
      <c r="E1956" s="2" t="s">
        <v>13152</v>
      </c>
      <c r="F1956" s="2">
        <v>46643</v>
      </c>
      <c r="G1956" s="3" t="str">
        <f>HYPERLINK("http://funmeta.oebiotech.com/network/46643", "http://funmeta.oebiotech.com/network/46643")</f>
        <v>http://funmeta.oebiotech.com/network/46643</v>
      </c>
      <c r="H1956" s="2"/>
      <c r="I1956" s="2">
        <v>57945</v>
      </c>
      <c r="J1956" s="2" t="s">
        <v>13153</v>
      </c>
      <c r="K1956" s="2">
        <v>16129</v>
      </c>
      <c r="L1956" s="2" t="s">
        <v>13154</v>
      </c>
      <c r="M1956" s="2"/>
      <c r="N1956" s="2"/>
      <c r="O1956" s="2">
        <v>5460168</v>
      </c>
      <c r="P1956" s="2"/>
      <c r="Q1956" s="2" t="s">
        <v>13155</v>
      </c>
      <c r="R1956" s="2" t="s">
        <v>13156</v>
      </c>
      <c r="S1956" s="2" t="s">
        <v>50</v>
      </c>
      <c r="T1956" s="2" t="s">
        <v>124</v>
      </c>
      <c r="U1956" s="2" t="s">
        <v>523</v>
      </c>
      <c r="V1956" s="2" t="s">
        <v>59</v>
      </c>
      <c r="W1956" s="2">
        <v>36.4</v>
      </c>
      <c r="X1956" s="2">
        <v>0</v>
      </c>
      <c r="Y1956" s="2" t="s">
        <v>118</v>
      </c>
      <c r="Z1956" s="2" t="s">
        <v>13157</v>
      </c>
      <c r="AA1956" s="2">
        <v>3.0925443979624601</v>
      </c>
      <c r="AB1956" s="2">
        <v>0.41493304470203202</v>
      </c>
      <c r="AC1956" s="2">
        <v>448.18044566523599</v>
      </c>
      <c r="AD1956" s="2">
        <v>11798.651876210401</v>
      </c>
      <c r="AE1956" s="2">
        <v>583.10320043091201</v>
      </c>
      <c r="AF1956" s="2">
        <v>382.818886767197</v>
      </c>
      <c r="AG1956" s="2">
        <v>371.555295252951</v>
      </c>
      <c r="AH1956" s="2">
        <v>644.46100340451096</v>
      </c>
      <c r="AI1956" s="2">
        <v>230.21289185682201</v>
      </c>
      <c r="AJ1956" s="2">
        <v>476.93139627902298</v>
      </c>
      <c r="AK1956" s="2">
        <v>11015.876406756901</v>
      </c>
      <c r="AL1956" s="2">
        <v>10860.9229033835</v>
      </c>
      <c r="AM1956" s="2">
        <v>13094.031665239199</v>
      </c>
      <c r="AN1956" s="2">
        <v>11725.831824192301</v>
      </c>
      <c r="AO1956" s="2">
        <v>12657.6216091731</v>
      </c>
      <c r="AP1956" s="2">
        <v>11437.626848517501</v>
      </c>
    </row>
    <row r="1957" spans="1:42" ht="14.5" x14ac:dyDescent="0.35">
      <c r="A1957" s="2" t="s">
        <v>13158</v>
      </c>
      <c r="B1957" s="2">
        <v>311.12747783557001</v>
      </c>
      <c r="C1957" s="2">
        <v>4.3791333333333302</v>
      </c>
      <c r="D1957" s="2" t="s">
        <v>34</v>
      </c>
      <c r="E1957" s="2" t="s">
        <v>13159</v>
      </c>
      <c r="F1957" s="2">
        <v>207920</v>
      </c>
      <c r="G1957" s="3" t="str">
        <f>HYPERLINK("http://funmeta.oebiotech.com/network/207920", "http://funmeta.oebiotech.com/network/207920")</f>
        <v>http://funmeta.oebiotech.com/network/207920</v>
      </c>
      <c r="H1957" s="2" t="s">
        <v>13160</v>
      </c>
      <c r="I1957" s="2"/>
      <c r="J1957" s="2"/>
      <c r="K1957" s="2"/>
      <c r="L1957" s="2"/>
      <c r="M1957" s="2"/>
      <c r="N1957" s="2"/>
      <c r="O1957" s="2">
        <v>23089638</v>
      </c>
      <c r="P1957" s="2"/>
      <c r="Q1957" s="2" t="s">
        <v>13161</v>
      </c>
      <c r="R1957" s="2" t="s">
        <v>13162</v>
      </c>
      <c r="S1957" s="2" t="s">
        <v>41</v>
      </c>
      <c r="T1957" s="2" t="s">
        <v>41</v>
      </c>
      <c r="U1957" s="2" t="s">
        <v>41</v>
      </c>
      <c r="V1957" s="2" t="s">
        <v>59</v>
      </c>
      <c r="W1957" s="2">
        <v>38.700000000000003</v>
      </c>
      <c r="X1957" s="2">
        <v>0</v>
      </c>
      <c r="Y1957" s="2" t="s">
        <v>43</v>
      </c>
      <c r="Z1957" s="2" t="s">
        <v>13163</v>
      </c>
      <c r="AA1957" s="2">
        <v>4.2130671987082904</v>
      </c>
      <c r="AB1957" s="2">
        <v>0.4148702542571</v>
      </c>
      <c r="AC1957" s="2">
        <v>24528.228212192502</v>
      </c>
      <c r="AD1957" s="2">
        <v>36698.675584609497</v>
      </c>
      <c r="AE1957" s="2">
        <v>23416.890648000601</v>
      </c>
      <c r="AF1957" s="2">
        <v>26657.446353708299</v>
      </c>
      <c r="AG1957" s="2">
        <v>22976.394305788301</v>
      </c>
      <c r="AH1957" s="2">
        <v>22019.121093243299</v>
      </c>
      <c r="AI1957" s="2">
        <v>27917.129675837899</v>
      </c>
      <c r="AJ1957" s="2">
        <v>24182.387196576299</v>
      </c>
      <c r="AK1957" s="2">
        <v>37769.200386226803</v>
      </c>
      <c r="AL1957" s="2">
        <v>36974.091502924603</v>
      </c>
      <c r="AM1957" s="2">
        <v>36295.350784134098</v>
      </c>
      <c r="AN1957" s="2">
        <v>39559.477674671398</v>
      </c>
      <c r="AO1957" s="2">
        <v>30784.917249329199</v>
      </c>
      <c r="AP1957" s="2">
        <v>38809.015910371003</v>
      </c>
    </row>
    <row r="1958" spans="1:42" ht="14.5" x14ac:dyDescent="0.35">
      <c r="A1958" s="2" t="s">
        <v>13164</v>
      </c>
      <c r="B1958" s="2">
        <v>413.15795876068199</v>
      </c>
      <c r="C1958" s="2">
        <v>7.4323499999999996</v>
      </c>
      <c r="D1958" s="2" t="s">
        <v>70</v>
      </c>
      <c r="E1958" s="2" t="s">
        <v>13165</v>
      </c>
      <c r="F1958" s="2">
        <v>24923</v>
      </c>
      <c r="G1958" s="3" t="str">
        <f>HYPERLINK("http://funmeta.oebiotech.com/network/24923", "http://funmeta.oebiotech.com/network/24923")</f>
        <v>http://funmeta.oebiotech.com/network/24923</v>
      </c>
      <c r="H1958" s="2"/>
      <c r="I1958" s="2">
        <v>40918</v>
      </c>
      <c r="J1958" s="2" t="s">
        <v>13166</v>
      </c>
      <c r="K1958" s="2">
        <v>131508</v>
      </c>
      <c r="L1958" s="2"/>
      <c r="M1958" s="2"/>
      <c r="N1958" s="2"/>
      <c r="O1958" s="2">
        <v>9547165</v>
      </c>
      <c r="P1958" s="2"/>
      <c r="Q1958" s="2" t="s">
        <v>13167</v>
      </c>
      <c r="R1958" s="2" t="s">
        <v>13168</v>
      </c>
      <c r="S1958" s="2" t="s">
        <v>50</v>
      </c>
      <c r="T1958" s="2" t="s">
        <v>51</v>
      </c>
      <c r="U1958" s="2" t="s">
        <v>273</v>
      </c>
      <c r="V1958" s="2" t="s">
        <v>59</v>
      </c>
      <c r="W1958" s="2">
        <v>39</v>
      </c>
      <c r="X1958" s="2">
        <v>0</v>
      </c>
      <c r="Y1958" s="2" t="s">
        <v>408</v>
      </c>
      <c r="Z1958" s="2" t="s">
        <v>13169</v>
      </c>
      <c r="AA1958" s="2">
        <v>-0.67532003663386797</v>
      </c>
      <c r="AB1958" s="2">
        <v>0.41481329421270702</v>
      </c>
      <c r="AC1958" s="2">
        <v>11442.972323313101</v>
      </c>
      <c r="AD1958" s="2">
        <v>106.913215174451</v>
      </c>
      <c r="AE1958" s="2">
        <v>12017.3808656698</v>
      </c>
      <c r="AF1958" s="2">
        <v>10690.4834167519</v>
      </c>
      <c r="AG1958" s="2">
        <v>12421.891696860701</v>
      </c>
      <c r="AH1958" s="2">
        <v>11462.761309145601</v>
      </c>
      <c r="AI1958" s="2">
        <v>11698.914662123299</v>
      </c>
      <c r="AJ1958" s="2">
        <v>10366.4019893273</v>
      </c>
      <c r="AK1958" s="2">
        <v>103.954280818681</v>
      </c>
      <c r="AL1958" s="2">
        <v>154.25579338659199</v>
      </c>
      <c r="AM1958" s="2">
        <v>108.504956577402</v>
      </c>
      <c r="AN1958" s="2">
        <v>15.008934167909899</v>
      </c>
      <c r="AO1958" s="2">
        <v>117.066795483212</v>
      </c>
      <c r="AP1958" s="2">
        <v>142.68853061290699</v>
      </c>
    </row>
    <row r="1959" spans="1:42" ht="14.5" x14ac:dyDescent="0.35">
      <c r="A1959" s="2" t="s">
        <v>13170</v>
      </c>
      <c r="B1959" s="2">
        <v>158.11749047411601</v>
      </c>
      <c r="C1959" s="2">
        <v>0.51951666666666696</v>
      </c>
      <c r="D1959" s="2" t="s">
        <v>34</v>
      </c>
      <c r="E1959" s="2" t="s">
        <v>13171</v>
      </c>
      <c r="F1959" s="2">
        <v>6301</v>
      </c>
      <c r="G1959" s="3" t="str">
        <f>HYPERLINK("http://funmeta.oebiotech.com/network/6301", "http://funmeta.oebiotech.com/network/6301")</f>
        <v>http://funmeta.oebiotech.com/network/6301</v>
      </c>
      <c r="H1959" s="2"/>
      <c r="I1959" s="2"/>
      <c r="J1959" s="2" t="s">
        <v>13172</v>
      </c>
      <c r="K1959" s="2">
        <v>53533</v>
      </c>
      <c r="L1959" s="2"/>
      <c r="M1959" s="2"/>
      <c r="N1959" s="2"/>
      <c r="O1959" s="2">
        <v>5281928</v>
      </c>
      <c r="P1959" s="2"/>
      <c r="Q1959" s="2" t="s">
        <v>13173</v>
      </c>
      <c r="R1959" s="2" t="s">
        <v>13174</v>
      </c>
      <c r="S1959" s="2" t="s">
        <v>50</v>
      </c>
      <c r="T1959" s="2" t="s">
        <v>229</v>
      </c>
      <c r="U1959" s="2" t="s">
        <v>1283</v>
      </c>
      <c r="V1959" s="2" t="s">
        <v>59</v>
      </c>
      <c r="W1959" s="2">
        <v>36.799999999999997</v>
      </c>
      <c r="X1959" s="2">
        <v>6.96</v>
      </c>
      <c r="Y1959" s="2" t="s">
        <v>43</v>
      </c>
      <c r="Z1959" s="2" t="s">
        <v>7336</v>
      </c>
      <c r="AA1959" s="2">
        <v>-0.46172274175603301</v>
      </c>
      <c r="AB1959" s="2">
        <v>0.41477060677877098</v>
      </c>
      <c r="AC1959" s="2">
        <v>14951.6051614477</v>
      </c>
      <c r="AD1959" s="2">
        <v>3258.9612093829101</v>
      </c>
      <c r="AE1959" s="2">
        <v>15102.501917178901</v>
      </c>
      <c r="AF1959" s="2">
        <v>15432.1065610469</v>
      </c>
      <c r="AG1959" s="2">
        <v>12531.0696731852</v>
      </c>
      <c r="AH1959" s="2">
        <v>18832.960658130301</v>
      </c>
      <c r="AI1959" s="2">
        <v>15152.862761996499</v>
      </c>
      <c r="AJ1959" s="2">
        <v>12658.129397148101</v>
      </c>
      <c r="AK1959" s="2">
        <v>3070.8568890563301</v>
      </c>
      <c r="AL1959" s="2">
        <v>4047.5770341613902</v>
      </c>
      <c r="AM1959" s="2">
        <v>2831.8896892002199</v>
      </c>
      <c r="AN1959" s="2">
        <v>2292.1982326072698</v>
      </c>
      <c r="AO1959" s="2">
        <v>2877.3726363969499</v>
      </c>
      <c r="AP1959" s="2">
        <v>4433.8727748752799</v>
      </c>
    </row>
    <row r="1960" spans="1:42" ht="14.5" x14ac:dyDescent="0.35">
      <c r="A1960" s="2" t="s">
        <v>13175</v>
      </c>
      <c r="B1960" s="2">
        <v>455.19020283494302</v>
      </c>
      <c r="C1960" s="2">
        <v>5.8226333333333304</v>
      </c>
      <c r="D1960" s="2" t="s">
        <v>70</v>
      </c>
      <c r="E1960" s="2" t="s">
        <v>13176</v>
      </c>
      <c r="F1960" s="2">
        <v>52573</v>
      </c>
      <c r="G1960" s="3" t="str">
        <f>HYPERLINK("http://funmeta.oebiotech.com/network/52573", "http://funmeta.oebiotech.com/network/52573")</f>
        <v>http://funmeta.oebiotech.com/network/52573</v>
      </c>
      <c r="H1960" s="2" t="s">
        <v>13177</v>
      </c>
      <c r="I1960" s="2"/>
      <c r="J1960" s="2"/>
      <c r="K1960" s="2">
        <v>176015</v>
      </c>
      <c r="L1960" s="2"/>
      <c r="M1960" s="2"/>
      <c r="N1960" s="2"/>
      <c r="O1960" s="2">
        <v>131750728</v>
      </c>
      <c r="P1960" s="2"/>
      <c r="Q1960" s="2" t="s">
        <v>13178</v>
      </c>
      <c r="R1960" s="2" t="s">
        <v>13179</v>
      </c>
      <c r="S1960" s="2" t="s">
        <v>50</v>
      </c>
      <c r="T1960" s="2" t="s">
        <v>229</v>
      </c>
      <c r="U1960" s="2" t="s">
        <v>766</v>
      </c>
      <c r="V1960" s="2" t="s">
        <v>59</v>
      </c>
      <c r="W1960" s="2">
        <v>46.4</v>
      </c>
      <c r="X1960" s="2">
        <v>43</v>
      </c>
      <c r="Y1960" s="2" t="s">
        <v>408</v>
      </c>
      <c r="Z1960" s="2" t="s">
        <v>13180</v>
      </c>
      <c r="AA1960" s="2">
        <v>3.7044477035533498</v>
      </c>
      <c r="AB1960" s="2">
        <v>0.41473277289129501</v>
      </c>
      <c r="AC1960" s="2">
        <v>24948.415287328298</v>
      </c>
      <c r="AD1960" s="2">
        <v>36600.821882818898</v>
      </c>
      <c r="AE1960" s="2">
        <v>25961.086496190499</v>
      </c>
      <c r="AF1960" s="2">
        <v>23523.7376226007</v>
      </c>
      <c r="AG1960" s="2">
        <v>23988.387328186102</v>
      </c>
      <c r="AH1960" s="2">
        <v>24530.027319311899</v>
      </c>
      <c r="AI1960" s="2">
        <v>23749.090769365699</v>
      </c>
      <c r="AJ1960" s="2">
        <v>27938.1621883148</v>
      </c>
      <c r="AK1960" s="2">
        <v>37062.454292696202</v>
      </c>
      <c r="AL1960" s="2">
        <v>35854.696719858803</v>
      </c>
      <c r="AM1960" s="2">
        <v>39125.485243274503</v>
      </c>
      <c r="AN1960" s="2">
        <v>37322.140389435197</v>
      </c>
      <c r="AO1960" s="2">
        <v>34672.693602510401</v>
      </c>
      <c r="AP1960" s="2">
        <v>35567.461049138597</v>
      </c>
    </row>
    <row r="1961" spans="1:42" ht="14.5" x14ac:dyDescent="0.35">
      <c r="A1961" s="2" t="s">
        <v>13181</v>
      </c>
      <c r="B1961" s="2">
        <v>611.46608059404605</v>
      </c>
      <c r="C1961" s="2">
        <v>12.3051333333333</v>
      </c>
      <c r="D1961" s="2" t="s">
        <v>34</v>
      </c>
      <c r="E1961" s="2" t="s">
        <v>13182</v>
      </c>
      <c r="F1961" s="2">
        <v>10548</v>
      </c>
      <c r="G1961" s="3" t="str">
        <f>HYPERLINK("http://funmeta.oebiotech.com/network/10548", "http://funmeta.oebiotech.com/network/10548")</f>
        <v>http://funmeta.oebiotech.com/network/10548</v>
      </c>
      <c r="H1961" s="2" t="s">
        <v>13183</v>
      </c>
      <c r="I1961" s="2">
        <v>4340</v>
      </c>
      <c r="J1961" s="2" t="s">
        <v>13184</v>
      </c>
      <c r="K1961" s="2">
        <v>88497</v>
      </c>
      <c r="L1961" s="2"/>
      <c r="M1961" s="2"/>
      <c r="N1961" s="2"/>
      <c r="O1961" s="2">
        <v>9543703</v>
      </c>
      <c r="P1961" s="2"/>
      <c r="Q1961" s="2" t="s">
        <v>13185</v>
      </c>
      <c r="R1961" s="2" t="s">
        <v>13186</v>
      </c>
      <c r="S1961" s="2" t="s">
        <v>50</v>
      </c>
      <c r="T1961" s="2" t="s">
        <v>229</v>
      </c>
      <c r="U1961" s="2" t="s">
        <v>1360</v>
      </c>
      <c r="V1961" s="2" t="s">
        <v>59</v>
      </c>
      <c r="W1961" s="2">
        <v>42.3</v>
      </c>
      <c r="X1961" s="2">
        <v>27.8</v>
      </c>
      <c r="Y1961" s="2" t="s">
        <v>323</v>
      </c>
      <c r="Z1961" s="2" t="s">
        <v>13187</v>
      </c>
      <c r="AA1961" s="2">
        <v>2.52306864248435</v>
      </c>
      <c r="AB1961" s="2">
        <v>0.41460158334550301</v>
      </c>
      <c r="AC1961" s="2">
        <v>14642.865924503099</v>
      </c>
      <c r="AD1961" s="2">
        <v>2739.3091562315099</v>
      </c>
      <c r="AE1961" s="2">
        <v>10426.923763127799</v>
      </c>
      <c r="AF1961" s="2">
        <v>16962.831424453499</v>
      </c>
      <c r="AG1961" s="2">
        <v>19133.944414949001</v>
      </c>
      <c r="AH1961" s="2">
        <v>14546.003705274399</v>
      </c>
      <c r="AI1961" s="2">
        <v>13367.281190016</v>
      </c>
      <c r="AJ1961" s="2">
        <v>13420.211049198</v>
      </c>
      <c r="AK1961" s="2">
        <v>4035.02943063154</v>
      </c>
      <c r="AL1961" s="2">
        <v>1943.27976034835</v>
      </c>
      <c r="AM1961" s="2">
        <v>2400.2218272641599</v>
      </c>
      <c r="AN1961" s="2">
        <v>1505.76365079116</v>
      </c>
      <c r="AO1961" s="2">
        <v>2918.0160255352898</v>
      </c>
      <c r="AP1961" s="2">
        <v>3633.5442428185602</v>
      </c>
    </row>
    <row r="1962" spans="1:42" ht="14.5" x14ac:dyDescent="0.35">
      <c r="A1962" s="2" t="s">
        <v>13188</v>
      </c>
      <c r="B1962" s="2">
        <v>415.21076184641902</v>
      </c>
      <c r="C1962" s="2">
        <v>6.5888166666666699</v>
      </c>
      <c r="D1962" s="2" t="s">
        <v>34</v>
      </c>
      <c r="E1962" s="2" t="s">
        <v>13189</v>
      </c>
      <c r="F1962" s="2">
        <v>62657</v>
      </c>
      <c r="G1962" s="3" t="str">
        <f>HYPERLINK("http://funmeta.oebiotech.com/network/62657", "http://funmeta.oebiotech.com/network/62657")</f>
        <v>http://funmeta.oebiotech.com/network/62657</v>
      </c>
      <c r="H1962" s="2" t="s">
        <v>13190</v>
      </c>
      <c r="I1962" s="2">
        <v>93956</v>
      </c>
      <c r="J1962" s="2"/>
      <c r="K1962" s="2"/>
      <c r="L1962" s="2"/>
      <c r="M1962" s="2"/>
      <c r="N1962" s="2"/>
      <c r="O1962" s="2">
        <v>53462326</v>
      </c>
      <c r="P1962" s="2" t="s">
        <v>13191</v>
      </c>
      <c r="Q1962" s="2" t="s">
        <v>13192</v>
      </c>
      <c r="R1962" s="2" t="s">
        <v>13193</v>
      </c>
      <c r="S1962" s="2" t="s">
        <v>50</v>
      </c>
      <c r="T1962" s="2" t="s">
        <v>201</v>
      </c>
      <c r="U1962" s="2" t="s">
        <v>636</v>
      </c>
      <c r="V1962" s="2" t="s">
        <v>59</v>
      </c>
      <c r="W1962" s="2">
        <v>45.7</v>
      </c>
      <c r="X1962" s="2">
        <v>37</v>
      </c>
      <c r="Y1962" s="2" t="s">
        <v>242</v>
      </c>
      <c r="Z1962" s="2" t="s">
        <v>13194</v>
      </c>
      <c r="AA1962" s="2">
        <v>-1.81858361365525</v>
      </c>
      <c r="AB1962" s="2">
        <v>0.41446108708975898</v>
      </c>
      <c r="AC1962" s="2">
        <v>403586.23079648201</v>
      </c>
      <c r="AD1962" s="2">
        <v>381425.57042854402</v>
      </c>
      <c r="AE1962" s="2">
        <v>396562.49223241903</v>
      </c>
      <c r="AF1962" s="2">
        <v>416251.52018174698</v>
      </c>
      <c r="AG1962" s="2">
        <v>433042.43288498599</v>
      </c>
      <c r="AH1962" s="2">
        <v>393234.94309653802</v>
      </c>
      <c r="AI1962" s="2">
        <v>368559.13731217501</v>
      </c>
      <c r="AJ1962" s="2">
        <v>413866.85907102702</v>
      </c>
      <c r="AK1962" s="2">
        <v>403279.584376677</v>
      </c>
      <c r="AL1962" s="2">
        <v>381352.762392062</v>
      </c>
      <c r="AM1962" s="2">
        <v>406301.61659034999</v>
      </c>
      <c r="AN1962" s="2">
        <v>353286.04676002701</v>
      </c>
      <c r="AO1962" s="2">
        <v>371828.53346279601</v>
      </c>
      <c r="AP1962" s="2">
        <v>372504.87898935302</v>
      </c>
    </row>
    <row r="1963" spans="1:42" ht="14.5" x14ac:dyDescent="0.35">
      <c r="A1963" s="2" t="s">
        <v>13195</v>
      </c>
      <c r="B1963" s="2">
        <v>425.01739798606201</v>
      </c>
      <c r="C1963" s="2">
        <v>1.82663333333333</v>
      </c>
      <c r="D1963" s="2" t="s">
        <v>70</v>
      </c>
      <c r="E1963" s="2" t="s">
        <v>13196</v>
      </c>
      <c r="F1963" s="2">
        <v>30890</v>
      </c>
      <c r="G1963" s="3" t="str">
        <f>HYPERLINK("http://funmeta.oebiotech.com/network/30890", "http://funmeta.oebiotech.com/network/30890")</f>
        <v>http://funmeta.oebiotech.com/network/30890</v>
      </c>
      <c r="H1963" s="2"/>
      <c r="I1963" s="2">
        <v>49230</v>
      </c>
      <c r="J1963" s="2" t="s">
        <v>13197</v>
      </c>
      <c r="K1963" s="2"/>
      <c r="L1963" s="2"/>
      <c r="M1963" s="2"/>
      <c r="N1963" s="2"/>
      <c r="O1963" s="2">
        <v>44258211</v>
      </c>
      <c r="P1963" s="2"/>
      <c r="Q1963" s="2" t="s">
        <v>13198</v>
      </c>
      <c r="R1963" s="2" t="s">
        <v>13199</v>
      </c>
      <c r="S1963" s="2" t="s">
        <v>115</v>
      </c>
      <c r="T1963" s="2" t="s">
        <v>139</v>
      </c>
      <c r="U1963" s="2" t="s">
        <v>1552</v>
      </c>
      <c r="V1963" s="2" t="s">
        <v>42</v>
      </c>
      <c r="W1963" s="2">
        <v>50.5</v>
      </c>
      <c r="X1963" s="2">
        <v>67.400000000000006</v>
      </c>
      <c r="Y1963" s="2" t="s">
        <v>408</v>
      </c>
      <c r="Z1963" s="2" t="s">
        <v>3718</v>
      </c>
      <c r="AA1963" s="2">
        <v>-2.6520822051694002</v>
      </c>
      <c r="AB1963" s="2">
        <v>0.41425275192113598</v>
      </c>
      <c r="AC1963" s="2">
        <v>50271.918710217004</v>
      </c>
      <c r="AD1963" s="2">
        <v>62298.9209821935</v>
      </c>
      <c r="AE1963" s="2">
        <v>49030.400221029202</v>
      </c>
      <c r="AF1963" s="2">
        <v>47512.234059223301</v>
      </c>
      <c r="AG1963" s="2">
        <v>51829.5099976317</v>
      </c>
      <c r="AH1963" s="2">
        <v>51709.280731243198</v>
      </c>
      <c r="AI1963" s="2">
        <v>48454.910280064898</v>
      </c>
      <c r="AJ1963" s="2">
        <v>53095.176972109497</v>
      </c>
      <c r="AK1963" s="2">
        <v>61734.1724659592</v>
      </c>
      <c r="AL1963" s="2">
        <v>65207.769501643801</v>
      </c>
      <c r="AM1963" s="2">
        <v>60746.972998075798</v>
      </c>
      <c r="AN1963" s="2">
        <v>65412.396743261903</v>
      </c>
      <c r="AO1963" s="2">
        <v>62165.675332935898</v>
      </c>
      <c r="AP1963" s="2">
        <v>58526.5388512844</v>
      </c>
    </row>
    <row r="1964" spans="1:42" ht="14.5" x14ac:dyDescent="0.35">
      <c r="A1964" s="2" t="s">
        <v>13200</v>
      </c>
      <c r="B1964" s="2">
        <v>847.46883976974402</v>
      </c>
      <c r="C1964" s="2">
        <v>10.7099333333333</v>
      </c>
      <c r="D1964" s="2" t="s">
        <v>70</v>
      </c>
      <c r="E1964" s="2" t="s">
        <v>13201</v>
      </c>
      <c r="F1964" s="2">
        <v>274657</v>
      </c>
      <c r="G1964" s="3" t="str">
        <f>HYPERLINK("http://funmeta.oebiotech.com/network/274657", "http://funmeta.oebiotech.com/network/274657")</f>
        <v>http://funmeta.oebiotech.com/network/274657</v>
      </c>
      <c r="H1964" s="2"/>
      <c r="I1964" s="2">
        <v>64817</v>
      </c>
      <c r="J1964" s="2"/>
      <c r="K1964" s="2"/>
      <c r="L1964" s="2"/>
      <c r="M1964" s="2"/>
      <c r="N1964" s="2"/>
      <c r="O1964" s="2">
        <v>5519</v>
      </c>
      <c r="P1964" s="2" t="s">
        <v>13202</v>
      </c>
      <c r="Q1964" s="2" t="s">
        <v>13203</v>
      </c>
      <c r="R1964" s="2" t="s">
        <v>13204</v>
      </c>
      <c r="S1964" s="2" t="s">
        <v>491</v>
      </c>
      <c r="T1964" s="2" t="s">
        <v>2238</v>
      </c>
      <c r="U1964" s="2" t="s">
        <v>13205</v>
      </c>
      <c r="V1964" s="2" t="s">
        <v>59</v>
      </c>
      <c r="W1964" s="2">
        <v>38.1</v>
      </c>
      <c r="X1964" s="2">
        <v>0</v>
      </c>
      <c r="Y1964" s="2" t="s">
        <v>560</v>
      </c>
      <c r="Z1964" s="2" t="s">
        <v>13206</v>
      </c>
      <c r="AA1964" s="2">
        <v>1.20963860485568</v>
      </c>
      <c r="AB1964" s="2">
        <v>0.41367882912804899</v>
      </c>
      <c r="AC1964" s="2">
        <v>3430.9797458950102</v>
      </c>
      <c r="AD1964" s="2">
        <v>14918.996870897799</v>
      </c>
      <c r="AE1964" s="2">
        <v>3939.9184252063901</v>
      </c>
      <c r="AF1964" s="2">
        <v>3086.2185424242898</v>
      </c>
      <c r="AG1964" s="2">
        <v>2860.4271508156498</v>
      </c>
      <c r="AH1964" s="2">
        <v>3761.4241501562701</v>
      </c>
      <c r="AI1964" s="2">
        <v>3259.4483877141301</v>
      </c>
      <c r="AJ1964" s="2">
        <v>3678.4418190533302</v>
      </c>
      <c r="AK1964" s="2">
        <v>14365.5074259222</v>
      </c>
      <c r="AL1964" s="2">
        <v>15486.6316264989</v>
      </c>
      <c r="AM1964" s="2">
        <v>13652.921050032301</v>
      </c>
      <c r="AN1964" s="2">
        <v>13540.463963005401</v>
      </c>
      <c r="AO1964" s="2">
        <v>14124.692192173399</v>
      </c>
      <c r="AP1964" s="2">
        <v>18343.764967754301</v>
      </c>
    </row>
    <row r="1965" spans="1:42" ht="14.5" x14ac:dyDescent="0.35">
      <c r="A1965" s="2" t="s">
        <v>13207</v>
      </c>
      <c r="B1965" s="2">
        <v>603.32249491978905</v>
      </c>
      <c r="C1965" s="2">
        <v>4.8087833333333299</v>
      </c>
      <c r="D1965" s="2" t="s">
        <v>70</v>
      </c>
      <c r="E1965" s="2" t="s">
        <v>13208</v>
      </c>
      <c r="F1965" s="2">
        <v>28125</v>
      </c>
      <c r="G1965" s="3" t="str">
        <f>HYPERLINK("http://funmeta.oebiotech.com/network/28125", "http://funmeta.oebiotech.com/network/28125")</f>
        <v>http://funmeta.oebiotech.com/network/28125</v>
      </c>
      <c r="H1965" s="2"/>
      <c r="I1965" s="2">
        <v>46755</v>
      </c>
      <c r="J1965" s="2" t="s">
        <v>13209</v>
      </c>
      <c r="K1965" s="2">
        <v>46024</v>
      </c>
      <c r="L1965" s="2"/>
      <c r="M1965" s="2"/>
      <c r="N1965" s="2"/>
      <c r="O1965" s="2">
        <v>444732</v>
      </c>
      <c r="P1965" s="2" t="s">
        <v>13210</v>
      </c>
      <c r="Q1965" s="2" t="s">
        <v>13211</v>
      </c>
      <c r="R1965" s="2" t="s">
        <v>13212</v>
      </c>
      <c r="S1965" s="2" t="s">
        <v>79</v>
      </c>
      <c r="T1965" s="2" t="s">
        <v>80</v>
      </c>
      <c r="U1965" s="2" t="s">
        <v>2820</v>
      </c>
      <c r="V1965" s="2" t="s">
        <v>59</v>
      </c>
      <c r="W1965" s="2">
        <v>37.9</v>
      </c>
      <c r="X1965" s="2">
        <v>0</v>
      </c>
      <c r="Y1965" s="2" t="s">
        <v>560</v>
      </c>
      <c r="Z1965" s="2" t="s">
        <v>13213</v>
      </c>
      <c r="AA1965" s="2">
        <v>6.0996939227733797</v>
      </c>
      <c r="AB1965" s="2">
        <v>0.41239530951553799</v>
      </c>
      <c r="AC1965" s="2">
        <v>14556.5774832236</v>
      </c>
      <c r="AD1965" s="2">
        <v>3200.0123944323</v>
      </c>
      <c r="AE1965" s="2">
        <v>14769.159526719</v>
      </c>
      <c r="AF1965" s="2">
        <v>14270.602995408201</v>
      </c>
      <c r="AG1965" s="2">
        <v>14596.963200242601</v>
      </c>
      <c r="AH1965" s="2">
        <v>15300.3363458452</v>
      </c>
      <c r="AI1965" s="2">
        <v>11576.8631794713</v>
      </c>
      <c r="AJ1965" s="2">
        <v>16825.539651655199</v>
      </c>
      <c r="AK1965" s="2">
        <v>3415.4350026403499</v>
      </c>
      <c r="AL1965" s="2">
        <v>2636.9585688310099</v>
      </c>
      <c r="AM1965" s="2">
        <v>3903.9521104331702</v>
      </c>
      <c r="AN1965" s="2">
        <v>3537.7742934678399</v>
      </c>
      <c r="AO1965" s="2">
        <v>2804.66444822929</v>
      </c>
      <c r="AP1965" s="2">
        <v>2901.2899429921599</v>
      </c>
    </row>
    <row r="1966" spans="1:42" ht="14.5" x14ac:dyDescent="0.35">
      <c r="A1966" s="2" t="s">
        <v>13214</v>
      </c>
      <c r="B1966" s="2">
        <v>347.09738172302099</v>
      </c>
      <c r="C1966" s="2">
        <v>1.7892666666666699</v>
      </c>
      <c r="D1966" s="2" t="s">
        <v>70</v>
      </c>
      <c r="E1966" s="2" t="s">
        <v>13215</v>
      </c>
      <c r="F1966" s="2">
        <v>48022</v>
      </c>
      <c r="G1966" s="3" t="str">
        <f>HYPERLINK("http://funmeta.oebiotech.com/network/48022", "http://funmeta.oebiotech.com/network/48022")</f>
        <v>http://funmeta.oebiotech.com/network/48022</v>
      </c>
      <c r="H1966" s="2" t="s">
        <v>13216</v>
      </c>
      <c r="I1966" s="2">
        <v>338</v>
      </c>
      <c r="J1966" s="2"/>
      <c r="K1966" s="2">
        <v>16119</v>
      </c>
      <c r="L1966" s="2" t="s">
        <v>13217</v>
      </c>
      <c r="M1966" s="2" t="s">
        <v>13218</v>
      </c>
      <c r="N1966" s="2" t="s">
        <v>13219</v>
      </c>
      <c r="O1966" s="2">
        <v>8742</v>
      </c>
      <c r="P1966" s="2" t="s">
        <v>13220</v>
      </c>
      <c r="Q1966" s="2" t="s">
        <v>13221</v>
      </c>
      <c r="R1966" s="2" t="s">
        <v>13222</v>
      </c>
      <c r="S1966" s="2" t="s">
        <v>79</v>
      </c>
      <c r="T1966" s="2" t="s">
        <v>80</v>
      </c>
      <c r="U1966" s="2" t="s">
        <v>2021</v>
      </c>
      <c r="V1966" s="2" t="s">
        <v>42</v>
      </c>
      <c r="W1966" s="2">
        <v>51.5</v>
      </c>
      <c r="X1966" s="2">
        <v>66</v>
      </c>
      <c r="Y1966" s="2" t="s">
        <v>560</v>
      </c>
      <c r="Z1966" s="2" t="s">
        <v>13223</v>
      </c>
      <c r="AA1966" s="2">
        <v>-2.84017793980383</v>
      </c>
      <c r="AB1966" s="2">
        <v>0.41211027267274603</v>
      </c>
      <c r="AC1966" s="2">
        <v>68951.480800780701</v>
      </c>
      <c r="AD1966" s="2">
        <v>80622.909142609496</v>
      </c>
      <c r="AE1966" s="2">
        <v>69199.759065321705</v>
      </c>
      <c r="AF1966" s="2">
        <v>64671.401476665502</v>
      </c>
      <c r="AG1966" s="2">
        <v>68755.126366563301</v>
      </c>
      <c r="AH1966" s="2">
        <v>70117.9396562334</v>
      </c>
      <c r="AI1966" s="2">
        <v>71022.827294468196</v>
      </c>
      <c r="AJ1966" s="2">
        <v>69941.830945431895</v>
      </c>
      <c r="AK1966" s="2">
        <v>81461.542696890596</v>
      </c>
      <c r="AL1966" s="2">
        <v>78400.558027837702</v>
      </c>
      <c r="AM1966" s="2">
        <v>81965.617902252605</v>
      </c>
      <c r="AN1966" s="2">
        <v>80206.211872004395</v>
      </c>
      <c r="AO1966" s="2">
        <v>78579.157346028704</v>
      </c>
      <c r="AP1966" s="2">
        <v>83124.367010642905</v>
      </c>
    </row>
    <row r="1967" spans="1:42" ht="14.5" x14ac:dyDescent="0.35">
      <c r="A1967" s="2" t="s">
        <v>13224</v>
      </c>
      <c r="B1967" s="2">
        <v>777.34880626408199</v>
      </c>
      <c r="C1967" s="2">
        <v>5.8825333333333303</v>
      </c>
      <c r="D1967" s="2" t="s">
        <v>34</v>
      </c>
      <c r="E1967" s="2" t="s">
        <v>13225</v>
      </c>
      <c r="F1967" s="2">
        <v>205520</v>
      </c>
      <c r="G1967" s="3" t="str">
        <f>HYPERLINK("http://funmeta.oebiotech.com/network/205520", "http://funmeta.oebiotech.com/network/205520")</f>
        <v>http://funmeta.oebiotech.com/network/205520</v>
      </c>
      <c r="H1967" s="2" t="s">
        <v>13226</v>
      </c>
      <c r="I1967" s="2"/>
      <c r="J1967" s="2"/>
      <c r="K1967" s="2"/>
      <c r="L1967" s="2"/>
      <c r="M1967" s="2"/>
      <c r="N1967" s="2"/>
      <c r="O1967" s="2">
        <v>74349335</v>
      </c>
      <c r="P1967" s="2"/>
      <c r="Q1967" s="2" t="s">
        <v>13227</v>
      </c>
      <c r="R1967" s="2" t="s">
        <v>13228</v>
      </c>
      <c r="S1967" s="2" t="s">
        <v>89</v>
      </c>
      <c r="T1967" s="2" t="s">
        <v>90</v>
      </c>
      <c r="U1967" s="2" t="s">
        <v>99</v>
      </c>
      <c r="V1967" s="2" t="s">
        <v>59</v>
      </c>
      <c r="W1967" s="2">
        <v>36.1</v>
      </c>
      <c r="X1967" s="2">
        <v>0</v>
      </c>
      <c r="Y1967" s="2" t="s">
        <v>340</v>
      </c>
      <c r="Z1967" s="2" t="s">
        <v>13229</v>
      </c>
      <c r="AA1967" s="2">
        <v>0.42907789410378899</v>
      </c>
      <c r="AB1967" s="2">
        <v>0.41204215798856197</v>
      </c>
      <c r="AC1967" s="2">
        <v>98870.142146567407</v>
      </c>
      <c r="AD1967" s="2">
        <v>113353.70306133</v>
      </c>
      <c r="AE1967" s="2">
        <v>94180.020752928001</v>
      </c>
      <c r="AF1967" s="2">
        <v>104823.40995929801</v>
      </c>
      <c r="AG1967" s="2">
        <v>100706.393557788</v>
      </c>
      <c r="AH1967" s="2">
        <v>98615.507487097697</v>
      </c>
      <c r="AI1967" s="2">
        <v>95292.639220531899</v>
      </c>
      <c r="AJ1967" s="2">
        <v>99602.881901760906</v>
      </c>
      <c r="AK1967" s="2">
        <v>102853.84757513599</v>
      </c>
      <c r="AL1967" s="2">
        <v>116366.490324667</v>
      </c>
      <c r="AM1967" s="2">
        <v>127063.581203273</v>
      </c>
      <c r="AN1967" s="2">
        <v>116214.004164201</v>
      </c>
      <c r="AO1967" s="2">
        <v>109882.394503478</v>
      </c>
      <c r="AP1967" s="2">
        <v>107741.900597225</v>
      </c>
    </row>
    <row r="1968" spans="1:42" ht="14.5" x14ac:dyDescent="0.35">
      <c r="A1968" s="2" t="s">
        <v>13230</v>
      </c>
      <c r="B1968" s="2">
        <v>273.14820855317998</v>
      </c>
      <c r="C1968" s="2">
        <v>5.2337999999999996</v>
      </c>
      <c r="D1968" s="2" t="s">
        <v>34</v>
      </c>
      <c r="E1968" s="2" t="s">
        <v>13231</v>
      </c>
      <c r="F1968" s="2">
        <v>201009</v>
      </c>
      <c r="G1968" s="3" t="str">
        <f>HYPERLINK("http://funmeta.oebiotech.com/network/201009", "http://funmeta.oebiotech.com/network/201009")</f>
        <v>http://funmeta.oebiotech.com/network/201009</v>
      </c>
      <c r="H1968" s="2" t="s">
        <v>13232</v>
      </c>
      <c r="I1968" s="2"/>
      <c r="J1968" s="2"/>
      <c r="K1968" s="2"/>
      <c r="L1968" s="2"/>
      <c r="M1968" s="2"/>
      <c r="N1968" s="2"/>
      <c r="O1968" s="2">
        <v>11673291</v>
      </c>
      <c r="P1968" s="2"/>
      <c r="Q1968" s="2" t="s">
        <v>13233</v>
      </c>
      <c r="R1968" s="2" t="s">
        <v>13234</v>
      </c>
      <c r="S1968" s="2" t="s">
        <v>491</v>
      </c>
      <c r="T1968" s="2" t="s">
        <v>7431</v>
      </c>
      <c r="U1968" s="2" t="s">
        <v>7432</v>
      </c>
      <c r="V1968" s="2" t="s">
        <v>59</v>
      </c>
      <c r="W1968" s="2">
        <v>38.4</v>
      </c>
      <c r="X1968" s="2">
        <v>0</v>
      </c>
      <c r="Y1968" s="2" t="s">
        <v>43</v>
      </c>
      <c r="Z1968" s="2" t="s">
        <v>13235</v>
      </c>
      <c r="AA1968" s="2">
        <v>4.82174700120102</v>
      </c>
      <c r="AB1968" s="2">
        <v>0.41183899410972602</v>
      </c>
      <c r="AC1968" s="2">
        <v>25117.8411464889</v>
      </c>
      <c r="AD1968" s="2">
        <v>12967.259756715801</v>
      </c>
      <c r="AE1968" s="2">
        <v>24449.484961699502</v>
      </c>
      <c r="AF1968" s="2">
        <v>23684.737828394798</v>
      </c>
      <c r="AG1968" s="2">
        <v>26119.040981066901</v>
      </c>
      <c r="AH1968" s="2">
        <v>20894.485954896001</v>
      </c>
      <c r="AI1968" s="2">
        <v>23196.987986838602</v>
      </c>
      <c r="AJ1968" s="2">
        <v>32362.309166037601</v>
      </c>
      <c r="AK1968" s="2">
        <v>12772.379830849801</v>
      </c>
      <c r="AL1968" s="2">
        <v>15572.6684149634</v>
      </c>
      <c r="AM1968" s="2">
        <v>12201.593729754501</v>
      </c>
      <c r="AN1968" s="2">
        <v>13566.786547234</v>
      </c>
      <c r="AO1968" s="2">
        <v>11510.898367539199</v>
      </c>
      <c r="AP1968" s="2">
        <v>12179.231649954099</v>
      </c>
    </row>
    <row r="1969" spans="1:42" ht="14.5" x14ac:dyDescent="0.35">
      <c r="A1969" s="2" t="s">
        <v>13236</v>
      </c>
      <c r="B1969" s="2">
        <v>187.133067092674</v>
      </c>
      <c r="C1969" s="2">
        <v>7.3181333333333303</v>
      </c>
      <c r="D1969" s="2" t="s">
        <v>70</v>
      </c>
      <c r="E1969" s="2" t="s">
        <v>13237</v>
      </c>
      <c r="F1969" s="2">
        <v>1731</v>
      </c>
      <c r="G1969" s="3" t="str">
        <f>HYPERLINK("http://funmeta.oebiotech.com/network/1731", "http://funmeta.oebiotech.com/network/1731")</f>
        <v>http://funmeta.oebiotech.com/network/1731</v>
      </c>
      <c r="H1969" s="2" t="s">
        <v>13238</v>
      </c>
      <c r="I1969" s="2">
        <v>74534</v>
      </c>
      <c r="J1969" s="2" t="s">
        <v>13239</v>
      </c>
      <c r="K1969" s="2"/>
      <c r="L1969" s="2"/>
      <c r="M1969" s="2"/>
      <c r="N1969" s="2"/>
      <c r="O1969" s="2">
        <v>4575239</v>
      </c>
      <c r="P1969" s="2" t="s">
        <v>13240</v>
      </c>
      <c r="Q1969" s="2" t="s">
        <v>13241</v>
      </c>
      <c r="R1969" s="2" t="s">
        <v>13242</v>
      </c>
      <c r="S1969" s="2" t="s">
        <v>89</v>
      </c>
      <c r="T1969" s="2" t="s">
        <v>4218</v>
      </c>
      <c r="U1969" s="2" t="s">
        <v>5830</v>
      </c>
      <c r="V1969" s="2" t="s">
        <v>59</v>
      </c>
      <c r="W1969" s="2">
        <v>41</v>
      </c>
      <c r="X1969" s="2">
        <v>12.7</v>
      </c>
      <c r="Y1969" s="2" t="s">
        <v>118</v>
      </c>
      <c r="Z1969" s="2" t="s">
        <v>13243</v>
      </c>
      <c r="AA1969" s="2">
        <v>-4.7888245288569298</v>
      </c>
      <c r="AB1969" s="2">
        <v>0.41145813743295601</v>
      </c>
      <c r="AC1969" s="2">
        <v>72396.716864386006</v>
      </c>
      <c r="AD1969" s="2">
        <v>85069.099296868793</v>
      </c>
      <c r="AE1969" s="2">
        <v>72351.222837347304</v>
      </c>
      <c r="AF1969" s="2">
        <v>72901.384995098706</v>
      </c>
      <c r="AG1969" s="2">
        <v>72286.970812172003</v>
      </c>
      <c r="AH1969" s="2">
        <v>74156.072756541893</v>
      </c>
      <c r="AI1969" s="2">
        <v>72794.458059053693</v>
      </c>
      <c r="AJ1969" s="2">
        <v>69890.191726102494</v>
      </c>
      <c r="AK1969" s="2">
        <v>90608.613612252797</v>
      </c>
      <c r="AL1969" s="2">
        <v>90285.420241437299</v>
      </c>
      <c r="AM1969" s="2">
        <v>87372.217064059805</v>
      </c>
      <c r="AN1969" s="2">
        <v>81651.494684754507</v>
      </c>
      <c r="AO1969" s="2">
        <v>82552.418411699196</v>
      </c>
      <c r="AP1969" s="2">
        <v>77944.431767008995</v>
      </c>
    </row>
    <row r="1970" spans="1:42" ht="14.5" x14ac:dyDescent="0.35">
      <c r="A1970" s="2" t="s">
        <v>13244</v>
      </c>
      <c r="B1970" s="2">
        <v>399.07354610513698</v>
      </c>
      <c r="C1970" s="2">
        <v>4.2938999999999998</v>
      </c>
      <c r="D1970" s="2" t="s">
        <v>34</v>
      </c>
      <c r="E1970" s="2" t="s">
        <v>13245</v>
      </c>
      <c r="F1970" s="2">
        <v>258133</v>
      </c>
      <c r="G1970" s="3" t="str">
        <f>HYPERLINK("http://funmeta.oebiotech.com/network/258133", "http://funmeta.oebiotech.com/network/258133")</f>
        <v>http://funmeta.oebiotech.com/network/258133</v>
      </c>
      <c r="H1970" s="2"/>
      <c r="I1970" s="2">
        <v>2551</v>
      </c>
      <c r="J1970" s="2"/>
      <c r="K1970" s="2"/>
      <c r="L1970" s="2" t="s">
        <v>13246</v>
      </c>
      <c r="M1970" s="2"/>
      <c r="N1970" s="2"/>
      <c r="O1970" s="2">
        <v>5339</v>
      </c>
      <c r="P1970" s="2" t="s">
        <v>13247</v>
      </c>
      <c r="Q1970" s="2" t="s">
        <v>13248</v>
      </c>
      <c r="R1970" s="2" t="s">
        <v>13249</v>
      </c>
      <c r="S1970" s="2" t="s">
        <v>491</v>
      </c>
      <c r="T1970" s="2" t="s">
        <v>13250</v>
      </c>
      <c r="U1970" s="2" t="s">
        <v>41</v>
      </c>
      <c r="V1970" s="2" t="s">
        <v>59</v>
      </c>
      <c r="W1970" s="2">
        <v>40.9</v>
      </c>
      <c r="X1970" s="2">
        <v>20.3</v>
      </c>
      <c r="Y1970" s="2" t="s">
        <v>394</v>
      </c>
      <c r="Z1970" s="2" t="s">
        <v>13251</v>
      </c>
      <c r="AA1970" s="2">
        <v>-5.5791726684301803</v>
      </c>
      <c r="AB1970" s="2">
        <v>0.41066292420499201</v>
      </c>
      <c r="AC1970" s="2">
        <v>73322.468143751699</v>
      </c>
      <c r="AD1970" s="2">
        <v>86387.052048548707</v>
      </c>
      <c r="AE1970" s="2">
        <v>73403.037754521996</v>
      </c>
      <c r="AF1970" s="2">
        <v>65602.732305717102</v>
      </c>
      <c r="AG1970" s="2">
        <v>76694.020425223993</v>
      </c>
      <c r="AH1970" s="2">
        <v>73304.503647552701</v>
      </c>
      <c r="AI1970" s="2">
        <v>74481.308430468707</v>
      </c>
      <c r="AJ1970" s="2">
        <v>76449.206299025594</v>
      </c>
      <c r="AK1970" s="2">
        <v>90641.936447246699</v>
      </c>
      <c r="AL1970" s="2">
        <v>90768.820775099899</v>
      </c>
      <c r="AM1970" s="2">
        <v>80923.965688740107</v>
      </c>
      <c r="AN1970" s="2">
        <v>81762.926546449598</v>
      </c>
      <c r="AO1970" s="2">
        <v>90806.505107093704</v>
      </c>
      <c r="AP1970" s="2">
        <v>83418.157726662394</v>
      </c>
    </row>
    <row r="1971" spans="1:42" ht="14.5" x14ac:dyDescent="0.35">
      <c r="A1971" s="2" t="s">
        <v>13252</v>
      </c>
      <c r="B1971" s="2">
        <v>481.265236788403</v>
      </c>
      <c r="C1971" s="2">
        <v>4.4179500000000003</v>
      </c>
      <c r="D1971" s="2" t="s">
        <v>70</v>
      </c>
      <c r="E1971" s="2" t="s">
        <v>13253</v>
      </c>
      <c r="F1971" s="2">
        <v>210604</v>
      </c>
      <c r="G1971" s="3" t="str">
        <f>HYPERLINK("http://funmeta.oebiotech.com/network/210604", "http://funmeta.oebiotech.com/network/210604")</f>
        <v>http://funmeta.oebiotech.com/network/210604</v>
      </c>
      <c r="H1971" s="2" t="s">
        <v>13254</v>
      </c>
      <c r="I1971" s="2">
        <v>44589</v>
      </c>
      <c r="J1971" s="2"/>
      <c r="K1971" s="2">
        <v>26276</v>
      </c>
      <c r="L1971" s="2" t="s">
        <v>13255</v>
      </c>
      <c r="M1971" s="2"/>
      <c r="N1971" s="2"/>
      <c r="O1971" s="2">
        <v>4929</v>
      </c>
      <c r="P1971" s="2" t="s">
        <v>13256</v>
      </c>
      <c r="Q1971" s="2" t="s">
        <v>13257</v>
      </c>
      <c r="R1971" s="2" t="s">
        <v>13258</v>
      </c>
      <c r="S1971" s="2" t="s">
        <v>491</v>
      </c>
      <c r="T1971" s="2" t="s">
        <v>6511</v>
      </c>
      <c r="U1971" s="2" t="s">
        <v>13259</v>
      </c>
      <c r="V1971" s="2" t="s">
        <v>59</v>
      </c>
      <c r="W1971" s="2">
        <v>38.700000000000003</v>
      </c>
      <c r="X1971" s="2">
        <v>0</v>
      </c>
      <c r="Y1971" s="2" t="s">
        <v>560</v>
      </c>
      <c r="Z1971" s="2" t="s">
        <v>13260</v>
      </c>
      <c r="AA1971" s="2">
        <v>0.58048903442263899</v>
      </c>
      <c r="AB1971" s="2">
        <v>0.410650783664534</v>
      </c>
      <c r="AC1971" s="2">
        <v>40277.758635524297</v>
      </c>
      <c r="AD1971" s="2">
        <v>52073.674600869497</v>
      </c>
      <c r="AE1971" s="2">
        <v>43095.3378602542</v>
      </c>
      <c r="AF1971" s="2">
        <v>34792.240517918297</v>
      </c>
      <c r="AG1971" s="2">
        <v>40100.0744917544</v>
      </c>
      <c r="AH1971" s="2">
        <v>38991.013016420897</v>
      </c>
      <c r="AI1971" s="2">
        <v>41540.631169102402</v>
      </c>
      <c r="AJ1971" s="2">
        <v>43147.254757695497</v>
      </c>
      <c r="AK1971" s="2">
        <v>50037.464162022799</v>
      </c>
      <c r="AL1971" s="2">
        <v>51450.567582460797</v>
      </c>
      <c r="AM1971" s="2">
        <v>51909.644235276799</v>
      </c>
      <c r="AN1971" s="2">
        <v>53463.904178434903</v>
      </c>
      <c r="AO1971" s="2">
        <v>51590.282154943197</v>
      </c>
      <c r="AP1971" s="2">
        <v>53990.185292078502</v>
      </c>
    </row>
    <row r="1972" spans="1:42" ht="14.5" x14ac:dyDescent="0.35">
      <c r="A1972" s="2" t="s">
        <v>13261</v>
      </c>
      <c r="B1972" s="2">
        <v>134.09632321738499</v>
      </c>
      <c r="C1972" s="2">
        <v>6.6395166666666698</v>
      </c>
      <c r="D1972" s="2" t="s">
        <v>34</v>
      </c>
      <c r="E1972" s="2" t="s">
        <v>13262</v>
      </c>
      <c r="F1972" s="2">
        <v>257819</v>
      </c>
      <c r="G1972" s="3" t="str">
        <f>HYPERLINK("http://funmeta.oebiotech.com/network/257819", "http://funmeta.oebiotech.com/network/257819")</f>
        <v>http://funmeta.oebiotech.com/network/257819</v>
      </c>
      <c r="H1972" s="2"/>
      <c r="I1972" s="2">
        <v>812</v>
      </c>
      <c r="J1972" s="2"/>
      <c r="K1972" s="2"/>
      <c r="L1972" s="2"/>
      <c r="M1972" s="2"/>
      <c r="N1972" s="2"/>
      <c r="O1972" s="2">
        <v>23305</v>
      </c>
      <c r="P1972" s="2" t="s">
        <v>13263</v>
      </c>
      <c r="Q1972" s="2" t="s">
        <v>13264</v>
      </c>
      <c r="R1972" s="2" t="s">
        <v>13265</v>
      </c>
      <c r="S1972" s="2" t="s">
        <v>491</v>
      </c>
      <c r="T1972" s="2" t="s">
        <v>2184</v>
      </c>
      <c r="U1972" s="2" t="s">
        <v>13266</v>
      </c>
      <c r="V1972" s="2" t="s">
        <v>59</v>
      </c>
      <c r="W1972" s="2">
        <v>45</v>
      </c>
      <c r="X1972" s="2">
        <v>33.1</v>
      </c>
      <c r="Y1972" s="2" t="s">
        <v>394</v>
      </c>
      <c r="Z1972" s="2" t="s">
        <v>8532</v>
      </c>
      <c r="AA1972" s="2">
        <v>-0.77070283925632899</v>
      </c>
      <c r="AB1972" s="2">
        <v>0.41041128483127498</v>
      </c>
      <c r="AC1972" s="2">
        <v>60856.955544176897</v>
      </c>
      <c r="AD1972" s="2">
        <v>72574.882505430403</v>
      </c>
      <c r="AE1972" s="2">
        <v>63199.733928467504</v>
      </c>
      <c r="AF1972" s="2">
        <v>62837.836198209799</v>
      </c>
      <c r="AG1972" s="2">
        <v>61917.029250783104</v>
      </c>
      <c r="AH1972" s="2">
        <v>56814.824479884403</v>
      </c>
      <c r="AI1972" s="2">
        <v>61734.880232202398</v>
      </c>
      <c r="AJ1972" s="2">
        <v>58637.429175513898</v>
      </c>
      <c r="AK1972" s="2">
        <v>70919.516782880601</v>
      </c>
      <c r="AL1972" s="2">
        <v>75157.926551717595</v>
      </c>
      <c r="AM1972" s="2">
        <v>74352.449019480002</v>
      </c>
      <c r="AN1972" s="2">
        <v>72070.479786067299</v>
      </c>
      <c r="AO1972" s="2">
        <v>70489.165725431594</v>
      </c>
      <c r="AP1972" s="2">
        <v>72459.757167005504</v>
      </c>
    </row>
    <row r="1973" spans="1:42" ht="14.5" x14ac:dyDescent="0.35">
      <c r="A1973" s="2" t="s">
        <v>13267</v>
      </c>
      <c r="B1973" s="2">
        <v>256.08124861506701</v>
      </c>
      <c r="C1973" s="2">
        <v>0.75019999999999998</v>
      </c>
      <c r="D1973" s="2" t="s">
        <v>34</v>
      </c>
      <c r="E1973" s="2" t="s">
        <v>13268</v>
      </c>
      <c r="F1973" s="2">
        <v>266712</v>
      </c>
      <c r="G1973" s="3" t="str">
        <f>HYPERLINK("http://funmeta.oebiotech.com/network/266712", "http://funmeta.oebiotech.com/network/266712")</f>
        <v>http://funmeta.oebiotech.com/network/266712</v>
      </c>
      <c r="H1973" s="2"/>
      <c r="I1973" s="2">
        <v>43821</v>
      </c>
      <c r="J1973" s="2"/>
      <c r="K1973" s="2"/>
      <c r="L1973" s="2"/>
      <c r="M1973" s="2"/>
      <c r="N1973" s="2"/>
      <c r="O1973" s="2">
        <v>68093</v>
      </c>
      <c r="P1973" s="2" t="s">
        <v>13269</v>
      </c>
      <c r="Q1973" s="2" t="s">
        <v>13270</v>
      </c>
      <c r="R1973" s="2" t="s">
        <v>13271</v>
      </c>
      <c r="S1973" s="2" t="s">
        <v>148</v>
      </c>
      <c r="T1973" s="2" t="s">
        <v>149</v>
      </c>
      <c r="U1973" s="2" t="s">
        <v>1593</v>
      </c>
      <c r="V1973" s="2" t="s">
        <v>59</v>
      </c>
      <c r="W1973" s="2">
        <v>38.799999999999997</v>
      </c>
      <c r="X1973" s="2">
        <v>0</v>
      </c>
      <c r="Y1973" s="2" t="s">
        <v>43</v>
      </c>
      <c r="Z1973" s="2" t="s">
        <v>13272</v>
      </c>
      <c r="AA1973" s="2">
        <v>-1.32306652326171</v>
      </c>
      <c r="AB1973" s="2">
        <v>0.41032514200659598</v>
      </c>
      <c r="AC1973" s="2">
        <v>58500.741111925701</v>
      </c>
      <c r="AD1973" s="2">
        <v>45174.087882009502</v>
      </c>
      <c r="AE1973" s="2">
        <v>60644.935664037599</v>
      </c>
      <c r="AF1973" s="2">
        <v>70960.069671335499</v>
      </c>
      <c r="AG1973" s="2">
        <v>58508.914430299199</v>
      </c>
      <c r="AH1973" s="2">
        <v>55850.418852045703</v>
      </c>
      <c r="AI1973" s="2">
        <v>50376.375425118298</v>
      </c>
      <c r="AJ1973" s="2">
        <v>54663.732628717698</v>
      </c>
      <c r="AK1973" s="2">
        <v>45436.949046720103</v>
      </c>
      <c r="AL1973" s="2">
        <v>46574.0272515299</v>
      </c>
      <c r="AM1973" s="2">
        <v>46650.338462677602</v>
      </c>
      <c r="AN1973" s="2">
        <v>44398.912639358299</v>
      </c>
      <c r="AO1973" s="2">
        <v>45585.62063713</v>
      </c>
      <c r="AP1973" s="2">
        <v>42398.679254641298</v>
      </c>
    </row>
    <row r="1974" spans="1:42" ht="14.5" x14ac:dyDescent="0.35">
      <c r="A1974" s="2" t="s">
        <v>13273</v>
      </c>
      <c r="B1974" s="2">
        <v>375.214261804579</v>
      </c>
      <c r="C1974" s="2">
        <v>4.5485499999999996</v>
      </c>
      <c r="D1974" s="2" t="s">
        <v>34</v>
      </c>
      <c r="E1974" s="2" t="s">
        <v>13274</v>
      </c>
      <c r="F1974" s="2">
        <v>3659</v>
      </c>
      <c r="G1974" s="3" t="str">
        <f>HYPERLINK("http://funmeta.oebiotech.com/network/3659", "http://funmeta.oebiotech.com/network/3659")</f>
        <v>http://funmeta.oebiotech.com/network/3659</v>
      </c>
      <c r="H1974" s="2" t="s">
        <v>13275</v>
      </c>
      <c r="I1974" s="2">
        <v>2311</v>
      </c>
      <c r="J1974" s="2" t="s">
        <v>13276</v>
      </c>
      <c r="K1974" s="2">
        <v>15550</v>
      </c>
      <c r="L1974" s="2" t="s">
        <v>13277</v>
      </c>
      <c r="M1974" s="2"/>
      <c r="N1974" s="2"/>
      <c r="O1974" s="2">
        <v>5280711</v>
      </c>
      <c r="P1974" s="2" t="s">
        <v>13278</v>
      </c>
      <c r="Q1974" s="2" t="s">
        <v>13279</v>
      </c>
      <c r="R1974" s="2" t="s">
        <v>13280</v>
      </c>
      <c r="S1974" s="2" t="s">
        <v>50</v>
      </c>
      <c r="T1974" s="2" t="s">
        <v>229</v>
      </c>
      <c r="U1974" s="2" t="s">
        <v>766</v>
      </c>
      <c r="V1974" s="2" t="s">
        <v>59</v>
      </c>
      <c r="W1974" s="2">
        <v>38.4</v>
      </c>
      <c r="X1974" s="2">
        <v>0</v>
      </c>
      <c r="Y1974" s="2" t="s">
        <v>323</v>
      </c>
      <c r="Z1974" s="2" t="s">
        <v>5018</v>
      </c>
      <c r="AA1974" s="2">
        <v>0.19022086425670101</v>
      </c>
      <c r="AB1974" s="2">
        <v>0.40890908232582701</v>
      </c>
      <c r="AC1974" s="2">
        <v>188138.710157789</v>
      </c>
      <c r="AD1974" s="2">
        <v>171825.45226580501</v>
      </c>
      <c r="AE1974" s="2">
        <v>185950.880995471</v>
      </c>
      <c r="AF1974" s="2">
        <v>192994.13252742201</v>
      </c>
      <c r="AG1974" s="2">
        <v>190599.43634224701</v>
      </c>
      <c r="AH1974" s="2">
        <v>177063.620507104</v>
      </c>
      <c r="AI1974" s="2">
        <v>191657.55597790299</v>
      </c>
      <c r="AJ1974" s="2">
        <v>190566.63459659001</v>
      </c>
      <c r="AK1974" s="2">
        <v>183849.86950015699</v>
      </c>
      <c r="AL1974" s="2">
        <v>185748.05567711001</v>
      </c>
      <c r="AM1974" s="2">
        <v>169420.63963028099</v>
      </c>
      <c r="AN1974" s="2">
        <v>158586.03493225001</v>
      </c>
      <c r="AO1974" s="2">
        <v>177689.62990489599</v>
      </c>
      <c r="AP1974" s="2">
        <v>155658.483950136</v>
      </c>
    </row>
    <row r="1975" spans="1:42" ht="14.5" x14ac:dyDescent="0.35">
      <c r="A1975" s="2" t="s">
        <v>13281</v>
      </c>
      <c r="B1975" s="2">
        <v>571.19905198253002</v>
      </c>
      <c r="C1975" s="2">
        <v>5.84148333333333</v>
      </c>
      <c r="D1975" s="2" t="s">
        <v>70</v>
      </c>
      <c r="E1975" s="2" t="s">
        <v>13282</v>
      </c>
      <c r="F1975" s="2">
        <v>208244</v>
      </c>
      <c r="G1975" s="3" t="str">
        <f>HYPERLINK("http://funmeta.oebiotech.com/network/208244", "http://funmeta.oebiotech.com/network/208244")</f>
        <v>http://funmeta.oebiotech.com/network/208244</v>
      </c>
      <c r="H1975" s="2" t="s">
        <v>13283</v>
      </c>
      <c r="I1975" s="2"/>
      <c r="J1975" s="2"/>
      <c r="K1975" s="2"/>
      <c r="L1975" s="2"/>
      <c r="M1975" s="2"/>
      <c r="N1975" s="2"/>
      <c r="O1975" s="2">
        <v>9916099</v>
      </c>
      <c r="P1975" s="2"/>
      <c r="Q1975" s="2" t="s">
        <v>13284</v>
      </c>
      <c r="R1975" s="2" t="s">
        <v>13285</v>
      </c>
      <c r="S1975" s="2" t="s">
        <v>491</v>
      </c>
      <c r="T1975" s="2" t="s">
        <v>5190</v>
      </c>
      <c r="U1975" s="2" t="s">
        <v>5191</v>
      </c>
      <c r="V1975" s="2" t="s">
        <v>59</v>
      </c>
      <c r="W1975" s="2">
        <v>40.799999999999997</v>
      </c>
      <c r="X1975" s="2">
        <v>19.600000000000001</v>
      </c>
      <c r="Y1975" s="2" t="s">
        <v>118</v>
      </c>
      <c r="Z1975" s="2" t="s">
        <v>13286</v>
      </c>
      <c r="AA1975" s="2">
        <v>2.9013030172216898</v>
      </c>
      <c r="AB1975" s="2">
        <v>0.40888074957075898</v>
      </c>
      <c r="AC1975" s="2">
        <v>48570.185188692398</v>
      </c>
      <c r="AD1975" s="2">
        <v>36723.884615591298</v>
      </c>
      <c r="AE1975" s="2">
        <v>50373.570841722401</v>
      </c>
      <c r="AF1975" s="2">
        <v>50600.577604813203</v>
      </c>
      <c r="AG1975" s="2">
        <v>52552.249692603298</v>
      </c>
      <c r="AH1975" s="2">
        <v>43161.330234578003</v>
      </c>
      <c r="AI1975" s="2">
        <v>45814.852443196498</v>
      </c>
      <c r="AJ1975" s="2">
        <v>48918.530315240903</v>
      </c>
      <c r="AK1975" s="2">
        <v>35378.032959443102</v>
      </c>
      <c r="AL1975" s="2">
        <v>37073.703983848303</v>
      </c>
      <c r="AM1975" s="2">
        <v>38265.523287009797</v>
      </c>
      <c r="AN1975" s="2">
        <v>38871.147488765302</v>
      </c>
      <c r="AO1975" s="2">
        <v>34538.941744333599</v>
      </c>
      <c r="AP1975" s="2">
        <v>36215.958230147597</v>
      </c>
    </row>
    <row r="1976" spans="1:42" ht="14.5" x14ac:dyDescent="0.35">
      <c r="A1976" s="2" t="s">
        <v>13287</v>
      </c>
      <c r="B1976" s="2">
        <v>640.03011826485795</v>
      </c>
      <c r="C1976" s="2">
        <v>5.31823333333333</v>
      </c>
      <c r="D1976" s="2" t="s">
        <v>34</v>
      </c>
      <c r="E1976" s="2" t="s">
        <v>13288</v>
      </c>
      <c r="F1976" s="2">
        <v>257178</v>
      </c>
      <c r="G1976" s="3" t="str">
        <f>HYPERLINK("http://funmeta.oebiotech.com/network/257178", "http://funmeta.oebiotech.com/network/257178")</f>
        <v>http://funmeta.oebiotech.com/network/257178</v>
      </c>
      <c r="H1976" s="2" t="s">
        <v>13289</v>
      </c>
      <c r="I1976" s="2"/>
      <c r="J1976" s="2"/>
      <c r="K1976" s="2"/>
      <c r="L1976" s="2"/>
      <c r="M1976" s="2"/>
      <c r="N1976" s="2"/>
      <c r="O1976" s="2"/>
      <c r="P1976" s="2"/>
      <c r="Q1976" s="2" t="s">
        <v>13290</v>
      </c>
      <c r="R1976" s="2" t="s">
        <v>13291</v>
      </c>
      <c r="S1976" s="2" t="s">
        <v>1444</v>
      </c>
      <c r="T1976" s="2" t="s">
        <v>4937</v>
      </c>
      <c r="U1976" s="2" t="s">
        <v>5723</v>
      </c>
      <c r="V1976" s="2" t="s">
        <v>59</v>
      </c>
      <c r="W1976" s="2">
        <v>36.299999999999997</v>
      </c>
      <c r="X1976" s="2">
        <v>0</v>
      </c>
      <c r="Y1976" s="2" t="s">
        <v>323</v>
      </c>
      <c r="Z1976" s="2" t="s">
        <v>13292</v>
      </c>
      <c r="AA1976" s="2">
        <v>0.21083674713668901</v>
      </c>
      <c r="AB1976" s="2">
        <v>0.40882681894776501</v>
      </c>
      <c r="AC1976" s="2">
        <v>140652.413182933</v>
      </c>
      <c r="AD1976" s="2">
        <v>124299.638753099</v>
      </c>
      <c r="AE1976" s="2">
        <v>133785.05484189701</v>
      </c>
      <c r="AF1976" s="2">
        <v>140926.16252601799</v>
      </c>
      <c r="AG1976" s="2">
        <v>127130.29310806</v>
      </c>
      <c r="AH1976" s="2">
        <v>156936.253682309</v>
      </c>
      <c r="AI1976" s="2">
        <v>146351.55524063201</v>
      </c>
      <c r="AJ1976" s="2">
        <v>138785.159698681</v>
      </c>
      <c r="AK1976" s="2">
        <v>133277.948525871</v>
      </c>
      <c r="AL1976" s="2">
        <v>118177.799170741</v>
      </c>
      <c r="AM1976" s="2">
        <v>130405.945215128</v>
      </c>
      <c r="AN1976" s="2">
        <v>113531.472541435</v>
      </c>
      <c r="AO1976" s="2">
        <v>116404.019682397</v>
      </c>
      <c r="AP1976" s="2">
        <v>134000.64738302</v>
      </c>
    </row>
    <row r="1977" spans="1:42" ht="14.5" x14ac:dyDescent="0.35">
      <c r="A1977" s="2" t="s">
        <v>13293</v>
      </c>
      <c r="B1977" s="2">
        <v>289.14295720059903</v>
      </c>
      <c r="C1977" s="2">
        <v>6.6569000000000003</v>
      </c>
      <c r="D1977" s="2" t="s">
        <v>34</v>
      </c>
      <c r="E1977" s="2" t="s">
        <v>13294</v>
      </c>
      <c r="F1977" s="2">
        <v>60236</v>
      </c>
      <c r="G1977" s="3" t="str">
        <f>HYPERLINK("http://funmeta.oebiotech.com/network/60236", "http://funmeta.oebiotech.com/network/60236")</f>
        <v>http://funmeta.oebiotech.com/network/60236</v>
      </c>
      <c r="H1977" s="2" t="s">
        <v>13295</v>
      </c>
      <c r="I1977" s="2"/>
      <c r="J1977" s="2"/>
      <c r="K1977" s="2"/>
      <c r="L1977" s="2"/>
      <c r="M1977" s="2"/>
      <c r="N1977" s="2"/>
      <c r="O1977" s="2">
        <v>131752003</v>
      </c>
      <c r="P1977" s="2" t="s">
        <v>13296</v>
      </c>
      <c r="Q1977" s="2" t="s">
        <v>13297</v>
      </c>
      <c r="R1977" s="2" t="s">
        <v>13298</v>
      </c>
      <c r="S1977" s="2" t="s">
        <v>491</v>
      </c>
      <c r="T1977" s="2" t="s">
        <v>5973</v>
      </c>
      <c r="U1977" s="2" t="s">
        <v>6296</v>
      </c>
      <c r="V1977" s="2" t="s">
        <v>42</v>
      </c>
      <c r="W1977" s="2">
        <v>47.3</v>
      </c>
      <c r="X1977" s="2">
        <v>54.8</v>
      </c>
      <c r="Y1977" s="2" t="s">
        <v>141</v>
      </c>
      <c r="Z1977" s="2" t="s">
        <v>6297</v>
      </c>
      <c r="AA1977" s="2">
        <v>-1.5624950511100699</v>
      </c>
      <c r="AB1977" s="2">
        <v>0.40836888566351698</v>
      </c>
      <c r="AC1977" s="2">
        <v>46398.816082914003</v>
      </c>
      <c r="AD1977" s="2">
        <v>34274.419072480901</v>
      </c>
      <c r="AE1977" s="2">
        <v>49677.8606761962</v>
      </c>
      <c r="AF1977" s="2">
        <v>46023.480048238103</v>
      </c>
      <c r="AG1977" s="2">
        <v>48769.844354669898</v>
      </c>
      <c r="AH1977" s="2">
        <v>45121.562560074002</v>
      </c>
      <c r="AI1977" s="2">
        <v>40967.480774666903</v>
      </c>
      <c r="AJ1977" s="2">
        <v>47832.6680836386</v>
      </c>
      <c r="AK1977" s="2">
        <v>28540.237214188899</v>
      </c>
      <c r="AL1977" s="2">
        <v>35561.300050251099</v>
      </c>
      <c r="AM1977" s="2">
        <v>34227.240380674601</v>
      </c>
      <c r="AN1977" s="2">
        <v>32477.8013849011</v>
      </c>
      <c r="AO1977" s="2">
        <v>37993.6393483336</v>
      </c>
      <c r="AP1977" s="2">
        <v>36846.296056536201</v>
      </c>
    </row>
    <row r="1978" spans="1:42" ht="14.5" x14ac:dyDescent="0.35">
      <c r="A1978" s="2" t="s">
        <v>13299</v>
      </c>
      <c r="B1978" s="2">
        <v>639.16945801448901</v>
      </c>
      <c r="C1978" s="2">
        <v>3.4080166666666698</v>
      </c>
      <c r="D1978" s="2" t="s">
        <v>70</v>
      </c>
      <c r="E1978" s="2" t="s">
        <v>13300</v>
      </c>
      <c r="F1978" s="2">
        <v>54264</v>
      </c>
      <c r="G1978" s="3" t="str">
        <f>HYPERLINK("http://funmeta.oebiotech.com/network/54264", "http://funmeta.oebiotech.com/network/54264")</f>
        <v>http://funmeta.oebiotech.com/network/54264</v>
      </c>
      <c r="H1978" s="2" t="s">
        <v>13301</v>
      </c>
      <c r="I1978" s="2">
        <v>86163</v>
      </c>
      <c r="J1978" s="2"/>
      <c r="K1978" s="2">
        <v>175082</v>
      </c>
      <c r="L1978" s="2"/>
      <c r="M1978" s="2"/>
      <c r="N1978" s="2"/>
      <c r="O1978" s="2">
        <v>102210469</v>
      </c>
      <c r="P1978" s="2"/>
      <c r="Q1978" s="2" t="s">
        <v>13302</v>
      </c>
      <c r="R1978" s="2" t="s">
        <v>13303</v>
      </c>
      <c r="S1978" s="2" t="s">
        <v>115</v>
      </c>
      <c r="T1978" s="2" t="s">
        <v>116</v>
      </c>
      <c r="U1978" s="2" t="s">
        <v>117</v>
      </c>
      <c r="V1978" s="2" t="s">
        <v>59</v>
      </c>
      <c r="W1978" s="2">
        <v>38.5</v>
      </c>
      <c r="X1978" s="2">
        <v>0.433</v>
      </c>
      <c r="Y1978" s="2" t="s">
        <v>560</v>
      </c>
      <c r="Z1978" s="2" t="s">
        <v>13049</v>
      </c>
      <c r="AA1978" s="2">
        <v>-3.86025283095909</v>
      </c>
      <c r="AB1978" s="2">
        <v>0.408345391769454</v>
      </c>
      <c r="AC1978" s="2">
        <v>47845.315555559799</v>
      </c>
      <c r="AD1978" s="2">
        <v>34739.500444767298</v>
      </c>
      <c r="AE1978" s="2">
        <v>56168.683782821798</v>
      </c>
      <c r="AF1978" s="2">
        <v>41933.560327740597</v>
      </c>
      <c r="AG1978" s="2">
        <v>47262.754653193602</v>
      </c>
      <c r="AH1978" s="2">
        <v>45621.056276342402</v>
      </c>
      <c r="AI1978" s="2">
        <v>44119.874652809202</v>
      </c>
      <c r="AJ1978" s="2">
        <v>51965.9636404513</v>
      </c>
      <c r="AK1978" s="2">
        <v>34205.419097087797</v>
      </c>
      <c r="AL1978" s="2">
        <v>28989.633257068301</v>
      </c>
      <c r="AM1978" s="2">
        <v>34379.546921768298</v>
      </c>
      <c r="AN1978" s="2">
        <v>39816.878373431202</v>
      </c>
      <c r="AO1978" s="2">
        <v>32099.477745968299</v>
      </c>
      <c r="AP1978" s="2">
        <v>38946.047273280201</v>
      </c>
    </row>
    <row r="1979" spans="1:42" ht="14.5" x14ac:dyDescent="0.35">
      <c r="A1979" s="2" t="s">
        <v>13304</v>
      </c>
      <c r="B1979" s="2">
        <v>347.18279577477699</v>
      </c>
      <c r="C1979" s="2">
        <v>8.2870000000000008</v>
      </c>
      <c r="D1979" s="2" t="s">
        <v>34</v>
      </c>
      <c r="E1979" s="2" t="s">
        <v>13305</v>
      </c>
      <c r="F1979" s="2">
        <v>60797</v>
      </c>
      <c r="G1979" s="3" t="str">
        <f>HYPERLINK("http://funmeta.oebiotech.com/network/60797", "http://funmeta.oebiotech.com/network/60797")</f>
        <v>http://funmeta.oebiotech.com/network/60797</v>
      </c>
      <c r="H1979" s="2" t="s">
        <v>13306</v>
      </c>
      <c r="I1979" s="2">
        <v>92130</v>
      </c>
      <c r="J1979" s="2"/>
      <c r="K1979" s="2">
        <v>168796</v>
      </c>
      <c r="L1979" s="2"/>
      <c r="M1979" s="2"/>
      <c r="N1979" s="2"/>
      <c r="O1979" s="2">
        <v>5362567</v>
      </c>
      <c r="P1979" s="2" t="s">
        <v>13307</v>
      </c>
      <c r="Q1979" s="2" t="s">
        <v>13308</v>
      </c>
      <c r="R1979" s="2" t="s">
        <v>13309</v>
      </c>
      <c r="S1979" s="2" t="s">
        <v>50</v>
      </c>
      <c r="T1979" s="2" t="s">
        <v>448</v>
      </c>
      <c r="U1979" s="2" t="s">
        <v>41</v>
      </c>
      <c r="V1979" s="2" t="s">
        <v>59</v>
      </c>
      <c r="W1979" s="2">
        <v>38.9</v>
      </c>
      <c r="X1979" s="2">
        <v>0</v>
      </c>
      <c r="Y1979" s="2" t="s">
        <v>340</v>
      </c>
      <c r="Z1979" s="2" t="s">
        <v>13310</v>
      </c>
      <c r="AA1979" s="2">
        <v>-0.81451208262223795</v>
      </c>
      <c r="AB1979" s="2">
        <v>0.40812829333719702</v>
      </c>
      <c r="AC1979" s="2">
        <v>19863.170816457899</v>
      </c>
      <c r="AD1979" s="2">
        <v>8788.8120320677008</v>
      </c>
      <c r="AE1979" s="2">
        <v>21025.673648953201</v>
      </c>
      <c r="AF1979" s="2">
        <v>19949.877444999202</v>
      </c>
      <c r="AG1979" s="2">
        <v>20228.124671273701</v>
      </c>
      <c r="AH1979" s="2">
        <v>20237.442007235801</v>
      </c>
      <c r="AI1979" s="2">
        <v>18752.883343971302</v>
      </c>
      <c r="AJ1979" s="2">
        <v>18985.0237823143</v>
      </c>
      <c r="AK1979" s="2">
        <v>8690.0767347486308</v>
      </c>
      <c r="AL1979" s="2">
        <v>8405.9996465951608</v>
      </c>
      <c r="AM1979" s="2">
        <v>8907.1022772180804</v>
      </c>
      <c r="AN1979" s="2">
        <v>9734.8537602127599</v>
      </c>
      <c r="AO1979" s="2">
        <v>6771.7440844733801</v>
      </c>
      <c r="AP1979" s="2">
        <v>10223.095689158199</v>
      </c>
    </row>
    <row r="1980" spans="1:42" ht="14.5" x14ac:dyDescent="0.35">
      <c r="A1980" s="2" t="s">
        <v>13311</v>
      </c>
      <c r="B1980" s="2">
        <v>407.24067052349699</v>
      </c>
      <c r="C1980" s="2">
        <v>9.8437333333333292</v>
      </c>
      <c r="D1980" s="2" t="s">
        <v>34</v>
      </c>
      <c r="E1980" s="2" t="s">
        <v>13312</v>
      </c>
      <c r="F1980" s="2">
        <v>211684</v>
      </c>
      <c r="G1980" s="3" t="str">
        <f>HYPERLINK("http://funmeta.oebiotech.com/network/211684", "http://funmeta.oebiotech.com/network/211684")</f>
        <v>http://funmeta.oebiotech.com/network/211684</v>
      </c>
      <c r="H1980" s="2" t="s">
        <v>13313</v>
      </c>
      <c r="I1980" s="2"/>
      <c r="J1980" s="2"/>
      <c r="K1980" s="2"/>
      <c r="L1980" s="2"/>
      <c r="M1980" s="2"/>
      <c r="N1980" s="2"/>
      <c r="O1980" s="2">
        <v>44282877</v>
      </c>
      <c r="P1980" s="2"/>
      <c r="Q1980" s="2" t="s">
        <v>13314</v>
      </c>
      <c r="R1980" s="2" t="s">
        <v>13315</v>
      </c>
      <c r="S1980" s="2" t="s">
        <v>1444</v>
      </c>
      <c r="T1980" s="2" t="s">
        <v>3595</v>
      </c>
      <c r="U1980" s="2" t="s">
        <v>41</v>
      </c>
      <c r="V1980" s="2" t="s">
        <v>42</v>
      </c>
      <c r="W1980" s="2">
        <v>51.9</v>
      </c>
      <c r="X1980" s="2">
        <v>65.3</v>
      </c>
      <c r="Y1980" s="2" t="s">
        <v>394</v>
      </c>
      <c r="Z1980" s="2" t="s">
        <v>13316</v>
      </c>
      <c r="AA1980" s="2">
        <v>1.3308188940143799</v>
      </c>
      <c r="AB1980" s="2">
        <v>0.40806612833052303</v>
      </c>
      <c r="AC1980" s="2">
        <v>13434.7491033406</v>
      </c>
      <c r="AD1980" s="2">
        <v>2422.5758629613501</v>
      </c>
      <c r="AE1980" s="2">
        <v>14355.649665544101</v>
      </c>
      <c r="AF1980" s="2">
        <v>12512.333995303101</v>
      </c>
      <c r="AG1980" s="2">
        <v>12116.7070781641</v>
      </c>
      <c r="AH1980" s="2">
        <v>14194.5518104206</v>
      </c>
      <c r="AI1980" s="2">
        <v>13118.1795794231</v>
      </c>
      <c r="AJ1980" s="2">
        <v>14311.072491188699</v>
      </c>
      <c r="AK1980" s="2">
        <v>2177.5294946959798</v>
      </c>
      <c r="AL1980" s="2">
        <v>2663.0069031638</v>
      </c>
      <c r="AM1980" s="2">
        <v>2625.7134884340499</v>
      </c>
      <c r="AN1980" s="2">
        <v>2640.1055601418998</v>
      </c>
      <c r="AO1980" s="2">
        <v>2589.3339077691398</v>
      </c>
      <c r="AP1980" s="2">
        <v>1839.76582356321</v>
      </c>
    </row>
    <row r="1981" spans="1:42" ht="14.5" x14ac:dyDescent="0.35">
      <c r="A1981" s="2" t="s">
        <v>13317</v>
      </c>
      <c r="B1981" s="2">
        <v>539.17664140400905</v>
      </c>
      <c r="C1981" s="2">
        <v>4.3459666666666701</v>
      </c>
      <c r="D1981" s="2" t="s">
        <v>70</v>
      </c>
      <c r="E1981" s="2" t="s">
        <v>13318</v>
      </c>
      <c r="F1981" s="2">
        <v>59696</v>
      </c>
      <c r="G1981" s="3" t="str">
        <f>HYPERLINK("http://funmeta.oebiotech.com/network/59696", "http://funmeta.oebiotech.com/network/59696")</f>
        <v>http://funmeta.oebiotech.com/network/59696</v>
      </c>
      <c r="H1981" s="2" t="s">
        <v>13319</v>
      </c>
      <c r="I1981" s="2">
        <v>67938</v>
      </c>
      <c r="J1981" s="2"/>
      <c r="K1981" s="2">
        <v>7747</v>
      </c>
      <c r="L1981" s="2" t="s">
        <v>13320</v>
      </c>
      <c r="M1981" s="2"/>
      <c r="N1981" s="2"/>
      <c r="O1981" s="2">
        <v>5281544</v>
      </c>
      <c r="P1981" s="2" t="s">
        <v>13321</v>
      </c>
      <c r="Q1981" s="2" t="s">
        <v>13322</v>
      </c>
      <c r="R1981" s="2" t="s">
        <v>13323</v>
      </c>
      <c r="S1981" s="2" t="s">
        <v>50</v>
      </c>
      <c r="T1981" s="2" t="s">
        <v>201</v>
      </c>
      <c r="U1981" s="2" t="s">
        <v>202</v>
      </c>
      <c r="V1981" s="2" t="s">
        <v>59</v>
      </c>
      <c r="W1981" s="2">
        <v>44.7</v>
      </c>
      <c r="X1981" s="2">
        <v>32.9</v>
      </c>
      <c r="Y1981" s="2" t="s">
        <v>118</v>
      </c>
      <c r="Z1981" s="2" t="s">
        <v>13324</v>
      </c>
      <c r="AA1981" s="2">
        <v>-0.69095772819152901</v>
      </c>
      <c r="AB1981" s="2">
        <v>0.40770744984023499</v>
      </c>
      <c r="AC1981" s="2">
        <v>46646.492145150798</v>
      </c>
      <c r="AD1981" s="2">
        <v>35022.663839690103</v>
      </c>
      <c r="AE1981" s="2">
        <v>47944.115210293297</v>
      </c>
      <c r="AF1981" s="2">
        <v>48228.553941956503</v>
      </c>
      <c r="AG1981" s="2">
        <v>45948.893352519801</v>
      </c>
      <c r="AH1981" s="2">
        <v>44197.472634085403</v>
      </c>
      <c r="AI1981" s="2">
        <v>46674.931514687698</v>
      </c>
      <c r="AJ1981" s="2">
        <v>46884.986217361897</v>
      </c>
      <c r="AK1981" s="2">
        <v>31667.201675066601</v>
      </c>
      <c r="AL1981" s="2">
        <v>35626.792556944099</v>
      </c>
      <c r="AM1981" s="2">
        <v>37628.996513305399</v>
      </c>
      <c r="AN1981" s="2">
        <v>31481.356773888801</v>
      </c>
      <c r="AO1981" s="2">
        <v>34877.107795745796</v>
      </c>
      <c r="AP1981" s="2">
        <v>38854.5277231898</v>
      </c>
    </row>
    <row r="1982" spans="1:42" ht="14.5" x14ac:dyDescent="0.35">
      <c r="A1982" s="2" t="s">
        <v>13325</v>
      </c>
      <c r="B1982" s="2">
        <v>757.28154405821704</v>
      </c>
      <c r="C1982" s="2">
        <v>10.455550000000001</v>
      </c>
      <c r="D1982" s="2" t="s">
        <v>34</v>
      </c>
      <c r="E1982" s="2" t="s">
        <v>13326</v>
      </c>
      <c r="F1982" s="2">
        <v>201044</v>
      </c>
      <c r="G1982" s="3" t="str">
        <f>HYPERLINK("http://funmeta.oebiotech.com/network/201044", "http://funmeta.oebiotech.com/network/201044")</f>
        <v>http://funmeta.oebiotech.com/network/201044</v>
      </c>
      <c r="H1982" s="2" t="s">
        <v>13327</v>
      </c>
      <c r="I1982" s="2"/>
      <c r="J1982" s="2"/>
      <c r="K1982" s="2"/>
      <c r="L1982" s="2"/>
      <c r="M1982" s="2"/>
      <c r="N1982" s="2"/>
      <c r="O1982" s="2"/>
      <c r="P1982" s="2"/>
      <c r="Q1982" s="2" t="s">
        <v>13328</v>
      </c>
      <c r="R1982" s="2" t="s">
        <v>13329</v>
      </c>
      <c r="S1982" s="2" t="s">
        <v>41</v>
      </c>
      <c r="T1982" s="2" t="s">
        <v>41</v>
      </c>
      <c r="U1982" s="2" t="s">
        <v>41</v>
      </c>
      <c r="V1982" s="2" t="s">
        <v>59</v>
      </c>
      <c r="W1982" s="2">
        <v>36.4</v>
      </c>
      <c r="X1982" s="2">
        <v>3.6499999999999998E-2</v>
      </c>
      <c r="Y1982" s="2" t="s">
        <v>470</v>
      </c>
      <c r="Z1982" s="2" t="s">
        <v>13330</v>
      </c>
      <c r="AA1982" s="2">
        <v>4.1096364804030996</v>
      </c>
      <c r="AB1982" s="2">
        <v>0.407246348685327</v>
      </c>
      <c r="AC1982" s="2">
        <v>41831.900845233002</v>
      </c>
      <c r="AD1982" s="2">
        <v>55457.130627220598</v>
      </c>
      <c r="AE1982" s="2">
        <v>40400.331923566497</v>
      </c>
      <c r="AF1982" s="2">
        <v>40978.395902156597</v>
      </c>
      <c r="AG1982" s="2">
        <v>40103.081725529897</v>
      </c>
      <c r="AH1982" s="2">
        <v>41740.6990180348</v>
      </c>
      <c r="AI1982" s="2">
        <v>42696.197407947402</v>
      </c>
      <c r="AJ1982" s="2">
        <v>45072.699094162497</v>
      </c>
      <c r="AK1982" s="2">
        <v>47556.215003516001</v>
      </c>
      <c r="AL1982" s="2">
        <v>59601.058418519598</v>
      </c>
      <c r="AM1982" s="2">
        <v>63514.274423317504</v>
      </c>
      <c r="AN1982" s="2">
        <v>47834.807728105399</v>
      </c>
      <c r="AO1982" s="2">
        <v>50426.638744692602</v>
      </c>
      <c r="AP1982" s="2">
        <v>63809.789445172202</v>
      </c>
    </row>
    <row r="1983" spans="1:42" ht="14.5" x14ac:dyDescent="0.35">
      <c r="A1983" s="2" t="s">
        <v>13331</v>
      </c>
      <c r="B1983" s="2">
        <v>626.77379715577399</v>
      </c>
      <c r="C1983" s="2">
        <v>7.53433333333333</v>
      </c>
      <c r="D1983" s="2" t="s">
        <v>34</v>
      </c>
      <c r="E1983" s="2" t="s">
        <v>13332</v>
      </c>
      <c r="F1983" s="2">
        <v>207880</v>
      </c>
      <c r="G1983" s="3" t="str">
        <f>HYPERLINK("http://funmeta.oebiotech.com/network/207880", "http://funmeta.oebiotech.com/network/207880")</f>
        <v>http://funmeta.oebiotech.com/network/207880</v>
      </c>
      <c r="H1983" s="2" t="s">
        <v>13333</v>
      </c>
      <c r="I1983" s="2"/>
      <c r="J1983" s="2"/>
      <c r="K1983" s="2">
        <v>83517</v>
      </c>
      <c r="L1983" s="2"/>
      <c r="M1983" s="2"/>
      <c r="N1983" s="2"/>
      <c r="O1983" s="2"/>
      <c r="P1983" s="2"/>
      <c r="Q1983" s="2" t="s">
        <v>13334</v>
      </c>
      <c r="R1983" s="2" t="s">
        <v>13335</v>
      </c>
      <c r="S1983" s="2" t="s">
        <v>148</v>
      </c>
      <c r="T1983" s="2" t="s">
        <v>149</v>
      </c>
      <c r="U1983" s="2" t="s">
        <v>1593</v>
      </c>
      <c r="V1983" s="2" t="s">
        <v>59</v>
      </c>
      <c r="W1983" s="2">
        <v>36.299999999999997</v>
      </c>
      <c r="X1983" s="2">
        <v>0</v>
      </c>
      <c r="Y1983" s="2" t="s">
        <v>141</v>
      </c>
      <c r="Z1983" s="2" t="s">
        <v>13336</v>
      </c>
      <c r="AA1983" s="2">
        <v>-4.8619922163269598</v>
      </c>
      <c r="AB1983" s="2">
        <v>0.40712588339915301</v>
      </c>
      <c r="AC1983" s="2">
        <v>33096.342548146902</v>
      </c>
      <c r="AD1983" s="2">
        <v>45970.124067672499</v>
      </c>
      <c r="AE1983" s="2">
        <v>38019.902175499999</v>
      </c>
      <c r="AF1983" s="2">
        <v>35169.450860563702</v>
      </c>
      <c r="AG1983" s="2">
        <v>34012.822451069202</v>
      </c>
      <c r="AH1983" s="2">
        <v>32502.957137862799</v>
      </c>
      <c r="AI1983" s="2">
        <v>30699.497233579201</v>
      </c>
      <c r="AJ1983" s="2">
        <v>28173.425430306499</v>
      </c>
      <c r="AK1983" s="2">
        <v>50481.849459968696</v>
      </c>
      <c r="AL1983" s="2">
        <v>48501.139795417403</v>
      </c>
      <c r="AM1983" s="2">
        <v>51550.222611438498</v>
      </c>
      <c r="AN1983" s="2">
        <v>45607.858626145797</v>
      </c>
      <c r="AO1983" s="2">
        <v>39799.483955581098</v>
      </c>
      <c r="AP1983" s="2">
        <v>39880.189957483701</v>
      </c>
    </row>
    <row r="1984" spans="1:42" ht="14.5" x14ac:dyDescent="0.35">
      <c r="A1984" s="2" t="s">
        <v>13337</v>
      </c>
      <c r="B1984" s="2">
        <v>564.33047280733194</v>
      </c>
      <c r="C1984" s="2">
        <v>10.1634333333333</v>
      </c>
      <c r="D1984" s="2" t="s">
        <v>70</v>
      </c>
      <c r="E1984" s="2" t="s">
        <v>13338</v>
      </c>
      <c r="F1984" s="2">
        <v>19839</v>
      </c>
      <c r="G1984" s="3" t="str">
        <f>HYPERLINK("http://funmeta.oebiotech.com/network/19839", "http://funmeta.oebiotech.com/network/19839")</f>
        <v>http://funmeta.oebiotech.com/network/19839</v>
      </c>
      <c r="H1984" s="2" t="s">
        <v>13339</v>
      </c>
      <c r="I1984" s="2">
        <v>40301</v>
      </c>
      <c r="J1984" s="2" t="s">
        <v>13340</v>
      </c>
      <c r="K1984" s="2">
        <v>28733</v>
      </c>
      <c r="L1984" s="2"/>
      <c r="M1984" s="2"/>
      <c r="N1984" s="2"/>
      <c r="O1984" s="2">
        <v>11005824</v>
      </c>
      <c r="P1984" s="2" t="s">
        <v>13341</v>
      </c>
      <c r="Q1984" s="2" t="s">
        <v>13342</v>
      </c>
      <c r="R1984" s="2" t="s">
        <v>13343</v>
      </c>
      <c r="S1984" s="2" t="s">
        <v>50</v>
      </c>
      <c r="T1984" s="2" t="s">
        <v>51</v>
      </c>
      <c r="U1984" s="2" t="s">
        <v>168</v>
      </c>
      <c r="V1984" s="2" t="s">
        <v>42</v>
      </c>
      <c r="W1984" s="2">
        <v>55.6</v>
      </c>
      <c r="X1984" s="2">
        <v>80</v>
      </c>
      <c r="Y1984" s="2" t="s">
        <v>408</v>
      </c>
      <c r="Z1984" s="2" t="s">
        <v>13344</v>
      </c>
      <c r="AA1984" s="2">
        <v>-0.422923450064559</v>
      </c>
      <c r="AB1984" s="2">
        <v>0.407040067670281</v>
      </c>
      <c r="AC1984" s="2">
        <v>57540.963906381599</v>
      </c>
      <c r="AD1984" s="2">
        <v>70364.161555405502</v>
      </c>
      <c r="AE1984" s="2">
        <v>58582.319253970803</v>
      </c>
      <c r="AF1984" s="2">
        <v>63125.344336607603</v>
      </c>
      <c r="AG1984" s="2">
        <v>58949.264694692603</v>
      </c>
      <c r="AH1984" s="2">
        <v>52435.967549927198</v>
      </c>
      <c r="AI1984" s="2">
        <v>60359.200156539402</v>
      </c>
      <c r="AJ1984" s="2">
        <v>51793.687446551798</v>
      </c>
      <c r="AK1984" s="2">
        <v>68849.911845196402</v>
      </c>
      <c r="AL1984" s="2">
        <v>74049.899206810704</v>
      </c>
      <c r="AM1984" s="2">
        <v>70197.634675489797</v>
      </c>
      <c r="AN1984" s="2">
        <v>64368.291192762001</v>
      </c>
      <c r="AO1984" s="2">
        <v>68674.3791276337</v>
      </c>
      <c r="AP1984" s="2">
        <v>76044.853284540703</v>
      </c>
    </row>
    <row r="1985" spans="1:42" ht="14.5" x14ac:dyDescent="0.35">
      <c r="A1985" s="2" t="s">
        <v>13345</v>
      </c>
      <c r="B1985" s="2">
        <v>452.15457029275302</v>
      </c>
      <c r="C1985" s="2">
        <v>4.0871833333333303</v>
      </c>
      <c r="D1985" s="2" t="s">
        <v>34</v>
      </c>
      <c r="E1985" s="2" t="s">
        <v>13346</v>
      </c>
      <c r="F1985" s="2">
        <v>62095</v>
      </c>
      <c r="G1985" s="3" t="str">
        <f>HYPERLINK("http://funmeta.oebiotech.com/network/62095", "http://funmeta.oebiotech.com/network/62095")</f>
        <v>http://funmeta.oebiotech.com/network/62095</v>
      </c>
      <c r="H1985" s="2" t="s">
        <v>13347</v>
      </c>
      <c r="I1985" s="2">
        <v>93388</v>
      </c>
      <c r="J1985" s="2"/>
      <c r="K1985" s="2">
        <v>168875</v>
      </c>
      <c r="L1985" s="2"/>
      <c r="M1985" s="2"/>
      <c r="N1985" s="2"/>
      <c r="O1985" s="2">
        <v>131752443</v>
      </c>
      <c r="P1985" s="2"/>
      <c r="Q1985" s="2" t="s">
        <v>13348</v>
      </c>
      <c r="R1985" s="2" t="s">
        <v>13349</v>
      </c>
      <c r="S1985" s="2" t="s">
        <v>50</v>
      </c>
      <c r="T1985" s="2" t="s">
        <v>229</v>
      </c>
      <c r="U1985" s="2" t="s">
        <v>230</v>
      </c>
      <c r="V1985" s="2" t="s">
        <v>59</v>
      </c>
      <c r="W1985" s="2">
        <v>45.1</v>
      </c>
      <c r="X1985" s="2">
        <v>42.2</v>
      </c>
      <c r="Y1985" s="2" t="s">
        <v>67</v>
      </c>
      <c r="Z1985" s="2" t="s">
        <v>13350</v>
      </c>
      <c r="AA1985" s="2">
        <v>-1.2238591006436199</v>
      </c>
      <c r="AB1985" s="2">
        <v>0.40671215812359102</v>
      </c>
      <c r="AC1985" s="2">
        <v>25649.536958121302</v>
      </c>
      <c r="AD1985" s="2">
        <v>14008.178314127899</v>
      </c>
      <c r="AE1985" s="2">
        <v>24558.505860830901</v>
      </c>
      <c r="AF1985" s="2">
        <v>29676.341364596901</v>
      </c>
      <c r="AG1985" s="2">
        <v>23752.9983254203</v>
      </c>
      <c r="AH1985" s="2">
        <v>28418.878320073301</v>
      </c>
      <c r="AI1985" s="2">
        <v>25427.736482827801</v>
      </c>
      <c r="AJ1985" s="2">
        <v>22062.761394978599</v>
      </c>
      <c r="AK1985" s="2">
        <v>13654.7308419809</v>
      </c>
      <c r="AL1985" s="2">
        <v>15135.6184580441</v>
      </c>
      <c r="AM1985" s="2">
        <v>11729.551440343999</v>
      </c>
      <c r="AN1985" s="2">
        <v>16765.845867677701</v>
      </c>
      <c r="AO1985" s="2">
        <v>11789.290138483</v>
      </c>
      <c r="AP1985" s="2">
        <v>14974.033138237901</v>
      </c>
    </row>
    <row r="1986" spans="1:42" ht="14.5" x14ac:dyDescent="0.35">
      <c r="A1986" s="2" t="s">
        <v>13351</v>
      </c>
      <c r="B1986" s="2">
        <v>577.13410235071001</v>
      </c>
      <c r="C1986" s="2">
        <v>2.6975500000000001</v>
      </c>
      <c r="D1986" s="2" t="s">
        <v>34</v>
      </c>
      <c r="E1986" s="2" t="s">
        <v>13352</v>
      </c>
      <c r="F1986" s="2">
        <v>58696</v>
      </c>
      <c r="G1986" s="3" t="str">
        <f>HYPERLINK("http://funmeta.oebiotech.com/network/58696", "http://funmeta.oebiotech.com/network/58696")</f>
        <v>http://funmeta.oebiotech.com/network/58696</v>
      </c>
      <c r="H1986" s="2" t="s">
        <v>13353</v>
      </c>
      <c r="I1986" s="2">
        <v>90152</v>
      </c>
      <c r="J1986" s="2"/>
      <c r="K1986" s="2"/>
      <c r="L1986" s="2"/>
      <c r="M1986" s="2"/>
      <c r="N1986" s="2"/>
      <c r="O1986" s="2">
        <v>520398</v>
      </c>
      <c r="P1986" s="2"/>
      <c r="Q1986" s="2" t="s">
        <v>13354</v>
      </c>
      <c r="R1986" s="2" t="s">
        <v>13355</v>
      </c>
      <c r="S1986" s="2" t="s">
        <v>115</v>
      </c>
      <c r="T1986" s="2" t="s">
        <v>139</v>
      </c>
      <c r="U1986" s="2" t="s">
        <v>957</v>
      </c>
      <c r="V1986" s="2" t="s">
        <v>59</v>
      </c>
      <c r="W1986" s="2">
        <v>39</v>
      </c>
      <c r="X1986" s="2">
        <v>0</v>
      </c>
      <c r="Y1986" s="2" t="s">
        <v>394</v>
      </c>
      <c r="Z1986" s="2" t="s">
        <v>6676</v>
      </c>
      <c r="AA1986" s="2">
        <v>8.6290572975863705E-2</v>
      </c>
      <c r="AB1986" s="2">
        <v>0.40636261305495103</v>
      </c>
      <c r="AC1986" s="2">
        <v>21306.324641315801</v>
      </c>
      <c r="AD1986" s="2">
        <v>9979.2619170998696</v>
      </c>
      <c r="AE1986" s="2">
        <v>24505.018150523501</v>
      </c>
      <c r="AF1986" s="2">
        <v>23755.053199648501</v>
      </c>
      <c r="AG1986" s="2">
        <v>18710.557705804</v>
      </c>
      <c r="AH1986" s="2">
        <v>21488.205683205499</v>
      </c>
      <c r="AI1986" s="2">
        <v>20914.659251748999</v>
      </c>
      <c r="AJ1986" s="2">
        <v>18464.453856964599</v>
      </c>
      <c r="AK1986" s="2">
        <v>10813.853209654701</v>
      </c>
      <c r="AL1986" s="2">
        <v>8334.2307269214107</v>
      </c>
      <c r="AM1986" s="2">
        <v>10490.4469621973</v>
      </c>
      <c r="AN1986" s="2">
        <v>10180.247659648199</v>
      </c>
      <c r="AO1986" s="2">
        <v>9281.0028866510002</v>
      </c>
      <c r="AP1986" s="2">
        <v>10775.790057526599</v>
      </c>
    </row>
    <row r="1987" spans="1:42" ht="14.5" x14ac:dyDescent="0.35">
      <c r="A1987" s="2" t="s">
        <v>13356</v>
      </c>
      <c r="B1987" s="2">
        <v>391.17587401007501</v>
      </c>
      <c r="C1987" s="2">
        <v>6.0864833333333301</v>
      </c>
      <c r="D1987" s="2" t="s">
        <v>70</v>
      </c>
      <c r="E1987" s="2" t="s">
        <v>13357</v>
      </c>
      <c r="F1987" s="2">
        <v>255460</v>
      </c>
      <c r="G1987" s="3" t="str">
        <f>HYPERLINK("http://funmeta.oebiotech.com/network/255460", "http://funmeta.oebiotech.com/network/255460")</f>
        <v>http://funmeta.oebiotech.com/network/255460</v>
      </c>
      <c r="H1987" s="2" t="s">
        <v>13358</v>
      </c>
      <c r="I1987" s="2"/>
      <c r="J1987" s="2"/>
      <c r="K1987" s="2"/>
      <c r="L1987" s="2"/>
      <c r="M1987" s="2"/>
      <c r="N1987" s="2"/>
      <c r="O1987" s="2"/>
      <c r="P1987" s="2"/>
      <c r="Q1987" s="2" t="s">
        <v>13359</v>
      </c>
      <c r="R1987" s="2" t="s">
        <v>13360</v>
      </c>
      <c r="S1987" s="2" t="s">
        <v>50</v>
      </c>
      <c r="T1987" s="2" t="s">
        <v>201</v>
      </c>
      <c r="U1987" s="2" t="s">
        <v>1217</v>
      </c>
      <c r="V1987" s="2" t="s">
        <v>42</v>
      </c>
      <c r="W1987" s="2">
        <v>48.7</v>
      </c>
      <c r="X1987" s="2">
        <v>51.7</v>
      </c>
      <c r="Y1987" s="2" t="s">
        <v>1395</v>
      </c>
      <c r="Z1987" s="2" t="s">
        <v>13361</v>
      </c>
      <c r="AA1987" s="2">
        <v>-0.86005267319565804</v>
      </c>
      <c r="AB1987" s="2">
        <v>0.40611134308754299</v>
      </c>
      <c r="AC1987" s="2">
        <v>25925.780875430901</v>
      </c>
      <c r="AD1987" s="2">
        <v>14856.726620584899</v>
      </c>
      <c r="AE1987" s="2">
        <v>25468.201552398401</v>
      </c>
      <c r="AF1987" s="2">
        <v>24224.257544092001</v>
      </c>
      <c r="AG1987" s="2">
        <v>27716.121868241498</v>
      </c>
      <c r="AH1987" s="2">
        <v>23775.386526118898</v>
      </c>
      <c r="AI1987" s="2">
        <v>26242.457407695201</v>
      </c>
      <c r="AJ1987" s="2">
        <v>28128.260354039299</v>
      </c>
      <c r="AK1987" s="2">
        <v>15404.1817414042</v>
      </c>
      <c r="AL1987" s="2">
        <v>15138.222321683899</v>
      </c>
      <c r="AM1987" s="2">
        <v>15136.224284763501</v>
      </c>
      <c r="AN1987" s="2">
        <v>14448.6990826482</v>
      </c>
      <c r="AO1987" s="2">
        <v>14834.6340177167</v>
      </c>
      <c r="AP1987" s="2">
        <v>14178.398275293001</v>
      </c>
    </row>
    <row r="1988" spans="1:42" ht="14.5" x14ac:dyDescent="0.35">
      <c r="A1988" s="2" t="s">
        <v>13362</v>
      </c>
      <c r="B1988" s="2">
        <v>653.17183820003697</v>
      </c>
      <c r="C1988" s="2">
        <v>4.84418333333333</v>
      </c>
      <c r="D1988" s="2" t="s">
        <v>70</v>
      </c>
      <c r="E1988" s="2" t="s">
        <v>13363</v>
      </c>
      <c r="F1988" s="2">
        <v>208932</v>
      </c>
      <c r="G1988" s="3" t="str">
        <f>HYPERLINK("http://funmeta.oebiotech.com/network/208932", "http://funmeta.oebiotech.com/network/208932")</f>
        <v>http://funmeta.oebiotech.com/network/208932</v>
      </c>
      <c r="H1988" s="2" t="s">
        <v>13364</v>
      </c>
      <c r="I1988" s="2"/>
      <c r="J1988" s="2"/>
      <c r="K1988" s="2"/>
      <c r="L1988" s="2"/>
      <c r="M1988" s="2"/>
      <c r="N1988" s="2"/>
      <c r="O1988" s="2">
        <v>13713195</v>
      </c>
      <c r="P1988" s="2"/>
      <c r="Q1988" s="2" t="s">
        <v>13365</v>
      </c>
      <c r="R1988" s="2" t="s">
        <v>13366</v>
      </c>
      <c r="S1988" s="2" t="s">
        <v>115</v>
      </c>
      <c r="T1988" s="2" t="s">
        <v>139</v>
      </c>
      <c r="U1988" s="2" t="s">
        <v>140</v>
      </c>
      <c r="V1988" s="2" t="s">
        <v>59</v>
      </c>
      <c r="W1988" s="2">
        <v>42.9</v>
      </c>
      <c r="X1988" s="2">
        <v>28</v>
      </c>
      <c r="Y1988" s="2" t="s">
        <v>118</v>
      </c>
      <c r="Z1988" s="2" t="s">
        <v>9803</v>
      </c>
      <c r="AA1988" s="2">
        <v>-0.74137264896889399</v>
      </c>
      <c r="AB1988" s="2">
        <v>0.40600737545065702</v>
      </c>
      <c r="AC1988" s="2">
        <v>134600.746295171</v>
      </c>
      <c r="AD1988" s="2">
        <v>154575.18668285801</v>
      </c>
      <c r="AE1988" s="2">
        <v>140416.551926769</v>
      </c>
      <c r="AF1988" s="2">
        <v>165640.46795437101</v>
      </c>
      <c r="AG1988" s="2">
        <v>124311.402743484</v>
      </c>
      <c r="AH1988" s="2">
        <v>130932.93817875801</v>
      </c>
      <c r="AI1988" s="2">
        <v>108916.50740471701</v>
      </c>
      <c r="AJ1988" s="2">
        <v>137386.60956292899</v>
      </c>
      <c r="AK1988" s="2">
        <v>147242.762261792</v>
      </c>
      <c r="AL1988" s="2">
        <v>168633.54972414699</v>
      </c>
      <c r="AM1988" s="2">
        <v>144735.06851018799</v>
      </c>
      <c r="AN1988" s="2">
        <v>173961.104681019</v>
      </c>
      <c r="AO1988" s="2">
        <v>153343.283847913</v>
      </c>
      <c r="AP1988" s="2">
        <v>139535.35107208899</v>
      </c>
    </row>
    <row r="1989" spans="1:42" ht="14.5" x14ac:dyDescent="0.35">
      <c r="A1989" s="2" t="s">
        <v>13367</v>
      </c>
      <c r="B1989" s="2">
        <v>443.14950726144599</v>
      </c>
      <c r="C1989" s="2">
        <v>4.3632666666666697</v>
      </c>
      <c r="D1989" s="2" t="s">
        <v>34</v>
      </c>
      <c r="E1989" s="2" t="s">
        <v>13368</v>
      </c>
      <c r="F1989" s="2">
        <v>7902</v>
      </c>
      <c r="G1989" s="3" t="str">
        <f>HYPERLINK("http://funmeta.oebiotech.com/network/7902", "http://funmeta.oebiotech.com/network/7902")</f>
        <v>http://funmeta.oebiotech.com/network/7902</v>
      </c>
      <c r="H1989" s="2"/>
      <c r="I1989" s="2"/>
      <c r="J1989" s="2" t="s">
        <v>13369</v>
      </c>
      <c r="K1989" s="2"/>
      <c r="L1989" s="2"/>
      <c r="M1989" s="2"/>
      <c r="N1989" s="2"/>
      <c r="O1989" s="2">
        <v>132967549</v>
      </c>
      <c r="P1989" s="2"/>
      <c r="Q1989" s="2" t="s">
        <v>13370</v>
      </c>
      <c r="R1989" s="2" t="s">
        <v>13371</v>
      </c>
      <c r="S1989" s="2" t="s">
        <v>115</v>
      </c>
      <c r="T1989" s="2" t="s">
        <v>1384</v>
      </c>
      <c r="U1989" s="2" t="s">
        <v>41</v>
      </c>
      <c r="V1989" s="2" t="s">
        <v>59</v>
      </c>
      <c r="W1989" s="2">
        <v>36.6</v>
      </c>
      <c r="X1989" s="2">
        <v>0</v>
      </c>
      <c r="Y1989" s="2" t="s">
        <v>340</v>
      </c>
      <c r="Z1989" s="2" t="s">
        <v>13372</v>
      </c>
      <c r="AA1989" s="2">
        <v>-1.29935370834329</v>
      </c>
      <c r="AB1989" s="2">
        <v>0.405648202845943</v>
      </c>
      <c r="AC1989" s="2">
        <v>13117.4659833183</v>
      </c>
      <c r="AD1989" s="2">
        <v>1996.2553543136</v>
      </c>
      <c r="AE1989" s="2">
        <v>15562.978019901901</v>
      </c>
      <c r="AF1989" s="2">
        <v>10437.394956953</v>
      </c>
      <c r="AG1989" s="2">
        <v>14210.3373218627</v>
      </c>
      <c r="AH1989" s="2">
        <v>11526.224630463899</v>
      </c>
      <c r="AI1989" s="2">
        <v>12247.974091722101</v>
      </c>
      <c r="AJ1989" s="2">
        <v>14719.886879006301</v>
      </c>
      <c r="AK1989" s="2">
        <v>2029.4536955993301</v>
      </c>
      <c r="AL1989" s="2">
        <v>2206.98915144497</v>
      </c>
      <c r="AM1989" s="2">
        <v>798.40056663309895</v>
      </c>
      <c r="AN1989" s="2">
        <v>1174.7307793628599</v>
      </c>
      <c r="AO1989" s="2">
        <v>2724.5319330391799</v>
      </c>
      <c r="AP1989" s="2">
        <v>3043.4259998021398</v>
      </c>
    </row>
    <row r="1990" spans="1:42" ht="14.5" x14ac:dyDescent="0.35">
      <c r="A1990" s="2" t="s">
        <v>13373</v>
      </c>
      <c r="B1990" s="2">
        <v>615.24067056744002</v>
      </c>
      <c r="C1990" s="2">
        <v>9.2149333333333292</v>
      </c>
      <c r="D1990" s="2" t="s">
        <v>34</v>
      </c>
      <c r="E1990" s="2" t="s">
        <v>13374</v>
      </c>
      <c r="F1990" s="2">
        <v>206922</v>
      </c>
      <c r="G1990" s="3" t="str">
        <f>HYPERLINK("http://funmeta.oebiotech.com/network/206922", "http://funmeta.oebiotech.com/network/206922")</f>
        <v>http://funmeta.oebiotech.com/network/206922</v>
      </c>
      <c r="H1990" s="2" t="s">
        <v>13375</v>
      </c>
      <c r="I1990" s="2"/>
      <c r="J1990" s="2"/>
      <c r="K1990" s="2"/>
      <c r="L1990" s="2"/>
      <c r="M1990" s="2"/>
      <c r="N1990" s="2"/>
      <c r="O1990" s="2">
        <v>42642645</v>
      </c>
      <c r="P1990" s="2"/>
      <c r="Q1990" s="2" t="s">
        <v>13376</v>
      </c>
      <c r="R1990" s="2" t="s">
        <v>13377</v>
      </c>
      <c r="S1990" s="2" t="s">
        <v>79</v>
      </c>
      <c r="T1990" s="2" t="s">
        <v>80</v>
      </c>
      <c r="U1990" s="2" t="s">
        <v>249</v>
      </c>
      <c r="V1990" s="2" t="s">
        <v>59</v>
      </c>
      <c r="W1990" s="2">
        <v>38.5</v>
      </c>
      <c r="X1990" s="2">
        <v>5.9</v>
      </c>
      <c r="Y1990" s="2" t="s">
        <v>141</v>
      </c>
      <c r="Z1990" s="2" t="s">
        <v>13378</v>
      </c>
      <c r="AA1990" s="2">
        <v>-1.07940732997082</v>
      </c>
      <c r="AB1990" s="2">
        <v>0.40564105869566802</v>
      </c>
      <c r="AC1990" s="2">
        <v>63434.382809095798</v>
      </c>
      <c r="AD1990" s="2">
        <v>76231.749547462605</v>
      </c>
      <c r="AE1990" s="2">
        <v>63536.388629385598</v>
      </c>
      <c r="AF1990" s="2">
        <v>64798.8227020044</v>
      </c>
      <c r="AG1990" s="2">
        <v>66768.117983099306</v>
      </c>
      <c r="AH1990" s="2">
        <v>61642.378664121999</v>
      </c>
      <c r="AI1990" s="2">
        <v>60746.047843089502</v>
      </c>
      <c r="AJ1990" s="2">
        <v>63114.541032873902</v>
      </c>
      <c r="AK1990" s="2">
        <v>66394.522473265301</v>
      </c>
      <c r="AL1990" s="2">
        <v>81020.057279826098</v>
      </c>
      <c r="AM1990" s="2">
        <v>73046.944044162403</v>
      </c>
      <c r="AN1990" s="2">
        <v>79088.027469914101</v>
      </c>
      <c r="AO1990" s="2">
        <v>81949.257483948793</v>
      </c>
      <c r="AP1990" s="2">
        <v>75891.688533659195</v>
      </c>
    </row>
    <row r="1991" spans="1:42" ht="14.5" x14ac:dyDescent="0.35">
      <c r="A1991" s="2" t="s">
        <v>13379</v>
      </c>
      <c r="B1991" s="2">
        <v>499.25476729932501</v>
      </c>
      <c r="C1991" s="2">
        <v>6.0108166666666696</v>
      </c>
      <c r="D1991" s="2" t="s">
        <v>70</v>
      </c>
      <c r="E1991" s="2" t="s">
        <v>13380</v>
      </c>
      <c r="F1991" s="2">
        <v>3715</v>
      </c>
      <c r="G1991" s="3" t="str">
        <f>HYPERLINK("http://funmeta.oebiotech.com/network/3715", "http://funmeta.oebiotech.com/network/3715")</f>
        <v>http://funmeta.oebiotech.com/network/3715</v>
      </c>
      <c r="H1991" s="2"/>
      <c r="I1991" s="2"/>
      <c r="J1991" s="2" t="s">
        <v>13381</v>
      </c>
      <c r="K1991" s="2"/>
      <c r="L1991" s="2"/>
      <c r="M1991" s="2"/>
      <c r="N1991" s="2"/>
      <c r="O1991" s="2">
        <v>5283090</v>
      </c>
      <c r="P1991" s="2"/>
      <c r="Q1991" s="2" t="s">
        <v>13382</v>
      </c>
      <c r="R1991" s="2" t="s">
        <v>13383</v>
      </c>
      <c r="S1991" s="2" t="s">
        <v>50</v>
      </c>
      <c r="T1991" s="2" t="s">
        <v>229</v>
      </c>
      <c r="U1991" s="2" t="s">
        <v>766</v>
      </c>
      <c r="V1991" s="2" t="s">
        <v>59</v>
      </c>
      <c r="W1991" s="2">
        <v>43.4</v>
      </c>
      <c r="X1991" s="2">
        <v>22.6</v>
      </c>
      <c r="Y1991" s="2" t="s">
        <v>286</v>
      </c>
      <c r="Z1991" s="2" t="s">
        <v>13384</v>
      </c>
      <c r="AA1991" s="2">
        <v>-0.22838589318657801</v>
      </c>
      <c r="AB1991" s="2">
        <v>0.40552472339393802</v>
      </c>
      <c r="AC1991" s="2">
        <v>56936.198226251603</v>
      </c>
      <c r="AD1991" s="2">
        <v>45340.298250387903</v>
      </c>
      <c r="AE1991" s="2">
        <v>57915.742555058299</v>
      </c>
      <c r="AF1991" s="2">
        <v>54808.254992943403</v>
      </c>
      <c r="AG1991" s="2">
        <v>54648.446215928197</v>
      </c>
      <c r="AH1991" s="2">
        <v>59630.161594512603</v>
      </c>
      <c r="AI1991" s="2">
        <v>58342.689469299097</v>
      </c>
      <c r="AJ1991" s="2">
        <v>56271.894529768098</v>
      </c>
      <c r="AK1991" s="2">
        <v>46141.780857712503</v>
      </c>
      <c r="AL1991" s="2">
        <v>42515.146358939797</v>
      </c>
      <c r="AM1991" s="2">
        <v>48365.846789992102</v>
      </c>
      <c r="AN1991" s="2">
        <v>44988.169792125998</v>
      </c>
      <c r="AO1991" s="2">
        <v>41808.794363819397</v>
      </c>
      <c r="AP1991" s="2">
        <v>48222.0513397373</v>
      </c>
    </row>
    <row r="1992" spans="1:42" ht="14.5" x14ac:dyDescent="0.35">
      <c r="A1992" s="2" t="s">
        <v>13385</v>
      </c>
      <c r="B1992" s="2">
        <v>939.266404156465</v>
      </c>
      <c r="C1992" s="2">
        <v>4.7931333333333299</v>
      </c>
      <c r="D1992" s="2" t="s">
        <v>70</v>
      </c>
      <c r="E1992" s="2" t="s">
        <v>13386</v>
      </c>
      <c r="F1992" s="2">
        <v>211698</v>
      </c>
      <c r="G1992" s="3" t="str">
        <f>HYPERLINK("http://funmeta.oebiotech.com/network/211698", "http://funmeta.oebiotech.com/network/211698")</f>
        <v>http://funmeta.oebiotech.com/network/211698</v>
      </c>
      <c r="H1992" s="2" t="s">
        <v>13387</v>
      </c>
      <c r="I1992" s="2"/>
      <c r="J1992" s="2"/>
      <c r="K1992" s="2"/>
      <c r="L1992" s="2"/>
      <c r="M1992" s="2"/>
      <c r="N1992" s="2"/>
      <c r="O1992" s="2">
        <v>53888654</v>
      </c>
      <c r="P1992" s="2"/>
      <c r="Q1992" s="2" t="s">
        <v>13388</v>
      </c>
      <c r="R1992" s="2" t="s">
        <v>13389</v>
      </c>
      <c r="S1992" s="2" t="s">
        <v>41</v>
      </c>
      <c r="T1992" s="2" t="s">
        <v>41</v>
      </c>
      <c r="U1992" s="2" t="s">
        <v>41</v>
      </c>
      <c r="V1992" s="2" t="s">
        <v>59</v>
      </c>
      <c r="W1992" s="2">
        <v>38.200000000000003</v>
      </c>
      <c r="X1992" s="2">
        <v>0</v>
      </c>
      <c r="Y1992" s="2" t="s">
        <v>560</v>
      </c>
      <c r="Z1992" s="2" t="s">
        <v>13390</v>
      </c>
      <c r="AA1992" s="2">
        <v>0.61099646618563097</v>
      </c>
      <c r="AB1992" s="2">
        <v>0.40515047565631701</v>
      </c>
      <c r="AC1992" s="2">
        <v>29249.9406270281</v>
      </c>
      <c r="AD1992" s="2">
        <v>17548.8961877724</v>
      </c>
      <c r="AE1992" s="2">
        <v>29548.0472778064</v>
      </c>
      <c r="AF1992" s="2">
        <v>30801.339206628501</v>
      </c>
      <c r="AG1992" s="2">
        <v>29615.432041264401</v>
      </c>
      <c r="AH1992" s="2">
        <v>27786.302309341099</v>
      </c>
      <c r="AI1992" s="2">
        <v>25484.5284754766</v>
      </c>
      <c r="AJ1992" s="2">
        <v>32263.994451651601</v>
      </c>
      <c r="AK1992" s="2">
        <v>14288.001300891199</v>
      </c>
      <c r="AL1992" s="2">
        <v>16211.525408015201</v>
      </c>
      <c r="AM1992" s="2">
        <v>19893.507805620498</v>
      </c>
      <c r="AN1992" s="2">
        <v>20874.296243728098</v>
      </c>
      <c r="AO1992" s="2">
        <v>13946.9462147789</v>
      </c>
      <c r="AP1992" s="2">
        <v>20079.100153600499</v>
      </c>
    </row>
    <row r="1993" spans="1:42" ht="14.5" x14ac:dyDescent="0.35">
      <c r="A1993" s="2" t="s">
        <v>13391</v>
      </c>
      <c r="B1993" s="2">
        <v>363.14486733356802</v>
      </c>
      <c r="C1993" s="2">
        <v>4.7765333333333304</v>
      </c>
      <c r="D1993" s="2" t="s">
        <v>70</v>
      </c>
      <c r="E1993" s="2" t="s">
        <v>13392</v>
      </c>
      <c r="F1993" s="2">
        <v>62241</v>
      </c>
      <c r="G1993" s="3" t="str">
        <f>HYPERLINK("http://funmeta.oebiotech.com/network/62241", "http://funmeta.oebiotech.com/network/62241")</f>
        <v>http://funmeta.oebiotech.com/network/62241</v>
      </c>
      <c r="H1993" s="2" t="s">
        <v>13393</v>
      </c>
      <c r="I1993" s="2">
        <v>93529</v>
      </c>
      <c r="J1993" s="2"/>
      <c r="K1993" s="2"/>
      <c r="L1993" s="2"/>
      <c r="M1993" s="2"/>
      <c r="N1993" s="2"/>
      <c r="O1993" s="2">
        <v>557474</v>
      </c>
      <c r="P1993" s="2" t="s">
        <v>13394</v>
      </c>
      <c r="Q1993" s="2" t="s">
        <v>13395</v>
      </c>
      <c r="R1993" s="2" t="s">
        <v>13396</v>
      </c>
      <c r="S1993" s="2" t="s">
        <v>50</v>
      </c>
      <c r="T1993" s="2" t="s">
        <v>201</v>
      </c>
      <c r="U1993" s="2" t="s">
        <v>636</v>
      </c>
      <c r="V1993" s="2" t="s">
        <v>42</v>
      </c>
      <c r="W1993" s="2">
        <v>54.3</v>
      </c>
      <c r="X1993" s="2">
        <v>76.2</v>
      </c>
      <c r="Y1993" s="2" t="s">
        <v>751</v>
      </c>
      <c r="Z1993" s="2" t="s">
        <v>561</v>
      </c>
      <c r="AA1993" s="2">
        <v>-0.15526560152671401</v>
      </c>
      <c r="AB1993" s="2">
        <v>0.40509954479118498</v>
      </c>
      <c r="AC1993" s="2">
        <v>66478.180111430105</v>
      </c>
      <c r="AD1993" s="2">
        <v>53917.479173734202</v>
      </c>
      <c r="AE1993" s="2">
        <v>67228.846399715199</v>
      </c>
      <c r="AF1993" s="2">
        <v>70885.573244800704</v>
      </c>
      <c r="AG1993" s="2">
        <v>71086.717035730006</v>
      </c>
      <c r="AH1993" s="2">
        <v>61075.612571482998</v>
      </c>
      <c r="AI1993" s="2">
        <v>64584.793333744703</v>
      </c>
      <c r="AJ1993" s="2">
        <v>64007.538083107102</v>
      </c>
      <c r="AK1993" s="2">
        <v>60925.899987134297</v>
      </c>
      <c r="AL1993" s="2">
        <v>55172.836160439503</v>
      </c>
      <c r="AM1993" s="2">
        <v>54709.808989881203</v>
      </c>
      <c r="AN1993" s="2">
        <v>54119.864970337701</v>
      </c>
      <c r="AO1993" s="2">
        <v>50689.165114814801</v>
      </c>
      <c r="AP1993" s="2">
        <v>47887.299819797598</v>
      </c>
    </row>
    <row r="1994" spans="1:42" ht="14.5" x14ac:dyDescent="0.35">
      <c r="A1994" s="2" t="s">
        <v>13397</v>
      </c>
      <c r="B1994" s="2">
        <v>899.54027546164002</v>
      </c>
      <c r="C1994" s="2">
        <v>11.7063166666667</v>
      </c>
      <c r="D1994" s="2" t="s">
        <v>34</v>
      </c>
      <c r="E1994" s="2" t="s">
        <v>13398</v>
      </c>
      <c r="F1994" s="2">
        <v>54408</v>
      </c>
      <c r="G1994" s="3" t="str">
        <f>HYPERLINK("http://funmeta.oebiotech.com/network/54408", "http://funmeta.oebiotech.com/network/54408")</f>
        <v>http://funmeta.oebiotech.com/network/54408</v>
      </c>
      <c r="H1994" s="2" t="s">
        <v>13399</v>
      </c>
      <c r="I1994" s="2"/>
      <c r="J1994" s="2"/>
      <c r="K1994" s="2"/>
      <c r="L1994" s="2"/>
      <c r="M1994" s="2"/>
      <c r="N1994" s="2"/>
      <c r="O1994" s="2">
        <v>131750871</v>
      </c>
      <c r="P1994" s="2" t="s">
        <v>13400</v>
      </c>
      <c r="Q1994" s="2" t="s">
        <v>13401</v>
      </c>
      <c r="R1994" s="2" t="s">
        <v>13402</v>
      </c>
      <c r="S1994" s="2" t="s">
        <v>79</v>
      </c>
      <c r="T1994" s="2" t="s">
        <v>80</v>
      </c>
      <c r="U1994" s="2" t="s">
        <v>81</v>
      </c>
      <c r="V1994" s="2" t="s">
        <v>59</v>
      </c>
      <c r="W1994" s="2">
        <v>42</v>
      </c>
      <c r="X1994" s="2">
        <v>24.1</v>
      </c>
      <c r="Y1994" s="2" t="s">
        <v>141</v>
      </c>
      <c r="Z1994" s="2" t="s">
        <v>13403</v>
      </c>
      <c r="AA1994" s="2">
        <v>4.3780036724704097</v>
      </c>
      <c r="AB1994" s="2">
        <v>0.40501133817947199</v>
      </c>
      <c r="AC1994" s="2">
        <v>8183.9725924078903</v>
      </c>
      <c r="AD1994" s="2">
        <v>19532.436534898501</v>
      </c>
      <c r="AE1994" s="2">
        <v>7709.7465699719696</v>
      </c>
      <c r="AF1994" s="2">
        <v>7125.9019813855302</v>
      </c>
      <c r="AG1994" s="2">
        <v>8547.5565417238395</v>
      </c>
      <c r="AH1994" s="2">
        <v>8284.4503861519097</v>
      </c>
      <c r="AI1994" s="2">
        <v>7289.9233181754898</v>
      </c>
      <c r="AJ1994" s="2">
        <v>10146.2567570386</v>
      </c>
      <c r="AK1994" s="2">
        <v>21011.153990545401</v>
      </c>
      <c r="AL1994" s="2">
        <v>14309.641328999</v>
      </c>
      <c r="AM1994" s="2">
        <v>21957.012869496299</v>
      </c>
      <c r="AN1994" s="2">
        <v>20052.412465882499</v>
      </c>
      <c r="AO1994" s="2">
        <v>18810.333977409198</v>
      </c>
      <c r="AP1994" s="2">
        <v>21054.0645770587</v>
      </c>
    </row>
    <row r="1995" spans="1:42" ht="14.5" x14ac:dyDescent="0.35">
      <c r="A1995" s="2" t="s">
        <v>13404</v>
      </c>
      <c r="B1995" s="2">
        <v>166.08615673551</v>
      </c>
      <c r="C1995" s="2">
        <v>5.4735333333333296</v>
      </c>
      <c r="D1995" s="2" t="s">
        <v>34</v>
      </c>
      <c r="E1995" s="2" t="s">
        <v>13405</v>
      </c>
      <c r="F1995" s="2">
        <v>200429</v>
      </c>
      <c r="G1995" s="3" t="str">
        <f>HYPERLINK("http://funmeta.oebiotech.com/network/200429", "http://funmeta.oebiotech.com/network/200429")</f>
        <v>http://funmeta.oebiotech.com/network/200429</v>
      </c>
      <c r="H1995" s="2" t="s">
        <v>13406</v>
      </c>
      <c r="I1995" s="2"/>
      <c r="J1995" s="2"/>
      <c r="K1995" s="2"/>
      <c r="L1995" s="2"/>
      <c r="M1995" s="2"/>
      <c r="N1995" s="2"/>
      <c r="O1995" s="2">
        <v>3386234</v>
      </c>
      <c r="P1995" s="2"/>
      <c r="Q1995" s="2" t="s">
        <v>13407</v>
      </c>
      <c r="R1995" s="2" t="s">
        <v>13408</v>
      </c>
      <c r="S1995" s="2" t="s">
        <v>148</v>
      </c>
      <c r="T1995" s="2" t="s">
        <v>149</v>
      </c>
      <c r="U1995" s="2" t="s">
        <v>13117</v>
      </c>
      <c r="V1995" s="2" t="s">
        <v>42</v>
      </c>
      <c r="W1995" s="2">
        <v>48.6</v>
      </c>
      <c r="X1995" s="2">
        <v>47</v>
      </c>
      <c r="Y1995" s="2" t="s">
        <v>394</v>
      </c>
      <c r="Z1995" s="2" t="s">
        <v>13409</v>
      </c>
      <c r="AA1995" s="2">
        <v>-0.59543123476318405</v>
      </c>
      <c r="AB1995" s="2">
        <v>0.40487159548906199</v>
      </c>
      <c r="AC1995" s="2">
        <v>11811.3449487301</v>
      </c>
      <c r="AD1995" s="2">
        <v>22853.616919841999</v>
      </c>
      <c r="AE1995" s="2">
        <v>11368.346138238599</v>
      </c>
      <c r="AF1995" s="2">
        <v>12628.225542923899</v>
      </c>
      <c r="AG1995" s="2">
        <v>11758.641596547801</v>
      </c>
      <c r="AH1995" s="2">
        <v>12105.8004149768</v>
      </c>
      <c r="AI1995" s="2">
        <v>11031.349762383699</v>
      </c>
      <c r="AJ1995" s="2">
        <v>11975.7062373098</v>
      </c>
      <c r="AK1995" s="2">
        <v>20717.9422559999</v>
      </c>
      <c r="AL1995" s="2">
        <v>20918.682116653901</v>
      </c>
      <c r="AM1995" s="2">
        <v>23599.863845663502</v>
      </c>
      <c r="AN1995" s="2">
        <v>22230.4151740294</v>
      </c>
      <c r="AO1995" s="2">
        <v>24101.644620537099</v>
      </c>
      <c r="AP1995" s="2">
        <v>25553.153506168401</v>
      </c>
    </row>
    <row r="1996" spans="1:42" ht="14.5" x14ac:dyDescent="0.35">
      <c r="A1996" s="2" t="s">
        <v>13410</v>
      </c>
      <c r="B1996" s="2">
        <v>512.28182074430401</v>
      </c>
      <c r="C1996" s="2">
        <v>4.9308666666666703</v>
      </c>
      <c r="D1996" s="2" t="s">
        <v>34</v>
      </c>
      <c r="E1996" s="2" t="s">
        <v>13411</v>
      </c>
      <c r="F1996" s="2">
        <v>52974</v>
      </c>
      <c r="G1996" s="3" t="str">
        <f>HYPERLINK("http://funmeta.oebiotech.com/network/52974", "http://funmeta.oebiotech.com/network/52974")</f>
        <v>http://funmeta.oebiotech.com/network/52974</v>
      </c>
      <c r="H1996" s="2" t="s">
        <v>13412</v>
      </c>
      <c r="I1996" s="2">
        <v>4030</v>
      </c>
      <c r="J1996" s="2"/>
      <c r="K1996" s="2">
        <v>31620</v>
      </c>
      <c r="L1996" s="2"/>
      <c r="M1996" s="2"/>
      <c r="N1996" s="2"/>
      <c r="O1996" s="2">
        <v>443980</v>
      </c>
      <c r="P1996" s="2" t="s">
        <v>13413</v>
      </c>
      <c r="Q1996" s="2" t="s">
        <v>13414</v>
      </c>
      <c r="R1996" s="2" t="s">
        <v>13415</v>
      </c>
      <c r="S1996" s="2" t="s">
        <v>50</v>
      </c>
      <c r="T1996" s="2" t="s">
        <v>124</v>
      </c>
      <c r="U1996" s="2" t="s">
        <v>929</v>
      </c>
      <c r="V1996" s="2" t="s">
        <v>59</v>
      </c>
      <c r="W1996" s="2">
        <v>43.4</v>
      </c>
      <c r="X1996" s="2">
        <v>28.6</v>
      </c>
      <c r="Y1996" s="2" t="s">
        <v>43</v>
      </c>
      <c r="Z1996" s="2" t="s">
        <v>13416</v>
      </c>
      <c r="AA1996" s="2">
        <v>-1.97423601168265E-4</v>
      </c>
      <c r="AB1996" s="2">
        <v>0.40453036793209601</v>
      </c>
      <c r="AC1996" s="2">
        <v>403834.87447842001</v>
      </c>
      <c r="AD1996" s="2">
        <v>425499.87300495699</v>
      </c>
      <c r="AE1996" s="2">
        <v>411280.51410968101</v>
      </c>
      <c r="AF1996" s="2">
        <v>387155.321927746</v>
      </c>
      <c r="AG1996" s="2">
        <v>420135.547382458</v>
      </c>
      <c r="AH1996" s="2">
        <v>435588.016950269</v>
      </c>
      <c r="AI1996" s="2">
        <v>411551.370640365</v>
      </c>
      <c r="AJ1996" s="2">
        <v>357298.47586000198</v>
      </c>
      <c r="AK1996" s="2">
        <v>413508.251802238</v>
      </c>
      <c r="AL1996" s="2">
        <v>416325.901389412</v>
      </c>
      <c r="AM1996" s="2">
        <v>444285.73455144599</v>
      </c>
      <c r="AN1996" s="2">
        <v>423963.50308467</v>
      </c>
      <c r="AO1996" s="2">
        <v>426358.34277326602</v>
      </c>
      <c r="AP1996" s="2">
        <v>428557.504428707</v>
      </c>
    </row>
    <row r="1997" spans="1:42" ht="14.5" x14ac:dyDescent="0.35">
      <c r="A1997" s="2" t="s">
        <v>13417</v>
      </c>
      <c r="B1997" s="2">
        <v>448.16576832183699</v>
      </c>
      <c r="C1997" s="2">
        <v>0.71894999999999998</v>
      </c>
      <c r="D1997" s="2" t="s">
        <v>34</v>
      </c>
      <c r="E1997" s="2" t="s">
        <v>13418</v>
      </c>
      <c r="F1997" s="2">
        <v>208125</v>
      </c>
      <c r="G1997" s="3" t="str">
        <f>HYPERLINK("http://funmeta.oebiotech.com/network/208125", "http://funmeta.oebiotech.com/network/208125")</f>
        <v>http://funmeta.oebiotech.com/network/208125</v>
      </c>
      <c r="H1997" s="2" t="s">
        <v>13419</v>
      </c>
      <c r="I1997" s="2"/>
      <c r="J1997" s="2"/>
      <c r="K1997" s="2"/>
      <c r="L1997" s="2"/>
      <c r="M1997" s="2"/>
      <c r="N1997" s="2"/>
      <c r="O1997" s="2">
        <v>183134</v>
      </c>
      <c r="P1997" s="2"/>
      <c r="Q1997" s="2" t="s">
        <v>13420</v>
      </c>
      <c r="R1997" s="2" t="s">
        <v>13421</v>
      </c>
      <c r="S1997" s="2" t="s">
        <v>41</v>
      </c>
      <c r="T1997" s="2" t="s">
        <v>41</v>
      </c>
      <c r="U1997" s="2" t="s">
        <v>41</v>
      </c>
      <c r="V1997" s="2" t="s">
        <v>59</v>
      </c>
      <c r="W1997" s="2">
        <v>36.200000000000003</v>
      </c>
      <c r="X1997" s="2">
        <v>0</v>
      </c>
      <c r="Y1997" s="2" t="s">
        <v>340</v>
      </c>
      <c r="Z1997" s="2" t="s">
        <v>13422</v>
      </c>
      <c r="AA1997" s="2">
        <v>2.7284128812725301</v>
      </c>
      <c r="AB1997" s="2">
        <v>0.40445905671936699</v>
      </c>
      <c r="AC1997" s="2">
        <v>50603.6480874263</v>
      </c>
      <c r="AD1997" s="2">
        <v>34429.267845963703</v>
      </c>
      <c r="AE1997" s="2">
        <v>50066.8850734648</v>
      </c>
      <c r="AF1997" s="2">
        <v>44358.583734556902</v>
      </c>
      <c r="AG1997" s="2">
        <v>47308.064272931901</v>
      </c>
      <c r="AH1997" s="2">
        <v>42175.970118705598</v>
      </c>
      <c r="AI1997" s="2">
        <v>71841.353381428198</v>
      </c>
      <c r="AJ1997" s="2">
        <v>47871.0319434704</v>
      </c>
      <c r="AK1997" s="2">
        <v>30626.038303577501</v>
      </c>
      <c r="AL1997" s="2">
        <v>35581.709668023403</v>
      </c>
      <c r="AM1997" s="2">
        <v>40778.365616382398</v>
      </c>
      <c r="AN1997" s="2">
        <v>21356.743377722501</v>
      </c>
      <c r="AO1997" s="2">
        <v>45806.328207034101</v>
      </c>
      <c r="AP1997" s="2">
        <v>32426.421903042199</v>
      </c>
    </row>
    <row r="1998" spans="1:42" ht="14.5" x14ac:dyDescent="0.35">
      <c r="A1998" s="2" t="s">
        <v>13423</v>
      </c>
      <c r="B1998" s="2">
        <v>304.15009121994302</v>
      </c>
      <c r="C1998" s="2">
        <v>0.71894999999999998</v>
      </c>
      <c r="D1998" s="2" t="s">
        <v>34</v>
      </c>
      <c r="E1998" s="2" t="s">
        <v>13424</v>
      </c>
      <c r="F1998" s="2">
        <v>62700</v>
      </c>
      <c r="G1998" s="3" t="str">
        <f>HYPERLINK("http://funmeta.oebiotech.com/network/62700", "http://funmeta.oebiotech.com/network/62700")</f>
        <v>http://funmeta.oebiotech.com/network/62700</v>
      </c>
      <c r="H1998" s="2" t="s">
        <v>13425</v>
      </c>
      <c r="I1998" s="2">
        <v>93997</v>
      </c>
      <c r="J1998" s="2"/>
      <c r="K1998" s="2">
        <v>168581</v>
      </c>
      <c r="L1998" s="2"/>
      <c r="M1998" s="2"/>
      <c r="N1998" s="2"/>
      <c r="O1998" s="2">
        <v>131752643</v>
      </c>
      <c r="P1998" s="2" t="s">
        <v>13426</v>
      </c>
      <c r="Q1998" s="2" t="s">
        <v>13427</v>
      </c>
      <c r="R1998" s="2" t="s">
        <v>13428</v>
      </c>
      <c r="S1998" s="2" t="s">
        <v>89</v>
      </c>
      <c r="T1998" s="2" t="s">
        <v>90</v>
      </c>
      <c r="U1998" s="2" t="s">
        <v>99</v>
      </c>
      <c r="V1998" s="2" t="s">
        <v>42</v>
      </c>
      <c r="W1998" s="2">
        <v>47.5</v>
      </c>
      <c r="X1998" s="2">
        <v>48.1</v>
      </c>
      <c r="Y1998" s="2" t="s">
        <v>394</v>
      </c>
      <c r="Z1998" s="2" t="s">
        <v>13429</v>
      </c>
      <c r="AA1998" s="2">
        <v>-0.72776630662103503</v>
      </c>
      <c r="AB1998" s="2">
        <v>0.40429924328586297</v>
      </c>
      <c r="AC1998" s="2">
        <v>43274.4294204002</v>
      </c>
      <c r="AD1998" s="2">
        <v>29821.289118000299</v>
      </c>
      <c r="AE1998" s="2">
        <v>40750.408650096499</v>
      </c>
      <c r="AF1998" s="2">
        <v>36026.612086953901</v>
      </c>
      <c r="AG1998" s="2">
        <v>46213.229075475101</v>
      </c>
      <c r="AH1998" s="2">
        <v>40203.737615190999</v>
      </c>
      <c r="AI1998" s="2">
        <v>52185.641673993297</v>
      </c>
      <c r="AJ1998" s="2">
        <v>44266.9474206913</v>
      </c>
      <c r="AK1998" s="2">
        <v>26048.3788477655</v>
      </c>
      <c r="AL1998" s="2">
        <v>25244.160037044501</v>
      </c>
      <c r="AM1998" s="2">
        <v>38590.872755752302</v>
      </c>
      <c r="AN1998" s="2">
        <v>28156.662762362899</v>
      </c>
      <c r="AO1998" s="2">
        <v>33310.902493549002</v>
      </c>
      <c r="AP1998" s="2">
        <v>27576.757811527801</v>
      </c>
    </row>
    <row r="1999" spans="1:42" ht="14.5" x14ac:dyDescent="0.35">
      <c r="A1999" s="2" t="s">
        <v>13430</v>
      </c>
      <c r="B1999" s="2">
        <v>690.47896624105795</v>
      </c>
      <c r="C1999" s="2">
        <v>12.6586</v>
      </c>
      <c r="D1999" s="2" t="s">
        <v>34</v>
      </c>
      <c r="E1999" s="2" t="s">
        <v>13431</v>
      </c>
      <c r="F1999" s="2">
        <v>63913</v>
      </c>
      <c r="G1999" s="3" t="str">
        <f>HYPERLINK("http://funmeta.oebiotech.com/network/63913", "http://funmeta.oebiotech.com/network/63913")</f>
        <v>http://funmeta.oebiotech.com/network/63913</v>
      </c>
      <c r="H1999" s="2" t="s">
        <v>13432</v>
      </c>
      <c r="I1999" s="2">
        <v>95247</v>
      </c>
      <c r="J1999" s="2"/>
      <c r="K1999" s="2"/>
      <c r="L1999" s="2"/>
      <c r="M1999" s="2"/>
      <c r="N1999" s="2"/>
      <c r="O1999" s="2">
        <v>155462</v>
      </c>
      <c r="P1999" s="2" t="s">
        <v>13433</v>
      </c>
      <c r="Q1999" s="2" t="s">
        <v>13434</v>
      </c>
      <c r="R1999" s="2" t="s">
        <v>13435</v>
      </c>
      <c r="S1999" s="2" t="s">
        <v>50</v>
      </c>
      <c r="T1999" s="2" t="s">
        <v>201</v>
      </c>
      <c r="U1999" s="2" t="s">
        <v>210</v>
      </c>
      <c r="V1999" s="2" t="s">
        <v>59</v>
      </c>
      <c r="W1999" s="2">
        <v>38.700000000000003</v>
      </c>
      <c r="X1999" s="2">
        <v>0</v>
      </c>
      <c r="Y1999" s="2" t="s">
        <v>43</v>
      </c>
      <c r="Z1999" s="2" t="s">
        <v>13436</v>
      </c>
      <c r="AA1999" s="2">
        <v>0.41318393979476598</v>
      </c>
      <c r="AB1999" s="2">
        <v>0.40411877915995398</v>
      </c>
      <c r="AC1999" s="2">
        <v>18200.146182713099</v>
      </c>
      <c r="AD1999" s="2">
        <v>29894.3156073721</v>
      </c>
      <c r="AE1999" s="2">
        <v>17132.317404925201</v>
      </c>
      <c r="AF1999" s="2">
        <v>17448.073533098199</v>
      </c>
      <c r="AG1999" s="2">
        <v>18293.947481751398</v>
      </c>
      <c r="AH1999" s="2">
        <v>18489.640717491999</v>
      </c>
      <c r="AI1999" s="2">
        <v>17477.3092722572</v>
      </c>
      <c r="AJ1999" s="2">
        <v>20359.5886867548</v>
      </c>
      <c r="AK1999" s="2">
        <v>28094.259764727401</v>
      </c>
      <c r="AL1999" s="2">
        <v>32366.278206454299</v>
      </c>
      <c r="AM1999" s="2">
        <v>30608.957246690901</v>
      </c>
      <c r="AN1999" s="2">
        <v>33929.249189350601</v>
      </c>
      <c r="AO1999" s="2">
        <v>31173.717747671199</v>
      </c>
      <c r="AP1999" s="2">
        <v>23193.4314893382</v>
      </c>
    </row>
    <row r="2000" spans="1:42" ht="14.5" x14ac:dyDescent="0.35">
      <c r="A2000" s="2" t="s">
        <v>13437</v>
      </c>
      <c r="B2000" s="2">
        <v>258.27905002034902</v>
      </c>
      <c r="C2000" s="2">
        <v>9.52328333333333</v>
      </c>
      <c r="D2000" s="2" t="s">
        <v>34</v>
      </c>
      <c r="E2000" s="2" t="s">
        <v>13438</v>
      </c>
      <c r="F2000" s="2">
        <v>6010</v>
      </c>
      <c r="G2000" s="3" t="str">
        <f>HYPERLINK("http://funmeta.oebiotech.com/network/6010", "http://funmeta.oebiotech.com/network/6010")</f>
        <v>http://funmeta.oebiotech.com/network/6010</v>
      </c>
      <c r="H2000" s="2"/>
      <c r="I2000" s="2">
        <v>36487</v>
      </c>
      <c r="J2000" s="2" t="s">
        <v>13439</v>
      </c>
      <c r="K2000" s="2"/>
      <c r="L2000" s="2"/>
      <c r="M2000" s="2"/>
      <c r="N2000" s="2"/>
      <c r="O2000" s="2">
        <v>5283282</v>
      </c>
      <c r="P2000" s="2"/>
      <c r="Q2000" s="2" t="s">
        <v>13440</v>
      </c>
      <c r="R2000" s="2" t="s">
        <v>13441</v>
      </c>
      <c r="S2000" s="2" t="s">
        <v>50</v>
      </c>
      <c r="T2000" s="2" t="s">
        <v>229</v>
      </c>
      <c r="U2000" s="2" t="s">
        <v>1283</v>
      </c>
      <c r="V2000" s="2" t="s">
        <v>59</v>
      </c>
      <c r="W2000" s="2">
        <v>44.5</v>
      </c>
      <c r="X2000" s="2">
        <v>25.3</v>
      </c>
      <c r="Y2000" s="2" t="s">
        <v>43</v>
      </c>
      <c r="Z2000" s="2" t="s">
        <v>13442</v>
      </c>
      <c r="AA2000" s="2">
        <v>-0.37942654971855</v>
      </c>
      <c r="AB2000" s="2">
        <v>0.40410894864918601</v>
      </c>
      <c r="AC2000" s="2">
        <v>43328.053808428398</v>
      </c>
      <c r="AD2000" s="2">
        <v>59994.504449601904</v>
      </c>
      <c r="AE2000" s="2">
        <v>47423.471640278098</v>
      </c>
      <c r="AF2000" s="2">
        <v>25071.059385910001</v>
      </c>
      <c r="AG2000" s="2">
        <v>46838.922907697597</v>
      </c>
      <c r="AH2000" s="2">
        <v>26050.042696251501</v>
      </c>
      <c r="AI2000" s="2">
        <v>55014.435251030402</v>
      </c>
      <c r="AJ2000" s="2">
        <v>59570.390969402702</v>
      </c>
      <c r="AK2000" s="2">
        <v>64795.879787641199</v>
      </c>
      <c r="AL2000" s="2">
        <v>64047.543345450897</v>
      </c>
      <c r="AM2000" s="2">
        <v>49500.5126580957</v>
      </c>
      <c r="AN2000" s="2">
        <v>61575.092015652001</v>
      </c>
      <c r="AO2000" s="2">
        <v>60317.287495571603</v>
      </c>
      <c r="AP2000" s="2">
        <v>59730.711395200196</v>
      </c>
    </row>
    <row r="2001" spans="1:42" ht="14.5" x14ac:dyDescent="0.35">
      <c r="A2001" s="2" t="s">
        <v>13443</v>
      </c>
      <c r="B2001" s="2">
        <v>385.25948318416403</v>
      </c>
      <c r="C2001" s="2">
        <v>9.8611333333333295</v>
      </c>
      <c r="D2001" s="2" t="s">
        <v>70</v>
      </c>
      <c r="E2001" s="2" t="s">
        <v>13444</v>
      </c>
      <c r="F2001" s="2">
        <v>203377</v>
      </c>
      <c r="G2001" s="3" t="str">
        <f>HYPERLINK("http://funmeta.oebiotech.com/network/203377", "http://funmeta.oebiotech.com/network/203377")</f>
        <v>http://funmeta.oebiotech.com/network/203377</v>
      </c>
      <c r="H2001" s="2" t="s">
        <v>13445</v>
      </c>
      <c r="I2001" s="2">
        <v>409886</v>
      </c>
      <c r="J2001" s="2"/>
      <c r="K2001" s="2"/>
      <c r="L2001" s="2"/>
      <c r="M2001" s="2"/>
      <c r="N2001" s="2"/>
      <c r="O2001" s="2">
        <v>178030</v>
      </c>
      <c r="P2001" s="2"/>
      <c r="Q2001" s="2" t="s">
        <v>13446</v>
      </c>
      <c r="R2001" s="2" t="s">
        <v>13447</v>
      </c>
      <c r="S2001" s="2" t="s">
        <v>41</v>
      </c>
      <c r="T2001" s="2" t="s">
        <v>41</v>
      </c>
      <c r="U2001" s="2" t="s">
        <v>41</v>
      </c>
      <c r="V2001" s="2" t="s">
        <v>59</v>
      </c>
      <c r="W2001" s="2">
        <v>37</v>
      </c>
      <c r="X2001" s="2">
        <v>0</v>
      </c>
      <c r="Y2001" s="2" t="s">
        <v>560</v>
      </c>
      <c r="Z2001" s="2" t="s">
        <v>13448</v>
      </c>
      <c r="AA2001" s="2">
        <v>3.2842852728830101</v>
      </c>
      <c r="AB2001" s="2">
        <v>0.403906473545533</v>
      </c>
      <c r="AC2001" s="2">
        <v>59.082379526885603</v>
      </c>
      <c r="AD2001" s="2">
        <v>10975.4555270694</v>
      </c>
      <c r="AE2001" s="2">
        <v>2.7106294003980101E-5</v>
      </c>
      <c r="AF2001" s="2">
        <v>191.255754726036</v>
      </c>
      <c r="AG2001" s="2">
        <v>74.6330118672835</v>
      </c>
      <c r="AH2001" s="2">
        <v>2.7106294003980101E-5</v>
      </c>
      <c r="AI2001" s="2">
        <v>2.7106294003980101E-5</v>
      </c>
      <c r="AJ2001" s="2">
        <v>88.605429249111793</v>
      </c>
      <c r="AK2001" s="2">
        <v>9749.8118109137395</v>
      </c>
      <c r="AL2001" s="2">
        <v>10170.7772595231</v>
      </c>
      <c r="AM2001" s="2">
        <v>14337.6936808674</v>
      </c>
      <c r="AN2001" s="2">
        <v>9854.0898374596509</v>
      </c>
      <c r="AO2001" s="2">
        <v>10784.681382364601</v>
      </c>
      <c r="AP2001" s="2">
        <v>10955.6791912882</v>
      </c>
    </row>
    <row r="2002" spans="1:42" ht="14.5" x14ac:dyDescent="0.35">
      <c r="A2002" s="2" t="s">
        <v>13449</v>
      </c>
      <c r="B2002" s="2">
        <v>411.125855811772</v>
      </c>
      <c r="C2002" s="2">
        <v>4.2938999999999998</v>
      </c>
      <c r="D2002" s="2" t="s">
        <v>34</v>
      </c>
      <c r="E2002" s="2" t="s">
        <v>13450</v>
      </c>
      <c r="F2002" s="2">
        <v>207132</v>
      </c>
      <c r="G2002" s="3" t="str">
        <f>HYPERLINK("http://funmeta.oebiotech.com/network/207132", "http://funmeta.oebiotech.com/network/207132")</f>
        <v>http://funmeta.oebiotech.com/network/207132</v>
      </c>
      <c r="H2002" s="2" t="s">
        <v>13451</v>
      </c>
      <c r="I2002" s="2"/>
      <c r="J2002" s="2"/>
      <c r="K2002" s="2"/>
      <c r="L2002" s="2"/>
      <c r="M2002" s="2"/>
      <c r="N2002" s="2"/>
      <c r="O2002" s="2">
        <v>3515873</v>
      </c>
      <c r="P2002" s="2"/>
      <c r="Q2002" s="2" t="s">
        <v>13452</v>
      </c>
      <c r="R2002" s="2" t="s">
        <v>13453</v>
      </c>
      <c r="S2002" s="2" t="s">
        <v>50</v>
      </c>
      <c r="T2002" s="2" t="s">
        <v>201</v>
      </c>
      <c r="U2002" s="2" t="s">
        <v>202</v>
      </c>
      <c r="V2002" s="2" t="s">
        <v>59</v>
      </c>
      <c r="W2002" s="2">
        <v>43.5</v>
      </c>
      <c r="X2002" s="2">
        <v>21.3</v>
      </c>
      <c r="Y2002" s="2" t="s">
        <v>67</v>
      </c>
      <c r="Z2002" s="2" t="s">
        <v>13454</v>
      </c>
      <c r="AA2002" s="2">
        <v>-0.803411038600501</v>
      </c>
      <c r="AB2002" s="2">
        <v>0.40380135765987102</v>
      </c>
      <c r="AC2002" s="2">
        <v>134332.866725347</v>
      </c>
      <c r="AD2002" s="2">
        <v>121423.686982268</v>
      </c>
      <c r="AE2002" s="2">
        <v>133274.56270232599</v>
      </c>
      <c r="AF2002" s="2">
        <v>133927.109113543</v>
      </c>
      <c r="AG2002" s="2">
        <v>134758.18169239699</v>
      </c>
      <c r="AH2002" s="2">
        <v>129794.793313074</v>
      </c>
      <c r="AI2002" s="2">
        <v>133998.19891654799</v>
      </c>
      <c r="AJ2002" s="2">
        <v>140244.35461419201</v>
      </c>
      <c r="AK2002" s="2">
        <v>119342.10191443301</v>
      </c>
      <c r="AL2002" s="2">
        <v>123524.78819317</v>
      </c>
      <c r="AM2002" s="2">
        <v>112678.396175121</v>
      </c>
      <c r="AN2002" s="2">
        <v>118722.453277746</v>
      </c>
      <c r="AO2002" s="2">
        <v>130049.636933874</v>
      </c>
      <c r="AP2002" s="2">
        <v>124224.745399262</v>
      </c>
    </row>
    <row r="2003" spans="1:42" ht="14.5" x14ac:dyDescent="0.35">
      <c r="A2003" s="2" t="s">
        <v>13455</v>
      </c>
      <c r="B2003" s="2">
        <v>575.28471181744601</v>
      </c>
      <c r="C2003" s="2">
        <v>5.9690166666666702</v>
      </c>
      <c r="D2003" s="2" t="s">
        <v>34</v>
      </c>
      <c r="E2003" s="2" t="s">
        <v>13456</v>
      </c>
      <c r="F2003" s="2">
        <v>55402</v>
      </c>
      <c r="G2003" s="3" t="str">
        <f>HYPERLINK("http://funmeta.oebiotech.com/network/55402", "http://funmeta.oebiotech.com/network/55402")</f>
        <v>http://funmeta.oebiotech.com/network/55402</v>
      </c>
      <c r="H2003" s="2" t="s">
        <v>13457</v>
      </c>
      <c r="I2003" s="2">
        <v>87101</v>
      </c>
      <c r="J2003" s="2"/>
      <c r="K2003" s="2"/>
      <c r="L2003" s="2"/>
      <c r="M2003" s="2"/>
      <c r="N2003" s="2"/>
      <c r="O2003" s="2">
        <v>3735942</v>
      </c>
      <c r="P2003" s="2" t="s">
        <v>13458</v>
      </c>
      <c r="Q2003" s="2" t="s">
        <v>13459</v>
      </c>
      <c r="R2003" s="2" t="s">
        <v>13460</v>
      </c>
      <c r="S2003" s="2" t="s">
        <v>50</v>
      </c>
      <c r="T2003" s="2" t="s">
        <v>124</v>
      </c>
      <c r="U2003" s="2" t="s">
        <v>567</v>
      </c>
      <c r="V2003" s="2" t="s">
        <v>42</v>
      </c>
      <c r="W2003" s="2">
        <v>46.8</v>
      </c>
      <c r="X2003" s="2">
        <v>67.400000000000006</v>
      </c>
      <c r="Y2003" s="2" t="s">
        <v>323</v>
      </c>
      <c r="Z2003" s="2" t="s">
        <v>12031</v>
      </c>
      <c r="AA2003" s="2">
        <v>3.7000814969934201</v>
      </c>
      <c r="AB2003" s="2">
        <v>0.40350450479035099</v>
      </c>
      <c r="AC2003" s="2">
        <v>46931.153680680902</v>
      </c>
      <c r="AD2003" s="2">
        <v>58664.626606544203</v>
      </c>
      <c r="AE2003" s="2">
        <v>42759.814164378797</v>
      </c>
      <c r="AF2003" s="2">
        <v>46930.876997236999</v>
      </c>
      <c r="AG2003" s="2">
        <v>48078.060935741101</v>
      </c>
      <c r="AH2003" s="2">
        <v>46468.223468501201</v>
      </c>
      <c r="AI2003" s="2">
        <v>49620.682242456503</v>
      </c>
      <c r="AJ2003" s="2">
        <v>47729.264275770598</v>
      </c>
      <c r="AK2003" s="2">
        <v>55952.520664576798</v>
      </c>
      <c r="AL2003" s="2">
        <v>63448.5066141278</v>
      </c>
      <c r="AM2003" s="2">
        <v>54632.635925121802</v>
      </c>
      <c r="AN2003" s="2">
        <v>58597.430027616501</v>
      </c>
      <c r="AO2003" s="2">
        <v>57402.145837820703</v>
      </c>
      <c r="AP2003" s="2">
        <v>61954.5205700019</v>
      </c>
    </row>
    <row r="2004" spans="1:42" ht="14.5" x14ac:dyDescent="0.35">
      <c r="A2004" s="2" t="s">
        <v>13461</v>
      </c>
      <c r="B2004" s="2">
        <v>361.19953586697397</v>
      </c>
      <c r="C2004" s="2">
        <v>10.24235</v>
      </c>
      <c r="D2004" s="2" t="s">
        <v>70</v>
      </c>
      <c r="E2004" s="2" t="s">
        <v>13462</v>
      </c>
      <c r="F2004" s="2">
        <v>467784</v>
      </c>
      <c r="G2004" s="3" t="str">
        <f>HYPERLINK("http://funmeta.oebiotech.com/network/467784", "http://funmeta.oebiotech.com/network/467784")</f>
        <v>http://funmeta.oebiotech.com/network/467784</v>
      </c>
      <c r="H2004" s="2"/>
      <c r="I2004" s="2">
        <v>85120</v>
      </c>
      <c r="J2004" s="2"/>
      <c r="K2004" s="2"/>
      <c r="L2004" s="2"/>
      <c r="M2004" s="2"/>
      <c r="N2004" s="2"/>
      <c r="O2004" s="2">
        <v>333793</v>
      </c>
      <c r="P2004" s="2"/>
      <c r="Q2004" s="2" t="s">
        <v>13463</v>
      </c>
      <c r="R2004" s="2" t="s">
        <v>13464</v>
      </c>
      <c r="S2004" s="2" t="s">
        <v>79</v>
      </c>
      <c r="T2004" s="2" t="s">
        <v>80</v>
      </c>
      <c r="U2004" s="2" t="s">
        <v>2820</v>
      </c>
      <c r="V2004" s="2" t="s">
        <v>59</v>
      </c>
      <c r="W2004" s="2">
        <v>39.799999999999997</v>
      </c>
      <c r="X2004" s="2">
        <v>12.6</v>
      </c>
      <c r="Y2004" s="2" t="s">
        <v>118</v>
      </c>
      <c r="Z2004" s="2" t="s">
        <v>13465</v>
      </c>
      <c r="AA2004" s="2">
        <v>-6.9345562345773102</v>
      </c>
      <c r="AB2004" s="2">
        <v>0.40317384260236799</v>
      </c>
      <c r="AC2004" s="2">
        <v>18787.2523421691</v>
      </c>
      <c r="AD2004" s="2">
        <v>8035.7154884716701</v>
      </c>
      <c r="AE2004" s="2">
        <v>19150.656770054298</v>
      </c>
      <c r="AF2004" s="2">
        <v>17828.717786982299</v>
      </c>
      <c r="AG2004" s="2">
        <v>17613.199833677802</v>
      </c>
      <c r="AH2004" s="2">
        <v>19513.327374040298</v>
      </c>
      <c r="AI2004" s="2">
        <v>18832.551498698798</v>
      </c>
      <c r="AJ2004" s="2">
        <v>19785.060789560899</v>
      </c>
      <c r="AK2004" s="2">
        <v>7517.9636566064601</v>
      </c>
      <c r="AL2004" s="2">
        <v>8631.3587545468999</v>
      </c>
      <c r="AM2004" s="2">
        <v>8354.14617420988</v>
      </c>
      <c r="AN2004" s="2">
        <v>8323.8245497886091</v>
      </c>
      <c r="AO2004" s="2">
        <v>7838.9723227128097</v>
      </c>
      <c r="AP2004" s="2">
        <v>7548.0274729653802</v>
      </c>
    </row>
    <row r="2005" spans="1:42" ht="14.5" x14ac:dyDescent="0.35">
      <c r="A2005" s="2" t="s">
        <v>13466</v>
      </c>
      <c r="B2005" s="2">
        <v>286.17591278527101</v>
      </c>
      <c r="C2005" s="2">
        <v>1.3109999999999999</v>
      </c>
      <c r="D2005" s="2" t="s">
        <v>34</v>
      </c>
      <c r="E2005" s="2" t="s">
        <v>13467</v>
      </c>
      <c r="F2005" s="2">
        <v>202570</v>
      </c>
      <c r="G2005" s="3" t="str">
        <f>HYPERLINK("http://funmeta.oebiotech.com/network/202570", "http://funmeta.oebiotech.com/network/202570")</f>
        <v>http://funmeta.oebiotech.com/network/202570</v>
      </c>
      <c r="H2005" s="2" t="s">
        <v>13468</v>
      </c>
      <c r="I2005" s="2"/>
      <c r="J2005" s="2"/>
      <c r="K2005" s="2"/>
      <c r="L2005" s="2"/>
      <c r="M2005" s="2"/>
      <c r="N2005" s="2"/>
      <c r="O2005" s="2">
        <v>52933599</v>
      </c>
      <c r="P2005" s="2"/>
      <c r="Q2005" s="2" t="s">
        <v>13469</v>
      </c>
      <c r="R2005" s="2" t="s">
        <v>13470</v>
      </c>
      <c r="S2005" s="2" t="s">
        <v>41</v>
      </c>
      <c r="T2005" s="2" t="s">
        <v>41</v>
      </c>
      <c r="U2005" s="2" t="s">
        <v>41</v>
      </c>
      <c r="V2005" s="2" t="s">
        <v>59</v>
      </c>
      <c r="W2005" s="2">
        <v>39.6</v>
      </c>
      <c r="X2005" s="2">
        <v>3.26</v>
      </c>
      <c r="Y2005" s="2" t="s">
        <v>43</v>
      </c>
      <c r="Z2005" s="2" t="s">
        <v>13471</v>
      </c>
      <c r="AA2005" s="2">
        <v>-0.81998984679678999</v>
      </c>
      <c r="AB2005" s="2">
        <v>0.40309228285791998</v>
      </c>
      <c r="AC2005" s="2">
        <v>54254.703739968201</v>
      </c>
      <c r="AD2005" s="2">
        <v>43187.729303227599</v>
      </c>
      <c r="AE2005" s="2">
        <v>54566.046704048</v>
      </c>
      <c r="AF2005" s="2">
        <v>54479.225959363903</v>
      </c>
      <c r="AG2005" s="2">
        <v>50996.974470571302</v>
      </c>
      <c r="AH2005" s="2">
        <v>57286.601321961301</v>
      </c>
      <c r="AI2005" s="2">
        <v>52857.890790924903</v>
      </c>
      <c r="AJ2005" s="2">
        <v>55341.483192939697</v>
      </c>
      <c r="AK2005" s="2">
        <v>43513.289790334398</v>
      </c>
      <c r="AL2005" s="2">
        <v>41839.923714811397</v>
      </c>
      <c r="AM2005" s="2">
        <v>42880.188436491699</v>
      </c>
      <c r="AN2005" s="2">
        <v>42448.977841185297</v>
      </c>
      <c r="AO2005" s="2">
        <v>43514.8829213793</v>
      </c>
      <c r="AP2005" s="2">
        <v>44929.113115163702</v>
      </c>
    </row>
    <row r="2006" spans="1:42" ht="14.5" x14ac:dyDescent="0.35">
      <c r="A2006" s="2" t="s">
        <v>13472</v>
      </c>
      <c r="B2006" s="2">
        <v>433.25930591009899</v>
      </c>
      <c r="C2006" s="2">
        <v>9.9543833333333307</v>
      </c>
      <c r="D2006" s="2" t="s">
        <v>70</v>
      </c>
      <c r="E2006" s="2" t="s">
        <v>13473</v>
      </c>
      <c r="F2006" s="2">
        <v>55184</v>
      </c>
      <c r="G2006" s="3" t="str">
        <f>HYPERLINK("http://funmeta.oebiotech.com/network/55184", "http://funmeta.oebiotech.com/network/55184")</f>
        <v>http://funmeta.oebiotech.com/network/55184</v>
      </c>
      <c r="H2006" s="2" t="s">
        <v>13474</v>
      </c>
      <c r="I2006" s="2">
        <v>86918</v>
      </c>
      <c r="J2006" s="2"/>
      <c r="K2006" s="2"/>
      <c r="L2006" s="2"/>
      <c r="M2006" s="2"/>
      <c r="N2006" s="2"/>
      <c r="O2006" s="2">
        <v>14527070</v>
      </c>
      <c r="P2006" s="2" t="s">
        <v>13475</v>
      </c>
      <c r="Q2006" s="2" t="s">
        <v>13476</v>
      </c>
      <c r="R2006" s="2" t="s">
        <v>13477</v>
      </c>
      <c r="S2006" s="2" t="s">
        <v>50</v>
      </c>
      <c r="T2006" s="2" t="s">
        <v>201</v>
      </c>
      <c r="U2006" s="2" t="s">
        <v>241</v>
      </c>
      <c r="V2006" s="2" t="s">
        <v>59</v>
      </c>
      <c r="W2006" s="2">
        <v>39.4</v>
      </c>
      <c r="X2006" s="2">
        <v>2.86</v>
      </c>
      <c r="Y2006" s="2" t="s">
        <v>408</v>
      </c>
      <c r="Z2006" s="2" t="s">
        <v>13478</v>
      </c>
      <c r="AA2006" s="2">
        <v>-0.66087611953370695</v>
      </c>
      <c r="AB2006" s="2">
        <v>0.40289286057889201</v>
      </c>
      <c r="AC2006" s="2">
        <v>15793.061361322199</v>
      </c>
      <c r="AD2006" s="2">
        <v>5064.1062437493101</v>
      </c>
      <c r="AE2006" s="2">
        <v>16591.442536833802</v>
      </c>
      <c r="AF2006" s="2">
        <v>16192.8870591918</v>
      </c>
      <c r="AG2006" s="2">
        <v>16084.8620905852</v>
      </c>
      <c r="AH2006" s="2">
        <v>16631.296130529099</v>
      </c>
      <c r="AI2006" s="2">
        <v>14252.513619458599</v>
      </c>
      <c r="AJ2006" s="2">
        <v>15005.3667313347</v>
      </c>
      <c r="AK2006" s="2">
        <v>5852.1588035534496</v>
      </c>
      <c r="AL2006" s="2">
        <v>5387.6438655045504</v>
      </c>
      <c r="AM2006" s="2">
        <v>4638.94148960859</v>
      </c>
      <c r="AN2006" s="2">
        <v>5642.9932545678203</v>
      </c>
      <c r="AO2006" s="2">
        <v>4464.7926490418704</v>
      </c>
      <c r="AP2006" s="2">
        <v>4398.1074002195601</v>
      </c>
    </row>
    <row r="2007" spans="1:42" ht="14.5" x14ac:dyDescent="0.35">
      <c r="A2007" s="2" t="s">
        <v>13479</v>
      </c>
      <c r="B2007" s="2">
        <v>447.08921017420897</v>
      </c>
      <c r="C2007" s="2">
        <v>2.0321500000000001</v>
      </c>
      <c r="D2007" s="2" t="s">
        <v>34</v>
      </c>
      <c r="E2007" s="2" t="s">
        <v>13480</v>
      </c>
      <c r="F2007" s="2">
        <v>56929</v>
      </c>
      <c r="G2007" s="3" t="str">
        <f>HYPERLINK("http://funmeta.oebiotech.com/network/56929", "http://funmeta.oebiotech.com/network/56929")</f>
        <v>http://funmeta.oebiotech.com/network/56929</v>
      </c>
      <c r="H2007" s="2" t="s">
        <v>13481</v>
      </c>
      <c r="I2007" s="2">
        <v>88586</v>
      </c>
      <c r="J2007" s="2"/>
      <c r="K2007" s="2"/>
      <c r="L2007" s="2"/>
      <c r="M2007" s="2"/>
      <c r="N2007" s="2"/>
      <c r="O2007" s="2">
        <v>75169766</v>
      </c>
      <c r="P2007" s="2" t="s">
        <v>13482</v>
      </c>
      <c r="Q2007" s="2" t="s">
        <v>13483</v>
      </c>
      <c r="R2007" s="2" t="s">
        <v>13484</v>
      </c>
      <c r="S2007" s="2" t="s">
        <v>79</v>
      </c>
      <c r="T2007" s="2" t="s">
        <v>80</v>
      </c>
      <c r="U2007" s="2" t="s">
        <v>81</v>
      </c>
      <c r="V2007" s="2" t="s">
        <v>59</v>
      </c>
      <c r="W2007" s="2">
        <v>37.299999999999997</v>
      </c>
      <c r="X2007" s="2">
        <v>0</v>
      </c>
      <c r="Y2007" s="2" t="s">
        <v>323</v>
      </c>
      <c r="Z2007" s="2" t="s">
        <v>13485</v>
      </c>
      <c r="AA2007" s="2">
        <v>-1.3486479461266001</v>
      </c>
      <c r="AB2007" s="2">
        <v>0.40277217253742797</v>
      </c>
      <c r="AC2007" s="2">
        <v>6159.9778412755704</v>
      </c>
      <c r="AD2007" s="2">
        <v>17057.297879313101</v>
      </c>
      <c r="AE2007" s="2">
        <v>5802.7506202673503</v>
      </c>
      <c r="AF2007" s="2">
        <v>6017.9461947745604</v>
      </c>
      <c r="AG2007" s="2">
        <v>5855.9859227958004</v>
      </c>
      <c r="AH2007" s="2">
        <v>6563.2072249661996</v>
      </c>
      <c r="AI2007" s="2">
        <v>5901.9687288740597</v>
      </c>
      <c r="AJ2007" s="2">
        <v>6818.0083559754303</v>
      </c>
      <c r="AK2007" s="2">
        <v>16082.254558328001</v>
      </c>
      <c r="AL2007" s="2">
        <v>15660.6782047616</v>
      </c>
      <c r="AM2007" s="2">
        <v>18909.673577234498</v>
      </c>
      <c r="AN2007" s="2">
        <v>18272.051964889801</v>
      </c>
      <c r="AO2007" s="2">
        <v>14585.916773758399</v>
      </c>
      <c r="AP2007" s="2">
        <v>18833.212196906199</v>
      </c>
    </row>
    <row r="2008" spans="1:42" ht="14.5" x14ac:dyDescent="0.35">
      <c r="A2008" s="2" t="s">
        <v>13486</v>
      </c>
      <c r="B2008" s="2">
        <v>945.41129047970105</v>
      </c>
      <c r="C2008" s="2">
        <v>7.5470166666666696</v>
      </c>
      <c r="D2008" s="2" t="s">
        <v>70</v>
      </c>
      <c r="E2008" s="2" t="s">
        <v>13487</v>
      </c>
      <c r="F2008" s="2">
        <v>212852</v>
      </c>
      <c r="G2008" s="3" t="str">
        <f>HYPERLINK("http://funmeta.oebiotech.com/network/212852", "http://funmeta.oebiotech.com/network/212852")</f>
        <v>http://funmeta.oebiotech.com/network/212852</v>
      </c>
      <c r="H2008" s="2" t="s">
        <v>13488</v>
      </c>
      <c r="I2008" s="2"/>
      <c r="J2008" s="2"/>
      <c r="K2008" s="2"/>
      <c r="L2008" s="2"/>
      <c r="M2008" s="2"/>
      <c r="N2008" s="2"/>
      <c r="O2008" s="2"/>
      <c r="P2008" s="2"/>
      <c r="Q2008" s="2" t="s">
        <v>13489</v>
      </c>
      <c r="R2008" s="2" t="s">
        <v>13490</v>
      </c>
      <c r="S2008" s="2" t="s">
        <v>41</v>
      </c>
      <c r="T2008" s="2" t="s">
        <v>41</v>
      </c>
      <c r="U2008" s="2" t="s">
        <v>41</v>
      </c>
      <c r="V2008" s="2" t="s">
        <v>59</v>
      </c>
      <c r="W2008" s="2">
        <v>38.5</v>
      </c>
      <c r="X2008" s="2">
        <v>0</v>
      </c>
      <c r="Y2008" s="2" t="s">
        <v>118</v>
      </c>
      <c r="Z2008" s="2" t="s">
        <v>13491</v>
      </c>
      <c r="AA2008" s="2">
        <v>1.50289124513011</v>
      </c>
      <c r="AB2008" s="2">
        <v>0.40272776606577598</v>
      </c>
      <c r="AC2008" s="2">
        <v>85677.073209877199</v>
      </c>
      <c r="AD2008" s="2">
        <v>99336.215781498497</v>
      </c>
      <c r="AE2008" s="2">
        <v>84401.786789880105</v>
      </c>
      <c r="AF2008" s="2">
        <v>74689.320339337093</v>
      </c>
      <c r="AG2008" s="2">
        <v>85297.8439559369</v>
      </c>
      <c r="AH2008" s="2">
        <v>85742.598181586407</v>
      </c>
      <c r="AI2008" s="2">
        <v>95705.434242221396</v>
      </c>
      <c r="AJ2008" s="2">
        <v>88225.455750301393</v>
      </c>
      <c r="AK2008" s="2">
        <v>106487.461106438</v>
      </c>
      <c r="AL2008" s="2">
        <v>92869.870440684899</v>
      </c>
      <c r="AM2008" s="2">
        <v>99013.579597456395</v>
      </c>
      <c r="AN2008" s="2">
        <v>94321.258287601799</v>
      </c>
      <c r="AO2008" s="2">
        <v>98191.112776059104</v>
      </c>
      <c r="AP2008" s="2">
        <v>105134.012480751</v>
      </c>
    </row>
    <row r="2009" spans="1:42" ht="14.5" x14ac:dyDescent="0.35">
      <c r="A2009" s="2" t="s">
        <v>13492</v>
      </c>
      <c r="B2009" s="2">
        <v>545.34465482329404</v>
      </c>
      <c r="C2009" s="2">
        <v>12.500783333333301</v>
      </c>
      <c r="D2009" s="2" t="s">
        <v>34</v>
      </c>
      <c r="E2009" s="2" t="s">
        <v>13493</v>
      </c>
      <c r="F2009" s="2">
        <v>44141</v>
      </c>
      <c r="G2009" s="3" t="str">
        <f>HYPERLINK("http://funmeta.oebiotech.com/network/44141", "http://funmeta.oebiotech.com/network/44141")</f>
        <v>http://funmeta.oebiotech.com/network/44141</v>
      </c>
      <c r="H2009" s="2"/>
      <c r="I2009" s="2"/>
      <c r="J2009" s="2" t="s">
        <v>13494</v>
      </c>
      <c r="K2009" s="2"/>
      <c r="L2009" s="2"/>
      <c r="M2009" s="2"/>
      <c r="N2009" s="2"/>
      <c r="O2009" s="2">
        <v>146682902</v>
      </c>
      <c r="P2009" s="2"/>
      <c r="Q2009" s="2" t="s">
        <v>13495</v>
      </c>
      <c r="R2009" s="2" t="s">
        <v>13496</v>
      </c>
      <c r="S2009" s="2" t="s">
        <v>50</v>
      </c>
      <c r="T2009" s="2" t="s">
        <v>124</v>
      </c>
      <c r="U2009" s="2" t="s">
        <v>723</v>
      </c>
      <c r="V2009" s="2" t="s">
        <v>59</v>
      </c>
      <c r="W2009" s="2">
        <v>38.9</v>
      </c>
      <c r="X2009" s="2">
        <v>0</v>
      </c>
      <c r="Y2009" s="2" t="s">
        <v>323</v>
      </c>
      <c r="Z2009" s="2" t="s">
        <v>13497</v>
      </c>
      <c r="AA2009" s="2">
        <v>-0.420780600931009</v>
      </c>
      <c r="AB2009" s="2">
        <v>0.40230684652982002</v>
      </c>
      <c r="AC2009" s="2">
        <v>18337.782009438699</v>
      </c>
      <c r="AD2009" s="2">
        <v>29582.5176167557</v>
      </c>
      <c r="AE2009" s="2">
        <v>17696.939481220401</v>
      </c>
      <c r="AF2009" s="2">
        <v>18963.726227201601</v>
      </c>
      <c r="AG2009" s="2">
        <v>20095.380258751899</v>
      </c>
      <c r="AH2009" s="2">
        <v>20293.168091375901</v>
      </c>
      <c r="AI2009" s="2">
        <v>16289.0066792041</v>
      </c>
      <c r="AJ2009" s="2">
        <v>16688.471318878001</v>
      </c>
      <c r="AK2009" s="2">
        <v>25660.370135442201</v>
      </c>
      <c r="AL2009" s="2">
        <v>30665.797742748</v>
      </c>
      <c r="AM2009" s="2">
        <v>29141.923902451101</v>
      </c>
      <c r="AN2009" s="2">
        <v>28321.241437516601</v>
      </c>
      <c r="AO2009" s="2">
        <v>31940.520134708899</v>
      </c>
      <c r="AP2009" s="2">
        <v>31765.252347667301</v>
      </c>
    </row>
    <row r="2010" spans="1:42" ht="14.5" x14ac:dyDescent="0.35">
      <c r="A2010" s="2" t="s">
        <v>13498</v>
      </c>
      <c r="B2010" s="2">
        <v>747.21120370581298</v>
      </c>
      <c r="C2010" s="2">
        <v>3.5591666666666701</v>
      </c>
      <c r="D2010" s="2" t="s">
        <v>70</v>
      </c>
      <c r="E2010" s="2" t="s">
        <v>13499</v>
      </c>
      <c r="F2010" s="2">
        <v>62252</v>
      </c>
      <c r="G2010" s="3" t="str">
        <f>HYPERLINK("http://funmeta.oebiotech.com/network/62252", "http://funmeta.oebiotech.com/network/62252")</f>
        <v>http://funmeta.oebiotech.com/network/62252</v>
      </c>
      <c r="H2010" s="2" t="s">
        <v>13500</v>
      </c>
      <c r="I2010" s="2">
        <v>93541</v>
      </c>
      <c r="J2010" s="2"/>
      <c r="K2010" s="2"/>
      <c r="L2010" s="2"/>
      <c r="M2010" s="2"/>
      <c r="N2010" s="2"/>
      <c r="O2010" s="2">
        <v>14825498</v>
      </c>
      <c r="P2010" s="2" t="s">
        <v>13501</v>
      </c>
      <c r="Q2010" s="2" t="s">
        <v>13502</v>
      </c>
      <c r="R2010" s="2" t="s">
        <v>13503</v>
      </c>
      <c r="S2010" s="2" t="s">
        <v>1184</v>
      </c>
      <c r="T2010" s="2" t="s">
        <v>1185</v>
      </c>
      <c r="U2010" s="2" t="s">
        <v>41</v>
      </c>
      <c r="V2010" s="2" t="s">
        <v>59</v>
      </c>
      <c r="W2010" s="2">
        <v>39.799999999999997</v>
      </c>
      <c r="X2010" s="2">
        <v>11</v>
      </c>
      <c r="Y2010" s="2" t="s">
        <v>408</v>
      </c>
      <c r="Z2010" s="2" t="s">
        <v>13504</v>
      </c>
      <c r="AA2010" s="2">
        <v>-4.2498260790736397</v>
      </c>
      <c r="AB2010" s="2">
        <v>0.40223907334430198</v>
      </c>
      <c r="AC2010" s="2">
        <v>14689.6166547228</v>
      </c>
      <c r="AD2010" s="2">
        <v>3996.0640995379399</v>
      </c>
      <c r="AE2010" s="2">
        <v>15823.841412768301</v>
      </c>
      <c r="AF2010" s="2">
        <v>13931.438770421701</v>
      </c>
      <c r="AG2010" s="2">
        <v>13461.7047570257</v>
      </c>
      <c r="AH2010" s="2">
        <v>15251.9669834038</v>
      </c>
      <c r="AI2010" s="2">
        <v>14454.946347315999</v>
      </c>
      <c r="AJ2010" s="2">
        <v>15213.8016574014</v>
      </c>
      <c r="AK2010" s="2">
        <v>3483.4396228794899</v>
      </c>
      <c r="AL2010" s="2">
        <v>4022.1306886023299</v>
      </c>
      <c r="AM2010" s="2">
        <v>3948.9131500159201</v>
      </c>
      <c r="AN2010" s="2">
        <v>4587.5128670397798</v>
      </c>
      <c r="AO2010" s="2">
        <v>3847.5051167347401</v>
      </c>
      <c r="AP2010" s="2">
        <v>4086.8831519553601</v>
      </c>
    </row>
    <row r="2011" spans="1:42" ht="14.5" x14ac:dyDescent="0.35">
      <c r="A2011" s="2" t="s">
        <v>13505</v>
      </c>
      <c r="B2011" s="2">
        <v>120.080754829968</v>
      </c>
      <c r="C2011" s="2">
        <v>2.1824499999999998</v>
      </c>
      <c r="D2011" s="2" t="s">
        <v>34</v>
      </c>
      <c r="E2011" s="2" t="s">
        <v>13506</v>
      </c>
      <c r="F2011" s="2">
        <v>207808</v>
      </c>
      <c r="G2011" s="3" t="str">
        <f>HYPERLINK("http://funmeta.oebiotech.com/network/207808", "http://funmeta.oebiotech.com/network/207808")</f>
        <v>http://funmeta.oebiotech.com/network/207808</v>
      </c>
      <c r="H2011" s="2" t="s">
        <v>13507</v>
      </c>
      <c r="I2011" s="2">
        <v>327013</v>
      </c>
      <c r="J2011" s="2"/>
      <c r="K2011" s="2">
        <v>43295</v>
      </c>
      <c r="L2011" s="2"/>
      <c r="M2011" s="2"/>
      <c r="N2011" s="2"/>
      <c r="O2011" s="2">
        <v>10328</v>
      </c>
      <c r="P2011" s="2"/>
      <c r="Q2011" s="2" t="s">
        <v>13508</v>
      </c>
      <c r="R2011" s="2" t="s">
        <v>13509</v>
      </c>
      <c r="S2011" s="2" t="s">
        <v>491</v>
      </c>
      <c r="T2011" s="2" t="s">
        <v>2184</v>
      </c>
      <c r="U2011" s="2" t="s">
        <v>13266</v>
      </c>
      <c r="V2011" s="2" t="s">
        <v>59</v>
      </c>
      <c r="W2011" s="2">
        <v>47.1</v>
      </c>
      <c r="X2011" s="2">
        <v>44.3</v>
      </c>
      <c r="Y2011" s="2" t="s">
        <v>394</v>
      </c>
      <c r="Z2011" s="2" t="s">
        <v>13510</v>
      </c>
      <c r="AA2011" s="2">
        <v>-0.17548373108725299</v>
      </c>
      <c r="AB2011" s="2">
        <v>0.401985773610264</v>
      </c>
      <c r="AC2011" s="2">
        <v>52391.5347649494</v>
      </c>
      <c r="AD2011" s="2">
        <v>41625.656483340201</v>
      </c>
      <c r="AE2011" s="2">
        <v>51922.654084048001</v>
      </c>
      <c r="AF2011" s="2">
        <v>52570.947639330101</v>
      </c>
      <c r="AG2011" s="2">
        <v>54103.885252120999</v>
      </c>
      <c r="AH2011" s="2">
        <v>52813.4187578481</v>
      </c>
      <c r="AI2011" s="2">
        <v>50921.429777737001</v>
      </c>
      <c r="AJ2011" s="2">
        <v>52016.873078612298</v>
      </c>
      <c r="AK2011" s="2">
        <v>39637.261989728802</v>
      </c>
      <c r="AL2011" s="2">
        <v>41378.068331783099</v>
      </c>
      <c r="AM2011" s="2">
        <v>42790.134072554698</v>
      </c>
      <c r="AN2011" s="2">
        <v>41520.136317537901</v>
      </c>
      <c r="AO2011" s="2">
        <v>41946.863381107898</v>
      </c>
      <c r="AP2011" s="2">
        <v>42481.474807328901</v>
      </c>
    </row>
    <row r="2012" spans="1:42" ht="14.5" x14ac:dyDescent="0.35">
      <c r="A2012" s="2" t="s">
        <v>13511</v>
      </c>
      <c r="B2012" s="2">
        <v>212.851729855939</v>
      </c>
      <c r="C2012" s="2">
        <v>0.68611666666666704</v>
      </c>
      <c r="D2012" s="2" t="s">
        <v>34</v>
      </c>
      <c r="E2012" s="2" t="s">
        <v>13512</v>
      </c>
      <c r="F2012" s="2">
        <v>256298</v>
      </c>
      <c r="G2012" s="3" t="str">
        <f>HYPERLINK("http://funmeta.oebiotech.com/network/256298", "http://funmeta.oebiotech.com/network/256298")</f>
        <v>http://funmeta.oebiotech.com/network/256298</v>
      </c>
      <c r="H2012" s="2" t="s">
        <v>13513</v>
      </c>
      <c r="I2012" s="2"/>
      <c r="J2012" s="2"/>
      <c r="K2012" s="2">
        <v>131527</v>
      </c>
      <c r="L2012" s="2" t="s">
        <v>13514</v>
      </c>
      <c r="M2012" s="2"/>
      <c r="N2012" s="2"/>
      <c r="O2012" s="2">
        <v>24450</v>
      </c>
      <c r="P2012" s="2"/>
      <c r="Q2012" s="2" t="s">
        <v>13515</v>
      </c>
      <c r="R2012" s="2" t="s">
        <v>13516</v>
      </c>
      <c r="S2012" s="2" t="s">
        <v>7696</v>
      </c>
      <c r="T2012" s="2" t="s">
        <v>7697</v>
      </c>
      <c r="U2012" s="2" t="s">
        <v>13517</v>
      </c>
      <c r="V2012" s="2" t="s">
        <v>59</v>
      </c>
      <c r="W2012" s="2">
        <v>37.1</v>
      </c>
      <c r="X2012" s="2">
        <v>0</v>
      </c>
      <c r="Y2012" s="2" t="s">
        <v>13518</v>
      </c>
      <c r="Z2012" s="2" t="s">
        <v>13519</v>
      </c>
      <c r="AA2012" s="2">
        <v>-0.49873506279269297</v>
      </c>
      <c r="AB2012" s="2">
        <v>0.40155458533349903</v>
      </c>
      <c r="AC2012" s="2">
        <v>78924.349567577607</v>
      </c>
      <c r="AD2012" s="2">
        <v>98689.946395905194</v>
      </c>
      <c r="AE2012" s="2">
        <v>74828.021790565603</v>
      </c>
      <c r="AF2012" s="2">
        <v>90617.846279945297</v>
      </c>
      <c r="AG2012" s="2">
        <v>77999.956385312995</v>
      </c>
      <c r="AH2012" s="2">
        <v>85506.478165304899</v>
      </c>
      <c r="AI2012" s="2">
        <v>63450.795575137498</v>
      </c>
      <c r="AJ2012" s="2">
        <v>81142.999209199203</v>
      </c>
      <c r="AK2012" s="2">
        <v>94309.967993635204</v>
      </c>
      <c r="AL2012" s="2">
        <v>83390.312835053104</v>
      </c>
      <c r="AM2012" s="2">
        <v>124686.905940645</v>
      </c>
      <c r="AN2012" s="2">
        <v>128011.970446589</v>
      </c>
      <c r="AO2012" s="2">
        <v>87222.984256306197</v>
      </c>
      <c r="AP2012" s="2">
        <v>74517.536903202505</v>
      </c>
    </row>
    <row r="2013" spans="1:42" ht="14.5" x14ac:dyDescent="0.35">
      <c r="A2013" s="2" t="s">
        <v>13520</v>
      </c>
      <c r="B2013" s="2">
        <v>315.07211739740802</v>
      </c>
      <c r="C2013" s="2">
        <v>2.5205166666666701</v>
      </c>
      <c r="D2013" s="2" t="s">
        <v>70</v>
      </c>
      <c r="E2013" s="2" t="s">
        <v>13521</v>
      </c>
      <c r="F2013" s="2">
        <v>207167</v>
      </c>
      <c r="G2013" s="3" t="str">
        <f>HYPERLINK("http://funmeta.oebiotech.com/network/207167", "http://funmeta.oebiotech.com/network/207167")</f>
        <v>http://funmeta.oebiotech.com/network/207167</v>
      </c>
      <c r="H2013" s="2" t="s">
        <v>13522</v>
      </c>
      <c r="I2013" s="2"/>
      <c r="J2013" s="2"/>
      <c r="K2013" s="2"/>
      <c r="L2013" s="2"/>
      <c r="M2013" s="2"/>
      <c r="N2013" s="2"/>
      <c r="O2013" s="2">
        <v>75037928</v>
      </c>
      <c r="P2013" s="2"/>
      <c r="Q2013" s="2" t="s">
        <v>13523</v>
      </c>
      <c r="R2013" s="2" t="s">
        <v>13524</v>
      </c>
      <c r="S2013" s="2" t="s">
        <v>148</v>
      </c>
      <c r="T2013" s="2" t="s">
        <v>149</v>
      </c>
      <c r="U2013" s="2" t="s">
        <v>1593</v>
      </c>
      <c r="V2013" s="2" t="s">
        <v>59</v>
      </c>
      <c r="W2013" s="2">
        <v>47.3</v>
      </c>
      <c r="X2013" s="2">
        <v>38.700000000000003</v>
      </c>
      <c r="Y2013" s="2" t="s">
        <v>118</v>
      </c>
      <c r="Z2013" s="2" t="s">
        <v>13525</v>
      </c>
      <c r="AA2013" s="2">
        <v>-0.1210447369248</v>
      </c>
      <c r="AB2013" s="2">
        <v>0.40152940843167001</v>
      </c>
      <c r="AC2013" s="2">
        <v>110912.512868922</v>
      </c>
      <c r="AD2013" s="2">
        <v>125169.20836884899</v>
      </c>
      <c r="AE2013" s="2">
        <v>109312.104553204</v>
      </c>
      <c r="AF2013" s="2">
        <v>113590.289530462</v>
      </c>
      <c r="AG2013" s="2">
        <v>116826.221902209</v>
      </c>
      <c r="AH2013" s="2">
        <v>117994.48283962</v>
      </c>
      <c r="AI2013" s="2">
        <v>106880.448850578</v>
      </c>
      <c r="AJ2013" s="2">
        <v>100871.529537462</v>
      </c>
      <c r="AK2013" s="2">
        <v>132009.54811977001</v>
      </c>
      <c r="AL2013" s="2">
        <v>132661.271291465</v>
      </c>
      <c r="AM2013" s="2">
        <v>119929.559146449</v>
      </c>
      <c r="AN2013" s="2">
        <v>120600.292070895</v>
      </c>
      <c r="AO2013" s="2">
        <v>115888.223734154</v>
      </c>
      <c r="AP2013" s="2">
        <v>129926.355850362</v>
      </c>
    </row>
    <row r="2014" spans="1:42" ht="14.5" x14ac:dyDescent="0.35">
      <c r="A2014" s="2" t="s">
        <v>13526</v>
      </c>
      <c r="B2014" s="2">
        <v>681.23183537218597</v>
      </c>
      <c r="C2014" s="2">
        <v>6.7633666666666699</v>
      </c>
      <c r="D2014" s="2" t="s">
        <v>70</v>
      </c>
      <c r="E2014" s="2" t="s">
        <v>13527</v>
      </c>
      <c r="F2014" s="2">
        <v>213101</v>
      </c>
      <c r="G2014" s="3" t="str">
        <f>HYPERLINK("http://funmeta.oebiotech.com/network/213101", "http://funmeta.oebiotech.com/network/213101")</f>
        <v>http://funmeta.oebiotech.com/network/213101</v>
      </c>
      <c r="H2014" s="2" t="s">
        <v>13528</v>
      </c>
      <c r="I2014" s="2">
        <v>411786</v>
      </c>
      <c r="J2014" s="2"/>
      <c r="K2014" s="2"/>
      <c r="L2014" s="2"/>
      <c r="M2014" s="2"/>
      <c r="N2014" s="2"/>
      <c r="O2014" s="2">
        <v>864492</v>
      </c>
      <c r="P2014" s="2"/>
      <c r="Q2014" s="2" t="s">
        <v>13529</v>
      </c>
      <c r="R2014" s="2" t="s">
        <v>13530</v>
      </c>
      <c r="S2014" s="2" t="s">
        <v>41</v>
      </c>
      <c r="T2014" s="2" t="s">
        <v>41</v>
      </c>
      <c r="U2014" s="2" t="s">
        <v>41</v>
      </c>
      <c r="V2014" s="2" t="s">
        <v>59</v>
      </c>
      <c r="W2014" s="2">
        <v>38.299999999999997</v>
      </c>
      <c r="X2014" s="2">
        <v>0</v>
      </c>
      <c r="Y2014" s="2" t="s">
        <v>560</v>
      </c>
      <c r="Z2014" s="2" t="s">
        <v>13531</v>
      </c>
      <c r="AA2014" s="2">
        <v>-0.70931314661197098</v>
      </c>
      <c r="AB2014" s="2">
        <v>0.40117213570412202</v>
      </c>
      <c r="AC2014" s="2">
        <v>12755.6626278596</v>
      </c>
      <c r="AD2014" s="2">
        <v>1999.9377134613001</v>
      </c>
      <c r="AE2014" s="2">
        <v>15234.6600859313</v>
      </c>
      <c r="AF2014" s="2">
        <v>12010.631914286399</v>
      </c>
      <c r="AG2014" s="2">
        <v>11127.219573987901</v>
      </c>
      <c r="AH2014" s="2">
        <v>13322.2995331288</v>
      </c>
      <c r="AI2014" s="2">
        <v>12822.8581214479</v>
      </c>
      <c r="AJ2014" s="2">
        <v>12016.306538375</v>
      </c>
      <c r="AK2014" s="2">
        <v>1340.8704342380299</v>
      </c>
      <c r="AL2014" s="2">
        <v>2302.9635829103199</v>
      </c>
      <c r="AM2014" s="2">
        <v>1517.2540274796299</v>
      </c>
      <c r="AN2014" s="2">
        <v>1563.22677880522</v>
      </c>
      <c r="AO2014" s="2">
        <v>3278.4160730122499</v>
      </c>
      <c r="AP2014" s="2">
        <v>1996.8953843223601</v>
      </c>
    </row>
    <row r="2015" spans="1:42" ht="14.5" x14ac:dyDescent="0.35">
      <c r="A2015" s="2" t="s">
        <v>13532</v>
      </c>
      <c r="B2015" s="2">
        <v>1071.5148823603599</v>
      </c>
      <c r="C2015" s="2">
        <v>6.0864833333333301</v>
      </c>
      <c r="D2015" s="2" t="s">
        <v>70</v>
      </c>
      <c r="E2015" s="2" t="s">
        <v>13533</v>
      </c>
      <c r="F2015" s="2">
        <v>61401</v>
      </c>
      <c r="G2015" s="3" t="str">
        <f>HYPERLINK("http://funmeta.oebiotech.com/network/61401", "http://funmeta.oebiotech.com/network/61401")</f>
        <v>http://funmeta.oebiotech.com/network/61401</v>
      </c>
      <c r="H2015" s="2" t="s">
        <v>13534</v>
      </c>
      <c r="I2015" s="2">
        <v>92722</v>
      </c>
      <c r="J2015" s="2"/>
      <c r="K2015" s="2"/>
      <c r="L2015" s="2"/>
      <c r="M2015" s="2"/>
      <c r="N2015" s="2"/>
      <c r="O2015" s="2">
        <v>14827922</v>
      </c>
      <c r="P2015" s="2" t="s">
        <v>13535</v>
      </c>
      <c r="Q2015" s="2" t="s">
        <v>13536</v>
      </c>
      <c r="R2015" s="2" t="s">
        <v>13537</v>
      </c>
      <c r="S2015" s="2" t="s">
        <v>50</v>
      </c>
      <c r="T2015" s="2" t="s">
        <v>201</v>
      </c>
      <c r="U2015" s="2" t="s">
        <v>202</v>
      </c>
      <c r="V2015" s="2" t="s">
        <v>59</v>
      </c>
      <c r="W2015" s="2">
        <v>36.6</v>
      </c>
      <c r="X2015" s="2">
        <v>0</v>
      </c>
      <c r="Y2015" s="2" t="s">
        <v>751</v>
      </c>
      <c r="Z2015" s="2" t="s">
        <v>13538</v>
      </c>
      <c r="AA2015" s="2">
        <v>-1.95881876094372</v>
      </c>
      <c r="AB2015" s="2">
        <v>0.40110502275239701</v>
      </c>
      <c r="AC2015" s="2">
        <v>21309.424745391101</v>
      </c>
      <c r="AD2015" s="2">
        <v>9676.3714452876593</v>
      </c>
      <c r="AE2015" s="2">
        <v>23686.328607052099</v>
      </c>
      <c r="AF2015" s="2">
        <v>15906.9597642792</v>
      </c>
      <c r="AG2015" s="2">
        <v>26553.130273266001</v>
      </c>
      <c r="AH2015" s="2">
        <v>20511.068645118099</v>
      </c>
      <c r="AI2015" s="2">
        <v>19456.679790257102</v>
      </c>
      <c r="AJ2015" s="2">
        <v>21742.3813923743</v>
      </c>
      <c r="AK2015" s="2">
        <v>10137.090126196899</v>
      </c>
      <c r="AL2015" s="2">
        <v>11662.8479330633</v>
      </c>
      <c r="AM2015" s="2">
        <v>6143.4705780371796</v>
      </c>
      <c r="AN2015" s="2">
        <v>9772.9861182634795</v>
      </c>
      <c r="AO2015" s="2">
        <v>8217.6707891675305</v>
      </c>
      <c r="AP2015" s="2">
        <v>12124.163126997601</v>
      </c>
    </row>
    <row r="2016" spans="1:42" ht="14.5" x14ac:dyDescent="0.35">
      <c r="A2016" s="2" t="s">
        <v>13539</v>
      </c>
      <c r="B2016" s="2">
        <v>366.08285615254601</v>
      </c>
      <c r="C2016" s="2">
        <v>1.4272166666666699</v>
      </c>
      <c r="D2016" s="2" t="s">
        <v>70</v>
      </c>
      <c r="E2016" s="2" t="s">
        <v>13540</v>
      </c>
      <c r="F2016" s="2">
        <v>62190</v>
      </c>
      <c r="G2016" s="3" t="str">
        <f>HYPERLINK("http://funmeta.oebiotech.com/network/62190", "http://funmeta.oebiotech.com/network/62190")</f>
        <v>http://funmeta.oebiotech.com/network/62190</v>
      </c>
      <c r="H2016" s="2" t="s">
        <v>13541</v>
      </c>
      <c r="I2016" s="2"/>
      <c r="J2016" s="2"/>
      <c r="K2016" s="2"/>
      <c r="L2016" s="2"/>
      <c r="M2016" s="2"/>
      <c r="N2016" s="2"/>
      <c r="O2016" s="2">
        <v>13988326</v>
      </c>
      <c r="P2016" s="2" t="s">
        <v>13542</v>
      </c>
      <c r="Q2016" s="2" t="s">
        <v>13543</v>
      </c>
      <c r="R2016" s="2" t="s">
        <v>13544</v>
      </c>
      <c r="S2016" s="2" t="s">
        <v>79</v>
      </c>
      <c r="T2016" s="2" t="s">
        <v>80</v>
      </c>
      <c r="U2016" s="2" t="s">
        <v>81</v>
      </c>
      <c r="V2016" s="2" t="s">
        <v>42</v>
      </c>
      <c r="W2016" s="2">
        <v>54.6</v>
      </c>
      <c r="X2016" s="2">
        <v>76.099999999999994</v>
      </c>
      <c r="Y2016" s="2" t="s">
        <v>118</v>
      </c>
      <c r="Z2016" s="2" t="s">
        <v>13545</v>
      </c>
      <c r="AA2016" s="2">
        <v>-0.54085184806539299</v>
      </c>
      <c r="AB2016" s="2">
        <v>0.401059564310422</v>
      </c>
      <c r="AC2016" s="2">
        <v>36744.483735539499</v>
      </c>
      <c r="AD2016" s="2">
        <v>25384.8439034363</v>
      </c>
      <c r="AE2016" s="2">
        <v>34887.067285899102</v>
      </c>
      <c r="AF2016" s="2">
        <v>34177.588011448897</v>
      </c>
      <c r="AG2016" s="2">
        <v>34926.468596334598</v>
      </c>
      <c r="AH2016" s="2">
        <v>40079.308010237197</v>
      </c>
      <c r="AI2016" s="2">
        <v>37276.5774999235</v>
      </c>
      <c r="AJ2016" s="2">
        <v>39119.8930093936</v>
      </c>
      <c r="AK2016" s="2">
        <v>24387.1147452205</v>
      </c>
      <c r="AL2016" s="2">
        <v>23277.717745103699</v>
      </c>
      <c r="AM2016" s="2">
        <v>23165.715201642201</v>
      </c>
      <c r="AN2016" s="2">
        <v>24990.328637465602</v>
      </c>
      <c r="AO2016" s="2">
        <v>29055.714858289299</v>
      </c>
      <c r="AP2016" s="2">
        <v>27432.472232896402</v>
      </c>
    </row>
    <row r="2017" spans="1:42" ht="14.5" x14ac:dyDescent="0.35">
      <c r="A2017" s="2" t="s">
        <v>13546</v>
      </c>
      <c r="B2017" s="2">
        <v>741.331133864874</v>
      </c>
      <c r="C2017" s="2">
        <v>5.5993333333333304</v>
      </c>
      <c r="D2017" s="2" t="s">
        <v>70</v>
      </c>
      <c r="E2017" s="2" t="s">
        <v>13547</v>
      </c>
      <c r="F2017" s="2">
        <v>208229</v>
      </c>
      <c r="G2017" s="3" t="str">
        <f>HYPERLINK("http://funmeta.oebiotech.com/network/208229", "http://funmeta.oebiotech.com/network/208229")</f>
        <v>http://funmeta.oebiotech.com/network/208229</v>
      </c>
      <c r="H2017" s="2" t="s">
        <v>13548</v>
      </c>
      <c r="I2017" s="2">
        <v>314089</v>
      </c>
      <c r="J2017" s="2"/>
      <c r="K2017" s="2"/>
      <c r="L2017" s="2"/>
      <c r="M2017" s="2"/>
      <c r="N2017" s="2"/>
      <c r="O2017" s="2">
        <v>32593</v>
      </c>
      <c r="P2017" s="2"/>
      <c r="Q2017" s="2" t="s">
        <v>13549</v>
      </c>
      <c r="R2017" s="2" t="s">
        <v>13550</v>
      </c>
      <c r="S2017" s="2" t="s">
        <v>79</v>
      </c>
      <c r="T2017" s="2" t="s">
        <v>80</v>
      </c>
      <c r="U2017" s="2" t="s">
        <v>2820</v>
      </c>
      <c r="V2017" s="2" t="s">
        <v>59</v>
      </c>
      <c r="W2017" s="2">
        <v>38.700000000000003</v>
      </c>
      <c r="X2017" s="2">
        <v>0</v>
      </c>
      <c r="Y2017" s="2" t="s">
        <v>560</v>
      </c>
      <c r="Z2017" s="2" t="s">
        <v>13551</v>
      </c>
      <c r="AA2017" s="2">
        <v>-1.29394482383853</v>
      </c>
      <c r="AB2017" s="2">
        <v>0.40101202741525699</v>
      </c>
      <c r="AC2017" s="2">
        <v>20691.694077159002</v>
      </c>
      <c r="AD2017" s="2">
        <v>9368.8506902029603</v>
      </c>
      <c r="AE2017" s="2">
        <v>25534.084811794401</v>
      </c>
      <c r="AF2017" s="2">
        <v>19334.426744020599</v>
      </c>
      <c r="AG2017" s="2">
        <v>20097.392867924998</v>
      </c>
      <c r="AH2017" s="2">
        <v>23288.034540792301</v>
      </c>
      <c r="AI2017" s="2">
        <v>19472.113013309299</v>
      </c>
      <c r="AJ2017" s="2">
        <v>16424.112485112601</v>
      </c>
      <c r="AK2017" s="2">
        <v>8989.2805125802406</v>
      </c>
      <c r="AL2017" s="2">
        <v>10002.5874518659</v>
      </c>
      <c r="AM2017" s="2">
        <v>8142.2295062276198</v>
      </c>
      <c r="AN2017" s="2">
        <v>8290.3027340322606</v>
      </c>
      <c r="AO2017" s="2">
        <v>9127.66246656773</v>
      </c>
      <c r="AP2017" s="2">
        <v>11661.041469944001</v>
      </c>
    </row>
    <row r="2018" spans="1:42" ht="14.5" x14ac:dyDescent="0.35">
      <c r="A2018" s="2" t="s">
        <v>13552</v>
      </c>
      <c r="B2018" s="2">
        <v>662.114750565603</v>
      </c>
      <c r="C2018" s="2">
        <v>3.82433333333333</v>
      </c>
      <c r="D2018" s="2" t="s">
        <v>70</v>
      </c>
      <c r="E2018" s="2" t="s">
        <v>13553</v>
      </c>
      <c r="F2018" s="2">
        <v>254797</v>
      </c>
      <c r="G2018" s="3" t="str">
        <f>HYPERLINK("http://funmeta.oebiotech.com/network/254797", "http://funmeta.oebiotech.com/network/254797")</f>
        <v>http://funmeta.oebiotech.com/network/254797</v>
      </c>
      <c r="H2018" s="2" t="s">
        <v>13554</v>
      </c>
      <c r="I2018" s="2"/>
      <c r="J2018" s="2"/>
      <c r="K2018" s="2"/>
      <c r="L2018" s="2"/>
      <c r="M2018" s="2"/>
      <c r="N2018" s="2"/>
      <c r="O2018" s="2">
        <v>117842555</v>
      </c>
      <c r="P2018" s="2"/>
      <c r="Q2018" s="2" t="s">
        <v>13555</v>
      </c>
      <c r="R2018" s="2" t="s">
        <v>13556</v>
      </c>
      <c r="S2018" s="2" t="s">
        <v>89</v>
      </c>
      <c r="T2018" s="2" t="s">
        <v>90</v>
      </c>
      <c r="U2018" s="2" t="s">
        <v>99</v>
      </c>
      <c r="V2018" s="2" t="s">
        <v>59</v>
      </c>
      <c r="W2018" s="2">
        <v>37.6</v>
      </c>
      <c r="X2018" s="2">
        <v>0</v>
      </c>
      <c r="Y2018" s="2" t="s">
        <v>408</v>
      </c>
      <c r="Z2018" s="2" t="s">
        <v>13557</v>
      </c>
      <c r="AA2018" s="2">
        <v>0.42053972262077599</v>
      </c>
      <c r="AB2018" s="2">
        <v>0.400516794690216</v>
      </c>
      <c r="AC2018" s="2">
        <v>13683.053743644199</v>
      </c>
      <c r="AD2018" s="2">
        <v>24933.371164313601</v>
      </c>
      <c r="AE2018" s="2">
        <v>12743.3124918181</v>
      </c>
      <c r="AF2018" s="2">
        <v>13479.5772541597</v>
      </c>
      <c r="AG2018" s="2">
        <v>12946.8989516122</v>
      </c>
      <c r="AH2018" s="2">
        <v>16032.7600298661</v>
      </c>
      <c r="AI2018" s="2">
        <v>14795.1821431752</v>
      </c>
      <c r="AJ2018" s="2">
        <v>12100.591591233901</v>
      </c>
      <c r="AK2018" s="2">
        <v>21312.942740120099</v>
      </c>
      <c r="AL2018" s="2">
        <v>28251.554578585601</v>
      </c>
      <c r="AM2018" s="2">
        <v>25057.124353451301</v>
      </c>
      <c r="AN2018" s="2">
        <v>21625.540051707601</v>
      </c>
      <c r="AO2018" s="2">
        <v>27726.0097234815</v>
      </c>
      <c r="AP2018" s="2">
        <v>25627.055538535202</v>
      </c>
    </row>
    <row r="2019" spans="1:42" ht="14.5" x14ac:dyDescent="0.35">
      <c r="A2019" s="2" t="s">
        <v>13558</v>
      </c>
      <c r="B2019" s="2">
        <v>461.10894493222202</v>
      </c>
      <c r="C2019" s="2">
        <v>5.0964166666666699</v>
      </c>
      <c r="D2019" s="2" t="s">
        <v>70</v>
      </c>
      <c r="E2019" s="2" t="s">
        <v>13559</v>
      </c>
      <c r="F2019" s="2">
        <v>31241</v>
      </c>
      <c r="G2019" s="3" t="str">
        <f>HYPERLINK("http://funmeta.oebiotech.com/network/31241", "http://funmeta.oebiotech.com/network/31241")</f>
        <v>http://funmeta.oebiotech.com/network/31241</v>
      </c>
      <c r="H2019" s="2"/>
      <c r="I2019" s="2">
        <v>49577</v>
      </c>
      <c r="J2019" s="2" t="s">
        <v>13560</v>
      </c>
      <c r="K2019" s="2"/>
      <c r="L2019" s="2"/>
      <c r="M2019" s="2"/>
      <c r="N2019" s="2"/>
      <c r="O2019" s="2">
        <v>24123443</v>
      </c>
      <c r="P2019" s="2"/>
      <c r="Q2019" s="2" t="s">
        <v>13561</v>
      </c>
      <c r="R2019" s="2" t="s">
        <v>13562</v>
      </c>
      <c r="S2019" s="2" t="s">
        <v>115</v>
      </c>
      <c r="T2019" s="2" t="s">
        <v>139</v>
      </c>
      <c r="U2019" s="2" t="s">
        <v>140</v>
      </c>
      <c r="V2019" s="2" t="s">
        <v>42</v>
      </c>
      <c r="W2019" s="2">
        <v>50.8</v>
      </c>
      <c r="X2019" s="2">
        <v>59.3</v>
      </c>
      <c r="Y2019" s="2" t="s">
        <v>118</v>
      </c>
      <c r="Z2019" s="2" t="s">
        <v>13563</v>
      </c>
      <c r="AA2019" s="2">
        <v>2.13009674455223E-2</v>
      </c>
      <c r="AB2019" s="2">
        <v>0.40032251118164902</v>
      </c>
      <c r="AC2019" s="2">
        <v>48861.2228756193</v>
      </c>
      <c r="AD2019" s="2">
        <v>37699.353564830497</v>
      </c>
      <c r="AE2019" s="2">
        <v>50487.297518642103</v>
      </c>
      <c r="AF2019" s="2">
        <v>45248.321470526302</v>
      </c>
      <c r="AG2019" s="2">
        <v>50959.604551848199</v>
      </c>
      <c r="AH2019" s="2">
        <v>49129.237483067598</v>
      </c>
      <c r="AI2019" s="2">
        <v>45127.372809767003</v>
      </c>
      <c r="AJ2019" s="2">
        <v>52215.503419864697</v>
      </c>
      <c r="AK2019" s="2">
        <v>37575.477281586798</v>
      </c>
      <c r="AL2019" s="2">
        <v>39334.621193001702</v>
      </c>
      <c r="AM2019" s="2">
        <v>37397.544209056097</v>
      </c>
      <c r="AN2019" s="2">
        <v>36750.012844499703</v>
      </c>
      <c r="AO2019" s="2">
        <v>36398.393151447402</v>
      </c>
      <c r="AP2019" s="2">
        <v>38740.072709391403</v>
      </c>
    </row>
    <row r="2020" spans="1:42" ht="14.5" x14ac:dyDescent="0.35">
      <c r="A2020" s="2" t="s">
        <v>13564</v>
      </c>
      <c r="B2020" s="2">
        <v>325.14431304415001</v>
      </c>
      <c r="C2020" s="2">
        <v>7.2989833333333296</v>
      </c>
      <c r="D2020" s="2" t="s">
        <v>70</v>
      </c>
      <c r="E2020" s="2" t="s">
        <v>13565</v>
      </c>
      <c r="F2020" s="2">
        <v>56053</v>
      </c>
      <c r="G2020" s="3" t="str">
        <f>HYPERLINK("http://funmeta.oebiotech.com/network/56053", "http://funmeta.oebiotech.com/network/56053")</f>
        <v>http://funmeta.oebiotech.com/network/56053</v>
      </c>
      <c r="H2020" s="2" t="s">
        <v>13566</v>
      </c>
      <c r="I2020" s="2">
        <v>87743</v>
      </c>
      <c r="J2020" s="2"/>
      <c r="K2020" s="2"/>
      <c r="L2020" s="2"/>
      <c r="M2020" s="2"/>
      <c r="N2020" s="2"/>
      <c r="O2020" s="2">
        <v>16116346</v>
      </c>
      <c r="P2020" s="2" t="s">
        <v>13567</v>
      </c>
      <c r="Q2020" s="2" t="s">
        <v>13568</v>
      </c>
      <c r="R2020" s="2" t="s">
        <v>13569</v>
      </c>
      <c r="S2020" s="2" t="s">
        <v>115</v>
      </c>
      <c r="T2020" s="2" t="s">
        <v>575</v>
      </c>
      <c r="U2020" s="2" t="s">
        <v>4232</v>
      </c>
      <c r="V2020" s="2" t="s">
        <v>42</v>
      </c>
      <c r="W2020" s="2">
        <v>48.3</v>
      </c>
      <c r="X2020" s="2">
        <v>48</v>
      </c>
      <c r="Y2020" s="2" t="s">
        <v>498</v>
      </c>
      <c r="Z2020" s="2" t="s">
        <v>13570</v>
      </c>
      <c r="AA2020" s="2">
        <v>-0.67363609204305397</v>
      </c>
      <c r="AB2020" s="2">
        <v>0.40015451014020398</v>
      </c>
      <c r="AC2020" s="2">
        <v>20182.680531254999</v>
      </c>
      <c r="AD2020" s="2">
        <v>9522.5256825580309</v>
      </c>
      <c r="AE2020" s="2">
        <v>21742.174100222201</v>
      </c>
      <c r="AF2020" s="2">
        <v>19263.820750203598</v>
      </c>
      <c r="AG2020" s="2">
        <v>20000.2087686142</v>
      </c>
      <c r="AH2020" s="2">
        <v>19023.802044563101</v>
      </c>
      <c r="AI2020" s="2">
        <v>20716.415591560599</v>
      </c>
      <c r="AJ2020" s="2">
        <v>20349.6619323661</v>
      </c>
      <c r="AK2020" s="2">
        <v>9756.6293167553304</v>
      </c>
      <c r="AL2020" s="2">
        <v>10328.762833078599</v>
      </c>
      <c r="AM2020" s="2">
        <v>9717.9801916391098</v>
      </c>
      <c r="AN2020" s="2">
        <v>9027.4612515947701</v>
      </c>
      <c r="AO2020" s="2">
        <v>10491.7988753384</v>
      </c>
      <c r="AP2020" s="2">
        <v>7812.5216269419598</v>
      </c>
    </row>
    <row r="2021" spans="1:42" ht="14.5" x14ac:dyDescent="0.35">
      <c r="A2021" s="2" t="s">
        <v>13571</v>
      </c>
      <c r="B2021" s="2">
        <v>635.19618193014605</v>
      </c>
      <c r="C2021" s="2">
        <v>1.6275333333333299</v>
      </c>
      <c r="D2021" s="2" t="s">
        <v>34</v>
      </c>
      <c r="E2021" s="2" t="s">
        <v>13572</v>
      </c>
      <c r="F2021" s="2">
        <v>266667</v>
      </c>
      <c r="G2021" s="3" t="str">
        <f>HYPERLINK("http://funmeta.oebiotech.com/network/266667", "http://funmeta.oebiotech.com/network/266667")</f>
        <v>http://funmeta.oebiotech.com/network/266667</v>
      </c>
      <c r="H2021" s="2"/>
      <c r="I2021" s="2">
        <v>43746</v>
      </c>
      <c r="J2021" s="2"/>
      <c r="K2021" s="2"/>
      <c r="L2021" s="2"/>
      <c r="M2021" s="2"/>
      <c r="N2021" s="2"/>
      <c r="O2021" s="2">
        <v>30231</v>
      </c>
      <c r="P2021" s="2" t="s">
        <v>13573</v>
      </c>
      <c r="Q2021" s="2" t="s">
        <v>13574</v>
      </c>
      <c r="R2021" s="2" t="s">
        <v>13575</v>
      </c>
      <c r="S2021" s="2" t="s">
        <v>115</v>
      </c>
      <c r="T2021" s="2" t="s">
        <v>139</v>
      </c>
      <c r="U2021" s="2" t="s">
        <v>140</v>
      </c>
      <c r="V2021" s="2" t="s">
        <v>59</v>
      </c>
      <c r="W2021" s="2">
        <v>38.700000000000003</v>
      </c>
      <c r="X2021" s="2">
        <v>0</v>
      </c>
      <c r="Y2021" s="2" t="s">
        <v>323</v>
      </c>
      <c r="Z2021" s="2" t="s">
        <v>13576</v>
      </c>
      <c r="AA2021" s="2">
        <v>2.51680591933403</v>
      </c>
      <c r="AB2021" s="2">
        <v>0.39966779975433397</v>
      </c>
      <c r="AC2021" s="2">
        <v>11902.082973890299</v>
      </c>
      <c r="AD2021" s="2">
        <v>22746.357139809501</v>
      </c>
      <c r="AE2021" s="2">
        <v>10713.512088109999</v>
      </c>
      <c r="AF2021" s="2">
        <v>12341.9801302296</v>
      </c>
      <c r="AG2021" s="2">
        <v>12838.8350664636</v>
      </c>
      <c r="AH2021" s="2">
        <v>10749.960680279701</v>
      </c>
      <c r="AI2021" s="2">
        <v>11580.1198483758</v>
      </c>
      <c r="AJ2021" s="2">
        <v>13188.0900298833</v>
      </c>
      <c r="AK2021" s="2">
        <v>22997.276057631399</v>
      </c>
      <c r="AL2021" s="2">
        <v>23155.655773663599</v>
      </c>
      <c r="AM2021" s="2">
        <v>21199.094314634</v>
      </c>
      <c r="AN2021" s="2">
        <v>26282.547758514898</v>
      </c>
      <c r="AO2021" s="2">
        <v>20810.491900970799</v>
      </c>
      <c r="AP2021" s="2">
        <v>22033.0770334423</v>
      </c>
    </row>
    <row r="2022" spans="1:42" ht="14.5" x14ac:dyDescent="0.35">
      <c r="A2022" s="2" t="s">
        <v>13577</v>
      </c>
      <c r="B2022" s="2">
        <v>449.21364928565202</v>
      </c>
      <c r="C2022" s="2">
        <v>8.91503333333333</v>
      </c>
      <c r="D2022" s="2" t="s">
        <v>70</v>
      </c>
      <c r="E2022" s="2" t="s">
        <v>13578</v>
      </c>
      <c r="F2022" s="2">
        <v>64962</v>
      </c>
      <c r="G2022" s="3" t="str">
        <f>HYPERLINK("http://funmeta.oebiotech.com/network/64962", "http://funmeta.oebiotech.com/network/64962")</f>
        <v>http://funmeta.oebiotech.com/network/64962</v>
      </c>
      <c r="H2022" s="2" t="s">
        <v>13579</v>
      </c>
      <c r="I2022" s="2">
        <v>73258</v>
      </c>
      <c r="J2022" s="2"/>
      <c r="K2022" s="2">
        <v>82589</v>
      </c>
      <c r="L2022" s="2" t="s">
        <v>13580</v>
      </c>
      <c r="M2022" s="2" t="s">
        <v>13581</v>
      </c>
      <c r="N2022" s="2" t="s">
        <v>13582</v>
      </c>
      <c r="O2022" s="2">
        <v>150097</v>
      </c>
      <c r="P2022" s="2" t="s">
        <v>13583</v>
      </c>
      <c r="Q2022" s="2" t="s">
        <v>13584</v>
      </c>
      <c r="R2022" s="2" t="s">
        <v>13585</v>
      </c>
      <c r="S2022" s="2" t="s">
        <v>491</v>
      </c>
      <c r="T2022" s="2" t="s">
        <v>2238</v>
      </c>
      <c r="U2022" s="2" t="s">
        <v>13586</v>
      </c>
      <c r="V2022" s="2" t="s">
        <v>59</v>
      </c>
      <c r="W2022" s="2">
        <v>38.4</v>
      </c>
      <c r="X2022" s="2">
        <v>0</v>
      </c>
      <c r="Y2022" s="2" t="s">
        <v>560</v>
      </c>
      <c r="Z2022" s="2" t="s">
        <v>13587</v>
      </c>
      <c r="AA2022" s="2">
        <v>-3.9024924228704201</v>
      </c>
      <c r="AB2022" s="2">
        <v>0.39938263283960102</v>
      </c>
      <c r="AC2022" s="2">
        <v>62.503282699524298</v>
      </c>
      <c r="AD2022" s="2">
        <v>10569.5506491377</v>
      </c>
      <c r="AE2022" s="2">
        <v>66.511731934016396</v>
      </c>
      <c r="AF2022" s="2">
        <v>80.746933391613794</v>
      </c>
      <c r="AG2022" s="2">
        <v>135.20820874887099</v>
      </c>
      <c r="AH2022" s="2">
        <v>92.552767910056701</v>
      </c>
      <c r="AI2022" s="2">
        <v>2.7106294003980101E-5</v>
      </c>
      <c r="AJ2022" s="2">
        <v>2.7106294003980101E-5</v>
      </c>
      <c r="AK2022" s="2">
        <v>11129.342833438801</v>
      </c>
      <c r="AL2022" s="2">
        <v>11157.5293929447</v>
      </c>
      <c r="AM2022" s="2">
        <v>11232.0923733033</v>
      </c>
      <c r="AN2022" s="2">
        <v>10136.0645009359</v>
      </c>
      <c r="AO2022" s="2">
        <v>9954.1840312315708</v>
      </c>
      <c r="AP2022" s="2">
        <v>9808.0907629719804</v>
      </c>
    </row>
    <row r="2023" spans="1:42" ht="14.5" x14ac:dyDescent="0.35">
      <c r="A2023" s="2" t="s">
        <v>13588</v>
      </c>
      <c r="B2023" s="2">
        <v>849.20288980836403</v>
      </c>
      <c r="C2023" s="2">
        <v>4.4886999999999997</v>
      </c>
      <c r="D2023" s="2" t="s">
        <v>70</v>
      </c>
      <c r="E2023" s="2" t="s">
        <v>13589</v>
      </c>
      <c r="F2023" s="2">
        <v>29120</v>
      </c>
      <c r="G2023" s="3" t="str">
        <f>HYPERLINK("http://funmeta.oebiotech.com/network/29120", "http://funmeta.oebiotech.com/network/29120")</f>
        <v>http://funmeta.oebiotech.com/network/29120</v>
      </c>
      <c r="H2023" s="2"/>
      <c r="I2023" s="2"/>
      <c r="J2023" s="2" t="s">
        <v>13590</v>
      </c>
      <c r="K2023" s="2"/>
      <c r="L2023" s="2" t="s">
        <v>13591</v>
      </c>
      <c r="M2023" s="2"/>
      <c r="N2023" s="2"/>
      <c r="O2023" s="2">
        <v>42607506</v>
      </c>
      <c r="P2023" s="2"/>
      <c r="Q2023" s="2"/>
      <c r="R2023" s="2" t="s">
        <v>13592</v>
      </c>
      <c r="S2023" s="2" t="s">
        <v>115</v>
      </c>
      <c r="T2023" s="2" t="s">
        <v>139</v>
      </c>
      <c r="U2023" s="2" t="s">
        <v>957</v>
      </c>
      <c r="V2023" s="2" t="s">
        <v>42</v>
      </c>
      <c r="W2023" s="2">
        <v>49.8</v>
      </c>
      <c r="X2023" s="2">
        <v>62.7</v>
      </c>
      <c r="Y2023" s="2" t="s">
        <v>118</v>
      </c>
      <c r="Z2023" s="2" t="s">
        <v>13593</v>
      </c>
      <c r="AA2023" s="2">
        <v>-0.86273984040543095</v>
      </c>
      <c r="AB2023" s="2">
        <v>0.399337955145459</v>
      </c>
      <c r="AC2023" s="2">
        <v>46184.627770072402</v>
      </c>
      <c r="AD2023" s="2">
        <v>30091.8531574019</v>
      </c>
      <c r="AE2023" s="2">
        <v>38549.226633930499</v>
      </c>
      <c r="AF2023" s="2">
        <v>33699.859531294103</v>
      </c>
      <c r="AG2023" s="2">
        <v>41727.113540042199</v>
      </c>
      <c r="AH2023" s="2">
        <v>70781.0221155826</v>
      </c>
      <c r="AI2023" s="2">
        <v>47225.649283443498</v>
      </c>
      <c r="AJ2023" s="2">
        <v>45124.895516141303</v>
      </c>
      <c r="AK2023" s="2">
        <v>19166.753370599599</v>
      </c>
      <c r="AL2023" s="2">
        <v>29097.640785103998</v>
      </c>
      <c r="AM2023" s="2">
        <v>28297.873733748602</v>
      </c>
      <c r="AN2023" s="2">
        <v>34120.364862369897</v>
      </c>
      <c r="AO2023" s="2">
        <v>34455.846108522601</v>
      </c>
      <c r="AP2023" s="2">
        <v>35412.640084066501</v>
      </c>
    </row>
    <row r="2024" spans="1:42" ht="14.5" x14ac:dyDescent="0.35">
      <c r="A2024" s="2" t="s">
        <v>13594</v>
      </c>
      <c r="B2024" s="2">
        <v>1102.5348522688801</v>
      </c>
      <c r="C2024" s="2">
        <v>8.8024666666666693</v>
      </c>
      <c r="D2024" s="2" t="s">
        <v>34</v>
      </c>
      <c r="E2024" s="2" t="s">
        <v>13595</v>
      </c>
      <c r="F2024" s="2">
        <v>244100</v>
      </c>
      <c r="G2024" s="3" t="str">
        <f>HYPERLINK("http://funmeta.oebiotech.com/network/244100", "http://funmeta.oebiotech.com/network/244100")</f>
        <v>http://funmeta.oebiotech.com/network/244100</v>
      </c>
      <c r="H2024" s="2" t="s">
        <v>13596</v>
      </c>
      <c r="I2024" s="2"/>
      <c r="J2024" s="2"/>
      <c r="K2024" s="2"/>
      <c r="L2024" s="2"/>
      <c r="M2024" s="2"/>
      <c r="N2024" s="2"/>
      <c r="O2024" s="2"/>
      <c r="P2024" s="2"/>
      <c r="Q2024" s="2" t="s">
        <v>13597</v>
      </c>
      <c r="R2024" s="2" t="s">
        <v>13598</v>
      </c>
      <c r="S2024" s="2" t="s">
        <v>41</v>
      </c>
      <c r="T2024" s="2" t="s">
        <v>41</v>
      </c>
      <c r="U2024" s="2" t="s">
        <v>41</v>
      </c>
      <c r="V2024" s="2" t="s">
        <v>59</v>
      </c>
      <c r="W2024" s="2">
        <v>38.5</v>
      </c>
      <c r="X2024" s="2">
        <v>0</v>
      </c>
      <c r="Y2024" s="2" t="s">
        <v>323</v>
      </c>
      <c r="Z2024" s="2" t="s">
        <v>13599</v>
      </c>
      <c r="AA2024" s="2">
        <v>-0.32849706542759299</v>
      </c>
      <c r="AB2024" s="2">
        <v>0.39932264033860798</v>
      </c>
      <c r="AC2024" s="2">
        <v>37813.235586699302</v>
      </c>
      <c r="AD2024" s="2">
        <v>26931.2736903527</v>
      </c>
      <c r="AE2024" s="2">
        <v>35018.959420546598</v>
      </c>
      <c r="AF2024" s="2">
        <v>37888.551698978998</v>
      </c>
      <c r="AG2024" s="2">
        <v>37719.165717818403</v>
      </c>
      <c r="AH2024" s="2">
        <v>39097.045714514199</v>
      </c>
      <c r="AI2024" s="2">
        <v>37212.3773550931</v>
      </c>
      <c r="AJ2024" s="2">
        <v>39943.313613244303</v>
      </c>
      <c r="AK2024" s="2">
        <v>25973.314509837601</v>
      </c>
      <c r="AL2024" s="2">
        <v>27219.412751582899</v>
      </c>
      <c r="AM2024" s="2">
        <v>29070.829273523101</v>
      </c>
      <c r="AN2024" s="2">
        <v>27924.1531327741</v>
      </c>
      <c r="AO2024" s="2">
        <v>27136.4735100615</v>
      </c>
      <c r="AP2024" s="2">
        <v>24263.458964336802</v>
      </c>
    </row>
    <row r="2025" spans="1:42" ht="14.5" x14ac:dyDescent="0.35">
      <c r="A2025" s="2" t="s">
        <v>13600</v>
      </c>
      <c r="B2025" s="2">
        <v>536.29943360340098</v>
      </c>
      <c r="C2025" s="2">
        <v>7.4609833333333304</v>
      </c>
      <c r="D2025" s="2" t="s">
        <v>34</v>
      </c>
      <c r="E2025" s="2" t="s">
        <v>13601</v>
      </c>
      <c r="F2025" s="2">
        <v>219683</v>
      </c>
      <c r="G2025" s="3" t="str">
        <f>HYPERLINK("http://funmeta.oebiotech.com/network/219683", "http://funmeta.oebiotech.com/network/219683")</f>
        <v>http://funmeta.oebiotech.com/network/219683</v>
      </c>
      <c r="H2025" s="2" t="s">
        <v>13602</v>
      </c>
      <c r="I2025" s="2"/>
      <c r="J2025" s="2"/>
      <c r="K2025" s="2"/>
      <c r="L2025" s="2"/>
      <c r="M2025" s="2"/>
      <c r="N2025" s="2"/>
      <c r="O2025" s="2"/>
      <c r="P2025" s="2"/>
      <c r="Q2025" s="2" t="s">
        <v>13603</v>
      </c>
      <c r="R2025" s="2" t="s">
        <v>13604</v>
      </c>
      <c r="S2025" s="2" t="s">
        <v>41</v>
      </c>
      <c r="T2025" s="2" t="s">
        <v>41</v>
      </c>
      <c r="U2025" s="2" t="s">
        <v>41</v>
      </c>
      <c r="V2025" s="2" t="s">
        <v>59</v>
      </c>
      <c r="W2025" s="2">
        <v>38.1</v>
      </c>
      <c r="X2025" s="2">
        <v>0</v>
      </c>
      <c r="Y2025" s="2" t="s">
        <v>43</v>
      </c>
      <c r="Z2025" s="2" t="s">
        <v>13605</v>
      </c>
      <c r="AA2025" s="2">
        <v>2.1967323980636499</v>
      </c>
      <c r="AB2025" s="2">
        <v>0.39926333377383499</v>
      </c>
      <c r="AC2025" s="2">
        <v>12902.2674058999</v>
      </c>
      <c r="AD2025" s="2">
        <v>24166.677858558702</v>
      </c>
      <c r="AE2025" s="2">
        <v>16110.838069921099</v>
      </c>
      <c r="AF2025" s="2">
        <v>9613.25875057126</v>
      </c>
      <c r="AG2025" s="2">
        <v>16966.319011751599</v>
      </c>
      <c r="AH2025" s="2">
        <v>11940.229257422099</v>
      </c>
      <c r="AI2025" s="2">
        <v>11717.1606189637</v>
      </c>
      <c r="AJ2025" s="2">
        <v>11065.798726769501</v>
      </c>
      <c r="AK2025" s="2">
        <v>23194.102207395699</v>
      </c>
      <c r="AL2025" s="2">
        <v>21594.265614215601</v>
      </c>
      <c r="AM2025" s="2">
        <v>23974.306392003498</v>
      </c>
      <c r="AN2025" s="2">
        <v>24027.004923386299</v>
      </c>
      <c r="AO2025" s="2">
        <v>26942.572154538</v>
      </c>
      <c r="AP2025" s="2">
        <v>25267.8158598134</v>
      </c>
    </row>
    <row r="2026" spans="1:42" ht="14.5" x14ac:dyDescent="0.35">
      <c r="A2026" s="2" t="s">
        <v>13606</v>
      </c>
      <c r="B2026" s="2">
        <v>596.357503263014</v>
      </c>
      <c r="C2026" s="2">
        <v>7.9372666666666696</v>
      </c>
      <c r="D2026" s="2" t="s">
        <v>34</v>
      </c>
      <c r="E2026" s="2" t="s">
        <v>13607</v>
      </c>
      <c r="F2026" s="2">
        <v>241956</v>
      </c>
      <c r="G2026" s="3" t="str">
        <f>HYPERLINK("http://funmeta.oebiotech.com/network/241956", "http://funmeta.oebiotech.com/network/241956")</f>
        <v>http://funmeta.oebiotech.com/network/241956</v>
      </c>
      <c r="H2026" s="2" t="s">
        <v>13608</v>
      </c>
      <c r="I2026" s="2"/>
      <c r="J2026" s="2"/>
      <c r="K2026" s="2"/>
      <c r="L2026" s="2"/>
      <c r="M2026" s="2"/>
      <c r="N2026" s="2"/>
      <c r="O2026" s="2"/>
      <c r="P2026" s="2"/>
      <c r="Q2026" s="2" t="s">
        <v>13609</v>
      </c>
      <c r="R2026" s="2" t="s">
        <v>13610</v>
      </c>
      <c r="S2026" s="2" t="s">
        <v>41</v>
      </c>
      <c r="T2026" s="2" t="s">
        <v>41</v>
      </c>
      <c r="U2026" s="2" t="s">
        <v>41</v>
      </c>
      <c r="V2026" s="2" t="s">
        <v>42</v>
      </c>
      <c r="W2026" s="2">
        <v>49.2</v>
      </c>
      <c r="X2026" s="2">
        <v>59.4</v>
      </c>
      <c r="Y2026" s="2" t="s">
        <v>67</v>
      </c>
      <c r="Z2026" s="2" t="s">
        <v>13611</v>
      </c>
      <c r="AA2026" s="2">
        <v>2.8441639457079702</v>
      </c>
      <c r="AB2026" s="2">
        <v>0.39885349018053001</v>
      </c>
      <c r="AC2026" s="2">
        <v>1146172.03817254</v>
      </c>
      <c r="AD2026" s="2">
        <v>1179379.86887425</v>
      </c>
      <c r="AE2026" s="2">
        <v>1079379.7321321501</v>
      </c>
      <c r="AF2026" s="2">
        <v>1126054.7692606901</v>
      </c>
      <c r="AG2026" s="2">
        <v>1258822.31380508</v>
      </c>
      <c r="AH2026" s="2">
        <v>1084225.7261384099</v>
      </c>
      <c r="AI2026" s="2">
        <v>1148419.26424803</v>
      </c>
      <c r="AJ2026" s="2">
        <v>1180130.42345089</v>
      </c>
      <c r="AK2026" s="2">
        <v>1188768.0148688799</v>
      </c>
      <c r="AL2026" s="2">
        <v>1168904.7158107599</v>
      </c>
      <c r="AM2026" s="2">
        <v>1230781.26969975</v>
      </c>
      <c r="AN2026" s="2">
        <v>1201205.8459837299</v>
      </c>
      <c r="AO2026" s="2">
        <v>1174304.08142578</v>
      </c>
      <c r="AP2026" s="2">
        <v>1112315.2854566299</v>
      </c>
    </row>
    <row r="2027" spans="1:42" ht="14.5" x14ac:dyDescent="0.35">
      <c r="A2027" s="2" t="s">
        <v>13612</v>
      </c>
      <c r="B2027" s="2">
        <v>367.11745877178203</v>
      </c>
      <c r="C2027" s="2">
        <v>4.8327999999999998</v>
      </c>
      <c r="D2027" s="2" t="s">
        <v>34</v>
      </c>
      <c r="E2027" s="2" t="s">
        <v>13613</v>
      </c>
      <c r="F2027" s="2">
        <v>56559</v>
      </c>
      <c r="G2027" s="3" t="str">
        <f>HYPERLINK("http://funmeta.oebiotech.com/network/56559", "http://funmeta.oebiotech.com/network/56559")</f>
        <v>http://funmeta.oebiotech.com/network/56559</v>
      </c>
      <c r="H2027" s="2" t="s">
        <v>13614</v>
      </c>
      <c r="I2027" s="2">
        <v>88193</v>
      </c>
      <c r="J2027" s="2"/>
      <c r="K2027" s="2">
        <v>169824</v>
      </c>
      <c r="L2027" s="2"/>
      <c r="M2027" s="2"/>
      <c r="N2027" s="2"/>
      <c r="O2027" s="2">
        <v>85243417</v>
      </c>
      <c r="P2027" s="2" t="s">
        <v>13615</v>
      </c>
      <c r="Q2027" s="2" t="s">
        <v>13616</v>
      </c>
      <c r="R2027" s="2" t="s">
        <v>13617</v>
      </c>
      <c r="S2027" s="2" t="s">
        <v>491</v>
      </c>
      <c r="T2027" s="2" t="s">
        <v>12559</v>
      </c>
      <c r="U2027" s="2" t="s">
        <v>41</v>
      </c>
      <c r="V2027" s="2" t="s">
        <v>59</v>
      </c>
      <c r="W2027" s="2">
        <v>38.299999999999997</v>
      </c>
      <c r="X2027" s="2">
        <v>0</v>
      </c>
      <c r="Y2027" s="2" t="s">
        <v>340</v>
      </c>
      <c r="Z2027" s="2" t="s">
        <v>13618</v>
      </c>
      <c r="AA2027" s="2">
        <v>-1.7750666758832601</v>
      </c>
      <c r="AB2027" s="2">
        <v>0.39853324174615401</v>
      </c>
      <c r="AC2027" s="2">
        <v>77634.392693393194</v>
      </c>
      <c r="AD2027" s="2">
        <v>63697.153241944303</v>
      </c>
      <c r="AE2027" s="2">
        <v>85569.071988216296</v>
      </c>
      <c r="AF2027" s="2">
        <v>79606.461789231398</v>
      </c>
      <c r="AG2027" s="2">
        <v>82921.085600211096</v>
      </c>
      <c r="AH2027" s="2">
        <v>76646.924523219699</v>
      </c>
      <c r="AI2027" s="2">
        <v>68014.694346174307</v>
      </c>
      <c r="AJ2027" s="2">
        <v>73048.1179133064</v>
      </c>
      <c r="AK2027" s="2">
        <v>74784.751978402404</v>
      </c>
      <c r="AL2027" s="2">
        <v>68279.613145750802</v>
      </c>
      <c r="AM2027" s="2">
        <v>66997.081828768307</v>
      </c>
      <c r="AN2027" s="2">
        <v>58875.600294463198</v>
      </c>
      <c r="AO2027" s="2">
        <v>58097.315685681097</v>
      </c>
      <c r="AP2027" s="2">
        <v>55148.556518599798</v>
      </c>
    </row>
    <row r="2028" spans="1:42" ht="14.5" x14ac:dyDescent="0.35">
      <c r="A2028" s="2" t="s">
        <v>13619</v>
      </c>
      <c r="B2028" s="2">
        <v>492.135484160359</v>
      </c>
      <c r="C2028" s="2">
        <v>4.2405333333333299</v>
      </c>
      <c r="D2028" s="2" t="s">
        <v>70</v>
      </c>
      <c r="E2028" s="2" t="s">
        <v>13620</v>
      </c>
      <c r="F2028" s="2">
        <v>203476</v>
      </c>
      <c r="G2028" s="3" t="str">
        <f>HYPERLINK("http://funmeta.oebiotech.com/network/203476", "http://funmeta.oebiotech.com/network/203476")</f>
        <v>http://funmeta.oebiotech.com/network/203476</v>
      </c>
      <c r="H2028" s="2" t="s">
        <v>13621</v>
      </c>
      <c r="I2028" s="2"/>
      <c r="J2028" s="2"/>
      <c r="K2028" s="2"/>
      <c r="L2028" s="2"/>
      <c r="M2028" s="2"/>
      <c r="N2028" s="2"/>
      <c r="O2028" s="2">
        <v>11282283</v>
      </c>
      <c r="P2028" s="2"/>
      <c r="Q2028" s="2" t="s">
        <v>13622</v>
      </c>
      <c r="R2028" s="2" t="s">
        <v>13623</v>
      </c>
      <c r="S2028" s="2" t="s">
        <v>491</v>
      </c>
      <c r="T2028" s="2" t="s">
        <v>5190</v>
      </c>
      <c r="U2028" s="2" t="s">
        <v>5191</v>
      </c>
      <c r="V2028" s="2" t="s">
        <v>59</v>
      </c>
      <c r="W2028" s="2">
        <v>42.6</v>
      </c>
      <c r="X2028" s="2">
        <v>27.6</v>
      </c>
      <c r="Y2028" s="2" t="s">
        <v>408</v>
      </c>
      <c r="Z2028" s="2" t="s">
        <v>13624</v>
      </c>
      <c r="AA2028" s="2">
        <v>1.7237111958328899</v>
      </c>
      <c r="AB2028" s="2">
        <v>0.39839662837884599</v>
      </c>
      <c r="AC2028" s="2">
        <v>13326.993645164899</v>
      </c>
      <c r="AD2028" s="2">
        <v>2695.7830375890799</v>
      </c>
      <c r="AE2028" s="2">
        <v>13663.9031332164</v>
      </c>
      <c r="AF2028" s="2">
        <v>11009.6110561081</v>
      </c>
      <c r="AG2028" s="2">
        <v>14635.9776798761</v>
      </c>
      <c r="AH2028" s="2">
        <v>12499.228622737</v>
      </c>
      <c r="AI2028" s="2">
        <v>13274.271386849199</v>
      </c>
      <c r="AJ2028" s="2">
        <v>14878.969992202499</v>
      </c>
      <c r="AK2028" s="2">
        <v>2387.6948217393101</v>
      </c>
      <c r="AL2028" s="2">
        <v>3968.2224939624298</v>
      </c>
      <c r="AM2028" s="2">
        <v>2657.53419310046</v>
      </c>
      <c r="AN2028" s="2">
        <v>3391.6096694621401</v>
      </c>
      <c r="AO2028" s="2">
        <v>2352.9773666298702</v>
      </c>
      <c r="AP2028" s="2">
        <v>1416.6596806402599</v>
      </c>
    </row>
    <row r="2029" spans="1:42" ht="14.5" x14ac:dyDescent="0.35">
      <c r="A2029" s="2" t="s">
        <v>13625</v>
      </c>
      <c r="B2029" s="2">
        <v>865.41960181318098</v>
      </c>
      <c r="C2029" s="2">
        <v>10.28895</v>
      </c>
      <c r="D2029" s="2" t="s">
        <v>70</v>
      </c>
      <c r="E2029" s="2" t="s">
        <v>13626</v>
      </c>
      <c r="F2029" s="2">
        <v>8872</v>
      </c>
      <c r="G2029" s="3" t="str">
        <f>HYPERLINK("http://funmeta.oebiotech.com/network/8872", "http://funmeta.oebiotech.com/network/8872")</f>
        <v>http://funmeta.oebiotech.com/network/8872</v>
      </c>
      <c r="H2029" s="2"/>
      <c r="I2029" s="2"/>
      <c r="J2029" s="2" t="s">
        <v>13627</v>
      </c>
      <c r="K2029" s="2"/>
      <c r="L2029" s="2"/>
      <c r="M2029" s="2"/>
      <c r="N2029" s="2"/>
      <c r="O2029" s="2">
        <v>101705080</v>
      </c>
      <c r="P2029" s="2"/>
      <c r="Q2029" s="2" t="s">
        <v>13628</v>
      </c>
      <c r="R2029" s="2" t="s">
        <v>13629</v>
      </c>
      <c r="S2029" s="2" t="s">
        <v>50</v>
      </c>
      <c r="T2029" s="2" t="s">
        <v>229</v>
      </c>
      <c r="U2029" s="2" t="s">
        <v>766</v>
      </c>
      <c r="V2029" s="2" t="s">
        <v>59</v>
      </c>
      <c r="W2029" s="2">
        <v>37.1</v>
      </c>
      <c r="X2029" s="2">
        <v>0</v>
      </c>
      <c r="Y2029" s="2" t="s">
        <v>560</v>
      </c>
      <c r="Z2029" s="2" t="s">
        <v>13630</v>
      </c>
      <c r="AA2029" s="2">
        <v>3.6144817751581598E-2</v>
      </c>
      <c r="AB2029" s="2">
        <v>0.39835263092974998</v>
      </c>
      <c r="AC2029" s="2">
        <v>57092.732258828299</v>
      </c>
      <c r="AD2029" s="2">
        <v>45870.871865916</v>
      </c>
      <c r="AE2029" s="2">
        <v>55307.104962490499</v>
      </c>
      <c r="AF2029" s="2">
        <v>54719.734542862701</v>
      </c>
      <c r="AG2029" s="2">
        <v>56413.5684655968</v>
      </c>
      <c r="AH2029" s="2">
        <v>58312.789642294098</v>
      </c>
      <c r="AI2029" s="2">
        <v>60077.961743240099</v>
      </c>
      <c r="AJ2029" s="2">
        <v>57725.234196485602</v>
      </c>
      <c r="AK2029" s="2">
        <v>42328.994266035799</v>
      </c>
      <c r="AL2029" s="2">
        <v>43679.487215200301</v>
      </c>
      <c r="AM2029" s="2">
        <v>46436.213280832497</v>
      </c>
      <c r="AN2029" s="2">
        <v>45270.389966305796</v>
      </c>
      <c r="AO2029" s="2">
        <v>49435.038243816998</v>
      </c>
      <c r="AP2029" s="2">
        <v>48075.1082233048</v>
      </c>
    </row>
    <row r="2030" spans="1:42" ht="14.5" x14ac:dyDescent="0.35">
      <c r="A2030" s="2" t="s">
        <v>13631</v>
      </c>
      <c r="B2030" s="2">
        <v>353.18145336506399</v>
      </c>
      <c r="C2030" s="2">
        <v>4.7765333333333304</v>
      </c>
      <c r="D2030" s="2" t="s">
        <v>70</v>
      </c>
      <c r="E2030" s="2" t="s">
        <v>13632</v>
      </c>
      <c r="F2030" s="2">
        <v>54328</v>
      </c>
      <c r="G2030" s="3" t="str">
        <f>HYPERLINK("http://funmeta.oebiotech.com/network/54328", "http://funmeta.oebiotech.com/network/54328")</f>
        <v>http://funmeta.oebiotech.com/network/54328</v>
      </c>
      <c r="H2030" s="2" t="s">
        <v>13633</v>
      </c>
      <c r="I2030" s="2">
        <v>86223</v>
      </c>
      <c r="J2030" s="2"/>
      <c r="K2030" s="2">
        <v>168463</v>
      </c>
      <c r="L2030" s="2"/>
      <c r="M2030" s="2"/>
      <c r="N2030" s="2"/>
      <c r="O2030" s="2">
        <v>14213498</v>
      </c>
      <c r="P2030" s="2" t="s">
        <v>13634</v>
      </c>
      <c r="Q2030" s="2" t="s">
        <v>13635</v>
      </c>
      <c r="R2030" s="2" t="s">
        <v>13636</v>
      </c>
      <c r="S2030" s="2" t="s">
        <v>50</v>
      </c>
      <c r="T2030" s="2" t="s">
        <v>229</v>
      </c>
      <c r="U2030" s="2" t="s">
        <v>230</v>
      </c>
      <c r="V2030" s="2" t="s">
        <v>59</v>
      </c>
      <c r="W2030" s="2">
        <v>47</v>
      </c>
      <c r="X2030" s="2">
        <v>40.200000000000003</v>
      </c>
      <c r="Y2030" s="2" t="s">
        <v>408</v>
      </c>
      <c r="Z2030" s="2" t="s">
        <v>13637</v>
      </c>
      <c r="AA2030" s="2">
        <v>-0.82009521555880904</v>
      </c>
      <c r="AB2030" s="2">
        <v>0.398012227964818</v>
      </c>
      <c r="AC2030" s="2">
        <v>37587.456142352603</v>
      </c>
      <c r="AD2030" s="2">
        <v>48443.033519837503</v>
      </c>
      <c r="AE2030" s="2">
        <v>37193.538380177299</v>
      </c>
      <c r="AF2030" s="2">
        <v>37750.804868515501</v>
      </c>
      <c r="AG2030" s="2">
        <v>37056.220285206196</v>
      </c>
      <c r="AH2030" s="2">
        <v>38595.872073709303</v>
      </c>
      <c r="AI2030" s="2">
        <v>38853.095825349701</v>
      </c>
      <c r="AJ2030" s="2">
        <v>36075.2054211574</v>
      </c>
      <c r="AK2030" s="2">
        <v>51486.645125012503</v>
      </c>
      <c r="AL2030" s="2">
        <v>46232.0345747557</v>
      </c>
      <c r="AM2030" s="2">
        <v>48111.029161502403</v>
      </c>
      <c r="AN2030" s="2">
        <v>47959.987922013701</v>
      </c>
      <c r="AO2030" s="2">
        <v>51081.210717066897</v>
      </c>
      <c r="AP2030" s="2">
        <v>45787.293618673502</v>
      </c>
    </row>
    <row r="2031" spans="1:42" ht="14.5" x14ac:dyDescent="0.35">
      <c r="A2031" s="2" t="s">
        <v>13638</v>
      </c>
      <c r="B2031" s="2">
        <v>524.18958197855602</v>
      </c>
      <c r="C2031" s="2">
        <v>3.7521499999999999</v>
      </c>
      <c r="D2031" s="2" t="s">
        <v>34</v>
      </c>
      <c r="E2031" s="2" t="s">
        <v>13639</v>
      </c>
      <c r="F2031" s="2">
        <v>205036</v>
      </c>
      <c r="G2031" s="3" t="str">
        <f>HYPERLINK("http://funmeta.oebiotech.com/network/205036", "http://funmeta.oebiotech.com/network/205036")</f>
        <v>http://funmeta.oebiotech.com/network/205036</v>
      </c>
      <c r="H2031" s="2" t="s">
        <v>13640</v>
      </c>
      <c r="I2031" s="2"/>
      <c r="J2031" s="2"/>
      <c r="K2031" s="2"/>
      <c r="L2031" s="2"/>
      <c r="M2031" s="2"/>
      <c r="N2031" s="2"/>
      <c r="O2031" s="2"/>
      <c r="P2031" s="2"/>
      <c r="Q2031" s="2" t="s">
        <v>13641</v>
      </c>
      <c r="R2031" s="2" t="s">
        <v>13642</v>
      </c>
      <c r="S2031" s="2" t="s">
        <v>41</v>
      </c>
      <c r="T2031" s="2" t="s">
        <v>41</v>
      </c>
      <c r="U2031" s="2" t="s">
        <v>41</v>
      </c>
      <c r="V2031" s="2" t="s">
        <v>59</v>
      </c>
      <c r="W2031" s="2">
        <v>36.5</v>
      </c>
      <c r="X2031" s="2">
        <v>7.56</v>
      </c>
      <c r="Y2031" s="2" t="s">
        <v>43</v>
      </c>
      <c r="Z2031" s="2" t="s">
        <v>13643</v>
      </c>
      <c r="AA2031" s="2">
        <v>-3.8050618831662399</v>
      </c>
      <c r="AB2031" s="2">
        <v>0.39761168117981899</v>
      </c>
      <c r="AC2031" s="2">
        <v>35137.383953654899</v>
      </c>
      <c r="AD2031" s="2">
        <v>46558.422230683602</v>
      </c>
      <c r="AE2031" s="2">
        <v>35978.551311751798</v>
      </c>
      <c r="AF2031" s="2">
        <v>30687.752208561498</v>
      </c>
      <c r="AG2031" s="2">
        <v>33192.575232962197</v>
      </c>
      <c r="AH2031" s="2">
        <v>35095.268016004702</v>
      </c>
      <c r="AI2031" s="2">
        <v>34733.704236961399</v>
      </c>
      <c r="AJ2031" s="2">
        <v>41136.452715687599</v>
      </c>
      <c r="AK2031" s="2">
        <v>44766.019158698502</v>
      </c>
      <c r="AL2031" s="2">
        <v>45074.169023486698</v>
      </c>
      <c r="AM2031" s="2">
        <v>45565.2053005567</v>
      </c>
      <c r="AN2031" s="2">
        <v>49268.762567292302</v>
      </c>
      <c r="AO2031" s="2">
        <v>49679.337069132504</v>
      </c>
      <c r="AP2031" s="2">
        <v>44997.040264934898</v>
      </c>
    </row>
    <row r="2032" spans="1:42" ht="14.5" x14ac:dyDescent="0.35">
      <c r="A2032" s="2" t="s">
        <v>13644</v>
      </c>
      <c r="B2032" s="2">
        <v>148.97702526424001</v>
      </c>
      <c r="C2032" s="2">
        <v>1.7029666666666701</v>
      </c>
      <c r="D2032" s="2" t="s">
        <v>34</v>
      </c>
      <c r="E2032" s="2" t="s">
        <v>13645</v>
      </c>
      <c r="F2032" s="2">
        <v>55908</v>
      </c>
      <c r="G2032" s="3" t="str">
        <f>HYPERLINK("http://funmeta.oebiotech.com/network/55908", "http://funmeta.oebiotech.com/network/55908")</f>
        <v>http://funmeta.oebiotech.com/network/55908</v>
      </c>
      <c r="H2032" s="2" t="s">
        <v>13646</v>
      </c>
      <c r="I2032" s="2">
        <v>72456</v>
      </c>
      <c r="J2032" s="2"/>
      <c r="K2032" s="2">
        <v>18721</v>
      </c>
      <c r="L2032" s="2" t="s">
        <v>13647</v>
      </c>
      <c r="M2032" s="2"/>
      <c r="N2032" s="2"/>
      <c r="O2032" s="2">
        <v>7290</v>
      </c>
      <c r="P2032" s="2" t="s">
        <v>13648</v>
      </c>
      <c r="Q2032" s="2" t="s">
        <v>13649</v>
      </c>
      <c r="R2032" s="2" t="s">
        <v>13650</v>
      </c>
      <c r="S2032" s="2" t="s">
        <v>2811</v>
      </c>
      <c r="T2032" s="2" t="s">
        <v>13651</v>
      </c>
      <c r="U2032" s="2" t="s">
        <v>13652</v>
      </c>
      <c r="V2032" s="2" t="s">
        <v>59</v>
      </c>
      <c r="W2032" s="2">
        <v>36.9</v>
      </c>
      <c r="X2032" s="2">
        <v>15.1</v>
      </c>
      <c r="Y2032" s="2" t="s">
        <v>340</v>
      </c>
      <c r="Z2032" s="2" t="s">
        <v>13653</v>
      </c>
      <c r="AA2032" s="2">
        <v>3.7270043151485299</v>
      </c>
      <c r="AB2032" s="2">
        <v>0.39745672796522102</v>
      </c>
      <c r="AC2032" s="2">
        <v>57380.783933459097</v>
      </c>
      <c r="AD2032" s="2">
        <v>69208.122224276405</v>
      </c>
      <c r="AE2032" s="2">
        <v>56219.410095924497</v>
      </c>
      <c r="AF2032" s="2">
        <v>57894.844692281004</v>
      </c>
      <c r="AG2032" s="2">
        <v>56624.095311044999</v>
      </c>
      <c r="AH2032" s="2">
        <v>57884.143999162101</v>
      </c>
      <c r="AI2032" s="2">
        <v>56697.352848889997</v>
      </c>
      <c r="AJ2032" s="2">
        <v>58964.856653451898</v>
      </c>
      <c r="AK2032" s="2">
        <v>73732.945218822599</v>
      </c>
      <c r="AL2032" s="2">
        <v>73784.687819714803</v>
      </c>
      <c r="AM2032" s="2">
        <v>66410.366318014698</v>
      </c>
      <c r="AN2032" s="2">
        <v>68290.512186470107</v>
      </c>
      <c r="AO2032" s="2">
        <v>71695.276982751093</v>
      </c>
      <c r="AP2032" s="2">
        <v>61334.944819885197</v>
      </c>
    </row>
    <row r="2033" spans="1:42" ht="14.5" x14ac:dyDescent="0.35">
      <c r="A2033" s="2" t="s">
        <v>13654</v>
      </c>
      <c r="B2033" s="2">
        <v>497.18078914236702</v>
      </c>
      <c r="C2033" s="2">
        <v>4.8836000000000004</v>
      </c>
      <c r="D2033" s="2" t="s">
        <v>34</v>
      </c>
      <c r="E2033" s="2" t="s">
        <v>13655</v>
      </c>
      <c r="F2033" s="2">
        <v>203893</v>
      </c>
      <c r="G2033" s="3" t="str">
        <f>HYPERLINK("http://funmeta.oebiotech.com/network/203893", "http://funmeta.oebiotech.com/network/203893")</f>
        <v>http://funmeta.oebiotech.com/network/203893</v>
      </c>
      <c r="H2033" s="2" t="s">
        <v>13656</v>
      </c>
      <c r="I2033" s="2"/>
      <c r="J2033" s="2"/>
      <c r="K2033" s="2"/>
      <c r="L2033" s="2"/>
      <c r="M2033" s="2"/>
      <c r="N2033" s="2"/>
      <c r="O2033" s="2">
        <v>13964067</v>
      </c>
      <c r="P2033" s="2"/>
      <c r="Q2033" s="2" t="s">
        <v>13657</v>
      </c>
      <c r="R2033" s="2" t="s">
        <v>13658</v>
      </c>
      <c r="S2033" s="2" t="s">
        <v>115</v>
      </c>
      <c r="T2033" s="2" t="s">
        <v>139</v>
      </c>
      <c r="U2033" s="2" t="s">
        <v>140</v>
      </c>
      <c r="V2033" s="2" t="s">
        <v>59</v>
      </c>
      <c r="W2033" s="2">
        <v>37.5</v>
      </c>
      <c r="X2033" s="2">
        <v>0</v>
      </c>
      <c r="Y2033" s="2" t="s">
        <v>1115</v>
      </c>
      <c r="Z2033" s="2" t="s">
        <v>13659</v>
      </c>
      <c r="AA2033" s="2">
        <v>0.35052569350658502</v>
      </c>
      <c r="AB2033" s="2">
        <v>0.39727363430607299</v>
      </c>
      <c r="AC2033" s="2">
        <v>74383.880454059006</v>
      </c>
      <c r="AD2033" s="2">
        <v>60823.110440750701</v>
      </c>
      <c r="AE2033" s="2">
        <v>64524.127026266899</v>
      </c>
      <c r="AF2033" s="2">
        <v>86049.547467202501</v>
      </c>
      <c r="AG2033" s="2">
        <v>76947.233205659097</v>
      </c>
      <c r="AH2033" s="2">
        <v>71639.904983002707</v>
      </c>
      <c r="AI2033" s="2">
        <v>74291.747437076396</v>
      </c>
      <c r="AJ2033" s="2">
        <v>72850.722605146701</v>
      </c>
      <c r="AK2033" s="2">
        <v>69666.244572844196</v>
      </c>
      <c r="AL2033" s="2">
        <v>59111.9144218492</v>
      </c>
      <c r="AM2033" s="2">
        <v>57608.845045312097</v>
      </c>
      <c r="AN2033" s="2">
        <v>61462.263024297499</v>
      </c>
      <c r="AO2033" s="2">
        <v>53556.706777232197</v>
      </c>
      <c r="AP2033" s="2">
        <v>63532.6888029689</v>
      </c>
    </row>
    <row r="2034" spans="1:42" ht="14.5" x14ac:dyDescent="0.35">
      <c r="A2034" s="2" t="s">
        <v>13660</v>
      </c>
      <c r="B2034" s="2">
        <v>325.01734073564302</v>
      </c>
      <c r="C2034" s="2">
        <v>1.3161166666666699</v>
      </c>
      <c r="D2034" s="2" t="s">
        <v>70</v>
      </c>
      <c r="E2034" s="2" t="s">
        <v>13661</v>
      </c>
      <c r="F2034" s="2">
        <v>48670</v>
      </c>
      <c r="G2034" s="3" t="str">
        <f>HYPERLINK("http://funmeta.oebiotech.com/network/48670", "http://funmeta.oebiotech.com/network/48670")</f>
        <v>http://funmeta.oebiotech.com/network/48670</v>
      </c>
      <c r="H2034" s="2" t="s">
        <v>13662</v>
      </c>
      <c r="I2034" s="2">
        <v>58356</v>
      </c>
      <c r="J2034" s="2"/>
      <c r="K2034" s="2">
        <v>89494</v>
      </c>
      <c r="L2034" s="2"/>
      <c r="M2034" s="2"/>
      <c r="N2034" s="2"/>
      <c r="O2034" s="2">
        <v>10455</v>
      </c>
      <c r="P2034" s="2" t="s">
        <v>13663</v>
      </c>
      <c r="Q2034" s="2" t="s">
        <v>13664</v>
      </c>
      <c r="R2034" s="2" t="s">
        <v>13665</v>
      </c>
      <c r="S2034" s="2" t="s">
        <v>5916</v>
      </c>
      <c r="T2034" s="2" t="s">
        <v>13666</v>
      </c>
      <c r="U2034" s="2" t="s">
        <v>41</v>
      </c>
      <c r="V2034" s="2" t="s">
        <v>59</v>
      </c>
      <c r="W2034" s="2">
        <v>37.6</v>
      </c>
      <c r="X2034" s="2">
        <v>4.4999999999999998E-2</v>
      </c>
      <c r="Y2034" s="2" t="s">
        <v>560</v>
      </c>
      <c r="Z2034" s="2" t="s">
        <v>13667</v>
      </c>
      <c r="AA2034" s="2">
        <v>-1.5172399887658601</v>
      </c>
      <c r="AB2034" s="2">
        <v>0.39716416271064803</v>
      </c>
      <c r="AC2034" s="2">
        <v>264252.10957660299</v>
      </c>
      <c r="AD2034" s="2">
        <v>283714.26648843201</v>
      </c>
      <c r="AE2034" s="2">
        <v>260264.194101072</v>
      </c>
      <c r="AF2034" s="2">
        <v>265781.93908838602</v>
      </c>
      <c r="AG2034" s="2">
        <v>259715.41038660301</v>
      </c>
      <c r="AH2034" s="2">
        <v>267182.06082112901</v>
      </c>
      <c r="AI2034" s="2">
        <v>273017.18367264501</v>
      </c>
      <c r="AJ2034" s="2">
        <v>259551.869389784</v>
      </c>
      <c r="AK2034" s="2">
        <v>297523.09374677797</v>
      </c>
      <c r="AL2034" s="2">
        <v>275142.16974968102</v>
      </c>
      <c r="AM2034" s="2">
        <v>241301.96968237401</v>
      </c>
      <c r="AN2034" s="2">
        <v>304282.15630647697</v>
      </c>
      <c r="AO2034" s="2">
        <v>301398.89125826198</v>
      </c>
      <c r="AP2034" s="2">
        <v>282637.31818701897</v>
      </c>
    </row>
    <row r="2035" spans="1:42" ht="14.5" x14ac:dyDescent="0.35">
      <c r="A2035" s="2" t="s">
        <v>13668</v>
      </c>
      <c r="B2035" s="2">
        <v>383.20543812636998</v>
      </c>
      <c r="C2035" s="2">
        <v>5.1684333333333301</v>
      </c>
      <c r="D2035" s="2" t="s">
        <v>34</v>
      </c>
      <c r="E2035" s="2" t="s">
        <v>13669</v>
      </c>
      <c r="F2035" s="2">
        <v>273759</v>
      </c>
      <c r="G2035" s="3" t="str">
        <f>HYPERLINK("http://funmeta.oebiotech.com/network/273759", "http://funmeta.oebiotech.com/network/273759")</f>
        <v>http://funmeta.oebiotech.com/network/273759</v>
      </c>
      <c r="H2035" s="2"/>
      <c r="I2035" s="2">
        <v>63069</v>
      </c>
      <c r="J2035" s="2"/>
      <c r="K2035" s="2"/>
      <c r="L2035" s="2"/>
      <c r="M2035" s="2"/>
      <c r="N2035" s="2"/>
      <c r="O2035" s="2">
        <v>122023</v>
      </c>
      <c r="P2035" s="2" t="s">
        <v>13670</v>
      </c>
      <c r="Q2035" s="2" t="s">
        <v>13671</v>
      </c>
      <c r="R2035" s="2" t="s">
        <v>13672</v>
      </c>
      <c r="S2035" s="2" t="s">
        <v>79</v>
      </c>
      <c r="T2035" s="2" t="s">
        <v>80</v>
      </c>
      <c r="U2035" s="2" t="s">
        <v>2820</v>
      </c>
      <c r="V2035" s="2" t="s">
        <v>59</v>
      </c>
      <c r="W2035" s="2">
        <v>37.9</v>
      </c>
      <c r="X2035" s="2">
        <v>0</v>
      </c>
      <c r="Y2035" s="2" t="s">
        <v>323</v>
      </c>
      <c r="Z2035" s="2" t="s">
        <v>13673</v>
      </c>
      <c r="AA2035" s="2">
        <v>0.21284590274161599</v>
      </c>
      <c r="AB2035" s="2">
        <v>0.39665215793443398</v>
      </c>
      <c r="AC2035" s="2">
        <v>34816.963193440897</v>
      </c>
      <c r="AD2035" s="2">
        <v>24081.355330085298</v>
      </c>
      <c r="AE2035" s="2">
        <v>36406.730676536703</v>
      </c>
      <c r="AF2035" s="2">
        <v>34902.255835839802</v>
      </c>
      <c r="AG2035" s="2">
        <v>35245.381232296902</v>
      </c>
      <c r="AH2035" s="2">
        <v>32139.303504270501</v>
      </c>
      <c r="AI2035" s="2">
        <v>36299.071670704398</v>
      </c>
      <c r="AJ2035" s="2">
        <v>33909.036240997302</v>
      </c>
      <c r="AK2035" s="2">
        <v>26268.4384483459</v>
      </c>
      <c r="AL2035" s="2">
        <v>24615.344851700698</v>
      </c>
      <c r="AM2035" s="2">
        <v>25202.148680355702</v>
      </c>
      <c r="AN2035" s="2">
        <v>23340.330215871902</v>
      </c>
      <c r="AO2035" s="2">
        <v>23777.160830223998</v>
      </c>
      <c r="AP2035" s="2">
        <v>21284.7089540136</v>
      </c>
    </row>
    <row r="2036" spans="1:42" ht="14.5" x14ac:dyDescent="0.35">
      <c r="A2036" s="2" t="s">
        <v>13674</v>
      </c>
      <c r="B2036" s="2">
        <v>431.22841964240803</v>
      </c>
      <c r="C2036" s="2">
        <v>5.3939333333333304</v>
      </c>
      <c r="D2036" s="2" t="s">
        <v>70</v>
      </c>
      <c r="E2036" s="2" t="s">
        <v>13675</v>
      </c>
      <c r="F2036" s="2">
        <v>28264</v>
      </c>
      <c r="G2036" s="3" t="str">
        <f>HYPERLINK("http://funmeta.oebiotech.com/network/28264", "http://funmeta.oebiotech.com/network/28264")</f>
        <v>http://funmeta.oebiotech.com/network/28264</v>
      </c>
      <c r="H2036" s="2"/>
      <c r="I2036" s="2">
        <v>40995</v>
      </c>
      <c r="J2036" s="2" t="s">
        <v>13676</v>
      </c>
      <c r="K2036" s="2">
        <v>29658</v>
      </c>
      <c r="L2036" s="2" t="s">
        <v>13677</v>
      </c>
      <c r="M2036" s="2" t="s">
        <v>2604</v>
      </c>
      <c r="N2036" s="2" t="s">
        <v>2605</v>
      </c>
      <c r="O2036" s="2">
        <v>443564</v>
      </c>
      <c r="P2036" s="2"/>
      <c r="Q2036" s="2" t="s">
        <v>13678</v>
      </c>
      <c r="R2036" s="2" t="s">
        <v>13679</v>
      </c>
      <c r="S2036" s="2" t="s">
        <v>115</v>
      </c>
      <c r="T2036" s="2" t="s">
        <v>1384</v>
      </c>
      <c r="U2036" s="2" t="s">
        <v>41</v>
      </c>
      <c r="V2036" s="2" t="s">
        <v>59</v>
      </c>
      <c r="W2036" s="2">
        <v>47.9</v>
      </c>
      <c r="X2036" s="2">
        <v>42.8</v>
      </c>
      <c r="Y2036" s="2" t="s">
        <v>408</v>
      </c>
      <c r="Z2036" s="2" t="s">
        <v>13680</v>
      </c>
      <c r="AA2036" s="2">
        <v>-0.61272975653234896</v>
      </c>
      <c r="AB2036" s="2">
        <v>0.39653580851375497</v>
      </c>
      <c r="AC2036" s="2">
        <v>107904.98104215899</v>
      </c>
      <c r="AD2036" s="2">
        <v>120295.41598927999</v>
      </c>
      <c r="AE2036" s="2">
        <v>109787.497752543</v>
      </c>
      <c r="AF2036" s="2">
        <v>103025.204961608</v>
      </c>
      <c r="AG2036" s="2">
        <v>102904.639884841</v>
      </c>
      <c r="AH2036" s="2">
        <v>105969.79138279799</v>
      </c>
      <c r="AI2036" s="2">
        <v>109755.335144692</v>
      </c>
      <c r="AJ2036" s="2">
        <v>115987.41712647</v>
      </c>
      <c r="AK2036" s="2">
        <v>122638.51837479</v>
      </c>
      <c r="AL2036" s="2">
        <v>115698.08891401099</v>
      </c>
      <c r="AM2036" s="2">
        <v>126235.818143065</v>
      </c>
      <c r="AN2036" s="2">
        <v>122182.25232843999</v>
      </c>
      <c r="AO2036" s="2">
        <v>115624.30797750699</v>
      </c>
      <c r="AP2036" s="2">
        <v>119393.51019786599</v>
      </c>
    </row>
    <row r="2037" spans="1:42" ht="14.5" x14ac:dyDescent="0.35">
      <c r="A2037" s="2" t="s">
        <v>13681</v>
      </c>
      <c r="B2037" s="2">
        <v>700.36818929970798</v>
      </c>
      <c r="C2037" s="2">
        <v>7.2787833333333296</v>
      </c>
      <c r="D2037" s="2" t="s">
        <v>34</v>
      </c>
      <c r="E2037" s="2" t="s">
        <v>13682</v>
      </c>
      <c r="F2037" s="2">
        <v>27989</v>
      </c>
      <c r="G2037" s="3" t="str">
        <f>HYPERLINK("http://funmeta.oebiotech.com/network/27989", "http://funmeta.oebiotech.com/network/27989")</f>
        <v>http://funmeta.oebiotech.com/network/27989</v>
      </c>
      <c r="H2037" s="2"/>
      <c r="I2037" s="2"/>
      <c r="J2037" s="2" t="s">
        <v>13683</v>
      </c>
      <c r="K2037" s="2"/>
      <c r="L2037" s="2"/>
      <c r="M2037" s="2"/>
      <c r="N2037" s="2"/>
      <c r="O2037" s="2">
        <v>134812436</v>
      </c>
      <c r="P2037" s="2"/>
      <c r="Q2037" s="2" t="s">
        <v>13684</v>
      </c>
      <c r="R2037" s="2" t="s">
        <v>13685</v>
      </c>
      <c r="S2037" s="2" t="s">
        <v>50</v>
      </c>
      <c r="T2037" s="2" t="s">
        <v>51</v>
      </c>
      <c r="U2037" s="2" t="s">
        <v>52</v>
      </c>
      <c r="V2037" s="2" t="s">
        <v>59</v>
      </c>
      <c r="W2037" s="2">
        <v>39.5</v>
      </c>
      <c r="X2037" s="2">
        <v>4.6500000000000004</v>
      </c>
      <c r="Y2037" s="2" t="s">
        <v>43</v>
      </c>
      <c r="Z2037" s="2" t="s">
        <v>13686</v>
      </c>
      <c r="AA2037" s="2">
        <v>2.0821243248911498</v>
      </c>
      <c r="AB2037" s="2">
        <v>0.39644723318517999</v>
      </c>
      <c r="AC2037" s="2">
        <v>67448.786181875505</v>
      </c>
      <c r="AD2037" s="2">
        <v>81580.2376446938</v>
      </c>
      <c r="AE2037" s="2">
        <v>58660.172913079099</v>
      </c>
      <c r="AF2037" s="2">
        <v>76582.600507972296</v>
      </c>
      <c r="AG2037" s="2">
        <v>75210.518226426997</v>
      </c>
      <c r="AH2037" s="2">
        <v>64185.576255155298</v>
      </c>
      <c r="AI2037" s="2">
        <v>70090.7420648517</v>
      </c>
      <c r="AJ2037" s="2">
        <v>59963.107123767601</v>
      </c>
      <c r="AK2037" s="2">
        <v>68227.703917308099</v>
      </c>
      <c r="AL2037" s="2">
        <v>82070.717474880003</v>
      </c>
      <c r="AM2037" s="2">
        <v>86417.968856637701</v>
      </c>
      <c r="AN2037" s="2">
        <v>87502.087337277801</v>
      </c>
      <c r="AO2037" s="2">
        <v>82727.872711458302</v>
      </c>
      <c r="AP2037" s="2">
        <v>82535.075570600995</v>
      </c>
    </row>
    <row r="2038" spans="1:42" ht="14.5" x14ac:dyDescent="0.35">
      <c r="A2038" s="2" t="s">
        <v>13687</v>
      </c>
      <c r="B2038" s="2">
        <v>989.51053890057904</v>
      </c>
      <c r="C2038" s="2">
        <v>11.0400333333333</v>
      </c>
      <c r="D2038" s="2" t="s">
        <v>70</v>
      </c>
      <c r="E2038" s="2" t="s">
        <v>13688</v>
      </c>
      <c r="F2038" s="2">
        <v>61407</v>
      </c>
      <c r="G2038" s="3" t="str">
        <f>HYPERLINK("http://funmeta.oebiotech.com/network/61407", "http://funmeta.oebiotech.com/network/61407")</f>
        <v>http://funmeta.oebiotech.com/network/61407</v>
      </c>
      <c r="H2038" s="2" t="s">
        <v>13689</v>
      </c>
      <c r="I2038" s="2">
        <v>92727</v>
      </c>
      <c r="J2038" s="2"/>
      <c r="K2038" s="2"/>
      <c r="L2038" s="2"/>
      <c r="M2038" s="2"/>
      <c r="N2038" s="2"/>
      <c r="O2038" s="2">
        <v>14827936</v>
      </c>
      <c r="P2038" s="2"/>
      <c r="Q2038" s="2" t="s">
        <v>13690</v>
      </c>
      <c r="R2038" s="2" t="s">
        <v>13691</v>
      </c>
      <c r="S2038" s="2" t="s">
        <v>50</v>
      </c>
      <c r="T2038" s="2" t="s">
        <v>201</v>
      </c>
      <c r="U2038" s="2" t="s">
        <v>210</v>
      </c>
      <c r="V2038" s="2" t="s">
        <v>42</v>
      </c>
      <c r="W2038" s="2">
        <v>53.7</v>
      </c>
      <c r="X2038" s="2">
        <v>73.599999999999994</v>
      </c>
      <c r="Y2038" s="2" t="s">
        <v>408</v>
      </c>
      <c r="Z2038" s="2" t="s">
        <v>13692</v>
      </c>
      <c r="AA2038" s="2">
        <v>-1.05908478172553</v>
      </c>
      <c r="AB2038" s="2">
        <v>0.39630284493223</v>
      </c>
      <c r="AC2038" s="2">
        <v>105544.776171587</v>
      </c>
      <c r="AD2038" s="2">
        <v>92119.968620918997</v>
      </c>
      <c r="AE2038" s="2">
        <v>107476.239360616</v>
      </c>
      <c r="AF2038" s="2">
        <v>100252.2288637</v>
      </c>
      <c r="AG2038" s="2">
        <v>103862.345961769</v>
      </c>
      <c r="AH2038" s="2">
        <v>108426.21078956701</v>
      </c>
      <c r="AI2038" s="2">
        <v>103097.69230009901</v>
      </c>
      <c r="AJ2038" s="2">
        <v>110153.93975377201</v>
      </c>
      <c r="AK2038" s="2">
        <v>80550.823048054706</v>
      </c>
      <c r="AL2038" s="2">
        <v>86044.574455700596</v>
      </c>
      <c r="AM2038" s="2">
        <v>90994.204336330295</v>
      </c>
      <c r="AN2038" s="2">
        <v>98456.055443008096</v>
      </c>
      <c r="AO2038" s="2">
        <v>100286.370888889</v>
      </c>
      <c r="AP2038" s="2">
        <v>96387.783553531597</v>
      </c>
    </row>
    <row r="2039" spans="1:42" ht="14.5" x14ac:dyDescent="0.35">
      <c r="A2039" s="2" t="s">
        <v>13693</v>
      </c>
      <c r="B2039" s="2">
        <v>397.16291835105801</v>
      </c>
      <c r="C2039" s="2">
        <v>7.2157999999999998</v>
      </c>
      <c r="D2039" s="2" t="s">
        <v>70</v>
      </c>
      <c r="E2039" s="2" t="s">
        <v>13694</v>
      </c>
      <c r="F2039" s="2">
        <v>204074</v>
      </c>
      <c r="G2039" s="3" t="str">
        <f>HYPERLINK("http://funmeta.oebiotech.com/network/204074", "http://funmeta.oebiotech.com/network/204074")</f>
        <v>http://funmeta.oebiotech.com/network/204074</v>
      </c>
      <c r="H2039" s="2" t="s">
        <v>13695</v>
      </c>
      <c r="I2039" s="2"/>
      <c r="J2039" s="2"/>
      <c r="K2039" s="2"/>
      <c r="L2039" s="2"/>
      <c r="M2039" s="2"/>
      <c r="N2039" s="2"/>
      <c r="O2039" s="2">
        <v>13494</v>
      </c>
      <c r="P2039" s="2"/>
      <c r="Q2039" s="2" t="s">
        <v>13696</v>
      </c>
      <c r="R2039" s="2" t="s">
        <v>13697</v>
      </c>
      <c r="S2039" s="2" t="s">
        <v>148</v>
      </c>
      <c r="T2039" s="2" t="s">
        <v>149</v>
      </c>
      <c r="U2039" s="2" t="s">
        <v>1593</v>
      </c>
      <c r="V2039" s="2" t="s">
        <v>59</v>
      </c>
      <c r="W2039" s="2">
        <v>39.200000000000003</v>
      </c>
      <c r="X2039" s="2">
        <v>0</v>
      </c>
      <c r="Y2039" s="2" t="s">
        <v>118</v>
      </c>
      <c r="Z2039" s="2" t="s">
        <v>13698</v>
      </c>
      <c r="AA2039" s="2">
        <v>-0.146745070303551</v>
      </c>
      <c r="AB2039" s="2">
        <v>0.39615870619778998</v>
      </c>
      <c r="AC2039" s="2">
        <v>10844.8999744719</v>
      </c>
      <c r="AD2039" s="2">
        <v>497.83809839140798</v>
      </c>
      <c r="AE2039" s="2">
        <v>12080.852695239701</v>
      </c>
      <c r="AF2039" s="2">
        <v>10649.0977408988</v>
      </c>
      <c r="AG2039" s="2">
        <v>11490.218053075499</v>
      </c>
      <c r="AH2039" s="2">
        <v>10085.630917995601</v>
      </c>
      <c r="AI2039" s="2">
        <v>9720.6348577127101</v>
      </c>
      <c r="AJ2039" s="2">
        <v>11042.9655819092</v>
      </c>
      <c r="AK2039" s="2">
        <v>191.14849087865801</v>
      </c>
      <c r="AL2039" s="2">
        <v>436.87007451406703</v>
      </c>
      <c r="AM2039" s="2">
        <v>472.44327280943497</v>
      </c>
      <c r="AN2039" s="2">
        <v>398.83306792594999</v>
      </c>
      <c r="AO2039" s="2">
        <v>458.32772454624899</v>
      </c>
      <c r="AP2039" s="2">
        <v>1029.4059596740899</v>
      </c>
    </row>
    <row r="2040" spans="1:42" ht="14.5" x14ac:dyDescent="0.35">
      <c r="A2040" s="2" t="s">
        <v>13699</v>
      </c>
      <c r="B2040" s="2">
        <v>755.42133363034804</v>
      </c>
      <c r="C2040" s="2">
        <v>10.4865333333333</v>
      </c>
      <c r="D2040" s="2" t="s">
        <v>70</v>
      </c>
      <c r="E2040" s="2" t="s">
        <v>13700</v>
      </c>
      <c r="F2040" s="2">
        <v>58562</v>
      </c>
      <c r="G2040" s="3" t="str">
        <f>HYPERLINK("http://funmeta.oebiotech.com/network/58562", "http://funmeta.oebiotech.com/network/58562")</f>
        <v>http://funmeta.oebiotech.com/network/58562</v>
      </c>
      <c r="H2040" s="2" t="s">
        <v>13701</v>
      </c>
      <c r="I2040" s="2">
        <v>90030</v>
      </c>
      <c r="J2040" s="2"/>
      <c r="K2040" s="2"/>
      <c r="L2040" s="2"/>
      <c r="M2040" s="2"/>
      <c r="N2040" s="2"/>
      <c r="O2040" s="2">
        <v>3804937</v>
      </c>
      <c r="P2040" s="2" t="s">
        <v>13702</v>
      </c>
      <c r="Q2040" s="2" t="s">
        <v>13703</v>
      </c>
      <c r="R2040" s="2" t="s">
        <v>13704</v>
      </c>
      <c r="S2040" s="2" t="s">
        <v>89</v>
      </c>
      <c r="T2040" s="2" t="s">
        <v>90</v>
      </c>
      <c r="U2040" s="2" t="s">
        <v>99</v>
      </c>
      <c r="V2040" s="2" t="s">
        <v>59</v>
      </c>
      <c r="W2040" s="2">
        <v>37.799999999999997</v>
      </c>
      <c r="X2040" s="2">
        <v>0</v>
      </c>
      <c r="Y2040" s="2" t="s">
        <v>560</v>
      </c>
      <c r="Z2040" s="2" t="s">
        <v>13705</v>
      </c>
      <c r="AA2040" s="2">
        <v>-3.0856440630520199</v>
      </c>
      <c r="AB2040" s="2">
        <v>0.39612607067842598</v>
      </c>
      <c r="AC2040" s="2">
        <v>40698.7832961811</v>
      </c>
      <c r="AD2040" s="2">
        <v>52319.817910325</v>
      </c>
      <c r="AE2040" s="2">
        <v>39483.846165023599</v>
      </c>
      <c r="AF2040" s="2">
        <v>36042.366105637098</v>
      </c>
      <c r="AG2040" s="2">
        <v>42015.738113234598</v>
      </c>
      <c r="AH2040" s="2">
        <v>39361.864226345097</v>
      </c>
      <c r="AI2040" s="2">
        <v>42198.6643011505</v>
      </c>
      <c r="AJ2040" s="2">
        <v>45090.220865695599</v>
      </c>
      <c r="AK2040" s="2">
        <v>47825.3488795757</v>
      </c>
      <c r="AL2040" s="2">
        <v>47557.125508589197</v>
      </c>
      <c r="AM2040" s="2">
        <v>55570.238841489801</v>
      </c>
      <c r="AN2040" s="2">
        <v>53156.966108117304</v>
      </c>
      <c r="AO2040" s="2">
        <v>54027.636470863901</v>
      </c>
      <c r="AP2040" s="2">
        <v>55781.591653314303</v>
      </c>
    </row>
    <row r="2041" spans="1:42" ht="14.5" x14ac:dyDescent="0.35">
      <c r="A2041" s="2" t="s">
        <v>13706</v>
      </c>
      <c r="B2041" s="2">
        <v>471.11166352830702</v>
      </c>
      <c r="C2041" s="2">
        <v>1.5611666666666699</v>
      </c>
      <c r="D2041" s="2" t="s">
        <v>70</v>
      </c>
      <c r="E2041" s="2" t="s">
        <v>13707</v>
      </c>
      <c r="F2041" s="2">
        <v>211918</v>
      </c>
      <c r="G2041" s="3" t="str">
        <f>HYPERLINK("http://funmeta.oebiotech.com/network/211918", "http://funmeta.oebiotech.com/network/211918")</f>
        <v>http://funmeta.oebiotech.com/network/211918</v>
      </c>
      <c r="H2041" s="2" t="s">
        <v>13708</v>
      </c>
      <c r="I2041" s="2"/>
      <c r="J2041" s="2"/>
      <c r="K2041" s="2"/>
      <c r="L2041" s="2"/>
      <c r="M2041" s="2"/>
      <c r="N2041" s="2"/>
      <c r="O2041" s="2">
        <v>5252</v>
      </c>
      <c r="P2041" s="2"/>
      <c r="Q2041" s="2" t="s">
        <v>13709</v>
      </c>
      <c r="R2041" s="2" t="s">
        <v>13710</v>
      </c>
      <c r="S2041" s="2" t="s">
        <v>491</v>
      </c>
      <c r="T2041" s="2" t="s">
        <v>3479</v>
      </c>
      <c r="U2041" s="2" t="s">
        <v>13711</v>
      </c>
      <c r="V2041" s="2" t="s">
        <v>59</v>
      </c>
      <c r="W2041" s="2">
        <v>38.799999999999997</v>
      </c>
      <c r="X2041" s="2">
        <v>0</v>
      </c>
      <c r="Y2041" s="2" t="s">
        <v>560</v>
      </c>
      <c r="Z2041" s="2" t="s">
        <v>13712</v>
      </c>
      <c r="AA2041" s="2">
        <v>-1.0607347843958601</v>
      </c>
      <c r="AB2041" s="2">
        <v>0.39587260847021</v>
      </c>
      <c r="AC2041" s="2">
        <v>18258.044264091499</v>
      </c>
      <c r="AD2041" s="2">
        <v>7953.4691601069298</v>
      </c>
      <c r="AE2041" s="2">
        <v>19188.681877875999</v>
      </c>
      <c r="AF2041" s="2">
        <v>18332.9589404172</v>
      </c>
      <c r="AG2041" s="2">
        <v>18486.418860458201</v>
      </c>
      <c r="AH2041" s="2">
        <v>18046.222503032401</v>
      </c>
      <c r="AI2041" s="2">
        <v>17623.398151842001</v>
      </c>
      <c r="AJ2041" s="2">
        <v>17870.585250923301</v>
      </c>
      <c r="AK2041" s="2">
        <v>7544.0688284484904</v>
      </c>
      <c r="AL2041" s="2">
        <v>8122.4129653719001</v>
      </c>
      <c r="AM2041" s="2">
        <v>8189.9564128144002</v>
      </c>
      <c r="AN2041" s="2">
        <v>7996.3386429943102</v>
      </c>
      <c r="AO2041" s="2">
        <v>7586.3413826006699</v>
      </c>
      <c r="AP2041" s="2">
        <v>8281.69672841178</v>
      </c>
    </row>
    <row r="2042" spans="1:42" ht="14.5" x14ac:dyDescent="0.35">
      <c r="A2042" s="2" t="s">
        <v>13713</v>
      </c>
      <c r="B2042" s="2">
        <v>465.39409526389898</v>
      </c>
      <c r="C2042" s="2">
        <v>12.78355</v>
      </c>
      <c r="D2042" s="2" t="s">
        <v>34</v>
      </c>
      <c r="E2042" s="2" t="s">
        <v>13714</v>
      </c>
      <c r="F2042" s="2">
        <v>8716</v>
      </c>
      <c r="G2042" s="3" t="str">
        <f>HYPERLINK("http://funmeta.oebiotech.com/network/8716", "http://funmeta.oebiotech.com/network/8716")</f>
        <v>http://funmeta.oebiotech.com/network/8716</v>
      </c>
      <c r="H2042" s="2"/>
      <c r="I2042" s="2">
        <v>96395</v>
      </c>
      <c r="J2042" s="2" t="s">
        <v>13715</v>
      </c>
      <c r="K2042" s="2"/>
      <c r="L2042" s="2"/>
      <c r="M2042" s="2"/>
      <c r="N2042" s="2"/>
      <c r="O2042" s="2">
        <v>52922082</v>
      </c>
      <c r="P2042" s="2"/>
      <c r="Q2042" s="2" t="s">
        <v>13716</v>
      </c>
      <c r="R2042" s="2" t="s">
        <v>13717</v>
      </c>
      <c r="S2042" s="2" t="s">
        <v>148</v>
      </c>
      <c r="T2042" s="2" t="s">
        <v>392</v>
      </c>
      <c r="U2042" s="2" t="s">
        <v>2045</v>
      </c>
      <c r="V2042" s="2" t="s">
        <v>59</v>
      </c>
      <c r="W2042" s="2">
        <v>43.6</v>
      </c>
      <c r="X2042" s="2">
        <v>26.2</v>
      </c>
      <c r="Y2042" s="2" t="s">
        <v>43</v>
      </c>
      <c r="Z2042" s="2" t="s">
        <v>13718</v>
      </c>
      <c r="AA2042" s="2">
        <v>3.1553856222932199</v>
      </c>
      <c r="AB2042" s="2">
        <v>0.39562591416169401</v>
      </c>
      <c r="AC2042" s="2">
        <v>17283.5705976309</v>
      </c>
      <c r="AD2042" s="2">
        <v>6900.8649620748201</v>
      </c>
      <c r="AE2042" s="2">
        <v>17892.383718182398</v>
      </c>
      <c r="AF2042" s="2">
        <v>16477.2438566534</v>
      </c>
      <c r="AG2042" s="2">
        <v>17657.564949969099</v>
      </c>
      <c r="AH2042" s="2">
        <v>17482.673412478001</v>
      </c>
      <c r="AI2042" s="2">
        <v>16253.2989343973</v>
      </c>
      <c r="AJ2042" s="2">
        <v>17938.258714105399</v>
      </c>
      <c r="AK2042" s="2">
        <v>8733.9472324068392</v>
      </c>
      <c r="AL2042" s="2">
        <v>7470.5730872803197</v>
      </c>
      <c r="AM2042" s="2">
        <v>6902.6968986114598</v>
      </c>
      <c r="AN2042" s="2">
        <v>5663.0689225654596</v>
      </c>
      <c r="AO2042" s="2">
        <v>6123.3781378829999</v>
      </c>
      <c r="AP2042" s="2">
        <v>6511.5254937018599</v>
      </c>
    </row>
    <row r="2043" spans="1:42" ht="14.5" x14ac:dyDescent="0.35">
      <c r="A2043" s="2" t="s">
        <v>13719</v>
      </c>
      <c r="B2043" s="2">
        <v>270.31531804841899</v>
      </c>
      <c r="C2043" s="2">
        <v>10.8120833333333</v>
      </c>
      <c r="D2043" s="2" t="s">
        <v>34</v>
      </c>
      <c r="E2043" s="2" t="s">
        <v>13720</v>
      </c>
      <c r="F2043" s="2">
        <v>9436</v>
      </c>
      <c r="G2043" s="3" t="str">
        <f>HYPERLINK("http://funmeta.oebiotech.com/network/9436", "http://funmeta.oebiotech.com/network/9436")</f>
        <v>http://funmeta.oebiotech.com/network/9436</v>
      </c>
      <c r="H2043" s="2"/>
      <c r="I2043" s="2">
        <v>97733</v>
      </c>
      <c r="J2043" s="2" t="s">
        <v>13721</v>
      </c>
      <c r="K2043" s="2">
        <v>30824</v>
      </c>
      <c r="L2043" s="2"/>
      <c r="M2043" s="2"/>
      <c r="N2043" s="2"/>
      <c r="O2043" s="2">
        <v>8217</v>
      </c>
      <c r="P2043" s="2"/>
      <c r="Q2043" s="2" t="s">
        <v>13722</v>
      </c>
      <c r="R2043" s="2" t="s">
        <v>13723</v>
      </c>
      <c r="S2043" s="2" t="s">
        <v>3194</v>
      </c>
      <c r="T2043" s="2" t="s">
        <v>3195</v>
      </c>
      <c r="U2043" s="2" t="s">
        <v>3196</v>
      </c>
      <c r="V2043" s="2" t="s">
        <v>59</v>
      </c>
      <c r="W2043" s="2">
        <v>40.4</v>
      </c>
      <c r="X2043" s="2">
        <v>5.74</v>
      </c>
      <c r="Y2043" s="2" t="s">
        <v>43</v>
      </c>
      <c r="Z2043" s="2" t="s">
        <v>13724</v>
      </c>
      <c r="AA2043" s="2">
        <v>-0.82699656793339704</v>
      </c>
      <c r="AB2043" s="2">
        <v>0.39554912524173802</v>
      </c>
      <c r="AC2043" s="2">
        <v>32733.683587856602</v>
      </c>
      <c r="AD2043" s="2">
        <v>43665.718465564001</v>
      </c>
      <c r="AE2043" s="2">
        <v>33047.193265186499</v>
      </c>
      <c r="AF2043" s="2">
        <v>32991.298410117401</v>
      </c>
      <c r="AG2043" s="2">
        <v>33646.646066030102</v>
      </c>
      <c r="AH2043" s="2">
        <v>33010.247606529403</v>
      </c>
      <c r="AI2043" s="2">
        <v>32584.9067172957</v>
      </c>
      <c r="AJ2043" s="2">
        <v>31121.809461980301</v>
      </c>
      <c r="AK2043" s="2">
        <v>40878.391513995302</v>
      </c>
      <c r="AL2043" s="2">
        <v>39541.299777569096</v>
      </c>
      <c r="AM2043" s="2">
        <v>46027.871989211002</v>
      </c>
      <c r="AN2043" s="2">
        <v>44313.734334334898</v>
      </c>
      <c r="AO2043" s="2">
        <v>47636.880721792302</v>
      </c>
      <c r="AP2043" s="2">
        <v>43596.132456481202</v>
      </c>
    </row>
    <row r="2044" spans="1:42" ht="14.5" x14ac:dyDescent="0.35">
      <c r="A2044" s="2" t="s">
        <v>13725</v>
      </c>
      <c r="B2044" s="2">
        <v>177.12728299536599</v>
      </c>
      <c r="C2044" s="2">
        <v>5.4047833333333299</v>
      </c>
      <c r="D2044" s="2" t="s">
        <v>34</v>
      </c>
      <c r="E2044" s="2" t="s">
        <v>13726</v>
      </c>
      <c r="F2044" s="2">
        <v>59826</v>
      </c>
      <c r="G2044" s="3" t="str">
        <f>HYPERLINK("http://funmeta.oebiotech.com/network/59826", "http://funmeta.oebiotech.com/network/59826")</f>
        <v>http://funmeta.oebiotech.com/network/59826</v>
      </c>
      <c r="H2044" s="2" t="s">
        <v>13727</v>
      </c>
      <c r="I2044" s="2">
        <v>91199</v>
      </c>
      <c r="J2044" s="2"/>
      <c r="K2044" s="2"/>
      <c r="L2044" s="2"/>
      <c r="M2044" s="2"/>
      <c r="N2044" s="2"/>
      <c r="O2044" s="2">
        <v>113514</v>
      </c>
      <c r="P2044" s="2" t="s">
        <v>13728</v>
      </c>
      <c r="Q2044" s="2" t="s">
        <v>13729</v>
      </c>
      <c r="R2044" s="2" t="s">
        <v>13730</v>
      </c>
      <c r="S2044" s="2" t="s">
        <v>148</v>
      </c>
      <c r="T2044" s="2" t="s">
        <v>149</v>
      </c>
      <c r="U2044" s="2" t="s">
        <v>41</v>
      </c>
      <c r="V2044" s="2" t="s">
        <v>59</v>
      </c>
      <c r="W2044" s="2">
        <v>43.2</v>
      </c>
      <c r="X2044" s="2">
        <v>21</v>
      </c>
      <c r="Y2044" s="2" t="s">
        <v>266</v>
      </c>
      <c r="Z2044" s="2" t="s">
        <v>13731</v>
      </c>
      <c r="AA2044" s="2">
        <v>-0.61645039399308998</v>
      </c>
      <c r="AB2044" s="2">
        <v>0.39540868436619597</v>
      </c>
      <c r="AC2044" s="2">
        <v>25469.481874188099</v>
      </c>
      <c r="AD2044" s="2">
        <v>15066.0072720639</v>
      </c>
      <c r="AE2044" s="2">
        <v>26865.1780062133</v>
      </c>
      <c r="AF2044" s="2">
        <v>25260.719290931102</v>
      </c>
      <c r="AG2044" s="2">
        <v>26436.240120326998</v>
      </c>
      <c r="AH2044" s="2">
        <v>24477.265117116702</v>
      </c>
      <c r="AI2044" s="2">
        <v>23689.873856578099</v>
      </c>
      <c r="AJ2044" s="2">
        <v>26087.614853962201</v>
      </c>
      <c r="AK2044" s="2">
        <v>14242.952623237001</v>
      </c>
      <c r="AL2044" s="2">
        <v>16727.4114858104</v>
      </c>
      <c r="AM2044" s="2">
        <v>15206.9045720423</v>
      </c>
      <c r="AN2044" s="2">
        <v>15064.0649703852</v>
      </c>
      <c r="AO2044" s="2">
        <v>14494.0828043498</v>
      </c>
      <c r="AP2044" s="2">
        <v>14660.627176558601</v>
      </c>
    </row>
    <row r="2045" spans="1:42" ht="14.5" x14ac:dyDescent="0.35">
      <c r="A2045" s="2" t="s">
        <v>13732</v>
      </c>
      <c r="B2045" s="2">
        <v>634.33472347751797</v>
      </c>
      <c r="C2045" s="2">
        <v>7.2430333333333303</v>
      </c>
      <c r="D2045" s="2" t="s">
        <v>34</v>
      </c>
      <c r="E2045" s="2" t="s">
        <v>13733</v>
      </c>
      <c r="F2045" s="2">
        <v>241926</v>
      </c>
      <c r="G2045" s="3" t="str">
        <f>HYPERLINK("http://funmeta.oebiotech.com/network/241926", "http://funmeta.oebiotech.com/network/241926")</f>
        <v>http://funmeta.oebiotech.com/network/241926</v>
      </c>
      <c r="H2045" s="2" t="s">
        <v>13734</v>
      </c>
      <c r="I2045" s="2"/>
      <c r="J2045" s="2"/>
      <c r="K2045" s="2"/>
      <c r="L2045" s="2"/>
      <c r="M2045" s="2"/>
      <c r="N2045" s="2"/>
      <c r="O2045" s="2"/>
      <c r="P2045" s="2"/>
      <c r="Q2045" s="2" t="s">
        <v>13735</v>
      </c>
      <c r="R2045" s="2" t="s">
        <v>13736</v>
      </c>
      <c r="S2045" s="2" t="s">
        <v>41</v>
      </c>
      <c r="T2045" s="2" t="s">
        <v>41</v>
      </c>
      <c r="U2045" s="2" t="s">
        <v>41</v>
      </c>
      <c r="V2045" s="2" t="s">
        <v>59</v>
      </c>
      <c r="W2045" s="2">
        <v>37.9</v>
      </c>
      <c r="X2045" s="2">
        <v>0</v>
      </c>
      <c r="Y2045" s="2" t="s">
        <v>394</v>
      </c>
      <c r="Z2045" s="2" t="s">
        <v>13737</v>
      </c>
      <c r="AA2045" s="2">
        <v>-0.55432918459552305</v>
      </c>
      <c r="AB2045" s="2">
        <v>0.39540083196355003</v>
      </c>
      <c r="AC2045" s="2">
        <v>11254.653874125201</v>
      </c>
      <c r="AD2045" s="2">
        <v>22388.513298072499</v>
      </c>
      <c r="AE2045" s="2">
        <v>9794.3032967923391</v>
      </c>
      <c r="AF2045" s="2">
        <v>11042.9295023183</v>
      </c>
      <c r="AG2045" s="2">
        <v>10814.1385639235</v>
      </c>
      <c r="AH2045" s="2">
        <v>9510.0448521566905</v>
      </c>
      <c r="AI2045" s="2">
        <v>14490.390667063401</v>
      </c>
      <c r="AJ2045" s="2">
        <v>11876.116362496999</v>
      </c>
      <c r="AK2045" s="2">
        <v>21875.486866826399</v>
      </c>
      <c r="AL2045" s="2">
        <v>18223.349345939299</v>
      </c>
      <c r="AM2045" s="2">
        <v>21695.617783061902</v>
      </c>
      <c r="AN2045" s="2">
        <v>22845.043508348699</v>
      </c>
      <c r="AO2045" s="2">
        <v>21381.6965121674</v>
      </c>
      <c r="AP2045" s="2">
        <v>28309.8857720915</v>
      </c>
    </row>
    <row r="2046" spans="1:42" ht="14.5" x14ac:dyDescent="0.35">
      <c r="A2046" s="2" t="s">
        <v>13738</v>
      </c>
      <c r="B2046" s="2">
        <v>789.40205407708504</v>
      </c>
      <c r="C2046" s="2">
        <v>9.3124666666666691</v>
      </c>
      <c r="D2046" s="2" t="s">
        <v>34</v>
      </c>
      <c r="E2046" s="2" t="s">
        <v>13739</v>
      </c>
      <c r="F2046" s="2">
        <v>64287</v>
      </c>
      <c r="G2046" s="3" t="str">
        <f>HYPERLINK("http://funmeta.oebiotech.com/network/64287", "http://funmeta.oebiotech.com/network/64287")</f>
        <v>http://funmeta.oebiotech.com/network/64287</v>
      </c>
      <c r="H2046" s="2" t="s">
        <v>13740</v>
      </c>
      <c r="I2046" s="2">
        <v>95607</v>
      </c>
      <c r="J2046" s="2"/>
      <c r="K2046" s="2"/>
      <c r="L2046" s="2"/>
      <c r="M2046" s="2"/>
      <c r="N2046" s="2"/>
      <c r="O2046" s="2">
        <v>74029744</v>
      </c>
      <c r="P2046" s="2"/>
      <c r="Q2046" s="2" t="s">
        <v>13741</v>
      </c>
      <c r="R2046" s="2" t="s">
        <v>13742</v>
      </c>
      <c r="S2046" s="2" t="s">
        <v>50</v>
      </c>
      <c r="T2046" s="2" t="s">
        <v>124</v>
      </c>
      <c r="U2046" s="2" t="s">
        <v>523</v>
      </c>
      <c r="V2046" s="2" t="s">
        <v>42</v>
      </c>
      <c r="W2046" s="2">
        <v>49.8</v>
      </c>
      <c r="X2046" s="2">
        <v>53.8</v>
      </c>
      <c r="Y2046" s="2" t="s">
        <v>323</v>
      </c>
      <c r="Z2046" s="2" t="s">
        <v>13743</v>
      </c>
      <c r="AA2046" s="2">
        <v>-1.46561148112595</v>
      </c>
      <c r="AB2046" s="2">
        <v>0.39535474635564399</v>
      </c>
      <c r="AC2046" s="2">
        <v>73212.688272437896</v>
      </c>
      <c r="AD2046" s="2">
        <v>61232.902110524097</v>
      </c>
      <c r="AE2046" s="2">
        <v>71066.018014075598</v>
      </c>
      <c r="AF2046" s="2">
        <v>69715.292515162597</v>
      </c>
      <c r="AG2046" s="2">
        <v>75331.827034296599</v>
      </c>
      <c r="AH2046" s="2">
        <v>72615.775740302706</v>
      </c>
      <c r="AI2046" s="2">
        <v>73936.247823034195</v>
      </c>
      <c r="AJ2046" s="2">
        <v>76610.968507755402</v>
      </c>
      <c r="AK2046" s="2">
        <v>68700.411859262895</v>
      </c>
      <c r="AL2046" s="2">
        <v>65799.1794943844</v>
      </c>
      <c r="AM2046" s="2">
        <v>56363.718114638003</v>
      </c>
      <c r="AN2046" s="2">
        <v>61078.679567327403</v>
      </c>
      <c r="AO2046" s="2">
        <v>56948.970513851098</v>
      </c>
      <c r="AP2046" s="2">
        <v>58506.453113680698</v>
      </c>
    </row>
    <row r="2047" spans="1:42" ht="14.5" x14ac:dyDescent="0.35">
      <c r="A2047" s="2" t="s">
        <v>13744</v>
      </c>
      <c r="B2047" s="2">
        <v>325.23695057085502</v>
      </c>
      <c r="C2047" s="2">
        <v>9.5044666666666693</v>
      </c>
      <c r="D2047" s="2" t="s">
        <v>34</v>
      </c>
      <c r="E2047" s="2" t="s">
        <v>13745</v>
      </c>
      <c r="F2047" s="2">
        <v>6422</v>
      </c>
      <c r="G2047" s="3" t="str">
        <f>HYPERLINK("http://funmeta.oebiotech.com/network/6422", "http://funmeta.oebiotech.com/network/6422")</f>
        <v>http://funmeta.oebiotech.com/network/6422</v>
      </c>
      <c r="H2047" s="2"/>
      <c r="I2047" s="2"/>
      <c r="J2047" s="2" t="s">
        <v>13746</v>
      </c>
      <c r="K2047" s="2"/>
      <c r="L2047" s="2"/>
      <c r="M2047" s="2"/>
      <c r="N2047" s="2"/>
      <c r="O2047" s="2">
        <v>134594542</v>
      </c>
      <c r="P2047" s="2"/>
      <c r="Q2047" s="2" t="s">
        <v>13747</v>
      </c>
      <c r="R2047" s="2" t="s">
        <v>13748</v>
      </c>
      <c r="S2047" s="2" t="s">
        <v>50</v>
      </c>
      <c r="T2047" s="2" t="s">
        <v>229</v>
      </c>
      <c r="U2047" s="2" t="s">
        <v>1283</v>
      </c>
      <c r="V2047" s="2" t="s">
        <v>59</v>
      </c>
      <c r="W2047" s="2">
        <v>45.5</v>
      </c>
      <c r="X2047" s="2">
        <v>33.1</v>
      </c>
      <c r="Y2047" s="2" t="s">
        <v>266</v>
      </c>
      <c r="Z2047" s="2" t="s">
        <v>10642</v>
      </c>
      <c r="AA2047" s="2">
        <v>-1.18855613248943</v>
      </c>
      <c r="AB2047" s="2">
        <v>0.39510164887378701</v>
      </c>
      <c r="AC2047" s="2">
        <v>23688.310860917001</v>
      </c>
      <c r="AD2047" s="2">
        <v>13380.341452750599</v>
      </c>
      <c r="AE2047" s="2">
        <v>24274.610621682099</v>
      </c>
      <c r="AF2047" s="2">
        <v>22661.218085678302</v>
      </c>
      <c r="AG2047" s="2">
        <v>22913.205031065001</v>
      </c>
      <c r="AH2047" s="2">
        <v>24186.233165610702</v>
      </c>
      <c r="AI2047" s="2">
        <v>23700.2109255094</v>
      </c>
      <c r="AJ2047" s="2">
        <v>24394.387335956199</v>
      </c>
      <c r="AK2047" s="2">
        <v>13957.3843107256</v>
      </c>
      <c r="AL2047" s="2">
        <v>14055.448624741301</v>
      </c>
      <c r="AM2047" s="2">
        <v>13398.1113159571</v>
      </c>
      <c r="AN2047" s="2">
        <v>12977.6191585343</v>
      </c>
      <c r="AO2047" s="2">
        <v>12913.971118711001</v>
      </c>
      <c r="AP2047" s="2">
        <v>12979.5141878343</v>
      </c>
    </row>
    <row r="2048" spans="1:42" ht="14.5" x14ac:dyDescent="0.35">
      <c r="A2048" s="2" t="s">
        <v>13749</v>
      </c>
      <c r="B2048" s="2">
        <v>455.31543708534201</v>
      </c>
      <c r="C2048" s="2">
        <v>5.4568000000000003</v>
      </c>
      <c r="D2048" s="2" t="s">
        <v>34</v>
      </c>
      <c r="E2048" s="2" t="s">
        <v>13750</v>
      </c>
      <c r="F2048" s="2">
        <v>37426</v>
      </c>
      <c r="G2048" s="3" t="str">
        <f>HYPERLINK("http://funmeta.oebiotech.com/network/37426", "http://funmeta.oebiotech.com/network/37426")</f>
        <v>http://funmeta.oebiotech.com/network/37426</v>
      </c>
      <c r="H2048" s="2" t="s">
        <v>13751</v>
      </c>
      <c r="I2048" s="2">
        <v>3909</v>
      </c>
      <c r="J2048" s="2" t="s">
        <v>13752</v>
      </c>
      <c r="K2048" s="2">
        <v>529178</v>
      </c>
      <c r="L2048" s="2"/>
      <c r="M2048" s="2"/>
      <c r="N2048" s="2"/>
      <c r="O2048" s="2">
        <v>5283545</v>
      </c>
      <c r="P2048" s="2" t="s">
        <v>13753</v>
      </c>
      <c r="Q2048" s="2" t="s">
        <v>13754</v>
      </c>
      <c r="R2048" s="2" t="s">
        <v>13755</v>
      </c>
      <c r="S2048" s="2" t="s">
        <v>50</v>
      </c>
      <c r="T2048" s="2" t="s">
        <v>201</v>
      </c>
      <c r="U2048" s="2" t="s">
        <v>5622</v>
      </c>
      <c r="V2048" s="2" t="s">
        <v>59</v>
      </c>
      <c r="W2048" s="2">
        <v>38.1</v>
      </c>
      <c r="X2048" s="2">
        <v>0</v>
      </c>
      <c r="Y2048" s="2" t="s">
        <v>394</v>
      </c>
      <c r="Z2048" s="2" t="s">
        <v>13756</v>
      </c>
      <c r="AA2048" s="2">
        <v>-0.32834935078301303</v>
      </c>
      <c r="AB2048" s="2">
        <v>0.39506280691812601</v>
      </c>
      <c r="AC2048" s="2">
        <v>16397.589433736201</v>
      </c>
      <c r="AD2048" s="2">
        <v>5797.7953623353296</v>
      </c>
      <c r="AE2048" s="2">
        <v>16798.025692823299</v>
      </c>
      <c r="AF2048" s="2">
        <v>17326.709239613901</v>
      </c>
      <c r="AG2048" s="2">
        <v>14838.532249199799</v>
      </c>
      <c r="AH2048" s="2">
        <v>18986.587759645499</v>
      </c>
      <c r="AI2048" s="2">
        <v>14346.428454086999</v>
      </c>
      <c r="AJ2048" s="2">
        <v>16089.253207047699</v>
      </c>
      <c r="AK2048" s="2">
        <v>5415.4551037469801</v>
      </c>
      <c r="AL2048" s="2">
        <v>4066.3555458867099</v>
      </c>
      <c r="AM2048" s="2">
        <v>6697.7214878241502</v>
      </c>
      <c r="AN2048" s="2">
        <v>4759.4468777571701</v>
      </c>
      <c r="AO2048" s="2">
        <v>5650.5241831734302</v>
      </c>
      <c r="AP2048" s="2">
        <v>8197.2689756235504</v>
      </c>
    </row>
    <row r="2049" spans="1:42" ht="14.5" x14ac:dyDescent="0.35">
      <c r="A2049" s="2" t="s">
        <v>13757</v>
      </c>
      <c r="B2049" s="2">
        <v>655.36950642594002</v>
      </c>
      <c r="C2049" s="2">
        <v>7.1973833333333301</v>
      </c>
      <c r="D2049" s="2" t="s">
        <v>70</v>
      </c>
      <c r="E2049" s="2" t="s">
        <v>13758</v>
      </c>
      <c r="F2049" s="2">
        <v>44520</v>
      </c>
      <c r="G2049" s="3" t="str">
        <f>HYPERLINK("http://funmeta.oebiotech.com/network/44520", "http://funmeta.oebiotech.com/network/44520")</f>
        <v>http://funmeta.oebiotech.com/network/44520</v>
      </c>
      <c r="H2049" s="2"/>
      <c r="I2049" s="2"/>
      <c r="J2049" s="2" t="s">
        <v>13759</v>
      </c>
      <c r="K2049" s="2"/>
      <c r="L2049" s="2"/>
      <c r="M2049" s="2"/>
      <c r="N2049" s="2"/>
      <c r="O2049" s="2">
        <v>52931462</v>
      </c>
      <c r="P2049" s="2"/>
      <c r="Q2049" s="2" t="s">
        <v>13760</v>
      </c>
      <c r="R2049" s="2" t="s">
        <v>13761</v>
      </c>
      <c r="S2049" s="2" t="s">
        <v>50</v>
      </c>
      <c r="T2049" s="2" t="s">
        <v>124</v>
      </c>
      <c r="U2049" s="2" t="s">
        <v>523</v>
      </c>
      <c r="V2049" s="2" t="s">
        <v>59</v>
      </c>
      <c r="W2049" s="2">
        <v>43.5</v>
      </c>
      <c r="X2049" s="2">
        <v>26.1</v>
      </c>
      <c r="Y2049" s="2" t="s">
        <v>408</v>
      </c>
      <c r="Z2049" s="2" t="s">
        <v>5434</v>
      </c>
      <c r="AA2049" s="2">
        <v>-0.64611685131611196</v>
      </c>
      <c r="AB2049" s="2">
        <v>0.39494731703078501</v>
      </c>
      <c r="AC2049" s="2">
        <v>7891.9059301440202</v>
      </c>
      <c r="AD2049" s="2">
        <v>18635.541168873599</v>
      </c>
      <c r="AE2049" s="2">
        <v>7793.4417131706196</v>
      </c>
      <c r="AF2049" s="2">
        <v>9277.8392027251302</v>
      </c>
      <c r="AG2049" s="2">
        <v>7354.0637187688999</v>
      </c>
      <c r="AH2049" s="2">
        <v>6561.2529946568002</v>
      </c>
      <c r="AI2049" s="2">
        <v>9472.5741781695706</v>
      </c>
      <c r="AJ2049" s="2">
        <v>6892.2637733731099</v>
      </c>
      <c r="AK2049" s="2">
        <v>20370.6153762998</v>
      </c>
      <c r="AL2049" s="2">
        <v>18792.578433767099</v>
      </c>
      <c r="AM2049" s="2">
        <v>15304.2946488629</v>
      </c>
      <c r="AN2049" s="2">
        <v>18999.448073455598</v>
      </c>
      <c r="AO2049" s="2">
        <v>16628.9222601082</v>
      </c>
      <c r="AP2049" s="2">
        <v>21717.388220747798</v>
      </c>
    </row>
    <row r="2050" spans="1:42" ht="14.5" x14ac:dyDescent="0.35">
      <c r="A2050" s="2" t="s">
        <v>13762</v>
      </c>
      <c r="B2050" s="2">
        <v>477.28413523100301</v>
      </c>
      <c r="C2050" s="2">
        <v>8.4891833333333295</v>
      </c>
      <c r="D2050" s="2" t="s">
        <v>34</v>
      </c>
      <c r="E2050" s="2" t="s">
        <v>13763</v>
      </c>
      <c r="F2050" s="2">
        <v>59461</v>
      </c>
      <c r="G2050" s="3" t="str">
        <f>HYPERLINK("http://funmeta.oebiotech.com/network/59461", "http://funmeta.oebiotech.com/network/59461")</f>
        <v>http://funmeta.oebiotech.com/network/59461</v>
      </c>
      <c r="H2050" s="2" t="s">
        <v>13764</v>
      </c>
      <c r="I2050" s="2"/>
      <c r="J2050" s="2"/>
      <c r="K2050" s="2"/>
      <c r="L2050" s="2"/>
      <c r="M2050" s="2"/>
      <c r="N2050" s="2"/>
      <c r="O2050" s="2">
        <v>14109385</v>
      </c>
      <c r="P2050" s="2"/>
      <c r="Q2050" s="2" t="s">
        <v>13765</v>
      </c>
      <c r="R2050" s="2" t="s">
        <v>13766</v>
      </c>
      <c r="S2050" s="2" t="s">
        <v>50</v>
      </c>
      <c r="T2050" s="2" t="s">
        <v>201</v>
      </c>
      <c r="U2050" s="2" t="s">
        <v>210</v>
      </c>
      <c r="V2050" s="2" t="s">
        <v>42</v>
      </c>
      <c r="W2050" s="2">
        <v>51.9</v>
      </c>
      <c r="X2050" s="2">
        <v>73.099999999999994</v>
      </c>
      <c r="Y2050" s="2" t="s">
        <v>394</v>
      </c>
      <c r="Z2050" s="2" t="s">
        <v>8640</v>
      </c>
      <c r="AA2050" s="2">
        <v>-1.14391468785412</v>
      </c>
      <c r="AB2050" s="2">
        <v>0.39484757093746298</v>
      </c>
      <c r="AC2050" s="2">
        <v>55826.810551795701</v>
      </c>
      <c r="AD2050" s="2">
        <v>67778.527569084094</v>
      </c>
      <c r="AE2050" s="2">
        <v>55812.435287436303</v>
      </c>
      <c r="AF2050" s="2">
        <v>61185.920178681998</v>
      </c>
      <c r="AG2050" s="2">
        <v>52898.271475992602</v>
      </c>
      <c r="AH2050" s="2">
        <v>51356.777730233604</v>
      </c>
      <c r="AI2050" s="2">
        <v>55139.28257291</v>
      </c>
      <c r="AJ2050" s="2">
        <v>58568.176065519801</v>
      </c>
      <c r="AK2050" s="2">
        <v>67384.3689482997</v>
      </c>
      <c r="AL2050" s="2">
        <v>64450.4309936809</v>
      </c>
      <c r="AM2050" s="2">
        <v>67562.961150878604</v>
      </c>
      <c r="AN2050" s="2">
        <v>64186.485945807603</v>
      </c>
      <c r="AO2050" s="2">
        <v>67310.835538851403</v>
      </c>
      <c r="AP2050" s="2">
        <v>75776.082836986199</v>
      </c>
    </row>
    <row r="2051" spans="1:42" ht="14.5" x14ac:dyDescent="0.35">
      <c r="A2051" s="2" t="s">
        <v>13767</v>
      </c>
      <c r="B2051" s="2">
        <v>240.14387409652599</v>
      </c>
      <c r="C2051" s="2">
        <v>0.75019999999999998</v>
      </c>
      <c r="D2051" s="2" t="s">
        <v>34</v>
      </c>
      <c r="E2051" s="2" t="s">
        <v>13768</v>
      </c>
      <c r="F2051" s="2">
        <v>56981</v>
      </c>
      <c r="G2051" s="3" t="str">
        <f>HYPERLINK("http://funmeta.oebiotech.com/network/56981", "http://funmeta.oebiotech.com/network/56981")</f>
        <v>http://funmeta.oebiotech.com/network/56981</v>
      </c>
      <c r="H2051" s="2" t="s">
        <v>13769</v>
      </c>
      <c r="I2051" s="2">
        <v>88639</v>
      </c>
      <c r="J2051" s="2"/>
      <c r="K2051" s="2"/>
      <c r="L2051" s="2"/>
      <c r="M2051" s="2"/>
      <c r="N2051" s="2"/>
      <c r="O2051" s="2">
        <v>15613266</v>
      </c>
      <c r="P2051" s="2" t="s">
        <v>13770</v>
      </c>
      <c r="Q2051" s="2" t="s">
        <v>13771</v>
      </c>
      <c r="R2051" s="2" t="s">
        <v>13772</v>
      </c>
      <c r="S2051" s="2" t="s">
        <v>79</v>
      </c>
      <c r="T2051" s="2" t="s">
        <v>80</v>
      </c>
      <c r="U2051" s="2" t="s">
        <v>81</v>
      </c>
      <c r="V2051" s="2" t="s">
        <v>59</v>
      </c>
      <c r="W2051" s="2">
        <v>41.1</v>
      </c>
      <c r="X2051" s="2">
        <v>13.4</v>
      </c>
      <c r="Y2051" s="2" t="s">
        <v>43</v>
      </c>
      <c r="Z2051" s="2" t="s">
        <v>13773</v>
      </c>
      <c r="AA2051" s="2">
        <v>-1.30443317497274</v>
      </c>
      <c r="AB2051" s="2">
        <v>0.39460429424050097</v>
      </c>
      <c r="AC2051" s="2">
        <v>95598.647273743903</v>
      </c>
      <c r="AD2051" s="2">
        <v>108839.126685118</v>
      </c>
      <c r="AE2051" s="2">
        <v>105980.28011550799</v>
      </c>
      <c r="AF2051" s="2">
        <v>90600.762079873297</v>
      </c>
      <c r="AG2051" s="2">
        <v>99713.786430853201</v>
      </c>
      <c r="AH2051" s="2">
        <v>98021.0118729963</v>
      </c>
      <c r="AI2051" s="2">
        <v>91325.916340112904</v>
      </c>
      <c r="AJ2051" s="2">
        <v>87950.126803119594</v>
      </c>
      <c r="AK2051" s="2">
        <v>117571.552331685</v>
      </c>
      <c r="AL2051" s="2">
        <v>107267.605483655</v>
      </c>
      <c r="AM2051" s="2">
        <v>110949.80675715501</v>
      </c>
      <c r="AN2051" s="2">
        <v>105993.053256764</v>
      </c>
      <c r="AO2051" s="2">
        <v>106464.14773989</v>
      </c>
      <c r="AP2051" s="2">
        <v>104788.594541556</v>
      </c>
    </row>
    <row r="2052" spans="1:42" ht="14.5" x14ac:dyDescent="0.35">
      <c r="A2052" s="2" t="s">
        <v>13774</v>
      </c>
      <c r="B2052" s="2">
        <v>249.04009816298901</v>
      </c>
      <c r="C2052" s="2">
        <v>5.0599499999999997</v>
      </c>
      <c r="D2052" s="2" t="s">
        <v>70</v>
      </c>
      <c r="E2052" s="2" t="s">
        <v>13775</v>
      </c>
      <c r="F2052" s="2">
        <v>255124</v>
      </c>
      <c r="G2052" s="3" t="str">
        <f>HYPERLINK("http://funmeta.oebiotech.com/network/255124", "http://funmeta.oebiotech.com/network/255124")</f>
        <v>http://funmeta.oebiotech.com/network/255124</v>
      </c>
      <c r="H2052" s="2" t="s">
        <v>13776</v>
      </c>
      <c r="I2052" s="2"/>
      <c r="J2052" s="2"/>
      <c r="K2052" s="2"/>
      <c r="L2052" s="2"/>
      <c r="M2052" s="2"/>
      <c r="N2052" s="2"/>
      <c r="O2052" s="2">
        <v>160756</v>
      </c>
      <c r="P2052" s="2"/>
      <c r="Q2052" s="2" t="s">
        <v>13777</v>
      </c>
      <c r="R2052" s="2" t="s">
        <v>13778</v>
      </c>
      <c r="S2052" s="2" t="s">
        <v>115</v>
      </c>
      <c r="T2052" s="2" t="s">
        <v>758</v>
      </c>
      <c r="U2052" s="2" t="s">
        <v>41</v>
      </c>
      <c r="V2052" s="2" t="s">
        <v>42</v>
      </c>
      <c r="W2052" s="2">
        <v>48.8</v>
      </c>
      <c r="X2052" s="2">
        <v>47.6</v>
      </c>
      <c r="Y2052" s="2" t="s">
        <v>408</v>
      </c>
      <c r="Z2052" s="2" t="s">
        <v>13779</v>
      </c>
      <c r="AA2052" s="2">
        <v>-1.78120852723358</v>
      </c>
      <c r="AB2052" s="2">
        <v>0.394225756260487</v>
      </c>
      <c r="AC2052" s="2">
        <v>6638.2720800345396</v>
      </c>
      <c r="AD2052" s="2">
        <v>16931.0459032035</v>
      </c>
      <c r="AE2052" s="2">
        <v>6974.6920745981597</v>
      </c>
      <c r="AF2052" s="2">
        <v>7027.9172829352901</v>
      </c>
      <c r="AG2052" s="2">
        <v>7238.2904994035798</v>
      </c>
      <c r="AH2052" s="2">
        <v>5518.6627217115201</v>
      </c>
      <c r="AI2052" s="2">
        <v>5742.8893686046804</v>
      </c>
      <c r="AJ2052" s="2">
        <v>7327.1805329539802</v>
      </c>
      <c r="AK2052" s="2">
        <v>17636.30918195</v>
      </c>
      <c r="AL2052" s="2">
        <v>16843.213611911899</v>
      </c>
      <c r="AM2052" s="2">
        <v>17475.417040046599</v>
      </c>
      <c r="AN2052" s="2">
        <v>16554.276910561301</v>
      </c>
      <c r="AO2052" s="2">
        <v>17051.967122624701</v>
      </c>
      <c r="AP2052" s="2">
        <v>16025.0915521264</v>
      </c>
    </row>
    <row r="2053" spans="1:42" ht="14.5" x14ac:dyDescent="0.35">
      <c r="A2053" s="2" t="s">
        <v>13780</v>
      </c>
      <c r="B2053" s="2">
        <v>463.17857150711899</v>
      </c>
      <c r="C2053" s="2">
        <v>3.6785666666666699</v>
      </c>
      <c r="D2053" s="2" t="s">
        <v>34</v>
      </c>
      <c r="E2053" s="2" t="s">
        <v>13781</v>
      </c>
      <c r="F2053" s="2">
        <v>208124</v>
      </c>
      <c r="G2053" s="3" t="str">
        <f>HYPERLINK("http://funmeta.oebiotech.com/network/208124", "http://funmeta.oebiotech.com/network/208124")</f>
        <v>http://funmeta.oebiotech.com/network/208124</v>
      </c>
      <c r="H2053" s="2" t="s">
        <v>13782</v>
      </c>
      <c r="I2053" s="2"/>
      <c r="J2053" s="2"/>
      <c r="K2053" s="2"/>
      <c r="L2053" s="2"/>
      <c r="M2053" s="2"/>
      <c r="N2053" s="2"/>
      <c r="O2053" s="2">
        <v>122161</v>
      </c>
      <c r="P2053" s="2"/>
      <c r="Q2053" s="2" t="s">
        <v>13783</v>
      </c>
      <c r="R2053" s="2" t="s">
        <v>13784</v>
      </c>
      <c r="S2053" s="2" t="s">
        <v>148</v>
      </c>
      <c r="T2053" s="2" t="s">
        <v>149</v>
      </c>
      <c r="U2053" s="2" t="s">
        <v>2102</v>
      </c>
      <c r="V2053" s="2" t="s">
        <v>59</v>
      </c>
      <c r="W2053" s="2">
        <v>37.4</v>
      </c>
      <c r="X2053" s="2">
        <v>7.89</v>
      </c>
      <c r="Y2053" s="2" t="s">
        <v>141</v>
      </c>
      <c r="Z2053" s="2" t="s">
        <v>13785</v>
      </c>
      <c r="AA2053" s="2">
        <v>0.14739084446681799</v>
      </c>
      <c r="AB2053" s="2">
        <v>0.39421908721703702</v>
      </c>
      <c r="AC2053" s="2">
        <v>132480.27726733801</v>
      </c>
      <c r="AD2053" s="2">
        <v>145432.731759182</v>
      </c>
      <c r="AE2053" s="2">
        <v>135675.03998935301</v>
      </c>
      <c r="AF2053" s="2">
        <v>128753.32595973399</v>
      </c>
      <c r="AG2053" s="2">
        <v>130448.304199857</v>
      </c>
      <c r="AH2053" s="2">
        <v>122292.33471528599</v>
      </c>
      <c r="AI2053" s="2">
        <v>136663.34725512101</v>
      </c>
      <c r="AJ2053" s="2">
        <v>141049.311484679</v>
      </c>
      <c r="AK2053" s="2">
        <v>142360.936376342</v>
      </c>
      <c r="AL2053" s="2">
        <v>138553.42114219401</v>
      </c>
      <c r="AM2053" s="2">
        <v>149664.91692916001</v>
      </c>
      <c r="AN2053" s="2">
        <v>149057.90187399401</v>
      </c>
      <c r="AO2053" s="2">
        <v>144212.21563691</v>
      </c>
      <c r="AP2053" s="2">
        <v>148746.99859648899</v>
      </c>
    </row>
    <row r="2054" spans="1:42" ht="14.5" x14ac:dyDescent="0.35">
      <c r="A2054" s="2" t="s">
        <v>13786</v>
      </c>
      <c r="B2054" s="2">
        <v>1031.37506425124</v>
      </c>
      <c r="C2054" s="2">
        <v>4.5951666666666702</v>
      </c>
      <c r="D2054" s="2" t="s">
        <v>70</v>
      </c>
      <c r="E2054" s="2" t="s">
        <v>13787</v>
      </c>
      <c r="F2054" s="2">
        <v>208998</v>
      </c>
      <c r="G2054" s="3" t="str">
        <f>HYPERLINK("http://funmeta.oebiotech.com/network/208998", "http://funmeta.oebiotech.com/network/208998")</f>
        <v>http://funmeta.oebiotech.com/network/208998</v>
      </c>
      <c r="H2054" s="2" t="s">
        <v>13788</v>
      </c>
      <c r="I2054" s="2">
        <v>329745</v>
      </c>
      <c r="J2054" s="2"/>
      <c r="K2054" s="2"/>
      <c r="L2054" s="2"/>
      <c r="M2054" s="2"/>
      <c r="N2054" s="2"/>
      <c r="O2054" s="2">
        <v>206044</v>
      </c>
      <c r="P2054" s="2"/>
      <c r="Q2054" s="2" t="s">
        <v>13789</v>
      </c>
      <c r="R2054" s="2" t="s">
        <v>13790</v>
      </c>
      <c r="S2054" s="2" t="s">
        <v>41</v>
      </c>
      <c r="T2054" s="2" t="s">
        <v>41</v>
      </c>
      <c r="U2054" s="2" t="s">
        <v>41</v>
      </c>
      <c r="V2054" s="2" t="s">
        <v>59</v>
      </c>
      <c r="W2054" s="2">
        <v>36.1</v>
      </c>
      <c r="X2054" s="2">
        <v>0</v>
      </c>
      <c r="Y2054" s="2" t="s">
        <v>560</v>
      </c>
      <c r="Z2054" s="2" t="s">
        <v>13791</v>
      </c>
      <c r="AA2054" s="2">
        <v>2.9429050679258002</v>
      </c>
      <c r="AB2054" s="2">
        <v>0.394171263894108</v>
      </c>
      <c r="AC2054" s="2">
        <v>10375.3988406759</v>
      </c>
      <c r="AD2054" s="2">
        <v>22157.443692586901</v>
      </c>
      <c r="AE2054" s="2">
        <v>10075.8810704181</v>
      </c>
      <c r="AF2054" s="2">
        <v>11280.6825095064</v>
      </c>
      <c r="AG2054" s="2">
        <v>6859.1376851529803</v>
      </c>
      <c r="AH2054" s="2">
        <v>11906.6548930591</v>
      </c>
      <c r="AI2054" s="2">
        <v>11894.7619313506</v>
      </c>
      <c r="AJ2054" s="2">
        <v>10235.2749545682</v>
      </c>
      <c r="AK2054" s="2">
        <v>29299.867131544201</v>
      </c>
      <c r="AL2054" s="2">
        <v>15387.300862055199</v>
      </c>
      <c r="AM2054" s="2">
        <v>22604.059091113999</v>
      </c>
      <c r="AN2054" s="2">
        <v>24468.823164190799</v>
      </c>
      <c r="AO2054" s="2">
        <v>17475.323228833</v>
      </c>
      <c r="AP2054" s="2">
        <v>23709.288677783999</v>
      </c>
    </row>
    <row r="2055" spans="1:42" ht="14.5" x14ac:dyDescent="0.35">
      <c r="A2055" s="2" t="s">
        <v>13792</v>
      </c>
      <c r="B2055" s="2">
        <v>156.020933731323</v>
      </c>
      <c r="C2055" s="2">
        <v>5.2179000000000002</v>
      </c>
      <c r="D2055" s="2" t="s">
        <v>34</v>
      </c>
      <c r="E2055" s="2" t="s">
        <v>13793</v>
      </c>
      <c r="F2055" s="2">
        <v>199226</v>
      </c>
      <c r="G2055" s="3" t="str">
        <f>HYPERLINK("http://funmeta.oebiotech.com/network/199226", "http://funmeta.oebiotech.com/network/199226")</f>
        <v>http://funmeta.oebiotech.com/network/199226</v>
      </c>
      <c r="H2055" s="2" t="s">
        <v>13794</v>
      </c>
      <c r="I2055" s="2"/>
      <c r="J2055" s="2"/>
      <c r="K2055" s="2"/>
      <c r="L2055" s="2"/>
      <c r="M2055" s="2"/>
      <c r="N2055" s="2"/>
      <c r="O2055" s="2">
        <v>53590</v>
      </c>
      <c r="P2055" s="2"/>
      <c r="Q2055" s="2" t="s">
        <v>13795</v>
      </c>
      <c r="R2055" s="2" t="s">
        <v>13796</v>
      </c>
      <c r="S2055" s="2" t="s">
        <v>148</v>
      </c>
      <c r="T2055" s="2" t="s">
        <v>149</v>
      </c>
      <c r="U2055" s="2" t="s">
        <v>150</v>
      </c>
      <c r="V2055" s="2" t="s">
        <v>59</v>
      </c>
      <c r="W2055" s="2">
        <v>46.8</v>
      </c>
      <c r="X2055" s="2">
        <v>36.1</v>
      </c>
      <c r="Y2055" s="2" t="s">
        <v>141</v>
      </c>
      <c r="Z2055" s="2" t="s">
        <v>13797</v>
      </c>
      <c r="AA2055" s="2">
        <v>0.24407734660166</v>
      </c>
      <c r="AB2055" s="2">
        <v>0.39410834646950099</v>
      </c>
      <c r="AC2055" s="2">
        <v>80019.784089363704</v>
      </c>
      <c r="AD2055" s="2">
        <v>91450.315718588798</v>
      </c>
      <c r="AE2055" s="2">
        <v>77166.859366471297</v>
      </c>
      <c r="AF2055" s="2">
        <v>81903.463550962697</v>
      </c>
      <c r="AG2055" s="2">
        <v>82713.342534443</v>
      </c>
      <c r="AH2055" s="2">
        <v>81283.311982796498</v>
      </c>
      <c r="AI2055" s="2">
        <v>77088.317574684101</v>
      </c>
      <c r="AJ2055" s="2">
        <v>79963.409526824398</v>
      </c>
      <c r="AK2055" s="2">
        <v>96944.834698901002</v>
      </c>
      <c r="AL2055" s="2">
        <v>93350.163741728</v>
      </c>
      <c r="AM2055" s="2">
        <v>88641.775501594806</v>
      </c>
      <c r="AN2055" s="2">
        <v>91110.021728752094</v>
      </c>
      <c r="AO2055" s="2">
        <v>92111.601066393501</v>
      </c>
      <c r="AP2055" s="2">
        <v>86543.497574163193</v>
      </c>
    </row>
    <row r="2056" spans="1:42" ht="14.5" x14ac:dyDescent="0.35">
      <c r="A2056" s="2" t="s">
        <v>13798</v>
      </c>
      <c r="B2056" s="2">
        <v>631.34684487548202</v>
      </c>
      <c r="C2056" s="2">
        <v>9.9588999999999999</v>
      </c>
      <c r="D2056" s="2" t="s">
        <v>34</v>
      </c>
      <c r="E2056" s="2" t="s">
        <v>13799</v>
      </c>
      <c r="F2056" s="2">
        <v>43757</v>
      </c>
      <c r="G2056" s="3" t="str">
        <f>HYPERLINK("http://funmeta.oebiotech.com/network/43757", "http://funmeta.oebiotech.com/network/43757")</f>
        <v>http://funmeta.oebiotech.com/network/43757</v>
      </c>
      <c r="H2056" s="2"/>
      <c r="I2056" s="2"/>
      <c r="J2056" s="2" t="s">
        <v>13800</v>
      </c>
      <c r="K2056" s="2"/>
      <c r="L2056" s="2"/>
      <c r="M2056" s="2"/>
      <c r="N2056" s="2"/>
      <c r="O2056" s="2">
        <v>101514323</v>
      </c>
      <c r="P2056" s="2"/>
      <c r="Q2056" s="2" t="s">
        <v>13801</v>
      </c>
      <c r="R2056" s="2" t="s">
        <v>13802</v>
      </c>
      <c r="S2056" s="2" t="s">
        <v>50</v>
      </c>
      <c r="T2056" s="2" t="s">
        <v>124</v>
      </c>
      <c r="U2056" s="2" t="s">
        <v>523</v>
      </c>
      <c r="V2056" s="2" t="s">
        <v>42</v>
      </c>
      <c r="W2056" s="2">
        <v>51</v>
      </c>
      <c r="X2056" s="2">
        <v>60.3</v>
      </c>
      <c r="Y2056" s="2" t="s">
        <v>323</v>
      </c>
      <c r="Z2056" s="2" t="s">
        <v>13803</v>
      </c>
      <c r="AA2056" s="2">
        <v>2.5911343329561101</v>
      </c>
      <c r="AB2056" s="2">
        <v>0.39404320980504898</v>
      </c>
      <c r="AC2056" s="2">
        <v>32137.071804545201</v>
      </c>
      <c r="AD2056" s="2">
        <v>21705.281480792801</v>
      </c>
      <c r="AE2056" s="2">
        <v>30628.1079905398</v>
      </c>
      <c r="AF2056" s="2">
        <v>31606.3556559797</v>
      </c>
      <c r="AG2056" s="2">
        <v>32841.542601191097</v>
      </c>
      <c r="AH2056" s="2">
        <v>33891.5386738663</v>
      </c>
      <c r="AI2056" s="2">
        <v>30332.0627255008</v>
      </c>
      <c r="AJ2056" s="2">
        <v>33522.823180193802</v>
      </c>
      <c r="AK2056" s="2">
        <v>22794.7468710752</v>
      </c>
      <c r="AL2056" s="2">
        <v>21904.360679323199</v>
      </c>
      <c r="AM2056" s="2">
        <v>21676.632846123099</v>
      </c>
      <c r="AN2056" s="2">
        <v>20158.818687384701</v>
      </c>
      <c r="AO2056" s="2">
        <v>20660.154643989601</v>
      </c>
      <c r="AP2056" s="2">
        <v>23036.975156861001</v>
      </c>
    </row>
    <row r="2057" spans="1:42" ht="14.5" x14ac:dyDescent="0.35">
      <c r="A2057" s="2" t="s">
        <v>13804</v>
      </c>
      <c r="B2057" s="2">
        <v>321.24205620473799</v>
      </c>
      <c r="C2057" s="2">
        <v>5.0723166666666701</v>
      </c>
      <c r="D2057" s="2" t="s">
        <v>34</v>
      </c>
      <c r="E2057" s="2" t="s">
        <v>13805</v>
      </c>
      <c r="F2057" s="2">
        <v>267536</v>
      </c>
      <c r="G2057" s="3" t="str">
        <f>HYPERLINK("http://funmeta.oebiotech.com/network/267536", "http://funmeta.oebiotech.com/network/267536")</f>
        <v>http://funmeta.oebiotech.com/network/267536</v>
      </c>
      <c r="H2057" s="2"/>
      <c r="I2057" s="2">
        <v>45638</v>
      </c>
      <c r="J2057" s="2"/>
      <c r="K2057" s="2"/>
      <c r="L2057" s="2"/>
      <c r="M2057" s="2"/>
      <c r="N2057" s="2"/>
      <c r="O2057" s="2">
        <v>6610251</v>
      </c>
      <c r="P2057" s="2"/>
      <c r="Q2057" s="2" t="s">
        <v>3662</v>
      </c>
      <c r="R2057" s="2" t="s">
        <v>13806</v>
      </c>
      <c r="S2057" s="2" t="s">
        <v>50</v>
      </c>
      <c r="T2057" s="2" t="s">
        <v>229</v>
      </c>
      <c r="U2057" s="2" t="s">
        <v>766</v>
      </c>
      <c r="V2057" s="2" t="s">
        <v>42</v>
      </c>
      <c r="W2057" s="2">
        <v>52.2</v>
      </c>
      <c r="X2057" s="2">
        <v>69.599999999999994</v>
      </c>
      <c r="Y2057" s="2" t="s">
        <v>266</v>
      </c>
      <c r="Z2057" s="2" t="s">
        <v>3664</v>
      </c>
      <c r="AA2057" s="2">
        <v>-1.0794338885684001</v>
      </c>
      <c r="AB2057" s="2">
        <v>0.39376319111845998</v>
      </c>
      <c r="AC2057" s="2">
        <v>329871.03091253299</v>
      </c>
      <c r="AD2057" s="2">
        <v>315993.21579241898</v>
      </c>
      <c r="AE2057" s="2">
        <v>336938.91212922003</v>
      </c>
      <c r="AF2057" s="2">
        <v>322918.990792536</v>
      </c>
      <c r="AG2057" s="2">
        <v>332293.83037684998</v>
      </c>
      <c r="AH2057" s="2">
        <v>324776.44414932298</v>
      </c>
      <c r="AI2057" s="2">
        <v>326039.55620137602</v>
      </c>
      <c r="AJ2057" s="2">
        <v>336258.451825895</v>
      </c>
      <c r="AK2057" s="2">
        <v>310267.50677135499</v>
      </c>
      <c r="AL2057" s="2">
        <v>329605.04778918898</v>
      </c>
      <c r="AM2057" s="2">
        <v>318610.39358367998</v>
      </c>
      <c r="AN2057" s="2">
        <v>318953.48642622703</v>
      </c>
      <c r="AO2057" s="2">
        <v>308696.30847073201</v>
      </c>
      <c r="AP2057" s="2">
        <v>309826.55171332799</v>
      </c>
    </row>
    <row r="2058" spans="1:42" ht="14.5" x14ac:dyDescent="0.35">
      <c r="A2058" s="2" t="s">
        <v>13807</v>
      </c>
      <c r="B2058" s="2">
        <v>435.164863509106</v>
      </c>
      <c r="C2058" s="2">
        <v>5.4568000000000003</v>
      </c>
      <c r="D2058" s="2" t="s">
        <v>34</v>
      </c>
      <c r="E2058" s="2" t="s">
        <v>13808</v>
      </c>
      <c r="F2058" s="2">
        <v>57274</v>
      </c>
      <c r="G2058" s="3" t="str">
        <f>HYPERLINK("http://funmeta.oebiotech.com/network/57274", "http://funmeta.oebiotech.com/network/57274")</f>
        <v>http://funmeta.oebiotech.com/network/57274</v>
      </c>
      <c r="H2058" s="2" t="s">
        <v>13809</v>
      </c>
      <c r="I2058" s="2">
        <v>88904</v>
      </c>
      <c r="J2058" s="2"/>
      <c r="K2058" s="2">
        <v>168900</v>
      </c>
      <c r="L2058" s="2"/>
      <c r="M2058" s="2"/>
      <c r="N2058" s="2"/>
      <c r="O2058" s="2">
        <v>131751358</v>
      </c>
      <c r="P2058" s="2"/>
      <c r="Q2058" s="2" t="s">
        <v>13810</v>
      </c>
      <c r="R2058" s="2" t="s">
        <v>13811</v>
      </c>
      <c r="S2058" s="2" t="s">
        <v>115</v>
      </c>
      <c r="T2058" s="2" t="s">
        <v>1371</v>
      </c>
      <c r="U2058" s="2" t="s">
        <v>1372</v>
      </c>
      <c r="V2058" s="2" t="s">
        <v>59</v>
      </c>
      <c r="W2058" s="2">
        <v>38.200000000000003</v>
      </c>
      <c r="X2058" s="2">
        <v>0</v>
      </c>
      <c r="Y2058" s="2" t="s">
        <v>242</v>
      </c>
      <c r="Z2058" s="2" t="s">
        <v>12798</v>
      </c>
      <c r="AA2058" s="2">
        <v>-0.219580945693094</v>
      </c>
      <c r="AB2058" s="2">
        <v>0.39371456019759199</v>
      </c>
      <c r="AC2058" s="2">
        <v>43977.566418769798</v>
      </c>
      <c r="AD2058" s="2">
        <v>32816.822806446296</v>
      </c>
      <c r="AE2058" s="2">
        <v>47014.975752462298</v>
      </c>
      <c r="AF2058" s="2">
        <v>43773.507949520303</v>
      </c>
      <c r="AG2058" s="2">
        <v>47069.017171647603</v>
      </c>
      <c r="AH2058" s="2">
        <v>42542.040037443301</v>
      </c>
      <c r="AI2058" s="2">
        <v>41875.287715534898</v>
      </c>
      <c r="AJ2058" s="2">
        <v>41590.569886010402</v>
      </c>
      <c r="AK2058" s="2">
        <v>32715.5765091516</v>
      </c>
      <c r="AL2058" s="2">
        <v>34396.949638659098</v>
      </c>
      <c r="AM2058" s="2">
        <v>31236.099314476</v>
      </c>
      <c r="AN2058" s="2">
        <v>34709.294618571497</v>
      </c>
      <c r="AO2058" s="2">
        <v>36281.935772262703</v>
      </c>
      <c r="AP2058" s="2">
        <v>27561.080985556899</v>
      </c>
    </row>
    <row r="2059" spans="1:42" ht="14.5" x14ac:dyDescent="0.35">
      <c r="A2059" s="2" t="s">
        <v>13812</v>
      </c>
      <c r="B2059" s="2">
        <v>305.18576973075398</v>
      </c>
      <c r="C2059" s="2">
        <v>4.8327999999999998</v>
      </c>
      <c r="D2059" s="2" t="s">
        <v>34</v>
      </c>
      <c r="E2059" s="2" t="s">
        <v>13813</v>
      </c>
      <c r="F2059" s="2">
        <v>212509</v>
      </c>
      <c r="G2059" s="3" t="str">
        <f>HYPERLINK("http://funmeta.oebiotech.com/network/212509", "http://funmeta.oebiotech.com/network/212509")</f>
        <v>http://funmeta.oebiotech.com/network/212509</v>
      </c>
      <c r="H2059" s="2" t="s">
        <v>13814</v>
      </c>
      <c r="I2059" s="2"/>
      <c r="J2059" s="2"/>
      <c r="K2059" s="2"/>
      <c r="L2059" s="2"/>
      <c r="M2059" s="2"/>
      <c r="N2059" s="2"/>
      <c r="O2059" s="2"/>
      <c r="P2059" s="2"/>
      <c r="Q2059" s="2" t="s">
        <v>13815</v>
      </c>
      <c r="R2059" s="2" t="s">
        <v>13816</v>
      </c>
      <c r="S2059" s="2" t="s">
        <v>491</v>
      </c>
      <c r="T2059" s="2" t="s">
        <v>13817</v>
      </c>
      <c r="U2059" s="2" t="s">
        <v>13818</v>
      </c>
      <c r="V2059" s="2" t="s">
        <v>59</v>
      </c>
      <c r="W2059" s="2">
        <v>37.9</v>
      </c>
      <c r="X2059" s="2">
        <v>0</v>
      </c>
      <c r="Y2059" s="2" t="s">
        <v>394</v>
      </c>
      <c r="Z2059" s="2" t="s">
        <v>13819</v>
      </c>
      <c r="AA2059" s="2">
        <v>-0.65533586268056898</v>
      </c>
      <c r="AB2059" s="2">
        <v>0.393410808876408</v>
      </c>
      <c r="AC2059" s="2">
        <v>16329.015743731001</v>
      </c>
      <c r="AD2059" s="2">
        <v>5761.7029425733899</v>
      </c>
      <c r="AE2059" s="2">
        <v>16130.5619764822</v>
      </c>
      <c r="AF2059" s="2">
        <v>18906.804414623799</v>
      </c>
      <c r="AG2059" s="2">
        <v>14575.599546838501</v>
      </c>
      <c r="AH2059" s="2">
        <v>19254.6092579654</v>
      </c>
      <c r="AI2059" s="2">
        <v>14362.2501534823</v>
      </c>
      <c r="AJ2059" s="2">
        <v>14744.269112993999</v>
      </c>
      <c r="AK2059" s="2">
        <v>6509.7860306861603</v>
      </c>
      <c r="AL2059" s="2">
        <v>6346.0189841974898</v>
      </c>
      <c r="AM2059" s="2">
        <v>5907.2740480476596</v>
      </c>
      <c r="AN2059" s="2">
        <v>5921.59790742516</v>
      </c>
      <c r="AO2059" s="2">
        <v>6041.2989134613999</v>
      </c>
      <c r="AP2059" s="2">
        <v>3844.24177162244</v>
      </c>
    </row>
    <row r="2060" spans="1:42" ht="14.5" x14ac:dyDescent="0.35">
      <c r="A2060" s="2" t="s">
        <v>13820</v>
      </c>
      <c r="B2060" s="2">
        <v>991.583184395751</v>
      </c>
      <c r="C2060" s="2">
        <v>12.574733333333301</v>
      </c>
      <c r="D2060" s="2" t="s">
        <v>70</v>
      </c>
      <c r="E2060" s="2" t="s">
        <v>13821</v>
      </c>
      <c r="F2060" s="2">
        <v>241312</v>
      </c>
      <c r="G2060" s="3" t="str">
        <f>HYPERLINK("http://funmeta.oebiotech.com/network/241312", "http://funmeta.oebiotech.com/network/241312")</f>
        <v>http://funmeta.oebiotech.com/network/241312</v>
      </c>
      <c r="H2060" s="2" t="s">
        <v>13822</v>
      </c>
      <c r="I2060" s="2"/>
      <c r="J2060" s="2"/>
      <c r="K2060" s="2"/>
      <c r="L2060" s="2"/>
      <c r="M2060" s="2"/>
      <c r="N2060" s="2"/>
      <c r="O2060" s="2"/>
      <c r="P2060" s="2"/>
      <c r="Q2060" s="2" t="s">
        <v>13823</v>
      </c>
      <c r="R2060" s="2" t="s">
        <v>13824</v>
      </c>
      <c r="S2060" s="2" t="s">
        <v>41</v>
      </c>
      <c r="T2060" s="2" t="s">
        <v>41</v>
      </c>
      <c r="U2060" s="2" t="s">
        <v>41</v>
      </c>
      <c r="V2060" s="2" t="s">
        <v>59</v>
      </c>
      <c r="W2060" s="2">
        <v>36.5</v>
      </c>
      <c r="X2060" s="2">
        <v>0</v>
      </c>
      <c r="Y2060" s="2" t="s">
        <v>118</v>
      </c>
      <c r="Z2060" s="2" t="s">
        <v>13825</v>
      </c>
      <c r="AA2060" s="2">
        <v>-2.02347015518508</v>
      </c>
      <c r="AB2060" s="2">
        <v>0.39326941050458097</v>
      </c>
      <c r="AC2060" s="2">
        <v>106453.49755122499</v>
      </c>
      <c r="AD2060" s="2">
        <v>90067.360957670506</v>
      </c>
      <c r="AE2060" s="2">
        <v>98056.986743630405</v>
      </c>
      <c r="AF2060" s="2">
        <v>83418.0061817143</v>
      </c>
      <c r="AG2060" s="2">
        <v>107346.863023321</v>
      </c>
      <c r="AH2060" s="2">
        <v>116996.801713754</v>
      </c>
      <c r="AI2060" s="2">
        <v>119062.23982395499</v>
      </c>
      <c r="AJ2060" s="2">
        <v>113840.087820976</v>
      </c>
      <c r="AK2060" s="2">
        <v>105489.858828005</v>
      </c>
      <c r="AL2060" s="2">
        <v>90716.787611292501</v>
      </c>
      <c r="AM2060" s="2">
        <v>83942.234296678798</v>
      </c>
      <c r="AN2060" s="2">
        <v>85552.338045350203</v>
      </c>
      <c r="AO2060" s="2">
        <v>85101.830297381894</v>
      </c>
      <c r="AP2060" s="2">
        <v>89601.116667314607</v>
      </c>
    </row>
    <row r="2061" spans="1:42" ht="14.5" x14ac:dyDescent="0.35">
      <c r="A2061" s="2" t="s">
        <v>13826</v>
      </c>
      <c r="B2061" s="2">
        <v>479.37452288031801</v>
      </c>
      <c r="C2061" s="2">
        <v>12.8904333333333</v>
      </c>
      <c r="D2061" s="2" t="s">
        <v>34</v>
      </c>
      <c r="E2061" s="2" t="s">
        <v>13827</v>
      </c>
      <c r="F2061" s="2">
        <v>207573</v>
      </c>
      <c r="G2061" s="3" t="str">
        <f>HYPERLINK("http://funmeta.oebiotech.com/network/207573", "http://funmeta.oebiotech.com/network/207573")</f>
        <v>http://funmeta.oebiotech.com/network/207573</v>
      </c>
      <c r="H2061" s="2" t="s">
        <v>13828</v>
      </c>
      <c r="I2061" s="2"/>
      <c r="J2061" s="2"/>
      <c r="K2061" s="2"/>
      <c r="L2061" s="2"/>
      <c r="M2061" s="2"/>
      <c r="N2061" s="2"/>
      <c r="O2061" s="2">
        <v>13037422</v>
      </c>
      <c r="P2061" s="2"/>
      <c r="Q2061" s="2" t="s">
        <v>13829</v>
      </c>
      <c r="R2061" s="2" t="s">
        <v>13830</v>
      </c>
      <c r="S2061" s="2" t="s">
        <v>50</v>
      </c>
      <c r="T2061" s="2" t="s">
        <v>124</v>
      </c>
      <c r="U2061" s="2" t="s">
        <v>5761</v>
      </c>
      <c r="V2061" s="2" t="s">
        <v>42</v>
      </c>
      <c r="W2061" s="2">
        <v>52.2</v>
      </c>
      <c r="X2061" s="2">
        <v>70.099999999999994</v>
      </c>
      <c r="Y2061" s="2" t="s">
        <v>394</v>
      </c>
      <c r="Z2061" s="2" t="s">
        <v>13831</v>
      </c>
      <c r="AA2061" s="2">
        <v>2.9720915351472099</v>
      </c>
      <c r="AB2061" s="2">
        <v>0.39322325193976898</v>
      </c>
      <c r="AC2061" s="2">
        <v>11111.874652385901</v>
      </c>
      <c r="AD2061" s="2">
        <v>885.94483883810403</v>
      </c>
      <c r="AE2061" s="2">
        <v>11759.5518920657</v>
      </c>
      <c r="AF2061" s="2">
        <v>10651.509062470201</v>
      </c>
      <c r="AG2061" s="2">
        <v>12071.4320930061</v>
      </c>
      <c r="AH2061" s="2">
        <v>10660.5692864792</v>
      </c>
      <c r="AI2061" s="2">
        <v>9746.8970313201298</v>
      </c>
      <c r="AJ2061" s="2">
        <v>11781.2885489741</v>
      </c>
      <c r="AK2061" s="2">
        <v>2062.75009191855</v>
      </c>
      <c r="AL2061" s="2">
        <v>514.88164723122895</v>
      </c>
      <c r="AM2061" s="2">
        <v>833.07487324210297</v>
      </c>
      <c r="AN2061" s="2">
        <v>417.384428559583</v>
      </c>
      <c r="AO2061" s="2">
        <v>1232.76458928228</v>
      </c>
      <c r="AP2061" s="2">
        <v>254.81340279488199</v>
      </c>
    </row>
    <row r="2062" spans="1:42" ht="14.5" x14ac:dyDescent="0.35">
      <c r="A2062" s="2" t="s">
        <v>13832</v>
      </c>
      <c r="B2062" s="2">
        <v>395.24272722966799</v>
      </c>
      <c r="C2062" s="2">
        <v>9.5804500000000008</v>
      </c>
      <c r="D2062" s="2" t="s">
        <v>34</v>
      </c>
      <c r="E2062" s="2" t="s">
        <v>13833</v>
      </c>
      <c r="F2062" s="2">
        <v>5433</v>
      </c>
      <c r="G2062" s="3" t="str">
        <f>HYPERLINK("http://funmeta.oebiotech.com/network/5433", "http://funmeta.oebiotech.com/network/5433")</f>
        <v>http://funmeta.oebiotech.com/network/5433</v>
      </c>
      <c r="H2062" s="2"/>
      <c r="I2062" s="2"/>
      <c r="J2062" s="2" t="s">
        <v>13834</v>
      </c>
      <c r="K2062" s="2"/>
      <c r="L2062" s="2"/>
      <c r="M2062" s="2"/>
      <c r="N2062" s="2"/>
      <c r="O2062" s="2">
        <v>44188833</v>
      </c>
      <c r="P2062" s="2"/>
      <c r="Q2062" s="2" t="s">
        <v>13835</v>
      </c>
      <c r="R2062" s="2" t="s">
        <v>13836</v>
      </c>
      <c r="S2062" s="2" t="s">
        <v>79</v>
      </c>
      <c r="T2062" s="2" t="s">
        <v>80</v>
      </c>
      <c r="U2062" s="2" t="s">
        <v>81</v>
      </c>
      <c r="V2062" s="2" t="s">
        <v>42</v>
      </c>
      <c r="W2062" s="2">
        <v>48.5</v>
      </c>
      <c r="X2062" s="2">
        <v>48.1</v>
      </c>
      <c r="Y2062" s="2" t="s">
        <v>266</v>
      </c>
      <c r="Z2062" s="2" t="s">
        <v>13837</v>
      </c>
      <c r="AA2062" s="2">
        <v>-0.22324235901928599</v>
      </c>
      <c r="AB2062" s="2">
        <v>0.39303928471795901</v>
      </c>
      <c r="AC2062" s="2">
        <v>12650.1851001007</v>
      </c>
      <c r="AD2062" s="2">
        <v>2064.1032689566</v>
      </c>
      <c r="AE2062" s="2">
        <v>16302.3501691765</v>
      </c>
      <c r="AF2062" s="2">
        <v>11578.9217715294</v>
      </c>
      <c r="AG2062" s="2">
        <v>12332.6659093907</v>
      </c>
      <c r="AH2062" s="2">
        <v>14390.875397780101</v>
      </c>
      <c r="AI2062" s="2">
        <v>8736.7159595481098</v>
      </c>
      <c r="AJ2062" s="2">
        <v>12559.5813931792</v>
      </c>
      <c r="AK2062" s="2">
        <v>1777.1777484724</v>
      </c>
      <c r="AL2062" s="2">
        <v>2775.9986098808699</v>
      </c>
      <c r="AM2062" s="2">
        <v>2557.2815362896299</v>
      </c>
      <c r="AN2062" s="2">
        <v>1399.5081936060601</v>
      </c>
      <c r="AO2062" s="2">
        <v>1760.5649643066699</v>
      </c>
      <c r="AP2062" s="2">
        <v>2114.0885611839699</v>
      </c>
    </row>
    <row r="2063" spans="1:42" ht="14.5" x14ac:dyDescent="0.35">
      <c r="A2063" s="2" t="s">
        <v>13838</v>
      </c>
      <c r="B2063" s="2">
        <v>160.096676506905</v>
      </c>
      <c r="C2063" s="2">
        <v>0.78071666666666695</v>
      </c>
      <c r="D2063" s="2" t="s">
        <v>34</v>
      </c>
      <c r="E2063" s="2" t="s">
        <v>13839</v>
      </c>
      <c r="F2063" s="2">
        <v>61992</v>
      </c>
      <c r="G2063" s="3" t="str">
        <f>HYPERLINK("http://funmeta.oebiotech.com/network/61992", "http://funmeta.oebiotech.com/network/61992")</f>
        <v>http://funmeta.oebiotech.com/network/61992</v>
      </c>
      <c r="H2063" s="2" t="s">
        <v>13840</v>
      </c>
      <c r="I2063" s="2">
        <v>93286</v>
      </c>
      <c r="J2063" s="2"/>
      <c r="K2063" s="2">
        <v>173686</v>
      </c>
      <c r="L2063" s="2"/>
      <c r="M2063" s="2"/>
      <c r="N2063" s="2"/>
      <c r="O2063" s="2">
        <v>101409750</v>
      </c>
      <c r="P2063" s="2" t="s">
        <v>13841</v>
      </c>
      <c r="Q2063" s="2" t="s">
        <v>13842</v>
      </c>
      <c r="R2063" s="2" t="s">
        <v>13843</v>
      </c>
      <c r="S2063" s="2" t="s">
        <v>89</v>
      </c>
      <c r="T2063" s="2" t="s">
        <v>90</v>
      </c>
      <c r="U2063" s="2" t="s">
        <v>99</v>
      </c>
      <c r="V2063" s="2" t="s">
        <v>59</v>
      </c>
      <c r="W2063" s="2">
        <v>47.6</v>
      </c>
      <c r="X2063" s="2">
        <v>41.9</v>
      </c>
      <c r="Y2063" s="2" t="s">
        <v>266</v>
      </c>
      <c r="Z2063" s="2" t="s">
        <v>13844</v>
      </c>
      <c r="AA2063" s="2">
        <v>-0.90015648928487901</v>
      </c>
      <c r="AB2063" s="2">
        <v>0.392970349028886</v>
      </c>
      <c r="AC2063" s="2">
        <v>153261.82361906601</v>
      </c>
      <c r="AD2063" s="2">
        <v>140204.627682883</v>
      </c>
      <c r="AE2063" s="2">
        <v>148049.50797745801</v>
      </c>
      <c r="AF2063" s="2">
        <v>160032.68877547799</v>
      </c>
      <c r="AG2063" s="2">
        <v>157724.23558256301</v>
      </c>
      <c r="AH2063" s="2">
        <v>155325.11515240101</v>
      </c>
      <c r="AI2063" s="2">
        <v>151275.46562610901</v>
      </c>
      <c r="AJ2063" s="2">
        <v>147163.92860038701</v>
      </c>
      <c r="AK2063" s="2">
        <v>138736.800494319</v>
      </c>
      <c r="AL2063" s="2">
        <v>151276.02969036999</v>
      </c>
      <c r="AM2063" s="2">
        <v>143067.550893512</v>
      </c>
      <c r="AN2063" s="2">
        <v>133870.62715860701</v>
      </c>
      <c r="AO2063" s="2">
        <v>140480.95637496701</v>
      </c>
      <c r="AP2063" s="2">
        <v>133795.80148552399</v>
      </c>
    </row>
    <row r="2064" spans="1:42" ht="14.5" x14ac:dyDescent="0.35">
      <c r="A2064" s="2" t="s">
        <v>13845</v>
      </c>
      <c r="B2064" s="2">
        <v>403.10213881034599</v>
      </c>
      <c r="C2064" s="2">
        <v>5.4400500000000003</v>
      </c>
      <c r="D2064" s="2" t="s">
        <v>34</v>
      </c>
      <c r="E2064" s="2" t="s">
        <v>13846</v>
      </c>
      <c r="F2064" s="2">
        <v>205801</v>
      </c>
      <c r="G2064" s="3" t="str">
        <f>HYPERLINK("http://funmeta.oebiotech.com/network/205801", "http://funmeta.oebiotech.com/network/205801")</f>
        <v>http://funmeta.oebiotech.com/network/205801</v>
      </c>
      <c r="H2064" s="2" t="s">
        <v>13847</v>
      </c>
      <c r="I2064" s="2"/>
      <c r="J2064" s="2"/>
      <c r="K2064" s="2">
        <v>90185</v>
      </c>
      <c r="L2064" s="2"/>
      <c r="M2064" s="2"/>
      <c r="N2064" s="2"/>
      <c r="O2064" s="2"/>
      <c r="P2064" s="2"/>
      <c r="Q2064" s="2" t="s">
        <v>13848</v>
      </c>
      <c r="R2064" s="2" t="s">
        <v>13849</v>
      </c>
      <c r="S2064" s="2" t="s">
        <v>79</v>
      </c>
      <c r="T2064" s="2" t="s">
        <v>80</v>
      </c>
      <c r="U2064" s="2" t="s">
        <v>2820</v>
      </c>
      <c r="V2064" s="2" t="s">
        <v>59</v>
      </c>
      <c r="W2064" s="2">
        <v>38.799999999999997</v>
      </c>
      <c r="X2064" s="2">
        <v>0</v>
      </c>
      <c r="Y2064" s="2" t="s">
        <v>340</v>
      </c>
      <c r="Z2064" s="2" t="s">
        <v>13850</v>
      </c>
      <c r="AA2064" s="2">
        <v>1.91232950821037</v>
      </c>
      <c r="AB2064" s="2">
        <v>0.39296478808186602</v>
      </c>
      <c r="AC2064" s="2">
        <v>13658.505301445801</v>
      </c>
      <c r="AD2064" s="2">
        <v>24117.124516150401</v>
      </c>
      <c r="AE2064" s="2">
        <v>14634.0326291892</v>
      </c>
      <c r="AF2064" s="2">
        <v>12603.709886587299</v>
      </c>
      <c r="AG2064" s="2">
        <v>12256.1421836308</v>
      </c>
      <c r="AH2064" s="2">
        <v>13173.132121603299</v>
      </c>
      <c r="AI2064" s="2">
        <v>15077.1454262275</v>
      </c>
      <c r="AJ2064" s="2">
        <v>14206.869561436501</v>
      </c>
      <c r="AK2064" s="2">
        <v>21551.937428015601</v>
      </c>
      <c r="AL2064" s="2">
        <v>25373.955718720499</v>
      </c>
      <c r="AM2064" s="2">
        <v>26070.409291781401</v>
      </c>
      <c r="AN2064" s="2">
        <v>25509.394009132498</v>
      </c>
      <c r="AO2064" s="2">
        <v>22393.2259987123</v>
      </c>
      <c r="AP2064" s="2">
        <v>23803.824650540399</v>
      </c>
    </row>
    <row r="2065" spans="1:42" ht="14.5" x14ac:dyDescent="0.35">
      <c r="A2065" s="2" t="s">
        <v>13851</v>
      </c>
      <c r="B2065" s="2">
        <v>306.075961298972</v>
      </c>
      <c r="C2065" s="2">
        <v>4.2044333333333297</v>
      </c>
      <c r="D2065" s="2" t="s">
        <v>70</v>
      </c>
      <c r="E2065" s="2" t="s">
        <v>13852</v>
      </c>
      <c r="F2065" s="2">
        <v>46883</v>
      </c>
      <c r="G2065" s="3" t="str">
        <f>HYPERLINK("http://funmeta.oebiotech.com/network/46883", "http://funmeta.oebiotech.com/network/46883")</f>
        <v>http://funmeta.oebiotech.com/network/46883</v>
      </c>
      <c r="H2065" s="2" t="s">
        <v>13853</v>
      </c>
      <c r="I2065" s="2">
        <v>44</v>
      </c>
      <c r="J2065" s="2"/>
      <c r="K2065" s="2">
        <v>16856</v>
      </c>
      <c r="L2065" s="2" t="s">
        <v>13854</v>
      </c>
      <c r="M2065" s="2" t="s">
        <v>13855</v>
      </c>
      <c r="N2065" s="2" t="s">
        <v>13856</v>
      </c>
      <c r="O2065" s="2">
        <v>124886</v>
      </c>
      <c r="P2065" s="2" t="s">
        <v>13857</v>
      </c>
      <c r="Q2065" s="2" t="s">
        <v>13858</v>
      </c>
      <c r="R2065" s="2" t="s">
        <v>13859</v>
      </c>
      <c r="S2065" s="2" t="s">
        <v>89</v>
      </c>
      <c r="T2065" s="2" t="s">
        <v>90</v>
      </c>
      <c r="U2065" s="2" t="s">
        <v>99</v>
      </c>
      <c r="V2065" s="2" t="s">
        <v>42</v>
      </c>
      <c r="W2065" s="2">
        <v>52.9</v>
      </c>
      <c r="X2065" s="2">
        <v>74.400000000000006</v>
      </c>
      <c r="Y2065" s="2" t="s">
        <v>118</v>
      </c>
      <c r="Z2065" s="2" t="s">
        <v>13860</v>
      </c>
      <c r="AA2065" s="2">
        <v>-1.85143588387055</v>
      </c>
      <c r="AB2065" s="2">
        <v>0.392851555409368</v>
      </c>
      <c r="AC2065" s="2">
        <v>37485.563340290602</v>
      </c>
      <c r="AD2065" s="2">
        <v>26990.354160475199</v>
      </c>
      <c r="AE2065" s="2">
        <v>35350.508060264903</v>
      </c>
      <c r="AF2065" s="2">
        <v>40174.4569487279</v>
      </c>
      <c r="AG2065" s="2">
        <v>36025.048861704003</v>
      </c>
      <c r="AH2065" s="2">
        <v>38515.604422468001</v>
      </c>
      <c r="AI2065" s="2">
        <v>36621.420349275002</v>
      </c>
      <c r="AJ2065" s="2">
        <v>38226.341399304001</v>
      </c>
      <c r="AK2065" s="2">
        <v>26085.286706520401</v>
      </c>
      <c r="AL2065" s="2">
        <v>26265.071308807299</v>
      </c>
      <c r="AM2065" s="2">
        <v>26364.333200397101</v>
      </c>
      <c r="AN2065" s="2">
        <v>27811.3765456726</v>
      </c>
      <c r="AO2065" s="2">
        <v>29230.663273886101</v>
      </c>
      <c r="AP2065" s="2">
        <v>26185.393927567598</v>
      </c>
    </row>
    <row r="2066" spans="1:42" ht="14.5" x14ac:dyDescent="0.35">
      <c r="A2066" s="2" t="s">
        <v>13861</v>
      </c>
      <c r="B2066" s="2">
        <v>501.17294990393401</v>
      </c>
      <c r="C2066" s="2">
        <v>5.3005833333333303</v>
      </c>
      <c r="D2066" s="2" t="s">
        <v>34</v>
      </c>
      <c r="E2066" s="2" t="s">
        <v>13862</v>
      </c>
      <c r="F2066" s="2">
        <v>256247</v>
      </c>
      <c r="G2066" s="3" t="str">
        <f>HYPERLINK("http://funmeta.oebiotech.com/network/256247", "http://funmeta.oebiotech.com/network/256247")</f>
        <v>http://funmeta.oebiotech.com/network/256247</v>
      </c>
      <c r="H2066" s="2" t="s">
        <v>13863</v>
      </c>
      <c r="I2066" s="2"/>
      <c r="J2066" s="2"/>
      <c r="K2066" s="2"/>
      <c r="L2066" s="2"/>
      <c r="M2066" s="2"/>
      <c r="N2066" s="2"/>
      <c r="O2066" s="2"/>
      <c r="P2066" s="2"/>
      <c r="Q2066" s="2" t="s">
        <v>13864</v>
      </c>
      <c r="R2066" s="2" t="s">
        <v>13865</v>
      </c>
      <c r="S2066" s="2" t="s">
        <v>89</v>
      </c>
      <c r="T2066" s="2" t="s">
        <v>90</v>
      </c>
      <c r="U2066" s="2" t="s">
        <v>99</v>
      </c>
      <c r="V2066" s="2" t="s">
        <v>59</v>
      </c>
      <c r="W2066" s="2">
        <v>38.6</v>
      </c>
      <c r="X2066" s="2">
        <v>0</v>
      </c>
      <c r="Y2066" s="2" t="s">
        <v>323</v>
      </c>
      <c r="Z2066" s="2" t="s">
        <v>13866</v>
      </c>
      <c r="AA2066" s="2">
        <v>-0.432995820574062</v>
      </c>
      <c r="AB2066" s="2">
        <v>0.39284218469803001</v>
      </c>
      <c r="AC2066" s="2">
        <v>43794.880817625599</v>
      </c>
      <c r="AD2066" s="2">
        <v>55447.419551165003</v>
      </c>
      <c r="AE2066" s="2">
        <v>40732.0469748287</v>
      </c>
      <c r="AF2066" s="2">
        <v>49582.837197824498</v>
      </c>
      <c r="AG2066" s="2">
        <v>43572.084372130601</v>
      </c>
      <c r="AH2066" s="2">
        <v>37104.877985325104</v>
      </c>
      <c r="AI2066" s="2">
        <v>47891.401494843703</v>
      </c>
      <c r="AJ2066" s="2">
        <v>43886.036880801097</v>
      </c>
      <c r="AK2066" s="2">
        <v>57865.275485634302</v>
      </c>
      <c r="AL2066" s="2">
        <v>58432.233525805597</v>
      </c>
      <c r="AM2066" s="2">
        <v>52432.317210046698</v>
      </c>
      <c r="AN2066" s="2">
        <v>56018.074919521998</v>
      </c>
      <c r="AO2066" s="2">
        <v>53859.083057639298</v>
      </c>
      <c r="AP2066" s="2">
        <v>54077.533108342199</v>
      </c>
    </row>
    <row r="2067" spans="1:42" ht="14.5" x14ac:dyDescent="0.35">
      <c r="A2067" s="2" t="s">
        <v>13867</v>
      </c>
      <c r="B2067" s="2">
        <v>267.21030202739098</v>
      </c>
      <c r="C2067" s="2">
        <v>6.4298666666666699</v>
      </c>
      <c r="D2067" s="2" t="s">
        <v>34</v>
      </c>
      <c r="E2067" s="2" t="s">
        <v>13868</v>
      </c>
      <c r="F2067" s="2">
        <v>37374</v>
      </c>
      <c r="G2067" s="3" t="str">
        <f>HYPERLINK("http://funmeta.oebiotech.com/network/37374", "http://funmeta.oebiotech.com/network/37374")</f>
        <v>http://funmeta.oebiotech.com/network/37374</v>
      </c>
      <c r="H2067" s="2" t="s">
        <v>13869</v>
      </c>
      <c r="I2067" s="2">
        <v>41504</v>
      </c>
      <c r="J2067" s="2" t="s">
        <v>13870</v>
      </c>
      <c r="K2067" s="2">
        <v>132246</v>
      </c>
      <c r="L2067" s="2"/>
      <c r="M2067" s="2"/>
      <c r="N2067" s="2"/>
      <c r="O2067" s="2">
        <v>6436043</v>
      </c>
      <c r="P2067" s="2" t="s">
        <v>13871</v>
      </c>
      <c r="Q2067" s="2" t="s">
        <v>13872</v>
      </c>
      <c r="R2067" s="2" t="s">
        <v>13873</v>
      </c>
      <c r="S2067" s="2" t="s">
        <v>50</v>
      </c>
      <c r="T2067" s="2" t="s">
        <v>201</v>
      </c>
      <c r="U2067" s="2" t="s">
        <v>2195</v>
      </c>
      <c r="V2067" s="2" t="s">
        <v>42</v>
      </c>
      <c r="W2067" s="2">
        <v>51.5</v>
      </c>
      <c r="X2067" s="2">
        <v>66.7</v>
      </c>
      <c r="Y2067" s="2" t="s">
        <v>141</v>
      </c>
      <c r="Z2067" s="2" t="s">
        <v>13874</v>
      </c>
      <c r="AA2067" s="2">
        <v>-1.4961969005784399</v>
      </c>
      <c r="AB2067" s="2">
        <v>0.39272400756304898</v>
      </c>
      <c r="AC2067" s="2">
        <v>62908.048743704501</v>
      </c>
      <c r="AD2067" s="2">
        <v>52103.301269319702</v>
      </c>
      <c r="AE2067" s="2">
        <v>59545.060159968903</v>
      </c>
      <c r="AF2067" s="2">
        <v>62743.787435234</v>
      </c>
      <c r="AG2067" s="2">
        <v>64859.653748710502</v>
      </c>
      <c r="AH2067" s="2">
        <v>66024.574952330295</v>
      </c>
      <c r="AI2067" s="2">
        <v>60592.393391302699</v>
      </c>
      <c r="AJ2067" s="2">
        <v>63682.822774680797</v>
      </c>
      <c r="AK2067" s="2">
        <v>50586.8169758515</v>
      </c>
      <c r="AL2067" s="2">
        <v>53860.013567663402</v>
      </c>
      <c r="AM2067" s="2">
        <v>52720.321890888903</v>
      </c>
      <c r="AN2067" s="2">
        <v>49807.5108326892</v>
      </c>
      <c r="AO2067" s="2">
        <v>54899.910607741796</v>
      </c>
      <c r="AP2067" s="2">
        <v>50745.233741083102</v>
      </c>
    </row>
    <row r="2068" spans="1:42" ht="14.5" x14ac:dyDescent="0.35">
      <c r="A2068" s="2" t="s">
        <v>13875</v>
      </c>
      <c r="B2068" s="2">
        <v>311.16846370923503</v>
      </c>
      <c r="C2068" s="2">
        <v>11.0555</v>
      </c>
      <c r="D2068" s="2" t="s">
        <v>70</v>
      </c>
      <c r="E2068" s="2" t="s">
        <v>13876</v>
      </c>
      <c r="F2068" s="2">
        <v>56845</v>
      </c>
      <c r="G2068" s="3" t="str">
        <f>HYPERLINK("http://funmeta.oebiotech.com/network/56845", "http://funmeta.oebiotech.com/network/56845")</f>
        <v>http://funmeta.oebiotech.com/network/56845</v>
      </c>
      <c r="H2068" s="2" t="s">
        <v>13877</v>
      </c>
      <c r="I2068" s="2">
        <v>88521</v>
      </c>
      <c r="J2068" s="2"/>
      <c r="K2068" s="2">
        <v>141538</v>
      </c>
      <c r="L2068" s="2"/>
      <c r="M2068" s="2"/>
      <c r="N2068" s="2"/>
      <c r="O2068" s="2">
        <v>38222</v>
      </c>
      <c r="P2068" s="2" t="s">
        <v>13878</v>
      </c>
      <c r="Q2068" s="2" t="s">
        <v>13879</v>
      </c>
      <c r="R2068" s="2" t="s">
        <v>13880</v>
      </c>
      <c r="S2068" s="2" t="s">
        <v>148</v>
      </c>
      <c r="T2068" s="2" t="s">
        <v>149</v>
      </c>
      <c r="U2068" s="2" t="s">
        <v>6788</v>
      </c>
      <c r="V2068" s="2" t="s">
        <v>59</v>
      </c>
      <c r="W2068" s="2">
        <v>43.1</v>
      </c>
      <c r="X2068" s="2">
        <v>20.2</v>
      </c>
      <c r="Y2068" s="2" t="s">
        <v>118</v>
      </c>
      <c r="Z2068" s="2" t="s">
        <v>13881</v>
      </c>
      <c r="AA2068" s="2">
        <v>-0.56255270374605904</v>
      </c>
      <c r="AB2068" s="2">
        <v>0.39233189246445999</v>
      </c>
      <c r="AC2068" s="2">
        <v>398382.91742377001</v>
      </c>
      <c r="AD2068" s="2">
        <v>342197.190292518</v>
      </c>
      <c r="AE2068" s="2">
        <v>299276.98869048402</v>
      </c>
      <c r="AF2068" s="2">
        <v>315930.15658778901</v>
      </c>
      <c r="AG2068" s="2">
        <v>308392.025281401</v>
      </c>
      <c r="AH2068" s="2">
        <v>868226.83620633697</v>
      </c>
      <c r="AI2068" s="2">
        <v>291781.94298745802</v>
      </c>
      <c r="AJ2068" s="2">
        <v>306689.554789152</v>
      </c>
      <c r="AK2068" s="2">
        <v>240813.65420993799</v>
      </c>
      <c r="AL2068" s="2">
        <v>333118.49540891399</v>
      </c>
      <c r="AM2068" s="2">
        <v>340985.15115156601</v>
      </c>
      <c r="AN2068" s="2">
        <v>398328.48013821</v>
      </c>
      <c r="AO2068" s="2">
        <v>356336.35451896797</v>
      </c>
      <c r="AP2068" s="2">
        <v>383601.00632751099</v>
      </c>
    </row>
    <row r="2069" spans="1:42" ht="14.5" x14ac:dyDescent="0.35">
      <c r="A2069" s="2" t="s">
        <v>13882</v>
      </c>
      <c r="B2069" s="2">
        <v>287.98004333477002</v>
      </c>
      <c r="C2069" s="2">
        <v>1.29345</v>
      </c>
      <c r="D2069" s="2" t="s">
        <v>34</v>
      </c>
      <c r="E2069" s="2" t="s">
        <v>13883</v>
      </c>
      <c r="F2069" s="2">
        <v>47709</v>
      </c>
      <c r="G2069" s="3" t="str">
        <f>HYPERLINK("http://funmeta.oebiotech.com/network/47709", "http://funmeta.oebiotech.com/network/47709")</f>
        <v>http://funmeta.oebiotech.com/network/47709</v>
      </c>
      <c r="H2069" s="2" t="s">
        <v>13884</v>
      </c>
      <c r="I2069" s="2">
        <v>818</v>
      </c>
      <c r="J2069" s="2"/>
      <c r="K2069" s="2">
        <v>2567</v>
      </c>
      <c r="L2069" s="2" t="s">
        <v>13885</v>
      </c>
      <c r="M2069" s="2"/>
      <c r="N2069" s="2"/>
      <c r="O2069" s="2">
        <v>2088</v>
      </c>
      <c r="P2069" s="2" t="s">
        <v>13886</v>
      </c>
      <c r="Q2069" s="2" t="s">
        <v>13887</v>
      </c>
      <c r="R2069" s="2" t="s">
        <v>13888</v>
      </c>
      <c r="S2069" s="2" t="s">
        <v>89</v>
      </c>
      <c r="T2069" s="2" t="s">
        <v>6048</v>
      </c>
      <c r="U2069" s="2" t="s">
        <v>12523</v>
      </c>
      <c r="V2069" s="2" t="s">
        <v>59</v>
      </c>
      <c r="W2069" s="2">
        <v>42.1</v>
      </c>
      <c r="X2069" s="2">
        <v>18.7</v>
      </c>
      <c r="Y2069" s="2" t="s">
        <v>340</v>
      </c>
      <c r="Z2069" s="2" t="s">
        <v>13889</v>
      </c>
      <c r="AA2069" s="2">
        <v>0.64347541403086495</v>
      </c>
      <c r="AB2069" s="2">
        <v>0.39193795322546099</v>
      </c>
      <c r="AC2069" s="2">
        <v>119289.744554534</v>
      </c>
      <c r="AD2069" s="2">
        <v>132057.525477238</v>
      </c>
      <c r="AE2069" s="2">
        <v>118394.412565967</v>
      </c>
      <c r="AF2069" s="2">
        <v>124118.885781258</v>
      </c>
      <c r="AG2069" s="2">
        <v>119457.855764248</v>
      </c>
      <c r="AH2069" s="2">
        <v>121963.44909626</v>
      </c>
      <c r="AI2069" s="2">
        <v>120296.715862946</v>
      </c>
      <c r="AJ2069" s="2">
        <v>111507.14825652599</v>
      </c>
      <c r="AK2069" s="2">
        <v>131286.53983558601</v>
      </c>
      <c r="AL2069" s="2">
        <v>132462.07411838201</v>
      </c>
      <c r="AM2069" s="2">
        <v>129373.429586171</v>
      </c>
      <c r="AN2069" s="2">
        <v>134475.59280803899</v>
      </c>
      <c r="AO2069" s="2">
        <v>142164.59291864501</v>
      </c>
      <c r="AP2069" s="2">
        <v>122582.923596608</v>
      </c>
    </row>
    <row r="2070" spans="1:42" ht="14.5" x14ac:dyDescent="0.35">
      <c r="A2070" s="2" t="s">
        <v>13890</v>
      </c>
      <c r="B2070" s="2">
        <v>575.30705012831095</v>
      </c>
      <c r="C2070" s="2">
        <v>8.4361166666666705</v>
      </c>
      <c r="D2070" s="2" t="s">
        <v>70</v>
      </c>
      <c r="E2070" s="2" t="s">
        <v>13891</v>
      </c>
      <c r="F2070" s="2">
        <v>63969</v>
      </c>
      <c r="G2070" s="3" t="str">
        <f>HYPERLINK("http://funmeta.oebiotech.com/network/63969", "http://funmeta.oebiotech.com/network/63969")</f>
        <v>http://funmeta.oebiotech.com/network/63969</v>
      </c>
      <c r="H2070" s="2" t="s">
        <v>13892</v>
      </c>
      <c r="I2070" s="2">
        <v>95302</v>
      </c>
      <c r="J2070" s="2"/>
      <c r="K2070" s="2">
        <v>173300</v>
      </c>
      <c r="L2070" s="2"/>
      <c r="M2070" s="2"/>
      <c r="N2070" s="2"/>
      <c r="O2070" s="2">
        <v>14060449</v>
      </c>
      <c r="P2070" s="2" t="s">
        <v>13893</v>
      </c>
      <c r="Q2070" s="2" t="s">
        <v>13894</v>
      </c>
      <c r="R2070" s="2" t="s">
        <v>13895</v>
      </c>
      <c r="S2070" s="2" t="s">
        <v>50</v>
      </c>
      <c r="T2070" s="2" t="s">
        <v>229</v>
      </c>
      <c r="U2070" s="2" t="s">
        <v>230</v>
      </c>
      <c r="V2070" s="2" t="s">
        <v>42</v>
      </c>
      <c r="W2070" s="2">
        <v>53.9</v>
      </c>
      <c r="X2070" s="2">
        <v>74.2</v>
      </c>
      <c r="Y2070" s="2" t="s">
        <v>408</v>
      </c>
      <c r="Z2070" s="2" t="s">
        <v>13896</v>
      </c>
      <c r="AA2070" s="2">
        <v>-0.47220104334840501</v>
      </c>
      <c r="AB2070" s="2">
        <v>0.39190372092340497</v>
      </c>
      <c r="AC2070" s="2">
        <v>22460.815030964499</v>
      </c>
      <c r="AD2070" s="2">
        <v>11532.311440974099</v>
      </c>
      <c r="AE2070" s="2">
        <v>24942.066890654402</v>
      </c>
      <c r="AF2070" s="2">
        <v>17109.509678697101</v>
      </c>
      <c r="AG2070" s="2">
        <v>20984.156928511999</v>
      </c>
      <c r="AH2070" s="2">
        <v>26372.0518383786</v>
      </c>
      <c r="AI2070" s="2">
        <v>22215.3946046651</v>
      </c>
      <c r="AJ2070" s="2">
        <v>23141.710244879701</v>
      </c>
      <c r="AK2070" s="2">
        <v>12021.0039320011</v>
      </c>
      <c r="AL2070" s="2">
        <v>11565.9889936903</v>
      </c>
      <c r="AM2070" s="2">
        <v>12957.383116220501</v>
      </c>
      <c r="AN2070" s="2">
        <v>12399.5113760121</v>
      </c>
      <c r="AO2070" s="2">
        <v>10931.486926768999</v>
      </c>
      <c r="AP2070" s="2">
        <v>9318.4943011515406</v>
      </c>
    </row>
    <row r="2071" spans="1:42" ht="14.5" x14ac:dyDescent="0.35">
      <c r="A2071" s="2" t="s">
        <v>13897</v>
      </c>
      <c r="B2071" s="2">
        <v>379.21004492840802</v>
      </c>
      <c r="C2071" s="2">
        <v>9.5480833333333308</v>
      </c>
      <c r="D2071" s="2" t="s">
        <v>70</v>
      </c>
      <c r="E2071" s="2" t="s">
        <v>13898</v>
      </c>
      <c r="F2071" s="2">
        <v>4301</v>
      </c>
      <c r="G2071" s="3" t="str">
        <f>HYPERLINK("http://funmeta.oebiotech.com/network/4301", "http://funmeta.oebiotech.com/network/4301")</f>
        <v>http://funmeta.oebiotech.com/network/4301</v>
      </c>
      <c r="H2071" s="2"/>
      <c r="I2071" s="2">
        <v>45403</v>
      </c>
      <c r="J2071" s="2" t="s">
        <v>13899</v>
      </c>
      <c r="K2071" s="2"/>
      <c r="L2071" s="2"/>
      <c r="M2071" s="2"/>
      <c r="N2071" s="2"/>
      <c r="O2071" s="2">
        <v>35020890</v>
      </c>
      <c r="P2071" s="2"/>
      <c r="Q2071" s="2" t="s">
        <v>13900</v>
      </c>
      <c r="R2071" s="2" t="s">
        <v>13901</v>
      </c>
      <c r="S2071" s="2" t="s">
        <v>50</v>
      </c>
      <c r="T2071" s="2" t="s">
        <v>229</v>
      </c>
      <c r="U2071" s="2" t="s">
        <v>766</v>
      </c>
      <c r="V2071" s="2" t="s">
        <v>42</v>
      </c>
      <c r="W2071" s="2">
        <v>45.9</v>
      </c>
      <c r="X2071" s="2">
        <v>46.8</v>
      </c>
      <c r="Y2071" s="2" t="s">
        <v>286</v>
      </c>
      <c r="Z2071" s="2" t="s">
        <v>4611</v>
      </c>
      <c r="AA2071" s="2">
        <v>-7.6818409354899098</v>
      </c>
      <c r="AB2071" s="2">
        <v>0.39173941904534199</v>
      </c>
      <c r="AC2071" s="2">
        <v>3865.12095710519</v>
      </c>
      <c r="AD2071" s="2">
        <v>13980.394845573799</v>
      </c>
      <c r="AE2071" s="2">
        <v>3870.8658555798102</v>
      </c>
      <c r="AF2071" s="2">
        <v>3728.9144297544199</v>
      </c>
      <c r="AG2071" s="2">
        <v>3759.6512779586501</v>
      </c>
      <c r="AH2071" s="2">
        <v>4368.7912164621703</v>
      </c>
      <c r="AI2071" s="2">
        <v>3899.7727794196599</v>
      </c>
      <c r="AJ2071" s="2">
        <v>3562.73018345644</v>
      </c>
      <c r="AK2071" s="2">
        <v>14143.024774446199</v>
      </c>
      <c r="AL2071" s="2">
        <v>13508.0997591796</v>
      </c>
      <c r="AM2071" s="2">
        <v>15209.4484340075</v>
      </c>
      <c r="AN2071" s="2">
        <v>13857.1549665085</v>
      </c>
      <c r="AO2071" s="2">
        <v>14196.918024705799</v>
      </c>
      <c r="AP2071" s="2">
        <v>12967.723114595001</v>
      </c>
    </row>
    <row r="2072" spans="1:42" ht="14.5" x14ac:dyDescent="0.35">
      <c r="A2072" s="2" t="s">
        <v>13902</v>
      </c>
      <c r="B2072" s="2">
        <v>657.38462542382797</v>
      </c>
      <c r="C2072" s="2">
        <v>6.2923</v>
      </c>
      <c r="D2072" s="2" t="s">
        <v>70</v>
      </c>
      <c r="E2072" s="2" t="s">
        <v>13903</v>
      </c>
      <c r="F2072" s="2">
        <v>46801</v>
      </c>
      <c r="G2072" s="3" t="str">
        <f>HYPERLINK("http://funmeta.oebiotech.com/network/46801", "http://funmeta.oebiotech.com/network/46801")</f>
        <v>http://funmeta.oebiotech.com/network/46801</v>
      </c>
      <c r="H2072" s="2"/>
      <c r="I2072" s="2"/>
      <c r="J2072" s="2" t="s">
        <v>13904</v>
      </c>
      <c r="K2072" s="2"/>
      <c r="L2072" s="2"/>
      <c r="M2072" s="2"/>
      <c r="N2072" s="2"/>
      <c r="O2072" s="2">
        <v>15764974</v>
      </c>
      <c r="P2072" s="2"/>
      <c r="Q2072" s="2" t="s">
        <v>13905</v>
      </c>
      <c r="R2072" s="2" t="s">
        <v>13906</v>
      </c>
      <c r="S2072" s="2" t="s">
        <v>50</v>
      </c>
      <c r="T2072" s="2" t="s">
        <v>124</v>
      </c>
      <c r="U2072" s="2" t="s">
        <v>523</v>
      </c>
      <c r="V2072" s="2" t="s">
        <v>42</v>
      </c>
      <c r="W2072" s="2">
        <v>45.7</v>
      </c>
      <c r="X2072" s="2">
        <v>51</v>
      </c>
      <c r="Y2072" s="2" t="s">
        <v>408</v>
      </c>
      <c r="Z2072" s="2" t="s">
        <v>13907</v>
      </c>
      <c r="AA2072" s="2">
        <v>-1.51119662275637</v>
      </c>
      <c r="AB2072" s="2">
        <v>0.39165820904939702</v>
      </c>
      <c r="AC2072" s="2">
        <v>26617.426087210701</v>
      </c>
      <c r="AD2072" s="2">
        <v>37533.764126943097</v>
      </c>
      <c r="AE2072" s="2">
        <v>27654.0646456252</v>
      </c>
      <c r="AF2072" s="2">
        <v>22887.5565385191</v>
      </c>
      <c r="AG2072" s="2">
        <v>25685.229630029</v>
      </c>
      <c r="AH2072" s="2">
        <v>28633.021470989799</v>
      </c>
      <c r="AI2072" s="2">
        <v>25540.452301543199</v>
      </c>
      <c r="AJ2072" s="2">
        <v>29304.231936557801</v>
      </c>
      <c r="AK2072" s="2">
        <v>37976.219468969801</v>
      </c>
      <c r="AL2072" s="2">
        <v>36770.750126832303</v>
      </c>
      <c r="AM2072" s="2">
        <v>40730.366296813001</v>
      </c>
      <c r="AN2072" s="2">
        <v>40141.550494459298</v>
      </c>
      <c r="AO2072" s="2">
        <v>33478.778033803901</v>
      </c>
      <c r="AP2072" s="2">
        <v>36104.920340780198</v>
      </c>
    </row>
    <row r="2073" spans="1:42" ht="14.5" x14ac:dyDescent="0.35">
      <c r="A2073" s="2" t="s">
        <v>13908</v>
      </c>
      <c r="B2073" s="2">
        <v>805.364714514875</v>
      </c>
      <c r="C2073" s="2">
        <v>5.1704666666666697</v>
      </c>
      <c r="D2073" s="2" t="s">
        <v>70</v>
      </c>
      <c r="E2073" s="2" t="s">
        <v>13909</v>
      </c>
      <c r="F2073" s="2">
        <v>58811</v>
      </c>
      <c r="G2073" s="3" t="str">
        <f>HYPERLINK("http://funmeta.oebiotech.com/network/58811", "http://funmeta.oebiotech.com/network/58811")</f>
        <v>http://funmeta.oebiotech.com/network/58811</v>
      </c>
      <c r="H2073" s="2" t="s">
        <v>13910</v>
      </c>
      <c r="I2073" s="2">
        <v>90263</v>
      </c>
      <c r="J2073" s="2"/>
      <c r="K2073" s="2"/>
      <c r="L2073" s="2"/>
      <c r="M2073" s="2"/>
      <c r="N2073" s="2"/>
      <c r="O2073" s="2">
        <v>76401286</v>
      </c>
      <c r="P2073" s="2" t="s">
        <v>13911</v>
      </c>
      <c r="Q2073" s="2" t="s">
        <v>13912</v>
      </c>
      <c r="R2073" s="2" t="s">
        <v>13913</v>
      </c>
      <c r="S2073" s="2" t="s">
        <v>50</v>
      </c>
      <c r="T2073" s="2" t="s">
        <v>124</v>
      </c>
      <c r="U2073" s="2" t="s">
        <v>523</v>
      </c>
      <c r="V2073" s="2" t="s">
        <v>59</v>
      </c>
      <c r="W2073" s="2">
        <v>45.7</v>
      </c>
      <c r="X2073" s="2">
        <v>34.4</v>
      </c>
      <c r="Y2073" s="2" t="s">
        <v>751</v>
      </c>
      <c r="Z2073" s="2" t="s">
        <v>13914</v>
      </c>
      <c r="AA2073" s="2">
        <v>-0.60023291847051696</v>
      </c>
      <c r="AB2073" s="2">
        <v>0.39162520527891798</v>
      </c>
      <c r="AC2073" s="2">
        <v>122516.095657468</v>
      </c>
      <c r="AD2073" s="2">
        <v>136797.94150594599</v>
      </c>
      <c r="AE2073" s="2">
        <v>122771.67026187399</v>
      </c>
      <c r="AF2073" s="2">
        <v>122376.652388884</v>
      </c>
      <c r="AG2073" s="2">
        <v>117411.26739819899</v>
      </c>
      <c r="AH2073" s="2">
        <v>113827.738647805</v>
      </c>
      <c r="AI2073" s="2">
        <v>126299.271195034</v>
      </c>
      <c r="AJ2073" s="2">
        <v>132409.97405301101</v>
      </c>
      <c r="AK2073" s="2">
        <v>134803.83465449201</v>
      </c>
      <c r="AL2073" s="2">
        <v>146918.28766333501</v>
      </c>
      <c r="AM2073" s="2">
        <v>149338.15199762199</v>
      </c>
      <c r="AN2073" s="2">
        <v>131647.08509671799</v>
      </c>
      <c r="AO2073" s="2">
        <v>129260.511007829</v>
      </c>
      <c r="AP2073" s="2">
        <v>128819.778615679</v>
      </c>
    </row>
    <row r="2074" spans="1:42" ht="14.5" x14ac:dyDescent="0.35">
      <c r="A2074" s="2" t="s">
        <v>13915</v>
      </c>
      <c r="B2074" s="2">
        <v>635.16097001674905</v>
      </c>
      <c r="C2074" s="2">
        <v>4.1337999999999999</v>
      </c>
      <c r="D2074" s="2" t="s">
        <v>70</v>
      </c>
      <c r="E2074" s="2" t="s">
        <v>13916</v>
      </c>
      <c r="F2074" s="2">
        <v>32721</v>
      </c>
      <c r="G2074" s="3" t="str">
        <f>HYPERLINK("http://funmeta.oebiotech.com/network/32721", "http://funmeta.oebiotech.com/network/32721")</f>
        <v>http://funmeta.oebiotech.com/network/32721</v>
      </c>
      <c r="H2074" s="2"/>
      <c r="I2074" s="2">
        <v>51050</v>
      </c>
      <c r="J2074" s="2" t="s">
        <v>13917</v>
      </c>
      <c r="K2074" s="2"/>
      <c r="L2074" s="2"/>
      <c r="M2074" s="2"/>
      <c r="N2074" s="2"/>
      <c r="O2074" s="2">
        <v>44259614</v>
      </c>
      <c r="P2074" s="2"/>
      <c r="Q2074" s="2" t="s">
        <v>13918</v>
      </c>
      <c r="R2074" s="2" t="s">
        <v>13919</v>
      </c>
      <c r="S2074" s="2" t="s">
        <v>115</v>
      </c>
      <c r="T2074" s="2" t="s">
        <v>139</v>
      </c>
      <c r="U2074" s="2" t="s">
        <v>140</v>
      </c>
      <c r="V2074" s="2" t="s">
        <v>42</v>
      </c>
      <c r="W2074" s="2">
        <v>55.4</v>
      </c>
      <c r="X2074" s="2">
        <v>86.4</v>
      </c>
      <c r="Y2074" s="2" t="s">
        <v>118</v>
      </c>
      <c r="Z2074" s="2" t="s">
        <v>13920</v>
      </c>
      <c r="AA2074" s="2">
        <v>-1.23943544511226</v>
      </c>
      <c r="AB2074" s="2">
        <v>0.391410627331789</v>
      </c>
      <c r="AC2074" s="2">
        <v>38792.765434022302</v>
      </c>
      <c r="AD2074" s="2">
        <v>26829.7876359935</v>
      </c>
      <c r="AE2074" s="2">
        <v>37798.341191232197</v>
      </c>
      <c r="AF2074" s="2">
        <v>35346.831249982199</v>
      </c>
      <c r="AG2074" s="2">
        <v>40376.797155879998</v>
      </c>
      <c r="AH2074" s="2">
        <v>46552.367471506899</v>
      </c>
      <c r="AI2074" s="2">
        <v>29548.876618452701</v>
      </c>
      <c r="AJ2074" s="2">
        <v>43133.378917080001</v>
      </c>
      <c r="AK2074" s="2">
        <v>25909.393128524101</v>
      </c>
      <c r="AL2074" s="2">
        <v>26303.8735458335</v>
      </c>
      <c r="AM2074" s="2">
        <v>28077.847351717101</v>
      </c>
      <c r="AN2074" s="2">
        <v>28597.7839079806</v>
      </c>
      <c r="AO2074" s="2">
        <v>26447.2768889035</v>
      </c>
      <c r="AP2074" s="2">
        <v>25642.550993002402</v>
      </c>
    </row>
    <row r="2075" spans="1:42" ht="14.5" x14ac:dyDescent="0.35">
      <c r="A2075" s="2" t="s">
        <v>13921</v>
      </c>
      <c r="B2075" s="2">
        <v>281.18982560091501</v>
      </c>
      <c r="C2075" s="2">
        <v>10.984450000000001</v>
      </c>
      <c r="D2075" s="2" t="s">
        <v>34</v>
      </c>
      <c r="E2075" s="2" t="s">
        <v>13922</v>
      </c>
      <c r="F2075" s="2">
        <v>44990</v>
      </c>
      <c r="G2075" s="3" t="str">
        <f>HYPERLINK("http://funmeta.oebiotech.com/network/44990", "http://funmeta.oebiotech.com/network/44990")</f>
        <v>http://funmeta.oebiotech.com/network/44990</v>
      </c>
      <c r="H2075" s="2" t="s">
        <v>13923</v>
      </c>
      <c r="I2075" s="2">
        <v>1046</v>
      </c>
      <c r="J2075" s="2" t="s">
        <v>13924</v>
      </c>
      <c r="K2075" s="2">
        <v>7627</v>
      </c>
      <c r="L2075" s="2" t="s">
        <v>13925</v>
      </c>
      <c r="M2075" s="2"/>
      <c r="N2075" s="2"/>
      <c r="O2075" s="2">
        <v>6230</v>
      </c>
      <c r="P2075" s="2" t="s">
        <v>13926</v>
      </c>
      <c r="Q2075" s="2" t="s">
        <v>13927</v>
      </c>
      <c r="R2075" s="2" t="s">
        <v>13928</v>
      </c>
      <c r="S2075" s="2" t="s">
        <v>50</v>
      </c>
      <c r="T2075" s="2" t="s">
        <v>124</v>
      </c>
      <c r="U2075" s="2" t="s">
        <v>2093</v>
      </c>
      <c r="V2075" s="2" t="s">
        <v>59</v>
      </c>
      <c r="W2075" s="2">
        <v>45.4</v>
      </c>
      <c r="X2075" s="2">
        <v>30</v>
      </c>
      <c r="Y2075" s="2" t="s">
        <v>266</v>
      </c>
      <c r="Z2075" s="2" t="s">
        <v>6977</v>
      </c>
      <c r="AA2075" s="2">
        <v>-0.55743048503543402</v>
      </c>
      <c r="AB2075" s="2">
        <v>0.39140841487822697</v>
      </c>
      <c r="AC2075" s="2">
        <v>54356.833914887</v>
      </c>
      <c r="AD2075" s="2">
        <v>43368.477329031703</v>
      </c>
      <c r="AE2075" s="2">
        <v>54280.721266590597</v>
      </c>
      <c r="AF2075" s="2">
        <v>54268.261428304802</v>
      </c>
      <c r="AG2075" s="2">
        <v>54184.952239906299</v>
      </c>
      <c r="AH2075" s="2">
        <v>55970.718105238302</v>
      </c>
      <c r="AI2075" s="2">
        <v>52150.275085757698</v>
      </c>
      <c r="AJ2075" s="2">
        <v>55286.075363524396</v>
      </c>
      <c r="AK2075" s="2">
        <v>38851.888692769899</v>
      </c>
      <c r="AL2075" s="2">
        <v>41070.102177723398</v>
      </c>
      <c r="AM2075" s="2">
        <v>47827.0269945607</v>
      </c>
      <c r="AN2075" s="2">
        <v>47102.266205922897</v>
      </c>
      <c r="AO2075" s="2">
        <v>42398.427805038496</v>
      </c>
      <c r="AP2075" s="2">
        <v>42961.152098174702</v>
      </c>
    </row>
    <row r="2076" spans="1:42" ht="14.5" x14ac:dyDescent="0.35">
      <c r="A2076" s="2" t="s">
        <v>13929</v>
      </c>
      <c r="B2076" s="2">
        <v>515.13783004813195</v>
      </c>
      <c r="C2076" s="2">
        <v>4.2405333333333299</v>
      </c>
      <c r="D2076" s="2" t="s">
        <v>70</v>
      </c>
      <c r="E2076" s="2" t="s">
        <v>13930</v>
      </c>
      <c r="F2076" s="2">
        <v>204094</v>
      </c>
      <c r="G2076" s="3" t="str">
        <f>HYPERLINK("http://funmeta.oebiotech.com/network/204094", "http://funmeta.oebiotech.com/network/204094")</f>
        <v>http://funmeta.oebiotech.com/network/204094</v>
      </c>
      <c r="H2076" s="2" t="s">
        <v>13931</v>
      </c>
      <c r="I2076" s="2"/>
      <c r="J2076" s="2"/>
      <c r="K2076" s="2"/>
      <c r="L2076" s="2"/>
      <c r="M2076" s="2"/>
      <c r="N2076" s="2"/>
      <c r="O2076" s="2">
        <v>54087886</v>
      </c>
      <c r="P2076" s="2"/>
      <c r="Q2076" s="2" t="s">
        <v>13932</v>
      </c>
      <c r="R2076" s="2" t="s">
        <v>13933</v>
      </c>
      <c r="S2076" s="2" t="s">
        <v>41</v>
      </c>
      <c r="T2076" s="2" t="s">
        <v>41</v>
      </c>
      <c r="U2076" s="2" t="s">
        <v>41</v>
      </c>
      <c r="V2076" s="2" t="s">
        <v>59</v>
      </c>
      <c r="W2076" s="2">
        <v>37.799999999999997</v>
      </c>
      <c r="X2076" s="2">
        <v>0</v>
      </c>
      <c r="Y2076" s="2" t="s">
        <v>560</v>
      </c>
      <c r="Z2076" s="2" t="s">
        <v>13934</v>
      </c>
      <c r="AA2076" s="2">
        <v>4.2722740669636599</v>
      </c>
      <c r="AB2076" s="2">
        <v>0.39106753844638797</v>
      </c>
      <c r="AC2076" s="2">
        <v>70485.763584403001</v>
      </c>
      <c r="AD2076" s="2">
        <v>59077.637464133702</v>
      </c>
      <c r="AE2076" s="2">
        <v>72724.065939719701</v>
      </c>
      <c r="AF2076" s="2">
        <v>67518.786948132503</v>
      </c>
      <c r="AG2076" s="2">
        <v>71076.949275307503</v>
      </c>
      <c r="AH2076" s="2">
        <v>73960.576102756706</v>
      </c>
      <c r="AI2076" s="2">
        <v>70172.930662474406</v>
      </c>
      <c r="AJ2076" s="2">
        <v>67461.272578026896</v>
      </c>
      <c r="AK2076" s="2">
        <v>56487.0165377987</v>
      </c>
      <c r="AL2076" s="2">
        <v>63900.954767554402</v>
      </c>
      <c r="AM2076" s="2">
        <v>62484.165784076104</v>
      </c>
      <c r="AN2076" s="2">
        <v>56363.635664201502</v>
      </c>
      <c r="AO2076" s="2">
        <v>53875.677307137797</v>
      </c>
      <c r="AP2076" s="2">
        <v>61354.374724033398</v>
      </c>
    </row>
    <row r="2077" spans="1:42" ht="14.5" x14ac:dyDescent="0.35">
      <c r="A2077" s="2" t="s">
        <v>13935</v>
      </c>
      <c r="B2077" s="2">
        <v>477.23385241689499</v>
      </c>
      <c r="C2077" s="2">
        <v>5.5064166666666701</v>
      </c>
      <c r="D2077" s="2" t="s">
        <v>70</v>
      </c>
      <c r="E2077" s="2" t="s">
        <v>13936</v>
      </c>
      <c r="F2077" s="2">
        <v>61312</v>
      </c>
      <c r="G2077" s="3" t="str">
        <f>HYPERLINK("http://funmeta.oebiotech.com/network/61312", "http://funmeta.oebiotech.com/network/61312")</f>
        <v>http://funmeta.oebiotech.com/network/61312</v>
      </c>
      <c r="H2077" s="2" t="s">
        <v>13937</v>
      </c>
      <c r="I2077" s="2">
        <v>92633</v>
      </c>
      <c r="J2077" s="2"/>
      <c r="K2077" s="2">
        <v>167995</v>
      </c>
      <c r="L2077" s="2"/>
      <c r="M2077" s="2"/>
      <c r="N2077" s="2"/>
      <c r="O2077" s="2">
        <v>131752240</v>
      </c>
      <c r="P2077" s="2" t="s">
        <v>13938</v>
      </c>
      <c r="Q2077" s="2" t="s">
        <v>13939</v>
      </c>
      <c r="R2077" s="2" t="s">
        <v>13940</v>
      </c>
      <c r="S2077" s="2" t="s">
        <v>50</v>
      </c>
      <c r="T2077" s="2" t="s">
        <v>201</v>
      </c>
      <c r="U2077" s="2" t="s">
        <v>202</v>
      </c>
      <c r="V2077" s="2" t="s">
        <v>42</v>
      </c>
      <c r="W2077" s="2">
        <v>53.7</v>
      </c>
      <c r="X2077" s="2">
        <v>72.2</v>
      </c>
      <c r="Y2077" s="2" t="s">
        <v>408</v>
      </c>
      <c r="Z2077" s="2" t="s">
        <v>13941</v>
      </c>
      <c r="AA2077" s="2">
        <v>-0.65515993462631295</v>
      </c>
      <c r="AB2077" s="2">
        <v>0.39094383168811397</v>
      </c>
      <c r="AC2077" s="2">
        <v>67701.769793922504</v>
      </c>
      <c r="AD2077" s="2">
        <v>56357.062562254701</v>
      </c>
      <c r="AE2077" s="2">
        <v>71967.662047840306</v>
      </c>
      <c r="AF2077" s="2">
        <v>63896.158934459199</v>
      </c>
      <c r="AG2077" s="2">
        <v>67874.718154331698</v>
      </c>
      <c r="AH2077" s="2">
        <v>63849.121727961501</v>
      </c>
      <c r="AI2077" s="2">
        <v>69963.5627463977</v>
      </c>
      <c r="AJ2077" s="2">
        <v>68659.395152544894</v>
      </c>
      <c r="AK2077" s="2">
        <v>55950.362616060498</v>
      </c>
      <c r="AL2077" s="2">
        <v>52859.959711114301</v>
      </c>
      <c r="AM2077" s="2">
        <v>60311.591815117703</v>
      </c>
      <c r="AN2077" s="2">
        <v>53366.919785954997</v>
      </c>
      <c r="AO2077" s="2">
        <v>55589.271714823801</v>
      </c>
      <c r="AP2077" s="2">
        <v>60064.269730456799</v>
      </c>
    </row>
    <row r="2078" spans="1:42" ht="14.5" x14ac:dyDescent="0.35">
      <c r="A2078" s="2" t="s">
        <v>13942</v>
      </c>
      <c r="B2078" s="2">
        <v>1159.5102468602499</v>
      </c>
      <c r="C2078" s="2">
        <v>6.5939500000000004</v>
      </c>
      <c r="D2078" s="2" t="s">
        <v>70</v>
      </c>
      <c r="E2078" s="2" t="s">
        <v>13943</v>
      </c>
      <c r="F2078" s="2">
        <v>244416</v>
      </c>
      <c r="G2078" s="3" t="str">
        <f>HYPERLINK("http://funmeta.oebiotech.com/network/244416", "http://funmeta.oebiotech.com/network/244416")</f>
        <v>http://funmeta.oebiotech.com/network/244416</v>
      </c>
      <c r="H2078" s="2" t="s">
        <v>13944</v>
      </c>
      <c r="I2078" s="2"/>
      <c r="J2078" s="2"/>
      <c r="K2078" s="2"/>
      <c r="L2078" s="2"/>
      <c r="M2078" s="2"/>
      <c r="N2078" s="2"/>
      <c r="O2078" s="2"/>
      <c r="P2078" s="2"/>
      <c r="Q2078" s="2" t="s">
        <v>13945</v>
      </c>
      <c r="R2078" s="2" t="s">
        <v>13946</v>
      </c>
      <c r="S2078" s="2" t="s">
        <v>41</v>
      </c>
      <c r="T2078" s="2" t="s">
        <v>41</v>
      </c>
      <c r="U2078" s="2" t="s">
        <v>41</v>
      </c>
      <c r="V2078" s="2" t="s">
        <v>59</v>
      </c>
      <c r="W2078" s="2">
        <v>36.799999999999997</v>
      </c>
      <c r="X2078" s="2">
        <v>0</v>
      </c>
      <c r="Y2078" s="2" t="s">
        <v>118</v>
      </c>
      <c r="Z2078" s="2" t="s">
        <v>13947</v>
      </c>
      <c r="AA2078" s="2">
        <v>3.63382559542596</v>
      </c>
      <c r="AB2078" s="2">
        <v>0.39086509351283499</v>
      </c>
      <c r="AC2078" s="2">
        <v>14392.44492745</v>
      </c>
      <c r="AD2078" s="2">
        <v>3611.07147381191</v>
      </c>
      <c r="AE2078" s="2">
        <v>17024.3367401203</v>
      </c>
      <c r="AF2078" s="2">
        <v>11631.2447521179</v>
      </c>
      <c r="AG2078" s="2">
        <v>13930.287416654301</v>
      </c>
      <c r="AH2078" s="2">
        <v>14442.2107540741</v>
      </c>
      <c r="AI2078" s="2">
        <v>14083.2045373194</v>
      </c>
      <c r="AJ2078" s="2">
        <v>15243.3853644138</v>
      </c>
      <c r="AK2078" s="2">
        <v>2612.9053460321502</v>
      </c>
      <c r="AL2078" s="2">
        <v>3464.4297071876399</v>
      </c>
      <c r="AM2078" s="2">
        <v>2.7106294003980101E-5</v>
      </c>
      <c r="AN2078" s="2">
        <v>1715.2724207497799</v>
      </c>
      <c r="AO2078" s="2">
        <v>6564.0041885309101</v>
      </c>
      <c r="AP2078" s="2">
        <v>7309.8171532646902</v>
      </c>
    </row>
    <row r="2079" spans="1:42" ht="14.5" x14ac:dyDescent="0.35">
      <c r="A2079" s="2" t="s">
        <v>13948</v>
      </c>
      <c r="B2079" s="2">
        <v>405.19052766616198</v>
      </c>
      <c r="C2079" s="2">
        <v>5.01</v>
      </c>
      <c r="D2079" s="2" t="s">
        <v>34</v>
      </c>
      <c r="E2079" s="2" t="s">
        <v>13949</v>
      </c>
      <c r="F2079" s="2">
        <v>517064</v>
      </c>
      <c r="G2079" s="3" t="str">
        <f>HYPERLINK("http://funmeta.oebiotech.com/network/517064", "http://funmeta.oebiotech.com/network/517064")</f>
        <v>http://funmeta.oebiotech.com/network/517064</v>
      </c>
      <c r="H2079" s="2"/>
      <c r="I2079" s="2">
        <v>96646</v>
      </c>
      <c r="J2079" s="2"/>
      <c r="K2079" s="2"/>
      <c r="L2079" s="2"/>
      <c r="M2079" s="2"/>
      <c r="N2079" s="2"/>
      <c r="O2079" s="2">
        <v>53394759</v>
      </c>
      <c r="P2079" s="2"/>
      <c r="Q2079" s="2" t="s">
        <v>13950</v>
      </c>
      <c r="R2079" s="2" t="s">
        <v>13951</v>
      </c>
      <c r="S2079" s="2" t="s">
        <v>491</v>
      </c>
      <c r="T2079" s="2" t="s">
        <v>2184</v>
      </c>
      <c r="U2079" s="2" t="s">
        <v>2185</v>
      </c>
      <c r="V2079" s="2" t="s">
        <v>59</v>
      </c>
      <c r="W2079" s="2">
        <v>37.6</v>
      </c>
      <c r="X2079" s="2">
        <v>0</v>
      </c>
      <c r="Y2079" s="2" t="s">
        <v>568</v>
      </c>
      <c r="Z2079" s="2" t="s">
        <v>13952</v>
      </c>
      <c r="AA2079" s="2">
        <v>-5.4613504651097697</v>
      </c>
      <c r="AB2079" s="2">
        <v>0.39077237302334</v>
      </c>
      <c r="AC2079" s="2">
        <v>45426.587454715103</v>
      </c>
      <c r="AD2079" s="2">
        <v>34967.267919099701</v>
      </c>
      <c r="AE2079" s="2">
        <v>46792.371353113602</v>
      </c>
      <c r="AF2079" s="2">
        <v>47399.095020850502</v>
      </c>
      <c r="AG2079" s="2">
        <v>42432.181095057902</v>
      </c>
      <c r="AH2079" s="2">
        <v>45014.547418150498</v>
      </c>
      <c r="AI2079" s="2">
        <v>45442.071410117998</v>
      </c>
      <c r="AJ2079" s="2">
        <v>45479.258430999798</v>
      </c>
      <c r="AK2079" s="2">
        <v>37320.311367204202</v>
      </c>
      <c r="AL2079" s="2">
        <v>36562.055703723003</v>
      </c>
      <c r="AM2079" s="2">
        <v>34778.304451771299</v>
      </c>
      <c r="AN2079" s="2">
        <v>34990.969077697802</v>
      </c>
      <c r="AO2079" s="2">
        <v>33006.120885099699</v>
      </c>
      <c r="AP2079" s="2">
        <v>33145.8460291023</v>
      </c>
    </row>
    <row r="2080" spans="1:42" ht="14.5" x14ac:dyDescent="0.35">
      <c r="A2080" s="2" t="s">
        <v>13953</v>
      </c>
      <c r="B2080" s="2">
        <v>616.122161861471</v>
      </c>
      <c r="C2080" s="2">
        <v>3.7682166666666701</v>
      </c>
      <c r="D2080" s="2" t="s">
        <v>70</v>
      </c>
      <c r="E2080" s="2" t="s">
        <v>13954</v>
      </c>
      <c r="F2080" s="2">
        <v>28343</v>
      </c>
      <c r="G2080" s="3" t="str">
        <f>HYPERLINK("http://funmeta.oebiotech.com/network/28343", "http://funmeta.oebiotech.com/network/28343")</f>
        <v>http://funmeta.oebiotech.com/network/28343</v>
      </c>
      <c r="H2080" s="2" t="s">
        <v>13955</v>
      </c>
      <c r="I2080" s="2">
        <v>41053</v>
      </c>
      <c r="J2080" s="2" t="s">
        <v>13956</v>
      </c>
      <c r="K2080" s="2"/>
      <c r="L2080" s="2" t="s">
        <v>13957</v>
      </c>
      <c r="M2080" s="2" t="s">
        <v>13958</v>
      </c>
      <c r="N2080" s="2" t="s">
        <v>13959</v>
      </c>
      <c r="O2080" s="2">
        <v>5460816</v>
      </c>
      <c r="P2080" s="2"/>
      <c r="Q2080" s="2" t="s">
        <v>13960</v>
      </c>
      <c r="R2080" s="2" t="s">
        <v>13961</v>
      </c>
      <c r="S2080" s="2" t="s">
        <v>89</v>
      </c>
      <c r="T2080" s="2" t="s">
        <v>90</v>
      </c>
      <c r="U2080" s="2" t="s">
        <v>99</v>
      </c>
      <c r="V2080" s="2" t="s">
        <v>59</v>
      </c>
      <c r="W2080" s="2">
        <v>38.700000000000003</v>
      </c>
      <c r="X2080" s="2">
        <v>8.58</v>
      </c>
      <c r="Y2080" s="2" t="s">
        <v>1395</v>
      </c>
      <c r="Z2080" s="2" t="s">
        <v>13962</v>
      </c>
      <c r="AA2080" s="2">
        <v>-3.3158205212529199</v>
      </c>
      <c r="AB2080" s="2">
        <v>0.39048423877456401</v>
      </c>
      <c r="AC2080" s="2">
        <v>24941.480685995099</v>
      </c>
      <c r="AD2080" s="2">
        <v>13196.3516961307</v>
      </c>
      <c r="AE2080" s="2">
        <v>26491.7442428822</v>
      </c>
      <c r="AF2080" s="2">
        <v>29238.2847490969</v>
      </c>
      <c r="AG2080" s="2">
        <v>24065.4787430707</v>
      </c>
      <c r="AH2080" s="2">
        <v>29291.524871380901</v>
      </c>
      <c r="AI2080" s="2">
        <v>25160.124811684502</v>
      </c>
      <c r="AJ2080" s="2">
        <v>15401.7266978553</v>
      </c>
      <c r="AK2080" s="2">
        <v>13644.928090649701</v>
      </c>
      <c r="AL2080" s="2">
        <v>16709.415665900098</v>
      </c>
      <c r="AM2080" s="2">
        <v>11336.485889355299</v>
      </c>
      <c r="AN2080" s="2">
        <v>9708.9660462331394</v>
      </c>
      <c r="AO2080" s="2">
        <v>13500.261304056799</v>
      </c>
      <c r="AP2080" s="2">
        <v>14278.053180589201</v>
      </c>
    </row>
    <row r="2081" spans="1:42" ht="14.5" x14ac:dyDescent="0.35">
      <c r="A2081" s="2" t="s">
        <v>13963</v>
      </c>
      <c r="B2081" s="2">
        <v>727.27825165799902</v>
      </c>
      <c r="C2081" s="2">
        <v>4.6492000000000004</v>
      </c>
      <c r="D2081" s="2" t="s">
        <v>70</v>
      </c>
      <c r="E2081" s="2" t="s">
        <v>13964</v>
      </c>
      <c r="F2081" s="2">
        <v>211565</v>
      </c>
      <c r="G2081" s="3" t="str">
        <f>HYPERLINK("http://funmeta.oebiotech.com/network/211565", "http://funmeta.oebiotech.com/network/211565")</f>
        <v>http://funmeta.oebiotech.com/network/211565</v>
      </c>
      <c r="H2081" s="2" t="s">
        <v>13965</v>
      </c>
      <c r="I2081" s="2"/>
      <c r="J2081" s="2"/>
      <c r="K2081" s="2"/>
      <c r="L2081" s="2"/>
      <c r="M2081" s="2"/>
      <c r="N2081" s="2"/>
      <c r="O2081" s="2">
        <v>17397414</v>
      </c>
      <c r="P2081" s="2"/>
      <c r="Q2081" s="2" t="s">
        <v>13966</v>
      </c>
      <c r="R2081" s="2" t="s">
        <v>13967</v>
      </c>
      <c r="S2081" s="2" t="s">
        <v>41</v>
      </c>
      <c r="T2081" s="2" t="s">
        <v>41</v>
      </c>
      <c r="U2081" s="2" t="s">
        <v>41</v>
      </c>
      <c r="V2081" s="2" t="s">
        <v>59</v>
      </c>
      <c r="W2081" s="2">
        <v>37.6</v>
      </c>
      <c r="X2081" s="2">
        <v>0</v>
      </c>
      <c r="Y2081" s="2" t="s">
        <v>560</v>
      </c>
      <c r="Z2081" s="2" t="s">
        <v>13968</v>
      </c>
      <c r="AA2081" s="2">
        <v>1.2547725178467299</v>
      </c>
      <c r="AB2081" s="2">
        <v>0.39046136989539598</v>
      </c>
      <c r="AC2081" s="2">
        <v>70947.604759386202</v>
      </c>
      <c r="AD2081" s="2">
        <v>59683.273669232301</v>
      </c>
      <c r="AE2081" s="2">
        <v>68072.666392929706</v>
      </c>
      <c r="AF2081" s="2">
        <v>76369.707279024602</v>
      </c>
      <c r="AG2081" s="2">
        <v>70003.886774592494</v>
      </c>
      <c r="AH2081" s="2">
        <v>75309.454708860401</v>
      </c>
      <c r="AI2081" s="2">
        <v>70200.612847698605</v>
      </c>
      <c r="AJ2081" s="2">
        <v>65729.300553211098</v>
      </c>
      <c r="AK2081" s="2">
        <v>58468.986162557398</v>
      </c>
      <c r="AL2081" s="2">
        <v>58885.147529186201</v>
      </c>
      <c r="AM2081" s="2">
        <v>59348.226151849602</v>
      </c>
      <c r="AN2081" s="2">
        <v>62718.101848634797</v>
      </c>
      <c r="AO2081" s="2">
        <v>57774.5713428124</v>
      </c>
      <c r="AP2081" s="2">
        <v>60904.608980353602</v>
      </c>
    </row>
    <row r="2082" spans="1:42" ht="14.5" x14ac:dyDescent="0.35">
      <c r="A2082" s="2" t="s">
        <v>13969</v>
      </c>
      <c r="B2082" s="2">
        <v>567.31874318873804</v>
      </c>
      <c r="C2082" s="2">
        <v>5.1704666666666697</v>
      </c>
      <c r="D2082" s="2" t="s">
        <v>70</v>
      </c>
      <c r="E2082" s="2" t="s">
        <v>13970</v>
      </c>
      <c r="F2082" s="2">
        <v>82870</v>
      </c>
      <c r="G2082" s="3" t="str">
        <f>HYPERLINK("http://funmeta.oebiotech.com/network/82870", "http://funmeta.oebiotech.com/network/82870")</f>
        <v>http://funmeta.oebiotech.com/network/82870</v>
      </c>
      <c r="H2082" s="2" t="s">
        <v>13971</v>
      </c>
      <c r="I2082" s="2"/>
      <c r="J2082" s="2"/>
      <c r="K2082" s="2"/>
      <c r="L2082" s="2"/>
      <c r="M2082" s="2"/>
      <c r="N2082" s="2"/>
      <c r="O2082" s="2">
        <v>131770010</v>
      </c>
      <c r="P2082" s="2"/>
      <c r="Q2082" s="2" t="s">
        <v>13972</v>
      </c>
      <c r="R2082" s="2" t="s">
        <v>13973</v>
      </c>
      <c r="S2082" s="2" t="s">
        <v>148</v>
      </c>
      <c r="T2082" s="2" t="s">
        <v>5205</v>
      </c>
      <c r="U2082" s="2" t="s">
        <v>41</v>
      </c>
      <c r="V2082" s="2" t="s">
        <v>59</v>
      </c>
      <c r="W2082" s="2">
        <v>44.5</v>
      </c>
      <c r="X2082" s="2">
        <v>36.4</v>
      </c>
      <c r="Y2082" s="2" t="s">
        <v>408</v>
      </c>
      <c r="Z2082" s="2" t="s">
        <v>13974</v>
      </c>
      <c r="AA2082" s="2">
        <v>-0.125451000169788</v>
      </c>
      <c r="AB2082" s="2">
        <v>0.39039243836309401</v>
      </c>
      <c r="AC2082" s="2">
        <v>49363.387656909203</v>
      </c>
      <c r="AD2082" s="2">
        <v>38021.092181028202</v>
      </c>
      <c r="AE2082" s="2">
        <v>49962.513372556001</v>
      </c>
      <c r="AF2082" s="2">
        <v>51150.667039089698</v>
      </c>
      <c r="AG2082" s="2">
        <v>47660.5682152468</v>
      </c>
      <c r="AH2082" s="2">
        <v>53917.847571250197</v>
      </c>
      <c r="AI2082" s="2">
        <v>51204.391271572902</v>
      </c>
      <c r="AJ2082" s="2">
        <v>42284.338471739698</v>
      </c>
      <c r="AK2082" s="2">
        <v>36470.874831437402</v>
      </c>
      <c r="AL2082" s="2">
        <v>40219.636641623401</v>
      </c>
      <c r="AM2082" s="2">
        <v>34984.702068314102</v>
      </c>
      <c r="AN2082" s="2">
        <v>41308.9621940297</v>
      </c>
      <c r="AO2082" s="2">
        <v>37647.063001800103</v>
      </c>
      <c r="AP2082" s="2">
        <v>37495.314348964203</v>
      </c>
    </row>
    <row r="2083" spans="1:42" ht="14.5" x14ac:dyDescent="0.35">
      <c r="A2083" s="2" t="s">
        <v>13975</v>
      </c>
      <c r="B2083" s="2">
        <v>284.20661484493098</v>
      </c>
      <c r="C2083" s="2">
        <v>3.7155666666666698</v>
      </c>
      <c r="D2083" s="2" t="s">
        <v>34</v>
      </c>
      <c r="E2083" s="2" t="s">
        <v>13976</v>
      </c>
      <c r="F2083" s="2">
        <v>88</v>
      </c>
      <c r="G2083" s="3" t="str">
        <f>HYPERLINK("http://funmeta.oebiotech.com/network/88", "http://funmeta.oebiotech.com/network/88")</f>
        <v>http://funmeta.oebiotech.com/network/88</v>
      </c>
      <c r="H2083" s="2"/>
      <c r="I2083" s="2"/>
      <c r="J2083" s="2" t="s">
        <v>13977</v>
      </c>
      <c r="K2083" s="2"/>
      <c r="L2083" s="2"/>
      <c r="M2083" s="2"/>
      <c r="N2083" s="2"/>
      <c r="O2083" s="2">
        <v>44256490</v>
      </c>
      <c r="P2083" s="2"/>
      <c r="Q2083" s="2" t="s">
        <v>13978</v>
      </c>
      <c r="R2083" s="2" t="s">
        <v>13979</v>
      </c>
      <c r="S2083" s="2" t="s">
        <v>50</v>
      </c>
      <c r="T2083" s="2" t="s">
        <v>229</v>
      </c>
      <c r="U2083" s="2" t="s">
        <v>433</v>
      </c>
      <c r="V2083" s="2" t="s">
        <v>59</v>
      </c>
      <c r="W2083" s="2">
        <v>38.200000000000003</v>
      </c>
      <c r="X2083" s="2">
        <v>0</v>
      </c>
      <c r="Y2083" s="2" t="s">
        <v>340</v>
      </c>
      <c r="Z2083" s="2" t="s">
        <v>13980</v>
      </c>
      <c r="AA2083" s="2">
        <v>0.188900167922391</v>
      </c>
      <c r="AB2083" s="2">
        <v>0.39038525177854499</v>
      </c>
      <c r="AC2083" s="2">
        <v>8302.3196083219591</v>
      </c>
      <c r="AD2083" s="2">
        <v>18659.3092008618</v>
      </c>
      <c r="AE2083" s="2">
        <v>9207.8122650314708</v>
      </c>
      <c r="AF2083" s="2">
        <v>9489.3674881893403</v>
      </c>
      <c r="AG2083" s="2">
        <v>8126.0452477014496</v>
      </c>
      <c r="AH2083" s="2">
        <v>9425.9779322493705</v>
      </c>
      <c r="AI2083" s="2">
        <v>6493.6686582196298</v>
      </c>
      <c r="AJ2083" s="2">
        <v>7071.0460585404799</v>
      </c>
      <c r="AK2083" s="2">
        <v>19118.041183466201</v>
      </c>
      <c r="AL2083" s="2">
        <v>18566.761344440001</v>
      </c>
      <c r="AM2083" s="2">
        <v>20328.710604435801</v>
      </c>
      <c r="AN2083" s="2">
        <v>17257.5922253307</v>
      </c>
      <c r="AO2083" s="2">
        <v>20370.576436924701</v>
      </c>
      <c r="AP2083" s="2">
        <v>16314.173410573299</v>
      </c>
    </row>
    <row r="2084" spans="1:42" ht="14.5" x14ac:dyDescent="0.35">
      <c r="A2084" s="2" t="s">
        <v>13981</v>
      </c>
      <c r="B2084" s="2">
        <v>786.29726124591798</v>
      </c>
      <c r="C2084" s="2">
        <v>7.5886500000000003</v>
      </c>
      <c r="D2084" s="2" t="s">
        <v>70</v>
      </c>
      <c r="E2084" s="2" t="s">
        <v>13982</v>
      </c>
      <c r="F2084" s="2">
        <v>209645</v>
      </c>
      <c r="G2084" s="3" t="str">
        <f>HYPERLINK("http://funmeta.oebiotech.com/network/209645", "http://funmeta.oebiotech.com/network/209645")</f>
        <v>http://funmeta.oebiotech.com/network/209645</v>
      </c>
      <c r="H2084" s="2" t="s">
        <v>13983</v>
      </c>
      <c r="I2084" s="2"/>
      <c r="J2084" s="2"/>
      <c r="K2084" s="2"/>
      <c r="L2084" s="2"/>
      <c r="M2084" s="2"/>
      <c r="N2084" s="2"/>
      <c r="O2084" s="2">
        <v>4526</v>
      </c>
      <c r="P2084" s="2"/>
      <c r="Q2084" s="2" t="s">
        <v>13984</v>
      </c>
      <c r="R2084" s="2" t="s">
        <v>13985</v>
      </c>
      <c r="S2084" s="2" t="s">
        <v>115</v>
      </c>
      <c r="T2084" s="2" t="s">
        <v>2840</v>
      </c>
      <c r="U2084" s="2" t="s">
        <v>41</v>
      </c>
      <c r="V2084" s="2" t="s">
        <v>59</v>
      </c>
      <c r="W2084" s="2">
        <v>44.2</v>
      </c>
      <c r="X2084" s="2">
        <v>36.200000000000003</v>
      </c>
      <c r="Y2084" s="2" t="s">
        <v>118</v>
      </c>
      <c r="Z2084" s="2" t="s">
        <v>13986</v>
      </c>
      <c r="AA2084" s="2">
        <v>-0.75804315949469203</v>
      </c>
      <c r="AB2084" s="2">
        <v>0.39032997347104897</v>
      </c>
      <c r="AC2084" s="2">
        <v>23792.2046565249</v>
      </c>
      <c r="AD2084" s="2">
        <v>34195.532348475601</v>
      </c>
      <c r="AE2084" s="2">
        <v>24411.312899083801</v>
      </c>
      <c r="AF2084" s="2">
        <v>21279.522242512601</v>
      </c>
      <c r="AG2084" s="2">
        <v>24748.747924479299</v>
      </c>
      <c r="AH2084" s="2">
        <v>24223.725040787001</v>
      </c>
      <c r="AI2084" s="2">
        <v>24293.976263211702</v>
      </c>
      <c r="AJ2084" s="2">
        <v>23795.943569075102</v>
      </c>
      <c r="AK2084" s="2">
        <v>36046.106766173703</v>
      </c>
      <c r="AL2084" s="2">
        <v>32285.275636237999</v>
      </c>
      <c r="AM2084" s="2">
        <v>31515.131581896301</v>
      </c>
      <c r="AN2084" s="2">
        <v>33995.654204935498</v>
      </c>
      <c r="AO2084" s="2">
        <v>36337.650854737702</v>
      </c>
      <c r="AP2084" s="2">
        <v>34993.375046872301</v>
      </c>
    </row>
    <row r="2085" spans="1:42" ht="14.5" x14ac:dyDescent="0.35">
      <c r="A2085" s="2" t="s">
        <v>13987</v>
      </c>
      <c r="B2085" s="2">
        <v>669.38457012725303</v>
      </c>
      <c r="C2085" s="2">
        <v>6.95231666666667</v>
      </c>
      <c r="D2085" s="2" t="s">
        <v>70</v>
      </c>
      <c r="E2085" s="2" t="s">
        <v>13988</v>
      </c>
      <c r="F2085" s="2">
        <v>46797</v>
      </c>
      <c r="G2085" s="3" t="str">
        <f>HYPERLINK("http://funmeta.oebiotech.com/network/46797", "http://funmeta.oebiotech.com/network/46797")</f>
        <v>http://funmeta.oebiotech.com/network/46797</v>
      </c>
      <c r="H2085" s="2"/>
      <c r="I2085" s="2"/>
      <c r="J2085" s="2" t="s">
        <v>13989</v>
      </c>
      <c r="K2085" s="2"/>
      <c r="L2085" s="2"/>
      <c r="M2085" s="2"/>
      <c r="N2085" s="2"/>
      <c r="O2085" s="2"/>
      <c r="P2085" s="2"/>
      <c r="Q2085" s="2" t="s">
        <v>13990</v>
      </c>
      <c r="R2085" s="2" t="s">
        <v>13991</v>
      </c>
      <c r="S2085" s="2" t="s">
        <v>50</v>
      </c>
      <c r="T2085" s="2" t="s">
        <v>124</v>
      </c>
      <c r="U2085" s="2" t="s">
        <v>723</v>
      </c>
      <c r="V2085" s="2" t="s">
        <v>42</v>
      </c>
      <c r="W2085" s="2">
        <v>49.2</v>
      </c>
      <c r="X2085" s="2">
        <v>53.6</v>
      </c>
      <c r="Y2085" s="2" t="s">
        <v>408</v>
      </c>
      <c r="Z2085" s="2" t="s">
        <v>13992</v>
      </c>
      <c r="AA2085" s="2">
        <v>-1.5707145087830401</v>
      </c>
      <c r="AB2085" s="2">
        <v>0.39021236907468099</v>
      </c>
      <c r="AC2085" s="2">
        <v>24539.363622723002</v>
      </c>
      <c r="AD2085" s="2">
        <v>14108.4740311065</v>
      </c>
      <c r="AE2085" s="2">
        <v>22122.582008732701</v>
      </c>
      <c r="AF2085" s="2">
        <v>22758.470564323099</v>
      </c>
      <c r="AG2085" s="2">
        <v>23120.592794177101</v>
      </c>
      <c r="AH2085" s="2">
        <v>26716.079638682699</v>
      </c>
      <c r="AI2085" s="2">
        <v>27123.319198787001</v>
      </c>
      <c r="AJ2085" s="2">
        <v>25395.137531635199</v>
      </c>
      <c r="AK2085" s="2">
        <v>12740.3966182718</v>
      </c>
      <c r="AL2085" s="2">
        <v>14084.665208394401</v>
      </c>
      <c r="AM2085" s="2">
        <v>14135.446704080799</v>
      </c>
      <c r="AN2085" s="2">
        <v>14463.958503502199</v>
      </c>
      <c r="AO2085" s="2">
        <v>14646.5492223949</v>
      </c>
      <c r="AP2085" s="2">
        <v>14579.827929994801</v>
      </c>
    </row>
    <row r="2086" spans="1:42" ht="14.5" x14ac:dyDescent="0.35">
      <c r="A2086" s="2" t="s">
        <v>13993</v>
      </c>
      <c r="B2086" s="2">
        <v>366.10002302846698</v>
      </c>
      <c r="C2086" s="2">
        <v>2.0321500000000001</v>
      </c>
      <c r="D2086" s="2" t="s">
        <v>34</v>
      </c>
      <c r="E2086" s="2" t="s">
        <v>13994</v>
      </c>
      <c r="F2086" s="2">
        <v>61028</v>
      </c>
      <c r="G2086" s="3" t="str">
        <f>HYPERLINK("http://funmeta.oebiotech.com/network/61028", "http://funmeta.oebiotech.com/network/61028")</f>
        <v>http://funmeta.oebiotech.com/network/61028</v>
      </c>
      <c r="H2086" s="2" t="s">
        <v>13995</v>
      </c>
      <c r="I2086" s="2"/>
      <c r="J2086" s="2"/>
      <c r="K2086" s="2"/>
      <c r="L2086" s="2"/>
      <c r="M2086" s="2"/>
      <c r="N2086" s="2"/>
      <c r="O2086" s="2">
        <v>17860344</v>
      </c>
      <c r="P2086" s="2"/>
      <c r="Q2086" s="2" t="s">
        <v>13996</v>
      </c>
      <c r="R2086" s="2" t="s">
        <v>13997</v>
      </c>
      <c r="S2086" s="2" t="s">
        <v>115</v>
      </c>
      <c r="T2086" s="2" t="s">
        <v>139</v>
      </c>
      <c r="U2086" s="2" t="s">
        <v>1437</v>
      </c>
      <c r="V2086" s="2" t="s">
        <v>59</v>
      </c>
      <c r="W2086" s="2">
        <v>37.6</v>
      </c>
      <c r="X2086" s="2">
        <v>0</v>
      </c>
      <c r="Y2086" s="2" t="s">
        <v>394</v>
      </c>
      <c r="Z2086" s="2" t="s">
        <v>13998</v>
      </c>
      <c r="AA2086" s="2">
        <v>-1.5386067357661299</v>
      </c>
      <c r="AB2086" s="2">
        <v>0.39014226395893797</v>
      </c>
      <c r="AC2086" s="2">
        <v>31570.130844294399</v>
      </c>
      <c r="AD2086" s="2">
        <v>42178.520377464898</v>
      </c>
      <c r="AE2086" s="2">
        <v>30401.724479553301</v>
      </c>
      <c r="AF2086" s="2">
        <v>32876.044105055902</v>
      </c>
      <c r="AG2086" s="2">
        <v>31512.348792689299</v>
      </c>
      <c r="AH2086" s="2">
        <v>29741.545800825501</v>
      </c>
      <c r="AI2086" s="2">
        <v>32248.848367607599</v>
      </c>
      <c r="AJ2086" s="2">
        <v>32640.273520035</v>
      </c>
      <c r="AK2086" s="2">
        <v>41327.525079199098</v>
      </c>
      <c r="AL2086" s="2">
        <v>39212.716381459199</v>
      </c>
      <c r="AM2086" s="2">
        <v>45509.0178338693</v>
      </c>
      <c r="AN2086" s="2">
        <v>40258.581984415097</v>
      </c>
      <c r="AO2086" s="2">
        <v>41242.7621037262</v>
      </c>
      <c r="AP2086" s="2">
        <v>45520.518882120297</v>
      </c>
    </row>
    <row r="2087" spans="1:42" ht="14.5" x14ac:dyDescent="0.35">
      <c r="A2087" s="2" t="s">
        <v>13999</v>
      </c>
      <c r="B2087" s="2">
        <v>143.033904036303</v>
      </c>
      <c r="C2087" s="2">
        <v>0.78071666666666695</v>
      </c>
      <c r="D2087" s="2" t="s">
        <v>34</v>
      </c>
      <c r="E2087" s="2" t="s">
        <v>14000</v>
      </c>
      <c r="F2087" s="2">
        <v>2889</v>
      </c>
      <c r="G2087" s="3" t="str">
        <f>HYPERLINK("http://funmeta.oebiotech.com/network/2889", "http://funmeta.oebiotech.com/network/2889")</f>
        <v>http://funmeta.oebiotech.com/network/2889</v>
      </c>
      <c r="H2087" s="2" t="s">
        <v>14001</v>
      </c>
      <c r="I2087" s="2">
        <v>45919</v>
      </c>
      <c r="J2087" s="2" t="s">
        <v>14002</v>
      </c>
      <c r="K2087" s="2">
        <v>16508</v>
      </c>
      <c r="L2087" s="2" t="s">
        <v>14003</v>
      </c>
      <c r="M2087" s="2" t="s">
        <v>14004</v>
      </c>
      <c r="N2087" s="2" t="s">
        <v>14005</v>
      </c>
      <c r="O2087" s="2">
        <v>5280518</v>
      </c>
      <c r="P2087" s="2" t="s">
        <v>14006</v>
      </c>
      <c r="Q2087" s="2" t="s">
        <v>14007</v>
      </c>
      <c r="R2087" s="2" t="s">
        <v>14008</v>
      </c>
      <c r="S2087" s="2" t="s">
        <v>50</v>
      </c>
      <c r="T2087" s="2" t="s">
        <v>229</v>
      </c>
      <c r="U2087" s="2" t="s">
        <v>433</v>
      </c>
      <c r="V2087" s="2" t="s">
        <v>59</v>
      </c>
      <c r="W2087" s="2">
        <v>47.4</v>
      </c>
      <c r="X2087" s="2">
        <v>39.299999999999997</v>
      </c>
      <c r="Y2087" s="2" t="s">
        <v>394</v>
      </c>
      <c r="Z2087" s="2" t="s">
        <v>14009</v>
      </c>
      <c r="AA2087" s="2">
        <v>0.13331053622917399</v>
      </c>
      <c r="AB2087" s="2">
        <v>0.39013023204528102</v>
      </c>
      <c r="AC2087" s="2">
        <v>214891.026390129</v>
      </c>
      <c r="AD2087" s="2">
        <v>229303.24909944701</v>
      </c>
      <c r="AE2087" s="2">
        <v>207176.040665851</v>
      </c>
      <c r="AF2087" s="2">
        <v>218035.728165943</v>
      </c>
      <c r="AG2087" s="2">
        <v>216137.993810846</v>
      </c>
      <c r="AH2087" s="2">
        <v>212944.16762394999</v>
      </c>
      <c r="AI2087" s="2">
        <v>211201.49005106601</v>
      </c>
      <c r="AJ2087" s="2">
        <v>223850.73802311701</v>
      </c>
      <c r="AK2087" s="2">
        <v>211364.31789185101</v>
      </c>
      <c r="AL2087" s="2">
        <v>223800.752530153</v>
      </c>
      <c r="AM2087" s="2">
        <v>233607.023458515</v>
      </c>
      <c r="AN2087" s="2">
        <v>234024.68732995499</v>
      </c>
      <c r="AO2087" s="2">
        <v>239558.35725164801</v>
      </c>
      <c r="AP2087" s="2">
        <v>233464.35613455801</v>
      </c>
    </row>
    <row r="2088" spans="1:42" ht="14.5" x14ac:dyDescent="0.35">
      <c r="A2088" s="2" t="s">
        <v>14010</v>
      </c>
      <c r="B2088" s="2">
        <v>879.47001130844706</v>
      </c>
      <c r="C2088" s="2">
        <v>11.0433</v>
      </c>
      <c r="D2088" s="2" t="s">
        <v>34</v>
      </c>
      <c r="E2088" s="2" t="s">
        <v>14011</v>
      </c>
      <c r="F2088" s="2">
        <v>44557</v>
      </c>
      <c r="G2088" s="3" t="str">
        <f>HYPERLINK("http://funmeta.oebiotech.com/network/44557", "http://funmeta.oebiotech.com/network/44557")</f>
        <v>http://funmeta.oebiotech.com/network/44557</v>
      </c>
      <c r="H2088" s="2"/>
      <c r="I2088" s="2"/>
      <c r="J2088" s="2" t="s">
        <v>14012</v>
      </c>
      <c r="K2088" s="2"/>
      <c r="L2088" s="2"/>
      <c r="M2088" s="2"/>
      <c r="N2088" s="2"/>
      <c r="O2088" s="2"/>
      <c r="P2088" s="2"/>
      <c r="Q2088" s="2" t="s">
        <v>14013</v>
      </c>
      <c r="R2088" s="2" t="s">
        <v>14014</v>
      </c>
      <c r="S2088" s="2" t="s">
        <v>41</v>
      </c>
      <c r="T2088" s="2" t="s">
        <v>41</v>
      </c>
      <c r="U2088" s="2" t="s">
        <v>41</v>
      </c>
      <c r="V2088" s="2" t="s">
        <v>59</v>
      </c>
      <c r="W2088" s="2">
        <v>37.4</v>
      </c>
      <c r="X2088" s="2">
        <v>0</v>
      </c>
      <c r="Y2088" s="2" t="s">
        <v>323</v>
      </c>
      <c r="Z2088" s="2" t="s">
        <v>14015</v>
      </c>
      <c r="AA2088" s="2">
        <v>-1.45431369183078</v>
      </c>
      <c r="AB2088" s="2">
        <v>0.39012603798520901</v>
      </c>
      <c r="AC2088" s="2">
        <v>33051.460758290297</v>
      </c>
      <c r="AD2088" s="2">
        <v>43815.717292926303</v>
      </c>
      <c r="AE2088" s="2">
        <v>29629.019688000801</v>
      </c>
      <c r="AF2088" s="2">
        <v>35973.886748358302</v>
      </c>
      <c r="AG2088" s="2">
        <v>36456.995296011497</v>
      </c>
      <c r="AH2088" s="2">
        <v>33683.864565442898</v>
      </c>
      <c r="AI2088" s="2">
        <v>31584.611043995399</v>
      </c>
      <c r="AJ2088" s="2">
        <v>30980.387207933101</v>
      </c>
      <c r="AK2088" s="2">
        <v>45282.822361644401</v>
      </c>
      <c r="AL2088" s="2">
        <v>42414.713970354103</v>
      </c>
      <c r="AM2088" s="2">
        <v>43029.222049599397</v>
      </c>
      <c r="AN2088" s="2">
        <v>42309.564675755602</v>
      </c>
      <c r="AO2088" s="2">
        <v>43342.342586357103</v>
      </c>
      <c r="AP2088" s="2">
        <v>46515.638113847497</v>
      </c>
    </row>
    <row r="2089" spans="1:42" ht="14.5" x14ac:dyDescent="0.35">
      <c r="A2089" s="2" t="s">
        <v>14016</v>
      </c>
      <c r="B2089" s="2">
        <v>423.17888879314302</v>
      </c>
      <c r="C2089" s="2">
        <v>4.4179500000000003</v>
      </c>
      <c r="D2089" s="2" t="s">
        <v>70</v>
      </c>
      <c r="E2089" s="2" t="s">
        <v>14017</v>
      </c>
      <c r="F2089" s="2">
        <v>22510</v>
      </c>
      <c r="G2089" s="3" t="str">
        <f>HYPERLINK("http://funmeta.oebiotech.com/network/22510", "http://funmeta.oebiotech.com/network/22510")</f>
        <v>http://funmeta.oebiotech.com/network/22510</v>
      </c>
      <c r="H2089" s="2"/>
      <c r="I2089" s="2">
        <v>40861</v>
      </c>
      <c r="J2089" s="2" t="s">
        <v>14018</v>
      </c>
      <c r="K2089" s="2">
        <v>73880</v>
      </c>
      <c r="L2089" s="2"/>
      <c r="M2089" s="2"/>
      <c r="N2089" s="2"/>
      <c r="O2089" s="2">
        <v>9547124</v>
      </c>
      <c r="P2089" s="2"/>
      <c r="Q2089" s="2" t="s">
        <v>14019</v>
      </c>
      <c r="R2089" s="2" t="s">
        <v>14020</v>
      </c>
      <c r="S2089" s="2" t="s">
        <v>50</v>
      </c>
      <c r="T2089" s="2" t="s">
        <v>51</v>
      </c>
      <c r="U2089" s="2" t="s">
        <v>738</v>
      </c>
      <c r="V2089" s="2" t="s">
        <v>59</v>
      </c>
      <c r="W2089" s="2">
        <v>41.7</v>
      </c>
      <c r="X2089" s="2">
        <v>16.100000000000001</v>
      </c>
      <c r="Y2089" s="2" t="s">
        <v>751</v>
      </c>
      <c r="Z2089" s="2" t="s">
        <v>14021</v>
      </c>
      <c r="AA2089" s="2">
        <v>-0.122196518311932</v>
      </c>
      <c r="AB2089" s="2">
        <v>0.38976794620652899</v>
      </c>
      <c r="AC2089" s="2">
        <v>98454.458681272707</v>
      </c>
      <c r="AD2089" s="2">
        <v>87113.927700596498</v>
      </c>
      <c r="AE2089" s="2">
        <v>95468.5698635921</v>
      </c>
      <c r="AF2089" s="2">
        <v>103174.34043842299</v>
      </c>
      <c r="AG2089" s="2">
        <v>94514.017552265504</v>
      </c>
      <c r="AH2089" s="2">
        <v>96550.409151400803</v>
      </c>
      <c r="AI2089" s="2">
        <v>101641.926127807</v>
      </c>
      <c r="AJ2089" s="2">
        <v>99377.488954147906</v>
      </c>
      <c r="AK2089" s="2">
        <v>84939.924177176101</v>
      </c>
      <c r="AL2089" s="2">
        <v>87957.385743995299</v>
      </c>
      <c r="AM2089" s="2">
        <v>87449.461025208395</v>
      </c>
      <c r="AN2089" s="2">
        <v>83734.849418678801</v>
      </c>
      <c r="AO2089" s="2">
        <v>85856.058974836196</v>
      </c>
      <c r="AP2089" s="2">
        <v>92745.886863684107</v>
      </c>
    </row>
    <row r="2090" spans="1:42" ht="14.5" x14ac:dyDescent="0.35">
      <c r="A2090" s="2" t="s">
        <v>14022</v>
      </c>
      <c r="B2090" s="2">
        <v>437.21775603211103</v>
      </c>
      <c r="C2090" s="2">
        <v>7.1213833333333296</v>
      </c>
      <c r="D2090" s="2" t="s">
        <v>70</v>
      </c>
      <c r="E2090" s="2" t="s">
        <v>14023</v>
      </c>
      <c r="F2090" s="2">
        <v>257950</v>
      </c>
      <c r="G2090" s="3" t="str">
        <f>HYPERLINK("http://funmeta.oebiotech.com/network/257950", "http://funmeta.oebiotech.com/network/257950")</f>
        <v>http://funmeta.oebiotech.com/network/257950</v>
      </c>
      <c r="H2090" s="2"/>
      <c r="I2090" s="2">
        <v>1671</v>
      </c>
      <c r="J2090" s="2"/>
      <c r="K2090" s="2"/>
      <c r="L2090" s="2"/>
      <c r="M2090" s="2"/>
      <c r="N2090" s="2"/>
      <c r="O2090" s="2">
        <v>12313812</v>
      </c>
      <c r="P2090" s="2" t="s">
        <v>14024</v>
      </c>
      <c r="Q2090" s="2" t="s">
        <v>14025</v>
      </c>
      <c r="R2090" s="2" t="s">
        <v>14026</v>
      </c>
      <c r="S2090" s="2" t="s">
        <v>50</v>
      </c>
      <c r="T2090" s="2" t="s">
        <v>124</v>
      </c>
      <c r="U2090" s="2" t="s">
        <v>567</v>
      </c>
      <c r="V2090" s="2" t="s">
        <v>59</v>
      </c>
      <c r="W2090" s="2">
        <v>39.200000000000003</v>
      </c>
      <c r="X2090" s="2">
        <v>3.16</v>
      </c>
      <c r="Y2090" s="2" t="s">
        <v>286</v>
      </c>
      <c r="Z2090" s="2" t="s">
        <v>14027</v>
      </c>
      <c r="AA2090" s="2">
        <v>-0.76577663706361598</v>
      </c>
      <c r="AB2090" s="2">
        <v>0.38975753642984001</v>
      </c>
      <c r="AC2090" s="2">
        <v>14140.535855399001</v>
      </c>
      <c r="AD2090" s="2">
        <v>24372.149713996001</v>
      </c>
      <c r="AE2090" s="2">
        <v>14079.658975812899</v>
      </c>
      <c r="AF2090" s="2">
        <v>13845.4413400512</v>
      </c>
      <c r="AG2090" s="2">
        <v>12835.118356737399</v>
      </c>
      <c r="AH2090" s="2">
        <v>14535.224183365301</v>
      </c>
      <c r="AI2090" s="2">
        <v>14895.9784571611</v>
      </c>
      <c r="AJ2090" s="2">
        <v>14651.7938192663</v>
      </c>
      <c r="AK2090" s="2">
        <v>21879.9338122921</v>
      </c>
      <c r="AL2090" s="2">
        <v>23615.917885419902</v>
      </c>
      <c r="AM2090" s="2">
        <v>26957.917949651601</v>
      </c>
      <c r="AN2090" s="2">
        <v>24755.3310056275</v>
      </c>
      <c r="AO2090" s="2">
        <v>25646.753517624002</v>
      </c>
      <c r="AP2090" s="2">
        <v>23377.0441133608</v>
      </c>
    </row>
    <row r="2091" spans="1:42" ht="14.5" x14ac:dyDescent="0.35">
      <c r="A2091" s="2" t="s">
        <v>14028</v>
      </c>
      <c r="B2091" s="2">
        <v>456.83833853054398</v>
      </c>
      <c r="C2091" s="2">
        <v>11.924616666666701</v>
      </c>
      <c r="D2091" s="2" t="s">
        <v>34</v>
      </c>
      <c r="E2091" s="2" t="s">
        <v>14029</v>
      </c>
      <c r="F2091" s="2">
        <v>81730</v>
      </c>
      <c r="G2091" s="3" t="str">
        <f>HYPERLINK("http://funmeta.oebiotech.com/network/81730", "http://funmeta.oebiotech.com/network/81730")</f>
        <v>http://funmeta.oebiotech.com/network/81730</v>
      </c>
      <c r="H2091" s="2" t="s">
        <v>14030</v>
      </c>
      <c r="I2091" s="2"/>
      <c r="J2091" s="2"/>
      <c r="K2091" s="2">
        <v>16122</v>
      </c>
      <c r="L2091" s="2" t="s">
        <v>14031</v>
      </c>
      <c r="M2091" s="2"/>
      <c r="N2091" s="2"/>
      <c r="O2091" s="2">
        <v>440310</v>
      </c>
      <c r="P2091" s="2"/>
      <c r="Q2091" s="2" t="s">
        <v>14032</v>
      </c>
      <c r="R2091" s="2" t="s">
        <v>14033</v>
      </c>
      <c r="S2091" s="2" t="s">
        <v>115</v>
      </c>
      <c r="T2091" s="2" t="s">
        <v>7439</v>
      </c>
      <c r="U2091" s="2" t="s">
        <v>41</v>
      </c>
      <c r="V2091" s="2" t="s">
        <v>59</v>
      </c>
      <c r="W2091" s="2">
        <v>38.200000000000003</v>
      </c>
      <c r="X2091" s="2">
        <v>0</v>
      </c>
      <c r="Y2091" s="2" t="s">
        <v>323</v>
      </c>
      <c r="Z2091" s="2" t="s">
        <v>14034</v>
      </c>
      <c r="AA2091" s="2">
        <v>-4.8101382077132397</v>
      </c>
      <c r="AB2091" s="2">
        <v>0.38957188210432597</v>
      </c>
      <c r="AC2091" s="2">
        <v>19165.786695696301</v>
      </c>
      <c r="AD2091" s="2">
        <v>8776.3621068574794</v>
      </c>
      <c r="AE2091" s="2">
        <v>18523.8616883533</v>
      </c>
      <c r="AF2091" s="2">
        <v>19102.470924244699</v>
      </c>
      <c r="AG2091" s="2">
        <v>20950.453317793101</v>
      </c>
      <c r="AH2091" s="2">
        <v>16072.194111511701</v>
      </c>
      <c r="AI2091" s="2">
        <v>20804.995259695399</v>
      </c>
      <c r="AJ2091" s="2">
        <v>19540.744872579799</v>
      </c>
      <c r="AK2091" s="2">
        <v>6204.0636646847797</v>
      </c>
      <c r="AL2091" s="2">
        <v>8605.7940319958198</v>
      </c>
      <c r="AM2091" s="2">
        <v>8809.0660525491803</v>
      </c>
      <c r="AN2091" s="2">
        <v>9206.2227062586699</v>
      </c>
      <c r="AO2091" s="2">
        <v>10828.598025744601</v>
      </c>
      <c r="AP2091" s="2">
        <v>9004.4281599118203</v>
      </c>
    </row>
    <row r="2092" spans="1:42" ht="14.5" x14ac:dyDescent="0.35">
      <c r="A2092" s="2" t="s">
        <v>14035</v>
      </c>
      <c r="B2092" s="2">
        <v>399.27480391776299</v>
      </c>
      <c r="C2092" s="2">
        <v>11.7509833333333</v>
      </c>
      <c r="D2092" s="2" t="s">
        <v>70</v>
      </c>
      <c r="E2092" s="2" t="s">
        <v>14036</v>
      </c>
      <c r="F2092" s="2">
        <v>10436</v>
      </c>
      <c r="G2092" s="3" t="str">
        <f>HYPERLINK("http://funmeta.oebiotech.com/network/10436", "http://funmeta.oebiotech.com/network/10436")</f>
        <v>http://funmeta.oebiotech.com/network/10436</v>
      </c>
      <c r="H2092" s="2" t="s">
        <v>14037</v>
      </c>
      <c r="I2092" s="2">
        <v>4252</v>
      </c>
      <c r="J2092" s="2" t="s">
        <v>14038</v>
      </c>
      <c r="K2092" s="2">
        <v>75565</v>
      </c>
      <c r="L2092" s="2"/>
      <c r="M2092" s="2"/>
      <c r="N2092" s="2"/>
      <c r="O2092" s="2">
        <v>5283469</v>
      </c>
      <c r="P2092" s="2" t="s">
        <v>14039</v>
      </c>
      <c r="Q2092" s="2" t="s">
        <v>14040</v>
      </c>
      <c r="R2092" s="2" t="s">
        <v>14041</v>
      </c>
      <c r="S2092" s="2" t="s">
        <v>50</v>
      </c>
      <c r="T2092" s="2" t="s">
        <v>229</v>
      </c>
      <c r="U2092" s="2" t="s">
        <v>1360</v>
      </c>
      <c r="V2092" s="2" t="s">
        <v>59</v>
      </c>
      <c r="W2092" s="2">
        <v>38.9</v>
      </c>
      <c r="X2092" s="2">
        <v>0</v>
      </c>
      <c r="Y2092" s="2" t="s">
        <v>408</v>
      </c>
      <c r="Z2092" s="2" t="s">
        <v>11347</v>
      </c>
      <c r="AA2092" s="2">
        <v>-1.15347348571722</v>
      </c>
      <c r="AB2092" s="2">
        <v>0.38932631089540798</v>
      </c>
      <c r="AC2092" s="2">
        <v>11115.7453213268</v>
      </c>
      <c r="AD2092" s="2">
        <v>1028.5270543208601</v>
      </c>
      <c r="AE2092" s="2">
        <v>12444.361326267501</v>
      </c>
      <c r="AF2092" s="2">
        <v>10202.9171971452</v>
      </c>
      <c r="AG2092" s="2">
        <v>12208.3064584806</v>
      </c>
      <c r="AH2092" s="2">
        <v>11056.758436366999</v>
      </c>
      <c r="AI2092" s="2">
        <v>11565.548329872199</v>
      </c>
      <c r="AJ2092" s="2">
        <v>9216.58017982807</v>
      </c>
      <c r="AK2092" s="2">
        <v>810.78452186012896</v>
      </c>
      <c r="AL2092" s="2">
        <v>811.75615402884398</v>
      </c>
      <c r="AM2092" s="2">
        <v>1452.50237170133</v>
      </c>
      <c r="AN2092" s="2">
        <v>1098.2334024336999</v>
      </c>
      <c r="AO2092" s="2">
        <v>1509.66155889059</v>
      </c>
      <c r="AP2092" s="2">
        <v>488.224317010557</v>
      </c>
    </row>
    <row r="2093" spans="1:42" ht="14.5" x14ac:dyDescent="0.35">
      <c r="A2093" s="2" t="s">
        <v>14042</v>
      </c>
      <c r="B2093" s="2">
        <v>331.13902251155599</v>
      </c>
      <c r="C2093" s="2">
        <v>4.3281833333333299</v>
      </c>
      <c r="D2093" s="2" t="s">
        <v>70</v>
      </c>
      <c r="E2093" s="2" t="s">
        <v>14043</v>
      </c>
      <c r="F2093" s="2">
        <v>2955</v>
      </c>
      <c r="G2093" s="3" t="str">
        <f>HYPERLINK("http://funmeta.oebiotech.com/network/2955", "http://funmeta.oebiotech.com/network/2955")</f>
        <v>http://funmeta.oebiotech.com/network/2955</v>
      </c>
      <c r="H2093" s="2"/>
      <c r="I2093" s="2"/>
      <c r="J2093" s="2" t="s">
        <v>14044</v>
      </c>
      <c r="K2093" s="2">
        <v>133831</v>
      </c>
      <c r="L2093" s="2"/>
      <c r="M2093" s="2"/>
      <c r="N2093" s="2"/>
      <c r="O2093" s="2">
        <v>23652018</v>
      </c>
      <c r="P2093" s="2"/>
      <c r="Q2093" s="2" t="s">
        <v>14045</v>
      </c>
      <c r="R2093" s="2" t="s">
        <v>14046</v>
      </c>
      <c r="S2093" s="2" t="s">
        <v>89</v>
      </c>
      <c r="T2093" s="2" t="s">
        <v>90</v>
      </c>
      <c r="U2093" s="2" t="s">
        <v>91</v>
      </c>
      <c r="V2093" s="2" t="s">
        <v>59</v>
      </c>
      <c r="W2093" s="2">
        <v>39.9</v>
      </c>
      <c r="X2093" s="2">
        <v>6.64</v>
      </c>
      <c r="Y2093" s="2" t="s">
        <v>408</v>
      </c>
      <c r="Z2093" s="2" t="s">
        <v>14047</v>
      </c>
      <c r="AA2093" s="2">
        <v>-2.8614547260415701</v>
      </c>
      <c r="AB2093" s="2">
        <v>0.38922461628751398</v>
      </c>
      <c r="AC2093" s="2">
        <v>11189.5873437232</v>
      </c>
      <c r="AD2093" s="2">
        <v>21538.787536592099</v>
      </c>
      <c r="AE2093" s="2">
        <v>12128.563370092499</v>
      </c>
      <c r="AF2093" s="2">
        <v>11173.067435184001</v>
      </c>
      <c r="AG2093" s="2">
        <v>9774.2347473723694</v>
      </c>
      <c r="AH2093" s="2">
        <v>11343.764807785299</v>
      </c>
      <c r="AI2093" s="2">
        <v>11075.076640487699</v>
      </c>
      <c r="AJ2093" s="2">
        <v>11642.817061417099</v>
      </c>
      <c r="AK2093" s="2">
        <v>22056.636033129798</v>
      </c>
      <c r="AL2093" s="2">
        <v>23560.7251429676</v>
      </c>
      <c r="AM2093" s="2">
        <v>19848.873505547999</v>
      </c>
      <c r="AN2093" s="2">
        <v>22803.1869270649</v>
      </c>
      <c r="AO2093" s="2">
        <v>18036.413566497999</v>
      </c>
      <c r="AP2093" s="2">
        <v>22926.890044344302</v>
      </c>
    </row>
    <row r="2094" spans="1:42" ht="14.5" x14ac:dyDescent="0.35">
      <c r="A2094" s="2" t="s">
        <v>14048</v>
      </c>
      <c r="B2094" s="2">
        <v>629.36593750821999</v>
      </c>
      <c r="C2094" s="2">
        <v>10.5652666666667</v>
      </c>
      <c r="D2094" s="2" t="s">
        <v>34</v>
      </c>
      <c r="E2094" s="2" t="s">
        <v>14049</v>
      </c>
      <c r="F2094" s="2">
        <v>44203</v>
      </c>
      <c r="G2094" s="3" t="str">
        <f>HYPERLINK("http://funmeta.oebiotech.com/network/44203", "http://funmeta.oebiotech.com/network/44203")</f>
        <v>http://funmeta.oebiotech.com/network/44203</v>
      </c>
      <c r="H2094" s="2"/>
      <c r="I2094" s="2"/>
      <c r="J2094" s="2" t="s">
        <v>14050</v>
      </c>
      <c r="K2094" s="2"/>
      <c r="L2094" s="2"/>
      <c r="M2094" s="2"/>
      <c r="N2094" s="2"/>
      <c r="O2094" s="2">
        <v>71734693</v>
      </c>
      <c r="P2094" s="2"/>
      <c r="Q2094" s="2" t="s">
        <v>14051</v>
      </c>
      <c r="R2094" s="2" t="s">
        <v>14052</v>
      </c>
      <c r="S2094" s="2" t="s">
        <v>50</v>
      </c>
      <c r="T2094" s="2" t="s">
        <v>124</v>
      </c>
      <c r="U2094" s="2" t="s">
        <v>723</v>
      </c>
      <c r="V2094" s="2" t="s">
        <v>59</v>
      </c>
      <c r="W2094" s="2">
        <v>38.6</v>
      </c>
      <c r="X2094" s="2">
        <v>0</v>
      </c>
      <c r="Y2094" s="2" t="s">
        <v>323</v>
      </c>
      <c r="Z2094" s="2" t="s">
        <v>14053</v>
      </c>
      <c r="AA2094" s="2">
        <v>-0.109634144191278</v>
      </c>
      <c r="AB2094" s="2">
        <v>0.38916175555236399</v>
      </c>
      <c r="AC2094" s="2">
        <v>33986.922702306001</v>
      </c>
      <c r="AD2094" s="2">
        <v>23022.080477179999</v>
      </c>
      <c r="AE2094" s="2">
        <v>36811.2440451109</v>
      </c>
      <c r="AF2094" s="2">
        <v>30926.732787471301</v>
      </c>
      <c r="AG2094" s="2">
        <v>31565.646228650199</v>
      </c>
      <c r="AH2094" s="2">
        <v>35236.453872444501</v>
      </c>
      <c r="AI2094" s="2">
        <v>31219.910409957702</v>
      </c>
      <c r="AJ2094" s="2">
        <v>38161.548870201303</v>
      </c>
      <c r="AK2094" s="2">
        <v>26234.937902392099</v>
      </c>
      <c r="AL2094" s="2">
        <v>25168.749164729299</v>
      </c>
      <c r="AM2094" s="2">
        <v>23509.6082942467</v>
      </c>
      <c r="AN2094" s="2">
        <v>21057.478068627101</v>
      </c>
      <c r="AO2094" s="2">
        <v>22694.986246520399</v>
      </c>
      <c r="AP2094" s="2">
        <v>19466.723186564599</v>
      </c>
    </row>
    <row r="2095" spans="1:42" ht="14.5" x14ac:dyDescent="0.35">
      <c r="A2095" s="2" t="s">
        <v>14054</v>
      </c>
      <c r="B2095" s="2">
        <v>611.30702408208299</v>
      </c>
      <c r="C2095" s="2">
        <v>8.2685333333333304</v>
      </c>
      <c r="D2095" s="2" t="s">
        <v>70</v>
      </c>
      <c r="E2095" s="2" t="s">
        <v>14055</v>
      </c>
      <c r="F2095" s="2">
        <v>207828</v>
      </c>
      <c r="G2095" s="3" t="str">
        <f>HYPERLINK("http://funmeta.oebiotech.com/network/207828", "http://funmeta.oebiotech.com/network/207828")</f>
        <v>http://funmeta.oebiotech.com/network/207828</v>
      </c>
      <c r="H2095" s="2" t="s">
        <v>14056</v>
      </c>
      <c r="I2095" s="2"/>
      <c r="J2095" s="2"/>
      <c r="K2095" s="2"/>
      <c r="L2095" s="2"/>
      <c r="M2095" s="2"/>
      <c r="N2095" s="2"/>
      <c r="O2095" s="2">
        <v>71627</v>
      </c>
      <c r="P2095" s="2"/>
      <c r="Q2095" s="2" t="s">
        <v>14057</v>
      </c>
      <c r="R2095" s="2" t="s">
        <v>14058</v>
      </c>
      <c r="S2095" s="2" t="s">
        <v>41</v>
      </c>
      <c r="T2095" s="2" t="s">
        <v>41</v>
      </c>
      <c r="U2095" s="2" t="s">
        <v>41</v>
      </c>
      <c r="V2095" s="2" t="s">
        <v>59</v>
      </c>
      <c r="W2095" s="2">
        <v>37.9</v>
      </c>
      <c r="X2095" s="2">
        <v>0</v>
      </c>
      <c r="Y2095" s="2" t="s">
        <v>560</v>
      </c>
      <c r="Z2095" s="2" t="s">
        <v>14059</v>
      </c>
      <c r="AA2095" s="2">
        <v>-2.6356863159009301</v>
      </c>
      <c r="AB2095" s="2">
        <v>0.389112498099002</v>
      </c>
      <c r="AC2095" s="2">
        <v>10293.813418078</v>
      </c>
      <c r="AD2095" s="2">
        <v>220.66234040056401</v>
      </c>
      <c r="AE2095" s="2">
        <v>10899.6077864776</v>
      </c>
      <c r="AF2095" s="2">
        <v>11226.8191878504</v>
      </c>
      <c r="AG2095" s="2">
        <v>9660.6476618813304</v>
      </c>
      <c r="AH2095" s="2">
        <v>8351.0848012505994</v>
      </c>
      <c r="AI2095" s="2">
        <v>11667.083487768899</v>
      </c>
      <c r="AJ2095" s="2">
        <v>9957.6375832392405</v>
      </c>
      <c r="AK2095" s="2">
        <v>165.44765183896499</v>
      </c>
      <c r="AL2095" s="2">
        <v>366.14992720917297</v>
      </c>
      <c r="AM2095" s="2">
        <v>2.7106294003980101E-5</v>
      </c>
      <c r="AN2095" s="2">
        <v>573.720034331026</v>
      </c>
      <c r="AO2095" s="2">
        <v>218.65637481163299</v>
      </c>
      <c r="AP2095" s="2">
        <v>2.7106294003980101E-5</v>
      </c>
    </row>
    <row r="2096" spans="1:42" ht="14.5" x14ac:dyDescent="0.35">
      <c r="A2096" s="2" t="s">
        <v>14060</v>
      </c>
      <c r="B2096" s="2">
        <v>662.37424671656504</v>
      </c>
      <c r="C2096" s="2">
        <v>7.8083499999999999</v>
      </c>
      <c r="D2096" s="2" t="s">
        <v>34</v>
      </c>
      <c r="E2096" s="2" t="s">
        <v>14061</v>
      </c>
      <c r="F2096" s="2">
        <v>206326</v>
      </c>
      <c r="G2096" s="3" t="str">
        <f>HYPERLINK("http://funmeta.oebiotech.com/network/206326", "http://funmeta.oebiotech.com/network/206326")</f>
        <v>http://funmeta.oebiotech.com/network/206326</v>
      </c>
      <c r="H2096" s="2" t="s">
        <v>14062</v>
      </c>
      <c r="I2096" s="2"/>
      <c r="J2096" s="2"/>
      <c r="K2096" s="2"/>
      <c r="L2096" s="2"/>
      <c r="M2096" s="2"/>
      <c r="N2096" s="2"/>
      <c r="O2096" s="2">
        <v>73091690</v>
      </c>
      <c r="P2096" s="2"/>
      <c r="Q2096" s="2" t="s">
        <v>14063</v>
      </c>
      <c r="R2096" s="2" t="s">
        <v>14064</v>
      </c>
      <c r="S2096" s="2" t="s">
        <v>89</v>
      </c>
      <c r="T2096" s="2" t="s">
        <v>90</v>
      </c>
      <c r="U2096" s="2" t="s">
        <v>99</v>
      </c>
      <c r="V2096" s="2" t="s">
        <v>59</v>
      </c>
      <c r="W2096" s="2">
        <v>36.799999999999997</v>
      </c>
      <c r="X2096" s="2">
        <v>0</v>
      </c>
      <c r="Y2096" s="2" t="s">
        <v>323</v>
      </c>
      <c r="Z2096" s="2" t="s">
        <v>14065</v>
      </c>
      <c r="AA2096" s="2">
        <v>-1.0004538726617</v>
      </c>
      <c r="AB2096" s="2">
        <v>0.38891441318209002</v>
      </c>
      <c r="AC2096" s="2">
        <v>16881.641901334398</v>
      </c>
      <c r="AD2096" s="2">
        <v>27763.720978478701</v>
      </c>
      <c r="AE2096" s="2">
        <v>15554.3956239126</v>
      </c>
      <c r="AF2096" s="2">
        <v>12790.991133113999</v>
      </c>
      <c r="AG2096" s="2">
        <v>20411.0380416423</v>
      </c>
      <c r="AH2096" s="2">
        <v>17817.7557139288</v>
      </c>
      <c r="AI2096" s="2">
        <v>19334.1584528807</v>
      </c>
      <c r="AJ2096" s="2">
        <v>15381.512442528299</v>
      </c>
      <c r="AK2096" s="2">
        <v>24294.2895136302</v>
      </c>
      <c r="AL2096" s="2">
        <v>26899.857671833801</v>
      </c>
      <c r="AM2096" s="2">
        <v>28874.812824353201</v>
      </c>
      <c r="AN2096" s="2">
        <v>25491.066734027201</v>
      </c>
      <c r="AO2096" s="2">
        <v>31009.469449362601</v>
      </c>
      <c r="AP2096" s="2">
        <v>30012.8296776651</v>
      </c>
    </row>
    <row r="2097" spans="1:42" ht="14.5" x14ac:dyDescent="0.35">
      <c r="A2097" s="2" t="s">
        <v>14066</v>
      </c>
      <c r="B2097" s="2">
        <v>190.04977597584201</v>
      </c>
      <c r="C2097" s="2">
        <v>11.0433</v>
      </c>
      <c r="D2097" s="2" t="s">
        <v>34</v>
      </c>
      <c r="E2097" s="2" t="s">
        <v>14067</v>
      </c>
      <c r="F2097" s="2">
        <v>201113</v>
      </c>
      <c r="G2097" s="3" t="str">
        <f>HYPERLINK("http://funmeta.oebiotech.com/network/201113", "http://funmeta.oebiotech.com/network/201113")</f>
        <v>http://funmeta.oebiotech.com/network/201113</v>
      </c>
      <c r="H2097" s="2" t="s">
        <v>14068</v>
      </c>
      <c r="I2097" s="2">
        <v>462809</v>
      </c>
      <c r="J2097" s="2"/>
      <c r="K2097" s="2"/>
      <c r="L2097" s="2"/>
      <c r="M2097" s="2"/>
      <c r="N2097" s="2"/>
      <c r="O2097" s="2">
        <v>122311</v>
      </c>
      <c r="P2097" s="2"/>
      <c r="Q2097" s="2" t="s">
        <v>14069</v>
      </c>
      <c r="R2097" s="2" t="s">
        <v>14070</v>
      </c>
      <c r="S2097" s="2" t="s">
        <v>41</v>
      </c>
      <c r="T2097" s="2" t="s">
        <v>41</v>
      </c>
      <c r="U2097" s="2" t="s">
        <v>41</v>
      </c>
      <c r="V2097" s="2" t="s">
        <v>59</v>
      </c>
      <c r="W2097" s="2">
        <v>39.6</v>
      </c>
      <c r="X2097" s="2">
        <v>2.84</v>
      </c>
      <c r="Y2097" s="2" t="s">
        <v>141</v>
      </c>
      <c r="Z2097" s="2" t="s">
        <v>14071</v>
      </c>
      <c r="AA2097" s="2">
        <v>-0.45179619110096397</v>
      </c>
      <c r="AB2097" s="2">
        <v>0.38880779349099198</v>
      </c>
      <c r="AC2097" s="2">
        <v>25408.527408090398</v>
      </c>
      <c r="AD2097" s="2">
        <v>35543.271688672401</v>
      </c>
      <c r="AE2097" s="2">
        <v>25192.202767131999</v>
      </c>
      <c r="AF2097" s="2">
        <v>26295.648027989399</v>
      </c>
      <c r="AG2097" s="2">
        <v>26187.302599409799</v>
      </c>
      <c r="AH2097" s="2">
        <v>26011.527748269302</v>
      </c>
      <c r="AI2097" s="2">
        <v>24749.2478902609</v>
      </c>
      <c r="AJ2097" s="2">
        <v>24015.235415480802</v>
      </c>
      <c r="AK2097" s="2">
        <v>34431.042152603099</v>
      </c>
      <c r="AL2097" s="2">
        <v>35845.007976495297</v>
      </c>
      <c r="AM2097" s="2">
        <v>36180.719023837599</v>
      </c>
      <c r="AN2097" s="2">
        <v>36450.090445490998</v>
      </c>
      <c r="AO2097" s="2">
        <v>36954.573386890501</v>
      </c>
      <c r="AP2097" s="2">
        <v>33398.197146717001</v>
      </c>
    </row>
    <row r="2098" spans="1:42" ht="14.5" x14ac:dyDescent="0.35">
      <c r="A2098" s="2" t="s">
        <v>14072</v>
      </c>
      <c r="B2098" s="2">
        <v>461.063595301801</v>
      </c>
      <c r="C2098" s="2">
        <v>3.2905500000000001</v>
      </c>
      <c r="D2098" s="2" t="s">
        <v>34</v>
      </c>
      <c r="E2098" s="2" t="s">
        <v>14073</v>
      </c>
      <c r="F2098" s="2">
        <v>29676</v>
      </c>
      <c r="G2098" s="3" t="str">
        <f>HYPERLINK("http://funmeta.oebiotech.com/network/29676", "http://funmeta.oebiotech.com/network/29676")</f>
        <v>http://funmeta.oebiotech.com/network/29676</v>
      </c>
      <c r="H2098" s="2"/>
      <c r="I2098" s="2">
        <v>48040</v>
      </c>
      <c r="J2098" s="2" t="s">
        <v>14074</v>
      </c>
      <c r="K2098" s="2"/>
      <c r="L2098" s="2"/>
      <c r="M2098" s="2"/>
      <c r="N2098" s="2"/>
      <c r="O2098" s="2">
        <v>44257404</v>
      </c>
      <c r="P2098" s="2"/>
      <c r="Q2098" s="2" t="s">
        <v>14075</v>
      </c>
      <c r="R2098" s="2" t="s">
        <v>14076</v>
      </c>
      <c r="S2098" s="2" t="s">
        <v>115</v>
      </c>
      <c r="T2098" s="2" t="s">
        <v>1371</v>
      </c>
      <c r="U2098" s="2" t="s">
        <v>10759</v>
      </c>
      <c r="V2098" s="2" t="s">
        <v>59</v>
      </c>
      <c r="W2098" s="2">
        <v>37.6</v>
      </c>
      <c r="X2098" s="2">
        <v>0</v>
      </c>
      <c r="Y2098" s="2" t="s">
        <v>340</v>
      </c>
      <c r="Z2098" s="2" t="s">
        <v>14077</v>
      </c>
      <c r="AA2098" s="2">
        <v>0.63891957725074999</v>
      </c>
      <c r="AB2098" s="2">
        <v>0.388617658358341</v>
      </c>
      <c r="AC2098" s="2">
        <v>26621.103317497498</v>
      </c>
      <c r="AD2098" s="2">
        <v>37996.057367374102</v>
      </c>
      <c r="AE2098" s="2">
        <v>27605.9526871665</v>
      </c>
      <c r="AF2098" s="2">
        <v>29679.619447536901</v>
      </c>
      <c r="AG2098" s="2">
        <v>25853.758663098899</v>
      </c>
      <c r="AH2098" s="2">
        <v>22701.535965763102</v>
      </c>
      <c r="AI2098" s="2">
        <v>27367.635528371899</v>
      </c>
      <c r="AJ2098" s="2">
        <v>26518.1176130477</v>
      </c>
      <c r="AK2098" s="2">
        <v>45421.878678007699</v>
      </c>
      <c r="AL2098" s="2">
        <v>37823.948955500302</v>
      </c>
      <c r="AM2098" s="2">
        <v>35037.036264516297</v>
      </c>
      <c r="AN2098" s="2">
        <v>35344.798056619104</v>
      </c>
      <c r="AO2098" s="2">
        <v>40464.438717222598</v>
      </c>
      <c r="AP2098" s="2">
        <v>33884.243532378801</v>
      </c>
    </row>
    <row r="2099" spans="1:42" ht="14.5" x14ac:dyDescent="0.35">
      <c r="A2099" s="2" t="s">
        <v>14078</v>
      </c>
      <c r="B2099" s="2">
        <v>412.059890522969</v>
      </c>
      <c r="C2099" s="2">
        <v>2.01128333333333</v>
      </c>
      <c r="D2099" s="2" t="s">
        <v>70</v>
      </c>
      <c r="E2099" s="2" t="s">
        <v>14079</v>
      </c>
      <c r="F2099" s="2">
        <v>206881</v>
      </c>
      <c r="G2099" s="3" t="str">
        <f>HYPERLINK("http://funmeta.oebiotech.com/network/206881", "http://funmeta.oebiotech.com/network/206881")</f>
        <v>http://funmeta.oebiotech.com/network/206881</v>
      </c>
      <c r="H2099" s="2" t="s">
        <v>14080</v>
      </c>
      <c r="I2099" s="2"/>
      <c r="J2099" s="2"/>
      <c r="K2099" s="2"/>
      <c r="L2099" s="2"/>
      <c r="M2099" s="2"/>
      <c r="N2099" s="2"/>
      <c r="O2099" s="2">
        <v>129637682</v>
      </c>
      <c r="P2099" s="2"/>
      <c r="Q2099" s="2" t="s">
        <v>14081</v>
      </c>
      <c r="R2099" s="2" t="s">
        <v>14082</v>
      </c>
      <c r="S2099" s="2" t="s">
        <v>41</v>
      </c>
      <c r="T2099" s="2" t="s">
        <v>41</v>
      </c>
      <c r="U2099" s="2" t="s">
        <v>41</v>
      </c>
      <c r="V2099" s="2" t="s">
        <v>59</v>
      </c>
      <c r="W2099" s="2">
        <v>37.799999999999997</v>
      </c>
      <c r="X2099" s="2">
        <v>0</v>
      </c>
      <c r="Y2099" s="2" t="s">
        <v>751</v>
      </c>
      <c r="Z2099" s="2" t="s">
        <v>14083</v>
      </c>
      <c r="AA2099" s="2">
        <v>4.5849051250229902</v>
      </c>
      <c r="AB2099" s="2">
        <v>0.38838280539675002</v>
      </c>
      <c r="AC2099" s="2">
        <v>96747.322698665797</v>
      </c>
      <c r="AD2099" s="2">
        <v>107468.295436941</v>
      </c>
      <c r="AE2099" s="2">
        <v>99835.543384617296</v>
      </c>
      <c r="AF2099" s="2">
        <v>93702.284982071404</v>
      </c>
      <c r="AG2099" s="2">
        <v>95774.782812302394</v>
      </c>
      <c r="AH2099" s="2">
        <v>99505.460684558304</v>
      </c>
      <c r="AI2099" s="2">
        <v>94478.542508415499</v>
      </c>
      <c r="AJ2099" s="2">
        <v>97187.321820029698</v>
      </c>
      <c r="AK2099" s="2">
        <v>104236.53734372099</v>
      </c>
      <c r="AL2099" s="2">
        <v>108278.22975160299</v>
      </c>
      <c r="AM2099" s="2">
        <v>110797.519106855</v>
      </c>
      <c r="AN2099" s="2">
        <v>105999.797503197</v>
      </c>
      <c r="AO2099" s="2">
        <v>108619.858120149</v>
      </c>
      <c r="AP2099" s="2">
        <v>106877.83079612</v>
      </c>
    </row>
    <row r="2100" spans="1:42" ht="14.5" x14ac:dyDescent="0.35">
      <c r="A2100" s="2" t="s">
        <v>14084</v>
      </c>
      <c r="B2100" s="2">
        <v>769.34377058853602</v>
      </c>
      <c r="C2100" s="2">
        <v>6.1423166666666704</v>
      </c>
      <c r="D2100" s="2" t="s">
        <v>70</v>
      </c>
      <c r="E2100" s="2" t="s">
        <v>14085</v>
      </c>
      <c r="F2100" s="2">
        <v>212705</v>
      </c>
      <c r="G2100" s="3" t="str">
        <f>HYPERLINK("http://funmeta.oebiotech.com/network/212705", "http://funmeta.oebiotech.com/network/212705")</f>
        <v>http://funmeta.oebiotech.com/network/212705</v>
      </c>
      <c r="H2100" s="2" t="s">
        <v>14086</v>
      </c>
      <c r="I2100" s="2"/>
      <c r="J2100" s="2"/>
      <c r="K2100" s="2"/>
      <c r="L2100" s="2"/>
      <c r="M2100" s="2"/>
      <c r="N2100" s="2"/>
      <c r="O2100" s="2">
        <v>3348730</v>
      </c>
      <c r="P2100" s="2"/>
      <c r="Q2100" s="2" t="s">
        <v>14087</v>
      </c>
      <c r="R2100" s="2" t="s">
        <v>14088</v>
      </c>
      <c r="S2100" s="2" t="s">
        <v>41</v>
      </c>
      <c r="T2100" s="2" t="s">
        <v>41</v>
      </c>
      <c r="U2100" s="2" t="s">
        <v>41</v>
      </c>
      <c r="V2100" s="2" t="s">
        <v>59</v>
      </c>
      <c r="W2100" s="2">
        <v>43.1</v>
      </c>
      <c r="X2100" s="2">
        <v>27.8</v>
      </c>
      <c r="Y2100" s="2" t="s">
        <v>4732</v>
      </c>
      <c r="Z2100" s="2" t="s">
        <v>14089</v>
      </c>
      <c r="AA2100" s="2">
        <v>-3.8738168718947601</v>
      </c>
      <c r="AB2100" s="2">
        <v>0.38829804071428498</v>
      </c>
      <c r="AC2100" s="2">
        <v>334122.73724230501</v>
      </c>
      <c r="AD2100" s="2">
        <v>354256.92253558</v>
      </c>
      <c r="AE2100" s="2">
        <v>322900.66447564302</v>
      </c>
      <c r="AF2100" s="2">
        <v>317259.81714814802</v>
      </c>
      <c r="AG2100" s="2">
        <v>355059.67380072997</v>
      </c>
      <c r="AH2100" s="2">
        <v>322894.28348922002</v>
      </c>
      <c r="AI2100" s="2">
        <v>331289.52448113199</v>
      </c>
      <c r="AJ2100" s="2">
        <v>355332.46005895903</v>
      </c>
      <c r="AK2100" s="2">
        <v>317088.915203574</v>
      </c>
      <c r="AL2100" s="2">
        <v>355414.76023694099</v>
      </c>
      <c r="AM2100" s="2">
        <v>386169.83820185601</v>
      </c>
      <c r="AN2100" s="2">
        <v>360489.80001585098</v>
      </c>
      <c r="AO2100" s="2">
        <v>355818.321720534</v>
      </c>
      <c r="AP2100" s="2">
        <v>350559.89983472199</v>
      </c>
    </row>
    <row r="2101" spans="1:42" ht="14.5" x14ac:dyDescent="0.35">
      <c r="A2101" s="2" t="s">
        <v>14090</v>
      </c>
      <c r="B2101" s="2">
        <v>313.17950004873899</v>
      </c>
      <c r="C2101" s="2">
        <v>10.641500000000001</v>
      </c>
      <c r="D2101" s="2" t="s">
        <v>34</v>
      </c>
      <c r="E2101" s="2" t="s">
        <v>14091</v>
      </c>
      <c r="F2101" s="2">
        <v>35923</v>
      </c>
      <c r="G2101" s="3" t="str">
        <f>HYPERLINK("http://funmeta.oebiotech.com/network/35923", "http://funmeta.oebiotech.com/network/35923")</f>
        <v>http://funmeta.oebiotech.com/network/35923</v>
      </c>
      <c r="H2101" s="2"/>
      <c r="I2101" s="2"/>
      <c r="J2101" s="2" t="s">
        <v>14092</v>
      </c>
      <c r="K2101" s="2"/>
      <c r="L2101" s="2"/>
      <c r="M2101" s="2"/>
      <c r="N2101" s="2"/>
      <c r="O2101" s="2"/>
      <c r="P2101" s="2"/>
      <c r="Q2101" s="2" t="s">
        <v>14093</v>
      </c>
      <c r="R2101" s="2" t="s">
        <v>14094</v>
      </c>
      <c r="S2101" s="2" t="s">
        <v>50</v>
      </c>
      <c r="T2101" s="2" t="s">
        <v>201</v>
      </c>
      <c r="U2101" s="2" t="s">
        <v>241</v>
      </c>
      <c r="V2101" s="2" t="s">
        <v>42</v>
      </c>
      <c r="W2101" s="2">
        <v>51.1</v>
      </c>
      <c r="X2101" s="2">
        <v>64</v>
      </c>
      <c r="Y2101" s="2" t="s">
        <v>141</v>
      </c>
      <c r="Z2101" s="2" t="s">
        <v>3879</v>
      </c>
      <c r="AA2101" s="2">
        <v>-0.97222817301502296</v>
      </c>
      <c r="AB2101" s="2">
        <v>0.38823662589719998</v>
      </c>
      <c r="AC2101" s="2">
        <v>19064.881828105699</v>
      </c>
      <c r="AD2101" s="2">
        <v>9016.5545724128006</v>
      </c>
      <c r="AE2101" s="2">
        <v>18030.714432440302</v>
      </c>
      <c r="AF2101" s="2">
        <v>17700.365737648601</v>
      </c>
      <c r="AG2101" s="2">
        <v>19979.943124029702</v>
      </c>
      <c r="AH2101" s="2">
        <v>19027.707313406299</v>
      </c>
      <c r="AI2101" s="2">
        <v>19477.288777968199</v>
      </c>
      <c r="AJ2101" s="2">
        <v>20173.271583141101</v>
      </c>
      <c r="AK2101" s="2">
        <v>7786.2886219811999</v>
      </c>
      <c r="AL2101" s="2">
        <v>8674.8505871550096</v>
      </c>
      <c r="AM2101" s="2">
        <v>8576.2699644823897</v>
      </c>
      <c r="AN2101" s="2">
        <v>9129.7406649650493</v>
      </c>
      <c r="AO2101" s="2">
        <v>9615.7045021377307</v>
      </c>
      <c r="AP2101" s="2">
        <v>10316.4730937554</v>
      </c>
    </row>
    <row r="2102" spans="1:42" ht="14.5" x14ac:dyDescent="0.35">
      <c r="A2102" s="2" t="s">
        <v>14095</v>
      </c>
      <c r="B2102" s="2">
        <v>724.33141159393404</v>
      </c>
      <c r="C2102" s="2">
        <v>7.7732999999999999</v>
      </c>
      <c r="D2102" s="2" t="s">
        <v>34</v>
      </c>
      <c r="E2102" s="2" t="s">
        <v>14096</v>
      </c>
      <c r="F2102" s="2">
        <v>82748</v>
      </c>
      <c r="G2102" s="3" t="str">
        <f>HYPERLINK("http://funmeta.oebiotech.com/network/82748", "http://funmeta.oebiotech.com/network/82748")</f>
        <v>http://funmeta.oebiotech.com/network/82748</v>
      </c>
      <c r="H2102" s="2" t="s">
        <v>14097</v>
      </c>
      <c r="I2102" s="2"/>
      <c r="J2102" s="2"/>
      <c r="K2102" s="2"/>
      <c r="L2102" s="2"/>
      <c r="M2102" s="2"/>
      <c r="N2102" s="2"/>
      <c r="O2102" s="2">
        <v>44334979</v>
      </c>
      <c r="P2102" s="2"/>
      <c r="Q2102" s="2" t="s">
        <v>14098</v>
      </c>
      <c r="R2102" s="2" t="s">
        <v>14099</v>
      </c>
      <c r="S2102" s="2" t="s">
        <v>89</v>
      </c>
      <c r="T2102" s="2" t="s">
        <v>90</v>
      </c>
      <c r="U2102" s="2" t="s">
        <v>99</v>
      </c>
      <c r="V2102" s="2" t="s">
        <v>59</v>
      </c>
      <c r="W2102" s="2">
        <v>39.5</v>
      </c>
      <c r="X2102" s="2">
        <v>15.7</v>
      </c>
      <c r="Y2102" s="2" t="s">
        <v>43</v>
      </c>
      <c r="Z2102" s="2" t="s">
        <v>14100</v>
      </c>
      <c r="AA2102" s="2">
        <v>0.67317578764509101</v>
      </c>
      <c r="AB2102" s="2">
        <v>0.38820973769509898</v>
      </c>
      <c r="AC2102" s="2">
        <v>77069.8234290338</v>
      </c>
      <c r="AD2102" s="2">
        <v>65249.744883284497</v>
      </c>
      <c r="AE2102" s="2">
        <v>77094.997196409706</v>
      </c>
      <c r="AF2102" s="2">
        <v>72634.5409440941</v>
      </c>
      <c r="AG2102" s="2">
        <v>80106.786405693405</v>
      </c>
      <c r="AH2102" s="2">
        <v>78428.450120741007</v>
      </c>
      <c r="AI2102" s="2">
        <v>76176.946834739705</v>
      </c>
      <c r="AJ2102" s="2">
        <v>77977.219072524604</v>
      </c>
      <c r="AK2102" s="2">
        <v>60295.710801577698</v>
      </c>
      <c r="AL2102" s="2">
        <v>71667.401085858306</v>
      </c>
      <c r="AM2102" s="2">
        <v>65617.600463926094</v>
      </c>
      <c r="AN2102" s="2">
        <v>68721.395754892801</v>
      </c>
      <c r="AO2102" s="2">
        <v>67852.074613419798</v>
      </c>
      <c r="AP2102" s="2">
        <v>57344.286580032101</v>
      </c>
    </row>
    <row r="2103" spans="1:42" ht="14.5" x14ac:dyDescent="0.35">
      <c r="A2103" s="2" t="s">
        <v>14101</v>
      </c>
      <c r="B2103" s="2">
        <v>156.07675178939201</v>
      </c>
      <c r="C2103" s="2">
        <v>0.65180000000000005</v>
      </c>
      <c r="D2103" s="2" t="s">
        <v>34</v>
      </c>
      <c r="E2103" s="2" t="s">
        <v>14102</v>
      </c>
      <c r="F2103" s="2">
        <v>46913</v>
      </c>
      <c r="G2103" s="3" t="str">
        <f>HYPERLINK("http://funmeta.oebiotech.com/network/46913", "http://funmeta.oebiotech.com/network/46913")</f>
        <v>http://funmeta.oebiotech.com/network/46913</v>
      </c>
      <c r="H2103" s="2" t="s">
        <v>14103</v>
      </c>
      <c r="I2103" s="2">
        <v>21</v>
      </c>
      <c r="J2103" s="2"/>
      <c r="K2103" s="2">
        <v>15971</v>
      </c>
      <c r="L2103" s="2" t="s">
        <v>14104</v>
      </c>
      <c r="M2103" s="2" t="s">
        <v>14105</v>
      </c>
      <c r="N2103" s="2" t="s">
        <v>14106</v>
      </c>
      <c r="O2103" s="2">
        <v>6274</v>
      </c>
      <c r="P2103" s="2" t="s">
        <v>14107</v>
      </c>
      <c r="Q2103" s="2" t="s">
        <v>14108</v>
      </c>
      <c r="R2103" s="2" t="s">
        <v>14109</v>
      </c>
      <c r="S2103" s="2" t="s">
        <v>89</v>
      </c>
      <c r="T2103" s="2" t="s">
        <v>90</v>
      </c>
      <c r="U2103" s="2" t="s">
        <v>99</v>
      </c>
      <c r="V2103" s="2" t="s">
        <v>42</v>
      </c>
      <c r="W2103" s="2">
        <v>54.4</v>
      </c>
      <c r="X2103" s="2">
        <v>77</v>
      </c>
      <c r="Y2103" s="2" t="s">
        <v>67</v>
      </c>
      <c r="Z2103" s="2" t="s">
        <v>14110</v>
      </c>
      <c r="AA2103" s="2">
        <v>-7.64017552718021E-3</v>
      </c>
      <c r="AB2103" s="2">
        <v>0.38816858639948798</v>
      </c>
      <c r="AC2103" s="2">
        <v>18222.628919371899</v>
      </c>
      <c r="AD2103" s="2">
        <v>8015.9067536985003</v>
      </c>
      <c r="AE2103" s="2">
        <v>15798.100275766799</v>
      </c>
      <c r="AF2103" s="2">
        <v>19545.755596828101</v>
      </c>
      <c r="AG2103" s="2">
        <v>17744.0101657011</v>
      </c>
      <c r="AH2103" s="2">
        <v>18834.786496712601</v>
      </c>
      <c r="AI2103" s="2">
        <v>16971.485223034899</v>
      </c>
      <c r="AJ2103" s="2">
        <v>20441.635758187898</v>
      </c>
      <c r="AK2103" s="2">
        <v>7826.6239488136198</v>
      </c>
      <c r="AL2103" s="2">
        <v>7771.3778236643702</v>
      </c>
      <c r="AM2103" s="2">
        <v>9689.4141875101104</v>
      </c>
      <c r="AN2103" s="2">
        <v>8889.6471653230801</v>
      </c>
      <c r="AO2103" s="2">
        <v>7172.8517769329901</v>
      </c>
      <c r="AP2103" s="2">
        <v>6745.5256199468304</v>
      </c>
    </row>
    <row r="2104" spans="1:42" ht="14.5" x14ac:dyDescent="0.35">
      <c r="A2104" s="2" t="s">
        <v>14111</v>
      </c>
      <c r="B2104" s="2">
        <v>728.36227123494098</v>
      </c>
      <c r="C2104" s="2">
        <v>10.754849999999999</v>
      </c>
      <c r="D2104" s="2" t="s">
        <v>34</v>
      </c>
      <c r="E2104" s="2" t="s">
        <v>14112</v>
      </c>
      <c r="F2104" s="2">
        <v>27980</v>
      </c>
      <c r="G2104" s="3" t="str">
        <f>HYPERLINK("http://funmeta.oebiotech.com/network/27980", "http://funmeta.oebiotech.com/network/27980")</f>
        <v>http://funmeta.oebiotech.com/network/27980</v>
      </c>
      <c r="H2104" s="2"/>
      <c r="I2104" s="2"/>
      <c r="J2104" s="2" t="s">
        <v>14113</v>
      </c>
      <c r="K2104" s="2"/>
      <c r="L2104" s="2"/>
      <c r="M2104" s="2"/>
      <c r="N2104" s="2"/>
      <c r="O2104" s="2">
        <v>134812427</v>
      </c>
      <c r="P2104" s="2"/>
      <c r="Q2104" s="2" t="s">
        <v>14114</v>
      </c>
      <c r="R2104" s="2" t="s">
        <v>14115</v>
      </c>
      <c r="S2104" s="2" t="s">
        <v>50</v>
      </c>
      <c r="T2104" s="2" t="s">
        <v>51</v>
      </c>
      <c r="U2104" s="2" t="s">
        <v>52</v>
      </c>
      <c r="V2104" s="2" t="s">
        <v>59</v>
      </c>
      <c r="W2104" s="2">
        <v>38.1</v>
      </c>
      <c r="X2104" s="2">
        <v>0</v>
      </c>
      <c r="Y2104" s="2" t="s">
        <v>43</v>
      </c>
      <c r="Z2104" s="2" t="s">
        <v>14116</v>
      </c>
      <c r="AA2104" s="2">
        <v>0.82781167176118597</v>
      </c>
      <c r="AB2104" s="2">
        <v>0.38784661452110702</v>
      </c>
      <c r="AC2104" s="2">
        <v>19856.906101830999</v>
      </c>
      <c r="AD2104" s="2">
        <v>9712.6523766380396</v>
      </c>
      <c r="AE2104" s="2">
        <v>21127.616350883702</v>
      </c>
      <c r="AF2104" s="2">
        <v>21950.395860158998</v>
      </c>
      <c r="AG2104" s="2">
        <v>18945.164151297598</v>
      </c>
      <c r="AH2104" s="2">
        <v>19764.407160285198</v>
      </c>
      <c r="AI2104" s="2">
        <v>19419.460408966901</v>
      </c>
      <c r="AJ2104" s="2">
        <v>17934.392679393801</v>
      </c>
      <c r="AK2104" s="2">
        <v>10497.3074167631</v>
      </c>
      <c r="AL2104" s="2">
        <v>11813.825693602599</v>
      </c>
      <c r="AM2104" s="2">
        <v>9246.45107632281</v>
      </c>
      <c r="AN2104" s="2">
        <v>7946.91574572026</v>
      </c>
      <c r="AO2104" s="2">
        <v>9099.1556053609092</v>
      </c>
      <c r="AP2104" s="2">
        <v>9672.2587220585701</v>
      </c>
    </row>
    <row r="2105" spans="1:42" ht="14.5" x14ac:dyDescent="0.35">
      <c r="A2105" s="2" t="s">
        <v>14117</v>
      </c>
      <c r="B2105" s="2">
        <v>919.26408488183802</v>
      </c>
      <c r="C2105" s="2">
        <v>4.0516166666666704</v>
      </c>
      <c r="D2105" s="2" t="s">
        <v>34</v>
      </c>
      <c r="E2105" s="2" t="s">
        <v>14118</v>
      </c>
      <c r="F2105" s="2">
        <v>63147</v>
      </c>
      <c r="G2105" s="3" t="str">
        <f>HYPERLINK("http://funmeta.oebiotech.com/network/63147", "http://funmeta.oebiotech.com/network/63147")</f>
        <v>http://funmeta.oebiotech.com/network/63147</v>
      </c>
      <c r="H2105" s="2" t="s">
        <v>14119</v>
      </c>
      <c r="I2105" s="2">
        <v>94454</v>
      </c>
      <c r="J2105" s="2"/>
      <c r="K2105" s="2"/>
      <c r="L2105" s="2"/>
      <c r="M2105" s="2"/>
      <c r="N2105" s="2"/>
      <c r="O2105" s="2">
        <v>85279218</v>
      </c>
      <c r="P2105" s="2"/>
      <c r="Q2105" s="2" t="s">
        <v>14120</v>
      </c>
      <c r="R2105" s="2" t="s">
        <v>14121</v>
      </c>
      <c r="S2105" s="2" t="s">
        <v>115</v>
      </c>
      <c r="T2105" s="2" t="s">
        <v>139</v>
      </c>
      <c r="U2105" s="2" t="s">
        <v>140</v>
      </c>
      <c r="V2105" s="2" t="s">
        <v>59</v>
      </c>
      <c r="W2105" s="2">
        <v>37.4</v>
      </c>
      <c r="X2105" s="2">
        <v>0</v>
      </c>
      <c r="Y2105" s="2" t="s">
        <v>67</v>
      </c>
      <c r="Z2105" s="2" t="s">
        <v>14122</v>
      </c>
      <c r="AA2105" s="2">
        <v>-7.9591944472623801</v>
      </c>
      <c r="AB2105" s="2">
        <v>0.38773059152510098</v>
      </c>
      <c r="AC2105" s="2">
        <v>165871.62751827299</v>
      </c>
      <c r="AD2105" s="2">
        <v>149136.89642218899</v>
      </c>
      <c r="AE2105" s="2">
        <v>141294.52723893299</v>
      </c>
      <c r="AF2105" s="2">
        <v>155102.78487508299</v>
      </c>
      <c r="AG2105" s="2">
        <v>183337.49478936099</v>
      </c>
      <c r="AH2105" s="2">
        <v>172711.366014514</v>
      </c>
      <c r="AI2105" s="2">
        <v>163737.970593948</v>
      </c>
      <c r="AJ2105" s="2">
        <v>179045.621597802</v>
      </c>
      <c r="AK2105" s="2">
        <v>139991.13209631699</v>
      </c>
      <c r="AL2105" s="2">
        <v>157141.85331353301</v>
      </c>
      <c r="AM2105" s="2">
        <v>156415.24853285501</v>
      </c>
      <c r="AN2105" s="2">
        <v>139352.39457324901</v>
      </c>
      <c r="AO2105" s="2">
        <v>155034.564048086</v>
      </c>
      <c r="AP2105" s="2">
        <v>146886.185969096</v>
      </c>
    </row>
    <row r="2106" spans="1:42" ht="14.5" x14ac:dyDescent="0.35">
      <c r="A2106" s="2" t="s">
        <v>14123</v>
      </c>
      <c r="B2106" s="2">
        <v>682.32260191779403</v>
      </c>
      <c r="C2106" s="2">
        <v>6.3487499999999999</v>
      </c>
      <c r="D2106" s="2" t="s">
        <v>70</v>
      </c>
      <c r="E2106" s="2" t="s">
        <v>14124</v>
      </c>
      <c r="F2106" s="2">
        <v>208804</v>
      </c>
      <c r="G2106" s="3" t="str">
        <f>HYPERLINK("http://funmeta.oebiotech.com/network/208804", "http://funmeta.oebiotech.com/network/208804")</f>
        <v>http://funmeta.oebiotech.com/network/208804</v>
      </c>
      <c r="H2106" s="2" t="s">
        <v>14125</v>
      </c>
      <c r="I2106" s="2"/>
      <c r="J2106" s="2"/>
      <c r="K2106" s="2"/>
      <c r="L2106" s="2"/>
      <c r="M2106" s="2"/>
      <c r="N2106" s="2"/>
      <c r="O2106" s="2">
        <v>85083831</v>
      </c>
      <c r="P2106" s="2"/>
      <c r="Q2106" s="2" t="s">
        <v>14126</v>
      </c>
      <c r="R2106" s="2" t="s">
        <v>14127</v>
      </c>
      <c r="S2106" s="2" t="s">
        <v>115</v>
      </c>
      <c r="T2106" s="2" t="s">
        <v>1384</v>
      </c>
      <c r="U2106" s="2" t="s">
        <v>7130</v>
      </c>
      <c r="V2106" s="2" t="s">
        <v>59</v>
      </c>
      <c r="W2106" s="2">
        <v>39.200000000000003</v>
      </c>
      <c r="X2106" s="2">
        <v>0</v>
      </c>
      <c r="Y2106" s="2" t="s">
        <v>408</v>
      </c>
      <c r="Z2106" s="2" t="s">
        <v>14128</v>
      </c>
      <c r="AA2106" s="2">
        <v>-1.07172988328912</v>
      </c>
      <c r="AB2106" s="2">
        <v>0.38716209507200999</v>
      </c>
      <c r="AC2106" s="2">
        <v>28471.441179424801</v>
      </c>
      <c r="AD2106" s="2">
        <v>38877.746630867499</v>
      </c>
      <c r="AE2106" s="2">
        <v>26777.0405167727</v>
      </c>
      <c r="AF2106" s="2">
        <v>26439.171264759902</v>
      </c>
      <c r="AG2106" s="2">
        <v>28843.008174238999</v>
      </c>
      <c r="AH2106" s="2">
        <v>27221.663310075499</v>
      </c>
      <c r="AI2106" s="2">
        <v>29538.68254813</v>
      </c>
      <c r="AJ2106" s="2">
        <v>32009.081262571599</v>
      </c>
      <c r="AK2106" s="2">
        <v>39916.190985909598</v>
      </c>
      <c r="AL2106" s="2">
        <v>36771.931882173398</v>
      </c>
      <c r="AM2106" s="2">
        <v>39768.855987428004</v>
      </c>
      <c r="AN2106" s="2">
        <v>38657.008703850799</v>
      </c>
      <c r="AO2106" s="2">
        <v>41578.759555072204</v>
      </c>
      <c r="AP2106" s="2">
        <v>36573.732670771104</v>
      </c>
    </row>
    <row r="2107" spans="1:42" ht="14.5" x14ac:dyDescent="0.35">
      <c r="A2107" s="2" t="s">
        <v>14129</v>
      </c>
      <c r="B2107" s="2">
        <v>349.16411770698602</v>
      </c>
      <c r="C2107" s="2">
        <v>7.0129666666666699</v>
      </c>
      <c r="D2107" s="2" t="s">
        <v>34</v>
      </c>
      <c r="E2107" s="2" t="s">
        <v>14130</v>
      </c>
      <c r="F2107" s="2">
        <v>210074</v>
      </c>
      <c r="G2107" s="3" t="str">
        <f>HYPERLINK("http://funmeta.oebiotech.com/network/210074", "http://funmeta.oebiotech.com/network/210074")</f>
        <v>http://funmeta.oebiotech.com/network/210074</v>
      </c>
      <c r="H2107" s="2" t="s">
        <v>14131</v>
      </c>
      <c r="I2107" s="2"/>
      <c r="J2107" s="2"/>
      <c r="K2107" s="2"/>
      <c r="L2107" s="2"/>
      <c r="M2107" s="2"/>
      <c r="N2107" s="2"/>
      <c r="O2107" s="2"/>
      <c r="P2107" s="2"/>
      <c r="Q2107" s="2" t="s">
        <v>14132</v>
      </c>
      <c r="R2107" s="2" t="s">
        <v>14133</v>
      </c>
      <c r="S2107" s="2" t="s">
        <v>491</v>
      </c>
      <c r="T2107" s="2" t="s">
        <v>14134</v>
      </c>
      <c r="U2107" s="2" t="s">
        <v>41</v>
      </c>
      <c r="V2107" s="2" t="s">
        <v>59</v>
      </c>
      <c r="W2107" s="2">
        <v>37.5</v>
      </c>
      <c r="X2107" s="2">
        <v>0</v>
      </c>
      <c r="Y2107" s="2" t="s">
        <v>1115</v>
      </c>
      <c r="Z2107" s="2" t="s">
        <v>14135</v>
      </c>
      <c r="AA2107" s="2">
        <v>1.9040837112481399</v>
      </c>
      <c r="AB2107" s="2">
        <v>0.38710775453016799</v>
      </c>
      <c r="AC2107" s="2">
        <v>60354.566894996198</v>
      </c>
      <c r="AD2107" s="2">
        <v>48755.166163032103</v>
      </c>
      <c r="AE2107" s="2">
        <v>56397.519955356503</v>
      </c>
      <c r="AF2107" s="2">
        <v>55581.273100383398</v>
      </c>
      <c r="AG2107" s="2">
        <v>66116.761456014603</v>
      </c>
      <c r="AH2107" s="2">
        <v>59542.673974760597</v>
      </c>
      <c r="AI2107" s="2">
        <v>56626.761452220497</v>
      </c>
      <c r="AJ2107" s="2">
        <v>67862.411431241402</v>
      </c>
      <c r="AK2107" s="2">
        <v>50505.896486515703</v>
      </c>
      <c r="AL2107" s="2">
        <v>51018.254367886599</v>
      </c>
      <c r="AM2107" s="2">
        <v>45350.576793354398</v>
      </c>
      <c r="AN2107" s="2">
        <v>47395.828901096698</v>
      </c>
      <c r="AO2107" s="2">
        <v>49464.982162574503</v>
      </c>
      <c r="AP2107" s="2">
        <v>48795.458266764399</v>
      </c>
    </row>
    <row r="2108" spans="1:42" ht="14.5" x14ac:dyDescent="0.35">
      <c r="A2108" s="2" t="s">
        <v>14136</v>
      </c>
      <c r="B2108" s="2">
        <v>392.17134629780799</v>
      </c>
      <c r="C2108" s="2">
        <v>7.2157999999999998</v>
      </c>
      <c r="D2108" s="2" t="s">
        <v>70</v>
      </c>
      <c r="E2108" s="2" t="s">
        <v>14137</v>
      </c>
      <c r="F2108" s="2">
        <v>10419</v>
      </c>
      <c r="G2108" s="3" t="str">
        <f>HYPERLINK("http://funmeta.oebiotech.com/network/10419", "http://funmeta.oebiotech.com/network/10419")</f>
        <v>http://funmeta.oebiotech.com/network/10419</v>
      </c>
      <c r="H2108" s="2"/>
      <c r="I2108" s="2"/>
      <c r="J2108" s="2" t="s">
        <v>14138</v>
      </c>
      <c r="K2108" s="2">
        <v>78834</v>
      </c>
      <c r="L2108" s="2"/>
      <c r="M2108" s="2"/>
      <c r="N2108" s="2"/>
      <c r="O2108" s="2">
        <v>86289660</v>
      </c>
      <c r="P2108" s="2"/>
      <c r="Q2108" s="2" t="s">
        <v>14139</v>
      </c>
      <c r="R2108" s="2" t="s">
        <v>14140</v>
      </c>
      <c r="S2108" s="2" t="s">
        <v>148</v>
      </c>
      <c r="T2108" s="2" t="s">
        <v>149</v>
      </c>
      <c r="U2108" s="2" t="s">
        <v>1593</v>
      </c>
      <c r="V2108" s="2" t="s">
        <v>59</v>
      </c>
      <c r="W2108" s="2">
        <v>40.4</v>
      </c>
      <c r="X2108" s="2">
        <v>7.3</v>
      </c>
      <c r="Y2108" s="2" t="s">
        <v>118</v>
      </c>
      <c r="Z2108" s="2" t="s">
        <v>14141</v>
      </c>
      <c r="AA2108" s="2">
        <v>-0.32931027164034798</v>
      </c>
      <c r="AB2108" s="2">
        <v>0.38678705825120802</v>
      </c>
      <c r="AC2108" s="2">
        <v>10444.8890794048</v>
      </c>
      <c r="AD2108" s="2">
        <v>575.98421809769502</v>
      </c>
      <c r="AE2108" s="2">
        <v>10743.9623627446</v>
      </c>
      <c r="AF2108" s="2">
        <v>9694.0094195722904</v>
      </c>
      <c r="AG2108" s="2">
        <v>11755.4295134691</v>
      </c>
      <c r="AH2108" s="2">
        <v>10902.470881228999</v>
      </c>
      <c r="AI2108" s="2">
        <v>9661.3473550328799</v>
      </c>
      <c r="AJ2108" s="2">
        <v>9912.1149443806607</v>
      </c>
      <c r="AK2108" s="2">
        <v>465.941701524481</v>
      </c>
      <c r="AL2108" s="2">
        <v>254.00059434837399</v>
      </c>
      <c r="AM2108" s="2">
        <v>824.39081651828303</v>
      </c>
      <c r="AN2108" s="2">
        <v>441.90240169236199</v>
      </c>
      <c r="AO2108" s="2">
        <v>577.09880644937698</v>
      </c>
      <c r="AP2108" s="2">
        <v>892.57098805329201</v>
      </c>
    </row>
    <row r="2109" spans="1:42" ht="14.5" x14ac:dyDescent="0.35">
      <c r="A2109" s="2" t="s">
        <v>14142</v>
      </c>
      <c r="B2109" s="2">
        <v>263.12856283719702</v>
      </c>
      <c r="C2109" s="2">
        <v>5.8977166666666703</v>
      </c>
      <c r="D2109" s="2" t="s">
        <v>70</v>
      </c>
      <c r="E2109" s="2" t="s">
        <v>14143</v>
      </c>
      <c r="F2109" s="2">
        <v>2670</v>
      </c>
      <c r="G2109" s="3" t="str">
        <f>HYPERLINK("http://funmeta.oebiotech.com/network/2670", "http://funmeta.oebiotech.com/network/2670")</f>
        <v>http://funmeta.oebiotech.com/network/2670</v>
      </c>
      <c r="H2109" s="2"/>
      <c r="I2109" s="2"/>
      <c r="J2109" s="2" t="s">
        <v>14144</v>
      </c>
      <c r="K2109" s="2"/>
      <c r="L2109" s="2"/>
      <c r="M2109" s="2"/>
      <c r="N2109" s="2"/>
      <c r="O2109" s="2">
        <v>86139707</v>
      </c>
      <c r="P2109" s="2"/>
      <c r="Q2109" s="2" t="s">
        <v>14145</v>
      </c>
      <c r="R2109" s="2" t="s">
        <v>14146</v>
      </c>
      <c r="S2109" s="2" t="s">
        <v>50</v>
      </c>
      <c r="T2109" s="2" t="s">
        <v>229</v>
      </c>
      <c r="U2109" s="2" t="s">
        <v>433</v>
      </c>
      <c r="V2109" s="2" t="s">
        <v>42</v>
      </c>
      <c r="W2109" s="2">
        <v>53.1</v>
      </c>
      <c r="X2109" s="2">
        <v>70.900000000000006</v>
      </c>
      <c r="Y2109" s="2" t="s">
        <v>2165</v>
      </c>
      <c r="Z2109" s="2" t="s">
        <v>12135</v>
      </c>
      <c r="AA2109" s="2">
        <v>-1.13361636341033</v>
      </c>
      <c r="AB2109" s="2">
        <v>0.38640987190341602</v>
      </c>
      <c r="AC2109" s="2">
        <v>6565.4127898608103</v>
      </c>
      <c r="AD2109" s="2">
        <v>16685.198423369198</v>
      </c>
      <c r="AE2109" s="2">
        <v>5635.4191813519901</v>
      </c>
      <c r="AF2109" s="2">
        <v>6913.7836453127002</v>
      </c>
      <c r="AG2109" s="2">
        <v>6821.9655339282999</v>
      </c>
      <c r="AH2109" s="2">
        <v>6432.1453426157505</v>
      </c>
      <c r="AI2109" s="2">
        <v>6537.7497106575902</v>
      </c>
      <c r="AJ2109" s="2">
        <v>7051.4133252985403</v>
      </c>
      <c r="AK2109" s="2">
        <v>15500.031710105501</v>
      </c>
      <c r="AL2109" s="2">
        <v>20379.334126451999</v>
      </c>
      <c r="AM2109" s="2">
        <v>15419.186336201499</v>
      </c>
      <c r="AN2109" s="2">
        <v>15677.734484394001</v>
      </c>
      <c r="AO2109" s="2">
        <v>16820.675883618202</v>
      </c>
      <c r="AP2109" s="2">
        <v>16314.227999443799</v>
      </c>
    </row>
    <row r="2110" spans="1:42" ht="14.5" x14ac:dyDescent="0.35">
      <c r="A2110" s="2" t="s">
        <v>14147</v>
      </c>
      <c r="B2110" s="2">
        <v>273.191939567102</v>
      </c>
      <c r="C2110" s="2">
        <v>1.0770999999999999</v>
      </c>
      <c r="D2110" s="2" t="s">
        <v>34</v>
      </c>
      <c r="E2110" s="2" t="s">
        <v>14148</v>
      </c>
      <c r="F2110" s="2">
        <v>211821</v>
      </c>
      <c r="G2110" s="3" t="str">
        <f>HYPERLINK("http://funmeta.oebiotech.com/network/211821", "http://funmeta.oebiotech.com/network/211821")</f>
        <v>http://funmeta.oebiotech.com/network/211821</v>
      </c>
      <c r="H2110" s="2" t="s">
        <v>14149</v>
      </c>
      <c r="I2110" s="2">
        <v>428909</v>
      </c>
      <c r="J2110" s="2"/>
      <c r="K2110" s="2"/>
      <c r="L2110" s="2"/>
      <c r="M2110" s="2"/>
      <c r="N2110" s="2"/>
      <c r="O2110" s="2">
        <v>126860</v>
      </c>
      <c r="P2110" s="2"/>
      <c r="Q2110" s="2" t="s">
        <v>14150</v>
      </c>
      <c r="R2110" s="2" t="s">
        <v>14151</v>
      </c>
      <c r="S2110" s="2" t="s">
        <v>41</v>
      </c>
      <c r="T2110" s="2" t="s">
        <v>41</v>
      </c>
      <c r="U2110" s="2" t="s">
        <v>41</v>
      </c>
      <c r="V2110" s="2" t="s">
        <v>59</v>
      </c>
      <c r="W2110" s="2">
        <v>38.9</v>
      </c>
      <c r="X2110" s="2">
        <v>0</v>
      </c>
      <c r="Y2110" s="2" t="s">
        <v>394</v>
      </c>
      <c r="Z2110" s="2" t="s">
        <v>14152</v>
      </c>
      <c r="AA2110" s="2">
        <v>-0.65217613595756097</v>
      </c>
      <c r="AB2110" s="2">
        <v>0.38598097426825201</v>
      </c>
      <c r="AC2110" s="2">
        <v>10730.1339002817</v>
      </c>
      <c r="AD2110" s="2">
        <v>422.42376236831501</v>
      </c>
      <c r="AE2110" s="2">
        <v>7279.7979941063204</v>
      </c>
      <c r="AF2110" s="2">
        <v>10995.9272457028</v>
      </c>
      <c r="AG2110" s="2">
        <v>10712.296325826001</v>
      </c>
      <c r="AH2110" s="2">
        <v>12664.394969369399</v>
      </c>
      <c r="AI2110" s="2">
        <v>8168.7673231706203</v>
      </c>
      <c r="AJ2110" s="2">
        <v>14559.619543515</v>
      </c>
      <c r="AK2110" s="2">
        <v>483.43596528132099</v>
      </c>
      <c r="AL2110" s="2">
        <v>266.25067651168803</v>
      </c>
      <c r="AM2110" s="2">
        <v>284.40102740939398</v>
      </c>
      <c r="AN2110" s="2">
        <v>661.57459230529798</v>
      </c>
      <c r="AO2110" s="2">
        <v>192.142164406901</v>
      </c>
      <c r="AP2110" s="2">
        <v>646.73814829528601</v>
      </c>
    </row>
    <row r="2111" spans="1:42" ht="14.5" x14ac:dyDescent="0.35">
      <c r="A2111" s="2" t="s">
        <v>14153</v>
      </c>
      <c r="B2111" s="2">
        <v>469.11125574549402</v>
      </c>
      <c r="C2111" s="2">
        <v>5.00538333333333</v>
      </c>
      <c r="D2111" s="2" t="s">
        <v>70</v>
      </c>
      <c r="E2111" s="2" t="s">
        <v>14154</v>
      </c>
      <c r="F2111" s="2">
        <v>266259</v>
      </c>
      <c r="G2111" s="3" t="str">
        <f>HYPERLINK("http://funmeta.oebiotech.com/network/266259", "http://funmeta.oebiotech.com/network/266259")</f>
        <v>http://funmeta.oebiotech.com/network/266259</v>
      </c>
      <c r="H2111" s="2"/>
      <c r="I2111" s="2">
        <v>34473</v>
      </c>
      <c r="J2111" s="2"/>
      <c r="K2111" s="2"/>
      <c r="L2111" s="2"/>
      <c r="M2111" s="2"/>
      <c r="N2111" s="2"/>
      <c r="O2111" s="2">
        <v>72942114</v>
      </c>
      <c r="P2111" s="2"/>
      <c r="Q2111" s="2" t="s">
        <v>14155</v>
      </c>
      <c r="R2111" s="2" t="s">
        <v>14156</v>
      </c>
      <c r="S2111" s="2" t="s">
        <v>148</v>
      </c>
      <c r="T2111" s="2" t="s">
        <v>149</v>
      </c>
      <c r="U2111" s="2" t="s">
        <v>14157</v>
      </c>
      <c r="V2111" s="2" t="s">
        <v>59</v>
      </c>
      <c r="W2111" s="2">
        <v>39</v>
      </c>
      <c r="X2111" s="2">
        <v>0</v>
      </c>
      <c r="Y2111" s="2" t="s">
        <v>560</v>
      </c>
      <c r="Z2111" s="2" t="s">
        <v>14158</v>
      </c>
      <c r="AA2111" s="2">
        <v>-0.168861737502457</v>
      </c>
      <c r="AB2111" s="2">
        <v>0.38550639586691798</v>
      </c>
      <c r="AC2111" s="2">
        <v>51589.511626900698</v>
      </c>
      <c r="AD2111" s="2">
        <v>39194.361616779803</v>
      </c>
      <c r="AE2111" s="2">
        <v>59013.819063050498</v>
      </c>
      <c r="AF2111" s="2">
        <v>54671.751503879103</v>
      </c>
      <c r="AG2111" s="2">
        <v>51109.982575581402</v>
      </c>
      <c r="AH2111" s="2">
        <v>49992.531038242698</v>
      </c>
      <c r="AI2111" s="2">
        <v>45013.102114895999</v>
      </c>
      <c r="AJ2111" s="2">
        <v>49735.883465754298</v>
      </c>
      <c r="AK2111" s="2">
        <v>49309.8948004544</v>
      </c>
      <c r="AL2111" s="2">
        <v>41082.584997023601</v>
      </c>
      <c r="AM2111" s="2">
        <v>41659.608534810803</v>
      </c>
      <c r="AN2111" s="2">
        <v>35420.647753885001</v>
      </c>
      <c r="AO2111" s="2">
        <v>35177.248771024897</v>
      </c>
      <c r="AP2111" s="2">
        <v>32516.1848434801</v>
      </c>
    </row>
    <row r="2112" spans="1:42" ht="14.5" x14ac:dyDescent="0.35">
      <c r="A2112" s="2" t="s">
        <v>14159</v>
      </c>
      <c r="B2112" s="2">
        <v>519.19198537002205</v>
      </c>
      <c r="C2112" s="2">
        <v>0.75453333333333295</v>
      </c>
      <c r="D2112" s="2" t="s">
        <v>70</v>
      </c>
      <c r="E2112" s="2" t="s">
        <v>14160</v>
      </c>
      <c r="F2112" s="2">
        <v>51179</v>
      </c>
      <c r="G2112" s="3" t="str">
        <f>HYPERLINK("http://funmeta.oebiotech.com/network/51179", "http://funmeta.oebiotech.com/network/51179")</f>
        <v>http://funmeta.oebiotech.com/network/51179</v>
      </c>
      <c r="H2112" s="2" t="s">
        <v>14161</v>
      </c>
      <c r="I2112" s="2"/>
      <c r="J2112" s="2"/>
      <c r="K2112" s="2"/>
      <c r="L2112" s="2"/>
      <c r="M2112" s="2"/>
      <c r="N2112" s="2"/>
      <c r="O2112" s="2">
        <v>25227055</v>
      </c>
      <c r="P2112" s="2" t="s">
        <v>14162</v>
      </c>
      <c r="Q2112" s="2" t="s">
        <v>14163</v>
      </c>
      <c r="R2112" s="2" t="s">
        <v>14164</v>
      </c>
      <c r="S2112" s="2" t="s">
        <v>89</v>
      </c>
      <c r="T2112" s="2" t="s">
        <v>90</v>
      </c>
      <c r="U2112" s="2" t="s">
        <v>99</v>
      </c>
      <c r="V2112" s="2" t="s">
        <v>59</v>
      </c>
      <c r="W2112" s="2">
        <v>38</v>
      </c>
      <c r="X2112" s="2">
        <v>0</v>
      </c>
      <c r="Y2112" s="2" t="s">
        <v>560</v>
      </c>
      <c r="Z2112" s="2" t="s">
        <v>14165</v>
      </c>
      <c r="AA2112" s="2">
        <v>-4.6341222363658598</v>
      </c>
      <c r="AB2112" s="2">
        <v>0.38517385735606302</v>
      </c>
      <c r="AC2112" s="2">
        <v>113383.748600266</v>
      </c>
      <c r="AD2112" s="2">
        <v>95712.052494718693</v>
      </c>
      <c r="AE2112" s="2">
        <v>128342.124987335</v>
      </c>
      <c r="AF2112" s="2">
        <v>108362.60724506401</v>
      </c>
      <c r="AG2112" s="2">
        <v>109678.31593779199</v>
      </c>
      <c r="AH2112" s="2">
        <v>133076.71358769701</v>
      </c>
      <c r="AI2112" s="2">
        <v>116692.042865889</v>
      </c>
      <c r="AJ2112" s="2">
        <v>84150.686977819496</v>
      </c>
      <c r="AK2112" s="2">
        <v>114313.47820396299</v>
      </c>
      <c r="AL2112" s="2">
        <v>101497.554110388</v>
      </c>
      <c r="AM2112" s="2">
        <v>90911.445814454506</v>
      </c>
      <c r="AN2112" s="2">
        <v>93937.847625743903</v>
      </c>
      <c r="AO2112" s="2">
        <v>92981.023276685402</v>
      </c>
      <c r="AP2112" s="2">
        <v>80630.965937077199</v>
      </c>
    </row>
    <row r="2113" spans="1:42" ht="14.5" x14ac:dyDescent="0.35">
      <c r="A2113" s="2" t="s">
        <v>14166</v>
      </c>
      <c r="B2113" s="2">
        <v>397.11036355086702</v>
      </c>
      <c r="C2113" s="2">
        <v>1.5526500000000001</v>
      </c>
      <c r="D2113" s="2" t="s">
        <v>34</v>
      </c>
      <c r="E2113" s="2" t="s">
        <v>14167</v>
      </c>
      <c r="F2113" s="2">
        <v>257292</v>
      </c>
      <c r="G2113" s="3" t="str">
        <f>HYPERLINK("http://funmeta.oebiotech.com/network/257292", "http://funmeta.oebiotech.com/network/257292")</f>
        <v>http://funmeta.oebiotech.com/network/257292</v>
      </c>
      <c r="H2113" s="2" t="s">
        <v>14168</v>
      </c>
      <c r="I2113" s="2"/>
      <c r="J2113" s="2"/>
      <c r="K2113" s="2"/>
      <c r="L2113" s="2"/>
      <c r="M2113" s="2"/>
      <c r="N2113" s="2"/>
      <c r="O2113" s="2">
        <v>4631412</v>
      </c>
      <c r="P2113" s="2"/>
      <c r="Q2113" s="2" t="s">
        <v>14169</v>
      </c>
      <c r="R2113" s="2" t="s">
        <v>14170</v>
      </c>
      <c r="S2113" s="2" t="s">
        <v>50</v>
      </c>
      <c r="T2113" s="2" t="s">
        <v>201</v>
      </c>
      <c r="U2113" s="2" t="s">
        <v>202</v>
      </c>
      <c r="V2113" s="2" t="s">
        <v>59</v>
      </c>
      <c r="W2113" s="2">
        <v>43.8</v>
      </c>
      <c r="X2113" s="2">
        <v>25.1</v>
      </c>
      <c r="Y2113" s="2" t="s">
        <v>470</v>
      </c>
      <c r="Z2113" s="2" t="s">
        <v>1156</v>
      </c>
      <c r="AA2113" s="2">
        <v>-0.41171212205150798</v>
      </c>
      <c r="AB2113" s="2">
        <v>0.38484159017250302</v>
      </c>
      <c r="AC2113" s="2">
        <v>24995.007333303602</v>
      </c>
      <c r="AD2113" s="2">
        <v>14927.2188543541</v>
      </c>
      <c r="AE2113" s="2">
        <v>25425.620352621201</v>
      </c>
      <c r="AF2113" s="2">
        <v>25415.049542880301</v>
      </c>
      <c r="AG2113" s="2">
        <v>24172.319279344902</v>
      </c>
      <c r="AH2113" s="2">
        <v>23175.991492751</v>
      </c>
      <c r="AI2113" s="2">
        <v>28116.734695242401</v>
      </c>
      <c r="AJ2113" s="2">
        <v>23664.3286369819</v>
      </c>
      <c r="AK2113" s="2">
        <v>15505.1088997273</v>
      </c>
      <c r="AL2113" s="2">
        <v>14092.130003680801</v>
      </c>
      <c r="AM2113" s="2">
        <v>14026.8995296251</v>
      </c>
      <c r="AN2113" s="2">
        <v>15178.686085578</v>
      </c>
      <c r="AO2113" s="2">
        <v>14460.6261218867</v>
      </c>
      <c r="AP2113" s="2">
        <v>16299.8624856269</v>
      </c>
    </row>
    <row r="2114" spans="1:42" ht="14.5" x14ac:dyDescent="0.35">
      <c r="A2114" s="2" t="s">
        <v>14171</v>
      </c>
      <c r="B2114" s="2">
        <v>671.15627330351106</v>
      </c>
      <c r="C2114" s="2">
        <v>4.5065833333333298</v>
      </c>
      <c r="D2114" s="2" t="s">
        <v>70</v>
      </c>
      <c r="E2114" s="2" t="s">
        <v>14172</v>
      </c>
      <c r="F2114" s="2">
        <v>82449</v>
      </c>
      <c r="G2114" s="3" t="str">
        <f>HYPERLINK("http://funmeta.oebiotech.com/network/82449", "http://funmeta.oebiotech.com/network/82449")</f>
        <v>http://funmeta.oebiotech.com/network/82449</v>
      </c>
      <c r="H2114" s="2" t="s">
        <v>14173</v>
      </c>
      <c r="I2114" s="2"/>
      <c r="J2114" s="2"/>
      <c r="K2114" s="2"/>
      <c r="L2114" s="2"/>
      <c r="M2114" s="2"/>
      <c r="N2114" s="2"/>
      <c r="O2114" s="2">
        <v>44146831</v>
      </c>
      <c r="P2114" s="2"/>
      <c r="Q2114" s="2" t="s">
        <v>14174</v>
      </c>
      <c r="R2114" s="2" t="s">
        <v>14175</v>
      </c>
      <c r="S2114" s="2" t="s">
        <v>89</v>
      </c>
      <c r="T2114" s="2" t="s">
        <v>90</v>
      </c>
      <c r="U2114" s="2" t="s">
        <v>99</v>
      </c>
      <c r="V2114" s="2" t="s">
        <v>59</v>
      </c>
      <c r="W2114" s="2">
        <v>36.5</v>
      </c>
      <c r="X2114" s="2">
        <v>0</v>
      </c>
      <c r="Y2114" s="2" t="s">
        <v>560</v>
      </c>
      <c r="Z2114" s="2" t="s">
        <v>14176</v>
      </c>
      <c r="AA2114" s="2">
        <v>1.2232720995993001</v>
      </c>
      <c r="AB2114" s="2">
        <v>0.38468481393339998</v>
      </c>
      <c r="AC2114" s="2">
        <v>13938.887878833701</v>
      </c>
      <c r="AD2114" s="2">
        <v>24894.119956060898</v>
      </c>
      <c r="AE2114" s="2">
        <v>13611.0734098146</v>
      </c>
      <c r="AF2114" s="2">
        <v>17969.023983958501</v>
      </c>
      <c r="AG2114" s="2">
        <v>11003.1282912525</v>
      </c>
      <c r="AH2114" s="2">
        <v>9911.6484389541893</v>
      </c>
      <c r="AI2114" s="2">
        <v>13354.1904571009</v>
      </c>
      <c r="AJ2114" s="2">
        <v>17784.2626919215</v>
      </c>
      <c r="AK2114" s="2">
        <v>24483.059231068299</v>
      </c>
      <c r="AL2114" s="2">
        <v>24319.106447173599</v>
      </c>
      <c r="AM2114" s="2">
        <v>24366.0774229659</v>
      </c>
      <c r="AN2114" s="2">
        <v>29701.007402347499</v>
      </c>
      <c r="AO2114" s="2">
        <v>20687.134003245101</v>
      </c>
      <c r="AP2114" s="2">
        <v>25808.335229564898</v>
      </c>
    </row>
    <row r="2115" spans="1:42" ht="14.5" x14ac:dyDescent="0.35">
      <c r="A2115" s="2" t="s">
        <v>14177</v>
      </c>
      <c r="B2115" s="2">
        <v>359.131360973906</v>
      </c>
      <c r="C2115" s="2">
        <v>3.9315333333333302</v>
      </c>
      <c r="D2115" s="2" t="s">
        <v>34</v>
      </c>
      <c r="E2115" s="2" t="s">
        <v>14178</v>
      </c>
      <c r="F2115" s="2">
        <v>206546</v>
      </c>
      <c r="G2115" s="3" t="str">
        <f>HYPERLINK("http://funmeta.oebiotech.com/network/206546", "http://funmeta.oebiotech.com/network/206546")</f>
        <v>http://funmeta.oebiotech.com/network/206546</v>
      </c>
      <c r="H2115" s="2" t="s">
        <v>14179</v>
      </c>
      <c r="I2115" s="2"/>
      <c r="J2115" s="2"/>
      <c r="K2115" s="2"/>
      <c r="L2115" s="2"/>
      <c r="M2115" s="2"/>
      <c r="N2115" s="2"/>
      <c r="O2115" s="2">
        <v>53461774</v>
      </c>
      <c r="P2115" s="2"/>
      <c r="Q2115" s="2" t="s">
        <v>14180</v>
      </c>
      <c r="R2115" s="2" t="s">
        <v>14181</v>
      </c>
      <c r="S2115" s="2" t="s">
        <v>50</v>
      </c>
      <c r="T2115" s="2" t="s">
        <v>124</v>
      </c>
      <c r="U2115" s="2" t="s">
        <v>9313</v>
      </c>
      <c r="V2115" s="2" t="s">
        <v>59</v>
      </c>
      <c r="W2115" s="2">
        <v>37</v>
      </c>
      <c r="X2115" s="2">
        <v>0</v>
      </c>
      <c r="Y2115" s="2" t="s">
        <v>141</v>
      </c>
      <c r="Z2115" s="2" t="s">
        <v>14182</v>
      </c>
      <c r="AA2115" s="2">
        <v>0.54330686596568001</v>
      </c>
      <c r="AB2115" s="2">
        <v>0.38466045080204098</v>
      </c>
      <c r="AC2115" s="2">
        <v>15473.834869654</v>
      </c>
      <c r="AD2115" s="2">
        <v>26865.001515160198</v>
      </c>
      <c r="AE2115" s="2">
        <v>13750.9986498661</v>
      </c>
      <c r="AF2115" s="2">
        <v>13095.2471886725</v>
      </c>
      <c r="AG2115" s="2">
        <v>12326.8598037878</v>
      </c>
      <c r="AH2115" s="2">
        <v>20113.115361916301</v>
      </c>
      <c r="AI2115" s="2">
        <v>15867.9034944175</v>
      </c>
      <c r="AJ2115" s="2">
        <v>17688.8847192637</v>
      </c>
      <c r="AK2115" s="2">
        <v>27837.939807496899</v>
      </c>
      <c r="AL2115" s="2">
        <v>33627.251835748903</v>
      </c>
      <c r="AM2115" s="2">
        <v>28291.914494800902</v>
      </c>
      <c r="AN2115" s="2">
        <v>20053.389926528798</v>
      </c>
      <c r="AO2115" s="2">
        <v>25043.772180559801</v>
      </c>
      <c r="AP2115" s="2">
        <v>26335.740845826102</v>
      </c>
    </row>
    <row r="2116" spans="1:42" ht="14.5" x14ac:dyDescent="0.35">
      <c r="A2116" s="2" t="s">
        <v>14183</v>
      </c>
      <c r="B2116" s="2">
        <v>550.28046718818803</v>
      </c>
      <c r="C2116" s="2">
        <v>6.1053333333333297</v>
      </c>
      <c r="D2116" s="2" t="s">
        <v>70</v>
      </c>
      <c r="E2116" s="2" t="s">
        <v>14184</v>
      </c>
      <c r="F2116" s="2">
        <v>274561</v>
      </c>
      <c r="G2116" s="3" t="str">
        <f>HYPERLINK("http://funmeta.oebiotech.com/network/274561", "http://funmeta.oebiotech.com/network/274561")</f>
        <v>http://funmeta.oebiotech.com/network/274561</v>
      </c>
      <c r="H2116" s="2"/>
      <c r="I2116" s="2">
        <v>64627</v>
      </c>
      <c r="J2116" s="2"/>
      <c r="K2116" s="2"/>
      <c r="L2116" s="2"/>
      <c r="M2116" s="2"/>
      <c r="N2116" s="2"/>
      <c r="O2116" s="2">
        <v>11752486</v>
      </c>
      <c r="P2116" s="2" t="s">
        <v>14185</v>
      </c>
      <c r="Q2116" s="2" t="s">
        <v>14186</v>
      </c>
      <c r="R2116" s="2" t="s">
        <v>14187</v>
      </c>
      <c r="S2116" s="2" t="s">
        <v>89</v>
      </c>
      <c r="T2116" s="2" t="s">
        <v>90</v>
      </c>
      <c r="U2116" s="2" t="s">
        <v>99</v>
      </c>
      <c r="V2116" s="2" t="s">
        <v>59</v>
      </c>
      <c r="W2116" s="2">
        <v>37.700000000000003</v>
      </c>
      <c r="X2116" s="2">
        <v>0</v>
      </c>
      <c r="Y2116" s="2" t="s">
        <v>408</v>
      </c>
      <c r="Z2116" s="2" t="s">
        <v>14188</v>
      </c>
      <c r="AA2116" s="2">
        <v>6.8550592945626798</v>
      </c>
      <c r="AB2116" s="2">
        <v>0.38445168658557399</v>
      </c>
      <c r="AC2116" s="2">
        <v>24527.335162282001</v>
      </c>
      <c r="AD2116" s="2">
        <v>14320.098522886001</v>
      </c>
      <c r="AE2116" s="2">
        <v>24458.239313271701</v>
      </c>
      <c r="AF2116" s="2">
        <v>27772.837364866598</v>
      </c>
      <c r="AG2116" s="2">
        <v>22783.4933759751</v>
      </c>
      <c r="AH2116" s="2">
        <v>24266.737946163601</v>
      </c>
      <c r="AI2116" s="2">
        <v>20958.455171850601</v>
      </c>
      <c r="AJ2116" s="2">
        <v>26924.247801564401</v>
      </c>
      <c r="AK2116" s="2">
        <v>14761.9919081936</v>
      </c>
      <c r="AL2116" s="2">
        <v>14391.2106519151</v>
      </c>
      <c r="AM2116" s="2">
        <v>15962.3363318704</v>
      </c>
      <c r="AN2116" s="2">
        <v>14021.983675400301</v>
      </c>
      <c r="AO2116" s="2">
        <v>13298.330075865801</v>
      </c>
      <c r="AP2116" s="2">
        <v>13484.7384940708</v>
      </c>
    </row>
    <row r="2117" spans="1:42" ht="14.5" x14ac:dyDescent="0.35">
      <c r="A2117" s="2" t="s">
        <v>14189</v>
      </c>
      <c r="B2117" s="2">
        <v>166.04992370052301</v>
      </c>
      <c r="C2117" s="2">
        <v>7.3939333333333304</v>
      </c>
      <c r="D2117" s="2" t="s">
        <v>70</v>
      </c>
      <c r="E2117" s="2" t="s">
        <v>14190</v>
      </c>
      <c r="F2117" s="2">
        <v>266454</v>
      </c>
      <c r="G2117" s="3" t="str">
        <f>HYPERLINK("http://funmeta.oebiotech.com/network/266454", "http://funmeta.oebiotech.com/network/266454")</f>
        <v>http://funmeta.oebiotech.com/network/266454</v>
      </c>
      <c r="H2117" s="2"/>
      <c r="I2117" s="2">
        <v>43209</v>
      </c>
      <c r="J2117" s="2"/>
      <c r="K2117" s="2"/>
      <c r="L2117" s="2" t="s">
        <v>14191</v>
      </c>
      <c r="M2117" s="2" t="s">
        <v>14192</v>
      </c>
      <c r="N2117" s="2" t="s">
        <v>14193</v>
      </c>
      <c r="O2117" s="2">
        <v>36143</v>
      </c>
      <c r="P2117" s="2" t="s">
        <v>14194</v>
      </c>
      <c r="Q2117" s="2" t="s">
        <v>14195</v>
      </c>
      <c r="R2117" s="2" t="s">
        <v>14196</v>
      </c>
      <c r="S2117" s="2" t="s">
        <v>89</v>
      </c>
      <c r="T2117" s="2" t="s">
        <v>90</v>
      </c>
      <c r="U2117" s="2" t="s">
        <v>99</v>
      </c>
      <c r="V2117" s="2" t="s">
        <v>59</v>
      </c>
      <c r="W2117" s="2">
        <v>40.700000000000003</v>
      </c>
      <c r="X2117" s="2">
        <v>13.2</v>
      </c>
      <c r="Y2117" s="2" t="s">
        <v>118</v>
      </c>
      <c r="Z2117" s="2" t="s">
        <v>12861</v>
      </c>
      <c r="AA2117" s="2">
        <v>-6.2434487969513999</v>
      </c>
      <c r="AB2117" s="2">
        <v>0.38429346422173499</v>
      </c>
      <c r="AC2117" s="2">
        <v>4596.4461980112401</v>
      </c>
      <c r="AD2117" s="2">
        <v>14357.9009449682</v>
      </c>
      <c r="AE2117" s="2">
        <v>4742.4130919886602</v>
      </c>
      <c r="AF2117" s="2">
        <v>4962.4107086315498</v>
      </c>
      <c r="AG2117" s="2">
        <v>4113.1835428920604</v>
      </c>
      <c r="AH2117" s="2">
        <v>4315.2471987261597</v>
      </c>
      <c r="AI2117" s="2">
        <v>4688.8461048346098</v>
      </c>
      <c r="AJ2117" s="2">
        <v>4756.5765409944297</v>
      </c>
      <c r="AK2117" s="2">
        <v>15238.666247593101</v>
      </c>
      <c r="AL2117" s="2">
        <v>15407.0700396636</v>
      </c>
      <c r="AM2117" s="2">
        <v>14157.719891966301</v>
      </c>
      <c r="AN2117" s="2">
        <v>13816.6070444573</v>
      </c>
      <c r="AO2117" s="2">
        <v>14187.0956015707</v>
      </c>
      <c r="AP2117" s="2">
        <v>13340.2468445582</v>
      </c>
    </row>
    <row r="2118" spans="1:42" ht="14.5" x14ac:dyDescent="0.35">
      <c r="A2118" s="2" t="s">
        <v>14197</v>
      </c>
      <c r="B2118" s="2">
        <v>514.13285857090204</v>
      </c>
      <c r="C2118" s="2">
        <v>4.8801333333333297</v>
      </c>
      <c r="D2118" s="2" t="s">
        <v>70</v>
      </c>
      <c r="E2118" s="2" t="s">
        <v>14198</v>
      </c>
      <c r="F2118" s="2">
        <v>204371</v>
      </c>
      <c r="G2118" s="3" t="str">
        <f>HYPERLINK("http://funmeta.oebiotech.com/network/204371", "http://funmeta.oebiotech.com/network/204371")</f>
        <v>http://funmeta.oebiotech.com/network/204371</v>
      </c>
      <c r="H2118" s="2" t="s">
        <v>14199</v>
      </c>
      <c r="I2118" s="2"/>
      <c r="J2118" s="2"/>
      <c r="K2118" s="2">
        <v>91494</v>
      </c>
      <c r="L2118" s="2"/>
      <c r="M2118" s="2"/>
      <c r="N2118" s="2"/>
      <c r="O2118" s="2">
        <v>2460</v>
      </c>
      <c r="P2118" s="2"/>
      <c r="Q2118" s="2" t="s">
        <v>14200</v>
      </c>
      <c r="R2118" s="2" t="s">
        <v>14201</v>
      </c>
      <c r="S2118" s="2" t="s">
        <v>1444</v>
      </c>
      <c r="T2118" s="2" t="s">
        <v>4937</v>
      </c>
      <c r="U2118" s="2" t="s">
        <v>14202</v>
      </c>
      <c r="V2118" s="2" t="s">
        <v>59</v>
      </c>
      <c r="W2118" s="2">
        <v>38.299999999999997</v>
      </c>
      <c r="X2118" s="2">
        <v>0</v>
      </c>
      <c r="Y2118" s="2" t="s">
        <v>408</v>
      </c>
      <c r="Z2118" s="2" t="s">
        <v>14203</v>
      </c>
      <c r="AA2118" s="2">
        <v>-3.3970499195932899</v>
      </c>
      <c r="AB2118" s="2">
        <v>0.38416070365286098</v>
      </c>
      <c r="AC2118" s="2">
        <v>28228.974129848</v>
      </c>
      <c r="AD2118" s="2">
        <v>38451.657601600797</v>
      </c>
      <c r="AE2118" s="2">
        <v>26776.5526734222</v>
      </c>
      <c r="AF2118" s="2">
        <v>27323.425561468299</v>
      </c>
      <c r="AG2118" s="2">
        <v>28632.449747242801</v>
      </c>
      <c r="AH2118" s="2">
        <v>27777.666157846801</v>
      </c>
      <c r="AI2118" s="2">
        <v>30201.642980654298</v>
      </c>
      <c r="AJ2118" s="2">
        <v>28662.107658453799</v>
      </c>
      <c r="AK2118" s="2">
        <v>41874.425790314301</v>
      </c>
      <c r="AL2118" s="2">
        <v>36835.971711430502</v>
      </c>
      <c r="AM2118" s="2">
        <v>34743.9353566805</v>
      </c>
      <c r="AN2118" s="2">
        <v>38513.178437964598</v>
      </c>
      <c r="AO2118" s="2">
        <v>39094.882132257902</v>
      </c>
      <c r="AP2118" s="2">
        <v>39647.5521809571</v>
      </c>
    </row>
    <row r="2119" spans="1:42" ht="14.5" x14ac:dyDescent="0.35">
      <c r="A2119" s="2" t="s">
        <v>14204</v>
      </c>
      <c r="B2119" s="2">
        <v>623.21823314986796</v>
      </c>
      <c r="C2119" s="2">
        <v>4.5236333333333301</v>
      </c>
      <c r="D2119" s="2" t="s">
        <v>70</v>
      </c>
      <c r="E2119" s="2" t="s">
        <v>14205</v>
      </c>
      <c r="F2119" s="2">
        <v>201566</v>
      </c>
      <c r="G2119" s="3" t="str">
        <f>HYPERLINK("http://funmeta.oebiotech.com/network/201566", "http://funmeta.oebiotech.com/network/201566")</f>
        <v>http://funmeta.oebiotech.com/network/201566</v>
      </c>
      <c r="H2119" s="2" t="s">
        <v>14206</v>
      </c>
      <c r="I2119" s="2">
        <v>348511</v>
      </c>
      <c r="J2119" s="2"/>
      <c r="K2119" s="2"/>
      <c r="L2119" s="2"/>
      <c r="M2119" s="2"/>
      <c r="N2119" s="2"/>
      <c r="O2119" s="2">
        <v>77258</v>
      </c>
      <c r="P2119" s="2"/>
      <c r="Q2119" s="2" t="s">
        <v>14207</v>
      </c>
      <c r="R2119" s="2" t="s">
        <v>14208</v>
      </c>
      <c r="S2119" s="2" t="s">
        <v>491</v>
      </c>
      <c r="T2119" s="2" t="s">
        <v>6511</v>
      </c>
      <c r="U2119" s="2" t="s">
        <v>13259</v>
      </c>
      <c r="V2119" s="2" t="s">
        <v>59</v>
      </c>
      <c r="W2119" s="2">
        <v>39.200000000000003</v>
      </c>
      <c r="X2119" s="2">
        <v>0</v>
      </c>
      <c r="Y2119" s="2" t="s">
        <v>560</v>
      </c>
      <c r="Z2119" s="2" t="s">
        <v>14209</v>
      </c>
      <c r="AA2119" s="2">
        <v>1.3148383956829699</v>
      </c>
      <c r="AB2119" s="2">
        <v>0.383736620515987</v>
      </c>
      <c r="AC2119" s="2">
        <v>7654.4063638831203</v>
      </c>
      <c r="AD2119" s="2">
        <v>17579.672591572598</v>
      </c>
      <c r="AE2119" s="2">
        <v>7219.9798611660599</v>
      </c>
      <c r="AF2119" s="2">
        <v>6919.5005990416103</v>
      </c>
      <c r="AG2119" s="2">
        <v>7769.4455868148598</v>
      </c>
      <c r="AH2119" s="2">
        <v>6890.5206417156996</v>
      </c>
      <c r="AI2119" s="2">
        <v>9403.1765386521201</v>
      </c>
      <c r="AJ2119" s="2">
        <v>7723.8149559083904</v>
      </c>
      <c r="AK2119" s="2">
        <v>16453.335952116398</v>
      </c>
      <c r="AL2119" s="2">
        <v>15287.541554420301</v>
      </c>
      <c r="AM2119" s="2">
        <v>19459.858340692401</v>
      </c>
      <c r="AN2119" s="2">
        <v>16972.365806736001</v>
      </c>
      <c r="AO2119" s="2">
        <v>17795.4324549673</v>
      </c>
      <c r="AP2119" s="2">
        <v>19509.5014405035</v>
      </c>
    </row>
    <row r="2120" spans="1:42" ht="14.5" x14ac:dyDescent="0.35">
      <c r="A2120" s="2" t="s">
        <v>14210</v>
      </c>
      <c r="B2120" s="2">
        <v>939.25194002794296</v>
      </c>
      <c r="C2120" s="2">
        <v>3.9315333333333302</v>
      </c>
      <c r="D2120" s="2" t="s">
        <v>34</v>
      </c>
      <c r="E2120" s="2" t="s">
        <v>14211</v>
      </c>
      <c r="F2120" s="2">
        <v>31797</v>
      </c>
      <c r="G2120" s="3" t="str">
        <f>HYPERLINK("http://funmeta.oebiotech.com/network/31797", "http://funmeta.oebiotech.com/network/31797")</f>
        <v>http://funmeta.oebiotech.com/network/31797</v>
      </c>
      <c r="H2120" s="2"/>
      <c r="I2120" s="2"/>
      <c r="J2120" s="2" t="s">
        <v>14212</v>
      </c>
      <c r="K2120" s="2"/>
      <c r="L2120" s="2"/>
      <c r="M2120" s="2"/>
      <c r="N2120" s="2"/>
      <c r="O2120" s="2">
        <v>102370454</v>
      </c>
      <c r="P2120" s="2"/>
      <c r="Q2120" s="2" t="s">
        <v>14213</v>
      </c>
      <c r="R2120" s="2" t="s">
        <v>14214</v>
      </c>
      <c r="S2120" s="2" t="s">
        <v>115</v>
      </c>
      <c r="T2120" s="2" t="s">
        <v>139</v>
      </c>
      <c r="U2120" s="2" t="s">
        <v>140</v>
      </c>
      <c r="V2120" s="2" t="s">
        <v>59</v>
      </c>
      <c r="W2120" s="2">
        <v>36.299999999999997</v>
      </c>
      <c r="X2120" s="2">
        <v>0</v>
      </c>
      <c r="Y2120" s="2" t="s">
        <v>67</v>
      </c>
      <c r="Z2120" s="2" t="s">
        <v>14215</v>
      </c>
      <c r="AA2120" s="2">
        <v>-1.0955598381693501</v>
      </c>
      <c r="AB2120" s="2">
        <v>0.383725500534564</v>
      </c>
      <c r="AC2120" s="2">
        <v>9982.1061268194007</v>
      </c>
      <c r="AD2120" s="2">
        <v>20606.666497922699</v>
      </c>
      <c r="AE2120" s="2">
        <v>13281.307118156599</v>
      </c>
      <c r="AF2120" s="2">
        <v>5849.5881991430997</v>
      </c>
      <c r="AG2120" s="2">
        <v>8597.1305816419008</v>
      </c>
      <c r="AH2120" s="2">
        <v>12106.0845878748</v>
      </c>
      <c r="AI2120" s="2">
        <v>8648.5551398575008</v>
      </c>
      <c r="AJ2120" s="2">
        <v>11409.9711342425</v>
      </c>
      <c r="AK2120" s="2">
        <v>19495.794603185699</v>
      </c>
      <c r="AL2120" s="2">
        <v>18991.079139954702</v>
      </c>
      <c r="AM2120" s="2">
        <v>24049.924056097301</v>
      </c>
      <c r="AN2120" s="2">
        <v>20244.176423775301</v>
      </c>
      <c r="AO2120" s="2">
        <v>17495.881998648099</v>
      </c>
      <c r="AP2120" s="2">
        <v>23363.142765875102</v>
      </c>
    </row>
    <row r="2121" spans="1:42" ht="14.5" x14ac:dyDescent="0.35">
      <c r="A2121" s="2" t="s">
        <v>14216</v>
      </c>
      <c r="B2121" s="2">
        <v>493.20822143859698</v>
      </c>
      <c r="C2121" s="2">
        <v>4.8984333333333296</v>
      </c>
      <c r="D2121" s="2" t="s">
        <v>70</v>
      </c>
      <c r="E2121" s="2" t="s">
        <v>14217</v>
      </c>
      <c r="F2121" s="2">
        <v>210309</v>
      </c>
      <c r="G2121" s="3" t="str">
        <f>HYPERLINK("http://funmeta.oebiotech.com/network/210309", "http://funmeta.oebiotech.com/network/210309")</f>
        <v>http://funmeta.oebiotech.com/network/210309</v>
      </c>
      <c r="H2121" s="2" t="s">
        <v>14218</v>
      </c>
      <c r="I2121" s="2"/>
      <c r="J2121" s="2"/>
      <c r="K2121" s="2"/>
      <c r="L2121" s="2"/>
      <c r="M2121" s="2"/>
      <c r="N2121" s="2"/>
      <c r="O2121" s="2">
        <v>4195534</v>
      </c>
      <c r="P2121" s="2"/>
      <c r="Q2121" s="2" t="s">
        <v>14219</v>
      </c>
      <c r="R2121" s="2" t="s">
        <v>14220</v>
      </c>
      <c r="S2121" s="2" t="s">
        <v>50</v>
      </c>
      <c r="T2121" s="2" t="s">
        <v>201</v>
      </c>
      <c r="U2121" s="2" t="s">
        <v>241</v>
      </c>
      <c r="V2121" s="2" t="s">
        <v>42</v>
      </c>
      <c r="W2121" s="2">
        <v>53.1</v>
      </c>
      <c r="X2121" s="2">
        <v>73.599999999999994</v>
      </c>
      <c r="Y2121" s="2" t="s">
        <v>408</v>
      </c>
      <c r="Z2121" s="2" t="s">
        <v>14221</v>
      </c>
      <c r="AA2121" s="2">
        <v>0.67063667832191998</v>
      </c>
      <c r="AB2121" s="2">
        <v>0.38363490329834898</v>
      </c>
      <c r="AC2121" s="2">
        <v>57343.872449504597</v>
      </c>
      <c r="AD2121" s="2">
        <v>46553.402256590802</v>
      </c>
      <c r="AE2121" s="2">
        <v>59275.9128436303</v>
      </c>
      <c r="AF2121" s="2">
        <v>60301.984384883202</v>
      </c>
      <c r="AG2121" s="2">
        <v>53742.488518640501</v>
      </c>
      <c r="AH2121" s="2">
        <v>55821.646623400899</v>
      </c>
      <c r="AI2121" s="2">
        <v>53383.9147579649</v>
      </c>
      <c r="AJ2121" s="2">
        <v>61537.2875685076</v>
      </c>
      <c r="AK2121" s="2">
        <v>46013.873319680803</v>
      </c>
      <c r="AL2121" s="2">
        <v>48240.645572603498</v>
      </c>
      <c r="AM2121" s="2">
        <v>44024.659519636603</v>
      </c>
      <c r="AN2121" s="2">
        <v>50307.115730474899</v>
      </c>
      <c r="AO2121" s="2">
        <v>46564.810598750599</v>
      </c>
      <c r="AP2121" s="2">
        <v>44169.308798398401</v>
      </c>
    </row>
    <row r="2122" spans="1:42" ht="14.5" x14ac:dyDescent="0.35">
      <c r="A2122" s="2" t="s">
        <v>14222</v>
      </c>
      <c r="B2122" s="2">
        <v>359.13122310275298</v>
      </c>
      <c r="C2122" s="2">
        <v>2.3345833333333301</v>
      </c>
      <c r="D2122" s="2" t="s">
        <v>34</v>
      </c>
      <c r="E2122" s="2" t="s">
        <v>14223</v>
      </c>
      <c r="F2122" s="2">
        <v>203212</v>
      </c>
      <c r="G2122" s="3" t="str">
        <f>HYPERLINK("http://funmeta.oebiotech.com/network/203212", "http://funmeta.oebiotech.com/network/203212")</f>
        <v>http://funmeta.oebiotech.com/network/203212</v>
      </c>
      <c r="H2122" s="2" t="s">
        <v>14224</v>
      </c>
      <c r="I2122" s="2"/>
      <c r="J2122" s="2"/>
      <c r="K2122" s="2"/>
      <c r="L2122" s="2"/>
      <c r="M2122" s="2"/>
      <c r="N2122" s="2"/>
      <c r="O2122" s="2">
        <v>76645041</v>
      </c>
      <c r="P2122" s="2"/>
      <c r="Q2122" s="2" t="s">
        <v>14225</v>
      </c>
      <c r="R2122" s="2" t="s">
        <v>14226</v>
      </c>
      <c r="S2122" s="2" t="s">
        <v>79</v>
      </c>
      <c r="T2122" s="2" t="s">
        <v>80</v>
      </c>
      <c r="U2122" s="2" t="s">
        <v>81</v>
      </c>
      <c r="V2122" s="2" t="s">
        <v>59</v>
      </c>
      <c r="W2122" s="2">
        <v>40.299999999999997</v>
      </c>
      <c r="X2122" s="2">
        <v>6.6</v>
      </c>
      <c r="Y2122" s="2" t="s">
        <v>323</v>
      </c>
      <c r="Z2122" s="2" t="s">
        <v>14227</v>
      </c>
      <c r="AA2122" s="2">
        <v>-8.9018818862199395E-2</v>
      </c>
      <c r="AB2122" s="2">
        <v>0.38358132302275799</v>
      </c>
      <c r="AC2122" s="2">
        <v>42134.463173229</v>
      </c>
      <c r="AD2122" s="2">
        <v>52390.536099094898</v>
      </c>
      <c r="AE2122" s="2">
        <v>41007.789058938797</v>
      </c>
      <c r="AF2122" s="2">
        <v>42752.139604377597</v>
      </c>
      <c r="AG2122" s="2">
        <v>42233.015110778302</v>
      </c>
      <c r="AH2122" s="2">
        <v>39964.285963137801</v>
      </c>
      <c r="AI2122" s="2">
        <v>43462.666846261898</v>
      </c>
      <c r="AJ2122" s="2">
        <v>43386.882455879597</v>
      </c>
      <c r="AK2122" s="2">
        <v>49916.7770664606</v>
      </c>
      <c r="AL2122" s="2">
        <v>51118.183112754901</v>
      </c>
      <c r="AM2122" s="2">
        <v>51290.085774901701</v>
      </c>
      <c r="AN2122" s="2">
        <v>54848.271352593802</v>
      </c>
      <c r="AO2122" s="2">
        <v>50853.379984814201</v>
      </c>
      <c r="AP2122" s="2">
        <v>56316.519303043999</v>
      </c>
    </row>
    <row r="2123" spans="1:42" ht="14.5" x14ac:dyDescent="0.35">
      <c r="A2123" s="2" t="s">
        <v>14228</v>
      </c>
      <c r="B2123" s="2">
        <v>759.11491010224699</v>
      </c>
      <c r="C2123" s="2">
        <v>3.82433333333333</v>
      </c>
      <c r="D2123" s="2" t="s">
        <v>70</v>
      </c>
      <c r="E2123" s="2" t="s">
        <v>14229</v>
      </c>
      <c r="F2123" s="2">
        <v>56353</v>
      </c>
      <c r="G2123" s="3" t="str">
        <f>HYPERLINK("http://funmeta.oebiotech.com/network/56353", "http://funmeta.oebiotech.com/network/56353")</f>
        <v>http://funmeta.oebiotech.com/network/56353</v>
      </c>
      <c r="H2123" s="2" t="s">
        <v>14230</v>
      </c>
      <c r="I2123" s="2">
        <v>88005</v>
      </c>
      <c r="J2123" s="2"/>
      <c r="K2123" s="2"/>
      <c r="L2123" s="2"/>
      <c r="M2123" s="2"/>
      <c r="N2123" s="2"/>
      <c r="O2123" s="2">
        <v>131751199</v>
      </c>
      <c r="P2123" s="2" t="s">
        <v>14231</v>
      </c>
      <c r="Q2123" s="2" t="s">
        <v>14232</v>
      </c>
      <c r="R2123" s="2" t="s">
        <v>14233</v>
      </c>
      <c r="S2123" s="2" t="s">
        <v>148</v>
      </c>
      <c r="T2123" s="2" t="s">
        <v>149</v>
      </c>
      <c r="U2123" s="2" t="s">
        <v>1593</v>
      </c>
      <c r="V2123" s="2" t="s">
        <v>59</v>
      </c>
      <c r="W2123" s="2">
        <v>36</v>
      </c>
      <c r="X2123" s="2">
        <v>0</v>
      </c>
      <c r="Y2123" s="2" t="s">
        <v>118</v>
      </c>
      <c r="Z2123" s="2" t="s">
        <v>14234</v>
      </c>
      <c r="AA2123" s="2">
        <v>-7.0744912388064902</v>
      </c>
      <c r="AB2123" s="2">
        <v>0.38354068037554401</v>
      </c>
      <c r="AC2123" s="2">
        <v>23499.9448749316</v>
      </c>
      <c r="AD2123" s="2">
        <v>34262.305949343303</v>
      </c>
      <c r="AE2123" s="2">
        <v>19845.654095240199</v>
      </c>
      <c r="AF2123" s="2">
        <v>23243.270852091598</v>
      </c>
      <c r="AG2123" s="2">
        <v>23872.1895111388</v>
      </c>
      <c r="AH2123" s="2">
        <v>28231.631115909298</v>
      </c>
      <c r="AI2123" s="2">
        <v>22993.4475814814</v>
      </c>
      <c r="AJ2123" s="2">
        <v>22813.476093728499</v>
      </c>
      <c r="AK2123" s="2">
        <v>32627.123247103002</v>
      </c>
      <c r="AL2123" s="2">
        <v>33138.7332484941</v>
      </c>
      <c r="AM2123" s="2">
        <v>39206.369675357899</v>
      </c>
      <c r="AN2123" s="2">
        <v>34118.497642660899</v>
      </c>
      <c r="AO2123" s="2">
        <v>36387.929491713498</v>
      </c>
      <c r="AP2123" s="2">
        <v>30095.182390730399</v>
      </c>
    </row>
    <row r="2124" spans="1:42" ht="14.5" x14ac:dyDescent="0.35">
      <c r="A2124" s="2" t="s">
        <v>14235</v>
      </c>
      <c r="B2124" s="2">
        <v>429.26099719500598</v>
      </c>
      <c r="C2124" s="2">
        <v>11.879149999999999</v>
      </c>
      <c r="D2124" s="2" t="s">
        <v>34</v>
      </c>
      <c r="E2124" s="2" t="s">
        <v>14236</v>
      </c>
      <c r="F2124" s="2">
        <v>46046</v>
      </c>
      <c r="G2124" s="3" t="str">
        <f>HYPERLINK("http://funmeta.oebiotech.com/network/46046", "http://funmeta.oebiotech.com/network/46046")</f>
        <v>http://funmeta.oebiotech.com/network/46046</v>
      </c>
      <c r="H2124" s="2" t="s">
        <v>14237</v>
      </c>
      <c r="I2124" s="2">
        <v>5380</v>
      </c>
      <c r="J2124" s="2" t="s">
        <v>14238</v>
      </c>
      <c r="K2124" s="2">
        <v>16390</v>
      </c>
      <c r="L2124" s="2"/>
      <c r="M2124" s="2"/>
      <c r="N2124" s="2"/>
      <c r="O2124" s="2">
        <v>188292</v>
      </c>
      <c r="P2124" s="2" t="s">
        <v>14239</v>
      </c>
      <c r="Q2124" s="2" t="s">
        <v>14240</v>
      </c>
      <c r="R2124" s="2" t="s">
        <v>14241</v>
      </c>
      <c r="S2124" s="2" t="s">
        <v>50</v>
      </c>
      <c r="T2124" s="2" t="s">
        <v>124</v>
      </c>
      <c r="U2124" s="2" t="s">
        <v>125</v>
      </c>
      <c r="V2124" s="2" t="s">
        <v>59</v>
      </c>
      <c r="W2124" s="2">
        <v>37.6</v>
      </c>
      <c r="X2124" s="2">
        <v>0</v>
      </c>
      <c r="Y2124" s="2" t="s">
        <v>323</v>
      </c>
      <c r="Z2124" s="2" t="s">
        <v>14242</v>
      </c>
      <c r="AA2124" s="2">
        <v>-0.36379933139731402</v>
      </c>
      <c r="AB2124" s="2">
        <v>0.383335505846289</v>
      </c>
      <c r="AC2124" s="2">
        <v>16725.884087926901</v>
      </c>
      <c r="AD2124" s="2">
        <v>6855.1647309220398</v>
      </c>
      <c r="AE2124" s="2">
        <v>17795.770720639499</v>
      </c>
      <c r="AF2124" s="2">
        <v>16916.822426428302</v>
      </c>
      <c r="AG2124" s="2">
        <v>17738.105861548702</v>
      </c>
      <c r="AH2124" s="2">
        <v>14266.638280118001</v>
      </c>
      <c r="AI2124" s="2">
        <v>17061.9949208295</v>
      </c>
      <c r="AJ2124" s="2">
        <v>16575.972317997199</v>
      </c>
      <c r="AK2124" s="2">
        <v>6830.0520975629897</v>
      </c>
      <c r="AL2124" s="2">
        <v>7823.0269351502802</v>
      </c>
      <c r="AM2124" s="2">
        <v>5325.9791485604801</v>
      </c>
      <c r="AN2124" s="2">
        <v>7649.2533637061597</v>
      </c>
      <c r="AO2124" s="2">
        <v>7776.7457557591497</v>
      </c>
      <c r="AP2124" s="2">
        <v>5725.9310847931501</v>
      </c>
    </row>
    <row r="2125" spans="1:42" ht="14.5" x14ac:dyDescent="0.35">
      <c r="A2125" s="2" t="s">
        <v>14243</v>
      </c>
      <c r="B2125" s="2">
        <v>491.30134240394898</v>
      </c>
      <c r="C2125" s="2">
        <v>7.8503333333333298</v>
      </c>
      <c r="D2125" s="2" t="s">
        <v>70</v>
      </c>
      <c r="E2125" s="2" t="s">
        <v>14244</v>
      </c>
      <c r="F2125" s="2">
        <v>46456</v>
      </c>
      <c r="G2125" s="3" t="str">
        <f>HYPERLINK("http://funmeta.oebiotech.com/network/46456", "http://funmeta.oebiotech.com/network/46456")</f>
        <v>http://funmeta.oebiotech.com/network/46456</v>
      </c>
      <c r="H2125" s="2"/>
      <c r="I2125" s="2"/>
      <c r="J2125" s="2" t="s">
        <v>14245</v>
      </c>
      <c r="K2125" s="2"/>
      <c r="L2125" s="2"/>
      <c r="M2125" s="2"/>
      <c r="N2125" s="2"/>
      <c r="O2125" s="2">
        <v>24779660</v>
      </c>
      <c r="P2125" s="2"/>
      <c r="Q2125" s="2" t="s">
        <v>14246</v>
      </c>
      <c r="R2125" s="2" t="s">
        <v>14247</v>
      </c>
      <c r="S2125" s="2" t="s">
        <v>50</v>
      </c>
      <c r="T2125" s="2" t="s">
        <v>124</v>
      </c>
      <c r="U2125" s="2" t="s">
        <v>125</v>
      </c>
      <c r="V2125" s="2" t="s">
        <v>59</v>
      </c>
      <c r="W2125" s="2">
        <v>40.1</v>
      </c>
      <c r="X2125" s="2">
        <v>6.32</v>
      </c>
      <c r="Y2125" s="2" t="s">
        <v>408</v>
      </c>
      <c r="Z2125" s="2" t="s">
        <v>1409</v>
      </c>
      <c r="AA2125" s="2">
        <v>-0.190253590406711</v>
      </c>
      <c r="AB2125" s="2">
        <v>0.38318097507169302</v>
      </c>
      <c r="AC2125" s="2">
        <v>12315.2922211647</v>
      </c>
      <c r="AD2125" s="2">
        <v>22123.232997904299</v>
      </c>
      <c r="AE2125" s="2">
        <v>12130.892963353101</v>
      </c>
      <c r="AF2125" s="2">
        <v>11227.388746582301</v>
      </c>
      <c r="AG2125" s="2">
        <v>13245.916716158101</v>
      </c>
      <c r="AH2125" s="2">
        <v>12051.8394492037</v>
      </c>
      <c r="AI2125" s="2">
        <v>13323.9219349384</v>
      </c>
      <c r="AJ2125" s="2">
        <v>11911.793516752399</v>
      </c>
      <c r="AK2125" s="2">
        <v>22644.199000578599</v>
      </c>
      <c r="AL2125" s="2">
        <v>22680.5808325326</v>
      </c>
      <c r="AM2125" s="2">
        <v>20486.853538793999</v>
      </c>
      <c r="AN2125" s="2">
        <v>22178.1170743769</v>
      </c>
      <c r="AO2125" s="2">
        <v>23844.085667366799</v>
      </c>
      <c r="AP2125" s="2">
        <v>20905.5618737767</v>
      </c>
    </row>
    <row r="2126" spans="1:42" ht="14.5" x14ac:dyDescent="0.35">
      <c r="A2126" s="2" t="s">
        <v>14248</v>
      </c>
      <c r="B2126" s="2">
        <v>658.30116056295003</v>
      </c>
      <c r="C2126" s="2">
        <v>9.3516666666666701</v>
      </c>
      <c r="D2126" s="2" t="s">
        <v>34</v>
      </c>
      <c r="E2126" s="2" t="s">
        <v>14249</v>
      </c>
      <c r="F2126" s="2">
        <v>210057</v>
      </c>
      <c r="G2126" s="3" t="str">
        <f>HYPERLINK("http://funmeta.oebiotech.com/network/210057", "http://funmeta.oebiotech.com/network/210057")</f>
        <v>http://funmeta.oebiotech.com/network/210057</v>
      </c>
      <c r="H2126" s="2" t="s">
        <v>14250</v>
      </c>
      <c r="I2126" s="2"/>
      <c r="J2126" s="2"/>
      <c r="K2126" s="2"/>
      <c r="L2126" s="2"/>
      <c r="M2126" s="2"/>
      <c r="N2126" s="2"/>
      <c r="O2126" s="2">
        <v>44208955</v>
      </c>
      <c r="P2126" s="2"/>
      <c r="Q2126" s="2" t="s">
        <v>14251</v>
      </c>
      <c r="R2126" s="2" t="s">
        <v>14252</v>
      </c>
      <c r="S2126" s="2" t="s">
        <v>89</v>
      </c>
      <c r="T2126" s="2" t="s">
        <v>90</v>
      </c>
      <c r="U2126" s="2" t="s">
        <v>99</v>
      </c>
      <c r="V2126" s="2" t="s">
        <v>59</v>
      </c>
      <c r="W2126" s="2">
        <v>37.200000000000003</v>
      </c>
      <c r="X2126" s="2">
        <v>0</v>
      </c>
      <c r="Y2126" s="2" t="s">
        <v>340</v>
      </c>
      <c r="Z2126" s="2" t="s">
        <v>14253</v>
      </c>
      <c r="AA2126" s="2">
        <v>1.6441750878583301</v>
      </c>
      <c r="AB2126" s="2">
        <v>0.38313824916820599</v>
      </c>
      <c r="AC2126" s="2">
        <v>7434.7145760603098</v>
      </c>
      <c r="AD2126" s="2">
        <v>17237.551727997499</v>
      </c>
      <c r="AE2126" s="2">
        <v>7048.09251573046</v>
      </c>
      <c r="AF2126" s="2">
        <v>7377.6004976387703</v>
      </c>
      <c r="AG2126" s="2">
        <v>7586.58180370429</v>
      </c>
      <c r="AH2126" s="2">
        <v>6333.4530333574803</v>
      </c>
      <c r="AI2126" s="2">
        <v>8040.6164653591004</v>
      </c>
      <c r="AJ2126" s="2">
        <v>8221.9431405717405</v>
      </c>
      <c r="AK2126" s="2">
        <v>17746.023132978102</v>
      </c>
      <c r="AL2126" s="2">
        <v>16606.753354319098</v>
      </c>
      <c r="AM2126" s="2">
        <v>16499.3491400487</v>
      </c>
      <c r="AN2126" s="2">
        <v>19345.8562807282</v>
      </c>
      <c r="AO2126" s="2">
        <v>15524.6041947675</v>
      </c>
      <c r="AP2126" s="2">
        <v>17702.724265143501</v>
      </c>
    </row>
    <row r="2127" spans="1:42" ht="14.5" x14ac:dyDescent="0.35">
      <c r="A2127" s="2" t="s">
        <v>14254</v>
      </c>
      <c r="B2127" s="2">
        <v>305.06476668374899</v>
      </c>
      <c r="C2127" s="2">
        <v>4.5991</v>
      </c>
      <c r="D2127" s="2" t="s">
        <v>34</v>
      </c>
      <c r="E2127" s="2" t="s">
        <v>14255</v>
      </c>
      <c r="F2127" s="2">
        <v>199143</v>
      </c>
      <c r="G2127" s="3" t="str">
        <f>HYPERLINK("http://funmeta.oebiotech.com/network/199143", "http://funmeta.oebiotech.com/network/199143")</f>
        <v>http://funmeta.oebiotech.com/network/199143</v>
      </c>
      <c r="H2127" s="2" t="s">
        <v>14256</v>
      </c>
      <c r="I2127" s="2">
        <v>1770</v>
      </c>
      <c r="J2127" s="2"/>
      <c r="K2127" s="2"/>
      <c r="L2127" s="2"/>
      <c r="M2127" s="2"/>
      <c r="N2127" s="2"/>
      <c r="O2127" s="2">
        <v>151419</v>
      </c>
      <c r="P2127" s="2" t="s">
        <v>14257</v>
      </c>
      <c r="Q2127" s="2" t="s">
        <v>14258</v>
      </c>
      <c r="R2127" s="2" t="s">
        <v>14259</v>
      </c>
      <c r="S2127" s="2" t="s">
        <v>491</v>
      </c>
      <c r="T2127" s="2" t="s">
        <v>7431</v>
      </c>
      <c r="U2127" s="2" t="s">
        <v>7432</v>
      </c>
      <c r="V2127" s="2" t="s">
        <v>59</v>
      </c>
      <c r="W2127" s="2">
        <v>39.6</v>
      </c>
      <c r="X2127" s="2">
        <v>0</v>
      </c>
      <c r="Y2127" s="2" t="s">
        <v>340</v>
      </c>
      <c r="Z2127" s="2" t="s">
        <v>14260</v>
      </c>
      <c r="AA2127" s="2">
        <v>0.38954055848378499</v>
      </c>
      <c r="AB2127" s="2">
        <v>0.38259191962568601</v>
      </c>
      <c r="AC2127" s="2">
        <v>21113.4621241934</v>
      </c>
      <c r="AD2127" s="2">
        <v>31424.971575248601</v>
      </c>
      <c r="AE2127" s="2">
        <v>17671.552866592199</v>
      </c>
      <c r="AF2127" s="2">
        <v>23428.801459878501</v>
      </c>
      <c r="AG2127" s="2">
        <v>21660.101174576601</v>
      </c>
      <c r="AH2127" s="2">
        <v>22235.916997497901</v>
      </c>
      <c r="AI2127" s="2">
        <v>22343.8226478209</v>
      </c>
      <c r="AJ2127" s="2">
        <v>19340.5775987942</v>
      </c>
      <c r="AK2127" s="2">
        <v>33131.2531828473</v>
      </c>
      <c r="AL2127" s="2">
        <v>31919.389820524098</v>
      </c>
      <c r="AM2127" s="2">
        <v>32689.164198383802</v>
      </c>
      <c r="AN2127" s="2">
        <v>31608.3354900964</v>
      </c>
      <c r="AO2127" s="2">
        <v>32346.940027602199</v>
      </c>
      <c r="AP2127" s="2">
        <v>26854.7467320379</v>
      </c>
    </row>
    <row r="2128" spans="1:42" ht="14.5" x14ac:dyDescent="0.35">
      <c r="A2128" s="2" t="s">
        <v>14261</v>
      </c>
      <c r="B2128" s="2">
        <v>671.22258935084596</v>
      </c>
      <c r="C2128" s="2">
        <v>9.7661333333333307</v>
      </c>
      <c r="D2128" s="2" t="s">
        <v>34</v>
      </c>
      <c r="E2128" s="2" t="s">
        <v>14262</v>
      </c>
      <c r="F2128" s="2">
        <v>257628</v>
      </c>
      <c r="G2128" s="3" t="str">
        <f>HYPERLINK("http://funmeta.oebiotech.com/network/257628", "http://funmeta.oebiotech.com/network/257628")</f>
        <v>http://funmeta.oebiotech.com/network/257628</v>
      </c>
      <c r="H2128" s="2" t="s">
        <v>14263</v>
      </c>
      <c r="I2128" s="2"/>
      <c r="J2128" s="2"/>
      <c r="K2128" s="2"/>
      <c r="L2128" s="2"/>
      <c r="M2128" s="2"/>
      <c r="N2128" s="2"/>
      <c r="O2128" s="2">
        <v>71544786</v>
      </c>
      <c r="P2128" s="2"/>
      <c r="Q2128" s="2" t="s">
        <v>14264</v>
      </c>
      <c r="R2128" s="2" t="s">
        <v>14265</v>
      </c>
      <c r="S2128" s="2" t="s">
        <v>41</v>
      </c>
      <c r="T2128" s="2" t="s">
        <v>41</v>
      </c>
      <c r="U2128" s="2" t="s">
        <v>41</v>
      </c>
      <c r="V2128" s="2" t="s">
        <v>59</v>
      </c>
      <c r="W2128" s="2">
        <v>37.6</v>
      </c>
      <c r="X2128" s="2">
        <v>0</v>
      </c>
      <c r="Y2128" s="2" t="s">
        <v>141</v>
      </c>
      <c r="Z2128" s="2" t="s">
        <v>14266</v>
      </c>
      <c r="AA2128" s="2">
        <v>1.38241345244506</v>
      </c>
      <c r="AB2128" s="2">
        <v>0.38248527097627999</v>
      </c>
      <c r="AC2128" s="2">
        <v>9181.7667796535698</v>
      </c>
      <c r="AD2128" s="2">
        <v>19177.2716411242</v>
      </c>
      <c r="AE2128" s="2">
        <v>9623.0012392771605</v>
      </c>
      <c r="AF2128" s="2">
        <v>8475.45411044916</v>
      </c>
      <c r="AG2128" s="2">
        <v>9034.3182744946098</v>
      </c>
      <c r="AH2128" s="2">
        <v>10383.309588062701</v>
      </c>
      <c r="AI2128" s="2">
        <v>8843.3459041942697</v>
      </c>
      <c r="AJ2128" s="2">
        <v>8731.1715614435398</v>
      </c>
      <c r="AK2128" s="2">
        <v>21206.4288118084</v>
      </c>
      <c r="AL2128" s="2">
        <v>17241.3374363041</v>
      </c>
      <c r="AM2128" s="2">
        <v>18414.820784110601</v>
      </c>
      <c r="AN2128" s="2">
        <v>16401.5004689985</v>
      </c>
      <c r="AO2128" s="2">
        <v>21026.1817896719</v>
      </c>
      <c r="AP2128" s="2">
        <v>20773.360555851799</v>
      </c>
    </row>
    <row r="2129" spans="1:42" ht="14.5" x14ac:dyDescent="0.35">
      <c r="A2129" s="2" t="s">
        <v>14267</v>
      </c>
      <c r="B2129" s="2">
        <v>522.28572401762494</v>
      </c>
      <c r="C2129" s="2">
        <v>7.2787833333333296</v>
      </c>
      <c r="D2129" s="2" t="s">
        <v>34</v>
      </c>
      <c r="E2129" s="2" t="s">
        <v>14268</v>
      </c>
      <c r="F2129" s="2">
        <v>203915</v>
      </c>
      <c r="G2129" s="3" t="str">
        <f>HYPERLINK("http://funmeta.oebiotech.com/network/203915", "http://funmeta.oebiotech.com/network/203915")</f>
        <v>http://funmeta.oebiotech.com/network/203915</v>
      </c>
      <c r="H2129" s="2" t="s">
        <v>14269</v>
      </c>
      <c r="I2129" s="2"/>
      <c r="J2129" s="2"/>
      <c r="K2129" s="2"/>
      <c r="L2129" s="2"/>
      <c r="M2129" s="2"/>
      <c r="N2129" s="2"/>
      <c r="O2129" s="2">
        <v>73715310</v>
      </c>
      <c r="P2129" s="2"/>
      <c r="Q2129" s="2" t="s">
        <v>14270</v>
      </c>
      <c r="R2129" s="2" t="s">
        <v>14271</v>
      </c>
      <c r="S2129" s="2" t="s">
        <v>41</v>
      </c>
      <c r="T2129" s="2" t="s">
        <v>41</v>
      </c>
      <c r="U2129" s="2" t="s">
        <v>41</v>
      </c>
      <c r="V2129" s="2" t="s">
        <v>59</v>
      </c>
      <c r="W2129" s="2">
        <v>36.1</v>
      </c>
      <c r="X2129" s="2">
        <v>0</v>
      </c>
      <c r="Y2129" s="2" t="s">
        <v>394</v>
      </c>
      <c r="Z2129" s="2" t="s">
        <v>14272</v>
      </c>
      <c r="AA2129" s="2">
        <v>1.3612949165150801</v>
      </c>
      <c r="AB2129" s="2">
        <v>0.38236654190920399</v>
      </c>
      <c r="AC2129" s="2">
        <v>18695.424610607901</v>
      </c>
      <c r="AD2129" s="2">
        <v>28894.988967492201</v>
      </c>
      <c r="AE2129" s="2">
        <v>18365.447594419998</v>
      </c>
      <c r="AF2129" s="2">
        <v>14681.4819179281</v>
      </c>
      <c r="AG2129" s="2">
        <v>18927.693788219702</v>
      </c>
      <c r="AH2129" s="2">
        <v>19488.8759125014</v>
      </c>
      <c r="AI2129" s="2">
        <v>20907.793820438899</v>
      </c>
      <c r="AJ2129" s="2">
        <v>19801.254630139501</v>
      </c>
      <c r="AK2129" s="2">
        <v>26384.060641959099</v>
      </c>
      <c r="AL2129" s="2">
        <v>30788.308945396398</v>
      </c>
      <c r="AM2129" s="2">
        <v>28567.264736504902</v>
      </c>
      <c r="AN2129" s="2">
        <v>29833.695790224701</v>
      </c>
      <c r="AO2129" s="2">
        <v>26747.207028148801</v>
      </c>
      <c r="AP2129" s="2">
        <v>31049.396662719199</v>
      </c>
    </row>
    <row r="2130" spans="1:42" ht="14.5" x14ac:dyDescent="0.35">
      <c r="A2130" s="2" t="s">
        <v>14273</v>
      </c>
      <c r="B2130" s="2">
        <v>189.12730147358499</v>
      </c>
      <c r="C2130" s="2">
        <v>4.3632666666666697</v>
      </c>
      <c r="D2130" s="2" t="s">
        <v>34</v>
      </c>
      <c r="E2130" s="2" t="s">
        <v>14274</v>
      </c>
      <c r="F2130" s="2">
        <v>56320</v>
      </c>
      <c r="G2130" s="3" t="str">
        <f>HYPERLINK("http://funmeta.oebiotech.com/network/56320", "http://funmeta.oebiotech.com/network/56320")</f>
        <v>http://funmeta.oebiotech.com/network/56320</v>
      </c>
      <c r="H2130" s="2" t="s">
        <v>14275</v>
      </c>
      <c r="I2130" s="2">
        <v>87975</v>
      </c>
      <c r="J2130" s="2"/>
      <c r="K2130" s="2"/>
      <c r="L2130" s="2"/>
      <c r="M2130" s="2"/>
      <c r="N2130" s="2"/>
      <c r="O2130" s="2">
        <v>5370602</v>
      </c>
      <c r="P2130" s="2" t="s">
        <v>14276</v>
      </c>
      <c r="Q2130" s="2" t="s">
        <v>14277</v>
      </c>
      <c r="R2130" s="2" t="s">
        <v>14278</v>
      </c>
      <c r="S2130" s="2" t="s">
        <v>148</v>
      </c>
      <c r="T2130" s="2" t="s">
        <v>149</v>
      </c>
      <c r="U2130" s="2" t="s">
        <v>14279</v>
      </c>
      <c r="V2130" s="2" t="s">
        <v>42</v>
      </c>
      <c r="W2130" s="2">
        <v>50.9</v>
      </c>
      <c r="X2130" s="2">
        <v>57.2</v>
      </c>
      <c r="Y2130" s="2" t="s">
        <v>440</v>
      </c>
      <c r="Z2130" s="2" t="s">
        <v>14280</v>
      </c>
      <c r="AA2130" s="2">
        <v>-0.47890197576906701</v>
      </c>
      <c r="AB2130" s="2">
        <v>0.38234559833806597</v>
      </c>
      <c r="AC2130" s="2">
        <v>326914.80458226497</v>
      </c>
      <c r="AD2130" s="2">
        <v>341887.73334876401</v>
      </c>
      <c r="AE2130" s="2">
        <v>316660.248269131</v>
      </c>
      <c r="AF2130" s="2">
        <v>321139.91568909702</v>
      </c>
      <c r="AG2130" s="2">
        <v>337161.91026753897</v>
      </c>
      <c r="AH2130" s="2">
        <v>323401.05347664398</v>
      </c>
      <c r="AI2130" s="2">
        <v>333283.06769000803</v>
      </c>
      <c r="AJ2130" s="2">
        <v>329842.63210116798</v>
      </c>
      <c r="AK2130" s="2">
        <v>344140.21182524902</v>
      </c>
      <c r="AL2130" s="2">
        <v>336150.21198143001</v>
      </c>
      <c r="AM2130" s="2">
        <v>354080.53512463399</v>
      </c>
      <c r="AN2130" s="2">
        <v>340203.22828894103</v>
      </c>
      <c r="AO2130" s="2">
        <v>323099.92847060401</v>
      </c>
      <c r="AP2130" s="2">
        <v>353652.284401729</v>
      </c>
    </row>
    <row r="2131" spans="1:42" ht="14.5" x14ac:dyDescent="0.35">
      <c r="A2131" s="2" t="s">
        <v>14281</v>
      </c>
      <c r="B2131" s="2">
        <v>213.14849622453499</v>
      </c>
      <c r="C2131" s="2">
        <v>9.9015833333333294</v>
      </c>
      <c r="D2131" s="2" t="s">
        <v>34</v>
      </c>
      <c r="E2131" s="2" t="s">
        <v>14282</v>
      </c>
      <c r="F2131" s="2">
        <v>1746</v>
      </c>
      <c r="G2131" s="3" t="str">
        <f>HYPERLINK("http://funmeta.oebiotech.com/network/1746", "http://funmeta.oebiotech.com/network/1746")</f>
        <v>http://funmeta.oebiotech.com/network/1746</v>
      </c>
      <c r="H2131" s="2"/>
      <c r="I2131" s="2">
        <v>74549</v>
      </c>
      <c r="J2131" s="2" t="s">
        <v>14283</v>
      </c>
      <c r="K2131" s="2"/>
      <c r="L2131" s="2"/>
      <c r="M2131" s="2"/>
      <c r="N2131" s="2"/>
      <c r="O2131" s="2">
        <v>5312748</v>
      </c>
      <c r="P2131" s="2"/>
      <c r="Q2131" s="2" t="s">
        <v>14284</v>
      </c>
      <c r="R2131" s="2" t="s">
        <v>14285</v>
      </c>
      <c r="S2131" s="2" t="s">
        <v>89</v>
      </c>
      <c r="T2131" s="2" t="s">
        <v>4218</v>
      </c>
      <c r="U2131" s="2" t="s">
        <v>5830</v>
      </c>
      <c r="V2131" s="2" t="s">
        <v>42</v>
      </c>
      <c r="W2131" s="2">
        <v>55.2</v>
      </c>
      <c r="X2131" s="2">
        <v>78.400000000000006</v>
      </c>
      <c r="Y2131" s="2" t="s">
        <v>394</v>
      </c>
      <c r="Z2131" s="2" t="s">
        <v>14286</v>
      </c>
      <c r="AA2131" s="2">
        <v>-0.116467427746634</v>
      </c>
      <c r="AB2131" s="2">
        <v>0.38230424197388002</v>
      </c>
      <c r="AC2131" s="2">
        <v>63222.113823208601</v>
      </c>
      <c r="AD2131" s="2">
        <v>77763.719432332204</v>
      </c>
      <c r="AE2131" s="2">
        <v>51172.3669986815</v>
      </c>
      <c r="AF2131" s="2">
        <v>53379.368362232897</v>
      </c>
      <c r="AG2131" s="2">
        <v>65148.325036509501</v>
      </c>
      <c r="AH2131" s="2">
        <v>73450.101070949604</v>
      </c>
      <c r="AI2131" s="2">
        <v>68645.384923805599</v>
      </c>
      <c r="AJ2131" s="2">
        <v>67537.136547072398</v>
      </c>
      <c r="AK2131" s="2">
        <v>87805.834882265</v>
      </c>
      <c r="AL2131" s="2">
        <v>82053.623458267699</v>
      </c>
      <c r="AM2131" s="2">
        <v>65962.009052523004</v>
      </c>
      <c r="AN2131" s="2">
        <v>68360.332867925405</v>
      </c>
      <c r="AO2131" s="2">
        <v>75871.770136244406</v>
      </c>
      <c r="AP2131" s="2">
        <v>86528.746196767897</v>
      </c>
    </row>
    <row r="2132" spans="1:42" ht="14.5" x14ac:dyDescent="0.35">
      <c r="A2132" s="2" t="s">
        <v>14287</v>
      </c>
      <c r="B2132" s="2">
        <v>621.43730260147697</v>
      </c>
      <c r="C2132" s="2">
        <v>14.9530833333333</v>
      </c>
      <c r="D2132" s="2" t="s">
        <v>70</v>
      </c>
      <c r="E2132" s="2" t="s">
        <v>14288</v>
      </c>
      <c r="F2132" s="2">
        <v>58096</v>
      </c>
      <c r="G2132" s="3" t="str">
        <f>HYPERLINK("http://funmeta.oebiotech.com/network/58096", "http://funmeta.oebiotech.com/network/58096")</f>
        <v>http://funmeta.oebiotech.com/network/58096</v>
      </c>
      <c r="H2132" s="2" t="s">
        <v>14289</v>
      </c>
      <c r="I2132" s="2">
        <v>89636</v>
      </c>
      <c r="J2132" s="2"/>
      <c r="K2132" s="2"/>
      <c r="L2132" s="2"/>
      <c r="M2132" s="2"/>
      <c r="N2132" s="2"/>
      <c r="O2132" s="2">
        <v>14135678</v>
      </c>
      <c r="P2132" s="2" t="s">
        <v>14290</v>
      </c>
      <c r="Q2132" s="2" t="s">
        <v>14291</v>
      </c>
      <c r="R2132" s="2" t="s">
        <v>14292</v>
      </c>
      <c r="S2132" s="2" t="s">
        <v>50</v>
      </c>
      <c r="T2132" s="2" t="s">
        <v>124</v>
      </c>
      <c r="U2132" s="2" t="s">
        <v>5761</v>
      </c>
      <c r="V2132" s="2" t="s">
        <v>59</v>
      </c>
      <c r="W2132" s="2">
        <v>39.299999999999997</v>
      </c>
      <c r="X2132" s="2">
        <v>0</v>
      </c>
      <c r="Y2132" s="2" t="s">
        <v>408</v>
      </c>
      <c r="Z2132" s="2" t="s">
        <v>14293</v>
      </c>
      <c r="AA2132" s="2">
        <v>0.19098277296795901</v>
      </c>
      <c r="AB2132" s="2">
        <v>0.38212573941837902</v>
      </c>
      <c r="AC2132" s="2">
        <v>67057.052619305905</v>
      </c>
      <c r="AD2132" s="2">
        <v>78520.434571500606</v>
      </c>
      <c r="AE2132" s="2">
        <v>65379.240117553403</v>
      </c>
      <c r="AF2132" s="2">
        <v>63490.759910743203</v>
      </c>
      <c r="AG2132" s="2">
        <v>66467.762175160504</v>
      </c>
      <c r="AH2132" s="2">
        <v>70599.449929623399</v>
      </c>
      <c r="AI2132" s="2">
        <v>63387.923744203799</v>
      </c>
      <c r="AJ2132" s="2">
        <v>73017.179838551005</v>
      </c>
      <c r="AK2132" s="2">
        <v>74044.142880087194</v>
      </c>
      <c r="AL2132" s="2">
        <v>81223.674857106394</v>
      </c>
      <c r="AM2132" s="2">
        <v>74135.422868919704</v>
      </c>
      <c r="AN2132" s="2">
        <v>83345.549334351395</v>
      </c>
      <c r="AO2132" s="2">
        <v>82422.314356802599</v>
      </c>
      <c r="AP2132" s="2">
        <v>75951.503131736405</v>
      </c>
    </row>
    <row r="2133" spans="1:42" ht="14.5" x14ac:dyDescent="0.35">
      <c r="A2133" s="2" t="s">
        <v>14294</v>
      </c>
      <c r="B2133" s="2">
        <v>682.52322613701097</v>
      </c>
      <c r="C2133" s="2">
        <v>14.1994166666667</v>
      </c>
      <c r="D2133" s="2" t="s">
        <v>34</v>
      </c>
      <c r="E2133" s="2" t="s">
        <v>14295</v>
      </c>
      <c r="F2133" s="2">
        <v>56443</v>
      </c>
      <c r="G2133" s="3" t="str">
        <f>HYPERLINK("http://funmeta.oebiotech.com/network/56443", "http://funmeta.oebiotech.com/network/56443")</f>
        <v>http://funmeta.oebiotech.com/network/56443</v>
      </c>
      <c r="H2133" s="2" t="s">
        <v>14296</v>
      </c>
      <c r="I2133" s="2">
        <v>88094</v>
      </c>
      <c r="J2133" s="2"/>
      <c r="K2133" s="2">
        <v>169916</v>
      </c>
      <c r="L2133" s="2"/>
      <c r="M2133" s="2"/>
      <c r="N2133" s="2"/>
      <c r="O2133" s="2">
        <v>131751236</v>
      </c>
      <c r="P2133" s="2" t="s">
        <v>14297</v>
      </c>
      <c r="Q2133" s="2" t="s">
        <v>14298</v>
      </c>
      <c r="R2133" s="2" t="s">
        <v>14299</v>
      </c>
      <c r="S2133" s="2" t="s">
        <v>50</v>
      </c>
      <c r="T2133" s="2" t="s">
        <v>693</v>
      </c>
      <c r="U2133" s="2" t="s">
        <v>694</v>
      </c>
      <c r="V2133" s="2" t="s">
        <v>59</v>
      </c>
      <c r="W2133" s="2">
        <v>36.9</v>
      </c>
      <c r="X2133" s="2">
        <v>0</v>
      </c>
      <c r="Y2133" s="2" t="s">
        <v>141</v>
      </c>
      <c r="Z2133" s="2" t="s">
        <v>14300</v>
      </c>
      <c r="AA2133" s="2">
        <v>-2.8855648403945602</v>
      </c>
      <c r="AB2133" s="2">
        <v>0.38068866823828301</v>
      </c>
      <c r="AC2133" s="2">
        <v>35826.212768301899</v>
      </c>
      <c r="AD2133" s="2">
        <v>24596.236477441202</v>
      </c>
      <c r="AE2133" s="2">
        <v>34745.9595561272</v>
      </c>
      <c r="AF2133" s="2">
        <v>31445.6456769377</v>
      </c>
      <c r="AG2133" s="2">
        <v>35037.009804842899</v>
      </c>
      <c r="AH2133" s="2">
        <v>36592.949622995198</v>
      </c>
      <c r="AI2133" s="2">
        <v>34508.942508093998</v>
      </c>
      <c r="AJ2133" s="2">
        <v>42626.769440814402</v>
      </c>
      <c r="AK2133" s="2">
        <v>32396.911315129099</v>
      </c>
      <c r="AL2133" s="2">
        <v>23342.5050115351</v>
      </c>
      <c r="AM2133" s="2">
        <v>24832.179338194499</v>
      </c>
      <c r="AN2133" s="2">
        <v>22828.706287878598</v>
      </c>
      <c r="AO2133" s="2">
        <v>23179.8883038559</v>
      </c>
      <c r="AP2133" s="2">
        <v>20997.228608053701</v>
      </c>
    </row>
    <row r="2134" spans="1:42" ht="14.5" x14ac:dyDescent="0.35">
      <c r="A2134" s="2" t="s">
        <v>14301</v>
      </c>
      <c r="B2134" s="2">
        <v>137.132500490198</v>
      </c>
      <c r="C2134" s="2">
        <v>2.8303333333333298</v>
      </c>
      <c r="D2134" s="2" t="s">
        <v>34</v>
      </c>
      <c r="E2134" s="2" t="s">
        <v>14302</v>
      </c>
      <c r="F2134" s="2">
        <v>35373</v>
      </c>
      <c r="G2134" s="3" t="str">
        <f>HYPERLINK("http://funmeta.oebiotech.com/network/35373", "http://funmeta.oebiotech.com/network/35373")</f>
        <v>http://funmeta.oebiotech.com/network/35373</v>
      </c>
      <c r="H2134" s="2" t="s">
        <v>14303</v>
      </c>
      <c r="I2134" s="2">
        <v>41114</v>
      </c>
      <c r="J2134" s="2" t="s">
        <v>14304</v>
      </c>
      <c r="K2134" s="2">
        <v>10577</v>
      </c>
      <c r="L2134" s="2" t="s">
        <v>14305</v>
      </c>
      <c r="M2134" s="2"/>
      <c r="N2134" s="2"/>
      <c r="O2134" s="2">
        <v>7461</v>
      </c>
      <c r="P2134" s="2" t="s">
        <v>14306</v>
      </c>
      <c r="Q2134" s="2" t="s">
        <v>14307</v>
      </c>
      <c r="R2134" s="2" t="s">
        <v>14308</v>
      </c>
      <c r="S2134" s="2" t="s">
        <v>3194</v>
      </c>
      <c r="T2134" s="2" t="s">
        <v>3195</v>
      </c>
      <c r="U2134" s="2" t="s">
        <v>14309</v>
      </c>
      <c r="V2134" s="2" t="s">
        <v>59</v>
      </c>
      <c r="W2134" s="2">
        <v>46.3</v>
      </c>
      <c r="X2134" s="2">
        <v>34.700000000000003</v>
      </c>
      <c r="Y2134" s="2" t="s">
        <v>394</v>
      </c>
      <c r="Z2134" s="2" t="s">
        <v>14310</v>
      </c>
      <c r="AA2134" s="2">
        <v>0.17296633975610001</v>
      </c>
      <c r="AB2134" s="2">
        <v>0.38045864836807702</v>
      </c>
      <c r="AC2134" s="2">
        <v>58078.562637069503</v>
      </c>
      <c r="AD2134" s="2">
        <v>47634.177539678298</v>
      </c>
      <c r="AE2134" s="2">
        <v>53341.635986584501</v>
      </c>
      <c r="AF2134" s="2">
        <v>57922.398615100203</v>
      </c>
      <c r="AG2134" s="2">
        <v>58261.4320078452</v>
      </c>
      <c r="AH2134" s="2">
        <v>57962.8120144774</v>
      </c>
      <c r="AI2134" s="2">
        <v>60326.909238192602</v>
      </c>
      <c r="AJ2134" s="2">
        <v>60656.187960216899</v>
      </c>
      <c r="AK2134" s="2">
        <v>50380.092169598298</v>
      </c>
      <c r="AL2134" s="2">
        <v>50429.895418836903</v>
      </c>
      <c r="AM2134" s="2">
        <v>48026.419527664999</v>
      </c>
      <c r="AN2134" s="2">
        <v>46538.065436988101</v>
      </c>
      <c r="AO2134" s="2">
        <v>46693.0897178347</v>
      </c>
      <c r="AP2134" s="2">
        <v>43737.502967146698</v>
      </c>
    </row>
    <row r="2135" spans="1:42" ht="14.5" x14ac:dyDescent="0.35">
      <c r="A2135" s="2" t="s">
        <v>14311</v>
      </c>
      <c r="B2135" s="2">
        <v>480.20838715858901</v>
      </c>
      <c r="C2135" s="2">
        <v>6.3868666666666698</v>
      </c>
      <c r="D2135" s="2" t="s">
        <v>70</v>
      </c>
      <c r="E2135" s="2" t="s">
        <v>14312</v>
      </c>
      <c r="F2135" s="2">
        <v>212629</v>
      </c>
      <c r="G2135" s="3" t="str">
        <f>HYPERLINK("http://funmeta.oebiotech.com/network/212629", "http://funmeta.oebiotech.com/network/212629")</f>
        <v>http://funmeta.oebiotech.com/network/212629</v>
      </c>
      <c r="H2135" s="2" t="s">
        <v>14313</v>
      </c>
      <c r="I2135" s="2"/>
      <c r="J2135" s="2"/>
      <c r="K2135" s="2"/>
      <c r="L2135" s="2"/>
      <c r="M2135" s="2"/>
      <c r="N2135" s="2"/>
      <c r="O2135" s="2"/>
      <c r="P2135" s="2"/>
      <c r="Q2135" s="2" t="s">
        <v>14314</v>
      </c>
      <c r="R2135" s="2" t="s">
        <v>14315</v>
      </c>
      <c r="S2135" s="2" t="s">
        <v>491</v>
      </c>
      <c r="T2135" s="2" t="s">
        <v>5190</v>
      </c>
      <c r="U2135" s="2" t="s">
        <v>5191</v>
      </c>
      <c r="V2135" s="2" t="s">
        <v>59</v>
      </c>
      <c r="W2135" s="2">
        <v>44.4</v>
      </c>
      <c r="X2135" s="2">
        <v>29.5</v>
      </c>
      <c r="Y2135" s="2" t="s">
        <v>408</v>
      </c>
      <c r="Z2135" s="2" t="s">
        <v>14316</v>
      </c>
      <c r="AA2135" s="2">
        <v>-3.6749528872663002</v>
      </c>
      <c r="AB2135" s="2">
        <v>0.38008666501806898</v>
      </c>
      <c r="AC2135" s="2">
        <v>7077.3771892589702</v>
      </c>
      <c r="AD2135" s="2">
        <v>16672.7813089177</v>
      </c>
      <c r="AE2135" s="2">
        <v>6367.3579510094096</v>
      </c>
      <c r="AF2135" s="2">
        <v>7664.8333205244198</v>
      </c>
      <c r="AG2135" s="2">
        <v>6743.6885132723401</v>
      </c>
      <c r="AH2135" s="2">
        <v>6279.8971526076703</v>
      </c>
      <c r="AI2135" s="2">
        <v>7251.0116818497399</v>
      </c>
      <c r="AJ2135" s="2">
        <v>8157.47451629027</v>
      </c>
      <c r="AK2135" s="2">
        <v>18149.8315601055</v>
      </c>
      <c r="AL2135" s="2">
        <v>17090.612751970701</v>
      </c>
      <c r="AM2135" s="2">
        <v>16041.9379975836</v>
      </c>
      <c r="AN2135" s="2">
        <v>15852.4047283866</v>
      </c>
      <c r="AO2135" s="2">
        <v>16649.9202550189</v>
      </c>
      <c r="AP2135" s="2">
        <v>16251.980560440799</v>
      </c>
    </row>
    <row r="2136" spans="1:42" ht="14.5" x14ac:dyDescent="0.35">
      <c r="A2136" s="2" t="s">
        <v>14317</v>
      </c>
      <c r="B2136" s="2">
        <v>691.37267425535299</v>
      </c>
      <c r="C2136" s="2">
        <v>4.9511166666666702</v>
      </c>
      <c r="D2136" s="2" t="s">
        <v>70</v>
      </c>
      <c r="E2136" s="2" t="s">
        <v>14318</v>
      </c>
      <c r="F2136" s="2">
        <v>58519</v>
      </c>
      <c r="G2136" s="3" t="str">
        <f>HYPERLINK("http://funmeta.oebiotech.com/network/58519", "http://funmeta.oebiotech.com/network/58519")</f>
        <v>http://funmeta.oebiotech.com/network/58519</v>
      </c>
      <c r="H2136" s="2" t="s">
        <v>14319</v>
      </c>
      <c r="I2136" s="2">
        <v>89991</v>
      </c>
      <c r="J2136" s="2"/>
      <c r="K2136" s="2"/>
      <c r="L2136" s="2"/>
      <c r="M2136" s="2"/>
      <c r="N2136" s="2"/>
      <c r="O2136" s="2">
        <v>13919536</v>
      </c>
      <c r="P2136" s="2"/>
      <c r="Q2136" s="2" t="s">
        <v>14320</v>
      </c>
      <c r="R2136" s="2" t="s">
        <v>14321</v>
      </c>
      <c r="S2136" s="2" t="s">
        <v>50</v>
      </c>
      <c r="T2136" s="2" t="s">
        <v>201</v>
      </c>
      <c r="U2136" s="2" t="s">
        <v>202</v>
      </c>
      <c r="V2136" s="2" t="s">
        <v>59</v>
      </c>
      <c r="W2136" s="2">
        <v>36.700000000000003</v>
      </c>
      <c r="X2136" s="2">
        <v>0</v>
      </c>
      <c r="Y2136" s="2" t="s">
        <v>408</v>
      </c>
      <c r="Z2136" s="2" t="s">
        <v>14322</v>
      </c>
      <c r="AA2136" s="2">
        <v>4.2908097341966602</v>
      </c>
      <c r="AB2136" s="2">
        <v>0.37978220880679497</v>
      </c>
      <c r="AC2136" s="2">
        <v>10541.534970762399</v>
      </c>
      <c r="AD2136" s="2">
        <v>661.31953326745702</v>
      </c>
      <c r="AE2136" s="2">
        <v>13881.9291519586</v>
      </c>
      <c r="AF2136" s="2">
        <v>10095.976744703499</v>
      </c>
      <c r="AG2136" s="2">
        <v>9422.8411403152604</v>
      </c>
      <c r="AH2136" s="2">
        <v>7623.0174721534904</v>
      </c>
      <c r="AI2136" s="2">
        <v>12285.8653509716</v>
      </c>
      <c r="AJ2136" s="2">
        <v>9939.5799644722301</v>
      </c>
      <c r="AK2136" s="2">
        <v>403.15314853685999</v>
      </c>
      <c r="AL2136" s="2">
        <v>509.03775110934998</v>
      </c>
      <c r="AM2136" s="2">
        <v>759.59153621703797</v>
      </c>
      <c r="AN2136" s="2">
        <v>412.40677487788003</v>
      </c>
      <c r="AO2136" s="2">
        <v>506.22449794106097</v>
      </c>
      <c r="AP2136" s="2">
        <v>1377.5034909225501</v>
      </c>
    </row>
    <row r="2137" spans="1:42" ht="14.5" x14ac:dyDescent="0.35">
      <c r="A2137" s="2" t="s">
        <v>14323</v>
      </c>
      <c r="B2137" s="2">
        <v>451.16077755730402</v>
      </c>
      <c r="C2137" s="2">
        <v>4.8984333333333296</v>
      </c>
      <c r="D2137" s="2" t="s">
        <v>70</v>
      </c>
      <c r="E2137" s="2" t="s">
        <v>14324</v>
      </c>
      <c r="F2137" s="2">
        <v>255046</v>
      </c>
      <c r="G2137" s="3" t="str">
        <f>HYPERLINK("http://funmeta.oebiotech.com/network/255046", "http://funmeta.oebiotech.com/network/255046")</f>
        <v>http://funmeta.oebiotech.com/network/255046</v>
      </c>
      <c r="H2137" s="2" t="s">
        <v>14325</v>
      </c>
      <c r="I2137" s="2"/>
      <c r="J2137" s="2"/>
      <c r="K2137" s="2"/>
      <c r="L2137" s="2"/>
      <c r="M2137" s="2"/>
      <c r="N2137" s="2"/>
      <c r="O2137" s="2"/>
      <c r="P2137" s="2"/>
      <c r="Q2137" s="2" t="s">
        <v>14326</v>
      </c>
      <c r="R2137" s="2" t="s">
        <v>14327</v>
      </c>
      <c r="S2137" s="2" t="s">
        <v>79</v>
      </c>
      <c r="T2137" s="2" t="s">
        <v>80</v>
      </c>
      <c r="U2137" s="2" t="s">
        <v>81</v>
      </c>
      <c r="V2137" s="2" t="s">
        <v>42</v>
      </c>
      <c r="W2137" s="2">
        <v>48.7</v>
      </c>
      <c r="X2137" s="2">
        <v>51.9</v>
      </c>
      <c r="Y2137" s="2" t="s">
        <v>118</v>
      </c>
      <c r="Z2137" s="2" t="s">
        <v>14328</v>
      </c>
      <c r="AA2137" s="2">
        <v>-0.427062841467509</v>
      </c>
      <c r="AB2137" s="2">
        <v>0.37976339104970003</v>
      </c>
      <c r="AC2137" s="2">
        <v>41167.422407127196</v>
      </c>
      <c r="AD2137" s="2">
        <v>30345.162014411599</v>
      </c>
      <c r="AE2137" s="2">
        <v>48152.6692713909</v>
      </c>
      <c r="AF2137" s="2">
        <v>36258.096621506404</v>
      </c>
      <c r="AG2137" s="2">
        <v>42339.281869382598</v>
      </c>
      <c r="AH2137" s="2">
        <v>44301.565308374797</v>
      </c>
      <c r="AI2137" s="2">
        <v>38241.808284748302</v>
      </c>
      <c r="AJ2137" s="2">
        <v>37711.1130873605</v>
      </c>
      <c r="AK2137" s="2">
        <v>30547.8213754104</v>
      </c>
      <c r="AL2137" s="2">
        <v>29648.980639747799</v>
      </c>
      <c r="AM2137" s="2">
        <v>32234.9436141482</v>
      </c>
      <c r="AN2137" s="2">
        <v>29315.7884866001</v>
      </c>
      <c r="AO2137" s="2">
        <v>30919.001725953902</v>
      </c>
      <c r="AP2137" s="2">
        <v>29404.4362446095</v>
      </c>
    </row>
    <row r="2138" spans="1:42" ht="14.5" x14ac:dyDescent="0.35">
      <c r="A2138" s="2" t="s">
        <v>14329</v>
      </c>
      <c r="B2138" s="2">
        <v>409.17152322184103</v>
      </c>
      <c r="C2138" s="2">
        <v>4.1337999999999999</v>
      </c>
      <c r="D2138" s="2" t="s">
        <v>70</v>
      </c>
      <c r="E2138" s="2" t="s">
        <v>14330</v>
      </c>
      <c r="F2138" s="2">
        <v>211096</v>
      </c>
      <c r="G2138" s="3" t="str">
        <f>HYPERLINK("http://funmeta.oebiotech.com/network/211096", "http://funmeta.oebiotech.com/network/211096")</f>
        <v>http://funmeta.oebiotech.com/network/211096</v>
      </c>
      <c r="H2138" s="2" t="s">
        <v>14331</v>
      </c>
      <c r="I2138" s="2"/>
      <c r="J2138" s="2"/>
      <c r="K2138" s="2"/>
      <c r="L2138" s="2"/>
      <c r="M2138" s="2"/>
      <c r="N2138" s="2"/>
      <c r="O2138" s="2">
        <v>5148969</v>
      </c>
      <c r="P2138" s="2"/>
      <c r="Q2138" s="2" t="s">
        <v>14332</v>
      </c>
      <c r="R2138" s="2" t="s">
        <v>14333</v>
      </c>
      <c r="S2138" s="2" t="s">
        <v>89</v>
      </c>
      <c r="T2138" s="2" t="s">
        <v>90</v>
      </c>
      <c r="U2138" s="2" t="s">
        <v>99</v>
      </c>
      <c r="V2138" s="2" t="s">
        <v>59</v>
      </c>
      <c r="W2138" s="2">
        <v>41</v>
      </c>
      <c r="X2138" s="2">
        <v>15.3</v>
      </c>
      <c r="Y2138" s="2" t="s">
        <v>560</v>
      </c>
      <c r="Z2138" s="2" t="s">
        <v>14334</v>
      </c>
      <c r="AA2138" s="2">
        <v>4.3985516525453496</v>
      </c>
      <c r="AB2138" s="2">
        <v>0.379542774803798</v>
      </c>
      <c r="AC2138" s="2">
        <v>54010.608957550801</v>
      </c>
      <c r="AD2138" s="2">
        <v>64434.178870100899</v>
      </c>
      <c r="AE2138" s="2">
        <v>55496.046197842799</v>
      </c>
      <c r="AF2138" s="2">
        <v>51408.191284210101</v>
      </c>
      <c r="AG2138" s="2">
        <v>51254.5818431769</v>
      </c>
      <c r="AH2138" s="2">
        <v>53086.516310474202</v>
      </c>
      <c r="AI2138" s="2">
        <v>56058.625340345301</v>
      </c>
      <c r="AJ2138" s="2">
        <v>56759.6927692557</v>
      </c>
      <c r="AK2138" s="2">
        <v>61353.347190071298</v>
      </c>
      <c r="AL2138" s="2">
        <v>64037.572136463401</v>
      </c>
      <c r="AM2138" s="2">
        <v>67492.932001381705</v>
      </c>
      <c r="AN2138" s="2">
        <v>66857.465721876695</v>
      </c>
      <c r="AO2138" s="2">
        <v>60364.242890987203</v>
      </c>
      <c r="AP2138" s="2">
        <v>66499.513279825202</v>
      </c>
    </row>
    <row r="2139" spans="1:42" ht="14.5" x14ac:dyDescent="0.35">
      <c r="A2139" s="2" t="s">
        <v>14335</v>
      </c>
      <c r="B2139" s="2">
        <v>243.12331385467101</v>
      </c>
      <c r="C2139" s="2">
        <v>5.5431833333333298</v>
      </c>
      <c r="D2139" s="2" t="s">
        <v>70</v>
      </c>
      <c r="E2139" s="2" t="s">
        <v>14336</v>
      </c>
      <c r="F2139" s="2">
        <v>534658</v>
      </c>
      <c r="G2139" s="3" t="str">
        <f>HYPERLINK("http://funmeta.oebiotech.com/network/534658", "http://funmeta.oebiotech.com/network/534658")</f>
        <v>http://funmeta.oebiotech.com/network/534658</v>
      </c>
      <c r="H2139" s="2"/>
      <c r="I2139" s="2">
        <v>984907</v>
      </c>
      <c r="J2139" s="2"/>
      <c r="K2139" s="2"/>
      <c r="L2139" s="2"/>
      <c r="M2139" s="2"/>
      <c r="N2139" s="2"/>
      <c r="O2139" s="2">
        <v>13213508</v>
      </c>
      <c r="P2139" s="2"/>
      <c r="Q2139" s="2" t="s">
        <v>14337</v>
      </c>
      <c r="R2139" s="2" t="s">
        <v>14338</v>
      </c>
      <c r="S2139" s="2" t="s">
        <v>89</v>
      </c>
      <c r="T2139" s="2" t="s">
        <v>2718</v>
      </c>
      <c r="U2139" s="2" t="s">
        <v>11268</v>
      </c>
      <c r="V2139" s="2" t="s">
        <v>42</v>
      </c>
      <c r="W2139" s="2">
        <v>55.8</v>
      </c>
      <c r="X2139" s="2">
        <v>84.9</v>
      </c>
      <c r="Y2139" s="2" t="s">
        <v>118</v>
      </c>
      <c r="Z2139" s="2" t="s">
        <v>14339</v>
      </c>
      <c r="AA2139" s="2">
        <v>-1.9802990332964301</v>
      </c>
      <c r="AB2139" s="2">
        <v>0.37931014458051598</v>
      </c>
      <c r="AC2139" s="2">
        <v>10932.3203389919</v>
      </c>
      <c r="AD2139" s="2">
        <v>1420.2971283347699</v>
      </c>
      <c r="AE2139" s="2">
        <v>11534.6930076598</v>
      </c>
      <c r="AF2139" s="2">
        <v>9575.3394317863404</v>
      </c>
      <c r="AG2139" s="2">
        <v>10772.120546792699</v>
      </c>
      <c r="AH2139" s="2">
        <v>12174.9410330259</v>
      </c>
      <c r="AI2139" s="2">
        <v>10622.2295105419</v>
      </c>
      <c r="AJ2139" s="2">
        <v>10914.5985041446</v>
      </c>
      <c r="AK2139" s="2">
        <v>1659.3876807030999</v>
      </c>
      <c r="AL2139" s="2">
        <v>1247.8248330741999</v>
      </c>
      <c r="AM2139" s="2">
        <v>1362.38887914421</v>
      </c>
      <c r="AN2139" s="2">
        <v>1485.4103961563501</v>
      </c>
      <c r="AO2139" s="2">
        <v>1539.36376878437</v>
      </c>
      <c r="AP2139" s="2">
        <v>1227.4072121463801</v>
      </c>
    </row>
    <row r="2140" spans="1:42" ht="14.5" x14ac:dyDescent="0.35">
      <c r="A2140" s="2" t="s">
        <v>14340</v>
      </c>
      <c r="B2140" s="2">
        <v>991.43778847094302</v>
      </c>
      <c r="C2140" s="2">
        <v>4.4526833333333302</v>
      </c>
      <c r="D2140" s="2" t="s">
        <v>70</v>
      </c>
      <c r="E2140" s="2" t="s">
        <v>14341</v>
      </c>
      <c r="F2140" s="2">
        <v>8750</v>
      </c>
      <c r="G2140" s="3" t="str">
        <f>HYPERLINK("http://funmeta.oebiotech.com/network/8750", "http://funmeta.oebiotech.com/network/8750")</f>
        <v>http://funmeta.oebiotech.com/network/8750</v>
      </c>
      <c r="H2140" s="2"/>
      <c r="I2140" s="2"/>
      <c r="J2140" s="2" t="s">
        <v>14342</v>
      </c>
      <c r="K2140" s="2">
        <v>65824</v>
      </c>
      <c r="L2140" s="2"/>
      <c r="M2140" s="2"/>
      <c r="N2140" s="2"/>
      <c r="O2140" s="2">
        <v>10743861</v>
      </c>
      <c r="P2140" s="2"/>
      <c r="Q2140" s="2" t="s">
        <v>14343</v>
      </c>
      <c r="R2140" s="2" t="s">
        <v>14344</v>
      </c>
      <c r="S2140" s="2" t="s">
        <v>79</v>
      </c>
      <c r="T2140" s="2" t="s">
        <v>80</v>
      </c>
      <c r="U2140" s="2" t="s">
        <v>2820</v>
      </c>
      <c r="V2140" s="2" t="s">
        <v>59</v>
      </c>
      <c r="W2140" s="2">
        <v>37.299999999999997</v>
      </c>
      <c r="X2140" s="2">
        <v>0</v>
      </c>
      <c r="Y2140" s="2" t="s">
        <v>560</v>
      </c>
      <c r="Z2140" s="2" t="s">
        <v>14345</v>
      </c>
      <c r="AA2140" s="2">
        <v>3.1862393293207898</v>
      </c>
      <c r="AB2140" s="2">
        <v>0.37894997251808499</v>
      </c>
      <c r="AC2140" s="2">
        <v>22295.4780102275</v>
      </c>
      <c r="AD2140" s="2">
        <v>11652.2794150012</v>
      </c>
      <c r="AE2140" s="2">
        <v>22822.046511078101</v>
      </c>
      <c r="AF2140" s="2">
        <v>27300.438405478599</v>
      </c>
      <c r="AG2140" s="2">
        <v>24162.594459558099</v>
      </c>
      <c r="AH2140" s="2">
        <v>19173.7140356823</v>
      </c>
      <c r="AI2140" s="2">
        <v>22870.009945221002</v>
      </c>
      <c r="AJ2140" s="2">
        <v>17444.0647043471</v>
      </c>
      <c r="AK2140" s="2">
        <v>12444.1614864647</v>
      </c>
      <c r="AL2140" s="2">
        <v>10275.882793369499</v>
      </c>
      <c r="AM2140" s="2">
        <v>8227.9212738746392</v>
      </c>
      <c r="AN2140" s="2">
        <v>15703.6501952132</v>
      </c>
      <c r="AO2140" s="2">
        <v>12323.298138960499</v>
      </c>
      <c r="AP2140" s="2">
        <v>10938.7626021245</v>
      </c>
    </row>
    <row r="2141" spans="1:42" ht="14.5" x14ac:dyDescent="0.35">
      <c r="A2141" s="2" t="s">
        <v>14346</v>
      </c>
      <c r="B2141" s="2">
        <v>441.103298558228</v>
      </c>
      <c r="C2141" s="2">
        <v>3.95061666666667</v>
      </c>
      <c r="D2141" s="2" t="s">
        <v>70</v>
      </c>
      <c r="E2141" s="2" t="s">
        <v>14347</v>
      </c>
      <c r="F2141" s="2">
        <v>210514</v>
      </c>
      <c r="G2141" s="3" t="str">
        <f>HYPERLINK("http://funmeta.oebiotech.com/network/210514", "http://funmeta.oebiotech.com/network/210514")</f>
        <v>http://funmeta.oebiotech.com/network/210514</v>
      </c>
      <c r="H2141" s="2" t="s">
        <v>14348</v>
      </c>
      <c r="I2141" s="2"/>
      <c r="J2141" s="2"/>
      <c r="K2141" s="2"/>
      <c r="L2141" s="2"/>
      <c r="M2141" s="2"/>
      <c r="N2141" s="2"/>
      <c r="O2141" s="2">
        <v>72758394</v>
      </c>
      <c r="P2141" s="2"/>
      <c r="Q2141" s="2" t="s">
        <v>14349</v>
      </c>
      <c r="R2141" s="2" t="s">
        <v>14350</v>
      </c>
      <c r="S2141" s="2" t="s">
        <v>148</v>
      </c>
      <c r="T2141" s="2" t="s">
        <v>3772</v>
      </c>
      <c r="U2141" s="2" t="s">
        <v>41</v>
      </c>
      <c r="V2141" s="2" t="s">
        <v>59</v>
      </c>
      <c r="W2141" s="2">
        <v>37.4</v>
      </c>
      <c r="X2141" s="2">
        <v>24.2</v>
      </c>
      <c r="Y2141" s="2" t="s">
        <v>751</v>
      </c>
      <c r="Z2141" s="2" t="s">
        <v>14351</v>
      </c>
      <c r="AA2141" s="2">
        <v>-2.6434520001849999</v>
      </c>
      <c r="AB2141" s="2">
        <v>0.37889655124301902</v>
      </c>
      <c r="AC2141" s="2">
        <v>33668.213813475901</v>
      </c>
      <c r="AD2141" s="2">
        <v>44112.464752538101</v>
      </c>
      <c r="AE2141" s="2">
        <v>32744.492615291401</v>
      </c>
      <c r="AF2141" s="2">
        <v>30929.726170636899</v>
      </c>
      <c r="AG2141" s="2">
        <v>32540.9917071499</v>
      </c>
      <c r="AH2141" s="2">
        <v>32596.573765472702</v>
      </c>
      <c r="AI2141" s="2">
        <v>33772.858208634898</v>
      </c>
      <c r="AJ2141" s="2">
        <v>39424.640413669797</v>
      </c>
      <c r="AK2141" s="2">
        <v>41063.950843924998</v>
      </c>
      <c r="AL2141" s="2">
        <v>43106.494143056101</v>
      </c>
      <c r="AM2141" s="2">
        <v>48126.296900316498</v>
      </c>
      <c r="AN2141" s="2">
        <v>45672.7367931587</v>
      </c>
      <c r="AO2141" s="2">
        <v>41913.740886564497</v>
      </c>
      <c r="AP2141" s="2">
        <v>44791.568948207903</v>
      </c>
    </row>
    <row r="2142" spans="1:42" ht="14.5" x14ac:dyDescent="0.35">
      <c r="A2142" s="2" t="s">
        <v>14352</v>
      </c>
      <c r="B2142" s="2">
        <v>566.31099674065297</v>
      </c>
      <c r="C2142" s="2">
        <v>6.1988000000000003</v>
      </c>
      <c r="D2142" s="2" t="s">
        <v>34</v>
      </c>
      <c r="E2142" s="2" t="s">
        <v>14353</v>
      </c>
      <c r="F2142" s="2">
        <v>28053</v>
      </c>
      <c r="G2142" s="3" t="str">
        <f>HYPERLINK("http://funmeta.oebiotech.com/network/28053", "http://funmeta.oebiotech.com/network/28053")</f>
        <v>http://funmeta.oebiotech.com/network/28053</v>
      </c>
      <c r="H2142" s="2"/>
      <c r="I2142" s="2"/>
      <c r="J2142" s="2" t="s">
        <v>14354</v>
      </c>
      <c r="K2142" s="2"/>
      <c r="L2142" s="2"/>
      <c r="M2142" s="2"/>
      <c r="N2142" s="2"/>
      <c r="O2142" s="2">
        <v>134812499</v>
      </c>
      <c r="P2142" s="2"/>
      <c r="Q2142" s="2" t="s">
        <v>14355</v>
      </c>
      <c r="R2142" s="2" t="s">
        <v>14356</v>
      </c>
      <c r="S2142" s="2" t="s">
        <v>50</v>
      </c>
      <c r="T2142" s="2" t="s">
        <v>51</v>
      </c>
      <c r="U2142" s="2" t="s">
        <v>273</v>
      </c>
      <c r="V2142" s="2" t="s">
        <v>59</v>
      </c>
      <c r="W2142" s="2">
        <v>37.200000000000003</v>
      </c>
      <c r="X2142" s="2">
        <v>0</v>
      </c>
      <c r="Y2142" s="2" t="s">
        <v>43</v>
      </c>
      <c r="Z2142" s="2" t="s">
        <v>14357</v>
      </c>
      <c r="AA2142" s="2">
        <v>3.8975728779907199</v>
      </c>
      <c r="AB2142" s="2">
        <v>0.37877145816568802</v>
      </c>
      <c r="AC2142" s="2">
        <v>21642.7559455507</v>
      </c>
      <c r="AD2142" s="2">
        <v>11219.3067653037</v>
      </c>
      <c r="AE2142" s="2">
        <v>22233.935980570299</v>
      </c>
      <c r="AF2142" s="2">
        <v>23622.753759151201</v>
      </c>
      <c r="AG2142" s="2">
        <v>20989.250597107999</v>
      </c>
      <c r="AH2142" s="2">
        <v>17246.020238430101</v>
      </c>
      <c r="AI2142" s="2">
        <v>26001.235702285499</v>
      </c>
      <c r="AJ2142" s="2">
        <v>19763.339395759202</v>
      </c>
      <c r="AK2142" s="2">
        <v>8061.4974703280996</v>
      </c>
      <c r="AL2142" s="2">
        <v>11974.622233739699</v>
      </c>
      <c r="AM2142" s="2">
        <v>14480.073801357301</v>
      </c>
      <c r="AN2142" s="2">
        <v>11865.2357773112</v>
      </c>
      <c r="AO2142" s="2">
        <v>10427.728151442599</v>
      </c>
      <c r="AP2142" s="2">
        <v>10506.6831576433</v>
      </c>
    </row>
    <row r="2143" spans="1:42" ht="14.5" x14ac:dyDescent="0.35">
      <c r="A2143" s="2" t="s">
        <v>14358</v>
      </c>
      <c r="B2143" s="2">
        <v>357.151802537187</v>
      </c>
      <c r="C2143" s="2">
        <v>3.9481333333333302</v>
      </c>
      <c r="D2143" s="2" t="s">
        <v>34</v>
      </c>
      <c r="E2143" s="2" t="s">
        <v>14359</v>
      </c>
      <c r="F2143" s="2">
        <v>201139</v>
      </c>
      <c r="G2143" s="3" t="str">
        <f>HYPERLINK("http://funmeta.oebiotech.com/network/201139", "http://funmeta.oebiotech.com/network/201139")</f>
        <v>http://funmeta.oebiotech.com/network/201139</v>
      </c>
      <c r="H2143" s="2" t="s">
        <v>14360</v>
      </c>
      <c r="I2143" s="2"/>
      <c r="J2143" s="2"/>
      <c r="K2143" s="2"/>
      <c r="L2143" s="2"/>
      <c r="M2143" s="2"/>
      <c r="N2143" s="2"/>
      <c r="O2143" s="2">
        <v>4331799</v>
      </c>
      <c r="P2143" s="2"/>
      <c r="Q2143" s="2" t="s">
        <v>14361</v>
      </c>
      <c r="R2143" s="2" t="s">
        <v>14362</v>
      </c>
      <c r="S2143" s="2" t="s">
        <v>491</v>
      </c>
      <c r="T2143" s="2" t="s">
        <v>1516</v>
      </c>
      <c r="U2143" s="2" t="s">
        <v>14363</v>
      </c>
      <c r="V2143" s="2" t="s">
        <v>59</v>
      </c>
      <c r="W2143" s="2">
        <v>38.299999999999997</v>
      </c>
      <c r="X2143" s="2">
        <v>0</v>
      </c>
      <c r="Y2143" s="2" t="s">
        <v>266</v>
      </c>
      <c r="Z2143" s="2" t="s">
        <v>14364</v>
      </c>
      <c r="AA2143" s="2">
        <v>-0.95902219503339303</v>
      </c>
      <c r="AB2143" s="2">
        <v>0.37873343640783602</v>
      </c>
      <c r="AC2143" s="2">
        <v>70793.171555994995</v>
      </c>
      <c r="AD2143" s="2">
        <v>81740.513500678804</v>
      </c>
      <c r="AE2143" s="2">
        <v>72049.572406271298</v>
      </c>
      <c r="AF2143" s="2">
        <v>72709.342367751698</v>
      </c>
      <c r="AG2143" s="2">
        <v>73288.227179355599</v>
      </c>
      <c r="AH2143" s="2">
        <v>67563.782551009805</v>
      </c>
      <c r="AI2143" s="2">
        <v>70105.561916288701</v>
      </c>
      <c r="AJ2143" s="2">
        <v>69042.542915292594</v>
      </c>
      <c r="AK2143" s="2">
        <v>79943.294857506597</v>
      </c>
      <c r="AL2143" s="2">
        <v>82546.963057701694</v>
      </c>
      <c r="AM2143" s="2">
        <v>79348.869176197797</v>
      </c>
      <c r="AN2143" s="2">
        <v>80410.898272046805</v>
      </c>
      <c r="AO2143" s="2">
        <v>78007.211249928398</v>
      </c>
      <c r="AP2143" s="2">
        <v>90185.844390691796</v>
      </c>
    </row>
    <row r="2144" spans="1:42" ht="14.5" x14ac:dyDescent="0.35">
      <c r="A2144" s="2" t="s">
        <v>14365</v>
      </c>
      <c r="B2144" s="2">
        <v>192.10140935005501</v>
      </c>
      <c r="C2144" s="2">
        <v>6.6569000000000003</v>
      </c>
      <c r="D2144" s="2" t="s">
        <v>34</v>
      </c>
      <c r="E2144" s="2" t="s">
        <v>14366</v>
      </c>
      <c r="F2144" s="2">
        <v>1169</v>
      </c>
      <c r="G2144" s="3" t="str">
        <f>HYPERLINK("http://funmeta.oebiotech.com/network/1169", "http://funmeta.oebiotech.com/network/1169")</f>
        <v>http://funmeta.oebiotech.com/network/1169</v>
      </c>
      <c r="H2144" s="2"/>
      <c r="I2144" s="2">
        <v>74342</v>
      </c>
      <c r="J2144" s="2" t="s">
        <v>14367</v>
      </c>
      <c r="K2144" s="2">
        <v>137705</v>
      </c>
      <c r="L2144" s="2"/>
      <c r="M2144" s="2"/>
      <c r="N2144" s="2"/>
      <c r="O2144" s="2">
        <v>9543648</v>
      </c>
      <c r="P2144" s="2"/>
      <c r="Q2144" s="2" t="s">
        <v>14368</v>
      </c>
      <c r="R2144" s="2" t="s">
        <v>14369</v>
      </c>
      <c r="S2144" s="2" t="s">
        <v>50</v>
      </c>
      <c r="T2144" s="2" t="s">
        <v>229</v>
      </c>
      <c r="U2144" s="2" t="s">
        <v>433</v>
      </c>
      <c r="V2144" s="2" t="s">
        <v>59</v>
      </c>
      <c r="W2144" s="2">
        <v>40.799999999999997</v>
      </c>
      <c r="X2144" s="2">
        <v>16.3</v>
      </c>
      <c r="Y2144" s="2" t="s">
        <v>43</v>
      </c>
      <c r="Z2144" s="2" t="s">
        <v>14370</v>
      </c>
      <c r="AA2144" s="2">
        <v>-2.8479648079448201</v>
      </c>
      <c r="AB2144" s="2">
        <v>0.37861335220454601</v>
      </c>
      <c r="AC2144" s="2">
        <v>47760.231716670598</v>
      </c>
      <c r="AD2144" s="2">
        <v>58191.554041311698</v>
      </c>
      <c r="AE2144" s="2">
        <v>47454.370397667597</v>
      </c>
      <c r="AF2144" s="2">
        <v>49440.006331352102</v>
      </c>
      <c r="AG2144" s="2">
        <v>52358.273649174997</v>
      </c>
      <c r="AH2144" s="2">
        <v>44093.7452757391</v>
      </c>
      <c r="AI2144" s="2">
        <v>44264.456675700698</v>
      </c>
      <c r="AJ2144" s="2">
        <v>48950.537970388898</v>
      </c>
      <c r="AK2144" s="2">
        <v>60863.036468924198</v>
      </c>
      <c r="AL2144" s="2">
        <v>59963.945751583196</v>
      </c>
      <c r="AM2144" s="2">
        <v>57829.8346895715</v>
      </c>
      <c r="AN2144" s="2">
        <v>57829.769464263401</v>
      </c>
      <c r="AO2144" s="2">
        <v>56639.068986213402</v>
      </c>
      <c r="AP2144" s="2">
        <v>56023.6688873147</v>
      </c>
    </row>
    <row r="2145" spans="1:42" ht="14.5" x14ac:dyDescent="0.35">
      <c r="A2145" s="2" t="s">
        <v>14371</v>
      </c>
      <c r="B2145" s="2">
        <v>522.41494530192404</v>
      </c>
      <c r="C2145" s="2">
        <v>11.9917833333333</v>
      </c>
      <c r="D2145" s="2" t="s">
        <v>34</v>
      </c>
      <c r="E2145" s="2" t="s">
        <v>14372</v>
      </c>
      <c r="F2145" s="2">
        <v>61275</v>
      </c>
      <c r="G2145" s="3" t="str">
        <f>HYPERLINK("http://funmeta.oebiotech.com/network/61275", "http://funmeta.oebiotech.com/network/61275")</f>
        <v>http://funmeta.oebiotech.com/network/61275</v>
      </c>
      <c r="H2145" s="2" t="s">
        <v>14373</v>
      </c>
      <c r="I2145" s="2">
        <v>92595</v>
      </c>
      <c r="J2145" s="2"/>
      <c r="K2145" s="2"/>
      <c r="L2145" s="2"/>
      <c r="M2145" s="2"/>
      <c r="N2145" s="2"/>
      <c r="O2145" s="2">
        <v>15602268</v>
      </c>
      <c r="P2145" s="2" t="s">
        <v>14374</v>
      </c>
      <c r="Q2145" s="2" t="s">
        <v>14375</v>
      </c>
      <c r="R2145" s="2" t="s">
        <v>14376</v>
      </c>
      <c r="S2145" s="2" t="s">
        <v>50</v>
      </c>
      <c r="T2145" s="2" t="s">
        <v>201</v>
      </c>
      <c r="U2145" s="2" t="s">
        <v>210</v>
      </c>
      <c r="V2145" s="2" t="s">
        <v>59</v>
      </c>
      <c r="W2145" s="2">
        <v>36.1</v>
      </c>
      <c r="X2145" s="2">
        <v>0</v>
      </c>
      <c r="Y2145" s="2" t="s">
        <v>43</v>
      </c>
      <c r="Z2145" s="2" t="s">
        <v>14377</v>
      </c>
      <c r="AA2145" s="2">
        <v>-0.70381949692474499</v>
      </c>
      <c r="AB2145" s="2">
        <v>0.37838127783849201</v>
      </c>
      <c r="AC2145" s="2">
        <v>12720.7698648069</v>
      </c>
      <c r="AD2145" s="2">
        <v>3105.3196519778298</v>
      </c>
      <c r="AE2145" s="2">
        <v>13618.8185763989</v>
      </c>
      <c r="AF2145" s="2">
        <v>11177.2821199806</v>
      </c>
      <c r="AG2145" s="2">
        <v>13429.8537024094</v>
      </c>
      <c r="AH2145" s="2">
        <v>12576.514913893699</v>
      </c>
      <c r="AI2145" s="2">
        <v>12347.358789281599</v>
      </c>
      <c r="AJ2145" s="2">
        <v>13174.7910868774</v>
      </c>
      <c r="AK2145" s="2">
        <v>4147.9253900223503</v>
      </c>
      <c r="AL2145" s="2">
        <v>4636.15068269936</v>
      </c>
      <c r="AM2145" s="2">
        <v>3044.16894987775</v>
      </c>
      <c r="AN2145" s="2">
        <v>3897.6804207232099</v>
      </c>
      <c r="AO2145" s="2">
        <v>1738.8651009238699</v>
      </c>
      <c r="AP2145" s="2">
        <v>1167.1273676204501</v>
      </c>
    </row>
    <row r="2146" spans="1:42" ht="14.5" x14ac:dyDescent="0.35">
      <c r="A2146" s="2" t="s">
        <v>14378</v>
      </c>
      <c r="B2146" s="2">
        <v>965.54253958239303</v>
      </c>
      <c r="C2146" s="2">
        <v>12.0614166666667</v>
      </c>
      <c r="D2146" s="2" t="s">
        <v>34</v>
      </c>
      <c r="E2146" s="2" t="s">
        <v>14379</v>
      </c>
      <c r="F2146" s="2">
        <v>40</v>
      </c>
      <c r="G2146" s="3" t="str">
        <f>HYPERLINK("http://funmeta.oebiotech.com/network/40", "http://funmeta.oebiotech.com/network/40")</f>
        <v>http://funmeta.oebiotech.com/network/40</v>
      </c>
      <c r="H2146" s="2"/>
      <c r="I2146" s="2"/>
      <c r="J2146" s="2" t="s">
        <v>14380</v>
      </c>
      <c r="K2146" s="2"/>
      <c r="L2146" s="2"/>
      <c r="M2146" s="2"/>
      <c r="N2146" s="2"/>
      <c r="O2146" s="2">
        <v>102203990</v>
      </c>
      <c r="P2146" s="2"/>
      <c r="Q2146" s="2" t="s">
        <v>14381</v>
      </c>
      <c r="R2146" s="2" t="s">
        <v>14382</v>
      </c>
      <c r="S2146" s="2" t="s">
        <v>89</v>
      </c>
      <c r="T2146" s="2" t="s">
        <v>90</v>
      </c>
      <c r="U2146" s="2" t="s">
        <v>1248</v>
      </c>
      <c r="V2146" s="2" t="s">
        <v>59</v>
      </c>
      <c r="W2146" s="2">
        <v>36.9</v>
      </c>
      <c r="X2146" s="2">
        <v>0</v>
      </c>
      <c r="Y2146" s="2" t="s">
        <v>340</v>
      </c>
      <c r="Z2146" s="2" t="s">
        <v>14383</v>
      </c>
      <c r="AA2146" s="2">
        <v>-2.19560598953082</v>
      </c>
      <c r="AB2146" s="2">
        <v>0.377815382024354</v>
      </c>
      <c r="AC2146" s="2">
        <v>16162.216771540099</v>
      </c>
      <c r="AD2146" s="2">
        <v>6118.9240403058702</v>
      </c>
      <c r="AE2146" s="2">
        <v>17254.1827820906</v>
      </c>
      <c r="AF2146" s="2">
        <v>14885.9517251954</v>
      </c>
      <c r="AG2146" s="2">
        <v>15682.5103563385</v>
      </c>
      <c r="AH2146" s="2">
        <v>16918.934577423301</v>
      </c>
      <c r="AI2146" s="2">
        <v>15881.599689430701</v>
      </c>
      <c r="AJ2146" s="2">
        <v>16350.121498761901</v>
      </c>
      <c r="AK2146" s="2">
        <v>6363.5892400657103</v>
      </c>
      <c r="AL2146" s="2">
        <v>2457.3307460312099</v>
      </c>
      <c r="AM2146" s="2">
        <v>4025.1556836562299</v>
      </c>
      <c r="AN2146" s="2">
        <v>8537.92843197398</v>
      </c>
      <c r="AO2146" s="2">
        <v>10026.3697937793</v>
      </c>
      <c r="AP2146" s="2">
        <v>5303.1703463288204</v>
      </c>
    </row>
    <row r="2147" spans="1:42" ht="14.5" x14ac:dyDescent="0.35">
      <c r="A2147" s="2" t="s">
        <v>14384</v>
      </c>
      <c r="B2147" s="2">
        <v>450.19813578723398</v>
      </c>
      <c r="C2147" s="2">
        <v>4.3994166666666699</v>
      </c>
      <c r="D2147" s="2" t="s">
        <v>70</v>
      </c>
      <c r="E2147" s="2" t="s">
        <v>14385</v>
      </c>
      <c r="F2147" s="2">
        <v>209556</v>
      </c>
      <c r="G2147" s="3" t="str">
        <f>HYPERLINK("http://funmeta.oebiotech.com/network/209556", "http://funmeta.oebiotech.com/network/209556")</f>
        <v>http://funmeta.oebiotech.com/network/209556</v>
      </c>
      <c r="H2147" s="2" t="s">
        <v>14386</v>
      </c>
      <c r="I2147" s="2"/>
      <c r="J2147" s="2"/>
      <c r="K2147" s="2"/>
      <c r="L2147" s="2"/>
      <c r="M2147" s="2"/>
      <c r="N2147" s="2"/>
      <c r="O2147" s="2">
        <v>101625661</v>
      </c>
      <c r="P2147" s="2"/>
      <c r="Q2147" s="2" t="s">
        <v>14387</v>
      </c>
      <c r="R2147" s="2" t="s">
        <v>14388</v>
      </c>
      <c r="S2147" s="2" t="s">
        <v>41</v>
      </c>
      <c r="T2147" s="2" t="s">
        <v>41</v>
      </c>
      <c r="U2147" s="2" t="s">
        <v>41</v>
      </c>
      <c r="V2147" s="2" t="s">
        <v>59</v>
      </c>
      <c r="W2147" s="2">
        <v>46.7</v>
      </c>
      <c r="X2147" s="2">
        <v>41.1</v>
      </c>
      <c r="Y2147" s="2" t="s">
        <v>408</v>
      </c>
      <c r="Z2147" s="2" t="s">
        <v>14389</v>
      </c>
      <c r="AA2147" s="2">
        <v>-3.1739056939989898</v>
      </c>
      <c r="AB2147" s="2">
        <v>0.377645038476284</v>
      </c>
      <c r="AC2147" s="2">
        <v>158050.910623804</v>
      </c>
      <c r="AD2147" s="2">
        <v>140218.020601622</v>
      </c>
      <c r="AE2147" s="2">
        <v>157462.32278083701</v>
      </c>
      <c r="AF2147" s="2">
        <v>164019.12829213901</v>
      </c>
      <c r="AG2147" s="2">
        <v>158391.72931192801</v>
      </c>
      <c r="AH2147" s="2">
        <v>144999.49579690199</v>
      </c>
      <c r="AI2147" s="2">
        <v>172153.21098139501</v>
      </c>
      <c r="AJ2147" s="2">
        <v>151279.576579624</v>
      </c>
      <c r="AK2147" s="2">
        <v>140585.33997334901</v>
      </c>
      <c r="AL2147" s="2">
        <v>115228.505561802</v>
      </c>
      <c r="AM2147" s="2">
        <v>158954.37336680101</v>
      </c>
      <c r="AN2147" s="2">
        <v>118808.468354878</v>
      </c>
      <c r="AO2147" s="2">
        <v>144344.08722379501</v>
      </c>
      <c r="AP2147" s="2">
        <v>163387.34912910801</v>
      </c>
    </row>
    <row r="2148" spans="1:42" ht="14.5" x14ac:dyDescent="0.35">
      <c r="A2148" s="2" t="s">
        <v>14390</v>
      </c>
      <c r="B2148" s="2">
        <v>419.276386469128</v>
      </c>
      <c r="C2148" s="2">
        <v>11.3852666666667</v>
      </c>
      <c r="D2148" s="2" t="s">
        <v>34</v>
      </c>
      <c r="E2148" s="2" t="s">
        <v>14391</v>
      </c>
      <c r="F2148" s="2">
        <v>213625</v>
      </c>
      <c r="G2148" s="3" t="str">
        <f>HYPERLINK("http://funmeta.oebiotech.com/network/213625", "http://funmeta.oebiotech.com/network/213625")</f>
        <v>http://funmeta.oebiotech.com/network/213625</v>
      </c>
      <c r="H2148" s="2" t="s">
        <v>14392</v>
      </c>
      <c r="I2148" s="2"/>
      <c r="J2148" s="2"/>
      <c r="K2148" s="2"/>
      <c r="L2148" s="2"/>
      <c r="M2148" s="2"/>
      <c r="N2148" s="2"/>
      <c r="O2148" s="2"/>
      <c r="P2148" s="2"/>
      <c r="Q2148" s="2" t="s">
        <v>14393</v>
      </c>
      <c r="R2148" s="2" t="s">
        <v>14394</v>
      </c>
      <c r="S2148" s="2" t="s">
        <v>41</v>
      </c>
      <c r="T2148" s="2" t="s">
        <v>41</v>
      </c>
      <c r="U2148" s="2" t="s">
        <v>41</v>
      </c>
      <c r="V2148" s="2" t="s">
        <v>42</v>
      </c>
      <c r="W2148" s="2">
        <v>48.9</v>
      </c>
      <c r="X2148" s="2">
        <v>48.9</v>
      </c>
      <c r="Y2148" s="2" t="s">
        <v>470</v>
      </c>
      <c r="Z2148" s="2" t="s">
        <v>14395</v>
      </c>
      <c r="AA2148" s="2">
        <v>-1.03104790181479</v>
      </c>
      <c r="AB2148" s="2">
        <v>0.37735259667933901</v>
      </c>
      <c r="AC2148" s="2">
        <v>115076.37248655299</v>
      </c>
      <c r="AD2148" s="2">
        <v>83873.758573589104</v>
      </c>
      <c r="AE2148" s="2">
        <v>66025.193116457202</v>
      </c>
      <c r="AF2148" s="2">
        <v>86015.354060918704</v>
      </c>
      <c r="AG2148" s="2">
        <v>88867.295934944399</v>
      </c>
      <c r="AH2148" s="2">
        <v>265960.49473203899</v>
      </c>
      <c r="AI2148" s="2">
        <v>86648.710034472999</v>
      </c>
      <c r="AJ2148" s="2">
        <v>96941.187040485194</v>
      </c>
      <c r="AK2148" s="2">
        <v>53924.117430075799</v>
      </c>
      <c r="AL2148" s="2">
        <v>80834.138014835204</v>
      </c>
      <c r="AM2148" s="2">
        <v>83769.739828405203</v>
      </c>
      <c r="AN2148" s="2">
        <v>91724.934331117402</v>
      </c>
      <c r="AO2148" s="2">
        <v>105161.65916985</v>
      </c>
      <c r="AP2148" s="2">
        <v>87827.962667251297</v>
      </c>
    </row>
    <row r="2149" spans="1:42" ht="14.5" x14ac:dyDescent="0.35">
      <c r="A2149" s="2" t="s">
        <v>14396</v>
      </c>
      <c r="B2149" s="2">
        <v>724.46797458943797</v>
      </c>
      <c r="C2149" s="2">
        <v>4.9145166666666702</v>
      </c>
      <c r="D2149" s="2" t="s">
        <v>34</v>
      </c>
      <c r="E2149" s="2" t="s">
        <v>14397</v>
      </c>
      <c r="F2149" s="2">
        <v>21077</v>
      </c>
      <c r="G2149" s="3" t="str">
        <f>HYPERLINK("http://funmeta.oebiotech.com/network/21077", "http://funmeta.oebiotech.com/network/21077")</f>
        <v>http://funmeta.oebiotech.com/network/21077</v>
      </c>
      <c r="H2149" s="2"/>
      <c r="I2149" s="2">
        <v>77595</v>
      </c>
      <c r="J2149" s="2" t="s">
        <v>14398</v>
      </c>
      <c r="K2149" s="2"/>
      <c r="L2149" s="2"/>
      <c r="M2149" s="2"/>
      <c r="N2149" s="2"/>
      <c r="O2149" s="2">
        <v>52925050</v>
      </c>
      <c r="P2149" s="2"/>
      <c r="Q2149" s="2" t="s">
        <v>14399</v>
      </c>
      <c r="R2149" s="2" t="s">
        <v>14400</v>
      </c>
      <c r="S2149" s="2" t="s">
        <v>50</v>
      </c>
      <c r="T2149" s="2" t="s">
        <v>51</v>
      </c>
      <c r="U2149" s="2" t="s">
        <v>257</v>
      </c>
      <c r="V2149" s="2" t="s">
        <v>59</v>
      </c>
      <c r="W2149" s="2">
        <v>36.1</v>
      </c>
      <c r="X2149" s="2">
        <v>0</v>
      </c>
      <c r="Y2149" s="2" t="s">
        <v>340</v>
      </c>
      <c r="Z2149" s="2" t="s">
        <v>14401</v>
      </c>
      <c r="AA2149" s="2">
        <v>0.257078753208904</v>
      </c>
      <c r="AB2149" s="2">
        <v>0.37637261631506402</v>
      </c>
      <c r="AC2149" s="2">
        <v>10323.8753724053</v>
      </c>
      <c r="AD2149" s="2">
        <v>20978.309713201099</v>
      </c>
      <c r="AE2149" s="2">
        <v>8833.5599830183291</v>
      </c>
      <c r="AF2149" s="2">
        <v>13409.4748439666</v>
      </c>
      <c r="AG2149" s="2">
        <v>11479.0890146853</v>
      </c>
      <c r="AH2149" s="2">
        <v>10602.7034730507</v>
      </c>
      <c r="AI2149" s="2">
        <v>5774.9845793898703</v>
      </c>
      <c r="AJ2149" s="2">
        <v>11843.4403403208</v>
      </c>
      <c r="AK2149" s="2">
        <v>20720.229014627599</v>
      </c>
      <c r="AL2149" s="2">
        <v>21329.996638705899</v>
      </c>
      <c r="AM2149" s="2">
        <v>22637.3628846184</v>
      </c>
      <c r="AN2149" s="2">
        <v>26519.616754958199</v>
      </c>
      <c r="AO2149" s="2">
        <v>15484.1884229267</v>
      </c>
      <c r="AP2149" s="2">
        <v>19178.4645633701</v>
      </c>
    </row>
    <row r="2150" spans="1:42" ht="14.5" x14ac:dyDescent="0.35">
      <c r="A2150" s="2" t="s">
        <v>14402</v>
      </c>
      <c r="B2150" s="2">
        <v>959.59463134807004</v>
      </c>
      <c r="C2150" s="2">
        <v>15.292450000000001</v>
      </c>
      <c r="D2150" s="2" t="s">
        <v>70</v>
      </c>
      <c r="E2150" s="2" t="s">
        <v>14403</v>
      </c>
      <c r="F2150" s="2">
        <v>18096</v>
      </c>
      <c r="G2150" s="3" t="str">
        <f>HYPERLINK("http://funmeta.oebiotech.com/network/18096", "http://funmeta.oebiotech.com/network/18096")</f>
        <v>http://funmeta.oebiotech.com/network/18096</v>
      </c>
      <c r="H2150" s="2"/>
      <c r="I2150" s="2"/>
      <c r="J2150" s="2" t="s">
        <v>14404</v>
      </c>
      <c r="K2150" s="2"/>
      <c r="L2150" s="2"/>
      <c r="M2150" s="2"/>
      <c r="N2150" s="2"/>
      <c r="O2150" s="2">
        <v>10843454</v>
      </c>
      <c r="P2150" s="2"/>
      <c r="Q2150" s="2" t="s">
        <v>14405</v>
      </c>
      <c r="R2150" s="2" t="s">
        <v>14406</v>
      </c>
      <c r="S2150" s="2" t="s">
        <v>50</v>
      </c>
      <c r="T2150" s="2" t="s">
        <v>448</v>
      </c>
      <c r="U2150" s="2" t="s">
        <v>449</v>
      </c>
      <c r="V2150" s="2" t="s">
        <v>42</v>
      </c>
      <c r="W2150" s="2">
        <v>49.5</v>
      </c>
      <c r="X2150" s="2">
        <v>49.8</v>
      </c>
      <c r="Y2150" s="2" t="s">
        <v>286</v>
      </c>
      <c r="Z2150" s="2" t="s">
        <v>14407</v>
      </c>
      <c r="AA2150" s="2">
        <v>-0.26631777429251602</v>
      </c>
      <c r="AB2150" s="2">
        <v>0.37633374959872301</v>
      </c>
      <c r="AC2150" s="2">
        <v>108028.146845298</v>
      </c>
      <c r="AD2150" s="2">
        <v>90336.451076620404</v>
      </c>
      <c r="AE2150" s="2">
        <v>101139.224733857</v>
      </c>
      <c r="AF2150" s="2">
        <v>83003.771839904497</v>
      </c>
      <c r="AG2150" s="2">
        <v>92688.808034752903</v>
      </c>
      <c r="AH2150" s="2">
        <v>119690.67240573101</v>
      </c>
      <c r="AI2150" s="2">
        <v>118102.95054368699</v>
      </c>
      <c r="AJ2150" s="2">
        <v>133543.45351385701</v>
      </c>
      <c r="AK2150" s="2">
        <v>86376.078241930503</v>
      </c>
      <c r="AL2150" s="2">
        <v>77958.8629311158</v>
      </c>
      <c r="AM2150" s="2">
        <v>81951.173264448793</v>
      </c>
      <c r="AN2150" s="2">
        <v>94703.684948949798</v>
      </c>
      <c r="AO2150" s="2">
        <v>106127.592768603</v>
      </c>
      <c r="AP2150" s="2">
        <v>94901.314304674393</v>
      </c>
    </row>
    <row r="2151" spans="1:42" ht="14.5" x14ac:dyDescent="0.35">
      <c r="A2151" s="2" t="s">
        <v>14408</v>
      </c>
      <c r="B2151" s="2">
        <v>455.13694948486</v>
      </c>
      <c r="C2151" s="2">
        <v>0.811483333333333</v>
      </c>
      <c r="D2151" s="2" t="s">
        <v>34</v>
      </c>
      <c r="E2151" s="2" t="s">
        <v>14409</v>
      </c>
      <c r="F2151" s="2">
        <v>213526</v>
      </c>
      <c r="G2151" s="3" t="str">
        <f>HYPERLINK("http://funmeta.oebiotech.com/network/213526", "http://funmeta.oebiotech.com/network/213526")</f>
        <v>http://funmeta.oebiotech.com/network/213526</v>
      </c>
      <c r="H2151" s="2" t="s">
        <v>14410</v>
      </c>
      <c r="I2151" s="2"/>
      <c r="J2151" s="2"/>
      <c r="K2151" s="2"/>
      <c r="L2151" s="2"/>
      <c r="M2151" s="2"/>
      <c r="N2151" s="2"/>
      <c r="O2151" s="2"/>
      <c r="P2151" s="2"/>
      <c r="Q2151" s="2" t="s">
        <v>14411</v>
      </c>
      <c r="R2151" s="2" t="s">
        <v>14412</v>
      </c>
      <c r="S2151" s="2" t="s">
        <v>41</v>
      </c>
      <c r="T2151" s="2" t="s">
        <v>41</v>
      </c>
      <c r="U2151" s="2" t="s">
        <v>41</v>
      </c>
      <c r="V2151" s="2" t="s">
        <v>59</v>
      </c>
      <c r="W2151" s="2">
        <v>36.200000000000003</v>
      </c>
      <c r="X2151" s="2">
        <v>0</v>
      </c>
      <c r="Y2151" s="2" t="s">
        <v>43</v>
      </c>
      <c r="Z2151" s="2" t="s">
        <v>14413</v>
      </c>
      <c r="AA2151" s="2">
        <v>2.3492097770109801</v>
      </c>
      <c r="AB2151" s="2">
        <v>0.37632296255724101</v>
      </c>
      <c r="AC2151" s="2">
        <v>60190.926906800501</v>
      </c>
      <c r="AD2151" s="2">
        <v>72910.483320590007</v>
      </c>
      <c r="AE2151" s="2">
        <v>60375.667575557301</v>
      </c>
      <c r="AF2151" s="2">
        <v>42520.901574378498</v>
      </c>
      <c r="AG2151" s="2">
        <v>65290.630372610802</v>
      </c>
      <c r="AH2151" s="2">
        <v>64475.600052580601</v>
      </c>
      <c r="AI2151" s="2">
        <v>62996.1799680154</v>
      </c>
      <c r="AJ2151" s="2">
        <v>65486.581897660501</v>
      </c>
      <c r="AK2151" s="2">
        <v>71316.137868935504</v>
      </c>
      <c r="AL2151" s="2">
        <v>70966.600747801305</v>
      </c>
      <c r="AM2151" s="2">
        <v>70416.571321788797</v>
      </c>
      <c r="AN2151" s="2">
        <v>74710.810378379101</v>
      </c>
      <c r="AO2151" s="2">
        <v>71946.176905292799</v>
      </c>
      <c r="AP2151" s="2">
        <v>78106.602701342606</v>
      </c>
    </row>
    <row r="2152" spans="1:42" ht="14.5" x14ac:dyDescent="0.35">
      <c r="A2152" s="2" t="s">
        <v>14414</v>
      </c>
      <c r="B2152" s="2">
        <v>297.18484289597097</v>
      </c>
      <c r="C2152" s="2">
        <v>9.6715166666666708</v>
      </c>
      <c r="D2152" s="2" t="s">
        <v>34</v>
      </c>
      <c r="E2152" s="2" t="s">
        <v>14415</v>
      </c>
      <c r="F2152" s="2">
        <v>1119</v>
      </c>
      <c r="G2152" s="3" t="str">
        <f>HYPERLINK("http://funmeta.oebiotech.com/network/1119", "http://funmeta.oebiotech.com/network/1119")</f>
        <v>http://funmeta.oebiotech.com/network/1119</v>
      </c>
      <c r="H2152" s="2" t="s">
        <v>14416</v>
      </c>
      <c r="I2152" s="2">
        <v>35289</v>
      </c>
      <c r="J2152" s="2" t="s">
        <v>14417</v>
      </c>
      <c r="K2152" s="2"/>
      <c r="L2152" s="2"/>
      <c r="M2152" s="2"/>
      <c r="N2152" s="2"/>
      <c r="O2152" s="2">
        <v>1780</v>
      </c>
      <c r="P2152" s="2"/>
      <c r="Q2152" s="2" t="s">
        <v>14418</v>
      </c>
      <c r="R2152" s="2" t="s">
        <v>14419</v>
      </c>
      <c r="S2152" s="2" t="s">
        <v>50</v>
      </c>
      <c r="T2152" s="2" t="s">
        <v>229</v>
      </c>
      <c r="U2152" s="2" t="s">
        <v>433</v>
      </c>
      <c r="V2152" s="2" t="s">
        <v>59</v>
      </c>
      <c r="W2152" s="2">
        <v>38.4</v>
      </c>
      <c r="X2152" s="2">
        <v>0</v>
      </c>
      <c r="Y2152" s="2" t="s">
        <v>266</v>
      </c>
      <c r="Z2152" s="2" t="s">
        <v>14420</v>
      </c>
      <c r="AA2152" s="2">
        <v>-0.214549724203142</v>
      </c>
      <c r="AB2152" s="2">
        <v>0.376216775890238</v>
      </c>
      <c r="AC2152" s="2">
        <v>15404.0335501504</v>
      </c>
      <c r="AD2152" s="2">
        <v>25152.934906135801</v>
      </c>
      <c r="AE2152" s="2">
        <v>14686.7483114673</v>
      </c>
      <c r="AF2152" s="2">
        <v>14667.930323614601</v>
      </c>
      <c r="AG2152" s="2">
        <v>16881.397532213399</v>
      </c>
      <c r="AH2152" s="2">
        <v>14475.480938270901</v>
      </c>
      <c r="AI2152" s="2">
        <v>15256.874228532201</v>
      </c>
      <c r="AJ2152" s="2">
        <v>16455.769966803899</v>
      </c>
      <c r="AK2152" s="2">
        <v>21603.8414592474</v>
      </c>
      <c r="AL2152" s="2">
        <v>23848.712846212398</v>
      </c>
      <c r="AM2152" s="2">
        <v>26207.183986170301</v>
      </c>
      <c r="AN2152" s="2">
        <v>28060.409528991298</v>
      </c>
      <c r="AO2152" s="2">
        <v>24888.440134769698</v>
      </c>
      <c r="AP2152" s="2">
        <v>26309.021481423599</v>
      </c>
    </row>
    <row r="2153" spans="1:42" ht="14.5" x14ac:dyDescent="0.35">
      <c r="A2153" s="2" t="s">
        <v>14421</v>
      </c>
      <c r="B2153" s="2">
        <v>601.28644243065503</v>
      </c>
      <c r="C2153" s="2">
        <v>6.0108166666666696</v>
      </c>
      <c r="D2153" s="2" t="s">
        <v>70</v>
      </c>
      <c r="E2153" s="2" t="s">
        <v>14422</v>
      </c>
      <c r="F2153" s="2">
        <v>209866</v>
      </c>
      <c r="G2153" s="3" t="str">
        <f>HYPERLINK("http://funmeta.oebiotech.com/network/209866", "http://funmeta.oebiotech.com/network/209866")</f>
        <v>http://funmeta.oebiotech.com/network/209866</v>
      </c>
      <c r="H2153" s="2" t="s">
        <v>14423</v>
      </c>
      <c r="I2153" s="2"/>
      <c r="J2153" s="2"/>
      <c r="K2153" s="2"/>
      <c r="L2153" s="2"/>
      <c r="M2153" s="2"/>
      <c r="N2153" s="2"/>
      <c r="O2153" s="2">
        <v>54681072</v>
      </c>
      <c r="P2153" s="2"/>
      <c r="Q2153" s="2" t="s">
        <v>14424</v>
      </c>
      <c r="R2153" s="2" t="s">
        <v>14425</v>
      </c>
      <c r="S2153" s="2" t="s">
        <v>41</v>
      </c>
      <c r="T2153" s="2" t="s">
        <v>41</v>
      </c>
      <c r="U2153" s="2" t="s">
        <v>41</v>
      </c>
      <c r="V2153" s="2" t="s">
        <v>42</v>
      </c>
      <c r="W2153" s="2">
        <v>50.4</v>
      </c>
      <c r="X2153" s="2">
        <v>56.8</v>
      </c>
      <c r="Y2153" s="2" t="s">
        <v>408</v>
      </c>
      <c r="Z2153" s="2" t="s">
        <v>14426</v>
      </c>
      <c r="AA2153" s="2">
        <v>-2.6246724790845199</v>
      </c>
      <c r="AB2153" s="2">
        <v>0.376023821557527</v>
      </c>
      <c r="AC2153" s="2">
        <v>291384.272800582</v>
      </c>
      <c r="AD2153" s="2">
        <v>276427.87770038698</v>
      </c>
      <c r="AE2153" s="2">
        <v>294169.19653427898</v>
      </c>
      <c r="AF2153" s="2">
        <v>284972.84926819702</v>
      </c>
      <c r="AG2153" s="2">
        <v>296515.85798324802</v>
      </c>
      <c r="AH2153" s="2">
        <v>282560.756442782</v>
      </c>
      <c r="AI2153" s="2">
        <v>281206.087509214</v>
      </c>
      <c r="AJ2153" s="2">
        <v>308880.88906576898</v>
      </c>
      <c r="AK2153" s="2">
        <v>265998.85678693303</v>
      </c>
      <c r="AL2153" s="2">
        <v>290296.964030337</v>
      </c>
      <c r="AM2153" s="2">
        <v>285572.89707483002</v>
      </c>
      <c r="AN2153" s="2">
        <v>278175.24317337002</v>
      </c>
      <c r="AO2153" s="2">
        <v>274348.46239288099</v>
      </c>
      <c r="AP2153" s="2">
        <v>264174.84274396999</v>
      </c>
    </row>
    <row r="2154" spans="1:42" ht="14.5" x14ac:dyDescent="0.35">
      <c r="A2154" s="2" t="s">
        <v>14427</v>
      </c>
      <c r="B2154" s="2">
        <v>578.28336848786898</v>
      </c>
      <c r="C2154" s="2">
        <v>4.09636666666667</v>
      </c>
      <c r="D2154" s="2" t="s">
        <v>70</v>
      </c>
      <c r="E2154" s="2" t="s">
        <v>14428</v>
      </c>
      <c r="F2154" s="2">
        <v>198654</v>
      </c>
      <c r="G2154" s="3" t="str">
        <f>HYPERLINK("http://funmeta.oebiotech.com/network/198654", "http://funmeta.oebiotech.com/network/198654")</f>
        <v>http://funmeta.oebiotech.com/network/198654</v>
      </c>
      <c r="H2154" s="2" t="s">
        <v>14429</v>
      </c>
      <c r="I2154" s="2"/>
      <c r="J2154" s="2"/>
      <c r="K2154" s="2"/>
      <c r="L2154" s="2"/>
      <c r="M2154" s="2"/>
      <c r="N2154" s="2"/>
      <c r="O2154" s="2">
        <v>86289644</v>
      </c>
      <c r="P2154" s="2"/>
      <c r="Q2154" s="2" t="s">
        <v>14430</v>
      </c>
      <c r="R2154" s="2" t="s">
        <v>14431</v>
      </c>
      <c r="S2154" s="2" t="s">
        <v>50</v>
      </c>
      <c r="T2154" s="2" t="s">
        <v>51</v>
      </c>
      <c r="U2154" s="2" t="s">
        <v>52</v>
      </c>
      <c r="V2154" s="2" t="s">
        <v>59</v>
      </c>
      <c r="W2154" s="2">
        <v>38.799999999999997</v>
      </c>
      <c r="X2154" s="2">
        <v>8.5</v>
      </c>
      <c r="Y2154" s="2" t="s">
        <v>751</v>
      </c>
      <c r="Z2154" s="2" t="s">
        <v>14432</v>
      </c>
      <c r="AA2154" s="2">
        <v>-4.6526733516610204</v>
      </c>
      <c r="AB2154" s="2">
        <v>0.37587855877117998</v>
      </c>
      <c r="AC2154" s="2">
        <v>52272.354215826497</v>
      </c>
      <c r="AD2154" s="2">
        <v>62620.5909594521</v>
      </c>
      <c r="AE2154" s="2">
        <v>52962.825614447502</v>
      </c>
      <c r="AF2154" s="2">
        <v>46543.565762827297</v>
      </c>
      <c r="AG2154" s="2">
        <v>57789.705118477403</v>
      </c>
      <c r="AH2154" s="2">
        <v>50317.655922442602</v>
      </c>
      <c r="AI2154" s="2">
        <v>52725.006705133397</v>
      </c>
      <c r="AJ2154" s="2">
        <v>53295.366171631002</v>
      </c>
      <c r="AK2154" s="2">
        <v>64203.7662018833</v>
      </c>
      <c r="AL2154" s="2">
        <v>61886.964494834203</v>
      </c>
      <c r="AM2154" s="2">
        <v>63559.054098527697</v>
      </c>
      <c r="AN2154" s="2">
        <v>60396.686474647802</v>
      </c>
      <c r="AO2154" s="2">
        <v>62231.795547545102</v>
      </c>
      <c r="AP2154" s="2">
        <v>63445.278939274598</v>
      </c>
    </row>
    <row r="2155" spans="1:42" ht="14.5" x14ac:dyDescent="0.35">
      <c r="A2155" s="2" t="s">
        <v>14433</v>
      </c>
      <c r="B2155" s="2">
        <v>425.16646559127798</v>
      </c>
      <c r="C2155" s="2">
        <v>4.1151</v>
      </c>
      <c r="D2155" s="2" t="s">
        <v>70</v>
      </c>
      <c r="E2155" s="2" t="s">
        <v>14434</v>
      </c>
      <c r="F2155" s="2">
        <v>56416</v>
      </c>
      <c r="G2155" s="3" t="str">
        <f>HYPERLINK("http://funmeta.oebiotech.com/network/56416", "http://funmeta.oebiotech.com/network/56416")</f>
        <v>http://funmeta.oebiotech.com/network/56416</v>
      </c>
      <c r="H2155" s="2" t="s">
        <v>14435</v>
      </c>
      <c r="I2155" s="2">
        <v>88066</v>
      </c>
      <c r="J2155" s="2"/>
      <c r="K2155" s="2">
        <v>168068</v>
      </c>
      <c r="L2155" s="2"/>
      <c r="M2155" s="2"/>
      <c r="N2155" s="2"/>
      <c r="O2155" s="2">
        <v>131751223</v>
      </c>
      <c r="P2155" s="2" t="s">
        <v>14436</v>
      </c>
      <c r="Q2155" s="2" t="s">
        <v>14437</v>
      </c>
      <c r="R2155" s="2" t="s">
        <v>14438</v>
      </c>
      <c r="S2155" s="2" t="s">
        <v>50</v>
      </c>
      <c r="T2155" s="2" t="s">
        <v>229</v>
      </c>
      <c r="U2155" s="2" t="s">
        <v>230</v>
      </c>
      <c r="V2155" s="2" t="s">
        <v>42</v>
      </c>
      <c r="W2155" s="2">
        <v>48.6</v>
      </c>
      <c r="X2155" s="2">
        <v>47</v>
      </c>
      <c r="Y2155" s="2" t="s">
        <v>286</v>
      </c>
      <c r="Z2155" s="2" t="s">
        <v>14439</v>
      </c>
      <c r="AA2155" s="2">
        <v>4.1107373242177898E-2</v>
      </c>
      <c r="AB2155" s="2">
        <v>0.37578754922334201</v>
      </c>
      <c r="AC2155" s="2">
        <v>175444.65918579901</v>
      </c>
      <c r="AD2155" s="2">
        <v>163643.70016944301</v>
      </c>
      <c r="AE2155" s="2">
        <v>176361.44695155101</v>
      </c>
      <c r="AF2155" s="2">
        <v>175374.70977342001</v>
      </c>
      <c r="AG2155" s="2">
        <v>174330.56718863299</v>
      </c>
      <c r="AH2155" s="2">
        <v>180841.38889945499</v>
      </c>
      <c r="AI2155" s="2">
        <v>168488.065211129</v>
      </c>
      <c r="AJ2155" s="2">
        <v>177271.77709060599</v>
      </c>
      <c r="AK2155" s="2">
        <v>161577.757867512</v>
      </c>
      <c r="AL2155" s="2">
        <v>157803.02616248201</v>
      </c>
      <c r="AM2155" s="2">
        <v>172581.31390769401</v>
      </c>
      <c r="AN2155" s="2">
        <v>164609.97074603799</v>
      </c>
      <c r="AO2155" s="2">
        <v>157176.211270634</v>
      </c>
      <c r="AP2155" s="2">
        <v>168113.92106230001</v>
      </c>
    </row>
    <row r="2156" spans="1:42" ht="14.5" x14ac:dyDescent="0.35">
      <c r="A2156" s="2" t="s">
        <v>14440</v>
      </c>
      <c r="B2156" s="2">
        <v>498.24839903058199</v>
      </c>
      <c r="C2156" s="2">
        <v>9.8631833333333301</v>
      </c>
      <c r="D2156" s="2" t="s">
        <v>34</v>
      </c>
      <c r="E2156" s="2" t="s">
        <v>14441</v>
      </c>
      <c r="F2156" s="2">
        <v>266598</v>
      </c>
      <c r="G2156" s="3" t="str">
        <f>HYPERLINK("http://funmeta.oebiotech.com/network/266598", "http://funmeta.oebiotech.com/network/266598")</f>
        <v>http://funmeta.oebiotech.com/network/266598</v>
      </c>
      <c r="H2156" s="2"/>
      <c r="I2156" s="2">
        <v>43651</v>
      </c>
      <c r="J2156" s="2"/>
      <c r="K2156" s="2"/>
      <c r="L2156" s="2"/>
      <c r="M2156" s="2"/>
      <c r="N2156" s="2"/>
      <c r="O2156" s="2">
        <v>99980</v>
      </c>
      <c r="P2156" s="2" t="s">
        <v>14442</v>
      </c>
      <c r="Q2156" s="2" t="s">
        <v>14443</v>
      </c>
      <c r="R2156" s="2" t="s">
        <v>14444</v>
      </c>
      <c r="S2156" s="2" t="s">
        <v>50</v>
      </c>
      <c r="T2156" s="2" t="s">
        <v>201</v>
      </c>
      <c r="U2156" s="2" t="s">
        <v>210</v>
      </c>
      <c r="V2156" s="2" t="s">
        <v>59</v>
      </c>
      <c r="W2156" s="2">
        <v>38.799999999999997</v>
      </c>
      <c r="X2156" s="2">
        <v>0</v>
      </c>
      <c r="Y2156" s="2" t="s">
        <v>43</v>
      </c>
      <c r="Z2156" s="2" t="s">
        <v>14445</v>
      </c>
      <c r="AA2156" s="2">
        <v>-0.47866616391818501</v>
      </c>
      <c r="AB2156" s="2">
        <v>0.37564327470526399</v>
      </c>
      <c r="AC2156" s="2">
        <v>15821.6003556621</v>
      </c>
      <c r="AD2156" s="2">
        <v>25727.3017015152</v>
      </c>
      <c r="AE2156" s="2">
        <v>15199.4187605733</v>
      </c>
      <c r="AF2156" s="2">
        <v>15925.537414528801</v>
      </c>
      <c r="AG2156" s="2">
        <v>16851.5245496303</v>
      </c>
      <c r="AH2156" s="2">
        <v>15750.6061450865</v>
      </c>
      <c r="AI2156" s="2">
        <v>15116.2074761574</v>
      </c>
      <c r="AJ2156" s="2">
        <v>16086.307787996</v>
      </c>
      <c r="AK2156" s="2">
        <v>22133.6041491381</v>
      </c>
      <c r="AL2156" s="2">
        <v>29509.1149552098</v>
      </c>
      <c r="AM2156" s="2">
        <v>25656.967942611998</v>
      </c>
      <c r="AN2156" s="2">
        <v>28479.963024576798</v>
      </c>
      <c r="AO2156" s="2">
        <v>23652.0626654097</v>
      </c>
      <c r="AP2156" s="2">
        <v>24932.097472144898</v>
      </c>
    </row>
    <row r="2157" spans="1:42" ht="14.5" x14ac:dyDescent="0.35">
      <c r="A2157" s="2" t="s">
        <v>14446</v>
      </c>
      <c r="B2157" s="2">
        <v>602.28160275406799</v>
      </c>
      <c r="C2157" s="2">
        <v>6.2923</v>
      </c>
      <c r="D2157" s="2" t="s">
        <v>70</v>
      </c>
      <c r="E2157" s="2" t="s">
        <v>14447</v>
      </c>
      <c r="F2157" s="2">
        <v>82127</v>
      </c>
      <c r="G2157" s="3" t="str">
        <f>HYPERLINK("http://funmeta.oebiotech.com/network/82127", "http://funmeta.oebiotech.com/network/82127")</f>
        <v>http://funmeta.oebiotech.com/network/82127</v>
      </c>
      <c r="H2157" s="2" t="s">
        <v>14448</v>
      </c>
      <c r="I2157" s="2"/>
      <c r="J2157" s="2"/>
      <c r="K2157" s="2"/>
      <c r="L2157" s="2"/>
      <c r="M2157" s="2"/>
      <c r="N2157" s="2"/>
      <c r="O2157" s="2">
        <v>131769848</v>
      </c>
      <c r="P2157" s="2"/>
      <c r="Q2157" s="2" t="s">
        <v>14449</v>
      </c>
      <c r="R2157" s="2" t="s">
        <v>14450</v>
      </c>
      <c r="S2157" s="2" t="s">
        <v>89</v>
      </c>
      <c r="T2157" s="2" t="s">
        <v>90</v>
      </c>
      <c r="U2157" s="2" t="s">
        <v>99</v>
      </c>
      <c r="V2157" s="2" t="s">
        <v>59</v>
      </c>
      <c r="W2157" s="2">
        <v>44.4</v>
      </c>
      <c r="X2157" s="2">
        <v>34.6</v>
      </c>
      <c r="Y2157" s="2" t="s">
        <v>118</v>
      </c>
      <c r="Z2157" s="2" t="s">
        <v>14451</v>
      </c>
      <c r="AA2157" s="2">
        <v>-2.5671364401578902</v>
      </c>
      <c r="AB2157" s="2">
        <v>0.37541194139251999</v>
      </c>
      <c r="AC2157" s="2">
        <v>30362.650236585199</v>
      </c>
      <c r="AD2157" s="2">
        <v>20166.284780011501</v>
      </c>
      <c r="AE2157" s="2">
        <v>31648.2220457123</v>
      </c>
      <c r="AF2157" s="2">
        <v>26537.836848007799</v>
      </c>
      <c r="AG2157" s="2">
        <v>29336.248310441901</v>
      </c>
      <c r="AH2157" s="2">
        <v>33479.2421493453</v>
      </c>
      <c r="AI2157" s="2">
        <v>30161.3863050894</v>
      </c>
      <c r="AJ2157" s="2">
        <v>31012.965760914401</v>
      </c>
      <c r="AK2157" s="2">
        <v>17725.787951531802</v>
      </c>
      <c r="AL2157" s="2">
        <v>22348.773442367601</v>
      </c>
      <c r="AM2157" s="2">
        <v>20356.733085037999</v>
      </c>
      <c r="AN2157" s="2">
        <v>19455.343926433299</v>
      </c>
      <c r="AO2157" s="2">
        <v>16785.769084834701</v>
      </c>
      <c r="AP2157" s="2">
        <v>24325.3011898638</v>
      </c>
    </row>
    <row r="2158" spans="1:42" ht="14.5" x14ac:dyDescent="0.35">
      <c r="A2158" s="2" t="s">
        <v>14452</v>
      </c>
      <c r="B2158" s="2">
        <v>464.30011683011497</v>
      </c>
      <c r="C2158" s="2">
        <v>10.341383333333299</v>
      </c>
      <c r="D2158" s="2" t="s">
        <v>34</v>
      </c>
      <c r="E2158" s="2" t="s">
        <v>14453</v>
      </c>
      <c r="F2158" s="2">
        <v>3333</v>
      </c>
      <c r="G2158" s="3" t="str">
        <f>HYPERLINK("http://funmeta.oebiotech.com/network/3333", "http://funmeta.oebiotech.com/network/3333")</f>
        <v>http://funmeta.oebiotech.com/network/3333</v>
      </c>
      <c r="H2158" s="2"/>
      <c r="I2158" s="2"/>
      <c r="J2158" s="2" t="s">
        <v>14454</v>
      </c>
      <c r="K2158" s="2"/>
      <c r="L2158" s="2"/>
      <c r="M2158" s="2"/>
      <c r="N2158" s="2"/>
      <c r="O2158" s="2"/>
      <c r="P2158" s="2"/>
      <c r="Q2158" s="2" t="s">
        <v>14455</v>
      </c>
      <c r="R2158" s="2" t="s">
        <v>14456</v>
      </c>
      <c r="S2158" s="2" t="s">
        <v>148</v>
      </c>
      <c r="T2158" s="2" t="s">
        <v>392</v>
      </c>
      <c r="U2158" s="2" t="s">
        <v>393</v>
      </c>
      <c r="V2158" s="2" t="s">
        <v>59</v>
      </c>
      <c r="W2158" s="2">
        <v>45.3</v>
      </c>
      <c r="X2158" s="2">
        <v>32.299999999999997</v>
      </c>
      <c r="Y2158" s="2" t="s">
        <v>43</v>
      </c>
      <c r="Z2158" s="2" t="s">
        <v>14457</v>
      </c>
      <c r="AA2158" s="2">
        <v>-1.2271489997821099</v>
      </c>
      <c r="AB2158" s="2">
        <v>0.37532107250698299</v>
      </c>
      <c r="AC2158" s="2">
        <v>16656.398165099399</v>
      </c>
      <c r="AD2158" s="2">
        <v>26284.165449583499</v>
      </c>
      <c r="AE2158" s="2">
        <v>15811.7248792265</v>
      </c>
      <c r="AF2158" s="2">
        <v>15625.1896131715</v>
      </c>
      <c r="AG2158" s="2">
        <v>16191.1439211423</v>
      </c>
      <c r="AH2158" s="2">
        <v>17463.936729739398</v>
      </c>
      <c r="AI2158" s="2">
        <v>17198.845888508298</v>
      </c>
      <c r="AJ2158" s="2">
        <v>17647.5479588085</v>
      </c>
      <c r="AK2158" s="2">
        <v>26772.9421619118</v>
      </c>
      <c r="AL2158" s="2">
        <v>25066.771431433499</v>
      </c>
      <c r="AM2158" s="2">
        <v>25649.405796884199</v>
      </c>
      <c r="AN2158" s="2">
        <v>28252.184383869</v>
      </c>
      <c r="AO2158" s="2">
        <v>28769.7728108499</v>
      </c>
      <c r="AP2158" s="2">
        <v>23193.916112552699</v>
      </c>
    </row>
    <row r="2159" spans="1:42" ht="14.5" x14ac:dyDescent="0.35">
      <c r="A2159" s="2" t="s">
        <v>14458</v>
      </c>
      <c r="B2159" s="2">
        <v>465.321244070673</v>
      </c>
      <c r="C2159" s="2">
        <v>4.9946333333333301</v>
      </c>
      <c r="D2159" s="2" t="s">
        <v>34</v>
      </c>
      <c r="E2159" s="2" t="s">
        <v>14459</v>
      </c>
      <c r="F2159" s="2">
        <v>8713</v>
      </c>
      <c r="G2159" s="3" t="str">
        <f>HYPERLINK("http://funmeta.oebiotech.com/network/8713", "http://funmeta.oebiotech.com/network/8713")</f>
        <v>http://funmeta.oebiotech.com/network/8713</v>
      </c>
      <c r="H2159" s="2"/>
      <c r="I2159" s="2">
        <v>75518</v>
      </c>
      <c r="J2159" s="2" t="s">
        <v>14460</v>
      </c>
      <c r="K2159" s="2"/>
      <c r="L2159" s="2"/>
      <c r="M2159" s="2"/>
      <c r="N2159" s="2"/>
      <c r="O2159" s="2">
        <v>52922079</v>
      </c>
      <c r="P2159" s="2"/>
      <c r="Q2159" s="2" t="s">
        <v>14461</v>
      </c>
      <c r="R2159" s="2" t="s">
        <v>14462</v>
      </c>
      <c r="S2159" s="2" t="s">
        <v>89</v>
      </c>
      <c r="T2159" s="2" t="s">
        <v>90</v>
      </c>
      <c r="U2159" s="2" t="s">
        <v>99</v>
      </c>
      <c r="V2159" s="2" t="s">
        <v>59</v>
      </c>
      <c r="W2159" s="2">
        <v>38.299999999999997</v>
      </c>
      <c r="X2159" s="2">
        <v>0</v>
      </c>
      <c r="Y2159" s="2" t="s">
        <v>340</v>
      </c>
      <c r="Z2159" s="2" t="s">
        <v>14463</v>
      </c>
      <c r="AA2159" s="2">
        <v>2.5674202490384399</v>
      </c>
      <c r="AB2159" s="2">
        <v>0.37494137281573198</v>
      </c>
      <c r="AC2159" s="2">
        <v>15692.790830513901</v>
      </c>
      <c r="AD2159" s="2">
        <v>25818.018559932199</v>
      </c>
      <c r="AE2159" s="2">
        <v>14952.0128300865</v>
      </c>
      <c r="AF2159" s="2">
        <v>18276.680887710401</v>
      </c>
      <c r="AG2159" s="2">
        <v>15098.299706014701</v>
      </c>
      <c r="AH2159" s="2">
        <v>15756.000789436301</v>
      </c>
      <c r="AI2159" s="2">
        <v>13617.1347465779</v>
      </c>
      <c r="AJ2159" s="2">
        <v>16456.616023257699</v>
      </c>
      <c r="AK2159" s="2">
        <v>31302.143245339899</v>
      </c>
      <c r="AL2159" s="2">
        <v>25810.761851667401</v>
      </c>
      <c r="AM2159" s="2">
        <v>23848.012515859202</v>
      </c>
      <c r="AN2159" s="2">
        <v>24251.788686607</v>
      </c>
      <c r="AO2159" s="2">
        <v>22831.577090158298</v>
      </c>
      <c r="AP2159" s="2">
        <v>26863.827969961501</v>
      </c>
    </row>
    <row r="2160" spans="1:42" ht="14.5" x14ac:dyDescent="0.35">
      <c r="A2160" s="2" t="s">
        <v>14464</v>
      </c>
      <c r="B2160" s="2">
        <v>155.045059346063</v>
      </c>
      <c r="C2160" s="2">
        <v>3.7334833333333299</v>
      </c>
      <c r="D2160" s="2" t="s">
        <v>34</v>
      </c>
      <c r="E2160" s="2" t="s">
        <v>14465</v>
      </c>
      <c r="F2160" s="2">
        <v>280083</v>
      </c>
      <c r="G2160" s="3" t="str">
        <f>HYPERLINK("http://funmeta.oebiotech.com/network/280083", "http://funmeta.oebiotech.com/network/280083")</f>
        <v>http://funmeta.oebiotech.com/network/280083</v>
      </c>
      <c r="H2160" s="2"/>
      <c r="I2160" s="2">
        <v>73032</v>
      </c>
      <c r="J2160" s="2"/>
      <c r="K2160" s="2"/>
      <c r="L2160" s="2" t="s">
        <v>14466</v>
      </c>
      <c r="M2160" s="2"/>
      <c r="N2160" s="2"/>
      <c r="O2160" s="2">
        <v>4984721</v>
      </c>
      <c r="P2160" s="2" t="s">
        <v>14467</v>
      </c>
      <c r="Q2160" s="2" t="s">
        <v>14468</v>
      </c>
      <c r="R2160" s="2" t="s">
        <v>14469</v>
      </c>
      <c r="S2160" s="2" t="s">
        <v>148</v>
      </c>
      <c r="T2160" s="2" t="s">
        <v>392</v>
      </c>
      <c r="U2160" s="2" t="s">
        <v>1177</v>
      </c>
      <c r="V2160" s="2" t="s">
        <v>59</v>
      </c>
      <c r="W2160" s="2">
        <v>38.4</v>
      </c>
      <c r="X2160" s="2">
        <v>0</v>
      </c>
      <c r="Y2160" s="2" t="s">
        <v>394</v>
      </c>
      <c r="Z2160" s="2" t="s">
        <v>9397</v>
      </c>
      <c r="AA2160" s="2">
        <v>-0.38397472135156802</v>
      </c>
      <c r="AB2160" s="2">
        <v>0.37484004996313303</v>
      </c>
      <c r="AC2160" s="2">
        <v>61166.127562730398</v>
      </c>
      <c r="AD2160" s="2">
        <v>71065.431198609396</v>
      </c>
      <c r="AE2160" s="2">
        <v>59870.972965291097</v>
      </c>
      <c r="AF2160" s="2">
        <v>61788.370918941997</v>
      </c>
      <c r="AG2160" s="2">
        <v>62138.583647108797</v>
      </c>
      <c r="AH2160" s="2">
        <v>61373.471001771803</v>
      </c>
      <c r="AI2160" s="2">
        <v>59907.008585423799</v>
      </c>
      <c r="AJ2160" s="2">
        <v>61918.358257844702</v>
      </c>
      <c r="AK2160" s="2">
        <v>71603.398057535494</v>
      </c>
      <c r="AL2160" s="2">
        <v>74153.342144534006</v>
      </c>
      <c r="AM2160" s="2">
        <v>70796.452265576707</v>
      </c>
      <c r="AN2160" s="2">
        <v>71147.230823018195</v>
      </c>
      <c r="AO2160" s="2">
        <v>72674.091072158393</v>
      </c>
      <c r="AP2160" s="2">
        <v>66018.072828833494</v>
      </c>
    </row>
    <row r="2161" spans="1:42" ht="14.5" x14ac:dyDescent="0.35">
      <c r="A2161" s="2" t="s">
        <v>14470</v>
      </c>
      <c r="B2161" s="2">
        <v>635.26688881492498</v>
      </c>
      <c r="C2161" s="2">
        <v>6.4298666666666699</v>
      </c>
      <c r="D2161" s="2" t="s">
        <v>34</v>
      </c>
      <c r="E2161" s="2" t="s">
        <v>14471</v>
      </c>
      <c r="F2161" s="2">
        <v>62630</v>
      </c>
      <c r="G2161" s="3" t="str">
        <f>HYPERLINK("http://funmeta.oebiotech.com/network/62630", "http://funmeta.oebiotech.com/network/62630")</f>
        <v>http://funmeta.oebiotech.com/network/62630</v>
      </c>
      <c r="H2161" s="2" t="s">
        <v>14472</v>
      </c>
      <c r="I2161" s="2">
        <v>93929</v>
      </c>
      <c r="J2161" s="2"/>
      <c r="K2161" s="2"/>
      <c r="L2161" s="2"/>
      <c r="M2161" s="2"/>
      <c r="N2161" s="2"/>
      <c r="O2161" s="2">
        <v>131752614</v>
      </c>
      <c r="P2161" s="2"/>
      <c r="Q2161" s="2" t="s">
        <v>14473</v>
      </c>
      <c r="R2161" s="2" t="s">
        <v>14474</v>
      </c>
      <c r="S2161" s="2" t="s">
        <v>115</v>
      </c>
      <c r="T2161" s="2" t="s">
        <v>575</v>
      </c>
      <c r="U2161" s="2" t="s">
        <v>4232</v>
      </c>
      <c r="V2161" s="2" t="s">
        <v>42</v>
      </c>
      <c r="W2161" s="2">
        <v>53.4</v>
      </c>
      <c r="X2161" s="2">
        <v>84.2</v>
      </c>
      <c r="Y2161" s="2" t="s">
        <v>394</v>
      </c>
      <c r="Z2161" s="2" t="s">
        <v>1497</v>
      </c>
      <c r="AA2161" s="2">
        <v>-4.6179903486608396</v>
      </c>
      <c r="AB2161" s="2">
        <v>0.37480561518206801</v>
      </c>
      <c r="AC2161" s="2">
        <v>112178.66614770801</v>
      </c>
      <c r="AD2161" s="2">
        <v>125746.14492970399</v>
      </c>
      <c r="AE2161" s="2">
        <v>110172.02689182101</v>
      </c>
      <c r="AF2161" s="2">
        <v>114021.36612161899</v>
      </c>
      <c r="AG2161" s="2">
        <v>118972.345869307</v>
      </c>
      <c r="AH2161" s="2">
        <v>106319.512841107</v>
      </c>
      <c r="AI2161" s="2">
        <v>109652.361073397</v>
      </c>
      <c r="AJ2161" s="2">
        <v>113934.384089</v>
      </c>
      <c r="AK2161" s="2">
        <v>118171.212481635</v>
      </c>
      <c r="AL2161" s="2">
        <v>139266.65983073099</v>
      </c>
      <c r="AM2161" s="2">
        <v>129275.14635417399</v>
      </c>
      <c r="AN2161" s="2">
        <v>114609.503626718</v>
      </c>
      <c r="AO2161" s="2">
        <v>135115.50868890199</v>
      </c>
      <c r="AP2161" s="2">
        <v>118038.838596067</v>
      </c>
    </row>
    <row r="2162" spans="1:42" ht="14.5" x14ac:dyDescent="0.35">
      <c r="A2162" s="2" t="s">
        <v>14475</v>
      </c>
      <c r="B2162" s="2">
        <v>558.30575153830205</v>
      </c>
      <c r="C2162" s="2">
        <v>4.6168333333333296</v>
      </c>
      <c r="D2162" s="2" t="s">
        <v>34</v>
      </c>
      <c r="E2162" s="2" t="s">
        <v>14476</v>
      </c>
      <c r="F2162" s="2">
        <v>204302</v>
      </c>
      <c r="G2162" s="3" t="str">
        <f>HYPERLINK("http://funmeta.oebiotech.com/network/204302", "http://funmeta.oebiotech.com/network/204302")</f>
        <v>http://funmeta.oebiotech.com/network/204302</v>
      </c>
      <c r="H2162" s="2" t="s">
        <v>14477</v>
      </c>
      <c r="I2162" s="2"/>
      <c r="J2162" s="2"/>
      <c r="K2162" s="2"/>
      <c r="L2162" s="2"/>
      <c r="M2162" s="2"/>
      <c r="N2162" s="2"/>
      <c r="O2162" s="2">
        <v>23594367</v>
      </c>
      <c r="P2162" s="2"/>
      <c r="Q2162" s="2" t="s">
        <v>14478</v>
      </c>
      <c r="R2162" s="2" t="s">
        <v>14479</v>
      </c>
      <c r="S2162" s="2" t="s">
        <v>89</v>
      </c>
      <c r="T2162" s="2" t="s">
        <v>1600</v>
      </c>
      <c r="U2162" s="2" t="s">
        <v>3890</v>
      </c>
      <c r="V2162" s="2" t="s">
        <v>59</v>
      </c>
      <c r="W2162" s="2">
        <v>38.299999999999997</v>
      </c>
      <c r="X2162" s="2">
        <v>0</v>
      </c>
      <c r="Y2162" s="2" t="s">
        <v>340</v>
      </c>
      <c r="Z2162" s="2" t="s">
        <v>14480</v>
      </c>
      <c r="AA2162" s="2">
        <v>1.00876355389793</v>
      </c>
      <c r="AB2162" s="2">
        <v>0.37453476840168198</v>
      </c>
      <c r="AC2162" s="2">
        <v>21863.548070730201</v>
      </c>
      <c r="AD2162" s="2">
        <v>32240.041462026998</v>
      </c>
      <c r="AE2162" s="2">
        <v>20000.860306553499</v>
      </c>
      <c r="AF2162" s="2">
        <v>18811.957938551699</v>
      </c>
      <c r="AG2162" s="2">
        <v>21505.5000851597</v>
      </c>
      <c r="AH2162" s="2">
        <v>25155.253811678998</v>
      </c>
      <c r="AI2162" s="2">
        <v>22386.3982350033</v>
      </c>
      <c r="AJ2162" s="2">
        <v>23321.318047433899</v>
      </c>
      <c r="AK2162" s="2">
        <v>28482.241614483799</v>
      </c>
      <c r="AL2162" s="2">
        <v>38224.098499680797</v>
      </c>
      <c r="AM2162" s="2">
        <v>34443.2509884436</v>
      </c>
      <c r="AN2162" s="2">
        <v>30647.272983241699</v>
      </c>
      <c r="AO2162" s="2">
        <v>31162.277057331899</v>
      </c>
      <c r="AP2162" s="2">
        <v>30481.107628980099</v>
      </c>
    </row>
    <row r="2163" spans="1:42" ht="14.5" x14ac:dyDescent="0.35">
      <c r="A2163" s="2" t="s">
        <v>14481</v>
      </c>
      <c r="B2163" s="2">
        <v>347.18380049455999</v>
      </c>
      <c r="C2163" s="2">
        <v>9.1767166666666693</v>
      </c>
      <c r="D2163" s="2" t="s">
        <v>34</v>
      </c>
      <c r="E2163" s="2" t="s">
        <v>14482</v>
      </c>
      <c r="F2163" s="2">
        <v>209320</v>
      </c>
      <c r="G2163" s="3" t="str">
        <f>HYPERLINK("http://funmeta.oebiotech.com/network/209320", "http://funmeta.oebiotech.com/network/209320")</f>
        <v>http://funmeta.oebiotech.com/network/209320</v>
      </c>
      <c r="H2163" s="2" t="s">
        <v>14483</v>
      </c>
      <c r="I2163" s="2"/>
      <c r="J2163" s="2"/>
      <c r="K2163" s="2"/>
      <c r="L2163" s="2"/>
      <c r="M2163" s="2"/>
      <c r="N2163" s="2"/>
      <c r="O2163" s="2">
        <v>44282903</v>
      </c>
      <c r="P2163" s="2"/>
      <c r="Q2163" s="2" t="s">
        <v>14484</v>
      </c>
      <c r="R2163" s="2" t="s">
        <v>14485</v>
      </c>
      <c r="S2163" s="2" t="s">
        <v>1444</v>
      </c>
      <c r="T2163" s="2" t="s">
        <v>3595</v>
      </c>
      <c r="U2163" s="2" t="s">
        <v>41</v>
      </c>
      <c r="V2163" s="2" t="s">
        <v>42</v>
      </c>
      <c r="W2163" s="2">
        <v>53.4</v>
      </c>
      <c r="X2163" s="2">
        <v>74.8</v>
      </c>
      <c r="Y2163" s="2" t="s">
        <v>141</v>
      </c>
      <c r="Z2163" s="2" t="s">
        <v>14486</v>
      </c>
      <c r="AA2163" s="2">
        <v>3.2551173156976501</v>
      </c>
      <c r="AB2163" s="2">
        <v>0.37444314284328001</v>
      </c>
      <c r="AC2163" s="2">
        <v>22403.9660141678</v>
      </c>
      <c r="AD2163" s="2">
        <v>13057.7578288432</v>
      </c>
      <c r="AE2163" s="2">
        <v>23005.3701455759</v>
      </c>
      <c r="AF2163" s="2">
        <v>20620.312843580301</v>
      </c>
      <c r="AG2163" s="2">
        <v>23913.508338567601</v>
      </c>
      <c r="AH2163" s="2">
        <v>22253.4734981849</v>
      </c>
      <c r="AI2163" s="2">
        <v>22917.364523928401</v>
      </c>
      <c r="AJ2163" s="2">
        <v>21713.7667351696</v>
      </c>
      <c r="AK2163" s="2">
        <v>13682.448722254399</v>
      </c>
      <c r="AL2163" s="2">
        <v>13620.7361123884</v>
      </c>
      <c r="AM2163" s="2">
        <v>12935.6858751047</v>
      </c>
      <c r="AN2163" s="2">
        <v>13109.901363675301</v>
      </c>
      <c r="AO2163" s="2">
        <v>12900.0083993395</v>
      </c>
      <c r="AP2163" s="2">
        <v>12097.766500296801</v>
      </c>
    </row>
    <row r="2164" spans="1:42" ht="14.5" x14ac:dyDescent="0.35">
      <c r="A2164" s="2" t="s">
        <v>14487</v>
      </c>
      <c r="B2164" s="2">
        <v>295.06659964573703</v>
      </c>
      <c r="C2164" s="2">
        <v>0.76995000000000002</v>
      </c>
      <c r="D2164" s="2" t="s">
        <v>70</v>
      </c>
      <c r="E2164" s="2" t="s">
        <v>14488</v>
      </c>
      <c r="F2164" s="2">
        <v>51459</v>
      </c>
      <c r="G2164" s="3" t="str">
        <f>HYPERLINK("http://funmeta.oebiotech.com/network/51459", "http://funmeta.oebiotech.com/network/51459")</f>
        <v>http://funmeta.oebiotech.com/network/51459</v>
      </c>
      <c r="H2164" s="2" t="s">
        <v>14489</v>
      </c>
      <c r="I2164" s="2">
        <v>62415</v>
      </c>
      <c r="J2164" s="2"/>
      <c r="K2164" s="2">
        <v>15867</v>
      </c>
      <c r="L2164" s="2" t="s">
        <v>14490</v>
      </c>
      <c r="M2164" s="2" t="s">
        <v>14491</v>
      </c>
      <c r="N2164" s="2" t="s">
        <v>14492</v>
      </c>
      <c r="O2164" s="2">
        <v>439692</v>
      </c>
      <c r="P2164" s="2"/>
      <c r="Q2164" s="2" t="s">
        <v>14493</v>
      </c>
      <c r="R2164" s="2" t="s">
        <v>14494</v>
      </c>
      <c r="S2164" s="2" t="s">
        <v>491</v>
      </c>
      <c r="T2164" s="2" t="s">
        <v>5973</v>
      </c>
      <c r="U2164" s="2" t="s">
        <v>5974</v>
      </c>
      <c r="V2164" s="2" t="s">
        <v>42</v>
      </c>
      <c r="W2164" s="2">
        <v>48.6</v>
      </c>
      <c r="X2164" s="2">
        <v>47.1</v>
      </c>
      <c r="Y2164" s="2" t="s">
        <v>560</v>
      </c>
      <c r="Z2164" s="2" t="s">
        <v>14495</v>
      </c>
      <c r="AA2164" s="2">
        <v>-1.5895702822839299</v>
      </c>
      <c r="AB2164" s="2">
        <v>0.37426393327363</v>
      </c>
      <c r="AC2164" s="2">
        <v>49806.2111678949</v>
      </c>
      <c r="AD2164" s="2">
        <v>61514.159246815303</v>
      </c>
      <c r="AE2164" s="2">
        <v>53638.636730402097</v>
      </c>
      <c r="AF2164" s="2">
        <v>53380.7130348063</v>
      </c>
      <c r="AG2164" s="2">
        <v>50254.708192040503</v>
      </c>
      <c r="AH2164" s="2">
        <v>42645.901780025801</v>
      </c>
      <c r="AI2164" s="2">
        <v>45168.209950429002</v>
      </c>
      <c r="AJ2164" s="2">
        <v>53749.097319665503</v>
      </c>
      <c r="AK2164" s="2">
        <v>67012.624023851196</v>
      </c>
      <c r="AL2164" s="2">
        <v>61582.264568976098</v>
      </c>
      <c r="AM2164" s="2">
        <v>58837.4401476891</v>
      </c>
      <c r="AN2164" s="2">
        <v>53212.929701455003</v>
      </c>
      <c r="AO2164" s="2">
        <v>65632.4802561713</v>
      </c>
      <c r="AP2164" s="2">
        <v>62807.216782748998</v>
      </c>
    </row>
    <row r="2165" spans="1:42" ht="14.5" x14ac:dyDescent="0.35">
      <c r="A2165" s="2" t="s">
        <v>14496</v>
      </c>
      <c r="B2165" s="2">
        <v>647.230501620582</v>
      </c>
      <c r="C2165" s="2">
        <v>4.3961833333333296</v>
      </c>
      <c r="D2165" s="2" t="s">
        <v>34</v>
      </c>
      <c r="E2165" s="2" t="s">
        <v>14497</v>
      </c>
      <c r="F2165" s="2">
        <v>58628</v>
      </c>
      <c r="G2165" s="3" t="str">
        <f>HYPERLINK("http://funmeta.oebiotech.com/network/58628", "http://funmeta.oebiotech.com/network/58628")</f>
        <v>http://funmeta.oebiotech.com/network/58628</v>
      </c>
      <c r="H2165" s="2" t="s">
        <v>14498</v>
      </c>
      <c r="I2165" s="2">
        <v>90097</v>
      </c>
      <c r="J2165" s="2"/>
      <c r="K2165" s="2">
        <v>172783</v>
      </c>
      <c r="L2165" s="2"/>
      <c r="M2165" s="2"/>
      <c r="N2165" s="2"/>
      <c r="O2165" s="2">
        <v>131751598</v>
      </c>
      <c r="P2165" s="2" t="s">
        <v>14499</v>
      </c>
      <c r="Q2165" s="2" t="s">
        <v>14500</v>
      </c>
      <c r="R2165" s="2" t="s">
        <v>14501</v>
      </c>
      <c r="S2165" s="2" t="s">
        <v>115</v>
      </c>
      <c r="T2165" s="2" t="s">
        <v>139</v>
      </c>
      <c r="U2165" s="2" t="s">
        <v>140</v>
      </c>
      <c r="V2165" s="2" t="s">
        <v>59</v>
      </c>
      <c r="W2165" s="2">
        <v>37.4</v>
      </c>
      <c r="X2165" s="2">
        <v>0</v>
      </c>
      <c r="Y2165" s="2" t="s">
        <v>394</v>
      </c>
      <c r="Z2165" s="2" t="s">
        <v>14502</v>
      </c>
      <c r="AA2165" s="2">
        <v>-4.5351056912149303</v>
      </c>
      <c r="AB2165" s="2">
        <v>0.374178442910861</v>
      </c>
      <c r="AC2165" s="2">
        <v>12303.772995494901</v>
      </c>
      <c r="AD2165" s="2">
        <v>22636.1055535017</v>
      </c>
      <c r="AE2165" s="2">
        <v>13314.537869599601</v>
      </c>
      <c r="AF2165" s="2">
        <v>14676.0769573161</v>
      </c>
      <c r="AG2165" s="2">
        <v>11176.4351325281</v>
      </c>
      <c r="AH2165" s="2">
        <v>11426.8500919935</v>
      </c>
      <c r="AI2165" s="2">
        <v>9115.6759734443003</v>
      </c>
      <c r="AJ2165" s="2">
        <v>14113.061948088</v>
      </c>
      <c r="AK2165" s="2">
        <v>20002.9254215609</v>
      </c>
      <c r="AL2165" s="2">
        <v>22074.2844253455</v>
      </c>
      <c r="AM2165" s="2">
        <v>26115.1493155717</v>
      </c>
      <c r="AN2165" s="2">
        <v>27644.692666475301</v>
      </c>
      <c r="AO2165" s="2">
        <v>21377.617367885599</v>
      </c>
      <c r="AP2165" s="2">
        <v>18601.964124171202</v>
      </c>
    </row>
    <row r="2166" spans="1:42" ht="14.5" x14ac:dyDescent="0.35">
      <c r="A2166" s="2" t="s">
        <v>14503</v>
      </c>
      <c r="B2166" s="2">
        <v>521.17150108118801</v>
      </c>
      <c r="C2166" s="2">
        <v>0.71055000000000001</v>
      </c>
      <c r="D2166" s="2" t="s">
        <v>70</v>
      </c>
      <c r="E2166" s="2" t="s">
        <v>14504</v>
      </c>
      <c r="F2166" s="2">
        <v>204744</v>
      </c>
      <c r="G2166" s="3" t="str">
        <f>HYPERLINK("http://funmeta.oebiotech.com/network/204744", "http://funmeta.oebiotech.com/network/204744")</f>
        <v>http://funmeta.oebiotech.com/network/204744</v>
      </c>
      <c r="H2166" s="2" t="s">
        <v>14505</v>
      </c>
      <c r="I2166" s="2"/>
      <c r="J2166" s="2"/>
      <c r="K2166" s="2"/>
      <c r="L2166" s="2"/>
      <c r="M2166" s="2"/>
      <c r="N2166" s="2"/>
      <c r="O2166" s="2">
        <v>104916</v>
      </c>
      <c r="P2166" s="2"/>
      <c r="Q2166" s="2" t="s">
        <v>14506</v>
      </c>
      <c r="R2166" s="2" t="s">
        <v>14507</v>
      </c>
      <c r="S2166" s="2" t="s">
        <v>491</v>
      </c>
      <c r="T2166" s="2" t="s">
        <v>3519</v>
      </c>
      <c r="U2166" s="2" t="s">
        <v>7152</v>
      </c>
      <c r="V2166" s="2" t="s">
        <v>59</v>
      </c>
      <c r="W2166" s="2">
        <v>37.5</v>
      </c>
      <c r="X2166" s="2">
        <v>0</v>
      </c>
      <c r="Y2166" s="2" t="s">
        <v>560</v>
      </c>
      <c r="Z2166" s="2" t="s">
        <v>14508</v>
      </c>
      <c r="AA2166" s="2">
        <v>-3.1530486334824501</v>
      </c>
      <c r="AB2166" s="2">
        <v>0.37408879973564502</v>
      </c>
      <c r="AC2166" s="2">
        <v>120897.394216824</v>
      </c>
      <c r="AD2166" s="2">
        <v>139998.714141684</v>
      </c>
      <c r="AE2166" s="2">
        <v>147658.373155101</v>
      </c>
      <c r="AF2166" s="2">
        <v>112807.282170697</v>
      </c>
      <c r="AG2166" s="2">
        <v>110465.137368319</v>
      </c>
      <c r="AH2166" s="2">
        <v>132144.16212162399</v>
      </c>
      <c r="AI2166" s="2">
        <v>141410.30281470099</v>
      </c>
      <c r="AJ2166" s="2">
        <v>80899.107670500598</v>
      </c>
      <c r="AK2166" s="2">
        <v>132167.17527009</v>
      </c>
      <c r="AL2166" s="2">
        <v>139543.22857012</v>
      </c>
      <c r="AM2166" s="2">
        <v>119874.618358126</v>
      </c>
      <c r="AN2166" s="2">
        <v>151703.40436273499</v>
      </c>
      <c r="AO2166" s="2">
        <v>149878.99261242</v>
      </c>
      <c r="AP2166" s="2">
        <v>146824.86567661399</v>
      </c>
    </row>
    <row r="2167" spans="1:42" ht="14.5" x14ac:dyDescent="0.35">
      <c r="A2167" s="2" t="s">
        <v>14509</v>
      </c>
      <c r="B2167" s="2">
        <v>316.06716168809299</v>
      </c>
      <c r="C2167" s="2">
        <v>4.2405333333333299</v>
      </c>
      <c r="D2167" s="2" t="s">
        <v>70</v>
      </c>
      <c r="E2167" s="2" t="s">
        <v>14510</v>
      </c>
      <c r="F2167" s="2">
        <v>200994</v>
      </c>
      <c r="G2167" s="3" t="str">
        <f>HYPERLINK("http://funmeta.oebiotech.com/network/200994", "http://funmeta.oebiotech.com/network/200994")</f>
        <v>http://funmeta.oebiotech.com/network/200994</v>
      </c>
      <c r="H2167" s="2" t="s">
        <v>14511</v>
      </c>
      <c r="I2167" s="2"/>
      <c r="J2167" s="2"/>
      <c r="K2167" s="2"/>
      <c r="L2167" s="2"/>
      <c r="M2167" s="2"/>
      <c r="N2167" s="2"/>
      <c r="O2167" s="2">
        <v>340484</v>
      </c>
      <c r="P2167" s="2"/>
      <c r="Q2167" s="2" t="s">
        <v>14512</v>
      </c>
      <c r="R2167" s="2" t="s">
        <v>14513</v>
      </c>
      <c r="S2167" s="2" t="s">
        <v>79</v>
      </c>
      <c r="T2167" s="2" t="s">
        <v>80</v>
      </c>
      <c r="U2167" s="2" t="s">
        <v>81</v>
      </c>
      <c r="V2167" s="2" t="s">
        <v>59</v>
      </c>
      <c r="W2167" s="2">
        <v>38.9</v>
      </c>
      <c r="X2167" s="2">
        <v>7.4399999999999994E-2</v>
      </c>
      <c r="Y2167" s="2" t="s">
        <v>408</v>
      </c>
      <c r="Z2167" s="2" t="s">
        <v>14514</v>
      </c>
      <c r="AA2167" s="2">
        <v>-0.89623068612585699</v>
      </c>
      <c r="AB2167" s="2">
        <v>0.374043924051216</v>
      </c>
      <c r="AC2167" s="2">
        <v>19946.887497086002</v>
      </c>
      <c r="AD2167" s="2">
        <v>10445.1173154227</v>
      </c>
      <c r="AE2167" s="2">
        <v>19456.256055957099</v>
      </c>
      <c r="AF2167" s="2">
        <v>17402.733012192799</v>
      </c>
      <c r="AG2167" s="2">
        <v>19698.514951691501</v>
      </c>
      <c r="AH2167" s="2">
        <v>21098.954433421099</v>
      </c>
      <c r="AI2167" s="2">
        <v>20952.271194007299</v>
      </c>
      <c r="AJ2167" s="2">
        <v>21072.595335246398</v>
      </c>
      <c r="AK2167" s="2">
        <v>9157.4462990272896</v>
      </c>
      <c r="AL2167" s="2">
        <v>9254.7559925314508</v>
      </c>
      <c r="AM2167" s="2">
        <v>11646.866840471101</v>
      </c>
      <c r="AN2167" s="2">
        <v>10635.643400270999</v>
      </c>
      <c r="AO2167" s="2">
        <v>10052.2224474055</v>
      </c>
      <c r="AP2167" s="2">
        <v>11923.768912829701</v>
      </c>
    </row>
    <row r="2168" spans="1:42" ht="14.5" x14ac:dyDescent="0.35">
      <c r="A2168" s="2" t="s">
        <v>14515</v>
      </c>
      <c r="B2168" s="2">
        <v>261.09430594563099</v>
      </c>
      <c r="C2168" s="2">
        <v>1.06171666666667</v>
      </c>
      <c r="D2168" s="2" t="s">
        <v>34</v>
      </c>
      <c r="E2168" s="2" t="s">
        <v>14516</v>
      </c>
      <c r="F2168" s="2">
        <v>57327</v>
      </c>
      <c r="G2168" s="3" t="str">
        <f>HYPERLINK("http://funmeta.oebiotech.com/network/57327", "http://funmeta.oebiotech.com/network/57327")</f>
        <v>http://funmeta.oebiotech.com/network/57327</v>
      </c>
      <c r="H2168" s="2" t="s">
        <v>14517</v>
      </c>
      <c r="I2168" s="2">
        <v>88957</v>
      </c>
      <c r="J2168" s="2"/>
      <c r="K2168" s="2">
        <v>174234</v>
      </c>
      <c r="L2168" s="2"/>
      <c r="M2168" s="2"/>
      <c r="N2168" s="2"/>
      <c r="O2168" s="2">
        <v>21225084</v>
      </c>
      <c r="P2168" s="2"/>
      <c r="Q2168" s="2" t="s">
        <v>14518</v>
      </c>
      <c r="R2168" s="2" t="s">
        <v>14519</v>
      </c>
      <c r="S2168" s="2" t="s">
        <v>79</v>
      </c>
      <c r="T2168" s="2" t="s">
        <v>80</v>
      </c>
      <c r="U2168" s="2" t="s">
        <v>81</v>
      </c>
      <c r="V2168" s="2" t="s">
        <v>59</v>
      </c>
      <c r="W2168" s="2">
        <v>40</v>
      </c>
      <c r="X2168" s="2">
        <v>3.31</v>
      </c>
      <c r="Y2168" s="2" t="s">
        <v>13518</v>
      </c>
      <c r="Z2168" s="2" t="s">
        <v>14520</v>
      </c>
      <c r="AA2168" s="2">
        <v>-0.70409428880349401</v>
      </c>
      <c r="AB2168" s="2">
        <v>0.374037459693282</v>
      </c>
      <c r="AC2168" s="2">
        <v>112261.317197193</v>
      </c>
      <c r="AD2168" s="2">
        <v>126438.854624821</v>
      </c>
      <c r="AE2168" s="2">
        <v>114005.66496045201</v>
      </c>
      <c r="AF2168" s="2">
        <v>115460.55286015201</v>
      </c>
      <c r="AG2168" s="2">
        <v>102086.548172825</v>
      </c>
      <c r="AH2168" s="2">
        <v>110777.342152823</v>
      </c>
      <c r="AI2168" s="2">
        <v>128576.19799651801</v>
      </c>
      <c r="AJ2168" s="2">
        <v>102661.59704038801</v>
      </c>
      <c r="AK2168" s="2">
        <v>127216.754480181</v>
      </c>
      <c r="AL2168" s="2">
        <v>133396.59765892901</v>
      </c>
      <c r="AM2168" s="2">
        <v>114548.909188479</v>
      </c>
      <c r="AN2168" s="2">
        <v>116946.97002818401</v>
      </c>
      <c r="AO2168" s="2">
        <v>135427.54428748501</v>
      </c>
      <c r="AP2168" s="2">
        <v>131096.352105667</v>
      </c>
    </row>
    <row r="2169" spans="1:42" ht="14.5" x14ac:dyDescent="0.35">
      <c r="A2169" s="2" t="s">
        <v>14521</v>
      </c>
      <c r="B2169" s="2">
        <v>297.13400459397599</v>
      </c>
      <c r="C2169" s="2">
        <v>4.5612000000000004</v>
      </c>
      <c r="D2169" s="2" t="s">
        <v>70</v>
      </c>
      <c r="E2169" s="2" t="s">
        <v>14522</v>
      </c>
      <c r="F2169" s="2">
        <v>59851</v>
      </c>
      <c r="G2169" s="3" t="str">
        <f>HYPERLINK("http://funmeta.oebiotech.com/network/59851", "http://funmeta.oebiotech.com/network/59851")</f>
        <v>http://funmeta.oebiotech.com/network/59851</v>
      </c>
      <c r="H2169" s="2" t="s">
        <v>14523</v>
      </c>
      <c r="I2169" s="2">
        <v>91225</v>
      </c>
      <c r="J2169" s="2"/>
      <c r="K2169" s="2">
        <v>166554</v>
      </c>
      <c r="L2169" s="2"/>
      <c r="M2169" s="2"/>
      <c r="N2169" s="2"/>
      <c r="O2169" s="2">
        <v>131751906</v>
      </c>
      <c r="P2169" s="2" t="s">
        <v>14524</v>
      </c>
      <c r="Q2169" s="2" t="s">
        <v>14525</v>
      </c>
      <c r="R2169" s="2" t="s">
        <v>14526</v>
      </c>
      <c r="S2169" s="2" t="s">
        <v>491</v>
      </c>
      <c r="T2169" s="2" t="s">
        <v>2943</v>
      </c>
      <c r="U2169" s="2" t="s">
        <v>41</v>
      </c>
      <c r="V2169" s="2" t="s">
        <v>42</v>
      </c>
      <c r="W2169" s="2">
        <v>55.9</v>
      </c>
      <c r="X2169" s="2">
        <v>83.6</v>
      </c>
      <c r="Y2169" s="2" t="s">
        <v>408</v>
      </c>
      <c r="Z2169" s="2" t="s">
        <v>14527</v>
      </c>
      <c r="AA2169" s="2">
        <v>-1.41747088235135</v>
      </c>
      <c r="AB2169" s="2">
        <v>0.3738904371115</v>
      </c>
      <c r="AC2169" s="2">
        <v>42064.7404551289</v>
      </c>
      <c r="AD2169" s="2">
        <v>53525.733420229299</v>
      </c>
      <c r="AE2169" s="2">
        <v>43073.612078510399</v>
      </c>
      <c r="AF2169" s="2">
        <v>42618.627549329802</v>
      </c>
      <c r="AG2169" s="2">
        <v>44418.7907294908</v>
      </c>
      <c r="AH2169" s="2">
        <v>40256.335177309702</v>
      </c>
      <c r="AI2169" s="2">
        <v>38297.650182931</v>
      </c>
      <c r="AJ2169" s="2">
        <v>43723.427013201501</v>
      </c>
      <c r="AK2169" s="2">
        <v>46943.612628782997</v>
      </c>
      <c r="AL2169" s="2">
        <v>64960.210261401102</v>
      </c>
      <c r="AM2169" s="2">
        <v>51137.439940575801</v>
      </c>
      <c r="AN2169" s="2">
        <v>53489.921472392103</v>
      </c>
      <c r="AO2169" s="2">
        <v>52203.796804865102</v>
      </c>
      <c r="AP2169" s="2">
        <v>52419.419413358599</v>
      </c>
    </row>
    <row r="2170" spans="1:42" ht="14.5" x14ac:dyDescent="0.35">
      <c r="A2170" s="2" t="s">
        <v>14528</v>
      </c>
      <c r="B2170" s="2">
        <v>360.31045626095198</v>
      </c>
      <c r="C2170" s="2">
        <v>10.2647666666667</v>
      </c>
      <c r="D2170" s="2" t="s">
        <v>34</v>
      </c>
      <c r="E2170" s="2" t="s">
        <v>14529</v>
      </c>
      <c r="F2170" s="2">
        <v>208525</v>
      </c>
      <c r="G2170" s="3" t="str">
        <f>HYPERLINK("http://funmeta.oebiotech.com/network/208525", "http://funmeta.oebiotech.com/network/208525")</f>
        <v>http://funmeta.oebiotech.com/network/208525</v>
      </c>
      <c r="H2170" s="2" t="s">
        <v>14530</v>
      </c>
      <c r="I2170" s="2">
        <v>62960</v>
      </c>
      <c r="J2170" s="2"/>
      <c r="K2170" s="2">
        <v>149582</v>
      </c>
      <c r="L2170" s="2"/>
      <c r="M2170" s="2"/>
      <c r="N2170" s="2"/>
      <c r="O2170" s="2">
        <v>121871</v>
      </c>
      <c r="P2170" s="2" t="s">
        <v>14531</v>
      </c>
      <c r="Q2170" s="2" t="s">
        <v>14532</v>
      </c>
      <c r="R2170" s="2" t="s">
        <v>14533</v>
      </c>
      <c r="S2170" s="2" t="s">
        <v>50</v>
      </c>
      <c r="T2170" s="2" t="s">
        <v>229</v>
      </c>
      <c r="U2170" s="2" t="s">
        <v>433</v>
      </c>
      <c r="V2170" s="2" t="s">
        <v>59</v>
      </c>
      <c r="W2170" s="2">
        <v>38.700000000000003</v>
      </c>
      <c r="X2170" s="2">
        <v>0</v>
      </c>
      <c r="Y2170" s="2" t="s">
        <v>43</v>
      </c>
      <c r="Z2170" s="2" t="s">
        <v>14534</v>
      </c>
      <c r="AA2170" s="2">
        <v>-1.1071907774541101</v>
      </c>
      <c r="AB2170" s="2">
        <v>0.37369054418030201</v>
      </c>
      <c r="AC2170" s="2">
        <v>32727.813337518201</v>
      </c>
      <c r="AD2170" s="2">
        <v>43632.415643218897</v>
      </c>
      <c r="AE2170" s="2">
        <v>31099.142630293001</v>
      </c>
      <c r="AF2170" s="2">
        <v>32620.120600135699</v>
      </c>
      <c r="AG2170" s="2">
        <v>34344.609409860197</v>
      </c>
      <c r="AH2170" s="2">
        <v>34404.566371821398</v>
      </c>
      <c r="AI2170" s="2">
        <v>32866.621441742602</v>
      </c>
      <c r="AJ2170" s="2">
        <v>31031.819571256299</v>
      </c>
      <c r="AK2170" s="2">
        <v>50237.241339445398</v>
      </c>
      <c r="AL2170" s="2">
        <v>48377.4553054344</v>
      </c>
      <c r="AM2170" s="2">
        <v>42021.846985583899</v>
      </c>
      <c r="AN2170" s="2">
        <v>44105.250145343598</v>
      </c>
      <c r="AO2170" s="2">
        <v>41144.416223788998</v>
      </c>
      <c r="AP2170" s="2">
        <v>35908.283859717201</v>
      </c>
    </row>
    <row r="2171" spans="1:42" ht="14.5" x14ac:dyDescent="0.35">
      <c r="A2171" s="2" t="s">
        <v>14535</v>
      </c>
      <c r="B2171" s="2">
        <v>330.20344299774098</v>
      </c>
      <c r="C2171" s="2">
        <v>12.8157833333333</v>
      </c>
      <c r="D2171" s="2" t="s">
        <v>34</v>
      </c>
      <c r="E2171" s="2" t="s">
        <v>14536</v>
      </c>
      <c r="F2171" s="2">
        <v>52600</v>
      </c>
      <c r="G2171" s="3" t="str">
        <f>HYPERLINK("http://funmeta.oebiotech.com/network/52600", "http://funmeta.oebiotech.com/network/52600")</f>
        <v>http://funmeta.oebiotech.com/network/52600</v>
      </c>
      <c r="H2171" s="2" t="s">
        <v>14537</v>
      </c>
      <c r="I2171" s="2">
        <v>1319</v>
      </c>
      <c r="J2171" s="2"/>
      <c r="K2171" s="2">
        <v>3082</v>
      </c>
      <c r="L2171" s="2" t="s">
        <v>14538</v>
      </c>
      <c r="M2171" s="2"/>
      <c r="N2171" s="2"/>
      <c r="O2171" s="2">
        <v>2369</v>
      </c>
      <c r="P2171" s="2" t="s">
        <v>14539</v>
      </c>
      <c r="Q2171" s="2" t="s">
        <v>14540</v>
      </c>
      <c r="R2171" s="2" t="s">
        <v>14541</v>
      </c>
      <c r="S2171" s="2" t="s">
        <v>148</v>
      </c>
      <c r="T2171" s="2" t="s">
        <v>392</v>
      </c>
      <c r="U2171" s="2" t="s">
        <v>14542</v>
      </c>
      <c r="V2171" s="2" t="s">
        <v>59</v>
      </c>
      <c r="W2171" s="2">
        <v>38.200000000000003</v>
      </c>
      <c r="X2171" s="2">
        <v>0</v>
      </c>
      <c r="Y2171" s="2" t="s">
        <v>323</v>
      </c>
      <c r="Z2171" s="2" t="s">
        <v>14543</v>
      </c>
      <c r="AA2171" s="2">
        <v>-1.6974308031265499</v>
      </c>
      <c r="AB2171" s="2">
        <v>0.37362249898395899</v>
      </c>
      <c r="AC2171" s="2">
        <v>28490.591850552999</v>
      </c>
      <c r="AD2171" s="2">
        <v>18979.7698228843</v>
      </c>
      <c r="AE2171" s="2">
        <v>28247.097289113699</v>
      </c>
      <c r="AF2171" s="2">
        <v>28590.166118067398</v>
      </c>
      <c r="AG2171" s="2">
        <v>30154.712938069701</v>
      </c>
      <c r="AH2171" s="2">
        <v>26504.906493938899</v>
      </c>
      <c r="AI2171" s="2">
        <v>27682.109086554301</v>
      </c>
      <c r="AJ2171" s="2">
        <v>29764.559177574301</v>
      </c>
      <c r="AK2171" s="2">
        <v>21377.777653296602</v>
      </c>
      <c r="AL2171" s="2">
        <v>18637.513623796502</v>
      </c>
      <c r="AM2171" s="2">
        <v>17252.123649248399</v>
      </c>
      <c r="AN2171" s="2">
        <v>19900.4669175335</v>
      </c>
      <c r="AO2171" s="2">
        <v>19522.7902923334</v>
      </c>
      <c r="AP2171" s="2">
        <v>17187.9468010973</v>
      </c>
    </row>
    <row r="2172" spans="1:42" ht="14.5" x14ac:dyDescent="0.35">
      <c r="A2172" s="2" t="s">
        <v>14544</v>
      </c>
      <c r="B2172" s="2">
        <v>550.22921420155899</v>
      </c>
      <c r="C2172" s="2">
        <v>5.7665166666666696</v>
      </c>
      <c r="D2172" s="2" t="s">
        <v>70</v>
      </c>
      <c r="E2172" s="2" t="s">
        <v>14545</v>
      </c>
      <c r="F2172" s="2">
        <v>212627</v>
      </c>
      <c r="G2172" s="3" t="str">
        <f>HYPERLINK("http://funmeta.oebiotech.com/network/212627", "http://funmeta.oebiotech.com/network/212627")</f>
        <v>http://funmeta.oebiotech.com/network/212627</v>
      </c>
      <c r="H2172" s="2" t="s">
        <v>14546</v>
      </c>
      <c r="I2172" s="2"/>
      <c r="J2172" s="2"/>
      <c r="K2172" s="2"/>
      <c r="L2172" s="2"/>
      <c r="M2172" s="2"/>
      <c r="N2172" s="2"/>
      <c r="O2172" s="2">
        <v>53461776</v>
      </c>
      <c r="P2172" s="2"/>
      <c r="Q2172" s="2" t="s">
        <v>14547</v>
      </c>
      <c r="R2172" s="2" t="s">
        <v>14548</v>
      </c>
      <c r="S2172" s="2" t="s">
        <v>41</v>
      </c>
      <c r="T2172" s="2" t="s">
        <v>41</v>
      </c>
      <c r="U2172" s="2" t="s">
        <v>41</v>
      </c>
      <c r="V2172" s="2" t="s">
        <v>59</v>
      </c>
      <c r="W2172" s="2">
        <v>38.200000000000003</v>
      </c>
      <c r="X2172" s="2">
        <v>0.26400000000000001</v>
      </c>
      <c r="Y2172" s="2" t="s">
        <v>408</v>
      </c>
      <c r="Z2172" s="2" t="s">
        <v>14549</v>
      </c>
      <c r="AA2172" s="2">
        <v>-2.9843376150815</v>
      </c>
      <c r="AB2172" s="2">
        <v>0.37361510919574298</v>
      </c>
      <c r="AC2172" s="2">
        <v>9321.9155153399606</v>
      </c>
      <c r="AD2172" s="2">
        <v>18676.0302723735</v>
      </c>
      <c r="AE2172" s="2">
        <v>8783.8366117706391</v>
      </c>
      <c r="AF2172" s="2">
        <v>9877.26539408996</v>
      </c>
      <c r="AG2172" s="2">
        <v>8936.0725318034201</v>
      </c>
      <c r="AH2172" s="2">
        <v>9169.8079867128108</v>
      </c>
      <c r="AI2172" s="2">
        <v>8974.5747975653994</v>
      </c>
      <c r="AJ2172" s="2">
        <v>10189.9357700975</v>
      </c>
      <c r="AK2172" s="2">
        <v>18845.116616762702</v>
      </c>
      <c r="AL2172" s="2">
        <v>20663.0642697945</v>
      </c>
      <c r="AM2172" s="2">
        <v>16835.374188308</v>
      </c>
      <c r="AN2172" s="2">
        <v>18448.769692468199</v>
      </c>
      <c r="AO2172" s="2">
        <v>19423.797421491599</v>
      </c>
      <c r="AP2172" s="2">
        <v>17840.0594454159</v>
      </c>
    </row>
    <row r="2173" spans="1:42" ht="14.5" x14ac:dyDescent="0.35">
      <c r="A2173" s="2" t="s">
        <v>14550</v>
      </c>
      <c r="B2173" s="2">
        <v>1092.56678503138</v>
      </c>
      <c r="C2173" s="2">
        <v>9.1956833333333297</v>
      </c>
      <c r="D2173" s="2" t="s">
        <v>34</v>
      </c>
      <c r="E2173" s="2" t="s">
        <v>14551</v>
      </c>
      <c r="F2173" s="2">
        <v>245418</v>
      </c>
      <c r="G2173" s="3" t="str">
        <f>HYPERLINK("http://funmeta.oebiotech.com/network/245418", "http://funmeta.oebiotech.com/network/245418")</f>
        <v>http://funmeta.oebiotech.com/network/245418</v>
      </c>
      <c r="H2173" s="2" t="s">
        <v>14552</v>
      </c>
      <c r="I2173" s="2"/>
      <c r="J2173" s="2"/>
      <c r="K2173" s="2"/>
      <c r="L2173" s="2"/>
      <c r="M2173" s="2"/>
      <c r="N2173" s="2"/>
      <c r="O2173" s="2"/>
      <c r="P2173" s="2"/>
      <c r="Q2173" s="2" t="s">
        <v>14553</v>
      </c>
      <c r="R2173" s="2" t="s">
        <v>14554</v>
      </c>
      <c r="S2173" s="2" t="s">
        <v>41</v>
      </c>
      <c r="T2173" s="2" t="s">
        <v>41</v>
      </c>
      <c r="U2173" s="2" t="s">
        <v>41</v>
      </c>
      <c r="V2173" s="2" t="s">
        <v>59</v>
      </c>
      <c r="W2173" s="2">
        <v>38.4</v>
      </c>
      <c r="X2173" s="2">
        <v>0</v>
      </c>
      <c r="Y2173" s="2" t="s">
        <v>141</v>
      </c>
      <c r="Z2173" s="2" t="s">
        <v>14555</v>
      </c>
      <c r="AA2173" s="2">
        <v>-1.5625488992686201</v>
      </c>
      <c r="AB2173" s="2">
        <v>0.37342180981400702</v>
      </c>
      <c r="AC2173" s="2">
        <v>16717.7613804826</v>
      </c>
      <c r="AD2173" s="2">
        <v>7266.1732575652604</v>
      </c>
      <c r="AE2173" s="2">
        <v>16887.2384131484</v>
      </c>
      <c r="AF2173" s="2">
        <v>14960.831595093599</v>
      </c>
      <c r="AG2173" s="2">
        <v>17044.2291282226</v>
      </c>
      <c r="AH2173" s="2">
        <v>15596.8346951075</v>
      </c>
      <c r="AI2173" s="2">
        <v>16368.1383612928</v>
      </c>
      <c r="AJ2173" s="2">
        <v>19449.296090030599</v>
      </c>
      <c r="AK2173" s="2">
        <v>7402.2878516447099</v>
      </c>
      <c r="AL2173" s="2">
        <v>7019.9357440128597</v>
      </c>
      <c r="AM2173" s="2">
        <v>7696.6190056018404</v>
      </c>
      <c r="AN2173" s="2">
        <v>8283.6887184759998</v>
      </c>
      <c r="AO2173" s="2">
        <v>7859.8780648864004</v>
      </c>
      <c r="AP2173" s="2">
        <v>5334.6301607697696</v>
      </c>
    </row>
    <row r="2174" spans="1:42" ht="14.5" x14ac:dyDescent="0.35">
      <c r="A2174" s="2" t="s">
        <v>14556</v>
      </c>
      <c r="B2174" s="2">
        <v>405.19025544264002</v>
      </c>
      <c r="C2174" s="2">
        <v>7.3887999999999998</v>
      </c>
      <c r="D2174" s="2" t="s">
        <v>34</v>
      </c>
      <c r="E2174" s="2" t="s">
        <v>14557</v>
      </c>
      <c r="F2174" s="2">
        <v>45092</v>
      </c>
      <c r="G2174" s="3" t="str">
        <f>HYPERLINK("http://funmeta.oebiotech.com/network/45092", "http://funmeta.oebiotech.com/network/45092")</f>
        <v>http://funmeta.oebiotech.com/network/45092</v>
      </c>
      <c r="H2174" s="2"/>
      <c r="I2174" s="2"/>
      <c r="J2174" s="2" t="s">
        <v>14558</v>
      </c>
      <c r="K2174" s="2">
        <v>47889</v>
      </c>
      <c r="L2174" s="2"/>
      <c r="M2174" s="2"/>
      <c r="N2174" s="2"/>
      <c r="O2174" s="2">
        <v>17756755</v>
      </c>
      <c r="P2174" s="2"/>
      <c r="Q2174" s="2" t="s">
        <v>14559</v>
      </c>
      <c r="R2174" s="2" t="s">
        <v>14560</v>
      </c>
      <c r="S2174" s="2" t="s">
        <v>50</v>
      </c>
      <c r="T2174" s="2" t="s">
        <v>124</v>
      </c>
      <c r="U2174" s="2" t="s">
        <v>1136</v>
      </c>
      <c r="V2174" s="2" t="s">
        <v>42</v>
      </c>
      <c r="W2174" s="2">
        <v>53.3</v>
      </c>
      <c r="X2174" s="2">
        <v>77.900000000000006</v>
      </c>
      <c r="Y2174" s="2" t="s">
        <v>266</v>
      </c>
      <c r="Z2174" s="2" t="s">
        <v>14561</v>
      </c>
      <c r="AA2174" s="2">
        <v>-1.2969956359666299</v>
      </c>
      <c r="AB2174" s="2">
        <v>0.37323012262981098</v>
      </c>
      <c r="AC2174" s="2">
        <v>10220.5340357031</v>
      </c>
      <c r="AD2174" s="2">
        <v>365.70620450251897</v>
      </c>
      <c r="AE2174" s="2">
        <v>12670.5309376446</v>
      </c>
      <c r="AF2174" s="2">
        <v>6255.8955794204403</v>
      </c>
      <c r="AG2174" s="2">
        <v>12710.926084479001</v>
      </c>
      <c r="AH2174" s="2">
        <v>8728.7825099493293</v>
      </c>
      <c r="AI2174" s="2">
        <v>7413.3104163336102</v>
      </c>
      <c r="AJ2174" s="2">
        <v>13543.7586863917</v>
      </c>
      <c r="AK2174" s="2">
        <v>2.7106294003980101E-5</v>
      </c>
      <c r="AL2174" s="2">
        <v>879.39620174738297</v>
      </c>
      <c r="AM2174" s="2">
        <v>786.68823585501696</v>
      </c>
      <c r="AN2174" s="2">
        <v>2.7106294003980101E-5</v>
      </c>
      <c r="AO2174" s="2">
        <v>528.15270809383196</v>
      </c>
      <c r="AP2174" s="2">
        <v>2.7106294003980101E-5</v>
      </c>
    </row>
    <row r="2175" spans="1:42" ht="14.5" x14ac:dyDescent="0.35">
      <c r="A2175" s="2" t="s">
        <v>14562</v>
      </c>
      <c r="B2175" s="2">
        <v>443.34941034867097</v>
      </c>
      <c r="C2175" s="2">
        <v>13.1932833333333</v>
      </c>
      <c r="D2175" s="2" t="s">
        <v>34</v>
      </c>
      <c r="E2175" s="2" t="s">
        <v>14563</v>
      </c>
      <c r="F2175" s="2">
        <v>46359</v>
      </c>
      <c r="G2175" s="3" t="str">
        <f>HYPERLINK("http://funmeta.oebiotech.com/network/46359", "http://funmeta.oebiotech.com/network/46359")</f>
        <v>http://funmeta.oebiotech.com/network/46359</v>
      </c>
      <c r="H2175" s="2" t="s">
        <v>14564</v>
      </c>
      <c r="I2175" s="2">
        <v>6254</v>
      </c>
      <c r="J2175" s="2" t="s">
        <v>14565</v>
      </c>
      <c r="K2175" s="2">
        <v>16496</v>
      </c>
      <c r="L2175" s="2" t="s">
        <v>14566</v>
      </c>
      <c r="M2175" s="2" t="s">
        <v>14567</v>
      </c>
      <c r="N2175" s="2" t="s">
        <v>14568</v>
      </c>
      <c r="O2175" s="2">
        <v>160520</v>
      </c>
      <c r="P2175" s="2" t="s">
        <v>14569</v>
      </c>
      <c r="Q2175" s="2" t="s">
        <v>14570</v>
      </c>
      <c r="R2175" s="2" t="s">
        <v>14571</v>
      </c>
      <c r="S2175" s="2" t="s">
        <v>50</v>
      </c>
      <c r="T2175" s="2" t="s">
        <v>124</v>
      </c>
      <c r="U2175" s="2" t="s">
        <v>2789</v>
      </c>
      <c r="V2175" s="2" t="s">
        <v>59</v>
      </c>
      <c r="W2175" s="2">
        <v>47.7</v>
      </c>
      <c r="X2175" s="2">
        <v>44.2</v>
      </c>
      <c r="Y2175" s="2" t="s">
        <v>323</v>
      </c>
      <c r="Z2175" s="2" t="s">
        <v>7866</v>
      </c>
      <c r="AA2175" s="2">
        <v>-0.37046636409912098</v>
      </c>
      <c r="AB2175" s="2">
        <v>0.37307909876600398</v>
      </c>
      <c r="AC2175" s="2">
        <v>18667.387581974301</v>
      </c>
      <c r="AD2175" s="2">
        <v>8915.8996751490104</v>
      </c>
      <c r="AE2175" s="2">
        <v>17108.916337091901</v>
      </c>
      <c r="AF2175" s="2">
        <v>16425.067019655398</v>
      </c>
      <c r="AG2175" s="2">
        <v>20440.311163103499</v>
      </c>
      <c r="AH2175" s="2">
        <v>19059.218733907299</v>
      </c>
      <c r="AI2175" s="2">
        <v>18972.3210596727</v>
      </c>
      <c r="AJ2175" s="2">
        <v>19998.491178414901</v>
      </c>
      <c r="AK2175" s="2">
        <v>12458.1488309984</v>
      </c>
      <c r="AL2175" s="2">
        <v>11033.1681486619</v>
      </c>
      <c r="AM2175" s="2">
        <v>9083.8043732203805</v>
      </c>
      <c r="AN2175" s="2">
        <v>6793.5289806912897</v>
      </c>
      <c r="AO2175" s="2">
        <v>7008.4733872712404</v>
      </c>
      <c r="AP2175" s="2">
        <v>7118.27433005085</v>
      </c>
    </row>
    <row r="2176" spans="1:42" ht="14.5" x14ac:dyDescent="0.35">
      <c r="A2176" s="2" t="s">
        <v>14572</v>
      </c>
      <c r="B2176" s="2">
        <v>815.44264599039298</v>
      </c>
      <c r="C2176" s="2">
        <v>9.0738666666666692</v>
      </c>
      <c r="D2176" s="2" t="s">
        <v>70</v>
      </c>
      <c r="E2176" s="2" t="s">
        <v>14573</v>
      </c>
      <c r="F2176" s="2">
        <v>64612</v>
      </c>
      <c r="G2176" s="3" t="str">
        <f>HYPERLINK("http://funmeta.oebiotech.com/network/64612", "http://funmeta.oebiotech.com/network/64612")</f>
        <v>http://funmeta.oebiotech.com/network/64612</v>
      </c>
      <c r="H2176" s="2" t="s">
        <v>14574</v>
      </c>
      <c r="I2176" s="2"/>
      <c r="J2176" s="2"/>
      <c r="K2176" s="2"/>
      <c r="L2176" s="2"/>
      <c r="M2176" s="2"/>
      <c r="N2176" s="2"/>
      <c r="O2176" s="2">
        <v>131753159</v>
      </c>
      <c r="P2176" s="2"/>
      <c r="Q2176" s="2" t="s">
        <v>14575</v>
      </c>
      <c r="R2176" s="2" t="s">
        <v>14576</v>
      </c>
      <c r="S2176" s="2" t="s">
        <v>50</v>
      </c>
      <c r="T2176" s="2" t="s">
        <v>124</v>
      </c>
      <c r="U2176" s="2" t="s">
        <v>523</v>
      </c>
      <c r="V2176" s="2" t="s">
        <v>42</v>
      </c>
      <c r="W2176" s="2">
        <v>51.1</v>
      </c>
      <c r="X2176" s="2">
        <v>61.8</v>
      </c>
      <c r="Y2176" s="2" t="s">
        <v>408</v>
      </c>
      <c r="Z2176" s="2" t="s">
        <v>14577</v>
      </c>
      <c r="AA2176" s="2">
        <v>-1.0561036750817701</v>
      </c>
      <c r="AB2176" s="2">
        <v>0.372311679355671</v>
      </c>
      <c r="AC2176" s="2">
        <v>72833.338317052097</v>
      </c>
      <c r="AD2176" s="2">
        <v>60750.903235745704</v>
      </c>
      <c r="AE2176" s="2">
        <v>66726.145727192707</v>
      </c>
      <c r="AF2176" s="2">
        <v>63353.569915802502</v>
      </c>
      <c r="AG2176" s="2">
        <v>71804.414975718595</v>
      </c>
      <c r="AH2176" s="2">
        <v>81568.753953457694</v>
      </c>
      <c r="AI2176" s="2">
        <v>80769.050927481396</v>
      </c>
      <c r="AJ2176" s="2">
        <v>72778.094402659597</v>
      </c>
      <c r="AK2176" s="2">
        <v>58743.898324182897</v>
      </c>
      <c r="AL2176" s="2">
        <v>58873.707702665197</v>
      </c>
      <c r="AM2176" s="2">
        <v>61817.804962427799</v>
      </c>
      <c r="AN2176" s="2">
        <v>60474.305137411196</v>
      </c>
      <c r="AO2176" s="2">
        <v>58179.150128550798</v>
      </c>
      <c r="AP2176" s="2">
        <v>66416.553159236602</v>
      </c>
    </row>
    <row r="2177" spans="1:42" ht="14.5" x14ac:dyDescent="0.35">
      <c r="A2177" s="2" t="s">
        <v>14578</v>
      </c>
      <c r="B2177" s="2">
        <v>154.01343559594</v>
      </c>
      <c r="C2177" s="2">
        <v>4.8801333333333297</v>
      </c>
      <c r="D2177" s="2" t="s">
        <v>70</v>
      </c>
      <c r="E2177" s="2" t="s">
        <v>14579</v>
      </c>
      <c r="F2177" s="2">
        <v>48001</v>
      </c>
      <c r="G2177" s="3" t="str">
        <f>HYPERLINK("http://funmeta.oebiotech.com/network/48001", "http://funmeta.oebiotech.com/network/48001")</f>
        <v>http://funmeta.oebiotech.com/network/48001</v>
      </c>
      <c r="H2177" s="2" t="s">
        <v>14580</v>
      </c>
      <c r="I2177" s="2">
        <v>58136</v>
      </c>
      <c r="J2177" s="2"/>
      <c r="K2177" s="2">
        <v>16318</v>
      </c>
      <c r="L2177" s="2" t="s">
        <v>14581</v>
      </c>
      <c r="M2177" s="2" t="s">
        <v>3346</v>
      </c>
      <c r="N2177" s="2" t="s">
        <v>3347</v>
      </c>
      <c r="O2177" s="2">
        <v>3505109</v>
      </c>
      <c r="P2177" s="2" t="s">
        <v>14582</v>
      </c>
      <c r="Q2177" s="2" t="s">
        <v>14583</v>
      </c>
      <c r="R2177" s="2" t="s">
        <v>14584</v>
      </c>
      <c r="S2177" s="2" t="s">
        <v>148</v>
      </c>
      <c r="T2177" s="2" t="s">
        <v>392</v>
      </c>
      <c r="U2177" s="2" t="s">
        <v>1177</v>
      </c>
      <c r="V2177" s="2" t="s">
        <v>42</v>
      </c>
      <c r="W2177" s="2">
        <v>50.7</v>
      </c>
      <c r="X2177" s="2">
        <v>64.400000000000006</v>
      </c>
      <c r="Y2177" s="2" t="s">
        <v>118</v>
      </c>
      <c r="Z2177" s="2" t="s">
        <v>14585</v>
      </c>
      <c r="AA2177" s="2">
        <v>-7.39002529929608</v>
      </c>
      <c r="AB2177" s="2">
        <v>0.371782142755468</v>
      </c>
      <c r="AC2177" s="2">
        <v>8169.0846396381203</v>
      </c>
      <c r="AD2177" s="2">
        <v>17299.421631986101</v>
      </c>
      <c r="AE2177" s="2">
        <v>8481.6182638260507</v>
      </c>
      <c r="AF2177" s="2">
        <v>8151.5117452767699</v>
      </c>
      <c r="AG2177" s="2">
        <v>7867.14948240379</v>
      </c>
      <c r="AH2177" s="2">
        <v>7373.2561287097597</v>
      </c>
      <c r="AI2177" s="2">
        <v>8507.1028753083592</v>
      </c>
      <c r="AJ2177" s="2">
        <v>8633.8693423040004</v>
      </c>
      <c r="AK2177" s="2">
        <v>17255.755692525501</v>
      </c>
      <c r="AL2177" s="2">
        <v>16562.120632749</v>
      </c>
      <c r="AM2177" s="2">
        <v>17530.566407665199</v>
      </c>
      <c r="AN2177" s="2">
        <v>17008.690022005201</v>
      </c>
      <c r="AO2177" s="2">
        <v>18628.596209005798</v>
      </c>
      <c r="AP2177" s="2">
        <v>16810.800827965901</v>
      </c>
    </row>
    <row r="2178" spans="1:42" ht="14.5" x14ac:dyDescent="0.35">
      <c r="A2178" s="2" t="s">
        <v>14586</v>
      </c>
      <c r="B2178" s="2">
        <v>344.072425523829</v>
      </c>
      <c r="C2178" s="2">
        <v>2.01128333333333</v>
      </c>
      <c r="D2178" s="2" t="s">
        <v>70</v>
      </c>
      <c r="E2178" s="2" t="s">
        <v>14587</v>
      </c>
      <c r="F2178" s="2">
        <v>53360</v>
      </c>
      <c r="G2178" s="3" t="str">
        <f>HYPERLINK("http://funmeta.oebiotech.com/network/53360", "http://funmeta.oebiotech.com/network/53360")</f>
        <v>http://funmeta.oebiotech.com/network/53360</v>
      </c>
      <c r="H2178" s="2" t="s">
        <v>14588</v>
      </c>
      <c r="I2178" s="2">
        <v>3948</v>
      </c>
      <c r="J2178" s="2"/>
      <c r="K2178" s="2">
        <v>3479</v>
      </c>
      <c r="L2178" s="2" t="s">
        <v>14589</v>
      </c>
      <c r="M2178" s="2"/>
      <c r="N2178" s="2"/>
      <c r="O2178" s="2">
        <v>47965</v>
      </c>
      <c r="P2178" s="2" t="s">
        <v>14590</v>
      </c>
      <c r="Q2178" s="2" t="s">
        <v>14591</v>
      </c>
      <c r="R2178" s="2" t="s">
        <v>14592</v>
      </c>
      <c r="S2178" s="2" t="s">
        <v>491</v>
      </c>
      <c r="T2178" s="2" t="s">
        <v>8419</v>
      </c>
      <c r="U2178" s="2" t="s">
        <v>8420</v>
      </c>
      <c r="V2178" s="2" t="s">
        <v>59</v>
      </c>
      <c r="W2178" s="2">
        <v>37.6</v>
      </c>
      <c r="X2178" s="2">
        <v>14.3</v>
      </c>
      <c r="Y2178" s="2" t="s">
        <v>751</v>
      </c>
      <c r="Z2178" s="2" t="s">
        <v>14593</v>
      </c>
      <c r="AA2178" s="2">
        <v>3.7869140869545799</v>
      </c>
      <c r="AB2178" s="2">
        <v>0.37159563031748599</v>
      </c>
      <c r="AC2178" s="2">
        <v>91251.059860642898</v>
      </c>
      <c r="AD2178" s="2">
        <v>101047.94391058</v>
      </c>
      <c r="AE2178" s="2">
        <v>92939.328333978905</v>
      </c>
      <c r="AF2178" s="2">
        <v>87155.415576251107</v>
      </c>
      <c r="AG2178" s="2">
        <v>92000.288856152707</v>
      </c>
      <c r="AH2178" s="2">
        <v>92679.777129013004</v>
      </c>
      <c r="AI2178" s="2">
        <v>88795.098831869705</v>
      </c>
      <c r="AJ2178" s="2">
        <v>93936.450436591695</v>
      </c>
      <c r="AK2178" s="2">
        <v>98375.596921908495</v>
      </c>
      <c r="AL2178" s="2">
        <v>101468.060846323</v>
      </c>
      <c r="AM2178" s="2">
        <v>101870.292885291</v>
      </c>
      <c r="AN2178" s="2">
        <v>102547.948662346</v>
      </c>
      <c r="AO2178" s="2">
        <v>102119.983104283</v>
      </c>
      <c r="AP2178" s="2">
        <v>99905.781043325507</v>
      </c>
    </row>
    <row r="2179" spans="1:42" ht="14.5" x14ac:dyDescent="0.35">
      <c r="A2179" s="2" t="s">
        <v>14594</v>
      </c>
      <c r="B2179" s="2">
        <v>315.19534654484602</v>
      </c>
      <c r="C2179" s="2">
        <v>4.6661999999999999</v>
      </c>
      <c r="D2179" s="2" t="s">
        <v>34</v>
      </c>
      <c r="E2179" s="2" t="s">
        <v>14595</v>
      </c>
      <c r="F2179" s="2">
        <v>3744</v>
      </c>
      <c r="G2179" s="3" t="str">
        <f>HYPERLINK("http://funmeta.oebiotech.com/network/3744", "http://funmeta.oebiotech.com/network/3744")</f>
        <v>http://funmeta.oebiotech.com/network/3744</v>
      </c>
      <c r="H2179" s="2"/>
      <c r="I2179" s="2">
        <v>36189</v>
      </c>
      <c r="J2179" s="2" t="s">
        <v>14596</v>
      </c>
      <c r="K2179" s="2">
        <v>134510</v>
      </c>
      <c r="L2179" s="2"/>
      <c r="M2179" s="2"/>
      <c r="N2179" s="2"/>
      <c r="O2179" s="2">
        <v>5283112</v>
      </c>
      <c r="P2179" s="2" t="s">
        <v>14597</v>
      </c>
      <c r="Q2179" s="2" t="s">
        <v>14598</v>
      </c>
      <c r="R2179" s="2" t="s">
        <v>14599</v>
      </c>
      <c r="S2179" s="2" t="s">
        <v>50</v>
      </c>
      <c r="T2179" s="2" t="s">
        <v>229</v>
      </c>
      <c r="U2179" s="2" t="s">
        <v>766</v>
      </c>
      <c r="V2179" s="2" t="s">
        <v>42</v>
      </c>
      <c r="W2179" s="2">
        <v>52.6</v>
      </c>
      <c r="X2179" s="2">
        <v>68.400000000000006</v>
      </c>
      <c r="Y2179" s="2" t="s">
        <v>4572</v>
      </c>
      <c r="Z2179" s="2" t="s">
        <v>4980</v>
      </c>
      <c r="AA2179" s="2">
        <v>-0.37502052821645898</v>
      </c>
      <c r="AB2179" s="2">
        <v>0.37154015071499702</v>
      </c>
      <c r="AC2179" s="2">
        <v>995899.39142488595</v>
      </c>
      <c r="AD2179" s="2">
        <v>1013268.99484158</v>
      </c>
      <c r="AE2179" s="2">
        <v>984331.73277408897</v>
      </c>
      <c r="AF2179" s="2">
        <v>1005113.62197471</v>
      </c>
      <c r="AG2179" s="2">
        <v>997341.957904979</v>
      </c>
      <c r="AH2179" s="2">
        <v>966608.24497764697</v>
      </c>
      <c r="AI2179" s="2">
        <v>1003320.84697571</v>
      </c>
      <c r="AJ2179" s="2">
        <v>1018679.94394218</v>
      </c>
      <c r="AK2179" s="2">
        <v>1020348.0086148001</v>
      </c>
      <c r="AL2179" s="2">
        <v>1033226.6461726601</v>
      </c>
      <c r="AM2179" s="2">
        <v>1013171.7243544</v>
      </c>
      <c r="AN2179" s="2">
        <v>999581.84014835802</v>
      </c>
      <c r="AO2179" s="2">
        <v>1008806.1516134799</v>
      </c>
      <c r="AP2179" s="2">
        <v>1004479.59814577</v>
      </c>
    </row>
    <row r="2180" spans="1:42" ht="14.5" x14ac:dyDescent="0.35">
      <c r="A2180" s="2" t="s">
        <v>14600</v>
      </c>
      <c r="B2180" s="2">
        <v>333.16911742310401</v>
      </c>
      <c r="C2180" s="2">
        <v>7.3887999999999998</v>
      </c>
      <c r="D2180" s="2" t="s">
        <v>34</v>
      </c>
      <c r="E2180" s="5" t="s">
        <v>14601</v>
      </c>
      <c r="F2180" s="2">
        <v>58961</v>
      </c>
      <c r="G2180" s="3" t="str">
        <f>HYPERLINK("http://funmeta.oebiotech.com/network/58961", "http://funmeta.oebiotech.com/network/58961")</f>
        <v>http://funmeta.oebiotech.com/network/58961</v>
      </c>
      <c r="H2180" s="2" t="s">
        <v>14602</v>
      </c>
      <c r="I2180" s="2">
        <v>90398</v>
      </c>
      <c r="J2180" s="2"/>
      <c r="K2180" s="2">
        <v>142003</v>
      </c>
      <c r="L2180" s="2"/>
      <c r="M2180" s="2"/>
      <c r="N2180" s="2"/>
      <c r="O2180" s="2">
        <v>101603116</v>
      </c>
      <c r="P2180" s="2" t="s">
        <v>14603</v>
      </c>
      <c r="Q2180" s="2" t="s">
        <v>14604</v>
      </c>
      <c r="R2180" s="2" t="s">
        <v>14605</v>
      </c>
      <c r="S2180" s="2" t="s">
        <v>50</v>
      </c>
      <c r="T2180" s="2" t="s">
        <v>201</v>
      </c>
      <c r="U2180" s="2" t="s">
        <v>241</v>
      </c>
      <c r="V2180" s="2" t="s">
        <v>59</v>
      </c>
      <c r="W2180" s="2">
        <v>45.4</v>
      </c>
      <c r="X2180" s="2">
        <v>41.8</v>
      </c>
      <c r="Y2180" s="2" t="s">
        <v>266</v>
      </c>
      <c r="Z2180" s="2" t="s">
        <v>11505</v>
      </c>
      <c r="AA2180" s="2">
        <v>-1.6042647161843</v>
      </c>
      <c r="AB2180" s="2">
        <v>0.37151626091689599</v>
      </c>
      <c r="AC2180" s="2">
        <v>53624.8697330168</v>
      </c>
      <c r="AD2180" s="2">
        <v>64560.669055056598</v>
      </c>
      <c r="AE2180" s="2">
        <v>54301.259476933599</v>
      </c>
      <c r="AF2180" s="2">
        <v>55361.6356673521</v>
      </c>
      <c r="AG2180" s="2">
        <v>54792.096285515399</v>
      </c>
      <c r="AH2180" s="2">
        <v>48566.685851456103</v>
      </c>
      <c r="AI2180" s="2">
        <v>47684.971786189402</v>
      </c>
      <c r="AJ2180" s="2">
        <v>61042.569330653998</v>
      </c>
      <c r="AK2180" s="2">
        <v>67413.398731890004</v>
      </c>
      <c r="AL2180" s="2">
        <v>60691.372563696998</v>
      </c>
      <c r="AM2180" s="2">
        <v>62215.893622996096</v>
      </c>
      <c r="AN2180" s="2">
        <v>65632.934443430306</v>
      </c>
      <c r="AO2180" s="2">
        <v>64337.393229638503</v>
      </c>
      <c r="AP2180" s="2">
        <v>67073.021738687996</v>
      </c>
    </row>
    <row r="2181" spans="1:42" ht="14.5" x14ac:dyDescent="0.35">
      <c r="A2181" s="2" t="s">
        <v>14606</v>
      </c>
      <c r="B2181" s="2">
        <v>453.22205611249098</v>
      </c>
      <c r="C2181" s="2">
        <v>4.0516166666666704</v>
      </c>
      <c r="D2181" s="2" t="s">
        <v>34</v>
      </c>
      <c r="E2181" s="2" t="s">
        <v>14607</v>
      </c>
      <c r="F2181" s="2">
        <v>210632</v>
      </c>
      <c r="G2181" s="3" t="str">
        <f>HYPERLINK("http://funmeta.oebiotech.com/network/210632", "http://funmeta.oebiotech.com/network/210632")</f>
        <v>http://funmeta.oebiotech.com/network/210632</v>
      </c>
      <c r="H2181" s="2" t="s">
        <v>14608</v>
      </c>
      <c r="I2181" s="2"/>
      <c r="J2181" s="2"/>
      <c r="K2181" s="2"/>
      <c r="L2181" s="2"/>
      <c r="M2181" s="2"/>
      <c r="N2181" s="2"/>
      <c r="O2181" s="2">
        <v>14647129</v>
      </c>
      <c r="P2181" s="2"/>
      <c r="Q2181" s="2" t="s">
        <v>14609</v>
      </c>
      <c r="R2181" s="2" t="s">
        <v>14610</v>
      </c>
      <c r="S2181" s="2" t="s">
        <v>41</v>
      </c>
      <c r="T2181" s="2" t="s">
        <v>41</v>
      </c>
      <c r="U2181" s="2" t="s">
        <v>41</v>
      </c>
      <c r="V2181" s="2" t="s">
        <v>59</v>
      </c>
      <c r="W2181" s="2">
        <v>37.799999999999997</v>
      </c>
      <c r="X2181" s="2">
        <v>0</v>
      </c>
      <c r="Y2181" s="2" t="s">
        <v>43</v>
      </c>
      <c r="Z2181" s="2" t="s">
        <v>14611</v>
      </c>
      <c r="AA2181" s="2">
        <v>-2.4961752887269602</v>
      </c>
      <c r="AB2181" s="2">
        <v>0.371472943748824</v>
      </c>
      <c r="AC2181" s="2">
        <v>28315.771854603801</v>
      </c>
      <c r="AD2181" s="2">
        <v>18432.8074721376</v>
      </c>
      <c r="AE2181" s="2">
        <v>31117.9575225714</v>
      </c>
      <c r="AF2181" s="2">
        <v>29589.528454721501</v>
      </c>
      <c r="AG2181" s="2">
        <v>31608.4601028174</v>
      </c>
      <c r="AH2181" s="2">
        <v>25342.592561402002</v>
      </c>
      <c r="AI2181" s="2">
        <v>25261.100407119</v>
      </c>
      <c r="AJ2181" s="2">
        <v>26974.992078991301</v>
      </c>
      <c r="AK2181" s="2">
        <v>21252.928348523499</v>
      </c>
      <c r="AL2181" s="2">
        <v>18742.589188097401</v>
      </c>
      <c r="AM2181" s="2">
        <v>19930.461694311602</v>
      </c>
      <c r="AN2181" s="2">
        <v>17186.8502760478</v>
      </c>
      <c r="AO2181" s="2">
        <v>17975.857275669401</v>
      </c>
      <c r="AP2181" s="2">
        <v>15508.1580501761</v>
      </c>
    </row>
    <row r="2182" spans="1:42" ht="14.5" x14ac:dyDescent="0.35">
      <c r="A2182" s="2" t="s">
        <v>14612</v>
      </c>
      <c r="B2182" s="2">
        <v>353.17359604763601</v>
      </c>
      <c r="C2182" s="2">
        <v>6.26755</v>
      </c>
      <c r="D2182" s="2" t="s">
        <v>34</v>
      </c>
      <c r="E2182" s="2" t="s">
        <v>14613</v>
      </c>
      <c r="F2182" s="2">
        <v>7426</v>
      </c>
      <c r="G2182" s="3" t="str">
        <f>HYPERLINK("http://funmeta.oebiotech.com/network/7426", "http://funmeta.oebiotech.com/network/7426")</f>
        <v>http://funmeta.oebiotech.com/network/7426</v>
      </c>
      <c r="H2182" s="2"/>
      <c r="I2182" s="2"/>
      <c r="J2182" s="2" t="s">
        <v>14614</v>
      </c>
      <c r="K2182" s="2"/>
      <c r="L2182" s="2"/>
      <c r="M2182" s="2"/>
      <c r="N2182" s="2"/>
      <c r="O2182" s="2">
        <v>73242181</v>
      </c>
      <c r="P2182" s="2"/>
      <c r="Q2182" s="2" t="s">
        <v>14615</v>
      </c>
      <c r="R2182" s="2" t="s">
        <v>14616</v>
      </c>
      <c r="S2182" s="2" t="s">
        <v>79</v>
      </c>
      <c r="T2182" s="2" t="s">
        <v>80</v>
      </c>
      <c r="U2182" s="2" t="s">
        <v>81</v>
      </c>
      <c r="V2182" s="2" t="s">
        <v>59</v>
      </c>
      <c r="W2182" s="2">
        <v>38.200000000000003</v>
      </c>
      <c r="X2182" s="2">
        <v>0</v>
      </c>
      <c r="Y2182" s="2" t="s">
        <v>340</v>
      </c>
      <c r="Z2182" s="2" t="s">
        <v>14617</v>
      </c>
      <c r="AA2182" s="2">
        <v>3.5451135624373999</v>
      </c>
      <c r="AB2182" s="2">
        <v>0.37095653257582401</v>
      </c>
      <c r="AC2182" s="2">
        <v>57978.834910891899</v>
      </c>
      <c r="AD2182" s="2">
        <v>48072.187295815798</v>
      </c>
      <c r="AE2182" s="2">
        <v>59884.412316566602</v>
      </c>
      <c r="AF2182" s="2">
        <v>58733.449997326403</v>
      </c>
      <c r="AG2182" s="2">
        <v>56403.894613648597</v>
      </c>
      <c r="AH2182" s="2">
        <v>55369.109304932303</v>
      </c>
      <c r="AI2182" s="2">
        <v>58991.307851515798</v>
      </c>
      <c r="AJ2182" s="2">
        <v>58490.835381361801</v>
      </c>
      <c r="AK2182" s="2">
        <v>45678.196879005001</v>
      </c>
      <c r="AL2182" s="2">
        <v>53241.566716926704</v>
      </c>
      <c r="AM2182" s="2">
        <v>49498.486491240103</v>
      </c>
      <c r="AN2182" s="2">
        <v>46373.493617643297</v>
      </c>
      <c r="AO2182" s="2">
        <v>45094.132948636798</v>
      </c>
      <c r="AP2182" s="2">
        <v>48547.247121442699</v>
      </c>
    </row>
    <row r="2183" spans="1:42" ht="14.5" x14ac:dyDescent="0.35">
      <c r="A2183" s="2" t="s">
        <v>14618</v>
      </c>
      <c r="B2183" s="2">
        <v>792.32335285709701</v>
      </c>
      <c r="C2183" s="2">
        <v>9.4771666666666707</v>
      </c>
      <c r="D2183" s="2" t="s">
        <v>70</v>
      </c>
      <c r="E2183" s="2" t="s">
        <v>14619</v>
      </c>
      <c r="F2183" s="2">
        <v>257776</v>
      </c>
      <c r="G2183" s="3" t="str">
        <f>HYPERLINK("http://funmeta.oebiotech.com/network/257776", "http://funmeta.oebiotech.com/network/257776")</f>
        <v>http://funmeta.oebiotech.com/network/257776</v>
      </c>
      <c r="H2183" s="2"/>
      <c r="I2183" s="2">
        <v>551</v>
      </c>
      <c r="J2183" s="2"/>
      <c r="K2183" s="2"/>
      <c r="L2183" s="2" t="s">
        <v>14620</v>
      </c>
      <c r="M2183" s="2" t="s">
        <v>14621</v>
      </c>
      <c r="N2183" s="2" t="s">
        <v>14622</v>
      </c>
      <c r="O2183" s="2">
        <v>451415</v>
      </c>
      <c r="P2183" s="2" t="s">
        <v>14623</v>
      </c>
      <c r="Q2183" s="2" t="s">
        <v>14624</v>
      </c>
      <c r="R2183" s="2" t="s">
        <v>14625</v>
      </c>
      <c r="S2183" s="2" t="s">
        <v>115</v>
      </c>
      <c r="T2183" s="2" t="s">
        <v>2840</v>
      </c>
      <c r="U2183" s="2" t="s">
        <v>41</v>
      </c>
      <c r="V2183" s="2" t="s">
        <v>59</v>
      </c>
      <c r="W2183" s="2">
        <v>38.6</v>
      </c>
      <c r="X2183" s="2">
        <v>0</v>
      </c>
      <c r="Y2183" s="2" t="s">
        <v>751</v>
      </c>
      <c r="Z2183" s="2" t="s">
        <v>11125</v>
      </c>
      <c r="AA2183" s="2">
        <v>-0.401829320967728</v>
      </c>
      <c r="AB2183" s="2">
        <v>0.37094972157199002</v>
      </c>
      <c r="AC2183" s="2">
        <v>12505.160448704</v>
      </c>
      <c r="AD2183" s="2">
        <v>3355.5199446159199</v>
      </c>
      <c r="AE2183" s="2">
        <v>12970.0398833176</v>
      </c>
      <c r="AF2183" s="2">
        <v>12929.010746652801</v>
      </c>
      <c r="AG2183" s="2">
        <v>12048.354737195201</v>
      </c>
      <c r="AH2183" s="2">
        <v>10911.8906433088</v>
      </c>
      <c r="AI2183" s="2">
        <v>12767.470498930201</v>
      </c>
      <c r="AJ2183" s="2">
        <v>13404.1961828195</v>
      </c>
      <c r="AK2183" s="2">
        <v>3006.49458581513</v>
      </c>
      <c r="AL2183" s="2">
        <v>2692.5990327992399</v>
      </c>
      <c r="AM2183" s="2">
        <v>3566.6033181562502</v>
      </c>
      <c r="AN2183" s="2">
        <v>2845.4587164065501</v>
      </c>
      <c r="AO2183" s="2">
        <v>3340.8930933663801</v>
      </c>
      <c r="AP2183" s="2">
        <v>4681.0709211519697</v>
      </c>
    </row>
    <row r="2184" spans="1:42" ht="14.5" x14ac:dyDescent="0.35">
      <c r="A2184" s="2" t="s">
        <v>14626</v>
      </c>
      <c r="B2184" s="2">
        <v>613.13393036264597</v>
      </c>
      <c r="C2184" s="2">
        <v>8.9900166666666692</v>
      </c>
      <c r="D2184" s="2" t="s">
        <v>34</v>
      </c>
      <c r="E2184" s="2" t="s">
        <v>14627</v>
      </c>
      <c r="F2184" s="2">
        <v>82865</v>
      </c>
      <c r="G2184" s="3" t="str">
        <f>HYPERLINK("http://funmeta.oebiotech.com/network/82865", "http://funmeta.oebiotech.com/network/82865")</f>
        <v>http://funmeta.oebiotech.com/network/82865</v>
      </c>
      <c r="H2184" s="2" t="s">
        <v>14628</v>
      </c>
      <c r="I2184" s="2"/>
      <c r="J2184" s="2"/>
      <c r="K2184" s="2"/>
      <c r="L2184" s="2"/>
      <c r="M2184" s="2"/>
      <c r="N2184" s="2"/>
      <c r="O2184" s="2">
        <v>131770007</v>
      </c>
      <c r="P2184" s="2"/>
      <c r="Q2184" s="2" t="s">
        <v>14629</v>
      </c>
      <c r="R2184" s="2" t="s">
        <v>14630</v>
      </c>
      <c r="S2184" s="2" t="s">
        <v>1184</v>
      </c>
      <c r="T2184" s="2" t="s">
        <v>14631</v>
      </c>
      <c r="U2184" s="2" t="s">
        <v>14632</v>
      </c>
      <c r="V2184" s="2" t="s">
        <v>59</v>
      </c>
      <c r="W2184" s="2">
        <v>43.4</v>
      </c>
      <c r="X2184" s="2">
        <v>25.2</v>
      </c>
      <c r="Y2184" s="2" t="s">
        <v>340</v>
      </c>
      <c r="Z2184" s="2" t="s">
        <v>14633</v>
      </c>
      <c r="AA2184" s="2">
        <v>3.7119168724958498</v>
      </c>
      <c r="AB2184" s="2">
        <v>0.37093672623774399</v>
      </c>
      <c r="AC2184" s="2">
        <v>16299.7592339684</v>
      </c>
      <c r="AD2184" s="2">
        <v>6242.8447650792205</v>
      </c>
      <c r="AE2184" s="2">
        <v>14953.3389967647</v>
      </c>
      <c r="AF2184" s="2">
        <v>11890.952651664</v>
      </c>
      <c r="AG2184" s="2">
        <v>13506.1388065309</v>
      </c>
      <c r="AH2184" s="2">
        <v>20368.205587526099</v>
      </c>
      <c r="AI2184" s="2">
        <v>19090.7255018543</v>
      </c>
      <c r="AJ2184" s="2">
        <v>17989.193859470401</v>
      </c>
      <c r="AK2184" s="2">
        <v>4473.77679109563</v>
      </c>
      <c r="AL2184" s="2">
        <v>6359.6801584861996</v>
      </c>
      <c r="AM2184" s="2">
        <v>5064.3248238378901</v>
      </c>
      <c r="AN2184" s="2">
        <v>7475.6470180873803</v>
      </c>
      <c r="AO2184" s="2">
        <v>8455.9006987844496</v>
      </c>
      <c r="AP2184" s="2">
        <v>5627.7391001837595</v>
      </c>
    </row>
    <row r="2185" spans="1:42" ht="14.5" x14ac:dyDescent="0.35">
      <c r="A2185" s="2" t="s">
        <v>14634</v>
      </c>
      <c r="B2185" s="2">
        <v>281.17428255274501</v>
      </c>
      <c r="C2185" s="2">
        <v>6.3948166666666699</v>
      </c>
      <c r="D2185" s="2" t="s">
        <v>34</v>
      </c>
      <c r="E2185" s="2" t="s">
        <v>14635</v>
      </c>
      <c r="F2185" s="2">
        <v>467743</v>
      </c>
      <c r="G2185" s="3" t="str">
        <f>HYPERLINK("http://funmeta.oebiotech.com/network/467743", "http://funmeta.oebiotech.com/network/467743")</f>
        <v>http://funmeta.oebiotech.com/network/467743</v>
      </c>
      <c r="H2185" s="2"/>
      <c r="I2185" s="2">
        <v>85101</v>
      </c>
      <c r="J2185" s="2"/>
      <c r="K2185" s="2"/>
      <c r="L2185" s="2"/>
      <c r="M2185" s="2"/>
      <c r="N2185" s="2"/>
      <c r="O2185" s="2">
        <v>5287620</v>
      </c>
      <c r="P2185" s="2" t="s">
        <v>14636</v>
      </c>
      <c r="Q2185" s="2" t="s">
        <v>14637</v>
      </c>
      <c r="R2185" s="2" t="s">
        <v>14638</v>
      </c>
      <c r="S2185" s="2" t="s">
        <v>115</v>
      </c>
      <c r="T2185" s="2" t="s">
        <v>1384</v>
      </c>
      <c r="U2185" s="2" t="s">
        <v>41</v>
      </c>
      <c r="V2185" s="2" t="s">
        <v>59</v>
      </c>
      <c r="W2185" s="2">
        <v>38.200000000000003</v>
      </c>
      <c r="X2185" s="2">
        <v>0</v>
      </c>
      <c r="Y2185" s="2" t="s">
        <v>394</v>
      </c>
      <c r="Z2185" s="2" t="s">
        <v>14639</v>
      </c>
      <c r="AA2185" s="2">
        <v>-1.61734405810841</v>
      </c>
      <c r="AB2185" s="2">
        <v>0.37092272828112899</v>
      </c>
      <c r="AC2185" s="2">
        <v>17594.135146483299</v>
      </c>
      <c r="AD2185" s="2">
        <v>8299.7237730161105</v>
      </c>
      <c r="AE2185" s="2">
        <v>15615.884274681801</v>
      </c>
      <c r="AF2185" s="2">
        <v>17463.994658785799</v>
      </c>
      <c r="AG2185" s="2">
        <v>17722.573221488499</v>
      </c>
      <c r="AH2185" s="2">
        <v>19323.279336492302</v>
      </c>
      <c r="AI2185" s="2">
        <v>15969.818483881099</v>
      </c>
      <c r="AJ2185" s="2">
        <v>19469.260903570201</v>
      </c>
      <c r="AK2185" s="2">
        <v>9705.1314048957593</v>
      </c>
      <c r="AL2185" s="2">
        <v>8184.63544463572</v>
      </c>
      <c r="AM2185" s="2">
        <v>7458.4893544673596</v>
      </c>
      <c r="AN2185" s="2">
        <v>8765.3582247160502</v>
      </c>
      <c r="AO2185" s="2">
        <v>7989.3990729287898</v>
      </c>
      <c r="AP2185" s="2">
        <v>7695.3291364529796</v>
      </c>
    </row>
    <row r="2186" spans="1:42" ht="14.5" x14ac:dyDescent="0.35">
      <c r="A2186" s="2" t="s">
        <v>14640</v>
      </c>
      <c r="B2186" s="2">
        <v>741.25288433604305</v>
      </c>
      <c r="C2186" s="2">
        <v>5.9542333333333302</v>
      </c>
      <c r="D2186" s="2" t="s">
        <v>70</v>
      </c>
      <c r="E2186" s="2" t="s">
        <v>14641</v>
      </c>
      <c r="F2186" s="2">
        <v>267477</v>
      </c>
      <c r="G2186" s="3" t="str">
        <f>HYPERLINK("http://funmeta.oebiotech.com/network/267477", "http://funmeta.oebiotech.com/network/267477")</f>
        <v>http://funmeta.oebiotech.com/network/267477</v>
      </c>
      <c r="H2186" s="2"/>
      <c r="I2186" s="2">
        <v>45542</v>
      </c>
      <c r="J2186" s="2"/>
      <c r="K2186" s="2"/>
      <c r="L2186" s="2"/>
      <c r="M2186" s="2"/>
      <c r="N2186" s="2"/>
      <c r="O2186" s="2">
        <v>5312137</v>
      </c>
      <c r="P2186" s="2" t="s">
        <v>14642</v>
      </c>
      <c r="Q2186" s="2" t="s">
        <v>14643</v>
      </c>
      <c r="R2186" s="2" t="s">
        <v>14644</v>
      </c>
      <c r="S2186" s="2" t="s">
        <v>491</v>
      </c>
      <c r="T2186" s="2" t="s">
        <v>2184</v>
      </c>
      <c r="U2186" s="2" t="s">
        <v>13266</v>
      </c>
      <c r="V2186" s="2" t="s">
        <v>59</v>
      </c>
      <c r="W2186" s="2">
        <v>37.6</v>
      </c>
      <c r="X2186" s="2">
        <v>0</v>
      </c>
      <c r="Y2186" s="2" t="s">
        <v>560</v>
      </c>
      <c r="Z2186" s="2" t="s">
        <v>14645</v>
      </c>
      <c r="AA2186" s="2">
        <v>-0.76027875083947405</v>
      </c>
      <c r="AB2186" s="2">
        <v>0.37074514873437298</v>
      </c>
      <c r="AC2186" s="2">
        <v>12742.429744613801</v>
      </c>
      <c r="AD2186" s="2">
        <v>22032.813100305699</v>
      </c>
      <c r="AE2186" s="2">
        <v>11857.050635219601</v>
      </c>
      <c r="AF2186" s="2">
        <v>12780.980763609899</v>
      </c>
      <c r="AG2186" s="2">
        <v>11979.123093676</v>
      </c>
      <c r="AH2186" s="2">
        <v>12404.5385540716</v>
      </c>
      <c r="AI2186" s="2">
        <v>13750.1105714448</v>
      </c>
      <c r="AJ2186" s="2">
        <v>13682.7748496609</v>
      </c>
      <c r="AK2186" s="2">
        <v>21919.511279406201</v>
      </c>
      <c r="AL2186" s="2">
        <v>19257.4140125757</v>
      </c>
      <c r="AM2186" s="2">
        <v>23747.214641089002</v>
      </c>
      <c r="AN2186" s="2">
        <v>22482.779552065302</v>
      </c>
      <c r="AO2186" s="2">
        <v>23734.914274720501</v>
      </c>
      <c r="AP2186" s="2">
        <v>21055.044841977699</v>
      </c>
    </row>
    <row r="2187" spans="1:42" ht="14.5" x14ac:dyDescent="0.35">
      <c r="A2187" s="2" t="s">
        <v>14646</v>
      </c>
      <c r="B2187" s="2">
        <v>535.327329093201</v>
      </c>
      <c r="C2187" s="2">
        <v>5.5617999999999999</v>
      </c>
      <c r="D2187" s="2" t="s">
        <v>70</v>
      </c>
      <c r="E2187" s="2" t="s">
        <v>14647</v>
      </c>
      <c r="F2187" s="2">
        <v>43749</v>
      </c>
      <c r="G2187" s="3" t="str">
        <f>HYPERLINK("http://funmeta.oebiotech.com/network/43749", "http://funmeta.oebiotech.com/network/43749")</f>
        <v>http://funmeta.oebiotech.com/network/43749</v>
      </c>
      <c r="H2187" s="2"/>
      <c r="I2187" s="2"/>
      <c r="J2187" s="2" t="s">
        <v>14648</v>
      </c>
      <c r="K2187" s="2"/>
      <c r="L2187" s="2"/>
      <c r="M2187" s="2"/>
      <c r="N2187" s="2"/>
      <c r="O2187" s="2"/>
      <c r="P2187" s="2"/>
      <c r="Q2187" s="2" t="s">
        <v>14649</v>
      </c>
      <c r="R2187" s="2" t="s">
        <v>14650</v>
      </c>
      <c r="S2187" s="2" t="s">
        <v>50</v>
      </c>
      <c r="T2187" s="2" t="s">
        <v>124</v>
      </c>
      <c r="U2187" s="2" t="s">
        <v>2789</v>
      </c>
      <c r="V2187" s="2" t="s">
        <v>59</v>
      </c>
      <c r="W2187" s="2">
        <v>37.299999999999997</v>
      </c>
      <c r="X2187" s="2">
        <v>0</v>
      </c>
      <c r="Y2187" s="2" t="s">
        <v>118</v>
      </c>
      <c r="Z2187" s="2" t="s">
        <v>14651</v>
      </c>
      <c r="AA2187" s="2">
        <v>-0.58353582561425199</v>
      </c>
      <c r="AB2187" s="2">
        <v>0.37066924164084702</v>
      </c>
      <c r="AC2187" s="2">
        <v>9465.3170431221006</v>
      </c>
      <c r="AD2187" s="2">
        <v>313.11196093784503</v>
      </c>
      <c r="AE2187" s="2">
        <v>8736.6357011766904</v>
      </c>
      <c r="AF2187" s="2">
        <v>9556.8627432594403</v>
      </c>
      <c r="AG2187" s="2">
        <v>9648.5391527727497</v>
      </c>
      <c r="AH2187" s="2">
        <v>11384.765179100101</v>
      </c>
      <c r="AI2187" s="2">
        <v>9682.8978086700499</v>
      </c>
      <c r="AJ2187" s="2">
        <v>7782.2016737535496</v>
      </c>
      <c r="AK2187" s="2">
        <v>341.45699892044598</v>
      </c>
      <c r="AL2187" s="2">
        <v>114.061135556172</v>
      </c>
      <c r="AM2187" s="2">
        <v>144.18853028778699</v>
      </c>
      <c r="AN2187" s="2">
        <v>642.25016338718899</v>
      </c>
      <c r="AO2187" s="2">
        <v>283.10031241568799</v>
      </c>
      <c r="AP2187" s="2">
        <v>353.614625059785</v>
      </c>
    </row>
    <row r="2188" spans="1:42" ht="14.5" x14ac:dyDescent="0.35">
      <c r="A2188" s="2" t="s">
        <v>14652</v>
      </c>
      <c r="B2188" s="2">
        <v>347.17663091224898</v>
      </c>
      <c r="C2188" s="2">
        <v>7.4323499999999996</v>
      </c>
      <c r="D2188" s="2" t="s">
        <v>70</v>
      </c>
      <c r="E2188" s="2" t="s">
        <v>14653</v>
      </c>
      <c r="F2188" s="2">
        <v>196998</v>
      </c>
      <c r="G2188" s="3" t="str">
        <f>HYPERLINK("http://funmeta.oebiotech.com/network/196998", "http://funmeta.oebiotech.com/network/196998")</f>
        <v>http://funmeta.oebiotech.com/network/196998</v>
      </c>
      <c r="H2188" s="2" t="s">
        <v>14654</v>
      </c>
      <c r="I2188" s="2"/>
      <c r="J2188" s="2"/>
      <c r="K2188" s="2">
        <v>83168</v>
      </c>
      <c r="L2188" s="2"/>
      <c r="M2188" s="2"/>
      <c r="N2188" s="2"/>
      <c r="O2188" s="2">
        <v>5284514</v>
      </c>
      <c r="P2188" s="2" t="s">
        <v>14655</v>
      </c>
      <c r="Q2188" s="2" t="s">
        <v>14656</v>
      </c>
      <c r="R2188" s="2" t="s">
        <v>14657</v>
      </c>
      <c r="S2188" s="2" t="s">
        <v>148</v>
      </c>
      <c r="T2188" s="2" t="s">
        <v>149</v>
      </c>
      <c r="U2188" s="2" t="s">
        <v>2874</v>
      </c>
      <c r="V2188" s="2" t="s">
        <v>59</v>
      </c>
      <c r="W2188" s="2">
        <v>36.6</v>
      </c>
      <c r="X2188" s="2">
        <v>0</v>
      </c>
      <c r="Y2188" s="2" t="s">
        <v>118</v>
      </c>
      <c r="Z2188" s="2" t="s">
        <v>14658</v>
      </c>
      <c r="AA2188" s="2">
        <v>0.37142985209944701</v>
      </c>
      <c r="AB2188" s="2">
        <v>0.37040847999175902</v>
      </c>
      <c r="AC2188" s="2">
        <v>9167.4368442973391</v>
      </c>
      <c r="AD2188" s="2">
        <v>148.68244281583699</v>
      </c>
      <c r="AE2188" s="2">
        <v>9714.0676107686995</v>
      </c>
      <c r="AF2188" s="2">
        <v>8980.2859668745405</v>
      </c>
      <c r="AG2188" s="2">
        <v>9478.7096486607697</v>
      </c>
      <c r="AH2188" s="2">
        <v>9465.5864197442097</v>
      </c>
      <c r="AI2188" s="2">
        <v>8755.0231349912792</v>
      </c>
      <c r="AJ2188" s="2">
        <v>8610.9482847445506</v>
      </c>
      <c r="AK2188" s="2">
        <v>2.7106294003980101E-5</v>
      </c>
      <c r="AL2188" s="2">
        <v>91.335427534257903</v>
      </c>
      <c r="AM2188" s="2">
        <v>232.80237187484099</v>
      </c>
      <c r="AN2188" s="2">
        <v>2.7106294003980101E-5</v>
      </c>
      <c r="AO2188" s="2">
        <v>2.7106294003980101E-5</v>
      </c>
      <c r="AP2188" s="2">
        <v>567.95677616704097</v>
      </c>
    </row>
    <row r="2189" spans="1:42" ht="14.5" x14ac:dyDescent="0.35">
      <c r="A2189" s="2" t="s">
        <v>14659</v>
      </c>
      <c r="B2189" s="2">
        <v>1047.5181621658701</v>
      </c>
      <c r="C2189" s="2">
        <v>13.4645333333333</v>
      </c>
      <c r="D2189" s="2" t="s">
        <v>70</v>
      </c>
      <c r="E2189" s="2" t="s">
        <v>14660</v>
      </c>
      <c r="F2189" s="2">
        <v>256274</v>
      </c>
      <c r="G2189" s="3" t="str">
        <f>HYPERLINK("http://funmeta.oebiotech.com/network/256274", "http://funmeta.oebiotech.com/network/256274")</f>
        <v>http://funmeta.oebiotech.com/network/256274</v>
      </c>
      <c r="H2189" s="2" t="s">
        <v>14661</v>
      </c>
      <c r="I2189" s="2"/>
      <c r="J2189" s="2"/>
      <c r="K2189" s="2"/>
      <c r="L2189" s="2"/>
      <c r="M2189" s="2"/>
      <c r="N2189" s="2"/>
      <c r="O2189" s="2"/>
      <c r="P2189" s="2"/>
      <c r="Q2189" s="2" t="s">
        <v>14662</v>
      </c>
      <c r="R2189" s="2" t="s">
        <v>14663</v>
      </c>
      <c r="S2189" s="2" t="s">
        <v>50</v>
      </c>
      <c r="T2189" s="2" t="s">
        <v>201</v>
      </c>
      <c r="U2189" s="2" t="s">
        <v>210</v>
      </c>
      <c r="V2189" s="2" t="s">
        <v>59</v>
      </c>
      <c r="W2189" s="2">
        <v>38.200000000000003</v>
      </c>
      <c r="X2189" s="2">
        <v>0</v>
      </c>
      <c r="Y2189" s="2" t="s">
        <v>118</v>
      </c>
      <c r="Z2189" s="2" t="s">
        <v>14664</v>
      </c>
      <c r="AA2189" s="2">
        <v>1.09071490248081</v>
      </c>
      <c r="AB2189" s="2">
        <v>0.37039256772474399</v>
      </c>
      <c r="AC2189" s="2">
        <v>13050.043515126101</v>
      </c>
      <c r="AD2189" s="2">
        <v>2957.1969957767801</v>
      </c>
      <c r="AE2189" s="2">
        <v>9385.3383969877505</v>
      </c>
      <c r="AF2189" s="2">
        <v>7605.57286716202</v>
      </c>
      <c r="AG2189" s="2">
        <v>13641.6488244064</v>
      </c>
      <c r="AH2189" s="2">
        <v>16822.070903357999</v>
      </c>
      <c r="AI2189" s="2">
        <v>14857.990268931901</v>
      </c>
      <c r="AJ2189" s="2">
        <v>15987.6398299108</v>
      </c>
      <c r="AK2189" s="2">
        <v>2851.0450865920802</v>
      </c>
      <c r="AL2189" s="2">
        <v>4455.4496610383603</v>
      </c>
      <c r="AM2189" s="2">
        <v>2004.7756451342</v>
      </c>
      <c r="AN2189" s="2">
        <v>2401.6864624087202</v>
      </c>
      <c r="AO2189" s="2">
        <v>1824.9040062802601</v>
      </c>
      <c r="AP2189" s="2">
        <v>4205.3211132070301</v>
      </c>
    </row>
    <row r="2190" spans="1:42" ht="14.5" x14ac:dyDescent="0.35">
      <c r="A2190" s="2" t="s">
        <v>14665</v>
      </c>
      <c r="B2190" s="2">
        <v>715.272261790931</v>
      </c>
      <c r="C2190" s="2">
        <v>9.3516666666666701</v>
      </c>
      <c r="D2190" s="2" t="s">
        <v>34</v>
      </c>
      <c r="E2190" s="2" t="s">
        <v>14666</v>
      </c>
      <c r="F2190" s="2">
        <v>255268</v>
      </c>
      <c r="G2190" s="3" t="str">
        <f>HYPERLINK("http://funmeta.oebiotech.com/network/255268", "http://funmeta.oebiotech.com/network/255268")</f>
        <v>http://funmeta.oebiotech.com/network/255268</v>
      </c>
      <c r="H2190" s="2" t="s">
        <v>14667</v>
      </c>
      <c r="I2190" s="2"/>
      <c r="J2190" s="2"/>
      <c r="K2190" s="2"/>
      <c r="L2190" s="2"/>
      <c r="M2190" s="2"/>
      <c r="N2190" s="2"/>
      <c r="O2190" s="2">
        <v>91989993</v>
      </c>
      <c r="P2190" s="2"/>
      <c r="Q2190" s="2" t="s">
        <v>14668</v>
      </c>
      <c r="R2190" s="2" t="s">
        <v>14669</v>
      </c>
      <c r="S2190" s="2" t="s">
        <v>115</v>
      </c>
      <c r="T2190" s="2" t="s">
        <v>1095</v>
      </c>
      <c r="U2190" s="2" t="s">
        <v>41</v>
      </c>
      <c r="V2190" s="2" t="s">
        <v>59</v>
      </c>
      <c r="W2190" s="2">
        <v>44.7</v>
      </c>
      <c r="X2190" s="2">
        <v>33.799999999999997</v>
      </c>
      <c r="Y2190" s="2" t="s">
        <v>141</v>
      </c>
      <c r="Z2190" s="2" t="s">
        <v>14670</v>
      </c>
      <c r="AA2190" s="2">
        <v>-3.6071324526686501</v>
      </c>
      <c r="AB2190" s="2">
        <v>0.37018205887371702</v>
      </c>
      <c r="AC2190" s="2">
        <v>23128.606846464299</v>
      </c>
      <c r="AD2190" s="2">
        <v>33093.223539452898</v>
      </c>
      <c r="AE2190" s="2">
        <v>23770.9826524665</v>
      </c>
      <c r="AF2190" s="2">
        <v>22973.678723621499</v>
      </c>
      <c r="AG2190" s="2">
        <v>23442.8452718755</v>
      </c>
      <c r="AH2190" s="2">
        <v>21486.4650783283</v>
      </c>
      <c r="AI2190" s="2">
        <v>23761.114994179399</v>
      </c>
      <c r="AJ2190" s="2">
        <v>23336.554358314799</v>
      </c>
      <c r="AK2190" s="2">
        <v>38736.303399651399</v>
      </c>
      <c r="AL2190" s="2">
        <v>33606.4232725935</v>
      </c>
      <c r="AM2190" s="2">
        <v>29783.0968091879</v>
      </c>
      <c r="AN2190" s="2">
        <v>29561.503494911402</v>
      </c>
      <c r="AO2190" s="2">
        <v>31716.328488677998</v>
      </c>
      <c r="AP2190" s="2">
        <v>35155.685771695302</v>
      </c>
    </row>
    <row r="2191" spans="1:42" ht="14.5" x14ac:dyDescent="0.35">
      <c r="A2191" s="2" t="s">
        <v>14671</v>
      </c>
      <c r="B2191" s="2">
        <v>281.174473725094</v>
      </c>
      <c r="C2191" s="2">
        <v>12.1619166666667</v>
      </c>
      <c r="D2191" s="2" t="s">
        <v>34</v>
      </c>
      <c r="E2191" s="2" t="s">
        <v>14672</v>
      </c>
      <c r="F2191" s="2">
        <v>3816</v>
      </c>
      <c r="G2191" s="3" t="str">
        <f>HYPERLINK("http://funmeta.oebiotech.com/network/3816", "http://funmeta.oebiotech.com/network/3816")</f>
        <v>http://funmeta.oebiotech.com/network/3816</v>
      </c>
      <c r="H2191" s="2"/>
      <c r="I2191" s="2">
        <v>74980</v>
      </c>
      <c r="J2191" s="2" t="s">
        <v>14673</v>
      </c>
      <c r="K2191" s="2"/>
      <c r="L2191" s="2"/>
      <c r="M2191" s="2"/>
      <c r="N2191" s="2"/>
      <c r="O2191" s="2">
        <v>52921880</v>
      </c>
      <c r="P2191" s="2"/>
      <c r="Q2191" s="2" t="s">
        <v>14674</v>
      </c>
      <c r="R2191" s="2" t="s">
        <v>14675</v>
      </c>
      <c r="S2191" s="2" t="s">
        <v>50</v>
      </c>
      <c r="T2191" s="2" t="s">
        <v>229</v>
      </c>
      <c r="U2191" s="2" t="s">
        <v>1283</v>
      </c>
      <c r="V2191" s="2" t="s">
        <v>59</v>
      </c>
      <c r="W2191" s="2">
        <v>42</v>
      </c>
      <c r="X2191" s="2">
        <v>16.899999999999999</v>
      </c>
      <c r="Y2191" s="2" t="s">
        <v>141</v>
      </c>
      <c r="Z2191" s="2" t="s">
        <v>6624</v>
      </c>
      <c r="AA2191" s="2">
        <v>-0.87852391967187204</v>
      </c>
      <c r="AB2191" s="2">
        <v>0.370118180155937</v>
      </c>
      <c r="AC2191" s="2">
        <v>14986.573869367599</v>
      </c>
      <c r="AD2191" s="2">
        <v>5724.5208134140103</v>
      </c>
      <c r="AE2191" s="2">
        <v>15809.1932204123</v>
      </c>
      <c r="AF2191" s="2">
        <v>16153.846187715701</v>
      </c>
      <c r="AG2191" s="2">
        <v>16313.3139167479</v>
      </c>
      <c r="AH2191" s="2">
        <v>12670.4447851901</v>
      </c>
      <c r="AI2191" s="2">
        <v>14488.697632531501</v>
      </c>
      <c r="AJ2191" s="2">
        <v>14483.947473607999</v>
      </c>
      <c r="AK2191" s="2">
        <v>5995.4725619663404</v>
      </c>
      <c r="AL2191" s="2">
        <v>4757.5776821151703</v>
      </c>
      <c r="AM2191" s="2">
        <v>5839.1381883287504</v>
      </c>
      <c r="AN2191" s="2">
        <v>7487.4595507709901</v>
      </c>
      <c r="AO2191" s="2">
        <v>6043.4894272527399</v>
      </c>
      <c r="AP2191" s="2">
        <v>4223.9874700500604</v>
      </c>
    </row>
    <row r="2192" spans="1:42" ht="14.5" x14ac:dyDescent="0.35">
      <c r="A2192" s="2" t="s">
        <v>14676</v>
      </c>
      <c r="B2192" s="2">
        <v>487.21004647656099</v>
      </c>
      <c r="C2192" s="2">
        <v>5.2266333333333304</v>
      </c>
      <c r="D2192" s="2" t="s">
        <v>70</v>
      </c>
      <c r="E2192" s="2" t="s">
        <v>14677</v>
      </c>
      <c r="F2192" s="2">
        <v>45708</v>
      </c>
      <c r="G2192" s="3" t="str">
        <f>HYPERLINK("http://funmeta.oebiotech.com/network/45708", "http://funmeta.oebiotech.com/network/45708")</f>
        <v>http://funmeta.oebiotech.com/network/45708</v>
      </c>
      <c r="H2192" s="2"/>
      <c r="I2192" s="2"/>
      <c r="J2192" s="2" t="s">
        <v>14678</v>
      </c>
      <c r="K2192" s="2"/>
      <c r="L2192" s="2"/>
      <c r="M2192" s="2"/>
      <c r="N2192" s="2"/>
      <c r="O2192" s="2">
        <v>9547648</v>
      </c>
      <c r="P2192" s="2"/>
      <c r="Q2192" s="2" t="s">
        <v>14679</v>
      </c>
      <c r="R2192" s="2" t="s">
        <v>14680</v>
      </c>
      <c r="S2192" s="2" t="s">
        <v>50</v>
      </c>
      <c r="T2192" s="2" t="s">
        <v>124</v>
      </c>
      <c r="U2192" s="2" t="s">
        <v>982</v>
      </c>
      <c r="V2192" s="2" t="s">
        <v>59</v>
      </c>
      <c r="W2192" s="2">
        <v>37.700000000000003</v>
      </c>
      <c r="X2192" s="2">
        <v>0</v>
      </c>
      <c r="Y2192" s="2" t="s">
        <v>751</v>
      </c>
      <c r="Z2192" s="2" t="s">
        <v>14681</v>
      </c>
      <c r="AA2192" s="2">
        <v>4.58963712146981</v>
      </c>
      <c r="AB2192" s="2">
        <v>0.36998851625602402</v>
      </c>
      <c r="AC2192" s="2">
        <v>20662.062947956099</v>
      </c>
      <c r="AD2192" s="2">
        <v>11190.710542479201</v>
      </c>
      <c r="AE2192" s="2">
        <v>21318.0374799852</v>
      </c>
      <c r="AF2192" s="2">
        <v>18599.253360180999</v>
      </c>
      <c r="AG2192" s="2">
        <v>22409.164465547899</v>
      </c>
      <c r="AH2192" s="2">
        <v>19768.473117837701</v>
      </c>
      <c r="AI2192" s="2">
        <v>20421.277280793802</v>
      </c>
      <c r="AJ2192" s="2">
        <v>21456.171983390799</v>
      </c>
      <c r="AK2192" s="2">
        <v>11885.6788129736</v>
      </c>
      <c r="AL2192" s="2">
        <v>14473.7569656127</v>
      </c>
      <c r="AM2192" s="2">
        <v>11975.0029989291</v>
      </c>
      <c r="AN2192" s="2">
        <v>10868.990888739299</v>
      </c>
      <c r="AO2192" s="2">
        <v>9335.6760845487006</v>
      </c>
      <c r="AP2192" s="2">
        <v>8605.1575040718508</v>
      </c>
    </row>
    <row r="2193" spans="1:42" ht="14.5" x14ac:dyDescent="0.35">
      <c r="A2193" s="2" t="s">
        <v>14682</v>
      </c>
      <c r="B2193" s="2">
        <v>572.23457376021804</v>
      </c>
      <c r="C2193" s="2">
        <v>6.2923</v>
      </c>
      <c r="D2193" s="2" t="s">
        <v>70</v>
      </c>
      <c r="E2193" s="2" t="s">
        <v>14683</v>
      </c>
      <c r="F2193" s="2">
        <v>266865</v>
      </c>
      <c r="G2193" s="3" t="str">
        <f>HYPERLINK("http://funmeta.oebiotech.com/network/266865", "http://funmeta.oebiotech.com/network/266865")</f>
        <v>http://funmeta.oebiotech.com/network/266865</v>
      </c>
      <c r="H2193" s="2"/>
      <c r="I2193" s="2">
        <v>44136</v>
      </c>
      <c r="J2193" s="2"/>
      <c r="K2193" s="2"/>
      <c r="L2193" s="2" t="s">
        <v>14684</v>
      </c>
      <c r="M2193" s="2"/>
      <c r="N2193" s="2"/>
      <c r="O2193" s="2">
        <v>56928061</v>
      </c>
      <c r="P2193" s="2" t="s">
        <v>14685</v>
      </c>
      <c r="Q2193" s="2" t="s">
        <v>14686</v>
      </c>
      <c r="R2193" s="2" t="s">
        <v>14687</v>
      </c>
      <c r="S2193" s="2" t="s">
        <v>79</v>
      </c>
      <c r="T2193" s="2" t="s">
        <v>80</v>
      </c>
      <c r="U2193" s="2" t="s">
        <v>81</v>
      </c>
      <c r="V2193" s="2" t="s">
        <v>59</v>
      </c>
      <c r="W2193" s="2">
        <v>37.700000000000003</v>
      </c>
      <c r="X2193" s="2">
        <v>0</v>
      </c>
      <c r="Y2193" s="2" t="s">
        <v>408</v>
      </c>
      <c r="Z2193" s="2" t="s">
        <v>14688</v>
      </c>
      <c r="AA2193" s="2">
        <v>7.0796735206499397</v>
      </c>
      <c r="AB2193" s="2">
        <v>0.36952930801419698</v>
      </c>
      <c r="AC2193" s="2">
        <v>19744.419577959899</v>
      </c>
      <c r="AD2193" s="2">
        <v>10317.0224844032</v>
      </c>
      <c r="AE2193" s="2">
        <v>20463.515506263</v>
      </c>
      <c r="AF2193" s="2">
        <v>17478.534074745301</v>
      </c>
      <c r="AG2193" s="2">
        <v>21554.173196432901</v>
      </c>
      <c r="AH2193" s="2">
        <v>18281.4438170375</v>
      </c>
      <c r="AI2193" s="2">
        <v>19226.6286327487</v>
      </c>
      <c r="AJ2193" s="2">
        <v>21462.222240531999</v>
      </c>
      <c r="AK2193" s="2">
        <v>9342.6043477390504</v>
      </c>
      <c r="AL2193" s="2">
        <v>13450.207933969299</v>
      </c>
      <c r="AM2193" s="2">
        <v>11234.250953279899</v>
      </c>
      <c r="AN2193" s="2">
        <v>9613.2372713406094</v>
      </c>
      <c r="AO2193" s="2">
        <v>8517.7037408281903</v>
      </c>
      <c r="AP2193" s="2">
        <v>9744.1306592622805</v>
      </c>
    </row>
    <row r="2194" spans="1:42" ht="14.5" x14ac:dyDescent="0.35">
      <c r="A2194" s="2" t="s">
        <v>14689</v>
      </c>
      <c r="B2194" s="2">
        <v>457.13470068557001</v>
      </c>
      <c r="C2194" s="2">
        <v>4.0592666666666704</v>
      </c>
      <c r="D2194" s="2" t="s">
        <v>70</v>
      </c>
      <c r="E2194" s="2" t="s">
        <v>14690</v>
      </c>
      <c r="F2194" s="2">
        <v>64428</v>
      </c>
      <c r="G2194" s="3" t="str">
        <f>HYPERLINK("http://funmeta.oebiotech.com/network/64428", "http://funmeta.oebiotech.com/network/64428")</f>
        <v>http://funmeta.oebiotech.com/network/64428</v>
      </c>
      <c r="H2194" s="2" t="s">
        <v>14691</v>
      </c>
      <c r="I2194" s="2">
        <v>95744</v>
      </c>
      <c r="J2194" s="2"/>
      <c r="K2194" s="2"/>
      <c r="L2194" s="2"/>
      <c r="M2194" s="2"/>
      <c r="N2194" s="2"/>
      <c r="O2194" s="2">
        <v>22297293</v>
      </c>
      <c r="P2194" s="2" t="s">
        <v>14692</v>
      </c>
      <c r="Q2194" s="2" t="s">
        <v>14693</v>
      </c>
      <c r="R2194" s="2" t="s">
        <v>14694</v>
      </c>
      <c r="S2194" s="2" t="s">
        <v>79</v>
      </c>
      <c r="T2194" s="2" t="s">
        <v>80</v>
      </c>
      <c r="U2194" s="2" t="s">
        <v>81</v>
      </c>
      <c r="V2194" s="2" t="s">
        <v>59</v>
      </c>
      <c r="W2194" s="2">
        <v>42.5</v>
      </c>
      <c r="X2194" s="2">
        <v>21.6</v>
      </c>
      <c r="Y2194" s="2" t="s">
        <v>498</v>
      </c>
      <c r="Z2194" s="2" t="s">
        <v>12958</v>
      </c>
      <c r="AA2194" s="2">
        <v>-0.980374102407499</v>
      </c>
      <c r="AB2194" s="2">
        <v>0.36934562690967698</v>
      </c>
      <c r="AC2194" s="2">
        <v>120891.297828771</v>
      </c>
      <c r="AD2194" s="2">
        <v>133241.78619572401</v>
      </c>
      <c r="AE2194" s="2">
        <v>118909.407137633</v>
      </c>
      <c r="AF2194" s="2">
        <v>121494.995851115</v>
      </c>
      <c r="AG2194" s="2">
        <v>117356.369580172</v>
      </c>
      <c r="AH2194" s="2">
        <v>119241.82587458999</v>
      </c>
      <c r="AI2194" s="2">
        <v>125529.060484324</v>
      </c>
      <c r="AJ2194" s="2">
        <v>122816.128044791</v>
      </c>
      <c r="AK2194" s="2">
        <v>143018.122604087</v>
      </c>
      <c r="AL2194" s="2">
        <v>139921.49711731801</v>
      </c>
      <c r="AM2194" s="2">
        <v>135329.64067540801</v>
      </c>
      <c r="AN2194" s="2">
        <v>120759.189336037</v>
      </c>
      <c r="AO2194" s="2">
        <v>125483.877738469</v>
      </c>
      <c r="AP2194" s="2">
        <v>134938.389703022</v>
      </c>
    </row>
    <row r="2195" spans="1:42" ht="14.5" x14ac:dyDescent="0.35">
      <c r="A2195" s="2" t="s">
        <v>14695</v>
      </c>
      <c r="B2195" s="2">
        <v>307.19128704318803</v>
      </c>
      <c r="C2195" s="2">
        <v>8.7726333333333297</v>
      </c>
      <c r="D2195" s="2" t="s">
        <v>70</v>
      </c>
      <c r="E2195" s="2" t="s">
        <v>14696</v>
      </c>
      <c r="F2195" s="2">
        <v>56947</v>
      </c>
      <c r="G2195" s="3" t="str">
        <f>HYPERLINK("http://funmeta.oebiotech.com/network/56947", "http://funmeta.oebiotech.com/network/56947")</f>
        <v>http://funmeta.oebiotech.com/network/56947</v>
      </c>
      <c r="H2195" s="2" t="s">
        <v>14697</v>
      </c>
      <c r="I2195" s="2">
        <v>88605</v>
      </c>
      <c r="J2195" s="2"/>
      <c r="K2195" s="2">
        <v>138783</v>
      </c>
      <c r="L2195" s="2"/>
      <c r="M2195" s="2"/>
      <c r="N2195" s="2"/>
      <c r="O2195" s="2">
        <v>9883083</v>
      </c>
      <c r="P2195" s="2"/>
      <c r="Q2195" s="2" t="s">
        <v>14698</v>
      </c>
      <c r="R2195" s="2" t="s">
        <v>14699</v>
      </c>
      <c r="S2195" s="2" t="s">
        <v>50</v>
      </c>
      <c r="T2195" s="2" t="s">
        <v>229</v>
      </c>
      <c r="U2195" s="2" t="s">
        <v>1360</v>
      </c>
      <c r="V2195" s="2" t="s">
        <v>59</v>
      </c>
      <c r="W2195" s="2">
        <v>41.8</v>
      </c>
      <c r="X2195" s="2">
        <v>14</v>
      </c>
      <c r="Y2195" s="2" t="s">
        <v>792</v>
      </c>
      <c r="Z2195" s="2" t="s">
        <v>7423</v>
      </c>
      <c r="AA2195" s="2">
        <v>-0.63563205910039999</v>
      </c>
      <c r="AB2195" s="2">
        <v>0.36927294545801398</v>
      </c>
      <c r="AC2195" s="2">
        <v>11304.3768508621</v>
      </c>
      <c r="AD2195" s="2">
        <v>2245.3117705301001</v>
      </c>
      <c r="AE2195" s="2">
        <v>12649.101433504</v>
      </c>
      <c r="AF2195" s="2">
        <v>10093.5031535538</v>
      </c>
      <c r="AG2195" s="2">
        <v>10429.866135006399</v>
      </c>
      <c r="AH2195" s="2">
        <v>11225.7499994965</v>
      </c>
      <c r="AI2195" s="2">
        <v>10896.757873193699</v>
      </c>
      <c r="AJ2195" s="2">
        <v>12531.282510418199</v>
      </c>
      <c r="AK2195" s="2">
        <v>2145.8246338679701</v>
      </c>
      <c r="AL2195" s="2">
        <v>2069.1163565656898</v>
      </c>
      <c r="AM2195" s="2">
        <v>2455.0555798834498</v>
      </c>
      <c r="AN2195" s="2">
        <v>2647.2636989951402</v>
      </c>
      <c r="AO2195" s="2">
        <v>1981.3124546051799</v>
      </c>
      <c r="AP2195" s="2">
        <v>2173.2978992631802</v>
      </c>
    </row>
    <row r="2196" spans="1:42" ht="14.5" x14ac:dyDescent="0.35">
      <c r="A2196" s="2" t="s">
        <v>14700</v>
      </c>
      <c r="B2196" s="2">
        <v>427.197248197975</v>
      </c>
      <c r="C2196" s="2">
        <v>5.2266333333333304</v>
      </c>
      <c r="D2196" s="2" t="s">
        <v>70</v>
      </c>
      <c r="E2196" s="2" t="s">
        <v>14701</v>
      </c>
      <c r="F2196" s="2">
        <v>212349</v>
      </c>
      <c r="G2196" s="3" t="str">
        <f>HYPERLINK("http://funmeta.oebiotech.com/network/212349", "http://funmeta.oebiotech.com/network/212349")</f>
        <v>http://funmeta.oebiotech.com/network/212349</v>
      </c>
      <c r="H2196" s="2" t="s">
        <v>14702</v>
      </c>
      <c r="I2196" s="2"/>
      <c r="J2196" s="2"/>
      <c r="K2196" s="2"/>
      <c r="L2196" s="2"/>
      <c r="M2196" s="2"/>
      <c r="N2196" s="2"/>
      <c r="O2196" s="2"/>
      <c r="P2196" s="2"/>
      <c r="Q2196" s="2" t="s">
        <v>14703</v>
      </c>
      <c r="R2196" s="2" t="s">
        <v>14704</v>
      </c>
      <c r="S2196" s="2" t="s">
        <v>41</v>
      </c>
      <c r="T2196" s="2" t="s">
        <v>41</v>
      </c>
      <c r="U2196" s="2" t="s">
        <v>41</v>
      </c>
      <c r="V2196" s="2" t="s">
        <v>59</v>
      </c>
      <c r="W2196" s="2">
        <v>45.2</v>
      </c>
      <c r="X2196" s="2">
        <v>33.799999999999997</v>
      </c>
      <c r="Y2196" s="2" t="s">
        <v>408</v>
      </c>
      <c r="Z2196" s="2" t="s">
        <v>14705</v>
      </c>
      <c r="AA2196" s="2">
        <v>-0.28249943609085199</v>
      </c>
      <c r="AB2196" s="2">
        <v>0.369245886312141</v>
      </c>
      <c r="AC2196" s="2">
        <v>19844.486327937298</v>
      </c>
      <c r="AD2196" s="2">
        <v>10561.6014007499</v>
      </c>
      <c r="AE2196" s="2">
        <v>20379.213981483099</v>
      </c>
      <c r="AF2196" s="2">
        <v>18016.433161368299</v>
      </c>
      <c r="AG2196" s="2">
        <v>22205.272590263401</v>
      </c>
      <c r="AH2196" s="2">
        <v>18934.289177913499</v>
      </c>
      <c r="AI2196" s="2">
        <v>20821.207657721399</v>
      </c>
      <c r="AJ2196" s="2">
        <v>18710.501398873799</v>
      </c>
      <c r="AK2196" s="2">
        <v>11211.675820074101</v>
      </c>
      <c r="AL2196" s="2">
        <v>11499.857462440001</v>
      </c>
      <c r="AM2196" s="2">
        <v>10879.5191779205</v>
      </c>
      <c r="AN2196" s="2">
        <v>8297.2731449642906</v>
      </c>
      <c r="AO2196" s="2">
        <v>11536.101618041601</v>
      </c>
      <c r="AP2196" s="2">
        <v>9945.1811810591607</v>
      </c>
    </row>
    <row r="2197" spans="1:42" ht="14.5" x14ac:dyDescent="0.35">
      <c r="A2197" s="2" t="s">
        <v>14706</v>
      </c>
      <c r="B2197" s="2">
        <v>676.37020142812696</v>
      </c>
      <c r="C2197" s="2">
        <v>5.4568000000000003</v>
      </c>
      <c r="D2197" s="2" t="s">
        <v>34</v>
      </c>
      <c r="E2197" s="2" t="s">
        <v>14707</v>
      </c>
      <c r="F2197" s="2">
        <v>46668</v>
      </c>
      <c r="G2197" s="3" t="str">
        <f>HYPERLINK("http://funmeta.oebiotech.com/network/46668", "http://funmeta.oebiotech.com/network/46668")</f>
        <v>http://funmeta.oebiotech.com/network/46668</v>
      </c>
      <c r="H2197" s="2"/>
      <c r="I2197" s="2"/>
      <c r="J2197" s="2" t="s">
        <v>14708</v>
      </c>
      <c r="K2197" s="2"/>
      <c r="L2197" s="2"/>
      <c r="M2197" s="2"/>
      <c r="N2197" s="2"/>
      <c r="O2197" s="2"/>
      <c r="P2197" s="2"/>
      <c r="Q2197" s="2" t="s">
        <v>14709</v>
      </c>
      <c r="R2197" s="2" t="s">
        <v>14710</v>
      </c>
      <c r="S2197" s="2" t="s">
        <v>50</v>
      </c>
      <c r="T2197" s="2" t="s">
        <v>124</v>
      </c>
      <c r="U2197" s="2" t="s">
        <v>523</v>
      </c>
      <c r="V2197" s="2" t="s">
        <v>59</v>
      </c>
      <c r="W2197" s="2">
        <v>36.9</v>
      </c>
      <c r="X2197" s="2">
        <v>0</v>
      </c>
      <c r="Y2197" s="2" t="s">
        <v>43</v>
      </c>
      <c r="Z2197" s="2" t="s">
        <v>14711</v>
      </c>
      <c r="AA2197" s="2">
        <v>-3.5052608491474202</v>
      </c>
      <c r="AB2197" s="2">
        <v>0.36904554036584097</v>
      </c>
      <c r="AC2197" s="2">
        <v>36881.561904341201</v>
      </c>
      <c r="AD2197" s="2">
        <v>49513.605930263897</v>
      </c>
      <c r="AE2197" s="2">
        <v>40126.287269622699</v>
      </c>
      <c r="AF2197" s="2">
        <v>37553.327459615903</v>
      </c>
      <c r="AG2197" s="2">
        <v>29414.723837821301</v>
      </c>
      <c r="AH2197" s="2">
        <v>38086.341036807797</v>
      </c>
      <c r="AI2197" s="2">
        <v>34196.976961461398</v>
      </c>
      <c r="AJ2197" s="2">
        <v>41911.714860718101</v>
      </c>
      <c r="AK2197" s="2">
        <v>41829.953752604699</v>
      </c>
      <c r="AL2197" s="2">
        <v>43208.2801339016</v>
      </c>
      <c r="AM2197" s="2">
        <v>49783.790752163601</v>
      </c>
      <c r="AN2197" s="2">
        <v>47424.449932483898</v>
      </c>
      <c r="AO2197" s="2">
        <v>48783.0209564994</v>
      </c>
      <c r="AP2197" s="2">
        <v>66052.140053929994</v>
      </c>
    </row>
    <row r="2198" spans="1:42" ht="14.5" x14ac:dyDescent="0.35">
      <c r="A2198" s="2" t="s">
        <v>14712</v>
      </c>
      <c r="B2198" s="2">
        <v>649.33401887114405</v>
      </c>
      <c r="C2198" s="2">
        <v>5.7665166666666696</v>
      </c>
      <c r="D2198" s="2" t="s">
        <v>70</v>
      </c>
      <c r="E2198" s="2" t="s">
        <v>14713</v>
      </c>
      <c r="F2198" s="2">
        <v>219717</v>
      </c>
      <c r="G2198" s="3" t="str">
        <f>HYPERLINK("http://funmeta.oebiotech.com/network/219717", "http://funmeta.oebiotech.com/network/219717")</f>
        <v>http://funmeta.oebiotech.com/network/219717</v>
      </c>
      <c r="H2198" s="2" t="s">
        <v>14714</v>
      </c>
      <c r="I2198" s="2"/>
      <c r="J2198" s="2"/>
      <c r="K2198" s="2"/>
      <c r="L2198" s="2"/>
      <c r="M2198" s="2"/>
      <c r="N2198" s="2"/>
      <c r="O2198" s="2"/>
      <c r="P2198" s="2"/>
      <c r="Q2198" s="2" t="s">
        <v>14715</v>
      </c>
      <c r="R2198" s="2" t="s">
        <v>14716</v>
      </c>
      <c r="S2198" s="2" t="s">
        <v>41</v>
      </c>
      <c r="T2198" s="2" t="s">
        <v>41</v>
      </c>
      <c r="U2198" s="2" t="s">
        <v>41</v>
      </c>
      <c r="V2198" s="2" t="s">
        <v>59</v>
      </c>
      <c r="W2198" s="2">
        <v>38.299999999999997</v>
      </c>
      <c r="X2198" s="2">
        <v>0</v>
      </c>
      <c r="Y2198" s="2" t="s">
        <v>118</v>
      </c>
      <c r="Z2198" s="2" t="s">
        <v>14717</v>
      </c>
      <c r="AA2198" s="2">
        <v>-2.7962553727713502</v>
      </c>
      <c r="AB2198" s="2">
        <v>0.368545147063921</v>
      </c>
      <c r="AC2198" s="2">
        <v>8651.8677293042892</v>
      </c>
      <c r="AD2198" s="2">
        <v>17692.590905102399</v>
      </c>
      <c r="AE2198" s="2">
        <v>8451.1815879213591</v>
      </c>
      <c r="AF2198" s="2">
        <v>7728.7308266366699</v>
      </c>
      <c r="AG2198" s="2">
        <v>8624.1686624465201</v>
      </c>
      <c r="AH2198" s="2">
        <v>9849.8735546112293</v>
      </c>
      <c r="AI2198" s="2">
        <v>9223.9652822563894</v>
      </c>
      <c r="AJ2198" s="2">
        <v>8033.2864619535803</v>
      </c>
      <c r="AK2198" s="2">
        <v>19276.7834349146</v>
      </c>
      <c r="AL2198" s="2">
        <v>16721.093237424699</v>
      </c>
      <c r="AM2198" s="2">
        <v>18090.188707662001</v>
      </c>
      <c r="AN2198" s="2">
        <v>18109.618073158799</v>
      </c>
      <c r="AO2198" s="2">
        <v>16744.244018961999</v>
      </c>
      <c r="AP2198" s="2">
        <v>17213.617958492101</v>
      </c>
    </row>
    <row r="2199" spans="1:42" ht="14.5" x14ac:dyDescent="0.35">
      <c r="A2199" s="2" t="s">
        <v>14718</v>
      </c>
      <c r="B2199" s="2">
        <v>837.37255041011201</v>
      </c>
      <c r="C2199" s="2">
        <v>12.184433333333301</v>
      </c>
      <c r="D2199" s="2" t="s">
        <v>70</v>
      </c>
      <c r="E2199" s="2" t="s">
        <v>14719</v>
      </c>
      <c r="F2199" s="2">
        <v>205558</v>
      </c>
      <c r="G2199" s="3" t="str">
        <f>HYPERLINK("http://funmeta.oebiotech.com/network/205558", "http://funmeta.oebiotech.com/network/205558")</f>
        <v>http://funmeta.oebiotech.com/network/205558</v>
      </c>
      <c r="H2199" s="2" t="s">
        <v>14720</v>
      </c>
      <c r="I2199" s="2"/>
      <c r="J2199" s="2"/>
      <c r="K2199" s="2"/>
      <c r="L2199" s="2"/>
      <c r="M2199" s="2"/>
      <c r="N2199" s="2"/>
      <c r="O2199" s="2">
        <v>13895520</v>
      </c>
      <c r="P2199" s="2"/>
      <c r="Q2199" s="2" t="s">
        <v>14721</v>
      </c>
      <c r="R2199" s="2" t="s">
        <v>14722</v>
      </c>
      <c r="S2199" s="2" t="s">
        <v>41</v>
      </c>
      <c r="T2199" s="2" t="s">
        <v>41</v>
      </c>
      <c r="U2199" s="2" t="s">
        <v>41</v>
      </c>
      <c r="V2199" s="2" t="s">
        <v>59</v>
      </c>
      <c r="W2199" s="2">
        <v>38.200000000000003</v>
      </c>
      <c r="X2199" s="2">
        <v>3.71</v>
      </c>
      <c r="Y2199" s="2" t="s">
        <v>751</v>
      </c>
      <c r="Z2199" s="2" t="s">
        <v>14723</v>
      </c>
      <c r="AA2199" s="2">
        <v>-2.6501946017156501</v>
      </c>
      <c r="AB2199" s="2">
        <v>0.36850309491289202</v>
      </c>
      <c r="AC2199" s="2">
        <v>135391.191736037</v>
      </c>
      <c r="AD2199" s="2">
        <v>122167.130567596</v>
      </c>
      <c r="AE2199" s="2">
        <v>136321.74998371501</v>
      </c>
      <c r="AF2199" s="2">
        <v>121037.374319914</v>
      </c>
      <c r="AG2199" s="2">
        <v>141841.87189444</v>
      </c>
      <c r="AH2199" s="2">
        <v>135171.61536640601</v>
      </c>
      <c r="AI2199" s="2">
        <v>140202.46898333699</v>
      </c>
      <c r="AJ2199" s="2">
        <v>137772.06986840899</v>
      </c>
      <c r="AK2199" s="2">
        <v>125605.449645945</v>
      </c>
      <c r="AL2199" s="2">
        <v>115010.09473774899</v>
      </c>
      <c r="AM2199" s="2">
        <v>118211.440115627</v>
      </c>
      <c r="AN2199" s="2">
        <v>121728.885554722</v>
      </c>
      <c r="AO2199" s="2">
        <v>115524.130603617</v>
      </c>
      <c r="AP2199" s="2">
        <v>136922.78274791301</v>
      </c>
    </row>
    <row r="2200" spans="1:42" ht="14.5" x14ac:dyDescent="0.35">
      <c r="A2200" s="2" t="s">
        <v>14724</v>
      </c>
      <c r="B2200" s="2">
        <v>1006.57242628368</v>
      </c>
      <c r="C2200" s="2">
        <v>9.7467833333333296</v>
      </c>
      <c r="D2200" s="2" t="s">
        <v>34</v>
      </c>
      <c r="E2200" s="2" t="s">
        <v>14725</v>
      </c>
      <c r="F2200" s="2">
        <v>48356</v>
      </c>
      <c r="G2200" s="3" t="str">
        <f>HYPERLINK("http://funmeta.oebiotech.com/network/48356", "http://funmeta.oebiotech.com/network/48356")</f>
        <v>http://funmeta.oebiotech.com/network/48356</v>
      </c>
      <c r="H2200" s="2" t="s">
        <v>14726</v>
      </c>
      <c r="I2200" s="2">
        <v>7134</v>
      </c>
      <c r="J2200" s="2"/>
      <c r="K2200" s="2"/>
      <c r="L2200" s="2" t="s">
        <v>14727</v>
      </c>
      <c r="M2200" s="2" t="s">
        <v>14728</v>
      </c>
      <c r="N2200" s="2" t="s">
        <v>14729</v>
      </c>
      <c r="O2200" s="2">
        <v>53477785</v>
      </c>
      <c r="P2200" s="2"/>
      <c r="Q2200" s="2" t="s">
        <v>14730</v>
      </c>
      <c r="R2200" s="2" t="s">
        <v>14731</v>
      </c>
      <c r="S2200" s="2" t="s">
        <v>50</v>
      </c>
      <c r="T2200" s="2" t="s">
        <v>693</v>
      </c>
      <c r="U2200" s="2" t="s">
        <v>694</v>
      </c>
      <c r="V2200" s="2" t="s">
        <v>59</v>
      </c>
      <c r="W2200" s="2">
        <v>38</v>
      </c>
      <c r="X2200" s="2">
        <v>0</v>
      </c>
      <c r="Y2200" s="2" t="s">
        <v>340</v>
      </c>
      <c r="Z2200" s="2" t="s">
        <v>14732</v>
      </c>
      <c r="AA2200" s="2">
        <v>1.34681877056119</v>
      </c>
      <c r="AB2200" s="2">
        <v>0.368166110845082</v>
      </c>
      <c r="AC2200" s="2">
        <v>13127.080128405099</v>
      </c>
      <c r="AD2200" s="2">
        <v>3979.4250129570901</v>
      </c>
      <c r="AE2200" s="2">
        <v>12412.679537661699</v>
      </c>
      <c r="AF2200" s="2">
        <v>11809.0741325739</v>
      </c>
      <c r="AG2200" s="2">
        <v>13586.8998827831</v>
      </c>
      <c r="AH2200" s="2">
        <v>13860.216760986599</v>
      </c>
      <c r="AI2200" s="2">
        <v>11869.818467638001</v>
      </c>
      <c r="AJ2200" s="2">
        <v>15223.791988787299</v>
      </c>
      <c r="AK2200" s="2">
        <v>3391.0421132983302</v>
      </c>
      <c r="AL2200" s="2">
        <v>4875.1344664690396</v>
      </c>
      <c r="AM2200" s="2">
        <v>5369.9580731337501</v>
      </c>
      <c r="AN2200" s="2">
        <v>4487.0551788380799</v>
      </c>
      <c r="AO2200" s="2">
        <v>3186.6297012279801</v>
      </c>
      <c r="AP2200" s="2">
        <v>2566.7305447753301</v>
      </c>
    </row>
    <row r="2201" spans="1:42" ht="14.5" x14ac:dyDescent="0.35">
      <c r="A2201" s="2" t="s">
        <v>14733</v>
      </c>
      <c r="B2201" s="2">
        <v>373.16364396314998</v>
      </c>
      <c r="C2201" s="2">
        <v>6.6569000000000003</v>
      </c>
      <c r="D2201" s="2" t="s">
        <v>34</v>
      </c>
      <c r="E2201" s="2" t="s">
        <v>14734</v>
      </c>
      <c r="F2201" s="2">
        <v>44973</v>
      </c>
      <c r="G2201" s="3" t="str">
        <f>HYPERLINK("http://funmeta.oebiotech.com/network/44973", "http://funmeta.oebiotech.com/network/44973")</f>
        <v>http://funmeta.oebiotech.com/network/44973</v>
      </c>
      <c r="H2201" s="2"/>
      <c r="I2201" s="2"/>
      <c r="J2201" s="2" t="s">
        <v>14735</v>
      </c>
      <c r="K2201" s="2"/>
      <c r="L2201" s="2"/>
      <c r="M2201" s="2"/>
      <c r="N2201" s="2"/>
      <c r="O2201" s="2">
        <v>73242224</v>
      </c>
      <c r="P2201" s="2"/>
      <c r="Q2201" s="2" t="s">
        <v>14736</v>
      </c>
      <c r="R2201" s="2" t="s">
        <v>14737</v>
      </c>
      <c r="S2201" s="2" t="s">
        <v>89</v>
      </c>
      <c r="T2201" s="2" t="s">
        <v>2718</v>
      </c>
      <c r="U2201" s="2" t="s">
        <v>11268</v>
      </c>
      <c r="V2201" s="2" t="s">
        <v>42</v>
      </c>
      <c r="W2201" s="2">
        <v>44.7</v>
      </c>
      <c r="X2201" s="2">
        <v>45.2</v>
      </c>
      <c r="Y2201" s="2" t="s">
        <v>323</v>
      </c>
      <c r="Z2201" s="2" t="s">
        <v>14738</v>
      </c>
      <c r="AA2201" s="2">
        <v>4.2399963163040404</v>
      </c>
      <c r="AB2201" s="2">
        <v>0.36800818931684998</v>
      </c>
      <c r="AC2201" s="2">
        <v>29221.7557224429</v>
      </c>
      <c r="AD2201" s="2">
        <v>40405.325303141501</v>
      </c>
      <c r="AE2201" s="2">
        <v>31153.531795368199</v>
      </c>
      <c r="AF2201" s="2">
        <v>30171.248716360398</v>
      </c>
      <c r="AG2201" s="2">
        <v>30276.768539863999</v>
      </c>
      <c r="AH2201" s="2">
        <v>25838.5383630174</v>
      </c>
      <c r="AI2201" s="2">
        <v>30187.034821204899</v>
      </c>
      <c r="AJ2201" s="2">
        <v>27703.4120988426</v>
      </c>
      <c r="AK2201" s="2">
        <v>38054.990602494297</v>
      </c>
      <c r="AL2201" s="2">
        <v>44356.625185891498</v>
      </c>
      <c r="AM2201" s="2">
        <v>36589.621284421897</v>
      </c>
      <c r="AN2201" s="2">
        <v>37332.992317014599</v>
      </c>
      <c r="AO2201" s="2">
        <v>34876.060823229796</v>
      </c>
      <c r="AP2201" s="2">
        <v>51221.661605797002</v>
      </c>
    </row>
    <row r="2202" spans="1:42" ht="14.5" x14ac:dyDescent="0.35">
      <c r="A2202" s="2" t="s">
        <v>14739</v>
      </c>
      <c r="B2202" s="2">
        <v>1139.5418023218999</v>
      </c>
      <c r="C2202" s="2">
        <v>9.8631833333333301</v>
      </c>
      <c r="D2202" s="2" t="s">
        <v>34</v>
      </c>
      <c r="E2202" s="2" t="s">
        <v>14740</v>
      </c>
      <c r="F2202" s="2">
        <v>211954</v>
      </c>
      <c r="G2202" s="3" t="str">
        <f>HYPERLINK("http://funmeta.oebiotech.com/network/211954", "http://funmeta.oebiotech.com/network/211954")</f>
        <v>http://funmeta.oebiotech.com/network/211954</v>
      </c>
      <c r="H2202" s="2" t="s">
        <v>14741</v>
      </c>
      <c r="I2202" s="2"/>
      <c r="J2202" s="2"/>
      <c r="K2202" s="2"/>
      <c r="L2202" s="2"/>
      <c r="M2202" s="2"/>
      <c r="N2202" s="2"/>
      <c r="O2202" s="2"/>
      <c r="P2202" s="2"/>
      <c r="Q2202" s="2" t="s">
        <v>14742</v>
      </c>
      <c r="R2202" s="2" t="s">
        <v>14743</v>
      </c>
      <c r="S2202" s="2" t="s">
        <v>89</v>
      </c>
      <c r="T2202" s="2" t="s">
        <v>90</v>
      </c>
      <c r="U2202" s="2" t="s">
        <v>99</v>
      </c>
      <c r="V2202" s="2" t="s">
        <v>59</v>
      </c>
      <c r="W2202" s="2">
        <v>38.6</v>
      </c>
      <c r="X2202" s="2">
        <v>0</v>
      </c>
      <c r="Y2202" s="2" t="s">
        <v>340</v>
      </c>
      <c r="Z2202" s="2" t="s">
        <v>14744</v>
      </c>
      <c r="AA2202" s="2">
        <v>1.7539010529735399</v>
      </c>
      <c r="AB2202" s="2">
        <v>0.367402760797225</v>
      </c>
      <c r="AC2202" s="2">
        <v>37175.372413932797</v>
      </c>
      <c r="AD2202" s="2">
        <v>27600.960806057901</v>
      </c>
      <c r="AE2202" s="2">
        <v>36308.208929631597</v>
      </c>
      <c r="AF2202" s="2">
        <v>38781.136241532397</v>
      </c>
      <c r="AG2202" s="2">
        <v>38272.033370556303</v>
      </c>
      <c r="AH2202" s="2">
        <v>36841.3432759551</v>
      </c>
      <c r="AI2202" s="2">
        <v>37467.390859561703</v>
      </c>
      <c r="AJ2202" s="2">
        <v>35382.121806359501</v>
      </c>
      <c r="AK2202" s="2">
        <v>27040.512462397499</v>
      </c>
      <c r="AL2202" s="2">
        <v>28649.456720724898</v>
      </c>
      <c r="AM2202" s="2">
        <v>26608.204744242201</v>
      </c>
      <c r="AN2202" s="2">
        <v>27614.664382391798</v>
      </c>
      <c r="AO2202" s="2">
        <v>23534.362600157001</v>
      </c>
      <c r="AP2202" s="2">
        <v>32158.563926434301</v>
      </c>
    </row>
    <row r="2203" spans="1:42" ht="14.5" x14ac:dyDescent="0.35">
      <c r="A2203" s="2" t="s">
        <v>14745</v>
      </c>
      <c r="B2203" s="2">
        <v>432.23777052789097</v>
      </c>
      <c r="C2203" s="2">
        <v>8.8024666666666693</v>
      </c>
      <c r="D2203" s="2" t="s">
        <v>34</v>
      </c>
      <c r="E2203" s="2" t="s">
        <v>14746</v>
      </c>
      <c r="F2203" s="2">
        <v>64496</v>
      </c>
      <c r="G2203" s="3" t="str">
        <f>HYPERLINK("http://funmeta.oebiotech.com/network/64496", "http://funmeta.oebiotech.com/network/64496")</f>
        <v>http://funmeta.oebiotech.com/network/64496</v>
      </c>
      <c r="H2203" s="2" t="s">
        <v>14747</v>
      </c>
      <c r="I2203" s="2">
        <v>95806</v>
      </c>
      <c r="J2203" s="2"/>
      <c r="K2203" s="2">
        <v>168278</v>
      </c>
      <c r="L2203" s="2"/>
      <c r="M2203" s="2"/>
      <c r="N2203" s="2"/>
      <c r="O2203" s="2">
        <v>15293564</v>
      </c>
      <c r="P2203" s="2"/>
      <c r="Q2203" s="2" t="s">
        <v>14748</v>
      </c>
      <c r="R2203" s="2" t="s">
        <v>14749</v>
      </c>
      <c r="S2203" s="2" t="s">
        <v>115</v>
      </c>
      <c r="T2203" s="2" t="s">
        <v>758</v>
      </c>
      <c r="U2203" s="2" t="s">
        <v>6655</v>
      </c>
      <c r="V2203" s="2" t="s">
        <v>59</v>
      </c>
      <c r="W2203" s="2">
        <v>45.7</v>
      </c>
      <c r="X2203" s="2">
        <v>32.5</v>
      </c>
      <c r="Y2203" s="2" t="s">
        <v>43</v>
      </c>
      <c r="Z2203" s="2" t="s">
        <v>13194</v>
      </c>
      <c r="AA2203" s="2">
        <v>-0.70902598764633795</v>
      </c>
      <c r="AB2203" s="2">
        <v>0.36726931140091601</v>
      </c>
      <c r="AC2203" s="2">
        <v>215503.70184343599</v>
      </c>
      <c r="AD2203" s="2">
        <v>256844.64453294</v>
      </c>
      <c r="AE2203" s="2">
        <v>231845.902106933</v>
      </c>
      <c r="AF2203" s="2">
        <v>194360.338480259</v>
      </c>
      <c r="AG2203" s="2">
        <v>218557.29615747801</v>
      </c>
      <c r="AH2203" s="2">
        <v>212343.674194805</v>
      </c>
      <c r="AI2203" s="2">
        <v>232839.40605950699</v>
      </c>
      <c r="AJ2203" s="2">
        <v>203075.594061632</v>
      </c>
      <c r="AK2203" s="2">
        <v>186181.41809489299</v>
      </c>
      <c r="AL2203" s="2">
        <v>526530.98747232999</v>
      </c>
      <c r="AM2203" s="2">
        <v>257128.42010235001</v>
      </c>
      <c r="AN2203" s="2">
        <v>261501.105033339</v>
      </c>
      <c r="AO2203" s="2">
        <v>192955.95242555501</v>
      </c>
      <c r="AP2203" s="2">
        <v>116769.984069174</v>
      </c>
    </row>
    <row r="2204" spans="1:42" ht="14.5" x14ac:dyDescent="0.35">
      <c r="A2204" s="2" t="s">
        <v>14750</v>
      </c>
      <c r="B2204" s="2">
        <v>449.18233850886497</v>
      </c>
      <c r="C2204" s="2">
        <v>4.6304499999999997</v>
      </c>
      <c r="D2204" s="2" t="s">
        <v>70</v>
      </c>
      <c r="E2204" s="2" t="s">
        <v>14751</v>
      </c>
      <c r="F2204" s="2">
        <v>57908</v>
      </c>
      <c r="G2204" s="3" t="str">
        <f>HYPERLINK("http://funmeta.oebiotech.com/network/57908", "http://funmeta.oebiotech.com/network/57908")</f>
        <v>http://funmeta.oebiotech.com/network/57908</v>
      </c>
      <c r="H2204" s="2" t="s">
        <v>14752</v>
      </c>
      <c r="I2204" s="2">
        <v>89488</v>
      </c>
      <c r="J2204" s="2"/>
      <c r="K2204" s="2">
        <v>175231</v>
      </c>
      <c r="L2204" s="2"/>
      <c r="M2204" s="2"/>
      <c r="N2204" s="2"/>
      <c r="O2204" s="2">
        <v>131751483</v>
      </c>
      <c r="P2204" s="2"/>
      <c r="Q2204" s="2" t="s">
        <v>14753</v>
      </c>
      <c r="R2204" s="2" t="s">
        <v>14754</v>
      </c>
      <c r="S2204" s="2" t="s">
        <v>115</v>
      </c>
      <c r="T2204" s="2" t="s">
        <v>758</v>
      </c>
      <c r="U2204" s="2" t="s">
        <v>1477</v>
      </c>
      <c r="V2204" s="2" t="s">
        <v>59</v>
      </c>
      <c r="W2204" s="2">
        <v>39.1</v>
      </c>
      <c r="X2204" s="2">
        <v>4.51</v>
      </c>
      <c r="Y2204" s="2" t="s">
        <v>408</v>
      </c>
      <c r="Z2204" s="2" t="s">
        <v>14561</v>
      </c>
      <c r="AA2204" s="2">
        <v>1.56464571188381</v>
      </c>
      <c r="AB2204" s="2">
        <v>0.36719050093210398</v>
      </c>
      <c r="AC2204" s="2">
        <v>39390.735186821403</v>
      </c>
      <c r="AD2204" s="2">
        <v>51295.484863119498</v>
      </c>
      <c r="AE2204" s="2">
        <v>40870.3241433238</v>
      </c>
      <c r="AF2204" s="2">
        <v>46160.633778464697</v>
      </c>
      <c r="AG2204" s="2">
        <v>33135.450927725498</v>
      </c>
      <c r="AH2204" s="2">
        <v>38088.007422970899</v>
      </c>
      <c r="AI2204" s="2">
        <v>40549.628779407103</v>
      </c>
      <c r="AJ2204" s="2">
        <v>37540.366069036398</v>
      </c>
      <c r="AK2204" s="2">
        <v>49866.314992737498</v>
      </c>
      <c r="AL2204" s="2">
        <v>55423.271406345499</v>
      </c>
      <c r="AM2204" s="2">
        <v>50185.3400104432</v>
      </c>
      <c r="AN2204" s="2">
        <v>61969.614065074202</v>
      </c>
      <c r="AO2204" s="2">
        <v>40412.835530924203</v>
      </c>
      <c r="AP2204" s="2">
        <v>49915.533173192198</v>
      </c>
    </row>
    <row r="2205" spans="1:42" ht="14.5" x14ac:dyDescent="0.35">
      <c r="A2205" s="2" t="s">
        <v>14755</v>
      </c>
      <c r="B2205" s="2">
        <v>1108.56269142053</v>
      </c>
      <c r="C2205" s="2">
        <v>9.3124666666666691</v>
      </c>
      <c r="D2205" s="2" t="s">
        <v>34</v>
      </c>
      <c r="E2205" s="2" t="s">
        <v>14756</v>
      </c>
      <c r="F2205" s="2">
        <v>245458</v>
      </c>
      <c r="G2205" s="3" t="str">
        <f>HYPERLINK("http://funmeta.oebiotech.com/network/245458", "http://funmeta.oebiotech.com/network/245458")</f>
        <v>http://funmeta.oebiotech.com/network/245458</v>
      </c>
      <c r="H2205" s="2" t="s">
        <v>14757</v>
      </c>
      <c r="I2205" s="2"/>
      <c r="J2205" s="2"/>
      <c r="K2205" s="2"/>
      <c r="L2205" s="2"/>
      <c r="M2205" s="2"/>
      <c r="N2205" s="2"/>
      <c r="O2205" s="2"/>
      <c r="P2205" s="2"/>
      <c r="Q2205" s="2" t="s">
        <v>14758</v>
      </c>
      <c r="R2205" s="2" t="s">
        <v>14759</v>
      </c>
      <c r="S2205" s="2" t="s">
        <v>41</v>
      </c>
      <c r="T2205" s="2" t="s">
        <v>41</v>
      </c>
      <c r="U2205" s="2" t="s">
        <v>41</v>
      </c>
      <c r="V2205" s="2" t="s">
        <v>59</v>
      </c>
      <c r="W2205" s="2">
        <v>38.4</v>
      </c>
      <c r="X2205" s="2">
        <v>0</v>
      </c>
      <c r="Y2205" s="2" t="s">
        <v>141</v>
      </c>
      <c r="Z2205" s="2" t="s">
        <v>14760</v>
      </c>
      <c r="AA2205" s="2">
        <v>-0.65921513431315903</v>
      </c>
      <c r="AB2205" s="2">
        <v>0.36699429726416899</v>
      </c>
      <c r="AC2205" s="2">
        <v>11107.345917033301</v>
      </c>
      <c r="AD2205" s="2">
        <v>2214.74861748489</v>
      </c>
      <c r="AE2205" s="2">
        <v>11273.5998801404</v>
      </c>
      <c r="AF2205" s="2">
        <v>11763.379168069199</v>
      </c>
      <c r="AG2205" s="2">
        <v>11353.641561603699</v>
      </c>
      <c r="AH2205" s="2">
        <v>10200.293159250799</v>
      </c>
      <c r="AI2205" s="2">
        <v>10177.2043011775</v>
      </c>
      <c r="AJ2205" s="2">
        <v>11875.957431958501</v>
      </c>
      <c r="AK2205" s="2">
        <v>1888.1802751381899</v>
      </c>
      <c r="AL2205" s="2">
        <v>1853.74657491481</v>
      </c>
      <c r="AM2205" s="2">
        <v>2127.4391410092499</v>
      </c>
      <c r="AN2205" s="2">
        <v>2295.6490266958999</v>
      </c>
      <c r="AO2205" s="2">
        <v>2964.9912159692299</v>
      </c>
      <c r="AP2205" s="2">
        <v>2158.4854711819598</v>
      </c>
    </row>
    <row r="2206" spans="1:42" ht="14.5" x14ac:dyDescent="0.35">
      <c r="A2206" s="2" t="s">
        <v>14761</v>
      </c>
      <c r="B2206" s="2">
        <v>209.02151575092299</v>
      </c>
      <c r="C2206" s="2">
        <v>0.96353333333333302</v>
      </c>
      <c r="D2206" s="2" t="s">
        <v>70</v>
      </c>
      <c r="E2206" s="2" t="s">
        <v>14762</v>
      </c>
      <c r="F2206" s="2">
        <v>1889</v>
      </c>
      <c r="G2206" s="3" t="str">
        <f>HYPERLINK("http://funmeta.oebiotech.com/network/1889", "http://funmeta.oebiotech.com/network/1889")</f>
        <v>http://funmeta.oebiotech.com/network/1889</v>
      </c>
      <c r="H2206" s="2" t="s">
        <v>14763</v>
      </c>
      <c r="I2206" s="2">
        <v>3368</v>
      </c>
      <c r="J2206" s="2" t="s">
        <v>14764</v>
      </c>
      <c r="K2206" s="2">
        <v>17436</v>
      </c>
      <c r="L2206" s="2" t="s">
        <v>14765</v>
      </c>
      <c r="M2206" s="2" t="s">
        <v>890</v>
      </c>
      <c r="N2206" s="2" t="s">
        <v>891</v>
      </c>
      <c r="O2206" s="2">
        <v>439400</v>
      </c>
      <c r="P2206" s="2" t="s">
        <v>14766</v>
      </c>
      <c r="Q2206" s="2" t="s">
        <v>14767</v>
      </c>
      <c r="R2206" s="2" t="s">
        <v>14768</v>
      </c>
      <c r="S2206" s="2" t="s">
        <v>89</v>
      </c>
      <c r="T2206" s="2" t="s">
        <v>894</v>
      </c>
      <c r="U2206" s="2" t="s">
        <v>895</v>
      </c>
      <c r="V2206" s="2" t="s">
        <v>59</v>
      </c>
      <c r="W2206" s="2">
        <v>39.1</v>
      </c>
      <c r="X2206" s="2">
        <v>0</v>
      </c>
      <c r="Y2206" s="2" t="s">
        <v>751</v>
      </c>
      <c r="Z2206" s="2" t="s">
        <v>14769</v>
      </c>
      <c r="AA2206" s="2">
        <v>-2.3351743771582498</v>
      </c>
      <c r="AB2206" s="2">
        <v>0.36698209523243602</v>
      </c>
      <c r="AC2206" s="2">
        <v>20582.186866587799</v>
      </c>
      <c r="AD2206" s="2">
        <v>29607.1755967317</v>
      </c>
      <c r="AE2206" s="2">
        <v>20529.927217275301</v>
      </c>
      <c r="AF2206" s="2">
        <v>20631.874947672</v>
      </c>
      <c r="AG2206" s="2">
        <v>21527.798062590198</v>
      </c>
      <c r="AH2206" s="2">
        <v>20815.416993706302</v>
      </c>
      <c r="AI2206" s="2">
        <v>20898.8138974469</v>
      </c>
      <c r="AJ2206" s="2">
        <v>19089.290080835901</v>
      </c>
      <c r="AK2206" s="2">
        <v>30615.874438939001</v>
      </c>
      <c r="AL2206" s="2">
        <v>29230.025985844601</v>
      </c>
      <c r="AM2206" s="2">
        <v>29776.159603112599</v>
      </c>
      <c r="AN2206" s="2">
        <v>27675.610410751699</v>
      </c>
      <c r="AO2206" s="2">
        <v>30986.546688750201</v>
      </c>
      <c r="AP2206" s="2">
        <v>29358.836452992098</v>
      </c>
    </row>
    <row r="2207" spans="1:42" ht="14.5" x14ac:dyDescent="0.35">
      <c r="A2207" s="2" t="s">
        <v>14770</v>
      </c>
      <c r="B2207" s="2">
        <v>609.26812347019097</v>
      </c>
      <c r="C2207" s="2">
        <v>8.9322333333333308</v>
      </c>
      <c r="D2207" s="2" t="s">
        <v>70</v>
      </c>
      <c r="E2207" s="2" t="s">
        <v>14771</v>
      </c>
      <c r="F2207" s="2">
        <v>28055</v>
      </c>
      <c r="G2207" s="3" t="str">
        <f>HYPERLINK("http://funmeta.oebiotech.com/network/28055", "http://funmeta.oebiotech.com/network/28055")</f>
        <v>http://funmeta.oebiotech.com/network/28055</v>
      </c>
      <c r="H2207" s="2"/>
      <c r="I2207" s="2"/>
      <c r="J2207" s="2" t="s">
        <v>14772</v>
      </c>
      <c r="K2207" s="2"/>
      <c r="L2207" s="2"/>
      <c r="M2207" s="2"/>
      <c r="N2207" s="2"/>
      <c r="O2207" s="2">
        <v>134812501</v>
      </c>
      <c r="P2207" s="2"/>
      <c r="Q2207" s="2" t="s">
        <v>14773</v>
      </c>
      <c r="R2207" s="2" t="s">
        <v>14774</v>
      </c>
      <c r="S2207" s="2" t="s">
        <v>50</v>
      </c>
      <c r="T2207" s="2" t="s">
        <v>51</v>
      </c>
      <c r="U2207" s="2" t="s">
        <v>273</v>
      </c>
      <c r="V2207" s="2" t="s">
        <v>59</v>
      </c>
      <c r="W2207" s="2">
        <v>39.200000000000003</v>
      </c>
      <c r="X2207" s="2">
        <v>0</v>
      </c>
      <c r="Y2207" s="2" t="s">
        <v>408</v>
      </c>
      <c r="Z2207" s="2" t="s">
        <v>14775</v>
      </c>
      <c r="AA2207" s="2">
        <v>-5.0132244194998898E-2</v>
      </c>
      <c r="AB2207" s="2">
        <v>0.366696278725342</v>
      </c>
      <c r="AC2207" s="2">
        <v>8931.4523701732796</v>
      </c>
      <c r="AD2207" s="2">
        <v>17909.333802859601</v>
      </c>
      <c r="AE2207" s="2">
        <v>9312.4856996778199</v>
      </c>
      <c r="AF2207" s="2">
        <v>9001.0161505996603</v>
      </c>
      <c r="AG2207" s="2">
        <v>7970.1103117105604</v>
      </c>
      <c r="AH2207" s="2">
        <v>10033.6562914607</v>
      </c>
      <c r="AI2207" s="2">
        <v>9360.5565877355202</v>
      </c>
      <c r="AJ2207" s="2">
        <v>7910.8891798554096</v>
      </c>
      <c r="AK2207" s="2">
        <v>18296.672778734901</v>
      </c>
      <c r="AL2207" s="2">
        <v>19175.200202100499</v>
      </c>
      <c r="AM2207" s="2">
        <v>17436.762752607199</v>
      </c>
      <c r="AN2207" s="2">
        <v>16914.9144399463</v>
      </c>
      <c r="AO2207" s="2">
        <v>16885.122732159802</v>
      </c>
      <c r="AP2207" s="2">
        <v>18747.329911608998</v>
      </c>
    </row>
    <row r="2208" spans="1:42" ht="14.5" x14ac:dyDescent="0.35">
      <c r="A2208" s="2" t="s">
        <v>14776</v>
      </c>
      <c r="B2208" s="2">
        <v>619.23912446295105</v>
      </c>
      <c r="C2208" s="2">
        <v>4.6492000000000004</v>
      </c>
      <c r="D2208" s="2" t="s">
        <v>70</v>
      </c>
      <c r="E2208" s="2" t="s">
        <v>14777</v>
      </c>
      <c r="F2208" s="2">
        <v>47250</v>
      </c>
      <c r="G2208" s="3" t="str">
        <f>HYPERLINK("http://funmeta.oebiotech.com/network/47250", "http://funmeta.oebiotech.com/network/47250")</f>
        <v>http://funmeta.oebiotech.com/network/47250</v>
      </c>
      <c r="H2208" s="2" t="s">
        <v>14778</v>
      </c>
      <c r="I2208" s="2"/>
      <c r="J2208" s="2"/>
      <c r="K2208" s="2">
        <v>174230</v>
      </c>
      <c r="L2208" s="2"/>
      <c r="M2208" s="2"/>
      <c r="N2208" s="2"/>
      <c r="O2208" s="2"/>
      <c r="P2208" s="2" t="s">
        <v>14779</v>
      </c>
      <c r="Q2208" s="2" t="s">
        <v>14780</v>
      </c>
      <c r="R2208" s="2" t="s">
        <v>14781</v>
      </c>
      <c r="S2208" s="2" t="s">
        <v>491</v>
      </c>
      <c r="T2208" s="2" t="s">
        <v>492</v>
      </c>
      <c r="U2208" s="2" t="s">
        <v>6398</v>
      </c>
      <c r="V2208" s="2" t="s">
        <v>59</v>
      </c>
      <c r="W2208" s="2">
        <v>38</v>
      </c>
      <c r="X2208" s="2">
        <v>0</v>
      </c>
      <c r="Y2208" s="2" t="s">
        <v>560</v>
      </c>
      <c r="Z2208" s="2" t="s">
        <v>14782</v>
      </c>
      <c r="AA2208" s="2">
        <v>4.3659590931511403</v>
      </c>
      <c r="AB2208" s="2">
        <v>0.366630370346468</v>
      </c>
      <c r="AC2208" s="2">
        <v>29649.571281809302</v>
      </c>
      <c r="AD2208" s="2">
        <v>19678.848664359601</v>
      </c>
      <c r="AE2208" s="2">
        <v>28634.089223175</v>
      </c>
      <c r="AF2208" s="2">
        <v>28574.1131863548</v>
      </c>
      <c r="AG2208" s="2">
        <v>28986.216298832998</v>
      </c>
      <c r="AH2208" s="2">
        <v>27434.0059270973</v>
      </c>
      <c r="AI2208" s="2">
        <v>33761.254980980397</v>
      </c>
      <c r="AJ2208" s="2">
        <v>30507.7480744151</v>
      </c>
      <c r="AK2208" s="2">
        <v>18507.488520536499</v>
      </c>
      <c r="AL2208" s="2">
        <v>16397.7481930914</v>
      </c>
      <c r="AM2208" s="2">
        <v>25811.0210488064</v>
      </c>
      <c r="AN2208" s="2">
        <v>18905.282336863002</v>
      </c>
      <c r="AO2208" s="2">
        <v>19686.858016251001</v>
      </c>
      <c r="AP2208" s="2">
        <v>18764.693870609099</v>
      </c>
    </row>
    <row r="2209" spans="1:42" ht="14.5" x14ac:dyDescent="0.35">
      <c r="A2209" s="2" t="s">
        <v>14783</v>
      </c>
      <c r="B2209" s="2">
        <v>651.246765684107</v>
      </c>
      <c r="C2209" s="2">
        <v>7.4894166666666697</v>
      </c>
      <c r="D2209" s="2" t="s">
        <v>70</v>
      </c>
      <c r="E2209" s="2" t="s">
        <v>14784</v>
      </c>
      <c r="F2209" s="2">
        <v>274627</v>
      </c>
      <c r="G2209" s="3" t="str">
        <f>HYPERLINK("http://funmeta.oebiotech.com/network/274627", "http://funmeta.oebiotech.com/network/274627")</f>
        <v>http://funmeta.oebiotech.com/network/274627</v>
      </c>
      <c r="H2209" s="2"/>
      <c r="I2209" s="2">
        <v>64766</v>
      </c>
      <c r="J2209" s="2"/>
      <c r="K2209" s="2"/>
      <c r="L2209" s="2"/>
      <c r="M2209" s="2"/>
      <c r="N2209" s="2"/>
      <c r="O2209" s="2">
        <v>5186</v>
      </c>
      <c r="P2209" s="2" t="s">
        <v>14785</v>
      </c>
      <c r="Q2209" s="2" t="s">
        <v>14786</v>
      </c>
      <c r="R2209" s="2" t="s">
        <v>14787</v>
      </c>
      <c r="S2209" s="2" t="s">
        <v>491</v>
      </c>
      <c r="T2209" s="2" t="s">
        <v>13817</v>
      </c>
      <c r="U2209" s="2" t="s">
        <v>13818</v>
      </c>
      <c r="V2209" s="2" t="s">
        <v>59</v>
      </c>
      <c r="W2209" s="2">
        <v>38.200000000000003</v>
      </c>
      <c r="X2209" s="2">
        <v>0</v>
      </c>
      <c r="Y2209" s="2" t="s">
        <v>560</v>
      </c>
      <c r="Z2209" s="2" t="s">
        <v>14788</v>
      </c>
      <c r="AA2209" s="2">
        <v>1.1161091729986701</v>
      </c>
      <c r="AB2209" s="2">
        <v>0.36656917914612502</v>
      </c>
      <c r="AC2209" s="2">
        <v>13863.2464882779</v>
      </c>
      <c r="AD2209" s="2">
        <v>4914.9515859680996</v>
      </c>
      <c r="AE2209" s="2">
        <v>14474.7158614446</v>
      </c>
      <c r="AF2209" s="2">
        <v>13286.859404303301</v>
      </c>
      <c r="AG2209" s="2">
        <v>13373.777876796799</v>
      </c>
      <c r="AH2209" s="2">
        <v>12873.4765276536</v>
      </c>
      <c r="AI2209" s="2">
        <v>14912.9273089088</v>
      </c>
      <c r="AJ2209" s="2">
        <v>14257.721950560401</v>
      </c>
      <c r="AK2209" s="2">
        <v>4214.2389259498004</v>
      </c>
      <c r="AL2209" s="2">
        <v>6607.0366754698398</v>
      </c>
      <c r="AM2209" s="2">
        <v>4669.8967116714102</v>
      </c>
      <c r="AN2209" s="2">
        <v>4451.5545176474998</v>
      </c>
      <c r="AO2209" s="2">
        <v>4594.4004658327804</v>
      </c>
      <c r="AP2209" s="2">
        <v>4952.5822192372698</v>
      </c>
    </row>
    <row r="2210" spans="1:42" ht="14.5" x14ac:dyDescent="0.35">
      <c r="A2210" s="2" t="s">
        <v>14789</v>
      </c>
      <c r="B2210" s="2">
        <v>455.17111887232301</v>
      </c>
      <c r="C2210" s="2">
        <v>6.4626999999999999</v>
      </c>
      <c r="D2210" s="2" t="s">
        <v>70</v>
      </c>
      <c r="E2210" s="2" t="s">
        <v>14790</v>
      </c>
      <c r="F2210" s="2">
        <v>257404</v>
      </c>
      <c r="G2210" s="3" t="str">
        <f>HYPERLINK("http://funmeta.oebiotech.com/network/257404", "http://funmeta.oebiotech.com/network/257404")</f>
        <v>http://funmeta.oebiotech.com/network/257404</v>
      </c>
      <c r="H2210" s="2" t="s">
        <v>14791</v>
      </c>
      <c r="I2210" s="2"/>
      <c r="J2210" s="2"/>
      <c r="K2210" s="2"/>
      <c r="L2210" s="2"/>
      <c r="M2210" s="2"/>
      <c r="N2210" s="2"/>
      <c r="O2210" s="2">
        <v>10386850</v>
      </c>
      <c r="P2210" s="2"/>
      <c r="Q2210" s="2" t="s">
        <v>14792</v>
      </c>
      <c r="R2210" s="2" t="s">
        <v>14793</v>
      </c>
      <c r="S2210" s="2" t="s">
        <v>491</v>
      </c>
      <c r="T2210" s="2" t="s">
        <v>2251</v>
      </c>
      <c r="U2210" s="2" t="s">
        <v>2252</v>
      </c>
      <c r="V2210" s="2" t="s">
        <v>59</v>
      </c>
      <c r="W2210" s="2">
        <v>46.3</v>
      </c>
      <c r="X2210" s="2">
        <v>36.200000000000003</v>
      </c>
      <c r="Y2210" s="2" t="s">
        <v>286</v>
      </c>
      <c r="Z2210" s="2" t="s">
        <v>6909</v>
      </c>
      <c r="AA2210" s="2">
        <v>-5.4974023879280499E-2</v>
      </c>
      <c r="AB2210" s="2">
        <v>0.36624167612708602</v>
      </c>
      <c r="AC2210" s="2">
        <v>44284.548460120597</v>
      </c>
      <c r="AD2210" s="2">
        <v>34846.626985174596</v>
      </c>
      <c r="AE2210" s="2">
        <v>48113.5980324431</v>
      </c>
      <c r="AF2210" s="2">
        <v>42826.259785568</v>
      </c>
      <c r="AG2210" s="2">
        <v>43400.977889368303</v>
      </c>
      <c r="AH2210" s="2">
        <v>43850.416354554698</v>
      </c>
      <c r="AI2210" s="2">
        <v>40749.469422538299</v>
      </c>
      <c r="AJ2210" s="2">
        <v>46766.569276251197</v>
      </c>
      <c r="AK2210" s="2">
        <v>34838.173001199299</v>
      </c>
      <c r="AL2210" s="2">
        <v>33465.828070953801</v>
      </c>
      <c r="AM2210" s="2">
        <v>36617.252374518102</v>
      </c>
      <c r="AN2210" s="2">
        <v>34246.804228742199</v>
      </c>
      <c r="AO2210" s="2">
        <v>34387.150320795001</v>
      </c>
      <c r="AP2210" s="2">
        <v>35524.553914839496</v>
      </c>
    </row>
    <row r="2211" spans="1:42" ht="14.5" x14ac:dyDescent="0.35">
      <c r="A2211" s="2" t="s">
        <v>14794</v>
      </c>
      <c r="B2211" s="2">
        <v>198.01714718920601</v>
      </c>
      <c r="C2211" s="2">
        <v>10.3798166666667</v>
      </c>
      <c r="D2211" s="2" t="s">
        <v>34</v>
      </c>
      <c r="E2211" s="2" t="s">
        <v>14795</v>
      </c>
      <c r="F2211" s="2">
        <v>256160</v>
      </c>
      <c r="G2211" s="3" t="str">
        <f>HYPERLINK("http://funmeta.oebiotech.com/network/256160", "http://funmeta.oebiotech.com/network/256160")</f>
        <v>http://funmeta.oebiotech.com/network/256160</v>
      </c>
      <c r="H2211" s="2" t="s">
        <v>14796</v>
      </c>
      <c r="I2211" s="2"/>
      <c r="J2211" s="2"/>
      <c r="K2211" s="2"/>
      <c r="L2211" s="2"/>
      <c r="M2211" s="2"/>
      <c r="N2211" s="2"/>
      <c r="O2211" s="2"/>
      <c r="P2211" s="2"/>
      <c r="Q2211" s="2" t="s">
        <v>14797</v>
      </c>
      <c r="R2211" s="2" t="s">
        <v>14798</v>
      </c>
      <c r="S2211" s="2" t="s">
        <v>79</v>
      </c>
      <c r="T2211" s="2" t="s">
        <v>80</v>
      </c>
      <c r="U2211" s="2" t="s">
        <v>2820</v>
      </c>
      <c r="V2211" s="2" t="s">
        <v>59</v>
      </c>
      <c r="W2211" s="2">
        <v>39.700000000000003</v>
      </c>
      <c r="X2211" s="2">
        <v>1.52</v>
      </c>
      <c r="Y2211" s="2" t="s">
        <v>43</v>
      </c>
      <c r="Z2211" s="2" t="s">
        <v>14799</v>
      </c>
      <c r="AA2211" s="2">
        <v>-0.66928331347763104</v>
      </c>
      <c r="AB2211" s="2">
        <v>0.366117159899014</v>
      </c>
      <c r="AC2211" s="2">
        <v>60103.7118371057</v>
      </c>
      <c r="AD2211" s="2">
        <v>69463.810879798097</v>
      </c>
      <c r="AE2211" s="2">
        <v>59301.860491325402</v>
      </c>
      <c r="AF2211" s="2">
        <v>62715.049657919597</v>
      </c>
      <c r="AG2211" s="2">
        <v>59788.769358659498</v>
      </c>
      <c r="AH2211" s="2">
        <v>58795.241788673797</v>
      </c>
      <c r="AI2211" s="2">
        <v>60587.057969261601</v>
      </c>
      <c r="AJ2211" s="2">
        <v>59434.2917567943</v>
      </c>
      <c r="AK2211" s="2">
        <v>67367.123951912494</v>
      </c>
      <c r="AL2211" s="2">
        <v>68810.047968042694</v>
      </c>
      <c r="AM2211" s="2">
        <v>71174.269797538596</v>
      </c>
      <c r="AN2211" s="2">
        <v>69686.891992174205</v>
      </c>
      <c r="AO2211" s="2">
        <v>72860.577381444193</v>
      </c>
      <c r="AP2211" s="2">
        <v>66883.954187676703</v>
      </c>
    </row>
    <row r="2212" spans="1:42" ht="14.5" x14ac:dyDescent="0.35">
      <c r="A2212" s="2" t="s">
        <v>14800</v>
      </c>
      <c r="B2212" s="2">
        <v>399.10623155554498</v>
      </c>
      <c r="C2212" s="2">
        <v>0.79598333333333304</v>
      </c>
      <c r="D2212" s="2" t="s">
        <v>34</v>
      </c>
      <c r="E2212" s="2" t="s">
        <v>14801</v>
      </c>
      <c r="F2212" s="2">
        <v>52991</v>
      </c>
      <c r="G2212" s="3" t="str">
        <f>HYPERLINK("http://funmeta.oebiotech.com/network/52991", "http://funmeta.oebiotech.com/network/52991")</f>
        <v>http://funmeta.oebiotech.com/network/52991</v>
      </c>
      <c r="H2212" s="2" t="s">
        <v>14802</v>
      </c>
      <c r="I2212" s="2">
        <v>66709</v>
      </c>
      <c r="J2212" s="2"/>
      <c r="K2212" s="2"/>
      <c r="L2212" s="2" t="s">
        <v>14803</v>
      </c>
      <c r="M2212" s="2"/>
      <c r="N2212" s="2"/>
      <c r="O2212" s="2">
        <v>62959</v>
      </c>
      <c r="P2212" s="2" t="s">
        <v>14804</v>
      </c>
      <c r="Q2212" s="2" t="s">
        <v>14805</v>
      </c>
      <c r="R2212" s="2" t="s">
        <v>14806</v>
      </c>
      <c r="S2212" s="2" t="s">
        <v>491</v>
      </c>
      <c r="T2212" s="2" t="s">
        <v>3019</v>
      </c>
      <c r="U2212" s="2" t="s">
        <v>10208</v>
      </c>
      <c r="V2212" s="2" t="s">
        <v>59</v>
      </c>
      <c r="W2212" s="2">
        <v>39.700000000000003</v>
      </c>
      <c r="X2212" s="2">
        <v>0</v>
      </c>
      <c r="Y2212" s="2" t="s">
        <v>1115</v>
      </c>
      <c r="Z2212" s="2" t="s">
        <v>14807</v>
      </c>
      <c r="AA2212" s="2">
        <v>-0.25285015905472802</v>
      </c>
      <c r="AB2212" s="2">
        <v>0.36595189427807001</v>
      </c>
      <c r="AC2212" s="2">
        <v>18826.6161152807</v>
      </c>
      <c r="AD2212" s="2">
        <v>29602.197276432202</v>
      </c>
      <c r="AE2212" s="2">
        <v>18069.8360736061</v>
      </c>
      <c r="AF2212" s="2">
        <v>16362.0655739141</v>
      </c>
      <c r="AG2212" s="2">
        <v>18921.912373566302</v>
      </c>
      <c r="AH2212" s="2">
        <v>24913.035467984198</v>
      </c>
      <c r="AI2212" s="2">
        <v>18711.300672582402</v>
      </c>
      <c r="AJ2212" s="2">
        <v>15981.546530031101</v>
      </c>
      <c r="AK2212" s="2">
        <v>34294.569632976898</v>
      </c>
      <c r="AL2212" s="2">
        <v>21203.195471459101</v>
      </c>
      <c r="AM2212" s="2">
        <v>34318.801624818298</v>
      </c>
      <c r="AN2212" s="2">
        <v>32349.3190649383</v>
      </c>
      <c r="AO2212" s="2">
        <v>28303.4673530002</v>
      </c>
      <c r="AP2212" s="2">
        <v>27143.8305114006</v>
      </c>
    </row>
    <row r="2213" spans="1:42" ht="14.5" x14ac:dyDescent="0.35">
      <c r="A2213" s="2" t="s">
        <v>14808</v>
      </c>
      <c r="B2213" s="2">
        <v>481.17140752602199</v>
      </c>
      <c r="C2213" s="2">
        <v>3.6357833333333298</v>
      </c>
      <c r="D2213" s="2" t="s">
        <v>70</v>
      </c>
      <c r="E2213" s="2" t="s">
        <v>14809</v>
      </c>
      <c r="F2213" s="2">
        <v>211013</v>
      </c>
      <c r="G2213" s="3" t="str">
        <f>HYPERLINK("http://funmeta.oebiotech.com/network/211013", "http://funmeta.oebiotech.com/network/211013")</f>
        <v>http://funmeta.oebiotech.com/network/211013</v>
      </c>
      <c r="H2213" s="2" t="s">
        <v>14810</v>
      </c>
      <c r="I2213" s="2"/>
      <c r="J2213" s="2"/>
      <c r="K2213" s="2"/>
      <c r="L2213" s="2"/>
      <c r="M2213" s="2"/>
      <c r="N2213" s="2"/>
      <c r="O2213" s="2">
        <v>44215723</v>
      </c>
      <c r="P2213" s="2"/>
      <c r="Q2213" s="2" t="s">
        <v>14811</v>
      </c>
      <c r="R2213" s="2" t="s">
        <v>14812</v>
      </c>
      <c r="S2213" s="2" t="s">
        <v>89</v>
      </c>
      <c r="T2213" s="2" t="s">
        <v>90</v>
      </c>
      <c r="U2213" s="2" t="s">
        <v>99</v>
      </c>
      <c r="V2213" s="2" t="s">
        <v>59</v>
      </c>
      <c r="W2213" s="2">
        <v>38.299999999999997</v>
      </c>
      <c r="X2213" s="2">
        <v>1.74</v>
      </c>
      <c r="Y2213" s="2" t="s">
        <v>751</v>
      </c>
      <c r="Z2213" s="2" t="s">
        <v>14813</v>
      </c>
      <c r="AA2213" s="2">
        <v>-1.1970585183076501</v>
      </c>
      <c r="AB2213" s="2">
        <v>0.36591859458332798</v>
      </c>
      <c r="AC2213" s="2">
        <v>130954.398516692</v>
      </c>
      <c r="AD2213" s="2">
        <v>144541.15744848101</v>
      </c>
      <c r="AE2213" s="2">
        <v>131301.16260435301</v>
      </c>
      <c r="AF2213" s="2">
        <v>135614.277695</v>
      </c>
      <c r="AG2213" s="2">
        <v>122227.05274610801</v>
      </c>
      <c r="AH2213" s="2">
        <v>122421.007221573</v>
      </c>
      <c r="AI2213" s="2">
        <v>141617.32079555301</v>
      </c>
      <c r="AJ2213" s="2">
        <v>132545.570037567</v>
      </c>
      <c r="AK2213" s="2">
        <v>146084.72208587301</v>
      </c>
      <c r="AL2213" s="2">
        <v>144500.051259906</v>
      </c>
      <c r="AM2213" s="2">
        <v>137774.16673933799</v>
      </c>
      <c r="AN2213" s="2">
        <v>146267.518895883</v>
      </c>
      <c r="AO2213" s="2">
        <v>131393.673493418</v>
      </c>
      <c r="AP2213" s="2">
        <v>161226.812216469</v>
      </c>
    </row>
    <row r="2214" spans="1:42" ht="14.5" x14ac:dyDescent="0.35">
      <c r="A2214" s="2" t="s">
        <v>14814</v>
      </c>
      <c r="B2214" s="2">
        <v>505.25710720940998</v>
      </c>
      <c r="C2214" s="2">
        <v>10.1977666666667</v>
      </c>
      <c r="D2214" s="2" t="s">
        <v>70</v>
      </c>
      <c r="E2214" s="2" t="s">
        <v>14815</v>
      </c>
      <c r="F2214" s="2">
        <v>26092</v>
      </c>
      <c r="G2214" s="3" t="str">
        <f>HYPERLINK("http://funmeta.oebiotech.com/network/26092", "http://funmeta.oebiotech.com/network/26092")</f>
        <v>http://funmeta.oebiotech.com/network/26092</v>
      </c>
      <c r="H2214" s="2" t="s">
        <v>14816</v>
      </c>
      <c r="I2214" s="2">
        <v>82347</v>
      </c>
      <c r="J2214" s="2" t="s">
        <v>14817</v>
      </c>
      <c r="K2214" s="2"/>
      <c r="L2214" s="2"/>
      <c r="M2214" s="2"/>
      <c r="N2214" s="2"/>
      <c r="O2214" s="2">
        <v>52929761</v>
      </c>
      <c r="P2214" s="2"/>
      <c r="Q2214" s="2" t="s">
        <v>14818</v>
      </c>
      <c r="R2214" s="2" t="s">
        <v>14819</v>
      </c>
      <c r="S2214" s="2" t="s">
        <v>50</v>
      </c>
      <c r="T2214" s="2" t="s">
        <v>51</v>
      </c>
      <c r="U2214" s="2" t="s">
        <v>273</v>
      </c>
      <c r="V2214" s="2" t="s">
        <v>59</v>
      </c>
      <c r="W2214" s="2">
        <v>44.7</v>
      </c>
      <c r="X2214" s="2">
        <v>25.8</v>
      </c>
      <c r="Y2214" s="2" t="s">
        <v>408</v>
      </c>
      <c r="Z2214" s="2" t="s">
        <v>14820</v>
      </c>
      <c r="AA2214" s="2">
        <v>-0.18672613024790199</v>
      </c>
      <c r="AB2214" s="2">
        <v>0.36591724620767102</v>
      </c>
      <c r="AC2214" s="2">
        <v>38082.218157112897</v>
      </c>
      <c r="AD2214" s="2">
        <v>48523.981084947103</v>
      </c>
      <c r="AE2214" s="2">
        <v>42386.0392957515</v>
      </c>
      <c r="AF2214" s="2">
        <v>38070.3875536903</v>
      </c>
      <c r="AG2214" s="2">
        <v>40193.199486793303</v>
      </c>
      <c r="AH2214" s="2">
        <v>36846.588940854097</v>
      </c>
      <c r="AI2214" s="2">
        <v>35553.485575188199</v>
      </c>
      <c r="AJ2214" s="2">
        <v>35443.608090399997</v>
      </c>
      <c r="AK2214" s="2">
        <v>53729.211931978098</v>
      </c>
      <c r="AL2214" s="2">
        <v>50550.412949161298</v>
      </c>
      <c r="AM2214" s="2">
        <v>48904.000905400499</v>
      </c>
      <c r="AN2214" s="2">
        <v>41376.412267973101</v>
      </c>
      <c r="AO2214" s="2">
        <v>46630.281923517301</v>
      </c>
      <c r="AP2214" s="2">
        <v>49953.566531652497</v>
      </c>
    </row>
    <row r="2215" spans="1:42" ht="14.5" x14ac:dyDescent="0.35">
      <c r="A2215" s="2" t="s">
        <v>14821</v>
      </c>
      <c r="B2215" s="2">
        <v>199.060196093385</v>
      </c>
      <c r="C2215" s="2">
        <v>2.20143333333333</v>
      </c>
      <c r="D2215" s="2" t="s">
        <v>34</v>
      </c>
      <c r="E2215" s="2" t="s">
        <v>14822</v>
      </c>
      <c r="F2215" s="2">
        <v>47798</v>
      </c>
      <c r="G2215" s="3" t="str">
        <f>HYPERLINK("http://funmeta.oebiotech.com/network/47798", "http://funmeta.oebiotech.com/network/47798")</f>
        <v>http://funmeta.oebiotech.com/network/47798</v>
      </c>
      <c r="H2215" s="2" t="s">
        <v>14823</v>
      </c>
      <c r="I2215" s="2">
        <v>2256</v>
      </c>
      <c r="J2215" s="2"/>
      <c r="K2215" s="2">
        <v>68329</v>
      </c>
      <c r="L2215" s="2" t="s">
        <v>14824</v>
      </c>
      <c r="M2215" s="2" t="s">
        <v>3346</v>
      </c>
      <c r="N2215" s="2" t="s">
        <v>3347</v>
      </c>
      <c r="O2215" s="2">
        <v>10742</v>
      </c>
      <c r="P2215" s="2" t="s">
        <v>14825</v>
      </c>
      <c r="Q2215" s="2" t="s">
        <v>14826</v>
      </c>
      <c r="R2215" s="2" t="s">
        <v>14827</v>
      </c>
      <c r="S2215" s="2" t="s">
        <v>148</v>
      </c>
      <c r="T2215" s="2" t="s">
        <v>149</v>
      </c>
      <c r="U2215" s="2" t="s">
        <v>1593</v>
      </c>
      <c r="V2215" s="2" t="s">
        <v>59</v>
      </c>
      <c r="W2215" s="2">
        <v>41.9</v>
      </c>
      <c r="X2215" s="2">
        <v>12.4</v>
      </c>
      <c r="Y2215" s="2" t="s">
        <v>67</v>
      </c>
      <c r="Z2215" s="2" t="s">
        <v>14828</v>
      </c>
      <c r="AA2215" s="2">
        <v>0.48594553170100502</v>
      </c>
      <c r="AB2215" s="2">
        <v>0.365792048744706</v>
      </c>
      <c r="AC2215" s="2">
        <v>37878.399850633199</v>
      </c>
      <c r="AD2215" s="2">
        <v>28615.601986745602</v>
      </c>
      <c r="AE2215" s="2">
        <v>38657.310318841599</v>
      </c>
      <c r="AF2215" s="2">
        <v>36849.840499064601</v>
      </c>
      <c r="AG2215" s="2">
        <v>39654.813397412399</v>
      </c>
      <c r="AH2215" s="2">
        <v>36608.6755129675</v>
      </c>
      <c r="AI2215" s="2">
        <v>34819.612279672401</v>
      </c>
      <c r="AJ2215" s="2">
        <v>40680.147095840803</v>
      </c>
      <c r="AK2215" s="2">
        <v>27967.421233880999</v>
      </c>
      <c r="AL2215" s="2">
        <v>28189.143200758299</v>
      </c>
      <c r="AM2215" s="2">
        <v>29908.926588259201</v>
      </c>
      <c r="AN2215" s="2">
        <v>30312.727715822901</v>
      </c>
      <c r="AO2215" s="2">
        <v>28002.053420841799</v>
      </c>
      <c r="AP2215" s="2">
        <v>27313.339760910399</v>
      </c>
    </row>
    <row r="2216" spans="1:42" ht="14.5" x14ac:dyDescent="0.35">
      <c r="A2216" s="2" t="s">
        <v>14829</v>
      </c>
      <c r="B2216" s="2">
        <v>337.27328057190198</v>
      </c>
      <c r="C2216" s="2">
        <v>11.7501833333333</v>
      </c>
      <c r="D2216" s="2" t="s">
        <v>34</v>
      </c>
      <c r="E2216" s="2" t="s">
        <v>14830</v>
      </c>
      <c r="F2216" s="2">
        <v>51383</v>
      </c>
      <c r="G2216" s="3" t="str">
        <f>HYPERLINK("http://funmeta.oebiotech.com/network/51383", "http://funmeta.oebiotech.com/network/51383")</f>
        <v>http://funmeta.oebiotech.com/network/51383</v>
      </c>
      <c r="H2216" s="2" t="s">
        <v>14831</v>
      </c>
      <c r="I2216" s="2">
        <v>62350</v>
      </c>
      <c r="J2216" s="2"/>
      <c r="K2216" s="2">
        <v>75561</v>
      </c>
      <c r="L2216" s="2"/>
      <c r="M2216" s="2"/>
      <c r="N2216" s="2"/>
      <c r="O2216" s="2">
        <v>6436630</v>
      </c>
      <c r="P2216" s="2" t="s">
        <v>14832</v>
      </c>
      <c r="Q2216" s="2" t="s">
        <v>14833</v>
      </c>
      <c r="R2216" s="2" t="s">
        <v>14834</v>
      </c>
      <c r="S2216" s="2" t="s">
        <v>50</v>
      </c>
      <c r="T2216" s="2" t="s">
        <v>229</v>
      </c>
      <c r="U2216" s="2" t="s">
        <v>1360</v>
      </c>
      <c r="V2216" s="2" t="s">
        <v>59</v>
      </c>
      <c r="W2216" s="2">
        <v>41.8</v>
      </c>
      <c r="X2216" s="2">
        <v>16.399999999999999</v>
      </c>
      <c r="Y2216" s="2" t="s">
        <v>141</v>
      </c>
      <c r="Z2216" s="2" t="s">
        <v>11347</v>
      </c>
      <c r="AA2216" s="2">
        <v>-1.24443581227544</v>
      </c>
      <c r="AB2216" s="2">
        <v>0.36577471689848001</v>
      </c>
      <c r="AC2216" s="2">
        <v>38254.882240608102</v>
      </c>
      <c r="AD2216" s="2">
        <v>27239.682379059301</v>
      </c>
      <c r="AE2216" s="2">
        <v>42301.589546308198</v>
      </c>
      <c r="AF2216" s="2">
        <v>40947.249991350996</v>
      </c>
      <c r="AG2216" s="2">
        <v>37722.879566111798</v>
      </c>
      <c r="AH2216" s="2">
        <v>34772.638220476001</v>
      </c>
      <c r="AI2216" s="2">
        <v>33222.2186500643</v>
      </c>
      <c r="AJ2216" s="2">
        <v>40562.717469337098</v>
      </c>
      <c r="AK2216" s="2">
        <v>24499.9296425168</v>
      </c>
      <c r="AL2216" s="2">
        <v>29026.840075240802</v>
      </c>
      <c r="AM2216" s="2">
        <v>24659.082272460899</v>
      </c>
      <c r="AN2216" s="2">
        <v>22880.077567813099</v>
      </c>
      <c r="AO2216" s="2">
        <v>37692.559219622097</v>
      </c>
      <c r="AP2216" s="2">
        <v>24679.605496701901</v>
      </c>
    </row>
    <row r="2217" spans="1:42" ht="14.5" x14ac:dyDescent="0.35">
      <c r="A2217" s="2" t="s">
        <v>14835</v>
      </c>
      <c r="B2217" s="2">
        <v>403.16056462932897</v>
      </c>
      <c r="C2217" s="2">
        <v>4.3994166666666699</v>
      </c>
      <c r="D2217" s="2" t="s">
        <v>70</v>
      </c>
      <c r="E2217" s="2" t="s">
        <v>14836</v>
      </c>
      <c r="F2217" s="2">
        <v>213146</v>
      </c>
      <c r="G2217" s="3" t="str">
        <f>HYPERLINK("http://funmeta.oebiotech.com/network/213146", "http://funmeta.oebiotech.com/network/213146")</f>
        <v>http://funmeta.oebiotech.com/network/213146</v>
      </c>
      <c r="H2217" s="2" t="s">
        <v>14837</v>
      </c>
      <c r="I2217" s="2"/>
      <c r="J2217" s="2"/>
      <c r="K2217" s="2"/>
      <c r="L2217" s="2"/>
      <c r="M2217" s="2"/>
      <c r="N2217" s="2"/>
      <c r="O2217" s="2">
        <v>10361038</v>
      </c>
      <c r="P2217" s="2"/>
      <c r="Q2217" s="2" t="s">
        <v>14838</v>
      </c>
      <c r="R2217" s="2" t="s">
        <v>14839</v>
      </c>
      <c r="S2217" s="2" t="s">
        <v>41</v>
      </c>
      <c r="T2217" s="2" t="s">
        <v>41</v>
      </c>
      <c r="U2217" s="2" t="s">
        <v>41</v>
      </c>
      <c r="V2217" s="2" t="s">
        <v>42</v>
      </c>
      <c r="W2217" s="2">
        <v>47.4</v>
      </c>
      <c r="X2217" s="2">
        <v>45.3</v>
      </c>
      <c r="Y2217" s="2" t="s">
        <v>408</v>
      </c>
      <c r="Z2217" s="2" t="s">
        <v>14840</v>
      </c>
      <c r="AA2217" s="2">
        <v>-4.8677229946445904</v>
      </c>
      <c r="AB2217" s="2">
        <v>0.36565524444111802</v>
      </c>
      <c r="AC2217" s="2">
        <v>248110.823683177</v>
      </c>
      <c r="AD2217" s="2">
        <v>262613.55288808898</v>
      </c>
      <c r="AE2217" s="2">
        <v>251789.52864245701</v>
      </c>
      <c r="AF2217" s="2">
        <v>242701.92399859801</v>
      </c>
      <c r="AG2217" s="2">
        <v>233577.896980725</v>
      </c>
      <c r="AH2217" s="2">
        <v>241260.19014935201</v>
      </c>
      <c r="AI2217" s="2">
        <v>266080.97924913402</v>
      </c>
      <c r="AJ2217" s="2">
        <v>253254.42307879301</v>
      </c>
      <c r="AK2217" s="2">
        <v>258292.79492553501</v>
      </c>
      <c r="AL2217" s="2">
        <v>278191.47194952902</v>
      </c>
      <c r="AM2217" s="2">
        <v>265951.87400066102</v>
      </c>
      <c r="AN2217" s="2">
        <v>252668.22358051399</v>
      </c>
      <c r="AO2217" s="2">
        <v>253221.57006737901</v>
      </c>
      <c r="AP2217" s="2">
        <v>267355.38280491601</v>
      </c>
    </row>
    <row r="2218" spans="1:42" ht="14.5" x14ac:dyDescent="0.35">
      <c r="A2218" s="2" t="s">
        <v>14841</v>
      </c>
      <c r="B2218" s="2">
        <v>277.07160720265</v>
      </c>
      <c r="C2218" s="2">
        <v>5.2266333333333304</v>
      </c>
      <c r="D2218" s="2" t="s">
        <v>70</v>
      </c>
      <c r="E2218" s="2" t="s">
        <v>14842</v>
      </c>
      <c r="F2218" s="2">
        <v>55547</v>
      </c>
      <c r="G2218" s="3" t="str">
        <f>HYPERLINK("http://funmeta.oebiotech.com/network/55547", "http://funmeta.oebiotech.com/network/55547")</f>
        <v>http://funmeta.oebiotech.com/network/55547</v>
      </c>
      <c r="H2218" s="2" t="s">
        <v>14843</v>
      </c>
      <c r="I2218" s="2">
        <v>87209</v>
      </c>
      <c r="J2218" s="2"/>
      <c r="K2218" s="2"/>
      <c r="L2218" s="2"/>
      <c r="M2218" s="2"/>
      <c r="N2218" s="2"/>
      <c r="O2218" s="2">
        <v>5319500</v>
      </c>
      <c r="P2218" s="2" t="s">
        <v>14844</v>
      </c>
      <c r="Q2218" s="2" t="s">
        <v>14845</v>
      </c>
      <c r="R2218" s="2" t="s">
        <v>14846</v>
      </c>
      <c r="S2218" s="2" t="s">
        <v>491</v>
      </c>
      <c r="T2218" s="2" t="s">
        <v>2251</v>
      </c>
      <c r="U2218" s="2" t="s">
        <v>2252</v>
      </c>
      <c r="V2218" s="2" t="s">
        <v>59</v>
      </c>
      <c r="W2218" s="2">
        <v>39.4</v>
      </c>
      <c r="X2218" s="2">
        <v>0</v>
      </c>
      <c r="Y2218" s="2" t="s">
        <v>408</v>
      </c>
      <c r="Z2218" s="2" t="s">
        <v>10704</v>
      </c>
      <c r="AA2218" s="2">
        <v>-0.66586831867893104</v>
      </c>
      <c r="AB2218" s="2">
        <v>0.36550360988998898</v>
      </c>
      <c r="AC2218" s="2">
        <v>9239.9844009316803</v>
      </c>
      <c r="AD2218" s="2">
        <v>454.41367550339999</v>
      </c>
      <c r="AE2218" s="2">
        <v>8961.2209417312806</v>
      </c>
      <c r="AF2218" s="2">
        <v>8885.9552756302892</v>
      </c>
      <c r="AG2218" s="2">
        <v>9638.9308555775697</v>
      </c>
      <c r="AH2218" s="2">
        <v>9986.9572920392293</v>
      </c>
      <c r="AI2218" s="2">
        <v>9085.5931873227291</v>
      </c>
      <c r="AJ2218" s="2">
        <v>8881.2488532890002</v>
      </c>
      <c r="AK2218" s="2">
        <v>348.49463770065603</v>
      </c>
      <c r="AL2218" s="2">
        <v>524.91381220322296</v>
      </c>
      <c r="AM2218" s="2">
        <v>498.18744475374098</v>
      </c>
      <c r="AN2218" s="2">
        <v>428.88115414479603</v>
      </c>
      <c r="AO2218" s="2">
        <v>495.294237677117</v>
      </c>
      <c r="AP2218" s="2">
        <v>430.71076654086801</v>
      </c>
    </row>
    <row r="2219" spans="1:42" ht="14.5" x14ac:dyDescent="0.35">
      <c r="A2219" s="2" t="s">
        <v>14847</v>
      </c>
      <c r="B2219" s="2">
        <v>180.102033937085</v>
      </c>
      <c r="C2219" s="2">
        <v>5.5897333333333297</v>
      </c>
      <c r="D2219" s="2" t="s">
        <v>34</v>
      </c>
      <c r="E2219" s="2" t="s">
        <v>14848</v>
      </c>
      <c r="F2219" s="2">
        <v>57806</v>
      </c>
      <c r="G2219" s="3" t="str">
        <f>HYPERLINK("http://funmeta.oebiotech.com/network/57806", "http://funmeta.oebiotech.com/network/57806")</f>
        <v>http://funmeta.oebiotech.com/network/57806</v>
      </c>
      <c r="H2219" s="2" t="s">
        <v>14849</v>
      </c>
      <c r="I2219" s="2">
        <v>44059</v>
      </c>
      <c r="J2219" s="2"/>
      <c r="K2219" s="2">
        <v>8994</v>
      </c>
      <c r="L2219" s="2" t="s">
        <v>14850</v>
      </c>
      <c r="M2219" s="2"/>
      <c r="N2219" s="2"/>
      <c r="O2219" s="2">
        <v>5144</v>
      </c>
      <c r="P2219" s="2" t="s">
        <v>14851</v>
      </c>
      <c r="Q2219" s="2" t="s">
        <v>14852</v>
      </c>
      <c r="R2219" s="2" t="s">
        <v>14853</v>
      </c>
      <c r="S2219" s="2" t="s">
        <v>491</v>
      </c>
      <c r="T2219" s="2" t="s">
        <v>2429</v>
      </c>
      <c r="U2219" s="2" t="s">
        <v>41</v>
      </c>
      <c r="V2219" s="2" t="s">
        <v>59</v>
      </c>
      <c r="W2219" s="2">
        <v>39.1</v>
      </c>
      <c r="X2219" s="2">
        <v>0</v>
      </c>
      <c r="Y2219" s="2" t="s">
        <v>43</v>
      </c>
      <c r="Z2219" s="2" t="s">
        <v>14854</v>
      </c>
      <c r="AA2219" s="2">
        <v>0.795019384777368</v>
      </c>
      <c r="AB2219" s="2">
        <v>0.365370551063806</v>
      </c>
      <c r="AC2219" s="2">
        <v>25286.107604745601</v>
      </c>
      <c r="AD2219" s="2">
        <v>34322.717710736397</v>
      </c>
      <c r="AE2219" s="2">
        <v>25024.028683614099</v>
      </c>
      <c r="AF2219" s="2">
        <v>25929.990662615899</v>
      </c>
      <c r="AG2219" s="2">
        <v>26241.931635108798</v>
      </c>
      <c r="AH2219" s="2">
        <v>24676.5936710448</v>
      </c>
      <c r="AI2219" s="2">
        <v>24645.215518913901</v>
      </c>
      <c r="AJ2219" s="2">
        <v>25198.885457175998</v>
      </c>
      <c r="AK2219" s="2">
        <v>34268.476368499098</v>
      </c>
      <c r="AL2219" s="2">
        <v>35888.840341009498</v>
      </c>
      <c r="AM2219" s="2">
        <v>32366.516672118902</v>
      </c>
      <c r="AN2219" s="2">
        <v>36499.341002889203</v>
      </c>
      <c r="AO2219" s="2">
        <v>33762.230968980301</v>
      </c>
      <c r="AP2219" s="2">
        <v>33150.900910921497</v>
      </c>
    </row>
    <row r="2220" spans="1:42" ht="14.5" x14ac:dyDescent="0.35">
      <c r="A2220" s="2" t="s">
        <v>14855</v>
      </c>
      <c r="B2220" s="2">
        <v>194.138562989381</v>
      </c>
      <c r="C2220" s="2">
        <v>0.75019999999999998</v>
      </c>
      <c r="D2220" s="2" t="s">
        <v>34</v>
      </c>
      <c r="E2220" s="2" t="s">
        <v>14856</v>
      </c>
      <c r="F2220" s="2">
        <v>205109</v>
      </c>
      <c r="G2220" s="3" t="str">
        <f>HYPERLINK("http://funmeta.oebiotech.com/network/205109", "http://funmeta.oebiotech.com/network/205109")</f>
        <v>http://funmeta.oebiotech.com/network/205109</v>
      </c>
      <c r="H2220" s="2" t="s">
        <v>14857</v>
      </c>
      <c r="I2220" s="2"/>
      <c r="J2220" s="2"/>
      <c r="K2220" s="2"/>
      <c r="L2220" s="2"/>
      <c r="M2220" s="2"/>
      <c r="N2220" s="2"/>
      <c r="O2220" s="2">
        <v>21894693</v>
      </c>
      <c r="P2220" s="2"/>
      <c r="Q2220" s="2" t="s">
        <v>14858</v>
      </c>
      <c r="R2220" s="2" t="s">
        <v>14859</v>
      </c>
      <c r="S2220" s="2" t="s">
        <v>79</v>
      </c>
      <c r="T2220" s="2" t="s">
        <v>80</v>
      </c>
      <c r="U2220" s="2" t="s">
        <v>2820</v>
      </c>
      <c r="V2220" s="2" t="s">
        <v>59</v>
      </c>
      <c r="W2220" s="2">
        <v>39</v>
      </c>
      <c r="X2220" s="2">
        <v>0</v>
      </c>
      <c r="Y2220" s="2" t="s">
        <v>43</v>
      </c>
      <c r="Z2220" s="2" t="s">
        <v>14860</v>
      </c>
      <c r="AA2220" s="2">
        <v>-0.69011144602864705</v>
      </c>
      <c r="AB2220" s="2">
        <v>0.36527495179047997</v>
      </c>
      <c r="AC2220" s="2">
        <v>48965.704140027097</v>
      </c>
      <c r="AD2220" s="2">
        <v>58838.753450814198</v>
      </c>
      <c r="AE2220" s="2">
        <v>46279.816851160998</v>
      </c>
      <c r="AF2220" s="2">
        <v>53773.926376453703</v>
      </c>
      <c r="AG2220" s="2">
        <v>49221.529029834703</v>
      </c>
      <c r="AH2220" s="2">
        <v>48517.917994872099</v>
      </c>
      <c r="AI2220" s="2">
        <v>50701.357973487298</v>
      </c>
      <c r="AJ2220" s="2">
        <v>45299.676614353499</v>
      </c>
      <c r="AK2220" s="2">
        <v>60257.915223713098</v>
      </c>
      <c r="AL2220" s="2">
        <v>57956.925617916502</v>
      </c>
      <c r="AM2220" s="2">
        <v>58498.051745542398</v>
      </c>
      <c r="AN2220" s="2">
        <v>55078.536131317502</v>
      </c>
      <c r="AO2220" s="2">
        <v>58595.088204569001</v>
      </c>
      <c r="AP2220" s="2">
        <v>62646.003781826599</v>
      </c>
    </row>
    <row r="2221" spans="1:42" ht="14.5" x14ac:dyDescent="0.35">
      <c r="A2221" s="2" t="s">
        <v>14861</v>
      </c>
      <c r="B2221" s="2">
        <v>228.23209423624701</v>
      </c>
      <c r="C2221" s="2">
        <v>11.141500000000001</v>
      </c>
      <c r="D2221" s="2" t="s">
        <v>34</v>
      </c>
      <c r="E2221" s="2" t="s">
        <v>14862</v>
      </c>
      <c r="F2221" s="2">
        <v>2502</v>
      </c>
      <c r="G2221" s="3" t="str">
        <f>HYPERLINK("http://funmeta.oebiotech.com/network/2502", "http://funmeta.oebiotech.com/network/2502")</f>
        <v>http://funmeta.oebiotech.com/network/2502</v>
      </c>
      <c r="H2221" s="2"/>
      <c r="I2221" s="2">
        <v>340611</v>
      </c>
      <c r="J2221" s="2" t="s">
        <v>14863</v>
      </c>
      <c r="K2221" s="2">
        <v>137125</v>
      </c>
      <c r="L2221" s="2"/>
      <c r="M2221" s="2"/>
      <c r="N2221" s="2"/>
      <c r="O2221" s="2">
        <v>69492</v>
      </c>
      <c r="P2221" s="2"/>
      <c r="Q2221" s="2" t="s">
        <v>14864</v>
      </c>
      <c r="R2221" s="2" t="s">
        <v>14865</v>
      </c>
      <c r="S2221" s="2" t="s">
        <v>50</v>
      </c>
      <c r="T2221" s="2" t="s">
        <v>229</v>
      </c>
      <c r="U2221" s="2" t="s">
        <v>645</v>
      </c>
      <c r="V2221" s="2" t="s">
        <v>59</v>
      </c>
      <c r="W2221" s="2">
        <v>41.7</v>
      </c>
      <c r="X2221" s="2">
        <v>11.1</v>
      </c>
      <c r="Y2221" s="2" t="s">
        <v>394</v>
      </c>
      <c r="Z2221" s="2" t="s">
        <v>14866</v>
      </c>
      <c r="AA2221" s="2">
        <v>-0.42579020547867802</v>
      </c>
      <c r="AB2221" s="2">
        <v>0.36475279188322701</v>
      </c>
      <c r="AC2221" s="2">
        <v>79820.833940875498</v>
      </c>
      <c r="AD2221" s="2">
        <v>99695.586325338096</v>
      </c>
      <c r="AE2221" s="2">
        <v>86561.316961778095</v>
      </c>
      <c r="AF2221" s="2">
        <v>67129.5720298995</v>
      </c>
      <c r="AG2221" s="2">
        <v>77353.737353658304</v>
      </c>
      <c r="AH2221" s="2">
        <v>92324.414049498999</v>
      </c>
      <c r="AI2221" s="2">
        <v>92891.683764271496</v>
      </c>
      <c r="AJ2221" s="2">
        <v>62664.279486146799</v>
      </c>
      <c r="AK2221" s="2">
        <v>67831.387152749405</v>
      </c>
      <c r="AL2221" s="2">
        <v>143650.59376647801</v>
      </c>
      <c r="AM2221" s="2">
        <v>105620.469452946</v>
      </c>
      <c r="AN2221" s="2">
        <v>120987.942893267</v>
      </c>
      <c r="AO2221" s="2">
        <v>77270.161803362294</v>
      </c>
      <c r="AP2221" s="2">
        <v>82812.9628832257</v>
      </c>
    </row>
    <row r="2222" spans="1:42" ht="14.5" x14ac:dyDescent="0.35">
      <c r="A2222" s="2" t="s">
        <v>14867</v>
      </c>
      <c r="B2222" s="2">
        <v>1061.30084132654</v>
      </c>
      <c r="C2222" s="2">
        <v>9.6226833333333293</v>
      </c>
      <c r="D2222" s="2" t="s">
        <v>70</v>
      </c>
      <c r="E2222" s="2" t="s">
        <v>14868</v>
      </c>
      <c r="F2222" s="2">
        <v>55728</v>
      </c>
      <c r="G2222" s="3" t="str">
        <f>HYPERLINK("http://funmeta.oebiotech.com/network/55728", "http://funmeta.oebiotech.com/network/55728")</f>
        <v>http://funmeta.oebiotech.com/network/55728</v>
      </c>
      <c r="H2222" s="2" t="s">
        <v>14869</v>
      </c>
      <c r="I2222" s="2"/>
      <c r="J2222" s="2"/>
      <c r="K2222" s="2"/>
      <c r="L2222" s="2"/>
      <c r="M2222" s="2"/>
      <c r="N2222" s="2"/>
      <c r="O2222" s="2">
        <v>131751137</v>
      </c>
      <c r="P2222" s="2" t="s">
        <v>14870</v>
      </c>
      <c r="Q2222" s="2" t="s">
        <v>14871</v>
      </c>
      <c r="R2222" s="2" t="s">
        <v>14872</v>
      </c>
      <c r="S2222" s="2" t="s">
        <v>491</v>
      </c>
      <c r="T2222" s="2" t="s">
        <v>1516</v>
      </c>
      <c r="U2222" s="2" t="s">
        <v>5958</v>
      </c>
      <c r="V2222" s="2" t="s">
        <v>59</v>
      </c>
      <c r="W2222" s="2">
        <v>38.6</v>
      </c>
      <c r="X2222" s="2">
        <v>0</v>
      </c>
      <c r="Y2222" s="2" t="s">
        <v>560</v>
      </c>
      <c r="Z2222" s="2" t="s">
        <v>14873</v>
      </c>
      <c r="AA2222" s="2">
        <v>2.1227345545427498</v>
      </c>
      <c r="AB2222" s="2">
        <v>0.36465150978053501</v>
      </c>
      <c r="AC2222" s="2">
        <v>15017.2557108124</v>
      </c>
      <c r="AD2222" s="2">
        <v>5841.3281800724299</v>
      </c>
      <c r="AE2222" s="2">
        <v>16299.4744859395</v>
      </c>
      <c r="AF2222" s="2">
        <v>14255.802623698701</v>
      </c>
      <c r="AG2222" s="2">
        <v>16027.6598394168</v>
      </c>
      <c r="AH2222" s="2">
        <v>12766.724046883801</v>
      </c>
      <c r="AI2222" s="2">
        <v>16854.641549313001</v>
      </c>
      <c r="AJ2222" s="2">
        <v>13899.231719622599</v>
      </c>
      <c r="AK2222" s="2">
        <v>3287.6969359100499</v>
      </c>
      <c r="AL2222" s="2">
        <v>7133.8336841542596</v>
      </c>
      <c r="AM2222" s="2">
        <v>7256.7658538197802</v>
      </c>
      <c r="AN2222" s="2">
        <v>4804.1963478616699</v>
      </c>
      <c r="AO2222" s="2">
        <v>7056.0196243242499</v>
      </c>
      <c r="AP2222" s="2">
        <v>5509.4566343645802</v>
      </c>
    </row>
    <row r="2223" spans="1:42" ht="14.5" x14ac:dyDescent="0.35">
      <c r="A2223" s="2" t="s">
        <v>14874</v>
      </c>
      <c r="B2223" s="2">
        <v>431.15690599373897</v>
      </c>
      <c r="C2223" s="2">
        <v>4.4359166666666701</v>
      </c>
      <c r="D2223" s="2" t="s">
        <v>70</v>
      </c>
      <c r="E2223" s="2" t="s">
        <v>14875</v>
      </c>
      <c r="F2223" s="2">
        <v>35346</v>
      </c>
      <c r="G2223" s="3" t="str">
        <f>HYPERLINK("http://funmeta.oebiotech.com/network/35346", "http://funmeta.oebiotech.com/network/35346")</f>
        <v>http://funmeta.oebiotech.com/network/35346</v>
      </c>
      <c r="H2223" s="2"/>
      <c r="I2223" s="2"/>
      <c r="J2223" s="2" t="s">
        <v>14876</v>
      </c>
      <c r="K2223" s="2"/>
      <c r="L2223" s="2"/>
      <c r="M2223" s="2"/>
      <c r="N2223" s="2"/>
      <c r="O2223" s="2"/>
      <c r="P2223" s="2"/>
      <c r="Q2223" s="2" t="s">
        <v>14877</v>
      </c>
      <c r="R2223" s="2" t="s">
        <v>14878</v>
      </c>
      <c r="S2223" s="2" t="s">
        <v>50</v>
      </c>
      <c r="T2223" s="2" t="s">
        <v>201</v>
      </c>
      <c r="U2223" s="2" t="s">
        <v>202</v>
      </c>
      <c r="V2223" s="2" t="s">
        <v>59</v>
      </c>
      <c r="W2223" s="2">
        <v>43.1</v>
      </c>
      <c r="X2223" s="2">
        <v>23.7</v>
      </c>
      <c r="Y2223" s="2" t="s">
        <v>118</v>
      </c>
      <c r="Z2223" s="2" t="s">
        <v>14879</v>
      </c>
      <c r="AA2223" s="2">
        <v>2.3618686391360901</v>
      </c>
      <c r="AB2223" s="2">
        <v>0.36413655206700501</v>
      </c>
      <c r="AC2223" s="2">
        <v>47897.900240566902</v>
      </c>
      <c r="AD2223" s="2">
        <v>35845.164999372399</v>
      </c>
      <c r="AE2223" s="2">
        <v>51699.673252886998</v>
      </c>
      <c r="AF2223" s="2">
        <v>38706.436313302103</v>
      </c>
      <c r="AG2223" s="2">
        <v>49734.935347345898</v>
      </c>
      <c r="AH2223" s="2">
        <v>45975.830388163697</v>
      </c>
      <c r="AI2223" s="2">
        <v>51137.859069705002</v>
      </c>
      <c r="AJ2223" s="2">
        <v>50132.667071997697</v>
      </c>
      <c r="AK2223" s="2">
        <v>26899.9060372042</v>
      </c>
      <c r="AL2223" s="2">
        <v>39315.261345872001</v>
      </c>
      <c r="AM2223" s="2">
        <v>26420.789755502599</v>
      </c>
      <c r="AN2223" s="2">
        <v>42304.631905550799</v>
      </c>
      <c r="AO2223" s="2">
        <v>42466.757377225003</v>
      </c>
      <c r="AP2223" s="2">
        <v>37663.64357488</v>
      </c>
    </row>
    <row r="2224" spans="1:42" ht="14.5" x14ac:dyDescent="0.35">
      <c r="A2224" s="2" t="s">
        <v>14880</v>
      </c>
      <c r="B2224" s="2">
        <v>533.29651073112404</v>
      </c>
      <c r="C2224" s="2">
        <v>9.9728333333333303</v>
      </c>
      <c r="D2224" s="2" t="s">
        <v>70</v>
      </c>
      <c r="E2224" s="2" t="s">
        <v>14881</v>
      </c>
      <c r="F2224" s="2">
        <v>18019</v>
      </c>
      <c r="G2224" s="3" t="str">
        <f>HYPERLINK("http://funmeta.oebiotech.com/network/18019", "http://funmeta.oebiotech.com/network/18019")</f>
        <v>http://funmeta.oebiotech.com/network/18019</v>
      </c>
      <c r="H2224" s="2"/>
      <c r="I2224" s="2"/>
      <c r="J2224" s="2" t="s">
        <v>14882</v>
      </c>
      <c r="K2224" s="2"/>
      <c r="L2224" s="2"/>
      <c r="M2224" s="2"/>
      <c r="N2224" s="2"/>
      <c r="O2224" s="2"/>
      <c r="P2224" s="2"/>
      <c r="Q2224" s="2" t="s">
        <v>14883</v>
      </c>
      <c r="R2224" s="2" t="s">
        <v>14884</v>
      </c>
      <c r="S2224" s="2" t="s">
        <v>50</v>
      </c>
      <c r="T2224" s="2" t="s">
        <v>448</v>
      </c>
      <c r="U2224" s="2" t="s">
        <v>449</v>
      </c>
      <c r="V2224" s="2" t="s">
        <v>42</v>
      </c>
      <c r="W2224" s="2">
        <v>49.1</v>
      </c>
      <c r="X2224" s="2">
        <v>47.6</v>
      </c>
      <c r="Y2224" s="2" t="s">
        <v>408</v>
      </c>
      <c r="Z2224" s="2" t="s">
        <v>14885</v>
      </c>
      <c r="AA2224" s="2">
        <v>-0.46104172132069698</v>
      </c>
      <c r="AB2224" s="2">
        <v>0.36385971172571202</v>
      </c>
      <c r="AC2224" s="2">
        <v>12641.4389931277</v>
      </c>
      <c r="AD2224" s="2">
        <v>21562.806807505101</v>
      </c>
      <c r="AE2224" s="2">
        <v>12476.3817455147</v>
      </c>
      <c r="AF2224" s="2">
        <v>12888.715359912299</v>
      </c>
      <c r="AG2224" s="2">
        <v>11598.9175959681</v>
      </c>
      <c r="AH2224" s="2">
        <v>14084.3691571371</v>
      </c>
      <c r="AI2224" s="2">
        <v>11722.430199089</v>
      </c>
      <c r="AJ2224" s="2">
        <v>13077.8199011453</v>
      </c>
      <c r="AK2224" s="2">
        <v>22940.719402823201</v>
      </c>
      <c r="AL2224" s="2">
        <v>20393.699461589698</v>
      </c>
      <c r="AM2224" s="2">
        <v>21288.801656976801</v>
      </c>
      <c r="AN2224" s="2">
        <v>19871.720106070999</v>
      </c>
      <c r="AO2224" s="2">
        <v>22071.4211575228</v>
      </c>
      <c r="AP2224" s="2">
        <v>22810.479060046899</v>
      </c>
    </row>
    <row r="2225" spans="1:42" ht="14.5" x14ac:dyDescent="0.35">
      <c r="A2225" s="2" t="s">
        <v>14886</v>
      </c>
      <c r="B2225" s="2">
        <v>735.09167840444104</v>
      </c>
      <c r="C2225" s="2">
        <v>4.1337999999999999</v>
      </c>
      <c r="D2225" s="2" t="s">
        <v>70</v>
      </c>
      <c r="E2225" s="2" t="s">
        <v>14887</v>
      </c>
      <c r="F2225" s="2">
        <v>204230</v>
      </c>
      <c r="G2225" s="3" t="str">
        <f>HYPERLINK("http://funmeta.oebiotech.com/network/204230", "http://funmeta.oebiotech.com/network/204230")</f>
        <v>http://funmeta.oebiotech.com/network/204230</v>
      </c>
      <c r="H2225" s="2" t="s">
        <v>14888</v>
      </c>
      <c r="I2225" s="2"/>
      <c r="J2225" s="2"/>
      <c r="K2225" s="2"/>
      <c r="L2225" s="2"/>
      <c r="M2225" s="2"/>
      <c r="N2225" s="2"/>
      <c r="O2225" s="2">
        <v>129028065</v>
      </c>
      <c r="P2225" s="2"/>
      <c r="Q2225" s="2" t="s">
        <v>14889</v>
      </c>
      <c r="R2225" s="2" t="s">
        <v>14890</v>
      </c>
      <c r="S2225" s="2" t="s">
        <v>1444</v>
      </c>
      <c r="T2225" s="2" t="s">
        <v>14891</v>
      </c>
      <c r="U2225" s="2" t="s">
        <v>14892</v>
      </c>
      <c r="V2225" s="2" t="s">
        <v>59</v>
      </c>
      <c r="W2225" s="2">
        <v>38.299999999999997</v>
      </c>
      <c r="X2225" s="2">
        <v>0</v>
      </c>
      <c r="Y2225" s="2" t="s">
        <v>408</v>
      </c>
      <c r="Z2225" s="2" t="s">
        <v>14893</v>
      </c>
      <c r="AA2225" s="2">
        <v>-2.0188776092360898</v>
      </c>
      <c r="AB2225" s="2">
        <v>0.36381586132410698</v>
      </c>
      <c r="AC2225" s="2">
        <v>22326.140997368198</v>
      </c>
      <c r="AD2225" s="2">
        <v>31600.2184520185</v>
      </c>
      <c r="AE2225" s="2">
        <v>20537.278495582901</v>
      </c>
      <c r="AF2225" s="2">
        <v>22911.7122998618</v>
      </c>
      <c r="AG2225" s="2">
        <v>22051.868131694999</v>
      </c>
      <c r="AH2225" s="2">
        <v>23179.706488491101</v>
      </c>
      <c r="AI2225" s="2">
        <v>22538.419541575098</v>
      </c>
      <c r="AJ2225" s="2">
        <v>22737.861027003601</v>
      </c>
      <c r="AK2225" s="2">
        <v>28442.349821551001</v>
      </c>
      <c r="AL2225" s="2">
        <v>35702.559345875503</v>
      </c>
      <c r="AM2225" s="2">
        <v>31134.8407767631</v>
      </c>
      <c r="AN2225" s="2">
        <v>32784.984178602797</v>
      </c>
      <c r="AO2225" s="2">
        <v>31711.3942943451</v>
      </c>
      <c r="AP2225" s="2">
        <v>29825.182294973602</v>
      </c>
    </row>
    <row r="2226" spans="1:42" ht="14.5" x14ac:dyDescent="0.35">
      <c r="A2226" s="2" t="s">
        <v>14894</v>
      </c>
      <c r="B2226" s="2">
        <v>314.08453363854898</v>
      </c>
      <c r="C2226" s="2">
        <v>1.06171666666667</v>
      </c>
      <c r="D2226" s="2" t="s">
        <v>34</v>
      </c>
      <c r="E2226" s="2" t="s">
        <v>14895</v>
      </c>
      <c r="F2226" s="2">
        <v>201084</v>
      </c>
      <c r="G2226" s="3" t="str">
        <f>HYPERLINK("http://funmeta.oebiotech.com/network/201084", "http://funmeta.oebiotech.com/network/201084")</f>
        <v>http://funmeta.oebiotech.com/network/201084</v>
      </c>
      <c r="H2226" s="2" t="s">
        <v>14896</v>
      </c>
      <c r="I2226" s="2"/>
      <c r="J2226" s="2"/>
      <c r="K2226" s="2"/>
      <c r="L2226" s="2"/>
      <c r="M2226" s="2"/>
      <c r="N2226" s="2"/>
      <c r="O2226" s="2">
        <v>1553</v>
      </c>
      <c r="P2226" s="2"/>
      <c r="Q2226" s="2" t="s">
        <v>14897</v>
      </c>
      <c r="R2226" s="2" t="s">
        <v>14898</v>
      </c>
      <c r="S2226" s="2" t="s">
        <v>89</v>
      </c>
      <c r="T2226" s="2" t="s">
        <v>90</v>
      </c>
      <c r="U2226" s="2" t="s">
        <v>401</v>
      </c>
      <c r="V2226" s="2" t="s">
        <v>59</v>
      </c>
      <c r="W2226" s="2">
        <v>39.6</v>
      </c>
      <c r="X2226" s="2">
        <v>0</v>
      </c>
      <c r="Y2226" s="2" t="s">
        <v>1781</v>
      </c>
      <c r="Z2226" s="2" t="s">
        <v>14899</v>
      </c>
      <c r="AA2226" s="2">
        <v>-0.355718142870103</v>
      </c>
      <c r="AB2226" s="2">
        <v>0.36379738848100601</v>
      </c>
      <c r="AC2226" s="2">
        <v>25839.768855586499</v>
      </c>
      <c r="AD2226" s="2">
        <v>34793.633765164202</v>
      </c>
      <c r="AE2226" s="2">
        <v>26237.6512270288</v>
      </c>
      <c r="AF2226" s="2">
        <v>24054.4514547914</v>
      </c>
      <c r="AG2226" s="2">
        <v>25379.414903849702</v>
      </c>
      <c r="AH2226" s="2">
        <v>27444.802126642098</v>
      </c>
      <c r="AI2226" s="2">
        <v>26878.064944960301</v>
      </c>
      <c r="AJ2226" s="2">
        <v>25044.228476247001</v>
      </c>
      <c r="AK2226" s="2">
        <v>34705.794535756999</v>
      </c>
      <c r="AL2226" s="2">
        <v>35284.190099460902</v>
      </c>
      <c r="AM2226" s="2">
        <v>33652.857089098099</v>
      </c>
      <c r="AN2226" s="2">
        <v>33049.719566574</v>
      </c>
      <c r="AO2226" s="2">
        <v>36306.340505722503</v>
      </c>
      <c r="AP2226" s="2">
        <v>35762.900794372901</v>
      </c>
    </row>
    <row r="2227" spans="1:42" ht="14.5" x14ac:dyDescent="0.35">
      <c r="A2227" s="2" t="s">
        <v>14900</v>
      </c>
      <c r="B2227" s="2">
        <v>605.259331924555</v>
      </c>
      <c r="C2227" s="2">
        <v>6.2544500000000003</v>
      </c>
      <c r="D2227" s="2" t="s">
        <v>70</v>
      </c>
      <c r="E2227" s="2" t="s">
        <v>14901</v>
      </c>
      <c r="F2227" s="2">
        <v>44759</v>
      </c>
      <c r="G2227" s="3" t="str">
        <f>HYPERLINK("http://funmeta.oebiotech.com/network/44759", "http://funmeta.oebiotech.com/network/44759")</f>
        <v>http://funmeta.oebiotech.com/network/44759</v>
      </c>
      <c r="H2227" s="2"/>
      <c r="I2227" s="2"/>
      <c r="J2227" s="2" t="s">
        <v>14902</v>
      </c>
      <c r="K2227" s="2"/>
      <c r="L2227" s="2"/>
      <c r="M2227" s="2"/>
      <c r="N2227" s="2"/>
      <c r="O2227" s="2"/>
      <c r="P2227" s="2"/>
      <c r="Q2227" s="2" t="s">
        <v>14903</v>
      </c>
      <c r="R2227" s="2" t="s">
        <v>14904</v>
      </c>
      <c r="S2227" s="2" t="s">
        <v>50</v>
      </c>
      <c r="T2227" s="2" t="s">
        <v>124</v>
      </c>
      <c r="U2227" s="2" t="s">
        <v>567</v>
      </c>
      <c r="V2227" s="2" t="s">
        <v>42</v>
      </c>
      <c r="W2227" s="2">
        <v>50.8</v>
      </c>
      <c r="X2227" s="2">
        <v>60.3</v>
      </c>
      <c r="Y2227" s="2" t="s">
        <v>408</v>
      </c>
      <c r="Z2227" s="2" t="s">
        <v>14905</v>
      </c>
      <c r="AA2227" s="2">
        <v>-1.8177630774522</v>
      </c>
      <c r="AB2227" s="2">
        <v>0.363244125852699</v>
      </c>
      <c r="AC2227" s="2">
        <v>277629.69667883398</v>
      </c>
      <c r="AD2227" s="2">
        <v>294470.15650123701</v>
      </c>
      <c r="AE2227" s="2">
        <v>281708.21563293098</v>
      </c>
      <c r="AF2227" s="2">
        <v>253109.666800034</v>
      </c>
      <c r="AG2227" s="2">
        <v>275364.493576854</v>
      </c>
      <c r="AH2227" s="2">
        <v>284056.51071243401</v>
      </c>
      <c r="AI2227" s="2">
        <v>270613.99142716202</v>
      </c>
      <c r="AJ2227" s="2">
        <v>300925.30192358902</v>
      </c>
      <c r="AK2227" s="2">
        <v>285433.380862516</v>
      </c>
      <c r="AL2227" s="2">
        <v>278030.10272634501</v>
      </c>
      <c r="AM2227" s="2">
        <v>320705.16721843899</v>
      </c>
      <c r="AN2227" s="2">
        <v>300212.67937296</v>
      </c>
      <c r="AO2227" s="2">
        <v>298015.19174118497</v>
      </c>
      <c r="AP2227" s="2">
        <v>284424.41708597698</v>
      </c>
    </row>
    <row r="2228" spans="1:42" ht="14.5" x14ac:dyDescent="0.35">
      <c r="A2228" s="2" t="s">
        <v>14906</v>
      </c>
      <c r="B2228" s="2">
        <v>362.14765227956002</v>
      </c>
      <c r="C2228" s="2">
        <v>9.9588999999999999</v>
      </c>
      <c r="D2228" s="2" t="s">
        <v>34</v>
      </c>
      <c r="E2228" s="2" t="s">
        <v>14907</v>
      </c>
      <c r="F2228" s="2">
        <v>554789</v>
      </c>
      <c r="G2228" s="3" t="str">
        <f>HYPERLINK("http://funmeta.oebiotech.com/network/554789", "http://funmeta.oebiotech.com/network/554789")</f>
        <v>http://funmeta.oebiotech.com/network/554789</v>
      </c>
      <c r="H2228" s="2"/>
      <c r="I2228" s="2"/>
      <c r="J2228" s="2"/>
      <c r="K2228" s="2"/>
      <c r="L2228" s="2"/>
      <c r="M2228" s="2"/>
      <c r="N2228" s="2"/>
      <c r="O2228" s="2">
        <v>263169</v>
      </c>
      <c r="P2228" s="2" t="s">
        <v>14908</v>
      </c>
      <c r="Q2228" s="2" t="s">
        <v>14909</v>
      </c>
      <c r="R2228" s="2" t="s">
        <v>14910</v>
      </c>
      <c r="S2228" s="2" t="s">
        <v>41</v>
      </c>
      <c r="T2228" s="2" t="s">
        <v>41</v>
      </c>
      <c r="U2228" s="2" t="s">
        <v>41</v>
      </c>
      <c r="V2228" s="2" t="s">
        <v>59</v>
      </c>
      <c r="W2228" s="2">
        <v>37.4</v>
      </c>
      <c r="X2228" s="2">
        <v>0</v>
      </c>
      <c r="Y2228" s="2" t="s">
        <v>323</v>
      </c>
      <c r="Z2228" s="2" t="s">
        <v>14911</v>
      </c>
      <c r="AA2228" s="2">
        <v>0.41294290585108401</v>
      </c>
      <c r="AB2228" s="2">
        <v>0.36322098318732399</v>
      </c>
      <c r="AC2228" s="2">
        <v>21801.8278012753</v>
      </c>
      <c r="AD2228" s="2">
        <v>13035.7103546051</v>
      </c>
      <c r="AE2228" s="2">
        <v>20979.072713708101</v>
      </c>
      <c r="AF2228" s="2">
        <v>20922.702968656002</v>
      </c>
      <c r="AG2228" s="2">
        <v>23521.2720067521</v>
      </c>
      <c r="AH2228" s="2">
        <v>22602.594343636199</v>
      </c>
      <c r="AI2228" s="2">
        <v>21372.770685139702</v>
      </c>
      <c r="AJ2228" s="2">
        <v>21412.554089759698</v>
      </c>
      <c r="AK2228" s="2">
        <v>12678.1432606119</v>
      </c>
      <c r="AL2228" s="2">
        <v>12696.253056646799</v>
      </c>
      <c r="AM2228" s="2">
        <v>13196.4390216173</v>
      </c>
      <c r="AN2228" s="2">
        <v>13149.671753636499</v>
      </c>
      <c r="AO2228" s="2">
        <v>12849.960908003601</v>
      </c>
      <c r="AP2228" s="2">
        <v>13643.794127114401</v>
      </c>
    </row>
    <row r="2229" spans="1:42" ht="14.5" x14ac:dyDescent="0.35">
      <c r="A2229" s="2" t="s">
        <v>14912</v>
      </c>
      <c r="B2229" s="2">
        <v>143.03383812386201</v>
      </c>
      <c r="C2229" s="2">
        <v>2.59723333333333</v>
      </c>
      <c r="D2229" s="2" t="s">
        <v>70</v>
      </c>
      <c r="E2229" s="2" t="s">
        <v>14913</v>
      </c>
      <c r="F2229" s="2">
        <v>534748</v>
      </c>
      <c r="G2229" s="3" t="str">
        <f>HYPERLINK("http://funmeta.oebiotech.com/network/534748", "http://funmeta.oebiotech.com/network/534748")</f>
        <v>http://funmeta.oebiotech.com/network/534748</v>
      </c>
      <c r="H2229" s="2"/>
      <c r="I2229" s="2">
        <v>985517</v>
      </c>
      <c r="J2229" s="2"/>
      <c r="K2229" s="2"/>
      <c r="L2229" s="2"/>
      <c r="M2229" s="2"/>
      <c r="N2229" s="2"/>
      <c r="O2229" s="2">
        <v>56773935</v>
      </c>
      <c r="P2229" s="2"/>
      <c r="Q2229" s="2" t="s">
        <v>14914</v>
      </c>
      <c r="R2229" s="2" t="s">
        <v>14915</v>
      </c>
      <c r="S2229" s="2" t="s">
        <v>491</v>
      </c>
      <c r="T2229" s="2" t="s">
        <v>12134</v>
      </c>
      <c r="U2229" s="2" t="s">
        <v>14916</v>
      </c>
      <c r="V2229" s="2" t="s">
        <v>59</v>
      </c>
      <c r="W2229" s="2">
        <v>42.7</v>
      </c>
      <c r="X2229" s="2">
        <v>22.8</v>
      </c>
      <c r="Y2229" s="2" t="s">
        <v>118</v>
      </c>
      <c r="Z2229" s="2" t="s">
        <v>14917</v>
      </c>
      <c r="AA2229" s="2">
        <v>-7.9433559849429898</v>
      </c>
      <c r="AB2229" s="2">
        <v>0.36320278855830002</v>
      </c>
      <c r="AC2229" s="2">
        <v>76103.911476489797</v>
      </c>
      <c r="AD2229" s="2">
        <v>85949.729998883398</v>
      </c>
      <c r="AE2229" s="2">
        <v>77336.6803698351</v>
      </c>
      <c r="AF2229" s="2">
        <v>71367.363102069794</v>
      </c>
      <c r="AG2229" s="2">
        <v>77797.548237655996</v>
      </c>
      <c r="AH2229" s="2">
        <v>77594.704736463798</v>
      </c>
      <c r="AI2229" s="2">
        <v>75002.218235721099</v>
      </c>
      <c r="AJ2229" s="2">
        <v>77524.954177192805</v>
      </c>
      <c r="AK2229" s="2">
        <v>91742.061822560994</v>
      </c>
      <c r="AL2229" s="2">
        <v>81942.641802601895</v>
      </c>
      <c r="AM2229" s="2">
        <v>86283.315535188798</v>
      </c>
      <c r="AN2229" s="2">
        <v>84488.744621460399</v>
      </c>
      <c r="AO2229" s="2">
        <v>86309.774020228695</v>
      </c>
      <c r="AP2229" s="2">
        <v>84931.842191259493</v>
      </c>
    </row>
    <row r="2230" spans="1:42" ht="14.5" x14ac:dyDescent="0.35">
      <c r="A2230" s="2" t="s">
        <v>14918</v>
      </c>
      <c r="B2230" s="2">
        <v>941.53146862774202</v>
      </c>
      <c r="C2230" s="2">
        <v>11.310750000000001</v>
      </c>
      <c r="D2230" s="2" t="s">
        <v>70</v>
      </c>
      <c r="E2230" s="2" t="s">
        <v>14919</v>
      </c>
      <c r="F2230" s="2">
        <v>227755</v>
      </c>
      <c r="G2230" s="3" t="str">
        <f>HYPERLINK("http://funmeta.oebiotech.com/network/227755", "http://funmeta.oebiotech.com/network/227755")</f>
        <v>http://funmeta.oebiotech.com/network/227755</v>
      </c>
      <c r="H2230" s="2" t="s">
        <v>14920</v>
      </c>
      <c r="I2230" s="2"/>
      <c r="J2230" s="2"/>
      <c r="K2230" s="2"/>
      <c r="L2230" s="2"/>
      <c r="M2230" s="2"/>
      <c r="N2230" s="2"/>
      <c r="O2230" s="2"/>
      <c r="P2230" s="2"/>
      <c r="Q2230" s="2" t="s">
        <v>14921</v>
      </c>
      <c r="R2230" s="2" t="s">
        <v>14922</v>
      </c>
      <c r="S2230" s="2" t="s">
        <v>41</v>
      </c>
      <c r="T2230" s="2" t="s">
        <v>41</v>
      </c>
      <c r="U2230" s="2" t="s">
        <v>41</v>
      </c>
      <c r="V2230" s="2" t="s">
        <v>59</v>
      </c>
      <c r="W2230" s="2">
        <v>37.799999999999997</v>
      </c>
      <c r="X2230" s="2">
        <v>0</v>
      </c>
      <c r="Y2230" s="2" t="s">
        <v>751</v>
      </c>
      <c r="Z2230" s="2" t="s">
        <v>14923</v>
      </c>
      <c r="AA2230" s="2">
        <v>3.0249237435657699E-2</v>
      </c>
      <c r="AB2230" s="2">
        <v>0.36306732136543401</v>
      </c>
      <c r="AC2230" s="2">
        <v>46373.915523734802</v>
      </c>
      <c r="AD2230" s="2">
        <v>36310.647815601202</v>
      </c>
      <c r="AE2230" s="2">
        <v>48555.656284855198</v>
      </c>
      <c r="AF2230" s="2">
        <v>41737.072396187497</v>
      </c>
      <c r="AG2230" s="2">
        <v>45716.896646809997</v>
      </c>
      <c r="AH2230" s="2">
        <v>52048.909419644602</v>
      </c>
      <c r="AI2230" s="2">
        <v>43663.307743434401</v>
      </c>
      <c r="AJ2230" s="2">
        <v>46521.650651476899</v>
      </c>
      <c r="AK2230" s="2">
        <v>32970.548122159002</v>
      </c>
      <c r="AL2230" s="2">
        <v>35549.778859125297</v>
      </c>
      <c r="AM2230" s="2">
        <v>33537.580851531398</v>
      </c>
      <c r="AN2230" s="2">
        <v>38511.7190340917</v>
      </c>
      <c r="AO2230" s="2">
        <v>36836.041146007403</v>
      </c>
      <c r="AP2230" s="2">
        <v>40458.218880692599</v>
      </c>
    </row>
    <row r="2231" spans="1:42" ht="14.5" x14ac:dyDescent="0.35">
      <c r="A2231" s="2" t="s">
        <v>14924</v>
      </c>
      <c r="B2231" s="2">
        <v>321.13147506826698</v>
      </c>
      <c r="C2231" s="2">
        <v>4.5663166666666699</v>
      </c>
      <c r="D2231" s="2" t="s">
        <v>34</v>
      </c>
      <c r="E2231" s="2" t="s">
        <v>14925</v>
      </c>
      <c r="F2231" s="2">
        <v>59949</v>
      </c>
      <c r="G2231" s="3" t="str">
        <f>HYPERLINK("http://funmeta.oebiotech.com/network/59949", "http://funmeta.oebiotech.com/network/59949")</f>
        <v>http://funmeta.oebiotech.com/network/59949</v>
      </c>
      <c r="H2231" s="2" t="s">
        <v>14926</v>
      </c>
      <c r="I2231" s="2">
        <v>91310</v>
      </c>
      <c r="J2231" s="2"/>
      <c r="K2231" s="2"/>
      <c r="L2231" s="2"/>
      <c r="M2231" s="2"/>
      <c r="N2231" s="2"/>
      <c r="O2231" s="2">
        <v>599328</v>
      </c>
      <c r="P2231" s="2" t="s">
        <v>14927</v>
      </c>
      <c r="Q2231" s="2" t="s">
        <v>14928</v>
      </c>
      <c r="R2231" s="2" t="s">
        <v>14929</v>
      </c>
      <c r="S2231" s="2" t="s">
        <v>50</v>
      </c>
      <c r="T2231" s="2" t="s">
        <v>201</v>
      </c>
      <c r="U2231" s="2" t="s">
        <v>636</v>
      </c>
      <c r="V2231" s="2" t="s">
        <v>59</v>
      </c>
      <c r="W2231" s="2">
        <v>40.5</v>
      </c>
      <c r="X2231" s="2">
        <v>8.3000000000000007</v>
      </c>
      <c r="Y2231" s="2" t="s">
        <v>231</v>
      </c>
      <c r="Z2231" s="2" t="s">
        <v>14930</v>
      </c>
      <c r="AA2231" s="2">
        <v>2.06601590655344</v>
      </c>
      <c r="AB2231" s="2">
        <v>0.362444563306415</v>
      </c>
      <c r="AC2231" s="2">
        <v>63360.007867092398</v>
      </c>
      <c r="AD2231" s="2">
        <v>74757.789376966204</v>
      </c>
      <c r="AE2231" s="2">
        <v>59835.871314182397</v>
      </c>
      <c r="AF2231" s="2">
        <v>62319.458440104201</v>
      </c>
      <c r="AG2231" s="2">
        <v>65481.411575173697</v>
      </c>
      <c r="AH2231" s="2">
        <v>61367.279453753101</v>
      </c>
      <c r="AI2231" s="2">
        <v>64459.167137486103</v>
      </c>
      <c r="AJ2231" s="2">
        <v>66696.859281855199</v>
      </c>
      <c r="AK2231" s="2">
        <v>69947.058397302404</v>
      </c>
      <c r="AL2231" s="2">
        <v>88330.776504859707</v>
      </c>
      <c r="AM2231" s="2">
        <v>74563.023759575299</v>
      </c>
      <c r="AN2231" s="2">
        <v>75231.102296091296</v>
      </c>
      <c r="AO2231" s="2">
        <v>71822.373879132399</v>
      </c>
      <c r="AP2231" s="2">
        <v>68652.401424836105</v>
      </c>
    </row>
    <row r="2232" spans="1:42" ht="14.5" x14ac:dyDescent="0.35">
      <c r="A2232" s="2" t="s">
        <v>14931</v>
      </c>
      <c r="B2232" s="2">
        <v>347.11062866685</v>
      </c>
      <c r="C2232" s="2">
        <v>5.1704666666666697</v>
      </c>
      <c r="D2232" s="2" t="s">
        <v>70</v>
      </c>
      <c r="E2232" s="2" t="s">
        <v>14932</v>
      </c>
      <c r="F2232" s="2">
        <v>289977</v>
      </c>
      <c r="G2232" s="3" t="str">
        <f>HYPERLINK("http://funmeta.oebiotech.com/network/289977", "http://funmeta.oebiotech.com/network/289977")</f>
        <v>http://funmeta.oebiotech.com/network/289977</v>
      </c>
      <c r="H2232" s="2"/>
      <c r="I2232" s="2">
        <v>985590</v>
      </c>
      <c r="J2232" s="2"/>
      <c r="K2232" s="2"/>
      <c r="L2232" s="2"/>
      <c r="M2232" s="2"/>
      <c r="N2232" s="2"/>
      <c r="O2232" s="2">
        <v>124489961</v>
      </c>
      <c r="P2232" s="2"/>
      <c r="Q2232" s="2" t="s">
        <v>14933</v>
      </c>
      <c r="R2232" s="2" t="s">
        <v>14934</v>
      </c>
      <c r="S2232" s="2" t="s">
        <v>50</v>
      </c>
      <c r="T2232" s="2" t="s">
        <v>229</v>
      </c>
      <c r="U2232" s="2" t="s">
        <v>766</v>
      </c>
      <c r="V2232" s="2" t="s">
        <v>59</v>
      </c>
      <c r="W2232" s="2">
        <v>37.200000000000003</v>
      </c>
      <c r="X2232" s="2">
        <v>1.24</v>
      </c>
      <c r="Y2232" s="2" t="s">
        <v>118</v>
      </c>
      <c r="Z2232" s="2" t="s">
        <v>14935</v>
      </c>
      <c r="AA2232" s="2">
        <v>-8.6116043135275007</v>
      </c>
      <c r="AB2232" s="2">
        <v>0.36239151022831501</v>
      </c>
      <c r="AC2232" s="2">
        <v>76626.171357277795</v>
      </c>
      <c r="AD2232" s="2">
        <v>86752.956131940198</v>
      </c>
      <c r="AE2232" s="2">
        <v>76825.999622601405</v>
      </c>
      <c r="AF2232" s="2">
        <v>79310.6924422046</v>
      </c>
      <c r="AG2232" s="2">
        <v>80478.165170467997</v>
      </c>
      <c r="AH2232" s="2">
        <v>74600.497405120099</v>
      </c>
      <c r="AI2232" s="2">
        <v>72773.504363112996</v>
      </c>
      <c r="AJ2232" s="2">
        <v>75768.169140159705</v>
      </c>
      <c r="AK2232" s="2">
        <v>82357.839659312594</v>
      </c>
      <c r="AL2232" s="2">
        <v>89863.399934415895</v>
      </c>
      <c r="AM2232" s="2">
        <v>90812.814234949401</v>
      </c>
      <c r="AN2232" s="2">
        <v>89500.965535723095</v>
      </c>
      <c r="AO2232" s="2">
        <v>85141.149871000307</v>
      </c>
      <c r="AP2232" s="2">
        <v>82841.567556239796</v>
      </c>
    </row>
    <row r="2233" spans="1:42" ht="14.5" x14ac:dyDescent="0.35">
      <c r="A2233" s="2" t="s">
        <v>14936</v>
      </c>
      <c r="B2233" s="2">
        <v>786.44807043966796</v>
      </c>
      <c r="C2233" s="2">
        <v>5.7044666666666703</v>
      </c>
      <c r="D2233" s="2" t="s">
        <v>34</v>
      </c>
      <c r="E2233" s="2" t="s">
        <v>14937</v>
      </c>
      <c r="F2233" s="2">
        <v>133118</v>
      </c>
      <c r="G2233" s="3" t="str">
        <f>HYPERLINK("http://funmeta.oebiotech.com/network/133118", "http://funmeta.oebiotech.com/network/133118")</f>
        <v>http://funmeta.oebiotech.com/network/133118</v>
      </c>
      <c r="H2233" s="2" t="s">
        <v>14938</v>
      </c>
      <c r="I2233" s="2"/>
      <c r="J2233" s="2"/>
      <c r="K2233" s="2"/>
      <c r="L2233" s="2"/>
      <c r="M2233" s="2"/>
      <c r="N2233" s="2"/>
      <c r="O2233" s="2">
        <v>131820130</v>
      </c>
      <c r="P2233" s="2"/>
      <c r="Q2233" s="2" t="s">
        <v>14939</v>
      </c>
      <c r="R2233" s="2" t="s">
        <v>14940</v>
      </c>
      <c r="S2233" s="2" t="s">
        <v>50</v>
      </c>
      <c r="T2233" s="2" t="s">
        <v>51</v>
      </c>
      <c r="U2233" s="2" t="s">
        <v>257</v>
      </c>
      <c r="V2233" s="2" t="s">
        <v>59</v>
      </c>
      <c r="W2233" s="2">
        <v>36.299999999999997</v>
      </c>
      <c r="X2233" s="2">
        <v>0</v>
      </c>
      <c r="Y2233" s="2" t="s">
        <v>340</v>
      </c>
      <c r="Z2233" s="2" t="s">
        <v>14941</v>
      </c>
      <c r="AA2233" s="2">
        <v>1.3478865319387601</v>
      </c>
      <c r="AB2233" s="2">
        <v>0.36211779288896401</v>
      </c>
      <c r="AC2233" s="2">
        <v>45833.262801860801</v>
      </c>
      <c r="AD2233" s="2">
        <v>29124.035457081001</v>
      </c>
      <c r="AE2233" s="2">
        <v>45881.606474296197</v>
      </c>
      <c r="AF2233" s="2">
        <v>42792.682233275402</v>
      </c>
      <c r="AG2233" s="2">
        <v>29498.759435290001</v>
      </c>
      <c r="AH2233" s="2">
        <v>68299.976985000496</v>
      </c>
      <c r="AI2233" s="2">
        <v>59853.003963928102</v>
      </c>
      <c r="AJ2233" s="2">
        <v>28673.547719374299</v>
      </c>
      <c r="AK2233" s="2">
        <v>36071.1034648313</v>
      </c>
      <c r="AL2233" s="2">
        <v>17536.894926843601</v>
      </c>
      <c r="AM2233" s="2">
        <v>52257.583111312801</v>
      </c>
      <c r="AN2233" s="2">
        <v>28722.771055877402</v>
      </c>
      <c r="AO2233" s="2">
        <v>15462.8626516885</v>
      </c>
      <c r="AP2233" s="2">
        <v>24692.997531932699</v>
      </c>
    </row>
    <row r="2234" spans="1:42" ht="14.5" x14ac:dyDescent="0.35">
      <c r="A2234" s="2" t="s">
        <v>14942</v>
      </c>
      <c r="B2234" s="2">
        <v>757.21800650359</v>
      </c>
      <c r="C2234" s="2">
        <v>4.1056666666666697</v>
      </c>
      <c r="D2234" s="2" t="s">
        <v>34</v>
      </c>
      <c r="E2234" s="2" t="s">
        <v>14943</v>
      </c>
      <c r="F2234" s="2">
        <v>58432</v>
      </c>
      <c r="G2234" s="3" t="str">
        <f>HYPERLINK("http://funmeta.oebiotech.com/network/58432", "http://funmeta.oebiotech.com/network/58432")</f>
        <v>http://funmeta.oebiotech.com/network/58432</v>
      </c>
      <c r="H2234" s="2" t="s">
        <v>14944</v>
      </c>
      <c r="I2234" s="2">
        <v>89903</v>
      </c>
      <c r="J2234" s="2"/>
      <c r="K2234" s="2"/>
      <c r="L2234" s="2"/>
      <c r="M2234" s="2"/>
      <c r="N2234" s="2"/>
      <c r="O2234" s="2">
        <v>74428193</v>
      </c>
      <c r="P2234" s="2" t="s">
        <v>14945</v>
      </c>
      <c r="Q2234" s="2" t="s">
        <v>14946</v>
      </c>
      <c r="R2234" s="2" t="s">
        <v>14947</v>
      </c>
      <c r="S2234" s="2" t="s">
        <v>115</v>
      </c>
      <c r="T2234" s="2" t="s">
        <v>139</v>
      </c>
      <c r="U2234" s="2" t="s">
        <v>140</v>
      </c>
      <c r="V2234" s="2" t="s">
        <v>59</v>
      </c>
      <c r="W2234" s="2">
        <v>36.700000000000003</v>
      </c>
      <c r="X2234" s="2">
        <v>0</v>
      </c>
      <c r="Y2234" s="2" t="s">
        <v>67</v>
      </c>
      <c r="Z2234" s="2" t="s">
        <v>14948</v>
      </c>
      <c r="AA2234" s="2">
        <v>-0.74529753014483802</v>
      </c>
      <c r="AB2234" s="2">
        <v>0.36179554002574998</v>
      </c>
      <c r="AC2234" s="2">
        <v>24724.588160469899</v>
      </c>
      <c r="AD2234" s="2">
        <v>14232.5453771148</v>
      </c>
      <c r="AE2234" s="2">
        <v>23723.909384108902</v>
      </c>
      <c r="AF2234" s="2">
        <v>24015.916254173299</v>
      </c>
      <c r="AG2234" s="2">
        <v>22473.047974150799</v>
      </c>
      <c r="AH2234" s="2">
        <v>19676.298937861899</v>
      </c>
      <c r="AI2234" s="2">
        <v>23038.601679592699</v>
      </c>
      <c r="AJ2234" s="2">
        <v>35419.754732931899</v>
      </c>
      <c r="AK2234" s="2">
        <v>13251.778594044499</v>
      </c>
      <c r="AL2234" s="2">
        <v>13794.753293085199</v>
      </c>
      <c r="AM2234" s="2">
        <v>12623.7479338217</v>
      </c>
      <c r="AN2234" s="2">
        <v>13331.8827463895</v>
      </c>
      <c r="AO2234" s="2">
        <v>15059.4611901711</v>
      </c>
      <c r="AP2234" s="2">
        <v>17333.648505177</v>
      </c>
    </row>
    <row r="2235" spans="1:42" ht="14.5" x14ac:dyDescent="0.35">
      <c r="A2235" s="2" t="s">
        <v>14949</v>
      </c>
      <c r="B2235" s="2">
        <v>669.20289077120106</v>
      </c>
      <c r="C2235" s="2">
        <v>3.6928666666666699</v>
      </c>
      <c r="D2235" s="2" t="s">
        <v>70</v>
      </c>
      <c r="E2235" s="2" t="s">
        <v>14950</v>
      </c>
      <c r="F2235" s="2">
        <v>58786</v>
      </c>
      <c r="G2235" s="3" t="str">
        <f>HYPERLINK("http://funmeta.oebiotech.com/network/58786", "http://funmeta.oebiotech.com/network/58786")</f>
        <v>http://funmeta.oebiotech.com/network/58786</v>
      </c>
      <c r="H2235" s="2" t="s">
        <v>14951</v>
      </c>
      <c r="I2235" s="2"/>
      <c r="J2235" s="2"/>
      <c r="K2235" s="2"/>
      <c r="L2235" s="2" t="s">
        <v>14952</v>
      </c>
      <c r="M2235" s="2"/>
      <c r="N2235" s="2"/>
      <c r="O2235" s="2">
        <v>5459010</v>
      </c>
      <c r="P2235" s="2" t="s">
        <v>14953</v>
      </c>
      <c r="Q2235" s="2" t="s">
        <v>14954</v>
      </c>
      <c r="R2235" s="2" t="s">
        <v>14955</v>
      </c>
      <c r="S2235" s="2" t="s">
        <v>115</v>
      </c>
      <c r="T2235" s="2" t="s">
        <v>116</v>
      </c>
      <c r="U2235" s="2" t="s">
        <v>117</v>
      </c>
      <c r="V2235" s="2" t="s">
        <v>59</v>
      </c>
      <c r="W2235" s="2">
        <v>38.6</v>
      </c>
      <c r="X2235" s="2">
        <v>0</v>
      </c>
      <c r="Y2235" s="2" t="s">
        <v>408</v>
      </c>
      <c r="Z2235" s="2" t="s">
        <v>8203</v>
      </c>
      <c r="AA2235" s="2">
        <v>-1.1735667375508201</v>
      </c>
      <c r="AB2235" s="2">
        <v>0.36165710000381701</v>
      </c>
      <c r="AC2235" s="2">
        <v>9724.8324468650408</v>
      </c>
      <c r="AD2235" s="2">
        <v>18641.464226874101</v>
      </c>
      <c r="AE2235" s="2">
        <v>10131.8398117121</v>
      </c>
      <c r="AF2235" s="2">
        <v>9833.8149511213396</v>
      </c>
      <c r="AG2235" s="2">
        <v>8075.2092455167103</v>
      </c>
      <c r="AH2235" s="2">
        <v>9703.7564043872007</v>
      </c>
      <c r="AI2235" s="2">
        <v>10281.823786262101</v>
      </c>
      <c r="AJ2235" s="2">
        <v>10322.5504821908</v>
      </c>
      <c r="AK2235" s="2">
        <v>17546.323571479399</v>
      </c>
      <c r="AL2235" s="2">
        <v>15992.2836556158</v>
      </c>
      <c r="AM2235" s="2">
        <v>19199.402618170199</v>
      </c>
      <c r="AN2235" s="2">
        <v>18967.154717899</v>
      </c>
      <c r="AO2235" s="2">
        <v>18638.994449379701</v>
      </c>
      <c r="AP2235" s="2">
        <v>21504.626348700702</v>
      </c>
    </row>
    <row r="2236" spans="1:42" ht="14.5" x14ac:dyDescent="0.35">
      <c r="A2236" s="2" t="s">
        <v>14956</v>
      </c>
      <c r="B2236" s="2">
        <v>532.269861334398</v>
      </c>
      <c r="C2236" s="2">
        <v>9.4096333333333302</v>
      </c>
      <c r="D2236" s="2" t="s">
        <v>34</v>
      </c>
      <c r="E2236" s="2" t="s">
        <v>14957</v>
      </c>
      <c r="F2236" s="2">
        <v>53218</v>
      </c>
      <c r="G2236" s="3" t="str">
        <f>HYPERLINK("http://funmeta.oebiotech.com/network/53218", "http://funmeta.oebiotech.com/network/53218")</f>
        <v>http://funmeta.oebiotech.com/network/53218</v>
      </c>
      <c r="H2236" s="2" t="s">
        <v>14958</v>
      </c>
      <c r="I2236" s="2">
        <v>44651</v>
      </c>
      <c r="J2236" s="2"/>
      <c r="K2236" s="2">
        <v>9434</v>
      </c>
      <c r="L2236" s="2" t="s">
        <v>14959</v>
      </c>
      <c r="M2236" s="2"/>
      <c r="N2236" s="2"/>
      <c r="O2236" s="2">
        <v>65999</v>
      </c>
      <c r="P2236" s="2" t="s">
        <v>14960</v>
      </c>
      <c r="Q2236" s="2" t="s">
        <v>14961</v>
      </c>
      <c r="R2236" s="2" t="s">
        <v>14962</v>
      </c>
      <c r="S2236" s="2" t="s">
        <v>148</v>
      </c>
      <c r="T2236" s="2" t="s">
        <v>149</v>
      </c>
      <c r="U2236" s="2" t="s">
        <v>5292</v>
      </c>
      <c r="V2236" s="2" t="s">
        <v>59</v>
      </c>
      <c r="W2236" s="2">
        <v>37.6</v>
      </c>
      <c r="X2236" s="2">
        <v>0</v>
      </c>
      <c r="Y2236" s="2" t="s">
        <v>43</v>
      </c>
      <c r="Z2236" s="2" t="s">
        <v>14963</v>
      </c>
      <c r="AA2236" s="2">
        <v>-1.63429746376928</v>
      </c>
      <c r="AB2236" s="2">
        <v>0.36150293108991499</v>
      </c>
      <c r="AC2236" s="2">
        <v>13576.8865191767</v>
      </c>
      <c r="AD2236" s="2">
        <v>4890.8568820017999</v>
      </c>
      <c r="AE2236" s="2">
        <v>14673.7575554661</v>
      </c>
      <c r="AF2236" s="2">
        <v>13908.4078496115</v>
      </c>
      <c r="AG2236" s="2">
        <v>14558.546791249501</v>
      </c>
      <c r="AH2236" s="2">
        <v>13401.8944256467</v>
      </c>
      <c r="AI2236" s="2">
        <v>12111.9826784251</v>
      </c>
      <c r="AJ2236" s="2">
        <v>12806.729814661199</v>
      </c>
      <c r="AK2236" s="2">
        <v>5047.1974354998301</v>
      </c>
      <c r="AL2236" s="2">
        <v>6248.6117813962401</v>
      </c>
      <c r="AM2236" s="2">
        <v>4335.3343176859198</v>
      </c>
      <c r="AN2236" s="2">
        <v>4135.1027701965404</v>
      </c>
      <c r="AO2236" s="2">
        <v>4643.1594394508802</v>
      </c>
      <c r="AP2236" s="2">
        <v>4935.7355477813999</v>
      </c>
    </row>
    <row r="2237" spans="1:42" ht="14.5" x14ac:dyDescent="0.35">
      <c r="A2237" s="2" t="s">
        <v>14964</v>
      </c>
      <c r="B2237" s="2">
        <v>486.21507643924298</v>
      </c>
      <c r="C2237" s="2">
        <v>4.1584500000000002</v>
      </c>
      <c r="D2237" s="2" t="s">
        <v>34</v>
      </c>
      <c r="E2237" s="2" t="s">
        <v>14965</v>
      </c>
      <c r="F2237" s="2">
        <v>208979</v>
      </c>
      <c r="G2237" s="3" t="str">
        <f>HYPERLINK("http://funmeta.oebiotech.com/network/208979", "http://funmeta.oebiotech.com/network/208979")</f>
        <v>http://funmeta.oebiotech.com/network/208979</v>
      </c>
      <c r="H2237" s="2" t="s">
        <v>14966</v>
      </c>
      <c r="I2237" s="2"/>
      <c r="J2237" s="2"/>
      <c r="K2237" s="2"/>
      <c r="L2237" s="2"/>
      <c r="M2237" s="2"/>
      <c r="N2237" s="2"/>
      <c r="O2237" s="2">
        <v>5139184</v>
      </c>
      <c r="P2237" s="2"/>
      <c r="Q2237" s="2" t="s">
        <v>14967</v>
      </c>
      <c r="R2237" s="2" t="s">
        <v>14968</v>
      </c>
      <c r="S2237" s="2" t="s">
        <v>41</v>
      </c>
      <c r="T2237" s="2" t="s">
        <v>41</v>
      </c>
      <c r="U2237" s="2" t="s">
        <v>41</v>
      </c>
      <c r="V2237" s="2" t="s">
        <v>59</v>
      </c>
      <c r="W2237" s="2">
        <v>36.200000000000003</v>
      </c>
      <c r="X2237" s="2">
        <v>0</v>
      </c>
      <c r="Y2237" s="2" t="s">
        <v>141</v>
      </c>
      <c r="Z2237" s="2" t="s">
        <v>14969</v>
      </c>
      <c r="AA2237" s="2">
        <v>2.97215277384859</v>
      </c>
      <c r="AB2237" s="2">
        <v>0.36144836473862002</v>
      </c>
      <c r="AC2237" s="2">
        <v>17666.4409298469</v>
      </c>
      <c r="AD2237" s="2">
        <v>26992.5702914496</v>
      </c>
      <c r="AE2237" s="2">
        <v>15905.974249142701</v>
      </c>
      <c r="AF2237" s="2">
        <v>15472.213534541601</v>
      </c>
      <c r="AG2237" s="2">
        <v>22336.664938740902</v>
      </c>
      <c r="AH2237" s="2">
        <v>16454.184894607199</v>
      </c>
      <c r="AI2237" s="2">
        <v>18419.1156816074</v>
      </c>
      <c r="AJ2237" s="2">
        <v>17410.492280441598</v>
      </c>
      <c r="AK2237" s="2">
        <v>28538.209692946501</v>
      </c>
      <c r="AL2237" s="2">
        <v>24937.8310846393</v>
      </c>
      <c r="AM2237" s="2">
        <v>27117.004548803299</v>
      </c>
      <c r="AN2237" s="2">
        <v>29321.4361142327</v>
      </c>
      <c r="AO2237" s="2">
        <v>24745.9887632303</v>
      </c>
      <c r="AP2237" s="2">
        <v>27294.9515448456</v>
      </c>
    </row>
    <row r="2238" spans="1:42" ht="14.5" x14ac:dyDescent="0.35">
      <c r="A2238" s="2" t="s">
        <v>14970</v>
      </c>
      <c r="B2238" s="2">
        <v>784.15002723131602</v>
      </c>
      <c r="C2238" s="2">
        <v>3.8429333333333302</v>
      </c>
      <c r="D2238" s="2" t="s">
        <v>70</v>
      </c>
      <c r="E2238" s="2" t="s">
        <v>14971</v>
      </c>
      <c r="F2238" s="2">
        <v>47470</v>
      </c>
      <c r="G2238" s="3" t="str">
        <f>HYPERLINK("http://funmeta.oebiotech.com/network/47470", "http://funmeta.oebiotech.com/network/47470")</f>
        <v>http://funmeta.oebiotech.com/network/47470</v>
      </c>
      <c r="H2238" s="2" t="s">
        <v>14972</v>
      </c>
      <c r="I2238" s="2">
        <v>6106</v>
      </c>
      <c r="J2238" s="2"/>
      <c r="K2238" s="2">
        <v>16238</v>
      </c>
      <c r="L2238" s="2" t="s">
        <v>14973</v>
      </c>
      <c r="M2238" s="2" t="s">
        <v>14974</v>
      </c>
      <c r="N2238" s="2" t="s">
        <v>14975</v>
      </c>
      <c r="O2238" s="2">
        <v>643975</v>
      </c>
      <c r="P2238" s="2" t="s">
        <v>14976</v>
      </c>
      <c r="Q2238" s="2" t="s">
        <v>14977</v>
      </c>
      <c r="R2238" s="2" t="s">
        <v>14978</v>
      </c>
      <c r="S2238" s="2" t="s">
        <v>1444</v>
      </c>
      <c r="T2238" s="2" t="s">
        <v>9226</v>
      </c>
      <c r="U2238" s="2" t="s">
        <v>41</v>
      </c>
      <c r="V2238" s="2" t="s">
        <v>59</v>
      </c>
      <c r="W2238" s="2">
        <v>37.200000000000003</v>
      </c>
      <c r="X2238" s="2">
        <v>0</v>
      </c>
      <c r="Y2238" s="2" t="s">
        <v>118</v>
      </c>
      <c r="Z2238" s="2" t="s">
        <v>14979</v>
      </c>
      <c r="AA2238" s="2">
        <v>0.215254245911707</v>
      </c>
      <c r="AB2238" s="2">
        <v>0.36142684251655299</v>
      </c>
      <c r="AC2238" s="2">
        <v>21716.399233327698</v>
      </c>
      <c r="AD2238" s="2">
        <v>12052.612474235</v>
      </c>
      <c r="AE2238" s="2">
        <v>23346.580400113598</v>
      </c>
      <c r="AF2238" s="2">
        <v>21631.705956819402</v>
      </c>
      <c r="AG2238" s="2">
        <v>15133.3311235808</v>
      </c>
      <c r="AH2238" s="2">
        <v>23471.206208322299</v>
      </c>
      <c r="AI2238" s="2">
        <v>22842.285265613002</v>
      </c>
      <c r="AJ2238" s="2">
        <v>23873.286445516998</v>
      </c>
      <c r="AK2238" s="2">
        <v>9886.3121340006292</v>
      </c>
      <c r="AL2238" s="2">
        <v>11119.040313498101</v>
      </c>
      <c r="AM2238" s="2">
        <v>10188.2048825929</v>
      </c>
      <c r="AN2238" s="2">
        <v>13468.207861513099</v>
      </c>
      <c r="AO2238" s="2">
        <v>14135.9371741536</v>
      </c>
      <c r="AP2238" s="2">
        <v>13517.9724796515</v>
      </c>
    </row>
    <row r="2239" spans="1:42" ht="14.5" x14ac:dyDescent="0.35">
      <c r="A2239" s="2" t="s">
        <v>14980</v>
      </c>
      <c r="B2239" s="2">
        <v>469.29436934825702</v>
      </c>
      <c r="C2239" s="2">
        <v>6.3760500000000002</v>
      </c>
      <c r="D2239" s="2" t="s">
        <v>34</v>
      </c>
      <c r="E2239" s="2" t="s">
        <v>14981</v>
      </c>
      <c r="F2239" s="2">
        <v>7659</v>
      </c>
      <c r="G2239" s="3" t="str">
        <f>HYPERLINK("http://funmeta.oebiotech.com/network/7659", "http://funmeta.oebiotech.com/network/7659")</f>
        <v>http://funmeta.oebiotech.com/network/7659</v>
      </c>
      <c r="H2239" s="2" t="s">
        <v>14982</v>
      </c>
      <c r="I2239" s="2">
        <v>86567</v>
      </c>
      <c r="J2239" s="2" t="s">
        <v>14983</v>
      </c>
      <c r="K2239" s="2"/>
      <c r="L2239" s="2"/>
      <c r="M2239" s="2"/>
      <c r="N2239" s="2"/>
      <c r="O2239" s="2">
        <v>3793749</v>
      </c>
      <c r="P2239" s="2" t="s">
        <v>14984</v>
      </c>
      <c r="Q2239" s="2" t="s">
        <v>14985</v>
      </c>
      <c r="R2239" s="2" t="s">
        <v>14986</v>
      </c>
      <c r="S2239" s="2" t="s">
        <v>50</v>
      </c>
      <c r="T2239" s="2" t="s">
        <v>229</v>
      </c>
      <c r="U2239" s="2" t="s">
        <v>1914</v>
      </c>
      <c r="V2239" s="2" t="s">
        <v>59</v>
      </c>
      <c r="W2239" s="2">
        <v>38.200000000000003</v>
      </c>
      <c r="X2239" s="2">
        <v>0</v>
      </c>
      <c r="Y2239" s="2" t="s">
        <v>340</v>
      </c>
      <c r="Z2239" s="2" t="s">
        <v>14987</v>
      </c>
      <c r="AA2239" s="2">
        <v>4.1179513085993404</v>
      </c>
      <c r="AB2239" s="2">
        <v>0.36131289657113502</v>
      </c>
      <c r="AC2239" s="2">
        <v>12435.1437082885</v>
      </c>
      <c r="AD2239" s="2">
        <v>3529.6774748653802</v>
      </c>
      <c r="AE2239" s="2">
        <v>10945.6667274511</v>
      </c>
      <c r="AF2239" s="2">
        <v>14278.5718575099</v>
      </c>
      <c r="AG2239" s="2">
        <v>12494.7969433366</v>
      </c>
      <c r="AH2239" s="2">
        <v>14335.0053460333</v>
      </c>
      <c r="AI2239" s="2">
        <v>12411.644019491299</v>
      </c>
      <c r="AJ2239" s="2">
        <v>10145.1773559091</v>
      </c>
      <c r="AK2239" s="2">
        <v>3227.8217640314901</v>
      </c>
      <c r="AL2239" s="2">
        <v>3013.0940255344599</v>
      </c>
      <c r="AM2239" s="2">
        <v>2948.7488379700098</v>
      </c>
      <c r="AN2239" s="2">
        <v>4139.0280612773004</v>
      </c>
      <c r="AO2239" s="2">
        <v>5168.1466695362997</v>
      </c>
      <c r="AP2239" s="2">
        <v>2681.2254908427399</v>
      </c>
    </row>
    <row r="2240" spans="1:42" ht="14.5" x14ac:dyDescent="0.35">
      <c r="A2240" s="2" t="s">
        <v>14988</v>
      </c>
      <c r="B2240" s="2">
        <v>958.20331790094895</v>
      </c>
      <c r="C2240" s="2">
        <v>3.4080166666666698</v>
      </c>
      <c r="D2240" s="2" t="s">
        <v>70</v>
      </c>
      <c r="E2240" s="2" t="s">
        <v>14989</v>
      </c>
      <c r="F2240" s="2">
        <v>58233</v>
      </c>
      <c r="G2240" s="3" t="str">
        <f>HYPERLINK("http://funmeta.oebiotech.com/network/58233", "http://funmeta.oebiotech.com/network/58233")</f>
        <v>http://funmeta.oebiotech.com/network/58233</v>
      </c>
      <c r="H2240" s="2" t="s">
        <v>14990</v>
      </c>
      <c r="I2240" s="2"/>
      <c r="J2240" s="2"/>
      <c r="K2240" s="2"/>
      <c r="L2240" s="2" t="s">
        <v>14991</v>
      </c>
      <c r="M2240" s="2"/>
      <c r="N2240" s="2"/>
      <c r="O2240" s="2">
        <v>4482008</v>
      </c>
      <c r="P2240" s="2" t="s">
        <v>14992</v>
      </c>
      <c r="Q2240" s="2" t="s">
        <v>14993</v>
      </c>
      <c r="R2240" s="2" t="s">
        <v>14994</v>
      </c>
      <c r="S2240" s="2" t="s">
        <v>115</v>
      </c>
      <c r="T2240" s="2" t="s">
        <v>139</v>
      </c>
      <c r="U2240" s="2" t="s">
        <v>140</v>
      </c>
      <c r="V2240" s="2" t="s">
        <v>59</v>
      </c>
      <c r="W2240" s="2">
        <v>36.799999999999997</v>
      </c>
      <c r="X2240" s="2">
        <v>0</v>
      </c>
      <c r="Y2240" s="2" t="s">
        <v>408</v>
      </c>
      <c r="Z2240" s="2" t="s">
        <v>14995</v>
      </c>
      <c r="AA2240" s="2">
        <v>1.37150777725888</v>
      </c>
      <c r="AB2240" s="2">
        <v>0.36111592696593198</v>
      </c>
      <c r="AC2240" s="2">
        <v>74784.636030972106</v>
      </c>
      <c r="AD2240" s="2">
        <v>60741.428593169803</v>
      </c>
      <c r="AE2240" s="2">
        <v>81023.421165483407</v>
      </c>
      <c r="AF2240" s="2">
        <v>86313.088621869101</v>
      </c>
      <c r="AG2240" s="2">
        <v>92231.881467588304</v>
      </c>
      <c r="AH2240" s="2">
        <v>61257.0152515316</v>
      </c>
      <c r="AI2240" s="2">
        <v>57456.616341450099</v>
      </c>
      <c r="AJ2240" s="2">
        <v>70425.793337910305</v>
      </c>
      <c r="AK2240" s="2">
        <v>63014.620646640302</v>
      </c>
      <c r="AL2240" s="2">
        <v>56047.766886936901</v>
      </c>
      <c r="AM2240" s="2">
        <v>66902.027607162207</v>
      </c>
      <c r="AN2240" s="2">
        <v>62312.067541112301</v>
      </c>
      <c r="AO2240" s="2">
        <v>60275.400896140804</v>
      </c>
      <c r="AP2240" s="2">
        <v>55896.6879810264</v>
      </c>
    </row>
    <row r="2241" spans="1:42" ht="14.5" x14ac:dyDescent="0.35">
      <c r="A2241" s="2" t="s">
        <v>14996</v>
      </c>
      <c r="B2241" s="2">
        <v>443.16002770337701</v>
      </c>
      <c r="C2241" s="2">
        <v>4.1151</v>
      </c>
      <c r="D2241" s="2" t="s">
        <v>70</v>
      </c>
      <c r="E2241" s="2" t="s">
        <v>14997</v>
      </c>
      <c r="F2241" s="2">
        <v>204274</v>
      </c>
      <c r="G2241" s="3" t="str">
        <f>HYPERLINK("http://funmeta.oebiotech.com/network/204274", "http://funmeta.oebiotech.com/network/204274")</f>
        <v>http://funmeta.oebiotech.com/network/204274</v>
      </c>
      <c r="H2241" s="2" t="s">
        <v>14998</v>
      </c>
      <c r="I2241" s="2"/>
      <c r="J2241" s="2"/>
      <c r="K2241" s="2"/>
      <c r="L2241" s="2"/>
      <c r="M2241" s="2"/>
      <c r="N2241" s="2"/>
      <c r="O2241" s="2">
        <v>3247761</v>
      </c>
      <c r="P2241" s="2"/>
      <c r="Q2241" s="2" t="s">
        <v>14999</v>
      </c>
      <c r="R2241" s="2" t="s">
        <v>15000</v>
      </c>
      <c r="S2241" s="2" t="s">
        <v>41</v>
      </c>
      <c r="T2241" s="2" t="s">
        <v>41</v>
      </c>
      <c r="U2241" s="2" t="s">
        <v>41</v>
      </c>
      <c r="V2241" s="2" t="s">
        <v>59</v>
      </c>
      <c r="W2241" s="2">
        <v>37.4</v>
      </c>
      <c r="X2241" s="2">
        <v>0</v>
      </c>
      <c r="Y2241" s="2" t="s">
        <v>408</v>
      </c>
      <c r="Z2241" s="2" t="s">
        <v>15001</v>
      </c>
      <c r="AA2241" s="2">
        <v>-1.4218255050063</v>
      </c>
      <c r="AB2241" s="2">
        <v>0.36058757577327699</v>
      </c>
      <c r="AC2241" s="2">
        <v>38072.303118529897</v>
      </c>
      <c r="AD2241" s="2">
        <v>28860.494378434301</v>
      </c>
      <c r="AE2241" s="2">
        <v>36578.922690094303</v>
      </c>
      <c r="AF2241" s="2">
        <v>36648.567378705899</v>
      </c>
      <c r="AG2241" s="2">
        <v>38551.417128741203</v>
      </c>
      <c r="AH2241" s="2">
        <v>37639.4347236385</v>
      </c>
      <c r="AI2241" s="2">
        <v>37394.366093855599</v>
      </c>
      <c r="AJ2241" s="2">
        <v>41621.110696143798</v>
      </c>
      <c r="AK2241" s="2">
        <v>25712.6308062075</v>
      </c>
      <c r="AL2241" s="2">
        <v>32635.581197091899</v>
      </c>
      <c r="AM2241" s="2">
        <v>29056.734409425098</v>
      </c>
      <c r="AN2241" s="2">
        <v>29102.5287815671</v>
      </c>
      <c r="AO2241" s="2">
        <v>28747.4091272068</v>
      </c>
      <c r="AP2241" s="2">
        <v>27908.081949107102</v>
      </c>
    </row>
    <row r="2242" spans="1:42" ht="14.5" x14ac:dyDescent="0.35">
      <c r="A2242" s="2" t="s">
        <v>15002</v>
      </c>
      <c r="B2242" s="2">
        <v>431.21993918956798</v>
      </c>
      <c r="C2242" s="2">
        <v>10.5087833333333</v>
      </c>
      <c r="D2242" s="2" t="s">
        <v>70</v>
      </c>
      <c r="E2242" s="2" t="s">
        <v>15003</v>
      </c>
      <c r="F2242" s="2">
        <v>26087</v>
      </c>
      <c r="G2242" s="3" t="str">
        <f>HYPERLINK("http://funmeta.oebiotech.com/network/26087", "http://funmeta.oebiotech.com/network/26087")</f>
        <v>http://funmeta.oebiotech.com/network/26087</v>
      </c>
      <c r="H2242" s="2" t="s">
        <v>15004</v>
      </c>
      <c r="I2242" s="2">
        <v>82342</v>
      </c>
      <c r="J2242" s="2" t="s">
        <v>15005</v>
      </c>
      <c r="K2242" s="2">
        <v>74933</v>
      </c>
      <c r="L2242" s="2"/>
      <c r="M2242" s="2"/>
      <c r="N2242" s="2"/>
      <c r="O2242" s="2">
        <v>52929757</v>
      </c>
      <c r="P2242" s="2"/>
      <c r="Q2242" s="2" t="s">
        <v>15006</v>
      </c>
      <c r="R2242" s="2" t="s">
        <v>15007</v>
      </c>
      <c r="S2242" s="2" t="s">
        <v>50</v>
      </c>
      <c r="T2242" s="2" t="s">
        <v>51</v>
      </c>
      <c r="U2242" s="2" t="s">
        <v>273</v>
      </c>
      <c r="V2242" s="2" t="s">
        <v>59</v>
      </c>
      <c r="W2242" s="2">
        <v>42.7</v>
      </c>
      <c r="X2242" s="2">
        <v>20</v>
      </c>
      <c r="Y2242" s="2" t="s">
        <v>118</v>
      </c>
      <c r="Z2242" s="2" t="s">
        <v>4883</v>
      </c>
      <c r="AA2242" s="2">
        <v>-1.09787492372504</v>
      </c>
      <c r="AB2242" s="2">
        <v>0.36025162086585899</v>
      </c>
      <c r="AC2242" s="2">
        <v>11541.570459541101</v>
      </c>
      <c r="AD2242" s="2">
        <v>2735.5105127523798</v>
      </c>
      <c r="AE2242" s="2">
        <v>14132.1836460347</v>
      </c>
      <c r="AF2242" s="2">
        <v>12537.3903351646</v>
      </c>
      <c r="AG2242" s="2">
        <v>12363.8568225528</v>
      </c>
      <c r="AH2242" s="2">
        <v>9538.1364092792101</v>
      </c>
      <c r="AI2242" s="2">
        <v>9730.4127695442803</v>
      </c>
      <c r="AJ2242" s="2">
        <v>10947.442774671101</v>
      </c>
      <c r="AK2242" s="2">
        <v>3184.8238203034098</v>
      </c>
      <c r="AL2242" s="2">
        <v>3721.1791833942898</v>
      </c>
      <c r="AM2242" s="2">
        <v>2130.66273690048</v>
      </c>
      <c r="AN2242" s="2">
        <v>2624.4391570653002</v>
      </c>
      <c r="AO2242" s="2">
        <v>2946.9103139303702</v>
      </c>
      <c r="AP2242" s="2">
        <v>1805.0478649204099</v>
      </c>
    </row>
    <row r="2243" spans="1:42" ht="14.5" x14ac:dyDescent="0.35">
      <c r="A2243" s="2" t="s">
        <v>15008</v>
      </c>
      <c r="B2243" s="2">
        <v>345.20587145973798</v>
      </c>
      <c r="C2243" s="2">
        <v>9.8824666666666694</v>
      </c>
      <c r="D2243" s="2" t="s">
        <v>34</v>
      </c>
      <c r="E2243" s="2" t="s">
        <v>15009</v>
      </c>
      <c r="F2243" s="2">
        <v>45034</v>
      </c>
      <c r="G2243" s="3" t="str">
        <f>HYPERLINK("http://funmeta.oebiotech.com/network/45034", "http://funmeta.oebiotech.com/network/45034")</f>
        <v>http://funmeta.oebiotech.com/network/45034</v>
      </c>
      <c r="H2243" s="2"/>
      <c r="I2243" s="2">
        <v>57861</v>
      </c>
      <c r="J2243" s="2" t="s">
        <v>15010</v>
      </c>
      <c r="K2243" s="2">
        <v>27709</v>
      </c>
      <c r="L2243" s="2" t="s">
        <v>15011</v>
      </c>
      <c r="M2243" s="2"/>
      <c r="N2243" s="2"/>
      <c r="O2243" s="2">
        <v>441835</v>
      </c>
      <c r="P2243" s="2"/>
      <c r="Q2243" s="2" t="s">
        <v>15012</v>
      </c>
      <c r="R2243" s="2" t="s">
        <v>15013</v>
      </c>
      <c r="S2243" s="2" t="s">
        <v>50</v>
      </c>
      <c r="T2243" s="2" t="s">
        <v>124</v>
      </c>
      <c r="U2243" s="2" t="s">
        <v>5245</v>
      </c>
      <c r="V2243" s="2" t="s">
        <v>59</v>
      </c>
      <c r="W2243" s="2">
        <v>45.2</v>
      </c>
      <c r="X2243" s="2">
        <v>30.9</v>
      </c>
      <c r="Y2243" s="2" t="s">
        <v>141</v>
      </c>
      <c r="Z2243" s="2" t="s">
        <v>13465</v>
      </c>
      <c r="AA2243" s="2">
        <v>-0.45374359814613802</v>
      </c>
      <c r="AB2243" s="2">
        <v>0.36000165504394599</v>
      </c>
      <c r="AC2243" s="2">
        <v>12275.118821690799</v>
      </c>
      <c r="AD2243" s="2">
        <v>645.13780429639905</v>
      </c>
      <c r="AE2243" s="2">
        <v>7014.5755869674103</v>
      </c>
      <c r="AF2243" s="2">
        <v>27878.787988080701</v>
      </c>
      <c r="AG2243" s="2">
        <v>11105.9719641755</v>
      </c>
      <c r="AH2243" s="2">
        <v>15701.938019134401</v>
      </c>
      <c r="AI2243" s="2">
        <v>6999.95472337913</v>
      </c>
      <c r="AJ2243" s="2">
        <v>4949.4846484074296</v>
      </c>
      <c r="AK2243" s="2">
        <v>406.77730908330398</v>
      </c>
      <c r="AL2243" s="2">
        <v>524.114521875935</v>
      </c>
      <c r="AM2243" s="2">
        <v>513.86862543914106</v>
      </c>
      <c r="AN2243" s="2">
        <v>754.08211930130005</v>
      </c>
      <c r="AO2243" s="2">
        <v>946.93702047753095</v>
      </c>
      <c r="AP2243" s="2">
        <v>725.04722960118204</v>
      </c>
    </row>
    <row r="2244" spans="1:42" ht="14.5" x14ac:dyDescent="0.35">
      <c r="A2244" s="2" t="s">
        <v>15014</v>
      </c>
      <c r="B2244" s="2">
        <v>779.385177943656</v>
      </c>
      <c r="C2244" s="2">
        <v>4.3640166666666698</v>
      </c>
      <c r="D2244" s="2" t="s">
        <v>70</v>
      </c>
      <c r="E2244" s="2" t="s">
        <v>15015</v>
      </c>
      <c r="F2244" s="2">
        <v>82596</v>
      </c>
      <c r="G2244" s="3" t="str">
        <f>HYPERLINK("http://funmeta.oebiotech.com/network/82596", "http://funmeta.oebiotech.com/network/82596")</f>
        <v>http://funmeta.oebiotech.com/network/82596</v>
      </c>
      <c r="H2244" s="2" t="s">
        <v>15016</v>
      </c>
      <c r="I2244" s="2"/>
      <c r="J2244" s="2"/>
      <c r="K2244" s="2"/>
      <c r="L2244" s="2"/>
      <c r="M2244" s="2"/>
      <c r="N2244" s="2"/>
      <c r="O2244" s="2"/>
      <c r="P2244" s="2"/>
      <c r="Q2244" s="2" t="s">
        <v>15017</v>
      </c>
      <c r="R2244" s="2" t="s">
        <v>15018</v>
      </c>
      <c r="S2244" s="2" t="s">
        <v>491</v>
      </c>
      <c r="T2244" s="2" t="s">
        <v>2943</v>
      </c>
      <c r="U2244" s="2" t="s">
        <v>41</v>
      </c>
      <c r="V2244" s="2" t="s">
        <v>59</v>
      </c>
      <c r="W2244" s="2">
        <v>37.299999999999997</v>
      </c>
      <c r="X2244" s="2">
        <v>0</v>
      </c>
      <c r="Y2244" s="2" t="s">
        <v>118</v>
      </c>
      <c r="Z2244" s="2" t="s">
        <v>15019</v>
      </c>
      <c r="AA2244" s="2">
        <v>-2.6963983801384099</v>
      </c>
      <c r="AB2244" s="2">
        <v>0.35998411690978499</v>
      </c>
      <c r="AC2244" s="2">
        <v>27138.462519890902</v>
      </c>
      <c r="AD2244" s="2">
        <v>16877.9356364339</v>
      </c>
      <c r="AE2244" s="2">
        <v>31192.819944554602</v>
      </c>
      <c r="AF2244" s="2">
        <v>23179.701417668399</v>
      </c>
      <c r="AG2244" s="2">
        <v>20888.237155884799</v>
      </c>
      <c r="AH2244" s="2">
        <v>27402.4056322711</v>
      </c>
      <c r="AI2244" s="2">
        <v>30195.8008126151</v>
      </c>
      <c r="AJ2244" s="2">
        <v>29971.810156351701</v>
      </c>
      <c r="AK2244" s="2">
        <v>15059.539867044299</v>
      </c>
      <c r="AL2244" s="2">
        <v>16618.258340535202</v>
      </c>
      <c r="AM2244" s="2">
        <v>17482.279089166401</v>
      </c>
      <c r="AN2244" s="2">
        <v>16791.230705389498</v>
      </c>
      <c r="AO2244" s="2">
        <v>12908.7357866654</v>
      </c>
      <c r="AP2244" s="2">
        <v>22407.5700298027</v>
      </c>
    </row>
    <row r="2245" spans="1:42" ht="14.5" x14ac:dyDescent="0.35">
      <c r="A2245" s="2" t="s">
        <v>15020</v>
      </c>
      <c r="B2245" s="2">
        <v>915.25562733191305</v>
      </c>
      <c r="C2245" s="2">
        <v>3.9323666666666699</v>
      </c>
      <c r="D2245" s="2" t="s">
        <v>70</v>
      </c>
      <c r="E2245" s="2" t="s">
        <v>15021</v>
      </c>
      <c r="F2245" s="2">
        <v>254806</v>
      </c>
      <c r="G2245" s="3" t="str">
        <f>HYPERLINK("http://funmeta.oebiotech.com/network/254806", "http://funmeta.oebiotech.com/network/254806")</f>
        <v>http://funmeta.oebiotech.com/network/254806</v>
      </c>
      <c r="H2245" s="2" t="s">
        <v>15022</v>
      </c>
      <c r="I2245" s="2"/>
      <c r="J2245" s="2"/>
      <c r="K2245" s="2"/>
      <c r="L2245" s="2"/>
      <c r="M2245" s="2"/>
      <c r="N2245" s="2"/>
      <c r="O2245" s="2">
        <v>101758855</v>
      </c>
      <c r="P2245" s="2"/>
      <c r="Q2245" s="2" t="s">
        <v>15023</v>
      </c>
      <c r="R2245" s="2" t="s">
        <v>15024</v>
      </c>
      <c r="S2245" s="2" t="s">
        <v>115</v>
      </c>
      <c r="T2245" s="2" t="s">
        <v>116</v>
      </c>
      <c r="U2245" s="2" t="s">
        <v>117</v>
      </c>
      <c r="V2245" s="2" t="s">
        <v>59</v>
      </c>
      <c r="W2245" s="2">
        <v>37.4</v>
      </c>
      <c r="X2245" s="2">
        <v>0</v>
      </c>
      <c r="Y2245" s="2" t="s">
        <v>408</v>
      </c>
      <c r="Z2245" s="2" t="s">
        <v>15025</v>
      </c>
      <c r="AA2245" s="2">
        <v>-0.94156477310938003</v>
      </c>
      <c r="AB2245" s="2">
        <v>0.35994354990634297</v>
      </c>
      <c r="AC2245" s="2">
        <v>13590.694184922801</v>
      </c>
      <c r="AD2245" s="2">
        <v>24409.870069198601</v>
      </c>
      <c r="AE2245" s="2">
        <v>17058.6406766521</v>
      </c>
      <c r="AF2245" s="2">
        <v>10437.6596216946</v>
      </c>
      <c r="AG2245" s="2">
        <v>13274.707347199799</v>
      </c>
      <c r="AH2245" s="2">
        <v>13926.2288512826</v>
      </c>
      <c r="AI2245" s="2">
        <v>12831.868398279499</v>
      </c>
      <c r="AJ2245" s="2">
        <v>14015.0602144284</v>
      </c>
      <c r="AK2245" s="2">
        <v>17200.302603950899</v>
      </c>
      <c r="AL2245" s="2">
        <v>25194.330499820699</v>
      </c>
      <c r="AM2245" s="2">
        <v>33710.275710430702</v>
      </c>
      <c r="AN2245" s="2">
        <v>22795.187135640001</v>
      </c>
      <c r="AO2245" s="2">
        <v>18633.137483768802</v>
      </c>
      <c r="AP2245" s="2">
        <v>28925.986981580299</v>
      </c>
    </row>
    <row r="2246" spans="1:42" ht="14.5" x14ac:dyDescent="0.35">
      <c r="A2246" s="2" t="s">
        <v>15026</v>
      </c>
      <c r="B2246" s="2">
        <v>937.43875349042798</v>
      </c>
      <c r="C2246" s="2">
        <v>4.5485499999999996</v>
      </c>
      <c r="D2246" s="2" t="s">
        <v>34</v>
      </c>
      <c r="E2246" s="2" t="s">
        <v>15027</v>
      </c>
      <c r="F2246" s="2">
        <v>61775</v>
      </c>
      <c r="G2246" s="3" t="str">
        <f>HYPERLINK("http://funmeta.oebiotech.com/network/61775", "http://funmeta.oebiotech.com/network/61775")</f>
        <v>http://funmeta.oebiotech.com/network/61775</v>
      </c>
      <c r="H2246" s="2" t="s">
        <v>15028</v>
      </c>
      <c r="I2246" s="2">
        <v>93091</v>
      </c>
      <c r="J2246" s="2"/>
      <c r="K2246" s="2"/>
      <c r="L2246" s="2"/>
      <c r="M2246" s="2"/>
      <c r="N2246" s="2"/>
      <c r="O2246" s="2">
        <v>5320622</v>
      </c>
      <c r="P2246" s="2" t="s">
        <v>15029</v>
      </c>
      <c r="Q2246" s="2" t="s">
        <v>15030</v>
      </c>
      <c r="R2246" s="2" t="s">
        <v>15031</v>
      </c>
      <c r="S2246" s="2" t="s">
        <v>50</v>
      </c>
      <c r="T2246" s="2" t="s">
        <v>124</v>
      </c>
      <c r="U2246" s="2" t="s">
        <v>523</v>
      </c>
      <c r="V2246" s="2" t="s">
        <v>59</v>
      </c>
      <c r="W2246" s="2">
        <v>37.299999999999997</v>
      </c>
      <c r="X2246" s="2">
        <v>0</v>
      </c>
      <c r="Y2246" s="2" t="s">
        <v>470</v>
      </c>
      <c r="Z2246" s="2" t="s">
        <v>15032</v>
      </c>
      <c r="AA2246" s="2">
        <v>-1.7466281785229001</v>
      </c>
      <c r="AB2246" s="2">
        <v>0.35986318307096699</v>
      </c>
      <c r="AC2246" s="2">
        <v>29924.361002297999</v>
      </c>
      <c r="AD2246" s="2">
        <v>41251.814487414304</v>
      </c>
      <c r="AE2246" s="2">
        <v>26694.2094022493</v>
      </c>
      <c r="AF2246" s="2">
        <v>29859.152091946198</v>
      </c>
      <c r="AG2246" s="2">
        <v>22043.337333412801</v>
      </c>
      <c r="AH2246" s="2">
        <v>27059.348816088699</v>
      </c>
      <c r="AI2246" s="2">
        <v>39645.701487425104</v>
      </c>
      <c r="AJ2246" s="2">
        <v>34244.416882665602</v>
      </c>
      <c r="AK2246" s="2">
        <v>37288.411172040498</v>
      </c>
      <c r="AL2246" s="2">
        <v>34935.980234650699</v>
      </c>
      <c r="AM2246" s="2">
        <v>45584.607021618001</v>
      </c>
      <c r="AN2246" s="2">
        <v>48573.732660555099</v>
      </c>
      <c r="AO2246" s="2">
        <v>42156.645393468498</v>
      </c>
      <c r="AP2246" s="2">
        <v>38971.510442153303</v>
      </c>
    </row>
    <row r="2247" spans="1:42" ht="14.5" x14ac:dyDescent="0.35">
      <c r="A2247" s="2" t="s">
        <v>15033</v>
      </c>
      <c r="B2247" s="2">
        <v>371.13454363413598</v>
      </c>
      <c r="C2247" s="2">
        <v>5.2831999999999999</v>
      </c>
      <c r="D2247" s="2" t="s">
        <v>70</v>
      </c>
      <c r="E2247" s="2" t="s">
        <v>15034</v>
      </c>
      <c r="F2247" s="2">
        <v>62522</v>
      </c>
      <c r="G2247" s="3" t="str">
        <f>HYPERLINK("http://funmeta.oebiotech.com/network/62522", "http://funmeta.oebiotech.com/network/62522")</f>
        <v>http://funmeta.oebiotech.com/network/62522</v>
      </c>
      <c r="H2247" s="2" t="s">
        <v>15035</v>
      </c>
      <c r="I2247" s="2">
        <v>93825</v>
      </c>
      <c r="J2247" s="2"/>
      <c r="K2247" s="2">
        <v>168372</v>
      </c>
      <c r="L2247" s="2"/>
      <c r="M2247" s="2"/>
      <c r="N2247" s="2"/>
      <c r="O2247" s="2">
        <v>131752581</v>
      </c>
      <c r="P2247" s="2" t="s">
        <v>15036</v>
      </c>
      <c r="Q2247" s="2" t="s">
        <v>15037</v>
      </c>
      <c r="R2247" s="2" t="s">
        <v>15038</v>
      </c>
      <c r="S2247" s="2" t="s">
        <v>79</v>
      </c>
      <c r="T2247" s="2" t="s">
        <v>80</v>
      </c>
      <c r="U2247" s="2" t="s">
        <v>81</v>
      </c>
      <c r="V2247" s="2" t="s">
        <v>42</v>
      </c>
      <c r="W2247" s="2">
        <v>54</v>
      </c>
      <c r="X2247" s="2">
        <v>75.3</v>
      </c>
      <c r="Y2247" s="2" t="s">
        <v>286</v>
      </c>
      <c r="Z2247" s="2" t="s">
        <v>7973</v>
      </c>
      <c r="AA2247" s="2">
        <v>-0.57042624911738105</v>
      </c>
      <c r="AB2247" s="2">
        <v>0.35984446844586998</v>
      </c>
      <c r="AC2247" s="2">
        <v>52954.093119741803</v>
      </c>
      <c r="AD2247" s="2">
        <v>43603.299517600397</v>
      </c>
      <c r="AE2247" s="2">
        <v>54485.117014752701</v>
      </c>
      <c r="AF2247" s="2">
        <v>51097.873906589797</v>
      </c>
      <c r="AG2247" s="2">
        <v>53598.485765912097</v>
      </c>
      <c r="AH2247" s="2">
        <v>49347.663534322099</v>
      </c>
      <c r="AI2247" s="2">
        <v>53156.687832646603</v>
      </c>
      <c r="AJ2247" s="2">
        <v>56038.730664227704</v>
      </c>
      <c r="AK2247" s="2">
        <v>40849.034220481197</v>
      </c>
      <c r="AL2247" s="2">
        <v>43846.465477650803</v>
      </c>
      <c r="AM2247" s="2">
        <v>47592.528757157997</v>
      </c>
      <c r="AN2247" s="2">
        <v>42776.874118334097</v>
      </c>
      <c r="AO2247" s="2">
        <v>44099.631079580096</v>
      </c>
      <c r="AP2247" s="2">
        <v>42455.263452398103</v>
      </c>
    </row>
    <row r="2248" spans="1:42" ht="14.5" x14ac:dyDescent="0.35">
      <c r="A2248" s="2" t="s">
        <v>15039</v>
      </c>
      <c r="B2248" s="2">
        <v>591.11430402639201</v>
      </c>
      <c r="C2248" s="2">
        <v>3.8614999999999999</v>
      </c>
      <c r="D2248" s="2" t="s">
        <v>70</v>
      </c>
      <c r="E2248" s="2" t="s">
        <v>15040</v>
      </c>
      <c r="F2248" s="2">
        <v>58699</v>
      </c>
      <c r="G2248" s="3" t="str">
        <f>HYPERLINK("http://funmeta.oebiotech.com/network/58699", "http://funmeta.oebiotech.com/network/58699")</f>
        <v>http://funmeta.oebiotech.com/network/58699</v>
      </c>
      <c r="H2248" s="2" t="s">
        <v>15041</v>
      </c>
      <c r="I2248" s="2"/>
      <c r="J2248" s="2"/>
      <c r="K2248" s="2"/>
      <c r="L2248" s="2"/>
      <c r="M2248" s="2"/>
      <c r="N2248" s="2"/>
      <c r="O2248" s="2">
        <v>13889541</v>
      </c>
      <c r="P2248" s="2" t="s">
        <v>15042</v>
      </c>
      <c r="Q2248" s="2" t="s">
        <v>15043</v>
      </c>
      <c r="R2248" s="2" t="s">
        <v>15044</v>
      </c>
      <c r="S2248" s="2" t="s">
        <v>89</v>
      </c>
      <c r="T2248" s="2" t="s">
        <v>90</v>
      </c>
      <c r="U2248" s="2" t="s">
        <v>11598</v>
      </c>
      <c r="V2248" s="2" t="s">
        <v>59</v>
      </c>
      <c r="W2248" s="2">
        <v>38.1</v>
      </c>
      <c r="X2248" s="2">
        <v>0</v>
      </c>
      <c r="Y2248" s="2" t="s">
        <v>118</v>
      </c>
      <c r="Z2248" s="2" t="s">
        <v>15045</v>
      </c>
      <c r="AA2248" s="2">
        <v>-0.186390009142227</v>
      </c>
      <c r="AB2248" s="2">
        <v>0.359265649624467</v>
      </c>
      <c r="AC2248" s="2">
        <v>15695.622711313201</v>
      </c>
      <c r="AD2248" s="2">
        <v>24842.259755302799</v>
      </c>
      <c r="AE2248" s="2">
        <v>14071.3180029215</v>
      </c>
      <c r="AF2248" s="2">
        <v>15446.2717163862</v>
      </c>
      <c r="AG2248" s="2">
        <v>16641.049557612099</v>
      </c>
      <c r="AH2248" s="2">
        <v>17578.8672650429</v>
      </c>
      <c r="AI2248" s="2">
        <v>13774.595261709101</v>
      </c>
      <c r="AJ2248" s="2">
        <v>16661.6344642074</v>
      </c>
      <c r="AK2248" s="2">
        <v>25335.258819181901</v>
      </c>
      <c r="AL2248" s="2">
        <v>25736.816344590101</v>
      </c>
      <c r="AM2248" s="2">
        <v>28901.528385109501</v>
      </c>
      <c r="AN2248" s="2">
        <v>23731.885360190801</v>
      </c>
      <c r="AO2248" s="2">
        <v>23180.225630646401</v>
      </c>
      <c r="AP2248" s="2">
        <v>22167.8439920981</v>
      </c>
    </row>
    <row r="2249" spans="1:42" ht="14.5" x14ac:dyDescent="0.35">
      <c r="A2249" s="2" t="s">
        <v>15046</v>
      </c>
      <c r="B2249" s="2">
        <v>339.05240117828703</v>
      </c>
      <c r="C2249" s="2">
        <v>4.5485499999999996</v>
      </c>
      <c r="D2249" s="2" t="s">
        <v>34</v>
      </c>
      <c r="E2249" s="2" t="s">
        <v>15047</v>
      </c>
      <c r="F2249" s="2">
        <v>266547</v>
      </c>
      <c r="G2249" s="3" t="str">
        <f>HYPERLINK("http://funmeta.oebiotech.com/network/266547", "http://funmeta.oebiotech.com/network/266547")</f>
        <v>http://funmeta.oebiotech.com/network/266547</v>
      </c>
      <c r="H2249" s="2"/>
      <c r="I2249" s="2">
        <v>43539</v>
      </c>
      <c r="J2249" s="2"/>
      <c r="K2249" s="2"/>
      <c r="L2249" s="2"/>
      <c r="M2249" s="2"/>
      <c r="N2249" s="2"/>
      <c r="O2249" s="2">
        <v>16667734</v>
      </c>
      <c r="P2249" s="2"/>
      <c r="Q2249" s="2" t="s">
        <v>15048</v>
      </c>
      <c r="R2249" s="2" t="s">
        <v>15049</v>
      </c>
      <c r="S2249" s="2" t="s">
        <v>148</v>
      </c>
      <c r="T2249" s="2" t="s">
        <v>149</v>
      </c>
      <c r="U2249" s="2" t="s">
        <v>1593</v>
      </c>
      <c r="V2249" s="2" t="s">
        <v>59</v>
      </c>
      <c r="W2249" s="2">
        <v>36.200000000000003</v>
      </c>
      <c r="X2249" s="2">
        <v>0</v>
      </c>
      <c r="Y2249" s="2" t="s">
        <v>141</v>
      </c>
      <c r="Z2249" s="2" t="s">
        <v>15050</v>
      </c>
      <c r="AA2249" s="2">
        <v>6.9430266234698701</v>
      </c>
      <c r="AB2249" s="2">
        <v>0.359245252005368</v>
      </c>
      <c r="AC2249" s="2">
        <v>14021.106605896301</v>
      </c>
      <c r="AD2249" s="2">
        <v>22903.784625102398</v>
      </c>
      <c r="AE2249" s="2">
        <v>13449.582425069901</v>
      </c>
      <c r="AF2249" s="2">
        <v>14048.793554452001</v>
      </c>
      <c r="AG2249" s="2">
        <v>14704.6848261498</v>
      </c>
      <c r="AH2249" s="2">
        <v>14226.264423209999</v>
      </c>
      <c r="AI2249" s="2">
        <v>13419.1653269612</v>
      </c>
      <c r="AJ2249" s="2">
        <v>14278.1490795352</v>
      </c>
      <c r="AK2249" s="2">
        <v>22013.4850899864</v>
      </c>
      <c r="AL2249" s="2">
        <v>25149.467436945699</v>
      </c>
      <c r="AM2249" s="2">
        <v>22837.394197074402</v>
      </c>
      <c r="AN2249" s="2">
        <v>20408.172226406299</v>
      </c>
      <c r="AO2249" s="2">
        <v>25541.630429307901</v>
      </c>
      <c r="AP2249" s="2">
        <v>21472.558370893999</v>
      </c>
    </row>
    <row r="2250" spans="1:42" ht="14.5" x14ac:dyDescent="0.35">
      <c r="A2250" s="2" t="s">
        <v>15051</v>
      </c>
      <c r="B2250" s="2">
        <v>577.28668879466704</v>
      </c>
      <c r="C2250" s="2">
        <v>3.8059833333333302</v>
      </c>
      <c r="D2250" s="2" t="s">
        <v>70</v>
      </c>
      <c r="E2250" s="2" t="s">
        <v>15052</v>
      </c>
      <c r="F2250" s="2">
        <v>210407</v>
      </c>
      <c r="G2250" s="3" t="str">
        <f>HYPERLINK("http://funmeta.oebiotech.com/network/210407", "http://funmeta.oebiotech.com/network/210407")</f>
        <v>http://funmeta.oebiotech.com/network/210407</v>
      </c>
      <c r="H2250" s="2" t="s">
        <v>15053</v>
      </c>
      <c r="I2250" s="2"/>
      <c r="J2250" s="2"/>
      <c r="K2250" s="2"/>
      <c r="L2250" s="2"/>
      <c r="M2250" s="2"/>
      <c r="N2250" s="2"/>
      <c r="O2250" s="2">
        <v>124167</v>
      </c>
      <c r="P2250" s="2"/>
      <c r="Q2250" s="2" t="s">
        <v>15054</v>
      </c>
      <c r="R2250" s="2" t="s">
        <v>15055</v>
      </c>
      <c r="S2250" s="2" t="s">
        <v>41</v>
      </c>
      <c r="T2250" s="2" t="s">
        <v>41</v>
      </c>
      <c r="U2250" s="2" t="s">
        <v>41</v>
      </c>
      <c r="V2250" s="2" t="s">
        <v>59</v>
      </c>
      <c r="W2250" s="2">
        <v>38.799999999999997</v>
      </c>
      <c r="X2250" s="2">
        <v>0</v>
      </c>
      <c r="Y2250" s="2" t="s">
        <v>560</v>
      </c>
      <c r="Z2250" s="2" t="s">
        <v>15056</v>
      </c>
      <c r="AA2250" s="2">
        <v>1.1011008692128501</v>
      </c>
      <c r="AB2250" s="2">
        <v>0.35921542186116301</v>
      </c>
      <c r="AC2250" s="2">
        <v>81135.170825359106</v>
      </c>
      <c r="AD2250" s="2">
        <v>70520.474042107002</v>
      </c>
      <c r="AE2250" s="2">
        <v>79053.041914458197</v>
      </c>
      <c r="AF2250" s="2">
        <v>78928.294788132</v>
      </c>
      <c r="AG2250" s="2">
        <v>76191.471981794006</v>
      </c>
      <c r="AH2250" s="2">
        <v>87495.849581361894</v>
      </c>
      <c r="AI2250" s="2">
        <v>85530.034067338798</v>
      </c>
      <c r="AJ2250" s="2">
        <v>79612.332619069595</v>
      </c>
      <c r="AK2250" s="2">
        <v>66500.325309929496</v>
      </c>
      <c r="AL2250" s="2">
        <v>75755.301638792298</v>
      </c>
      <c r="AM2250" s="2">
        <v>75831.442742309897</v>
      </c>
      <c r="AN2250" s="2">
        <v>68477.899254521501</v>
      </c>
      <c r="AO2250" s="2">
        <v>69649.835560998195</v>
      </c>
      <c r="AP2250" s="2">
        <v>66908.039746090406</v>
      </c>
    </row>
    <row r="2251" spans="1:42" ht="14.5" x14ac:dyDescent="0.35">
      <c r="A2251" s="2" t="s">
        <v>15057</v>
      </c>
      <c r="B2251" s="2">
        <v>627.46137936619198</v>
      </c>
      <c r="C2251" s="2">
        <v>11.232416666666699</v>
      </c>
      <c r="D2251" s="2" t="s">
        <v>34</v>
      </c>
      <c r="E2251" s="2" t="s">
        <v>15058</v>
      </c>
      <c r="F2251" s="2">
        <v>136105</v>
      </c>
      <c r="G2251" s="3" t="str">
        <f>HYPERLINK("http://funmeta.oebiotech.com/network/136105", "http://funmeta.oebiotech.com/network/136105")</f>
        <v>http://funmeta.oebiotech.com/network/136105</v>
      </c>
      <c r="H2251" s="2" t="s">
        <v>15059</v>
      </c>
      <c r="I2251" s="2"/>
      <c r="J2251" s="2"/>
      <c r="K2251" s="2"/>
      <c r="L2251" s="2"/>
      <c r="M2251" s="2"/>
      <c r="N2251" s="2"/>
      <c r="O2251" s="2"/>
      <c r="P2251" s="2"/>
      <c r="Q2251" s="2" t="s">
        <v>15060</v>
      </c>
      <c r="R2251" s="2" t="s">
        <v>15061</v>
      </c>
      <c r="S2251" s="2" t="s">
        <v>50</v>
      </c>
      <c r="T2251" s="2" t="s">
        <v>229</v>
      </c>
      <c r="U2251" s="2" t="s">
        <v>433</v>
      </c>
      <c r="V2251" s="2" t="s">
        <v>59</v>
      </c>
      <c r="W2251" s="2">
        <v>38.799999999999997</v>
      </c>
      <c r="X2251" s="2">
        <v>0</v>
      </c>
      <c r="Y2251" s="2" t="s">
        <v>141</v>
      </c>
      <c r="Z2251" s="2" t="s">
        <v>15062</v>
      </c>
      <c r="AA2251" s="2">
        <v>-0.83289711161568802</v>
      </c>
      <c r="AB2251" s="2">
        <v>0.35914499190557098</v>
      </c>
      <c r="AC2251" s="2">
        <v>25651.5195160843</v>
      </c>
      <c r="AD2251" s="2">
        <v>16572.2612521722</v>
      </c>
      <c r="AE2251" s="2">
        <v>24272.017419825301</v>
      </c>
      <c r="AF2251" s="2">
        <v>22969.2814960059</v>
      </c>
      <c r="AG2251" s="2">
        <v>28878.6860828604</v>
      </c>
      <c r="AH2251" s="2">
        <v>27026.395129816199</v>
      </c>
      <c r="AI2251" s="2">
        <v>26524.342081373801</v>
      </c>
      <c r="AJ2251" s="2">
        <v>24238.394886623999</v>
      </c>
      <c r="AK2251" s="2">
        <v>14325.963138261501</v>
      </c>
      <c r="AL2251" s="2">
        <v>15764.301459652101</v>
      </c>
      <c r="AM2251" s="2">
        <v>16006.934305168899</v>
      </c>
      <c r="AN2251" s="2">
        <v>18459.095372486001</v>
      </c>
      <c r="AO2251" s="2">
        <v>16975.3346454846</v>
      </c>
      <c r="AP2251" s="2">
        <v>17901.938591980001</v>
      </c>
    </row>
    <row r="2252" spans="1:42" ht="14.5" x14ac:dyDescent="0.35">
      <c r="A2252" s="2" t="s">
        <v>15063</v>
      </c>
      <c r="B2252" s="2">
        <v>603.09031881574197</v>
      </c>
      <c r="C2252" s="2">
        <v>3.9663166666666698</v>
      </c>
      <c r="D2252" s="2" t="s">
        <v>34</v>
      </c>
      <c r="E2252" s="2" t="s">
        <v>15064</v>
      </c>
      <c r="F2252" s="2">
        <v>266997</v>
      </c>
      <c r="G2252" s="3" t="str">
        <f>HYPERLINK("http://funmeta.oebiotech.com/network/266997", "http://funmeta.oebiotech.com/network/266997")</f>
        <v>http://funmeta.oebiotech.com/network/266997</v>
      </c>
      <c r="H2252" s="2" t="s">
        <v>15065</v>
      </c>
      <c r="I2252" s="2">
        <v>44483</v>
      </c>
      <c r="J2252" s="2"/>
      <c r="K2252" s="2"/>
      <c r="L2252" s="2"/>
      <c r="M2252" s="2"/>
      <c r="N2252" s="2"/>
      <c r="O2252" s="2">
        <v>22833651</v>
      </c>
      <c r="P2252" s="2" t="s">
        <v>15066</v>
      </c>
      <c r="Q2252" s="2" t="s">
        <v>15067</v>
      </c>
      <c r="R2252" s="2" t="s">
        <v>15068</v>
      </c>
      <c r="S2252" s="2" t="s">
        <v>115</v>
      </c>
      <c r="T2252" s="2" t="s">
        <v>139</v>
      </c>
      <c r="U2252" s="2" t="s">
        <v>1437</v>
      </c>
      <c r="V2252" s="2" t="s">
        <v>59</v>
      </c>
      <c r="W2252" s="2">
        <v>38.6</v>
      </c>
      <c r="X2252" s="2">
        <v>0</v>
      </c>
      <c r="Y2252" s="2" t="s">
        <v>340</v>
      </c>
      <c r="Z2252" s="2" t="s">
        <v>10227</v>
      </c>
      <c r="AA2252" s="2">
        <v>0.68163994077198897</v>
      </c>
      <c r="AB2252" s="2">
        <v>0.358987561482282</v>
      </c>
      <c r="AC2252" s="2">
        <v>19257.546274773398</v>
      </c>
      <c r="AD2252" s="2">
        <v>29233.447590518201</v>
      </c>
      <c r="AE2252" s="2">
        <v>16807.638659191602</v>
      </c>
      <c r="AF2252" s="2">
        <v>23706.185542618201</v>
      </c>
      <c r="AG2252" s="2">
        <v>19175.3375030239</v>
      </c>
      <c r="AH2252" s="2">
        <v>17233.708283732602</v>
      </c>
      <c r="AI2252" s="2">
        <v>21903.568811227298</v>
      </c>
      <c r="AJ2252" s="2">
        <v>16718.838848846801</v>
      </c>
      <c r="AK2252" s="2">
        <v>36104.362933437202</v>
      </c>
      <c r="AL2252" s="2">
        <v>25107.354558479801</v>
      </c>
      <c r="AM2252" s="2">
        <v>30672.984744539601</v>
      </c>
      <c r="AN2252" s="2">
        <v>28196.850162092302</v>
      </c>
      <c r="AO2252" s="2">
        <v>26385.168178301301</v>
      </c>
      <c r="AP2252" s="2">
        <v>28933.964966259198</v>
      </c>
    </row>
    <row r="2253" spans="1:42" ht="14.5" x14ac:dyDescent="0.35">
      <c r="A2253" s="2" t="s">
        <v>15069</v>
      </c>
      <c r="B2253" s="2">
        <v>543.24465103419595</v>
      </c>
      <c r="C2253" s="2">
        <v>5.1153166666666703</v>
      </c>
      <c r="D2253" s="2" t="s">
        <v>70</v>
      </c>
      <c r="E2253" s="2" t="s">
        <v>15070</v>
      </c>
      <c r="F2253" s="2">
        <v>2948</v>
      </c>
      <c r="G2253" s="3" t="str">
        <f>HYPERLINK("http://funmeta.oebiotech.com/network/2948", "http://funmeta.oebiotech.com/network/2948")</f>
        <v>http://funmeta.oebiotech.com/network/2948</v>
      </c>
      <c r="H2253" s="2"/>
      <c r="I2253" s="2"/>
      <c r="J2253" s="2" t="s">
        <v>15071</v>
      </c>
      <c r="K2253" s="2"/>
      <c r="L2253" s="2"/>
      <c r="M2253" s="2"/>
      <c r="N2253" s="2"/>
      <c r="O2253" s="2">
        <v>139589570</v>
      </c>
      <c r="P2253" s="2"/>
      <c r="Q2253" s="2" t="s">
        <v>15072</v>
      </c>
      <c r="R2253" s="2" t="s">
        <v>15073</v>
      </c>
      <c r="S2253" s="2" t="s">
        <v>89</v>
      </c>
      <c r="T2253" s="2" t="s">
        <v>90</v>
      </c>
      <c r="U2253" s="2" t="s">
        <v>91</v>
      </c>
      <c r="V2253" s="2" t="s">
        <v>59</v>
      </c>
      <c r="W2253" s="2">
        <v>38.299999999999997</v>
      </c>
      <c r="X2253" s="2">
        <v>0</v>
      </c>
      <c r="Y2253" s="2" t="s">
        <v>560</v>
      </c>
      <c r="Z2253" s="2" t="s">
        <v>15074</v>
      </c>
      <c r="AA2253" s="2">
        <v>-9.0493606439888505E-2</v>
      </c>
      <c r="AB2253" s="2">
        <v>0.358935622219274</v>
      </c>
      <c r="AC2253" s="2">
        <v>23715.339134888702</v>
      </c>
      <c r="AD2253" s="2">
        <v>14320.088458341201</v>
      </c>
      <c r="AE2253" s="2">
        <v>25164.0256127801</v>
      </c>
      <c r="AF2253" s="2">
        <v>19751.507821277799</v>
      </c>
      <c r="AG2253" s="2">
        <v>27411.0777100714</v>
      </c>
      <c r="AH2253" s="2">
        <v>24466.973736299198</v>
      </c>
      <c r="AI2253" s="2">
        <v>23422.3453940236</v>
      </c>
      <c r="AJ2253" s="2">
        <v>22076.104534880302</v>
      </c>
      <c r="AK2253" s="2">
        <v>17307.594565188301</v>
      </c>
      <c r="AL2253" s="2">
        <v>14933.0466269342</v>
      </c>
      <c r="AM2253" s="2">
        <v>12535.2672755853</v>
      </c>
      <c r="AN2253" s="2">
        <v>14575.7444291306</v>
      </c>
      <c r="AO2253" s="2">
        <v>10598.9685401723</v>
      </c>
      <c r="AP2253" s="2">
        <v>15969.9093130366</v>
      </c>
    </row>
    <row r="2254" spans="1:42" ht="14.5" x14ac:dyDescent="0.35">
      <c r="A2254" s="2" t="s">
        <v>15075</v>
      </c>
      <c r="B2254" s="2">
        <v>521.11214553498905</v>
      </c>
      <c r="C2254" s="2">
        <v>2.1595499999999999</v>
      </c>
      <c r="D2254" s="2" t="s">
        <v>70</v>
      </c>
      <c r="E2254" s="2" t="s">
        <v>15076</v>
      </c>
      <c r="F2254" s="2">
        <v>47619</v>
      </c>
      <c r="G2254" s="3" t="str">
        <f>HYPERLINK("http://funmeta.oebiotech.com/network/47619", "http://funmeta.oebiotech.com/network/47619")</f>
        <v>http://funmeta.oebiotech.com/network/47619</v>
      </c>
      <c r="H2254" s="2" t="s">
        <v>15077</v>
      </c>
      <c r="I2254" s="2">
        <v>6284</v>
      </c>
      <c r="J2254" s="2"/>
      <c r="K2254" s="2">
        <v>28055</v>
      </c>
      <c r="L2254" s="2" t="s">
        <v>15078</v>
      </c>
      <c r="M2254" s="2" t="s">
        <v>3346</v>
      </c>
      <c r="N2254" s="2" t="s">
        <v>3347</v>
      </c>
      <c r="O2254" s="2">
        <v>220</v>
      </c>
      <c r="P2254" s="2" t="s">
        <v>15079</v>
      </c>
      <c r="Q2254" s="2" t="s">
        <v>15080</v>
      </c>
      <c r="R2254" s="2" t="s">
        <v>15081</v>
      </c>
      <c r="S2254" s="2" t="s">
        <v>89</v>
      </c>
      <c r="T2254" s="2" t="s">
        <v>15082</v>
      </c>
      <c r="U2254" s="2" t="s">
        <v>15083</v>
      </c>
      <c r="V2254" s="2" t="s">
        <v>59</v>
      </c>
      <c r="W2254" s="2">
        <v>38.1</v>
      </c>
      <c r="X2254" s="2">
        <v>0</v>
      </c>
      <c r="Y2254" s="2" t="s">
        <v>560</v>
      </c>
      <c r="Z2254" s="2" t="s">
        <v>15084</v>
      </c>
      <c r="AA2254" s="2">
        <v>3.2941878478517301</v>
      </c>
      <c r="AB2254" s="2">
        <v>0.35853219820396398</v>
      </c>
      <c r="AC2254" s="2">
        <v>7368.5794170686804</v>
      </c>
      <c r="AD2254" s="2">
        <v>16046.540268004401</v>
      </c>
      <c r="AE2254" s="2">
        <v>6139.3904445919998</v>
      </c>
      <c r="AF2254" s="2">
        <v>6826.6062037496904</v>
      </c>
      <c r="AG2254" s="2">
        <v>8225.4229751100702</v>
      </c>
      <c r="AH2254" s="2">
        <v>6960.9038502431804</v>
      </c>
      <c r="AI2254" s="2">
        <v>7092.2843021353101</v>
      </c>
      <c r="AJ2254" s="2">
        <v>8966.8687265818498</v>
      </c>
      <c r="AK2254" s="2">
        <v>14541.0244608799</v>
      </c>
      <c r="AL2254" s="2">
        <v>16394.5112836974</v>
      </c>
      <c r="AM2254" s="2">
        <v>14543.4372060314</v>
      </c>
      <c r="AN2254" s="2">
        <v>17456.034952155002</v>
      </c>
      <c r="AO2254" s="2">
        <v>17235.24235511</v>
      </c>
      <c r="AP2254" s="2">
        <v>16108.991350153001</v>
      </c>
    </row>
    <row r="2255" spans="1:42" ht="14.5" x14ac:dyDescent="0.35">
      <c r="A2255" s="2" t="s">
        <v>15085</v>
      </c>
      <c r="B2255" s="2">
        <v>375.25021544151701</v>
      </c>
      <c r="C2255" s="2">
        <v>11.3656166666667</v>
      </c>
      <c r="D2255" s="2" t="s">
        <v>34</v>
      </c>
      <c r="E2255" s="2" t="s">
        <v>15086</v>
      </c>
      <c r="F2255" s="2">
        <v>6424</v>
      </c>
      <c r="G2255" s="3" t="str">
        <f>HYPERLINK("http://funmeta.oebiotech.com/network/6424", "http://funmeta.oebiotech.com/network/6424")</f>
        <v>http://funmeta.oebiotech.com/network/6424</v>
      </c>
      <c r="H2255" s="2"/>
      <c r="I2255" s="2"/>
      <c r="J2255" s="2" t="s">
        <v>15087</v>
      </c>
      <c r="K2255" s="2"/>
      <c r="L2255" s="2"/>
      <c r="M2255" s="2"/>
      <c r="N2255" s="2"/>
      <c r="O2255" s="2"/>
      <c r="P2255" s="2"/>
      <c r="Q2255" s="2" t="s">
        <v>15088</v>
      </c>
      <c r="R2255" s="2" t="s">
        <v>15089</v>
      </c>
      <c r="S2255" s="2" t="s">
        <v>50</v>
      </c>
      <c r="T2255" s="2" t="s">
        <v>229</v>
      </c>
      <c r="U2255" s="2" t="s">
        <v>1283</v>
      </c>
      <c r="V2255" s="2" t="s">
        <v>59</v>
      </c>
      <c r="W2255" s="2">
        <v>39.4</v>
      </c>
      <c r="X2255" s="2">
        <v>2.2400000000000002</v>
      </c>
      <c r="Y2255" s="2" t="s">
        <v>323</v>
      </c>
      <c r="Z2255" s="2" t="s">
        <v>9698</v>
      </c>
      <c r="AA2255" s="2">
        <v>-1.0357969533974201</v>
      </c>
      <c r="AB2255" s="2">
        <v>0.35830316345117202</v>
      </c>
      <c r="AC2255" s="2">
        <v>61144.7337484374</v>
      </c>
      <c r="AD2255" s="2">
        <v>39514.431661280702</v>
      </c>
      <c r="AE2255" s="2">
        <v>36502.867237362298</v>
      </c>
      <c r="AF2255" s="2">
        <v>47492.958270512099</v>
      </c>
      <c r="AG2255" s="2">
        <v>46579.169733716102</v>
      </c>
      <c r="AH2255" s="2">
        <v>139039.98125007699</v>
      </c>
      <c r="AI2255" s="2">
        <v>47038.000337716803</v>
      </c>
      <c r="AJ2255" s="2">
        <v>50215.4256612401</v>
      </c>
      <c r="AK2255" s="2">
        <v>24149.470663048702</v>
      </c>
      <c r="AL2255" s="2">
        <v>37672.975651324399</v>
      </c>
      <c r="AM2255" s="2">
        <v>39866.9735853987</v>
      </c>
      <c r="AN2255" s="2">
        <v>42831.957316213302</v>
      </c>
      <c r="AO2255" s="2">
        <v>50446.729922646598</v>
      </c>
      <c r="AP2255" s="2">
        <v>42118.482829052497</v>
      </c>
    </row>
    <row r="2256" spans="1:42" ht="14.5" x14ac:dyDescent="0.35">
      <c r="A2256" s="2" t="s">
        <v>15090</v>
      </c>
      <c r="B2256" s="2">
        <v>749.47727272676298</v>
      </c>
      <c r="C2256" s="2">
        <v>13.943949999999999</v>
      </c>
      <c r="D2256" s="2" t="s">
        <v>34</v>
      </c>
      <c r="E2256" s="2" t="s">
        <v>15091</v>
      </c>
      <c r="F2256" s="2">
        <v>22858</v>
      </c>
      <c r="G2256" s="3" t="str">
        <f>HYPERLINK("http://funmeta.oebiotech.com/network/22858", "http://funmeta.oebiotech.com/network/22858")</f>
        <v>http://funmeta.oebiotech.com/network/22858</v>
      </c>
      <c r="H2256" s="2" t="s">
        <v>15092</v>
      </c>
      <c r="I2256" s="2">
        <v>61937</v>
      </c>
      <c r="J2256" s="2" t="s">
        <v>15093</v>
      </c>
      <c r="K2256" s="2"/>
      <c r="L2256" s="2"/>
      <c r="M2256" s="2"/>
      <c r="N2256" s="2"/>
      <c r="O2256" s="2">
        <v>52926645</v>
      </c>
      <c r="P2256" s="2"/>
      <c r="Q2256" s="2" t="s">
        <v>15094</v>
      </c>
      <c r="R2256" s="2" t="s">
        <v>15095</v>
      </c>
      <c r="S2256" s="2" t="s">
        <v>50</v>
      </c>
      <c r="T2256" s="2" t="s">
        <v>51</v>
      </c>
      <c r="U2256" s="2" t="s">
        <v>738</v>
      </c>
      <c r="V2256" s="2" t="s">
        <v>59</v>
      </c>
      <c r="W2256" s="2">
        <v>37.9</v>
      </c>
      <c r="X2256" s="2">
        <v>0</v>
      </c>
      <c r="Y2256" s="2" t="s">
        <v>141</v>
      </c>
      <c r="Z2256" s="2" t="s">
        <v>15096</v>
      </c>
      <c r="AA2256" s="2">
        <v>2.7083267613784199</v>
      </c>
      <c r="AB2256" s="2">
        <v>0.358146691221087</v>
      </c>
      <c r="AC2256" s="2">
        <v>14412.5053919607</v>
      </c>
      <c r="AD2256" s="2">
        <v>5718.1707317567698</v>
      </c>
      <c r="AE2256" s="2">
        <v>12795.8250552395</v>
      </c>
      <c r="AF2256" s="2">
        <v>13597.1154738966</v>
      </c>
      <c r="AG2256" s="2">
        <v>15370.5347612651</v>
      </c>
      <c r="AH2256" s="2">
        <v>15467.490209731999</v>
      </c>
      <c r="AI2256" s="2">
        <v>14169.734200938499</v>
      </c>
      <c r="AJ2256" s="2">
        <v>15074.3326506925</v>
      </c>
      <c r="AK2256" s="2">
        <v>5307.2015770457801</v>
      </c>
      <c r="AL2256" s="2">
        <v>5089.1961600267296</v>
      </c>
      <c r="AM2256" s="2">
        <v>3573.75565947123</v>
      </c>
      <c r="AN2256" s="2">
        <v>6048.4933573400904</v>
      </c>
      <c r="AO2256" s="2">
        <v>7039.5125967977201</v>
      </c>
      <c r="AP2256" s="2">
        <v>7250.8650398590598</v>
      </c>
    </row>
    <row r="2257" spans="1:42" ht="14.5" x14ac:dyDescent="0.35">
      <c r="A2257" s="2" t="s">
        <v>15097</v>
      </c>
      <c r="B2257" s="2">
        <v>507.207739500738</v>
      </c>
      <c r="C2257" s="2">
        <v>5.9542333333333302</v>
      </c>
      <c r="D2257" s="2" t="s">
        <v>70</v>
      </c>
      <c r="E2257" s="2" t="s">
        <v>15098</v>
      </c>
      <c r="F2257" s="2">
        <v>61559</v>
      </c>
      <c r="G2257" s="3" t="str">
        <f>HYPERLINK("http://funmeta.oebiotech.com/network/61559", "http://funmeta.oebiotech.com/network/61559")</f>
        <v>http://funmeta.oebiotech.com/network/61559</v>
      </c>
      <c r="H2257" s="2" t="s">
        <v>15099</v>
      </c>
      <c r="I2257" s="2"/>
      <c r="J2257" s="2"/>
      <c r="K2257" s="2">
        <v>168135</v>
      </c>
      <c r="L2257" s="2"/>
      <c r="M2257" s="2"/>
      <c r="N2257" s="2"/>
      <c r="O2257" s="2">
        <v>131752310</v>
      </c>
      <c r="P2257" s="2" t="s">
        <v>15100</v>
      </c>
      <c r="Q2257" s="2" t="s">
        <v>15101</v>
      </c>
      <c r="R2257" s="2" t="s">
        <v>15102</v>
      </c>
      <c r="S2257" s="2" t="s">
        <v>50</v>
      </c>
      <c r="T2257" s="2" t="s">
        <v>106</v>
      </c>
      <c r="U2257" s="2" t="s">
        <v>41</v>
      </c>
      <c r="V2257" s="2" t="s">
        <v>59</v>
      </c>
      <c r="W2257" s="2">
        <v>39.6</v>
      </c>
      <c r="X2257" s="2">
        <v>11.6</v>
      </c>
      <c r="Y2257" s="2" t="s">
        <v>118</v>
      </c>
      <c r="Z2257" s="2" t="s">
        <v>15103</v>
      </c>
      <c r="AA2257" s="2">
        <v>-1.13195280108244</v>
      </c>
      <c r="AB2257" s="2">
        <v>0.35808102326138702</v>
      </c>
      <c r="AC2257" s="2">
        <v>3818.5325892067499</v>
      </c>
      <c r="AD2257" s="2">
        <v>12700.1437463356</v>
      </c>
      <c r="AE2257" s="2">
        <v>3800.4492145867198</v>
      </c>
      <c r="AF2257" s="2">
        <v>2479.3694031621499</v>
      </c>
      <c r="AG2257" s="2">
        <v>2330.1297672379601</v>
      </c>
      <c r="AH2257" s="2">
        <v>4721.08922421843</v>
      </c>
      <c r="AI2257" s="2">
        <v>4858.5840820775502</v>
      </c>
      <c r="AJ2257" s="2">
        <v>4721.5738439576899</v>
      </c>
      <c r="AK2257" s="2">
        <v>9852.9784394469298</v>
      </c>
      <c r="AL2257" s="2">
        <v>11652.470480328</v>
      </c>
      <c r="AM2257" s="2">
        <v>13142.092740493799</v>
      </c>
      <c r="AN2257" s="2">
        <v>11571.2534914515</v>
      </c>
      <c r="AO2257" s="2">
        <v>14341.3067793684</v>
      </c>
      <c r="AP2257" s="2">
        <v>15640.760546924799</v>
      </c>
    </row>
    <row r="2258" spans="1:42" ht="14.5" x14ac:dyDescent="0.35">
      <c r="A2258" s="2" t="s">
        <v>15104</v>
      </c>
      <c r="B2258" s="2">
        <v>435.21651510862301</v>
      </c>
      <c r="C2258" s="2">
        <v>5.6059000000000001</v>
      </c>
      <c r="D2258" s="2" t="s">
        <v>34</v>
      </c>
      <c r="E2258" s="2" t="s">
        <v>15105</v>
      </c>
      <c r="F2258" s="2">
        <v>52586</v>
      </c>
      <c r="G2258" s="3" t="str">
        <f>HYPERLINK("http://funmeta.oebiotech.com/network/52586", "http://funmeta.oebiotech.com/network/52586")</f>
        <v>http://funmeta.oebiotech.com/network/52586</v>
      </c>
      <c r="H2258" s="2" t="s">
        <v>15106</v>
      </c>
      <c r="I2258" s="2">
        <v>2736</v>
      </c>
      <c r="J2258" s="2"/>
      <c r="K2258" s="2">
        <v>5106</v>
      </c>
      <c r="L2258" s="2" t="s">
        <v>15107</v>
      </c>
      <c r="M2258" s="2"/>
      <c r="N2258" s="2"/>
      <c r="O2258" s="2">
        <v>82153</v>
      </c>
      <c r="P2258" s="2" t="s">
        <v>15108</v>
      </c>
      <c r="Q2258" s="2" t="s">
        <v>15109</v>
      </c>
      <c r="R2258" s="2" t="s">
        <v>15110</v>
      </c>
      <c r="S2258" s="2" t="s">
        <v>50</v>
      </c>
      <c r="T2258" s="2" t="s">
        <v>124</v>
      </c>
      <c r="U2258" s="2" t="s">
        <v>1136</v>
      </c>
      <c r="V2258" s="2" t="s">
        <v>59</v>
      </c>
      <c r="W2258" s="2">
        <v>38.5</v>
      </c>
      <c r="X2258" s="2">
        <v>0</v>
      </c>
      <c r="Y2258" s="2" t="s">
        <v>67</v>
      </c>
      <c r="Z2258" s="2" t="s">
        <v>15111</v>
      </c>
      <c r="AA2258" s="2">
        <v>-2.82870865675766</v>
      </c>
      <c r="AB2258" s="2">
        <v>0.357968342184114</v>
      </c>
      <c r="AC2258" s="2">
        <v>71095.749406594099</v>
      </c>
      <c r="AD2258" s="2">
        <v>82630.989330535696</v>
      </c>
      <c r="AE2258" s="2">
        <v>73596.862606306604</v>
      </c>
      <c r="AF2258" s="2">
        <v>72634.012081267705</v>
      </c>
      <c r="AG2258" s="2">
        <v>77987.180817486296</v>
      </c>
      <c r="AH2258" s="2">
        <v>62851.806838084798</v>
      </c>
      <c r="AI2258" s="2">
        <v>67569.758731865804</v>
      </c>
      <c r="AJ2258" s="2">
        <v>71934.875364553503</v>
      </c>
      <c r="AK2258" s="2">
        <v>89877.3617702997</v>
      </c>
      <c r="AL2258" s="2">
        <v>77181.956226006703</v>
      </c>
      <c r="AM2258" s="2">
        <v>91650.727795551793</v>
      </c>
      <c r="AN2258" s="2">
        <v>79198.755986752207</v>
      </c>
      <c r="AO2258" s="2">
        <v>80343.056912421205</v>
      </c>
      <c r="AP2258" s="2">
        <v>77534.077292182294</v>
      </c>
    </row>
    <row r="2259" spans="1:42" ht="14.5" x14ac:dyDescent="0.35">
      <c r="A2259" s="2" t="s">
        <v>15112</v>
      </c>
      <c r="B2259" s="2">
        <v>437.16272362421603</v>
      </c>
      <c r="C2259" s="2">
        <v>0.79598333333333304</v>
      </c>
      <c r="D2259" s="2" t="s">
        <v>34</v>
      </c>
      <c r="E2259" s="2" t="s">
        <v>15113</v>
      </c>
      <c r="F2259" s="2">
        <v>206192</v>
      </c>
      <c r="G2259" s="3" t="str">
        <f>HYPERLINK("http://funmeta.oebiotech.com/network/206192", "http://funmeta.oebiotech.com/network/206192")</f>
        <v>http://funmeta.oebiotech.com/network/206192</v>
      </c>
      <c r="H2259" s="2" t="s">
        <v>15114</v>
      </c>
      <c r="I2259" s="2"/>
      <c r="J2259" s="2"/>
      <c r="K2259" s="2"/>
      <c r="L2259" s="2"/>
      <c r="M2259" s="2"/>
      <c r="N2259" s="2"/>
      <c r="O2259" s="2">
        <v>57414794</v>
      </c>
      <c r="P2259" s="2"/>
      <c r="Q2259" s="2" t="s">
        <v>15115</v>
      </c>
      <c r="R2259" s="2" t="s">
        <v>15116</v>
      </c>
      <c r="S2259" s="2" t="s">
        <v>491</v>
      </c>
      <c r="T2259" s="2" t="s">
        <v>2238</v>
      </c>
      <c r="U2259" s="2" t="s">
        <v>15117</v>
      </c>
      <c r="V2259" s="2" t="s">
        <v>59</v>
      </c>
      <c r="W2259" s="2">
        <v>37.200000000000003</v>
      </c>
      <c r="X2259" s="2">
        <v>0</v>
      </c>
      <c r="Y2259" s="2" t="s">
        <v>43</v>
      </c>
      <c r="Z2259" s="2" t="s">
        <v>15118</v>
      </c>
      <c r="AA2259" s="2">
        <v>-0.90441621403799799</v>
      </c>
      <c r="AB2259" s="2">
        <v>0.35790827839225298</v>
      </c>
      <c r="AC2259" s="2">
        <v>35818.182045922498</v>
      </c>
      <c r="AD2259" s="2">
        <v>46153.074362827603</v>
      </c>
      <c r="AE2259" s="2">
        <v>31740.1934438852</v>
      </c>
      <c r="AF2259" s="2">
        <v>39998.649163836497</v>
      </c>
      <c r="AG2259" s="2">
        <v>35844.141631636798</v>
      </c>
      <c r="AH2259" s="2">
        <v>31407.970828872702</v>
      </c>
      <c r="AI2259" s="2">
        <v>38958.116329935598</v>
      </c>
      <c r="AJ2259" s="2">
        <v>36960.020877368101</v>
      </c>
      <c r="AK2259" s="2">
        <v>47035.988499545303</v>
      </c>
      <c r="AL2259" s="2">
        <v>54251.080607498203</v>
      </c>
      <c r="AM2259" s="2">
        <v>44108.047641694997</v>
      </c>
      <c r="AN2259" s="2">
        <v>41460.664755254002</v>
      </c>
      <c r="AO2259" s="2">
        <v>45812.961628064899</v>
      </c>
      <c r="AP2259" s="2">
        <v>44249.703044907998</v>
      </c>
    </row>
    <row r="2260" spans="1:42" ht="14.5" x14ac:dyDescent="0.35">
      <c r="A2260" s="2" t="s">
        <v>15119</v>
      </c>
      <c r="B2260" s="2">
        <v>377.17445354804602</v>
      </c>
      <c r="C2260" s="2">
        <v>5.7736666666666698</v>
      </c>
      <c r="D2260" s="2" t="s">
        <v>34</v>
      </c>
      <c r="E2260" s="2" t="s">
        <v>15120</v>
      </c>
      <c r="F2260" s="2">
        <v>52916</v>
      </c>
      <c r="G2260" s="3" t="str">
        <f>HYPERLINK("http://funmeta.oebiotech.com/network/52916", "http://funmeta.oebiotech.com/network/52916")</f>
        <v>http://funmeta.oebiotech.com/network/52916</v>
      </c>
      <c r="H2260" s="2" t="s">
        <v>15121</v>
      </c>
      <c r="I2260" s="2">
        <v>1010</v>
      </c>
      <c r="J2260" s="2"/>
      <c r="K2260" s="2">
        <v>51164</v>
      </c>
      <c r="L2260" s="2"/>
      <c r="M2260" s="2"/>
      <c r="N2260" s="2"/>
      <c r="O2260" s="2">
        <v>28864</v>
      </c>
      <c r="P2260" s="2" t="s">
        <v>15122</v>
      </c>
      <c r="Q2260" s="2" t="s">
        <v>15123</v>
      </c>
      <c r="R2260" s="2" t="s">
        <v>15124</v>
      </c>
      <c r="S2260" s="2" t="s">
        <v>491</v>
      </c>
      <c r="T2260" s="2" t="s">
        <v>1516</v>
      </c>
      <c r="U2260" s="2" t="s">
        <v>1517</v>
      </c>
      <c r="V2260" s="2" t="s">
        <v>59</v>
      </c>
      <c r="W2260" s="2">
        <v>38.5</v>
      </c>
      <c r="X2260" s="2">
        <v>0</v>
      </c>
      <c r="Y2260" s="2" t="s">
        <v>340</v>
      </c>
      <c r="Z2260" s="2" t="s">
        <v>15125</v>
      </c>
      <c r="AA2260" s="2">
        <v>1.8745578955386399</v>
      </c>
      <c r="AB2260" s="2">
        <v>0.35788692663661997</v>
      </c>
      <c r="AC2260" s="2">
        <v>8431.9728326734494</v>
      </c>
      <c r="AD2260" s="2">
        <v>17009.161980143599</v>
      </c>
      <c r="AE2260" s="2">
        <v>7397.1735744361504</v>
      </c>
      <c r="AF2260" s="2">
        <v>8736.5659504152609</v>
      </c>
      <c r="AG2260" s="2">
        <v>8616.4434854956908</v>
      </c>
      <c r="AH2260" s="2">
        <v>7961.5019412961701</v>
      </c>
      <c r="AI2260" s="2">
        <v>9101.1995086656898</v>
      </c>
      <c r="AJ2260" s="2">
        <v>8778.9525357317507</v>
      </c>
      <c r="AK2260" s="2">
        <v>16043.8627335612</v>
      </c>
      <c r="AL2260" s="2">
        <v>17361.9471384883</v>
      </c>
      <c r="AM2260" s="2">
        <v>19172.386994888198</v>
      </c>
      <c r="AN2260" s="2">
        <v>17388.0954728865</v>
      </c>
      <c r="AO2260" s="2">
        <v>16435.178509499401</v>
      </c>
      <c r="AP2260" s="2">
        <v>15653.501031538201</v>
      </c>
    </row>
    <row r="2261" spans="1:42" ht="14.5" x14ac:dyDescent="0.35">
      <c r="A2261" s="2" t="s">
        <v>15126</v>
      </c>
      <c r="B2261" s="2">
        <v>337.17951062985901</v>
      </c>
      <c r="C2261" s="2">
        <v>9.1582833333333298</v>
      </c>
      <c r="D2261" s="2" t="s">
        <v>34</v>
      </c>
      <c r="E2261" s="2" t="s">
        <v>15127</v>
      </c>
      <c r="F2261" s="2">
        <v>211805</v>
      </c>
      <c r="G2261" s="3" t="str">
        <f>HYPERLINK("http://funmeta.oebiotech.com/network/211805", "http://funmeta.oebiotech.com/network/211805")</f>
        <v>http://funmeta.oebiotech.com/network/211805</v>
      </c>
      <c r="H2261" s="2" t="s">
        <v>15128</v>
      </c>
      <c r="I2261" s="2"/>
      <c r="J2261" s="2"/>
      <c r="K2261" s="2"/>
      <c r="L2261" s="2"/>
      <c r="M2261" s="2"/>
      <c r="N2261" s="2"/>
      <c r="O2261" s="2"/>
      <c r="P2261" s="2"/>
      <c r="Q2261" s="2" t="s">
        <v>15129</v>
      </c>
      <c r="R2261" s="2" t="s">
        <v>15130</v>
      </c>
      <c r="S2261" s="2" t="s">
        <v>115</v>
      </c>
      <c r="T2261" s="2" t="s">
        <v>15131</v>
      </c>
      <c r="U2261" s="2" t="s">
        <v>15132</v>
      </c>
      <c r="V2261" s="2" t="s">
        <v>42</v>
      </c>
      <c r="W2261" s="2">
        <v>48.3</v>
      </c>
      <c r="X2261" s="2">
        <v>47.7</v>
      </c>
      <c r="Y2261" s="2" t="s">
        <v>141</v>
      </c>
      <c r="Z2261" s="2" t="s">
        <v>15133</v>
      </c>
      <c r="AA2261" s="2">
        <v>-0.876473757304294</v>
      </c>
      <c r="AB2261" s="2">
        <v>0.35758665589831601</v>
      </c>
      <c r="AC2261" s="2">
        <v>39947.873207263503</v>
      </c>
      <c r="AD2261" s="2">
        <v>31247.801944593699</v>
      </c>
      <c r="AE2261" s="2">
        <v>39885.731270946802</v>
      </c>
      <c r="AF2261" s="2">
        <v>39554.527036936903</v>
      </c>
      <c r="AG2261" s="2">
        <v>40134.415284289396</v>
      </c>
      <c r="AH2261" s="2">
        <v>40180.529893943203</v>
      </c>
      <c r="AI2261" s="2">
        <v>38050.371404839403</v>
      </c>
      <c r="AJ2261" s="2">
        <v>41881.664352625303</v>
      </c>
      <c r="AK2261" s="2">
        <v>28495.966641631301</v>
      </c>
      <c r="AL2261" s="2">
        <v>32413.273923737601</v>
      </c>
      <c r="AM2261" s="2">
        <v>32043.662658082299</v>
      </c>
      <c r="AN2261" s="2">
        <v>31414.206641496799</v>
      </c>
      <c r="AO2261" s="2">
        <v>32166.561097469101</v>
      </c>
      <c r="AP2261" s="2">
        <v>30953.140705145001</v>
      </c>
    </row>
    <row r="2262" spans="1:42" ht="14.5" x14ac:dyDescent="0.35">
      <c r="A2262" s="2" t="s">
        <v>15134</v>
      </c>
      <c r="B2262" s="2">
        <v>311.11040819686599</v>
      </c>
      <c r="C2262" s="2">
        <v>1.4964</v>
      </c>
      <c r="D2262" s="2" t="s">
        <v>34</v>
      </c>
      <c r="E2262" s="2" t="s">
        <v>15135</v>
      </c>
      <c r="F2262" s="2">
        <v>210437</v>
      </c>
      <c r="G2262" s="3" t="str">
        <f>HYPERLINK("http://funmeta.oebiotech.com/network/210437", "http://funmeta.oebiotech.com/network/210437")</f>
        <v>http://funmeta.oebiotech.com/network/210437</v>
      </c>
      <c r="H2262" s="2" t="s">
        <v>15136</v>
      </c>
      <c r="I2262" s="2">
        <v>44296</v>
      </c>
      <c r="J2262" s="2"/>
      <c r="K2262" s="2">
        <v>32019</v>
      </c>
      <c r="L2262" s="2"/>
      <c r="M2262" s="2"/>
      <c r="N2262" s="2"/>
      <c r="O2262" s="2">
        <v>4855</v>
      </c>
      <c r="P2262" s="2" t="s">
        <v>15137</v>
      </c>
      <c r="Q2262" s="2" t="s">
        <v>15138</v>
      </c>
      <c r="R2262" s="2" t="s">
        <v>15139</v>
      </c>
      <c r="S2262" s="2" t="s">
        <v>491</v>
      </c>
      <c r="T2262" s="2" t="s">
        <v>15140</v>
      </c>
      <c r="U2262" s="2" t="s">
        <v>15141</v>
      </c>
      <c r="V2262" s="2" t="s">
        <v>59</v>
      </c>
      <c r="W2262" s="2">
        <v>38.5</v>
      </c>
      <c r="X2262" s="2">
        <v>0</v>
      </c>
      <c r="Y2262" s="2" t="s">
        <v>323</v>
      </c>
      <c r="Z2262" s="2" t="s">
        <v>15142</v>
      </c>
      <c r="AA2262" s="2">
        <v>-3.6542619290078102</v>
      </c>
      <c r="AB2262" s="2">
        <v>0.35723960755463202</v>
      </c>
      <c r="AC2262" s="2">
        <v>49195.978700079198</v>
      </c>
      <c r="AD2262" s="2">
        <v>39422.193516926302</v>
      </c>
      <c r="AE2262" s="2">
        <v>48086.750111857502</v>
      </c>
      <c r="AF2262" s="2">
        <v>53848.621907655302</v>
      </c>
      <c r="AG2262" s="2">
        <v>46944.122990371798</v>
      </c>
      <c r="AH2262" s="2">
        <v>46413.268487560999</v>
      </c>
      <c r="AI2262" s="2">
        <v>54079.7233323568</v>
      </c>
      <c r="AJ2262" s="2">
        <v>45803.3853706726</v>
      </c>
      <c r="AK2262" s="2">
        <v>37681.827821370498</v>
      </c>
      <c r="AL2262" s="2">
        <v>38735.186010711703</v>
      </c>
      <c r="AM2262" s="2">
        <v>36580.793616104202</v>
      </c>
      <c r="AN2262" s="2">
        <v>40422.971995889202</v>
      </c>
      <c r="AO2262" s="2">
        <v>39703.0956104133</v>
      </c>
      <c r="AP2262" s="2">
        <v>43409.286047068897</v>
      </c>
    </row>
    <row r="2263" spans="1:42" ht="14.5" x14ac:dyDescent="0.35">
      <c r="A2263" s="2" t="s">
        <v>15143</v>
      </c>
      <c r="B2263" s="2">
        <v>565.30183988253202</v>
      </c>
      <c r="C2263" s="2">
        <v>5.4873666666666701</v>
      </c>
      <c r="D2263" s="2" t="s">
        <v>70</v>
      </c>
      <c r="E2263" s="2" t="s">
        <v>15144</v>
      </c>
      <c r="F2263" s="2">
        <v>205369</v>
      </c>
      <c r="G2263" s="3" t="str">
        <f>HYPERLINK("http://funmeta.oebiotech.com/network/205369", "http://funmeta.oebiotech.com/network/205369")</f>
        <v>http://funmeta.oebiotech.com/network/205369</v>
      </c>
      <c r="H2263" s="2" t="s">
        <v>15145</v>
      </c>
      <c r="I2263" s="2"/>
      <c r="J2263" s="2"/>
      <c r="K2263" s="2"/>
      <c r="L2263" s="2"/>
      <c r="M2263" s="2"/>
      <c r="N2263" s="2"/>
      <c r="O2263" s="2">
        <v>554197</v>
      </c>
      <c r="P2263" s="2"/>
      <c r="Q2263" s="2" t="s">
        <v>15146</v>
      </c>
      <c r="R2263" s="2" t="s">
        <v>15147</v>
      </c>
      <c r="S2263" s="2" t="s">
        <v>50</v>
      </c>
      <c r="T2263" s="2" t="s">
        <v>201</v>
      </c>
      <c r="U2263" s="2" t="s">
        <v>210</v>
      </c>
      <c r="V2263" s="2" t="s">
        <v>42</v>
      </c>
      <c r="W2263" s="2">
        <v>50.4</v>
      </c>
      <c r="X2263" s="2">
        <v>59.1</v>
      </c>
      <c r="Y2263" s="2" t="s">
        <v>408</v>
      </c>
      <c r="Z2263" s="2" t="s">
        <v>3090</v>
      </c>
      <c r="AA2263" s="2">
        <v>3.5834791652600097E-2</v>
      </c>
      <c r="AB2263" s="2">
        <v>0.35638377112310299</v>
      </c>
      <c r="AC2263" s="2">
        <v>31833.628774037599</v>
      </c>
      <c r="AD2263" s="2">
        <v>23230.316520003998</v>
      </c>
      <c r="AE2263" s="2">
        <v>33733.876661552596</v>
      </c>
      <c r="AF2263" s="2">
        <v>32427.4935254431</v>
      </c>
      <c r="AG2263" s="2">
        <v>31021.1792342802</v>
      </c>
      <c r="AH2263" s="2">
        <v>30531.425651792</v>
      </c>
      <c r="AI2263" s="2">
        <v>32488.7634998184</v>
      </c>
      <c r="AJ2263" s="2">
        <v>30799.034071339502</v>
      </c>
      <c r="AK2263" s="2">
        <v>21565.047892553499</v>
      </c>
      <c r="AL2263" s="2">
        <v>25064.9625113779</v>
      </c>
      <c r="AM2263" s="2">
        <v>23455.7352613045</v>
      </c>
      <c r="AN2263" s="2">
        <v>23248.246903179399</v>
      </c>
      <c r="AO2263" s="2">
        <v>23514.923748422902</v>
      </c>
      <c r="AP2263" s="2">
        <v>22532.9828031859</v>
      </c>
    </row>
    <row r="2264" spans="1:42" ht="14.5" x14ac:dyDescent="0.35">
      <c r="A2264" s="2" t="s">
        <v>15148</v>
      </c>
      <c r="B2264" s="2">
        <v>547.36337609383202</v>
      </c>
      <c r="C2264" s="2">
        <v>9.9015833333333294</v>
      </c>
      <c r="D2264" s="2" t="s">
        <v>34</v>
      </c>
      <c r="E2264" s="2" t="s">
        <v>15149</v>
      </c>
      <c r="F2264" s="2">
        <v>64629</v>
      </c>
      <c r="G2264" s="3" t="str">
        <f>HYPERLINK("http://funmeta.oebiotech.com/network/64629", "http://funmeta.oebiotech.com/network/64629")</f>
        <v>http://funmeta.oebiotech.com/network/64629</v>
      </c>
      <c r="H2264" s="2" t="s">
        <v>15150</v>
      </c>
      <c r="I2264" s="2">
        <v>95930</v>
      </c>
      <c r="J2264" s="2"/>
      <c r="K2264" s="2">
        <v>168290</v>
      </c>
      <c r="L2264" s="2"/>
      <c r="M2264" s="2"/>
      <c r="N2264" s="2"/>
      <c r="O2264" s="2">
        <v>85245053</v>
      </c>
      <c r="P2264" s="2" t="s">
        <v>15151</v>
      </c>
      <c r="Q2264" s="2" t="s">
        <v>15152</v>
      </c>
      <c r="R2264" s="2" t="s">
        <v>15153</v>
      </c>
      <c r="S2264" s="2" t="s">
        <v>50</v>
      </c>
      <c r="T2264" s="2" t="s">
        <v>201</v>
      </c>
      <c r="U2264" s="2" t="s">
        <v>1217</v>
      </c>
      <c r="V2264" s="2" t="s">
        <v>59</v>
      </c>
      <c r="W2264" s="2">
        <v>38.4</v>
      </c>
      <c r="X2264" s="2">
        <v>0</v>
      </c>
      <c r="Y2264" s="2" t="s">
        <v>394</v>
      </c>
      <c r="Z2264" s="2" t="s">
        <v>15154</v>
      </c>
      <c r="AA2264" s="2">
        <v>0.81580818019289303</v>
      </c>
      <c r="AB2264" s="2">
        <v>0.35601233224796602</v>
      </c>
      <c r="AC2264" s="2">
        <v>8245.4887985089899</v>
      </c>
      <c r="AD2264" s="2">
        <v>16756.662510902901</v>
      </c>
      <c r="AE2264" s="2">
        <v>7751.6696026094496</v>
      </c>
      <c r="AF2264" s="2">
        <v>7797.9034416048999</v>
      </c>
      <c r="AG2264" s="2">
        <v>8587.3054415420102</v>
      </c>
      <c r="AH2264" s="2">
        <v>8621.63508725272</v>
      </c>
      <c r="AI2264" s="2">
        <v>8416.03649599034</v>
      </c>
      <c r="AJ2264" s="2">
        <v>8298.3827220545299</v>
      </c>
      <c r="AK2264" s="2">
        <v>15088.191579710499</v>
      </c>
      <c r="AL2264" s="2">
        <v>15527.524680406401</v>
      </c>
      <c r="AM2264" s="2">
        <v>18942.378081527899</v>
      </c>
      <c r="AN2264" s="2">
        <v>16306.4889508665</v>
      </c>
      <c r="AO2264" s="2">
        <v>16901.3550351626</v>
      </c>
      <c r="AP2264" s="2">
        <v>17774.0367377435</v>
      </c>
    </row>
    <row r="2265" spans="1:42" ht="14.5" x14ac:dyDescent="0.35">
      <c r="A2265" s="2" t="s">
        <v>15155</v>
      </c>
      <c r="B2265" s="2">
        <v>437.123115341198</v>
      </c>
      <c r="C2265" s="2">
        <v>5.0879333333333303</v>
      </c>
      <c r="D2265" s="2" t="s">
        <v>34</v>
      </c>
      <c r="E2265" s="2" t="s">
        <v>15156</v>
      </c>
      <c r="F2265" s="2">
        <v>28936</v>
      </c>
      <c r="G2265" s="3" t="str">
        <f>HYPERLINK("http://funmeta.oebiotech.com/network/28936", "http://funmeta.oebiotech.com/network/28936")</f>
        <v>http://funmeta.oebiotech.com/network/28936</v>
      </c>
      <c r="H2265" s="2" t="s">
        <v>15157</v>
      </c>
      <c r="I2265" s="2">
        <v>47332</v>
      </c>
      <c r="J2265" s="2" t="s">
        <v>15158</v>
      </c>
      <c r="K2265" s="2"/>
      <c r="L2265" s="2"/>
      <c r="M2265" s="2"/>
      <c r="N2265" s="2"/>
      <c r="O2265" s="2">
        <v>21629801</v>
      </c>
      <c r="P2265" s="2" t="s">
        <v>15159</v>
      </c>
      <c r="Q2265" s="2" t="s">
        <v>15160</v>
      </c>
      <c r="R2265" s="2" t="s">
        <v>15161</v>
      </c>
      <c r="S2265" s="2" t="s">
        <v>115</v>
      </c>
      <c r="T2265" s="2" t="s">
        <v>139</v>
      </c>
      <c r="U2265" s="2" t="s">
        <v>1437</v>
      </c>
      <c r="V2265" s="2" t="s">
        <v>59</v>
      </c>
      <c r="W2265" s="2">
        <v>38.700000000000003</v>
      </c>
      <c r="X2265" s="2">
        <v>0</v>
      </c>
      <c r="Y2265" s="2" t="s">
        <v>266</v>
      </c>
      <c r="Z2265" s="2" t="s">
        <v>13131</v>
      </c>
      <c r="AA2265" s="2">
        <v>4.8866188666876399E-2</v>
      </c>
      <c r="AB2265" s="2">
        <v>0.35592587301712703</v>
      </c>
      <c r="AC2265" s="2">
        <v>39375.346997115601</v>
      </c>
      <c r="AD2265" s="2">
        <v>50268.264666037197</v>
      </c>
      <c r="AE2265" s="2">
        <v>40234.761953273701</v>
      </c>
      <c r="AF2265" s="2">
        <v>34129.883745799401</v>
      </c>
      <c r="AG2265" s="2">
        <v>41483.435696111999</v>
      </c>
      <c r="AH2265" s="2">
        <v>34592.155518300497</v>
      </c>
      <c r="AI2265" s="2">
        <v>38335.0962617603</v>
      </c>
      <c r="AJ2265" s="2">
        <v>47476.748807447897</v>
      </c>
      <c r="AK2265" s="2">
        <v>45962.653237951898</v>
      </c>
      <c r="AL2265" s="2">
        <v>53395.804202047198</v>
      </c>
      <c r="AM2265" s="2">
        <v>56664.544825605299</v>
      </c>
      <c r="AN2265" s="2">
        <v>48651.259733801999</v>
      </c>
      <c r="AO2265" s="2">
        <v>43333.896759059098</v>
      </c>
      <c r="AP2265" s="2">
        <v>53601.429237757497</v>
      </c>
    </row>
    <row r="2266" spans="1:42" ht="14.5" x14ac:dyDescent="0.35">
      <c r="A2266" s="2" t="s">
        <v>15162</v>
      </c>
      <c r="B2266" s="2">
        <v>285.07624670382302</v>
      </c>
      <c r="C2266" s="2">
        <v>3.8059833333333302</v>
      </c>
      <c r="D2266" s="2" t="s">
        <v>70</v>
      </c>
      <c r="E2266" s="2" t="s">
        <v>15163</v>
      </c>
      <c r="F2266" s="2">
        <v>33927</v>
      </c>
      <c r="G2266" s="3" t="str">
        <f>HYPERLINK("http://funmeta.oebiotech.com/network/33927", "http://funmeta.oebiotech.com/network/33927")</f>
        <v>http://funmeta.oebiotech.com/network/33927</v>
      </c>
      <c r="H2266" s="2"/>
      <c r="I2266" s="2"/>
      <c r="J2266" s="2" t="s">
        <v>15164</v>
      </c>
      <c r="K2266" s="2"/>
      <c r="L2266" s="2"/>
      <c r="M2266" s="2"/>
      <c r="N2266" s="2"/>
      <c r="O2266" s="2">
        <v>11208407</v>
      </c>
      <c r="P2266" s="2"/>
      <c r="Q2266" s="2" t="s">
        <v>15165</v>
      </c>
      <c r="R2266" s="2" t="s">
        <v>15166</v>
      </c>
      <c r="S2266" s="2" t="s">
        <v>148</v>
      </c>
      <c r="T2266" s="2" t="s">
        <v>149</v>
      </c>
      <c r="U2266" s="2" t="s">
        <v>2874</v>
      </c>
      <c r="V2266" s="2" t="s">
        <v>42</v>
      </c>
      <c r="W2266" s="2">
        <v>53.3</v>
      </c>
      <c r="X2266" s="2">
        <v>72.7</v>
      </c>
      <c r="Y2266" s="2" t="s">
        <v>118</v>
      </c>
      <c r="Z2266" s="2" t="s">
        <v>15167</v>
      </c>
      <c r="AA2266" s="2">
        <v>-2.0987216957813399</v>
      </c>
      <c r="AB2266" s="2">
        <v>0.35590232803963001</v>
      </c>
      <c r="AC2266" s="2">
        <v>28308.125679184701</v>
      </c>
      <c r="AD2266" s="2">
        <v>19577.421381918099</v>
      </c>
      <c r="AE2266" s="2">
        <v>29915.490929336502</v>
      </c>
      <c r="AF2266" s="2">
        <v>26347.8670817026</v>
      </c>
      <c r="AG2266" s="2">
        <v>26108.298933534301</v>
      </c>
      <c r="AH2266" s="2">
        <v>30306.8507126683</v>
      </c>
      <c r="AI2266" s="2">
        <v>27902.827619928201</v>
      </c>
      <c r="AJ2266" s="2">
        <v>29267.418797938401</v>
      </c>
      <c r="AK2266" s="2">
        <v>17883.336170204901</v>
      </c>
      <c r="AL2266" s="2">
        <v>18783.358353983502</v>
      </c>
      <c r="AM2266" s="2">
        <v>21022.026763534199</v>
      </c>
      <c r="AN2266" s="2">
        <v>19666.7843433528</v>
      </c>
      <c r="AO2266" s="2">
        <v>19690.603506704301</v>
      </c>
      <c r="AP2266" s="2">
        <v>20418.419153728901</v>
      </c>
    </row>
    <row r="2267" spans="1:42" ht="14.5" x14ac:dyDescent="0.35">
      <c r="A2267" s="2" t="s">
        <v>15168</v>
      </c>
      <c r="B2267" s="2">
        <v>495.04301807004498</v>
      </c>
      <c r="C2267" s="2">
        <v>1.1287499999999999</v>
      </c>
      <c r="D2267" s="2" t="s">
        <v>34</v>
      </c>
      <c r="E2267" s="2" t="s">
        <v>15169</v>
      </c>
      <c r="F2267" s="2">
        <v>515524</v>
      </c>
      <c r="G2267" s="3" t="str">
        <f>HYPERLINK("http://funmeta.oebiotech.com/network/515524", "http://funmeta.oebiotech.com/network/515524")</f>
        <v>http://funmeta.oebiotech.com/network/515524</v>
      </c>
      <c r="H2267" s="2"/>
      <c r="I2267" s="2">
        <v>96497</v>
      </c>
      <c r="J2267" s="2"/>
      <c r="K2267" s="2"/>
      <c r="L2267" s="2"/>
      <c r="M2267" s="2"/>
      <c r="N2267" s="2"/>
      <c r="O2267" s="2">
        <v>9549213</v>
      </c>
      <c r="P2267" s="2" t="s">
        <v>15170</v>
      </c>
      <c r="Q2267" s="2" t="s">
        <v>15171</v>
      </c>
      <c r="R2267" s="2" t="s">
        <v>15172</v>
      </c>
      <c r="S2267" s="2" t="s">
        <v>5916</v>
      </c>
      <c r="T2267" s="2" t="s">
        <v>5917</v>
      </c>
      <c r="U2267" s="2" t="s">
        <v>5918</v>
      </c>
      <c r="V2267" s="2" t="s">
        <v>59</v>
      </c>
      <c r="W2267" s="2">
        <v>37.299999999999997</v>
      </c>
      <c r="X2267" s="2">
        <v>0</v>
      </c>
      <c r="Y2267" s="2" t="s">
        <v>141</v>
      </c>
      <c r="Z2267" s="2" t="s">
        <v>15173</v>
      </c>
      <c r="AA2267" s="2">
        <v>-5.5397443469193002</v>
      </c>
      <c r="AB2267" s="2">
        <v>0.35572219958636597</v>
      </c>
      <c r="AC2267" s="2">
        <v>25697.0314851111</v>
      </c>
      <c r="AD2267" s="2">
        <v>34984.296329008903</v>
      </c>
      <c r="AE2267" s="2">
        <v>25250.176363219402</v>
      </c>
      <c r="AF2267" s="2">
        <v>23385.993352660102</v>
      </c>
      <c r="AG2267" s="2">
        <v>27273.457593115101</v>
      </c>
      <c r="AH2267" s="2">
        <v>24664.696365275599</v>
      </c>
      <c r="AI2267" s="2">
        <v>24062.458024785599</v>
      </c>
      <c r="AJ2267" s="2">
        <v>29545.407211610702</v>
      </c>
      <c r="AK2267" s="2">
        <v>37754.506568325603</v>
      </c>
      <c r="AL2267" s="2">
        <v>30111.578625355502</v>
      </c>
      <c r="AM2267" s="2">
        <v>34033.828234937399</v>
      </c>
      <c r="AN2267" s="2">
        <v>34714.230137619001</v>
      </c>
      <c r="AO2267" s="2">
        <v>36336.387560486699</v>
      </c>
      <c r="AP2267" s="2">
        <v>36955.246847329399</v>
      </c>
    </row>
    <row r="2268" spans="1:42" ht="14.5" x14ac:dyDescent="0.35">
      <c r="A2268" s="2" t="s">
        <v>15174</v>
      </c>
      <c r="B2268" s="2">
        <v>365.11936736543402</v>
      </c>
      <c r="C2268" s="2">
        <v>4.4886999999999997</v>
      </c>
      <c r="D2268" s="2" t="s">
        <v>70</v>
      </c>
      <c r="E2268" s="2" t="s">
        <v>15175</v>
      </c>
      <c r="F2268" s="2">
        <v>59167</v>
      </c>
      <c r="G2268" s="3" t="str">
        <f>HYPERLINK("http://funmeta.oebiotech.com/network/59167", "http://funmeta.oebiotech.com/network/59167")</f>
        <v>http://funmeta.oebiotech.com/network/59167</v>
      </c>
      <c r="H2268" s="2" t="s">
        <v>15176</v>
      </c>
      <c r="I2268" s="2">
        <v>90590</v>
      </c>
      <c r="J2268" s="2"/>
      <c r="K2268" s="2">
        <v>175089</v>
      </c>
      <c r="L2268" s="2"/>
      <c r="M2268" s="2"/>
      <c r="N2268" s="2"/>
      <c r="O2268" s="2">
        <v>11956719</v>
      </c>
      <c r="P2268" s="2" t="s">
        <v>15177</v>
      </c>
      <c r="Q2268" s="2" t="s">
        <v>15178</v>
      </c>
      <c r="R2268" s="2" t="s">
        <v>15179</v>
      </c>
      <c r="S2268" s="2" t="s">
        <v>491</v>
      </c>
      <c r="T2268" s="2" t="s">
        <v>4517</v>
      </c>
      <c r="U2268" s="2" t="s">
        <v>9396</v>
      </c>
      <c r="V2268" s="2" t="s">
        <v>59</v>
      </c>
      <c r="W2268" s="2">
        <v>39.1</v>
      </c>
      <c r="X2268" s="2">
        <v>4.29</v>
      </c>
      <c r="Y2268" s="2" t="s">
        <v>408</v>
      </c>
      <c r="Z2268" s="2" t="s">
        <v>15180</v>
      </c>
      <c r="AA2268" s="2">
        <v>-2.5025213275835498</v>
      </c>
      <c r="AB2268" s="2">
        <v>0.355692610367558</v>
      </c>
      <c r="AC2268" s="2">
        <v>39610.125042296699</v>
      </c>
      <c r="AD2268" s="2">
        <v>30655.592955660199</v>
      </c>
      <c r="AE2268" s="2">
        <v>41773.306792784599</v>
      </c>
      <c r="AF2268" s="2">
        <v>41239.563851316801</v>
      </c>
      <c r="AG2268" s="2">
        <v>38321.958299543803</v>
      </c>
      <c r="AH2268" s="2">
        <v>37839.256266823199</v>
      </c>
      <c r="AI2268" s="2">
        <v>39698.045848219001</v>
      </c>
      <c r="AJ2268" s="2">
        <v>38788.619195093001</v>
      </c>
      <c r="AK2268" s="2">
        <v>29708.971685466899</v>
      </c>
      <c r="AL2268" s="2">
        <v>34124.1565053374</v>
      </c>
      <c r="AM2268" s="2">
        <v>29410.8507294189</v>
      </c>
      <c r="AN2268" s="2">
        <v>27707.952304632101</v>
      </c>
      <c r="AO2268" s="2">
        <v>30008.652070906901</v>
      </c>
      <c r="AP2268" s="2">
        <v>32972.9744381993</v>
      </c>
    </row>
    <row r="2269" spans="1:42" ht="14.5" x14ac:dyDescent="0.35">
      <c r="A2269" s="2" t="s">
        <v>15181</v>
      </c>
      <c r="B2269" s="2">
        <v>399.19876596172497</v>
      </c>
      <c r="C2269" s="2">
        <v>5.1837999999999997</v>
      </c>
      <c r="D2269" s="2" t="s">
        <v>34</v>
      </c>
      <c r="E2269" s="2" t="s">
        <v>15182</v>
      </c>
      <c r="F2269" s="2">
        <v>38882</v>
      </c>
      <c r="G2269" s="3" t="str">
        <f>HYPERLINK("http://funmeta.oebiotech.com/network/38882", "http://funmeta.oebiotech.com/network/38882")</f>
        <v>http://funmeta.oebiotech.com/network/38882</v>
      </c>
      <c r="H2269" s="2"/>
      <c r="I2269" s="2"/>
      <c r="J2269" s="2" t="s">
        <v>15183</v>
      </c>
      <c r="K2269" s="2"/>
      <c r="L2269" s="2"/>
      <c r="M2269" s="2"/>
      <c r="N2269" s="2"/>
      <c r="O2269" s="2">
        <v>14212402</v>
      </c>
      <c r="P2269" s="2"/>
      <c r="Q2269" s="2" t="s">
        <v>15184</v>
      </c>
      <c r="R2269" s="2" t="s">
        <v>15185</v>
      </c>
      <c r="S2269" s="2" t="s">
        <v>50</v>
      </c>
      <c r="T2269" s="2" t="s">
        <v>106</v>
      </c>
      <c r="U2269" s="2" t="s">
        <v>41</v>
      </c>
      <c r="V2269" s="2" t="s">
        <v>59</v>
      </c>
      <c r="W2269" s="2">
        <v>38.1</v>
      </c>
      <c r="X2269" s="2">
        <v>0</v>
      </c>
      <c r="Y2269" s="2" t="s">
        <v>1115</v>
      </c>
      <c r="Z2269" s="2" t="s">
        <v>15186</v>
      </c>
      <c r="AA2269" s="2">
        <v>-0.45905511419918399</v>
      </c>
      <c r="AB2269" s="2">
        <v>0.35535245016929501</v>
      </c>
      <c r="AC2269" s="2">
        <v>21517.510541939399</v>
      </c>
      <c r="AD2269" s="2">
        <v>30901.094901049401</v>
      </c>
      <c r="AE2269" s="2">
        <v>17601.787577106301</v>
      </c>
      <c r="AF2269" s="2">
        <v>19262.246112097298</v>
      </c>
      <c r="AG2269" s="2">
        <v>22480.4151028712</v>
      </c>
      <c r="AH2269" s="2">
        <v>22435.3989789347</v>
      </c>
      <c r="AI2269" s="2">
        <v>21661.251013548499</v>
      </c>
      <c r="AJ2269" s="2">
        <v>25663.9644670782</v>
      </c>
      <c r="AK2269" s="2">
        <v>26970.5145815379</v>
      </c>
      <c r="AL2269" s="2">
        <v>28393.6677786644</v>
      </c>
      <c r="AM2269" s="2">
        <v>31963.2051352856</v>
      </c>
      <c r="AN2269" s="2">
        <v>33907.442273958499</v>
      </c>
      <c r="AO2269" s="2">
        <v>30686.4385403626</v>
      </c>
      <c r="AP2269" s="2">
        <v>33485.301096487303</v>
      </c>
    </row>
    <row r="2270" spans="1:42" ht="14.5" x14ac:dyDescent="0.35">
      <c r="A2270" s="2" t="s">
        <v>15187</v>
      </c>
      <c r="B2270" s="2">
        <v>1103.6616658682899</v>
      </c>
      <c r="C2270" s="2">
        <v>9.8631833333333301</v>
      </c>
      <c r="D2270" s="2" t="s">
        <v>34</v>
      </c>
      <c r="E2270" s="2" t="s">
        <v>15188</v>
      </c>
      <c r="F2270" s="2">
        <v>48368</v>
      </c>
      <c r="G2270" s="3" t="str">
        <f>HYPERLINK("http://funmeta.oebiotech.com/network/48368", "http://funmeta.oebiotech.com/network/48368")</f>
        <v>http://funmeta.oebiotech.com/network/48368</v>
      </c>
      <c r="H2270" s="2" t="s">
        <v>15189</v>
      </c>
      <c r="I2270" s="2">
        <v>7147</v>
      </c>
      <c r="J2270" s="2"/>
      <c r="K2270" s="2"/>
      <c r="L2270" s="2"/>
      <c r="M2270" s="2"/>
      <c r="N2270" s="2"/>
      <c r="O2270" s="2">
        <v>22833615</v>
      </c>
      <c r="P2270" s="2"/>
      <c r="Q2270" s="2" t="s">
        <v>15190</v>
      </c>
      <c r="R2270" s="2" t="s">
        <v>15191</v>
      </c>
      <c r="S2270" s="2" t="s">
        <v>50</v>
      </c>
      <c r="T2270" s="2" t="s">
        <v>693</v>
      </c>
      <c r="U2270" s="2" t="s">
        <v>694</v>
      </c>
      <c r="V2270" s="2" t="s">
        <v>59</v>
      </c>
      <c r="W2270" s="2">
        <v>38.5</v>
      </c>
      <c r="X2270" s="2">
        <v>0</v>
      </c>
      <c r="Y2270" s="2" t="s">
        <v>340</v>
      </c>
      <c r="Z2270" s="2" t="s">
        <v>15192</v>
      </c>
      <c r="AA2270" s="2">
        <v>1.3087474240722401</v>
      </c>
      <c r="AB2270" s="2">
        <v>0.35527686338939701</v>
      </c>
      <c r="AC2270" s="2">
        <v>26516.967199219001</v>
      </c>
      <c r="AD2270" s="2">
        <v>35503.142921380102</v>
      </c>
      <c r="AE2270" s="2">
        <v>25417.493261387201</v>
      </c>
      <c r="AF2270" s="2">
        <v>27862.945766688201</v>
      </c>
      <c r="AG2270" s="2">
        <v>24688.391422008601</v>
      </c>
      <c r="AH2270" s="2">
        <v>27121.088472974701</v>
      </c>
      <c r="AI2270" s="2">
        <v>27749.011446655401</v>
      </c>
      <c r="AJ2270" s="2">
        <v>26262.872825599999</v>
      </c>
      <c r="AK2270" s="2">
        <v>34877.225533479199</v>
      </c>
      <c r="AL2270" s="2">
        <v>31249.331224597801</v>
      </c>
      <c r="AM2270" s="2">
        <v>34103.436877227199</v>
      </c>
      <c r="AN2270" s="2">
        <v>36698.261034187897</v>
      </c>
      <c r="AO2270" s="2">
        <v>36953.478734509801</v>
      </c>
      <c r="AP2270" s="2">
        <v>39137.124124278896</v>
      </c>
    </row>
    <row r="2271" spans="1:42" ht="14.5" x14ac:dyDescent="0.35">
      <c r="A2271" s="2" t="s">
        <v>15193</v>
      </c>
      <c r="B2271" s="2">
        <v>611.12020236785202</v>
      </c>
      <c r="C2271" s="2">
        <v>3.53996666666667</v>
      </c>
      <c r="D2271" s="2" t="s">
        <v>70</v>
      </c>
      <c r="E2271" s="2" t="s">
        <v>15194</v>
      </c>
      <c r="F2271" s="2">
        <v>29129</v>
      </c>
      <c r="G2271" s="3" t="str">
        <f>HYPERLINK("http://funmeta.oebiotech.com/network/29129", "http://funmeta.oebiotech.com/network/29129")</f>
        <v>http://funmeta.oebiotech.com/network/29129</v>
      </c>
      <c r="H2271" s="2" t="s">
        <v>15195</v>
      </c>
      <c r="I2271" s="2">
        <v>43573</v>
      </c>
      <c r="J2271" s="2" t="s">
        <v>15196</v>
      </c>
      <c r="K2271" s="2">
        <v>5353</v>
      </c>
      <c r="L2271" s="2" t="s">
        <v>15197</v>
      </c>
      <c r="M2271" s="2"/>
      <c r="N2271" s="2"/>
      <c r="O2271" s="2">
        <v>5271805</v>
      </c>
      <c r="P2271" s="2" t="s">
        <v>15198</v>
      </c>
      <c r="Q2271" s="2" t="s">
        <v>15199</v>
      </c>
      <c r="R2271" s="2" t="s">
        <v>15200</v>
      </c>
      <c r="S2271" s="2" t="s">
        <v>115</v>
      </c>
      <c r="T2271" s="2" t="s">
        <v>139</v>
      </c>
      <c r="U2271" s="2" t="s">
        <v>957</v>
      </c>
      <c r="V2271" s="2" t="s">
        <v>59</v>
      </c>
      <c r="W2271" s="2">
        <v>42.4</v>
      </c>
      <c r="X2271" s="2">
        <v>26.5</v>
      </c>
      <c r="Y2271" s="2" t="s">
        <v>408</v>
      </c>
      <c r="Z2271" s="2" t="s">
        <v>3443</v>
      </c>
      <c r="AA2271" s="2">
        <v>1.24107097851526</v>
      </c>
      <c r="AB2271" s="2">
        <v>0.35504232061586699</v>
      </c>
      <c r="AC2271" s="2">
        <v>29765.135062957801</v>
      </c>
      <c r="AD2271" s="2">
        <v>21197.277609992099</v>
      </c>
      <c r="AE2271" s="2">
        <v>28774.613458497799</v>
      </c>
      <c r="AF2271" s="2">
        <v>29973.109904865902</v>
      </c>
      <c r="AG2271" s="2">
        <v>29844.486072872802</v>
      </c>
      <c r="AH2271" s="2">
        <v>28874.446826336101</v>
      </c>
      <c r="AI2271" s="2">
        <v>31600.855138962099</v>
      </c>
      <c r="AJ2271" s="2">
        <v>29523.298976212202</v>
      </c>
      <c r="AK2271" s="2">
        <v>19151.570680987599</v>
      </c>
      <c r="AL2271" s="2">
        <v>20771.241521053998</v>
      </c>
      <c r="AM2271" s="2">
        <v>20389.1748450226</v>
      </c>
      <c r="AN2271" s="2">
        <v>22055.166979686201</v>
      </c>
      <c r="AO2271" s="2">
        <v>21909.449786294001</v>
      </c>
      <c r="AP2271" s="2">
        <v>22907.061846908098</v>
      </c>
    </row>
    <row r="2272" spans="1:42" ht="14.5" x14ac:dyDescent="0.35">
      <c r="A2272" s="2" t="s">
        <v>15201</v>
      </c>
      <c r="B2272" s="2">
        <v>467.191521890817</v>
      </c>
      <c r="C2272" s="2">
        <v>6.0864833333333301</v>
      </c>
      <c r="D2272" s="2" t="s">
        <v>70</v>
      </c>
      <c r="E2272" s="2" t="s">
        <v>15202</v>
      </c>
      <c r="F2272" s="2">
        <v>10412</v>
      </c>
      <c r="G2272" s="3" t="str">
        <f>HYPERLINK("http://funmeta.oebiotech.com/network/10412", "http://funmeta.oebiotech.com/network/10412")</f>
        <v>http://funmeta.oebiotech.com/network/10412</v>
      </c>
      <c r="H2272" s="2"/>
      <c r="I2272" s="2"/>
      <c r="J2272" s="2" t="s">
        <v>15203</v>
      </c>
      <c r="K2272" s="2">
        <v>79321</v>
      </c>
      <c r="L2272" s="2"/>
      <c r="M2272" s="2"/>
      <c r="N2272" s="2"/>
      <c r="O2272" s="2">
        <v>86289885</v>
      </c>
      <c r="P2272" s="2"/>
      <c r="Q2272" s="2" t="s">
        <v>15204</v>
      </c>
      <c r="R2272" s="2" t="s">
        <v>15205</v>
      </c>
      <c r="S2272" s="2" t="s">
        <v>79</v>
      </c>
      <c r="T2272" s="2" t="s">
        <v>80</v>
      </c>
      <c r="U2272" s="2" t="s">
        <v>81</v>
      </c>
      <c r="V2272" s="2" t="s">
        <v>59</v>
      </c>
      <c r="W2272" s="2">
        <v>38.1</v>
      </c>
      <c r="X2272" s="2">
        <v>0</v>
      </c>
      <c r="Y2272" s="2" t="s">
        <v>408</v>
      </c>
      <c r="Z2272" s="2" t="s">
        <v>15206</v>
      </c>
      <c r="AA2272" s="2">
        <v>-1.7738235100035</v>
      </c>
      <c r="AB2272" s="2">
        <v>0.35462432907823499</v>
      </c>
      <c r="AC2272" s="2">
        <v>17198.8907642456</v>
      </c>
      <c r="AD2272" s="2">
        <v>8549.5937576729793</v>
      </c>
      <c r="AE2272" s="2">
        <v>18421.4675956227</v>
      </c>
      <c r="AF2272" s="2">
        <v>14691.6792102258</v>
      </c>
      <c r="AG2272" s="2">
        <v>17055.914463597899</v>
      </c>
      <c r="AH2272" s="2">
        <v>15416.202203111199</v>
      </c>
      <c r="AI2272" s="2">
        <v>17344.243530094798</v>
      </c>
      <c r="AJ2272" s="2">
        <v>20263.837582821001</v>
      </c>
      <c r="AK2272" s="2">
        <v>8575.9225260581406</v>
      </c>
      <c r="AL2272" s="2">
        <v>8917.740790111</v>
      </c>
      <c r="AM2272" s="2">
        <v>8899.7360879395492</v>
      </c>
      <c r="AN2272" s="2">
        <v>8829.8839597824208</v>
      </c>
      <c r="AO2272" s="2">
        <v>8489.8008220723295</v>
      </c>
      <c r="AP2272" s="2">
        <v>7584.4783600744704</v>
      </c>
    </row>
    <row r="2273" spans="1:42" ht="14.5" x14ac:dyDescent="0.35">
      <c r="A2273" s="2" t="s">
        <v>15207</v>
      </c>
      <c r="B2273" s="2">
        <v>497.31012370084102</v>
      </c>
      <c r="C2273" s="2">
        <v>4.5826500000000001</v>
      </c>
      <c r="D2273" s="2" t="s">
        <v>34</v>
      </c>
      <c r="E2273" s="2" t="s">
        <v>15208</v>
      </c>
      <c r="F2273" s="2">
        <v>50886</v>
      </c>
      <c r="G2273" s="3" t="str">
        <f>HYPERLINK("http://funmeta.oebiotech.com/network/50886", "http://funmeta.oebiotech.com/network/50886")</f>
        <v>http://funmeta.oebiotech.com/network/50886</v>
      </c>
      <c r="H2273" s="2" t="s">
        <v>15209</v>
      </c>
      <c r="I2273" s="2">
        <v>57967</v>
      </c>
      <c r="J2273" s="2"/>
      <c r="K2273" s="2"/>
      <c r="L2273" s="2" t="s">
        <v>1994</v>
      </c>
      <c r="M2273" s="2" t="s">
        <v>1995</v>
      </c>
      <c r="N2273" s="2" t="s">
        <v>1996</v>
      </c>
      <c r="O2273" s="2">
        <v>123796</v>
      </c>
      <c r="P2273" s="2" t="s">
        <v>15210</v>
      </c>
      <c r="Q2273" s="2" t="s">
        <v>15211</v>
      </c>
      <c r="R2273" s="2" t="s">
        <v>15212</v>
      </c>
      <c r="S2273" s="2" t="s">
        <v>50</v>
      </c>
      <c r="T2273" s="2" t="s">
        <v>124</v>
      </c>
      <c r="U2273" s="2" t="s">
        <v>523</v>
      </c>
      <c r="V2273" s="2" t="s">
        <v>59</v>
      </c>
      <c r="W2273" s="2">
        <v>37.799999999999997</v>
      </c>
      <c r="X2273" s="2">
        <v>0</v>
      </c>
      <c r="Y2273" s="2" t="s">
        <v>394</v>
      </c>
      <c r="Z2273" s="2" t="s">
        <v>1756</v>
      </c>
      <c r="AA2273" s="2">
        <v>-1.5536834513465001</v>
      </c>
      <c r="AB2273" s="2">
        <v>0.35452459584870399</v>
      </c>
      <c r="AC2273" s="2">
        <v>14472.2846959813</v>
      </c>
      <c r="AD2273" s="2">
        <v>24118.381982463499</v>
      </c>
      <c r="AE2273" s="2">
        <v>15487.0304814672</v>
      </c>
      <c r="AF2273" s="2">
        <v>12959.894114980199</v>
      </c>
      <c r="AG2273" s="2">
        <v>13516.4589753903</v>
      </c>
      <c r="AH2273" s="2">
        <v>13886.4160035935</v>
      </c>
      <c r="AI2273" s="2">
        <v>19728.4619137917</v>
      </c>
      <c r="AJ2273" s="2">
        <v>11255.4466866647</v>
      </c>
      <c r="AK2273" s="2">
        <v>22503.207221673001</v>
      </c>
      <c r="AL2273" s="2">
        <v>29752.283710952801</v>
      </c>
      <c r="AM2273" s="2">
        <v>19561.886474247902</v>
      </c>
      <c r="AN2273" s="2">
        <v>22415.2280705425</v>
      </c>
      <c r="AO2273" s="2">
        <v>26276.430387710599</v>
      </c>
      <c r="AP2273" s="2">
        <v>24201.256029654101</v>
      </c>
    </row>
    <row r="2274" spans="1:42" ht="14.5" x14ac:dyDescent="0.35">
      <c r="A2274" s="2" t="s">
        <v>15213</v>
      </c>
      <c r="B2274" s="2">
        <v>331.06716640033898</v>
      </c>
      <c r="C2274" s="2">
        <v>1.8080000000000001</v>
      </c>
      <c r="D2274" s="2" t="s">
        <v>70</v>
      </c>
      <c r="E2274" s="2" t="s">
        <v>15214</v>
      </c>
      <c r="F2274" s="2">
        <v>62645</v>
      </c>
      <c r="G2274" s="3" t="str">
        <f>HYPERLINK("http://funmeta.oebiotech.com/network/62645", "http://funmeta.oebiotech.com/network/62645")</f>
        <v>http://funmeta.oebiotech.com/network/62645</v>
      </c>
      <c r="H2274" s="2" t="s">
        <v>15215</v>
      </c>
      <c r="I2274" s="2">
        <v>93943</v>
      </c>
      <c r="J2274" s="2"/>
      <c r="K2274" s="2"/>
      <c r="L2274" s="2"/>
      <c r="M2274" s="2"/>
      <c r="N2274" s="2"/>
      <c r="O2274" s="2">
        <v>131752618</v>
      </c>
      <c r="P2274" s="2" t="s">
        <v>15216</v>
      </c>
      <c r="Q2274" s="2" t="s">
        <v>15217</v>
      </c>
      <c r="R2274" s="2" t="s">
        <v>15218</v>
      </c>
      <c r="S2274" s="2" t="s">
        <v>148</v>
      </c>
      <c r="T2274" s="2" t="s">
        <v>149</v>
      </c>
      <c r="U2274" s="2" t="s">
        <v>1593</v>
      </c>
      <c r="V2274" s="2" t="s">
        <v>59</v>
      </c>
      <c r="W2274" s="2">
        <v>44.8</v>
      </c>
      <c r="X2274" s="2">
        <v>30.9</v>
      </c>
      <c r="Y2274" s="2" t="s">
        <v>118</v>
      </c>
      <c r="Z2274" s="2" t="s">
        <v>15219</v>
      </c>
      <c r="AA2274" s="2">
        <v>0.28946415084991201</v>
      </c>
      <c r="AB2274" s="2">
        <v>0.354416934731966</v>
      </c>
      <c r="AC2274" s="2">
        <v>17290.109907059901</v>
      </c>
      <c r="AD2274" s="2">
        <v>26080.098536441401</v>
      </c>
      <c r="AE2274" s="2">
        <v>16287.168366857701</v>
      </c>
      <c r="AF2274" s="2">
        <v>17756.712885300702</v>
      </c>
      <c r="AG2274" s="2">
        <v>18617.6868841096</v>
      </c>
      <c r="AH2274" s="2">
        <v>18266.579546400499</v>
      </c>
      <c r="AI2274" s="2">
        <v>15458.381519200801</v>
      </c>
      <c r="AJ2274" s="2">
        <v>17354.1302404901</v>
      </c>
      <c r="AK2274" s="2">
        <v>25228.865263465799</v>
      </c>
      <c r="AL2274" s="2">
        <v>29626.989282146202</v>
      </c>
      <c r="AM2274" s="2">
        <v>23282.0512233263</v>
      </c>
      <c r="AN2274" s="2">
        <v>25895.736608193201</v>
      </c>
      <c r="AO2274" s="2">
        <v>26742.2130274259</v>
      </c>
      <c r="AP2274" s="2">
        <v>25704.735814090898</v>
      </c>
    </row>
    <row r="2275" spans="1:42" ht="14.5" x14ac:dyDescent="0.35">
      <c r="A2275" s="2" t="s">
        <v>15220</v>
      </c>
      <c r="B2275" s="2">
        <v>320.25583619537099</v>
      </c>
      <c r="C2275" s="2">
        <v>10.93595</v>
      </c>
      <c r="D2275" s="2" t="s">
        <v>34</v>
      </c>
      <c r="E2275" s="2" t="s">
        <v>15221</v>
      </c>
      <c r="F2275" s="2">
        <v>38922</v>
      </c>
      <c r="G2275" s="3" t="str">
        <f>HYPERLINK("http://funmeta.oebiotech.com/network/38922", "http://funmeta.oebiotech.com/network/38922")</f>
        <v>http://funmeta.oebiotech.com/network/38922</v>
      </c>
      <c r="H2275" s="2"/>
      <c r="I2275" s="2">
        <v>43208</v>
      </c>
      <c r="J2275" s="2" t="s">
        <v>15222</v>
      </c>
      <c r="K2275" s="2">
        <v>20096</v>
      </c>
      <c r="L2275" s="2" t="s">
        <v>15223</v>
      </c>
      <c r="M2275" s="2"/>
      <c r="N2275" s="2"/>
      <c r="O2275" s="2">
        <v>9839212</v>
      </c>
      <c r="P2275" s="2"/>
      <c r="Q2275" s="2" t="s">
        <v>15224</v>
      </c>
      <c r="R2275" s="2" t="s">
        <v>15225</v>
      </c>
      <c r="S2275" s="2" t="s">
        <v>79</v>
      </c>
      <c r="T2275" s="2" t="s">
        <v>80</v>
      </c>
      <c r="U2275" s="2" t="s">
        <v>2820</v>
      </c>
      <c r="V2275" s="2" t="s">
        <v>42</v>
      </c>
      <c r="W2275" s="2">
        <v>48.7</v>
      </c>
      <c r="X2275" s="2">
        <v>47.5</v>
      </c>
      <c r="Y2275" s="2" t="s">
        <v>67</v>
      </c>
      <c r="Z2275" s="2" t="s">
        <v>15226</v>
      </c>
      <c r="AA2275" s="2">
        <v>-0.551191758011639</v>
      </c>
      <c r="AB2275" s="2">
        <v>0.354011733154449</v>
      </c>
      <c r="AC2275" s="2">
        <v>180549.278309355</v>
      </c>
      <c r="AD2275" s="2">
        <v>205189.436198104</v>
      </c>
      <c r="AE2275" s="2">
        <v>191310.78439787199</v>
      </c>
      <c r="AF2275" s="2">
        <v>150173.67218244099</v>
      </c>
      <c r="AG2275" s="2">
        <v>165642.886723164</v>
      </c>
      <c r="AH2275" s="2">
        <v>198649.187460749</v>
      </c>
      <c r="AI2275" s="2">
        <v>215736.49238974799</v>
      </c>
      <c r="AJ2275" s="2">
        <v>161782.64670215501</v>
      </c>
      <c r="AK2275" s="2">
        <v>150635.572225451</v>
      </c>
      <c r="AL2275" s="2">
        <v>257691.29479822199</v>
      </c>
      <c r="AM2275" s="2">
        <v>213682.08028016699</v>
      </c>
      <c r="AN2275" s="2">
        <v>269025.82460336399</v>
      </c>
      <c r="AO2275" s="2">
        <v>171332.021700832</v>
      </c>
      <c r="AP2275" s="2">
        <v>168769.82358059101</v>
      </c>
    </row>
    <row r="2276" spans="1:42" ht="14.5" x14ac:dyDescent="0.35">
      <c r="A2276" s="2" t="s">
        <v>15227</v>
      </c>
      <c r="B2276" s="2">
        <v>629.25980885569402</v>
      </c>
      <c r="C2276" s="2">
        <v>6.4058333333333302</v>
      </c>
      <c r="D2276" s="2" t="s">
        <v>70</v>
      </c>
      <c r="E2276" s="2" t="s">
        <v>15228</v>
      </c>
      <c r="F2276" s="2">
        <v>201046</v>
      </c>
      <c r="G2276" s="3" t="str">
        <f>HYPERLINK("http://funmeta.oebiotech.com/network/201046", "http://funmeta.oebiotech.com/network/201046")</f>
        <v>http://funmeta.oebiotech.com/network/201046</v>
      </c>
      <c r="H2276" s="2" t="s">
        <v>15229</v>
      </c>
      <c r="I2276" s="2"/>
      <c r="J2276" s="2"/>
      <c r="K2276" s="2"/>
      <c r="L2276" s="2"/>
      <c r="M2276" s="2"/>
      <c r="N2276" s="2"/>
      <c r="O2276" s="2">
        <v>10018576</v>
      </c>
      <c r="P2276" s="2"/>
      <c r="Q2276" s="2" t="s">
        <v>15230</v>
      </c>
      <c r="R2276" s="2" t="s">
        <v>15231</v>
      </c>
      <c r="S2276" s="2" t="s">
        <v>491</v>
      </c>
      <c r="T2276" s="2" t="s">
        <v>7431</v>
      </c>
      <c r="U2276" s="2" t="s">
        <v>7432</v>
      </c>
      <c r="V2276" s="2" t="s">
        <v>59</v>
      </c>
      <c r="W2276" s="2">
        <v>38.6</v>
      </c>
      <c r="X2276" s="2">
        <v>0</v>
      </c>
      <c r="Y2276" s="2" t="s">
        <v>560</v>
      </c>
      <c r="Z2276" s="2" t="s">
        <v>15232</v>
      </c>
      <c r="AA2276" s="2">
        <v>1.2795099163227599</v>
      </c>
      <c r="AB2276" s="2">
        <v>0.35389703280152401</v>
      </c>
      <c r="AC2276" s="2">
        <v>14969.2115741408</v>
      </c>
      <c r="AD2276" s="2">
        <v>6541.8024506111196</v>
      </c>
      <c r="AE2276" s="2">
        <v>14406.739595879601</v>
      </c>
      <c r="AF2276" s="2">
        <v>15035.9384153419</v>
      </c>
      <c r="AG2276" s="2">
        <v>14700.2391863622</v>
      </c>
      <c r="AH2276" s="2">
        <v>13448.4103617574</v>
      </c>
      <c r="AI2276" s="2">
        <v>14878.035548789199</v>
      </c>
      <c r="AJ2276" s="2">
        <v>17345.906336714499</v>
      </c>
      <c r="AK2276" s="2">
        <v>5743.8771888809897</v>
      </c>
      <c r="AL2276" s="2">
        <v>7289.3281274220899</v>
      </c>
      <c r="AM2276" s="2">
        <v>7606.4458547456497</v>
      </c>
      <c r="AN2276" s="2">
        <v>6027.03967014709</v>
      </c>
      <c r="AO2276" s="2">
        <v>6218.8278736263601</v>
      </c>
      <c r="AP2276" s="2">
        <v>6365.2959888445303</v>
      </c>
    </row>
    <row r="2277" spans="1:42" ht="14.5" x14ac:dyDescent="0.35">
      <c r="A2277" s="2" t="s">
        <v>15233</v>
      </c>
      <c r="B2277" s="2">
        <v>205.08611079171999</v>
      </c>
      <c r="C2277" s="2">
        <v>4.0871833333333303</v>
      </c>
      <c r="D2277" s="2" t="s">
        <v>34</v>
      </c>
      <c r="E2277" s="2" t="s">
        <v>15234</v>
      </c>
      <c r="F2277" s="2">
        <v>56155</v>
      </c>
      <c r="G2277" s="3" t="str">
        <f>HYPERLINK("http://funmeta.oebiotech.com/network/56155", "http://funmeta.oebiotech.com/network/56155")</f>
        <v>http://funmeta.oebiotech.com/network/56155</v>
      </c>
      <c r="H2277" s="2" t="s">
        <v>15235</v>
      </c>
      <c r="I2277" s="2">
        <v>87847</v>
      </c>
      <c r="J2277" s="2"/>
      <c r="K2277" s="2">
        <v>168623</v>
      </c>
      <c r="L2277" s="2"/>
      <c r="M2277" s="2"/>
      <c r="N2277" s="2"/>
      <c r="O2277" s="2">
        <v>76551322</v>
      </c>
      <c r="P2277" s="2" t="s">
        <v>15236</v>
      </c>
      <c r="Q2277" s="2" t="s">
        <v>15237</v>
      </c>
      <c r="R2277" s="2" t="s">
        <v>15238</v>
      </c>
      <c r="S2277" s="2" t="s">
        <v>491</v>
      </c>
      <c r="T2277" s="2" t="s">
        <v>15239</v>
      </c>
      <c r="U2277" s="2" t="s">
        <v>41</v>
      </c>
      <c r="V2277" s="2" t="s">
        <v>42</v>
      </c>
      <c r="W2277" s="2">
        <v>48.4</v>
      </c>
      <c r="X2277" s="2">
        <v>52.7</v>
      </c>
      <c r="Y2277" s="2" t="s">
        <v>141</v>
      </c>
      <c r="Z2277" s="2" t="s">
        <v>15240</v>
      </c>
      <c r="AA2277" s="2">
        <v>0.856027633819061</v>
      </c>
      <c r="AB2277" s="2">
        <v>0.35348359758158299</v>
      </c>
      <c r="AC2277" s="2">
        <v>16634.238821451301</v>
      </c>
      <c r="AD2277" s="2">
        <v>25257.417998227</v>
      </c>
      <c r="AE2277" s="2">
        <v>15079.9043100259</v>
      </c>
      <c r="AF2277" s="2">
        <v>19045.019215859302</v>
      </c>
      <c r="AG2277" s="2">
        <v>16066.8764719422</v>
      </c>
      <c r="AH2277" s="2">
        <v>16008.7196051058</v>
      </c>
      <c r="AI2277" s="2">
        <v>16767.939462960399</v>
      </c>
      <c r="AJ2277" s="2">
        <v>16836.973862813898</v>
      </c>
      <c r="AK2277" s="2">
        <v>27672.804703290101</v>
      </c>
      <c r="AL2277" s="2">
        <v>25780.280709250299</v>
      </c>
      <c r="AM2277" s="2">
        <v>25747.732512800201</v>
      </c>
      <c r="AN2277" s="2">
        <v>25113.8347054894</v>
      </c>
      <c r="AO2277" s="2">
        <v>24759.627198381098</v>
      </c>
      <c r="AP2277" s="2">
        <v>22470.228160150898</v>
      </c>
    </row>
    <row r="2278" spans="1:42" ht="14.5" x14ac:dyDescent="0.35">
      <c r="A2278" s="2" t="s">
        <v>15241</v>
      </c>
      <c r="B2278" s="2">
        <v>603.16975452365295</v>
      </c>
      <c r="C2278" s="2">
        <v>4.8488333333333298</v>
      </c>
      <c r="D2278" s="2" t="s">
        <v>34</v>
      </c>
      <c r="E2278" s="2" t="s">
        <v>15242</v>
      </c>
      <c r="F2278" s="2">
        <v>34416</v>
      </c>
      <c r="G2278" s="3" t="str">
        <f>HYPERLINK("http://funmeta.oebiotech.com/network/34416", "http://funmeta.oebiotech.com/network/34416")</f>
        <v>http://funmeta.oebiotech.com/network/34416</v>
      </c>
      <c r="H2278" s="2" t="s">
        <v>15243</v>
      </c>
      <c r="I2278" s="2">
        <v>3604</v>
      </c>
      <c r="J2278" s="2" t="s">
        <v>15244</v>
      </c>
      <c r="K2278" s="2">
        <v>28819</v>
      </c>
      <c r="L2278" s="2" t="s">
        <v>15245</v>
      </c>
      <c r="M2278" s="2" t="s">
        <v>1432</v>
      </c>
      <c r="N2278" s="2" t="s">
        <v>1433</v>
      </c>
      <c r="O2278" s="2">
        <v>442428</v>
      </c>
      <c r="P2278" s="2" t="s">
        <v>15246</v>
      </c>
      <c r="Q2278" s="2" t="s">
        <v>15247</v>
      </c>
      <c r="R2278" s="2" t="s">
        <v>15248</v>
      </c>
      <c r="S2278" s="2" t="s">
        <v>115</v>
      </c>
      <c r="T2278" s="2" t="s">
        <v>139</v>
      </c>
      <c r="U2278" s="2" t="s">
        <v>140</v>
      </c>
      <c r="V2278" s="2" t="s">
        <v>59</v>
      </c>
      <c r="W2278" s="2">
        <v>38.5</v>
      </c>
      <c r="X2278" s="2">
        <v>0</v>
      </c>
      <c r="Y2278" s="2" t="s">
        <v>67</v>
      </c>
      <c r="Z2278" s="2" t="s">
        <v>15249</v>
      </c>
      <c r="AA2278" s="2">
        <v>2.2891954067451299</v>
      </c>
      <c r="AB2278" s="2">
        <v>0.35311811291712702</v>
      </c>
      <c r="AC2278" s="2">
        <v>13743.4002342151</v>
      </c>
      <c r="AD2278" s="2">
        <v>5284.8119128169101</v>
      </c>
      <c r="AE2278" s="2">
        <v>14584.567763683301</v>
      </c>
      <c r="AF2278" s="2">
        <v>13914.370464899301</v>
      </c>
      <c r="AG2278" s="2">
        <v>14478.6842846892</v>
      </c>
      <c r="AH2278" s="2">
        <v>13973.6980059009</v>
      </c>
      <c r="AI2278" s="2">
        <v>13432.297051259</v>
      </c>
      <c r="AJ2278" s="2">
        <v>12076.783834858999</v>
      </c>
      <c r="AK2278" s="2">
        <v>4094.64805071623</v>
      </c>
      <c r="AL2278" s="2">
        <v>3670.2315212531298</v>
      </c>
      <c r="AM2278" s="2">
        <v>6890.7991110136199</v>
      </c>
      <c r="AN2278" s="2">
        <v>4376.0856007953798</v>
      </c>
      <c r="AO2278" s="2">
        <v>5644.3118169310601</v>
      </c>
      <c r="AP2278" s="2">
        <v>7032.7953761920398</v>
      </c>
    </row>
    <row r="2279" spans="1:42" ht="14.5" x14ac:dyDescent="0.35">
      <c r="A2279" s="2" t="s">
        <v>15250</v>
      </c>
      <c r="B2279" s="2">
        <v>635.23360114960099</v>
      </c>
      <c r="C2279" s="2">
        <v>6.0676500000000004</v>
      </c>
      <c r="D2279" s="2" t="s">
        <v>70</v>
      </c>
      <c r="E2279" s="2" t="s">
        <v>15251</v>
      </c>
      <c r="F2279" s="2">
        <v>82799</v>
      </c>
      <c r="G2279" s="3" t="str">
        <f>HYPERLINK("http://funmeta.oebiotech.com/network/82799", "http://funmeta.oebiotech.com/network/82799")</f>
        <v>http://funmeta.oebiotech.com/network/82799</v>
      </c>
      <c r="H2279" s="2" t="s">
        <v>15252</v>
      </c>
      <c r="I2279" s="2">
        <v>2951</v>
      </c>
      <c r="J2279" s="2"/>
      <c r="K2279" s="2"/>
      <c r="L2279" s="2"/>
      <c r="M2279" s="2"/>
      <c r="N2279" s="2"/>
      <c r="O2279" s="2">
        <v>46781630</v>
      </c>
      <c r="P2279" s="2" t="s">
        <v>15253</v>
      </c>
      <c r="Q2279" s="2" t="s">
        <v>15254</v>
      </c>
      <c r="R2279" s="2" t="s">
        <v>15255</v>
      </c>
      <c r="S2279" s="2" t="s">
        <v>148</v>
      </c>
      <c r="T2279" s="2" t="s">
        <v>149</v>
      </c>
      <c r="U2279" s="2" t="s">
        <v>10041</v>
      </c>
      <c r="V2279" s="2" t="s">
        <v>59</v>
      </c>
      <c r="W2279" s="2">
        <v>38.700000000000003</v>
      </c>
      <c r="X2279" s="2">
        <v>0</v>
      </c>
      <c r="Y2279" s="2" t="s">
        <v>560</v>
      </c>
      <c r="Z2279" s="2" t="s">
        <v>15256</v>
      </c>
      <c r="AA2279" s="2">
        <v>4.1233526028122096</v>
      </c>
      <c r="AB2279" s="2">
        <v>0.35295200455659198</v>
      </c>
      <c r="AC2279" s="2">
        <v>9359.6307030571897</v>
      </c>
      <c r="AD2279" s="2">
        <v>748.77321442487698</v>
      </c>
      <c r="AE2279" s="2">
        <v>11077.326278426701</v>
      </c>
      <c r="AF2279" s="2">
        <v>7036.9801024454</v>
      </c>
      <c r="AG2279" s="2">
        <v>7816.9203477231003</v>
      </c>
      <c r="AH2279" s="2">
        <v>8655.81075783913</v>
      </c>
      <c r="AI2279" s="2">
        <v>9246.3160861131091</v>
      </c>
      <c r="AJ2279" s="2">
        <v>12324.430645795699</v>
      </c>
      <c r="AK2279" s="2">
        <v>721.72501723959999</v>
      </c>
      <c r="AL2279" s="2">
        <v>2.7106294003980101E-5</v>
      </c>
      <c r="AM2279" s="2">
        <v>2.7106294003980101E-5</v>
      </c>
      <c r="AN2279" s="2">
        <v>2245.9119123451101</v>
      </c>
      <c r="AO2279" s="2">
        <v>935.49718742397295</v>
      </c>
      <c r="AP2279" s="2">
        <v>589.50511532799203</v>
      </c>
    </row>
    <row r="2280" spans="1:42" ht="14.5" x14ac:dyDescent="0.35">
      <c r="A2280" s="2" t="s">
        <v>15257</v>
      </c>
      <c r="B2280" s="2">
        <v>147.08022180919099</v>
      </c>
      <c r="C2280" s="2">
        <v>7.0664166666666697</v>
      </c>
      <c r="D2280" s="2" t="s">
        <v>34</v>
      </c>
      <c r="E2280" s="2" t="s">
        <v>15258</v>
      </c>
      <c r="F2280" s="2">
        <v>59105</v>
      </c>
      <c r="G2280" s="3" t="str">
        <f>HYPERLINK("http://funmeta.oebiotech.com/network/59105", "http://funmeta.oebiotech.com/network/59105")</f>
        <v>http://funmeta.oebiotech.com/network/59105</v>
      </c>
      <c r="H2280" s="2" t="s">
        <v>15259</v>
      </c>
      <c r="I2280" s="2">
        <v>67998</v>
      </c>
      <c r="J2280" s="2"/>
      <c r="K2280" s="2">
        <v>10447</v>
      </c>
      <c r="L2280" s="2" t="s">
        <v>15260</v>
      </c>
      <c r="M2280" s="2"/>
      <c r="N2280" s="2"/>
      <c r="O2280" s="2">
        <v>3611</v>
      </c>
      <c r="P2280" s="2" t="s">
        <v>15261</v>
      </c>
      <c r="Q2280" s="2" t="s">
        <v>15262</v>
      </c>
      <c r="R2280" s="2" t="s">
        <v>15263</v>
      </c>
      <c r="S2280" s="2" t="s">
        <v>11257</v>
      </c>
      <c r="T2280" s="2" t="s">
        <v>11258</v>
      </c>
      <c r="U2280" s="2" t="s">
        <v>15264</v>
      </c>
      <c r="V2280" s="2" t="s">
        <v>42</v>
      </c>
      <c r="W2280" s="2">
        <v>50.7</v>
      </c>
      <c r="X2280" s="2">
        <v>63</v>
      </c>
      <c r="Y2280" s="2" t="s">
        <v>141</v>
      </c>
      <c r="Z2280" s="2" t="s">
        <v>15265</v>
      </c>
      <c r="AA2280" s="2">
        <v>-1.33812639011529</v>
      </c>
      <c r="AB2280" s="2">
        <v>0.35268435012858601</v>
      </c>
      <c r="AC2280" s="2">
        <v>13340.417859233299</v>
      </c>
      <c r="AD2280" s="2">
        <v>5117.9011069575799</v>
      </c>
      <c r="AE2280" s="2">
        <v>12638.8625739163</v>
      </c>
      <c r="AF2280" s="2">
        <v>12675.8246803897</v>
      </c>
      <c r="AG2280" s="2">
        <v>14646.4882371862</v>
      </c>
      <c r="AH2280" s="2">
        <v>13207.7248341086</v>
      </c>
      <c r="AI2280" s="2">
        <v>12916.5216376956</v>
      </c>
      <c r="AJ2280" s="2">
        <v>13957.085192103101</v>
      </c>
      <c r="AK2280" s="2">
        <v>5427.8518343322903</v>
      </c>
      <c r="AL2280" s="2">
        <v>5187.6945721222401</v>
      </c>
      <c r="AM2280" s="2">
        <v>5079.0055797267996</v>
      </c>
      <c r="AN2280" s="2">
        <v>4732.6515172709696</v>
      </c>
      <c r="AO2280" s="2">
        <v>5127.2209646143501</v>
      </c>
      <c r="AP2280" s="2">
        <v>5152.9821736788199</v>
      </c>
    </row>
    <row r="2281" spans="1:42" ht="14.5" x14ac:dyDescent="0.35">
      <c r="A2281" s="2" t="s">
        <v>15266</v>
      </c>
      <c r="B2281" s="2">
        <v>176.10660333758801</v>
      </c>
      <c r="C2281" s="2">
        <v>6.9616666666666696</v>
      </c>
      <c r="D2281" s="2" t="s">
        <v>34</v>
      </c>
      <c r="E2281" s="2" t="s">
        <v>15267</v>
      </c>
      <c r="F2281" s="2">
        <v>201267</v>
      </c>
      <c r="G2281" s="3" t="str">
        <f>HYPERLINK("http://funmeta.oebiotech.com/network/201267", "http://funmeta.oebiotech.com/network/201267")</f>
        <v>http://funmeta.oebiotech.com/network/201267</v>
      </c>
      <c r="H2281" s="2" t="s">
        <v>15268</v>
      </c>
      <c r="I2281" s="2"/>
      <c r="J2281" s="2"/>
      <c r="K2281" s="2"/>
      <c r="L2281" s="2"/>
      <c r="M2281" s="2"/>
      <c r="N2281" s="2"/>
      <c r="O2281" s="2">
        <v>64814</v>
      </c>
      <c r="P2281" s="2"/>
      <c r="Q2281" s="2" t="s">
        <v>15269</v>
      </c>
      <c r="R2281" s="2" t="s">
        <v>15270</v>
      </c>
      <c r="S2281" s="2" t="s">
        <v>148</v>
      </c>
      <c r="T2281" s="2" t="s">
        <v>149</v>
      </c>
      <c r="U2281" s="2" t="s">
        <v>15271</v>
      </c>
      <c r="V2281" s="2" t="s">
        <v>42</v>
      </c>
      <c r="W2281" s="2">
        <v>47.5</v>
      </c>
      <c r="X2281" s="2">
        <v>47.2</v>
      </c>
      <c r="Y2281" s="2" t="s">
        <v>141</v>
      </c>
      <c r="Z2281" s="2" t="s">
        <v>8455</v>
      </c>
      <c r="AA2281" s="2">
        <v>-2.0047476741058601</v>
      </c>
      <c r="AB2281" s="2">
        <v>0.35226941087521702</v>
      </c>
      <c r="AC2281" s="2">
        <v>20305.4053948412</v>
      </c>
      <c r="AD2281" s="2">
        <v>11903.2394550469</v>
      </c>
      <c r="AE2281" s="2">
        <v>20238.598833616299</v>
      </c>
      <c r="AF2281" s="2">
        <v>21821.481420716798</v>
      </c>
      <c r="AG2281" s="2">
        <v>21718.613154021099</v>
      </c>
      <c r="AH2281" s="2">
        <v>20573.977142817999</v>
      </c>
      <c r="AI2281" s="2">
        <v>17448.5406108971</v>
      </c>
      <c r="AJ2281" s="2">
        <v>20031.221206978</v>
      </c>
      <c r="AK2281" s="2">
        <v>11312.264323351899</v>
      </c>
      <c r="AL2281" s="2">
        <v>11169.006377417099</v>
      </c>
      <c r="AM2281" s="2">
        <v>13231.084039952801</v>
      </c>
      <c r="AN2281" s="2">
        <v>11268.066137895399</v>
      </c>
      <c r="AO2281" s="2">
        <v>12267.246200765499</v>
      </c>
      <c r="AP2281" s="2">
        <v>12171.769650898899</v>
      </c>
    </row>
    <row r="2282" spans="1:42" ht="14.5" x14ac:dyDescent="0.35">
      <c r="A2282" s="2" t="s">
        <v>15272</v>
      </c>
      <c r="B2282" s="2">
        <v>367.10338977642999</v>
      </c>
      <c r="C2282" s="2">
        <v>3.6738166666666698</v>
      </c>
      <c r="D2282" s="2" t="s">
        <v>70</v>
      </c>
      <c r="E2282" s="2" t="s">
        <v>15273</v>
      </c>
      <c r="F2282" s="2">
        <v>63193</v>
      </c>
      <c r="G2282" s="3" t="str">
        <f>HYPERLINK("http://funmeta.oebiotech.com/network/63193", "http://funmeta.oebiotech.com/network/63193")</f>
        <v>http://funmeta.oebiotech.com/network/63193</v>
      </c>
      <c r="H2282" s="2" t="s">
        <v>15274</v>
      </c>
      <c r="I2282" s="2">
        <v>94501</v>
      </c>
      <c r="J2282" s="2"/>
      <c r="K2282" s="2">
        <v>175715</v>
      </c>
      <c r="L2282" s="2"/>
      <c r="M2282" s="2"/>
      <c r="N2282" s="2"/>
      <c r="O2282" s="2">
        <v>131752768</v>
      </c>
      <c r="P2282" s="2"/>
      <c r="Q2282" s="2" t="s">
        <v>15275</v>
      </c>
      <c r="R2282" s="2" t="s">
        <v>15276</v>
      </c>
      <c r="S2282" s="2" t="s">
        <v>79</v>
      </c>
      <c r="T2282" s="2" t="s">
        <v>80</v>
      </c>
      <c r="U2282" s="2" t="s">
        <v>2021</v>
      </c>
      <c r="V2282" s="2" t="s">
        <v>59</v>
      </c>
      <c r="W2282" s="2">
        <v>44.9</v>
      </c>
      <c r="X2282" s="2">
        <v>29</v>
      </c>
      <c r="Y2282" s="2" t="s">
        <v>118</v>
      </c>
      <c r="Z2282" s="2" t="s">
        <v>15277</v>
      </c>
      <c r="AA2282" s="2">
        <v>-0.17931835339404301</v>
      </c>
      <c r="AB2282" s="2">
        <v>0.35204029622477301</v>
      </c>
      <c r="AC2282" s="2">
        <v>17831.612888727501</v>
      </c>
      <c r="AD2282" s="2">
        <v>26131.115621822599</v>
      </c>
      <c r="AE2282" s="2">
        <v>17759.1718579628</v>
      </c>
      <c r="AF2282" s="2">
        <v>18606.634650033098</v>
      </c>
      <c r="AG2282" s="2">
        <v>17387.129848488799</v>
      </c>
      <c r="AH2282" s="2">
        <v>16247.307991723501</v>
      </c>
      <c r="AI2282" s="2">
        <v>17943.2903962153</v>
      </c>
      <c r="AJ2282" s="2">
        <v>19046.1425879417</v>
      </c>
      <c r="AK2282" s="2">
        <v>24802.961848393501</v>
      </c>
      <c r="AL2282" s="2">
        <v>25867.0526314284</v>
      </c>
      <c r="AM2282" s="2">
        <v>27157.7643008823</v>
      </c>
      <c r="AN2282" s="2">
        <v>27246.790993222599</v>
      </c>
      <c r="AO2282" s="2">
        <v>25717.9615727567</v>
      </c>
      <c r="AP2282" s="2">
        <v>25994.162384251798</v>
      </c>
    </row>
    <row r="2283" spans="1:42" ht="14.5" x14ac:dyDescent="0.35">
      <c r="A2283" s="2" t="s">
        <v>15278</v>
      </c>
      <c r="B2283" s="2">
        <v>332.133828633772</v>
      </c>
      <c r="C2283" s="2">
        <v>1.06171666666667</v>
      </c>
      <c r="D2283" s="2" t="s">
        <v>34</v>
      </c>
      <c r="E2283" s="2" t="s">
        <v>15279</v>
      </c>
      <c r="F2283" s="2">
        <v>364440</v>
      </c>
      <c r="G2283" s="3" t="str">
        <f>HYPERLINK("http://funmeta.oebiotech.com/network/364440", "http://funmeta.oebiotech.com/network/364440")</f>
        <v>http://funmeta.oebiotech.com/network/364440</v>
      </c>
      <c r="H2283" s="2"/>
      <c r="I2283" s="2">
        <v>440188</v>
      </c>
      <c r="J2283" s="2"/>
      <c r="K2283" s="2"/>
      <c r="L2283" s="2"/>
      <c r="M2283" s="2"/>
      <c r="N2283" s="2"/>
      <c r="O2283" s="2">
        <v>3075062</v>
      </c>
      <c r="P2283" s="2"/>
      <c r="Q2283" s="2" t="s">
        <v>15280</v>
      </c>
      <c r="R2283" s="2" t="s">
        <v>15281</v>
      </c>
      <c r="S2283" s="2" t="s">
        <v>41</v>
      </c>
      <c r="T2283" s="2" t="s">
        <v>41</v>
      </c>
      <c r="U2283" s="2" t="s">
        <v>41</v>
      </c>
      <c r="V2283" s="2" t="s">
        <v>42</v>
      </c>
      <c r="W2283" s="2">
        <v>48.8</v>
      </c>
      <c r="X2283" s="2">
        <v>47.9</v>
      </c>
      <c r="Y2283" s="2" t="s">
        <v>266</v>
      </c>
      <c r="Z2283" s="2" t="s">
        <v>15282</v>
      </c>
      <c r="AA2283" s="2">
        <v>-0.49658625943518497</v>
      </c>
      <c r="AB2283" s="2">
        <v>0.35190775872066399</v>
      </c>
      <c r="AC2283" s="2">
        <v>754156.00810526195</v>
      </c>
      <c r="AD2283" s="2">
        <v>774690.07037003397</v>
      </c>
      <c r="AE2283" s="2">
        <v>761072.51432105596</v>
      </c>
      <c r="AF2283" s="2">
        <v>744528.69353652396</v>
      </c>
      <c r="AG2283" s="2">
        <v>735103.89503607701</v>
      </c>
      <c r="AH2283" s="2">
        <v>784308.05881161196</v>
      </c>
      <c r="AI2283" s="2">
        <v>766497.50271342904</v>
      </c>
      <c r="AJ2283" s="2">
        <v>733425.38421287597</v>
      </c>
      <c r="AK2283" s="2">
        <v>812015.38480074704</v>
      </c>
      <c r="AL2283" s="2">
        <v>733266.46678162599</v>
      </c>
      <c r="AM2283" s="2">
        <v>791556.15767183795</v>
      </c>
      <c r="AN2283" s="2">
        <v>780609.54585560202</v>
      </c>
      <c r="AO2283" s="2">
        <v>793787.69232623104</v>
      </c>
      <c r="AP2283" s="2">
        <v>736905.17478415999</v>
      </c>
    </row>
    <row r="2284" spans="1:42" ht="14.5" x14ac:dyDescent="0.35">
      <c r="A2284" s="2" t="s">
        <v>15283</v>
      </c>
      <c r="B2284" s="2">
        <v>493.38851039936401</v>
      </c>
      <c r="C2284" s="2">
        <v>11.935600000000001</v>
      </c>
      <c r="D2284" s="2" t="s">
        <v>34</v>
      </c>
      <c r="E2284" s="2" t="s">
        <v>15284</v>
      </c>
      <c r="F2284" s="2">
        <v>113751</v>
      </c>
      <c r="G2284" s="3" t="str">
        <f>HYPERLINK("http://funmeta.oebiotech.com/network/113751", "http://funmeta.oebiotech.com/network/113751")</f>
        <v>http://funmeta.oebiotech.com/network/113751</v>
      </c>
      <c r="H2284" s="2" t="s">
        <v>15285</v>
      </c>
      <c r="I2284" s="2"/>
      <c r="J2284" s="2"/>
      <c r="K2284" s="2"/>
      <c r="L2284" s="2"/>
      <c r="M2284" s="2"/>
      <c r="N2284" s="2"/>
      <c r="O2284" s="2">
        <v>131800020</v>
      </c>
      <c r="P2284" s="2"/>
      <c r="Q2284" s="2" t="s">
        <v>15286</v>
      </c>
      <c r="R2284" s="2" t="s">
        <v>15287</v>
      </c>
      <c r="S2284" s="2" t="s">
        <v>50</v>
      </c>
      <c r="T2284" s="2" t="s">
        <v>448</v>
      </c>
      <c r="U2284" s="2" t="s">
        <v>1864</v>
      </c>
      <c r="V2284" s="2" t="s">
        <v>59</v>
      </c>
      <c r="W2284" s="2">
        <v>41.5</v>
      </c>
      <c r="X2284" s="2">
        <v>16.399999999999999</v>
      </c>
      <c r="Y2284" s="2" t="s">
        <v>323</v>
      </c>
      <c r="Z2284" s="2" t="s">
        <v>15288</v>
      </c>
      <c r="AA2284" s="2">
        <v>4.6022598130659196</v>
      </c>
      <c r="AB2284" s="2">
        <v>0.35184042408091298</v>
      </c>
      <c r="AC2284" s="2">
        <v>28856.152813392499</v>
      </c>
      <c r="AD2284" s="2">
        <v>20475.617304347899</v>
      </c>
      <c r="AE2284" s="2">
        <v>28290.323939987298</v>
      </c>
      <c r="AF2284" s="2">
        <v>29238.039069676201</v>
      </c>
      <c r="AG2284" s="2">
        <v>29337.536538443401</v>
      </c>
      <c r="AH2284" s="2">
        <v>28717.870249927601</v>
      </c>
      <c r="AI2284" s="2">
        <v>27757.919913294201</v>
      </c>
      <c r="AJ2284" s="2">
        <v>29795.227169026599</v>
      </c>
      <c r="AK2284" s="2">
        <v>20577.042103272899</v>
      </c>
      <c r="AL2284" s="2">
        <v>19994.1475360595</v>
      </c>
      <c r="AM2284" s="2">
        <v>18008.598066991199</v>
      </c>
      <c r="AN2284" s="2">
        <v>20044.249869126401</v>
      </c>
      <c r="AO2284" s="2">
        <v>22080.733825203301</v>
      </c>
      <c r="AP2284" s="2">
        <v>22148.932425434301</v>
      </c>
    </row>
    <row r="2285" spans="1:42" ht="14.5" x14ac:dyDescent="0.35">
      <c r="A2285" s="2" t="s">
        <v>15289</v>
      </c>
      <c r="B2285" s="2">
        <v>519.16865364898797</v>
      </c>
      <c r="C2285" s="2">
        <v>1.11073333333333</v>
      </c>
      <c r="D2285" s="2" t="s">
        <v>34</v>
      </c>
      <c r="E2285" s="2" t="s">
        <v>15290</v>
      </c>
      <c r="F2285" s="2">
        <v>289917</v>
      </c>
      <c r="G2285" s="3" t="str">
        <f>HYPERLINK("http://funmeta.oebiotech.com/network/289917", "http://funmeta.oebiotech.com/network/289917")</f>
        <v>http://funmeta.oebiotech.com/network/289917</v>
      </c>
      <c r="H2285" s="2"/>
      <c r="I2285" s="2">
        <v>985245</v>
      </c>
      <c r="J2285" s="2"/>
      <c r="K2285" s="2"/>
      <c r="L2285" s="2"/>
      <c r="M2285" s="2"/>
      <c r="N2285" s="2"/>
      <c r="O2285" s="2">
        <v>6326020</v>
      </c>
      <c r="P2285" s="2"/>
      <c r="Q2285" s="2" t="s">
        <v>15291</v>
      </c>
      <c r="R2285" s="2" t="s">
        <v>15292</v>
      </c>
      <c r="S2285" s="2" t="s">
        <v>115</v>
      </c>
      <c r="T2285" s="2" t="s">
        <v>116</v>
      </c>
      <c r="U2285" s="2" t="s">
        <v>117</v>
      </c>
      <c r="V2285" s="2" t="s">
        <v>59</v>
      </c>
      <c r="W2285" s="2">
        <v>37.9</v>
      </c>
      <c r="X2285" s="2">
        <v>0</v>
      </c>
      <c r="Y2285" s="2" t="s">
        <v>394</v>
      </c>
      <c r="Z2285" s="2" t="s">
        <v>15293</v>
      </c>
      <c r="AA2285" s="2">
        <v>-4.20411456566117</v>
      </c>
      <c r="AB2285" s="2">
        <v>0.35181281002075099</v>
      </c>
      <c r="AC2285" s="2">
        <v>20498.442933431001</v>
      </c>
      <c r="AD2285" s="2">
        <v>29623.5922227273</v>
      </c>
      <c r="AE2285" s="2">
        <v>18576.546607179102</v>
      </c>
      <c r="AF2285" s="2">
        <v>19731.6019814188</v>
      </c>
      <c r="AG2285" s="2">
        <v>22081.147143616901</v>
      </c>
      <c r="AH2285" s="2">
        <v>19771.260533463799</v>
      </c>
      <c r="AI2285" s="2">
        <v>21394.297562552802</v>
      </c>
      <c r="AJ2285" s="2">
        <v>21435.8037723544</v>
      </c>
      <c r="AK2285" s="2">
        <v>30079.681738282299</v>
      </c>
      <c r="AL2285" s="2">
        <v>23494.748764154501</v>
      </c>
      <c r="AM2285" s="2">
        <v>27834.182690073299</v>
      </c>
      <c r="AN2285" s="2">
        <v>32175.932451538301</v>
      </c>
      <c r="AO2285" s="2">
        <v>31794.413130059998</v>
      </c>
      <c r="AP2285" s="2">
        <v>32362.594562255199</v>
      </c>
    </row>
    <row r="2286" spans="1:42" ht="14.5" x14ac:dyDescent="0.35">
      <c r="A2286" s="2" t="s">
        <v>15294</v>
      </c>
      <c r="B2286" s="2">
        <v>567.31762817551396</v>
      </c>
      <c r="C2286" s="2">
        <v>4.6857333333333298</v>
      </c>
      <c r="D2286" s="2" t="s">
        <v>70</v>
      </c>
      <c r="E2286" s="2" t="s">
        <v>15295</v>
      </c>
      <c r="F2286" s="2">
        <v>46634</v>
      </c>
      <c r="G2286" s="3" t="str">
        <f>HYPERLINK("http://funmeta.oebiotech.com/network/46634", "http://funmeta.oebiotech.com/network/46634")</f>
        <v>http://funmeta.oebiotech.com/network/46634</v>
      </c>
      <c r="H2286" s="2"/>
      <c r="I2286" s="2"/>
      <c r="J2286" s="2" t="s">
        <v>15296</v>
      </c>
      <c r="K2286" s="2">
        <v>137822</v>
      </c>
      <c r="L2286" s="2" t="s">
        <v>15297</v>
      </c>
      <c r="M2286" s="2"/>
      <c r="N2286" s="2"/>
      <c r="O2286" s="2">
        <v>443097</v>
      </c>
      <c r="P2286" s="2"/>
      <c r="Q2286" s="2" t="s">
        <v>15298</v>
      </c>
      <c r="R2286" s="2" t="s">
        <v>15299</v>
      </c>
      <c r="S2286" s="2" t="s">
        <v>50</v>
      </c>
      <c r="T2286" s="2" t="s">
        <v>124</v>
      </c>
      <c r="U2286" s="2" t="s">
        <v>523</v>
      </c>
      <c r="V2286" s="2" t="s">
        <v>59</v>
      </c>
      <c r="W2286" s="2">
        <v>42.3</v>
      </c>
      <c r="X2286" s="2">
        <v>19.399999999999999</v>
      </c>
      <c r="Y2286" s="2" t="s">
        <v>118</v>
      </c>
      <c r="Z2286" s="2" t="s">
        <v>12902</v>
      </c>
      <c r="AA2286" s="2">
        <v>0.27602625885157001</v>
      </c>
      <c r="AB2286" s="2">
        <v>0.35168960951815997</v>
      </c>
      <c r="AC2286" s="2">
        <v>53672.943655954703</v>
      </c>
      <c r="AD2286" s="2">
        <v>44371.789104035699</v>
      </c>
      <c r="AE2286" s="2">
        <v>51615.830795616399</v>
      </c>
      <c r="AF2286" s="2">
        <v>56097.3642137926</v>
      </c>
      <c r="AG2286" s="2">
        <v>49986.564985287099</v>
      </c>
      <c r="AH2286" s="2">
        <v>54231.425230337103</v>
      </c>
      <c r="AI2286" s="2">
        <v>57324.517620480598</v>
      </c>
      <c r="AJ2286" s="2">
        <v>52781.959090214601</v>
      </c>
      <c r="AK2286" s="2">
        <v>42701.457416709804</v>
      </c>
      <c r="AL2286" s="2">
        <v>43232.092960920701</v>
      </c>
      <c r="AM2286" s="2">
        <v>46725.316867781199</v>
      </c>
      <c r="AN2286" s="2">
        <v>42258.470671591997</v>
      </c>
      <c r="AO2286" s="2">
        <v>48894.053644832602</v>
      </c>
      <c r="AP2286" s="2">
        <v>42419.343062377702</v>
      </c>
    </row>
    <row r="2287" spans="1:42" ht="14.5" x14ac:dyDescent="0.35">
      <c r="A2287" s="2" t="s">
        <v>15300</v>
      </c>
      <c r="B2287" s="2">
        <v>280.12249485677199</v>
      </c>
      <c r="C2287" s="2">
        <v>3.6614666666666702</v>
      </c>
      <c r="D2287" s="2" t="s">
        <v>34</v>
      </c>
      <c r="E2287" s="2" t="s">
        <v>15301</v>
      </c>
      <c r="F2287" s="2">
        <v>212431</v>
      </c>
      <c r="G2287" s="3" t="str">
        <f>HYPERLINK("http://funmeta.oebiotech.com/network/212431", "http://funmeta.oebiotech.com/network/212431")</f>
        <v>http://funmeta.oebiotech.com/network/212431</v>
      </c>
      <c r="H2287" s="2" t="s">
        <v>15302</v>
      </c>
      <c r="I2287" s="2">
        <v>333869</v>
      </c>
      <c r="J2287" s="2"/>
      <c r="K2287" s="2"/>
      <c r="L2287" s="2"/>
      <c r="M2287" s="2"/>
      <c r="N2287" s="2"/>
      <c r="O2287" s="2">
        <v>66706</v>
      </c>
      <c r="P2287" s="2"/>
      <c r="Q2287" s="2" t="s">
        <v>15303</v>
      </c>
      <c r="R2287" s="2" t="s">
        <v>15304</v>
      </c>
      <c r="S2287" s="2" t="s">
        <v>491</v>
      </c>
      <c r="T2287" s="2" t="s">
        <v>4517</v>
      </c>
      <c r="U2287" s="2" t="s">
        <v>4518</v>
      </c>
      <c r="V2287" s="2" t="s">
        <v>59</v>
      </c>
      <c r="W2287" s="2">
        <v>36.6</v>
      </c>
      <c r="X2287" s="2">
        <v>0</v>
      </c>
      <c r="Y2287" s="2" t="s">
        <v>43</v>
      </c>
      <c r="Z2287" s="2" t="s">
        <v>15305</v>
      </c>
      <c r="AA2287" s="2">
        <v>-0.62101451273019803</v>
      </c>
      <c r="AB2287" s="2">
        <v>0.35163414900974199</v>
      </c>
      <c r="AC2287" s="2">
        <v>8859.6098852738905</v>
      </c>
      <c r="AD2287" s="2">
        <v>639.97076781001897</v>
      </c>
      <c r="AE2287" s="2">
        <v>7239.4536527950904</v>
      </c>
      <c r="AF2287" s="2">
        <v>9794.1189727431902</v>
      </c>
      <c r="AG2287" s="2">
        <v>9634.9386886376105</v>
      </c>
      <c r="AH2287" s="2">
        <v>9516.9566298606605</v>
      </c>
      <c r="AI2287" s="2">
        <v>7683.8026082377401</v>
      </c>
      <c r="AJ2287" s="2">
        <v>9288.3887593690197</v>
      </c>
      <c r="AK2287" s="2">
        <v>738.50322742957303</v>
      </c>
      <c r="AL2287" s="2">
        <v>621.85019218662899</v>
      </c>
      <c r="AM2287" s="2">
        <v>748.93729446490602</v>
      </c>
      <c r="AN2287" s="2">
        <v>672.89425800654396</v>
      </c>
      <c r="AO2287" s="2">
        <v>433.17884073026102</v>
      </c>
      <c r="AP2287" s="2">
        <v>624.460794042202</v>
      </c>
    </row>
    <row r="2288" spans="1:42" ht="14.5" x14ac:dyDescent="0.35">
      <c r="A2288" s="2" t="s">
        <v>15306</v>
      </c>
      <c r="B2288" s="2">
        <v>795.41303130148799</v>
      </c>
      <c r="C2288" s="2">
        <v>9.4668666666666699</v>
      </c>
      <c r="D2288" s="2" t="s">
        <v>34</v>
      </c>
      <c r="E2288" s="2" t="s">
        <v>15307</v>
      </c>
      <c r="F2288" s="2">
        <v>58590</v>
      </c>
      <c r="G2288" s="3" t="str">
        <f>HYPERLINK("http://funmeta.oebiotech.com/network/58590", "http://funmeta.oebiotech.com/network/58590")</f>
        <v>http://funmeta.oebiotech.com/network/58590</v>
      </c>
      <c r="H2288" s="2" t="s">
        <v>15308</v>
      </c>
      <c r="I2288" s="2">
        <v>90058</v>
      </c>
      <c r="J2288" s="2"/>
      <c r="K2288" s="2"/>
      <c r="L2288" s="2"/>
      <c r="M2288" s="2"/>
      <c r="N2288" s="2"/>
      <c r="O2288" s="2">
        <v>89421</v>
      </c>
      <c r="P2288" s="2" t="s">
        <v>15309</v>
      </c>
      <c r="Q2288" s="2" t="s">
        <v>15310</v>
      </c>
      <c r="R2288" s="2" t="s">
        <v>15311</v>
      </c>
      <c r="S2288" s="2" t="s">
        <v>50</v>
      </c>
      <c r="T2288" s="2" t="s">
        <v>124</v>
      </c>
      <c r="U2288" s="2" t="s">
        <v>523</v>
      </c>
      <c r="V2288" s="2" t="s">
        <v>59</v>
      </c>
      <c r="W2288" s="2">
        <v>40.1</v>
      </c>
      <c r="X2288" s="2">
        <v>16.8</v>
      </c>
      <c r="Y2288" s="2" t="s">
        <v>323</v>
      </c>
      <c r="Z2288" s="2" t="s">
        <v>10061</v>
      </c>
      <c r="AA2288" s="2">
        <v>-0.92012147724106796</v>
      </c>
      <c r="AB2288" s="2">
        <v>0.35105974957680203</v>
      </c>
      <c r="AC2288" s="2">
        <v>124593.611591653</v>
      </c>
      <c r="AD2288" s="2">
        <v>136313.32008081101</v>
      </c>
      <c r="AE2288" s="2">
        <v>121579.015252393</v>
      </c>
      <c r="AF2288" s="2">
        <v>108800.1116525</v>
      </c>
      <c r="AG2288" s="2">
        <v>126535.875284565</v>
      </c>
      <c r="AH2288" s="2">
        <v>125004.699197718</v>
      </c>
      <c r="AI2288" s="2">
        <v>129978.408327952</v>
      </c>
      <c r="AJ2288" s="2">
        <v>135663.559834791</v>
      </c>
      <c r="AK2288" s="2">
        <v>137902.20501591</v>
      </c>
      <c r="AL2288" s="2">
        <v>137735.71200896901</v>
      </c>
      <c r="AM2288" s="2">
        <v>137001.03445517199</v>
      </c>
      <c r="AN2288" s="2">
        <v>130058.35382735499</v>
      </c>
      <c r="AO2288" s="2">
        <v>136174.61514395001</v>
      </c>
      <c r="AP2288" s="2">
        <v>139008.00003351201</v>
      </c>
    </row>
    <row r="2289" spans="1:42" ht="14.5" x14ac:dyDescent="0.35">
      <c r="A2289" s="2" t="s">
        <v>15312</v>
      </c>
      <c r="B2289" s="2">
        <v>611.208856470059</v>
      </c>
      <c r="C2289" s="2">
        <v>4.5663166666666699</v>
      </c>
      <c r="D2289" s="2" t="s">
        <v>34</v>
      </c>
      <c r="E2289" s="2" t="s">
        <v>15313</v>
      </c>
      <c r="F2289" s="2">
        <v>33897</v>
      </c>
      <c r="G2289" s="3" t="str">
        <f>HYPERLINK("http://funmeta.oebiotech.com/network/33897", "http://funmeta.oebiotech.com/network/33897")</f>
        <v>http://funmeta.oebiotech.com/network/33897</v>
      </c>
      <c r="H2289" s="2"/>
      <c r="I2289" s="2"/>
      <c r="J2289" s="2" t="s">
        <v>15314</v>
      </c>
      <c r="K2289" s="2"/>
      <c r="L2289" s="2"/>
      <c r="M2289" s="2"/>
      <c r="N2289" s="2"/>
      <c r="O2289" s="2">
        <v>42607657</v>
      </c>
      <c r="P2289" s="2"/>
      <c r="Q2289" s="2" t="s">
        <v>15315</v>
      </c>
      <c r="R2289" s="2" t="s">
        <v>15316</v>
      </c>
      <c r="S2289" s="2" t="s">
        <v>115</v>
      </c>
      <c r="T2289" s="2" t="s">
        <v>116</v>
      </c>
      <c r="U2289" s="2" t="s">
        <v>117</v>
      </c>
      <c r="V2289" s="2" t="s">
        <v>59</v>
      </c>
      <c r="W2289" s="2">
        <v>38</v>
      </c>
      <c r="X2289" s="2">
        <v>0</v>
      </c>
      <c r="Y2289" s="2" t="s">
        <v>43</v>
      </c>
      <c r="Z2289" s="2" t="s">
        <v>15317</v>
      </c>
      <c r="AA2289" s="2">
        <v>0.97149707687070397</v>
      </c>
      <c r="AB2289" s="2">
        <v>0.35099737431789702</v>
      </c>
      <c r="AC2289" s="2">
        <v>48803.496969243497</v>
      </c>
      <c r="AD2289" s="2">
        <v>59729.118469798697</v>
      </c>
      <c r="AE2289" s="2">
        <v>51233.939054189803</v>
      </c>
      <c r="AF2289" s="2">
        <v>47416.565766398096</v>
      </c>
      <c r="AG2289" s="2">
        <v>46659.378752092103</v>
      </c>
      <c r="AH2289" s="2">
        <v>43110.597039040302</v>
      </c>
      <c r="AI2289" s="2">
        <v>56841.378489479299</v>
      </c>
      <c r="AJ2289" s="2">
        <v>47559.122714261299</v>
      </c>
      <c r="AK2289" s="2">
        <v>66486.274024548795</v>
      </c>
      <c r="AL2289" s="2">
        <v>67696.135097064005</v>
      </c>
      <c r="AM2289" s="2">
        <v>55997.309251133302</v>
      </c>
      <c r="AN2289" s="2">
        <v>56483.3661641129</v>
      </c>
      <c r="AO2289" s="2">
        <v>52389.9660559806</v>
      </c>
      <c r="AP2289" s="2">
        <v>59321.660225952699</v>
      </c>
    </row>
    <row r="2290" spans="1:42" ht="14.5" x14ac:dyDescent="0.35">
      <c r="A2290" s="2" t="s">
        <v>15318</v>
      </c>
      <c r="B2290" s="2">
        <v>903.49455251952497</v>
      </c>
      <c r="C2290" s="2">
        <v>10.835366666666699</v>
      </c>
      <c r="D2290" s="2" t="s">
        <v>70</v>
      </c>
      <c r="E2290" s="2" t="s">
        <v>15319</v>
      </c>
      <c r="F2290" s="2">
        <v>61744</v>
      </c>
      <c r="G2290" s="3" t="str">
        <f>HYPERLINK("http://funmeta.oebiotech.com/network/61744", "http://funmeta.oebiotech.com/network/61744")</f>
        <v>http://funmeta.oebiotech.com/network/61744</v>
      </c>
      <c r="H2290" s="2" t="s">
        <v>15320</v>
      </c>
      <c r="I2290" s="2">
        <v>93066</v>
      </c>
      <c r="J2290" s="2"/>
      <c r="K2290" s="2"/>
      <c r="L2290" s="2"/>
      <c r="M2290" s="2"/>
      <c r="N2290" s="2"/>
      <c r="O2290" s="2">
        <v>74821812</v>
      </c>
      <c r="P2290" s="2" t="s">
        <v>15321</v>
      </c>
      <c r="Q2290" s="2" t="s">
        <v>15322</v>
      </c>
      <c r="R2290" s="2" t="s">
        <v>15323</v>
      </c>
      <c r="S2290" s="2" t="s">
        <v>50</v>
      </c>
      <c r="T2290" s="2" t="s">
        <v>124</v>
      </c>
      <c r="U2290" s="2" t="s">
        <v>523</v>
      </c>
      <c r="V2290" s="2" t="s">
        <v>59</v>
      </c>
      <c r="W2290" s="2">
        <v>37.6</v>
      </c>
      <c r="X2290" s="2">
        <v>0</v>
      </c>
      <c r="Y2290" s="2" t="s">
        <v>118</v>
      </c>
      <c r="Z2290" s="2" t="s">
        <v>15324</v>
      </c>
      <c r="AA2290" s="2">
        <v>-1.4777591998689299</v>
      </c>
      <c r="AB2290" s="2">
        <v>0.350898232368483</v>
      </c>
      <c r="AC2290" s="2">
        <v>11801.815695141901</v>
      </c>
      <c r="AD2290" s="2">
        <v>20255.637132518099</v>
      </c>
      <c r="AE2290" s="2">
        <v>13748.583981727999</v>
      </c>
      <c r="AF2290" s="2">
        <v>11007.481309885199</v>
      </c>
      <c r="AG2290" s="2">
        <v>11779.9076264545</v>
      </c>
      <c r="AH2290" s="2">
        <v>10515.881051058101</v>
      </c>
      <c r="AI2290" s="2">
        <v>12122.7731250615</v>
      </c>
      <c r="AJ2290" s="2">
        <v>11636.2670766641</v>
      </c>
      <c r="AK2290" s="2">
        <v>19824.5207624145</v>
      </c>
      <c r="AL2290" s="2">
        <v>17702.173464839099</v>
      </c>
      <c r="AM2290" s="2">
        <v>21531.521063884298</v>
      </c>
      <c r="AN2290" s="2">
        <v>21044.1614207975</v>
      </c>
      <c r="AO2290" s="2">
        <v>19032.0521713448</v>
      </c>
      <c r="AP2290" s="2">
        <v>22399.3939118282</v>
      </c>
    </row>
    <row r="2291" spans="1:42" ht="14.5" x14ac:dyDescent="0.35">
      <c r="A2291" s="2" t="s">
        <v>15325</v>
      </c>
      <c r="B2291" s="2">
        <v>103.050260353558</v>
      </c>
      <c r="C2291" s="2">
        <v>0.62124999999999997</v>
      </c>
      <c r="D2291" s="2" t="s">
        <v>34</v>
      </c>
      <c r="E2291" s="2" t="s">
        <v>15326</v>
      </c>
      <c r="F2291" s="2">
        <v>35138</v>
      </c>
      <c r="G2291" s="3" t="str">
        <f>HYPERLINK("http://funmeta.oebiotech.com/network/35138", "http://funmeta.oebiotech.com/network/35138")</f>
        <v>http://funmeta.oebiotech.com/network/35138</v>
      </c>
      <c r="H2291" s="2" t="s">
        <v>15327</v>
      </c>
      <c r="I2291" s="2">
        <v>1918</v>
      </c>
      <c r="J2291" s="2" t="s">
        <v>15328</v>
      </c>
      <c r="K2291" s="2">
        <v>40009</v>
      </c>
      <c r="L2291" s="2" t="s">
        <v>15329</v>
      </c>
      <c r="M2291" s="2" t="s">
        <v>15330</v>
      </c>
      <c r="N2291" s="2" t="s">
        <v>15331</v>
      </c>
      <c r="O2291" s="2">
        <v>6234</v>
      </c>
      <c r="P2291" s="2" t="s">
        <v>15332</v>
      </c>
      <c r="Q2291" s="2" t="s">
        <v>15333</v>
      </c>
      <c r="R2291" s="2" t="s">
        <v>15334</v>
      </c>
      <c r="S2291" s="2" t="s">
        <v>491</v>
      </c>
      <c r="T2291" s="2" t="s">
        <v>15335</v>
      </c>
      <c r="U2291" s="2" t="s">
        <v>15336</v>
      </c>
      <c r="V2291" s="2" t="s">
        <v>59</v>
      </c>
      <c r="W2291" s="2">
        <v>37.9</v>
      </c>
      <c r="X2291" s="2">
        <v>0.94899999999999995</v>
      </c>
      <c r="Y2291" s="2" t="s">
        <v>394</v>
      </c>
      <c r="Z2291" s="2" t="s">
        <v>15337</v>
      </c>
      <c r="AA2291" s="2">
        <v>0.55349664497084805</v>
      </c>
      <c r="AB2291" s="2">
        <v>0.35073908537010601</v>
      </c>
      <c r="AC2291" s="2">
        <v>103341.938220179</v>
      </c>
      <c r="AD2291" s="2">
        <v>89893.151377471295</v>
      </c>
      <c r="AE2291" s="2">
        <v>110609.21100429801</v>
      </c>
      <c r="AF2291" s="2">
        <v>125793.502223327</v>
      </c>
      <c r="AG2291" s="2">
        <v>101353.632813562</v>
      </c>
      <c r="AH2291" s="2">
        <v>90251.613121645103</v>
      </c>
      <c r="AI2291" s="2">
        <v>102771.583800026</v>
      </c>
      <c r="AJ2291" s="2">
        <v>89272.086358213695</v>
      </c>
      <c r="AK2291" s="2">
        <v>87484.3092170038</v>
      </c>
      <c r="AL2291" s="2">
        <v>94933.992674159497</v>
      </c>
      <c r="AM2291" s="2">
        <v>93118.055638909602</v>
      </c>
      <c r="AN2291" s="2">
        <v>89348.226921435402</v>
      </c>
      <c r="AO2291" s="2">
        <v>88346.434195546404</v>
      </c>
      <c r="AP2291" s="2">
        <v>86127.889617773093</v>
      </c>
    </row>
    <row r="2292" spans="1:42" ht="14.5" x14ac:dyDescent="0.35">
      <c r="A2292" s="2" t="s">
        <v>15338</v>
      </c>
      <c r="B2292" s="2">
        <v>447.02263199894998</v>
      </c>
      <c r="C2292" s="2">
        <v>3.35293333333333</v>
      </c>
      <c r="D2292" s="2" t="s">
        <v>70</v>
      </c>
      <c r="E2292" s="2" t="s">
        <v>15339</v>
      </c>
      <c r="F2292" s="2">
        <v>47490</v>
      </c>
      <c r="G2292" s="3" t="str">
        <f>HYPERLINK("http://funmeta.oebiotech.com/network/47490", "http://funmeta.oebiotech.com/network/47490")</f>
        <v>http://funmeta.oebiotech.com/network/47490</v>
      </c>
      <c r="H2292" s="2" t="s">
        <v>15340</v>
      </c>
      <c r="I2292" s="2">
        <v>6129</v>
      </c>
      <c r="J2292" s="2"/>
      <c r="K2292" s="2">
        <v>18075</v>
      </c>
      <c r="L2292" s="2" t="s">
        <v>15341</v>
      </c>
      <c r="M2292" s="2" t="s">
        <v>15342</v>
      </c>
      <c r="N2292" s="2" t="s">
        <v>15343</v>
      </c>
      <c r="O2292" s="2">
        <v>164628</v>
      </c>
      <c r="P2292" s="2" t="s">
        <v>15344</v>
      </c>
      <c r="Q2292" s="2" t="s">
        <v>15345</v>
      </c>
      <c r="R2292" s="2" t="s">
        <v>15346</v>
      </c>
      <c r="S2292" s="2" t="s">
        <v>1444</v>
      </c>
      <c r="T2292" s="2" t="s">
        <v>4040</v>
      </c>
      <c r="U2292" s="2" t="s">
        <v>15347</v>
      </c>
      <c r="V2292" s="2" t="s">
        <v>42</v>
      </c>
      <c r="W2292" s="2">
        <v>49.2</v>
      </c>
      <c r="X2292" s="2">
        <v>53.9</v>
      </c>
      <c r="Y2292" s="2" t="s">
        <v>286</v>
      </c>
      <c r="Z2292" s="2" t="s">
        <v>15348</v>
      </c>
      <c r="AA2292" s="2">
        <v>3.72250175069609</v>
      </c>
      <c r="AB2292" s="2">
        <v>0.35062082925107202</v>
      </c>
      <c r="AC2292" s="2">
        <v>228429.76247074301</v>
      </c>
      <c r="AD2292" s="2">
        <v>240922.742921739</v>
      </c>
      <c r="AE2292" s="2">
        <v>227519.39231410201</v>
      </c>
      <c r="AF2292" s="2">
        <v>223791.14081106501</v>
      </c>
      <c r="AG2292" s="2">
        <v>224557.85805515599</v>
      </c>
      <c r="AH2292" s="2">
        <v>230110.486216833</v>
      </c>
      <c r="AI2292" s="2">
        <v>244197.947709206</v>
      </c>
      <c r="AJ2292" s="2">
        <v>220401.749718095</v>
      </c>
      <c r="AK2292" s="2">
        <v>245158.28391227199</v>
      </c>
      <c r="AL2292" s="2">
        <v>244904.95568246499</v>
      </c>
      <c r="AM2292" s="2">
        <v>251912.622747499</v>
      </c>
      <c r="AN2292" s="2">
        <v>238664.068829503</v>
      </c>
      <c r="AO2292" s="2">
        <v>228231.07518607401</v>
      </c>
      <c r="AP2292" s="2">
        <v>236665.45117261799</v>
      </c>
    </row>
    <row r="2293" spans="1:42" ht="14.5" x14ac:dyDescent="0.35">
      <c r="A2293" s="2" t="s">
        <v>15349</v>
      </c>
      <c r="B2293" s="2">
        <v>244.09255707487199</v>
      </c>
      <c r="C2293" s="2">
        <v>0.75019999999999998</v>
      </c>
      <c r="D2293" s="2" t="s">
        <v>34</v>
      </c>
      <c r="E2293" s="2" t="s">
        <v>15350</v>
      </c>
      <c r="F2293" s="2">
        <v>53235</v>
      </c>
      <c r="G2293" s="3" t="str">
        <f>HYPERLINK("http://funmeta.oebiotech.com/network/53235", "http://funmeta.oebiotech.com/network/53235")</f>
        <v>http://funmeta.oebiotech.com/network/53235</v>
      </c>
      <c r="H2293" s="2" t="s">
        <v>15351</v>
      </c>
      <c r="I2293" s="2">
        <v>567</v>
      </c>
      <c r="J2293" s="2"/>
      <c r="K2293" s="2">
        <v>28680</v>
      </c>
      <c r="L2293" s="2" t="s">
        <v>15352</v>
      </c>
      <c r="M2293" s="2"/>
      <c r="N2293" s="2"/>
      <c r="O2293" s="2">
        <v>6253</v>
      </c>
      <c r="P2293" s="2" t="s">
        <v>15353</v>
      </c>
      <c r="Q2293" s="2" t="s">
        <v>15354</v>
      </c>
      <c r="R2293" s="2" t="s">
        <v>15355</v>
      </c>
      <c r="S2293" s="2" t="s">
        <v>1444</v>
      </c>
      <c r="T2293" s="2" t="s">
        <v>10689</v>
      </c>
      <c r="U2293" s="2" t="s">
        <v>41</v>
      </c>
      <c r="V2293" s="2" t="s">
        <v>59</v>
      </c>
      <c r="W2293" s="2">
        <v>44.3</v>
      </c>
      <c r="X2293" s="2">
        <v>27.1</v>
      </c>
      <c r="Y2293" s="2" t="s">
        <v>394</v>
      </c>
      <c r="Z2293" s="2" t="s">
        <v>15356</v>
      </c>
      <c r="AA2293" s="2">
        <v>-0.98683885971636498</v>
      </c>
      <c r="AB2293" s="2">
        <v>0.35038819399082</v>
      </c>
      <c r="AC2293" s="2">
        <v>53504.829173124599</v>
      </c>
      <c r="AD2293" s="2">
        <v>43958.799993426997</v>
      </c>
      <c r="AE2293" s="2">
        <v>49268.166265951702</v>
      </c>
      <c r="AF2293" s="2">
        <v>57473.905047439301</v>
      </c>
      <c r="AG2293" s="2">
        <v>58498.519205313503</v>
      </c>
      <c r="AH2293" s="2">
        <v>54375.082824959703</v>
      </c>
      <c r="AI2293" s="2">
        <v>49795.4820775435</v>
      </c>
      <c r="AJ2293" s="2">
        <v>51617.819617540103</v>
      </c>
      <c r="AK2293" s="2">
        <v>46106.099029224897</v>
      </c>
      <c r="AL2293" s="2">
        <v>48649.256499174197</v>
      </c>
      <c r="AM2293" s="2">
        <v>40628.521280433699</v>
      </c>
      <c r="AN2293" s="2">
        <v>42485.341725807601</v>
      </c>
      <c r="AO2293" s="2">
        <v>42416.333681795499</v>
      </c>
      <c r="AP2293" s="2">
        <v>43467.247744126398</v>
      </c>
    </row>
    <row r="2294" spans="1:42" ht="14.5" x14ac:dyDescent="0.35">
      <c r="A2294" s="2" t="s">
        <v>15357</v>
      </c>
      <c r="B2294" s="2">
        <v>851.48185271586897</v>
      </c>
      <c r="C2294" s="2">
        <v>5.1518499999999996</v>
      </c>
      <c r="D2294" s="2" t="s">
        <v>34</v>
      </c>
      <c r="E2294" s="2" t="s">
        <v>15358</v>
      </c>
      <c r="F2294" s="2">
        <v>23716</v>
      </c>
      <c r="G2294" s="3" t="str">
        <f>HYPERLINK("http://funmeta.oebiotech.com/network/23716", "http://funmeta.oebiotech.com/network/23716")</f>
        <v>http://funmeta.oebiotech.com/network/23716</v>
      </c>
      <c r="H2294" s="2" t="s">
        <v>15359</v>
      </c>
      <c r="I2294" s="2"/>
      <c r="J2294" s="2" t="s">
        <v>15360</v>
      </c>
      <c r="K2294" s="2"/>
      <c r="L2294" s="2"/>
      <c r="M2294" s="2"/>
      <c r="N2294" s="2"/>
      <c r="O2294" s="2">
        <v>9547136</v>
      </c>
      <c r="P2294" s="2"/>
      <c r="Q2294" s="2" t="s">
        <v>15361</v>
      </c>
      <c r="R2294" s="2" t="s">
        <v>15362</v>
      </c>
      <c r="S2294" s="2" t="s">
        <v>50</v>
      </c>
      <c r="T2294" s="2" t="s">
        <v>51</v>
      </c>
      <c r="U2294" s="2" t="s">
        <v>1989</v>
      </c>
      <c r="V2294" s="2" t="s">
        <v>59</v>
      </c>
      <c r="W2294" s="2">
        <v>36.6</v>
      </c>
      <c r="X2294" s="2">
        <v>0</v>
      </c>
      <c r="Y2294" s="2" t="s">
        <v>323</v>
      </c>
      <c r="Z2294" s="2" t="s">
        <v>15363</v>
      </c>
      <c r="AA2294" s="2">
        <v>1.04553860980878</v>
      </c>
      <c r="AB2294" s="2">
        <v>0.35015891571598101</v>
      </c>
      <c r="AC2294" s="2">
        <v>101129.384920251</v>
      </c>
      <c r="AD2294" s="2">
        <v>87520.285005625701</v>
      </c>
      <c r="AE2294" s="2">
        <v>106330.919264563</v>
      </c>
      <c r="AF2294" s="2">
        <v>110394.299151589</v>
      </c>
      <c r="AG2294" s="2">
        <v>107008.73921741699</v>
      </c>
      <c r="AH2294" s="2">
        <v>103128.62202271599</v>
      </c>
      <c r="AI2294" s="2">
        <v>101793.25845475</v>
      </c>
      <c r="AJ2294" s="2">
        <v>78120.471410473605</v>
      </c>
      <c r="AK2294" s="2">
        <v>74930.783621794399</v>
      </c>
      <c r="AL2294" s="2">
        <v>80642.485689902896</v>
      </c>
      <c r="AM2294" s="2">
        <v>88860.639193504001</v>
      </c>
      <c r="AN2294" s="2">
        <v>96695.836908414494</v>
      </c>
      <c r="AO2294" s="2">
        <v>94235.144247382501</v>
      </c>
      <c r="AP2294" s="2">
        <v>89756.820372755901</v>
      </c>
    </row>
    <row r="2295" spans="1:42" ht="14.5" x14ac:dyDescent="0.35">
      <c r="A2295" s="2" t="s">
        <v>15364</v>
      </c>
      <c r="B2295" s="2">
        <v>563.03135366872903</v>
      </c>
      <c r="C2295" s="2">
        <v>10.0275</v>
      </c>
      <c r="D2295" s="2" t="s">
        <v>70</v>
      </c>
      <c r="E2295" s="2" t="s">
        <v>15365</v>
      </c>
      <c r="F2295" s="2">
        <v>257336</v>
      </c>
      <c r="G2295" s="3" t="str">
        <f>HYPERLINK("http://funmeta.oebiotech.com/network/257336", "http://funmeta.oebiotech.com/network/257336")</f>
        <v>http://funmeta.oebiotech.com/network/257336</v>
      </c>
      <c r="H2295" s="2" t="s">
        <v>15366</v>
      </c>
      <c r="I2295" s="2"/>
      <c r="J2295" s="2"/>
      <c r="K2295" s="2"/>
      <c r="L2295" s="2"/>
      <c r="M2295" s="2"/>
      <c r="N2295" s="2"/>
      <c r="O2295" s="2">
        <v>4523445</v>
      </c>
      <c r="P2295" s="2"/>
      <c r="Q2295" s="2" t="s">
        <v>15367</v>
      </c>
      <c r="R2295" s="2" t="s">
        <v>15368</v>
      </c>
      <c r="S2295" s="2" t="s">
        <v>1444</v>
      </c>
      <c r="T2295" s="2" t="s">
        <v>4040</v>
      </c>
      <c r="U2295" s="2" t="s">
        <v>4041</v>
      </c>
      <c r="V2295" s="2" t="s">
        <v>59</v>
      </c>
      <c r="W2295" s="2">
        <v>37.5</v>
      </c>
      <c r="X2295" s="2">
        <v>0</v>
      </c>
      <c r="Y2295" s="2" t="s">
        <v>118</v>
      </c>
      <c r="Z2295" s="2" t="s">
        <v>15369</v>
      </c>
      <c r="AA2295" s="2">
        <v>-1.3126866133581401</v>
      </c>
      <c r="AB2295" s="2">
        <v>0.34980588387831002</v>
      </c>
      <c r="AC2295" s="2">
        <v>72696.996337625998</v>
      </c>
      <c r="AD2295" s="2">
        <v>81062.998419131502</v>
      </c>
      <c r="AE2295" s="2">
        <v>74095.2812977828</v>
      </c>
      <c r="AF2295" s="2">
        <v>71947.166380120398</v>
      </c>
      <c r="AG2295" s="2">
        <v>72571.963931325299</v>
      </c>
      <c r="AH2295" s="2">
        <v>72694.058809426802</v>
      </c>
      <c r="AI2295" s="2">
        <v>73324.009568468595</v>
      </c>
      <c r="AJ2295" s="2">
        <v>71549.498038631893</v>
      </c>
      <c r="AK2295" s="2">
        <v>82124.236608425897</v>
      </c>
      <c r="AL2295" s="2">
        <v>81259.6704920169</v>
      </c>
      <c r="AM2295" s="2">
        <v>81994.559493562905</v>
      </c>
      <c r="AN2295" s="2">
        <v>80175.547404048499</v>
      </c>
      <c r="AO2295" s="2">
        <v>82703.404133558506</v>
      </c>
      <c r="AP2295" s="2">
        <v>78120.572383176506</v>
      </c>
    </row>
    <row r="2296" spans="1:42" ht="14.5" x14ac:dyDescent="0.35">
      <c r="A2296" s="2" t="s">
        <v>15370</v>
      </c>
      <c r="B2296" s="2">
        <v>273.14834043028497</v>
      </c>
      <c r="C2296" s="2">
        <v>4.4450666666666701</v>
      </c>
      <c r="D2296" s="2" t="s">
        <v>34</v>
      </c>
      <c r="E2296" s="2" t="s">
        <v>15371</v>
      </c>
      <c r="F2296" s="2">
        <v>467917</v>
      </c>
      <c r="G2296" s="3" t="str">
        <f>HYPERLINK("http://funmeta.oebiotech.com/network/467917", "http://funmeta.oebiotech.com/network/467917")</f>
        <v>http://funmeta.oebiotech.com/network/467917</v>
      </c>
      <c r="H2296" s="2" t="s">
        <v>15372</v>
      </c>
      <c r="I2296" s="2">
        <v>86292</v>
      </c>
      <c r="J2296" s="2"/>
      <c r="K2296" s="2"/>
      <c r="L2296" s="2"/>
      <c r="M2296" s="2"/>
      <c r="N2296" s="2"/>
      <c r="O2296" s="2">
        <v>9796015</v>
      </c>
      <c r="P2296" s="2" t="s">
        <v>15373</v>
      </c>
      <c r="Q2296" s="2" t="s">
        <v>15374</v>
      </c>
      <c r="R2296" s="2" t="s">
        <v>15375</v>
      </c>
      <c r="S2296" s="2" t="s">
        <v>115</v>
      </c>
      <c r="T2296" s="2" t="s">
        <v>116</v>
      </c>
      <c r="U2296" s="2" t="s">
        <v>117</v>
      </c>
      <c r="V2296" s="2" t="s">
        <v>59</v>
      </c>
      <c r="W2296" s="2">
        <v>38.4</v>
      </c>
      <c r="X2296" s="2">
        <v>0</v>
      </c>
      <c r="Y2296" s="2" t="s">
        <v>266</v>
      </c>
      <c r="Z2296" s="2" t="s">
        <v>1594</v>
      </c>
      <c r="AA2296" s="2">
        <v>-0.62210018908883702</v>
      </c>
      <c r="AB2296" s="2">
        <v>0.34929917182122999</v>
      </c>
      <c r="AC2296" s="2">
        <v>26540.6475593914</v>
      </c>
      <c r="AD2296" s="2">
        <v>35341.449170939697</v>
      </c>
      <c r="AE2296" s="2">
        <v>25523.592969011599</v>
      </c>
      <c r="AF2296" s="2">
        <v>26504.808881196299</v>
      </c>
      <c r="AG2296" s="2">
        <v>27745.540212895601</v>
      </c>
      <c r="AH2296" s="2">
        <v>25533.605152666099</v>
      </c>
      <c r="AI2296" s="2">
        <v>23021.934088310602</v>
      </c>
      <c r="AJ2296" s="2">
        <v>30914.404052268099</v>
      </c>
      <c r="AK2296" s="2">
        <v>36755.467336671201</v>
      </c>
      <c r="AL2296" s="2">
        <v>36455.179547202999</v>
      </c>
      <c r="AM2296" s="2">
        <v>36492.3029787618</v>
      </c>
      <c r="AN2296" s="2">
        <v>34129.131481838798</v>
      </c>
      <c r="AO2296" s="2">
        <v>34774.605155744801</v>
      </c>
      <c r="AP2296" s="2">
        <v>33442.0085254183</v>
      </c>
    </row>
    <row r="2297" spans="1:42" ht="14.5" x14ac:dyDescent="0.35">
      <c r="A2297" s="2" t="s">
        <v>15376</v>
      </c>
      <c r="B2297" s="2">
        <v>225.06101562711001</v>
      </c>
      <c r="C2297" s="2">
        <v>3.6547999999999998</v>
      </c>
      <c r="D2297" s="2" t="s">
        <v>70</v>
      </c>
      <c r="E2297" s="2" t="s">
        <v>15377</v>
      </c>
      <c r="F2297" s="2">
        <v>46880</v>
      </c>
      <c r="G2297" s="3" t="str">
        <f>HYPERLINK("http://funmeta.oebiotech.com/network/46880", "http://funmeta.oebiotech.com/network/46880")</f>
        <v>http://funmeta.oebiotech.com/network/46880</v>
      </c>
      <c r="H2297" s="2" t="s">
        <v>15378</v>
      </c>
      <c r="I2297" s="2"/>
      <c r="J2297" s="2"/>
      <c r="K2297" s="2">
        <v>15903</v>
      </c>
      <c r="L2297" s="2" t="s">
        <v>15379</v>
      </c>
      <c r="M2297" s="2" t="s">
        <v>15380</v>
      </c>
      <c r="N2297" s="2" t="s">
        <v>15381</v>
      </c>
      <c r="O2297" s="2">
        <v>64689</v>
      </c>
      <c r="P2297" s="2" t="s">
        <v>15382</v>
      </c>
      <c r="Q2297" s="2" t="s">
        <v>15383</v>
      </c>
      <c r="R2297" s="2" t="s">
        <v>15384</v>
      </c>
      <c r="S2297" s="2" t="s">
        <v>79</v>
      </c>
      <c r="T2297" s="2" t="s">
        <v>80</v>
      </c>
      <c r="U2297" s="2" t="s">
        <v>81</v>
      </c>
      <c r="V2297" s="2" t="s">
        <v>59</v>
      </c>
      <c r="W2297" s="2">
        <v>47.9</v>
      </c>
      <c r="X2297" s="2">
        <v>44.4</v>
      </c>
      <c r="Y2297" s="2" t="s">
        <v>1654</v>
      </c>
      <c r="Z2297" s="2" t="s">
        <v>4663</v>
      </c>
      <c r="AA2297" s="2">
        <v>-3.1952363868346998</v>
      </c>
      <c r="AB2297" s="2">
        <v>0.34910511503578801</v>
      </c>
      <c r="AC2297" s="2">
        <v>19943.214035802001</v>
      </c>
      <c r="AD2297" s="2">
        <v>11399.624938687801</v>
      </c>
      <c r="AE2297" s="2">
        <v>17897.678788302299</v>
      </c>
      <c r="AF2297" s="2">
        <v>21857.197219436901</v>
      </c>
      <c r="AG2297" s="2">
        <v>18409.1138412031</v>
      </c>
      <c r="AH2297" s="2">
        <v>19710.374256124302</v>
      </c>
      <c r="AI2297" s="2">
        <v>23139.6081070131</v>
      </c>
      <c r="AJ2297" s="2">
        <v>18645.312002732098</v>
      </c>
      <c r="AK2297" s="2">
        <v>9867.5920931161909</v>
      </c>
      <c r="AL2297" s="2">
        <v>10387.7168098862</v>
      </c>
      <c r="AM2297" s="2">
        <v>11425.602280217299</v>
      </c>
      <c r="AN2297" s="2">
        <v>11933.5943780498</v>
      </c>
      <c r="AO2297" s="2">
        <v>12117.9130617885</v>
      </c>
      <c r="AP2297" s="2">
        <v>12665.331009068899</v>
      </c>
    </row>
    <row r="2298" spans="1:42" ht="14.5" x14ac:dyDescent="0.35">
      <c r="A2298" s="2" t="s">
        <v>15385</v>
      </c>
      <c r="B2298" s="2">
        <v>765.321727662576</v>
      </c>
      <c r="C2298" s="2">
        <v>7.3561666666666703</v>
      </c>
      <c r="D2298" s="2" t="s">
        <v>70</v>
      </c>
      <c r="E2298" s="2" t="s">
        <v>15386</v>
      </c>
      <c r="F2298" s="2">
        <v>208883</v>
      </c>
      <c r="G2298" s="3" t="str">
        <f>HYPERLINK("http://funmeta.oebiotech.com/network/208883", "http://funmeta.oebiotech.com/network/208883")</f>
        <v>http://funmeta.oebiotech.com/network/208883</v>
      </c>
      <c r="H2298" s="2" t="s">
        <v>15387</v>
      </c>
      <c r="I2298" s="2"/>
      <c r="J2298" s="2"/>
      <c r="K2298" s="2"/>
      <c r="L2298" s="2"/>
      <c r="M2298" s="2"/>
      <c r="N2298" s="2"/>
      <c r="O2298" s="2">
        <v>119058044</v>
      </c>
      <c r="P2298" s="2"/>
      <c r="Q2298" s="2" t="s">
        <v>15388</v>
      </c>
      <c r="R2298" s="2" t="s">
        <v>15389</v>
      </c>
      <c r="S2298" s="2" t="s">
        <v>89</v>
      </c>
      <c r="T2298" s="2" t="s">
        <v>90</v>
      </c>
      <c r="U2298" s="2" t="s">
        <v>99</v>
      </c>
      <c r="V2298" s="2" t="s">
        <v>59</v>
      </c>
      <c r="W2298" s="2">
        <v>38.799999999999997</v>
      </c>
      <c r="X2298" s="2">
        <v>0.314</v>
      </c>
      <c r="Y2298" s="2" t="s">
        <v>560</v>
      </c>
      <c r="Z2298" s="2" t="s">
        <v>15390</v>
      </c>
      <c r="AA2298" s="2">
        <v>-4.63282243205628E-2</v>
      </c>
      <c r="AB2298" s="2">
        <v>0.34905795592296002</v>
      </c>
      <c r="AC2298" s="2">
        <v>4367.5069415274102</v>
      </c>
      <c r="AD2298" s="2">
        <v>12678.216483181001</v>
      </c>
      <c r="AE2298" s="2">
        <v>4471.6073866622401</v>
      </c>
      <c r="AF2298" s="2">
        <v>5310.84870652471</v>
      </c>
      <c r="AG2298" s="2">
        <v>4774.5301822807396</v>
      </c>
      <c r="AH2298" s="2">
        <v>4136.8528760281097</v>
      </c>
      <c r="AI2298" s="2">
        <v>5590.1262903676898</v>
      </c>
      <c r="AJ2298" s="2">
        <v>1921.0762073010001</v>
      </c>
      <c r="AK2298" s="2">
        <v>11205.209292872099</v>
      </c>
      <c r="AL2298" s="2">
        <v>11116.2068360637</v>
      </c>
      <c r="AM2298" s="2">
        <v>14013.9472706588</v>
      </c>
      <c r="AN2298" s="2">
        <v>12348.744741103999</v>
      </c>
      <c r="AO2298" s="2">
        <v>13137.110487576299</v>
      </c>
      <c r="AP2298" s="2">
        <v>14248.0802708111</v>
      </c>
    </row>
    <row r="2299" spans="1:42" ht="14.5" x14ac:dyDescent="0.35">
      <c r="A2299" s="2" t="s">
        <v>15391</v>
      </c>
      <c r="B2299" s="2">
        <v>1063.51311040785</v>
      </c>
      <c r="C2299" s="2">
        <v>12.7561</v>
      </c>
      <c r="D2299" s="2" t="s">
        <v>70</v>
      </c>
      <c r="E2299" s="2" t="s">
        <v>15392</v>
      </c>
      <c r="F2299" s="2">
        <v>233351</v>
      </c>
      <c r="G2299" s="3" t="str">
        <f>HYPERLINK("http://funmeta.oebiotech.com/network/233351", "http://funmeta.oebiotech.com/network/233351")</f>
        <v>http://funmeta.oebiotech.com/network/233351</v>
      </c>
      <c r="H2299" s="2" t="s">
        <v>15393</v>
      </c>
      <c r="I2299" s="2"/>
      <c r="J2299" s="2"/>
      <c r="K2299" s="2"/>
      <c r="L2299" s="2"/>
      <c r="M2299" s="2"/>
      <c r="N2299" s="2"/>
      <c r="O2299" s="2"/>
      <c r="P2299" s="2"/>
      <c r="Q2299" s="2" t="s">
        <v>15394</v>
      </c>
      <c r="R2299" s="2" t="s">
        <v>15395</v>
      </c>
      <c r="S2299" s="2" t="s">
        <v>41</v>
      </c>
      <c r="T2299" s="2" t="s">
        <v>41</v>
      </c>
      <c r="U2299" s="2" t="s">
        <v>41</v>
      </c>
      <c r="V2299" s="2" t="s">
        <v>59</v>
      </c>
      <c r="W2299" s="2">
        <v>38.200000000000003</v>
      </c>
      <c r="X2299" s="2">
        <v>0</v>
      </c>
      <c r="Y2299" s="2" t="s">
        <v>118</v>
      </c>
      <c r="Z2299" s="2" t="s">
        <v>15396</v>
      </c>
      <c r="AA2299" s="2">
        <v>-3.25680800935669</v>
      </c>
      <c r="AB2299" s="2">
        <v>0.34897761861216398</v>
      </c>
      <c r="AC2299" s="2">
        <v>39687.804969327997</v>
      </c>
      <c r="AD2299" s="2">
        <v>28552.647300348199</v>
      </c>
      <c r="AE2299" s="2">
        <v>34919.862901311702</v>
      </c>
      <c r="AF2299" s="2">
        <v>31886.351541138101</v>
      </c>
      <c r="AG2299" s="2">
        <v>34793.207371927099</v>
      </c>
      <c r="AH2299" s="2">
        <v>44869.421220561802</v>
      </c>
      <c r="AI2299" s="2">
        <v>46696.680440497403</v>
      </c>
      <c r="AJ2299" s="2">
        <v>44961.306340532203</v>
      </c>
      <c r="AK2299" s="2">
        <v>36083.374509037203</v>
      </c>
      <c r="AL2299" s="2">
        <v>23730.535121677302</v>
      </c>
      <c r="AM2299" s="2">
        <v>22569.1940513591</v>
      </c>
      <c r="AN2299" s="2">
        <v>28639.759016621399</v>
      </c>
      <c r="AO2299" s="2">
        <v>30408.011304928099</v>
      </c>
      <c r="AP2299" s="2">
        <v>29885.009798465999</v>
      </c>
    </row>
    <row r="2300" spans="1:42" ht="14.5" x14ac:dyDescent="0.35">
      <c r="A2300" s="2" t="s">
        <v>15397</v>
      </c>
      <c r="B2300" s="2">
        <v>205.08589508974001</v>
      </c>
      <c r="C2300" s="2">
        <v>11.0433</v>
      </c>
      <c r="D2300" s="2" t="s">
        <v>34</v>
      </c>
      <c r="E2300" s="2" t="s">
        <v>15398</v>
      </c>
      <c r="F2300" s="2">
        <v>47783</v>
      </c>
      <c r="G2300" s="3" t="str">
        <f>HYPERLINK("http://funmeta.oebiotech.com/network/47783", "http://funmeta.oebiotech.com/network/47783")</f>
        <v>http://funmeta.oebiotech.com/network/47783</v>
      </c>
      <c r="H2300" s="2" t="s">
        <v>15399</v>
      </c>
      <c r="I2300" s="2">
        <v>58086</v>
      </c>
      <c r="J2300" s="2"/>
      <c r="K2300" s="2">
        <v>90038</v>
      </c>
      <c r="L2300" s="2"/>
      <c r="M2300" s="2"/>
      <c r="N2300" s="2"/>
      <c r="O2300" s="2">
        <v>92272</v>
      </c>
      <c r="P2300" s="2" t="s">
        <v>15400</v>
      </c>
      <c r="Q2300" s="2" t="s">
        <v>15401</v>
      </c>
      <c r="R2300" s="2" t="s">
        <v>15402</v>
      </c>
      <c r="S2300" s="2" t="s">
        <v>148</v>
      </c>
      <c r="T2300" s="2" t="s">
        <v>149</v>
      </c>
      <c r="U2300" s="2" t="s">
        <v>1593</v>
      </c>
      <c r="V2300" s="2" t="s">
        <v>59</v>
      </c>
      <c r="W2300" s="2">
        <v>46.3</v>
      </c>
      <c r="X2300" s="2">
        <v>34.299999999999997</v>
      </c>
      <c r="Y2300" s="2" t="s">
        <v>141</v>
      </c>
      <c r="Z2300" s="2" t="s">
        <v>15240</v>
      </c>
      <c r="AA2300" s="2">
        <v>-0.115212620477825</v>
      </c>
      <c r="AB2300" s="2">
        <v>0.34889550729393298</v>
      </c>
      <c r="AC2300" s="2">
        <v>16563.432209237701</v>
      </c>
      <c r="AD2300" s="2">
        <v>24631.193237976498</v>
      </c>
      <c r="AE2300" s="2">
        <v>15795.8546861582</v>
      </c>
      <c r="AF2300" s="2">
        <v>17154.369572341198</v>
      </c>
      <c r="AG2300" s="2">
        <v>17258.615314500701</v>
      </c>
      <c r="AH2300" s="2">
        <v>16941.4768544707</v>
      </c>
      <c r="AI2300" s="2">
        <v>16291.7161642718</v>
      </c>
      <c r="AJ2300" s="2">
        <v>15938.5606636837</v>
      </c>
      <c r="AK2300" s="2">
        <v>24085.626144448801</v>
      </c>
      <c r="AL2300" s="2">
        <v>24795.880451957099</v>
      </c>
      <c r="AM2300" s="2">
        <v>24966.095106246099</v>
      </c>
      <c r="AN2300" s="2">
        <v>25302.9422225325</v>
      </c>
      <c r="AO2300" s="2">
        <v>24953.9075420718</v>
      </c>
      <c r="AP2300" s="2">
        <v>23682.707960602602</v>
      </c>
    </row>
    <row r="2301" spans="1:42" ht="14.5" x14ac:dyDescent="0.35">
      <c r="A2301" s="2" t="s">
        <v>15403</v>
      </c>
      <c r="B2301" s="2">
        <v>305.17574548296602</v>
      </c>
      <c r="C2301" s="2">
        <v>9.2409999999999997</v>
      </c>
      <c r="D2301" s="2" t="s">
        <v>70</v>
      </c>
      <c r="E2301" s="2" t="s">
        <v>15404</v>
      </c>
      <c r="F2301" s="2">
        <v>52079</v>
      </c>
      <c r="G2301" s="3" t="str">
        <f>HYPERLINK("http://funmeta.oebiotech.com/network/52079", "http://funmeta.oebiotech.com/network/52079")</f>
        <v>http://funmeta.oebiotech.com/network/52079</v>
      </c>
      <c r="H2301" s="2" t="s">
        <v>15405</v>
      </c>
      <c r="I2301" s="2"/>
      <c r="J2301" s="2"/>
      <c r="K2301" s="2"/>
      <c r="L2301" s="2"/>
      <c r="M2301" s="2"/>
      <c r="N2301" s="2"/>
      <c r="O2301" s="2">
        <v>134159052</v>
      </c>
      <c r="P2301" s="2" t="s">
        <v>15406</v>
      </c>
      <c r="Q2301" s="2" t="s">
        <v>15407</v>
      </c>
      <c r="R2301" s="2" t="s">
        <v>15408</v>
      </c>
      <c r="S2301" s="2" t="s">
        <v>491</v>
      </c>
      <c r="T2301" s="2" t="s">
        <v>2251</v>
      </c>
      <c r="U2301" s="2" t="s">
        <v>2252</v>
      </c>
      <c r="V2301" s="2" t="s">
        <v>59</v>
      </c>
      <c r="W2301" s="2">
        <v>40.9</v>
      </c>
      <c r="X2301" s="2">
        <v>9.07</v>
      </c>
      <c r="Y2301" s="2" t="s">
        <v>792</v>
      </c>
      <c r="Z2301" s="2" t="s">
        <v>15409</v>
      </c>
      <c r="AA2301" s="2">
        <v>-0.28544061213816302</v>
      </c>
      <c r="AB2301" s="2">
        <v>0.34887413134195799</v>
      </c>
      <c r="AC2301" s="2">
        <v>11817.248413720199</v>
      </c>
      <c r="AD2301" s="2">
        <v>3769.5575371331101</v>
      </c>
      <c r="AE2301" s="2">
        <v>11675.080670351999</v>
      </c>
      <c r="AF2301" s="2">
        <v>10764.917892994399</v>
      </c>
      <c r="AG2301" s="2">
        <v>11571.2766961614</v>
      </c>
      <c r="AH2301" s="2">
        <v>12349.073343652301</v>
      </c>
      <c r="AI2301" s="2">
        <v>12023.887102398699</v>
      </c>
      <c r="AJ2301" s="2">
        <v>12519.2547767625</v>
      </c>
      <c r="AK2301" s="2">
        <v>4094.0896776937402</v>
      </c>
      <c r="AL2301" s="2">
        <v>3546.2200935828</v>
      </c>
      <c r="AM2301" s="2">
        <v>4021.3121806180002</v>
      </c>
      <c r="AN2301" s="2">
        <v>3864.0887828742302</v>
      </c>
      <c r="AO2301" s="2">
        <v>3844.4306380903099</v>
      </c>
      <c r="AP2301" s="2">
        <v>3247.2038499395899</v>
      </c>
    </row>
    <row r="2302" spans="1:42" ht="14.5" x14ac:dyDescent="0.35">
      <c r="A2302" s="2" t="s">
        <v>15410</v>
      </c>
      <c r="B2302" s="2">
        <v>441.29963647097702</v>
      </c>
      <c r="C2302" s="2">
        <v>5.31823333333333</v>
      </c>
      <c r="D2302" s="2" t="s">
        <v>34</v>
      </c>
      <c r="E2302" s="2" t="s">
        <v>15411</v>
      </c>
      <c r="F2302" s="2">
        <v>52043</v>
      </c>
      <c r="G2302" s="3" t="str">
        <f>HYPERLINK("http://funmeta.oebiotech.com/network/52043", "http://funmeta.oebiotech.com/network/52043")</f>
        <v>http://funmeta.oebiotech.com/network/52043</v>
      </c>
      <c r="H2302" s="2" t="s">
        <v>15412</v>
      </c>
      <c r="I2302" s="2"/>
      <c r="J2302" s="2"/>
      <c r="K2302" s="2">
        <v>139534</v>
      </c>
      <c r="L2302" s="2"/>
      <c r="M2302" s="2"/>
      <c r="N2302" s="2"/>
      <c r="O2302" s="2">
        <v>53481464</v>
      </c>
      <c r="P2302" s="2"/>
      <c r="Q2302" s="2" t="s">
        <v>15413</v>
      </c>
      <c r="R2302" s="2" t="s">
        <v>15414</v>
      </c>
      <c r="S2302" s="2" t="s">
        <v>50</v>
      </c>
      <c r="T2302" s="2" t="s">
        <v>201</v>
      </c>
      <c r="U2302" s="2" t="s">
        <v>5622</v>
      </c>
      <c r="V2302" s="2" t="s">
        <v>59</v>
      </c>
      <c r="W2302" s="2">
        <v>37.6</v>
      </c>
      <c r="X2302" s="2">
        <v>0</v>
      </c>
      <c r="Y2302" s="2" t="s">
        <v>394</v>
      </c>
      <c r="Z2302" s="2" t="s">
        <v>6103</v>
      </c>
      <c r="AA2302" s="2">
        <v>-0.68073372734754301</v>
      </c>
      <c r="AB2302" s="2">
        <v>0.34871747556079902</v>
      </c>
      <c r="AC2302" s="2">
        <v>9186.6026733438703</v>
      </c>
      <c r="AD2302" s="2">
        <v>17550.393419095999</v>
      </c>
      <c r="AE2302" s="2">
        <v>7657.6999480255199</v>
      </c>
      <c r="AF2302" s="2">
        <v>9368.6750977054107</v>
      </c>
      <c r="AG2302" s="2">
        <v>9259.3994696922491</v>
      </c>
      <c r="AH2302" s="2">
        <v>9610.6413521950708</v>
      </c>
      <c r="AI2302" s="2">
        <v>10463.960693106699</v>
      </c>
      <c r="AJ2302" s="2">
        <v>8759.2394793382591</v>
      </c>
      <c r="AK2302" s="2">
        <v>15581.8958748965</v>
      </c>
      <c r="AL2302" s="2">
        <v>17827.044517076101</v>
      </c>
      <c r="AM2302" s="2">
        <v>17630.748605853099</v>
      </c>
      <c r="AN2302" s="2">
        <v>15406.940491064301</v>
      </c>
      <c r="AO2302" s="2">
        <v>18626.067903418301</v>
      </c>
      <c r="AP2302" s="2">
        <v>20229.663122267899</v>
      </c>
    </row>
    <row r="2303" spans="1:42" ht="14.5" x14ac:dyDescent="0.35">
      <c r="A2303" s="2" t="s">
        <v>15415</v>
      </c>
      <c r="B2303" s="2">
        <v>429.11883863357002</v>
      </c>
      <c r="C2303" s="2">
        <v>5.3202666666666696</v>
      </c>
      <c r="D2303" s="2" t="s">
        <v>70</v>
      </c>
      <c r="E2303" s="2" t="s">
        <v>15416</v>
      </c>
      <c r="F2303" s="2">
        <v>31063</v>
      </c>
      <c r="G2303" s="3" t="str">
        <f>HYPERLINK("http://funmeta.oebiotech.com/network/31063", "http://funmeta.oebiotech.com/network/31063")</f>
        <v>http://funmeta.oebiotech.com/network/31063</v>
      </c>
      <c r="H2303" s="2"/>
      <c r="I2303" s="2"/>
      <c r="J2303" s="2" t="s">
        <v>15417</v>
      </c>
      <c r="K2303" s="2"/>
      <c r="L2303" s="2"/>
      <c r="M2303" s="2"/>
      <c r="N2303" s="2"/>
      <c r="O2303" s="2">
        <v>44258318</v>
      </c>
      <c r="P2303" s="2"/>
      <c r="Q2303" s="2" t="s">
        <v>15418</v>
      </c>
      <c r="R2303" s="2" t="s">
        <v>15419</v>
      </c>
      <c r="S2303" s="2" t="s">
        <v>115</v>
      </c>
      <c r="T2303" s="2" t="s">
        <v>139</v>
      </c>
      <c r="U2303" s="2" t="s">
        <v>140</v>
      </c>
      <c r="V2303" s="2" t="s">
        <v>42</v>
      </c>
      <c r="W2303" s="2">
        <v>51</v>
      </c>
      <c r="X2303" s="2">
        <v>61.7</v>
      </c>
      <c r="Y2303" s="2" t="s">
        <v>286</v>
      </c>
      <c r="Z2303" s="2" t="s">
        <v>8197</v>
      </c>
      <c r="AA2303" s="2">
        <v>-0.62124998813321897</v>
      </c>
      <c r="AB2303" s="2">
        <v>0.34864070084455101</v>
      </c>
      <c r="AC2303" s="2">
        <v>37741.4981882711</v>
      </c>
      <c r="AD2303" s="2">
        <v>46547.759841971201</v>
      </c>
      <c r="AE2303" s="2">
        <v>35568.085733855398</v>
      </c>
      <c r="AF2303" s="2">
        <v>37844.476843565302</v>
      </c>
      <c r="AG2303" s="2">
        <v>39597.589768990401</v>
      </c>
      <c r="AH2303" s="2">
        <v>39312.136268828101</v>
      </c>
      <c r="AI2303" s="2">
        <v>36227.465259539102</v>
      </c>
      <c r="AJ2303" s="2">
        <v>37899.235254848303</v>
      </c>
      <c r="AK2303" s="2">
        <v>42730.536281238099</v>
      </c>
      <c r="AL2303" s="2">
        <v>44562.561505978701</v>
      </c>
      <c r="AM2303" s="2">
        <v>49083.618310425903</v>
      </c>
      <c r="AN2303" s="2">
        <v>50256.538716981799</v>
      </c>
      <c r="AO2303" s="2">
        <v>46819.804147741299</v>
      </c>
      <c r="AP2303" s="2">
        <v>45833.500089461297</v>
      </c>
    </row>
    <row r="2304" spans="1:42" ht="14.5" x14ac:dyDescent="0.35">
      <c r="A2304" s="2" t="s">
        <v>15420</v>
      </c>
      <c r="B2304" s="2">
        <v>487.37590210215302</v>
      </c>
      <c r="C2304" s="2">
        <v>12.6914</v>
      </c>
      <c r="D2304" s="2" t="s">
        <v>34</v>
      </c>
      <c r="E2304" s="2" t="s">
        <v>15421</v>
      </c>
      <c r="F2304" s="2">
        <v>62641</v>
      </c>
      <c r="G2304" s="3" t="str">
        <f>HYPERLINK("http://funmeta.oebiotech.com/network/62641", "http://funmeta.oebiotech.com/network/62641")</f>
        <v>http://funmeta.oebiotech.com/network/62641</v>
      </c>
      <c r="H2304" s="2" t="s">
        <v>15422</v>
      </c>
      <c r="I2304" s="2">
        <v>93940</v>
      </c>
      <c r="J2304" s="2"/>
      <c r="K2304" s="2"/>
      <c r="L2304" s="2"/>
      <c r="M2304" s="2"/>
      <c r="N2304" s="2"/>
      <c r="O2304" s="2">
        <v>14807340</v>
      </c>
      <c r="P2304" s="2"/>
      <c r="Q2304" s="2" t="s">
        <v>15423</v>
      </c>
      <c r="R2304" s="2" t="s">
        <v>15424</v>
      </c>
      <c r="S2304" s="2" t="s">
        <v>50</v>
      </c>
      <c r="T2304" s="2" t="s">
        <v>124</v>
      </c>
      <c r="U2304" s="2" t="s">
        <v>3136</v>
      </c>
      <c r="V2304" s="2" t="s">
        <v>59</v>
      </c>
      <c r="W2304" s="2">
        <v>37.200000000000003</v>
      </c>
      <c r="X2304" s="2">
        <v>0</v>
      </c>
      <c r="Y2304" s="2" t="s">
        <v>394</v>
      </c>
      <c r="Z2304" s="2" t="s">
        <v>15425</v>
      </c>
      <c r="AA2304" s="2">
        <v>-4.6968507784901004</v>
      </c>
      <c r="AB2304" s="2">
        <v>0.34855900885309299</v>
      </c>
      <c r="AC2304" s="2">
        <v>14466.105172690901</v>
      </c>
      <c r="AD2304" s="2">
        <v>6425.3311754639499</v>
      </c>
      <c r="AE2304" s="2">
        <v>14476.208557715099</v>
      </c>
      <c r="AF2304" s="2">
        <v>13814.9202093767</v>
      </c>
      <c r="AG2304" s="2">
        <v>15029.9562531804</v>
      </c>
      <c r="AH2304" s="2">
        <v>14327.488665957901</v>
      </c>
      <c r="AI2304" s="2">
        <v>14225.176312104901</v>
      </c>
      <c r="AJ2304" s="2">
        <v>14922.881037810301</v>
      </c>
      <c r="AK2304" s="2">
        <v>6923.5332803108704</v>
      </c>
      <c r="AL2304" s="2">
        <v>7439.5253672346398</v>
      </c>
      <c r="AM2304" s="2">
        <v>6577.5872259637699</v>
      </c>
      <c r="AN2304" s="2">
        <v>6356.2667145535097</v>
      </c>
      <c r="AO2304" s="2">
        <v>5890.5051031893699</v>
      </c>
      <c r="AP2304" s="2">
        <v>5364.5693615315604</v>
      </c>
    </row>
    <row r="2305" spans="1:42" ht="14.5" x14ac:dyDescent="0.35">
      <c r="A2305" s="2" t="s">
        <v>15426</v>
      </c>
      <c r="B2305" s="2">
        <v>299.07710683591301</v>
      </c>
      <c r="C2305" s="2">
        <v>3.6357833333333298</v>
      </c>
      <c r="D2305" s="2" t="s">
        <v>70</v>
      </c>
      <c r="E2305" s="2" t="s">
        <v>15427</v>
      </c>
      <c r="F2305" s="2">
        <v>64370</v>
      </c>
      <c r="G2305" s="3" t="str">
        <f>HYPERLINK("http://funmeta.oebiotech.com/network/64370", "http://funmeta.oebiotech.com/network/64370")</f>
        <v>http://funmeta.oebiotech.com/network/64370</v>
      </c>
      <c r="H2305" s="2" t="s">
        <v>15428</v>
      </c>
      <c r="I2305" s="2">
        <v>95685</v>
      </c>
      <c r="J2305" s="2"/>
      <c r="K2305" s="2"/>
      <c r="L2305" s="2"/>
      <c r="M2305" s="2"/>
      <c r="N2305" s="2"/>
      <c r="O2305" s="2">
        <v>4596190</v>
      </c>
      <c r="P2305" s="2" t="s">
        <v>15429</v>
      </c>
      <c r="Q2305" s="2" t="s">
        <v>15430</v>
      </c>
      <c r="R2305" s="2" t="s">
        <v>15431</v>
      </c>
      <c r="S2305" s="2" t="s">
        <v>79</v>
      </c>
      <c r="T2305" s="2" t="s">
        <v>80</v>
      </c>
      <c r="U2305" s="2" t="s">
        <v>81</v>
      </c>
      <c r="V2305" s="2" t="s">
        <v>42</v>
      </c>
      <c r="W2305" s="2">
        <v>50.1</v>
      </c>
      <c r="X2305" s="2">
        <v>54.1</v>
      </c>
      <c r="Y2305" s="2" t="s">
        <v>118</v>
      </c>
      <c r="Z2305" s="2" t="s">
        <v>12505</v>
      </c>
      <c r="AA2305" s="2">
        <v>-0.44721296409003303</v>
      </c>
      <c r="AB2305" s="2">
        <v>0.34812728679398602</v>
      </c>
      <c r="AC2305" s="2">
        <v>14218.0329280717</v>
      </c>
      <c r="AD2305" s="2">
        <v>22342.739818100199</v>
      </c>
      <c r="AE2305" s="2">
        <v>13900.283107154</v>
      </c>
      <c r="AF2305" s="2">
        <v>14216.0690712794</v>
      </c>
      <c r="AG2305" s="2">
        <v>13519.2205821179</v>
      </c>
      <c r="AH2305" s="2">
        <v>13775.8902214716</v>
      </c>
      <c r="AI2305" s="2">
        <v>15028.293706062301</v>
      </c>
      <c r="AJ2305" s="2">
        <v>14868.440880345201</v>
      </c>
      <c r="AK2305" s="2">
        <v>23447.430502221199</v>
      </c>
      <c r="AL2305" s="2">
        <v>21451.077695948399</v>
      </c>
      <c r="AM2305" s="2">
        <v>22973.264259025302</v>
      </c>
      <c r="AN2305" s="2">
        <v>22446.606056273598</v>
      </c>
      <c r="AO2305" s="2">
        <v>20347.817722454201</v>
      </c>
      <c r="AP2305" s="2">
        <v>23390.242672678702</v>
      </c>
    </row>
    <row r="2306" spans="1:42" ht="14.5" x14ac:dyDescent="0.35">
      <c r="A2306" s="2" t="s">
        <v>15432</v>
      </c>
      <c r="B2306" s="2">
        <v>581.14858739336398</v>
      </c>
      <c r="C2306" s="2">
        <v>1.1665333333333301</v>
      </c>
      <c r="D2306" s="2" t="s">
        <v>70</v>
      </c>
      <c r="E2306" s="2" t="s">
        <v>15433</v>
      </c>
      <c r="F2306" s="2">
        <v>33023</v>
      </c>
      <c r="G2306" s="3" t="str">
        <f>HYPERLINK("http://funmeta.oebiotech.com/network/33023", "http://funmeta.oebiotech.com/network/33023")</f>
        <v>http://funmeta.oebiotech.com/network/33023</v>
      </c>
      <c r="H2306" s="2"/>
      <c r="I2306" s="2"/>
      <c r="J2306" s="2" t="s">
        <v>15434</v>
      </c>
      <c r="K2306" s="2"/>
      <c r="L2306" s="2"/>
      <c r="M2306" s="2"/>
      <c r="N2306" s="2"/>
      <c r="O2306" s="2">
        <v>44259828</v>
      </c>
      <c r="P2306" s="2"/>
      <c r="Q2306" s="2" t="s">
        <v>15435</v>
      </c>
      <c r="R2306" s="2" t="s">
        <v>15436</v>
      </c>
      <c r="S2306" s="2" t="s">
        <v>115</v>
      </c>
      <c r="T2306" s="2" t="s">
        <v>139</v>
      </c>
      <c r="U2306" s="2" t="s">
        <v>140</v>
      </c>
      <c r="V2306" s="2" t="s">
        <v>59</v>
      </c>
      <c r="W2306" s="2">
        <v>43.5</v>
      </c>
      <c r="X2306" s="2">
        <v>28.2</v>
      </c>
      <c r="Y2306" s="2" t="s">
        <v>408</v>
      </c>
      <c r="Z2306" s="2" t="s">
        <v>15437</v>
      </c>
      <c r="AA2306" s="2">
        <v>-4.8613528600547999</v>
      </c>
      <c r="AB2306" s="2">
        <v>0.34779780690569101</v>
      </c>
      <c r="AC2306" s="2">
        <v>29899.127848446002</v>
      </c>
      <c r="AD2306" s="2">
        <v>21360.967243028001</v>
      </c>
      <c r="AE2306" s="2">
        <v>29890.0057199558</v>
      </c>
      <c r="AF2306" s="2">
        <v>32446.7971436888</v>
      </c>
      <c r="AG2306" s="2">
        <v>30621.578272787501</v>
      </c>
      <c r="AH2306" s="2">
        <v>29610.142817102402</v>
      </c>
      <c r="AI2306" s="2">
        <v>26268.581885846899</v>
      </c>
      <c r="AJ2306" s="2">
        <v>30557.661251294499</v>
      </c>
      <c r="AK2306" s="2">
        <v>19840.805408774399</v>
      </c>
      <c r="AL2306" s="2">
        <v>21822.456795597402</v>
      </c>
      <c r="AM2306" s="2">
        <v>18375.305057665999</v>
      </c>
      <c r="AN2306" s="2">
        <v>22410.060742187801</v>
      </c>
      <c r="AO2306" s="2">
        <v>22972.5786514141</v>
      </c>
      <c r="AP2306" s="2">
        <v>22744.5968025281</v>
      </c>
    </row>
    <row r="2307" spans="1:42" ht="14.5" x14ac:dyDescent="0.35">
      <c r="A2307" s="2" t="s">
        <v>15438</v>
      </c>
      <c r="B2307" s="2">
        <v>615.15444205710298</v>
      </c>
      <c r="C2307" s="2">
        <v>3.6547999999999998</v>
      </c>
      <c r="D2307" s="2" t="s">
        <v>70</v>
      </c>
      <c r="E2307" s="2" t="s">
        <v>15439</v>
      </c>
      <c r="F2307" s="2">
        <v>57689</v>
      </c>
      <c r="G2307" s="3" t="str">
        <f>HYPERLINK("http://funmeta.oebiotech.com/network/57689", "http://funmeta.oebiotech.com/network/57689")</f>
        <v>http://funmeta.oebiotech.com/network/57689</v>
      </c>
      <c r="H2307" s="2" t="s">
        <v>15440</v>
      </c>
      <c r="I2307" s="2">
        <v>89289</v>
      </c>
      <c r="J2307" s="2"/>
      <c r="K2307" s="2"/>
      <c r="L2307" s="2"/>
      <c r="M2307" s="2"/>
      <c r="N2307" s="2"/>
      <c r="O2307" s="2">
        <v>5377686</v>
      </c>
      <c r="P2307" s="2" t="s">
        <v>15441</v>
      </c>
      <c r="Q2307" s="2" t="s">
        <v>15442</v>
      </c>
      <c r="R2307" s="2" t="s">
        <v>15443</v>
      </c>
      <c r="S2307" s="2" t="s">
        <v>39</v>
      </c>
      <c r="T2307" s="2" t="s">
        <v>3154</v>
      </c>
      <c r="U2307" s="2" t="s">
        <v>41</v>
      </c>
      <c r="V2307" s="2" t="s">
        <v>59</v>
      </c>
      <c r="W2307" s="2">
        <v>40.299999999999997</v>
      </c>
      <c r="X2307" s="2">
        <v>21.8</v>
      </c>
      <c r="Y2307" s="2" t="s">
        <v>560</v>
      </c>
      <c r="Z2307" s="2" t="s">
        <v>15444</v>
      </c>
      <c r="AA2307" s="2">
        <v>3.7404991171508701</v>
      </c>
      <c r="AB2307" s="2">
        <v>0.347375025473599</v>
      </c>
      <c r="AC2307" s="2">
        <v>48580.236572984599</v>
      </c>
      <c r="AD2307" s="2">
        <v>60735.029861460796</v>
      </c>
      <c r="AE2307" s="2">
        <v>50626.564435986897</v>
      </c>
      <c r="AF2307" s="2">
        <v>45021.473930396904</v>
      </c>
      <c r="AG2307" s="2">
        <v>38819.792592983002</v>
      </c>
      <c r="AH2307" s="2">
        <v>54219.435051312197</v>
      </c>
      <c r="AI2307" s="2">
        <v>64287.624483105297</v>
      </c>
      <c r="AJ2307" s="2">
        <v>38506.528944123398</v>
      </c>
      <c r="AK2307" s="2">
        <v>68526.215579340002</v>
      </c>
      <c r="AL2307" s="2">
        <v>64494.439661463402</v>
      </c>
      <c r="AM2307" s="2">
        <v>56184.768156105798</v>
      </c>
      <c r="AN2307" s="2">
        <v>59670.035971225698</v>
      </c>
      <c r="AO2307" s="2">
        <v>54117.6215380789</v>
      </c>
      <c r="AP2307" s="2">
        <v>61417.098262550899</v>
      </c>
    </row>
    <row r="2308" spans="1:42" ht="14.5" x14ac:dyDescent="0.35">
      <c r="A2308" s="2" t="s">
        <v>15445</v>
      </c>
      <c r="B2308" s="2">
        <v>299.03810876066501</v>
      </c>
      <c r="C2308" s="2">
        <v>0.96353333333333302</v>
      </c>
      <c r="D2308" s="2" t="s">
        <v>70</v>
      </c>
      <c r="E2308" s="2" t="s">
        <v>15446</v>
      </c>
      <c r="F2308" s="2">
        <v>202028</v>
      </c>
      <c r="G2308" s="3" t="str">
        <f>HYPERLINK("http://funmeta.oebiotech.com/network/202028", "http://funmeta.oebiotech.com/network/202028")</f>
        <v>http://funmeta.oebiotech.com/network/202028</v>
      </c>
      <c r="H2308" s="2" t="s">
        <v>15447</v>
      </c>
      <c r="I2308" s="2">
        <v>40</v>
      </c>
      <c r="J2308" s="2"/>
      <c r="K2308" s="2"/>
      <c r="L2308" s="2"/>
      <c r="M2308" s="2"/>
      <c r="N2308" s="2"/>
      <c r="O2308" s="2">
        <v>193401</v>
      </c>
      <c r="P2308" s="2" t="s">
        <v>15448</v>
      </c>
      <c r="Q2308" s="2" t="s">
        <v>15449</v>
      </c>
      <c r="R2308" s="2" t="s">
        <v>15450</v>
      </c>
      <c r="S2308" s="2" t="s">
        <v>89</v>
      </c>
      <c r="T2308" s="2" t="s">
        <v>90</v>
      </c>
      <c r="U2308" s="2" t="s">
        <v>99</v>
      </c>
      <c r="V2308" s="2" t="s">
        <v>59</v>
      </c>
      <c r="W2308" s="2">
        <v>42.3</v>
      </c>
      <c r="X2308" s="2">
        <v>23.1</v>
      </c>
      <c r="Y2308" s="2" t="s">
        <v>408</v>
      </c>
      <c r="Z2308" s="2" t="s">
        <v>15451</v>
      </c>
      <c r="AA2308" s="2">
        <v>1.601931380201</v>
      </c>
      <c r="AB2308" s="2">
        <v>0.347049712215315</v>
      </c>
      <c r="AC2308" s="2">
        <v>51645.783305661702</v>
      </c>
      <c r="AD2308" s="2">
        <v>62932.662182043801</v>
      </c>
      <c r="AE2308" s="2">
        <v>53164.257935105903</v>
      </c>
      <c r="AF2308" s="2">
        <v>54937.321842747799</v>
      </c>
      <c r="AG2308" s="2">
        <v>57555.557150355096</v>
      </c>
      <c r="AH2308" s="2">
        <v>46583.304544034501</v>
      </c>
      <c r="AI2308" s="2">
        <v>52210.9573790621</v>
      </c>
      <c r="AJ2308" s="2">
        <v>45423.300982664798</v>
      </c>
      <c r="AK2308" s="2">
        <v>70007.5440832241</v>
      </c>
      <c r="AL2308" s="2">
        <v>57325.660100814297</v>
      </c>
      <c r="AM2308" s="2">
        <v>52603.175460742801</v>
      </c>
      <c r="AN2308" s="2">
        <v>59647.824507262798</v>
      </c>
      <c r="AO2308" s="2">
        <v>70462.1224608052</v>
      </c>
      <c r="AP2308" s="2">
        <v>67549.646479413306</v>
      </c>
    </row>
    <row r="2309" spans="1:42" ht="14.5" x14ac:dyDescent="0.35">
      <c r="A2309" s="2" t="s">
        <v>15452</v>
      </c>
      <c r="B2309" s="2">
        <v>349.10550970345798</v>
      </c>
      <c r="C2309" s="2">
        <v>4.1524000000000001</v>
      </c>
      <c r="D2309" s="2" t="s">
        <v>70</v>
      </c>
      <c r="E2309" s="2" t="s">
        <v>15453</v>
      </c>
      <c r="F2309" s="2">
        <v>62030</v>
      </c>
      <c r="G2309" s="3" t="str">
        <f>HYPERLINK("http://funmeta.oebiotech.com/network/62030", "http://funmeta.oebiotech.com/network/62030")</f>
        <v>http://funmeta.oebiotech.com/network/62030</v>
      </c>
      <c r="H2309" s="2" t="s">
        <v>15454</v>
      </c>
      <c r="I2309" s="2"/>
      <c r="J2309" s="2"/>
      <c r="K2309" s="2"/>
      <c r="L2309" s="2"/>
      <c r="M2309" s="2"/>
      <c r="N2309" s="2"/>
      <c r="O2309" s="2">
        <v>7097227</v>
      </c>
      <c r="P2309" s="2" t="s">
        <v>15455</v>
      </c>
      <c r="Q2309" s="2" t="s">
        <v>15456</v>
      </c>
      <c r="R2309" s="2" t="s">
        <v>15457</v>
      </c>
      <c r="S2309" s="2" t="s">
        <v>89</v>
      </c>
      <c r="T2309" s="2" t="s">
        <v>90</v>
      </c>
      <c r="U2309" s="2" t="s">
        <v>99</v>
      </c>
      <c r="V2309" s="2" t="s">
        <v>59</v>
      </c>
      <c r="W2309" s="2">
        <v>40.5</v>
      </c>
      <c r="X2309" s="2">
        <v>12.8</v>
      </c>
      <c r="Y2309" s="2" t="s">
        <v>408</v>
      </c>
      <c r="Z2309" s="2" t="s">
        <v>15458</v>
      </c>
      <c r="AA2309" s="2">
        <v>4.5550344106505696</v>
      </c>
      <c r="AB2309" s="2">
        <v>0.34694941129478402</v>
      </c>
      <c r="AC2309" s="2">
        <v>24334.5990106479</v>
      </c>
      <c r="AD2309" s="2">
        <v>15543.820462338201</v>
      </c>
      <c r="AE2309" s="2">
        <v>22659.950883880399</v>
      </c>
      <c r="AF2309" s="2">
        <v>22611.7631463502</v>
      </c>
      <c r="AG2309" s="2">
        <v>21812.015373816801</v>
      </c>
      <c r="AH2309" s="2">
        <v>23859.524608873598</v>
      </c>
      <c r="AI2309" s="2">
        <v>26061.511519580701</v>
      </c>
      <c r="AJ2309" s="2">
        <v>29002.828531385901</v>
      </c>
      <c r="AK2309" s="2">
        <v>13755.563504752799</v>
      </c>
      <c r="AL2309" s="2">
        <v>13203.269935853001</v>
      </c>
      <c r="AM2309" s="2">
        <v>16154.9215705938</v>
      </c>
      <c r="AN2309" s="2">
        <v>16309.0526677813</v>
      </c>
      <c r="AO2309" s="2">
        <v>16190.616948397201</v>
      </c>
      <c r="AP2309" s="2">
        <v>17649.498146651302</v>
      </c>
    </row>
    <row r="2310" spans="1:42" ht="14.5" x14ac:dyDescent="0.35">
      <c r="A2310" s="2" t="s">
        <v>15459</v>
      </c>
      <c r="B2310" s="2">
        <v>407.11580714969</v>
      </c>
      <c r="C2310" s="2">
        <v>1.06171666666667</v>
      </c>
      <c r="D2310" s="2" t="s">
        <v>34</v>
      </c>
      <c r="E2310" s="2" t="s">
        <v>15460</v>
      </c>
      <c r="F2310" s="2">
        <v>61799</v>
      </c>
      <c r="G2310" s="3" t="str">
        <f>HYPERLINK("http://funmeta.oebiotech.com/network/61799", "http://funmeta.oebiotech.com/network/61799")</f>
        <v>http://funmeta.oebiotech.com/network/61799</v>
      </c>
      <c r="H2310" s="2" t="s">
        <v>15461</v>
      </c>
      <c r="I2310" s="2">
        <v>93110</v>
      </c>
      <c r="J2310" s="2"/>
      <c r="K2310" s="2"/>
      <c r="L2310" s="2"/>
      <c r="M2310" s="2"/>
      <c r="N2310" s="2"/>
      <c r="O2310" s="2">
        <v>131752360</v>
      </c>
      <c r="P2310" s="2" t="s">
        <v>15462</v>
      </c>
      <c r="Q2310" s="2" t="s">
        <v>15463</v>
      </c>
      <c r="R2310" s="2" t="s">
        <v>15464</v>
      </c>
      <c r="S2310" s="2" t="s">
        <v>79</v>
      </c>
      <c r="T2310" s="2" t="s">
        <v>80</v>
      </c>
      <c r="U2310" s="2" t="s">
        <v>81</v>
      </c>
      <c r="V2310" s="2" t="s">
        <v>59</v>
      </c>
      <c r="W2310" s="2">
        <v>37</v>
      </c>
      <c r="X2310" s="2">
        <v>0</v>
      </c>
      <c r="Y2310" s="2" t="s">
        <v>43</v>
      </c>
      <c r="Z2310" s="2" t="s">
        <v>15465</v>
      </c>
      <c r="AA2310" s="2">
        <v>1.43492134559372</v>
      </c>
      <c r="AB2310" s="2">
        <v>0.34690300234935401</v>
      </c>
      <c r="AC2310" s="2">
        <v>30499.737691801402</v>
      </c>
      <c r="AD2310" s="2">
        <v>38965.175169334398</v>
      </c>
      <c r="AE2310" s="2">
        <v>28903.422344803901</v>
      </c>
      <c r="AF2310" s="2">
        <v>29529.818650807902</v>
      </c>
      <c r="AG2310" s="2">
        <v>34018.141409661199</v>
      </c>
      <c r="AH2310" s="2">
        <v>29872.416055832498</v>
      </c>
      <c r="AI2310" s="2">
        <v>32230.742093357199</v>
      </c>
      <c r="AJ2310" s="2">
        <v>28443.885596345899</v>
      </c>
      <c r="AK2310" s="2">
        <v>38211.676960609402</v>
      </c>
      <c r="AL2310" s="2">
        <v>38751.137293154803</v>
      </c>
      <c r="AM2310" s="2">
        <v>40567.170781377899</v>
      </c>
      <c r="AN2310" s="2">
        <v>37289.044648432602</v>
      </c>
      <c r="AO2310" s="2">
        <v>40715.524444864102</v>
      </c>
      <c r="AP2310" s="2">
        <v>38256.496887567599</v>
      </c>
    </row>
    <row r="2311" spans="1:42" ht="14.5" x14ac:dyDescent="0.35">
      <c r="A2311" s="2" t="s">
        <v>15466</v>
      </c>
      <c r="B2311" s="2">
        <v>480.31066291267302</v>
      </c>
      <c r="C2311" s="2">
        <v>7.2058833333333299</v>
      </c>
      <c r="D2311" s="2" t="s">
        <v>34</v>
      </c>
      <c r="E2311" s="2" t="s">
        <v>15467</v>
      </c>
      <c r="F2311" s="2">
        <v>34083</v>
      </c>
      <c r="G2311" s="3" t="str">
        <f>HYPERLINK("http://funmeta.oebiotech.com/network/34083", "http://funmeta.oebiotech.com/network/34083")</f>
        <v>http://funmeta.oebiotech.com/network/34083</v>
      </c>
      <c r="H2311" s="2"/>
      <c r="I2311" s="2">
        <v>52395</v>
      </c>
      <c r="J2311" s="2" t="s">
        <v>15468</v>
      </c>
      <c r="K2311" s="2"/>
      <c r="L2311" s="2"/>
      <c r="M2311" s="2"/>
      <c r="N2311" s="2"/>
      <c r="O2311" s="2">
        <v>42607731</v>
      </c>
      <c r="P2311" s="2"/>
      <c r="Q2311" s="2" t="s">
        <v>15469</v>
      </c>
      <c r="R2311" s="2" t="s">
        <v>15470</v>
      </c>
      <c r="S2311" s="2" t="s">
        <v>148</v>
      </c>
      <c r="T2311" s="2" t="s">
        <v>149</v>
      </c>
      <c r="U2311" s="2" t="s">
        <v>41</v>
      </c>
      <c r="V2311" s="2" t="s">
        <v>59</v>
      </c>
      <c r="W2311" s="2">
        <v>39.200000000000003</v>
      </c>
      <c r="X2311" s="2">
        <v>5.52</v>
      </c>
      <c r="Y2311" s="2" t="s">
        <v>43</v>
      </c>
      <c r="Z2311" s="2" t="s">
        <v>15471</v>
      </c>
      <c r="AA2311" s="2">
        <v>-0.37275102116852199</v>
      </c>
      <c r="AB2311" s="2">
        <v>0.34682102836365297</v>
      </c>
      <c r="AC2311" s="2">
        <v>12519.4747490589</v>
      </c>
      <c r="AD2311" s="2">
        <v>21497.557937354399</v>
      </c>
      <c r="AE2311" s="2">
        <v>10517.7900355528</v>
      </c>
      <c r="AF2311" s="2">
        <v>10692.5679478537</v>
      </c>
      <c r="AG2311" s="2">
        <v>12986.778448877199</v>
      </c>
      <c r="AH2311" s="2">
        <v>17372.456514729602</v>
      </c>
      <c r="AI2311" s="2">
        <v>11457.5308085297</v>
      </c>
      <c r="AJ2311" s="2">
        <v>12089.724738810501</v>
      </c>
      <c r="AK2311" s="2">
        <v>18831.486756309601</v>
      </c>
      <c r="AL2311" s="2">
        <v>18280.097470144799</v>
      </c>
      <c r="AM2311" s="2">
        <v>19888.276197152099</v>
      </c>
      <c r="AN2311" s="2">
        <v>24289.7999878265</v>
      </c>
      <c r="AO2311" s="2">
        <v>22968.9370906441</v>
      </c>
      <c r="AP2311" s="2">
        <v>24726.750122049001</v>
      </c>
    </row>
    <row r="2312" spans="1:42" ht="14.5" x14ac:dyDescent="0.35">
      <c r="A2312" s="2" t="s">
        <v>15472</v>
      </c>
      <c r="B2312" s="2">
        <v>441.13706185038302</v>
      </c>
      <c r="C2312" s="2">
        <v>3.9845333333333302</v>
      </c>
      <c r="D2312" s="2" t="s">
        <v>34</v>
      </c>
      <c r="E2312" s="2" t="s">
        <v>15473</v>
      </c>
      <c r="F2312" s="2">
        <v>36139</v>
      </c>
      <c r="G2312" s="3" t="str">
        <f>HYPERLINK("http://funmeta.oebiotech.com/network/36139", "http://funmeta.oebiotech.com/network/36139")</f>
        <v>http://funmeta.oebiotech.com/network/36139</v>
      </c>
      <c r="H2312" s="2"/>
      <c r="I2312" s="2"/>
      <c r="J2312" s="2" t="s">
        <v>15474</v>
      </c>
      <c r="K2312" s="2">
        <v>5357</v>
      </c>
      <c r="L2312" s="2" t="s">
        <v>15475</v>
      </c>
      <c r="M2312" s="2"/>
      <c r="N2312" s="2"/>
      <c r="O2312" s="2">
        <v>441295</v>
      </c>
      <c r="P2312" s="2"/>
      <c r="Q2312" s="2"/>
      <c r="R2312" s="2" t="s">
        <v>15476</v>
      </c>
      <c r="S2312" s="2" t="s">
        <v>50</v>
      </c>
      <c r="T2312" s="2" t="s">
        <v>201</v>
      </c>
      <c r="U2312" s="2" t="s">
        <v>1217</v>
      </c>
      <c r="V2312" s="2" t="s">
        <v>59</v>
      </c>
      <c r="W2312" s="2">
        <v>38.200000000000003</v>
      </c>
      <c r="X2312" s="2">
        <v>6.54</v>
      </c>
      <c r="Y2312" s="2" t="s">
        <v>440</v>
      </c>
      <c r="Z2312" s="2" t="s">
        <v>15477</v>
      </c>
      <c r="AA2312" s="2">
        <v>-4.7171464699477204</v>
      </c>
      <c r="AB2312" s="2">
        <v>0.34681777004636699</v>
      </c>
      <c r="AC2312" s="2">
        <v>30822.340214522301</v>
      </c>
      <c r="AD2312" s="2">
        <v>40262.555465809302</v>
      </c>
      <c r="AE2312" s="2">
        <v>30324.527192091198</v>
      </c>
      <c r="AF2312" s="2">
        <v>33800.885103248002</v>
      </c>
      <c r="AG2312" s="2">
        <v>29111.177962804599</v>
      </c>
      <c r="AH2312" s="2">
        <v>27913.276295034801</v>
      </c>
      <c r="AI2312" s="2">
        <v>32932.958423465403</v>
      </c>
      <c r="AJ2312" s="2">
        <v>30851.216310489999</v>
      </c>
      <c r="AK2312" s="2">
        <v>39047.071805616601</v>
      </c>
      <c r="AL2312" s="2">
        <v>38624.328071390803</v>
      </c>
      <c r="AM2312" s="2">
        <v>35614.621389805099</v>
      </c>
      <c r="AN2312" s="2">
        <v>44687.144096062402</v>
      </c>
      <c r="AO2312" s="2">
        <v>37192.242802574197</v>
      </c>
      <c r="AP2312" s="2">
        <v>46409.924629406698</v>
      </c>
    </row>
    <row r="2313" spans="1:42" ht="14.5" x14ac:dyDescent="0.35">
      <c r="A2313" s="2" t="s">
        <v>15478</v>
      </c>
      <c r="B2313" s="2">
        <v>303.08654443498398</v>
      </c>
      <c r="C2313" s="2">
        <v>3.5873499999999998</v>
      </c>
      <c r="D2313" s="2" t="s">
        <v>34</v>
      </c>
      <c r="E2313" s="2" t="s">
        <v>15479</v>
      </c>
      <c r="F2313" s="2">
        <v>30074</v>
      </c>
      <c r="G2313" s="3" t="str">
        <f>HYPERLINK("http://funmeta.oebiotech.com/network/30074", "http://funmeta.oebiotech.com/network/30074")</f>
        <v>http://funmeta.oebiotech.com/network/30074</v>
      </c>
      <c r="H2313" s="2"/>
      <c r="I2313" s="2">
        <v>43944</v>
      </c>
      <c r="J2313" s="2" t="s">
        <v>15480</v>
      </c>
      <c r="K2313" s="2">
        <v>5601</v>
      </c>
      <c r="L2313" s="2" t="s">
        <v>15481</v>
      </c>
      <c r="M2313" s="2"/>
      <c r="N2313" s="2"/>
      <c r="O2313" s="2">
        <v>442514</v>
      </c>
      <c r="P2313" s="2" t="s">
        <v>15482</v>
      </c>
      <c r="Q2313" s="2" t="s">
        <v>15483</v>
      </c>
      <c r="R2313" s="2" t="s">
        <v>15484</v>
      </c>
      <c r="S2313" s="2" t="s">
        <v>491</v>
      </c>
      <c r="T2313" s="2" t="s">
        <v>2251</v>
      </c>
      <c r="U2313" s="2" t="s">
        <v>2252</v>
      </c>
      <c r="V2313" s="2" t="s">
        <v>59</v>
      </c>
      <c r="W2313" s="2">
        <v>38.799999999999997</v>
      </c>
      <c r="X2313" s="2">
        <v>0</v>
      </c>
      <c r="Y2313" s="2" t="s">
        <v>394</v>
      </c>
      <c r="Z2313" s="2" t="s">
        <v>15485</v>
      </c>
      <c r="AA2313" s="2">
        <v>0.76084936357779398</v>
      </c>
      <c r="AB2313" s="2">
        <v>0.34646414886475502</v>
      </c>
      <c r="AC2313" s="2">
        <v>14522.8045591762</v>
      </c>
      <c r="AD2313" s="2">
        <v>6572.22939333463</v>
      </c>
      <c r="AE2313" s="2">
        <v>14388.0112856212</v>
      </c>
      <c r="AF2313" s="2">
        <v>15166.007940436901</v>
      </c>
      <c r="AG2313" s="2">
        <v>15510.391008303999</v>
      </c>
      <c r="AH2313" s="2">
        <v>13590.2483466988</v>
      </c>
      <c r="AI2313" s="2">
        <v>13657.8218489725</v>
      </c>
      <c r="AJ2313" s="2">
        <v>14824.346925023699</v>
      </c>
      <c r="AK2313" s="2">
        <v>6676.1560277600902</v>
      </c>
      <c r="AL2313" s="2">
        <v>6887.1305993481501</v>
      </c>
      <c r="AM2313" s="2">
        <v>6591.6116264847897</v>
      </c>
      <c r="AN2313" s="2">
        <v>6935.3873702391802</v>
      </c>
      <c r="AO2313" s="2">
        <v>5546.7097851541103</v>
      </c>
      <c r="AP2313" s="2">
        <v>6796.3809510214496</v>
      </c>
    </row>
    <row r="2314" spans="1:42" ht="14.5" x14ac:dyDescent="0.35">
      <c r="A2314" s="2" t="s">
        <v>15486</v>
      </c>
      <c r="B2314" s="2">
        <v>363.12598630200102</v>
      </c>
      <c r="C2314" s="2">
        <v>1.3287</v>
      </c>
      <c r="D2314" s="2" t="s">
        <v>34</v>
      </c>
      <c r="E2314" s="2" t="s">
        <v>15487</v>
      </c>
      <c r="F2314" s="2">
        <v>35300</v>
      </c>
      <c r="G2314" s="3" t="str">
        <f>HYPERLINK("http://funmeta.oebiotech.com/network/35300", "http://funmeta.oebiotech.com/network/35300")</f>
        <v>http://funmeta.oebiotech.com/network/35300</v>
      </c>
      <c r="H2314" s="2"/>
      <c r="I2314" s="2">
        <v>41152</v>
      </c>
      <c r="J2314" s="2" t="s">
        <v>15488</v>
      </c>
      <c r="K2314" s="2">
        <v>69797</v>
      </c>
      <c r="L2314" s="2" t="s">
        <v>15489</v>
      </c>
      <c r="M2314" s="2"/>
      <c r="N2314" s="2"/>
      <c r="O2314" s="2">
        <v>91520</v>
      </c>
      <c r="P2314" s="2"/>
      <c r="Q2314" s="2" t="s">
        <v>15490</v>
      </c>
      <c r="R2314" s="2" t="s">
        <v>15491</v>
      </c>
      <c r="S2314" s="2" t="s">
        <v>79</v>
      </c>
      <c r="T2314" s="2" t="s">
        <v>80</v>
      </c>
      <c r="U2314" s="2" t="s">
        <v>81</v>
      </c>
      <c r="V2314" s="2" t="s">
        <v>59</v>
      </c>
      <c r="W2314" s="2">
        <v>39</v>
      </c>
      <c r="X2314" s="2">
        <v>11.3</v>
      </c>
      <c r="Y2314" s="2" t="s">
        <v>394</v>
      </c>
      <c r="Z2314" s="2" t="s">
        <v>15492</v>
      </c>
      <c r="AA2314" s="2">
        <v>-7.14410105342695</v>
      </c>
      <c r="AB2314" s="2">
        <v>0.34632613852832</v>
      </c>
      <c r="AC2314" s="2">
        <v>30618.384592840601</v>
      </c>
      <c r="AD2314" s="2">
        <v>39357.128908870902</v>
      </c>
      <c r="AE2314" s="2">
        <v>32225.638685394599</v>
      </c>
      <c r="AF2314" s="2">
        <v>29694.289652922402</v>
      </c>
      <c r="AG2314" s="2">
        <v>30111.831831362299</v>
      </c>
      <c r="AH2314" s="2">
        <v>28721.443189109199</v>
      </c>
      <c r="AI2314" s="2">
        <v>30372.089075428899</v>
      </c>
      <c r="AJ2314" s="2">
        <v>32585.015122826098</v>
      </c>
      <c r="AK2314" s="2">
        <v>37854.174171173101</v>
      </c>
      <c r="AL2314" s="2">
        <v>37141.965660754402</v>
      </c>
      <c r="AM2314" s="2">
        <v>38027.646329073701</v>
      </c>
      <c r="AN2314" s="2">
        <v>38980.778704796299</v>
      </c>
      <c r="AO2314" s="2">
        <v>39046.802536417897</v>
      </c>
      <c r="AP2314" s="2">
        <v>45091.406051010003</v>
      </c>
    </row>
    <row r="2315" spans="1:42" ht="14.5" x14ac:dyDescent="0.35">
      <c r="A2315" s="2" t="s">
        <v>15493</v>
      </c>
      <c r="B2315" s="2">
        <v>631.202558729016</v>
      </c>
      <c r="C2315" s="2">
        <v>4.2764166666666696</v>
      </c>
      <c r="D2315" s="2" t="s">
        <v>70</v>
      </c>
      <c r="E2315" s="2" t="s">
        <v>15494</v>
      </c>
      <c r="F2315" s="2">
        <v>31801</v>
      </c>
      <c r="G2315" s="3" t="str">
        <f>HYPERLINK("http://funmeta.oebiotech.com/network/31801", "http://funmeta.oebiotech.com/network/31801")</f>
        <v>http://funmeta.oebiotech.com/network/31801</v>
      </c>
      <c r="H2315" s="2"/>
      <c r="I2315" s="2">
        <v>50128</v>
      </c>
      <c r="J2315" s="2" t="s">
        <v>15495</v>
      </c>
      <c r="K2315" s="2"/>
      <c r="L2315" s="2"/>
      <c r="M2315" s="2"/>
      <c r="N2315" s="2"/>
      <c r="O2315" s="2">
        <v>13964061</v>
      </c>
      <c r="P2315" s="2"/>
      <c r="Q2315" s="2" t="s">
        <v>15496</v>
      </c>
      <c r="R2315" s="2" t="s">
        <v>15497</v>
      </c>
      <c r="S2315" s="2" t="s">
        <v>115</v>
      </c>
      <c r="T2315" s="2" t="s">
        <v>139</v>
      </c>
      <c r="U2315" s="2" t="s">
        <v>140</v>
      </c>
      <c r="V2315" s="2" t="s">
        <v>59</v>
      </c>
      <c r="W2315" s="2">
        <v>43.4</v>
      </c>
      <c r="X2315" s="2">
        <v>29.4</v>
      </c>
      <c r="Y2315" s="2" t="s">
        <v>118</v>
      </c>
      <c r="Z2315" s="2" t="s">
        <v>15498</v>
      </c>
      <c r="AA2315" s="2">
        <v>-1.06082916553879</v>
      </c>
      <c r="AB2315" s="2">
        <v>0.34610931271698198</v>
      </c>
      <c r="AC2315" s="2">
        <v>57746.482257632997</v>
      </c>
      <c r="AD2315" s="2">
        <v>68498.3456973227</v>
      </c>
      <c r="AE2315" s="2">
        <v>53106.273126596898</v>
      </c>
      <c r="AF2315" s="2">
        <v>64454.561767290499</v>
      </c>
      <c r="AG2315" s="2">
        <v>60287.997491309499</v>
      </c>
      <c r="AH2315" s="2">
        <v>59760.465222548999</v>
      </c>
      <c r="AI2315" s="2">
        <v>60876.9928435767</v>
      </c>
      <c r="AJ2315" s="2">
        <v>47992.603094475497</v>
      </c>
      <c r="AK2315" s="2">
        <v>61193.250333718701</v>
      </c>
      <c r="AL2315" s="2">
        <v>67089.240493595498</v>
      </c>
      <c r="AM2315" s="2">
        <v>74849.483012813798</v>
      </c>
      <c r="AN2315" s="2">
        <v>69173.142909655304</v>
      </c>
      <c r="AO2315" s="2">
        <v>65585.774650992593</v>
      </c>
      <c r="AP2315" s="2">
        <v>73099.182783160504</v>
      </c>
    </row>
    <row r="2316" spans="1:42" ht="14.5" x14ac:dyDescent="0.35">
      <c r="A2316" s="2" t="s">
        <v>15499</v>
      </c>
      <c r="B2316" s="2">
        <v>671.21920126356804</v>
      </c>
      <c r="C2316" s="2">
        <v>4.6492000000000004</v>
      </c>
      <c r="D2316" s="2" t="s">
        <v>70</v>
      </c>
      <c r="E2316" s="2" t="s">
        <v>15500</v>
      </c>
      <c r="F2316" s="2">
        <v>28977</v>
      </c>
      <c r="G2316" s="3" t="str">
        <f>HYPERLINK("http://funmeta.oebiotech.com/network/28977", "http://funmeta.oebiotech.com/network/28977")</f>
        <v>http://funmeta.oebiotech.com/network/28977</v>
      </c>
      <c r="H2316" s="2"/>
      <c r="I2316" s="2"/>
      <c r="J2316" s="2" t="s">
        <v>15501</v>
      </c>
      <c r="K2316" s="2"/>
      <c r="L2316" s="2"/>
      <c r="M2316" s="2"/>
      <c r="N2316" s="2"/>
      <c r="O2316" s="2">
        <v>44257132</v>
      </c>
      <c r="P2316" s="2"/>
      <c r="Q2316" s="2" t="s">
        <v>15502</v>
      </c>
      <c r="R2316" s="2" t="s">
        <v>15503</v>
      </c>
      <c r="S2316" s="2" t="s">
        <v>115</v>
      </c>
      <c r="T2316" s="2" t="s">
        <v>139</v>
      </c>
      <c r="U2316" s="2" t="s">
        <v>140</v>
      </c>
      <c r="V2316" s="2" t="s">
        <v>59</v>
      </c>
      <c r="W2316" s="2">
        <v>38.4</v>
      </c>
      <c r="X2316" s="2">
        <v>0</v>
      </c>
      <c r="Y2316" s="2" t="s">
        <v>408</v>
      </c>
      <c r="Z2316" s="2" t="s">
        <v>15504</v>
      </c>
      <c r="AA2316" s="2">
        <v>-0.115164588076163</v>
      </c>
      <c r="AB2316" s="2">
        <v>0.34609146202673702</v>
      </c>
      <c r="AC2316" s="2">
        <v>15974.5735651798</v>
      </c>
      <c r="AD2316" s="2">
        <v>24467.000052364001</v>
      </c>
      <c r="AE2316" s="2">
        <v>15718.3830476687</v>
      </c>
      <c r="AF2316" s="2">
        <v>12735.55285869</v>
      </c>
      <c r="AG2316" s="2">
        <v>18966.036264778199</v>
      </c>
      <c r="AH2316" s="2">
        <v>17791.944855204601</v>
      </c>
      <c r="AI2316" s="2">
        <v>14868.689691428701</v>
      </c>
      <c r="AJ2316" s="2">
        <v>15766.8346733088</v>
      </c>
      <c r="AK2316" s="2">
        <v>24671.446897714701</v>
      </c>
      <c r="AL2316" s="2">
        <v>22642.662565807899</v>
      </c>
      <c r="AM2316" s="2">
        <v>24688.852307834601</v>
      </c>
      <c r="AN2316" s="2">
        <v>25538.083001876501</v>
      </c>
      <c r="AO2316" s="2">
        <v>22708.505341257998</v>
      </c>
      <c r="AP2316" s="2">
        <v>26552.450199692099</v>
      </c>
    </row>
    <row r="2317" spans="1:42" ht="14.5" x14ac:dyDescent="0.35">
      <c r="A2317" s="2" t="s">
        <v>15505</v>
      </c>
      <c r="B2317" s="2">
        <v>581.22366623430401</v>
      </c>
      <c r="C2317" s="2">
        <v>5.8043833333333303</v>
      </c>
      <c r="D2317" s="2" t="s">
        <v>70</v>
      </c>
      <c r="E2317" s="2" t="s">
        <v>15506</v>
      </c>
      <c r="F2317" s="2">
        <v>50911</v>
      </c>
      <c r="G2317" s="3" t="str">
        <f>HYPERLINK("http://funmeta.oebiotech.com/network/50911", "http://funmeta.oebiotech.com/network/50911")</f>
        <v>http://funmeta.oebiotech.com/network/50911</v>
      </c>
      <c r="H2317" s="2" t="s">
        <v>15507</v>
      </c>
      <c r="I2317" s="2">
        <v>61664</v>
      </c>
      <c r="J2317" s="2"/>
      <c r="K2317" s="2">
        <v>88734</v>
      </c>
      <c r="L2317" s="2" t="s">
        <v>1994</v>
      </c>
      <c r="M2317" s="2" t="s">
        <v>1995</v>
      </c>
      <c r="N2317" s="2" t="s">
        <v>1996</v>
      </c>
      <c r="O2317" s="2">
        <v>160706</v>
      </c>
      <c r="P2317" s="2" t="s">
        <v>15508</v>
      </c>
      <c r="Q2317" s="2" t="s">
        <v>15509</v>
      </c>
      <c r="R2317" s="2" t="s">
        <v>15510</v>
      </c>
      <c r="S2317" s="2" t="s">
        <v>50</v>
      </c>
      <c r="T2317" s="2" t="s">
        <v>124</v>
      </c>
      <c r="U2317" s="2" t="s">
        <v>523</v>
      </c>
      <c r="V2317" s="2" t="s">
        <v>59</v>
      </c>
      <c r="W2317" s="2">
        <v>37.799999999999997</v>
      </c>
      <c r="X2317" s="2">
        <v>0</v>
      </c>
      <c r="Y2317" s="2" t="s">
        <v>408</v>
      </c>
      <c r="Z2317" s="2" t="s">
        <v>4751</v>
      </c>
      <c r="AA2317" s="2">
        <v>-0.55686503219217898</v>
      </c>
      <c r="AB2317" s="2">
        <v>0.34579417360148801</v>
      </c>
      <c r="AC2317" s="2">
        <v>7952.6323109005798</v>
      </c>
      <c r="AD2317" s="2">
        <v>15984.7829848289</v>
      </c>
      <c r="AE2317" s="2">
        <v>6784.2058592737603</v>
      </c>
      <c r="AF2317" s="2">
        <v>8955.7789324203695</v>
      </c>
      <c r="AG2317" s="2">
        <v>7364.6765397686304</v>
      </c>
      <c r="AH2317" s="2">
        <v>7372.3325769969197</v>
      </c>
      <c r="AI2317" s="2">
        <v>9049.2310338034895</v>
      </c>
      <c r="AJ2317" s="2">
        <v>8189.5689231403303</v>
      </c>
      <c r="AK2317" s="2">
        <v>15801.499812367399</v>
      </c>
      <c r="AL2317" s="2">
        <v>14673.4909297907</v>
      </c>
      <c r="AM2317" s="2">
        <v>15162.956480011801</v>
      </c>
      <c r="AN2317" s="2">
        <v>17931.8796428606</v>
      </c>
      <c r="AO2317" s="2">
        <v>15999.8720627399</v>
      </c>
      <c r="AP2317" s="2">
        <v>16338.9989812033</v>
      </c>
    </row>
    <row r="2318" spans="1:42" ht="14.5" x14ac:dyDescent="0.35">
      <c r="A2318" s="2" t="s">
        <v>15511</v>
      </c>
      <c r="B2318" s="2">
        <v>412.96886474265301</v>
      </c>
      <c r="C2318" s="2">
        <v>2.6128999999999998</v>
      </c>
      <c r="D2318" s="2" t="s">
        <v>70</v>
      </c>
      <c r="E2318" s="2" t="s">
        <v>15512</v>
      </c>
      <c r="F2318" s="2">
        <v>280766</v>
      </c>
      <c r="G2318" s="3" t="str">
        <f>HYPERLINK("http://funmeta.oebiotech.com/network/280766", "http://funmeta.oebiotech.com/network/280766")</f>
        <v>http://funmeta.oebiotech.com/network/280766</v>
      </c>
      <c r="H2318" s="2" t="s">
        <v>15513</v>
      </c>
      <c r="I2318" s="2">
        <v>96224</v>
      </c>
      <c r="J2318" s="2"/>
      <c r="K2318" s="2"/>
      <c r="L2318" s="2"/>
      <c r="M2318" s="2"/>
      <c r="N2318" s="2"/>
      <c r="O2318" s="2">
        <v>9554</v>
      </c>
      <c r="P2318" s="2" t="s">
        <v>15514</v>
      </c>
      <c r="Q2318" s="2" t="s">
        <v>15515</v>
      </c>
      <c r="R2318" s="2" t="s">
        <v>15516</v>
      </c>
      <c r="S2318" s="2" t="s">
        <v>2811</v>
      </c>
      <c r="T2318" s="2" t="s">
        <v>2812</v>
      </c>
      <c r="U2318" s="2" t="s">
        <v>2813</v>
      </c>
      <c r="V2318" s="2" t="s">
        <v>59</v>
      </c>
      <c r="W2318" s="2">
        <v>38.6</v>
      </c>
      <c r="X2318" s="2">
        <v>2.04</v>
      </c>
      <c r="Y2318" s="2" t="s">
        <v>118</v>
      </c>
      <c r="Z2318" s="2" t="s">
        <v>15517</v>
      </c>
      <c r="AA2318" s="2">
        <v>5.8907207098673098</v>
      </c>
      <c r="AB2318" s="2">
        <v>0.34577130290552599</v>
      </c>
      <c r="AC2318" s="2">
        <v>60029.013435083303</v>
      </c>
      <c r="AD2318" s="2">
        <v>68898.312339951197</v>
      </c>
      <c r="AE2318" s="2">
        <v>60309.4414555244</v>
      </c>
      <c r="AF2318" s="2">
        <v>57044.680354954296</v>
      </c>
      <c r="AG2318" s="2">
        <v>60646.956138472902</v>
      </c>
      <c r="AH2318" s="2">
        <v>61348.303672094</v>
      </c>
      <c r="AI2318" s="2">
        <v>59584.161979811099</v>
      </c>
      <c r="AJ2318" s="2">
        <v>61240.537009642998</v>
      </c>
      <c r="AK2318" s="2">
        <v>72951.782809492594</v>
      </c>
      <c r="AL2318" s="2">
        <v>63286.346632999397</v>
      </c>
      <c r="AM2318" s="2">
        <v>68803.372975247694</v>
      </c>
      <c r="AN2318" s="2">
        <v>67938.1343034046</v>
      </c>
      <c r="AO2318" s="2">
        <v>71170.753689208301</v>
      </c>
      <c r="AP2318" s="2">
        <v>69239.483629354407</v>
      </c>
    </row>
    <row r="2319" spans="1:42" ht="14.5" x14ac:dyDescent="0.35">
      <c r="A2319" s="2" t="s">
        <v>15518</v>
      </c>
      <c r="B2319" s="2">
        <v>283.081041781343</v>
      </c>
      <c r="C2319" s="2">
        <v>5.0879333333333303</v>
      </c>
      <c r="D2319" s="2" t="s">
        <v>34</v>
      </c>
      <c r="E2319" s="2" t="s">
        <v>15519</v>
      </c>
      <c r="F2319" s="2">
        <v>54445</v>
      </c>
      <c r="G2319" s="3" t="str">
        <f>HYPERLINK("http://funmeta.oebiotech.com/network/54445", "http://funmeta.oebiotech.com/network/54445")</f>
        <v>http://funmeta.oebiotech.com/network/54445</v>
      </c>
      <c r="H2319" s="2" t="s">
        <v>15520</v>
      </c>
      <c r="I2319" s="2">
        <v>86307</v>
      </c>
      <c r="J2319" s="2"/>
      <c r="K2319" s="2">
        <v>168420</v>
      </c>
      <c r="L2319" s="2"/>
      <c r="M2319" s="2"/>
      <c r="N2319" s="2"/>
      <c r="O2319" s="2">
        <v>131750879</v>
      </c>
      <c r="P2319" s="2" t="s">
        <v>15521</v>
      </c>
      <c r="Q2319" s="2" t="s">
        <v>15522</v>
      </c>
      <c r="R2319" s="2" t="s">
        <v>15523</v>
      </c>
      <c r="S2319" s="2" t="s">
        <v>148</v>
      </c>
      <c r="T2319" s="2" t="s">
        <v>392</v>
      </c>
      <c r="U2319" s="2" t="s">
        <v>2045</v>
      </c>
      <c r="V2319" s="2" t="s">
        <v>59</v>
      </c>
      <c r="W2319" s="2">
        <v>38.4</v>
      </c>
      <c r="X2319" s="2">
        <v>0</v>
      </c>
      <c r="Y2319" s="2" t="s">
        <v>141</v>
      </c>
      <c r="Z2319" s="2" t="s">
        <v>12505</v>
      </c>
      <c r="AA2319" s="2">
        <v>-0.62461821892996305</v>
      </c>
      <c r="AB2319" s="2">
        <v>0.34576209701090299</v>
      </c>
      <c r="AC2319" s="2">
        <v>2825.06491089974</v>
      </c>
      <c r="AD2319" s="2">
        <v>10828.3563858</v>
      </c>
      <c r="AE2319" s="2">
        <v>3475.27674353765</v>
      </c>
      <c r="AF2319" s="2">
        <v>2481.1164299668699</v>
      </c>
      <c r="AG2319" s="2">
        <v>3625.7031733946501</v>
      </c>
      <c r="AH2319" s="2">
        <v>2594.9735955076999</v>
      </c>
      <c r="AI2319" s="2">
        <v>1592.1561234219</v>
      </c>
      <c r="AJ2319" s="2">
        <v>3181.1633995696702</v>
      </c>
      <c r="AK2319" s="2">
        <v>9372.6806469410203</v>
      </c>
      <c r="AL2319" s="2">
        <v>10591.5982517702</v>
      </c>
      <c r="AM2319" s="2">
        <v>10961.470838928701</v>
      </c>
      <c r="AN2319" s="2">
        <v>11896.521361462401</v>
      </c>
      <c r="AO2319" s="2">
        <v>10381.698559049801</v>
      </c>
      <c r="AP2319" s="2">
        <v>11766.1686566477</v>
      </c>
    </row>
    <row r="2320" spans="1:42" ht="14.5" x14ac:dyDescent="0.35">
      <c r="A2320" s="2" t="s">
        <v>15524</v>
      </c>
      <c r="B2320" s="2">
        <v>547.21822990907697</v>
      </c>
      <c r="C2320" s="2">
        <v>6.8767666666666702</v>
      </c>
      <c r="D2320" s="2" t="s">
        <v>70</v>
      </c>
      <c r="E2320" s="2" t="s">
        <v>15525</v>
      </c>
      <c r="F2320" s="2">
        <v>59112</v>
      </c>
      <c r="G2320" s="3" t="str">
        <f>HYPERLINK("http://funmeta.oebiotech.com/network/59112", "http://funmeta.oebiotech.com/network/59112")</f>
        <v>http://funmeta.oebiotech.com/network/59112</v>
      </c>
      <c r="H2320" s="2" t="s">
        <v>15526</v>
      </c>
      <c r="I2320" s="2">
        <v>90537</v>
      </c>
      <c r="J2320" s="2"/>
      <c r="K2320" s="2"/>
      <c r="L2320" s="2"/>
      <c r="M2320" s="2"/>
      <c r="N2320" s="2"/>
      <c r="O2320" s="2">
        <v>13857942</v>
      </c>
      <c r="P2320" s="2" t="s">
        <v>15527</v>
      </c>
      <c r="Q2320" s="2" t="s">
        <v>15528</v>
      </c>
      <c r="R2320" s="2" t="s">
        <v>15529</v>
      </c>
      <c r="S2320" s="2" t="s">
        <v>50</v>
      </c>
      <c r="T2320" s="2" t="s">
        <v>124</v>
      </c>
      <c r="U2320" s="2" t="s">
        <v>567</v>
      </c>
      <c r="V2320" s="2" t="s">
        <v>59</v>
      </c>
      <c r="W2320" s="2">
        <v>41.4</v>
      </c>
      <c r="X2320" s="2">
        <v>14.3</v>
      </c>
      <c r="Y2320" s="2" t="s">
        <v>408</v>
      </c>
      <c r="Z2320" s="2" t="s">
        <v>1807</v>
      </c>
      <c r="AA2320" s="2">
        <v>-0.50899446259652803</v>
      </c>
      <c r="AB2320" s="2">
        <v>0.34575841853513301</v>
      </c>
      <c r="AC2320" s="2">
        <v>13055.9617037547</v>
      </c>
      <c r="AD2320" s="2">
        <v>5095.3638427117703</v>
      </c>
      <c r="AE2320" s="2">
        <v>14416.9184181616</v>
      </c>
      <c r="AF2320" s="2">
        <v>12666.8606859928</v>
      </c>
      <c r="AG2320" s="2">
        <v>13911.9731222558</v>
      </c>
      <c r="AH2320" s="2">
        <v>12702.114869110301</v>
      </c>
      <c r="AI2320" s="2">
        <v>12068.307409028301</v>
      </c>
      <c r="AJ2320" s="2">
        <v>12569.5957179791</v>
      </c>
      <c r="AK2320" s="2">
        <v>4647.6921277375104</v>
      </c>
      <c r="AL2320" s="2">
        <v>4924.1875127474996</v>
      </c>
      <c r="AM2320" s="2">
        <v>5672.2570564267598</v>
      </c>
      <c r="AN2320" s="2">
        <v>5919.6272010844496</v>
      </c>
      <c r="AO2320" s="2">
        <v>4140.5867838657696</v>
      </c>
      <c r="AP2320" s="2">
        <v>5267.8323744086501</v>
      </c>
    </row>
    <row r="2321" spans="1:42" ht="14.5" x14ac:dyDescent="0.35">
      <c r="A2321" s="2" t="s">
        <v>15530</v>
      </c>
      <c r="B2321" s="2">
        <v>450.139310607845</v>
      </c>
      <c r="C2321" s="2">
        <v>3.6785666666666699</v>
      </c>
      <c r="D2321" s="2" t="s">
        <v>34</v>
      </c>
      <c r="E2321" s="2" t="s">
        <v>15531</v>
      </c>
      <c r="F2321" s="2">
        <v>52959</v>
      </c>
      <c r="G2321" s="3" t="str">
        <f>HYPERLINK("http://funmeta.oebiotech.com/network/52959", "http://funmeta.oebiotech.com/network/52959")</f>
        <v>http://funmeta.oebiotech.com/network/52959</v>
      </c>
      <c r="H2321" s="2" t="s">
        <v>15532</v>
      </c>
      <c r="I2321" s="2"/>
      <c r="J2321" s="2"/>
      <c r="K2321" s="2">
        <v>775209</v>
      </c>
      <c r="L2321" s="2"/>
      <c r="M2321" s="2"/>
      <c r="N2321" s="2"/>
      <c r="O2321" s="2">
        <v>60843</v>
      </c>
      <c r="P2321" s="2" t="s">
        <v>15533</v>
      </c>
      <c r="Q2321" s="2" t="s">
        <v>15534</v>
      </c>
      <c r="R2321" s="2" t="s">
        <v>15535</v>
      </c>
      <c r="S2321" s="2" t="s">
        <v>89</v>
      </c>
      <c r="T2321" s="2" t="s">
        <v>90</v>
      </c>
      <c r="U2321" s="2" t="s">
        <v>99</v>
      </c>
      <c r="V2321" s="2" t="s">
        <v>42</v>
      </c>
      <c r="W2321" s="2">
        <v>48.3</v>
      </c>
      <c r="X2321" s="2">
        <v>47.9</v>
      </c>
      <c r="Y2321" s="2" t="s">
        <v>323</v>
      </c>
      <c r="Z2321" s="2" t="s">
        <v>15536</v>
      </c>
      <c r="AA2321" s="2">
        <v>2.1222398408388998</v>
      </c>
      <c r="AB2321" s="2">
        <v>0.34567006437737502</v>
      </c>
      <c r="AC2321" s="2">
        <v>11266.075251517001</v>
      </c>
      <c r="AD2321" s="2">
        <v>3092.7496327426002</v>
      </c>
      <c r="AE2321" s="2">
        <v>12925.862795700001</v>
      </c>
      <c r="AF2321" s="2">
        <v>10505.0481714497</v>
      </c>
      <c r="AG2321" s="2">
        <v>10366.5112710951</v>
      </c>
      <c r="AH2321" s="2">
        <v>11985.300996583301</v>
      </c>
      <c r="AI2321" s="2">
        <v>10066.7584856017</v>
      </c>
      <c r="AJ2321" s="2">
        <v>11746.969788672401</v>
      </c>
      <c r="AK2321" s="2">
        <v>5038.5301032542002</v>
      </c>
      <c r="AL2321" s="2">
        <v>2791.68223504147</v>
      </c>
      <c r="AM2321" s="2">
        <v>4647.8760259763203</v>
      </c>
      <c r="AN2321" s="2">
        <v>3005.89326439673</v>
      </c>
      <c r="AO2321" s="2">
        <v>1008.54641928407</v>
      </c>
      <c r="AP2321" s="2">
        <v>2063.96974850281</v>
      </c>
    </row>
    <row r="2322" spans="1:42" ht="14.5" x14ac:dyDescent="0.35">
      <c r="A2322" s="2" t="s">
        <v>15537</v>
      </c>
      <c r="B2322" s="2">
        <v>625.22672973601004</v>
      </c>
      <c r="C2322" s="2">
        <v>5.3579833333333298</v>
      </c>
      <c r="D2322" s="2" t="s">
        <v>70</v>
      </c>
      <c r="E2322" s="2" t="s">
        <v>15538</v>
      </c>
      <c r="F2322" s="2">
        <v>50896</v>
      </c>
      <c r="G2322" s="3" t="str">
        <f>HYPERLINK("http://funmeta.oebiotech.com/network/50896", "http://funmeta.oebiotech.com/network/50896")</f>
        <v>http://funmeta.oebiotech.com/network/50896</v>
      </c>
      <c r="H2322" s="2" t="s">
        <v>15539</v>
      </c>
      <c r="I2322" s="2">
        <v>61650</v>
      </c>
      <c r="J2322" s="2"/>
      <c r="K2322" s="2"/>
      <c r="L2322" s="2" t="s">
        <v>1994</v>
      </c>
      <c r="M2322" s="2" t="s">
        <v>1995</v>
      </c>
      <c r="N2322" s="2" t="s">
        <v>1996</v>
      </c>
      <c r="O2322" s="2">
        <v>193088</v>
      </c>
      <c r="P2322" s="2" t="s">
        <v>15540</v>
      </c>
      <c r="Q2322" s="2" t="s">
        <v>15541</v>
      </c>
      <c r="R2322" s="2" t="s">
        <v>15542</v>
      </c>
      <c r="S2322" s="2" t="s">
        <v>79</v>
      </c>
      <c r="T2322" s="2" t="s">
        <v>80</v>
      </c>
      <c r="U2322" s="2" t="s">
        <v>81</v>
      </c>
      <c r="V2322" s="2" t="s">
        <v>42</v>
      </c>
      <c r="W2322" s="2">
        <v>48.9</v>
      </c>
      <c r="X2322" s="2">
        <v>60.7</v>
      </c>
      <c r="Y2322" s="2" t="s">
        <v>560</v>
      </c>
      <c r="Z2322" s="2" t="s">
        <v>15543</v>
      </c>
      <c r="AA2322" s="2">
        <v>2.71826588928726</v>
      </c>
      <c r="AB2322" s="2">
        <v>0.34563604448045199</v>
      </c>
      <c r="AC2322" s="2">
        <v>135265.73071688399</v>
      </c>
      <c r="AD2322" s="2">
        <v>123770.864262188</v>
      </c>
      <c r="AE2322" s="2">
        <v>129665.32926576299</v>
      </c>
      <c r="AF2322" s="2">
        <v>140094.75820743499</v>
      </c>
      <c r="AG2322" s="2">
        <v>129080.29698266</v>
      </c>
      <c r="AH2322" s="2">
        <v>134541.04120296601</v>
      </c>
      <c r="AI2322" s="2">
        <v>139755.83072739601</v>
      </c>
      <c r="AJ2322" s="2">
        <v>138457.12791508401</v>
      </c>
      <c r="AK2322" s="2">
        <v>125447.22771547901</v>
      </c>
      <c r="AL2322" s="2">
        <v>119436.14733747899</v>
      </c>
      <c r="AM2322" s="2">
        <v>124476.98745730201</v>
      </c>
      <c r="AN2322" s="2">
        <v>137148.91671912</v>
      </c>
      <c r="AO2322" s="2">
        <v>113300.97306236099</v>
      </c>
      <c r="AP2322" s="2">
        <v>122814.933281384</v>
      </c>
    </row>
    <row r="2323" spans="1:42" ht="14.5" x14ac:dyDescent="0.35">
      <c r="A2323" s="2" t="s">
        <v>15544</v>
      </c>
      <c r="B2323" s="2">
        <v>513.03578434236897</v>
      </c>
      <c r="C2323" s="2">
        <v>9.1761499999999998</v>
      </c>
      <c r="D2323" s="2" t="s">
        <v>70</v>
      </c>
      <c r="E2323" s="2" t="s">
        <v>15545</v>
      </c>
      <c r="F2323" s="2">
        <v>210575</v>
      </c>
      <c r="G2323" s="3" t="str">
        <f>HYPERLINK("http://funmeta.oebiotech.com/network/210575", "http://funmeta.oebiotech.com/network/210575")</f>
        <v>http://funmeta.oebiotech.com/network/210575</v>
      </c>
      <c r="H2323" s="2" t="s">
        <v>15546</v>
      </c>
      <c r="I2323" s="2"/>
      <c r="J2323" s="2"/>
      <c r="K2323" s="2"/>
      <c r="L2323" s="2"/>
      <c r="M2323" s="2"/>
      <c r="N2323" s="2"/>
      <c r="O2323" s="2"/>
      <c r="P2323" s="2"/>
      <c r="Q2323" s="2" t="s">
        <v>15547</v>
      </c>
      <c r="R2323" s="2" t="s">
        <v>15548</v>
      </c>
      <c r="S2323" s="2" t="s">
        <v>1677</v>
      </c>
      <c r="T2323" s="2" t="s">
        <v>1678</v>
      </c>
      <c r="U2323" s="2" t="s">
        <v>15549</v>
      </c>
      <c r="V2323" s="2" t="s">
        <v>59</v>
      </c>
      <c r="W2323" s="2">
        <v>36</v>
      </c>
      <c r="X2323" s="2">
        <v>0</v>
      </c>
      <c r="Y2323" s="2" t="s">
        <v>286</v>
      </c>
      <c r="Z2323" s="2" t="s">
        <v>15550</v>
      </c>
      <c r="AA2323" s="2">
        <v>2.77510837738006</v>
      </c>
      <c r="AB2323" s="2">
        <v>0.34551105757670603</v>
      </c>
      <c r="AC2323" s="2">
        <v>55795.057230955601</v>
      </c>
      <c r="AD2323" s="2">
        <v>64847.228627142402</v>
      </c>
      <c r="AE2323" s="2">
        <v>55322.946056499801</v>
      </c>
      <c r="AF2323" s="2">
        <v>56182.485874128397</v>
      </c>
      <c r="AG2323" s="2">
        <v>57527.800518943601</v>
      </c>
      <c r="AH2323" s="2">
        <v>58545.261471158403</v>
      </c>
      <c r="AI2323" s="2">
        <v>54292.472646313101</v>
      </c>
      <c r="AJ2323" s="2">
        <v>52899.376818690303</v>
      </c>
      <c r="AK2323" s="2">
        <v>65909.362815679604</v>
      </c>
      <c r="AL2323" s="2">
        <v>63268.550354851999</v>
      </c>
      <c r="AM2323" s="2">
        <v>70006.474513520807</v>
      </c>
      <c r="AN2323" s="2">
        <v>60103.405109197498</v>
      </c>
      <c r="AO2323" s="2">
        <v>66695.965539897894</v>
      </c>
      <c r="AP2323" s="2">
        <v>63099.613429706798</v>
      </c>
    </row>
    <row r="2324" spans="1:42" ht="14.5" x14ac:dyDescent="0.35">
      <c r="A2324" s="2" t="s">
        <v>15551</v>
      </c>
      <c r="B2324" s="2">
        <v>441.20962908777602</v>
      </c>
      <c r="C2324" s="2">
        <v>2.43028333333333</v>
      </c>
      <c r="D2324" s="2" t="s">
        <v>34</v>
      </c>
      <c r="E2324" s="2" t="s">
        <v>15552</v>
      </c>
      <c r="F2324" s="2">
        <v>275606</v>
      </c>
      <c r="G2324" s="3" t="str">
        <f>HYPERLINK("http://funmeta.oebiotech.com/network/275606", "http://funmeta.oebiotech.com/network/275606")</f>
        <v>http://funmeta.oebiotech.com/network/275606</v>
      </c>
      <c r="H2324" s="2"/>
      <c r="I2324" s="2">
        <v>66915</v>
      </c>
      <c r="J2324" s="2"/>
      <c r="K2324" s="2"/>
      <c r="L2324" s="2" t="s">
        <v>15553</v>
      </c>
      <c r="M2324" s="2"/>
      <c r="N2324" s="2"/>
      <c r="O2324" s="2">
        <v>119533</v>
      </c>
      <c r="P2324" s="2" t="s">
        <v>15554</v>
      </c>
      <c r="Q2324" s="2" t="s">
        <v>15555</v>
      </c>
      <c r="R2324" s="2" t="s">
        <v>15556</v>
      </c>
      <c r="S2324" s="2" t="s">
        <v>79</v>
      </c>
      <c r="T2324" s="2" t="s">
        <v>80</v>
      </c>
      <c r="U2324" s="2" t="s">
        <v>81</v>
      </c>
      <c r="V2324" s="2" t="s">
        <v>59</v>
      </c>
      <c r="W2324" s="2">
        <v>38.299999999999997</v>
      </c>
      <c r="X2324" s="2">
        <v>0</v>
      </c>
      <c r="Y2324" s="2" t="s">
        <v>470</v>
      </c>
      <c r="Z2324" s="2" t="s">
        <v>15557</v>
      </c>
      <c r="AA2324" s="2">
        <v>4.1184182757211003</v>
      </c>
      <c r="AB2324" s="2">
        <v>0.34542384820452698</v>
      </c>
      <c r="AC2324" s="2">
        <v>26008.634251830099</v>
      </c>
      <c r="AD2324" s="2">
        <v>35497.128450999502</v>
      </c>
      <c r="AE2324" s="2">
        <v>25643.885102029399</v>
      </c>
      <c r="AF2324" s="2">
        <v>25082.9680152564</v>
      </c>
      <c r="AG2324" s="2">
        <v>25050.292872814</v>
      </c>
      <c r="AH2324" s="2">
        <v>22729.483148195501</v>
      </c>
      <c r="AI2324" s="2">
        <v>30803.1707322611</v>
      </c>
      <c r="AJ2324" s="2">
        <v>26742.005640423999</v>
      </c>
      <c r="AK2324" s="2">
        <v>32191.393669161</v>
      </c>
      <c r="AL2324" s="2">
        <v>39287.790497758702</v>
      </c>
      <c r="AM2324" s="2">
        <v>30686.943238202701</v>
      </c>
      <c r="AN2324" s="2">
        <v>34515.6776193392</v>
      </c>
      <c r="AO2324" s="2">
        <v>34318.504687020701</v>
      </c>
      <c r="AP2324" s="2">
        <v>41982.4609945146</v>
      </c>
    </row>
    <row r="2325" spans="1:42" ht="14.5" x14ac:dyDescent="0.35">
      <c r="A2325" s="2" t="s">
        <v>15558</v>
      </c>
      <c r="B2325" s="2">
        <v>311.07324952220802</v>
      </c>
      <c r="C2325" s="2">
        <v>3.25416666666667</v>
      </c>
      <c r="D2325" s="2" t="s">
        <v>34</v>
      </c>
      <c r="E2325" s="2" t="s">
        <v>15559</v>
      </c>
      <c r="F2325" s="2">
        <v>202685</v>
      </c>
      <c r="G2325" s="3" t="str">
        <f>HYPERLINK("http://funmeta.oebiotech.com/network/202685", "http://funmeta.oebiotech.com/network/202685")</f>
        <v>http://funmeta.oebiotech.com/network/202685</v>
      </c>
      <c r="H2325" s="2" t="s">
        <v>15560</v>
      </c>
      <c r="I2325" s="2"/>
      <c r="J2325" s="2"/>
      <c r="K2325" s="2"/>
      <c r="L2325" s="2"/>
      <c r="M2325" s="2"/>
      <c r="N2325" s="2"/>
      <c r="O2325" s="2">
        <v>92021966</v>
      </c>
      <c r="P2325" s="2"/>
      <c r="Q2325" s="2" t="s">
        <v>15561</v>
      </c>
      <c r="R2325" s="2" t="s">
        <v>15562</v>
      </c>
      <c r="S2325" s="2" t="s">
        <v>1444</v>
      </c>
      <c r="T2325" s="2" t="s">
        <v>3595</v>
      </c>
      <c r="U2325" s="2" t="s">
        <v>41</v>
      </c>
      <c r="V2325" s="2" t="s">
        <v>59</v>
      </c>
      <c r="W2325" s="2">
        <v>38.5</v>
      </c>
      <c r="X2325" s="2">
        <v>0</v>
      </c>
      <c r="Y2325" s="2" t="s">
        <v>141</v>
      </c>
      <c r="Z2325" s="2" t="s">
        <v>15563</v>
      </c>
      <c r="AA2325" s="2">
        <v>-0.63698007748362495</v>
      </c>
      <c r="AB2325" s="2">
        <v>0.34523190548940402</v>
      </c>
      <c r="AC2325" s="2">
        <v>6521.83098629905</v>
      </c>
      <c r="AD2325" s="2">
        <v>14591.234442758099</v>
      </c>
      <c r="AE2325" s="2">
        <v>6700.5283249451504</v>
      </c>
      <c r="AF2325" s="2">
        <v>5382.2079604854498</v>
      </c>
      <c r="AG2325" s="2">
        <v>5139.5337917983697</v>
      </c>
      <c r="AH2325" s="2">
        <v>7561.3882101270801</v>
      </c>
      <c r="AI2325" s="2">
        <v>6559.2394710540602</v>
      </c>
      <c r="AJ2325" s="2">
        <v>7788.0881593841896</v>
      </c>
      <c r="AK2325" s="2">
        <v>15384.5476538944</v>
      </c>
      <c r="AL2325" s="2">
        <v>15480.134260484499</v>
      </c>
      <c r="AM2325" s="2">
        <v>13739.4018955376</v>
      </c>
      <c r="AN2325" s="2">
        <v>14612.664106857799</v>
      </c>
      <c r="AO2325" s="2">
        <v>15661.938448307401</v>
      </c>
      <c r="AP2325" s="2">
        <v>12668.720291467</v>
      </c>
    </row>
    <row r="2326" spans="1:42" ht="14.5" x14ac:dyDescent="0.35">
      <c r="A2326" s="2" t="s">
        <v>15564</v>
      </c>
      <c r="B2326" s="2">
        <v>545.21693754351895</v>
      </c>
      <c r="C2326" s="2">
        <v>6.4438333333333304</v>
      </c>
      <c r="D2326" s="2" t="s">
        <v>70</v>
      </c>
      <c r="E2326" s="2" t="s">
        <v>15565</v>
      </c>
      <c r="F2326" s="2">
        <v>202593</v>
      </c>
      <c r="G2326" s="3" t="str">
        <f>HYPERLINK("http://funmeta.oebiotech.com/network/202593", "http://funmeta.oebiotech.com/network/202593")</f>
        <v>http://funmeta.oebiotech.com/network/202593</v>
      </c>
      <c r="H2326" s="2" t="s">
        <v>15566</v>
      </c>
      <c r="I2326" s="2"/>
      <c r="J2326" s="2"/>
      <c r="K2326" s="2"/>
      <c r="L2326" s="2"/>
      <c r="M2326" s="2"/>
      <c r="N2326" s="2"/>
      <c r="O2326" s="2">
        <v>188266</v>
      </c>
      <c r="P2326" s="2"/>
      <c r="Q2326" s="2" t="s">
        <v>15567</v>
      </c>
      <c r="R2326" s="2" t="s">
        <v>15568</v>
      </c>
      <c r="S2326" s="2" t="s">
        <v>41</v>
      </c>
      <c r="T2326" s="2" t="s">
        <v>41</v>
      </c>
      <c r="U2326" s="2" t="s">
        <v>41</v>
      </c>
      <c r="V2326" s="2" t="s">
        <v>59</v>
      </c>
      <c r="W2326" s="2">
        <v>38.200000000000003</v>
      </c>
      <c r="X2326" s="2">
        <v>0</v>
      </c>
      <c r="Y2326" s="2" t="s">
        <v>560</v>
      </c>
      <c r="Z2326" s="2" t="s">
        <v>15569</v>
      </c>
      <c r="AA2326" s="2">
        <v>-1.3812550596147699</v>
      </c>
      <c r="AB2326" s="2">
        <v>0.34469433185625298</v>
      </c>
      <c r="AC2326" s="2">
        <v>10722.1690798088</v>
      </c>
      <c r="AD2326" s="2">
        <v>2651.81381781547</v>
      </c>
      <c r="AE2326" s="2">
        <v>11361.1236233906</v>
      </c>
      <c r="AF2326" s="2">
        <v>10834.442083984301</v>
      </c>
      <c r="AG2326" s="2">
        <v>12390.7256771148</v>
      </c>
      <c r="AH2326" s="2">
        <v>11724.7836206469</v>
      </c>
      <c r="AI2326" s="2">
        <v>7629.8441851875295</v>
      </c>
      <c r="AJ2326" s="2">
        <v>10392.0952885284</v>
      </c>
      <c r="AK2326" s="2">
        <v>3448.98884314516</v>
      </c>
      <c r="AL2326" s="2">
        <v>1828.84242697164</v>
      </c>
      <c r="AM2326" s="2">
        <v>2621.5243283816299</v>
      </c>
      <c r="AN2326" s="2">
        <v>2349.45844545717</v>
      </c>
      <c r="AO2326" s="2">
        <v>2119.9451260302699</v>
      </c>
      <c r="AP2326" s="2">
        <v>3542.1237369069399</v>
      </c>
    </row>
    <row r="2327" spans="1:42" ht="14.5" x14ac:dyDescent="0.35">
      <c r="A2327" s="2" t="s">
        <v>15570</v>
      </c>
      <c r="B2327" s="2">
        <v>1055.5247257557201</v>
      </c>
      <c r="C2327" s="2">
        <v>14.665566666666701</v>
      </c>
      <c r="D2327" s="2" t="s">
        <v>70</v>
      </c>
      <c r="E2327" s="2" t="s">
        <v>15571</v>
      </c>
      <c r="F2327" s="2">
        <v>233349</v>
      </c>
      <c r="G2327" s="3" t="str">
        <f>HYPERLINK("http://funmeta.oebiotech.com/network/233349", "http://funmeta.oebiotech.com/network/233349")</f>
        <v>http://funmeta.oebiotech.com/network/233349</v>
      </c>
      <c r="H2327" s="2" t="s">
        <v>15572</v>
      </c>
      <c r="I2327" s="2"/>
      <c r="J2327" s="2"/>
      <c r="K2327" s="2"/>
      <c r="L2327" s="2"/>
      <c r="M2327" s="2"/>
      <c r="N2327" s="2"/>
      <c r="O2327" s="2"/>
      <c r="P2327" s="2"/>
      <c r="Q2327" s="2" t="s">
        <v>15573</v>
      </c>
      <c r="R2327" s="2" t="s">
        <v>15574</v>
      </c>
      <c r="S2327" s="2" t="s">
        <v>41</v>
      </c>
      <c r="T2327" s="2" t="s">
        <v>41</v>
      </c>
      <c r="U2327" s="2" t="s">
        <v>41</v>
      </c>
      <c r="V2327" s="2" t="s">
        <v>59</v>
      </c>
      <c r="W2327" s="2">
        <v>38.1</v>
      </c>
      <c r="X2327" s="2">
        <v>0</v>
      </c>
      <c r="Y2327" s="2" t="s">
        <v>751</v>
      </c>
      <c r="Z2327" s="2" t="s">
        <v>15575</v>
      </c>
      <c r="AA2327" s="2">
        <v>-1.8820610491980301</v>
      </c>
      <c r="AB2327" s="2">
        <v>0.34467202073244002</v>
      </c>
      <c r="AC2327" s="2">
        <v>7626.0891391642999</v>
      </c>
      <c r="AD2327" s="2">
        <v>15898.3542029401</v>
      </c>
      <c r="AE2327" s="2">
        <v>6814.7070979097898</v>
      </c>
      <c r="AF2327" s="2">
        <v>6970.97115002598</v>
      </c>
      <c r="AG2327" s="2">
        <v>6825.6797414141101</v>
      </c>
      <c r="AH2327" s="2">
        <v>8657.6099660090495</v>
      </c>
      <c r="AI2327" s="2">
        <v>7963.4535270635597</v>
      </c>
      <c r="AJ2327" s="2">
        <v>8524.1133525633395</v>
      </c>
      <c r="AK2327" s="2">
        <v>13810.642873569701</v>
      </c>
      <c r="AL2327" s="2">
        <v>15301.0203292529</v>
      </c>
      <c r="AM2327" s="2">
        <v>13802.4574790101</v>
      </c>
      <c r="AN2327" s="2">
        <v>19672.229147160899</v>
      </c>
      <c r="AO2327" s="2">
        <v>16528.472701128299</v>
      </c>
      <c r="AP2327" s="2">
        <v>16275.302687518901</v>
      </c>
    </row>
    <row r="2328" spans="1:42" ht="14.5" x14ac:dyDescent="0.35">
      <c r="A2328" s="2" t="s">
        <v>15576</v>
      </c>
      <c r="B2328" s="2">
        <v>481.09918923215201</v>
      </c>
      <c r="C2328" s="2">
        <v>4.1524000000000001</v>
      </c>
      <c r="D2328" s="2" t="s">
        <v>70</v>
      </c>
      <c r="E2328" s="2" t="s">
        <v>15577</v>
      </c>
      <c r="F2328" s="2">
        <v>64253</v>
      </c>
      <c r="G2328" s="3" t="str">
        <f>HYPERLINK("http://funmeta.oebiotech.com/network/64253", "http://funmeta.oebiotech.com/network/64253")</f>
        <v>http://funmeta.oebiotech.com/network/64253</v>
      </c>
      <c r="H2328" s="2" t="s">
        <v>15578</v>
      </c>
      <c r="I2328" s="2">
        <v>95575</v>
      </c>
      <c r="J2328" s="2"/>
      <c r="K2328" s="2"/>
      <c r="L2328" s="2"/>
      <c r="M2328" s="2"/>
      <c r="N2328" s="2"/>
      <c r="O2328" s="2">
        <v>75253041</v>
      </c>
      <c r="P2328" s="2" t="s">
        <v>15579</v>
      </c>
      <c r="Q2328" s="2" t="s">
        <v>15580</v>
      </c>
      <c r="R2328" s="2" t="s">
        <v>15581</v>
      </c>
      <c r="S2328" s="2" t="s">
        <v>491</v>
      </c>
      <c r="T2328" s="2" t="s">
        <v>2251</v>
      </c>
      <c r="U2328" s="2" t="s">
        <v>2252</v>
      </c>
      <c r="V2328" s="2" t="s">
        <v>59</v>
      </c>
      <c r="W2328" s="2">
        <v>38</v>
      </c>
      <c r="X2328" s="2">
        <v>0</v>
      </c>
      <c r="Y2328" s="2" t="s">
        <v>408</v>
      </c>
      <c r="Z2328" s="2" t="s">
        <v>15582</v>
      </c>
      <c r="AA2328" s="2">
        <v>0.97432938552146398</v>
      </c>
      <c r="AB2328" s="2">
        <v>0.34458817032308398</v>
      </c>
      <c r="AC2328" s="2">
        <v>16187.9808201334</v>
      </c>
      <c r="AD2328" s="2">
        <v>24970.345690053098</v>
      </c>
      <c r="AE2328" s="2">
        <v>13815.0351608438</v>
      </c>
      <c r="AF2328" s="2">
        <v>17508.964229790701</v>
      </c>
      <c r="AG2328" s="2">
        <v>19746.316887041699</v>
      </c>
      <c r="AH2328" s="2">
        <v>13424.4585824599</v>
      </c>
      <c r="AI2328" s="2">
        <v>16392.076741536199</v>
      </c>
      <c r="AJ2328" s="2">
        <v>16241.033319128101</v>
      </c>
      <c r="AK2328" s="2">
        <v>22850.126670944599</v>
      </c>
      <c r="AL2328" s="2">
        <v>24854.514934334198</v>
      </c>
      <c r="AM2328" s="2">
        <v>24512.316133223299</v>
      </c>
      <c r="AN2328" s="2">
        <v>28485.592376821402</v>
      </c>
      <c r="AO2328" s="2">
        <v>27594.067298328398</v>
      </c>
      <c r="AP2328" s="2">
        <v>21525.456726666798</v>
      </c>
    </row>
    <row r="2329" spans="1:42" ht="14.5" x14ac:dyDescent="0.35">
      <c r="A2329" s="2" t="s">
        <v>15583</v>
      </c>
      <c r="B2329" s="2">
        <v>697.21166136135696</v>
      </c>
      <c r="C2329" s="2">
        <v>5.5805999999999996</v>
      </c>
      <c r="D2329" s="2" t="s">
        <v>70</v>
      </c>
      <c r="E2329" s="2" t="s">
        <v>15584</v>
      </c>
      <c r="F2329" s="2">
        <v>53499</v>
      </c>
      <c r="G2329" s="3" t="str">
        <f>HYPERLINK("http://funmeta.oebiotech.com/network/53499", "http://funmeta.oebiotech.com/network/53499")</f>
        <v>http://funmeta.oebiotech.com/network/53499</v>
      </c>
      <c r="H2329" s="2" t="s">
        <v>15585</v>
      </c>
      <c r="I2329" s="2">
        <v>1640</v>
      </c>
      <c r="J2329" s="2"/>
      <c r="K2329" s="2">
        <v>3547</v>
      </c>
      <c r="L2329" s="2" t="s">
        <v>15586</v>
      </c>
      <c r="M2329" s="2"/>
      <c r="N2329" s="2"/>
      <c r="O2329" s="2">
        <v>38103</v>
      </c>
      <c r="P2329" s="2" t="s">
        <v>15587</v>
      </c>
      <c r="Q2329" s="2" t="s">
        <v>15588</v>
      </c>
      <c r="R2329" s="2" t="s">
        <v>15589</v>
      </c>
      <c r="S2329" s="2" t="s">
        <v>89</v>
      </c>
      <c r="T2329" s="2" t="s">
        <v>90</v>
      </c>
      <c r="U2329" s="2" t="s">
        <v>99</v>
      </c>
      <c r="V2329" s="2" t="s">
        <v>59</v>
      </c>
      <c r="W2329" s="2">
        <v>37.799999999999997</v>
      </c>
      <c r="X2329" s="2">
        <v>0</v>
      </c>
      <c r="Y2329" s="2" t="s">
        <v>560</v>
      </c>
      <c r="Z2329" s="2" t="s">
        <v>15590</v>
      </c>
      <c r="AA2329" s="2">
        <v>-0.45316794284441397</v>
      </c>
      <c r="AB2329" s="2">
        <v>0.344561111151372</v>
      </c>
      <c r="AC2329" s="2">
        <v>8602.0061598953798</v>
      </c>
      <c r="AD2329" s="2">
        <v>454.54211687746903</v>
      </c>
      <c r="AE2329" s="2">
        <v>7583.0199409470497</v>
      </c>
      <c r="AF2329" s="2">
        <v>9121.8536622806005</v>
      </c>
      <c r="AG2329" s="2">
        <v>7989.6382928070598</v>
      </c>
      <c r="AH2329" s="2">
        <v>10433.8656378263</v>
      </c>
      <c r="AI2329" s="2">
        <v>10485.646880653499</v>
      </c>
      <c r="AJ2329" s="2">
        <v>5998.0125448577501</v>
      </c>
      <c r="AK2329" s="2">
        <v>1550.9863592573399</v>
      </c>
      <c r="AL2329" s="2">
        <v>2.7106294003980101E-5</v>
      </c>
      <c r="AM2329" s="2">
        <v>2.7106294003980101E-5</v>
      </c>
      <c r="AN2329" s="2">
        <v>728.13321172870701</v>
      </c>
      <c r="AO2329" s="2">
        <v>6.3842777427622496E-2</v>
      </c>
      <c r="AP2329" s="2">
        <v>448.06923328875399</v>
      </c>
    </row>
    <row r="2330" spans="1:42" ht="14.5" x14ac:dyDescent="0.35">
      <c r="A2330" s="2" t="s">
        <v>15591</v>
      </c>
      <c r="B2330" s="2">
        <v>725.37277865448903</v>
      </c>
      <c r="C2330" s="2">
        <v>7.5749000000000004</v>
      </c>
      <c r="D2330" s="2" t="s">
        <v>70</v>
      </c>
      <c r="E2330" s="2" t="s">
        <v>15592</v>
      </c>
      <c r="F2330" s="2">
        <v>43735</v>
      </c>
      <c r="G2330" s="3" t="str">
        <f>HYPERLINK("http://funmeta.oebiotech.com/network/43735", "http://funmeta.oebiotech.com/network/43735")</f>
        <v>http://funmeta.oebiotech.com/network/43735</v>
      </c>
      <c r="H2330" s="2"/>
      <c r="I2330" s="2"/>
      <c r="J2330" s="2" t="s">
        <v>15593</v>
      </c>
      <c r="K2330" s="2"/>
      <c r="L2330" s="2"/>
      <c r="M2330" s="2"/>
      <c r="N2330" s="2"/>
      <c r="O2330" s="2">
        <v>102277616</v>
      </c>
      <c r="P2330" s="2"/>
      <c r="Q2330" s="2" t="s">
        <v>15594</v>
      </c>
      <c r="R2330" s="2" t="s">
        <v>15595</v>
      </c>
      <c r="S2330" s="2" t="s">
        <v>50</v>
      </c>
      <c r="T2330" s="2" t="s">
        <v>124</v>
      </c>
      <c r="U2330" s="2" t="s">
        <v>523</v>
      </c>
      <c r="V2330" s="2" t="s">
        <v>59</v>
      </c>
      <c r="W2330" s="2">
        <v>36</v>
      </c>
      <c r="X2330" s="2">
        <v>1.02</v>
      </c>
      <c r="Y2330" s="2" t="s">
        <v>408</v>
      </c>
      <c r="Z2330" s="2" t="s">
        <v>15596</v>
      </c>
      <c r="AA2330" s="2">
        <v>-3.8235352948438699</v>
      </c>
      <c r="AB2330" s="2">
        <v>0.34425691996602598</v>
      </c>
      <c r="AC2330" s="2">
        <v>10850.6028632366</v>
      </c>
      <c r="AD2330" s="2">
        <v>19358.753298839802</v>
      </c>
      <c r="AE2330" s="2">
        <v>11109.992758168801</v>
      </c>
      <c r="AF2330" s="2">
        <v>10855.556362892299</v>
      </c>
      <c r="AG2330" s="2">
        <v>9906.3992678528703</v>
      </c>
      <c r="AH2330" s="2">
        <v>10360.5139501829</v>
      </c>
      <c r="AI2330" s="2">
        <v>11985.370571654001</v>
      </c>
      <c r="AJ2330" s="2">
        <v>10885.7842686685</v>
      </c>
      <c r="AK2330" s="2">
        <v>23046.3144465185</v>
      </c>
      <c r="AL2330" s="2">
        <v>19912.389556741899</v>
      </c>
      <c r="AM2330" s="2">
        <v>15241.3211630718</v>
      </c>
      <c r="AN2330" s="2">
        <v>17737.748423698002</v>
      </c>
      <c r="AO2330" s="2">
        <v>18542.472431521299</v>
      </c>
      <c r="AP2330" s="2">
        <v>21672.273771487398</v>
      </c>
    </row>
    <row r="2331" spans="1:42" ht="14.5" x14ac:dyDescent="0.35">
      <c r="A2331" s="2" t="s">
        <v>15597</v>
      </c>
      <c r="B2331" s="2">
        <v>275.123150521767</v>
      </c>
      <c r="C2331" s="2">
        <v>0.76544999999999996</v>
      </c>
      <c r="D2331" s="2" t="s">
        <v>34</v>
      </c>
      <c r="E2331" s="2" t="s">
        <v>15598</v>
      </c>
      <c r="F2331" s="2">
        <v>211435</v>
      </c>
      <c r="G2331" s="3" t="str">
        <f>HYPERLINK("http://funmeta.oebiotech.com/network/211435", "http://funmeta.oebiotech.com/network/211435")</f>
        <v>http://funmeta.oebiotech.com/network/211435</v>
      </c>
      <c r="H2331" s="2" t="s">
        <v>15599</v>
      </c>
      <c r="I2331" s="2"/>
      <c r="J2331" s="2"/>
      <c r="K2331" s="2"/>
      <c r="L2331" s="2"/>
      <c r="M2331" s="2"/>
      <c r="N2331" s="2"/>
      <c r="O2331" s="2">
        <v>54433909</v>
      </c>
      <c r="P2331" s="2"/>
      <c r="Q2331" s="2" t="s">
        <v>15600</v>
      </c>
      <c r="R2331" s="2" t="s">
        <v>15601</v>
      </c>
      <c r="S2331" s="2" t="s">
        <v>41</v>
      </c>
      <c r="T2331" s="2" t="s">
        <v>41</v>
      </c>
      <c r="U2331" s="2" t="s">
        <v>41</v>
      </c>
      <c r="V2331" s="2" t="s">
        <v>59</v>
      </c>
      <c r="W2331" s="2">
        <v>37.1</v>
      </c>
      <c r="X2331" s="2">
        <v>0</v>
      </c>
      <c r="Y2331" s="2" t="s">
        <v>43</v>
      </c>
      <c r="Z2331" s="2" t="s">
        <v>15602</v>
      </c>
      <c r="AA2331" s="2">
        <v>-2.3813123530114</v>
      </c>
      <c r="AB2331" s="2">
        <v>0.34405561603454898</v>
      </c>
      <c r="AC2331" s="2">
        <v>14647.243054046699</v>
      </c>
      <c r="AD2331" s="2">
        <v>23029.8430290992</v>
      </c>
      <c r="AE2331" s="2">
        <v>15741.815887303201</v>
      </c>
      <c r="AF2331" s="2">
        <v>16367.464195795899</v>
      </c>
      <c r="AG2331" s="2">
        <v>14984.0193507942</v>
      </c>
      <c r="AH2331" s="2">
        <v>13292.311834431601</v>
      </c>
      <c r="AI2331" s="2">
        <v>14983.2881215171</v>
      </c>
      <c r="AJ2331" s="2">
        <v>12514.558934438301</v>
      </c>
      <c r="AK2331" s="2">
        <v>26081.146033612</v>
      </c>
      <c r="AL2331" s="2">
        <v>24642.408882006399</v>
      </c>
      <c r="AM2331" s="2">
        <v>20349.5113494539</v>
      </c>
      <c r="AN2331" s="2">
        <v>23572.135746611199</v>
      </c>
      <c r="AO2331" s="2">
        <v>21728.502945705401</v>
      </c>
      <c r="AP2331" s="2">
        <v>21805.353217206499</v>
      </c>
    </row>
    <row r="2332" spans="1:42" ht="14.5" x14ac:dyDescent="0.35">
      <c r="A2332" s="2" t="s">
        <v>15603</v>
      </c>
      <c r="B2332" s="2">
        <v>351.09489090136498</v>
      </c>
      <c r="C2332" s="2">
        <v>3.49291666666667</v>
      </c>
      <c r="D2332" s="2" t="s">
        <v>34</v>
      </c>
      <c r="E2332" s="2" t="s">
        <v>15604</v>
      </c>
      <c r="F2332" s="2">
        <v>273746</v>
      </c>
      <c r="G2332" s="3" t="str">
        <f>HYPERLINK("http://funmeta.oebiotech.com/network/273746", "http://funmeta.oebiotech.com/network/273746")</f>
        <v>http://funmeta.oebiotech.com/network/273746</v>
      </c>
      <c r="H2332" s="2"/>
      <c r="I2332" s="2">
        <v>63042</v>
      </c>
      <c r="J2332" s="2"/>
      <c r="K2332" s="2"/>
      <c r="L2332" s="2"/>
      <c r="M2332" s="2"/>
      <c r="N2332" s="2"/>
      <c r="O2332" s="2">
        <v>2601</v>
      </c>
      <c r="P2332" s="2" t="s">
        <v>15605</v>
      </c>
      <c r="Q2332" s="2" t="s">
        <v>15606</v>
      </c>
      <c r="R2332" s="2" t="s">
        <v>15607</v>
      </c>
      <c r="S2332" s="2" t="s">
        <v>491</v>
      </c>
      <c r="T2332" s="2" t="s">
        <v>13250</v>
      </c>
      <c r="U2332" s="2" t="s">
        <v>41</v>
      </c>
      <c r="V2332" s="2" t="s">
        <v>59</v>
      </c>
      <c r="W2332" s="2">
        <v>38.1</v>
      </c>
      <c r="X2332" s="2">
        <v>0</v>
      </c>
      <c r="Y2332" s="2" t="s">
        <v>568</v>
      </c>
      <c r="Z2332" s="2" t="s">
        <v>15608</v>
      </c>
      <c r="AA2332" s="2">
        <v>-0.76621340477426103</v>
      </c>
      <c r="AB2332" s="2">
        <v>0.34387285916808702</v>
      </c>
      <c r="AC2332" s="2">
        <v>13612.745662634599</v>
      </c>
      <c r="AD2332" s="2">
        <v>21497.876735784801</v>
      </c>
      <c r="AE2332" s="2">
        <v>14019.220837250899</v>
      </c>
      <c r="AF2332" s="2">
        <v>13294.156824342401</v>
      </c>
      <c r="AG2332" s="2">
        <v>13393.234183635401</v>
      </c>
      <c r="AH2332" s="2">
        <v>12422.805181894601</v>
      </c>
      <c r="AI2332" s="2">
        <v>13724.7619193103</v>
      </c>
      <c r="AJ2332" s="2">
        <v>14822.295029374</v>
      </c>
      <c r="AK2332" s="2">
        <v>22471.131940196399</v>
      </c>
      <c r="AL2332" s="2">
        <v>20399.437287823101</v>
      </c>
      <c r="AM2332" s="2">
        <v>21256.0949423167</v>
      </c>
      <c r="AN2332" s="2">
        <v>21115.952114090702</v>
      </c>
      <c r="AO2332" s="2">
        <v>21458.066526831401</v>
      </c>
      <c r="AP2332" s="2">
        <v>22286.577603450602</v>
      </c>
    </row>
    <row r="2333" spans="1:42" ht="14.5" x14ac:dyDescent="0.35">
      <c r="A2333" s="2" t="s">
        <v>15609</v>
      </c>
      <c r="B2333" s="2">
        <v>260.20059363476298</v>
      </c>
      <c r="C2333" s="2">
        <v>6.3021166666666701</v>
      </c>
      <c r="D2333" s="2" t="s">
        <v>34</v>
      </c>
      <c r="E2333" s="2" t="s">
        <v>15610</v>
      </c>
      <c r="F2333" s="2">
        <v>199315</v>
      </c>
      <c r="G2333" s="3" t="str">
        <f>HYPERLINK("http://funmeta.oebiotech.com/network/199315", "http://funmeta.oebiotech.com/network/199315")</f>
        <v>http://funmeta.oebiotech.com/network/199315</v>
      </c>
      <c r="H2333" s="2" t="s">
        <v>15611</v>
      </c>
      <c r="I2333" s="2">
        <v>321699</v>
      </c>
      <c r="J2333" s="2"/>
      <c r="K2333" s="2"/>
      <c r="L2333" s="2"/>
      <c r="M2333" s="2"/>
      <c r="N2333" s="2"/>
      <c r="O2333" s="2">
        <v>98840</v>
      </c>
      <c r="P2333" s="2"/>
      <c r="Q2333" s="2" t="s">
        <v>15612</v>
      </c>
      <c r="R2333" s="2" t="s">
        <v>15613</v>
      </c>
      <c r="S2333" s="2" t="s">
        <v>1677</v>
      </c>
      <c r="T2333" s="2" t="s">
        <v>1678</v>
      </c>
      <c r="U2333" s="2" t="s">
        <v>1679</v>
      </c>
      <c r="V2333" s="2" t="s">
        <v>59</v>
      </c>
      <c r="W2333" s="2">
        <v>47.1</v>
      </c>
      <c r="X2333" s="2">
        <v>42.4</v>
      </c>
      <c r="Y2333" s="2" t="s">
        <v>394</v>
      </c>
      <c r="Z2333" s="2" t="s">
        <v>15614</v>
      </c>
      <c r="AA2333" s="2">
        <v>-1.14672326143086</v>
      </c>
      <c r="AB2333" s="2">
        <v>0.34379018307800802</v>
      </c>
      <c r="AC2333" s="2">
        <v>31294.588610271101</v>
      </c>
      <c r="AD2333" s="2">
        <v>39776.141667582699</v>
      </c>
      <c r="AE2333" s="2">
        <v>30041.198489948099</v>
      </c>
      <c r="AF2333" s="2">
        <v>31143.4968151711</v>
      </c>
      <c r="AG2333" s="2">
        <v>31037.379750183201</v>
      </c>
      <c r="AH2333" s="2">
        <v>30056.1498246152</v>
      </c>
      <c r="AI2333" s="2">
        <v>34661.843833326799</v>
      </c>
      <c r="AJ2333" s="2">
        <v>30827.462948382199</v>
      </c>
      <c r="AK2333" s="2">
        <v>36775.156786916101</v>
      </c>
      <c r="AL2333" s="2">
        <v>39198.777654375299</v>
      </c>
      <c r="AM2333" s="2">
        <v>39016.907025330802</v>
      </c>
      <c r="AN2333" s="2">
        <v>39356.963323423603</v>
      </c>
      <c r="AO2333" s="2">
        <v>40047.756404746899</v>
      </c>
      <c r="AP2333" s="2">
        <v>44261.288810703401</v>
      </c>
    </row>
    <row r="2334" spans="1:42" ht="14.5" x14ac:dyDescent="0.35">
      <c r="A2334" s="2" t="s">
        <v>15615</v>
      </c>
      <c r="B2334" s="2">
        <v>287.05589974884401</v>
      </c>
      <c r="C2334" s="2">
        <v>5.8226333333333304</v>
      </c>
      <c r="D2334" s="2" t="s">
        <v>70</v>
      </c>
      <c r="E2334" s="2" t="s">
        <v>15616</v>
      </c>
      <c r="F2334" s="2">
        <v>34184</v>
      </c>
      <c r="G2334" s="3" t="str">
        <f>HYPERLINK("http://funmeta.oebiotech.com/network/34184", "http://funmeta.oebiotech.com/network/34184")</f>
        <v>http://funmeta.oebiotech.com/network/34184</v>
      </c>
      <c r="H2334" s="2" t="s">
        <v>15617</v>
      </c>
      <c r="I2334" s="2">
        <v>3415</v>
      </c>
      <c r="J2334" s="2" t="s">
        <v>15618</v>
      </c>
      <c r="K2334" s="2">
        <v>28412</v>
      </c>
      <c r="L2334" s="2" t="s">
        <v>15619</v>
      </c>
      <c r="M2334" s="2" t="s">
        <v>1432</v>
      </c>
      <c r="N2334" s="2" t="s">
        <v>1433</v>
      </c>
      <c r="O2334" s="2">
        <v>440735</v>
      </c>
      <c r="P2334" s="2" t="s">
        <v>15620</v>
      </c>
      <c r="Q2334" s="2" t="s">
        <v>15621</v>
      </c>
      <c r="R2334" s="2" t="s">
        <v>15622</v>
      </c>
      <c r="S2334" s="2" t="s">
        <v>115</v>
      </c>
      <c r="T2334" s="2" t="s">
        <v>139</v>
      </c>
      <c r="U2334" s="2" t="s">
        <v>1437</v>
      </c>
      <c r="V2334" s="2" t="s">
        <v>42</v>
      </c>
      <c r="W2334" s="2">
        <v>55.8</v>
      </c>
      <c r="X2334" s="2">
        <v>84</v>
      </c>
      <c r="Y2334" s="2" t="s">
        <v>118</v>
      </c>
      <c r="Z2334" s="2" t="s">
        <v>1438</v>
      </c>
      <c r="AA2334" s="2">
        <v>-0.73567611984495995</v>
      </c>
      <c r="AB2334" s="2">
        <v>0.34361305410464799</v>
      </c>
      <c r="AC2334" s="2">
        <v>10662.0986272505</v>
      </c>
      <c r="AD2334" s="2">
        <v>18858.078393490501</v>
      </c>
      <c r="AE2334" s="2">
        <v>10476.5036685086</v>
      </c>
      <c r="AF2334" s="2">
        <v>11571.798143099501</v>
      </c>
      <c r="AG2334" s="2">
        <v>10220.2441165444</v>
      </c>
      <c r="AH2334" s="2">
        <v>10208.690796253701</v>
      </c>
      <c r="AI2334" s="2">
        <v>9806.9047730672391</v>
      </c>
      <c r="AJ2334" s="2">
        <v>11688.4502660295</v>
      </c>
      <c r="AK2334" s="2">
        <v>18333.2226156506</v>
      </c>
      <c r="AL2334" s="2">
        <v>22060.344000176101</v>
      </c>
      <c r="AM2334" s="2">
        <v>19510.322241006499</v>
      </c>
      <c r="AN2334" s="2">
        <v>18492.373334799799</v>
      </c>
      <c r="AO2334" s="2">
        <v>18834.6729414273</v>
      </c>
      <c r="AP2334" s="2">
        <v>15917.535227882499</v>
      </c>
    </row>
    <row r="2335" spans="1:42" ht="14.5" x14ac:dyDescent="0.35">
      <c r="A2335" s="2" t="s">
        <v>15623</v>
      </c>
      <c r="B2335" s="2">
        <v>672.37346150144595</v>
      </c>
      <c r="C2335" s="2">
        <v>7.9734333333333298</v>
      </c>
      <c r="D2335" s="2" t="s">
        <v>34</v>
      </c>
      <c r="E2335" s="2" t="s">
        <v>15624</v>
      </c>
      <c r="F2335" s="2">
        <v>28014</v>
      </c>
      <c r="G2335" s="3" t="str">
        <f>HYPERLINK("http://funmeta.oebiotech.com/network/28014", "http://funmeta.oebiotech.com/network/28014")</f>
        <v>http://funmeta.oebiotech.com/network/28014</v>
      </c>
      <c r="H2335" s="2"/>
      <c r="I2335" s="2"/>
      <c r="J2335" s="2" t="s">
        <v>15625</v>
      </c>
      <c r="K2335" s="2"/>
      <c r="L2335" s="2"/>
      <c r="M2335" s="2"/>
      <c r="N2335" s="2"/>
      <c r="O2335" s="2">
        <v>134812460</v>
      </c>
      <c r="P2335" s="2"/>
      <c r="Q2335" s="2" t="s">
        <v>15626</v>
      </c>
      <c r="R2335" s="2" t="s">
        <v>15627</v>
      </c>
      <c r="S2335" s="2" t="s">
        <v>50</v>
      </c>
      <c r="T2335" s="2" t="s">
        <v>51</v>
      </c>
      <c r="U2335" s="2" t="s">
        <v>738</v>
      </c>
      <c r="V2335" s="2" t="s">
        <v>59</v>
      </c>
      <c r="W2335" s="2">
        <v>37.5</v>
      </c>
      <c r="X2335" s="2">
        <v>0</v>
      </c>
      <c r="Y2335" s="2" t="s">
        <v>43</v>
      </c>
      <c r="Z2335" s="2" t="s">
        <v>15628</v>
      </c>
      <c r="AA2335" s="2">
        <v>2.4567169349492501</v>
      </c>
      <c r="AB2335" s="2">
        <v>0.34356041016408301</v>
      </c>
      <c r="AC2335" s="2">
        <v>20999.713475227501</v>
      </c>
      <c r="AD2335" s="2">
        <v>12600.736747889399</v>
      </c>
      <c r="AE2335" s="2">
        <v>18237.821489989099</v>
      </c>
      <c r="AF2335" s="2">
        <v>23918.350007831399</v>
      </c>
      <c r="AG2335" s="2">
        <v>22711.408290608899</v>
      </c>
      <c r="AH2335" s="2">
        <v>20557.180383065701</v>
      </c>
      <c r="AI2335" s="2">
        <v>18974.119720520899</v>
      </c>
      <c r="AJ2335" s="2">
        <v>21599.400959348899</v>
      </c>
      <c r="AK2335" s="2">
        <v>10879.622413071</v>
      </c>
      <c r="AL2335" s="2">
        <v>10905.416330092199</v>
      </c>
      <c r="AM2335" s="2">
        <v>13045.498313960001</v>
      </c>
      <c r="AN2335" s="2">
        <v>14805.710527661</v>
      </c>
      <c r="AO2335" s="2">
        <v>11705.4464017255</v>
      </c>
      <c r="AP2335" s="2">
        <v>14262.7265008266</v>
      </c>
    </row>
    <row r="2336" spans="1:42" ht="14.5" x14ac:dyDescent="0.35">
      <c r="A2336" s="2" t="s">
        <v>15629</v>
      </c>
      <c r="B2336" s="2">
        <v>393.09555806466</v>
      </c>
      <c r="C2336" s="2">
        <v>1.54206666666667</v>
      </c>
      <c r="D2336" s="2" t="s">
        <v>70</v>
      </c>
      <c r="E2336" s="2" t="s">
        <v>15630</v>
      </c>
      <c r="F2336" s="2">
        <v>57434</v>
      </c>
      <c r="G2336" s="3" t="str">
        <f>HYPERLINK("http://funmeta.oebiotech.com/network/57434", "http://funmeta.oebiotech.com/network/57434")</f>
        <v>http://funmeta.oebiotech.com/network/57434</v>
      </c>
      <c r="H2336" s="2" t="s">
        <v>15631</v>
      </c>
      <c r="I2336" s="2">
        <v>89055</v>
      </c>
      <c r="J2336" s="2"/>
      <c r="K2336" s="2"/>
      <c r="L2336" s="2"/>
      <c r="M2336" s="2"/>
      <c r="N2336" s="2"/>
      <c r="O2336" s="2">
        <v>85834720</v>
      </c>
      <c r="P2336" s="2" t="s">
        <v>15632</v>
      </c>
      <c r="Q2336" s="2" t="s">
        <v>15633</v>
      </c>
      <c r="R2336" s="2" t="s">
        <v>15634</v>
      </c>
      <c r="S2336" s="2" t="s">
        <v>148</v>
      </c>
      <c r="T2336" s="2" t="s">
        <v>392</v>
      </c>
      <c r="U2336" s="2" t="s">
        <v>393</v>
      </c>
      <c r="V2336" s="2" t="s">
        <v>59</v>
      </c>
      <c r="W2336" s="2">
        <v>36.6</v>
      </c>
      <c r="X2336" s="2">
        <v>0</v>
      </c>
      <c r="Y2336" s="2" t="s">
        <v>560</v>
      </c>
      <c r="Z2336" s="2" t="s">
        <v>15635</v>
      </c>
      <c r="AA2336" s="2">
        <v>1.8657684932084699</v>
      </c>
      <c r="AB2336" s="2">
        <v>0.34355124437935702</v>
      </c>
      <c r="AC2336" s="2">
        <v>21745.204821341002</v>
      </c>
      <c r="AD2336" s="2">
        <v>13470.301989661601</v>
      </c>
      <c r="AE2336" s="2">
        <v>23094.807523344502</v>
      </c>
      <c r="AF2336" s="2">
        <v>21209.602760915099</v>
      </c>
      <c r="AG2336" s="2">
        <v>20968.838632074199</v>
      </c>
      <c r="AH2336" s="2">
        <v>22524.4150058081</v>
      </c>
      <c r="AI2336" s="2">
        <v>22229.5804602834</v>
      </c>
      <c r="AJ2336" s="2">
        <v>20443.9845456209</v>
      </c>
      <c r="AK2336" s="2">
        <v>15494.2313084995</v>
      </c>
      <c r="AL2336" s="2">
        <v>12435.540192640099</v>
      </c>
      <c r="AM2336" s="2">
        <v>16826.902356099599</v>
      </c>
      <c r="AN2336" s="2">
        <v>11863.556728208399</v>
      </c>
      <c r="AO2336" s="2">
        <v>11549.0892960806</v>
      </c>
      <c r="AP2336" s="2">
        <v>12652.492056441601</v>
      </c>
    </row>
    <row r="2337" spans="1:42" ht="14.5" x14ac:dyDescent="0.35">
      <c r="A2337" s="2" t="s">
        <v>15636</v>
      </c>
      <c r="B2337" s="2">
        <v>303.23266227424199</v>
      </c>
      <c r="C2337" s="2">
        <v>12.2015166666667</v>
      </c>
      <c r="D2337" s="2" t="s">
        <v>70</v>
      </c>
      <c r="E2337" s="2" t="s">
        <v>15637</v>
      </c>
      <c r="F2337" s="2">
        <v>511</v>
      </c>
      <c r="G2337" s="3" t="str">
        <f>HYPERLINK("http://funmeta.oebiotech.com/network/511", "http://funmeta.oebiotech.com/network/511")</f>
        <v>http://funmeta.oebiotech.com/network/511</v>
      </c>
      <c r="H2337" s="2" t="s">
        <v>15638</v>
      </c>
      <c r="I2337" s="2">
        <v>193</v>
      </c>
      <c r="J2337" s="2" t="s">
        <v>15639</v>
      </c>
      <c r="K2337" s="2">
        <v>15843</v>
      </c>
      <c r="L2337" s="2" t="s">
        <v>15640</v>
      </c>
      <c r="M2337" s="2" t="s">
        <v>15641</v>
      </c>
      <c r="N2337" s="2" t="s">
        <v>15642</v>
      </c>
      <c r="O2337" s="2">
        <v>444899</v>
      </c>
      <c r="P2337" s="2" t="s">
        <v>15643</v>
      </c>
      <c r="Q2337" s="2" t="s">
        <v>15644</v>
      </c>
      <c r="R2337" s="2" t="s">
        <v>15645</v>
      </c>
      <c r="S2337" s="2" t="s">
        <v>50</v>
      </c>
      <c r="T2337" s="2" t="s">
        <v>229</v>
      </c>
      <c r="U2337" s="2" t="s">
        <v>433</v>
      </c>
      <c r="V2337" s="2" t="s">
        <v>42</v>
      </c>
      <c r="W2337" s="2">
        <v>48.8</v>
      </c>
      <c r="X2337" s="2">
        <v>48.7</v>
      </c>
      <c r="Y2337" s="2" t="s">
        <v>118</v>
      </c>
      <c r="Z2337" s="2" t="s">
        <v>15646</v>
      </c>
      <c r="AA2337" s="2">
        <v>-0.95831875258614296</v>
      </c>
      <c r="AB2337" s="2">
        <v>0.34347705328487099</v>
      </c>
      <c r="AC2337" s="2">
        <v>15495.696214814599</v>
      </c>
      <c r="AD2337" s="2">
        <v>7566.29531817306</v>
      </c>
      <c r="AE2337" s="2">
        <v>16035.876415172799</v>
      </c>
      <c r="AF2337" s="2">
        <v>13646.365592910801</v>
      </c>
      <c r="AG2337" s="2">
        <v>17051.469718769698</v>
      </c>
      <c r="AH2337" s="2">
        <v>15889.958332881501</v>
      </c>
      <c r="AI2337" s="2">
        <v>15869.0149799624</v>
      </c>
      <c r="AJ2337" s="2">
        <v>14481.4922491905</v>
      </c>
      <c r="AK2337" s="2">
        <v>8459.8560164150094</v>
      </c>
      <c r="AL2337" s="2">
        <v>8095.4680864252496</v>
      </c>
      <c r="AM2337" s="2">
        <v>7496.5551651663</v>
      </c>
      <c r="AN2337" s="2">
        <v>7361.2593453092404</v>
      </c>
      <c r="AO2337" s="2">
        <v>7178.8545980892204</v>
      </c>
      <c r="AP2337" s="2">
        <v>6805.77869763331</v>
      </c>
    </row>
    <row r="2338" spans="1:42" ht="14.5" x14ac:dyDescent="0.35">
      <c r="A2338" s="2" t="s">
        <v>15647</v>
      </c>
      <c r="B2338" s="2">
        <v>825.47927249657505</v>
      </c>
      <c r="C2338" s="2">
        <v>10.7203</v>
      </c>
      <c r="D2338" s="2" t="s">
        <v>70</v>
      </c>
      <c r="E2338" s="2" t="s">
        <v>15648</v>
      </c>
      <c r="F2338" s="2">
        <v>223728</v>
      </c>
      <c r="G2338" s="3" t="str">
        <f>HYPERLINK("http://funmeta.oebiotech.com/network/223728", "http://funmeta.oebiotech.com/network/223728")</f>
        <v>http://funmeta.oebiotech.com/network/223728</v>
      </c>
      <c r="H2338" s="2" t="s">
        <v>15649</v>
      </c>
      <c r="I2338" s="2"/>
      <c r="J2338" s="2"/>
      <c r="K2338" s="2"/>
      <c r="L2338" s="2"/>
      <c r="M2338" s="2"/>
      <c r="N2338" s="2"/>
      <c r="O2338" s="2"/>
      <c r="P2338" s="2"/>
      <c r="Q2338" s="2" t="s">
        <v>15650</v>
      </c>
      <c r="R2338" s="2" t="s">
        <v>15651</v>
      </c>
      <c r="S2338" s="2" t="s">
        <v>41</v>
      </c>
      <c r="T2338" s="2" t="s">
        <v>41</v>
      </c>
      <c r="U2338" s="2" t="s">
        <v>41</v>
      </c>
      <c r="V2338" s="2" t="s">
        <v>59</v>
      </c>
      <c r="W2338" s="2">
        <v>38.4</v>
      </c>
      <c r="X2338" s="2">
        <v>0</v>
      </c>
      <c r="Y2338" s="2" t="s">
        <v>408</v>
      </c>
      <c r="Z2338" s="2" t="s">
        <v>15652</v>
      </c>
      <c r="AA2338" s="2">
        <v>2.8067398676111299</v>
      </c>
      <c r="AB2338" s="2">
        <v>0.34325687112811498</v>
      </c>
      <c r="AC2338" s="2">
        <v>10995.3917459163</v>
      </c>
      <c r="AD2338" s="2">
        <v>2236.8264096845301</v>
      </c>
      <c r="AE2338" s="2">
        <v>13852.9631132144</v>
      </c>
      <c r="AF2338" s="2">
        <v>8598.2616173193201</v>
      </c>
      <c r="AG2338" s="2">
        <v>13161.884401982399</v>
      </c>
      <c r="AH2338" s="2">
        <v>10845.012010206299</v>
      </c>
      <c r="AI2338" s="2">
        <v>7647.8074270978404</v>
      </c>
      <c r="AJ2338" s="2">
        <v>11866.4219056777</v>
      </c>
      <c r="AK2338" s="2">
        <v>1313.8089749593901</v>
      </c>
      <c r="AL2338" s="2">
        <v>7931.0667126202898</v>
      </c>
      <c r="AM2338" s="2">
        <v>1491.2440698605601</v>
      </c>
      <c r="AN2338" s="2">
        <v>877.06130341681296</v>
      </c>
      <c r="AO2338" s="2">
        <v>244.88481302167801</v>
      </c>
      <c r="AP2338" s="2">
        <v>1562.89258422842</v>
      </c>
    </row>
    <row r="2339" spans="1:42" ht="14.5" x14ac:dyDescent="0.35">
      <c r="A2339" s="2" t="s">
        <v>15653</v>
      </c>
      <c r="B2339" s="2">
        <v>663.26194664953903</v>
      </c>
      <c r="C2339" s="2">
        <v>6.0676500000000004</v>
      </c>
      <c r="D2339" s="2" t="s">
        <v>70</v>
      </c>
      <c r="E2339" s="2" t="s">
        <v>15654</v>
      </c>
      <c r="F2339" s="2">
        <v>82689</v>
      </c>
      <c r="G2339" s="3" t="str">
        <f>HYPERLINK("http://funmeta.oebiotech.com/network/82689", "http://funmeta.oebiotech.com/network/82689")</f>
        <v>http://funmeta.oebiotech.com/network/82689</v>
      </c>
      <c r="H2339" s="2" t="s">
        <v>15655</v>
      </c>
      <c r="I2339" s="2"/>
      <c r="J2339" s="2"/>
      <c r="K2339" s="2"/>
      <c r="L2339" s="2"/>
      <c r="M2339" s="2"/>
      <c r="N2339" s="2"/>
      <c r="O2339" s="2">
        <v>134295</v>
      </c>
      <c r="P2339" s="2"/>
      <c r="Q2339" s="2" t="s">
        <v>15656</v>
      </c>
      <c r="R2339" s="2" t="s">
        <v>15657</v>
      </c>
      <c r="S2339" s="2" t="s">
        <v>148</v>
      </c>
      <c r="T2339" s="2" t="s">
        <v>149</v>
      </c>
      <c r="U2339" s="2" t="s">
        <v>1593</v>
      </c>
      <c r="V2339" s="2" t="s">
        <v>59</v>
      </c>
      <c r="W2339" s="2">
        <v>38.700000000000003</v>
      </c>
      <c r="X2339" s="2">
        <v>0</v>
      </c>
      <c r="Y2339" s="2" t="s">
        <v>560</v>
      </c>
      <c r="Z2339" s="2" t="s">
        <v>15658</v>
      </c>
      <c r="AA2339" s="2">
        <v>-0.49858326193847402</v>
      </c>
      <c r="AB2339" s="2">
        <v>0.34323727330341502</v>
      </c>
      <c r="AC2339" s="2">
        <v>44832.541874607501</v>
      </c>
      <c r="AD2339" s="2">
        <v>35699.090415289902</v>
      </c>
      <c r="AE2339" s="2">
        <v>46846.063221307901</v>
      </c>
      <c r="AF2339" s="2">
        <v>37283.361806107903</v>
      </c>
      <c r="AG2339" s="2">
        <v>48797.982313454202</v>
      </c>
      <c r="AH2339" s="2">
        <v>45157.413557723201</v>
      </c>
      <c r="AI2339" s="2">
        <v>43918.767892695403</v>
      </c>
      <c r="AJ2339" s="2">
        <v>46991.6624563562</v>
      </c>
      <c r="AK2339" s="2">
        <v>35329.2862476593</v>
      </c>
      <c r="AL2339" s="2">
        <v>37779.829011414397</v>
      </c>
      <c r="AM2339" s="2">
        <v>32605.5830117974</v>
      </c>
      <c r="AN2339" s="2">
        <v>36990.965086632401</v>
      </c>
      <c r="AO2339" s="2">
        <v>34671.9699676651</v>
      </c>
      <c r="AP2339" s="2">
        <v>36816.909166570797</v>
      </c>
    </row>
    <row r="2340" spans="1:42" ht="14.5" x14ac:dyDescent="0.35">
      <c r="A2340" s="2" t="s">
        <v>15659</v>
      </c>
      <c r="B2340" s="2">
        <v>725.44447343574495</v>
      </c>
      <c r="C2340" s="2">
        <v>11.8372333333333</v>
      </c>
      <c r="D2340" s="2" t="s">
        <v>34</v>
      </c>
      <c r="E2340" s="2" t="s">
        <v>15660</v>
      </c>
      <c r="F2340" s="2">
        <v>63203</v>
      </c>
      <c r="G2340" s="3" t="str">
        <f>HYPERLINK("http://funmeta.oebiotech.com/network/63203", "http://funmeta.oebiotech.com/network/63203")</f>
        <v>http://funmeta.oebiotech.com/network/63203</v>
      </c>
      <c r="H2340" s="2" t="s">
        <v>15661</v>
      </c>
      <c r="I2340" s="2">
        <v>94511</v>
      </c>
      <c r="J2340" s="2"/>
      <c r="K2340" s="2">
        <v>176301</v>
      </c>
      <c r="L2340" s="2"/>
      <c r="M2340" s="2"/>
      <c r="N2340" s="2"/>
      <c r="O2340" s="2">
        <v>131752773</v>
      </c>
      <c r="P2340" s="2" t="s">
        <v>15662</v>
      </c>
      <c r="Q2340" s="2" t="s">
        <v>15663</v>
      </c>
      <c r="R2340" s="2" t="s">
        <v>15664</v>
      </c>
      <c r="S2340" s="2" t="s">
        <v>148</v>
      </c>
      <c r="T2340" s="2" t="s">
        <v>149</v>
      </c>
      <c r="U2340" s="2" t="s">
        <v>1593</v>
      </c>
      <c r="V2340" s="2" t="s">
        <v>59</v>
      </c>
      <c r="W2340" s="2">
        <v>37.5</v>
      </c>
      <c r="X2340" s="2">
        <v>0</v>
      </c>
      <c r="Y2340" s="2" t="s">
        <v>394</v>
      </c>
      <c r="Z2340" s="2" t="s">
        <v>15665</v>
      </c>
      <c r="AA2340" s="2">
        <v>4.54526300590679</v>
      </c>
      <c r="AB2340" s="2">
        <v>0.34317146474207799</v>
      </c>
      <c r="AC2340" s="2">
        <v>21469.3636490514</v>
      </c>
      <c r="AD2340" s="2">
        <v>12827.068434864201</v>
      </c>
      <c r="AE2340" s="2">
        <v>21890.315938018401</v>
      </c>
      <c r="AF2340" s="2">
        <v>21322.831646781098</v>
      </c>
      <c r="AG2340" s="2">
        <v>23180.249259559801</v>
      </c>
      <c r="AH2340" s="2">
        <v>16815.267584606601</v>
      </c>
      <c r="AI2340" s="2">
        <v>21127.468639443901</v>
      </c>
      <c r="AJ2340" s="2">
        <v>24480.048825898801</v>
      </c>
      <c r="AK2340" s="2">
        <v>10136.908272009299</v>
      </c>
      <c r="AL2340" s="2">
        <v>14337.2134846546</v>
      </c>
      <c r="AM2340" s="2">
        <v>10709.3422259705</v>
      </c>
      <c r="AN2340" s="2">
        <v>14079.5778721881</v>
      </c>
      <c r="AO2340" s="2">
        <v>15478.4134181916</v>
      </c>
      <c r="AP2340" s="2">
        <v>12220.9553361711</v>
      </c>
    </row>
    <row r="2341" spans="1:42" ht="14.5" x14ac:dyDescent="0.35">
      <c r="A2341" s="2" t="s">
        <v>15666</v>
      </c>
      <c r="B2341" s="2">
        <v>561.39227788636401</v>
      </c>
      <c r="C2341" s="2">
        <v>13.512233333333301</v>
      </c>
      <c r="D2341" s="2" t="s">
        <v>34</v>
      </c>
      <c r="E2341" s="2" t="s">
        <v>15667</v>
      </c>
      <c r="F2341" s="2">
        <v>134876</v>
      </c>
      <c r="G2341" s="3" t="str">
        <f>HYPERLINK("http://funmeta.oebiotech.com/network/134876", "http://funmeta.oebiotech.com/network/134876")</f>
        <v>http://funmeta.oebiotech.com/network/134876</v>
      </c>
      <c r="H2341" s="2" t="s">
        <v>15668</v>
      </c>
      <c r="I2341" s="2"/>
      <c r="J2341" s="2"/>
      <c r="K2341" s="2"/>
      <c r="L2341" s="2"/>
      <c r="M2341" s="2"/>
      <c r="N2341" s="2"/>
      <c r="O2341" s="2">
        <v>131821859</v>
      </c>
      <c r="P2341" s="2"/>
      <c r="Q2341" s="2" t="s">
        <v>15669</v>
      </c>
      <c r="R2341" s="2" t="s">
        <v>15670</v>
      </c>
      <c r="S2341" s="2" t="s">
        <v>50</v>
      </c>
      <c r="T2341" s="2" t="s">
        <v>51</v>
      </c>
      <c r="U2341" s="2" t="s">
        <v>273</v>
      </c>
      <c r="V2341" s="2" t="s">
        <v>59</v>
      </c>
      <c r="W2341" s="2">
        <v>37.4</v>
      </c>
      <c r="X2341" s="2">
        <v>0</v>
      </c>
      <c r="Y2341" s="2" t="s">
        <v>141</v>
      </c>
      <c r="Z2341" s="2" t="s">
        <v>15671</v>
      </c>
      <c r="AA2341" s="2">
        <v>1.40156484238785</v>
      </c>
      <c r="AB2341" s="2">
        <v>0.34309456881307299</v>
      </c>
      <c r="AC2341" s="2">
        <v>14927.594034506399</v>
      </c>
      <c r="AD2341" s="2">
        <v>6953.9395765134695</v>
      </c>
      <c r="AE2341" s="2">
        <v>13393.8413277256</v>
      </c>
      <c r="AF2341" s="2">
        <v>13608.2264585501</v>
      </c>
      <c r="AG2341" s="2">
        <v>16125.247986816599</v>
      </c>
      <c r="AH2341" s="2">
        <v>16867.5959062037</v>
      </c>
      <c r="AI2341" s="2">
        <v>15653.333556211999</v>
      </c>
      <c r="AJ2341" s="2">
        <v>13917.3189715302</v>
      </c>
      <c r="AK2341" s="2">
        <v>7738.7508347316098</v>
      </c>
      <c r="AL2341" s="2">
        <v>6945.5211950654402</v>
      </c>
      <c r="AM2341" s="2">
        <v>6273.3497861283504</v>
      </c>
      <c r="AN2341" s="2">
        <v>6998.4302674089204</v>
      </c>
      <c r="AO2341" s="2">
        <v>7004.4594339738696</v>
      </c>
      <c r="AP2341" s="2">
        <v>6763.1259417726396</v>
      </c>
    </row>
    <row r="2342" spans="1:42" ht="14.5" x14ac:dyDescent="0.35">
      <c r="A2342" s="2" t="s">
        <v>15672</v>
      </c>
      <c r="B2342" s="2">
        <v>267.10836890120697</v>
      </c>
      <c r="C2342" s="2">
        <v>1.84433333333333</v>
      </c>
      <c r="D2342" s="2" t="s">
        <v>70</v>
      </c>
      <c r="E2342" s="2" t="s">
        <v>15673</v>
      </c>
      <c r="F2342" s="2">
        <v>202097</v>
      </c>
      <c r="G2342" s="3" t="str">
        <f>HYPERLINK("http://funmeta.oebiotech.com/network/202097", "http://funmeta.oebiotech.com/network/202097")</f>
        <v>http://funmeta.oebiotech.com/network/202097</v>
      </c>
      <c r="H2342" s="2" t="s">
        <v>15674</v>
      </c>
      <c r="I2342" s="2"/>
      <c r="J2342" s="2"/>
      <c r="K2342" s="2"/>
      <c r="L2342" s="2"/>
      <c r="M2342" s="2"/>
      <c r="N2342" s="2"/>
      <c r="O2342" s="2">
        <v>13420529</v>
      </c>
      <c r="P2342" s="2"/>
      <c r="Q2342" s="2" t="s">
        <v>15675</v>
      </c>
      <c r="R2342" s="2" t="s">
        <v>15676</v>
      </c>
      <c r="S2342" s="2" t="s">
        <v>79</v>
      </c>
      <c r="T2342" s="2" t="s">
        <v>80</v>
      </c>
      <c r="U2342" s="2" t="s">
        <v>81</v>
      </c>
      <c r="V2342" s="2" t="s">
        <v>42</v>
      </c>
      <c r="W2342" s="2">
        <v>50.9</v>
      </c>
      <c r="X2342" s="2">
        <v>57.7</v>
      </c>
      <c r="Y2342" s="2" t="s">
        <v>560</v>
      </c>
      <c r="Z2342" s="2" t="s">
        <v>15677</v>
      </c>
      <c r="AA2342" s="2">
        <v>-0.64250097187258504</v>
      </c>
      <c r="AB2342" s="2">
        <v>0.34306302864994698</v>
      </c>
      <c r="AC2342" s="2">
        <v>20676.472323961501</v>
      </c>
      <c r="AD2342" s="2">
        <v>12798.192763614599</v>
      </c>
      <c r="AE2342" s="2">
        <v>21030.476301622399</v>
      </c>
      <c r="AF2342" s="2">
        <v>19085.8857823492</v>
      </c>
      <c r="AG2342" s="2">
        <v>21336.1725961626</v>
      </c>
      <c r="AH2342" s="2">
        <v>21520.2776253224</v>
      </c>
      <c r="AI2342" s="2">
        <v>20614.4665891478</v>
      </c>
      <c r="AJ2342" s="2">
        <v>20471.555049164701</v>
      </c>
      <c r="AK2342" s="2">
        <v>12079.445330378599</v>
      </c>
      <c r="AL2342" s="2">
        <v>12750.199915953201</v>
      </c>
      <c r="AM2342" s="2">
        <v>12117.466734878701</v>
      </c>
      <c r="AN2342" s="2">
        <v>14310.613125243301</v>
      </c>
      <c r="AO2342" s="2">
        <v>12596.975910241799</v>
      </c>
      <c r="AP2342" s="2">
        <v>12934.4555649922</v>
      </c>
    </row>
    <row r="2343" spans="1:42" ht="14.5" x14ac:dyDescent="0.35">
      <c r="A2343" s="2" t="s">
        <v>15678</v>
      </c>
      <c r="B2343" s="2">
        <v>453.13854276231001</v>
      </c>
      <c r="C2343" s="2">
        <v>3.51128333333333</v>
      </c>
      <c r="D2343" s="2" t="s">
        <v>34</v>
      </c>
      <c r="E2343" s="2" t="s">
        <v>15679</v>
      </c>
      <c r="F2343" s="2">
        <v>60966</v>
      </c>
      <c r="G2343" s="3" t="str">
        <f>HYPERLINK("http://funmeta.oebiotech.com/network/60966", "http://funmeta.oebiotech.com/network/60966")</f>
        <v>http://funmeta.oebiotech.com/network/60966</v>
      </c>
      <c r="H2343" s="2" t="s">
        <v>15680</v>
      </c>
      <c r="I2343" s="2">
        <v>92316</v>
      </c>
      <c r="J2343" s="2"/>
      <c r="K2343" s="2"/>
      <c r="L2343" s="2"/>
      <c r="M2343" s="2"/>
      <c r="N2343" s="2"/>
      <c r="O2343" s="2">
        <v>131752183</v>
      </c>
      <c r="P2343" s="2" t="s">
        <v>15681</v>
      </c>
      <c r="Q2343" s="2" t="s">
        <v>15682</v>
      </c>
      <c r="R2343" s="2" t="s">
        <v>15683</v>
      </c>
      <c r="S2343" s="2" t="s">
        <v>115</v>
      </c>
      <c r="T2343" s="2" t="s">
        <v>139</v>
      </c>
      <c r="U2343" s="2" t="s">
        <v>140</v>
      </c>
      <c r="V2343" s="2" t="s">
        <v>42</v>
      </c>
      <c r="W2343" s="2">
        <v>48.9</v>
      </c>
      <c r="X2343" s="2">
        <v>51.5</v>
      </c>
      <c r="Y2343" s="2" t="s">
        <v>67</v>
      </c>
      <c r="Z2343" s="2" t="s">
        <v>2260</v>
      </c>
      <c r="AA2343" s="2">
        <v>-1.3165507258239599</v>
      </c>
      <c r="AB2343" s="2">
        <v>0.34271644164195397</v>
      </c>
      <c r="AC2343" s="2">
        <v>83866.396050558003</v>
      </c>
      <c r="AD2343" s="2">
        <v>74406.074534812506</v>
      </c>
      <c r="AE2343" s="2">
        <v>81593.958173333202</v>
      </c>
      <c r="AF2343" s="2">
        <v>82544.169597004598</v>
      </c>
      <c r="AG2343" s="2">
        <v>89471.226938313601</v>
      </c>
      <c r="AH2343" s="2">
        <v>79192.416131637598</v>
      </c>
      <c r="AI2343" s="2">
        <v>83937.420863615902</v>
      </c>
      <c r="AJ2343" s="2">
        <v>86459.184599443193</v>
      </c>
      <c r="AK2343" s="2">
        <v>76959.586438290804</v>
      </c>
      <c r="AL2343" s="2">
        <v>69711.055496618996</v>
      </c>
      <c r="AM2343" s="2">
        <v>79907.099563989803</v>
      </c>
      <c r="AN2343" s="2">
        <v>72404.799163900199</v>
      </c>
      <c r="AO2343" s="2">
        <v>72138.083439175098</v>
      </c>
      <c r="AP2343" s="2">
        <v>75315.823106900003</v>
      </c>
    </row>
    <row r="2344" spans="1:42" ht="14.5" x14ac:dyDescent="0.35">
      <c r="A2344" s="2" t="s">
        <v>15684</v>
      </c>
      <c r="B2344" s="2">
        <v>236.07964216580999</v>
      </c>
      <c r="C2344" s="2">
        <v>0.66754999999999998</v>
      </c>
      <c r="D2344" s="2" t="s">
        <v>34</v>
      </c>
      <c r="E2344" s="2" t="s">
        <v>15685</v>
      </c>
      <c r="F2344" s="2">
        <v>54380</v>
      </c>
      <c r="G2344" s="3" t="str">
        <f>HYPERLINK("http://funmeta.oebiotech.com/network/54380", "http://funmeta.oebiotech.com/network/54380")</f>
        <v>http://funmeta.oebiotech.com/network/54380</v>
      </c>
      <c r="H2344" s="2" t="s">
        <v>15686</v>
      </c>
      <c r="I2344" s="2"/>
      <c r="J2344" s="2"/>
      <c r="K2344" s="2">
        <v>15781</v>
      </c>
      <c r="L2344" s="2" t="s">
        <v>15687</v>
      </c>
      <c r="M2344" s="2" t="s">
        <v>15688</v>
      </c>
      <c r="N2344" s="2" t="s">
        <v>15689</v>
      </c>
      <c r="O2344" s="2">
        <v>3083620</v>
      </c>
      <c r="P2344" s="2" t="s">
        <v>15690</v>
      </c>
      <c r="Q2344" s="2" t="s">
        <v>15691</v>
      </c>
      <c r="R2344" s="2" t="s">
        <v>15692</v>
      </c>
      <c r="S2344" s="2" t="s">
        <v>89</v>
      </c>
      <c r="T2344" s="2" t="s">
        <v>90</v>
      </c>
      <c r="U2344" s="2" t="s">
        <v>99</v>
      </c>
      <c r="V2344" s="2" t="s">
        <v>59</v>
      </c>
      <c r="W2344" s="2">
        <v>39.799999999999997</v>
      </c>
      <c r="X2344" s="2">
        <v>5</v>
      </c>
      <c r="Y2344" s="2" t="s">
        <v>340</v>
      </c>
      <c r="Z2344" s="2" t="s">
        <v>15693</v>
      </c>
      <c r="AA2344" s="2">
        <v>0.29095109154169202</v>
      </c>
      <c r="AB2344" s="2">
        <v>0.342679528113978</v>
      </c>
      <c r="AC2344" s="2">
        <v>9593.9320323046595</v>
      </c>
      <c r="AD2344" s="2">
        <v>1183.3658772823701</v>
      </c>
      <c r="AE2344" s="2">
        <v>6204.9891171108302</v>
      </c>
      <c r="AF2344" s="2">
        <v>7949.1604875479297</v>
      </c>
      <c r="AG2344" s="2">
        <v>8649.1388261726806</v>
      </c>
      <c r="AH2344" s="2">
        <v>14043.9277367164</v>
      </c>
      <c r="AI2344" s="2">
        <v>9049.0960566732101</v>
      </c>
      <c r="AJ2344" s="2">
        <v>11667.2799696069</v>
      </c>
      <c r="AK2344" s="2">
        <v>1311.1419190086399</v>
      </c>
      <c r="AL2344" s="2">
        <v>1323.8806235541099</v>
      </c>
      <c r="AM2344" s="2">
        <v>1545.2845251952999</v>
      </c>
      <c r="AN2344" s="2">
        <v>1021.55988566341</v>
      </c>
      <c r="AO2344" s="2">
        <v>1138.7484623835201</v>
      </c>
      <c r="AP2344" s="2">
        <v>759.57984788925</v>
      </c>
    </row>
    <row r="2345" spans="1:42" ht="14.5" x14ac:dyDescent="0.35">
      <c r="A2345" s="2" t="s">
        <v>15694</v>
      </c>
      <c r="B2345" s="2">
        <v>759.29828976281203</v>
      </c>
      <c r="C2345" s="2">
        <v>5.8651</v>
      </c>
      <c r="D2345" s="2" t="s">
        <v>34</v>
      </c>
      <c r="E2345" s="2" t="s">
        <v>15695</v>
      </c>
      <c r="F2345" s="2">
        <v>82879</v>
      </c>
      <c r="G2345" s="3" t="str">
        <f>HYPERLINK("http://funmeta.oebiotech.com/network/82879", "http://funmeta.oebiotech.com/network/82879")</f>
        <v>http://funmeta.oebiotech.com/network/82879</v>
      </c>
      <c r="H2345" s="2" t="s">
        <v>15696</v>
      </c>
      <c r="I2345" s="2">
        <v>442333</v>
      </c>
      <c r="J2345" s="2"/>
      <c r="K2345" s="2"/>
      <c r="L2345" s="2"/>
      <c r="M2345" s="2"/>
      <c r="N2345" s="2"/>
      <c r="O2345" s="2">
        <v>71749331</v>
      </c>
      <c r="P2345" s="2"/>
      <c r="Q2345" s="2" t="s">
        <v>15697</v>
      </c>
      <c r="R2345" s="2" t="s">
        <v>15698</v>
      </c>
      <c r="S2345" s="2" t="s">
        <v>89</v>
      </c>
      <c r="T2345" s="2" t="s">
        <v>90</v>
      </c>
      <c r="U2345" s="2" t="s">
        <v>99</v>
      </c>
      <c r="V2345" s="2" t="s">
        <v>59</v>
      </c>
      <c r="W2345" s="2">
        <v>36.4</v>
      </c>
      <c r="X2345" s="2">
        <v>1.66</v>
      </c>
      <c r="Y2345" s="2" t="s">
        <v>470</v>
      </c>
      <c r="Z2345" s="2" t="s">
        <v>15699</v>
      </c>
      <c r="AA2345" s="2">
        <v>1.89295499535917</v>
      </c>
      <c r="AB2345" s="2">
        <v>0.34259045893146101</v>
      </c>
      <c r="AC2345" s="2">
        <v>182741.34223672701</v>
      </c>
      <c r="AD2345" s="2">
        <v>199556.83149689899</v>
      </c>
      <c r="AE2345" s="2">
        <v>172944.588237096</v>
      </c>
      <c r="AF2345" s="2">
        <v>202463.006233664</v>
      </c>
      <c r="AG2345" s="2">
        <v>158028.17917298601</v>
      </c>
      <c r="AH2345" s="2">
        <v>168148.228663574</v>
      </c>
      <c r="AI2345" s="2">
        <v>192903.56642379001</v>
      </c>
      <c r="AJ2345" s="2">
        <v>201960.48468925399</v>
      </c>
      <c r="AK2345" s="2">
        <v>200570.76048374199</v>
      </c>
      <c r="AL2345" s="2">
        <v>190507.926030234</v>
      </c>
      <c r="AM2345" s="2">
        <v>203105.97006513501</v>
      </c>
      <c r="AN2345" s="2">
        <v>226919.52173028601</v>
      </c>
      <c r="AO2345" s="2">
        <v>173075.81484575101</v>
      </c>
      <c r="AP2345" s="2">
        <v>203160.99582624499</v>
      </c>
    </row>
    <row r="2346" spans="1:42" ht="14.5" x14ac:dyDescent="0.35">
      <c r="A2346" s="2" t="s">
        <v>15700</v>
      </c>
      <c r="B2346" s="2">
        <v>679.37549835489301</v>
      </c>
      <c r="C2346" s="2">
        <v>4.84418333333333</v>
      </c>
      <c r="D2346" s="2" t="s">
        <v>70</v>
      </c>
      <c r="E2346" s="2" t="s">
        <v>15701</v>
      </c>
      <c r="F2346" s="2">
        <v>53197</v>
      </c>
      <c r="G2346" s="3" t="str">
        <f>HYPERLINK("http://funmeta.oebiotech.com/network/53197", "http://funmeta.oebiotech.com/network/53197")</f>
        <v>http://funmeta.oebiotech.com/network/53197</v>
      </c>
      <c r="H2346" s="2" t="s">
        <v>15702</v>
      </c>
      <c r="I2346" s="2">
        <v>85445</v>
      </c>
      <c r="J2346" s="2"/>
      <c r="K2346" s="2">
        <v>775215</v>
      </c>
      <c r="L2346" s="2" t="s">
        <v>15703</v>
      </c>
      <c r="M2346" s="2"/>
      <c r="N2346" s="2"/>
      <c r="O2346" s="2">
        <v>4097</v>
      </c>
      <c r="P2346" s="2" t="s">
        <v>15704</v>
      </c>
      <c r="Q2346" s="2" t="s">
        <v>15705</v>
      </c>
      <c r="R2346" s="2" t="s">
        <v>15706</v>
      </c>
      <c r="S2346" s="2" t="s">
        <v>491</v>
      </c>
      <c r="T2346" s="2" t="s">
        <v>2251</v>
      </c>
      <c r="U2346" s="2" t="s">
        <v>2252</v>
      </c>
      <c r="V2346" s="2" t="s">
        <v>59</v>
      </c>
      <c r="W2346" s="2">
        <v>39.1</v>
      </c>
      <c r="X2346" s="2">
        <v>0</v>
      </c>
      <c r="Y2346" s="2" t="s">
        <v>560</v>
      </c>
      <c r="Z2346" s="2" t="s">
        <v>15707</v>
      </c>
      <c r="AA2346" s="2">
        <v>0.34891003232481599</v>
      </c>
      <c r="AB2346" s="2">
        <v>0.34256742720068101</v>
      </c>
      <c r="AC2346" s="2">
        <v>8105.4572205557497</v>
      </c>
      <c r="AD2346" s="2">
        <v>16478.587062428702</v>
      </c>
      <c r="AE2346" s="2">
        <v>9631.2789032671408</v>
      </c>
      <c r="AF2346" s="2">
        <v>6992.1716426335797</v>
      </c>
      <c r="AG2346" s="2">
        <v>9930.0573699223005</v>
      </c>
      <c r="AH2346" s="2">
        <v>9751.9029210913504</v>
      </c>
      <c r="AI2346" s="2">
        <v>7323.0695737012302</v>
      </c>
      <c r="AJ2346" s="2">
        <v>5004.2629127189002</v>
      </c>
      <c r="AK2346" s="2">
        <v>14594.5773109412</v>
      </c>
      <c r="AL2346" s="2">
        <v>14396.5753067981</v>
      </c>
      <c r="AM2346" s="2">
        <v>17944.374207983401</v>
      </c>
      <c r="AN2346" s="2">
        <v>16221.6554711016</v>
      </c>
      <c r="AO2346" s="2">
        <v>19413.996144285298</v>
      </c>
      <c r="AP2346" s="2">
        <v>16300.3439334624</v>
      </c>
    </row>
    <row r="2347" spans="1:42" ht="14.5" x14ac:dyDescent="0.35">
      <c r="A2347" s="2" t="s">
        <v>15708</v>
      </c>
      <c r="B2347" s="2">
        <v>425.21620750034799</v>
      </c>
      <c r="C2347" s="2">
        <v>4.7703833333333296</v>
      </c>
      <c r="D2347" s="2" t="s">
        <v>34</v>
      </c>
      <c r="E2347" s="2" t="s">
        <v>15709</v>
      </c>
      <c r="F2347" s="2">
        <v>53716</v>
      </c>
      <c r="G2347" s="3" t="str">
        <f>HYPERLINK("http://funmeta.oebiotech.com/network/53716", "http://funmeta.oebiotech.com/network/53716")</f>
        <v>http://funmeta.oebiotech.com/network/53716</v>
      </c>
      <c r="H2347" s="2" t="s">
        <v>15710</v>
      </c>
      <c r="I2347" s="2">
        <v>85593</v>
      </c>
      <c r="J2347" s="2"/>
      <c r="K2347" s="2"/>
      <c r="L2347" s="2"/>
      <c r="M2347" s="2"/>
      <c r="N2347" s="2"/>
      <c r="O2347" s="2">
        <v>68867</v>
      </c>
      <c r="P2347" s="2" t="s">
        <v>15711</v>
      </c>
      <c r="Q2347" s="2" t="s">
        <v>15712</v>
      </c>
      <c r="R2347" s="2" t="s">
        <v>15713</v>
      </c>
      <c r="S2347" s="2" t="s">
        <v>148</v>
      </c>
      <c r="T2347" s="2" t="s">
        <v>149</v>
      </c>
      <c r="U2347" s="2" t="s">
        <v>14157</v>
      </c>
      <c r="V2347" s="2" t="s">
        <v>59</v>
      </c>
      <c r="W2347" s="2">
        <v>37.299999999999997</v>
      </c>
      <c r="X2347" s="2">
        <v>0</v>
      </c>
      <c r="Y2347" s="2" t="s">
        <v>323</v>
      </c>
      <c r="Z2347" s="2" t="s">
        <v>15714</v>
      </c>
      <c r="AA2347" s="2">
        <v>0.69950802331912698</v>
      </c>
      <c r="AB2347" s="2">
        <v>0.342443003132261</v>
      </c>
      <c r="AC2347" s="2">
        <v>42863.329260792001</v>
      </c>
      <c r="AD2347" s="2">
        <v>34474.800697424602</v>
      </c>
      <c r="AE2347" s="2">
        <v>41540.518297431103</v>
      </c>
      <c r="AF2347" s="2">
        <v>42951.066551791999</v>
      </c>
      <c r="AG2347" s="2">
        <v>44629.798235060203</v>
      </c>
      <c r="AH2347" s="2">
        <v>42915.549715989197</v>
      </c>
      <c r="AI2347" s="2">
        <v>43651.781381093002</v>
      </c>
      <c r="AJ2347" s="2">
        <v>41491.2613833863</v>
      </c>
      <c r="AK2347" s="2">
        <v>36241.370347330201</v>
      </c>
      <c r="AL2347" s="2">
        <v>35977.882398854701</v>
      </c>
      <c r="AM2347" s="2">
        <v>37246.643193605298</v>
      </c>
      <c r="AN2347" s="2">
        <v>30702.7102560231</v>
      </c>
      <c r="AO2347" s="2">
        <v>32002.618017292902</v>
      </c>
      <c r="AP2347" s="2">
        <v>34677.579971441599</v>
      </c>
    </row>
    <row r="2348" spans="1:42" ht="14.5" x14ac:dyDescent="0.35">
      <c r="A2348" s="2" t="s">
        <v>15715</v>
      </c>
      <c r="B2348" s="2">
        <v>172.06031516959001</v>
      </c>
      <c r="C2348" s="2">
        <v>0.78071666666666695</v>
      </c>
      <c r="D2348" s="2" t="s">
        <v>34</v>
      </c>
      <c r="E2348" s="2" t="s">
        <v>15716</v>
      </c>
      <c r="F2348" s="2">
        <v>47415</v>
      </c>
      <c r="G2348" s="3" t="str">
        <f>HYPERLINK("http://funmeta.oebiotech.com/network/47415", "http://funmeta.oebiotech.com/network/47415")</f>
        <v>http://funmeta.oebiotech.com/network/47415</v>
      </c>
      <c r="H2348" s="2" t="s">
        <v>15717</v>
      </c>
      <c r="I2348" s="2">
        <v>3325</v>
      </c>
      <c r="J2348" s="2"/>
      <c r="K2348" s="2">
        <v>17533</v>
      </c>
      <c r="L2348" s="2" t="s">
        <v>15718</v>
      </c>
      <c r="M2348" s="2" t="s">
        <v>15719</v>
      </c>
      <c r="N2348" s="2" t="s">
        <v>15720</v>
      </c>
      <c r="O2348" s="2">
        <v>70914</v>
      </c>
      <c r="P2348" s="2" t="s">
        <v>15721</v>
      </c>
      <c r="Q2348" s="2" t="s">
        <v>15722</v>
      </c>
      <c r="R2348" s="2" t="s">
        <v>15723</v>
      </c>
      <c r="S2348" s="2" t="s">
        <v>89</v>
      </c>
      <c r="T2348" s="2" t="s">
        <v>90</v>
      </c>
      <c r="U2348" s="2" t="s">
        <v>99</v>
      </c>
      <c r="V2348" s="2" t="s">
        <v>59</v>
      </c>
      <c r="W2348" s="2">
        <v>38.799999999999997</v>
      </c>
      <c r="X2348" s="2">
        <v>0</v>
      </c>
      <c r="Y2348" s="2" t="s">
        <v>266</v>
      </c>
      <c r="Z2348" s="2" t="s">
        <v>15724</v>
      </c>
      <c r="AA2348" s="2">
        <v>-0.629606664514755</v>
      </c>
      <c r="AB2348" s="2">
        <v>0.34236127629881602</v>
      </c>
      <c r="AC2348" s="2">
        <v>15035.7873413496</v>
      </c>
      <c r="AD2348" s="2">
        <v>23251.083025174801</v>
      </c>
      <c r="AE2348" s="2">
        <v>15950.315192804501</v>
      </c>
      <c r="AF2348" s="2">
        <v>14756.7144105807</v>
      </c>
      <c r="AG2348" s="2">
        <v>15837.972953757</v>
      </c>
      <c r="AH2348" s="2">
        <v>12326.0618203675</v>
      </c>
      <c r="AI2348" s="2">
        <v>16975.7881191657</v>
      </c>
      <c r="AJ2348" s="2">
        <v>14367.8715514224</v>
      </c>
      <c r="AK2348" s="2">
        <v>20556.945534855899</v>
      </c>
      <c r="AL2348" s="2">
        <v>23006.063336578001</v>
      </c>
      <c r="AM2348" s="2">
        <v>25612.107539461598</v>
      </c>
      <c r="AN2348" s="2">
        <v>22692.642114848601</v>
      </c>
      <c r="AO2348" s="2">
        <v>22605.183513301599</v>
      </c>
      <c r="AP2348" s="2">
        <v>25033.5561120032</v>
      </c>
    </row>
    <row r="2349" spans="1:42" ht="14.5" x14ac:dyDescent="0.35">
      <c r="A2349" s="2" t="s">
        <v>15725</v>
      </c>
      <c r="B2349" s="2">
        <v>541.24083416416499</v>
      </c>
      <c r="C2349" s="2">
        <v>9.3710500000000003</v>
      </c>
      <c r="D2349" s="2" t="s">
        <v>34</v>
      </c>
      <c r="E2349" s="2" t="s">
        <v>15726</v>
      </c>
      <c r="F2349" s="2">
        <v>44747</v>
      </c>
      <c r="G2349" s="3" t="str">
        <f>HYPERLINK("http://funmeta.oebiotech.com/network/44747", "http://funmeta.oebiotech.com/network/44747")</f>
        <v>http://funmeta.oebiotech.com/network/44747</v>
      </c>
      <c r="H2349" s="2"/>
      <c r="I2349" s="2"/>
      <c r="J2349" s="2" t="s">
        <v>15727</v>
      </c>
      <c r="K2349" s="2"/>
      <c r="L2349" s="2"/>
      <c r="M2349" s="2"/>
      <c r="N2349" s="2"/>
      <c r="O2349" s="2"/>
      <c r="P2349" s="2"/>
      <c r="Q2349" s="2" t="s">
        <v>15728</v>
      </c>
      <c r="R2349" s="2" t="s">
        <v>15729</v>
      </c>
      <c r="S2349" s="2" t="s">
        <v>50</v>
      </c>
      <c r="T2349" s="2" t="s">
        <v>124</v>
      </c>
      <c r="U2349" s="2" t="s">
        <v>567</v>
      </c>
      <c r="V2349" s="2" t="s">
        <v>59</v>
      </c>
      <c r="W2349" s="2">
        <v>45.4</v>
      </c>
      <c r="X2349" s="2">
        <v>40.9</v>
      </c>
      <c r="Y2349" s="2" t="s">
        <v>141</v>
      </c>
      <c r="Z2349" s="2" t="s">
        <v>4408</v>
      </c>
      <c r="AA2349" s="2">
        <v>-4.25439318563327</v>
      </c>
      <c r="AB2349" s="2">
        <v>0.34230897647243602</v>
      </c>
      <c r="AC2349" s="2">
        <v>8019.91646086538</v>
      </c>
      <c r="AD2349" s="2">
        <v>275.07090176595801</v>
      </c>
      <c r="AE2349" s="2">
        <v>8571.5201063229506</v>
      </c>
      <c r="AF2349" s="2">
        <v>7064.8554197462499</v>
      </c>
      <c r="AG2349" s="2">
        <v>7872.9819784265001</v>
      </c>
      <c r="AH2349" s="2">
        <v>7521.6210929504996</v>
      </c>
      <c r="AI2349" s="2">
        <v>8738.3599935889397</v>
      </c>
      <c r="AJ2349" s="2">
        <v>8350.1601741571194</v>
      </c>
      <c r="AK2349" s="2">
        <v>304.880899933916</v>
      </c>
      <c r="AL2349" s="2">
        <v>511.86508362990099</v>
      </c>
      <c r="AM2349" s="2">
        <v>206.621661386894</v>
      </c>
      <c r="AN2349" s="2">
        <v>134.64322121678299</v>
      </c>
      <c r="AO2349" s="2">
        <v>311.57173570803502</v>
      </c>
      <c r="AP2349" s="2">
        <v>180.84280872022001</v>
      </c>
    </row>
    <row r="2350" spans="1:42" ht="14.5" x14ac:dyDescent="0.35">
      <c r="A2350" s="2" t="s">
        <v>15730</v>
      </c>
      <c r="B2350" s="2">
        <v>222.98296494355401</v>
      </c>
      <c r="C2350" s="2">
        <v>0.92698333333333305</v>
      </c>
      <c r="D2350" s="2" t="s">
        <v>70</v>
      </c>
      <c r="E2350" s="2" t="s">
        <v>15731</v>
      </c>
      <c r="F2350" s="2">
        <v>81722</v>
      </c>
      <c r="G2350" s="3" t="str">
        <f>HYPERLINK("http://funmeta.oebiotech.com/network/81722", "http://funmeta.oebiotech.com/network/81722")</f>
        <v>http://funmeta.oebiotech.com/network/81722</v>
      </c>
      <c r="H2350" s="2" t="s">
        <v>15732</v>
      </c>
      <c r="I2350" s="2">
        <v>5947</v>
      </c>
      <c r="J2350" s="2"/>
      <c r="K2350" s="2">
        <v>50604</v>
      </c>
      <c r="L2350" s="2" t="s">
        <v>15733</v>
      </c>
      <c r="M2350" s="2" t="s">
        <v>10334</v>
      </c>
      <c r="N2350" s="2" t="s">
        <v>10335</v>
      </c>
      <c r="O2350" s="2">
        <v>561</v>
      </c>
      <c r="P2350" s="2" t="s">
        <v>15734</v>
      </c>
      <c r="Q2350" s="2" t="s">
        <v>15735</v>
      </c>
      <c r="R2350" s="2" t="s">
        <v>15736</v>
      </c>
      <c r="S2350" s="2" t="s">
        <v>89</v>
      </c>
      <c r="T2350" s="2" t="s">
        <v>894</v>
      </c>
      <c r="U2350" s="2" t="s">
        <v>895</v>
      </c>
      <c r="V2350" s="2" t="s">
        <v>59</v>
      </c>
      <c r="W2350" s="2">
        <v>38.299999999999997</v>
      </c>
      <c r="X2350" s="2">
        <v>2.04</v>
      </c>
      <c r="Y2350" s="2" t="s">
        <v>751</v>
      </c>
      <c r="Z2350" s="2" t="s">
        <v>15737</v>
      </c>
      <c r="AA2350" s="2">
        <v>-2.4365007266693701</v>
      </c>
      <c r="AB2350" s="2">
        <v>0.34222533414363199</v>
      </c>
      <c r="AC2350" s="2">
        <v>39105.8872558613</v>
      </c>
      <c r="AD2350" s="2">
        <v>30599.424076729501</v>
      </c>
      <c r="AE2350" s="2">
        <v>38460.936224704397</v>
      </c>
      <c r="AF2350" s="2">
        <v>41419.618413728502</v>
      </c>
      <c r="AG2350" s="2">
        <v>39134.460065783802</v>
      </c>
      <c r="AH2350" s="2">
        <v>41185.537076705601</v>
      </c>
      <c r="AI2350" s="2">
        <v>37610.303579058098</v>
      </c>
      <c r="AJ2350" s="2">
        <v>36824.468175187598</v>
      </c>
      <c r="AK2350" s="2">
        <v>32360.5168194775</v>
      </c>
      <c r="AL2350" s="2">
        <v>27737.8139785444</v>
      </c>
      <c r="AM2350" s="2">
        <v>27548.842970010199</v>
      </c>
      <c r="AN2350" s="2">
        <v>30027.614444986801</v>
      </c>
      <c r="AO2350" s="2">
        <v>32323.0839879009</v>
      </c>
      <c r="AP2350" s="2">
        <v>33598.672259457198</v>
      </c>
    </row>
    <row r="2351" spans="1:42" ht="14.5" x14ac:dyDescent="0.35">
      <c r="A2351" s="2" t="s">
        <v>15738</v>
      </c>
      <c r="B2351" s="2">
        <v>153.138544716192</v>
      </c>
      <c r="C2351" s="2">
        <v>4.2938999999999998</v>
      </c>
      <c r="D2351" s="2" t="s">
        <v>34</v>
      </c>
      <c r="E2351" s="2" t="s">
        <v>15739</v>
      </c>
      <c r="F2351" s="2">
        <v>201349</v>
      </c>
      <c r="G2351" s="3" t="str">
        <f>HYPERLINK("http://funmeta.oebiotech.com/network/201349", "http://funmeta.oebiotech.com/network/201349")</f>
        <v>http://funmeta.oebiotech.com/network/201349</v>
      </c>
      <c r="H2351" s="2" t="s">
        <v>15740</v>
      </c>
      <c r="I2351" s="2">
        <v>450132</v>
      </c>
      <c r="J2351" s="2"/>
      <c r="K2351" s="2">
        <v>45017</v>
      </c>
      <c r="L2351" s="2"/>
      <c r="M2351" s="2"/>
      <c r="N2351" s="2"/>
      <c r="O2351" s="2">
        <v>16259</v>
      </c>
      <c r="P2351" s="2"/>
      <c r="Q2351" s="2" t="s">
        <v>15741</v>
      </c>
      <c r="R2351" s="2" t="s">
        <v>15742</v>
      </c>
      <c r="S2351" s="2" t="s">
        <v>148</v>
      </c>
      <c r="T2351" s="2" t="s">
        <v>149</v>
      </c>
      <c r="U2351" s="2" t="s">
        <v>15743</v>
      </c>
      <c r="V2351" s="2" t="s">
        <v>59</v>
      </c>
      <c r="W2351" s="2">
        <v>45.7</v>
      </c>
      <c r="X2351" s="2">
        <v>31.4</v>
      </c>
      <c r="Y2351" s="2" t="s">
        <v>440</v>
      </c>
      <c r="Z2351" s="2" t="s">
        <v>15744</v>
      </c>
      <c r="AA2351" s="2">
        <v>-0.59387615262462001</v>
      </c>
      <c r="AB2351" s="2">
        <v>0.342050612539198</v>
      </c>
      <c r="AC2351" s="2">
        <v>20820.294892183701</v>
      </c>
      <c r="AD2351" s="2">
        <v>12543.197434443</v>
      </c>
      <c r="AE2351" s="2">
        <v>18810.7138538133</v>
      </c>
      <c r="AF2351" s="2">
        <v>21755.2395406258</v>
      </c>
      <c r="AG2351" s="2">
        <v>21762.903803439702</v>
      </c>
      <c r="AH2351" s="2">
        <v>21768.621830518601</v>
      </c>
      <c r="AI2351" s="2">
        <v>18351.850136782301</v>
      </c>
      <c r="AJ2351" s="2">
        <v>22472.440187922701</v>
      </c>
      <c r="AK2351" s="2">
        <v>9847.1925463686894</v>
      </c>
      <c r="AL2351" s="2">
        <v>11330.6060819831</v>
      </c>
      <c r="AM2351" s="2">
        <v>12277.3246103905</v>
      </c>
      <c r="AN2351" s="2">
        <v>12888.414891847</v>
      </c>
      <c r="AO2351" s="2">
        <v>13252.536182174699</v>
      </c>
      <c r="AP2351" s="2">
        <v>15663.1102938941</v>
      </c>
    </row>
    <row r="2352" spans="1:42" ht="14.5" x14ac:dyDescent="0.35">
      <c r="A2352" s="2" t="s">
        <v>15745</v>
      </c>
      <c r="B2352" s="2">
        <v>325.20176493988401</v>
      </c>
      <c r="C2352" s="2">
        <v>9.6037999999999997</v>
      </c>
      <c r="D2352" s="2" t="s">
        <v>70</v>
      </c>
      <c r="E2352" s="2" t="s">
        <v>15746</v>
      </c>
      <c r="F2352" s="2">
        <v>3935</v>
      </c>
      <c r="G2352" s="3" t="str">
        <f>HYPERLINK("http://funmeta.oebiotech.com/network/3935", "http://funmeta.oebiotech.com/network/3935")</f>
        <v>http://funmeta.oebiotech.com/network/3935</v>
      </c>
      <c r="H2352" s="2" t="s">
        <v>15747</v>
      </c>
      <c r="I2352" s="2">
        <v>3831</v>
      </c>
      <c r="J2352" s="2" t="s">
        <v>15748</v>
      </c>
      <c r="K2352" s="2">
        <v>63977</v>
      </c>
      <c r="L2352" s="2" t="s">
        <v>15749</v>
      </c>
      <c r="M2352" s="2"/>
      <c r="N2352" s="2"/>
      <c r="O2352" s="2">
        <v>5283141</v>
      </c>
      <c r="P2352" s="2" t="s">
        <v>15750</v>
      </c>
      <c r="Q2352" s="2" t="s">
        <v>15751</v>
      </c>
      <c r="R2352" s="2" t="s">
        <v>15752</v>
      </c>
      <c r="S2352" s="2" t="s">
        <v>50</v>
      </c>
      <c r="T2352" s="2" t="s">
        <v>229</v>
      </c>
      <c r="U2352" s="2" t="s">
        <v>433</v>
      </c>
      <c r="V2352" s="2" t="s">
        <v>59</v>
      </c>
      <c r="W2352" s="2">
        <v>44.2</v>
      </c>
      <c r="X2352" s="2">
        <v>25.6</v>
      </c>
      <c r="Y2352" s="2" t="s">
        <v>408</v>
      </c>
      <c r="Z2352" s="2" t="s">
        <v>15753</v>
      </c>
      <c r="AA2352" s="2">
        <v>-1.0088610907859099</v>
      </c>
      <c r="AB2352" s="2">
        <v>0.34196042356147099</v>
      </c>
      <c r="AC2352" s="2">
        <v>19684.3459821283</v>
      </c>
      <c r="AD2352" s="2">
        <v>11795.7724869906</v>
      </c>
      <c r="AE2352" s="2">
        <v>21892.167529389499</v>
      </c>
      <c r="AF2352" s="2">
        <v>19322.261578289199</v>
      </c>
      <c r="AG2352" s="2">
        <v>19267.397481378899</v>
      </c>
      <c r="AH2352" s="2">
        <v>20249.156589177201</v>
      </c>
      <c r="AI2352" s="2">
        <v>18594.9326715321</v>
      </c>
      <c r="AJ2352" s="2">
        <v>18780.160043002899</v>
      </c>
      <c r="AK2352" s="2">
        <v>12339.9207148614</v>
      </c>
      <c r="AL2352" s="2">
        <v>12734.4524185315</v>
      </c>
      <c r="AM2352" s="2">
        <v>12359.4488572931</v>
      </c>
      <c r="AN2352" s="2">
        <v>11740.2154392919</v>
      </c>
      <c r="AO2352" s="2">
        <v>11334.004467537099</v>
      </c>
      <c r="AP2352" s="2">
        <v>10266.593024428301</v>
      </c>
    </row>
    <row r="2353" spans="1:42" ht="14.5" x14ac:dyDescent="0.35">
      <c r="A2353" s="2" t="s">
        <v>15754</v>
      </c>
      <c r="B2353" s="2">
        <v>413.25417957084102</v>
      </c>
      <c r="C2353" s="2">
        <v>9.6761166666666707</v>
      </c>
      <c r="D2353" s="2" t="s">
        <v>70</v>
      </c>
      <c r="E2353" s="2" t="s">
        <v>15755</v>
      </c>
      <c r="F2353" s="2">
        <v>45094</v>
      </c>
      <c r="G2353" s="3" t="str">
        <f>HYPERLINK("http://funmeta.oebiotech.com/network/45094", "http://funmeta.oebiotech.com/network/45094")</f>
        <v>http://funmeta.oebiotech.com/network/45094</v>
      </c>
      <c r="H2353" s="2" t="s">
        <v>15756</v>
      </c>
      <c r="I2353" s="2">
        <v>3174</v>
      </c>
      <c r="J2353" s="2" t="s">
        <v>15757</v>
      </c>
      <c r="K2353" s="2">
        <v>3898</v>
      </c>
      <c r="L2353" s="2" t="s">
        <v>15758</v>
      </c>
      <c r="M2353" s="2" t="s">
        <v>2454</v>
      </c>
      <c r="N2353" s="2" t="s">
        <v>2455</v>
      </c>
      <c r="O2353" s="2">
        <v>246873</v>
      </c>
      <c r="P2353" s="2" t="s">
        <v>15759</v>
      </c>
      <c r="Q2353" s="2" t="s">
        <v>15760</v>
      </c>
      <c r="R2353" s="2" t="s">
        <v>15761</v>
      </c>
      <c r="S2353" s="2" t="s">
        <v>50</v>
      </c>
      <c r="T2353" s="2" t="s">
        <v>124</v>
      </c>
      <c r="U2353" s="2" t="s">
        <v>1136</v>
      </c>
      <c r="V2353" s="2" t="s">
        <v>59</v>
      </c>
      <c r="W2353" s="2">
        <v>39</v>
      </c>
      <c r="X2353" s="2">
        <v>4.6399999999999997</v>
      </c>
      <c r="Y2353" s="2" t="s">
        <v>408</v>
      </c>
      <c r="Z2353" s="2" t="s">
        <v>9339</v>
      </c>
      <c r="AA2353" s="2">
        <v>-0.808001111527205</v>
      </c>
      <c r="AB2353" s="2">
        <v>0.34157343936763801</v>
      </c>
      <c r="AC2353" s="2">
        <v>8182.6621731225396</v>
      </c>
      <c r="AD2353" s="2">
        <v>437.41186586340098</v>
      </c>
      <c r="AE2353" s="2">
        <v>9433.6802979446602</v>
      </c>
      <c r="AF2353" s="2">
        <v>7515.6384300886302</v>
      </c>
      <c r="AG2353" s="2">
        <v>7265.3829320609102</v>
      </c>
      <c r="AH2353" s="2">
        <v>9155.2185041169705</v>
      </c>
      <c r="AI2353" s="2">
        <v>7868.1387035951302</v>
      </c>
      <c r="AJ2353" s="2">
        <v>7857.9141709289097</v>
      </c>
      <c r="AK2353" s="2">
        <v>747.33955319628399</v>
      </c>
      <c r="AL2353" s="2">
        <v>125.677999357489</v>
      </c>
      <c r="AM2353" s="2">
        <v>450.16739433237598</v>
      </c>
      <c r="AN2353" s="2">
        <v>359.49796564945802</v>
      </c>
      <c r="AO2353" s="2">
        <v>326.79915743915302</v>
      </c>
      <c r="AP2353" s="2">
        <v>614.989125205645</v>
      </c>
    </row>
    <row r="2354" spans="1:42" ht="14.5" x14ac:dyDescent="0.35">
      <c r="A2354" s="2" t="s">
        <v>15762</v>
      </c>
      <c r="B2354" s="2">
        <v>519.20575046640295</v>
      </c>
      <c r="C2354" s="2">
        <v>4.6492000000000004</v>
      </c>
      <c r="D2354" s="2" t="s">
        <v>70</v>
      </c>
      <c r="E2354" s="2" t="s">
        <v>15763</v>
      </c>
      <c r="F2354" s="2">
        <v>206338</v>
      </c>
      <c r="G2354" s="3" t="str">
        <f>HYPERLINK("http://funmeta.oebiotech.com/network/206338", "http://funmeta.oebiotech.com/network/206338")</f>
        <v>http://funmeta.oebiotech.com/network/206338</v>
      </c>
      <c r="H2354" s="2" t="s">
        <v>15764</v>
      </c>
      <c r="I2354" s="2"/>
      <c r="J2354" s="2"/>
      <c r="K2354" s="2"/>
      <c r="L2354" s="2"/>
      <c r="M2354" s="2"/>
      <c r="N2354" s="2"/>
      <c r="O2354" s="2">
        <v>444912</v>
      </c>
      <c r="P2354" s="2"/>
      <c r="Q2354" s="2" t="s">
        <v>15765</v>
      </c>
      <c r="R2354" s="2" t="s">
        <v>15766</v>
      </c>
      <c r="S2354" s="2" t="s">
        <v>41</v>
      </c>
      <c r="T2354" s="2" t="s">
        <v>41</v>
      </c>
      <c r="U2354" s="2" t="s">
        <v>41</v>
      </c>
      <c r="V2354" s="2" t="s">
        <v>59</v>
      </c>
      <c r="W2354" s="2">
        <v>38.4</v>
      </c>
      <c r="X2354" s="2">
        <v>11.8</v>
      </c>
      <c r="Y2354" s="2" t="s">
        <v>118</v>
      </c>
      <c r="Z2354" s="2" t="s">
        <v>15767</v>
      </c>
      <c r="AA2354" s="2">
        <v>3.7898137348883698</v>
      </c>
      <c r="AB2354" s="2">
        <v>0.34132430256191798</v>
      </c>
      <c r="AC2354" s="2">
        <v>49553.377980779398</v>
      </c>
      <c r="AD2354" s="2">
        <v>40755.658382649002</v>
      </c>
      <c r="AE2354" s="2">
        <v>49602.808479446103</v>
      </c>
      <c r="AF2354" s="2">
        <v>49923.058448628799</v>
      </c>
      <c r="AG2354" s="2">
        <v>48300.0134449295</v>
      </c>
      <c r="AH2354" s="2">
        <v>50814.235615518497</v>
      </c>
      <c r="AI2354" s="2">
        <v>49395.521943969099</v>
      </c>
      <c r="AJ2354" s="2">
        <v>49284.629952184703</v>
      </c>
      <c r="AK2354" s="2">
        <v>37045.758965627603</v>
      </c>
      <c r="AL2354" s="2">
        <v>41414.176501545597</v>
      </c>
      <c r="AM2354" s="2">
        <v>38244.586929487799</v>
      </c>
      <c r="AN2354" s="2">
        <v>47681.907319910599</v>
      </c>
      <c r="AO2354" s="2">
        <v>40484.684218617302</v>
      </c>
      <c r="AP2354" s="2">
        <v>39662.836360704903</v>
      </c>
    </row>
    <row r="2355" spans="1:42" ht="14.5" x14ac:dyDescent="0.35">
      <c r="A2355" s="2" t="s">
        <v>15768</v>
      </c>
      <c r="B2355" s="2">
        <v>857.441902122594</v>
      </c>
      <c r="C2355" s="2">
        <v>9.6350833333333306</v>
      </c>
      <c r="D2355" s="2" t="s">
        <v>34</v>
      </c>
      <c r="E2355" s="2" t="s">
        <v>15769</v>
      </c>
      <c r="F2355" s="2">
        <v>55257</v>
      </c>
      <c r="G2355" s="3" t="str">
        <f>HYPERLINK("http://funmeta.oebiotech.com/network/55257", "http://funmeta.oebiotech.com/network/55257")</f>
        <v>http://funmeta.oebiotech.com/network/55257</v>
      </c>
      <c r="H2355" s="2" t="s">
        <v>15770</v>
      </c>
      <c r="I2355" s="2">
        <v>71396</v>
      </c>
      <c r="J2355" s="2"/>
      <c r="K2355" s="2"/>
      <c r="L2355" s="2" t="s">
        <v>15771</v>
      </c>
      <c r="M2355" s="2"/>
      <c r="N2355" s="2"/>
      <c r="O2355" s="2">
        <v>6437058</v>
      </c>
      <c r="P2355" s="2" t="s">
        <v>15772</v>
      </c>
      <c r="Q2355" s="2" t="s">
        <v>15773</v>
      </c>
      <c r="R2355" s="2" t="s">
        <v>15774</v>
      </c>
      <c r="S2355" s="2" t="s">
        <v>79</v>
      </c>
      <c r="T2355" s="2" t="s">
        <v>80</v>
      </c>
      <c r="U2355" s="2" t="s">
        <v>249</v>
      </c>
      <c r="V2355" s="2" t="s">
        <v>59</v>
      </c>
      <c r="W2355" s="2">
        <v>37.299999999999997</v>
      </c>
      <c r="X2355" s="2">
        <v>0</v>
      </c>
      <c r="Y2355" s="2" t="s">
        <v>340</v>
      </c>
      <c r="Z2355" s="2" t="s">
        <v>15775</v>
      </c>
      <c r="AA2355" s="2">
        <v>-3.5410159938280499</v>
      </c>
      <c r="AB2355" s="2">
        <v>0.341224400072905</v>
      </c>
      <c r="AC2355" s="2">
        <v>7249.7686783926301</v>
      </c>
      <c r="AD2355" s="2">
        <v>17981.0891173366</v>
      </c>
      <c r="AE2355" s="2">
        <v>8924.3251571352102</v>
      </c>
      <c r="AF2355" s="2">
        <v>6078.1083348018101</v>
      </c>
      <c r="AG2355" s="2">
        <v>6831.3131165872701</v>
      </c>
      <c r="AH2355" s="2">
        <v>8068.4440788185702</v>
      </c>
      <c r="AI2355" s="2">
        <v>8077.3412759551402</v>
      </c>
      <c r="AJ2355" s="2">
        <v>5519.08010705779</v>
      </c>
      <c r="AK2355" s="2">
        <v>11254.8710665901</v>
      </c>
      <c r="AL2355" s="2">
        <v>33175.924638076402</v>
      </c>
      <c r="AM2355" s="2">
        <v>14924.803587651701</v>
      </c>
      <c r="AN2355" s="2">
        <v>20377.288479143499</v>
      </c>
      <c r="AO2355" s="2">
        <v>14650.6607722641</v>
      </c>
      <c r="AP2355" s="2">
        <v>13502.9861602938</v>
      </c>
    </row>
    <row r="2356" spans="1:42" ht="14.5" x14ac:dyDescent="0.35">
      <c r="A2356" s="2" t="s">
        <v>15776</v>
      </c>
      <c r="B2356" s="2">
        <v>759.26925541491801</v>
      </c>
      <c r="C2356" s="2">
        <v>4.4710000000000001</v>
      </c>
      <c r="D2356" s="2" t="s">
        <v>70</v>
      </c>
      <c r="E2356" s="2" t="s">
        <v>15777</v>
      </c>
      <c r="F2356" s="2">
        <v>213010</v>
      </c>
      <c r="G2356" s="3" t="str">
        <f>HYPERLINK("http://funmeta.oebiotech.com/network/213010", "http://funmeta.oebiotech.com/network/213010")</f>
        <v>http://funmeta.oebiotech.com/network/213010</v>
      </c>
      <c r="H2356" s="2" t="s">
        <v>15778</v>
      </c>
      <c r="I2356" s="2">
        <v>440815</v>
      </c>
      <c r="J2356" s="2"/>
      <c r="K2356" s="2"/>
      <c r="L2356" s="2"/>
      <c r="M2356" s="2"/>
      <c r="N2356" s="2"/>
      <c r="O2356" s="2">
        <v>155815</v>
      </c>
      <c r="P2356" s="2"/>
      <c r="Q2356" s="2" t="s">
        <v>15779</v>
      </c>
      <c r="R2356" s="2" t="s">
        <v>15780</v>
      </c>
      <c r="S2356" s="2" t="s">
        <v>148</v>
      </c>
      <c r="T2356" s="2" t="s">
        <v>149</v>
      </c>
      <c r="U2356" s="2" t="s">
        <v>4966</v>
      </c>
      <c r="V2356" s="2" t="s">
        <v>59</v>
      </c>
      <c r="W2356" s="2">
        <v>38.200000000000003</v>
      </c>
      <c r="X2356" s="2">
        <v>0</v>
      </c>
      <c r="Y2356" s="2" t="s">
        <v>560</v>
      </c>
      <c r="Z2356" s="2" t="s">
        <v>15781</v>
      </c>
      <c r="AA2356" s="2">
        <v>2.74683614052209</v>
      </c>
      <c r="AB2356" s="2">
        <v>0.34121581275936103</v>
      </c>
      <c r="AC2356" s="2">
        <v>22802.7316572608</v>
      </c>
      <c r="AD2356" s="2">
        <v>14182.2936342222</v>
      </c>
      <c r="AE2356" s="2">
        <v>29108.8211214925</v>
      </c>
      <c r="AF2356" s="2">
        <v>20619.735618573301</v>
      </c>
      <c r="AG2356" s="2">
        <v>21152.264987865201</v>
      </c>
      <c r="AH2356" s="2">
        <v>21753.9419522471</v>
      </c>
      <c r="AI2356" s="2">
        <v>22246.273877294199</v>
      </c>
      <c r="AJ2356" s="2">
        <v>21935.3523860924</v>
      </c>
      <c r="AK2356" s="2">
        <v>15588.9202290834</v>
      </c>
      <c r="AL2356" s="2">
        <v>14797.899755199</v>
      </c>
      <c r="AM2356" s="2">
        <v>14533.6086511048</v>
      </c>
      <c r="AN2356" s="2">
        <v>12281.3103640634</v>
      </c>
      <c r="AO2356" s="2">
        <v>15740.335060794599</v>
      </c>
      <c r="AP2356" s="2">
        <v>12151.6877450883</v>
      </c>
    </row>
    <row r="2357" spans="1:42" ht="14.5" x14ac:dyDescent="0.35">
      <c r="A2357" s="2" t="s">
        <v>15782</v>
      </c>
      <c r="B2357" s="2">
        <v>259.00676457648899</v>
      </c>
      <c r="C2357" s="2">
        <v>0.87229999999999996</v>
      </c>
      <c r="D2357" s="2" t="s">
        <v>70</v>
      </c>
      <c r="E2357" s="2" t="s">
        <v>15783</v>
      </c>
      <c r="F2357" s="2">
        <v>204216</v>
      </c>
      <c r="G2357" s="3" t="str">
        <f>HYPERLINK("http://funmeta.oebiotech.com/network/204216", "http://funmeta.oebiotech.com/network/204216")</f>
        <v>http://funmeta.oebiotech.com/network/204216</v>
      </c>
      <c r="H2357" s="2" t="s">
        <v>15784</v>
      </c>
      <c r="I2357" s="2"/>
      <c r="J2357" s="2"/>
      <c r="K2357" s="2"/>
      <c r="L2357" s="2"/>
      <c r="M2357" s="2"/>
      <c r="N2357" s="2"/>
      <c r="O2357" s="2">
        <v>97676</v>
      </c>
      <c r="P2357" s="2"/>
      <c r="Q2357" s="2" t="s">
        <v>15785</v>
      </c>
      <c r="R2357" s="2" t="s">
        <v>15786</v>
      </c>
      <c r="S2357" s="2" t="s">
        <v>41</v>
      </c>
      <c r="T2357" s="2" t="s">
        <v>41</v>
      </c>
      <c r="U2357" s="2" t="s">
        <v>41</v>
      </c>
      <c r="V2357" s="2" t="s">
        <v>59</v>
      </c>
      <c r="W2357" s="2">
        <v>37.200000000000003</v>
      </c>
      <c r="X2357" s="2">
        <v>2.2000000000000002</v>
      </c>
      <c r="Y2357" s="2" t="s">
        <v>408</v>
      </c>
      <c r="Z2357" s="2" t="s">
        <v>15787</v>
      </c>
      <c r="AA2357" s="2">
        <v>-4.5536042364860299</v>
      </c>
      <c r="AB2357" s="2">
        <v>0.341127250689856</v>
      </c>
      <c r="AC2357" s="2">
        <v>64796.686678265098</v>
      </c>
      <c r="AD2357" s="2">
        <v>54604.987789640698</v>
      </c>
      <c r="AE2357" s="2">
        <v>71327.572453585206</v>
      </c>
      <c r="AF2357" s="2">
        <v>67926.381507109996</v>
      </c>
      <c r="AG2357" s="2">
        <v>65179.167597572297</v>
      </c>
      <c r="AH2357" s="2">
        <v>57188.716829202203</v>
      </c>
      <c r="AI2357" s="2">
        <v>63254.460855879202</v>
      </c>
      <c r="AJ2357" s="2">
        <v>63903.820826241499</v>
      </c>
      <c r="AK2357" s="2">
        <v>59549.214287700503</v>
      </c>
      <c r="AL2357" s="2">
        <v>54070.369800680397</v>
      </c>
      <c r="AM2357" s="2">
        <v>46956.609322024902</v>
      </c>
      <c r="AN2357" s="2">
        <v>49894.728066940697</v>
      </c>
      <c r="AO2357" s="2">
        <v>59816.986478705199</v>
      </c>
      <c r="AP2357" s="2">
        <v>57342.0187817923</v>
      </c>
    </row>
    <row r="2358" spans="1:42" ht="14.5" x14ac:dyDescent="0.35">
      <c r="A2358" s="2" t="s">
        <v>15788</v>
      </c>
      <c r="B2358" s="2">
        <v>487.30534049179602</v>
      </c>
      <c r="C2358" s="2">
        <v>4.6832000000000003</v>
      </c>
      <c r="D2358" s="2" t="s">
        <v>34</v>
      </c>
      <c r="E2358" s="2" t="s">
        <v>15789</v>
      </c>
      <c r="F2358" s="2">
        <v>44546</v>
      </c>
      <c r="G2358" s="3" t="str">
        <f>HYPERLINK("http://funmeta.oebiotech.com/network/44546", "http://funmeta.oebiotech.com/network/44546")</f>
        <v>http://funmeta.oebiotech.com/network/44546</v>
      </c>
      <c r="H2358" s="2"/>
      <c r="I2358" s="2"/>
      <c r="J2358" s="2" t="s">
        <v>15790</v>
      </c>
      <c r="K2358" s="2"/>
      <c r="L2358" s="2"/>
      <c r="M2358" s="2"/>
      <c r="N2358" s="2"/>
      <c r="O2358" s="2">
        <v>21575012</v>
      </c>
      <c r="P2358" s="2"/>
      <c r="Q2358" s="2" t="s">
        <v>15791</v>
      </c>
      <c r="R2358" s="2" t="s">
        <v>15792</v>
      </c>
      <c r="S2358" s="2" t="s">
        <v>50</v>
      </c>
      <c r="T2358" s="2" t="s">
        <v>201</v>
      </c>
      <c r="U2358" s="2" t="s">
        <v>210</v>
      </c>
      <c r="V2358" s="2" t="s">
        <v>59</v>
      </c>
      <c r="W2358" s="2">
        <v>43.8</v>
      </c>
      <c r="X2358" s="2">
        <v>26.7</v>
      </c>
      <c r="Y2358" s="2" t="s">
        <v>266</v>
      </c>
      <c r="Z2358" s="2" t="s">
        <v>15793</v>
      </c>
      <c r="AA2358" s="2">
        <v>-0.15423563836156501</v>
      </c>
      <c r="AB2358" s="2">
        <v>0.34084042536558201</v>
      </c>
      <c r="AC2358" s="2">
        <v>42794.488384637298</v>
      </c>
      <c r="AD2358" s="2">
        <v>33708.759014509204</v>
      </c>
      <c r="AE2358" s="2">
        <v>40014.1807835695</v>
      </c>
      <c r="AF2358" s="2">
        <v>46936.573351731</v>
      </c>
      <c r="AG2358" s="2">
        <v>44329.804941640999</v>
      </c>
      <c r="AH2358" s="2">
        <v>43813.282736174202</v>
      </c>
      <c r="AI2358" s="2">
        <v>45102.320743586199</v>
      </c>
      <c r="AJ2358" s="2">
        <v>36570.767751122003</v>
      </c>
      <c r="AK2358" s="2">
        <v>37366.7146928578</v>
      </c>
      <c r="AL2358" s="2">
        <v>32272.2771029012</v>
      </c>
      <c r="AM2358" s="2">
        <v>31253.303368550201</v>
      </c>
      <c r="AN2358" s="2">
        <v>32392.102828835999</v>
      </c>
      <c r="AO2358" s="2">
        <v>32552.228712035601</v>
      </c>
      <c r="AP2358" s="2">
        <v>36415.927381874601</v>
      </c>
    </row>
    <row r="2359" spans="1:42" ht="14.5" x14ac:dyDescent="0.35">
      <c r="A2359" s="2" t="s">
        <v>15794</v>
      </c>
      <c r="B2359" s="2">
        <v>733.34327209391495</v>
      </c>
      <c r="C2359" s="2">
        <v>7.8969500000000004</v>
      </c>
      <c r="D2359" s="2" t="s">
        <v>70</v>
      </c>
      <c r="E2359" s="2" t="s">
        <v>15795</v>
      </c>
      <c r="F2359" s="2">
        <v>27768</v>
      </c>
      <c r="G2359" s="3" t="str">
        <f>HYPERLINK("http://funmeta.oebiotech.com/network/27768", "http://funmeta.oebiotech.com/network/27768")</f>
        <v>http://funmeta.oebiotech.com/network/27768</v>
      </c>
      <c r="H2359" s="2"/>
      <c r="I2359" s="2"/>
      <c r="J2359" s="2" t="s">
        <v>15796</v>
      </c>
      <c r="K2359" s="2"/>
      <c r="L2359" s="2"/>
      <c r="M2359" s="2"/>
      <c r="N2359" s="2"/>
      <c r="O2359" s="2">
        <v>126457658</v>
      </c>
      <c r="P2359" s="2"/>
      <c r="Q2359" s="2" t="s">
        <v>15797</v>
      </c>
      <c r="R2359" s="2" t="s">
        <v>15798</v>
      </c>
      <c r="S2359" s="2" t="s">
        <v>50</v>
      </c>
      <c r="T2359" s="2" t="s">
        <v>51</v>
      </c>
      <c r="U2359" s="2" t="s">
        <v>52</v>
      </c>
      <c r="V2359" s="2" t="s">
        <v>42</v>
      </c>
      <c r="W2359" s="2">
        <v>49.1</v>
      </c>
      <c r="X2359" s="2">
        <v>58.5</v>
      </c>
      <c r="Y2359" s="2" t="s">
        <v>118</v>
      </c>
      <c r="Z2359" s="2" t="s">
        <v>15799</v>
      </c>
      <c r="AA2359" s="2">
        <v>2.1263340625173699</v>
      </c>
      <c r="AB2359" s="2">
        <v>0.34078251541689197</v>
      </c>
      <c r="AC2359" s="2">
        <v>10471.022468072</v>
      </c>
      <c r="AD2359" s="2">
        <v>18651.0501323059</v>
      </c>
      <c r="AE2359" s="2">
        <v>10137.8250863717</v>
      </c>
      <c r="AF2359" s="2">
        <v>10675.714293134601</v>
      </c>
      <c r="AG2359" s="2">
        <v>9854.9834784644099</v>
      </c>
      <c r="AH2359" s="2">
        <v>10980.971253432201</v>
      </c>
      <c r="AI2359" s="2">
        <v>11190.9453066022</v>
      </c>
      <c r="AJ2359" s="2">
        <v>9985.6953904268194</v>
      </c>
      <c r="AK2359" s="2">
        <v>16646.128603794499</v>
      </c>
      <c r="AL2359" s="2">
        <v>15996.823060426899</v>
      </c>
      <c r="AM2359" s="2">
        <v>22346.924772225499</v>
      </c>
      <c r="AN2359" s="2">
        <v>19129.8164808867</v>
      </c>
      <c r="AO2359" s="2">
        <v>17177.1240746084</v>
      </c>
      <c r="AP2359" s="2">
        <v>20609.483801893301</v>
      </c>
    </row>
    <row r="2360" spans="1:42" ht="14.5" x14ac:dyDescent="0.35">
      <c r="A2360" s="2" t="s">
        <v>15800</v>
      </c>
      <c r="B2360" s="2">
        <v>461.362390698051</v>
      </c>
      <c r="C2360" s="2">
        <v>12.769016666666699</v>
      </c>
      <c r="D2360" s="2" t="s">
        <v>34</v>
      </c>
      <c r="E2360" s="2" t="s">
        <v>15801</v>
      </c>
      <c r="F2360" s="2">
        <v>44431</v>
      </c>
      <c r="G2360" s="3" t="str">
        <f>HYPERLINK("http://funmeta.oebiotech.com/network/44431", "http://funmeta.oebiotech.com/network/44431")</f>
        <v>http://funmeta.oebiotech.com/network/44431</v>
      </c>
      <c r="H2360" s="2"/>
      <c r="I2360" s="2"/>
      <c r="J2360" s="2" t="s">
        <v>15802</v>
      </c>
      <c r="K2360" s="2"/>
      <c r="L2360" s="2"/>
      <c r="M2360" s="2"/>
      <c r="N2360" s="2"/>
      <c r="O2360" s="2">
        <v>137642282</v>
      </c>
      <c r="P2360" s="2"/>
      <c r="Q2360" s="2" t="s">
        <v>15803</v>
      </c>
      <c r="R2360" s="2" t="s">
        <v>15804</v>
      </c>
      <c r="S2360" s="2" t="s">
        <v>50</v>
      </c>
      <c r="T2360" s="2" t="s">
        <v>124</v>
      </c>
      <c r="U2360" s="2" t="s">
        <v>1136</v>
      </c>
      <c r="V2360" s="2" t="s">
        <v>42</v>
      </c>
      <c r="W2360" s="2">
        <v>52.4</v>
      </c>
      <c r="X2360" s="2">
        <v>69.3</v>
      </c>
      <c r="Y2360" s="2" t="s">
        <v>394</v>
      </c>
      <c r="Z2360" s="2" t="s">
        <v>15805</v>
      </c>
      <c r="AA2360" s="2">
        <v>-0.31660667721373298</v>
      </c>
      <c r="AB2360" s="2">
        <v>0.34025897881519102</v>
      </c>
      <c r="AC2360" s="2">
        <v>10925.0372402881</v>
      </c>
      <c r="AD2360" s="2">
        <v>3282.4791810495399</v>
      </c>
      <c r="AE2360" s="2">
        <v>11494.324778480201</v>
      </c>
      <c r="AF2360" s="2">
        <v>10452.2933265916</v>
      </c>
      <c r="AG2360" s="2">
        <v>11091.6454353308</v>
      </c>
      <c r="AH2360" s="2">
        <v>10452.9269179404</v>
      </c>
      <c r="AI2360" s="2">
        <v>10306.674743571501</v>
      </c>
      <c r="AJ2360" s="2">
        <v>11752.358239814001</v>
      </c>
      <c r="AK2360" s="2">
        <v>3884.9374848244001</v>
      </c>
      <c r="AL2360" s="2">
        <v>2817.7307937477899</v>
      </c>
      <c r="AM2360" s="2">
        <v>3174.80927269329</v>
      </c>
      <c r="AN2360" s="2">
        <v>3276.2658813799499</v>
      </c>
      <c r="AO2360" s="2">
        <v>3219.9305587711301</v>
      </c>
      <c r="AP2360" s="2">
        <v>3321.2010948806701</v>
      </c>
    </row>
    <row r="2361" spans="1:42" ht="14.5" x14ac:dyDescent="0.35">
      <c r="A2361" s="2" t="s">
        <v>15806</v>
      </c>
      <c r="B2361" s="2">
        <v>677.25645635597004</v>
      </c>
      <c r="C2361" s="2">
        <v>10.2458166666667</v>
      </c>
      <c r="D2361" s="2" t="s">
        <v>34</v>
      </c>
      <c r="E2361" s="2" t="s">
        <v>15807</v>
      </c>
      <c r="F2361" s="2">
        <v>47099</v>
      </c>
      <c r="G2361" s="3" t="str">
        <f>HYPERLINK("http://funmeta.oebiotech.com/network/47099", "http://funmeta.oebiotech.com/network/47099")</f>
        <v>http://funmeta.oebiotech.com/network/47099</v>
      </c>
      <c r="H2361" s="2" t="s">
        <v>15808</v>
      </c>
      <c r="I2361" s="2">
        <v>5553</v>
      </c>
      <c r="J2361" s="2"/>
      <c r="K2361" s="2">
        <v>27609</v>
      </c>
      <c r="L2361" s="2" t="s">
        <v>15809</v>
      </c>
      <c r="M2361" s="2" t="s">
        <v>1978</v>
      </c>
      <c r="N2361" s="2" t="s">
        <v>1979</v>
      </c>
      <c r="O2361" s="2"/>
      <c r="P2361" s="2" t="s">
        <v>15810</v>
      </c>
      <c r="Q2361" s="2" t="s">
        <v>15811</v>
      </c>
      <c r="R2361" s="2" t="s">
        <v>15812</v>
      </c>
      <c r="S2361" s="2" t="s">
        <v>491</v>
      </c>
      <c r="T2361" s="2" t="s">
        <v>492</v>
      </c>
      <c r="U2361" s="2" t="s">
        <v>6398</v>
      </c>
      <c r="V2361" s="2" t="s">
        <v>59</v>
      </c>
      <c r="W2361" s="2">
        <v>37.200000000000003</v>
      </c>
      <c r="X2361" s="2">
        <v>4.4200000000000003E-3</v>
      </c>
      <c r="Y2361" s="2" t="s">
        <v>470</v>
      </c>
      <c r="Z2361" s="2" t="s">
        <v>15813</v>
      </c>
      <c r="AA2361" s="2">
        <v>-2.6419079376654802</v>
      </c>
      <c r="AB2361" s="2">
        <v>0.34010887871054102</v>
      </c>
      <c r="AC2361" s="2">
        <v>55623.966541396701</v>
      </c>
      <c r="AD2361" s="2">
        <v>63909.2170877971</v>
      </c>
      <c r="AE2361" s="2">
        <v>54559.899756270002</v>
      </c>
      <c r="AF2361" s="2">
        <v>56159.030448563499</v>
      </c>
      <c r="AG2361" s="2">
        <v>57671.440509977103</v>
      </c>
      <c r="AH2361" s="2">
        <v>52829.262020631002</v>
      </c>
      <c r="AI2361" s="2">
        <v>54921.646256061998</v>
      </c>
      <c r="AJ2361" s="2">
        <v>57602.520256876604</v>
      </c>
      <c r="AK2361" s="2">
        <v>67130.753483705805</v>
      </c>
      <c r="AL2361" s="2">
        <v>65167.585583366803</v>
      </c>
      <c r="AM2361" s="2">
        <v>63767.959889817299</v>
      </c>
      <c r="AN2361" s="2">
        <v>63449.831678687799</v>
      </c>
      <c r="AO2361" s="2">
        <v>62155.108733141402</v>
      </c>
      <c r="AP2361" s="2">
        <v>61784.063158063698</v>
      </c>
    </row>
    <row r="2362" spans="1:42" ht="14.5" x14ac:dyDescent="0.35">
      <c r="A2362" s="2" t="s">
        <v>15814</v>
      </c>
      <c r="B2362" s="2">
        <v>210.07599779470499</v>
      </c>
      <c r="C2362" s="2">
        <v>3.8783166666666702</v>
      </c>
      <c r="D2362" s="2" t="s">
        <v>34</v>
      </c>
      <c r="E2362" s="2" t="s">
        <v>15815</v>
      </c>
      <c r="F2362" s="2">
        <v>257559</v>
      </c>
      <c r="G2362" s="3" t="str">
        <f>HYPERLINK("http://funmeta.oebiotech.com/network/257559", "http://funmeta.oebiotech.com/network/257559")</f>
        <v>http://funmeta.oebiotech.com/network/257559</v>
      </c>
      <c r="H2362" s="2" t="s">
        <v>15816</v>
      </c>
      <c r="I2362" s="2"/>
      <c r="J2362" s="2"/>
      <c r="K2362" s="2">
        <v>17530</v>
      </c>
      <c r="L2362" s="2" t="s">
        <v>15817</v>
      </c>
      <c r="M2362" s="2" t="s">
        <v>13218</v>
      </c>
      <c r="N2362" s="2" t="s">
        <v>13219</v>
      </c>
      <c r="O2362" s="2">
        <v>439319</v>
      </c>
      <c r="P2362" s="2"/>
      <c r="Q2362" s="2" t="s">
        <v>15818</v>
      </c>
      <c r="R2362" s="2" t="s">
        <v>15819</v>
      </c>
      <c r="S2362" s="2" t="s">
        <v>89</v>
      </c>
      <c r="T2362" s="2" t="s">
        <v>90</v>
      </c>
      <c r="U2362" s="2" t="s">
        <v>99</v>
      </c>
      <c r="V2362" s="2" t="s">
        <v>59</v>
      </c>
      <c r="W2362" s="2">
        <v>45.8</v>
      </c>
      <c r="X2362" s="2">
        <v>35.5</v>
      </c>
      <c r="Y2362" s="2" t="s">
        <v>141</v>
      </c>
      <c r="Z2362" s="2" t="s">
        <v>15820</v>
      </c>
      <c r="AA2362" s="2">
        <v>-0.380813122491374</v>
      </c>
      <c r="AB2362" s="2">
        <v>0.33999967580567297</v>
      </c>
      <c r="AC2362" s="2">
        <v>23757.263390342399</v>
      </c>
      <c r="AD2362" s="2">
        <v>31882.311722566701</v>
      </c>
      <c r="AE2362" s="2">
        <v>23958.3108839503</v>
      </c>
      <c r="AF2362" s="2">
        <v>24119.053107681801</v>
      </c>
      <c r="AG2362" s="2">
        <v>22885.2735506471</v>
      </c>
      <c r="AH2362" s="2">
        <v>23227.740488306899</v>
      </c>
      <c r="AI2362" s="2">
        <v>24129.191361200599</v>
      </c>
      <c r="AJ2362" s="2">
        <v>24224.0109502675</v>
      </c>
      <c r="AK2362" s="2">
        <v>32961.153374474699</v>
      </c>
      <c r="AL2362" s="2">
        <v>31854.983623584299</v>
      </c>
      <c r="AM2362" s="2">
        <v>28199.355284776098</v>
      </c>
      <c r="AN2362" s="2">
        <v>32364.565987608101</v>
      </c>
      <c r="AO2362" s="2">
        <v>30728.338582524499</v>
      </c>
      <c r="AP2362" s="2">
        <v>35185.473482432601</v>
      </c>
    </row>
    <row r="2363" spans="1:42" ht="14.5" x14ac:dyDescent="0.35">
      <c r="A2363" s="2" t="s">
        <v>15821</v>
      </c>
      <c r="B2363" s="2">
        <v>281.02748172469097</v>
      </c>
      <c r="C2363" s="2">
        <v>1.3161166666666699</v>
      </c>
      <c r="D2363" s="2" t="s">
        <v>70</v>
      </c>
      <c r="E2363" s="2" t="s">
        <v>15822</v>
      </c>
      <c r="F2363" s="2">
        <v>202965</v>
      </c>
      <c r="G2363" s="3" t="str">
        <f>HYPERLINK("http://funmeta.oebiotech.com/network/202965", "http://funmeta.oebiotech.com/network/202965")</f>
        <v>http://funmeta.oebiotech.com/network/202965</v>
      </c>
      <c r="H2363" s="2" t="s">
        <v>15823</v>
      </c>
      <c r="I2363" s="2"/>
      <c r="J2363" s="2"/>
      <c r="K2363" s="2"/>
      <c r="L2363" s="2"/>
      <c r="M2363" s="2"/>
      <c r="N2363" s="2"/>
      <c r="O2363" s="2">
        <v>65352</v>
      </c>
      <c r="P2363" s="2"/>
      <c r="Q2363" s="2" t="s">
        <v>15824</v>
      </c>
      <c r="R2363" s="2" t="s">
        <v>15825</v>
      </c>
      <c r="S2363" s="2" t="s">
        <v>41</v>
      </c>
      <c r="T2363" s="2" t="s">
        <v>41</v>
      </c>
      <c r="U2363" s="2" t="s">
        <v>41</v>
      </c>
      <c r="V2363" s="2" t="s">
        <v>59</v>
      </c>
      <c r="W2363" s="2">
        <v>38.5</v>
      </c>
      <c r="X2363" s="2">
        <v>3.32</v>
      </c>
      <c r="Y2363" s="2" t="s">
        <v>118</v>
      </c>
      <c r="Z2363" s="2" t="s">
        <v>15826</v>
      </c>
      <c r="AA2363" s="2">
        <v>1.22183781401512</v>
      </c>
      <c r="AB2363" s="2">
        <v>0.33998371295361202</v>
      </c>
      <c r="AC2363" s="2">
        <v>230254.159462996</v>
      </c>
      <c r="AD2363" s="2">
        <v>245455.07328536801</v>
      </c>
      <c r="AE2363" s="2">
        <v>237269.85212247699</v>
      </c>
      <c r="AF2363" s="2">
        <v>225715.78851360199</v>
      </c>
      <c r="AG2363" s="2">
        <v>230034.86777727399</v>
      </c>
      <c r="AH2363" s="2">
        <v>230933.906935854</v>
      </c>
      <c r="AI2363" s="2">
        <v>236550.476731145</v>
      </c>
      <c r="AJ2363" s="2">
        <v>221020.064697625</v>
      </c>
      <c r="AK2363" s="2">
        <v>262480.29315848398</v>
      </c>
      <c r="AL2363" s="2">
        <v>237029.651146566</v>
      </c>
      <c r="AM2363" s="2">
        <v>212827.95458101801</v>
      </c>
      <c r="AN2363" s="2">
        <v>262057.40332388101</v>
      </c>
      <c r="AO2363" s="2">
        <v>259311.546854671</v>
      </c>
      <c r="AP2363" s="2">
        <v>239023.59064758799</v>
      </c>
    </row>
    <row r="2364" spans="1:42" ht="14.5" x14ac:dyDescent="0.35">
      <c r="A2364" s="2" t="s">
        <v>15827</v>
      </c>
      <c r="B2364" s="2">
        <v>341.210773163819</v>
      </c>
      <c r="C2364" s="2">
        <v>11.561633333333299</v>
      </c>
      <c r="D2364" s="2" t="s">
        <v>34</v>
      </c>
      <c r="E2364" s="2" t="s">
        <v>15828</v>
      </c>
      <c r="F2364" s="2">
        <v>5401</v>
      </c>
      <c r="G2364" s="3" t="str">
        <f>HYPERLINK("http://funmeta.oebiotech.com/network/5401", "http://funmeta.oebiotech.com/network/5401")</f>
        <v>http://funmeta.oebiotech.com/network/5401</v>
      </c>
      <c r="H2364" s="2"/>
      <c r="I2364" s="2"/>
      <c r="J2364" s="2" t="s">
        <v>15829</v>
      </c>
      <c r="K2364" s="2"/>
      <c r="L2364" s="2"/>
      <c r="M2364" s="2"/>
      <c r="N2364" s="2"/>
      <c r="O2364" s="2">
        <v>131840816</v>
      </c>
      <c r="P2364" s="2"/>
      <c r="Q2364" s="2" t="s">
        <v>15830</v>
      </c>
      <c r="R2364" s="2" t="s">
        <v>15831</v>
      </c>
      <c r="S2364" s="2" t="s">
        <v>50</v>
      </c>
      <c r="T2364" s="2" t="s">
        <v>229</v>
      </c>
      <c r="U2364" s="2" t="s">
        <v>766</v>
      </c>
      <c r="V2364" s="2" t="s">
        <v>42</v>
      </c>
      <c r="W2364" s="2">
        <v>48</v>
      </c>
      <c r="X2364" s="2">
        <v>45.3</v>
      </c>
      <c r="Y2364" s="2" t="s">
        <v>141</v>
      </c>
      <c r="Z2364" s="2" t="s">
        <v>7078</v>
      </c>
      <c r="AA2364" s="2">
        <v>-0.97155924372108704</v>
      </c>
      <c r="AB2364" s="2">
        <v>0.339900645120228</v>
      </c>
      <c r="AC2364" s="2">
        <v>26208.3249063574</v>
      </c>
      <c r="AD2364" s="2">
        <v>18386.467567704101</v>
      </c>
      <c r="AE2364" s="2">
        <v>26434.570089892401</v>
      </c>
      <c r="AF2364" s="2">
        <v>24933.709106318998</v>
      </c>
      <c r="AG2364" s="2">
        <v>25339.7734416979</v>
      </c>
      <c r="AH2364" s="2">
        <v>25764.928023165099</v>
      </c>
      <c r="AI2364" s="2">
        <v>26655.633485620099</v>
      </c>
      <c r="AJ2364" s="2">
        <v>28121.335291449999</v>
      </c>
      <c r="AK2364" s="2">
        <v>18183.028088995099</v>
      </c>
      <c r="AL2364" s="2">
        <v>19638.6121687415</v>
      </c>
      <c r="AM2364" s="2">
        <v>17226.274691408598</v>
      </c>
      <c r="AN2364" s="2">
        <v>18280.858478984999</v>
      </c>
      <c r="AO2364" s="2">
        <v>19514.124267779898</v>
      </c>
      <c r="AP2364" s="2">
        <v>17475.907710314499</v>
      </c>
    </row>
    <row r="2365" spans="1:42" ht="14.5" x14ac:dyDescent="0.35">
      <c r="A2365" s="2" t="s">
        <v>15832</v>
      </c>
      <c r="B2365" s="2">
        <v>430.16806198566599</v>
      </c>
      <c r="C2365" s="2">
        <v>3.6614666666666702</v>
      </c>
      <c r="D2365" s="2" t="s">
        <v>34</v>
      </c>
      <c r="E2365" s="2" t="s">
        <v>15833</v>
      </c>
      <c r="F2365" s="2">
        <v>205829</v>
      </c>
      <c r="G2365" s="3" t="str">
        <f>HYPERLINK("http://funmeta.oebiotech.com/network/205829", "http://funmeta.oebiotech.com/network/205829")</f>
        <v>http://funmeta.oebiotech.com/network/205829</v>
      </c>
      <c r="H2365" s="2" t="s">
        <v>15834</v>
      </c>
      <c r="I2365" s="2"/>
      <c r="J2365" s="2"/>
      <c r="K2365" s="2"/>
      <c r="L2365" s="2"/>
      <c r="M2365" s="2"/>
      <c r="N2365" s="2"/>
      <c r="O2365" s="2"/>
      <c r="P2365" s="2"/>
      <c r="Q2365" s="2" t="s">
        <v>15835</v>
      </c>
      <c r="R2365" s="2" t="s">
        <v>15836</v>
      </c>
      <c r="S2365" s="2" t="s">
        <v>41</v>
      </c>
      <c r="T2365" s="2" t="s">
        <v>41</v>
      </c>
      <c r="U2365" s="2" t="s">
        <v>41</v>
      </c>
      <c r="V2365" s="2" t="s">
        <v>59</v>
      </c>
      <c r="W2365" s="2">
        <v>38.299999999999997</v>
      </c>
      <c r="X2365" s="2">
        <v>0</v>
      </c>
      <c r="Y2365" s="2" t="s">
        <v>323</v>
      </c>
      <c r="Z2365" s="2" t="s">
        <v>15837</v>
      </c>
      <c r="AA2365" s="2">
        <v>-4.0331929227652301</v>
      </c>
      <c r="AB2365" s="2">
        <v>0.339839437768302</v>
      </c>
      <c r="AC2365" s="2">
        <v>6165.7784381131596</v>
      </c>
      <c r="AD2365" s="2">
        <v>14334.6625701829</v>
      </c>
      <c r="AE2365" s="2">
        <v>7703.1175219332499</v>
      </c>
      <c r="AF2365" s="2">
        <v>5647.8338572113498</v>
      </c>
      <c r="AG2365" s="2">
        <v>4902.9182723941703</v>
      </c>
      <c r="AH2365" s="2">
        <v>4623.3550129252799</v>
      </c>
      <c r="AI2365" s="2">
        <v>6978.0496830788297</v>
      </c>
      <c r="AJ2365" s="2">
        <v>7139.3962811360998</v>
      </c>
      <c r="AK2365" s="2">
        <v>12363.468055458299</v>
      </c>
      <c r="AL2365" s="2">
        <v>16999.102853696</v>
      </c>
      <c r="AM2365" s="2">
        <v>11708.3676123197</v>
      </c>
      <c r="AN2365" s="2">
        <v>13787.1693648734</v>
      </c>
      <c r="AO2365" s="2">
        <v>14452.1590041159</v>
      </c>
      <c r="AP2365" s="2">
        <v>16697.708530633899</v>
      </c>
    </row>
    <row r="2366" spans="1:42" ht="14.5" x14ac:dyDescent="0.35">
      <c r="A2366" s="2" t="s">
        <v>15838</v>
      </c>
      <c r="B2366" s="2">
        <v>557.29581168439597</v>
      </c>
      <c r="C2366" s="2">
        <v>6.3868666666666698</v>
      </c>
      <c r="D2366" s="2" t="s">
        <v>70</v>
      </c>
      <c r="E2366" s="2" t="s">
        <v>15839</v>
      </c>
      <c r="F2366" s="2">
        <v>202603</v>
      </c>
      <c r="G2366" s="3" t="str">
        <f>HYPERLINK("http://funmeta.oebiotech.com/network/202603", "http://funmeta.oebiotech.com/network/202603")</f>
        <v>http://funmeta.oebiotech.com/network/202603</v>
      </c>
      <c r="H2366" s="2" t="s">
        <v>15840</v>
      </c>
      <c r="I2366" s="2"/>
      <c r="J2366" s="2"/>
      <c r="K2366" s="2"/>
      <c r="L2366" s="2"/>
      <c r="M2366" s="2"/>
      <c r="N2366" s="2"/>
      <c r="O2366" s="2">
        <v>74934816</v>
      </c>
      <c r="P2366" s="2"/>
      <c r="Q2366" s="2" t="s">
        <v>15841</v>
      </c>
      <c r="R2366" s="2" t="s">
        <v>15842</v>
      </c>
      <c r="S2366" s="2" t="s">
        <v>41</v>
      </c>
      <c r="T2366" s="2" t="s">
        <v>41</v>
      </c>
      <c r="U2366" s="2" t="s">
        <v>41</v>
      </c>
      <c r="V2366" s="2" t="s">
        <v>42</v>
      </c>
      <c r="W2366" s="2">
        <v>50.3</v>
      </c>
      <c r="X2366" s="2">
        <v>57.2</v>
      </c>
      <c r="Y2366" s="2" t="s">
        <v>408</v>
      </c>
      <c r="Z2366" s="2" t="s">
        <v>15843</v>
      </c>
      <c r="AA2366" s="2">
        <v>-1.80397300544868</v>
      </c>
      <c r="AB2366" s="2">
        <v>0.339781627820952</v>
      </c>
      <c r="AC2366" s="2">
        <v>30298.711301248699</v>
      </c>
      <c r="AD2366" s="2">
        <v>22275.842917814502</v>
      </c>
      <c r="AE2366" s="2">
        <v>32731.047521267901</v>
      </c>
      <c r="AF2366" s="2">
        <v>29158.928243894199</v>
      </c>
      <c r="AG2366" s="2">
        <v>28862.428216533499</v>
      </c>
      <c r="AH2366" s="2">
        <v>30374.535293424899</v>
      </c>
      <c r="AI2366" s="2">
        <v>29808.865534476401</v>
      </c>
      <c r="AJ2366" s="2">
        <v>30856.4629978956</v>
      </c>
      <c r="AK2366" s="2">
        <v>20004.151939581501</v>
      </c>
      <c r="AL2366" s="2">
        <v>22570.518242527101</v>
      </c>
      <c r="AM2366" s="2">
        <v>24810.947412202899</v>
      </c>
      <c r="AN2366" s="2">
        <v>21804.9182115324</v>
      </c>
      <c r="AO2366" s="2">
        <v>23071.039133840499</v>
      </c>
      <c r="AP2366" s="2">
        <v>21393.4825672025</v>
      </c>
    </row>
    <row r="2367" spans="1:42" ht="14.5" x14ac:dyDescent="0.35">
      <c r="A2367" s="2" t="s">
        <v>15844</v>
      </c>
      <c r="B2367" s="2">
        <v>275.09108968443797</v>
      </c>
      <c r="C2367" s="2">
        <v>4.3961833333333296</v>
      </c>
      <c r="D2367" s="2" t="s">
        <v>34</v>
      </c>
      <c r="E2367" s="2" t="s">
        <v>15845</v>
      </c>
      <c r="F2367" s="2">
        <v>28856</v>
      </c>
      <c r="G2367" s="3" t="str">
        <f>HYPERLINK("http://funmeta.oebiotech.com/network/28856", "http://funmeta.oebiotech.com/network/28856")</f>
        <v>http://funmeta.oebiotech.com/network/28856</v>
      </c>
      <c r="H2367" s="2" t="s">
        <v>15846</v>
      </c>
      <c r="I2367" s="2">
        <v>44474</v>
      </c>
      <c r="J2367" s="2" t="s">
        <v>15847</v>
      </c>
      <c r="K2367" s="2">
        <v>31028</v>
      </c>
      <c r="L2367" s="2" t="s">
        <v>15848</v>
      </c>
      <c r="M2367" s="2" t="s">
        <v>1432</v>
      </c>
      <c r="N2367" s="2" t="s">
        <v>1433</v>
      </c>
      <c r="O2367" s="2">
        <v>443639</v>
      </c>
      <c r="P2367" s="2" t="s">
        <v>15849</v>
      </c>
      <c r="Q2367" s="2" t="s">
        <v>15850</v>
      </c>
      <c r="R2367" s="2" t="s">
        <v>15851</v>
      </c>
      <c r="S2367" s="2" t="s">
        <v>115</v>
      </c>
      <c r="T2367" s="2" t="s">
        <v>139</v>
      </c>
      <c r="U2367" s="2" t="s">
        <v>1437</v>
      </c>
      <c r="V2367" s="2" t="s">
        <v>42</v>
      </c>
      <c r="W2367" s="2">
        <v>54.6</v>
      </c>
      <c r="X2367" s="2">
        <v>78.5</v>
      </c>
      <c r="Y2367" s="2" t="s">
        <v>394</v>
      </c>
      <c r="Z2367" s="2" t="s">
        <v>15852</v>
      </c>
      <c r="AA2367" s="2">
        <v>-1.1321135206295301</v>
      </c>
      <c r="AB2367" s="2">
        <v>0.33963131719384598</v>
      </c>
      <c r="AC2367" s="2">
        <v>22572.788072276999</v>
      </c>
      <c r="AD2367" s="2">
        <v>14804.8533646622</v>
      </c>
      <c r="AE2367" s="2">
        <v>20688.105847045601</v>
      </c>
      <c r="AF2367" s="2">
        <v>23875.5320292916</v>
      </c>
      <c r="AG2367" s="2">
        <v>23047.5120776535</v>
      </c>
      <c r="AH2367" s="2">
        <v>23416.021794623801</v>
      </c>
      <c r="AI2367" s="2">
        <v>21765.6560028801</v>
      </c>
      <c r="AJ2367" s="2">
        <v>22643.900682167699</v>
      </c>
      <c r="AK2367" s="2">
        <v>15757.524392162401</v>
      </c>
      <c r="AL2367" s="2">
        <v>14830.538051444</v>
      </c>
      <c r="AM2367" s="2">
        <v>14505.1537550786</v>
      </c>
      <c r="AN2367" s="2">
        <v>14311.5692358533</v>
      </c>
      <c r="AO2367" s="2">
        <v>13606.136112001701</v>
      </c>
      <c r="AP2367" s="2">
        <v>15818.1986414332</v>
      </c>
    </row>
    <row r="2368" spans="1:42" ht="14.5" x14ac:dyDescent="0.35">
      <c r="A2368" s="2" t="s">
        <v>15853</v>
      </c>
      <c r="B2368" s="2">
        <v>261.08770391097403</v>
      </c>
      <c r="C2368" s="2">
        <v>4.1877333333333304</v>
      </c>
      <c r="D2368" s="2" t="s">
        <v>70</v>
      </c>
      <c r="E2368" s="2" t="s">
        <v>15854</v>
      </c>
      <c r="F2368" s="2">
        <v>47171</v>
      </c>
      <c r="G2368" s="3" t="str">
        <f>HYPERLINK("http://funmeta.oebiotech.com/network/47171", "http://funmeta.oebiotech.com/network/47171")</f>
        <v>http://funmeta.oebiotech.com/network/47171</v>
      </c>
      <c r="H2368" s="2" t="s">
        <v>15855</v>
      </c>
      <c r="I2368" s="2">
        <v>64957</v>
      </c>
      <c r="J2368" s="2"/>
      <c r="K2368" s="2">
        <v>73830</v>
      </c>
      <c r="L2368" s="2"/>
      <c r="M2368" s="2"/>
      <c r="N2368" s="2"/>
      <c r="O2368" s="2">
        <v>93078</v>
      </c>
      <c r="P2368" s="2" t="s">
        <v>15856</v>
      </c>
      <c r="Q2368" s="2" t="s">
        <v>15857</v>
      </c>
      <c r="R2368" s="2" t="s">
        <v>15858</v>
      </c>
      <c r="S2368" s="2" t="s">
        <v>89</v>
      </c>
      <c r="T2368" s="2" t="s">
        <v>90</v>
      </c>
      <c r="U2368" s="2" t="s">
        <v>99</v>
      </c>
      <c r="V2368" s="2" t="s">
        <v>59</v>
      </c>
      <c r="W2368" s="2">
        <v>47.8</v>
      </c>
      <c r="X2368" s="2">
        <v>44.8</v>
      </c>
      <c r="Y2368" s="2" t="s">
        <v>751</v>
      </c>
      <c r="Z2368" s="2" t="s">
        <v>15859</v>
      </c>
      <c r="AA2368" s="2">
        <v>-1.3444540694239799</v>
      </c>
      <c r="AB2368" s="2">
        <v>0.338630557521716</v>
      </c>
      <c r="AC2368" s="2">
        <v>54399.295524627501</v>
      </c>
      <c r="AD2368" s="2">
        <v>45832.952062655299</v>
      </c>
      <c r="AE2368" s="2">
        <v>51979.491447606699</v>
      </c>
      <c r="AF2368" s="2">
        <v>59001.2937357267</v>
      </c>
      <c r="AG2368" s="2">
        <v>53195.2187452289</v>
      </c>
      <c r="AH2368" s="2">
        <v>52838.937043957201</v>
      </c>
      <c r="AI2368" s="2">
        <v>51746.023479278701</v>
      </c>
      <c r="AJ2368" s="2">
        <v>57634.808695967004</v>
      </c>
      <c r="AK2368" s="2">
        <v>46293.057740961201</v>
      </c>
      <c r="AL2368" s="2">
        <v>44460.946713416597</v>
      </c>
      <c r="AM2368" s="2">
        <v>47305.892242043003</v>
      </c>
      <c r="AN2368" s="2">
        <v>48653.989923294903</v>
      </c>
      <c r="AO2368" s="2">
        <v>44009.814319527599</v>
      </c>
      <c r="AP2368" s="2">
        <v>44274.011436688503</v>
      </c>
    </row>
    <row r="2369" spans="1:42" ht="14.5" x14ac:dyDescent="0.35">
      <c r="A2369" s="2" t="s">
        <v>15860</v>
      </c>
      <c r="B2369" s="2">
        <v>433.15028431995898</v>
      </c>
      <c r="C2369" s="2">
        <v>5.4683000000000002</v>
      </c>
      <c r="D2369" s="2" t="s">
        <v>70</v>
      </c>
      <c r="E2369" s="2" t="s">
        <v>15861</v>
      </c>
      <c r="F2369" s="2">
        <v>29104</v>
      </c>
      <c r="G2369" s="3" t="str">
        <f>HYPERLINK("http://funmeta.oebiotech.com/network/29104", "http://funmeta.oebiotech.com/network/29104")</f>
        <v>http://funmeta.oebiotech.com/network/29104</v>
      </c>
      <c r="H2369" s="2"/>
      <c r="I2369" s="2"/>
      <c r="J2369" s="2" t="s">
        <v>15862</v>
      </c>
      <c r="K2369" s="2"/>
      <c r="L2369" s="2"/>
      <c r="M2369" s="2"/>
      <c r="N2369" s="2"/>
      <c r="O2369" s="2">
        <v>3009238</v>
      </c>
      <c r="P2369" s="2"/>
      <c r="Q2369" s="2" t="s">
        <v>15863</v>
      </c>
      <c r="R2369" s="2" t="s">
        <v>15864</v>
      </c>
      <c r="S2369" s="2" t="s">
        <v>115</v>
      </c>
      <c r="T2369" s="2" t="s">
        <v>139</v>
      </c>
      <c r="U2369" s="2" t="s">
        <v>1437</v>
      </c>
      <c r="V2369" s="2" t="s">
        <v>42</v>
      </c>
      <c r="W2369" s="2">
        <v>48.1</v>
      </c>
      <c r="X2369" s="2">
        <v>47.2</v>
      </c>
      <c r="Y2369" s="2" t="s">
        <v>408</v>
      </c>
      <c r="Z2369" s="2" t="s">
        <v>8767</v>
      </c>
      <c r="AA2369" s="2">
        <v>-0.31342509363028198</v>
      </c>
      <c r="AB2369" s="2">
        <v>0.338466699599347</v>
      </c>
      <c r="AC2369" s="2">
        <v>44896.249428091498</v>
      </c>
      <c r="AD2369" s="2">
        <v>36441.4798534359</v>
      </c>
      <c r="AE2369" s="2">
        <v>48515.3442882831</v>
      </c>
      <c r="AF2369" s="2">
        <v>42180.629916025697</v>
      </c>
      <c r="AG2369" s="2">
        <v>45519.898552031897</v>
      </c>
      <c r="AH2369" s="2">
        <v>47041.994838310202</v>
      </c>
      <c r="AI2369" s="2">
        <v>42856.835771635997</v>
      </c>
      <c r="AJ2369" s="2">
        <v>43262.793202262401</v>
      </c>
      <c r="AK2369" s="2">
        <v>38106.044435751799</v>
      </c>
      <c r="AL2369" s="2">
        <v>37263.548646879397</v>
      </c>
      <c r="AM2369" s="2">
        <v>38250.258462253398</v>
      </c>
      <c r="AN2369" s="2">
        <v>37956.101585793003</v>
      </c>
      <c r="AO2369" s="2">
        <v>33553.392840833199</v>
      </c>
      <c r="AP2369" s="2">
        <v>33519.533149104602</v>
      </c>
    </row>
    <row r="2370" spans="1:42" ht="14.5" x14ac:dyDescent="0.35">
      <c r="A2370" s="2" t="s">
        <v>15865</v>
      </c>
      <c r="B2370" s="2">
        <v>255.050685248679</v>
      </c>
      <c r="C2370" s="2">
        <v>2.7934333333333301</v>
      </c>
      <c r="D2370" s="2" t="s">
        <v>70</v>
      </c>
      <c r="E2370" s="2" t="s">
        <v>15866</v>
      </c>
      <c r="F2370" s="2">
        <v>55545</v>
      </c>
      <c r="G2370" s="3" t="str">
        <f>HYPERLINK("http://funmeta.oebiotech.com/network/55545", "http://funmeta.oebiotech.com/network/55545")</f>
        <v>http://funmeta.oebiotech.com/network/55545</v>
      </c>
      <c r="H2370" s="2" t="s">
        <v>15867</v>
      </c>
      <c r="I2370" s="2">
        <v>43637</v>
      </c>
      <c r="J2370" s="2"/>
      <c r="K2370" s="2"/>
      <c r="L2370" s="2"/>
      <c r="M2370" s="2"/>
      <c r="N2370" s="2"/>
      <c r="O2370" s="2">
        <v>120693</v>
      </c>
      <c r="P2370" s="2" t="s">
        <v>15868</v>
      </c>
      <c r="Q2370" s="2" t="s">
        <v>15869</v>
      </c>
      <c r="R2370" s="2" t="s">
        <v>15870</v>
      </c>
      <c r="S2370" s="2" t="s">
        <v>115</v>
      </c>
      <c r="T2370" s="2" t="s">
        <v>7439</v>
      </c>
      <c r="U2370" s="2" t="s">
        <v>41</v>
      </c>
      <c r="V2370" s="2" t="s">
        <v>42</v>
      </c>
      <c r="W2370" s="2">
        <v>50.9</v>
      </c>
      <c r="X2370" s="2">
        <v>58.4</v>
      </c>
      <c r="Y2370" s="2" t="s">
        <v>118</v>
      </c>
      <c r="Z2370" s="2" t="s">
        <v>15871</v>
      </c>
      <c r="AA2370" s="2">
        <v>-1.3318883908949</v>
      </c>
      <c r="AB2370" s="2">
        <v>0.33791606957440801</v>
      </c>
      <c r="AC2370" s="2">
        <v>51531.400478075797</v>
      </c>
      <c r="AD2370" s="2">
        <v>39289.819208214503</v>
      </c>
      <c r="AE2370" s="2">
        <v>47866.740611428002</v>
      </c>
      <c r="AF2370" s="2">
        <v>50681.097698163001</v>
      </c>
      <c r="AG2370" s="2">
        <v>62319.081616658797</v>
      </c>
      <c r="AH2370" s="2">
        <v>44264.675984875401</v>
      </c>
      <c r="AI2370" s="2">
        <v>40056.510586542201</v>
      </c>
      <c r="AJ2370" s="2">
        <v>64000.296370787299</v>
      </c>
      <c r="AK2370" s="2">
        <v>32987.877642464497</v>
      </c>
      <c r="AL2370" s="2">
        <v>44829.386937705</v>
      </c>
      <c r="AM2370" s="2">
        <v>52417.540950239898</v>
      </c>
      <c r="AN2370" s="2">
        <v>35606.266260574703</v>
      </c>
      <c r="AO2370" s="2">
        <v>38014.225167025397</v>
      </c>
      <c r="AP2370" s="2">
        <v>31883.6182912773</v>
      </c>
    </row>
    <row r="2371" spans="1:42" ht="14.5" x14ac:dyDescent="0.35">
      <c r="A2371" s="2" t="s">
        <v>15872</v>
      </c>
      <c r="B2371" s="2">
        <v>721.21386963062298</v>
      </c>
      <c r="C2371" s="2">
        <v>5.26453333333333</v>
      </c>
      <c r="D2371" s="2" t="s">
        <v>70</v>
      </c>
      <c r="E2371" s="2" t="s">
        <v>15873</v>
      </c>
      <c r="F2371" s="2">
        <v>52550</v>
      </c>
      <c r="G2371" s="3" t="str">
        <f>HYPERLINK("http://funmeta.oebiotech.com/network/52550", "http://funmeta.oebiotech.com/network/52550")</f>
        <v>http://funmeta.oebiotech.com/network/52550</v>
      </c>
      <c r="H2371" s="2" t="s">
        <v>15874</v>
      </c>
      <c r="I2371" s="2">
        <v>1636</v>
      </c>
      <c r="J2371" s="2"/>
      <c r="K2371" s="2">
        <v>63840</v>
      </c>
      <c r="L2371" s="2"/>
      <c r="M2371" s="2"/>
      <c r="N2371" s="2"/>
      <c r="O2371" s="2">
        <v>119560</v>
      </c>
      <c r="P2371" s="2" t="s">
        <v>15875</v>
      </c>
      <c r="Q2371" s="2" t="s">
        <v>15876</v>
      </c>
      <c r="R2371" s="2" t="s">
        <v>15877</v>
      </c>
      <c r="S2371" s="2" t="s">
        <v>491</v>
      </c>
      <c r="T2371" s="2" t="s">
        <v>15878</v>
      </c>
      <c r="U2371" s="2" t="s">
        <v>15879</v>
      </c>
      <c r="V2371" s="2" t="s">
        <v>59</v>
      </c>
      <c r="W2371" s="2">
        <v>36.200000000000003</v>
      </c>
      <c r="X2371" s="2">
        <v>0</v>
      </c>
      <c r="Y2371" s="2" t="s">
        <v>560</v>
      </c>
      <c r="Z2371" s="2" t="s">
        <v>15880</v>
      </c>
      <c r="AA2371" s="2">
        <v>2.6195074034199801</v>
      </c>
      <c r="AB2371" s="2">
        <v>0.337801048371344</v>
      </c>
      <c r="AC2371" s="2">
        <v>28667.7222463049</v>
      </c>
      <c r="AD2371" s="2">
        <v>19288.7625515371</v>
      </c>
      <c r="AE2371" s="2">
        <v>33850.271913659402</v>
      </c>
      <c r="AF2371" s="2">
        <v>29680.847672856398</v>
      </c>
      <c r="AG2371" s="2">
        <v>27831.084174632299</v>
      </c>
      <c r="AH2371" s="2">
        <v>31407.615668949999</v>
      </c>
      <c r="AI2371" s="2">
        <v>20891.359521324401</v>
      </c>
      <c r="AJ2371" s="2">
        <v>28345.154526406699</v>
      </c>
      <c r="AK2371" s="2">
        <v>15445.959438145001</v>
      </c>
      <c r="AL2371" s="2">
        <v>22740.686568247998</v>
      </c>
      <c r="AM2371" s="2">
        <v>23301.640430577001</v>
      </c>
      <c r="AN2371" s="2">
        <v>21230.389286564001</v>
      </c>
      <c r="AO2371" s="2">
        <v>16335.1426646171</v>
      </c>
      <c r="AP2371" s="2">
        <v>16678.756921071399</v>
      </c>
    </row>
    <row r="2372" spans="1:42" ht="14.5" x14ac:dyDescent="0.35">
      <c r="A2372" s="2" t="s">
        <v>15881</v>
      </c>
      <c r="B2372" s="2">
        <v>491.22689366728798</v>
      </c>
      <c r="C2372" s="2">
        <v>8.3238000000000003</v>
      </c>
      <c r="D2372" s="2" t="s">
        <v>34</v>
      </c>
      <c r="E2372" s="2" t="s">
        <v>15882</v>
      </c>
      <c r="F2372" s="2">
        <v>289969</v>
      </c>
      <c r="G2372" s="3" t="str">
        <f>HYPERLINK("http://funmeta.oebiotech.com/network/289969", "http://funmeta.oebiotech.com/network/289969")</f>
        <v>http://funmeta.oebiotech.com/network/289969</v>
      </c>
      <c r="H2372" s="2"/>
      <c r="I2372" s="2">
        <v>985542</v>
      </c>
      <c r="J2372" s="2"/>
      <c r="K2372" s="2"/>
      <c r="L2372" s="2"/>
      <c r="M2372" s="2"/>
      <c r="N2372" s="2"/>
      <c r="O2372" s="2">
        <v>38354665</v>
      </c>
      <c r="P2372" s="2"/>
      <c r="Q2372" s="2" t="s">
        <v>15883</v>
      </c>
      <c r="R2372" s="2" t="s">
        <v>15884</v>
      </c>
      <c r="S2372" s="2" t="s">
        <v>89</v>
      </c>
      <c r="T2372" s="2" t="s">
        <v>90</v>
      </c>
      <c r="U2372" s="2" t="s">
        <v>99</v>
      </c>
      <c r="V2372" s="2" t="s">
        <v>59</v>
      </c>
      <c r="W2372" s="2">
        <v>38.200000000000003</v>
      </c>
      <c r="X2372" s="2">
        <v>0</v>
      </c>
      <c r="Y2372" s="2" t="s">
        <v>340</v>
      </c>
      <c r="Z2372" s="2" t="s">
        <v>15885</v>
      </c>
      <c r="AA2372" s="2">
        <v>0.55431450089323997</v>
      </c>
      <c r="AB2372" s="2">
        <v>0.33757499799309798</v>
      </c>
      <c r="AC2372" s="2">
        <v>7776.5010354688102</v>
      </c>
      <c r="AD2372" s="2">
        <v>221.59634621570399</v>
      </c>
      <c r="AE2372" s="2">
        <v>7008.8925892266197</v>
      </c>
      <c r="AF2372" s="2">
        <v>6775.2438850836297</v>
      </c>
      <c r="AG2372" s="2">
        <v>8004.1805654999698</v>
      </c>
      <c r="AH2372" s="2">
        <v>8064.1627610206797</v>
      </c>
      <c r="AI2372" s="2">
        <v>7975.5881351210201</v>
      </c>
      <c r="AJ2372" s="2">
        <v>8830.9382768609594</v>
      </c>
      <c r="AK2372" s="2">
        <v>65.5243836035187</v>
      </c>
      <c r="AL2372" s="2">
        <v>287.05047403341501</v>
      </c>
      <c r="AM2372" s="2">
        <v>109.44834585501501</v>
      </c>
      <c r="AN2372" s="2">
        <v>62.726616566273499</v>
      </c>
      <c r="AO2372" s="2">
        <v>748.40405964017498</v>
      </c>
      <c r="AP2372" s="2">
        <v>56.424197595828502</v>
      </c>
    </row>
    <row r="2373" spans="1:42" ht="14.5" x14ac:dyDescent="0.35">
      <c r="A2373" s="2" t="s">
        <v>15886</v>
      </c>
      <c r="B2373" s="2">
        <v>679.25658944032796</v>
      </c>
      <c r="C2373" s="2">
        <v>5.3391000000000002</v>
      </c>
      <c r="D2373" s="2" t="s">
        <v>70</v>
      </c>
      <c r="E2373" s="2" t="s">
        <v>15887</v>
      </c>
      <c r="F2373" s="2">
        <v>34456</v>
      </c>
      <c r="G2373" s="3" t="str">
        <f>HYPERLINK("http://funmeta.oebiotech.com/network/34456", "http://funmeta.oebiotech.com/network/34456")</f>
        <v>http://funmeta.oebiotech.com/network/34456</v>
      </c>
      <c r="H2373" s="2" t="s">
        <v>15888</v>
      </c>
      <c r="I2373" s="2">
        <v>52763</v>
      </c>
      <c r="J2373" s="2" t="s">
        <v>15889</v>
      </c>
      <c r="K2373" s="2"/>
      <c r="L2373" s="2" t="s">
        <v>15890</v>
      </c>
      <c r="M2373" s="2"/>
      <c r="N2373" s="2"/>
      <c r="O2373" s="2">
        <v>509245</v>
      </c>
      <c r="P2373" s="2"/>
      <c r="Q2373" s="2" t="s">
        <v>15891</v>
      </c>
      <c r="R2373" s="2" t="s">
        <v>15892</v>
      </c>
      <c r="S2373" s="2" t="s">
        <v>115</v>
      </c>
      <c r="T2373" s="2" t="s">
        <v>139</v>
      </c>
      <c r="U2373" s="2" t="s">
        <v>1437</v>
      </c>
      <c r="V2373" s="2" t="s">
        <v>59</v>
      </c>
      <c r="W2373" s="2">
        <v>38.5</v>
      </c>
      <c r="X2373" s="2">
        <v>0</v>
      </c>
      <c r="Y2373" s="2" t="s">
        <v>560</v>
      </c>
      <c r="Z2373" s="2" t="s">
        <v>4623</v>
      </c>
      <c r="AA2373" s="2">
        <v>2.5260760641000801</v>
      </c>
      <c r="AB2373" s="2">
        <v>0.33743842364279703</v>
      </c>
      <c r="AC2373" s="2">
        <v>87685.503684505806</v>
      </c>
      <c r="AD2373" s="2">
        <v>77871.595731689304</v>
      </c>
      <c r="AE2373" s="2">
        <v>85378.765824050701</v>
      </c>
      <c r="AF2373" s="2">
        <v>90199.292455386894</v>
      </c>
      <c r="AG2373" s="2">
        <v>94190.508158609606</v>
      </c>
      <c r="AH2373" s="2">
        <v>86622.301096102397</v>
      </c>
      <c r="AI2373" s="2">
        <v>90136.776964927994</v>
      </c>
      <c r="AJ2373" s="2">
        <v>79585.377607957096</v>
      </c>
      <c r="AK2373" s="2">
        <v>77288.488171554098</v>
      </c>
      <c r="AL2373" s="2">
        <v>80075.984459982894</v>
      </c>
      <c r="AM2373" s="2">
        <v>80670.485846028794</v>
      </c>
      <c r="AN2373" s="2">
        <v>81473.458681664706</v>
      </c>
      <c r="AO2373" s="2">
        <v>77208.111399799396</v>
      </c>
      <c r="AP2373" s="2">
        <v>70513.045831106094</v>
      </c>
    </row>
    <row r="2374" spans="1:42" ht="14.5" x14ac:dyDescent="0.35">
      <c r="A2374" s="2" t="s">
        <v>15893</v>
      </c>
      <c r="B2374" s="2">
        <v>470.12996979092998</v>
      </c>
      <c r="C2374" s="2">
        <v>3.6928666666666699</v>
      </c>
      <c r="D2374" s="2" t="s">
        <v>70</v>
      </c>
      <c r="E2374" s="2" t="s">
        <v>15894</v>
      </c>
      <c r="F2374" s="2">
        <v>82626</v>
      </c>
      <c r="G2374" s="3" t="str">
        <f>HYPERLINK("http://funmeta.oebiotech.com/network/82626", "http://funmeta.oebiotech.com/network/82626")</f>
        <v>http://funmeta.oebiotech.com/network/82626</v>
      </c>
      <c r="H2374" s="2" t="s">
        <v>15895</v>
      </c>
      <c r="I2374" s="2"/>
      <c r="J2374" s="2"/>
      <c r="K2374" s="2"/>
      <c r="L2374" s="2"/>
      <c r="M2374" s="2"/>
      <c r="N2374" s="2"/>
      <c r="O2374" s="2">
        <v>29981512</v>
      </c>
      <c r="P2374" s="2"/>
      <c r="Q2374" s="2" t="s">
        <v>15896</v>
      </c>
      <c r="R2374" s="2" t="s">
        <v>15897</v>
      </c>
      <c r="S2374" s="2" t="s">
        <v>79</v>
      </c>
      <c r="T2374" s="2" t="s">
        <v>80</v>
      </c>
      <c r="U2374" s="2" t="s">
        <v>81</v>
      </c>
      <c r="V2374" s="2" t="s">
        <v>59</v>
      </c>
      <c r="W2374" s="2">
        <v>37.9</v>
      </c>
      <c r="X2374" s="2">
        <v>3.48</v>
      </c>
      <c r="Y2374" s="2" t="s">
        <v>751</v>
      </c>
      <c r="Z2374" s="2" t="s">
        <v>15898</v>
      </c>
      <c r="AA2374" s="2">
        <v>4.2381719791845098</v>
      </c>
      <c r="AB2374" s="2">
        <v>0.33727675666546902</v>
      </c>
      <c r="AC2374" s="2">
        <v>19015.0704452682</v>
      </c>
      <c r="AD2374" s="2">
        <v>11438.692421022701</v>
      </c>
      <c r="AE2374" s="2">
        <v>19540.986229327598</v>
      </c>
      <c r="AF2374" s="2">
        <v>18908.3270485049</v>
      </c>
      <c r="AG2374" s="2">
        <v>18270.206860036102</v>
      </c>
      <c r="AH2374" s="2">
        <v>19122.340136806899</v>
      </c>
      <c r="AI2374" s="2">
        <v>18394.069602887899</v>
      </c>
      <c r="AJ2374" s="2">
        <v>19854.4927940456</v>
      </c>
      <c r="AK2374" s="2">
        <v>11161.183483832099</v>
      </c>
      <c r="AL2374" s="2">
        <v>10302.864968706701</v>
      </c>
      <c r="AM2374" s="2">
        <v>12219.6375719678</v>
      </c>
      <c r="AN2374" s="2">
        <v>11860.665835998099</v>
      </c>
      <c r="AO2374" s="2">
        <v>10842.8152077288</v>
      </c>
      <c r="AP2374" s="2">
        <v>12244.9874579028</v>
      </c>
    </row>
    <row r="2375" spans="1:42" ht="14.5" x14ac:dyDescent="0.35">
      <c r="A2375" s="2" t="s">
        <v>15899</v>
      </c>
      <c r="B2375" s="2">
        <v>721.35428082118005</v>
      </c>
      <c r="C2375" s="2">
        <v>6.0676500000000004</v>
      </c>
      <c r="D2375" s="2" t="s">
        <v>70</v>
      </c>
      <c r="E2375" s="2" t="s">
        <v>15900</v>
      </c>
      <c r="F2375" s="2">
        <v>210837</v>
      </c>
      <c r="G2375" s="3" t="str">
        <f>HYPERLINK("http://funmeta.oebiotech.com/network/210837", "http://funmeta.oebiotech.com/network/210837")</f>
        <v>http://funmeta.oebiotech.com/network/210837</v>
      </c>
      <c r="H2375" s="2" t="s">
        <v>15901</v>
      </c>
      <c r="I2375" s="2"/>
      <c r="J2375" s="2"/>
      <c r="K2375" s="2"/>
      <c r="L2375" s="2"/>
      <c r="M2375" s="2"/>
      <c r="N2375" s="2"/>
      <c r="O2375" s="2">
        <v>18702008</v>
      </c>
      <c r="P2375" s="2"/>
      <c r="Q2375" s="2" t="s">
        <v>15902</v>
      </c>
      <c r="R2375" s="2" t="s">
        <v>15903</v>
      </c>
      <c r="S2375" s="2" t="s">
        <v>148</v>
      </c>
      <c r="T2375" s="2" t="s">
        <v>149</v>
      </c>
      <c r="U2375" s="2" t="s">
        <v>4630</v>
      </c>
      <c r="V2375" s="2" t="s">
        <v>59</v>
      </c>
      <c r="W2375" s="2">
        <v>37.6</v>
      </c>
      <c r="X2375" s="2">
        <v>0</v>
      </c>
      <c r="Y2375" s="2" t="s">
        <v>560</v>
      </c>
      <c r="Z2375" s="2" t="s">
        <v>15904</v>
      </c>
      <c r="AA2375" s="2">
        <v>4.8497706927157802</v>
      </c>
      <c r="AB2375" s="2">
        <v>0.33722632610450698</v>
      </c>
      <c r="AC2375" s="2">
        <v>13264.8764773036</v>
      </c>
      <c r="AD2375" s="2">
        <v>21562.953662175201</v>
      </c>
      <c r="AE2375" s="2">
        <v>13823.234033614301</v>
      </c>
      <c r="AF2375" s="2">
        <v>13810.9786595969</v>
      </c>
      <c r="AG2375" s="2">
        <v>13609.787235021</v>
      </c>
      <c r="AH2375" s="2">
        <v>10687.6061509149</v>
      </c>
      <c r="AI2375" s="2">
        <v>13664.978190581</v>
      </c>
      <c r="AJ2375" s="2">
        <v>13992.6745940938</v>
      </c>
      <c r="AK2375" s="2">
        <v>19254.685903223301</v>
      </c>
      <c r="AL2375" s="2">
        <v>17964.6263432329</v>
      </c>
      <c r="AM2375" s="2">
        <v>25492.0074900129</v>
      </c>
      <c r="AN2375" s="2">
        <v>23108.298785871699</v>
      </c>
      <c r="AO2375" s="2">
        <v>19967.655335941101</v>
      </c>
      <c r="AP2375" s="2">
        <v>23590.448114768998</v>
      </c>
    </row>
    <row r="2376" spans="1:42" ht="14.5" x14ac:dyDescent="0.35">
      <c r="A2376" s="2" t="s">
        <v>15905</v>
      </c>
      <c r="B2376" s="2">
        <v>558.34296347333498</v>
      </c>
      <c r="C2376" s="2">
        <v>7.5527833333333296</v>
      </c>
      <c r="D2376" s="2" t="s">
        <v>34</v>
      </c>
      <c r="E2376" s="2" t="s">
        <v>15906</v>
      </c>
      <c r="F2376" s="2">
        <v>53537</v>
      </c>
      <c r="G2376" s="3" t="str">
        <f>HYPERLINK("http://funmeta.oebiotech.com/network/53537", "http://funmeta.oebiotech.com/network/53537")</f>
        <v>http://funmeta.oebiotech.com/network/53537</v>
      </c>
      <c r="H2376" s="2" t="s">
        <v>15907</v>
      </c>
      <c r="I2376" s="2">
        <v>85511</v>
      </c>
      <c r="J2376" s="2"/>
      <c r="K2376" s="2"/>
      <c r="L2376" s="2"/>
      <c r="M2376" s="2"/>
      <c r="N2376" s="2"/>
      <c r="O2376" s="2">
        <v>444033</v>
      </c>
      <c r="P2376" s="2" t="s">
        <v>15908</v>
      </c>
      <c r="Q2376" s="2" t="s">
        <v>15909</v>
      </c>
      <c r="R2376" s="2" t="s">
        <v>15910</v>
      </c>
      <c r="S2376" s="2" t="s">
        <v>50</v>
      </c>
      <c r="T2376" s="2" t="s">
        <v>124</v>
      </c>
      <c r="U2376" s="2" t="s">
        <v>929</v>
      </c>
      <c r="V2376" s="2" t="s">
        <v>59</v>
      </c>
      <c r="W2376" s="2">
        <v>37.9</v>
      </c>
      <c r="X2376" s="2">
        <v>0.216</v>
      </c>
      <c r="Y2376" s="2" t="s">
        <v>43</v>
      </c>
      <c r="Z2376" s="2" t="s">
        <v>15911</v>
      </c>
      <c r="AA2376" s="2">
        <v>0.80360603472569003</v>
      </c>
      <c r="AB2376" s="2">
        <v>0.33716207120318498</v>
      </c>
      <c r="AC2376" s="2">
        <v>2058.5325041773199</v>
      </c>
      <c r="AD2376" s="2">
        <v>9766.9846931517404</v>
      </c>
      <c r="AE2376" s="2">
        <v>1272.6227380012101</v>
      </c>
      <c r="AF2376" s="2">
        <v>3199.1011445980898</v>
      </c>
      <c r="AG2376" s="2">
        <v>7.8158521655655804</v>
      </c>
      <c r="AH2376" s="2">
        <v>2921.5490736328502</v>
      </c>
      <c r="AI2376" s="2">
        <v>2910.1052666002602</v>
      </c>
      <c r="AJ2376" s="2">
        <v>2040.0009500659501</v>
      </c>
      <c r="AK2376" s="2">
        <v>10720.598947914301</v>
      </c>
      <c r="AL2376" s="2">
        <v>8445.3442193885694</v>
      </c>
      <c r="AM2376" s="2">
        <v>10585.899233607701</v>
      </c>
      <c r="AN2376" s="2">
        <v>10000.6594626155</v>
      </c>
      <c r="AO2376" s="2">
        <v>8435.4143327941692</v>
      </c>
      <c r="AP2376" s="2">
        <v>10413.9919625902</v>
      </c>
    </row>
    <row r="2377" spans="1:42" ht="14.5" x14ac:dyDescent="0.35">
      <c r="A2377" s="2" t="s">
        <v>15912</v>
      </c>
      <c r="B2377" s="2">
        <v>325.15419893809599</v>
      </c>
      <c r="C2377" s="2">
        <v>4.8173500000000002</v>
      </c>
      <c r="D2377" s="2" t="s">
        <v>34</v>
      </c>
      <c r="E2377" s="2" t="s">
        <v>15913</v>
      </c>
      <c r="F2377" s="2">
        <v>204544</v>
      </c>
      <c r="G2377" s="3" t="str">
        <f>HYPERLINK("http://funmeta.oebiotech.com/network/204544", "http://funmeta.oebiotech.com/network/204544")</f>
        <v>http://funmeta.oebiotech.com/network/204544</v>
      </c>
      <c r="H2377" s="2" t="s">
        <v>15914</v>
      </c>
      <c r="I2377" s="2"/>
      <c r="J2377" s="2"/>
      <c r="K2377" s="2"/>
      <c r="L2377" s="2"/>
      <c r="M2377" s="2"/>
      <c r="N2377" s="2"/>
      <c r="O2377" s="2">
        <v>78171884</v>
      </c>
      <c r="P2377" s="2"/>
      <c r="Q2377" s="2" t="s">
        <v>15915</v>
      </c>
      <c r="R2377" s="2" t="s">
        <v>15916</v>
      </c>
      <c r="S2377" s="2" t="s">
        <v>89</v>
      </c>
      <c r="T2377" s="2" t="s">
        <v>90</v>
      </c>
      <c r="U2377" s="2" t="s">
        <v>99</v>
      </c>
      <c r="V2377" s="2" t="s">
        <v>59</v>
      </c>
      <c r="W2377" s="2">
        <v>37.4</v>
      </c>
      <c r="X2377" s="2">
        <v>0</v>
      </c>
      <c r="Y2377" s="2" t="s">
        <v>43</v>
      </c>
      <c r="Z2377" s="2" t="s">
        <v>15917</v>
      </c>
      <c r="AA2377" s="2">
        <v>0.59137246905185703</v>
      </c>
      <c r="AB2377" s="2">
        <v>0.33683141259872401</v>
      </c>
      <c r="AC2377" s="2">
        <v>9063.08862712681</v>
      </c>
      <c r="AD2377" s="2">
        <v>1471.54793424594</v>
      </c>
      <c r="AE2377" s="2">
        <v>7803.0661175937303</v>
      </c>
      <c r="AF2377" s="2">
        <v>9990.3571536924192</v>
      </c>
      <c r="AG2377" s="2">
        <v>10043.811464679</v>
      </c>
      <c r="AH2377" s="2">
        <v>7639.4702032843697</v>
      </c>
      <c r="AI2377" s="2">
        <v>9598.0257388911305</v>
      </c>
      <c r="AJ2377" s="2">
        <v>9303.8010846201905</v>
      </c>
      <c r="AK2377" s="2">
        <v>1478.7657955305001</v>
      </c>
      <c r="AL2377" s="2">
        <v>2244.0600358361198</v>
      </c>
      <c r="AM2377" s="2">
        <v>1549.1206354364899</v>
      </c>
      <c r="AN2377" s="2">
        <v>830.42620661715398</v>
      </c>
      <c r="AO2377" s="2">
        <v>1715.3426092254199</v>
      </c>
      <c r="AP2377" s="2">
        <v>1011.57232282993</v>
      </c>
    </row>
    <row r="2378" spans="1:42" ht="14.5" x14ac:dyDescent="0.35">
      <c r="A2378" s="2" t="s">
        <v>15918</v>
      </c>
      <c r="B2378" s="2">
        <v>723.35748624707003</v>
      </c>
      <c r="C2378" s="2">
        <v>6.6313500000000003</v>
      </c>
      <c r="D2378" s="2" t="s">
        <v>70</v>
      </c>
      <c r="E2378" s="2" t="s">
        <v>15919</v>
      </c>
      <c r="F2378" s="2">
        <v>57789</v>
      </c>
      <c r="G2378" s="3" t="str">
        <f>HYPERLINK("http://funmeta.oebiotech.com/network/57789", "http://funmeta.oebiotech.com/network/57789")</f>
        <v>http://funmeta.oebiotech.com/network/57789</v>
      </c>
      <c r="H2378" s="2" t="s">
        <v>15920</v>
      </c>
      <c r="I2378" s="2">
        <v>89381</v>
      </c>
      <c r="J2378" s="2"/>
      <c r="K2378" s="2">
        <v>1030794</v>
      </c>
      <c r="L2378" s="2"/>
      <c r="M2378" s="2"/>
      <c r="N2378" s="2"/>
      <c r="O2378" s="2">
        <v>5318228</v>
      </c>
      <c r="P2378" s="2" t="s">
        <v>15921</v>
      </c>
      <c r="Q2378" s="2" t="s">
        <v>15922</v>
      </c>
      <c r="R2378" s="2" t="s">
        <v>15923</v>
      </c>
      <c r="S2378" s="2" t="s">
        <v>50</v>
      </c>
      <c r="T2378" s="2" t="s">
        <v>124</v>
      </c>
      <c r="U2378" s="2" t="s">
        <v>567</v>
      </c>
      <c r="V2378" s="2" t="s">
        <v>59</v>
      </c>
      <c r="W2378" s="2">
        <v>38.200000000000003</v>
      </c>
      <c r="X2378" s="2">
        <v>0</v>
      </c>
      <c r="Y2378" s="2" t="s">
        <v>408</v>
      </c>
      <c r="Z2378" s="2" t="s">
        <v>15924</v>
      </c>
      <c r="AA2378" s="2">
        <v>-3.30766020834553</v>
      </c>
      <c r="AB2378" s="2">
        <v>0.33671683457126</v>
      </c>
      <c r="AC2378" s="2">
        <v>28760.656917098</v>
      </c>
      <c r="AD2378" s="2">
        <v>37398.302055433604</v>
      </c>
      <c r="AE2378" s="2">
        <v>29682.441611299098</v>
      </c>
      <c r="AF2378" s="2">
        <v>28277.498686646199</v>
      </c>
      <c r="AG2378" s="2">
        <v>26236.836748243801</v>
      </c>
      <c r="AH2378" s="2">
        <v>30084.880485592301</v>
      </c>
      <c r="AI2378" s="2">
        <v>26966.3031557346</v>
      </c>
      <c r="AJ2378" s="2">
        <v>31315.9808150721</v>
      </c>
      <c r="AK2378" s="2">
        <v>36363.687043978003</v>
      </c>
      <c r="AL2378" s="2">
        <v>32044.456998844202</v>
      </c>
      <c r="AM2378" s="2">
        <v>40197.117710020502</v>
      </c>
      <c r="AN2378" s="2">
        <v>35853.533392966703</v>
      </c>
      <c r="AO2378" s="2">
        <v>38162.232552933499</v>
      </c>
      <c r="AP2378" s="2">
        <v>41768.784633858901</v>
      </c>
    </row>
    <row r="2379" spans="1:42" ht="14.5" x14ac:dyDescent="0.35">
      <c r="A2379" s="2" t="s">
        <v>15925</v>
      </c>
      <c r="B2379" s="2">
        <v>485.14550975507598</v>
      </c>
      <c r="C2379" s="2">
        <v>4.1151</v>
      </c>
      <c r="D2379" s="2" t="s">
        <v>70</v>
      </c>
      <c r="E2379" s="2" t="s">
        <v>15926</v>
      </c>
      <c r="F2379" s="2">
        <v>204424</v>
      </c>
      <c r="G2379" s="3" t="str">
        <f>HYPERLINK("http://funmeta.oebiotech.com/network/204424", "http://funmeta.oebiotech.com/network/204424")</f>
        <v>http://funmeta.oebiotech.com/network/204424</v>
      </c>
      <c r="H2379" s="2" t="s">
        <v>15927</v>
      </c>
      <c r="I2379" s="2"/>
      <c r="J2379" s="2"/>
      <c r="K2379" s="2"/>
      <c r="L2379" s="2"/>
      <c r="M2379" s="2"/>
      <c r="N2379" s="2"/>
      <c r="O2379" s="2">
        <v>77911721</v>
      </c>
      <c r="P2379" s="2"/>
      <c r="Q2379" s="2" t="s">
        <v>15928</v>
      </c>
      <c r="R2379" s="2" t="s">
        <v>15929</v>
      </c>
      <c r="S2379" s="2" t="s">
        <v>491</v>
      </c>
      <c r="T2379" s="2" t="s">
        <v>2251</v>
      </c>
      <c r="U2379" s="2" t="s">
        <v>2252</v>
      </c>
      <c r="V2379" s="2" t="s">
        <v>59</v>
      </c>
      <c r="W2379" s="2">
        <v>38.1</v>
      </c>
      <c r="X2379" s="2">
        <v>0</v>
      </c>
      <c r="Y2379" s="2" t="s">
        <v>408</v>
      </c>
      <c r="Z2379" s="2" t="s">
        <v>15930</v>
      </c>
      <c r="AA2379" s="2">
        <v>0.42976293197940502</v>
      </c>
      <c r="AB2379" s="2">
        <v>0.33659770584745202</v>
      </c>
      <c r="AC2379" s="2">
        <v>13283.5716876725</v>
      </c>
      <c r="AD2379" s="2">
        <v>5725.2590537924798</v>
      </c>
      <c r="AE2379" s="2">
        <v>13300.1595090887</v>
      </c>
      <c r="AF2379" s="2">
        <v>13080.7607019856</v>
      </c>
      <c r="AG2379" s="2">
        <v>12492.9122447346</v>
      </c>
      <c r="AH2379" s="2">
        <v>14887.2098106333</v>
      </c>
      <c r="AI2379" s="2">
        <v>12582.525027330201</v>
      </c>
      <c r="AJ2379" s="2">
        <v>13357.862832262401</v>
      </c>
      <c r="AK2379" s="2">
        <v>5970.8306062622396</v>
      </c>
      <c r="AL2379" s="2">
        <v>5477.6124544499598</v>
      </c>
      <c r="AM2379" s="2">
        <v>6563.9659953612399</v>
      </c>
      <c r="AN2379" s="2">
        <v>6166.80354006986</v>
      </c>
      <c r="AO2379" s="2">
        <v>4770.1560516029904</v>
      </c>
      <c r="AP2379" s="2">
        <v>5402.1856750085999</v>
      </c>
    </row>
    <row r="2380" spans="1:42" ht="14.5" x14ac:dyDescent="0.35">
      <c r="A2380" s="2" t="s">
        <v>15931</v>
      </c>
      <c r="B2380" s="2">
        <v>291.22927613811999</v>
      </c>
      <c r="C2380" s="2">
        <v>11.004099999999999</v>
      </c>
      <c r="D2380" s="2" t="s">
        <v>34</v>
      </c>
      <c r="E2380" s="2" t="s">
        <v>15932</v>
      </c>
      <c r="F2380" s="2">
        <v>2529</v>
      </c>
      <c r="G2380" s="3" t="str">
        <f>HYPERLINK("http://funmeta.oebiotech.com/network/2529", "http://funmeta.oebiotech.com/network/2529")</f>
        <v>http://funmeta.oebiotech.com/network/2529</v>
      </c>
      <c r="H2380" s="2" t="s">
        <v>15933</v>
      </c>
      <c r="I2380" s="2">
        <v>45889</v>
      </c>
      <c r="J2380" s="2" t="s">
        <v>15934</v>
      </c>
      <c r="K2380" s="2"/>
      <c r="L2380" s="2" t="s">
        <v>15935</v>
      </c>
      <c r="M2380" s="2"/>
      <c r="N2380" s="2"/>
      <c r="O2380" s="2">
        <v>192796</v>
      </c>
      <c r="P2380" s="2"/>
      <c r="Q2380" s="2" t="s">
        <v>15936</v>
      </c>
      <c r="R2380" s="2" t="s">
        <v>15937</v>
      </c>
      <c r="S2380" s="2" t="s">
        <v>50</v>
      </c>
      <c r="T2380" s="2" t="s">
        <v>229</v>
      </c>
      <c r="U2380" s="2" t="s">
        <v>433</v>
      </c>
      <c r="V2380" s="2" t="s">
        <v>59</v>
      </c>
      <c r="W2380" s="2">
        <v>39.4</v>
      </c>
      <c r="X2380" s="2">
        <v>0</v>
      </c>
      <c r="Y2380" s="2" t="s">
        <v>67</v>
      </c>
      <c r="Z2380" s="2" t="s">
        <v>2981</v>
      </c>
      <c r="AA2380" s="2">
        <v>-0.65168166629950297</v>
      </c>
      <c r="AB2380" s="2">
        <v>0.33659556137076901</v>
      </c>
      <c r="AC2380" s="2">
        <v>11205.9816969105</v>
      </c>
      <c r="AD2380" s="2">
        <v>19350.212897374498</v>
      </c>
      <c r="AE2380" s="2">
        <v>10288.3661794415</v>
      </c>
      <c r="AF2380" s="2">
        <v>12140.0509546918</v>
      </c>
      <c r="AG2380" s="2">
        <v>11282.9299786715</v>
      </c>
      <c r="AH2380" s="2">
        <v>10823.740594593901</v>
      </c>
      <c r="AI2380" s="2">
        <v>10567.8322236597</v>
      </c>
      <c r="AJ2380" s="2">
        <v>12132.9702504048</v>
      </c>
      <c r="AK2380" s="2">
        <v>20542.841671571201</v>
      </c>
      <c r="AL2380" s="2">
        <v>16696.309452793001</v>
      </c>
      <c r="AM2380" s="2">
        <v>16018.9860012068</v>
      </c>
      <c r="AN2380" s="2">
        <v>22356.842385829099</v>
      </c>
      <c r="AO2380" s="2">
        <v>22126.916162616999</v>
      </c>
      <c r="AP2380" s="2">
        <v>18359.3817102301</v>
      </c>
    </row>
    <row r="2381" spans="1:42" ht="14.5" x14ac:dyDescent="0.35">
      <c r="A2381" s="2" t="s">
        <v>15938</v>
      </c>
      <c r="B2381" s="2">
        <v>970.61056347216299</v>
      </c>
      <c r="C2381" s="2">
        <v>12.1619166666667</v>
      </c>
      <c r="D2381" s="2" t="s">
        <v>34</v>
      </c>
      <c r="E2381" s="2" t="s">
        <v>15939</v>
      </c>
      <c r="F2381" s="2">
        <v>240891</v>
      </c>
      <c r="G2381" s="3" t="str">
        <f>HYPERLINK("http://funmeta.oebiotech.com/network/240891", "http://funmeta.oebiotech.com/network/240891")</f>
        <v>http://funmeta.oebiotech.com/network/240891</v>
      </c>
      <c r="H2381" s="2" t="s">
        <v>15940</v>
      </c>
      <c r="I2381" s="2"/>
      <c r="J2381" s="2"/>
      <c r="K2381" s="2"/>
      <c r="L2381" s="2"/>
      <c r="M2381" s="2"/>
      <c r="N2381" s="2"/>
      <c r="O2381" s="2"/>
      <c r="P2381" s="2"/>
      <c r="Q2381" s="2" t="s">
        <v>15941</v>
      </c>
      <c r="R2381" s="2" t="s">
        <v>15942</v>
      </c>
      <c r="S2381" s="2" t="s">
        <v>41</v>
      </c>
      <c r="T2381" s="2" t="s">
        <v>41</v>
      </c>
      <c r="U2381" s="2" t="s">
        <v>41</v>
      </c>
      <c r="V2381" s="2" t="s">
        <v>59</v>
      </c>
      <c r="W2381" s="2">
        <v>37.299999999999997</v>
      </c>
      <c r="X2381" s="2">
        <v>0</v>
      </c>
      <c r="Y2381" s="2" t="s">
        <v>340</v>
      </c>
      <c r="Z2381" s="2" t="s">
        <v>15943</v>
      </c>
      <c r="AA2381" s="2">
        <v>-4.2491130150787999</v>
      </c>
      <c r="AB2381" s="2">
        <v>0.336526100089927</v>
      </c>
      <c r="AC2381" s="2">
        <v>14093.876100354</v>
      </c>
      <c r="AD2381" s="2">
        <v>5082.9496730259998</v>
      </c>
      <c r="AE2381" s="2">
        <v>13777.5136468982</v>
      </c>
      <c r="AF2381" s="2">
        <v>18473.470620145799</v>
      </c>
      <c r="AG2381" s="2">
        <v>10539.147328424</v>
      </c>
      <c r="AH2381" s="2">
        <v>9575.0321679492208</v>
      </c>
      <c r="AI2381" s="2">
        <v>12727.078695418701</v>
      </c>
      <c r="AJ2381" s="2">
        <v>19471.014143287801</v>
      </c>
      <c r="AK2381" s="2">
        <v>4582.7528295216898</v>
      </c>
      <c r="AL2381" s="2">
        <v>3515.0036771415598</v>
      </c>
      <c r="AM2381" s="2">
        <v>7436.6709253287199</v>
      </c>
      <c r="AN2381" s="2">
        <v>2201.8175204786498</v>
      </c>
      <c r="AO2381" s="2">
        <v>8897.4101382731205</v>
      </c>
      <c r="AP2381" s="2">
        <v>3864.0429474122502</v>
      </c>
    </row>
    <row r="2382" spans="1:42" ht="14.5" x14ac:dyDescent="0.35">
      <c r="A2382" s="2" t="s">
        <v>15944</v>
      </c>
      <c r="B2382" s="2">
        <v>801.26098964410301</v>
      </c>
      <c r="C2382" s="2">
        <v>4.84418333333333</v>
      </c>
      <c r="D2382" s="2" t="s">
        <v>70</v>
      </c>
      <c r="E2382" s="2" t="s">
        <v>15945</v>
      </c>
      <c r="F2382" s="2">
        <v>293957</v>
      </c>
      <c r="G2382" s="3" t="str">
        <f>HYPERLINK("http://funmeta.oebiotech.com/network/293957", "http://funmeta.oebiotech.com/network/293957")</f>
        <v>http://funmeta.oebiotech.com/network/293957</v>
      </c>
      <c r="H2382" s="2"/>
      <c r="I2382" s="2">
        <v>317928</v>
      </c>
      <c r="J2382" s="2"/>
      <c r="K2382" s="2"/>
      <c r="L2382" s="2"/>
      <c r="M2382" s="2"/>
      <c r="N2382" s="2"/>
      <c r="O2382" s="2">
        <v>53316382</v>
      </c>
      <c r="P2382" s="2"/>
      <c r="Q2382" s="2" t="s">
        <v>15946</v>
      </c>
      <c r="R2382" s="2" t="s">
        <v>15947</v>
      </c>
      <c r="S2382" s="2" t="s">
        <v>491</v>
      </c>
      <c r="T2382" s="2" t="s">
        <v>2184</v>
      </c>
      <c r="U2382" s="2" t="s">
        <v>6137</v>
      </c>
      <c r="V2382" s="2" t="s">
        <v>59</v>
      </c>
      <c r="W2382" s="2">
        <v>37.799999999999997</v>
      </c>
      <c r="X2382" s="2">
        <v>0</v>
      </c>
      <c r="Y2382" s="2" t="s">
        <v>560</v>
      </c>
      <c r="Z2382" s="2" t="s">
        <v>15948</v>
      </c>
      <c r="AA2382" s="2">
        <v>0.40988526141670201</v>
      </c>
      <c r="AB2382" s="2">
        <v>0.336347526262255</v>
      </c>
      <c r="AC2382" s="2">
        <v>23853.2963260953</v>
      </c>
      <c r="AD2382" s="2">
        <v>16016.053847580701</v>
      </c>
      <c r="AE2382" s="2">
        <v>23351.798733777399</v>
      </c>
      <c r="AF2382" s="2">
        <v>26356.346541860701</v>
      </c>
      <c r="AG2382" s="2">
        <v>23802.419554835898</v>
      </c>
      <c r="AH2382" s="2">
        <v>22197.012396463801</v>
      </c>
      <c r="AI2382" s="2">
        <v>23246.274774609701</v>
      </c>
      <c r="AJ2382" s="2">
        <v>24165.9259550243</v>
      </c>
      <c r="AK2382" s="2">
        <v>15994.388385358799</v>
      </c>
      <c r="AL2382" s="2">
        <v>15747.588646874299</v>
      </c>
      <c r="AM2382" s="2">
        <v>16015.6591751583</v>
      </c>
      <c r="AN2382" s="2">
        <v>18458.493762849299</v>
      </c>
      <c r="AO2382" s="2">
        <v>16183.671652728101</v>
      </c>
      <c r="AP2382" s="2">
        <v>13696.5214625155</v>
      </c>
    </row>
    <row r="2383" spans="1:42" ht="14.5" x14ac:dyDescent="0.35">
      <c r="A2383" s="2" t="s">
        <v>15949</v>
      </c>
      <c r="B2383" s="2">
        <v>255.13774089627799</v>
      </c>
      <c r="C2383" s="2">
        <v>4.4450666666666701</v>
      </c>
      <c r="D2383" s="2" t="s">
        <v>34</v>
      </c>
      <c r="E2383" s="2" t="s">
        <v>15950</v>
      </c>
      <c r="F2383" s="2">
        <v>513958</v>
      </c>
      <c r="G2383" s="3" t="str">
        <f>HYPERLINK("http://funmeta.oebiotech.com/network/513958", "http://funmeta.oebiotech.com/network/513958")</f>
        <v>http://funmeta.oebiotech.com/network/513958</v>
      </c>
      <c r="H2383" s="2"/>
      <c r="I2383" s="2">
        <v>96343</v>
      </c>
      <c r="J2383" s="2"/>
      <c r="K2383" s="2"/>
      <c r="L2383" s="2"/>
      <c r="M2383" s="2"/>
      <c r="N2383" s="2"/>
      <c r="O2383" s="2">
        <v>221756</v>
      </c>
      <c r="P2383" s="2"/>
      <c r="Q2383" s="2" t="s">
        <v>15951</v>
      </c>
      <c r="R2383" s="2" t="s">
        <v>15952</v>
      </c>
      <c r="S2383" s="2" t="s">
        <v>115</v>
      </c>
      <c r="T2383" s="2" t="s">
        <v>2833</v>
      </c>
      <c r="U2383" s="2" t="s">
        <v>41</v>
      </c>
      <c r="V2383" s="2" t="s">
        <v>59</v>
      </c>
      <c r="W2383" s="2">
        <v>38.9</v>
      </c>
      <c r="X2383" s="2">
        <v>0</v>
      </c>
      <c r="Y2383" s="2" t="s">
        <v>266</v>
      </c>
      <c r="Z2383" s="2" t="s">
        <v>8872</v>
      </c>
      <c r="AA2383" s="2">
        <v>-0.84740693923402399</v>
      </c>
      <c r="AB2383" s="2">
        <v>0.33629062745292299</v>
      </c>
      <c r="AC2383" s="2">
        <v>24030.600445489399</v>
      </c>
      <c r="AD2383" s="2">
        <v>31995.597413269799</v>
      </c>
      <c r="AE2383" s="2">
        <v>22801.988085310699</v>
      </c>
      <c r="AF2383" s="2">
        <v>23348.263349587902</v>
      </c>
      <c r="AG2383" s="2">
        <v>26124.1240040017</v>
      </c>
      <c r="AH2383" s="2">
        <v>22006.995029415801</v>
      </c>
      <c r="AI2383" s="2">
        <v>22366.2387499859</v>
      </c>
      <c r="AJ2383" s="2">
        <v>27535.993454634601</v>
      </c>
      <c r="AK2383" s="2">
        <v>31717.025489788499</v>
      </c>
      <c r="AL2383" s="2">
        <v>31813.4572114285</v>
      </c>
      <c r="AM2383" s="2">
        <v>32116.089191588198</v>
      </c>
      <c r="AN2383" s="2">
        <v>33124.542962608</v>
      </c>
      <c r="AO2383" s="2">
        <v>32248.257642285898</v>
      </c>
      <c r="AP2383" s="2">
        <v>30954.211981919601</v>
      </c>
    </row>
    <row r="2384" spans="1:42" ht="14.5" x14ac:dyDescent="0.35">
      <c r="A2384" s="2" t="s">
        <v>15953</v>
      </c>
      <c r="B2384" s="2">
        <v>497.27572154100898</v>
      </c>
      <c r="C2384" s="2">
        <v>6.3868666666666698</v>
      </c>
      <c r="D2384" s="2" t="s">
        <v>70</v>
      </c>
      <c r="E2384" s="2" t="s">
        <v>15954</v>
      </c>
      <c r="F2384" s="2">
        <v>250026</v>
      </c>
      <c r="G2384" s="3" t="str">
        <f>HYPERLINK("http://funmeta.oebiotech.com/network/250026", "http://funmeta.oebiotech.com/network/250026")</f>
        <v>http://funmeta.oebiotech.com/network/250026</v>
      </c>
      <c r="H2384" s="2" t="s">
        <v>15955</v>
      </c>
      <c r="I2384" s="2"/>
      <c r="J2384" s="2"/>
      <c r="K2384" s="2"/>
      <c r="L2384" s="2"/>
      <c r="M2384" s="2"/>
      <c r="N2384" s="2"/>
      <c r="O2384" s="2"/>
      <c r="P2384" s="2"/>
      <c r="Q2384" s="2" t="s">
        <v>15956</v>
      </c>
      <c r="R2384" s="2" t="s">
        <v>15957</v>
      </c>
      <c r="S2384" s="2" t="s">
        <v>41</v>
      </c>
      <c r="T2384" s="2" t="s">
        <v>41</v>
      </c>
      <c r="U2384" s="2" t="s">
        <v>41</v>
      </c>
      <c r="V2384" s="2" t="s">
        <v>59</v>
      </c>
      <c r="W2384" s="2">
        <v>38.700000000000003</v>
      </c>
      <c r="X2384" s="2">
        <v>0</v>
      </c>
      <c r="Y2384" s="2" t="s">
        <v>408</v>
      </c>
      <c r="Z2384" s="2" t="s">
        <v>15958</v>
      </c>
      <c r="AA2384" s="2">
        <v>0.254382129154411</v>
      </c>
      <c r="AB2384" s="2">
        <v>0.33619432178761799</v>
      </c>
      <c r="AC2384" s="2">
        <v>35995.674454925298</v>
      </c>
      <c r="AD2384" s="2">
        <v>27921.682606377501</v>
      </c>
      <c r="AE2384" s="2">
        <v>35253.128761975298</v>
      </c>
      <c r="AF2384" s="2">
        <v>36702.583630778703</v>
      </c>
      <c r="AG2384" s="2">
        <v>35434.652043964001</v>
      </c>
      <c r="AH2384" s="2">
        <v>36828.345587849799</v>
      </c>
      <c r="AI2384" s="2">
        <v>34965.201037967403</v>
      </c>
      <c r="AJ2384" s="2">
        <v>36790.135667016497</v>
      </c>
      <c r="AK2384" s="2">
        <v>25344.289422215901</v>
      </c>
      <c r="AL2384" s="2">
        <v>26595.874963174399</v>
      </c>
      <c r="AM2384" s="2">
        <v>30612.958843218501</v>
      </c>
      <c r="AN2384" s="2">
        <v>25112.1100950621</v>
      </c>
      <c r="AO2384" s="2">
        <v>29133.506895534902</v>
      </c>
      <c r="AP2384" s="2">
        <v>30731.3554190592</v>
      </c>
    </row>
    <row r="2385" spans="1:42" ht="14.5" x14ac:dyDescent="0.35">
      <c r="A2385" s="2" t="s">
        <v>15959</v>
      </c>
      <c r="B2385" s="2">
        <v>1036.35781976731</v>
      </c>
      <c r="C2385" s="2">
        <v>4.2085666666666697</v>
      </c>
      <c r="D2385" s="2" t="s">
        <v>34</v>
      </c>
      <c r="E2385" s="2" t="s">
        <v>15960</v>
      </c>
      <c r="F2385" s="2">
        <v>254394</v>
      </c>
      <c r="G2385" s="3" t="str">
        <f>HYPERLINK("http://funmeta.oebiotech.com/network/254394", "http://funmeta.oebiotech.com/network/254394")</f>
        <v>http://funmeta.oebiotech.com/network/254394</v>
      </c>
      <c r="H2385" s="2" t="s">
        <v>15961</v>
      </c>
      <c r="I2385" s="2"/>
      <c r="J2385" s="2"/>
      <c r="K2385" s="2"/>
      <c r="L2385" s="2"/>
      <c r="M2385" s="2"/>
      <c r="N2385" s="2"/>
      <c r="O2385" s="2"/>
      <c r="P2385" s="2"/>
      <c r="Q2385" s="2" t="s">
        <v>15962</v>
      </c>
      <c r="R2385" s="2" t="s">
        <v>15963</v>
      </c>
      <c r="S2385" s="2" t="s">
        <v>41</v>
      </c>
      <c r="T2385" s="2" t="s">
        <v>41</v>
      </c>
      <c r="U2385" s="2" t="s">
        <v>41</v>
      </c>
      <c r="V2385" s="2" t="s">
        <v>59</v>
      </c>
      <c r="W2385" s="2">
        <v>36.700000000000003</v>
      </c>
      <c r="X2385" s="2">
        <v>0</v>
      </c>
      <c r="Y2385" s="2" t="s">
        <v>394</v>
      </c>
      <c r="Z2385" s="2" t="s">
        <v>15964</v>
      </c>
      <c r="AA2385" s="2">
        <v>-4.7287346398104004</v>
      </c>
      <c r="AB2385" s="2">
        <v>0.33618240985140302</v>
      </c>
      <c r="AC2385" s="2">
        <v>14123.7948952853</v>
      </c>
      <c r="AD2385" s="2">
        <v>5318.3627707756896</v>
      </c>
      <c r="AE2385" s="2">
        <v>12233.217634564</v>
      </c>
      <c r="AF2385" s="2">
        <v>12721.893276119999</v>
      </c>
      <c r="AG2385" s="2">
        <v>15453.8338662101</v>
      </c>
      <c r="AH2385" s="2">
        <v>9095.3674149773396</v>
      </c>
      <c r="AI2385" s="2">
        <v>16436.283348927602</v>
      </c>
      <c r="AJ2385" s="2">
        <v>18802.173830912601</v>
      </c>
      <c r="AK2385" s="2">
        <v>2267.88186087131</v>
      </c>
      <c r="AL2385" s="2">
        <v>9215.7575823342395</v>
      </c>
      <c r="AM2385" s="2">
        <v>7471.35154113922</v>
      </c>
      <c r="AN2385" s="2">
        <v>3059.9879676073701</v>
      </c>
      <c r="AO2385" s="2">
        <v>5122.14509089684</v>
      </c>
      <c r="AP2385" s="2">
        <v>4773.0525818051401</v>
      </c>
    </row>
    <row r="2386" spans="1:42" ht="14.5" x14ac:dyDescent="0.35">
      <c r="A2386" s="2" t="s">
        <v>15965</v>
      </c>
      <c r="B2386" s="2">
        <v>336.18619379798798</v>
      </c>
      <c r="C2386" s="2">
        <v>4.7359166666666699</v>
      </c>
      <c r="D2386" s="2" t="s">
        <v>34</v>
      </c>
      <c r="E2386" s="2" t="s">
        <v>15966</v>
      </c>
      <c r="F2386" s="2">
        <v>207759</v>
      </c>
      <c r="G2386" s="3" t="str">
        <f>HYPERLINK("http://funmeta.oebiotech.com/network/207759", "http://funmeta.oebiotech.com/network/207759")</f>
        <v>http://funmeta.oebiotech.com/network/207759</v>
      </c>
      <c r="H2386" s="2" t="s">
        <v>15967</v>
      </c>
      <c r="I2386" s="2"/>
      <c r="J2386" s="2"/>
      <c r="K2386" s="2"/>
      <c r="L2386" s="2"/>
      <c r="M2386" s="2"/>
      <c r="N2386" s="2"/>
      <c r="O2386" s="2">
        <v>135879922</v>
      </c>
      <c r="P2386" s="2"/>
      <c r="Q2386" s="2" t="s">
        <v>15968</v>
      </c>
      <c r="R2386" s="2" t="s">
        <v>15969</v>
      </c>
      <c r="S2386" s="2" t="s">
        <v>41</v>
      </c>
      <c r="T2386" s="2" t="s">
        <v>41</v>
      </c>
      <c r="U2386" s="2" t="s">
        <v>41</v>
      </c>
      <c r="V2386" s="2" t="s">
        <v>59</v>
      </c>
      <c r="W2386" s="2">
        <v>36.299999999999997</v>
      </c>
      <c r="X2386" s="2">
        <v>0</v>
      </c>
      <c r="Y2386" s="2" t="s">
        <v>43</v>
      </c>
      <c r="Z2386" s="2" t="s">
        <v>15970</v>
      </c>
      <c r="AA2386" s="2">
        <v>-4.9226928927292901</v>
      </c>
      <c r="AB2386" s="2">
        <v>0.33608181656689201</v>
      </c>
      <c r="AC2386" s="2">
        <v>25976.554082937699</v>
      </c>
      <c r="AD2386" s="2">
        <v>34860.425945481897</v>
      </c>
      <c r="AE2386" s="2">
        <v>23760.3226003534</v>
      </c>
      <c r="AF2386" s="2">
        <v>24640.8123147314</v>
      </c>
      <c r="AG2386" s="2">
        <v>27727.3376183742</v>
      </c>
      <c r="AH2386" s="2">
        <v>29638.943157562098</v>
      </c>
      <c r="AI2386" s="2">
        <v>28218.562622859201</v>
      </c>
      <c r="AJ2386" s="2">
        <v>21873.3461837459</v>
      </c>
      <c r="AK2386" s="2">
        <v>31572.2238723917</v>
      </c>
      <c r="AL2386" s="2">
        <v>33909.653435961598</v>
      </c>
      <c r="AM2386" s="2">
        <v>41410.767343677202</v>
      </c>
      <c r="AN2386" s="2">
        <v>32390.059040096701</v>
      </c>
      <c r="AO2386" s="2">
        <v>34178.230573569897</v>
      </c>
      <c r="AP2386" s="2">
        <v>35701.621407194601</v>
      </c>
    </row>
    <row r="2387" spans="1:42" ht="14.5" x14ac:dyDescent="0.35">
      <c r="A2387" s="2" t="s">
        <v>15971</v>
      </c>
      <c r="B2387" s="2">
        <v>503.206454492624</v>
      </c>
      <c r="C2387" s="2">
        <v>9.8244000000000007</v>
      </c>
      <c r="D2387" s="2" t="s">
        <v>34</v>
      </c>
      <c r="E2387" s="2" t="s">
        <v>15972</v>
      </c>
      <c r="F2387" s="2">
        <v>31604</v>
      </c>
      <c r="G2387" s="3" t="str">
        <f>HYPERLINK("http://funmeta.oebiotech.com/network/31604", "http://funmeta.oebiotech.com/network/31604")</f>
        <v>http://funmeta.oebiotech.com/network/31604</v>
      </c>
      <c r="H2387" s="2"/>
      <c r="I2387" s="2">
        <v>49937</v>
      </c>
      <c r="J2387" s="2" t="s">
        <v>15973</v>
      </c>
      <c r="K2387" s="2"/>
      <c r="L2387" s="2"/>
      <c r="M2387" s="2"/>
      <c r="N2387" s="2"/>
      <c r="O2387" s="2">
        <v>44258661</v>
      </c>
      <c r="P2387" s="2"/>
      <c r="Q2387" s="2" t="s">
        <v>15974</v>
      </c>
      <c r="R2387" s="2" t="s">
        <v>15975</v>
      </c>
      <c r="S2387" s="2" t="s">
        <v>491</v>
      </c>
      <c r="T2387" s="2" t="s">
        <v>2251</v>
      </c>
      <c r="U2387" s="2" t="s">
        <v>2252</v>
      </c>
      <c r="V2387" s="2" t="s">
        <v>59</v>
      </c>
      <c r="W2387" s="2">
        <v>46.7</v>
      </c>
      <c r="X2387" s="2">
        <v>38.4</v>
      </c>
      <c r="Y2387" s="2" t="s">
        <v>394</v>
      </c>
      <c r="Z2387" s="2" t="s">
        <v>15976</v>
      </c>
      <c r="AA2387" s="2">
        <v>4.9306342528072401E-2</v>
      </c>
      <c r="AB2387" s="2">
        <v>0.33606303523730002</v>
      </c>
      <c r="AC2387" s="2">
        <v>9168.7376084380103</v>
      </c>
      <c r="AD2387" s="2">
        <v>1587.3746530492199</v>
      </c>
      <c r="AE2387" s="2">
        <v>8738.5712747735197</v>
      </c>
      <c r="AF2387" s="2">
        <v>9459.4049993280096</v>
      </c>
      <c r="AG2387" s="2">
        <v>9118.8348989692004</v>
      </c>
      <c r="AH2387" s="2">
        <v>10218.7982776265</v>
      </c>
      <c r="AI2387" s="2">
        <v>10153.6611769223</v>
      </c>
      <c r="AJ2387" s="2">
        <v>7323.1550230085404</v>
      </c>
      <c r="AK2387" s="2">
        <v>1259.7096022885701</v>
      </c>
      <c r="AL2387" s="2">
        <v>2392.9628021128901</v>
      </c>
      <c r="AM2387" s="2">
        <v>1787.20846911893</v>
      </c>
      <c r="AN2387" s="2">
        <v>691.46814114588801</v>
      </c>
      <c r="AO2387" s="2">
        <v>2096.1608765310898</v>
      </c>
      <c r="AP2387" s="2">
        <v>1296.73802709797</v>
      </c>
    </row>
    <row r="2388" spans="1:42" ht="14.5" x14ac:dyDescent="0.35">
      <c r="A2388" s="2" t="s">
        <v>15977</v>
      </c>
      <c r="B2388" s="2">
        <v>585.25673412460799</v>
      </c>
      <c r="C2388" s="2">
        <v>5.6539333333333301</v>
      </c>
      <c r="D2388" s="2" t="s">
        <v>70</v>
      </c>
      <c r="E2388" s="2" t="s">
        <v>15978</v>
      </c>
      <c r="F2388" s="2">
        <v>279602</v>
      </c>
      <c r="G2388" s="3" t="str">
        <f>HYPERLINK("http://funmeta.oebiotech.com/network/279602", "http://funmeta.oebiotech.com/network/279602")</f>
        <v>http://funmeta.oebiotech.com/network/279602</v>
      </c>
      <c r="H2388" s="2"/>
      <c r="I2388" s="2">
        <v>72285</v>
      </c>
      <c r="J2388" s="2"/>
      <c r="K2388" s="2"/>
      <c r="L2388" s="2" t="s">
        <v>15979</v>
      </c>
      <c r="M2388" s="2"/>
      <c r="N2388" s="2"/>
      <c r="O2388" s="2">
        <v>158076</v>
      </c>
      <c r="P2388" s="2" t="s">
        <v>15980</v>
      </c>
      <c r="Q2388" s="2" t="s">
        <v>15981</v>
      </c>
      <c r="R2388" s="2" t="s">
        <v>15982</v>
      </c>
      <c r="S2388" s="2" t="s">
        <v>148</v>
      </c>
      <c r="T2388" s="2" t="s">
        <v>149</v>
      </c>
      <c r="U2388" s="2" t="s">
        <v>13117</v>
      </c>
      <c r="V2388" s="2" t="s">
        <v>59</v>
      </c>
      <c r="W2388" s="2">
        <v>36.799999999999997</v>
      </c>
      <c r="X2388" s="2">
        <v>0</v>
      </c>
      <c r="Y2388" s="2" t="s">
        <v>560</v>
      </c>
      <c r="Z2388" s="2" t="s">
        <v>15983</v>
      </c>
      <c r="AA2388" s="2">
        <v>8.5808594152686695</v>
      </c>
      <c r="AB2388" s="2">
        <v>0.33600324548070898</v>
      </c>
      <c r="AC2388" s="2">
        <v>36939.952098777503</v>
      </c>
      <c r="AD2388" s="2">
        <v>28167.322164783302</v>
      </c>
      <c r="AE2388" s="2">
        <v>35978.988009451903</v>
      </c>
      <c r="AF2388" s="2">
        <v>34729.885706403002</v>
      </c>
      <c r="AG2388" s="2">
        <v>36237.678852496698</v>
      </c>
      <c r="AH2388" s="2">
        <v>35515.341216102002</v>
      </c>
      <c r="AI2388" s="2">
        <v>36740.144362088897</v>
      </c>
      <c r="AJ2388" s="2">
        <v>42437.674446122299</v>
      </c>
      <c r="AK2388" s="2">
        <v>23312.248501160298</v>
      </c>
      <c r="AL2388" s="2">
        <v>29642.111271113401</v>
      </c>
      <c r="AM2388" s="2">
        <v>28708.348577646899</v>
      </c>
      <c r="AN2388" s="2">
        <v>27397.8007899689</v>
      </c>
      <c r="AO2388" s="2">
        <v>33130.342446526098</v>
      </c>
      <c r="AP2388" s="2">
        <v>26813.081402284301</v>
      </c>
    </row>
    <row r="2389" spans="1:42" ht="14.5" x14ac:dyDescent="0.35">
      <c r="A2389" s="2" t="s">
        <v>15984</v>
      </c>
      <c r="B2389" s="2">
        <v>624.35250518210296</v>
      </c>
      <c r="C2389" s="2">
        <v>8.7089333333333308</v>
      </c>
      <c r="D2389" s="2" t="s">
        <v>34</v>
      </c>
      <c r="E2389" s="2" t="s">
        <v>15985</v>
      </c>
      <c r="F2389" s="2">
        <v>27894</v>
      </c>
      <c r="G2389" s="3" t="str">
        <f>HYPERLINK("http://funmeta.oebiotech.com/network/27894", "http://funmeta.oebiotech.com/network/27894")</f>
        <v>http://funmeta.oebiotech.com/network/27894</v>
      </c>
      <c r="H2389" s="2"/>
      <c r="I2389" s="2"/>
      <c r="J2389" s="2" t="s">
        <v>15986</v>
      </c>
      <c r="K2389" s="2"/>
      <c r="L2389" s="2"/>
      <c r="M2389" s="2"/>
      <c r="N2389" s="2"/>
      <c r="O2389" s="2">
        <v>134812351</v>
      </c>
      <c r="P2389" s="2"/>
      <c r="Q2389" s="2" t="s">
        <v>15987</v>
      </c>
      <c r="R2389" s="2" t="s">
        <v>15988</v>
      </c>
      <c r="S2389" s="2" t="s">
        <v>50</v>
      </c>
      <c r="T2389" s="2" t="s">
        <v>51</v>
      </c>
      <c r="U2389" s="2" t="s">
        <v>257</v>
      </c>
      <c r="V2389" s="2" t="s">
        <v>42</v>
      </c>
      <c r="W2389" s="2">
        <v>51.2</v>
      </c>
      <c r="X2389" s="2">
        <v>66.599999999999994</v>
      </c>
      <c r="Y2389" s="2" t="s">
        <v>394</v>
      </c>
      <c r="Z2389" s="2" t="s">
        <v>15989</v>
      </c>
      <c r="AA2389" s="2">
        <v>2.85648043330557</v>
      </c>
      <c r="AB2389" s="2">
        <v>0.33541557239061898</v>
      </c>
      <c r="AC2389" s="2">
        <v>916591.45903756702</v>
      </c>
      <c r="AD2389" s="2">
        <v>948082.982891305</v>
      </c>
      <c r="AE2389" s="2">
        <v>888498.54616647598</v>
      </c>
      <c r="AF2389" s="2">
        <v>951173.71713386104</v>
      </c>
      <c r="AG2389" s="2">
        <v>993792.65355610196</v>
      </c>
      <c r="AH2389" s="2">
        <v>805900.98947254301</v>
      </c>
      <c r="AI2389" s="2">
        <v>895597.83303667</v>
      </c>
      <c r="AJ2389" s="2">
        <v>964585.01485974796</v>
      </c>
      <c r="AK2389" s="2">
        <v>949071.90305728896</v>
      </c>
      <c r="AL2389" s="2">
        <v>1068804.0015042101</v>
      </c>
      <c r="AM2389" s="2">
        <v>941612.04528928001</v>
      </c>
      <c r="AN2389" s="2">
        <v>929761.41751984798</v>
      </c>
      <c r="AO2389" s="2">
        <v>947269.57282012701</v>
      </c>
      <c r="AP2389" s="2">
        <v>851978.95715707599</v>
      </c>
    </row>
    <row r="2390" spans="1:42" ht="14.5" x14ac:dyDescent="0.35">
      <c r="A2390" s="2" t="s">
        <v>15990</v>
      </c>
      <c r="B2390" s="2">
        <v>627.192955432232</v>
      </c>
      <c r="C2390" s="2">
        <v>2.5012833333333302</v>
      </c>
      <c r="D2390" s="2" t="s">
        <v>70</v>
      </c>
      <c r="E2390" s="2" t="s">
        <v>15991</v>
      </c>
      <c r="F2390" s="2">
        <v>59107</v>
      </c>
      <c r="G2390" s="3" t="str">
        <f>HYPERLINK("http://funmeta.oebiotech.com/network/59107", "http://funmeta.oebiotech.com/network/59107")</f>
        <v>http://funmeta.oebiotech.com/network/59107</v>
      </c>
      <c r="H2390" s="2" t="s">
        <v>15992</v>
      </c>
      <c r="I2390" s="2"/>
      <c r="J2390" s="2"/>
      <c r="K2390" s="2"/>
      <c r="L2390" s="2"/>
      <c r="M2390" s="2"/>
      <c r="N2390" s="2"/>
      <c r="O2390" s="2">
        <v>131751686</v>
      </c>
      <c r="P2390" s="2" t="s">
        <v>15993</v>
      </c>
      <c r="Q2390" s="2" t="s">
        <v>15994</v>
      </c>
      <c r="R2390" s="2" t="s">
        <v>15995</v>
      </c>
      <c r="S2390" s="2" t="s">
        <v>50</v>
      </c>
      <c r="T2390" s="2" t="s">
        <v>201</v>
      </c>
      <c r="U2390" s="2" t="s">
        <v>202</v>
      </c>
      <c r="V2390" s="2" t="s">
        <v>59</v>
      </c>
      <c r="W2390" s="2">
        <v>38.6</v>
      </c>
      <c r="X2390" s="2">
        <v>0</v>
      </c>
      <c r="Y2390" s="2" t="s">
        <v>408</v>
      </c>
      <c r="Z2390" s="2" t="s">
        <v>15996</v>
      </c>
      <c r="AA2390" s="2">
        <v>-0.17726365402202299</v>
      </c>
      <c r="AB2390" s="2">
        <v>0.33529662056234</v>
      </c>
      <c r="AC2390" s="2">
        <v>13015.637390579701</v>
      </c>
      <c r="AD2390" s="2">
        <v>5540.5599774026796</v>
      </c>
      <c r="AE2390" s="2">
        <v>12696.997725491001</v>
      </c>
      <c r="AF2390" s="2">
        <v>12683.3433231041</v>
      </c>
      <c r="AG2390" s="2">
        <v>13363.680451428099</v>
      </c>
      <c r="AH2390" s="2">
        <v>11794.89716857</v>
      </c>
      <c r="AI2390" s="2">
        <v>13979.8799339867</v>
      </c>
      <c r="AJ2390" s="2">
        <v>13575.0257408982</v>
      </c>
      <c r="AK2390" s="2">
        <v>5672.3610045721198</v>
      </c>
      <c r="AL2390" s="2">
        <v>5283.0550150630197</v>
      </c>
      <c r="AM2390" s="2">
        <v>5401.3693851258804</v>
      </c>
      <c r="AN2390" s="2">
        <v>5514.1448256035201</v>
      </c>
      <c r="AO2390" s="2">
        <v>5059.2242217931898</v>
      </c>
      <c r="AP2390" s="2">
        <v>6313.2054122583304</v>
      </c>
    </row>
    <row r="2391" spans="1:42" ht="14.5" x14ac:dyDescent="0.35">
      <c r="A2391" s="2" t="s">
        <v>15997</v>
      </c>
      <c r="B2391" s="2">
        <v>349.16521055868998</v>
      </c>
      <c r="C2391" s="2">
        <v>5.4873666666666701</v>
      </c>
      <c r="D2391" s="2" t="s">
        <v>70</v>
      </c>
      <c r="E2391" s="2" t="s">
        <v>15998</v>
      </c>
      <c r="F2391" s="2">
        <v>273743</v>
      </c>
      <c r="G2391" s="3" t="str">
        <f>HYPERLINK("http://funmeta.oebiotech.com/network/273743", "http://funmeta.oebiotech.com/network/273743")</f>
        <v>http://funmeta.oebiotech.com/network/273743</v>
      </c>
      <c r="H2391" s="2"/>
      <c r="I2391" s="2">
        <v>63039</v>
      </c>
      <c r="J2391" s="2"/>
      <c r="K2391" s="2"/>
      <c r="L2391" s="2"/>
      <c r="M2391" s="2"/>
      <c r="N2391" s="2"/>
      <c r="O2391" s="2">
        <v>10267038</v>
      </c>
      <c r="P2391" s="2" t="s">
        <v>15999</v>
      </c>
      <c r="Q2391" s="2" t="s">
        <v>16000</v>
      </c>
      <c r="R2391" s="2" t="s">
        <v>16001</v>
      </c>
      <c r="S2391" s="2" t="s">
        <v>491</v>
      </c>
      <c r="T2391" s="2" t="s">
        <v>5973</v>
      </c>
      <c r="U2391" s="2" t="s">
        <v>6296</v>
      </c>
      <c r="V2391" s="2" t="s">
        <v>59</v>
      </c>
      <c r="W2391" s="2">
        <v>38.5</v>
      </c>
      <c r="X2391" s="2">
        <v>0</v>
      </c>
      <c r="Y2391" s="2" t="s">
        <v>408</v>
      </c>
      <c r="Z2391" s="2" t="s">
        <v>16002</v>
      </c>
      <c r="AA2391" s="2">
        <v>-1.48457442119511</v>
      </c>
      <c r="AB2391" s="2">
        <v>0.33504399158723802</v>
      </c>
      <c r="AC2391" s="2">
        <v>8254.7936459187404</v>
      </c>
      <c r="AD2391" s="2">
        <v>810.81495498340496</v>
      </c>
      <c r="AE2391" s="2">
        <v>8026.2660323476302</v>
      </c>
      <c r="AF2391" s="2">
        <v>8057.90388632959</v>
      </c>
      <c r="AG2391" s="2">
        <v>8064.4400672813299</v>
      </c>
      <c r="AH2391" s="2">
        <v>9778.7759856056691</v>
      </c>
      <c r="AI2391" s="2">
        <v>8232.7109590026303</v>
      </c>
      <c r="AJ2391" s="2">
        <v>7368.6649449455799</v>
      </c>
      <c r="AK2391" s="2">
        <v>830.80155652550104</v>
      </c>
      <c r="AL2391" s="2">
        <v>887.36087324473306</v>
      </c>
      <c r="AM2391" s="2">
        <v>850.09360623291798</v>
      </c>
      <c r="AN2391" s="2">
        <v>346.856270038655</v>
      </c>
      <c r="AO2391" s="2">
        <v>1059.1243019154499</v>
      </c>
      <c r="AP2391" s="2">
        <v>890.65312194317005</v>
      </c>
    </row>
    <row r="2392" spans="1:42" ht="14.5" x14ac:dyDescent="0.35">
      <c r="A2392" s="2" t="s">
        <v>16003</v>
      </c>
      <c r="B2392" s="2">
        <v>461.15800183629801</v>
      </c>
      <c r="C2392" s="2">
        <v>4.8624666666666698</v>
      </c>
      <c r="D2392" s="2" t="s">
        <v>70</v>
      </c>
      <c r="E2392" s="2" t="s">
        <v>16004</v>
      </c>
      <c r="F2392" s="2">
        <v>60242</v>
      </c>
      <c r="G2392" s="3" t="str">
        <f>HYPERLINK("http://funmeta.oebiotech.com/network/60242", "http://funmeta.oebiotech.com/network/60242")</f>
        <v>http://funmeta.oebiotech.com/network/60242</v>
      </c>
      <c r="H2392" s="2" t="s">
        <v>16005</v>
      </c>
      <c r="I2392" s="2">
        <v>91619</v>
      </c>
      <c r="J2392" s="2"/>
      <c r="K2392" s="2"/>
      <c r="L2392" s="2"/>
      <c r="M2392" s="2"/>
      <c r="N2392" s="2"/>
      <c r="O2392" s="2">
        <v>131752004</v>
      </c>
      <c r="P2392" s="2" t="s">
        <v>16006</v>
      </c>
      <c r="Q2392" s="2" t="s">
        <v>16007</v>
      </c>
      <c r="R2392" s="2" t="s">
        <v>16008</v>
      </c>
      <c r="S2392" s="2" t="s">
        <v>50</v>
      </c>
      <c r="T2392" s="2" t="s">
        <v>201</v>
      </c>
      <c r="U2392" s="2" t="s">
        <v>1217</v>
      </c>
      <c r="V2392" s="2" t="s">
        <v>42</v>
      </c>
      <c r="W2392" s="2">
        <v>48.7</v>
      </c>
      <c r="X2392" s="2">
        <v>49.9</v>
      </c>
      <c r="Y2392" s="2" t="s">
        <v>408</v>
      </c>
      <c r="Z2392" s="2" t="s">
        <v>16009</v>
      </c>
      <c r="AA2392" s="2">
        <v>-0.91791735321189205</v>
      </c>
      <c r="AB2392" s="2">
        <v>0.33462152708544901</v>
      </c>
      <c r="AC2392" s="2">
        <v>99995.558250513903</v>
      </c>
      <c r="AD2392" s="2">
        <v>110012.036193181</v>
      </c>
      <c r="AE2392" s="2">
        <v>93896.978206135595</v>
      </c>
      <c r="AF2392" s="2">
        <v>106475.122885082</v>
      </c>
      <c r="AG2392" s="2">
        <v>99783.687701270595</v>
      </c>
      <c r="AH2392" s="2">
        <v>94027.121678617797</v>
      </c>
      <c r="AI2392" s="2">
        <v>96457.868103983303</v>
      </c>
      <c r="AJ2392" s="2">
        <v>109332.57092799401</v>
      </c>
      <c r="AK2392" s="2">
        <v>106704.97170447301</v>
      </c>
      <c r="AL2392" s="2">
        <v>108090.65786898301</v>
      </c>
      <c r="AM2392" s="2">
        <v>112267.224241544</v>
      </c>
      <c r="AN2392" s="2">
        <v>114104.479646526</v>
      </c>
      <c r="AO2392" s="2">
        <v>107929.846300871</v>
      </c>
      <c r="AP2392" s="2">
        <v>110975.037396692</v>
      </c>
    </row>
    <row r="2393" spans="1:42" ht="14.5" x14ac:dyDescent="0.35">
      <c r="A2393" s="2" t="s">
        <v>16010</v>
      </c>
      <c r="B2393" s="2">
        <v>269.21198982163099</v>
      </c>
      <c r="C2393" s="2">
        <v>10.9910333333333</v>
      </c>
      <c r="D2393" s="2" t="s">
        <v>70</v>
      </c>
      <c r="E2393" s="2" t="s">
        <v>16011</v>
      </c>
      <c r="F2393" s="2">
        <v>6355</v>
      </c>
      <c r="G2393" s="3" t="str">
        <f>HYPERLINK("http://funmeta.oebiotech.com/network/6355", "http://funmeta.oebiotech.com/network/6355")</f>
        <v>http://funmeta.oebiotech.com/network/6355</v>
      </c>
      <c r="H2393" s="2" t="s">
        <v>16012</v>
      </c>
      <c r="I2393" s="2">
        <v>87414</v>
      </c>
      <c r="J2393" s="2" t="s">
        <v>16013</v>
      </c>
      <c r="K2393" s="2"/>
      <c r="L2393" s="2"/>
      <c r="M2393" s="2"/>
      <c r="N2393" s="2"/>
      <c r="O2393" s="2">
        <v>6536885</v>
      </c>
      <c r="P2393" s="2"/>
      <c r="Q2393" s="2" t="s">
        <v>16014</v>
      </c>
      <c r="R2393" s="2" t="s">
        <v>16015</v>
      </c>
      <c r="S2393" s="2" t="s">
        <v>50</v>
      </c>
      <c r="T2393" s="2" t="s">
        <v>229</v>
      </c>
      <c r="U2393" s="2" t="s">
        <v>1283</v>
      </c>
      <c r="V2393" s="2" t="s">
        <v>59</v>
      </c>
      <c r="W2393" s="2">
        <v>39</v>
      </c>
      <c r="X2393" s="2">
        <v>0</v>
      </c>
      <c r="Y2393" s="2" t="s">
        <v>408</v>
      </c>
      <c r="Z2393" s="2" t="s">
        <v>16016</v>
      </c>
      <c r="AA2393" s="2">
        <v>-1.0194094612415601</v>
      </c>
      <c r="AB2393" s="2">
        <v>0.33460116003746998</v>
      </c>
      <c r="AC2393" s="2">
        <v>44590.264688197502</v>
      </c>
      <c r="AD2393" s="2">
        <v>52636.336603194002</v>
      </c>
      <c r="AE2393" s="2">
        <v>45918.100682281503</v>
      </c>
      <c r="AF2393" s="2">
        <v>44565.053376929602</v>
      </c>
      <c r="AG2393" s="2">
        <v>44467.873318727397</v>
      </c>
      <c r="AH2393" s="2">
        <v>47764.378843766703</v>
      </c>
      <c r="AI2393" s="2">
        <v>44242.393579578697</v>
      </c>
      <c r="AJ2393" s="2">
        <v>40583.788327900998</v>
      </c>
      <c r="AK2393" s="2">
        <v>51933.642711673201</v>
      </c>
      <c r="AL2393" s="2">
        <v>54044.853383963899</v>
      </c>
      <c r="AM2393" s="2">
        <v>54284.190282842297</v>
      </c>
      <c r="AN2393" s="2">
        <v>53032.556463171997</v>
      </c>
      <c r="AO2393" s="2">
        <v>52113.594563287101</v>
      </c>
      <c r="AP2393" s="2">
        <v>50409.1822142253</v>
      </c>
    </row>
    <row r="2394" spans="1:42" ht="14.5" x14ac:dyDescent="0.35">
      <c r="A2394" s="2" t="s">
        <v>16017</v>
      </c>
      <c r="B2394" s="2">
        <v>224.09256745719401</v>
      </c>
      <c r="C2394" s="2">
        <v>3.8783166666666702</v>
      </c>
      <c r="D2394" s="2" t="s">
        <v>34</v>
      </c>
      <c r="E2394" s="2" t="s">
        <v>16018</v>
      </c>
      <c r="F2394" s="2">
        <v>47268</v>
      </c>
      <c r="G2394" s="3" t="str">
        <f>HYPERLINK("http://funmeta.oebiotech.com/network/47268", "http://funmeta.oebiotech.com/network/47268")</f>
        <v>http://funmeta.oebiotech.com/network/47268</v>
      </c>
      <c r="H2394" s="2" t="s">
        <v>16019</v>
      </c>
      <c r="I2394" s="2">
        <v>5827</v>
      </c>
      <c r="J2394" s="2"/>
      <c r="K2394" s="2">
        <v>21563</v>
      </c>
      <c r="L2394" s="2" t="s">
        <v>8206</v>
      </c>
      <c r="M2394" s="2"/>
      <c r="N2394" s="2"/>
      <c r="O2394" s="2">
        <v>68310</v>
      </c>
      <c r="P2394" s="2" t="s">
        <v>16020</v>
      </c>
      <c r="Q2394" s="2" t="s">
        <v>16021</v>
      </c>
      <c r="R2394" s="2" t="s">
        <v>16022</v>
      </c>
      <c r="S2394" s="2" t="s">
        <v>89</v>
      </c>
      <c r="T2394" s="2" t="s">
        <v>90</v>
      </c>
      <c r="U2394" s="2" t="s">
        <v>99</v>
      </c>
      <c r="V2394" s="2" t="s">
        <v>59</v>
      </c>
      <c r="W2394" s="2">
        <v>47.3</v>
      </c>
      <c r="X2394" s="2">
        <v>43.4</v>
      </c>
      <c r="Y2394" s="2" t="s">
        <v>266</v>
      </c>
      <c r="Z2394" s="2" t="s">
        <v>16023</v>
      </c>
      <c r="AA2394" s="2">
        <v>3.7345732284501301</v>
      </c>
      <c r="AB2394" s="2">
        <v>0.33441212222844102</v>
      </c>
      <c r="AC2394" s="2">
        <v>117075.656894524</v>
      </c>
      <c r="AD2394" s="2">
        <v>108486.498108078</v>
      </c>
      <c r="AE2394" s="2">
        <v>114328.85926029</v>
      </c>
      <c r="AF2394" s="2">
        <v>115199.629511287</v>
      </c>
      <c r="AG2394" s="2">
        <v>123429.902345828</v>
      </c>
      <c r="AH2394" s="2">
        <v>113881.458588879</v>
      </c>
      <c r="AI2394" s="2">
        <v>119648.51679386399</v>
      </c>
      <c r="AJ2394" s="2">
        <v>115965.574866996</v>
      </c>
      <c r="AK2394" s="2">
        <v>110710.393352896</v>
      </c>
      <c r="AL2394" s="2">
        <v>108345.414286952</v>
      </c>
      <c r="AM2394" s="2">
        <v>106565.900303295</v>
      </c>
      <c r="AN2394" s="2">
        <v>106913.74818285101</v>
      </c>
      <c r="AO2394" s="2">
        <v>109070.72218976299</v>
      </c>
      <c r="AP2394" s="2">
        <v>109312.810332711</v>
      </c>
    </row>
    <row r="2395" spans="1:42" ht="14.5" x14ac:dyDescent="0.35">
      <c r="A2395" s="2" t="s">
        <v>16024</v>
      </c>
      <c r="B2395" s="2">
        <v>855.48007024594494</v>
      </c>
      <c r="C2395" s="2">
        <v>5.0964166666666699</v>
      </c>
      <c r="D2395" s="2" t="s">
        <v>70</v>
      </c>
      <c r="E2395" s="2" t="s">
        <v>16025</v>
      </c>
      <c r="F2395" s="2">
        <v>227629</v>
      </c>
      <c r="G2395" s="3" t="str">
        <f>HYPERLINK("http://funmeta.oebiotech.com/network/227629", "http://funmeta.oebiotech.com/network/227629")</f>
        <v>http://funmeta.oebiotech.com/network/227629</v>
      </c>
      <c r="H2395" s="2" t="s">
        <v>16026</v>
      </c>
      <c r="I2395" s="2"/>
      <c r="J2395" s="2"/>
      <c r="K2395" s="2"/>
      <c r="L2395" s="2"/>
      <c r="M2395" s="2"/>
      <c r="N2395" s="2"/>
      <c r="O2395" s="2"/>
      <c r="P2395" s="2"/>
      <c r="Q2395" s="2" t="s">
        <v>16027</v>
      </c>
      <c r="R2395" s="2" t="s">
        <v>16028</v>
      </c>
      <c r="S2395" s="2" t="s">
        <v>41</v>
      </c>
      <c r="T2395" s="2" t="s">
        <v>41</v>
      </c>
      <c r="U2395" s="2" t="s">
        <v>41</v>
      </c>
      <c r="V2395" s="2" t="s">
        <v>59</v>
      </c>
      <c r="W2395" s="2">
        <v>37.799999999999997</v>
      </c>
      <c r="X2395" s="2">
        <v>0</v>
      </c>
      <c r="Y2395" s="2" t="s">
        <v>751</v>
      </c>
      <c r="Z2395" s="2" t="s">
        <v>16029</v>
      </c>
      <c r="AA2395" s="2">
        <v>0.76186282886619805</v>
      </c>
      <c r="AB2395" s="2">
        <v>0.334133340903289</v>
      </c>
      <c r="AC2395" s="2">
        <v>29612.402844913999</v>
      </c>
      <c r="AD2395" s="2">
        <v>38107.049441793002</v>
      </c>
      <c r="AE2395" s="2">
        <v>30496.351224084399</v>
      </c>
      <c r="AF2395" s="2">
        <v>25370.131729870202</v>
      </c>
      <c r="AG2395" s="2">
        <v>32019.7774382061</v>
      </c>
      <c r="AH2395" s="2">
        <v>33393.168737555403</v>
      </c>
      <c r="AI2395" s="2">
        <v>31175.099435600801</v>
      </c>
      <c r="AJ2395" s="2">
        <v>25219.888504167098</v>
      </c>
      <c r="AK2395" s="2">
        <v>35908.647599149001</v>
      </c>
      <c r="AL2395" s="2">
        <v>39336.510242733602</v>
      </c>
      <c r="AM2395" s="2">
        <v>39475.887022900301</v>
      </c>
      <c r="AN2395" s="2">
        <v>40147.208541849199</v>
      </c>
      <c r="AO2395" s="2">
        <v>36194.184573790903</v>
      </c>
      <c r="AP2395" s="2">
        <v>37579.858670334797</v>
      </c>
    </row>
    <row r="2396" spans="1:42" ht="14.5" x14ac:dyDescent="0.35">
      <c r="A2396" s="2" t="s">
        <v>16030</v>
      </c>
      <c r="B2396" s="2">
        <v>681.27151645861204</v>
      </c>
      <c r="C2396" s="2">
        <v>5.3202666666666696</v>
      </c>
      <c r="D2396" s="2" t="s">
        <v>70</v>
      </c>
      <c r="E2396" s="2" t="s">
        <v>16031</v>
      </c>
      <c r="F2396" s="2">
        <v>52755</v>
      </c>
      <c r="G2396" s="3" t="str">
        <f>HYPERLINK("http://funmeta.oebiotech.com/network/52755", "http://funmeta.oebiotech.com/network/52755")</f>
        <v>http://funmeta.oebiotech.com/network/52755</v>
      </c>
      <c r="H2396" s="2" t="s">
        <v>16032</v>
      </c>
      <c r="I2396" s="2">
        <v>2610</v>
      </c>
      <c r="J2396" s="2"/>
      <c r="K2396" s="2">
        <v>32168</v>
      </c>
      <c r="L2396" s="2" t="s">
        <v>16033</v>
      </c>
      <c r="M2396" s="2"/>
      <c r="N2396" s="2"/>
      <c r="O2396" s="2">
        <v>5355</v>
      </c>
      <c r="P2396" s="2" t="s">
        <v>16034</v>
      </c>
      <c r="Q2396" s="2" t="s">
        <v>16035</v>
      </c>
      <c r="R2396" s="2" t="s">
        <v>16036</v>
      </c>
      <c r="S2396" s="2" t="s">
        <v>148</v>
      </c>
      <c r="T2396" s="2" t="s">
        <v>149</v>
      </c>
      <c r="U2396" s="2" t="s">
        <v>4282</v>
      </c>
      <c r="V2396" s="2" t="s">
        <v>59</v>
      </c>
      <c r="W2396" s="2">
        <v>37.200000000000003</v>
      </c>
      <c r="X2396" s="2">
        <v>0</v>
      </c>
      <c r="Y2396" s="2" t="s">
        <v>560</v>
      </c>
      <c r="Z2396" s="2" t="s">
        <v>16037</v>
      </c>
      <c r="AA2396" s="2">
        <v>-4.4872509331980801</v>
      </c>
      <c r="AB2396" s="2">
        <v>0.33406983200641299</v>
      </c>
      <c r="AC2396" s="2">
        <v>39879.482299409799</v>
      </c>
      <c r="AD2396" s="2">
        <v>32078.571728273098</v>
      </c>
      <c r="AE2396" s="2">
        <v>39432.094657433598</v>
      </c>
      <c r="AF2396" s="2">
        <v>39557.2026285955</v>
      </c>
      <c r="AG2396" s="2">
        <v>38583.175045104501</v>
      </c>
      <c r="AH2396" s="2">
        <v>40153.791198506697</v>
      </c>
      <c r="AI2396" s="2">
        <v>42021.931330685198</v>
      </c>
      <c r="AJ2396" s="2">
        <v>39528.698936133304</v>
      </c>
      <c r="AK2396" s="2">
        <v>32317.5225159744</v>
      </c>
      <c r="AL2396" s="2">
        <v>31153.4461075871</v>
      </c>
      <c r="AM2396" s="2">
        <v>33673.158969605298</v>
      </c>
      <c r="AN2396" s="2">
        <v>29749.846369094699</v>
      </c>
      <c r="AO2396" s="2">
        <v>34539.319387872303</v>
      </c>
      <c r="AP2396" s="2">
        <v>31038.137019504898</v>
      </c>
    </row>
    <row r="2397" spans="1:42" ht="14.5" x14ac:dyDescent="0.35">
      <c r="A2397" s="2" t="s">
        <v>16038</v>
      </c>
      <c r="B2397" s="2">
        <v>492.30970069501802</v>
      </c>
      <c r="C2397" s="2">
        <v>6.60523333333333</v>
      </c>
      <c r="D2397" s="2" t="s">
        <v>34</v>
      </c>
      <c r="E2397" s="2" t="s">
        <v>16039</v>
      </c>
      <c r="F2397" s="2">
        <v>18216</v>
      </c>
      <c r="G2397" s="3" t="str">
        <f>HYPERLINK("http://funmeta.oebiotech.com/network/18216", "http://funmeta.oebiotech.com/network/18216")</f>
        <v>http://funmeta.oebiotech.com/network/18216</v>
      </c>
      <c r="H2397" s="2"/>
      <c r="I2397" s="2">
        <v>39246</v>
      </c>
      <c r="J2397" s="2" t="s">
        <v>16040</v>
      </c>
      <c r="K2397" s="2"/>
      <c r="L2397" s="2"/>
      <c r="M2397" s="2"/>
      <c r="N2397" s="2"/>
      <c r="O2397" s="2">
        <v>24778632</v>
      </c>
      <c r="P2397" s="2"/>
      <c r="Q2397" s="2" t="s">
        <v>16041</v>
      </c>
      <c r="R2397" s="2" t="s">
        <v>16042</v>
      </c>
      <c r="S2397" s="2" t="s">
        <v>50</v>
      </c>
      <c r="T2397" s="2" t="s">
        <v>51</v>
      </c>
      <c r="U2397" s="2" t="s">
        <v>168</v>
      </c>
      <c r="V2397" s="2" t="s">
        <v>59</v>
      </c>
      <c r="W2397" s="2">
        <v>37.5</v>
      </c>
      <c r="X2397" s="2">
        <v>0</v>
      </c>
      <c r="Y2397" s="2" t="s">
        <v>141</v>
      </c>
      <c r="Z2397" s="2" t="s">
        <v>13099</v>
      </c>
      <c r="AA2397" s="2">
        <v>2.4244764973431199</v>
      </c>
      <c r="AB2397" s="2">
        <v>0.333877549088612</v>
      </c>
      <c r="AC2397" s="2">
        <v>9393.4233844348291</v>
      </c>
      <c r="AD2397" s="2">
        <v>1531.34998649008</v>
      </c>
      <c r="AE2397" s="2">
        <v>10705.1676940174</v>
      </c>
      <c r="AF2397" s="2">
        <v>6786.1445685404096</v>
      </c>
      <c r="AG2397" s="2">
        <v>10229.081480331301</v>
      </c>
      <c r="AH2397" s="2">
        <v>10805.183763033599</v>
      </c>
      <c r="AI2397" s="2">
        <v>8903.8819503544401</v>
      </c>
      <c r="AJ2397" s="2">
        <v>8931.0808503318294</v>
      </c>
      <c r="AK2397" s="2">
        <v>2.7106294003980101E-5</v>
      </c>
      <c r="AL2397" s="2">
        <v>1770.1992312176101</v>
      </c>
      <c r="AM2397" s="2">
        <v>2.7106294003980101E-5</v>
      </c>
      <c r="AN2397" s="2">
        <v>3529.00041400897</v>
      </c>
      <c r="AO2397" s="2">
        <v>3888.90019239503</v>
      </c>
      <c r="AP2397" s="2">
        <v>2.7106294003980101E-5</v>
      </c>
    </row>
    <row r="2398" spans="1:42" ht="14.5" x14ac:dyDescent="0.35">
      <c r="A2398" s="2" t="s">
        <v>16043</v>
      </c>
      <c r="B2398" s="2">
        <v>407.11914417617402</v>
      </c>
      <c r="C2398" s="2">
        <v>2.1229166666666699</v>
      </c>
      <c r="D2398" s="2" t="s">
        <v>70</v>
      </c>
      <c r="E2398" s="2" t="s">
        <v>16044</v>
      </c>
      <c r="F2398" s="2">
        <v>64142</v>
      </c>
      <c r="G2398" s="3" t="str">
        <f>HYPERLINK("http://funmeta.oebiotech.com/network/64142", "http://funmeta.oebiotech.com/network/64142")</f>
        <v>http://funmeta.oebiotech.com/network/64142</v>
      </c>
      <c r="H2398" s="2" t="s">
        <v>16045</v>
      </c>
      <c r="I2398" s="2"/>
      <c r="J2398" s="2"/>
      <c r="K2398" s="2"/>
      <c r="L2398" s="2"/>
      <c r="M2398" s="2"/>
      <c r="N2398" s="2"/>
      <c r="O2398" s="2"/>
      <c r="P2398" s="2" t="s">
        <v>16046</v>
      </c>
      <c r="Q2398" s="2" t="s">
        <v>16047</v>
      </c>
      <c r="R2398" s="2" t="s">
        <v>16048</v>
      </c>
      <c r="S2398" s="2" t="s">
        <v>79</v>
      </c>
      <c r="T2398" s="2" t="s">
        <v>80</v>
      </c>
      <c r="U2398" s="2" t="s">
        <v>2820</v>
      </c>
      <c r="V2398" s="2" t="s">
        <v>59</v>
      </c>
      <c r="W2398" s="2">
        <v>39.299999999999997</v>
      </c>
      <c r="X2398" s="2">
        <v>0</v>
      </c>
      <c r="Y2398" s="2" t="s">
        <v>560</v>
      </c>
      <c r="Z2398" s="2" t="s">
        <v>16049</v>
      </c>
      <c r="AA2398" s="2">
        <v>-0.871288646191265</v>
      </c>
      <c r="AB2398" s="2">
        <v>0.333761617183646</v>
      </c>
      <c r="AC2398" s="2">
        <v>7669.9857212025699</v>
      </c>
      <c r="AD2398" s="2">
        <v>15129.814580602901</v>
      </c>
      <c r="AE2398" s="2">
        <v>6894.5541135112298</v>
      </c>
      <c r="AF2398" s="2">
        <v>7310.2454274670199</v>
      </c>
      <c r="AG2398" s="2">
        <v>8554.8668012657909</v>
      </c>
      <c r="AH2398" s="2">
        <v>7460.4238938129802</v>
      </c>
      <c r="AI2398" s="2">
        <v>7159.4441403883102</v>
      </c>
      <c r="AJ2398" s="2">
        <v>8640.3799507701005</v>
      </c>
      <c r="AK2398" s="2">
        <v>13913.2225967922</v>
      </c>
      <c r="AL2398" s="2">
        <v>15101.805565091599</v>
      </c>
      <c r="AM2398" s="2">
        <v>14435.748550863</v>
      </c>
      <c r="AN2398" s="2">
        <v>16125.212467208299</v>
      </c>
      <c r="AO2398" s="2">
        <v>15030.0698917958</v>
      </c>
      <c r="AP2398" s="2">
        <v>16172.8284118668</v>
      </c>
    </row>
    <row r="2399" spans="1:42" ht="14.5" x14ac:dyDescent="0.35">
      <c r="A2399" s="2" t="s">
        <v>16050</v>
      </c>
      <c r="B2399" s="2">
        <v>397.25917671067799</v>
      </c>
      <c r="C2399" s="2">
        <v>11.246233333333301</v>
      </c>
      <c r="D2399" s="2" t="s">
        <v>70</v>
      </c>
      <c r="E2399" s="2" t="s">
        <v>16051</v>
      </c>
      <c r="F2399" s="2">
        <v>51359</v>
      </c>
      <c r="G2399" s="3" t="str">
        <f>HYPERLINK("http://funmeta.oebiotech.com/network/51359", "http://funmeta.oebiotech.com/network/51359")</f>
        <v>http://funmeta.oebiotech.com/network/51359</v>
      </c>
      <c r="H2399" s="2" t="s">
        <v>16052</v>
      </c>
      <c r="I2399" s="2">
        <v>62323</v>
      </c>
      <c r="J2399" s="2"/>
      <c r="K2399" s="2"/>
      <c r="L2399" s="2"/>
      <c r="M2399" s="2"/>
      <c r="N2399" s="2"/>
      <c r="O2399" s="2">
        <v>11646044</v>
      </c>
      <c r="P2399" s="2"/>
      <c r="Q2399" s="2" t="s">
        <v>16053</v>
      </c>
      <c r="R2399" s="2" t="s">
        <v>16054</v>
      </c>
      <c r="S2399" s="2" t="s">
        <v>50</v>
      </c>
      <c r="T2399" s="2" t="s">
        <v>229</v>
      </c>
      <c r="U2399" s="2" t="s">
        <v>1360</v>
      </c>
      <c r="V2399" s="2" t="s">
        <v>59</v>
      </c>
      <c r="W2399" s="2">
        <v>38.1</v>
      </c>
      <c r="X2399" s="2">
        <v>0</v>
      </c>
      <c r="Y2399" s="2" t="s">
        <v>408</v>
      </c>
      <c r="Z2399" s="2" t="s">
        <v>9698</v>
      </c>
      <c r="AA2399" s="2">
        <v>-1.0951870567375299</v>
      </c>
      <c r="AB2399" s="2">
        <v>0.33358988756833002</v>
      </c>
      <c r="AC2399" s="2">
        <v>8783.6759754254908</v>
      </c>
      <c r="AD2399" s="2">
        <v>1372.5879307397299</v>
      </c>
      <c r="AE2399" s="2">
        <v>9918.4095137765398</v>
      </c>
      <c r="AF2399" s="2">
        <v>8760.9057099275306</v>
      </c>
      <c r="AG2399" s="2">
        <v>9938.4294605034102</v>
      </c>
      <c r="AH2399" s="2">
        <v>8238.75654397572</v>
      </c>
      <c r="AI2399" s="2">
        <v>8398.2382864437404</v>
      </c>
      <c r="AJ2399" s="2">
        <v>7447.3163379259704</v>
      </c>
      <c r="AK2399" s="2">
        <v>839.99178533869201</v>
      </c>
      <c r="AL2399" s="2">
        <v>1280.4393892496</v>
      </c>
      <c r="AM2399" s="2">
        <v>1275.8556127422701</v>
      </c>
      <c r="AN2399" s="2">
        <v>1448.9324556127101</v>
      </c>
      <c r="AO2399" s="2">
        <v>1848.7012267872301</v>
      </c>
      <c r="AP2399" s="2">
        <v>1541.6071147078501</v>
      </c>
    </row>
    <row r="2400" spans="1:42" ht="14.5" x14ac:dyDescent="0.35">
      <c r="A2400" s="2" t="s">
        <v>16055</v>
      </c>
      <c r="B2400" s="2">
        <v>902.37857531869304</v>
      </c>
      <c r="C2400" s="2">
        <v>5.8043833333333303</v>
      </c>
      <c r="D2400" s="2" t="s">
        <v>70</v>
      </c>
      <c r="E2400" s="2" t="s">
        <v>16056</v>
      </c>
      <c r="F2400" s="2">
        <v>213259</v>
      </c>
      <c r="G2400" s="3" t="str">
        <f>HYPERLINK("http://funmeta.oebiotech.com/network/213259", "http://funmeta.oebiotech.com/network/213259")</f>
        <v>http://funmeta.oebiotech.com/network/213259</v>
      </c>
      <c r="H2400" s="2" t="s">
        <v>16057</v>
      </c>
      <c r="I2400" s="2"/>
      <c r="J2400" s="2"/>
      <c r="K2400" s="2"/>
      <c r="L2400" s="2"/>
      <c r="M2400" s="2"/>
      <c r="N2400" s="2"/>
      <c r="O2400" s="2">
        <v>60139</v>
      </c>
      <c r="P2400" s="2"/>
      <c r="Q2400" s="2" t="s">
        <v>16058</v>
      </c>
      <c r="R2400" s="2" t="s">
        <v>16059</v>
      </c>
      <c r="S2400" s="2" t="s">
        <v>41</v>
      </c>
      <c r="T2400" s="2" t="s">
        <v>41</v>
      </c>
      <c r="U2400" s="2" t="s">
        <v>41</v>
      </c>
      <c r="V2400" s="2" t="s">
        <v>59</v>
      </c>
      <c r="W2400" s="2">
        <v>37.6</v>
      </c>
      <c r="X2400" s="2">
        <v>0</v>
      </c>
      <c r="Y2400" s="2" t="s">
        <v>408</v>
      </c>
      <c r="Z2400" s="2" t="s">
        <v>16060</v>
      </c>
      <c r="AA2400" s="2">
        <v>4.3105076023225903</v>
      </c>
      <c r="AB2400" s="2">
        <v>0.33347284048807901</v>
      </c>
      <c r="AC2400" s="2">
        <v>9371.7048690252996</v>
      </c>
      <c r="AD2400" s="2">
        <v>17053.1147278764</v>
      </c>
      <c r="AE2400" s="2">
        <v>8838.0937076136997</v>
      </c>
      <c r="AF2400" s="2">
        <v>10018.2693621377</v>
      </c>
      <c r="AG2400" s="2">
        <v>9040.8707976885999</v>
      </c>
      <c r="AH2400" s="2">
        <v>10264.0658128575</v>
      </c>
      <c r="AI2400" s="2">
        <v>10174.4386191263</v>
      </c>
      <c r="AJ2400" s="2">
        <v>7894.4909147279895</v>
      </c>
      <c r="AK2400" s="2">
        <v>16329.926932513899</v>
      </c>
      <c r="AL2400" s="2">
        <v>16817.6045343966</v>
      </c>
      <c r="AM2400" s="2">
        <v>14855.7331926063</v>
      </c>
      <c r="AN2400" s="2">
        <v>16156.205727152599</v>
      </c>
      <c r="AO2400" s="2">
        <v>18610.1962041019</v>
      </c>
      <c r="AP2400" s="2">
        <v>19549.0217764872</v>
      </c>
    </row>
    <row r="2401" spans="1:42" ht="14.5" x14ac:dyDescent="0.35">
      <c r="A2401" s="2" t="s">
        <v>16061</v>
      </c>
      <c r="B2401" s="2">
        <v>831.36080671078901</v>
      </c>
      <c r="C2401" s="2">
        <v>7.9091166666666703</v>
      </c>
      <c r="D2401" s="2" t="s">
        <v>70</v>
      </c>
      <c r="E2401" s="2" t="s">
        <v>16062</v>
      </c>
      <c r="F2401" s="2">
        <v>63197</v>
      </c>
      <c r="G2401" s="3" t="str">
        <f>HYPERLINK("http://funmeta.oebiotech.com/network/63197", "http://funmeta.oebiotech.com/network/63197")</f>
        <v>http://funmeta.oebiotech.com/network/63197</v>
      </c>
      <c r="H2401" s="2" t="s">
        <v>16063</v>
      </c>
      <c r="I2401" s="2">
        <v>94505</v>
      </c>
      <c r="J2401" s="2"/>
      <c r="K2401" s="2">
        <v>139427</v>
      </c>
      <c r="L2401" s="2"/>
      <c r="M2401" s="2"/>
      <c r="N2401" s="2"/>
      <c r="O2401" s="2">
        <v>9810941</v>
      </c>
      <c r="P2401" s="2"/>
      <c r="Q2401" s="2" t="s">
        <v>16064</v>
      </c>
      <c r="R2401" s="2" t="s">
        <v>16065</v>
      </c>
      <c r="S2401" s="2" t="s">
        <v>115</v>
      </c>
      <c r="T2401" s="2" t="s">
        <v>116</v>
      </c>
      <c r="U2401" s="2" t="s">
        <v>117</v>
      </c>
      <c r="V2401" s="2" t="s">
        <v>59</v>
      </c>
      <c r="W2401" s="2">
        <v>37.6</v>
      </c>
      <c r="X2401" s="2">
        <v>0</v>
      </c>
      <c r="Y2401" s="2" t="s">
        <v>408</v>
      </c>
      <c r="Z2401" s="2" t="s">
        <v>16066</v>
      </c>
      <c r="AA2401" s="2">
        <v>-0.33157515694512202</v>
      </c>
      <c r="AB2401" s="2">
        <v>0.33341802160085898</v>
      </c>
      <c r="AC2401" s="2">
        <v>18456.769261480898</v>
      </c>
      <c r="AD2401" s="2">
        <v>10172.4400461649</v>
      </c>
      <c r="AE2401" s="2">
        <v>17819.1755566664</v>
      </c>
      <c r="AF2401" s="2">
        <v>15952.287464127499</v>
      </c>
      <c r="AG2401" s="2">
        <v>16871.181975036099</v>
      </c>
      <c r="AH2401" s="2">
        <v>24863.607831648998</v>
      </c>
      <c r="AI2401" s="2">
        <v>17809.320116395698</v>
      </c>
      <c r="AJ2401" s="2">
        <v>17425.042625010901</v>
      </c>
      <c r="AK2401" s="2">
        <v>11072.158079134701</v>
      </c>
      <c r="AL2401" s="2">
        <v>8335.6070616657507</v>
      </c>
      <c r="AM2401" s="2">
        <v>10517.100333791001</v>
      </c>
      <c r="AN2401" s="2">
        <v>10351.709586716701</v>
      </c>
      <c r="AO2401" s="2">
        <v>9288.7126121073306</v>
      </c>
      <c r="AP2401" s="2">
        <v>11469.352603574</v>
      </c>
    </row>
    <row r="2402" spans="1:42" ht="14.5" x14ac:dyDescent="0.35">
      <c r="A2402" s="2" t="s">
        <v>16067</v>
      </c>
      <c r="B2402" s="2">
        <v>391.261920063285</v>
      </c>
      <c r="C2402" s="2">
        <v>12.375349999999999</v>
      </c>
      <c r="D2402" s="2" t="s">
        <v>70</v>
      </c>
      <c r="E2402" s="2" t="s">
        <v>16068</v>
      </c>
      <c r="F2402" s="2">
        <v>18151</v>
      </c>
      <c r="G2402" s="3" t="str">
        <f>HYPERLINK("http://funmeta.oebiotech.com/network/18151", "http://funmeta.oebiotech.com/network/18151")</f>
        <v>http://funmeta.oebiotech.com/network/18151</v>
      </c>
      <c r="H2402" s="2"/>
      <c r="I2402" s="2"/>
      <c r="J2402" s="2" t="s">
        <v>16069</v>
      </c>
      <c r="K2402" s="2"/>
      <c r="L2402" s="2"/>
      <c r="M2402" s="2"/>
      <c r="N2402" s="2"/>
      <c r="O2402" s="2">
        <v>137323909</v>
      </c>
      <c r="P2402" s="2"/>
      <c r="Q2402" s="2" t="s">
        <v>16070</v>
      </c>
      <c r="R2402" s="2" t="s">
        <v>16071</v>
      </c>
      <c r="S2402" s="2" t="s">
        <v>50</v>
      </c>
      <c r="T2402" s="2" t="s">
        <v>51</v>
      </c>
      <c r="U2402" s="2" t="s">
        <v>41</v>
      </c>
      <c r="V2402" s="2" t="s">
        <v>59</v>
      </c>
      <c r="W2402" s="2">
        <v>36.6</v>
      </c>
      <c r="X2402" s="2">
        <v>3.35</v>
      </c>
      <c r="Y2402" s="2" t="s">
        <v>751</v>
      </c>
      <c r="Z2402" s="2" t="s">
        <v>16072</v>
      </c>
      <c r="AA2402" s="2">
        <v>8.6421318691000198E-2</v>
      </c>
      <c r="AB2402" s="2">
        <v>0.33314872207607099</v>
      </c>
      <c r="AC2402" s="2">
        <v>10749.493628857999</v>
      </c>
      <c r="AD2402" s="2">
        <v>2952.0437718232502</v>
      </c>
      <c r="AE2402" s="2">
        <v>13201.8056182854</v>
      </c>
      <c r="AF2402" s="2">
        <v>7382.1417718889497</v>
      </c>
      <c r="AG2402" s="2">
        <v>9642.1956116138699</v>
      </c>
      <c r="AH2402" s="2">
        <v>11727.7131123403</v>
      </c>
      <c r="AI2402" s="2">
        <v>12117.1685827029</v>
      </c>
      <c r="AJ2402" s="2">
        <v>10425.937076316601</v>
      </c>
      <c r="AK2402" s="2">
        <v>2888.3839557323299</v>
      </c>
      <c r="AL2402" s="2">
        <v>4432.48764015507</v>
      </c>
      <c r="AM2402" s="2">
        <v>1959.9331011111501</v>
      </c>
      <c r="AN2402" s="2">
        <v>3552.2055346065699</v>
      </c>
      <c r="AO2402" s="2">
        <v>2380.9214167590899</v>
      </c>
      <c r="AP2402" s="2">
        <v>2498.3309825753099</v>
      </c>
    </row>
    <row r="2403" spans="1:42" ht="14.5" x14ac:dyDescent="0.35">
      <c r="A2403" s="2" t="s">
        <v>16073</v>
      </c>
      <c r="B2403" s="2">
        <v>931.48937857381304</v>
      </c>
      <c r="C2403" s="2">
        <v>10.4865333333333</v>
      </c>
      <c r="D2403" s="2" t="s">
        <v>70</v>
      </c>
      <c r="E2403" s="2" t="s">
        <v>16074</v>
      </c>
      <c r="F2403" s="2">
        <v>46784</v>
      </c>
      <c r="G2403" s="3" t="str">
        <f>HYPERLINK("http://funmeta.oebiotech.com/network/46784", "http://funmeta.oebiotech.com/network/46784")</f>
        <v>http://funmeta.oebiotech.com/network/46784</v>
      </c>
      <c r="H2403" s="2"/>
      <c r="I2403" s="2"/>
      <c r="J2403" s="2" t="s">
        <v>16075</v>
      </c>
      <c r="K2403" s="2">
        <v>65855</v>
      </c>
      <c r="L2403" s="2"/>
      <c r="M2403" s="2"/>
      <c r="N2403" s="2"/>
      <c r="O2403" s="2">
        <v>10102192</v>
      </c>
      <c r="P2403" s="2"/>
      <c r="Q2403" s="2" t="s">
        <v>16076</v>
      </c>
      <c r="R2403" s="2" t="s">
        <v>16077</v>
      </c>
      <c r="S2403" s="2" t="s">
        <v>50</v>
      </c>
      <c r="T2403" s="2" t="s">
        <v>124</v>
      </c>
      <c r="U2403" s="2" t="s">
        <v>523</v>
      </c>
      <c r="V2403" s="2" t="s">
        <v>42</v>
      </c>
      <c r="W2403" s="2">
        <v>52.9</v>
      </c>
      <c r="X2403" s="2">
        <v>71.3</v>
      </c>
      <c r="Y2403" s="2" t="s">
        <v>286</v>
      </c>
      <c r="Z2403" s="2" t="s">
        <v>5258</v>
      </c>
      <c r="AA2403" s="2">
        <v>-1.60768616056846</v>
      </c>
      <c r="AB2403" s="2">
        <v>0.333137814522251</v>
      </c>
      <c r="AC2403" s="2">
        <v>316136.28876762901</v>
      </c>
      <c r="AD2403" s="2">
        <v>333177.93078707397</v>
      </c>
      <c r="AE2403" s="2">
        <v>328659.02819466201</v>
      </c>
      <c r="AF2403" s="2">
        <v>315440.933675126</v>
      </c>
      <c r="AG2403" s="2">
        <v>313392.96764823998</v>
      </c>
      <c r="AH2403" s="2">
        <v>289444.064608688</v>
      </c>
      <c r="AI2403" s="2">
        <v>307599.58908414398</v>
      </c>
      <c r="AJ2403" s="2">
        <v>342281.14939491602</v>
      </c>
      <c r="AK2403" s="2">
        <v>315864.32059834601</v>
      </c>
      <c r="AL2403" s="2">
        <v>313813.64824558701</v>
      </c>
      <c r="AM2403" s="2">
        <v>360332.95149948698</v>
      </c>
      <c r="AN2403" s="2">
        <v>324796.70547581097</v>
      </c>
      <c r="AO2403" s="2">
        <v>324699.170662752</v>
      </c>
      <c r="AP2403" s="2">
        <v>359560.78824046301</v>
      </c>
    </row>
    <row r="2404" spans="1:42" ht="14.5" x14ac:dyDescent="0.35">
      <c r="A2404" s="2" t="s">
        <v>16078</v>
      </c>
      <c r="B2404" s="2">
        <v>769.36871265614798</v>
      </c>
      <c r="C2404" s="2">
        <v>9.0997666666666692</v>
      </c>
      <c r="D2404" s="2" t="s">
        <v>70</v>
      </c>
      <c r="E2404" s="2" t="s">
        <v>16079</v>
      </c>
      <c r="F2404" s="2">
        <v>57294</v>
      </c>
      <c r="G2404" s="3" t="str">
        <f>HYPERLINK("http://funmeta.oebiotech.com/network/57294", "http://funmeta.oebiotech.com/network/57294")</f>
        <v>http://funmeta.oebiotech.com/network/57294</v>
      </c>
      <c r="H2404" s="2" t="s">
        <v>16080</v>
      </c>
      <c r="I2404" s="2">
        <v>88924</v>
      </c>
      <c r="J2404" s="2"/>
      <c r="K2404" s="2">
        <v>143869</v>
      </c>
      <c r="L2404" s="2"/>
      <c r="M2404" s="2"/>
      <c r="N2404" s="2"/>
      <c r="O2404" s="2">
        <v>10430190</v>
      </c>
      <c r="P2404" s="2" t="s">
        <v>16081</v>
      </c>
      <c r="Q2404" s="2" t="s">
        <v>16082</v>
      </c>
      <c r="R2404" s="2" t="s">
        <v>16083</v>
      </c>
      <c r="S2404" s="2" t="s">
        <v>39</v>
      </c>
      <c r="T2404" s="2" t="s">
        <v>16084</v>
      </c>
      <c r="U2404" s="2" t="s">
        <v>41</v>
      </c>
      <c r="V2404" s="2" t="s">
        <v>59</v>
      </c>
      <c r="W2404" s="2">
        <v>38.9</v>
      </c>
      <c r="X2404" s="2">
        <v>0</v>
      </c>
      <c r="Y2404" s="2" t="s">
        <v>560</v>
      </c>
      <c r="Z2404" s="2" t="s">
        <v>16085</v>
      </c>
      <c r="AA2404" s="2">
        <v>-2.4103092287954202</v>
      </c>
      <c r="AB2404" s="2">
        <v>0.33303975214755299</v>
      </c>
      <c r="AC2404" s="2">
        <v>7739.1314054150698</v>
      </c>
      <c r="AD2404" s="2">
        <v>221.081671075972</v>
      </c>
      <c r="AE2404" s="2">
        <v>8238.2347728168606</v>
      </c>
      <c r="AF2404" s="2">
        <v>9528.2949030745494</v>
      </c>
      <c r="AG2404" s="2">
        <v>9260.51035977621</v>
      </c>
      <c r="AH2404" s="2">
        <v>5884.6804706879602</v>
      </c>
      <c r="AI2404" s="2">
        <v>7487.9728526024001</v>
      </c>
      <c r="AJ2404" s="2">
        <v>6035.0950735324604</v>
      </c>
      <c r="AK2404" s="2">
        <v>128.749616376544</v>
      </c>
      <c r="AL2404" s="2">
        <v>268.257479092403</v>
      </c>
      <c r="AM2404" s="2">
        <v>294.47965282730797</v>
      </c>
      <c r="AN2404" s="2">
        <v>216.098968103175</v>
      </c>
      <c r="AO2404" s="2">
        <v>235.94728887575599</v>
      </c>
      <c r="AP2404" s="2">
        <v>182.957021180646</v>
      </c>
    </row>
    <row r="2405" spans="1:42" ht="14.5" x14ac:dyDescent="0.35">
      <c r="A2405" s="2" t="s">
        <v>16086</v>
      </c>
      <c r="B2405" s="2">
        <v>385.05779296964897</v>
      </c>
      <c r="C2405" s="2">
        <v>3.7887</v>
      </c>
      <c r="D2405" s="2" t="s">
        <v>34</v>
      </c>
      <c r="E2405" s="2" t="s">
        <v>16087</v>
      </c>
      <c r="F2405" s="2">
        <v>279820</v>
      </c>
      <c r="G2405" s="3" t="str">
        <f>HYPERLINK("http://funmeta.oebiotech.com/network/279820", "http://funmeta.oebiotech.com/network/279820")</f>
        <v>http://funmeta.oebiotech.com/network/279820</v>
      </c>
      <c r="H2405" s="2"/>
      <c r="I2405" s="2">
        <v>72638</v>
      </c>
      <c r="J2405" s="2"/>
      <c r="K2405" s="2"/>
      <c r="L2405" s="2" t="s">
        <v>16088</v>
      </c>
      <c r="M2405" s="2"/>
      <c r="N2405" s="2"/>
      <c r="O2405" s="2">
        <v>29393</v>
      </c>
      <c r="P2405" s="2" t="s">
        <v>16089</v>
      </c>
      <c r="Q2405" s="2" t="s">
        <v>16090</v>
      </c>
      <c r="R2405" s="2" t="s">
        <v>16091</v>
      </c>
      <c r="S2405" s="2" t="s">
        <v>148</v>
      </c>
      <c r="T2405" s="2" t="s">
        <v>149</v>
      </c>
      <c r="U2405" s="2" t="s">
        <v>150</v>
      </c>
      <c r="V2405" s="2" t="s">
        <v>59</v>
      </c>
      <c r="W2405" s="2">
        <v>38.4</v>
      </c>
      <c r="X2405" s="2">
        <v>0</v>
      </c>
      <c r="Y2405" s="2" t="s">
        <v>340</v>
      </c>
      <c r="Z2405" s="2" t="s">
        <v>16092</v>
      </c>
      <c r="AA2405" s="2">
        <v>-0.20348236931433</v>
      </c>
      <c r="AB2405" s="2">
        <v>0.33283854765280502</v>
      </c>
      <c r="AC2405" s="2">
        <v>14166.6196131119</v>
      </c>
      <c r="AD2405" s="2">
        <v>21801.119495600698</v>
      </c>
      <c r="AE2405" s="2">
        <v>13166.7447537312</v>
      </c>
      <c r="AF2405" s="2">
        <v>13111.256309999</v>
      </c>
      <c r="AG2405" s="2">
        <v>12713.7084062302</v>
      </c>
      <c r="AH2405" s="2">
        <v>15371.856844133399</v>
      </c>
      <c r="AI2405" s="2">
        <v>14839.7624717941</v>
      </c>
      <c r="AJ2405" s="2">
        <v>15796.3888927835</v>
      </c>
      <c r="AK2405" s="2">
        <v>23537.4464057611</v>
      </c>
      <c r="AL2405" s="2">
        <v>22193.4822355756</v>
      </c>
      <c r="AM2405" s="2">
        <v>22960.4068432858</v>
      </c>
      <c r="AN2405" s="2">
        <v>19708.619603678399</v>
      </c>
      <c r="AO2405" s="2">
        <v>21051.3655544092</v>
      </c>
      <c r="AP2405" s="2">
        <v>21355.396330894098</v>
      </c>
    </row>
    <row r="2406" spans="1:42" ht="14.5" x14ac:dyDescent="0.35">
      <c r="A2406" s="2" t="s">
        <v>16093</v>
      </c>
      <c r="B2406" s="2">
        <v>370.29489833793298</v>
      </c>
      <c r="C2406" s="2">
        <v>11.3656166666667</v>
      </c>
      <c r="D2406" s="2" t="s">
        <v>34</v>
      </c>
      <c r="E2406" s="2" t="s">
        <v>16094</v>
      </c>
      <c r="F2406" s="2">
        <v>51384</v>
      </c>
      <c r="G2406" s="3" t="str">
        <f>HYPERLINK("http://funmeta.oebiotech.com/network/51384", "http://funmeta.oebiotech.com/network/51384")</f>
        <v>http://funmeta.oebiotech.com/network/51384</v>
      </c>
      <c r="H2406" s="2" t="s">
        <v>16095</v>
      </c>
      <c r="I2406" s="2">
        <v>62351</v>
      </c>
      <c r="J2406" s="2"/>
      <c r="K2406" s="2"/>
      <c r="L2406" s="2"/>
      <c r="M2406" s="2"/>
      <c r="N2406" s="2"/>
      <c r="O2406" s="2">
        <v>53480978</v>
      </c>
      <c r="P2406" s="2"/>
      <c r="Q2406" s="2" t="s">
        <v>16096</v>
      </c>
      <c r="R2406" s="2" t="s">
        <v>16097</v>
      </c>
      <c r="S2406" s="2" t="s">
        <v>50</v>
      </c>
      <c r="T2406" s="2" t="s">
        <v>229</v>
      </c>
      <c r="U2406" s="2" t="s">
        <v>1360</v>
      </c>
      <c r="V2406" s="2" t="s">
        <v>59</v>
      </c>
      <c r="W2406" s="2">
        <v>45.9</v>
      </c>
      <c r="X2406" s="2">
        <v>41.4</v>
      </c>
      <c r="Y2406" s="2" t="s">
        <v>43</v>
      </c>
      <c r="Z2406" s="2" t="s">
        <v>9698</v>
      </c>
      <c r="AA2406" s="2">
        <v>-0.81423868783420505</v>
      </c>
      <c r="AB2406" s="2">
        <v>0.33269083891277301</v>
      </c>
      <c r="AC2406" s="2">
        <v>25299.7087958066</v>
      </c>
      <c r="AD2406" s="2">
        <v>12074.8653432189</v>
      </c>
      <c r="AE2406" s="2">
        <v>16007.223720714301</v>
      </c>
      <c r="AF2406" s="2">
        <v>19893.9015397127</v>
      </c>
      <c r="AG2406" s="2">
        <v>19170.242615175299</v>
      </c>
      <c r="AH2406" s="2">
        <v>56237.567157403901</v>
      </c>
      <c r="AI2406" s="2">
        <v>19128.117485888899</v>
      </c>
      <c r="AJ2406" s="2">
        <v>21361.200255944299</v>
      </c>
      <c r="AK2406" s="2">
        <v>6755.1261682345303</v>
      </c>
      <c r="AL2406" s="2">
        <v>12347.0498494203</v>
      </c>
      <c r="AM2406" s="2">
        <v>11841.9229403355</v>
      </c>
      <c r="AN2406" s="2">
        <v>13753.1886380995</v>
      </c>
      <c r="AO2406" s="2">
        <v>15684.395941365099</v>
      </c>
      <c r="AP2406" s="2">
        <v>12067.508521858599</v>
      </c>
    </row>
    <row r="2407" spans="1:42" ht="14.5" x14ac:dyDescent="0.35">
      <c r="A2407" s="2" t="s">
        <v>16098</v>
      </c>
      <c r="B2407" s="2">
        <v>139.02178891918899</v>
      </c>
      <c r="C2407" s="2">
        <v>5.5805999999999996</v>
      </c>
      <c r="D2407" s="2" t="s">
        <v>70</v>
      </c>
      <c r="E2407" s="2" t="s">
        <v>16099</v>
      </c>
      <c r="F2407" s="2">
        <v>61281</v>
      </c>
      <c r="G2407" s="3" t="str">
        <f>HYPERLINK("http://funmeta.oebiotech.com/network/61281", "http://funmeta.oebiotech.com/network/61281")</f>
        <v>http://funmeta.oebiotech.com/network/61281</v>
      </c>
      <c r="H2407" s="2" t="s">
        <v>16100</v>
      </c>
      <c r="I2407" s="2">
        <v>92601</v>
      </c>
      <c r="J2407" s="2"/>
      <c r="K2407" s="2">
        <v>131456</v>
      </c>
      <c r="L2407" s="2"/>
      <c r="M2407" s="2"/>
      <c r="N2407" s="2"/>
      <c r="O2407" s="2">
        <v>20831821</v>
      </c>
      <c r="P2407" s="2" t="s">
        <v>16101</v>
      </c>
      <c r="Q2407" s="2" t="s">
        <v>16102</v>
      </c>
      <c r="R2407" s="2" t="s">
        <v>16103</v>
      </c>
      <c r="S2407" s="2" t="s">
        <v>491</v>
      </c>
      <c r="T2407" s="2" t="s">
        <v>2321</v>
      </c>
      <c r="U2407" s="2" t="s">
        <v>41</v>
      </c>
      <c r="V2407" s="2" t="s">
        <v>59</v>
      </c>
      <c r="W2407" s="2">
        <v>39</v>
      </c>
      <c r="X2407" s="2">
        <v>0</v>
      </c>
      <c r="Y2407" s="2" t="s">
        <v>751</v>
      </c>
      <c r="Z2407" s="2" t="s">
        <v>16104</v>
      </c>
      <c r="AA2407" s="2">
        <v>-3.2935974126021499</v>
      </c>
      <c r="AB2407" s="2">
        <v>0.33267962987538602</v>
      </c>
      <c r="AC2407" s="2">
        <v>7660.5262955595999</v>
      </c>
      <c r="AD2407" s="2">
        <v>14997.037805842499</v>
      </c>
      <c r="AE2407" s="2">
        <v>8243.2383252392701</v>
      </c>
      <c r="AF2407" s="2">
        <v>7620.23558739908</v>
      </c>
      <c r="AG2407" s="2">
        <v>7183.4598449573004</v>
      </c>
      <c r="AH2407" s="2">
        <v>7336.0033732449601</v>
      </c>
      <c r="AI2407" s="2">
        <v>7741.3973495016699</v>
      </c>
      <c r="AJ2407" s="2">
        <v>7838.8232930153199</v>
      </c>
      <c r="AK2407" s="2">
        <v>16123.9586653201</v>
      </c>
      <c r="AL2407" s="2">
        <v>15330.197304232601</v>
      </c>
      <c r="AM2407" s="2">
        <v>14893.9143113065</v>
      </c>
      <c r="AN2407" s="2">
        <v>14780.916456507401</v>
      </c>
      <c r="AO2407" s="2">
        <v>14877.5312727167</v>
      </c>
      <c r="AP2407" s="2">
        <v>13975.7088249718</v>
      </c>
    </row>
    <row r="2408" spans="1:42" ht="14.5" x14ac:dyDescent="0.35">
      <c r="A2408" s="2" t="s">
        <v>16105</v>
      </c>
      <c r="B2408" s="2">
        <v>361.198317327251</v>
      </c>
      <c r="C2408" s="2">
        <v>10.3988666666667</v>
      </c>
      <c r="D2408" s="2" t="s">
        <v>34</v>
      </c>
      <c r="E2408" s="2" t="s">
        <v>16106</v>
      </c>
      <c r="F2408" s="2">
        <v>44964</v>
      </c>
      <c r="G2408" s="3" t="str">
        <f>HYPERLINK("http://funmeta.oebiotech.com/network/44964", "http://funmeta.oebiotech.com/network/44964")</f>
        <v>http://funmeta.oebiotech.com/network/44964</v>
      </c>
      <c r="H2408" s="2"/>
      <c r="I2408" s="2">
        <v>84294</v>
      </c>
      <c r="J2408" s="2" t="s">
        <v>16107</v>
      </c>
      <c r="K2408" s="2"/>
      <c r="L2408" s="2"/>
      <c r="M2408" s="2"/>
      <c r="N2408" s="2"/>
      <c r="O2408" s="2">
        <v>146134</v>
      </c>
      <c r="P2408" s="2"/>
      <c r="Q2408" s="2" t="s">
        <v>16108</v>
      </c>
      <c r="R2408" s="2" t="s">
        <v>16109</v>
      </c>
      <c r="S2408" s="2" t="s">
        <v>50</v>
      </c>
      <c r="T2408" s="2" t="s">
        <v>124</v>
      </c>
      <c r="U2408" s="2" t="s">
        <v>2373</v>
      </c>
      <c r="V2408" s="2" t="s">
        <v>59</v>
      </c>
      <c r="W2408" s="2">
        <v>46.7</v>
      </c>
      <c r="X2408" s="2">
        <v>40</v>
      </c>
      <c r="Y2408" s="2" t="s">
        <v>67</v>
      </c>
      <c r="Z2408" s="2" t="s">
        <v>16110</v>
      </c>
      <c r="AA2408" s="2">
        <v>-0.67240206773748901</v>
      </c>
      <c r="AB2408" s="2">
        <v>0.33262151399610801</v>
      </c>
      <c r="AC2408" s="2">
        <v>15059.4904427622</v>
      </c>
      <c r="AD2408" s="2">
        <v>7390.5953018075197</v>
      </c>
      <c r="AE2408" s="2">
        <v>15739.4890002385</v>
      </c>
      <c r="AF2408" s="2">
        <v>13742.898686881599</v>
      </c>
      <c r="AG2408" s="2">
        <v>13306.661491320399</v>
      </c>
      <c r="AH2408" s="2">
        <v>15698.3584209005</v>
      </c>
      <c r="AI2408" s="2">
        <v>13682.799176267001</v>
      </c>
      <c r="AJ2408" s="2">
        <v>18186.7358809652</v>
      </c>
      <c r="AK2408" s="2">
        <v>6554.1279679956497</v>
      </c>
      <c r="AL2408" s="2">
        <v>7014.5654924688497</v>
      </c>
      <c r="AM2408" s="2">
        <v>7769.1607177790202</v>
      </c>
      <c r="AN2408" s="2">
        <v>8454.4543091350897</v>
      </c>
      <c r="AO2408" s="2">
        <v>7904.07216057407</v>
      </c>
      <c r="AP2408" s="2">
        <v>6647.1911628924199</v>
      </c>
    </row>
    <row r="2409" spans="1:42" ht="14.5" x14ac:dyDescent="0.35">
      <c r="A2409" s="2" t="s">
        <v>16111</v>
      </c>
      <c r="B2409" s="2">
        <v>123.05512234684301</v>
      </c>
      <c r="C2409" s="2">
        <v>0.73473333333333302</v>
      </c>
      <c r="D2409" s="2" t="s">
        <v>34</v>
      </c>
      <c r="E2409" s="2" t="s">
        <v>16112</v>
      </c>
      <c r="F2409" s="2">
        <v>47565</v>
      </c>
      <c r="G2409" s="3" t="str">
        <f>HYPERLINK("http://funmeta.oebiotech.com/network/47565", "http://funmeta.oebiotech.com/network/47565")</f>
        <v>http://funmeta.oebiotech.com/network/47565</v>
      </c>
      <c r="H2409" s="2" t="s">
        <v>16113</v>
      </c>
      <c r="I2409" s="2">
        <v>1497</v>
      </c>
      <c r="J2409" s="2"/>
      <c r="K2409" s="2">
        <v>17154</v>
      </c>
      <c r="L2409" s="2" t="s">
        <v>16114</v>
      </c>
      <c r="M2409" s="2" t="s">
        <v>16115</v>
      </c>
      <c r="N2409" s="2" t="s">
        <v>16116</v>
      </c>
      <c r="O2409" s="2">
        <v>936</v>
      </c>
      <c r="P2409" s="2" t="s">
        <v>16117</v>
      </c>
      <c r="Q2409" s="2" t="s">
        <v>16118</v>
      </c>
      <c r="R2409" s="2" t="s">
        <v>16119</v>
      </c>
      <c r="S2409" s="2" t="s">
        <v>491</v>
      </c>
      <c r="T2409" s="2" t="s">
        <v>2238</v>
      </c>
      <c r="U2409" s="2" t="s">
        <v>15117</v>
      </c>
      <c r="V2409" s="2" t="s">
        <v>59</v>
      </c>
      <c r="W2409" s="2">
        <v>46.4</v>
      </c>
      <c r="X2409" s="2">
        <v>36.299999999999997</v>
      </c>
      <c r="Y2409" s="2" t="s">
        <v>394</v>
      </c>
      <c r="Z2409" s="2" t="s">
        <v>16120</v>
      </c>
      <c r="AA2409" s="2">
        <v>-1.3675498092385401</v>
      </c>
      <c r="AB2409" s="2">
        <v>0.332486540422468</v>
      </c>
      <c r="AC2409" s="2">
        <v>38369.581690790401</v>
      </c>
      <c r="AD2409" s="2">
        <v>46665.996883732201</v>
      </c>
      <c r="AE2409" s="2">
        <v>39826.891282898097</v>
      </c>
      <c r="AF2409" s="2">
        <v>43321.153393870802</v>
      </c>
      <c r="AG2409" s="2">
        <v>36251.9849486475</v>
      </c>
      <c r="AH2409" s="2">
        <v>37854.336272732697</v>
      </c>
      <c r="AI2409" s="2">
        <v>36502.774329224099</v>
      </c>
      <c r="AJ2409" s="2">
        <v>36460.349917369102</v>
      </c>
      <c r="AK2409" s="2">
        <v>48478.777079084597</v>
      </c>
      <c r="AL2409" s="2">
        <v>45195.351688635703</v>
      </c>
      <c r="AM2409" s="2">
        <v>49691.426107120802</v>
      </c>
      <c r="AN2409" s="2">
        <v>47217.411251238598</v>
      </c>
      <c r="AO2409" s="2">
        <v>44022.903681521697</v>
      </c>
      <c r="AP2409" s="2">
        <v>45390.111494791701</v>
      </c>
    </row>
    <row r="2410" spans="1:42" ht="14.5" x14ac:dyDescent="0.35">
      <c r="A2410" s="2" t="s">
        <v>16121</v>
      </c>
      <c r="B2410" s="2">
        <v>291.194990127648</v>
      </c>
      <c r="C2410" s="2">
        <v>7.8457166666666698</v>
      </c>
      <c r="D2410" s="2" t="s">
        <v>34</v>
      </c>
      <c r="E2410" s="2" t="s">
        <v>16122</v>
      </c>
      <c r="F2410" s="2">
        <v>3449</v>
      </c>
      <c r="G2410" s="3" t="str">
        <f>HYPERLINK("http://funmeta.oebiotech.com/network/3449", "http://funmeta.oebiotech.com/network/3449")</f>
        <v>http://funmeta.oebiotech.com/network/3449</v>
      </c>
      <c r="H2410" s="2"/>
      <c r="I2410" s="2"/>
      <c r="J2410" s="2" t="s">
        <v>16123</v>
      </c>
      <c r="K2410" s="2"/>
      <c r="L2410" s="2"/>
      <c r="M2410" s="2"/>
      <c r="N2410" s="2"/>
      <c r="O2410" s="2">
        <v>125181365</v>
      </c>
      <c r="P2410" s="2"/>
      <c r="Q2410" s="2" t="s">
        <v>16124</v>
      </c>
      <c r="R2410" s="2" t="s">
        <v>16125</v>
      </c>
      <c r="S2410" s="2" t="s">
        <v>50</v>
      </c>
      <c r="T2410" s="2" t="s">
        <v>229</v>
      </c>
      <c r="U2410" s="2" t="s">
        <v>766</v>
      </c>
      <c r="V2410" s="2" t="s">
        <v>42</v>
      </c>
      <c r="W2410" s="2">
        <v>55.1</v>
      </c>
      <c r="X2410" s="2">
        <v>82.3</v>
      </c>
      <c r="Y2410" s="2" t="s">
        <v>141</v>
      </c>
      <c r="Z2410" s="2" t="s">
        <v>7423</v>
      </c>
      <c r="AA2410" s="2">
        <v>-1.56067647145842</v>
      </c>
      <c r="AB2410" s="2">
        <v>0.332428158135462</v>
      </c>
      <c r="AC2410" s="2">
        <v>36327.755920964802</v>
      </c>
      <c r="AD2410" s="2">
        <v>43857.150183865997</v>
      </c>
      <c r="AE2410" s="2">
        <v>35248.965592576496</v>
      </c>
      <c r="AF2410" s="2">
        <v>35571.005108210302</v>
      </c>
      <c r="AG2410" s="2">
        <v>36615.212593946897</v>
      </c>
      <c r="AH2410" s="2">
        <v>36538.532634638097</v>
      </c>
      <c r="AI2410" s="2">
        <v>37134.024353262597</v>
      </c>
      <c r="AJ2410" s="2">
        <v>36858.795243154498</v>
      </c>
      <c r="AK2410" s="2">
        <v>44172.849072328201</v>
      </c>
      <c r="AL2410" s="2">
        <v>41937.2275345452</v>
      </c>
      <c r="AM2410" s="2">
        <v>44911.157004523899</v>
      </c>
      <c r="AN2410" s="2">
        <v>42821.018257553202</v>
      </c>
      <c r="AO2410" s="2">
        <v>43218.900561042297</v>
      </c>
      <c r="AP2410" s="2">
        <v>46081.748673203198</v>
      </c>
    </row>
    <row r="2411" spans="1:42" ht="14.5" x14ac:dyDescent="0.35">
      <c r="A2411" s="2" t="s">
        <v>16126</v>
      </c>
      <c r="B2411" s="2">
        <v>641.24378666979499</v>
      </c>
      <c r="C2411" s="2">
        <v>4.6857333333333298</v>
      </c>
      <c r="D2411" s="2" t="s">
        <v>70</v>
      </c>
      <c r="E2411" s="2" t="s">
        <v>16127</v>
      </c>
      <c r="F2411" s="2">
        <v>198387</v>
      </c>
      <c r="G2411" s="3" t="str">
        <f>HYPERLINK("http://funmeta.oebiotech.com/network/198387", "http://funmeta.oebiotech.com/network/198387")</f>
        <v>http://funmeta.oebiotech.com/network/198387</v>
      </c>
      <c r="H2411" s="2" t="s">
        <v>16128</v>
      </c>
      <c r="I2411" s="2"/>
      <c r="J2411" s="2"/>
      <c r="K2411" s="2"/>
      <c r="L2411" s="2"/>
      <c r="M2411" s="2"/>
      <c r="N2411" s="2"/>
      <c r="O2411" s="2"/>
      <c r="P2411" s="2"/>
      <c r="Q2411" s="2" t="s">
        <v>16129</v>
      </c>
      <c r="R2411" s="2" t="s">
        <v>16130</v>
      </c>
      <c r="S2411" s="2" t="s">
        <v>41</v>
      </c>
      <c r="T2411" s="2" t="s">
        <v>41</v>
      </c>
      <c r="U2411" s="2" t="s">
        <v>41</v>
      </c>
      <c r="V2411" s="2" t="s">
        <v>59</v>
      </c>
      <c r="W2411" s="2">
        <v>37</v>
      </c>
      <c r="X2411" s="2">
        <v>0</v>
      </c>
      <c r="Y2411" s="2" t="s">
        <v>560</v>
      </c>
      <c r="Z2411" s="2" t="s">
        <v>16131</v>
      </c>
      <c r="AA2411" s="2">
        <v>2.87455742382142</v>
      </c>
      <c r="AB2411" s="2">
        <v>0.332288817047934</v>
      </c>
      <c r="AC2411" s="2">
        <v>35189.3081403342</v>
      </c>
      <c r="AD2411" s="2">
        <v>43630.918088333303</v>
      </c>
      <c r="AE2411" s="2">
        <v>34610.990802586297</v>
      </c>
      <c r="AF2411" s="2">
        <v>34880.337037515201</v>
      </c>
      <c r="AG2411" s="2">
        <v>28216.6190880861</v>
      </c>
      <c r="AH2411" s="2">
        <v>37499.141547073101</v>
      </c>
      <c r="AI2411" s="2">
        <v>39432.866193350797</v>
      </c>
      <c r="AJ2411" s="2">
        <v>36495.894173393899</v>
      </c>
      <c r="AK2411" s="2">
        <v>44328.348945925303</v>
      </c>
      <c r="AL2411" s="2">
        <v>44185.3707825862</v>
      </c>
      <c r="AM2411" s="2">
        <v>43982.168511546297</v>
      </c>
      <c r="AN2411" s="2">
        <v>45160.137854607601</v>
      </c>
      <c r="AO2411" s="2">
        <v>41936.046630503399</v>
      </c>
      <c r="AP2411" s="2">
        <v>42193.435804831199</v>
      </c>
    </row>
    <row r="2412" spans="1:42" ht="14.5" x14ac:dyDescent="0.35">
      <c r="A2412" s="2" t="s">
        <v>16132</v>
      </c>
      <c r="B2412" s="2">
        <v>669.34866719101399</v>
      </c>
      <c r="C2412" s="2">
        <v>7.8170500000000001</v>
      </c>
      <c r="D2412" s="2" t="s">
        <v>70</v>
      </c>
      <c r="E2412" s="2" t="s">
        <v>16133</v>
      </c>
      <c r="F2412" s="2">
        <v>45083</v>
      </c>
      <c r="G2412" s="3" t="str">
        <f>HYPERLINK("http://funmeta.oebiotech.com/network/45083", "http://funmeta.oebiotech.com/network/45083")</f>
        <v>http://funmeta.oebiotech.com/network/45083</v>
      </c>
      <c r="H2412" s="2"/>
      <c r="I2412" s="2"/>
      <c r="J2412" s="2" t="s">
        <v>16134</v>
      </c>
      <c r="K2412" s="2"/>
      <c r="L2412" s="2"/>
      <c r="M2412" s="2"/>
      <c r="N2412" s="2"/>
      <c r="O2412" s="2">
        <v>52931510</v>
      </c>
      <c r="P2412" s="2"/>
      <c r="Q2412" s="2" t="s">
        <v>16135</v>
      </c>
      <c r="R2412" s="2" t="s">
        <v>16136</v>
      </c>
      <c r="S2412" s="2" t="s">
        <v>50</v>
      </c>
      <c r="T2412" s="2" t="s">
        <v>124</v>
      </c>
      <c r="U2412" s="2" t="s">
        <v>523</v>
      </c>
      <c r="V2412" s="2" t="s">
        <v>42</v>
      </c>
      <c r="W2412" s="2">
        <v>51</v>
      </c>
      <c r="X2412" s="2">
        <v>62.9</v>
      </c>
      <c r="Y2412" s="2" t="s">
        <v>408</v>
      </c>
      <c r="Z2412" s="2" t="s">
        <v>16137</v>
      </c>
      <c r="AA2412" s="2">
        <v>-0.79788743093669001</v>
      </c>
      <c r="AB2412" s="2">
        <v>0.33228141648169401</v>
      </c>
      <c r="AC2412" s="2">
        <v>16838.748580657899</v>
      </c>
      <c r="AD2412" s="2">
        <v>9164.4415298286203</v>
      </c>
      <c r="AE2412" s="2">
        <v>16018.705415058401</v>
      </c>
      <c r="AF2412" s="2">
        <v>15772.265766205801</v>
      </c>
      <c r="AG2412" s="2">
        <v>18008.6392557504</v>
      </c>
      <c r="AH2412" s="2">
        <v>17111.252874187601</v>
      </c>
      <c r="AI2412" s="2">
        <v>18346.107636056899</v>
      </c>
      <c r="AJ2412" s="2">
        <v>15775.5205366881</v>
      </c>
      <c r="AK2412" s="2">
        <v>8742.9574656848599</v>
      </c>
      <c r="AL2412" s="2">
        <v>10586.4474332318</v>
      </c>
      <c r="AM2412" s="2">
        <v>9306.3224496777002</v>
      </c>
      <c r="AN2412" s="2">
        <v>11174.4971726234</v>
      </c>
      <c r="AO2412" s="2">
        <v>8676.1662400038294</v>
      </c>
      <c r="AP2412" s="2">
        <v>6500.2584177501103</v>
      </c>
    </row>
    <row r="2413" spans="1:42" ht="14.5" x14ac:dyDescent="0.35">
      <c r="A2413" s="2" t="s">
        <v>16138</v>
      </c>
      <c r="B2413" s="2">
        <v>1066.5506088679999</v>
      </c>
      <c r="C2413" s="2">
        <v>9.5044666666666693</v>
      </c>
      <c r="D2413" s="2" t="s">
        <v>34</v>
      </c>
      <c r="E2413" s="2" t="s">
        <v>16139</v>
      </c>
      <c r="F2413" s="2">
        <v>245472</v>
      </c>
      <c r="G2413" s="3" t="str">
        <f>HYPERLINK("http://funmeta.oebiotech.com/network/245472", "http://funmeta.oebiotech.com/network/245472")</f>
        <v>http://funmeta.oebiotech.com/network/245472</v>
      </c>
      <c r="H2413" s="2" t="s">
        <v>16140</v>
      </c>
      <c r="I2413" s="2"/>
      <c r="J2413" s="2"/>
      <c r="K2413" s="2"/>
      <c r="L2413" s="2"/>
      <c r="M2413" s="2"/>
      <c r="N2413" s="2"/>
      <c r="O2413" s="2"/>
      <c r="P2413" s="2"/>
      <c r="Q2413" s="2" t="s">
        <v>16141</v>
      </c>
      <c r="R2413" s="2" t="s">
        <v>16142</v>
      </c>
      <c r="S2413" s="2" t="s">
        <v>41</v>
      </c>
      <c r="T2413" s="2" t="s">
        <v>41</v>
      </c>
      <c r="U2413" s="2" t="s">
        <v>41</v>
      </c>
      <c r="V2413" s="2" t="s">
        <v>59</v>
      </c>
      <c r="W2413" s="2">
        <v>38.1</v>
      </c>
      <c r="X2413" s="2">
        <v>0</v>
      </c>
      <c r="Y2413" s="2" t="s">
        <v>141</v>
      </c>
      <c r="Z2413" s="2" t="s">
        <v>16143</v>
      </c>
      <c r="AA2413" s="2">
        <v>-2.08559513260334</v>
      </c>
      <c r="AB2413" s="2">
        <v>0.33221276046501003</v>
      </c>
      <c r="AC2413" s="2">
        <v>7936.1227100032502</v>
      </c>
      <c r="AD2413" s="2">
        <v>617.89449360115702</v>
      </c>
      <c r="AE2413" s="2">
        <v>7628.8133378413304</v>
      </c>
      <c r="AF2413" s="2">
        <v>8682.9741942441906</v>
      </c>
      <c r="AG2413" s="2">
        <v>6686.3836409134701</v>
      </c>
      <c r="AH2413" s="2">
        <v>8181.1994524818301</v>
      </c>
      <c r="AI2413" s="2">
        <v>8189.9568249635304</v>
      </c>
      <c r="AJ2413" s="2">
        <v>8247.4088095751704</v>
      </c>
      <c r="AK2413" s="2">
        <v>2.7106294003980101E-5</v>
      </c>
      <c r="AL2413" s="2">
        <v>747.33632524651398</v>
      </c>
      <c r="AM2413" s="2">
        <v>423.65055521418998</v>
      </c>
      <c r="AN2413" s="2">
        <v>921.95773927195</v>
      </c>
      <c r="AO2413" s="2">
        <v>919.77703645869701</v>
      </c>
      <c r="AP2413" s="2">
        <v>694.64527830929705</v>
      </c>
    </row>
    <row r="2414" spans="1:42" ht="14.5" x14ac:dyDescent="0.35">
      <c r="A2414" s="2" t="s">
        <v>16144</v>
      </c>
      <c r="B2414" s="2">
        <v>249.14927381180499</v>
      </c>
      <c r="C2414" s="2">
        <v>9.2702833333333299</v>
      </c>
      <c r="D2414" s="2" t="s">
        <v>70</v>
      </c>
      <c r="E2414" s="2" t="s">
        <v>16145</v>
      </c>
      <c r="F2414" s="2">
        <v>289929</v>
      </c>
      <c r="G2414" s="3" t="str">
        <f>HYPERLINK("http://funmeta.oebiotech.com/network/289929", "http://funmeta.oebiotech.com/network/289929")</f>
        <v>http://funmeta.oebiotech.com/network/289929</v>
      </c>
      <c r="H2414" s="2"/>
      <c r="I2414" s="2">
        <v>985294</v>
      </c>
      <c r="J2414" s="2"/>
      <c r="K2414" s="2"/>
      <c r="L2414" s="2"/>
      <c r="M2414" s="2"/>
      <c r="N2414" s="2"/>
      <c r="O2414" s="2">
        <v>133562036</v>
      </c>
      <c r="P2414" s="2"/>
      <c r="Q2414" s="2" t="s">
        <v>16146</v>
      </c>
      <c r="R2414" s="2" t="s">
        <v>16147</v>
      </c>
      <c r="S2414" s="2" t="s">
        <v>50</v>
      </c>
      <c r="T2414" s="2" t="s">
        <v>201</v>
      </c>
      <c r="U2414" s="2" t="s">
        <v>636</v>
      </c>
      <c r="V2414" s="2" t="s">
        <v>59</v>
      </c>
      <c r="W2414" s="2">
        <v>45.9</v>
      </c>
      <c r="X2414" s="2">
        <v>35.9</v>
      </c>
      <c r="Y2414" s="2" t="s">
        <v>118</v>
      </c>
      <c r="Z2414" s="2" t="s">
        <v>16148</v>
      </c>
      <c r="AA2414" s="2">
        <v>-1.3764178493871899</v>
      </c>
      <c r="AB2414" s="2">
        <v>0.33217494855743601</v>
      </c>
      <c r="AC2414" s="2">
        <v>10885.794922160399</v>
      </c>
      <c r="AD2414" s="2">
        <v>3598.5116522835201</v>
      </c>
      <c r="AE2414" s="2">
        <v>11789.876847330799</v>
      </c>
      <c r="AF2414" s="2">
        <v>10349.8021877711</v>
      </c>
      <c r="AG2414" s="2">
        <v>10966.277622515199</v>
      </c>
      <c r="AH2414" s="2">
        <v>10421.296715619799</v>
      </c>
      <c r="AI2414" s="2">
        <v>10427.9539160942</v>
      </c>
      <c r="AJ2414" s="2">
        <v>11359.562243631501</v>
      </c>
      <c r="AK2414" s="2">
        <v>3957.2792692824601</v>
      </c>
      <c r="AL2414" s="2">
        <v>3752.0518894300999</v>
      </c>
      <c r="AM2414" s="2">
        <v>3993.6275092524302</v>
      </c>
      <c r="AN2414" s="2">
        <v>3387.61673077556</v>
      </c>
      <c r="AO2414" s="2">
        <v>3040.10324824287</v>
      </c>
      <c r="AP2414" s="2">
        <v>3460.3912667177001</v>
      </c>
    </row>
    <row r="2415" spans="1:42" ht="14.5" x14ac:dyDescent="0.35">
      <c r="A2415" s="2" t="s">
        <v>16149</v>
      </c>
      <c r="B2415" s="2">
        <v>429.16116209691802</v>
      </c>
      <c r="C2415" s="2">
        <v>2.5205166666666701</v>
      </c>
      <c r="D2415" s="2" t="s">
        <v>70</v>
      </c>
      <c r="E2415" s="2" t="s">
        <v>16150</v>
      </c>
      <c r="F2415" s="2">
        <v>57325</v>
      </c>
      <c r="G2415" s="3" t="str">
        <f>HYPERLINK("http://funmeta.oebiotech.com/network/57325", "http://funmeta.oebiotech.com/network/57325")</f>
        <v>http://funmeta.oebiotech.com/network/57325</v>
      </c>
      <c r="H2415" s="2" t="s">
        <v>16151</v>
      </c>
      <c r="I2415" s="2">
        <v>88955</v>
      </c>
      <c r="J2415" s="2"/>
      <c r="K2415" s="2">
        <v>169193</v>
      </c>
      <c r="L2415" s="2"/>
      <c r="M2415" s="2"/>
      <c r="N2415" s="2"/>
      <c r="O2415" s="2">
        <v>85267368</v>
      </c>
      <c r="P2415" s="2"/>
      <c r="Q2415" s="2" t="s">
        <v>16152</v>
      </c>
      <c r="R2415" s="2" t="s">
        <v>16153</v>
      </c>
      <c r="S2415" s="2" t="s">
        <v>79</v>
      </c>
      <c r="T2415" s="2" t="s">
        <v>80</v>
      </c>
      <c r="U2415" s="2" t="s">
        <v>81</v>
      </c>
      <c r="V2415" s="2" t="s">
        <v>42</v>
      </c>
      <c r="W2415" s="2">
        <v>50.5</v>
      </c>
      <c r="X2415" s="2">
        <v>55.2</v>
      </c>
      <c r="Y2415" s="2" t="s">
        <v>408</v>
      </c>
      <c r="Z2415" s="2" t="s">
        <v>16154</v>
      </c>
      <c r="AA2415" s="2">
        <v>-0.52708385991538698</v>
      </c>
      <c r="AB2415" s="2">
        <v>0.33203468285999499</v>
      </c>
      <c r="AC2415" s="2">
        <v>9157.1135928437998</v>
      </c>
      <c r="AD2415" s="2">
        <v>16449.736931332998</v>
      </c>
      <c r="AE2415" s="2">
        <v>8838.3299549496005</v>
      </c>
      <c r="AF2415" s="2">
        <v>8682.9699505450008</v>
      </c>
      <c r="AG2415" s="2">
        <v>9222.1483424273192</v>
      </c>
      <c r="AH2415" s="2">
        <v>9144.3100629608107</v>
      </c>
      <c r="AI2415" s="2">
        <v>9576.5403004984601</v>
      </c>
      <c r="AJ2415" s="2">
        <v>9478.3829456815893</v>
      </c>
      <c r="AK2415" s="2">
        <v>16251.068817564799</v>
      </c>
      <c r="AL2415" s="2">
        <v>16450.979275658501</v>
      </c>
      <c r="AM2415" s="2">
        <v>15758.060659581701</v>
      </c>
      <c r="AN2415" s="2">
        <v>16282.861010144001</v>
      </c>
      <c r="AO2415" s="2">
        <v>16255.804305220599</v>
      </c>
      <c r="AP2415" s="2">
        <v>17699.647519828301</v>
      </c>
    </row>
    <row r="2416" spans="1:42" ht="14.5" x14ac:dyDescent="0.35">
      <c r="A2416" s="2" t="s">
        <v>16155</v>
      </c>
      <c r="B2416" s="2">
        <v>481.20652969593402</v>
      </c>
      <c r="C2416" s="2">
        <v>12.388916666666701</v>
      </c>
      <c r="D2416" s="2" t="s">
        <v>70</v>
      </c>
      <c r="E2416" s="2" t="s">
        <v>16156</v>
      </c>
      <c r="F2416" s="2">
        <v>60290</v>
      </c>
      <c r="G2416" s="3" t="str">
        <f>HYPERLINK("http://funmeta.oebiotech.com/network/60290", "http://funmeta.oebiotech.com/network/60290")</f>
        <v>http://funmeta.oebiotech.com/network/60290</v>
      </c>
      <c r="H2416" s="2" t="s">
        <v>16157</v>
      </c>
      <c r="I2416" s="2">
        <v>91661</v>
      </c>
      <c r="J2416" s="2"/>
      <c r="K2416" s="2"/>
      <c r="L2416" s="2"/>
      <c r="M2416" s="2"/>
      <c r="N2416" s="2"/>
      <c r="O2416" s="2">
        <v>78169621</v>
      </c>
      <c r="P2416" s="2" t="s">
        <v>16158</v>
      </c>
      <c r="Q2416" s="2" t="s">
        <v>16159</v>
      </c>
      <c r="R2416" s="2" t="s">
        <v>16160</v>
      </c>
      <c r="S2416" s="2" t="s">
        <v>50</v>
      </c>
      <c r="T2416" s="2" t="s">
        <v>201</v>
      </c>
      <c r="U2416" s="2" t="s">
        <v>636</v>
      </c>
      <c r="V2416" s="2" t="s">
        <v>59</v>
      </c>
      <c r="W2416" s="2">
        <v>38.1</v>
      </c>
      <c r="X2416" s="2">
        <v>0</v>
      </c>
      <c r="Y2416" s="2" t="s">
        <v>118</v>
      </c>
      <c r="Z2416" s="2" t="s">
        <v>16161</v>
      </c>
      <c r="AA2416" s="2">
        <v>-2.88493198538242</v>
      </c>
      <c r="AB2416" s="2">
        <v>0.33198516537218797</v>
      </c>
      <c r="AC2416" s="2">
        <v>9043.1415070233506</v>
      </c>
      <c r="AD2416" s="2">
        <v>1029.5703497350601</v>
      </c>
      <c r="AE2416" s="2">
        <v>11515.618144202201</v>
      </c>
      <c r="AF2416" s="2">
        <v>4480.5719668504798</v>
      </c>
      <c r="AG2416" s="2">
        <v>7822.5951862367601</v>
      </c>
      <c r="AH2416" s="2">
        <v>9911.4340739848103</v>
      </c>
      <c r="AI2416" s="2">
        <v>12155.300337385101</v>
      </c>
      <c r="AJ2416" s="2">
        <v>8373.3293334807604</v>
      </c>
      <c r="AK2416" s="2">
        <v>305.78992643237098</v>
      </c>
      <c r="AL2416" s="2">
        <v>1375.7253167640099</v>
      </c>
      <c r="AM2416" s="2">
        <v>1272.15107089056</v>
      </c>
      <c r="AN2416" s="2">
        <v>1446.07155708342</v>
      </c>
      <c r="AO2416" s="2">
        <v>1327.8909961321001</v>
      </c>
      <c r="AP2416" s="2">
        <v>449.793231107922</v>
      </c>
    </row>
    <row r="2417" spans="1:42" ht="14.5" x14ac:dyDescent="0.35">
      <c r="A2417" s="2" t="s">
        <v>16162</v>
      </c>
      <c r="B2417" s="2">
        <v>321.24325610945903</v>
      </c>
      <c r="C2417" s="2">
        <v>10.9087833333333</v>
      </c>
      <c r="D2417" s="2" t="s">
        <v>70</v>
      </c>
      <c r="E2417" s="2" t="s">
        <v>16163</v>
      </c>
      <c r="F2417" s="2">
        <v>82061</v>
      </c>
      <c r="G2417" s="3" t="str">
        <f>HYPERLINK("http://funmeta.oebiotech.com/network/82061", "http://funmeta.oebiotech.com/network/82061")</f>
        <v>http://funmeta.oebiotech.com/network/82061</v>
      </c>
      <c r="H2417" s="2" t="s">
        <v>16164</v>
      </c>
      <c r="I2417" s="2">
        <v>36269</v>
      </c>
      <c r="J2417" s="2"/>
      <c r="K2417" s="2"/>
      <c r="L2417" s="2"/>
      <c r="M2417" s="2"/>
      <c r="N2417" s="2"/>
      <c r="O2417" s="2">
        <v>35025143</v>
      </c>
      <c r="P2417" s="2"/>
      <c r="Q2417" s="2" t="s">
        <v>16165</v>
      </c>
      <c r="R2417" s="2" t="s">
        <v>16166</v>
      </c>
      <c r="S2417" s="2" t="s">
        <v>50</v>
      </c>
      <c r="T2417" s="2" t="s">
        <v>229</v>
      </c>
      <c r="U2417" s="2" t="s">
        <v>766</v>
      </c>
      <c r="V2417" s="2" t="s">
        <v>42</v>
      </c>
      <c r="W2417" s="2">
        <v>50.8</v>
      </c>
      <c r="X2417" s="2">
        <v>58.9</v>
      </c>
      <c r="Y2417" s="2" t="s">
        <v>118</v>
      </c>
      <c r="Z2417" s="2" t="s">
        <v>16167</v>
      </c>
      <c r="AA2417" s="2">
        <v>-0.81429620925924195</v>
      </c>
      <c r="AB2417" s="2">
        <v>0.33175694008744799</v>
      </c>
      <c r="AC2417" s="2">
        <v>9530.6595265631895</v>
      </c>
      <c r="AD2417" s="2">
        <v>2293.6303535090801</v>
      </c>
      <c r="AE2417" s="2">
        <v>9519.5470902604793</v>
      </c>
      <c r="AF2417" s="2">
        <v>9566.4626954962696</v>
      </c>
      <c r="AG2417" s="2">
        <v>9186.5110950974395</v>
      </c>
      <c r="AH2417" s="2">
        <v>10122.9635459196</v>
      </c>
      <c r="AI2417" s="2">
        <v>9517.3523085278794</v>
      </c>
      <c r="AJ2417" s="2">
        <v>9271.1204240774696</v>
      </c>
      <c r="AK2417" s="2">
        <v>2162.5325565172702</v>
      </c>
      <c r="AL2417" s="2">
        <v>2370.52770340487</v>
      </c>
      <c r="AM2417" s="2">
        <v>2430.75917529349</v>
      </c>
      <c r="AN2417" s="2">
        <v>2299.6449419549799</v>
      </c>
      <c r="AO2417" s="2">
        <v>2250.8327960250799</v>
      </c>
      <c r="AP2417" s="2">
        <v>2247.4849478587798</v>
      </c>
    </row>
    <row r="2418" spans="1:42" ht="14.5" x14ac:dyDescent="0.35">
      <c r="A2418" s="2" t="s">
        <v>16168</v>
      </c>
      <c r="B2418" s="2">
        <v>505.31702472039302</v>
      </c>
      <c r="C2418" s="2">
        <v>5.9542333333333302</v>
      </c>
      <c r="D2418" s="2" t="s">
        <v>70</v>
      </c>
      <c r="E2418" s="2" t="s">
        <v>16169</v>
      </c>
      <c r="F2418" s="2">
        <v>56970</v>
      </c>
      <c r="G2418" s="3" t="str">
        <f>HYPERLINK("http://funmeta.oebiotech.com/network/56970", "http://funmeta.oebiotech.com/network/56970")</f>
        <v>http://funmeta.oebiotech.com/network/56970</v>
      </c>
      <c r="H2418" s="2" t="s">
        <v>16170</v>
      </c>
      <c r="I2418" s="2">
        <v>88628</v>
      </c>
      <c r="J2418" s="2"/>
      <c r="K2418" s="2"/>
      <c r="L2418" s="2"/>
      <c r="M2418" s="2"/>
      <c r="N2418" s="2"/>
      <c r="O2418" s="2">
        <v>131751284</v>
      </c>
      <c r="P2418" s="2" t="s">
        <v>16171</v>
      </c>
      <c r="Q2418" s="2" t="s">
        <v>16172</v>
      </c>
      <c r="R2418" s="2" t="s">
        <v>16173</v>
      </c>
      <c r="S2418" s="2" t="s">
        <v>50</v>
      </c>
      <c r="T2418" s="2" t="s">
        <v>124</v>
      </c>
      <c r="U2418" s="2" t="s">
        <v>723</v>
      </c>
      <c r="V2418" s="2" t="s">
        <v>59</v>
      </c>
      <c r="W2418" s="2">
        <v>38.200000000000003</v>
      </c>
      <c r="X2418" s="2">
        <v>0</v>
      </c>
      <c r="Y2418" s="2" t="s">
        <v>408</v>
      </c>
      <c r="Z2418" s="2" t="s">
        <v>16174</v>
      </c>
      <c r="AA2418" s="2">
        <v>-0.11439567337871</v>
      </c>
      <c r="AB2418" s="2">
        <v>0.33173376119151199</v>
      </c>
      <c r="AC2418" s="2">
        <v>8798.1026121288105</v>
      </c>
      <c r="AD2418" s="2">
        <v>1338.6320222229599</v>
      </c>
      <c r="AE2418" s="2">
        <v>8779.8921206944797</v>
      </c>
      <c r="AF2418" s="2">
        <v>10317.3484410704</v>
      </c>
      <c r="AG2418" s="2">
        <v>8151.0605873514996</v>
      </c>
      <c r="AH2418" s="2">
        <v>9230.8052123763791</v>
      </c>
      <c r="AI2418" s="2">
        <v>9791.9215416522493</v>
      </c>
      <c r="AJ2418" s="2">
        <v>6517.5877696278403</v>
      </c>
      <c r="AK2418" s="2">
        <v>1893.5368773786699</v>
      </c>
      <c r="AL2418" s="2">
        <v>367.574155427753</v>
      </c>
      <c r="AM2418" s="2">
        <v>1115.71030042915</v>
      </c>
      <c r="AN2418" s="2">
        <v>1515.1027079103501</v>
      </c>
      <c r="AO2418" s="2">
        <v>1676.4485371308699</v>
      </c>
      <c r="AP2418" s="2">
        <v>1463.41955506098</v>
      </c>
    </row>
    <row r="2419" spans="1:42" ht="14.5" x14ac:dyDescent="0.35">
      <c r="A2419" s="2" t="s">
        <v>16175</v>
      </c>
      <c r="B2419" s="2">
        <v>565.04767853509099</v>
      </c>
      <c r="C2419" s="2">
        <v>0.65605000000000002</v>
      </c>
      <c r="D2419" s="2" t="s">
        <v>70</v>
      </c>
      <c r="E2419" s="2" t="s">
        <v>16176</v>
      </c>
      <c r="F2419" s="2">
        <v>46974</v>
      </c>
      <c r="G2419" s="3" t="str">
        <f>HYPERLINK("http://funmeta.oebiotech.com/network/46974", "http://funmeta.oebiotech.com/network/46974")</f>
        <v>http://funmeta.oebiotech.com/network/46974</v>
      </c>
      <c r="H2419" s="2" t="s">
        <v>16177</v>
      </c>
      <c r="I2419" s="2">
        <v>3598</v>
      </c>
      <c r="J2419" s="2"/>
      <c r="K2419" s="2">
        <v>46229</v>
      </c>
      <c r="L2419" s="2" t="s">
        <v>16178</v>
      </c>
      <c r="M2419" s="2" t="s">
        <v>16179</v>
      </c>
      <c r="N2419" s="2" t="s">
        <v>16180</v>
      </c>
      <c r="O2419" s="2">
        <v>8629</v>
      </c>
      <c r="P2419" s="2" t="s">
        <v>16181</v>
      </c>
      <c r="Q2419" s="2" t="s">
        <v>16182</v>
      </c>
      <c r="R2419" s="2" t="s">
        <v>16183</v>
      </c>
      <c r="S2419" s="2" t="s">
        <v>1444</v>
      </c>
      <c r="T2419" s="2" t="s">
        <v>4040</v>
      </c>
      <c r="U2419" s="2" t="s">
        <v>4041</v>
      </c>
      <c r="V2419" s="2" t="s">
        <v>59</v>
      </c>
      <c r="W2419" s="2">
        <v>42.6</v>
      </c>
      <c r="X2419" s="2">
        <v>18.8</v>
      </c>
      <c r="Y2419" s="2" t="s">
        <v>118</v>
      </c>
      <c r="Z2419" s="2" t="s">
        <v>16184</v>
      </c>
      <c r="AA2419" s="2">
        <v>-0.11589811304855301</v>
      </c>
      <c r="AB2419" s="2">
        <v>0.33164465133668403</v>
      </c>
      <c r="AC2419" s="2">
        <v>30848.3228976637</v>
      </c>
      <c r="AD2419" s="2">
        <v>21432.3107747256</v>
      </c>
      <c r="AE2419" s="2">
        <v>26086.8228212004</v>
      </c>
      <c r="AF2419" s="2">
        <v>39972.231912272699</v>
      </c>
      <c r="AG2419" s="2">
        <v>33856.674207514203</v>
      </c>
      <c r="AH2419" s="2">
        <v>29803.8094027962</v>
      </c>
      <c r="AI2419" s="2">
        <v>27862.126515449399</v>
      </c>
      <c r="AJ2419" s="2">
        <v>27508.272526749501</v>
      </c>
      <c r="AK2419" s="2">
        <v>25473.0326171997</v>
      </c>
      <c r="AL2419" s="2">
        <v>19783.374302139298</v>
      </c>
      <c r="AM2419" s="2">
        <v>16492.5603218055</v>
      </c>
      <c r="AN2419" s="2">
        <v>20494.456921917401</v>
      </c>
      <c r="AO2419" s="2">
        <v>21078.5907313758</v>
      </c>
      <c r="AP2419" s="2">
        <v>25271.8497539161</v>
      </c>
    </row>
    <row r="2420" spans="1:42" ht="14.5" x14ac:dyDescent="0.35">
      <c r="A2420" s="2" t="s">
        <v>16185</v>
      </c>
      <c r="B2420" s="2">
        <v>719.255382955154</v>
      </c>
      <c r="C2420" s="2">
        <v>6.8957833333333296</v>
      </c>
      <c r="D2420" s="2" t="s">
        <v>70</v>
      </c>
      <c r="E2420" s="2" t="s">
        <v>16186</v>
      </c>
      <c r="F2420" s="2">
        <v>36263</v>
      </c>
      <c r="G2420" s="3" t="str">
        <f>HYPERLINK("http://funmeta.oebiotech.com/network/36263", "http://funmeta.oebiotech.com/network/36263")</f>
        <v>http://funmeta.oebiotech.com/network/36263</v>
      </c>
      <c r="H2420" s="2"/>
      <c r="I2420" s="2">
        <v>41274</v>
      </c>
      <c r="J2420" s="2" t="s">
        <v>16187</v>
      </c>
      <c r="K2420" s="2">
        <v>2942</v>
      </c>
      <c r="L2420" s="2" t="s">
        <v>16188</v>
      </c>
      <c r="M2420" s="2"/>
      <c r="N2420" s="2"/>
      <c r="O2420" s="2">
        <v>5281303</v>
      </c>
      <c r="P2420" s="2"/>
      <c r="Q2420" s="2" t="s">
        <v>16189</v>
      </c>
      <c r="R2420" s="2" t="s">
        <v>16190</v>
      </c>
      <c r="S2420" s="2" t="s">
        <v>50</v>
      </c>
      <c r="T2420" s="2" t="s">
        <v>201</v>
      </c>
      <c r="U2420" s="2" t="s">
        <v>210</v>
      </c>
      <c r="V2420" s="2" t="s">
        <v>59</v>
      </c>
      <c r="W2420" s="2">
        <v>39.200000000000003</v>
      </c>
      <c r="X2420" s="2">
        <v>0</v>
      </c>
      <c r="Y2420" s="2" t="s">
        <v>118</v>
      </c>
      <c r="Z2420" s="2" t="s">
        <v>10298</v>
      </c>
      <c r="AA2420" s="2">
        <v>-0.38310576820334302</v>
      </c>
      <c r="AB2420" s="2">
        <v>0.33161630099445299</v>
      </c>
      <c r="AC2420" s="2">
        <v>8627.2948070013499</v>
      </c>
      <c r="AD2420" s="2">
        <v>16078.7981539141</v>
      </c>
      <c r="AE2420" s="2">
        <v>9841.0405490998201</v>
      </c>
      <c r="AF2420" s="2">
        <v>7915.8802001020204</v>
      </c>
      <c r="AG2420" s="2">
        <v>7589.8104392526002</v>
      </c>
      <c r="AH2420" s="2">
        <v>8070.9822423349697</v>
      </c>
      <c r="AI2420" s="2">
        <v>9652.3977941356006</v>
      </c>
      <c r="AJ2420" s="2">
        <v>8693.6576170830904</v>
      </c>
      <c r="AK2420" s="2">
        <v>16020.8012781653</v>
      </c>
      <c r="AL2420" s="2">
        <v>18004.696051031198</v>
      </c>
      <c r="AM2420" s="2">
        <v>16035.7587323848</v>
      </c>
      <c r="AN2420" s="2">
        <v>15481.9762051159</v>
      </c>
      <c r="AO2420" s="2">
        <v>14488.4201727573</v>
      </c>
      <c r="AP2420" s="2">
        <v>16441.136484030299</v>
      </c>
    </row>
    <row r="2421" spans="1:42" ht="14.5" x14ac:dyDescent="0.35">
      <c r="A2421" s="2" t="s">
        <v>16191</v>
      </c>
      <c r="B2421" s="2">
        <v>578.34744704608295</v>
      </c>
      <c r="C2421" s="2">
        <v>8.8588333333333296</v>
      </c>
      <c r="D2421" s="2" t="s">
        <v>34</v>
      </c>
      <c r="E2421" s="2" t="s">
        <v>16192</v>
      </c>
      <c r="F2421" s="2">
        <v>198851</v>
      </c>
      <c r="G2421" s="3" t="str">
        <f>HYPERLINK("http://funmeta.oebiotech.com/network/198851", "http://funmeta.oebiotech.com/network/198851")</f>
        <v>http://funmeta.oebiotech.com/network/198851</v>
      </c>
      <c r="H2421" s="2" t="s">
        <v>16193</v>
      </c>
      <c r="I2421" s="2"/>
      <c r="J2421" s="2"/>
      <c r="K2421" s="2"/>
      <c r="L2421" s="2"/>
      <c r="M2421" s="2"/>
      <c r="N2421" s="2"/>
      <c r="O2421" s="2">
        <v>53462072</v>
      </c>
      <c r="P2421" s="2"/>
      <c r="Q2421" s="2" t="s">
        <v>16194</v>
      </c>
      <c r="R2421" s="2" t="s">
        <v>16195</v>
      </c>
      <c r="S2421" s="2" t="s">
        <v>50</v>
      </c>
      <c r="T2421" s="2" t="s">
        <v>124</v>
      </c>
      <c r="U2421" s="2" t="s">
        <v>125</v>
      </c>
      <c r="V2421" s="2" t="s">
        <v>59</v>
      </c>
      <c r="W2421" s="2">
        <v>38.799999999999997</v>
      </c>
      <c r="X2421" s="2">
        <v>1.07</v>
      </c>
      <c r="Y2421" s="2" t="s">
        <v>323</v>
      </c>
      <c r="Z2421" s="2" t="s">
        <v>16196</v>
      </c>
      <c r="AA2421" s="2">
        <v>4.0299781409013198</v>
      </c>
      <c r="AB2421" s="2">
        <v>0.33135437307111898</v>
      </c>
      <c r="AC2421" s="2">
        <v>41755.7958931049</v>
      </c>
      <c r="AD2421" s="2">
        <v>52786.091175574104</v>
      </c>
      <c r="AE2421" s="2">
        <v>40352.627574962702</v>
      </c>
      <c r="AF2421" s="2">
        <v>46482.681706553201</v>
      </c>
      <c r="AG2421" s="2">
        <v>44246.8491071709</v>
      </c>
      <c r="AH2421" s="2">
        <v>38660.766658152002</v>
      </c>
      <c r="AI2421" s="2">
        <v>36752.137136040801</v>
      </c>
      <c r="AJ2421" s="2">
        <v>44039.713175749697</v>
      </c>
      <c r="AK2421" s="2">
        <v>50702.910614091001</v>
      </c>
      <c r="AL2421" s="2">
        <v>69465.148878503605</v>
      </c>
      <c r="AM2421" s="2">
        <v>47607.317870422099</v>
      </c>
      <c r="AN2421" s="2">
        <v>50142.790154804497</v>
      </c>
      <c r="AO2421" s="2">
        <v>54642.1438912702</v>
      </c>
      <c r="AP2421" s="2">
        <v>44156.235644353197</v>
      </c>
    </row>
    <row r="2422" spans="1:42" ht="14.5" x14ac:dyDescent="0.35">
      <c r="A2422" s="2" t="s">
        <v>16197</v>
      </c>
      <c r="B2422" s="2">
        <v>525.19456077183395</v>
      </c>
      <c r="C2422" s="2">
        <v>4.3791333333333302</v>
      </c>
      <c r="D2422" s="2" t="s">
        <v>34</v>
      </c>
      <c r="E2422" s="2" t="s">
        <v>16198</v>
      </c>
      <c r="F2422" s="2">
        <v>60139</v>
      </c>
      <c r="G2422" s="3" t="str">
        <f>HYPERLINK("http://funmeta.oebiotech.com/network/60139", "http://funmeta.oebiotech.com/network/60139")</f>
        <v>http://funmeta.oebiotech.com/network/60139</v>
      </c>
      <c r="H2422" s="2" t="s">
        <v>16199</v>
      </c>
      <c r="I2422" s="2">
        <v>91521</v>
      </c>
      <c r="J2422" s="2"/>
      <c r="K2422" s="2"/>
      <c r="L2422" s="2"/>
      <c r="M2422" s="2"/>
      <c r="N2422" s="2"/>
      <c r="O2422" s="2">
        <v>131751981</v>
      </c>
      <c r="P2422" s="2"/>
      <c r="Q2422" s="2" t="s">
        <v>16200</v>
      </c>
      <c r="R2422" s="2" t="s">
        <v>16201</v>
      </c>
      <c r="S2422" s="2" t="s">
        <v>79</v>
      </c>
      <c r="T2422" s="2" t="s">
        <v>80</v>
      </c>
      <c r="U2422" s="2" t="s">
        <v>81</v>
      </c>
      <c r="V2422" s="2" t="s">
        <v>59</v>
      </c>
      <c r="W2422" s="2">
        <v>37.200000000000003</v>
      </c>
      <c r="X2422" s="2">
        <v>0</v>
      </c>
      <c r="Y2422" s="2" t="s">
        <v>43</v>
      </c>
      <c r="Z2422" s="2" t="s">
        <v>16202</v>
      </c>
      <c r="AA2422" s="2">
        <v>-1.4777321195477899</v>
      </c>
      <c r="AB2422" s="2">
        <v>0.33121043812364198</v>
      </c>
      <c r="AC2422" s="2">
        <v>75408.043361479795</v>
      </c>
      <c r="AD2422" s="2">
        <v>84994.4847887754</v>
      </c>
      <c r="AE2422" s="2">
        <v>73588.874348784695</v>
      </c>
      <c r="AF2422" s="2">
        <v>77246.5810926548</v>
      </c>
      <c r="AG2422" s="2">
        <v>70584.3474317972</v>
      </c>
      <c r="AH2422" s="2">
        <v>70634.972527568098</v>
      </c>
      <c r="AI2422" s="2">
        <v>84252.396229879596</v>
      </c>
      <c r="AJ2422" s="2">
        <v>76141.088538194395</v>
      </c>
      <c r="AK2422" s="2">
        <v>87780.243667455201</v>
      </c>
      <c r="AL2422" s="2">
        <v>85978.338752190903</v>
      </c>
      <c r="AM2422" s="2">
        <v>82686.711705006106</v>
      </c>
      <c r="AN2422" s="2">
        <v>86463.163164536105</v>
      </c>
      <c r="AO2422" s="2">
        <v>77553.282870144598</v>
      </c>
      <c r="AP2422" s="2">
        <v>89505.168573319505</v>
      </c>
    </row>
    <row r="2423" spans="1:42" ht="14.5" x14ac:dyDescent="0.35">
      <c r="A2423" s="2" t="s">
        <v>16203</v>
      </c>
      <c r="B2423" s="2">
        <v>203.15016646256501</v>
      </c>
      <c r="C2423" s="2">
        <v>0.71894999999999998</v>
      </c>
      <c r="D2423" s="2" t="s">
        <v>34</v>
      </c>
      <c r="E2423" s="2" t="s">
        <v>16204</v>
      </c>
      <c r="F2423" s="2">
        <v>47640</v>
      </c>
      <c r="G2423" s="3" t="str">
        <f>HYPERLINK("http://funmeta.oebiotech.com/network/47640", "http://funmeta.oebiotech.com/network/47640")</f>
        <v>http://funmeta.oebiotech.com/network/47640</v>
      </c>
      <c r="H2423" s="2" t="s">
        <v>16205</v>
      </c>
      <c r="I2423" s="2">
        <v>6891</v>
      </c>
      <c r="J2423" s="2"/>
      <c r="K2423" s="2">
        <v>17929</v>
      </c>
      <c r="L2423" s="2" t="s">
        <v>16206</v>
      </c>
      <c r="M2423" s="2"/>
      <c r="N2423" s="2"/>
      <c r="O2423" s="2">
        <v>123831</v>
      </c>
      <c r="P2423" s="2" t="s">
        <v>16207</v>
      </c>
      <c r="Q2423" s="2" t="s">
        <v>16208</v>
      </c>
      <c r="R2423" s="2" t="s">
        <v>16209</v>
      </c>
      <c r="S2423" s="2" t="s">
        <v>89</v>
      </c>
      <c r="T2423" s="2" t="s">
        <v>90</v>
      </c>
      <c r="U2423" s="2" t="s">
        <v>99</v>
      </c>
      <c r="V2423" s="2" t="s">
        <v>59</v>
      </c>
      <c r="W2423" s="2">
        <v>38.700000000000003</v>
      </c>
      <c r="X2423" s="2">
        <v>0</v>
      </c>
      <c r="Y2423" s="2" t="s">
        <v>394</v>
      </c>
      <c r="Z2423" s="2" t="s">
        <v>16210</v>
      </c>
      <c r="AA2423" s="2">
        <v>-0.424476857349744</v>
      </c>
      <c r="AB2423" s="2">
        <v>0.331119875494713</v>
      </c>
      <c r="AC2423" s="2">
        <v>9033.5406487454002</v>
      </c>
      <c r="AD2423" s="2">
        <v>1609.12323572421</v>
      </c>
      <c r="AE2423" s="2">
        <v>6909.1082156995399</v>
      </c>
      <c r="AF2423" s="2">
        <v>8816.2256886697905</v>
      </c>
      <c r="AG2423" s="2">
        <v>9270.5563812748296</v>
      </c>
      <c r="AH2423" s="2">
        <v>10599.475565737999</v>
      </c>
      <c r="AI2423" s="2">
        <v>9511.8235844347091</v>
      </c>
      <c r="AJ2423" s="2">
        <v>9094.0544566555109</v>
      </c>
      <c r="AK2423" s="2">
        <v>847.35520542116603</v>
      </c>
      <c r="AL2423" s="2">
        <v>851.93025621743595</v>
      </c>
      <c r="AM2423" s="2">
        <v>1370.14355319164</v>
      </c>
      <c r="AN2423" s="2">
        <v>1722.00606310331</v>
      </c>
      <c r="AO2423" s="2">
        <v>2188.4672028309601</v>
      </c>
      <c r="AP2423" s="2">
        <v>2674.8371335807501</v>
      </c>
    </row>
    <row r="2424" spans="1:42" ht="14.5" x14ac:dyDescent="0.35">
      <c r="A2424" s="2" t="s">
        <v>16211</v>
      </c>
      <c r="B2424" s="2">
        <v>267.14381675021002</v>
      </c>
      <c r="C2424" s="2">
        <v>3.49291666666667</v>
      </c>
      <c r="D2424" s="2" t="s">
        <v>34</v>
      </c>
      <c r="E2424" s="2" t="s">
        <v>16212</v>
      </c>
      <c r="F2424" s="2">
        <v>211340</v>
      </c>
      <c r="G2424" s="3" t="str">
        <f>HYPERLINK("http://funmeta.oebiotech.com/network/211340", "http://funmeta.oebiotech.com/network/211340")</f>
        <v>http://funmeta.oebiotech.com/network/211340</v>
      </c>
      <c r="H2424" s="2" t="s">
        <v>16213</v>
      </c>
      <c r="I2424" s="2"/>
      <c r="J2424" s="2"/>
      <c r="K2424" s="2"/>
      <c r="L2424" s="2"/>
      <c r="M2424" s="2"/>
      <c r="N2424" s="2"/>
      <c r="O2424" s="2">
        <v>57603463</v>
      </c>
      <c r="P2424" s="2"/>
      <c r="Q2424" s="2" t="s">
        <v>16214</v>
      </c>
      <c r="R2424" s="2" t="s">
        <v>16215</v>
      </c>
      <c r="S2424" s="2" t="s">
        <v>41</v>
      </c>
      <c r="T2424" s="2" t="s">
        <v>41</v>
      </c>
      <c r="U2424" s="2" t="s">
        <v>41</v>
      </c>
      <c r="V2424" s="2" t="s">
        <v>59</v>
      </c>
      <c r="W2424" s="2">
        <v>41.5</v>
      </c>
      <c r="X2424" s="2">
        <v>17.100000000000001</v>
      </c>
      <c r="Y2424" s="2" t="s">
        <v>323</v>
      </c>
      <c r="Z2424" s="2" t="s">
        <v>16216</v>
      </c>
      <c r="AA2424" s="2">
        <v>4.32330789943759</v>
      </c>
      <c r="AB2424" s="2">
        <v>0.33089809763023398</v>
      </c>
      <c r="AC2424" s="2">
        <v>14929.9795252474</v>
      </c>
      <c r="AD2424" s="2">
        <v>22462.451575364001</v>
      </c>
      <c r="AE2424" s="2">
        <v>14577.438940157899</v>
      </c>
      <c r="AF2424" s="2">
        <v>15056.7343575511</v>
      </c>
      <c r="AG2424" s="2">
        <v>14474.6769546591</v>
      </c>
      <c r="AH2424" s="2">
        <v>14033.672683938101</v>
      </c>
      <c r="AI2424" s="2">
        <v>16714.233054653399</v>
      </c>
      <c r="AJ2424" s="2">
        <v>14723.121160524501</v>
      </c>
      <c r="AK2424" s="2">
        <v>22820.900014733201</v>
      </c>
      <c r="AL2424" s="2">
        <v>20100.732451509499</v>
      </c>
      <c r="AM2424" s="2">
        <v>22207.344393536601</v>
      </c>
      <c r="AN2424" s="2">
        <v>21671.391322730899</v>
      </c>
      <c r="AO2424" s="2">
        <v>22806.774440662201</v>
      </c>
      <c r="AP2424" s="2">
        <v>25167.566829011601</v>
      </c>
    </row>
    <row r="2425" spans="1:42" ht="14.5" x14ac:dyDescent="0.35">
      <c r="A2425" s="2" t="s">
        <v>16217</v>
      </c>
      <c r="B2425" s="2">
        <v>477.17192676936003</v>
      </c>
      <c r="C2425" s="2">
        <v>4.3632666666666697</v>
      </c>
      <c r="D2425" s="2" t="s">
        <v>34</v>
      </c>
      <c r="E2425" s="2" t="s">
        <v>16218</v>
      </c>
      <c r="F2425" s="2">
        <v>61089</v>
      </c>
      <c r="G2425" s="3" t="str">
        <f>HYPERLINK("http://funmeta.oebiotech.com/network/61089", "http://funmeta.oebiotech.com/network/61089")</f>
        <v>http://funmeta.oebiotech.com/network/61089</v>
      </c>
      <c r="H2425" s="2" t="s">
        <v>16219</v>
      </c>
      <c r="I2425" s="2">
        <v>92408</v>
      </c>
      <c r="J2425" s="2"/>
      <c r="K2425" s="2">
        <v>168348</v>
      </c>
      <c r="L2425" s="2"/>
      <c r="M2425" s="2"/>
      <c r="N2425" s="2"/>
      <c r="O2425" s="2">
        <v>22297200</v>
      </c>
      <c r="P2425" s="2" t="s">
        <v>16220</v>
      </c>
      <c r="Q2425" s="2" t="s">
        <v>16221</v>
      </c>
      <c r="R2425" s="2" t="s">
        <v>16222</v>
      </c>
      <c r="S2425" s="2" t="s">
        <v>79</v>
      </c>
      <c r="T2425" s="2" t="s">
        <v>80</v>
      </c>
      <c r="U2425" s="2" t="s">
        <v>81</v>
      </c>
      <c r="V2425" s="2" t="s">
        <v>59</v>
      </c>
      <c r="W2425" s="2">
        <v>38.5</v>
      </c>
      <c r="X2425" s="2">
        <v>0</v>
      </c>
      <c r="Y2425" s="2" t="s">
        <v>43</v>
      </c>
      <c r="Z2425" s="2" t="s">
        <v>16223</v>
      </c>
      <c r="AA2425" s="2">
        <v>0.92782211700308703</v>
      </c>
      <c r="AB2425" s="2">
        <v>0.330883407588832</v>
      </c>
      <c r="AC2425" s="2">
        <v>51966.023453907997</v>
      </c>
      <c r="AD2425" s="2">
        <v>61159.154986545203</v>
      </c>
      <c r="AE2425" s="2">
        <v>51635.314801803899</v>
      </c>
      <c r="AF2425" s="2">
        <v>57686.944548417101</v>
      </c>
      <c r="AG2425" s="2">
        <v>53287.701894559301</v>
      </c>
      <c r="AH2425" s="2">
        <v>47573.137590312203</v>
      </c>
      <c r="AI2425" s="2">
        <v>50492.838349853198</v>
      </c>
      <c r="AJ2425" s="2">
        <v>51120.203538502399</v>
      </c>
      <c r="AK2425" s="2">
        <v>69351.062337100098</v>
      </c>
      <c r="AL2425" s="2">
        <v>58890.663699463003</v>
      </c>
      <c r="AM2425" s="2">
        <v>57331.648469276799</v>
      </c>
      <c r="AN2425" s="2">
        <v>61115.772663691001</v>
      </c>
      <c r="AO2425" s="2">
        <v>62487.813470109599</v>
      </c>
      <c r="AP2425" s="2">
        <v>57777.969279630903</v>
      </c>
    </row>
    <row r="2426" spans="1:42" ht="14.5" x14ac:dyDescent="0.35">
      <c r="A2426" s="2" t="s">
        <v>16224</v>
      </c>
      <c r="B2426" s="2">
        <v>603.22133497651305</v>
      </c>
      <c r="C2426" s="2">
        <v>6.2733666666666696</v>
      </c>
      <c r="D2426" s="2" t="s">
        <v>70</v>
      </c>
      <c r="E2426" s="2" t="s">
        <v>16225</v>
      </c>
      <c r="F2426" s="2">
        <v>209860</v>
      </c>
      <c r="G2426" s="3" t="str">
        <f>HYPERLINK("http://funmeta.oebiotech.com/network/209860", "http://funmeta.oebiotech.com/network/209860")</f>
        <v>http://funmeta.oebiotech.com/network/209860</v>
      </c>
      <c r="H2426" s="2" t="s">
        <v>16226</v>
      </c>
      <c r="I2426" s="2">
        <v>43884</v>
      </c>
      <c r="J2426" s="2"/>
      <c r="K2426" s="2"/>
      <c r="L2426" s="2"/>
      <c r="M2426" s="2"/>
      <c r="N2426" s="2"/>
      <c r="O2426" s="2">
        <v>130881</v>
      </c>
      <c r="P2426" s="2" t="s">
        <v>16227</v>
      </c>
      <c r="Q2426" s="2" t="s">
        <v>16228</v>
      </c>
      <c r="R2426" s="2" t="s">
        <v>16229</v>
      </c>
      <c r="S2426" s="2" t="s">
        <v>148</v>
      </c>
      <c r="T2426" s="2" t="s">
        <v>149</v>
      </c>
      <c r="U2426" s="2" t="s">
        <v>5292</v>
      </c>
      <c r="V2426" s="2" t="s">
        <v>59</v>
      </c>
      <c r="W2426" s="2">
        <v>38.6</v>
      </c>
      <c r="X2426" s="2">
        <v>2.4900000000000002</v>
      </c>
      <c r="Y2426" s="2" t="s">
        <v>408</v>
      </c>
      <c r="Z2426" s="2" t="s">
        <v>16230</v>
      </c>
      <c r="AA2426" s="2">
        <v>0.80505193974206501</v>
      </c>
      <c r="AB2426" s="2">
        <v>0.33068036770501302</v>
      </c>
      <c r="AC2426" s="2">
        <v>397948.59475720901</v>
      </c>
      <c r="AD2426" s="2">
        <v>380512.93912087899</v>
      </c>
      <c r="AE2426" s="2">
        <v>395792.41359049099</v>
      </c>
      <c r="AF2426" s="2">
        <v>381940.24185553502</v>
      </c>
      <c r="AG2426" s="2">
        <v>414174.68102912197</v>
      </c>
      <c r="AH2426" s="2">
        <v>384939.87730621599</v>
      </c>
      <c r="AI2426" s="2">
        <v>363497.610877681</v>
      </c>
      <c r="AJ2426" s="2">
        <v>447346.743884211</v>
      </c>
      <c r="AK2426" s="2">
        <v>364018.48502946697</v>
      </c>
      <c r="AL2426" s="2">
        <v>385699.10488292301</v>
      </c>
      <c r="AM2426" s="2">
        <v>387049.433840613</v>
      </c>
      <c r="AN2426" s="2">
        <v>383313.58513942698</v>
      </c>
      <c r="AO2426" s="2">
        <v>376225.475233634</v>
      </c>
      <c r="AP2426" s="2">
        <v>386771.55059921002</v>
      </c>
    </row>
    <row r="2427" spans="1:42" ht="14.5" x14ac:dyDescent="0.35">
      <c r="A2427" s="2" t="s">
        <v>16231</v>
      </c>
      <c r="B2427" s="2">
        <v>205.03465899987199</v>
      </c>
      <c r="C2427" s="2">
        <v>1.6372</v>
      </c>
      <c r="D2427" s="2" t="s">
        <v>70</v>
      </c>
      <c r="E2427" s="2" t="s">
        <v>16232</v>
      </c>
      <c r="F2427" s="2">
        <v>62723</v>
      </c>
      <c r="G2427" s="3" t="str">
        <f>HYPERLINK("http://funmeta.oebiotech.com/network/62723", "http://funmeta.oebiotech.com/network/62723")</f>
        <v>http://funmeta.oebiotech.com/network/62723</v>
      </c>
      <c r="H2427" s="2" t="s">
        <v>16233</v>
      </c>
      <c r="I2427" s="2">
        <v>94020</v>
      </c>
      <c r="J2427" s="2"/>
      <c r="K2427" s="2"/>
      <c r="L2427" s="2"/>
      <c r="M2427" s="2"/>
      <c r="N2427" s="2"/>
      <c r="O2427" s="2">
        <v>11062673</v>
      </c>
      <c r="P2427" s="2" t="s">
        <v>16234</v>
      </c>
      <c r="Q2427" s="2" t="s">
        <v>16235</v>
      </c>
      <c r="R2427" s="2" t="s">
        <v>16236</v>
      </c>
      <c r="S2427" s="2" t="s">
        <v>89</v>
      </c>
      <c r="T2427" s="2" t="s">
        <v>2718</v>
      </c>
      <c r="U2427" s="2" t="s">
        <v>6030</v>
      </c>
      <c r="V2427" s="2" t="s">
        <v>59</v>
      </c>
      <c r="W2427" s="2">
        <v>46.9</v>
      </c>
      <c r="X2427" s="2">
        <v>40.9</v>
      </c>
      <c r="Y2427" s="2" t="s">
        <v>408</v>
      </c>
      <c r="Z2427" s="2" t="s">
        <v>16237</v>
      </c>
      <c r="AA2427" s="2">
        <v>-4.4816118217729297</v>
      </c>
      <c r="AB2427" s="2">
        <v>0.33042139201792098</v>
      </c>
      <c r="AC2427" s="2">
        <v>35354.7789406171</v>
      </c>
      <c r="AD2427" s="2">
        <v>42760.082431604598</v>
      </c>
      <c r="AE2427" s="2">
        <v>35956.555710540102</v>
      </c>
      <c r="AF2427" s="2">
        <v>35937.975244485198</v>
      </c>
      <c r="AG2427" s="2">
        <v>35125.079396504203</v>
      </c>
      <c r="AH2427" s="2">
        <v>34227.584873414096</v>
      </c>
      <c r="AI2427" s="2">
        <v>34618.522308738698</v>
      </c>
      <c r="AJ2427" s="2">
        <v>36262.956110020103</v>
      </c>
      <c r="AK2427" s="2">
        <v>41523.058275883101</v>
      </c>
      <c r="AL2427" s="2">
        <v>43171.012160109101</v>
      </c>
      <c r="AM2427" s="2">
        <v>42716.486040960903</v>
      </c>
      <c r="AN2427" s="2">
        <v>45019.990735919302</v>
      </c>
      <c r="AO2427" s="2">
        <v>42015.551064088599</v>
      </c>
      <c r="AP2427" s="2">
        <v>42114.396312666802</v>
      </c>
    </row>
    <row r="2428" spans="1:42" ht="14.5" x14ac:dyDescent="0.35">
      <c r="A2428" s="2" t="s">
        <v>16238</v>
      </c>
      <c r="B2428" s="2">
        <v>194.081432065385</v>
      </c>
      <c r="C2428" s="2">
        <v>1.7515333333333301</v>
      </c>
      <c r="D2428" s="2" t="s">
        <v>70</v>
      </c>
      <c r="E2428" s="2" t="s">
        <v>16239</v>
      </c>
      <c r="F2428" s="2">
        <v>208054</v>
      </c>
      <c r="G2428" s="3" t="str">
        <f>HYPERLINK("http://funmeta.oebiotech.com/network/208054", "http://funmeta.oebiotech.com/network/208054")</f>
        <v>http://funmeta.oebiotech.com/network/208054</v>
      </c>
      <c r="H2428" s="2" t="s">
        <v>16240</v>
      </c>
      <c r="I2428" s="2"/>
      <c r="J2428" s="2"/>
      <c r="K2428" s="2"/>
      <c r="L2428" s="2"/>
      <c r="M2428" s="2"/>
      <c r="N2428" s="2"/>
      <c r="O2428" s="2">
        <v>3816</v>
      </c>
      <c r="P2428" s="2"/>
      <c r="Q2428" s="2" t="s">
        <v>16241</v>
      </c>
      <c r="R2428" s="2" t="s">
        <v>16242</v>
      </c>
      <c r="S2428" s="2" t="s">
        <v>89</v>
      </c>
      <c r="T2428" s="2" t="s">
        <v>90</v>
      </c>
      <c r="U2428" s="2" t="s">
        <v>99</v>
      </c>
      <c r="V2428" s="2" t="s">
        <v>42</v>
      </c>
      <c r="W2428" s="2">
        <v>49.3</v>
      </c>
      <c r="X2428" s="2">
        <v>53.9</v>
      </c>
      <c r="Y2428" s="2" t="s">
        <v>751</v>
      </c>
      <c r="Z2428" s="2" t="s">
        <v>16243</v>
      </c>
      <c r="AA2428" s="2">
        <v>-3.9173077527571598</v>
      </c>
      <c r="AB2428" s="2">
        <v>0.33038186888490501</v>
      </c>
      <c r="AC2428" s="2">
        <v>24714.2344010448</v>
      </c>
      <c r="AD2428" s="2">
        <v>17334.023749084099</v>
      </c>
      <c r="AE2428" s="2">
        <v>24584.710950995901</v>
      </c>
      <c r="AF2428" s="2">
        <v>23679.358297057199</v>
      </c>
      <c r="AG2428" s="2">
        <v>25182.6159272203</v>
      </c>
      <c r="AH2428" s="2">
        <v>24051.555175083598</v>
      </c>
      <c r="AI2428" s="2">
        <v>24217.028479093799</v>
      </c>
      <c r="AJ2428" s="2">
        <v>26570.137576817899</v>
      </c>
      <c r="AK2428" s="2">
        <v>16514.710164041098</v>
      </c>
      <c r="AL2428" s="2">
        <v>17039.711151105301</v>
      </c>
      <c r="AM2428" s="2">
        <v>18414.3064619531</v>
      </c>
      <c r="AN2428" s="2">
        <v>17899.378312328001</v>
      </c>
      <c r="AO2428" s="2">
        <v>16015.043995004</v>
      </c>
      <c r="AP2428" s="2">
        <v>18120.992410073199</v>
      </c>
    </row>
    <row r="2429" spans="1:42" ht="14.5" x14ac:dyDescent="0.35">
      <c r="A2429" s="2" t="s">
        <v>16244</v>
      </c>
      <c r="B2429" s="2">
        <v>432.11443305845899</v>
      </c>
      <c r="C2429" s="2">
        <v>4.1151</v>
      </c>
      <c r="D2429" s="2" t="s">
        <v>70</v>
      </c>
      <c r="E2429" s="2" t="s">
        <v>16245</v>
      </c>
      <c r="F2429" s="2">
        <v>60864</v>
      </c>
      <c r="G2429" s="3" t="str">
        <f>HYPERLINK("http://funmeta.oebiotech.com/network/60864", "http://funmeta.oebiotech.com/network/60864")</f>
        <v>http://funmeta.oebiotech.com/network/60864</v>
      </c>
      <c r="H2429" s="2" t="s">
        <v>16246</v>
      </c>
      <c r="I2429" s="2">
        <v>92215</v>
      </c>
      <c r="J2429" s="2"/>
      <c r="K2429" s="2">
        <v>168075</v>
      </c>
      <c r="L2429" s="2"/>
      <c r="M2429" s="2"/>
      <c r="N2429" s="2"/>
      <c r="O2429" s="2">
        <v>77195087</v>
      </c>
      <c r="P2429" s="2" t="s">
        <v>16247</v>
      </c>
      <c r="Q2429" s="2" t="s">
        <v>16248</v>
      </c>
      <c r="R2429" s="2" t="s">
        <v>16249</v>
      </c>
      <c r="S2429" s="2" t="s">
        <v>79</v>
      </c>
      <c r="T2429" s="2" t="s">
        <v>80</v>
      </c>
      <c r="U2429" s="2" t="s">
        <v>81</v>
      </c>
      <c r="V2429" s="2" t="s">
        <v>59</v>
      </c>
      <c r="W2429" s="2">
        <v>38.299999999999997</v>
      </c>
      <c r="X2429" s="2">
        <v>0</v>
      </c>
      <c r="Y2429" s="2" t="s">
        <v>408</v>
      </c>
      <c r="Z2429" s="2" t="s">
        <v>16250</v>
      </c>
      <c r="AA2429" s="2">
        <v>-0.81547899419375203</v>
      </c>
      <c r="AB2429" s="2">
        <v>0.33036477868953001</v>
      </c>
      <c r="AC2429" s="2">
        <v>12112.818399407501</v>
      </c>
      <c r="AD2429" s="2">
        <v>4583.4858159155901</v>
      </c>
      <c r="AE2429" s="2">
        <v>13943.3557173262</v>
      </c>
      <c r="AF2429" s="2">
        <v>10985.6499206021</v>
      </c>
      <c r="AG2429" s="2">
        <v>12293.406963179599</v>
      </c>
      <c r="AH2429" s="2">
        <v>13763.141851905601</v>
      </c>
      <c r="AI2429" s="2">
        <v>11563.0563791321</v>
      </c>
      <c r="AJ2429" s="2">
        <v>10128.299564299299</v>
      </c>
      <c r="AK2429" s="2">
        <v>5339.9824386560003</v>
      </c>
      <c r="AL2429" s="2">
        <v>6489.6126801255896</v>
      </c>
      <c r="AM2429" s="2">
        <v>3273.4992276498801</v>
      </c>
      <c r="AN2429" s="2">
        <v>3883.0695538633299</v>
      </c>
      <c r="AO2429" s="2">
        <v>4871.7283222494298</v>
      </c>
      <c r="AP2429" s="2">
        <v>3643.0226729493202</v>
      </c>
    </row>
    <row r="2430" spans="1:42" ht="14.5" x14ac:dyDescent="0.35">
      <c r="A2430" s="2" t="s">
        <v>16251</v>
      </c>
      <c r="B2430" s="2">
        <v>215.12525321810801</v>
      </c>
      <c r="C2430" s="2">
        <v>4.3791333333333302</v>
      </c>
      <c r="D2430" s="2" t="s">
        <v>34</v>
      </c>
      <c r="E2430" s="2" t="s">
        <v>16252</v>
      </c>
      <c r="F2430" s="2">
        <v>255257</v>
      </c>
      <c r="G2430" s="3" t="str">
        <f>HYPERLINK("http://funmeta.oebiotech.com/network/255257", "http://funmeta.oebiotech.com/network/255257")</f>
        <v>http://funmeta.oebiotech.com/network/255257</v>
      </c>
      <c r="H2430" s="2" t="s">
        <v>16253</v>
      </c>
      <c r="I2430" s="2"/>
      <c r="J2430" s="2"/>
      <c r="K2430" s="2"/>
      <c r="L2430" s="2"/>
      <c r="M2430" s="2"/>
      <c r="N2430" s="2"/>
      <c r="O2430" s="2">
        <v>21780519</v>
      </c>
      <c r="P2430" s="2"/>
      <c r="Q2430" s="2" t="s">
        <v>16254</v>
      </c>
      <c r="R2430" s="2" t="s">
        <v>16255</v>
      </c>
      <c r="S2430" s="2" t="s">
        <v>491</v>
      </c>
      <c r="T2430" s="2" t="s">
        <v>4517</v>
      </c>
      <c r="U2430" s="2" t="s">
        <v>9396</v>
      </c>
      <c r="V2430" s="2" t="s">
        <v>59</v>
      </c>
      <c r="W2430" s="2">
        <v>39</v>
      </c>
      <c r="X2430" s="2">
        <v>3.26</v>
      </c>
      <c r="Y2430" s="2" t="s">
        <v>43</v>
      </c>
      <c r="Z2430" s="2" t="s">
        <v>16256</v>
      </c>
      <c r="AA2430" s="2">
        <v>0.77665649377235602</v>
      </c>
      <c r="AB2430" s="2">
        <v>0.33017801961022297</v>
      </c>
      <c r="AC2430" s="2">
        <v>11868.5433762538</v>
      </c>
      <c r="AD2430" s="2">
        <v>30769.351512946101</v>
      </c>
      <c r="AE2430" s="2">
        <v>10047.2225323198</v>
      </c>
      <c r="AF2430" s="2">
        <v>20555.688463300899</v>
      </c>
      <c r="AG2430" s="2">
        <v>12485.1554342053</v>
      </c>
      <c r="AH2430" s="2">
        <v>8084.9722922760402</v>
      </c>
      <c r="AI2430" s="2">
        <v>7537.1119487494298</v>
      </c>
      <c r="AJ2430" s="2">
        <v>12501.1095866711</v>
      </c>
      <c r="AK2430" s="2">
        <v>21026.1629914117</v>
      </c>
      <c r="AL2430" s="2">
        <v>100817.68272605199</v>
      </c>
      <c r="AM2430" s="2">
        <v>14869.694200550301</v>
      </c>
      <c r="AN2430" s="2">
        <v>17222.340179279799</v>
      </c>
      <c r="AO2430" s="2">
        <v>17972.083417462902</v>
      </c>
      <c r="AP2430" s="2">
        <v>12708.145562919901</v>
      </c>
    </row>
    <row r="2431" spans="1:42" ht="14.5" x14ac:dyDescent="0.35">
      <c r="A2431" s="2" t="s">
        <v>16257</v>
      </c>
      <c r="B2431" s="2">
        <v>319.10302769624002</v>
      </c>
      <c r="C2431" s="2">
        <v>3.8429333333333302</v>
      </c>
      <c r="D2431" s="2" t="s">
        <v>70</v>
      </c>
      <c r="E2431" s="2" t="s">
        <v>16258</v>
      </c>
      <c r="F2431" s="2">
        <v>200098</v>
      </c>
      <c r="G2431" s="3" t="str">
        <f>HYPERLINK("http://funmeta.oebiotech.com/network/200098", "http://funmeta.oebiotech.com/network/200098")</f>
        <v>http://funmeta.oebiotech.com/network/200098</v>
      </c>
      <c r="H2431" s="2" t="s">
        <v>16259</v>
      </c>
      <c r="I2431" s="2"/>
      <c r="J2431" s="2"/>
      <c r="K2431" s="2"/>
      <c r="L2431" s="2"/>
      <c r="M2431" s="2"/>
      <c r="N2431" s="2"/>
      <c r="O2431" s="2">
        <v>8879</v>
      </c>
      <c r="P2431" s="2"/>
      <c r="Q2431" s="2" t="s">
        <v>16260</v>
      </c>
      <c r="R2431" s="2" t="s">
        <v>16261</v>
      </c>
      <c r="S2431" s="2" t="s">
        <v>41</v>
      </c>
      <c r="T2431" s="2" t="s">
        <v>41</v>
      </c>
      <c r="U2431" s="2" t="s">
        <v>41</v>
      </c>
      <c r="V2431" s="2" t="s">
        <v>59</v>
      </c>
      <c r="W2431" s="2">
        <v>40.1</v>
      </c>
      <c r="X2431" s="2">
        <v>5.4</v>
      </c>
      <c r="Y2431" s="2" t="s">
        <v>408</v>
      </c>
      <c r="Z2431" s="2" t="s">
        <v>16262</v>
      </c>
      <c r="AA2431" s="2">
        <v>-1.561764815424</v>
      </c>
      <c r="AB2431" s="2">
        <v>0.32982632160473102</v>
      </c>
      <c r="AC2431" s="2">
        <v>45025.988474321101</v>
      </c>
      <c r="AD2431" s="2">
        <v>37159.694924332798</v>
      </c>
      <c r="AE2431" s="2">
        <v>47257.596178638501</v>
      </c>
      <c r="AF2431" s="2">
        <v>46651.3354172092</v>
      </c>
      <c r="AG2431" s="2">
        <v>43894.117382750002</v>
      </c>
      <c r="AH2431" s="2">
        <v>44978.3083093323</v>
      </c>
      <c r="AI2431" s="2">
        <v>45668.614408408801</v>
      </c>
      <c r="AJ2431" s="2">
        <v>41705.959149587899</v>
      </c>
      <c r="AK2431" s="2">
        <v>36732.382402462201</v>
      </c>
      <c r="AL2431" s="2">
        <v>36725.813453739604</v>
      </c>
      <c r="AM2431" s="2">
        <v>37536.238904432503</v>
      </c>
      <c r="AN2431" s="2">
        <v>39626.428716900497</v>
      </c>
      <c r="AO2431" s="2">
        <v>33900.780038537901</v>
      </c>
      <c r="AP2431" s="2">
        <v>38436.526029923902</v>
      </c>
    </row>
    <row r="2432" spans="1:42" ht="14.5" x14ac:dyDescent="0.35">
      <c r="A2432" s="2" t="s">
        <v>16263</v>
      </c>
      <c r="B2432" s="2">
        <v>585.45070008259302</v>
      </c>
      <c r="C2432" s="2">
        <v>14.2601333333333</v>
      </c>
      <c r="D2432" s="2" t="s">
        <v>34</v>
      </c>
      <c r="E2432" s="2" t="s">
        <v>16264</v>
      </c>
      <c r="F2432" s="2">
        <v>28197</v>
      </c>
      <c r="G2432" s="3" t="str">
        <f>HYPERLINK("http://funmeta.oebiotech.com/network/28197", "http://funmeta.oebiotech.com/network/28197")</f>
        <v>http://funmeta.oebiotech.com/network/28197</v>
      </c>
      <c r="H2432" s="2"/>
      <c r="I2432" s="2"/>
      <c r="J2432" s="2" t="s">
        <v>16265</v>
      </c>
      <c r="K2432" s="2"/>
      <c r="L2432" s="2"/>
      <c r="M2432" s="2"/>
      <c r="N2432" s="2"/>
      <c r="O2432" s="2"/>
      <c r="P2432" s="2"/>
      <c r="Q2432" s="2" t="s">
        <v>16266</v>
      </c>
      <c r="R2432" s="2" t="s">
        <v>16267</v>
      </c>
      <c r="S2432" s="2" t="s">
        <v>50</v>
      </c>
      <c r="T2432" s="2" t="s">
        <v>229</v>
      </c>
      <c r="U2432" s="2" t="s">
        <v>1283</v>
      </c>
      <c r="V2432" s="2" t="s">
        <v>42</v>
      </c>
      <c r="W2432" s="2">
        <v>48.7</v>
      </c>
      <c r="X2432" s="2">
        <v>54.7</v>
      </c>
      <c r="Y2432" s="2" t="s">
        <v>323</v>
      </c>
      <c r="Z2432" s="2" t="s">
        <v>16268</v>
      </c>
      <c r="AA2432" s="2">
        <v>3.1190081260440801</v>
      </c>
      <c r="AB2432" s="2">
        <v>0.32976973855879399</v>
      </c>
      <c r="AC2432" s="2">
        <v>19908.2454074776</v>
      </c>
      <c r="AD2432" s="2">
        <v>12407.517833890501</v>
      </c>
      <c r="AE2432" s="2">
        <v>19066.8458983563</v>
      </c>
      <c r="AF2432" s="2">
        <v>21363.940961897799</v>
      </c>
      <c r="AG2432" s="2">
        <v>20755.2192339967</v>
      </c>
      <c r="AH2432" s="2">
        <v>19830.034692192501</v>
      </c>
      <c r="AI2432" s="2">
        <v>19748.368786077601</v>
      </c>
      <c r="AJ2432" s="2">
        <v>18685.062872344501</v>
      </c>
      <c r="AK2432" s="2">
        <v>11980.9836478735</v>
      </c>
      <c r="AL2432" s="2">
        <v>9906.1174754387794</v>
      </c>
      <c r="AM2432" s="2">
        <v>11938.122946605299</v>
      </c>
      <c r="AN2432" s="2">
        <v>12823.5680549391</v>
      </c>
      <c r="AO2432" s="2">
        <v>13122.8150517007</v>
      </c>
      <c r="AP2432" s="2">
        <v>14673.499826785801</v>
      </c>
    </row>
    <row r="2433" spans="1:42" ht="14.5" x14ac:dyDescent="0.35">
      <c r="A2433" s="2" t="s">
        <v>16269</v>
      </c>
      <c r="B2433" s="2">
        <v>409.27336374797602</v>
      </c>
      <c r="C2433" s="2">
        <v>11.3656166666667</v>
      </c>
      <c r="D2433" s="2" t="s">
        <v>34</v>
      </c>
      <c r="E2433" s="2" t="s">
        <v>16270</v>
      </c>
      <c r="F2433" s="2">
        <v>198942</v>
      </c>
      <c r="G2433" s="3" t="str">
        <f>HYPERLINK("http://funmeta.oebiotech.com/network/198942", "http://funmeta.oebiotech.com/network/198942")</f>
        <v>http://funmeta.oebiotech.com/network/198942</v>
      </c>
      <c r="H2433" s="2" t="s">
        <v>16271</v>
      </c>
      <c r="I2433" s="2"/>
      <c r="J2433" s="2"/>
      <c r="K2433" s="2"/>
      <c r="L2433" s="2"/>
      <c r="M2433" s="2"/>
      <c r="N2433" s="2"/>
      <c r="O2433" s="2">
        <v>75021430</v>
      </c>
      <c r="P2433" s="2"/>
      <c r="Q2433" s="2" t="s">
        <v>16272</v>
      </c>
      <c r="R2433" s="2" t="s">
        <v>16273</v>
      </c>
      <c r="S2433" s="2" t="s">
        <v>50</v>
      </c>
      <c r="T2433" s="2" t="s">
        <v>124</v>
      </c>
      <c r="U2433" s="2" t="s">
        <v>982</v>
      </c>
      <c r="V2433" s="2" t="s">
        <v>59</v>
      </c>
      <c r="W2433" s="2">
        <v>45.9</v>
      </c>
      <c r="X2433" s="2">
        <v>35.6</v>
      </c>
      <c r="Y2433" s="2" t="s">
        <v>141</v>
      </c>
      <c r="Z2433" s="2" t="s">
        <v>16274</v>
      </c>
      <c r="AA2433" s="2">
        <v>-0.83912319074367603</v>
      </c>
      <c r="AB2433" s="2">
        <v>0.32970374297219401</v>
      </c>
      <c r="AC2433" s="2">
        <v>33476.698231226903</v>
      </c>
      <c r="AD2433" s="2">
        <v>41055.222769378699</v>
      </c>
      <c r="AE2433" s="2">
        <v>34442.920234037803</v>
      </c>
      <c r="AF2433" s="2">
        <v>32702.3658869504</v>
      </c>
      <c r="AG2433" s="2">
        <v>32741.5947891221</v>
      </c>
      <c r="AH2433" s="2">
        <v>34526.647214068602</v>
      </c>
      <c r="AI2433" s="2">
        <v>33767.922174172803</v>
      </c>
      <c r="AJ2433" s="2">
        <v>32678.739089009599</v>
      </c>
      <c r="AK2433" s="2">
        <v>43625.304145820002</v>
      </c>
      <c r="AL2433" s="2">
        <v>41965.518629003302</v>
      </c>
      <c r="AM2433" s="2">
        <v>38163.8620702716</v>
      </c>
      <c r="AN2433" s="2">
        <v>39819.462754312197</v>
      </c>
      <c r="AO2433" s="2">
        <v>41599.848157647699</v>
      </c>
      <c r="AP2433" s="2">
        <v>41157.340859217402</v>
      </c>
    </row>
    <row r="2434" spans="1:42" ht="14.5" x14ac:dyDescent="0.35">
      <c r="A2434" s="2" t="s">
        <v>16275</v>
      </c>
      <c r="B2434" s="2">
        <v>656.30698297131698</v>
      </c>
      <c r="C2434" s="2">
        <v>5.9351500000000001</v>
      </c>
      <c r="D2434" s="2" t="s">
        <v>70</v>
      </c>
      <c r="E2434" s="2" t="s">
        <v>16276</v>
      </c>
      <c r="F2434" s="2">
        <v>208034</v>
      </c>
      <c r="G2434" s="3" t="str">
        <f>HYPERLINK("http://funmeta.oebiotech.com/network/208034", "http://funmeta.oebiotech.com/network/208034")</f>
        <v>http://funmeta.oebiotech.com/network/208034</v>
      </c>
      <c r="H2434" s="2" t="s">
        <v>16277</v>
      </c>
      <c r="I2434" s="2"/>
      <c r="J2434" s="2"/>
      <c r="K2434" s="2"/>
      <c r="L2434" s="2"/>
      <c r="M2434" s="2"/>
      <c r="N2434" s="2"/>
      <c r="O2434" s="2">
        <v>4481790</v>
      </c>
      <c r="P2434" s="2"/>
      <c r="Q2434" s="2" t="s">
        <v>16278</v>
      </c>
      <c r="R2434" s="2" t="s">
        <v>16279</v>
      </c>
      <c r="S2434" s="2" t="s">
        <v>50</v>
      </c>
      <c r="T2434" s="2" t="s">
        <v>201</v>
      </c>
      <c r="U2434" s="2" t="s">
        <v>241</v>
      </c>
      <c r="V2434" s="2" t="s">
        <v>59</v>
      </c>
      <c r="W2434" s="2">
        <v>38.5</v>
      </c>
      <c r="X2434" s="2">
        <v>0</v>
      </c>
      <c r="Y2434" s="2" t="s">
        <v>751</v>
      </c>
      <c r="Z2434" s="2" t="s">
        <v>16280</v>
      </c>
      <c r="AA2434" s="2">
        <v>-0.96534138862642604</v>
      </c>
      <c r="AB2434" s="2">
        <v>0.329380282970268</v>
      </c>
      <c r="AC2434" s="2">
        <v>36222.312782258901</v>
      </c>
      <c r="AD2434" s="2">
        <v>45015.2568037784</v>
      </c>
      <c r="AE2434" s="2">
        <v>35109.810055597198</v>
      </c>
      <c r="AF2434" s="2">
        <v>37940.825554894996</v>
      </c>
      <c r="AG2434" s="2">
        <v>36992.095227932397</v>
      </c>
      <c r="AH2434" s="2">
        <v>35915.606470307401</v>
      </c>
      <c r="AI2434" s="2">
        <v>34289.097640244298</v>
      </c>
      <c r="AJ2434" s="2">
        <v>37086.441744576798</v>
      </c>
      <c r="AK2434" s="2">
        <v>36998.4958288614</v>
      </c>
      <c r="AL2434" s="2">
        <v>42532.447120669603</v>
      </c>
      <c r="AM2434" s="2">
        <v>50720.626026200604</v>
      </c>
      <c r="AN2434" s="2">
        <v>48200.037441301603</v>
      </c>
      <c r="AO2434" s="2">
        <v>45989.711025293203</v>
      </c>
      <c r="AP2434" s="2">
        <v>45650.2233803442</v>
      </c>
    </row>
    <row r="2435" spans="1:42" ht="14.5" x14ac:dyDescent="0.35">
      <c r="A2435" s="2" t="s">
        <v>16281</v>
      </c>
      <c r="B2435" s="2">
        <v>361.06943209909099</v>
      </c>
      <c r="C2435" s="2">
        <v>3.7303666666666699</v>
      </c>
      <c r="D2435" s="2" t="s">
        <v>70</v>
      </c>
      <c r="E2435" s="2" t="s">
        <v>16282</v>
      </c>
      <c r="F2435" s="2">
        <v>212746</v>
      </c>
      <c r="G2435" s="3" t="str">
        <f>HYPERLINK("http://funmeta.oebiotech.com/network/212746", "http://funmeta.oebiotech.com/network/212746")</f>
        <v>http://funmeta.oebiotech.com/network/212746</v>
      </c>
      <c r="H2435" s="2" t="s">
        <v>16283</v>
      </c>
      <c r="I2435" s="2"/>
      <c r="J2435" s="2"/>
      <c r="K2435" s="2"/>
      <c r="L2435" s="2"/>
      <c r="M2435" s="2"/>
      <c r="N2435" s="2"/>
      <c r="O2435" s="2"/>
      <c r="P2435" s="2"/>
      <c r="Q2435" s="2" t="s">
        <v>16284</v>
      </c>
      <c r="R2435" s="2" t="s">
        <v>16285</v>
      </c>
      <c r="S2435" s="2" t="s">
        <v>5916</v>
      </c>
      <c r="T2435" s="2" t="s">
        <v>5917</v>
      </c>
      <c r="U2435" s="2" t="s">
        <v>5918</v>
      </c>
      <c r="V2435" s="2" t="s">
        <v>59</v>
      </c>
      <c r="W2435" s="2">
        <v>37.200000000000003</v>
      </c>
      <c r="X2435" s="2">
        <v>0.48799999999999999</v>
      </c>
      <c r="Y2435" s="2" t="s">
        <v>751</v>
      </c>
      <c r="Z2435" s="2" t="s">
        <v>5919</v>
      </c>
      <c r="AA2435" s="2">
        <v>-1.35053755323102</v>
      </c>
      <c r="AB2435" s="2">
        <v>0.32926001376506497</v>
      </c>
      <c r="AC2435" s="2">
        <v>34211.054346504599</v>
      </c>
      <c r="AD2435" s="2">
        <v>41838.174869724498</v>
      </c>
      <c r="AE2435" s="2">
        <v>32959.095016476102</v>
      </c>
      <c r="AF2435" s="2">
        <v>33495.855037641297</v>
      </c>
      <c r="AG2435" s="2">
        <v>35509.891218684999</v>
      </c>
      <c r="AH2435" s="2">
        <v>31763.112309475298</v>
      </c>
      <c r="AI2435" s="2">
        <v>34831.408158885897</v>
      </c>
      <c r="AJ2435" s="2">
        <v>36706.964337863799</v>
      </c>
      <c r="AK2435" s="2">
        <v>42940.628129751698</v>
      </c>
      <c r="AL2435" s="2">
        <v>41449.926623589599</v>
      </c>
      <c r="AM2435" s="2">
        <v>43651.011107554201</v>
      </c>
      <c r="AN2435" s="2">
        <v>39611.427075248299</v>
      </c>
      <c r="AO2435" s="2">
        <v>41951.306425146897</v>
      </c>
      <c r="AP2435" s="2">
        <v>41424.749857056398</v>
      </c>
    </row>
    <row r="2436" spans="1:42" ht="14.5" x14ac:dyDescent="0.35">
      <c r="A2436" s="2" t="s">
        <v>16286</v>
      </c>
      <c r="B2436" s="2">
        <v>959.48376157739006</v>
      </c>
      <c r="C2436" s="2">
        <v>10.2578333333333</v>
      </c>
      <c r="D2436" s="2" t="s">
        <v>70</v>
      </c>
      <c r="E2436" s="2" t="s">
        <v>16287</v>
      </c>
      <c r="F2436" s="2">
        <v>205765</v>
      </c>
      <c r="G2436" s="3" t="str">
        <f>HYPERLINK("http://funmeta.oebiotech.com/network/205765", "http://funmeta.oebiotech.com/network/205765")</f>
        <v>http://funmeta.oebiotech.com/network/205765</v>
      </c>
      <c r="H2436" s="2" t="s">
        <v>16288</v>
      </c>
      <c r="I2436" s="2"/>
      <c r="J2436" s="2"/>
      <c r="K2436" s="2"/>
      <c r="L2436" s="2"/>
      <c r="M2436" s="2"/>
      <c r="N2436" s="2"/>
      <c r="O2436" s="2">
        <v>123636</v>
      </c>
      <c r="P2436" s="2"/>
      <c r="Q2436" s="2" t="s">
        <v>16289</v>
      </c>
      <c r="R2436" s="2" t="s">
        <v>16290</v>
      </c>
      <c r="S2436" s="2" t="s">
        <v>41</v>
      </c>
      <c r="T2436" s="2" t="s">
        <v>41</v>
      </c>
      <c r="U2436" s="2" t="s">
        <v>41</v>
      </c>
      <c r="V2436" s="2" t="s">
        <v>59</v>
      </c>
      <c r="W2436" s="2">
        <v>37.5</v>
      </c>
      <c r="X2436" s="2">
        <v>0</v>
      </c>
      <c r="Y2436" s="2" t="s">
        <v>560</v>
      </c>
      <c r="Z2436" s="2" t="s">
        <v>16291</v>
      </c>
      <c r="AA2436" s="2">
        <v>1.78030482971374</v>
      </c>
      <c r="AB2436" s="2">
        <v>0.32920860568899202</v>
      </c>
      <c r="AC2436" s="2">
        <v>16164.5430471667</v>
      </c>
      <c r="AD2436" s="2">
        <v>8421.0437577067296</v>
      </c>
      <c r="AE2436" s="2">
        <v>13421.564685355301</v>
      </c>
      <c r="AF2436" s="2">
        <v>14283.6252345302</v>
      </c>
      <c r="AG2436" s="2">
        <v>15228.2372194612</v>
      </c>
      <c r="AH2436" s="2">
        <v>19791.1006249442</v>
      </c>
      <c r="AI2436" s="2">
        <v>15848.9033992484</v>
      </c>
      <c r="AJ2436" s="2">
        <v>18413.827119460999</v>
      </c>
      <c r="AK2436" s="2">
        <v>7674.8426606204503</v>
      </c>
      <c r="AL2436" s="2">
        <v>8562.4378693850904</v>
      </c>
      <c r="AM2436" s="2">
        <v>9184.0696723912897</v>
      </c>
      <c r="AN2436" s="2">
        <v>8992.3002930989205</v>
      </c>
      <c r="AO2436" s="2">
        <v>7628.4829058530604</v>
      </c>
      <c r="AP2436" s="2">
        <v>8484.1291448915399</v>
      </c>
    </row>
    <row r="2437" spans="1:42" ht="14.5" x14ac:dyDescent="0.35">
      <c r="A2437" s="2" t="s">
        <v>16292</v>
      </c>
      <c r="B2437" s="2">
        <v>347.18584445162799</v>
      </c>
      <c r="C2437" s="2">
        <v>4.7218999999999998</v>
      </c>
      <c r="D2437" s="2" t="s">
        <v>70</v>
      </c>
      <c r="E2437" s="2" t="s">
        <v>16293</v>
      </c>
      <c r="F2437" s="2">
        <v>4171</v>
      </c>
      <c r="G2437" s="3" t="str">
        <f>HYPERLINK("http://funmeta.oebiotech.com/network/4171", "http://funmeta.oebiotech.com/network/4171")</f>
        <v>http://funmeta.oebiotech.com/network/4171</v>
      </c>
      <c r="H2437" s="2"/>
      <c r="I2437" s="2">
        <v>96929</v>
      </c>
      <c r="J2437" s="2" t="s">
        <v>16294</v>
      </c>
      <c r="K2437" s="2"/>
      <c r="L2437" s="2"/>
      <c r="M2437" s="2"/>
      <c r="N2437" s="2"/>
      <c r="O2437" s="2">
        <v>56935879</v>
      </c>
      <c r="P2437" s="2"/>
      <c r="Q2437" s="2" t="s">
        <v>16295</v>
      </c>
      <c r="R2437" s="2" t="s">
        <v>16296</v>
      </c>
      <c r="S2437" s="2" t="s">
        <v>50</v>
      </c>
      <c r="T2437" s="2" t="s">
        <v>229</v>
      </c>
      <c r="U2437" s="2" t="s">
        <v>433</v>
      </c>
      <c r="V2437" s="2" t="s">
        <v>59</v>
      </c>
      <c r="W2437" s="2">
        <v>43.5</v>
      </c>
      <c r="X2437" s="2">
        <v>24.6</v>
      </c>
      <c r="Y2437" s="2" t="s">
        <v>792</v>
      </c>
      <c r="Z2437" s="2" t="s">
        <v>6006</v>
      </c>
      <c r="AA2437" s="2">
        <v>-1.5103807472134401</v>
      </c>
      <c r="AB2437" s="2">
        <v>0.32912990746580001</v>
      </c>
      <c r="AC2437" s="2">
        <v>39851.214220907503</v>
      </c>
      <c r="AD2437" s="2">
        <v>31989.742573641099</v>
      </c>
      <c r="AE2437" s="2">
        <v>35046.426197124798</v>
      </c>
      <c r="AF2437" s="2">
        <v>42429.116794272799</v>
      </c>
      <c r="AG2437" s="2">
        <v>40882.115528658403</v>
      </c>
      <c r="AH2437" s="2">
        <v>40235.085757566303</v>
      </c>
      <c r="AI2437" s="2">
        <v>40561.3755743808</v>
      </c>
      <c r="AJ2437" s="2">
        <v>39953.165473441702</v>
      </c>
      <c r="AK2437" s="2">
        <v>33862.1661404478</v>
      </c>
      <c r="AL2437" s="2">
        <v>32963.341166542501</v>
      </c>
      <c r="AM2437" s="2">
        <v>32808.531323558003</v>
      </c>
      <c r="AN2437" s="2">
        <v>31149.419502832399</v>
      </c>
      <c r="AO2437" s="2">
        <v>30190.370656585499</v>
      </c>
      <c r="AP2437" s="2">
        <v>30964.626651880601</v>
      </c>
    </row>
    <row r="2438" spans="1:42" ht="14.5" x14ac:dyDescent="0.35">
      <c r="A2438" s="2" t="s">
        <v>16297</v>
      </c>
      <c r="B2438" s="2">
        <v>641.23890356218999</v>
      </c>
      <c r="C2438" s="2">
        <v>6.5195166666666697</v>
      </c>
      <c r="D2438" s="2" t="s">
        <v>70</v>
      </c>
      <c r="E2438" s="2" t="s">
        <v>16298</v>
      </c>
      <c r="F2438" s="2">
        <v>202154</v>
      </c>
      <c r="G2438" s="3" t="str">
        <f>HYPERLINK("http://funmeta.oebiotech.com/network/202154", "http://funmeta.oebiotech.com/network/202154")</f>
        <v>http://funmeta.oebiotech.com/network/202154</v>
      </c>
      <c r="H2438" s="2" t="s">
        <v>16299</v>
      </c>
      <c r="I2438" s="2"/>
      <c r="J2438" s="2"/>
      <c r="K2438" s="2"/>
      <c r="L2438" s="2"/>
      <c r="M2438" s="2"/>
      <c r="N2438" s="2"/>
      <c r="O2438" s="2">
        <v>135465917</v>
      </c>
      <c r="P2438" s="2"/>
      <c r="Q2438" s="2" t="s">
        <v>16300</v>
      </c>
      <c r="R2438" s="2" t="s">
        <v>16301</v>
      </c>
      <c r="S2438" s="2" t="s">
        <v>41</v>
      </c>
      <c r="T2438" s="2" t="s">
        <v>41</v>
      </c>
      <c r="U2438" s="2" t="s">
        <v>41</v>
      </c>
      <c r="V2438" s="2" t="s">
        <v>59</v>
      </c>
      <c r="W2438" s="2">
        <v>38.5</v>
      </c>
      <c r="X2438" s="2">
        <v>0</v>
      </c>
      <c r="Y2438" s="2" t="s">
        <v>560</v>
      </c>
      <c r="Z2438" s="2" t="s">
        <v>16302</v>
      </c>
      <c r="AA2438" s="2">
        <v>1.6045366029085999</v>
      </c>
      <c r="AB2438" s="2">
        <v>0.32908177576324399</v>
      </c>
      <c r="AC2438" s="2">
        <v>25921.599246792499</v>
      </c>
      <c r="AD2438" s="2">
        <v>17651.064790361801</v>
      </c>
      <c r="AE2438" s="2">
        <v>22826.681963132702</v>
      </c>
      <c r="AF2438" s="2">
        <v>24106.8606378043</v>
      </c>
      <c r="AG2438" s="2">
        <v>24946.143734769499</v>
      </c>
      <c r="AH2438" s="2">
        <v>25998.0204489401</v>
      </c>
      <c r="AI2438" s="2">
        <v>26914.179835865099</v>
      </c>
      <c r="AJ2438" s="2">
        <v>30737.708860243401</v>
      </c>
      <c r="AK2438" s="2">
        <v>15811.868065852799</v>
      </c>
      <c r="AL2438" s="2">
        <v>18478.5271386963</v>
      </c>
      <c r="AM2438" s="2">
        <v>20758.839647380599</v>
      </c>
      <c r="AN2438" s="2">
        <v>15813.843763294901</v>
      </c>
      <c r="AO2438" s="2">
        <v>20292.292321346598</v>
      </c>
      <c r="AP2438" s="2">
        <v>14751.0178055998</v>
      </c>
    </row>
    <row r="2439" spans="1:42" ht="14.5" x14ac:dyDescent="0.35">
      <c r="A2439" s="2" t="s">
        <v>16303</v>
      </c>
      <c r="B2439" s="2">
        <v>512.50346454881196</v>
      </c>
      <c r="C2439" s="2">
        <v>13.4339666666667</v>
      </c>
      <c r="D2439" s="2" t="s">
        <v>34</v>
      </c>
      <c r="E2439" s="2" t="s">
        <v>16304</v>
      </c>
      <c r="F2439" s="2">
        <v>39250</v>
      </c>
      <c r="G2439" s="3" t="str">
        <f>HYPERLINK("http://funmeta.oebiotech.com/network/39250", "http://funmeta.oebiotech.com/network/39250")</f>
        <v>http://funmeta.oebiotech.com/network/39250</v>
      </c>
      <c r="H2439" s="2" t="s">
        <v>16305</v>
      </c>
      <c r="I2439" s="2">
        <v>53968</v>
      </c>
      <c r="J2439" s="2" t="s">
        <v>16306</v>
      </c>
      <c r="K2439" s="2">
        <v>67045</v>
      </c>
      <c r="L2439" s="2"/>
      <c r="M2439" s="2"/>
      <c r="N2439" s="2"/>
      <c r="O2439" s="2">
        <v>10255824</v>
      </c>
      <c r="P2439" s="2"/>
      <c r="Q2439" s="2" t="s">
        <v>16307</v>
      </c>
      <c r="R2439" s="2" t="s">
        <v>16308</v>
      </c>
      <c r="S2439" s="2" t="s">
        <v>50</v>
      </c>
      <c r="T2439" s="2" t="s">
        <v>693</v>
      </c>
      <c r="U2439" s="2" t="s">
        <v>16309</v>
      </c>
      <c r="V2439" s="2" t="s">
        <v>59</v>
      </c>
      <c r="W2439" s="2">
        <v>39</v>
      </c>
      <c r="X2439" s="2">
        <v>0</v>
      </c>
      <c r="Y2439" s="2" t="s">
        <v>394</v>
      </c>
      <c r="Z2439" s="2" t="s">
        <v>16310</v>
      </c>
      <c r="AA2439" s="2">
        <v>-0.50211730812510602</v>
      </c>
      <c r="AB2439" s="2">
        <v>0.32894410762895199</v>
      </c>
      <c r="AC2439" s="2">
        <v>132769.19392158999</v>
      </c>
      <c r="AD2439" s="2">
        <v>110177.79948688899</v>
      </c>
      <c r="AE2439" s="2">
        <v>135419.05872939099</v>
      </c>
      <c r="AF2439" s="2">
        <v>165737.639928494</v>
      </c>
      <c r="AG2439" s="2">
        <v>138442.00316217</v>
      </c>
      <c r="AH2439" s="2">
        <v>118962.925030717</v>
      </c>
      <c r="AI2439" s="2">
        <v>92387.572955016498</v>
      </c>
      <c r="AJ2439" s="2">
        <v>145665.96372375099</v>
      </c>
      <c r="AK2439" s="2">
        <v>193074.84127658099</v>
      </c>
      <c r="AL2439" s="2">
        <v>121474.88845417699</v>
      </c>
      <c r="AM2439" s="2">
        <v>124914.50319904101</v>
      </c>
      <c r="AN2439" s="2">
        <v>95543.557570657096</v>
      </c>
      <c r="AO2439" s="2">
        <v>51725.6384320945</v>
      </c>
      <c r="AP2439" s="2">
        <v>74333.367988781305</v>
      </c>
    </row>
    <row r="2440" spans="1:42" ht="14.5" x14ac:dyDescent="0.35">
      <c r="A2440" s="2" t="s">
        <v>16311</v>
      </c>
      <c r="B2440" s="2">
        <v>547.10687748745397</v>
      </c>
      <c r="C2440" s="2">
        <v>5.0231500000000002</v>
      </c>
      <c r="D2440" s="2" t="s">
        <v>70</v>
      </c>
      <c r="E2440" s="2" t="s">
        <v>16312</v>
      </c>
      <c r="F2440" s="2">
        <v>64362</v>
      </c>
      <c r="G2440" s="3" t="str">
        <f>HYPERLINK("http://funmeta.oebiotech.com/network/64362", "http://funmeta.oebiotech.com/network/64362")</f>
        <v>http://funmeta.oebiotech.com/network/64362</v>
      </c>
      <c r="H2440" s="2" t="s">
        <v>16313</v>
      </c>
      <c r="I2440" s="2"/>
      <c r="J2440" s="2"/>
      <c r="K2440" s="2"/>
      <c r="L2440" s="2" t="s">
        <v>16314</v>
      </c>
      <c r="M2440" s="2" t="s">
        <v>1366</v>
      </c>
      <c r="N2440" s="2" t="s">
        <v>1367</v>
      </c>
      <c r="O2440" s="2">
        <v>14500869</v>
      </c>
      <c r="P2440" s="2" t="s">
        <v>16315</v>
      </c>
      <c r="Q2440" s="2" t="s">
        <v>16316</v>
      </c>
      <c r="R2440" s="2" t="s">
        <v>16317</v>
      </c>
      <c r="S2440" s="2" t="s">
        <v>115</v>
      </c>
      <c r="T2440" s="2" t="s">
        <v>1371</v>
      </c>
      <c r="U2440" s="2" t="s">
        <v>1372</v>
      </c>
      <c r="V2440" s="2" t="s">
        <v>59</v>
      </c>
      <c r="W2440" s="2">
        <v>36.799999999999997</v>
      </c>
      <c r="X2440" s="2">
        <v>0</v>
      </c>
      <c r="Y2440" s="2" t="s">
        <v>408</v>
      </c>
      <c r="Z2440" s="2" t="s">
        <v>16318</v>
      </c>
      <c r="AA2440" s="2">
        <v>-4.8824307581335002</v>
      </c>
      <c r="AB2440" s="2">
        <v>0.32877410196242501</v>
      </c>
      <c r="AC2440" s="2">
        <v>11704.2880641912</v>
      </c>
      <c r="AD2440" s="2">
        <v>19372.474448650199</v>
      </c>
      <c r="AE2440" s="2">
        <v>10509.8833560573</v>
      </c>
      <c r="AF2440" s="2">
        <v>15023.8033485407</v>
      </c>
      <c r="AG2440" s="2">
        <v>9991.6266172005708</v>
      </c>
      <c r="AH2440" s="2">
        <v>10761.83782846</v>
      </c>
      <c r="AI2440" s="2">
        <v>11608.543552449901</v>
      </c>
      <c r="AJ2440" s="2">
        <v>12330.033682439</v>
      </c>
      <c r="AK2440" s="2">
        <v>18914.8723701577</v>
      </c>
      <c r="AL2440" s="2">
        <v>18527.5025189812</v>
      </c>
      <c r="AM2440" s="2">
        <v>19695.979883469401</v>
      </c>
      <c r="AN2440" s="2">
        <v>18142.357368672299</v>
      </c>
      <c r="AO2440" s="2">
        <v>18515.8916019192</v>
      </c>
      <c r="AP2440" s="2">
        <v>22438.2429487015</v>
      </c>
    </row>
    <row r="2441" spans="1:42" ht="14.5" x14ac:dyDescent="0.35">
      <c r="A2441" s="2" t="s">
        <v>16319</v>
      </c>
      <c r="B2441" s="2">
        <v>986.67615101345302</v>
      </c>
      <c r="C2441" s="2">
        <v>15.3863166666667</v>
      </c>
      <c r="D2441" s="2" t="s">
        <v>34</v>
      </c>
      <c r="E2441" s="2" t="s">
        <v>16320</v>
      </c>
      <c r="F2441" s="2">
        <v>39944</v>
      </c>
      <c r="G2441" s="3" t="str">
        <f>HYPERLINK("http://funmeta.oebiotech.com/network/39944", "http://funmeta.oebiotech.com/network/39944")</f>
        <v>http://funmeta.oebiotech.com/network/39944</v>
      </c>
      <c r="H2441" s="2"/>
      <c r="I2441" s="2"/>
      <c r="J2441" s="2" t="s">
        <v>16321</v>
      </c>
      <c r="K2441" s="2"/>
      <c r="L2441" s="2"/>
      <c r="M2441" s="2"/>
      <c r="N2441" s="2"/>
      <c r="O2441" s="2"/>
      <c r="P2441" s="2"/>
      <c r="Q2441" s="2" t="s">
        <v>16322</v>
      </c>
      <c r="R2441" s="2" t="s">
        <v>16323</v>
      </c>
      <c r="S2441" s="2" t="s">
        <v>50</v>
      </c>
      <c r="T2441" s="2" t="s">
        <v>229</v>
      </c>
      <c r="U2441" s="2" t="s">
        <v>230</v>
      </c>
      <c r="V2441" s="2" t="s">
        <v>59</v>
      </c>
      <c r="W2441" s="2">
        <v>36.9</v>
      </c>
      <c r="X2441" s="2">
        <v>0</v>
      </c>
      <c r="Y2441" s="2" t="s">
        <v>323</v>
      </c>
      <c r="Z2441" s="2" t="s">
        <v>16324</v>
      </c>
      <c r="AA2441" s="2">
        <v>1.15071161095302</v>
      </c>
      <c r="AB2441" s="2">
        <v>0.32861504754175003</v>
      </c>
      <c r="AC2441" s="2">
        <v>14278.4842602381</v>
      </c>
      <c r="AD2441" s="2">
        <v>22104.665671215502</v>
      </c>
      <c r="AE2441" s="2">
        <v>12243.984125512799</v>
      </c>
      <c r="AF2441" s="2">
        <v>12007.675673436601</v>
      </c>
      <c r="AG2441" s="2">
        <v>13202.1804208712</v>
      </c>
      <c r="AH2441" s="2">
        <v>14297.542556422701</v>
      </c>
      <c r="AI2441" s="2">
        <v>15528.9342154116</v>
      </c>
      <c r="AJ2441" s="2">
        <v>18390.588569773401</v>
      </c>
      <c r="AK2441" s="2">
        <v>21906.365070964901</v>
      </c>
      <c r="AL2441" s="2">
        <v>20262.912909966399</v>
      </c>
      <c r="AM2441" s="2">
        <v>22156.946077445398</v>
      </c>
      <c r="AN2441" s="2">
        <v>21674.076239638001</v>
      </c>
      <c r="AO2441" s="2">
        <v>25237.5665760673</v>
      </c>
      <c r="AP2441" s="2">
        <v>21390.127153211099</v>
      </c>
    </row>
    <row r="2442" spans="1:42" ht="14.5" x14ac:dyDescent="0.35">
      <c r="A2442" s="2" t="s">
        <v>16325</v>
      </c>
      <c r="B2442" s="2">
        <v>295.15168877152598</v>
      </c>
      <c r="C2442" s="2">
        <v>4.8836000000000004</v>
      </c>
      <c r="D2442" s="2" t="s">
        <v>34</v>
      </c>
      <c r="E2442" s="2" t="s">
        <v>16326</v>
      </c>
      <c r="F2442" s="2">
        <v>8585</v>
      </c>
      <c r="G2442" s="3" t="str">
        <f>HYPERLINK("http://funmeta.oebiotech.com/network/8585", "http://funmeta.oebiotech.com/network/8585")</f>
        <v>http://funmeta.oebiotech.com/network/8585</v>
      </c>
      <c r="H2442" s="2" t="s">
        <v>16327</v>
      </c>
      <c r="I2442" s="2">
        <v>58573</v>
      </c>
      <c r="J2442" s="2" t="s">
        <v>16328</v>
      </c>
      <c r="K2442" s="2">
        <v>17577</v>
      </c>
      <c r="L2442" s="2" t="s">
        <v>16329</v>
      </c>
      <c r="M2442" s="2"/>
      <c r="N2442" s="2"/>
      <c r="O2442" s="2">
        <v>11953835</v>
      </c>
      <c r="P2442" s="2"/>
      <c r="Q2442" s="2" t="s">
        <v>16330</v>
      </c>
      <c r="R2442" s="2" t="s">
        <v>16331</v>
      </c>
      <c r="S2442" s="2" t="s">
        <v>50</v>
      </c>
      <c r="T2442" s="2" t="s">
        <v>229</v>
      </c>
      <c r="U2442" s="2" t="s">
        <v>645</v>
      </c>
      <c r="V2442" s="2" t="s">
        <v>59</v>
      </c>
      <c r="W2442" s="2">
        <v>38</v>
      </c>
      <c r="X2442" s="2">
        <v>0</v>
      </c>
      <c r="Y2442" s="2" t="s">
        <v>43</v>
      </c>
      <c r="Z2442" s="2" t="s">
        <v>16332</v>
      </c>
      <c r="AA2442" s="2">
        <v>3.0393657991022298</v>
      </c>
      <c r="AB2442" s="2">
        <v>0.32855621434668097</v>
      </c>
      <c r="AC2442" s="2">
        <v>11013.353263995599</v>
      </c>
      <c r="AD2442" s="2">
        <v>19096.141735443001</v>
      </c>
      <c r="AE2442" s="2">
        <v>9842.2518508816702</v>
      </c>
      <c r="AF2442" s="2">
        <v>12569.3286749361</v>
      </c>
      <c r="AG2442" s="2">
        <v>13027.179337987</v>
      </c>
      <c r="AH2442" s="2">
        <v>9928.3871709102405</v>
      </c>
      <c r="AI2442" s="2">
        <v>10137.8610893075</v>
      </c>
      <c r="AJ2442" s="2">
        <v>10575.1114599513</v>
      </c>
      <c r="AK2442" s="2">
        <v>23897.486467967799</v>
      </c>
      <c r="AL2442" s="2">
        <v>21584.487960508101</v>
      </c>
      <c r="AM2442" s="2">
        <v>16333.671959285801</v>
      </c>
      <c r="AN2442" s="2">
        <v>17553.011727532499</v>
      </c>
      <c r="AO2442" s="2">
        <v>18657.006715867199</v>
      </c>
      <c r="AP2442" s="2">
        <v>16551.185581496498</v>
      </c>
    </row>
    <row r="2443" spans="1:42" ht="14.5" x14ac:dyDescent="0.35">
      <c r="A2443" s="2" t="s">
        <v>16333</v>
      </c>
      <c r="B2443" s="2">
        <v>747.38074343567303</v>
      </c>
      <c r="C2443" s="2">
        <v>8.7537000000000003</v>
      </c>
      <c r="D2443" s="2" t="s">
        <v>70</v>
      </c>
      <c r="E2443" s="2" t="s">
        <v>16334</v>
      </c>
      <c r="F2443" s="2">
        <v>54673</v>
      </c>
      <c r="G2443" s="3" t="str">
        <f>HYPERLINK("http://funmeta.oebiotech.com/network/54673", "http://funmeta.oebiotech.com/network/54673")</f>
        <v>http://funmeta.oebiotech.com/network/54673</v>
      </c>
      <c r="H2443" s="2" t="s">
        <v>16335</v>
      </c>
      <c r="I2443" s="2">
        <v>86489</v>
      </c>
      <c r="J2443" s="2"/>
      <c r="K2443" s="2">
        <v>168143</v>
      </c>
      <c r="L2443" s="2"/>
      <c r="M2443" s="2"/>
      <c r="N2443" s="2"/>
      <c r="O2443" s="2">
        <v>131750903</v>
      </c>
      <c r="P2443" s="2" t="s">
        <v>16336</v>
      </c>
      <c r="Q2443" s="2" t="s">
        <v>16337</v>
      </c>
      <c r="R2443" s="2" t="s">
        <v>16338</v>
      </c>
      <c r="S2443" s="2" t="s">
        <v>50</v>
      </c>
      <c r="T2443" s="2" t="s">
        <v>229</v>
      </c>
      <c r="U2443" s="2" t="s">
        <v>230</v>
      </c>
      <c r="V2443" s="2" t="s">
        <v>42</v>
      </c>
      <c r="W2443" s="2">
        <v>47.2</v>
      </c>
      <c r="X2443" s="2">
        <v>49.1</v>
      </c>
      <c r="Y2443" s="2" t="s">
        <v>560</v>
      </c>
      <c r="Z2443" s="2" t="s">
        <v>16339</v>
      </c>
      <c r="AA2443" s="2">
        <v>-0.154959013721821</v>
      </c>
      <c r="AB2443" s="2">
        <v>0.32826533758891102</v>
      </c>
      <c r="AC2443" s="2">
        <v>23411.958070445799</v>
      </c>
      <c r="AD2443" s="2">
        <v>15755.519115147799</v>
      </c>
      <c r="AE2443" s="2">
        <v>22822.559324462902</v>
      </c>
      <c r="AF2443" s="2">
        <v>21251.630399348</v>
      </c>
      <c r="AG2443" s="2">
        <v>23523.2296785125</v>
      </c>
      <c r="AH2443" s="2">
        <v>23889.295822349501</v>
      </c>
      <c r="AI2443" s="2">
        <v>22543.426932455401</v>
      </c>
      <c r="AJ2443" s="2">
        <v>26441.606265546201</v>
      </c>
      <c r="AK2443" s="2">
        <v>13914.186269542701</v>
      </c>
      <c r="AL2443" s="2">
        <v>15886.7481804213</v>
      </c>
      <c r="AM2443" s="2">
        <v>15902.7106907139</v>
      </c>
      <c r="AN2443" s="2">
        <v>18551.043748874901</v>
      </c>
      <c r="AO2443" s="2">
        <v>14008.9748754512</v>
      </c>
      <c r="AP2443" s="2">
        <v>16269.4509258827</v>
      </c>
    </row>
    <row r="2444" spans="1:42" ht="14.5" x14ac:dyDescent="0.35">
      <c r="A2444" s="2" t="s">
        <v>16340</v>
      </c>
      <c r="B2444" s="2">
        <v>593.18492360503706</v>
      </c>
      <c r="C2444" s="2">
        <v>4.3640166666666698</v>
      </c>
      <c r="D2444" s="2" t="s">
        <v>70</v>
      </c>
      <c r="E2444" s="2" t="s">
        <v>16341</v>
      </c>
      <c r="F2444" s="2">
        <v>34163</v>
      </c>
      <c r="G2444" s="3" t="str">
        <f>HYPERLINK("http://funmeta.oebiotech.com/network/34163", "http://funmeta.oebiotech.com/network/34163")</f>
        <v>http://funmeta.oebiotech.com/network/34163</v>
      </c>
      <c r="H2444" s="2"/>
      <c r="I2444" s="2"/>
      <c r="J2444" s="2" t="s">
        <v>16342</v>
      </c>
      <c r="K2444" s="2"/>
      <c r="L2444" s="2"/>
      <c r="M2444" s="2"/>
      <c r="N2444" s="2"/>
      <c r="O2444" s="2">
        <v>42607785</v>
      </c>
      <c r="P2444" s="2"/>
      <c r="Q2444" s="2" t="s">
        <v>16343</v>
      </c>
      <c r="R2444" s="2" t="s">
        <v>16344</v>
      </c>
      <c r="S2444" s="2" t="s">
        <v>50</v>
      </c>
      <c r="T2444" s="2" t="s">
        <v>106</v>
      </c>
      <c r="U2444" s="2" t="s">
        <v>41</v>
      </c>
      <c r="V2444" s="2" t="s">
        <v>59</v>
      </c>
      <c r="W2444" s="2">
        <v>44</v>
      </c>
      <c r="X2444" s="2">
        <v>28.1</v>
      </c>
      <c r="Y2444" s="2" t="s">
        <v>286</v>
      </c>
      <c r="Z2444" s="2" t="s">
        <v>16345</v>
      </c>
      <c r="AA2444" s="2">
        <v>-4.8445410229974604</v>
      </c>
      <c r="AB2444" s="2">
        <v>0.32820497691794998</v>
      </c>
      <c r="AC2444" s="2">
        <v>618340.58927522204</v>
      </c>
      <c r="AD2444" s="2">
        <v>643238.23344695906</v>
      </c>
      <c r="AE2444" s="2">
        <v>586578.91797932901</v>
      </c>
      <c r="AF2444" s="2">
        <v>696291.52761858795</v>
      </c>
      <c r="AG2444" s="2">
        <v>561717.79732904304</v>
      </c>
      <c r="AH2444" s="2">
        <v>585802.68040142104</v>
      </c>
      <c r="AI2444" s="2">
        <v>672854.23825136397</v>
      </c>
      <c r="AJ2444" s="2">
        <v>606798.37407158699</v>
      </c>
      <c r="AK2444" s="2">
        <v>687390.87223005702</v>
      </c>
      <c r="AL2444" s="2">
        <v>673382.21823729097</v>
      </c>
      <c r="AM2444" s="2">
        <v>623272.06622919196</v>
      </c>
      <c r="AN2444" s="2">
        <v>649689.52271255397</v>
      </c>
      <c r="AO2444" s="2">
        <v>579211.77821101598</v>
      </c>
      <c r="AP2444" s="2">
        <v>646482.94306164596</v>
      </c>
    </row>
    <row r="2445" spans="1:42" ht="14.5" x14ac:dyDescent="0.35">
      <c r="A2445" s="2" t="s">
        <v>16346</v>
      </c>
      <c r="B2445" s="2">
        <v>293.13798561493002</v>
      </c>
      <c r="C2445" s="2">
        <v>5.1048166666666699</v>
      </c>
      <c r="D2445" s="2" t="s">
        <v>34</v>
      </c>
      <c r="E2445" s="2" t="s">
        <v>16347</v>
      </c>
      <c r="F2445" s="2">
        <v>212771</v>
      </c>
      <c r="G2445" s="3" t="str">
        <f>HYPERLINK("http://funmeta.oebiotech.com/network/212771", "http://funmeta.oebiotech.com/network/212771")</f>
        <v>http://funmeta.oebiotech.com/network/212771</v>
      </c>
      <c r="H2445" s="2" t="s">
        <v>16348</v>
      </c>
      <c r="I2445" s="2"/>
      <c r="J2445" s="2"/>
      <c r="K2445" s="2"/>
      <c r="L2445" s="2"/>
      <c r="M2445" s="2"/>
      <c r="N2445" s="2"/>
      <c r="O2445" s="2">
        <v>135410273</v>
      </c>
      <c r="P2445" s="2"/>
      <c r="Q2445" s="2" t="s">
        <v>16349</v>
      </c>
      <c r="R2445" s="2" t="s">
        <v>16350</v>
      </c>
      <c r="S2445" s="2" t="s">
        <v>491</v>
      </c>
      <c r="T2445" s="2" t="s">
        <v>3019</v>
      </c>
      <c r="U2445" s="2" t="s">
        <v>3020</v>
      </c>
      <c r="V2445" s="2" t="s">
        <v>59</v>
      </c>
      <c r="W2445" s="2">
        <v>38.1</v>
      </c>
      <c r="X2445" s="2">
        <v>0</v>
      </c>
      <c r="Y2445" s="2" t="s">
        <v>1115</v>
      </c>
      <c r="Z2445" s="2" t="s">
        <v>16351</v>
      </c>
      <c r="AA2445" s="2">
        <v>2.60493784903792</v>
      </c>
      <c r="AB2445" s="2">
        <v>0.32816989389990298</v>
      </c>
      <c r="AC2445" s="2">
        <v>18258.011055303799</v>
      </c>
      <c r="AD2445" s="2">
        <v>25605.313153609699</v>
      </c>
      <c r="AE2445" s="2">
        <v>16909.0229741119</v>
      </c>
      <c r="AF2445" s="2">
        <v>19506.5062508562</v>
      </c>
      <c r="AG2445" s="2">
        <v>17596.943457994301</v>
      </c>
      <c r="AH2445" s="2">
        <v>18706.8926620526</v>
      </c>
      <c r="AI2445" s="2">
        <v>18068.7211458204</v>
      </c>
      <c r="AJ2445" s="2">
        <v>18759.979840987598</v>
      </c>
      <c r="AK2445" s="2">
        <v>26395.464085817399</v>
      </c>
      <c r="AL2445" s="2">
        <v>24463.122400255801</v>
      </c>
      <c r="AM2445" s="2">
        <v>24807.045721919902</v>
      </c>
      <c r="AN2445" s="2">
        <v>24383.317225110899</v>
      </c>
      <c r="AO2445" s="2">
        <v>25884.1737319803</v>
      </c>
      <c r="AP2445" s="2">
        <v>27698.755756573901</v>
      </c>
    </row>
    <row r="2446" spans="1:42" ht="14.5" x14ac:dyDescent="0.35">
      <c r="A2446" s="2" t="s">
        <v>16352</v>
      </c>
      <c r="B2446" s="2">
        <v>743.21919027176</v>
      </c>
      <c r="C2446" s="2">
        <v>4.2938999999999998</v>
      </c>
      <c r="D2446" s="2" t="s">
        <v>34</v>
      </c>
      <c r="E2446" s="2" t="s">
        <v>16353</v>
      </c>
      <c r="F2446" s="2">
        <v>46711</v>
      </c>
      <c r="G2446" s="3" t="str">
        <f>HYPERLINK("http://funmeta.oebiotech.com/network/46711", "http://funmeta.oebiotech.com/network/46711")</f>
        <v>http://funmeta.oebiotech.com/network/46711</v>
      </c>
      <c r="H2446" s="2"/>
      <c r="I2446" s="2"/>
      <c r="J2446" s="2" t="s">
        <v>16354</v>
      </c>
      <c r="K2446" s="2"/>
      <c r="L2446" s="2"/>
      <c r="M2446" s="2"/>
      <c r="N2446" s="2"/>
      <c r="O2446" s="2">
        <v>20056027</v>
      </c>
      <c r="P2446" s="2"/>
      <c r="Q2446" s="2" t="s">
        <v>16355</v>
      </c>
      <c r="R2446" s="2" t="s">
        <v>16356</v>
      </c>
      <c r="S2446" s="2" t="s">
        <v>50</v>
      </c>
      <c r="T2446" s="2" t="s">
        <v>124</v>
      </c>
      <c r="U2446" s="2" t="s">
        <v>723</v>
      </c>
      <c r="V2446" s="2" t="s">
        <v>59</v>
      </c>
      <c r="W2446" s="2">
        <v>37.9</v>
      </c>
      <c r="X2446" s="2">
        <v>0</v>
      </c>
      <c r="Y2446" s="2" t="s">
        <v>340</v>
      </c>
      <c r="Z2446" s="2" t="s">
        <v>16357</v>
      </c>
      <c r="AA2446" s="2">
        <v>-1.3809307582242401</v>
      </c>
      <c r="AB2446" s="2">
        <v>0.32808453478895999</v>
      </c>
      <c r="AC2446" s="2">
        <v>160734.31175426501</v>
      </c>
      <c r="AD2446" s="2">
        <v>174309.22188565999</v>
      </c>
      <c r="AE2446" s="2">
        <v>150743.53260852199</v>
      </c>
      <c r="AF2446" s="2">
        <v>160581.22049676001</v>
      </c>
      <c r="AG2446" s="2">
        <v>179703.32240057999</v>
      </c>
      <c r="AH2446" s="2">
        <v>154889.94591115101</v>
      </c>
      <c r="AI2446" s="2">
        <v>151988.77219669201</v>
      </c>
      <c r="AJ2446" s="2">
        <v>166499.07691188401</v>
      </c>
      <c r="AK2446" s="2">
        <v>173662.59307393801</v>
      </c>
      <c r="AL2446" s="2">
        <v>199380.10701947799</v>
      </c>
      <c r="AM2446" s="2">
        <v>164945.59466913599</v>
      </c>
      <c r="AN2446" s="2">
        <v>169187.415760829</v>
      </c>
      <c r="AO2446" s="2">
        <v>170100.94112117501</v>
      </c>
      <c r="AP2446" s="2">
        <v>168578.67966940501</v>
      </c>
    </row>
    <row r="2447" spans="1:42" ht="14.5" x14ac:dyDescent="0.35">
      <c r="A2447" s="2" t="s">
        <v>16358</v>
      </c>
      <c r="B2447" s="2">
        <v>658.35684235256201</v>
      </c>
      <c r="C2447" s="2">
        <v>7.5527833333333296</v>
      </c>
      <c r="D2447" s="2" t="s">
        <v>34</v>
      </c>
      <c r="E2447" s="2" t="s">
        <v>16359</v>
      </c>
      <c r="F2447" s="2">
        <v>28018</v>
      </c>
      <c r="G2447" s="3" t="str">
        <f>HYPERLINK("http://funmeta.oebiotech.com/network/28018", "http://funmeta.oebiotech.com/network/28018")</f>
        <v>http://funmeta.oebiotech.com/network/28018</v>
      </c>
      <c r="H2447" s="2"/>
      <c r="I2447" s="2"/>
      <c r="J2447" s="2" t="s">
        <v>16360</v>
      </c>
      <c r="K2447" s="2"/>
      <c r="L2447" s="2"/>
      <c r="M2447" s="2"/>
      <c r="N2447" s="2"/>
      <c r="O2447" s="2">
        <v>134812464</v>
      </c>
      <c r="P2447" s="2"/>
      <c r="Q2447" s="2" t="s">
        <v>16361</v>
      </c>
      <c r="R2447" s="2" t="s">
        <v>16362</v>
      </c>
      <c r="S2447" s="2" t="s">
        <v>50</v>
      </c>
      <c r="T2447" s="2" t="s">
        <v>51</v>
      </c>
      <c r="U2447" s="2" t="s">
        <v>738</v>
      </c>
      <c r="V2447" s="2" t="s">
        <v>59</v>
      </c>
      <c r="W2447" s="2">
        <v>43.8</v>
      </c>
      <c r="X2447" s="2">
        <v>24.5</v>
      </c>
      <c r="Y2447" s="2" t="s">
        <v>43</v>
      </c>
      <c r="Z2447" s="2" t="s">
        <v>16363</v>
      </c>
      <c r="AA2447" s="2">
        <v>0.997058034213961</v>
      </c>
      <c r="AB2447" s="2">
        <v>0.32802618650044102</v>
      </c>
      <c r="AC2447" s="2">
        <v>78106.537010681001</v>
      </c>
      <c r="AD2447" s="2">
        <v>88201.786859704196</v>
      </c>
      <c r="AE2447" s="2">
        <v>80708.725908401393</v>
      </c>
      <c r="AF2447" s="2">
        <v>83336.169799286101</v>
      </c>
      <c r="AG2447" s="2">
        <v>83828.531509525506</v>
      </c>
      <c r="AH2447" s="2">
        <v>69104.447779055103</v>
      </c>
      <c r="AI2447" s="2">
        <v>74792.489985437103</v>
      </c>
      <c r="AJ2447" s="2">
        <v>76868.857082380506</v>
      </c>
      <c r="AK2447" s="2">
        <v>92337.422144785596</v>
      </c>
      <c r="AL2447" s="2">
        <v>96240.267748895698</v>
      </c>
      <c r="AM2447" s="2">
        <v>86435.460003150496</v>
      </c>
      <c r="AN2447" s="2">
        <v>86764.917391942305</v>
      </c>
      <c r="AO2447" s="2">
        <v>86418.975032478105</v>
      </c>
      <c r="AP2447" s="2">
        <v>81013.678836972904</v>
      </c>
    </row>
    <row r="2448" spans="1:42" ht="14.5" x14ac:dyDescent="0.35">
      <c r="A2448" s="2" t="s">
        <v>16364</v>
      </c>
      <c r="B2448" s="2">
        <v>467.11370665885499</v>
      </c>
      <c r="C2448" s="2">
        <v>1.97685</v>
      </c>
      <c r="D2448" s="2" t="s">
        <v>34</v>
      </c>
      <c r="E2448" s="2" t="s">
        <v>16365</v>
      </c>
      <c r="F2448" s="2">
        <v>266934</v>
      </c>
      <c r="G2448" s="3" t="str">
        <f>HYPERLINK("http://funmeta.oebiotech.com/network/266934", "http://funmeta.oebiotech.com/network/266934")</f>
        <v>http://funmeta.oebiotech.com/network/266934</v>
      </c>
      <c r="H2448" s="2"/>
      <c r="I2448" s="2">
        <v>44331</v>
      </c>
      <c r="J2448" s="2"/>
      <c r="K2448" s="2"/>
      <c r="L2448" s="2"/>
      <c r="M2448" s="2"/>
      <c r="N2448" s="2"/>
      <c r="O2448" s="2">
        <v>3032771</v>
      </c>
      <c r="P2448" s="2" t="s">
        <v>16366</v>
      </c>
      <c r="Q2448" s="2" t="s">
        <v>16367</v>
      </c>
      <c r="R2448" s="2" t="s">
        <v>16368</v>
      </c>
      <c r="S2448" s="2" t="s">
        <v>148</v>
      </c>
      <c r="T2448" s="2" t="s">
        <v>149</v>
      </c>
      <c r="U2448" s="2" t="s">
        <v>1593</v>
      </c>
      <c r="V2448" s="2" t="s">
        <v>59</v>
      </c>
      <c r="W2448" s="2">
        <v>36.299999999999997</v>
      </c>
      <c r="X2448" s="2">
        <v>0</v>
      </c>
      <c r="Y2448" s="2" t="s">
        <v>394</v>
      </c>
      <c r="Z2448" s="2" t="s">
        <v>16369</v>
      </c>
      <c r="AA2448" s="2">
        <v>-2.49272342801628</v>
      </c>
      <c r="AB2448" s="2">
        <v>0.32791517263473502</v>
      </c>
      <c r="AC2448" s="2">
        <v>28135.3553060019</v>
      </c>
      <c r="AD2448" s="2">
        <v>20196.699892479501</v>
      </c>
      <c r="AE2448" s="2">
        <v>28047.596792252702</v>
      </c>
      <c r="AF2448" s="2">
        <v>32240.948454527599</v>
      </c>
      <c r="AG2448" s="2">
        <v>24837.790292264399</v>
      </c>
      <c r="AH2448" s="2">
        <v>25671.092205507899</v>
      </c>
      <c r="AI2448" s="2">
        <v>28908.915008489399</v>
      </c>
      <c r="AJ2448" s="2">
        <v>29105.789082969201</v>
      </c>
      <c r="AK2448" s="2">
        <v>21776.771079088001</v>
      </c>
      <c r="AL2448" s="2">
        <v>21043.113526261401</v>
      </c>
      <c r="AM2448" s="2">
        <v>17089.349762976599</v>
      </c>
      <c r="AN2448" s="2">
        <v>21305.442032315801</v>
      </c>
      <c r="AO2448" s="2">
        <v>20626.769753983499</v>
      </c>
      <c r="AP2448" s="2">
        <v>19338.7532002519</v>
      </c>
    </row>
    <row r="2449" spans="1:42" ht="14.5" x14ac:dyDescent="0.35">
      <c r="A2449" s="2" t="s">
        <v>16370</v>
      </c>
      <c r="B2449" s="2">
        <v>253.05601716066801</v>
      </c>
      <c r="C2449" s="2">
        <v>0.71055000000000001</v>
      </c>
      <c r="D2449" s="2" t="s">
        <v>70</v>
      </c>
      <c r="E2449" s="2" t="s">
        <v>16371</v>
      </c>
      <c r="F2449" s="2">
        <v>255201</v>
      </c>
      <c r="G2449" s="3" t="str">
        <f>HYPERLINK("http://funmeta.oebiotech.com/network/255201", "http://funmeta.oebiotech.com/network/255201")</f>
        <v>http://funmeta.oebiotech.com/network/255201</v>
      </c>
      <c r="H2449" s="2" t="s">
        <v>16372</v>
      </c>
      <c r="I2449" s="2"/>
      <c r="J2449" s="2"/>
      <c r="K2449" s="2"/>
      <c r="L2449" s="2"/>
      <c r="M2449" s="2"/>
      <c r="N2449" s="2"/>
      <c r="O2449" s="2">
        <v>151010</v>
      </c>
      <c r="P2449" s="2"/>
      <c r="Q2449" s="2" t="s">
        <v>16373</v>
      </c>
      <c r="R2449" s="2" t="s">
        <v>16374</v>
      </c>
      <c r="S2449" s="2" t="s">
        <v>79</v>
      </c>
      <c r="T2449" s="2" t="s">
        <v>80</v>
      </c>
      <c r="U2449" s="2" t="s">
        <v>81</v>
      </c>
      <c r="V2449" s="2" t="s">
        <v>42</v>
      </c>
      <c r="W2449" s="2">
        <v>50.6</v>
      </c>
      <c r="X2449" s="2">
        <v>62.6</v>
      </c>
      <c r="Y2449" s="2" t="s">
        <v>408</v>
      </c>
      <c r="Z2449" s="2" t="s">
        <v>16375</v>
      </c>
      <c r="AA2449" s="2">
        <v>-2.3475683761589701</v>
      </c>
      <c r="AB2449" s="2">
        <v>0.32790095594957702</v>
      </c>
      <c r="AC2449" s="2">
        <v>28400.821632477098</v>
      </c>
      <c r="AD2449" s="2">
        <v>18291.898999519701</v>
      </c>
      <c r="AE2449" s="2">
        <v>23255.080058951498</v>
      </c>
      <c r="AF2449" s="2">
        <v>36718.470891652403</v>
      </c>
      <c r="AG2449" s="2">
        <v>20696.223747928401</v>
      </c>
      <c r="AH2449" s="2">
        <v>34052.067787189</v>
      </c>
      <c r="AI2449" s="2">
        <v>32877.793214585203</v>
      </c>
      <c r="AJ2449" s="2">
        <v>22805.2940945558</v>
      </c>
      <c r="AK2449" s="2">
        <v>14068.6680869259</v>
      </c>
      <c r="AL2449" s="2">
        <v>17890.409296248599</v>
      </c>
      <c r="AM2449" s="2">
        <v>14761.1816892269</v>
      </c>
      <c r="AN2449" s="2">
        <v>21954.935294780102</v>
      </c>
      <c r="AO2449" s="2">
        <v>23611.777945931401</v>
      </c>
      <c r="AP2449" s="2">
        <v>17464.421684005199</v>
      </c>
    </row>
    <row r="2450" spans="1:42" ht="14.5" x14ac:dyDescent="0.35">
      <c r="A2450" s="2" t="s">
        <v>16376</v>
      </c>
      <c r="B2450" s="2">
        <v>715.39082968923503</v>
      </c>
      <c r="C2450" s="2">
        <v>5.2079666666666702</v>
      </c>
      <c r="D2450" s="2" t="s">
        <v>70</v>
      </c>
      <c r="E2450" s="2" t="s">
        <v>16377</v>
      </c>
      <c r="F2450" s="2">
        <v>277628</v>
      </c>
      <c r="G2450" s="3" t="str">
        <f>HYPERLINK("http://funmeta.oebiotech.com/network/277628", "http://funmeta.oebiotech.com/network/277628")</f>
        <v>http://funmeta.oebiotech.com/network/277628</v>
      </c>
      <c r="H2450" s="2"/>
      <c r="I2450" s="2">
        <v>69556</v>
      </c>
      <c r="J2450" s="2"/>
      <c r="K2450" s="2"/>
      <c r="L2450" s="2" t="s">
        <v>16378</v>
      </c>
      <c r="M2450" s="2"/>
      <c r="N2450" s="2"/>
      <c r="O2450" s="2">
        <v>5282200</v>
      </c>
      <c r="P2450" s="2" t="s">
        <v>16379</v>
      </c>
      <c r="Q2450" s="2" t="s">
        <v>16380</v>
      </c>
      <c r="R2450" s="2" t="s">
        <v>16381</v>
      </c>
      <c r="S2450" s="2" t="s">
        <v>115</v>
      </c>
      <c r="T2450" s="2" t="s">
        <v>1384</v>
      </c>
      <c r="U2450" s="2" t="s">
        <v>41</v>
      </c>
      <c r="V2450" s="2" t="s">
        <v>59</v>
      </c>
      <c r="W2450" s="2">
        <v>38.6</v>
      </c>
      <c r="X2450" s="2">
        <v>0</v>
      </c>
      <c r="Y2450" s="2" t="s">
        <v>408</v>
      </c>
      <c r="Z2450" s="2" t="s">
        <v>16382</v>
      </c>
      <c r="AA2450" s="2">
        <v>-0.299041899504844</v>
      </c>
      <c r="AB2450" s="2">
        <v>0.327740634858185</v>
      </c>
      <c r="AC2450" s="2">
        <v>12102.248787153299</v>
      </c>
      <c r="AD2450" s="2">
        <v>4955.69745502359</v>
      </c>
      <c r="AE2450" s="2">
        <v>12003.942409122101</v>
      </c>
      <c r="AF2450" s="2">
        <v>12218.699608914199</v>
      </c>
      <c r="AG2450" s="2">
        <v>12752.654817544601</v>
      </c>
      <c r="AH2450" s="2">
        <v>12473.6028582173</v>
      </c>
      <c r="AI2450" s="2">
        <v>11826.9565252622</v>
      </c>
      <c r="AJ2450" s="2">
        <v>11337.636503859299</v>
      </c>
      <c r="AK2450" s="2">
        <v>4412.2044826197498</v>
      </c>
      <c r="AL2450" s="2">
        <v>4250.9310769541698</v>
      </c>
      <c r="AM2450" s="2">
        <v>5861.0777435755899</v>
      </c>
      <c r="AN2450" s="2">
        <v>5870.6731385592502</v>
      </c>
      <c r="AO2450" s="2">
        <v>4995.89180540492</v>
      </c>
      <c r="AP2450" s="2">
        <v>4343.4064830278803</v>
      </c>
    </row>
    <row r="2451" spans="1:42" ht="14.5" x14ac:dyDescent="0.35">
      <c r="A2451" s="2" t="s">
        <v>16383</v>
      </c>
      <c r="B2451" s="2">
        <v>1041.5631721770601</v>
      </c>
      <c r="C2451" s="2">
        <v>4.9343500000000002</v>
      </c>
      <c r="D2451" s="2" t="s">
        <v>70</v>
      </c>
      <c r="E2451" s="2" t="s">
        <v>16384</v>
      </c>
      <c r="F2451" s="2">
        <v>57384</v>
      </c>
      <c r="G2451" s="3" t="str">
        <f>HYPERLINK("http://funmeta.oebiotech.com/network/57384", "http://funmeta.oebiotech.com/network/57384")</f>
        <v>http://funmeta.oebiotech.com/network/57384</v>
      </c>
      <c r="H2451" s="2" t="s">
        <v>16385</v>
      </c>
      <c r="I2451" s="2"/>
      <c r="J2451" s="2"/>
      <c r="K2451" s="2"/>
      <c r="L2451" s="2"/>
      <c r="M2451" s="2"/>
      <c r="N2451" s="2"/>
      <c r="O2451" s="2">
        <v>131751377</v>
      </c>
      <c r="P2451" s="2" t="s">
        <v>16386</v>
      </c>
      <c r="Q2451" s="2" t="s">
        <v>16387</v>
      </c>
      <c r="R2451" s="2" t="s">
        <v>16388</v>
      </c>
      <c r="S2451" s="2" t="s">
        <v>115</v>
      </c>
      <c r="T2451" s="2" t="s">
        <v>16389</v>
      </c>
      <c r="U2451" s="2" t="s">
        <v>41</v>
      </c>
      <c r="V2451" s="2" t="s">
        <v>59</v>
      </c>
      <c r="W2451" s="2">
        <v>36</v>
      </c>
      <c r="X2451" s="2">
        <v>0</v>
      </c>
      <c r="Y2451" s="2" t="s">
        <v>751</v>
      </c>
      <c r="Z2451" s="2" t="s">
        <v>16390</v>
      </c>
      <c r="AA2451" s="2">
        <v>4.78672959383728</v>
      </c>
      <c r="AB2451" s="2">
        <v>0.32726586880048703</v>
      </c>
      <c r="AC2451" s="2">
        <v>13124.385663786999</v>
      </c>
      <c r="AD2451" s="2">
        <v>4840.4120386321902</v>
      </c>
      <c r="AE2451" s="2">
        <v>12726.686366150299</v>
      </c>
      <c r="AF2451" s="2">
        <v>11033.498838490101</v>
      </c>
      <c r="AG2451" s="2">
        <v>14601.704454221401</v>
      </c>
      <c r="AH2451" s="2">
        <v>13817.4616086563</v>
      </c>
      <c r="AI2451" s="2">
        <v>16793.6598380266</v>
      </c>
      <c r="AJ2451" s="2">
        <v>9773.3028771772097</v>
      </c>
      <c r="AK2451" s="2">
        <v>2.7106294003980101E-5</v>
      </c>
      <c r="AL2451" s="2">
        <v>8133.2448455433496</v>
      </c>
      <c r="AM2451" s="2">
        <v>3099.9469760681</v>
      </c>
      <c r="AN2451" s="2">
        <v>6978.6979459998902</v>
      </c>
      <c r="AO2451" s="2">
        <v>4254.8406806820904</v>
      </c>
      <c r="AP2451" s="2">
        <v>6575.7417563933896</v>
      </c>
    </row>
    <row r="2452" spans="1:42" ht="14.5" x14ac:dyDescent="0.35">
      <c r="A2452" s="2" t="s">
        <v>16391</v>
      </c>
      <c r="B2452" s="2">
        <v>939.31250292013897</v>
      </c>
      <c r="C2452" s="2">
        <v>9.5614333333333299</v>
      </c>
      <c r="D2452" s="2" t="s">
        <v>34</v>
      </c>
      <c r="E2452" s="2" t="s">
        <v>16392</v>
      </c>
      <c r="F2452" s="2">
        <v>31810</v>
      </c>
      <c r="G2452" s="3" t="str">
        <f>HYPERLINK("http://funmeta.oebiotech.com/network/31810", "http://funmeta.oebiotech.com/network/31810")</f>
        <v>http://funmeta.oebiotech.com/network/31810</v>
      </c>
      <c r="H2452" s="2"/>
      <c r="I2452" s="2"/>
      <c r="J2452" s="2" t="s">
        <v>16393</v>
      </c>
      <c r="K2452" s="2"/>
      <c r="L2452" s="2"/>
      <c r="M2452" s="2"/>
      <c r="N2452" s="2"/>
      <c r="O2452" s="2">
        <v>15694076</v>
      </c>
      <c r="P2452" s="2"/>
      <c r="Q2452" s="2" t="s">
        <v>16394</v>
      </c>
      <c r="R2452" s="2" t="s">
        <v>16395</v>
      </c>
      <c r="S2452" s="2" t="s">
        <v>115</v>
      </c>
      <c r="T2452" s="2" t="s">
        <v>139</v>
      </c>
      <c r="U2452" s="2" t="s">
        <v>140</v>
      </c>
      <c r="V2452" s="2" t="s">
        <v>59</v>
      </c>
      <c r="W2452" s="2">
        <v>39.1</v>
      </c>
      <c r="X2452" s="2">
        <v>0</v>
      </c>
      <c r="Y2452" s="2" t="s">
        <v>141</v>
      </c>
      <c r="Z2452" s="2" t="s">
        <v>16396</v>
      </c>
      <c r="AA2452" s="2">
        <v>-0.37800806700837702</v>
      </c>
      <c r="AB2452" s="2">
        <v>0.32719003545276998</v>
      </c>
      <c r="AC2452" s="2">
        <v>11474.1000281136</v>
      </c>
      <c r="AD2452" s="2">
        <v>3915.2623638006298</v>
      </c>
      <c r="AE2452" s="2">
        <v>10549.849021513901</v>
      </c>
      <c r="AF2452" s="2">
        <v>12155.740684169999</v>
      </c>
      <c r="AG2452" s="2">
        <v>11623.6100453856</v>
      </c>
      <c r="AH2452" s="2">
        <v>7966.9765814926204</v>
      </c>
      <c r="AI2452" s="2">
        <v>13071.128722927</v>
      </c>
      <c r="AJ2452" s="2">
        <v>13477.2951131924</v>
      </c>
      <c r="AK2452" s="2">
        <v>3420.1954566751401</v>
      </c>
      <c r="AL2452" s="2">
        <v>4961.4474090574104</v>
      </c>
      <c r="AM2452" s="2">
        <v>5459.84479453109</v>
      </c>
      <c r="AN2452" s="2">
        <v>2377.5173175858999</v>
      </c>
      <c r="AO2452" s="2">
        <v>3359.2028392837201</v>
      </c>
      <c r="AP2452" s="2">
        <v>3913.3663656705198</v>
      </c>
    </row>
    <row r="2453" spans="1:42" ht="14.5" x14ac:dyDescent="0.35">
      <c r="A2453" s="2" t="s">
        <v>16397</v>
      </c>
      <c r="B2453" s="2">
        <v>239.08892976326399</v>
      </c>
      <c r="C2453" s="2">
        <v>2.6021999999999998</v>
      </c>
      <c r="D2453" s="2" t="s">
        <v>34</v>
      </c>
      <c r="E2453" s="2" t="s">
        <v>16398</v>
      </c>
      <c r="F2453" s="2">
        <v>209313</v>
      </c>
      <c r="G2453" s="3" t="str">
        <f>HYPERLINK("http://funmeta.oebiotech.com/network/209313", "http://funmeta.oebiotech.com/network/209313")</f>
        <v>http://funmeta.oebiotech.com/network/209313</v>
      </c>
      <c r="H2453" s="2" t="s">
        <v>16399</v>
      </c>
      <c r="I2453" s="2">
        <v>825115</v>
      </c>
      <c r="J2453" s="2"/>
      <c r="K2453" s="2"/>
      <c r="L2453" s="2"/>
      <c r="M2453" s="2"/>
      <c r="N2453" s="2"/>
      <c r="O2453" s="2">
        <v>136051299</v>
      </c>
      <c r="P2453" s="2"/>
      <c r="Q2453" s="2" t="s">
        <v>16400</v>
      </c>
      <c r="R2453" s="2" t="s">
        <v>16401</v>
      </c>
      <c r="S2453" s="2" t="s">
        <v>491</v>
      </c>
      <c r="T2453" s="2" t="s">
        <v>7431</v>
      </c>
      <c r="U2453" s="2" t="s">
        <v>7432</v>
      </c>
      <c r="V2453" s="2" t="s">
        <v>59</v>
      </c>
      <c r="W2453" s="2">
        <v>40.200000000000003</v>
      </c>
      <c r="X2453" s="2">
        <v>3.26</v>
      </c>
      <c r="Y2453" s="2" t="s">
        <v>266</v>
      </c>
      <c r="Z2453" s="2" t="s">
        <v>16402</v>
      </c>
      <c r="AA2453" s="2">
        <v>0.90356932392348299</v>
      </c>
      <c r="AB2453" s="2">
        <v>0.32712038453042502</v>
      </c>
      <c r="AC2453" s="2">
        <v>67357.4456702686</v>
      </c>
      <c r="AD2453" s="2">
        <v>76157.296938388303</v>
      </c>
      <c r="AE2453" s="2">
        <v>67754.360510955405</v>
      </c>
      <c r="AF2453" s="2">
        <v>68464.9209292593</v>
      </c>
      <c r="AG2453" s="2">
        <v>69262.784372535694</v>
      </c>
      <c r="AH2453" s="2">
        <v>66557.877224190801</v>
      </c>
      <c r="AI2453" s="2">
        <v>66737.757068479594</v>
      </c>
      <c r="AJ2453" s="2">
        <v>65366.973916190997</v>
      </c>
      <c r="AK2453" s="2">
        <v>79029.5905813469</v>
      </c>
      <c r="AL2453" s="2">
        <v>79350.178047911395</v>
      </c>
      <c r="AM2453" s="2">
        <v>72948.198519783502</v>
      </c>
      <c r="AN2453" s="2">
        <v>72803.678849937205</v>
      </c>
      <c r="AO2453" s="2">
        <v>82670.839958445897</v>
      </c>
      <c r="AP2453" s="2">
        <v>70141.295672904904</v>
      </c>
    </row>
    <row r="2454" spans="1:42" ht="14.5" x14ac:dyDescent="0.35">
      <c r="A2454" s="2" t="s">
        <v>16403</v>
      </c>
      <c r="B2454" s="2">
        <v>405.22471777746301</v>
      </c>
      <c r="C2454" s="2">
        <v>9.44783333333333</v>
      </c>
      <c r="D2454" s="2" t="s">
        <v>34</v>
      </c>
      <c r="E2454" s="2" t="s">
        <v>16404</v>
      </c>
      <c r="F2454" s="2">
        <v>53380</v>
      </c>
      <c r="G2454" s="3" t="str">
        <f>HYPERLINK("http://funmeta.oebiotech.com/network/53380", "http://funmeta.oebiotech.com/network/53380")</f>
        <v>http://funmeta.oebiotech.com/network/53380</v>
      </c>
      <c r="H2454" s="2" t="s">
        <v>16405</v>
      </c>
      <c r="I2454" s="2">
        <v>2721</v>
      </c>
      <c r="J2454" s="2"/>
      <c r="K2454" s="2">
        <v>9445</v>
      </c>
      <c r="L2454" s="2" t="s">
        <v>16406</v>
      </c>
      <c r="M2454" s="2"/>
      <c r="N2454" s="2"/>
      <c r="O2454" s="2">
        <v>5401</v>
      </c>
      <c r="P2454" s="2" t="s">
        <v>16407</v>
      </c>
      <c r="Q2454" s="2" t="s">
        <v>16408</v>
      </c>
      <c r="R2454" s="2" t="s">
        <v>16409</v>
      </c>
      <c r="S2454" s="2" t="s">
        <v>491</v>
      </c>
      <c r="T2454" s="2" t="s">
        <v>5190</v>
      </c>
      <c r="U2454" s="2" t="s">
        <v>5191</v>
      </c>
      <c r="V2454" s="2" t="s">
        <v>59</v>
      </c>
      <c r="W2454" s="2">
        <v>39</v>
      </c>
      <c r="X2454" s="2">
        <v>0</v>
      </c>
      <c r="Y2454" s="2" t="s">
        <v>43</v>
      </c>
      <c r="Z2454" s="2" t="s">
        <v>16410</v>
      </c>
      <c r="AA2454" s="2">
        <v>0.61453826622345198</v>
      </c>
      <c r="AB2454" s="2">
        <v>0.32704530802245702</v>
      </c>
      <c r="AC2454" s="2">
        <v>10807.208852228299</v>
      </c>
      <c r="AD2454" s="2">
        <v>3690.7638043064499</v>
      </c>
      <c r="AE2454" s="2">
        <v>11365.2015083888</v>
      </c>
      <c r="AF2454" s="2">
        <v>9468.6021165344991</v>
      </c>
      <c r="AG2454" s="2">
        <v>10572.592878407</v>
      </c>
      <c r="AH2454" s="2">
        <v>11286.5342143982</v>
      </c>
      <c r="AI2454" s="2">
        <v>10188.821903047199</v>
      </c>
      <c r="AJ2454" s="2">
        <v>11961.500492594199</v>
      </c>
      <c r="AK2454" s="2">
        <v>4188.6428224601596</v>
      </c>
      <c r="AL2454" s="2">
        <v>3627.79591615968</v>
      </c>
      <c r="AM2454" s="2">
        <v>3559.58673668646</v>
      </c>
      <c r="AN2454" s="2">
        <v>3356.8772725367999</v>
      </c>
      <c r="AO2454" s="2">
        <v>3815.0714689134702</v>
      </c>
      <c r="AP2454" s="2">
        <v>3596.60860908216</v>
      </c>
    </row>
    <row r="2455" spans="1:42" ht="14.5" x14ac:dyDescent="0.35">
      <c r="A2455" s="2" t="s">
        <v>16411</v>
      </c>
      <c r="B2455" s="2">
        <v>345.08040714158102</v>
      </c>
      <c r="C2455" s="2">
        <v>1.5991</v>
      </c>
      <c r="D2455" s="2" t="s">
        <v>70</v>
      </c>
      <c r="E2455" s="2" t="s">
        <v>16412</v>
      </c>
      <c r="F2455" s="2">
        <v>203808</v>
      </c>
      <c r="G2455" s="3" t="str">
        <f>HYPERLINK("http://funmeta.oebiotech.com/network/203808", "http://funmeta.oebiotech.com/network/203808")</f>
        <v>http://funmeta.oebiotech.com/network/203808</v>
      </c>
      <c r="H2455" s="2" t="s">
        <v>16413</v>
      </c>
      <c r="I2455" s="2"/>
      <c r="J2455" s="2"/>
      <c r="K2455" s="2"/>
      <c r="L2455" s="2"/>
      <c r="M2455" s="2"/>
      <c r="N2455" s="2"/>
      <c r="O2455" s="2">
        <v>5248314</v>
      </c>
      <c r="P2455" s="2"/>
      <c r="Q2455" s="2" t="s">
        <v>16414</v>
      </c>
      <c r="R2455" s="2" t="s">
        <v>16415</v>
      </c>
      <c r="S2455" s="2" t="s">
        <v>89</v>
      </c>
      <c r="T2455" s="2" t="s">
        <v>90</v>
      </c>
      <c r="U2455" s="2" t="s">
        <v>99</v>
      </c>
      <c r="V2455" s="2" t="s">
        <v>59</v>
      </c>
      <c r="W2455" s="2">
        <v>45.1</v>
      </c>
      <c r="X2455" s="2">
        <v>39.700000000000003</v>
      </c>
      <c r="Y2455" s="2" t="s">
        <v>560</v>
      </c>
      <c r="Z2455" s="2" t="s">
        <v>16416</v>
      </c>
      <c r="AA2455" s="2">
        <v>1.0752758295990399</v>
      </c>
      <c r="AB2455" s="2">
        <v>0.32670012806250098</v>
      </c>
      <c r="AC2455" s="2">
        <v>53772.290091656803</v>
      </c>
      <c r="AD2455" s="2">
        <v>61439.086685906303</v>
      </c>
      <c r="AE2455" s="2">
        <v>54953.411419707401</v>
      </c>
      <c r="AF2455" s="2">
        <v>53864.641343798903</v>
      </c>
      <c r="AG2455" s="2">
        <v>51956.776679514202</v>
      </c>
      <c r="AH2455" s="2">
        <v>52171.514197178301</v>
      </c>
      <c r="AI2455" s="2">
        <v>54459.383244913603</v>
      </c>
      <c r="AJ2455" s="2">
        <v>55228.013664828301</v>
      </c>
      <c r="AK2455" s="2">
        <v>60478.245418154402</v>
      </c>
      <c r="AL2455" s="2">
        <v>58433.6873548773</v>
      </c>
      <c r="AM2455" s="2">
        <v>60098.814164171701</v>
      </c>
      <c r="AN2455" s="2">
        <v>62970.206597110497</v>
      </c>
      <c r="AO2455" s="2">
        <v>61686.9548664838</v>
      </c>
      <c r="AP2455" s="2">
        <v>64966.611714640101</v>
      </c>
    </row>
    <row r="2456" spans="1:42" ht="14.5" x14ac:dyDescent="0.35">
      <c r="A2456" s="2" t="s">
        <v>16417</v>
      </c>
      <c r="B2456" s="2">
        <v>615.49727362782198</v>
      </c>
      <c r="C2456" s="2">
        <v>14.4108</v>
      </c>
      <c r="D2456" s="2" t="s">
        <v>34</v>
      </c>
      <c r="E2456" s="2" t="s">
        <v>16418</v>
      </c>
      <c r="F2456" s="2">
        <v>248490</v>
      </c>
      <c r="G2456" s="3" t="str">
        <f>HYPERLINK("http://funmeta.oebiotech.com/network/248490", "http://funmeta.oebiotech.com/network/248490")</f>
        <v>http://funmeta.oebiotech.com/network/248490</v>
      </c>
      <c r="H2456" s="2" t="s">
        <v>16419</v>
      </c>
      <c r="I2456" s="2"/>
      <c r="J2456" s="2"/>
      <c r="K2456" s="2"/>
      <c r="L2456" s="2"/>
      <c r="M2456" s="2"/>
      <c r="N2456" s="2"/>
      <c r="O2456" s="2"/>
      <c r="P2456" s="2"/>
      <c r="Q2456" s="2" t="s">
        <v>16420</v>
      </c>
      <c r="R2456" s="2" t="s">
        <v>16421</v>
      </c>
      <c r="S2456" s="2" t="s">
        <v>41</v>
      </c>
      <c r="T2456" s="2" t="s">
        <v>41</v>
      </c>
      <c r="U2456" s="2" t="s">
        <v>41</v>
      </c>
      <c r="V2456" s="2" t="s">
        <v>59</v>
      </c>
      <c r="W2456" s="2">
        <v>37.6</v>
      </c>
      <c r="X2456" s="2">
        <v>0</v>
      </c>
      <c r="Y2456" s="2" t="s">
        <v>141</v>
      </c>
      <c r="Z2456" s="2" t="s">
        <v>16422</v>
      </c>
      <c r="AA2456" s="2">
        <v>-1.6253244488666101</v>
      </c>
      <c r="AB2456" s="2">
        <v>0.32668733211114298</v>
      </c>
      <c r="AC2456" s="2">
        <v>21414.813159474001</v>
      </c>
      <c r="AD2456" s="2">
        <v>29592.033137375001</v>
      </c>
      <c r="AE2456" s="2">
        <v>20421.228865265999</v>
      </c>
      <c r="AF2456" s="2">
        <v>18690.6188756915</v>
      </c>
      <c r="AG2456" s="2">
        <v>20694.180212286599</v>
      </c>
      <c r="AH2456" s="2">
        <v>22824.9466427482</v>
      </c>
      <c r="AI2456" s="2">
        <v>20691.328812980599</v>
      </c>
      <c r="AJ2456" s="2">
        <v>25166.5755478711</v>
      </c>
      <c r="AK2456" s="2">
        <v>28533.399562791499</v>
      </c>
      <c r="AL2456" s="2">
        <v>28351.792166136202</v>
      </c>
      <c r="AM2456" s="2">
        <v>25024.7052556339</v>
      </c>
      <c r="AN2456" s="2">
        <v>30080.5279614838</v>
      </c>
      <c r="AO2456" s="2">
        <v>34175.736789672897</v>
      </c>
      <c r="AP2456" s="2">
        <v>31386.037088531699</v>
      </c>
    </row>
    <row r="2457" spans="1:42" ht="14.5" x14ac:dyDescent="0.35">
      <c r="A2457" s="2" t="s">
        <v>16423</v>
      </c>
      <c r="B2457" s="2">
        <v>262.10737834432899</v>
      </c>
      <c r="C2457" s="2">
        <v>9.3124666666666691</v>
      </c>
      <c r="D2457" s="2" t="s">
        <v>34</v>
      </c>
      <c r="E2457" s="2" t="s">
        <v>16424</v>
      </c>
      <c r="F2457" s="2">
        <v>57077</v>
      </c>
      <c r="G2457" s="3" t="str">
        <f>HYPERLINK("http://funmeta.oebiotech.com/network/57077", "http://funmeta.oebiotech.com/network/57077")</f>
        <v>http://funmeta.oebiotech.com/network/57077</v>
      </c>
      <c r="H2457" s="2" t="s">
        <v>16425</v>
      </c>
      <c r="I2457" s="2">
        <v>411218</v>
      </c>
      <c r="J2457" s="2"/>
      <c r="K2457" s="2"/>
      <c r="L2457" s="2"/>
      <c r="M2457" s="2"/>
      <c r="N2457" s="2"/>
      <c r="O2457" s="2">
        <v>129556</v>
      </c>
      <c r="P2457" s="2" t="s">
        <v>16426</v>
      </c>
      <c r="Q2457" s="2" t="s">
        <v>16427</v>
      </c>
      <c r="R2457" s="2" t="s">
        <v>16428</v>
      </c>
      <c r="S2457" s="2" t="s">
        <v>79</v>
      </c>
      <c r="T2457" s="2" t="s">
        <v>80</v>
      </c>
      <c r="U2457" s="2" t="s">
        <v>81</v>
      </c>
      <c r="V2457" s="2" t="s">
        <v>59</v>
      </c>
      <c r="W2457" s="2">
        <v>46.8</v>
      </c>
      <c r="X2457" s="2">
        <v>37.4</v>
      </c>
      <c r="Y2457" s="2" t="s">
        <v>266</v>
      </c>
      <c r="Z2457" s="2" t="s">
        <v>16429</v>
      </c>
      <c r="AA2457" s="2">
        <v>-2.16883885208436E-2</v>
      </c>
      <c r="AB2457" s="2">
        <v>0.32661416999836601</v>
      </c>
      <c r="AC2457" s="2">
        <v>21238.3894790509</v>
      </c>
      <c r="AD2457" s="2">
        <v>14061.2458333295</v>
      </c>
      <c r="AE2457" s="2">
        <v>21775.4290851898</v>
      </c>
      <c r="AF2457" s="2">
        <v>21447.8076254589</v>
      </c>
      <c r="AG2457" s="2">
        <v>20626.836897761401</v>
      </c>
      <c r="AH2457" s="2">
        <v>20553.3532124464</v>
      </c>
      <c r="AI2457" s="2">
        <v>22021.0207650255</v>
      </c>
      <c r="AJ2457" s="2">
        <v>21005.889288423201</v>
      </c>
      <c r="AK2457" s="2">
        <v>14642.8808316497</v>
      </c>
      <c r="AL2457" s="2">
        <v>15671.717772132701</v>
      </c>
      <c r="AM2457" s="2">
        <v>12664.082182910101</v>
      </c>
      <c r="AN2457" s="2">
        <v>13237.6005104544</v>
      </c>
      <c r="AO2457" s="2">
        <v>13421.8405549777</v>
      </c>
      <c r="AP2457" s="2">
        <v>14729.3531478524</v>
      </c>
    </row>
    <row r="2458" spans="1:42" ht="14.5" x14ac:dyDescent="0.35">
      <c r="A2458" s="2" t="s">
        <v>16430</v>
      </c>
      <c r="B2458" s="2">
        <v>458.34717345164</v>
      </c>
      <c r="C2458" s="2">
        <v>11.3852666666667</v>
      </c>
      <c r="D2458" s="2" t="s">
        <v>34</v>
      </c>
      <c r="E2458" s="2" t="s">
        <v>16431</v>
      </c>
      <c r="F2458" s="2">
        <v>256064</v>
      </c>
      <c r="G2458" s="3" t="str">
        <f>HYPERLINK("http://funmeta.oebiotech.com/network/256064", "http://funmeta.oebiotech.com/network/256064")</f>
        <v>http://funmeta.oebiotech.com/network/256064</v>
      </c>
      <c r="H2458" s="2" t="s">
        <v>16432</v>
      </c>
      <c r="I2458" s="2"/>
      <c r="J2458" s="2"/>
      <c r="K2458" s="2"/>
      <c r="L2458" s="2"/>
      <c r="M2458" s="2"/>
      <c r="N2458" s="2"/>
      <c r="O2458" s="2">
        <v>108335</v>
      </c>
      <c r="P2458" s="2"/>
      <c r="Q2458" s="2" t="s">
        <v>16433</v>
      </c>
      <c r="R2458" s="2" t="s">
        <v>16434</v>
      </c>
      <c r="S2458" s="2" t="s">
        <v>50</v>
      </c>
      <c r="T2458" s="2" t="s">
        <v>448</v>
      </c>
      <c r="U2458" s="2" t="s">
        <v>9987</v>
      </c>
      <c r="V2458" s="2" t="s">
        <v>42</v>
      </c>
      <c r="W2458" s="2">
        <v>46.7</v>
      </c>
      <c r="X2458" s="2">
        <v>48.9</v>
      </c>
      <c r="Y2458" s="2" t="s">
        <v>470</v>
      </c>
      <c r="Z2458" s="2" t="s">
        <v>16435</v>
      </c>
      <c r="AA2458" s="2">
        <v>-1.0020281230608601</v>
      </c>
      <c r="AB2458" s="2">
        <v>0.32642716173976</v>
      </c>
      <c r="AC2458" s="2">
        <v>155781.811016008</v>
      </c>
      <c r="AD2458" s="2">
        <v>128518.14424803801</v>
      </c>
      <c r="AE2458" s="2">
        <v>108645.36045985699</v>
      </c>
      <c r="AF2458" s="2">
        <v>123625.835672438</v>
      </c>
      <c r="AG2458" s="2">
        <v>130078.991664532</v>
      </c>
      <c r="AH2458" s="2">
        <v>313402.30404867203</v>
      </c>
      <c r="AI2458" s="2">
        <v>121013.568098156</v>
      </c>
      <c r="AJ2458" s="2">
        <v>137924.80615239401</v>
      </c>
      <c r="AK2458" s="2">
        <v>101060.758222095</v>
      </c>
      <c r="AL2458" s="2">
        <v>127822.74813180701</v>
      </c>
      <c r="AM2458" s="2">
        <v>125061.599385621</v>
      </c>
      <c r="AN2458" s="2">
        <v>138596.85848209</v>
      </c>
      <c r="AO2458" s="2">
        <v>144803.451983682</v>
      </c>
      <c r="AP2458" s="2">
        <v>133763.44928293399</v>
      </c>
    </row>
    <row r="2459" spans="1:42" ht="14.5" x14ac:dyDescent="0.35">
      <c r="A2459" s="2" t="s">
        <v>16436</v>
      </c>
      <c r="B2459" s="2">
        <v>394.17090582288301</v>
      </c>
      <c r="C2459" s="2">
        <v>4.6492000000000004</v>
      </c>
      <c r="D2459" s="2" t="s">
        <v>70</v>
      </c>
      <c r="E2459" s="2" t="s">
        <v>16437</v>
      </c>
      <c r="F2459" s="2">
        <v>208212</v>
      </c>
      <c r="G2459" s="3" t="str">
        <f>HYPERLINK("http://funmeta.oebiotech.com/network/208212", "http://funmeta.oebiotech.com/network/208212")</f>
        <v>http://funmeta.oebiotech.com/network/208212</v>
      </c>
      <c r="H2459" s="2" t="s">
        <v>16438</v>
      </c>
      <c r="I2459" s="2"/>
      <c r="J2459" s="2"/>
      <c r="K2459" s="2"/>
      <c r="L2459" s="2"/>
      <c r="M2459" s="2"/>
      <c r="N2459" s="2"/>
      <c r="O2459" s="2">
        <v>3892</v>
      </c>
      <c r="P2459" s="2"/>
      <c r="Q2459" s="2" t="s">
        <v>16439</v>
      </c>
      <c r="R2459" s="2" t="s">
        <v>16440</v>
      </c>
      <c r="S2459" s="2" t="s">
        <v>115</v>
      </c>
      <c r="T2459" s="2" t="s">
        <v>1384</v>
      </c>
      <c r="U2459" s="2" t="s">
        <v>41</v>
      </c>
      <c r="V2459" s="2" t="s">
        <v>59</v>
      </c>
      <c r="W2459" s="2">
        <v>39.700000000000003</v>
      </c>
      <c r="X2459" s="2">
        <v>14.8</v>
      </c>
      <c r="Y2459" s="2" t="s">
        <v>118</v>
      </c>
      <c r="Z2459" s="2" t="s">
        <v>16441</v>
      </c>
      <c r="AA2459" s="2">
        <v>3.89249282857749</v>
      </c>
      <c r="AB2459" s="2">
        <v>0.326274780426972</v>
      </c>
      <c r="AC2459" s="2">
        <v>60436.199977418102</v>
      </c>
      <c r="AD2459" s="2">
        <v>68262.244929964494</v>
      </c>
      <c r="AE2459" s="2">
        <v>59944.733710138004</v>
      </c>
      <c r="AF2459" s="2">
        <v>61797.926231887097</v>
      </c>
      <c r="AG2459" s="2">
        <v>59595.548262692697</v>
      </c>
      <c r="AH2459" s="2">
        <v>61809.253696023399</v>
      </c>
      <c r="AI2459" s="2">
        <v>60140.7790304257</v>
      </c>
      <c r="AJ2459" s="2">
        <v>59328.958933341397</v>
      </c>
      <c r="AK2459" s="2">
        <v>64642.916512744603</v>
      </c>
      <c r="AL2459" s="2">
        <v>69502.828664724206</v>
      </c>
      <c r="AM2459" s="2">
        <v>68720.389289627507</v>
      </c>
      <c r="AN2459" s="2">
        <v>72310.939847482005</v>
      </c>
      <c r="AO2459" s="2">
        <v>65184.5857187156</v>
      </c>
      <c r="AP2459" s="2">
        <v>69211.809546493198</v>
      </c>
    </row>
    <row r="2460" spans="1:42" ht="14.5" x14ac:dyDescent="0.35">
      <c r="A2460" s="2" t="s">
        <v>16442</v>
      </c>
      <c r="B2460" s="2">
        <v>236.99803380121901</v>
      </c>
      <c r="C2460" s="2">
        <v>1.0770999999999999</v>
      </c>
      <c r="D2460" s="2" t="s">
        <v>34</v>
      </c>
      <c r="E2460" s="2" t="s">
        <v>16443</v>
      </c>
      <c r="F2460" s="2">
        <v>210135</v>
      </c>
      <c r="G2460" s="3" t="str">
        <f>HYPERLINK("http://funmeta.oebiotech.com/network/210135", "http://funmeta.oebiotech.com/network/210135")</f>
        <v>http://funmeta.oebiotech.com/network/210135</v>
      </c>
      <c r="H2460" s="2" t="s">
        <v>16444</v>
      </c>
      <c r="I2460" s="2"/>
      <c r="J2460" s="2"/>
      <c r="K2460" s="2"/>
      <c r="L2460" s="2"/>
      <c r="M2460" s="2"/>
      <c r="N2460" s="2"/>
      <c r="O2460" s="2">
        <v>86755199</v>
      </c>
      <c r="P2460" s="2"/>
      <c r="Q2460" s="2" t="s">
        <v>16445</v>
      </c>
      <c r="R2460" s="2" t="s">
        <v>16446</v>
      </c>
      <c r="S2460" s="2" t="s">
        <v>41</v>
      </c>
      <c r="T2460" s="2" t="s">
        <v>41</v>
      </c>
      <c r="U2460" s="2" t="s">
        <v>41</v>
      </c>
      <c r="V2460" s="2" t="s">
        <v>59</v>
      </c>
      <c r="W2460" s="2">
        <v>37.9</v>
      </c>
      <c r="X2460" s="2">
        <v>0</v>
      </c>
      <c r="Y2460" s="2" t="s">
        <v>141</v>
      </c>
      <c r="Z2460" s="2" t="s">
        <v>16447</v>
      </c>
      <c r="AA2460" s="2">
        <v>4.2795091470232496</v>
      </c>
      <c r="AB2460" s="2">
        <v>0.32602565675977402</v>
      </c>
      <c r="AC2460" s="2">
        <v>20828.571372241298</v>
      </c>
      <c r="AD2460" s="2">
        <v>13072.669159888101</v>
      </c>
      <c r="AE2460" s="2">
        <v>20144.121048316301</v>
      </c>
      <c r="AF2460" s="2">
        <v>21347.2753402294</v>
      </c>
      <c r="AG2460" s="2">
        <v>24104.994974972298</v>
      </c>
      <c r="AH2460" s="2">
        <v>18141.138038493398</v>
      </c>
      <c r="AI2460" s="2">
        <v>22480.7528299224</v>
      </c>
      <c r="AJ2460" s="2">
        <v>18753.1460015138</v>
      </c>
      <c r="AK2460" s="2">
        <v>14212.977349372501</v>
      </c>
      <c r="AL2460" s="2">
        <v>13689.040741885299</v>
      </c>
      <c r="AM2460" s="2">
        <v>15405.2169873363</v>
      </c>
      <c r="AN2460" s="2">
        <v>10905.9042415451</v>
      </c>
      <c r="AO2460" s="2">
        <v>13397.0348681826</v>
      </c>
      <c r="AP2460" s="2">
        <v>10825.8407710067</v>
      </c>
    </row>
    <row r="2461" spans="1:42" ht="14.5" x14ac:dyDescent="0.35">
      <c r="A2461" s="2" t="s">
        <v>16448</v>
      </c>
      <c r="B2461" s="2">
        <v>311.11233073374598</v>
      </c>
      <c r="C2461" s="2">
        <v>1.9590000000000001</v>
      </c>
      <c r="D2461" s="2" t="s">
        <v>34</v>
      </c>
      <c r="E2461" s="2" t="s">
        <v>16449</v>
      </c>
      <c r="F2461" s="2">
        <v>61732</v>
      </c>
      <c r="G2461" s="3" t="str">
        <f>HYPERLINK("http://funmeta.oebiotech.com/network/61732", "http://funmeta.oebiotech.com/network/61732")</f>
        <v>http://funmeta.oebiotech.com/network/61732</v>
      </c>
      <c r="H2461" s="2" t="s">
        <v>16450</v>
      </c>
      <c r="I2461" s="2"/>
      <c r="J2461" s="2"/>
      <c r="K2461" s="2"/>
      <c r="L2461" s="2"/>
      <c r="M2461" s="2"/>
      <c r="N2461" s="2"/>
      <c r="O2461" s="2">
        <v>73981563</v>
      </c>
      <c r="P2461" s="2" t="s">
        <v>16451</v>
      </c>
      <c r="Q2461" s="2" t="s">
        <v>16452</v>
      </c>
      <c r="R2461" s="2" t="s">
        <v>16453</v>
      </c>
      <c r="S2461" s="2" t="s">
        <v>79</v>
      </c>
      <c r="T2461" s="2" t="s">
        <v>80</v>
      </c>
      <c r="U2461" s="2" t="s">
        <v>81</v>
      </c>
      <c r="V2461" s="2" t="s">
        <v>42</v>
      </c>
      <c r="W2461" s="2">
        <v>48.6</v>
      </c>
      <c r="X2461" s="2">
        <v>49.4</v>
      </c>
      <c r="Y2461" s="2" t="s">
        <v>141</v>
      </c>
      <c r="Z2461" s="2" t="s">
        <v>16454</v>
      </c>
      <c r="AA2461" s="2">
        <v>-0.60531715662216901</v>
      </c>
      <c r="AB2461" s="2">
        <v>0.325904871909868</v>
      </c>
      <c r="AC2461" s="2">
        <v>36517.216171597298</v>
      </c>
      <c r="AD2461" s="2">
        <v>29052.471813753102</v>
      </c>
      <c r="AE2461" s="2">
        <v>36907.877296830004</v>
      </c>
      <c r="AF2461" s="2">
        <v>39337.948066188197</v>
      </c>
      <c r="AG2461" s="2">
        <v>35944.326428307002</v>
      </c>
      <c r="AH2461" s="2">
        <v>33928.606057185803</v>
      </c>
      <c r="AI2461" s="2">
        <v>36186.977001474203</v>
      </c>
      <c r="AJ2461" s="2">
        <v>36797.562179598302</v>
      </c>
      <c r="AK2461" s="2">
        <v>28865.623855616101</v>
      </c>
      <c r="AL2461" s="2">
        <v>27658.437425485099</v>
      </c>
      <c r="AM2461" s="2">
        <v>27801.708552929202</v>
      </c>
      <c r="AN2461" s="2">
        <v>29195.9722459689</v>
      </c>
      <c r="AO2461" s="2">
        <v>29229.2184893146</v>
      </c>
      <c r="AP2461" s="2">
        <v>31563.870313204701</v>
      </c>
    </row>
    <row r="2462" spans="1:42" ht="14.5" x14ac:dyDescent="0.35">
      <c r="A2462" s="2" t="s">
        <v>16455</v>
      </c>
      <c r="B2462" s="2">
        <v>437.16286626258398</v>
      </c>
      <c r="C2462" s="2">
        <v>1.79495</v>
      </c>
      <c r="D2462" s="2" t="s">
        <v>34</v>
      </c>
      <c r="E2462" s="2" t="s">
        <v>16456</v>
      </c>
      <c r="F2462" s="2">
        <v>212698</v>
      </c>
      <c r="G2462" s="3" t="str">
        <f>HYPERLINK("http://funmeta.oebiotech.com/network/212698", "http://funmeta.oebiotech.com/network/212698")</f>
        <v>http://funmeta.oebiotech.com/network/212698</v>
      </c>
      <c r="H2462" s="2" t="s">
        <v>16457</v>
      </c>
      <c r="I2462" s="2"/>
      <c r="J2462" s="2"/>
      <c r="K2462" s="2"/>
      <c r="L2462" s="2"/>
      <c r="M2462" s="2"/>
      <c r="N2462" s="2"/>
      <c r="O2462" s="2">
        <v>72812064</v>
      </c>
      <c r="P2462" s="2"/>
      <c r="Q2462" s="2" t="s">
        <v>16458</v>
      </c>
      <c r="R2462" s="2" t="s">
        <v>16459</v>
      </c>
      <c r="S2462" s="2" t="s">
        <v>41</v>
      </c>
      <c r="T2462" s="2" t="s">
        <v>41</v>
      </c>
      <c r="U2462" s="2" t="s">
        <v>41</v>
      </c>
      <c r="V2462" s="2" t="s">
        <v>59</v>
      </c>
      <c r="W2462" s="2">
        <v>39.200000000000003</v>
      </c>
      <c r="X2462" s="2">
        <v>9.7799999999999994</v>
      </c>
      <c r="Y2462" s="2" t="s">
        <v>340</v>
      </c>
      <c r="Z2462" s="2" t="s">
        <v>16460</v>
      </c>
      <c r="AA2462" s="2">
        <v>0.70341648964581904</v>
      </c>
      <c r="AB2462" s="2">
        <v>0.32588002253292803</v>
      </c>
      <c r="AC2462" s="2">
        <v>176577.98627830701</v>
      </c>
      <c r="AD2462" s="2">
        <v>190192.910084376</v>
      </c>
      <c r="AE2462" s="2">
        <v>170517.90648954999</v>
      </c>
      <c r="AF2462" s="2">
        <v>176084.419473082</v>
      </c>
      <c r="AG2462" s="2">
        <v>177018.13393258501</v>
      </c>
      <c r="AH2462" s="2">
        <v>162400.631749266</v>
      </c>
      <c r="AI2462" s="2">
        <v>174499.340883717</v>
      </c>
      <c r="AJ2462" s="2">
        <v>198947.48514164399</v>
      </c>
      <c r="AK2462" s="2">
        <v>186525.802313383</v>
      </c>
      <c r="AL2462" s="2">
        <v>205167.88988839599</v>
      </c>
      <c r="AM2462" s="2">
        <v>179794.647802839</v>
      </c>
      <c r="AN2462" s="2">
        <v>199738.62994291499</v>
      </c>
      <c r="AO2462" s="2">
        <v>172635.73304018701</v>
      </c>
      <c r="AP2462" s="2">
        <v>197294.75751853699</v>
      </c>
    </row>
    <row r="2463" spans="1:42" ht="14.5" x14ac:dyDescent="0.35">
      <c r="A2463" s="2" t="s">
        <v>16461</v>
      </c>
      <c r="B2463" s="2">
        <v>701.24447351834601</v>
      </c>
      <c r="C2463" s="2">
        <v>5.0599499999999997</v>
      </c>
      <c r="D2463" s="2" t="s">
        <v>70</v>
      </c>
      <c r="E2463" s="2" t="s">
        <v>16462</v>
      </c>
      <c r="F2463" s="2">
        <v>206411</v>
      </c>
      <c r="G2463" s="3" t="str">
        <f>HYPERLINK("http://funmeta.oebiotech.com/network/206411", "http://funmeta.oebiotech.com/network/206411")</f>
        <v>http://funmeta.oebiotech.com/network/206411</v>
      </c>
      <c r="H2463" s="2" t="s">
        <v>16463</v>
      </c>
      <c r="I2463" s="2"/>
      <c r="J2463" s="2"/>
      <c r="K2463" s="2"/>
      <c r="L2463" s="2"/>
      <c r="M2463" s="2"/>
      <c r="N2463" s="2"/>
      <c r="O2463" s="2">
        <v>12876376</v>
      </c>
      <c r="P2463" s="2"/>
      <c r="Q2463" s="2" t="s">
        <v>16464</v>
      </c>
      <c r="R2463" s="2" t="s">
        <v>16465</v>
      </c>
      <c r="S2463" s="2" t="s">
        <v>491</v>
      </c>
      <c r="T2463" s="2" t="s">
        <v>8419</v>
      </c>
      <c r="U2463" s="2" t="s">
        <v>8420</v>
      </c>
      <c r="V2463" s="2" t="s">
        <v>59</v>
      </c>
      <c r="W2463" s="2">
        <v>38.299999999999997</v>
      </c>
      <c r="X2463" s="2">
        <v>0</v>
      </c>
      <c r="Y2463" s="2" t="s">
        <v>560</v>
      </c>
      <c r="Z2463" s="2" t="s">
        <v>16466</v>
      </c>
      <c r="AA2463" s="2">
        <v>1.7025520577054101</v>
      </c>
      <c r="AB2463" s="2">
        <v>0.32582805777530799</v>
      </c>
      <c r="AC2463" s="2">
        <v>9538.2078914262402</v>
      </c>
      <c r="AD2463" s="2">
        <v>16872.597592933598</v>
      </c>
      <c r="AE2463" s="2">
        <v>8572.2736109225607</v>
      </c>
      <c r="AF2463" s="2">
        <v>8148.0211320307799</v>
      </c>
      <c r="AG2463" s="2">
        <v>9494.2085637811106</v>
      </c>
      <c r="AH2463" s="2">
        <v>8036.7467718847802</v>
      </c>
      <c r="AI2463" s="2">
        <v>12012.5041200788</v>
      </c>
      <c r="AJ2463" s="2">
        <v>10965.4931498594</v>
      </c>
      <c r="AK2463" s="2">
        <v>16670.8903586874</v>
      </c>
      <c r="AL2463" s="2">
        <v>17599.591456059799</v>
      </c>
      <c r="AM2463" s="2">
        <v>17129.695874637298</v>
      </c>
      <c r="AN2463" s="2">
        <v>17145.438742039201</v>
      </c>
      <c r="AO2463" s="2">
        <v>14841.3688038663</v>
      </c>
      <c r="AP2463" s="2">
        <v>17848.6003223113</v>
      </c>
    </row>
    <row r="2464" spans="1:42" ht="14.5" x14ac:dyDescent="0.35">
      <c r="A2464" s="2" t="s">
        <v>16467</v>
      </c>
      <c r="B2464" s="2">
        <v>495.23509788692002</v>
      </c>
      <c r="C2464" s="2">
        <v>6.484</v>
      </c>
      <c r="D2464" s="2" t="s">
        <v>34</v>
      </c>
      <c r="E2464" s="2" t="s">
        <v>16468</v>
      </c>
      <c r="F2464" s="2">
        <v>59711</v>
      </c>
      <c r="G2464" s="3" t="str">
        <f>HYPERLINK("http://funmeta.oebiotech.com/network/59711", "http://funmeta.oebiotech.com/network/59711")</f>
        <v>http://funmeta.oebiotech.com/network/59711</v>
      </c>
      <c r="H2464" s="2" t="s">
        <v>16469</v>
      </c>
      <c r="I2464" s="2">
        <v>91094</v>
      </c>
      <c r="J2464" s="2"/>
      <c r="K2464" s="2"/>
      <c r="L2464" s="2"/>
      <c r="M2464" s="2"/>
      <c r="N2464" s="2"/>
      <c r="O2464" s="2">
        <v>131751879</v>
      </c>
      <c r="P2464" s="2"/>
      <c r="Q2464" s="2" t="s">
        <v>16470</v>
      </c>
      <c r="R2464" s="2" t="s">
        <v>16471</v>
      </c>
      <c r="S2464" s="2" t="s">
        <v>50</v>
      </c>
      <c r="T2464" s="2" t="s">
        <v>201</v>
      </c>
      <c r="U2464" s="2" t="s">
        <v>210</v>
      </c>
      <c r="V2464" s="2" t="s">
        <v>59</v>
      </c>
      <c r="W2464" s="2">
        <v>37.299999999999997</v>
      </c>
      <c r="X2464" s="2">
        <v>0</v>
      </c>
      <c r="Y2464" s="2" t="s">
        <v>323</v>
      </c>
      <c r="Z2464" s="2" t="s">
        <v>3813</v>
      </c>
      <c r="AA2464" s="2">
        <v>-0.47916651580127601</v>
      </c>
      <c r="AB2464" s="2">
        <v>0.32572524342943998</v>
      </c>
      <c r="AC2464" s="2">
        <v>6902.6181842845699</v>
      </c>
      <c r="AD2464" s="2">
        <v>14357.657442710901</v>
      </c>
      <c r="AE2464" s="2">
        <v>8736.4845712338192</v>
      </c>
      <c r="AF2464" s="2">
        <v>7638.6518569588698</v>
      </c>
      <c r="AG2464" s="2">
        <v>7009.9337722549399</v>
      </c>
      <c r="AH2464" s="2">
        <v>3795.0005078909799</v>
      </c>
      <c r="AI2464" s="2">
        <v>6400.8855641776099</v>
      </c>
      <c r="AJ2464" s="2">
        <v>7834.7528331911899</v>
      </c>
      <c r="AK2464" s="2">
        <v>14447.6753455005</v>
      </c>
      <c r="AL2464" s="2">
        <v>15566.9667115089</v>
      </c>
      <c r="AM2464" s="2">
        <v>15807.4548454134</v>
      </c>
      <c r="AN2464" s="2">
        <v>14768.556037265</v>
      </c>
      <c r="AO2464" s="2">
        <v>13143.7402148981</v>
      </c>
      <c r="AP2464" s="2">
        <v>12411.5515016796</v>
      </c>
    </row>
    <row r="2465" spans="1:42" ht="14.5" x14ac:dyDescent="0.35">
      <c r="A2465" s="2" t="s">
        <v>16472</v>
      </c>
      <c r="B2465" s="2">
        <v>542.44103433483394</v>
      </c>
      <c r="C2465" s="2">
        <v>14.575049999999999</v>
      </c>
      <c r="D2465" s="2" t="s">
        <v>34</v>
      </c>
      <c r="E2465" s="2" t="s">
        <v>16473</v>
      </c>
      <c r="F2465" s="2">
        <v>247616</v>
      </c>
      <c r="G2465" s="3" t="str">
        <f>HYPERLINK("http://funmeta.oebiotech.com/network/247616", "http://funmeta.oebiotech.com/network/247616")</f>
        <v>http://funmeta.oebiotech.com/network/247616</v>
      </c>
      <c r="H2465" s="2" t="s">
        <v>16474</v>
      </c>
      <c r="I2465" s="2"/>
      <c r="J2465" s="2"/>
      <c r="K2465" s="2"/>
      <c r="L2465" s="2"/>
      <c r="M2465" s="2"/>
      <c r="N2465" s="2"/>
      <c r="O2465" s="2"/>
      <c r="P2465" s="2"/>
      <c r="Q2465" s="2" t="s">
        <v>16475</v>
      </c>
      <c r="R2465" s="2" t="s">
        <v>16476</v>
      </c>
      <c r="S2465" s="2" t="s">
        <v>41</v>
      </c>
      <c r="T2465" s="2" t="s">
        <v>41</v>
      </c>
      <c r="U2465" s="2" t="s">
        <v>41</v>
      </c>
      <c r="V2465" s="2" t="s">
        <v>42</v>
      </c>
      <c r="W2465" s="2">
        <v>54.4</v>
      </c>
      <c r="X2465" s="2">
        <v>76.8</v>
      </c>
      <c r="Y2465" s="2" t="s">
        <v>43</v>
      </c>
      <c r="Z2465" s="2" t="s">
        <v>16477</v>
      </c>
      <c r="AA2465" s="2">
        <v>-0.91666933038205001</v>
      </c>
      <c r="AB2465" s="2">
        <v>0.32563233637084399</v>
      </c>
      <c r="AC2465" s="2">
        <v>27747.8620204668</v>
      </c>
      <c r="AD2465" s="2">
        <v>19665.986491206098</v>
      </c>
      <c r="AE2465" s="2">
        <v>23327.931546796201</v>
      </c>
      <c r="AF2465" s="2">
        <v>24075.850036279498</v>
      </c>
      <c r="AG2465" s="2">
        <v>29971.1532407372</v>
      </c>
      <c r="AH2465" s="2">
        <v>27874.017438582301</v>
      </c>
      <c r="AI2465" s="2">
        <v>29262.173178102701</v>
      </c>
      <c r="AJ2465" s="2">
        <v>31976.046682302702</v>
      </c>
      <c r="AK2465" s="2">
        <v>19183.070714258301</v>
      </c>
      <c r="AL2465" s="2">
        <v>18142.3430241768</v>
      </c>
      <c r="AM2465" s="2">
        <v>19935.667700903199</v>
      </c>
      <c r="AN2465" s="2">
        <v>18675.506081099302</v>
      </c>
      <c r="AO2465" s="2">
        <v>21505.4796428646</v>
      </c>
      <c r="AP2465" s="2">
        <v>20553.851783934198</v>
      </c>
    </row>
    <row r="2466" spans="1:42" ht="14.5" x14ac:dyDescent="0.35">
      <c r="A2466" s="2" t="s">
        <v>16478</v>
      </c>
      <c r="B2466" s="2">
        <v>359.09825508043298</v>
      </c>
      <c r="C2466" s="2">
        <v>1.69431666666667</v>
      </c>
      <c r="D2466" s="2" t="s">
        <v>70</v>
      </c>
      <c r="E2466" s="2" t="s">
        <v>16479</v>
      </c>
      <c r="F2466" s="2">
        <v>54574</v>
      </c>
      <c r="G2466" s="3" t="str">
        <f>HYPERLINK("http://funmeta.oebiotech.com/network/54574", "http://funmeta.oebiotech.com/network/54574")</f>
        <v>http://funmeta.oebiotech.com/network/54574</v>
      </c>
      <c r="H2466" s="2" t="s">
        <v>16480</v>
      </c>
      <c r="I2466" s="2"/>
      <c r="J2466" s="2"/>
      <c r="K2466" s="2">
        <v>168797</v>
      </c>
      <c r="L2466" s="2"/>
      <c r="M2466" s="2"/>
      <c r="N2466" s="2"/>
      <c r="O2466" s="2">
        <v>3648225</v>
      </c>
      <c r="P2466" s="2" t="s">
        <v>16481</v>
      </c>
      <c r="Q2466" s="2" t="s">
        <v>16482</v>
      </c>
      <c r="R2466" s="2" t="s">
        <v>16483</v>
      </c>
      <c r="S2466" s="2" t="s">
        <v>79</v>
      </c>
      <c r="T2466" s="2" t="s">
        <v>80</v>
      </c>
      <c r="U2466" s="2" t="s">
        <v>81</v>
      </c>
      <c r="V2466" s="2" t="s">
        <v>59</v>
      </c>
      <c r="W2466" s="2">
        <v>45.7</v>
      </c>
      <c r="X2466" s="2">
        <v>31.6</v>
      </c>
      <c r="Y2466" s="2" t="s">
        <v>408</v>
      </c>
      <c r="Z2466" s="2" t="s">
        <v>7231</v>
      </c>
      <c r="AA2466" s="2">
        <v>-0.36715455279975601</v>
      </c>
      <c r="AB2466" s="2">
        <v>0.32548883005181101</v>
      </c>
      <c r="AC2466" s="2">
        <v>28702.126957147098</v>
      </c>
      <c r="AD2466" s="2">
        <v>21337.820367058601</v>
      </c>
      <c r="AE2466" s="2">
        <v>29572.385364636299</v>
      </c>
      <c r="AF2466" s="2">
        <v>28851.195866608101</v>
      </c>
      <c r="AG2466" s="2">
        <v>28334.751527217199</v>
      </c>
      <c r="AH2466" s="2">
        <v>27551.207427271402</v>
      </c>
      <c r="AI2466" s="2">
        <v>27471.799514308299</v>
      </c>
      <c r="AJ2466" s="2">
        <v>30431.422042841099</v>
      </c>
      <c r="AK2466" s="2">
        <v>19485.7667165079</v>
      </c>
      <c r="AL2466" s="2">
        <v>19369.088314132001</v>
      </c>
      <c r="AM2466" s="2">
        <v>23385.305037044898</v>
      </c>
      <c r="AN2466" s="2">
        <v>21433.294439394402</v>
      </c>
      <c r="AO2466" s="2">
        <v>21838.195214621501</v>
      </c>
      <c r="AP2466" s="2">
        <v>22515.2724806509</v>
      </c>
    </row>
    <row r="2467" spans="1:42" ht="14.5" x14ac:dyDescent="0.35">
      <c r="A2467" s="2" t="s">
        <v>16484</v>
      </c>
      <c r="B2467" s="2">
        <v>302.30521104823703</v>
      </c>
      <c r="C2467" s="2">
        <v>9.9398</v>
      </c>
      <c r="D2467" s="2" t="s">
        <v>34</v>
      </c>
      <c r="E2467" s="2" t="s">
        <v>16485</v>
      </c>
      <c r="F2467" s="2">
        <v>38923</v>
      </c>
      <c r="G2467" s="3" t="str">
        <f>HYPERLINK("http://funmeta.oebiotech.com/network/38923", "http://funmeta.oebiotech.com/network/38923")</f>
        <v>http://funmeta.oebiotech.com/network/38923</v>
      </c>
      <c r="H2467" s="2" t="s">
        <v>16486</v>
      </c>
      <c r="I2467" s="2">
        <v>395</v>
      </c>
      <c r="J2467" s="2" t="s">
        <v>16487</v>
      </c>
      <c r="K2467" s="2">
        <v>16566</v>
      </c>
      <c r="L2467" s="2" t="s">
        <v>16488</v>
      </c>
      <c r="M2467" s="2" t="s">
        <v>16489</v>
      </c>
      <c r="N2467" s="2" t="s">
        <v>16490</v>
      </c>
      <c r="O2467" s="2">
        <v>91486</v>
      </c>
      <c r="P2467" s="2" t="s">
        <v>16491</v>
      </c>
      <c r="Q2467" s="2" t="s">
        <v>16492</v>
      </c>
      <c r="R2467" s="2" t="s">
        <v>16493</v>
      </c>
      <c r="S2467" s="2" t="s">
        <v>1677</v>
      </c>
      <c r="T2467" s="2" t="s">
        <v>1678</v>
      </c>
      <c r="U2467" s="2" t="s">
        <v>1679</v>
      </c>
      <c r="V2467" s="2" t="s">
        <v>42</v>
      </c>
      <c r="W2467" s="2">
        <v>58.1</v>
      </c>
      <c r="X2467" s="2">
        <v>94.2</v>
      </c>
      <c r="Y2467" s="2" t="s">
        <v>394</v>
      </c>
      <c r="Z2467" s="2" t="s">
        <v>16494</v>
      </c>
      <c r="AA2467" s="2">
        <v>-0.48084745035915599</v>
      </c>
      <c r="AB2467" s="2">
        <v>0.32541644774226097</v>
      </c>
      <c r="AC2467" s="2">
        <v>48719.904496652103</v>
      </c>
      <c r="AD2467" s="2">
        <v>58077.551264547801</v>
      </c>
      <c r="AE2467" s="2">
        <v>50855.532576223799</v>
      </c>
      <c r="AF2467" s="2">
        <v>45102.258906912699</v>
      </c>
      <c r="AG2467" s="2">
        <v>46427.8612254728</v>
      </c>
      <c r="AH2467" s="2">
        <v>50854.077442082104</v>
      </c>
      <c r="AI2467" s="2">
        <v>43820.120972616001</v>
      </c>
      <c r="AJ2467" s="2">
        <v>55259.575856605101</v>
      </c>
      <c r="AK2467" s="2">
        <v>62030.946730880998</v>
      </c>
      <c r="AL2467" s="2">
        <v>52454.948208681701</v>
      </c>
      <c r="AM2467" s="2">
        <v>52518.155384148398</v>
      </c>
      <c r="AN2467" s="2">
        <v>56869.404896338099</v>
      </c>
      <c r="AO2467" s="2">
        <v>62495.515750103797</v>
      </c>
      <c r="AP2467" s="2">
        <v>62096.336617133798</v>
      </c>
    </row>
    <row r="2468" spans="1:42" ht="14.5" x14ac:dyDescent="0.35">
      <c r="A2468" s="2" t="s">
        <v>16495</v>
      </c>
      <c r="B2468" s="2">
        <v>655.27568659037797</v>
      </c>
      <c r="C2468" s="2">
        <v>9.2149333333333292</v>
      </c>
      <c r="D2468" s="2" t="s">
        <v>34</v>
      </c>
      <c r="E2468" s="2" t="s">
        <v>16496</v>
      </c>
      <c r="F2468" s="2">
        <v>199031</v>
      </c>
      <c r="G2468" s="3" t="str">
        <f>HYPERLINK("http://funmeta.oebiotech.com/network/199031", "http://funmeta.oebiotech.com/network/199031")</f>
        <v>http://funmeta.oebiotech.com/network/199031</v>
      </c>
      <c r="H2468" s="2" t="s">
        <v>16497</v>
      </c>
      <c r="I2468" s="2"/>
      <c r="J2468" s="2"/>
      <c r="K2468" s="2"/>
      <c r="L2468" s="2"/>
      <c r="M2468" s="2"/>
      <c r="N2468" s="2"/>
      <c r="O2468" s="2">
        <v>381235</v>
      </c>
      <c r="P2468" s="2"/>
      <c r="Q2468" s="2" t="s">
        <v>16498</v>
      </c>
      <c r="R2468" s="2" t="s">
        <v>16499</v>
      </c>
      <c r="S2468" s="2" t="s">
        <v>89</v>
      </c>
      <c r="T2468" s="2" t="s">
        <v>1600</v>
      </c>
      <c r="U2468" s="2" t="s">
        <v>3890</v>
      </c>
      <c r="V2468" s="2" t="s">
        <v>59</v>
      </c>
      <c r="W2468" s="2">
        <v>41</v>
      </c>
      <c r="X2468" s="2">
        <v>38.299999999999997</v>
      </c>
      <c r="Y2468" s="2" t="s">
        <v>394</v>
      </c>
      <c r="Z2468" s="2" t="s">
        <v>16500</v>
      </c>
      <c r="AA2468" s="2">
        <v>-3.6435780626411001</v>
      </c>
      <c r="AB2468" s="2">
        <v>0.32530125132982601</v>
      </c>
      <c r="AC2468" s="2">
        <v>28458.7704027</v>
      </c>
      <c r="AD2468" s="2">
        <v>37086.404576513203</v>
      </c>
      <c r="AE2468" s="2">
        <v>30918.198202289699</v>
      </c>
      <c r="AF2468" s="2">
        <v>30437.316233779398</v>
      </c>
      <c r="AG2468" s="2">
        <v>28957.865313585498</v>
      </c>
      <c r="AH2468" s="2">
        <v>23489.769517801</v>
      </c>
      <c r="AI2468" s="2">
        <v>28524.366846256198</v>
      </c>
      <c r="AJ2468" s="2">
        <v>28425.106302488301</v>
      </c>
      <c r="AK2468" s="2">
        <v>38902.0474224848</v>
      </c>
      <c r="AL2468" s="2">
        <v>43495.943857129903</v>
      </c>
      <c r="AM2468" s="2">
        <v>33099.764060439302</v>
      </c>
      <c r="AN2468" s="2">
        <v>33812.712399348296</v>
      </c>
      <c r="AO2468" s="2">
        <v>34490.683231340401</v>
      </c>
      <c r="AP2468" s="2">
        <v>38717.276488336203</v>
      </c>
    </row>
    <row r="2469" spans="1:42" ht="14.5" x14ac:dyDescent="0.35">
      <c r="A2469" s="2" t="s">
        <v>16501</v>
      </c>
      <c r="B2469" s="2">
        <v>263.12863559827099</v>
      </c>
      <c r="C2469" s="2">
        <v>4.8624666666666698</v>
      </c>
      <c r="D2469" s="2" t="s">
        <v>70</v>
      </c>
      <c r="E2469" s="2" t="s">
        <v>16502</v>
      </c>
      <c r="F2469" s="2">
        <v>35664</v>
      </c>
      <c r="G2469" s="3" t="str">
        <f>HYPERLINK("http://funmeta.oebiotech.com/network/35664", "http://funmeta.oebiotech.com/network/35664")</f>
        <v>http://funmeta.oebiotech.com/network/35664</v>
      </c>
      <c r="H2469" s="2"/>
      <c r="I2469" s="2">
        <v>53448</v>
      </c>
      <c r="J2469" s="2" t="s">
        <v>16503</v>
      </c>
      <c r="K2469" s="2">
        <v>2620</v>
      </c>
      <c r="L2469" s="2" t="s">
        <v>16504</v>
      </c>
      <c r="M2469" s="2"/>
      <c r="N2469" s="2"/>
      <c r="O2469" s="2">
        <v>100302</v>
      </c>
      <c r="P2469" s="2"/>
      <c r="Q2469" s="2" t="s">
        <v>16505</v>
      </c>
      <c r="R2469" s="2" t="s">
        <v>16506</v>
      </c>
      <c r="S2469" s="2" t="s">
        <v>50</v>
      </c>
      <c r="T2469" s="2" t="s">
        <v>201</v>
      </c>
      <c r="U2469" s="2" t="s">
        <v>1217</v>
      </c>
      <c r="V2469" s="2" t="s">
        <v>42</v>
      </c>
      <c r="W2469" s="2">
        <v>53.8</v>
      </c>
      <c r="X2469" s="2">
        <v>73.2</v>
      </c>
      <c r="Y2469" s="2" t="s">
        <v>792</v>
      </c>
      <c r="Z2469" s="2" t="s">
        <v>9920</v>
      </c>
      <c r="AA2469" s="2">
        <v>-0.93546211076939201</v>
      </c>
      <c r="AB2469" s="2">
        <v>0.32522269377134</v>
      </c>
      <c r="AC2469" s="2">
        <v>22732.804091278798</v>
      </c>
      <c r="AD2469" s="2">
        <v>29965.221989792899</v>
      </c>
      <c r="AE2469" s="2">
        <v>24562.235150049</v>
      </c>
      <c r="AF2469" s="2">
        <v>21332.2958940522</v>
      </c>
      <c r="AG2469" s="2">
        <v>23891.730690021301</v>
      </c>
      <c r="AH2469" s="2">
        <v>22967.0093800947</v>
      </c>
      <c r="AI2469" s="2">
        <v>21126.5992163308</v>
      </c>
      <c r="AJ2469" s="2">
        <v>22516.954217124701</v>
      </c>
      <c r="AK2469" s="2">
        <v>30310.1136501441</v>
      </c>
      <c r="AL2469" s="2">
        <v>28822.0466814797</v>
      </c>
      <c r="AM2469" s="2">
        <v>29760.684918110899</v>
      </c>
      <c r="AN2469" s="2">
        <v>29783.190636923198</v>
      </c>
      <c r="AO2469" s="2">
        <v>29868.312457777101</v>
      </c>
      <c r="AP2469" s="2">
        <v>31246.983594322501</v>
      </c>
    </row>
    <row r="2470" spans="1:42" ht="14.5" x14ac:dyDescent="0.35">
      <c r="A2470" s="2" t="s">
        <v>16507</v>
      </c>
      <c r="B2470" s="2">
        <v>458.16300336314703</v>
      </c>
      <c r="C2470" s="2">
        <v>3.7334833333333299</v>
      </c>
      <c r="D2470" s="2" t="s">
        <v>34</v>
      </c>
      <c r="E2470" s="2" t="s">
        <v>16508</v>
      </c>
      <c r="F2470" s="2">
        <v>206238</v>
      </c>
      <c r="G2470" s="3" t="str">
        <f>HYPERLINK("http://funmeta.oebiotech.com/network/206238", "http://funmeta.oebiotech.com/network/206238")</f>
        <v>http://funmeta.oebiotech.com/network/206238</v>
      </c>
      <c r="H2470" s="2" t="s">
        <v>16509</v>
      </c>
      <c r="I2470" s="2"/>
      <c r="J2470" s="2"/>
      <c r="K2470" s="2"/>
      <c r="L2470" s="2"/>
      <c r="M2470" s="2"/>
      <c r="N2470" s="2"/>
      <c r="O2470" s="2"/>
      <c r="P2470" s="2"/>
      <c r="Q2470" s="2" t="s">
        <v>16510</v>
      </c>
      <c r="R2470" s="2" t="s">
        <v>16511</v>
      </c>
      <c r="S2470" s="2" t="s">
        <v>41</v>
      </c>
      <c r="T2470" s="2" t="s">
        <v>41</v>
      </c>
      <c r="U2470" s="2" t="s">
        <v>41</v>
      </c>
      <c r="V2470" s="2" t="s">
        <v>59</v>
      </c>
      <c r="W2470" s="2">
        <v>37.4</v>
      </c>
      <c r="X2470" s="2">
        <v>0</v>
      </c>
      <c r="Y2470" s="2" t="s">
        <v>340</v>
      </c>
      <c r="Z2470" s="2" t="s">
        <v>16512</v>
      </c>
      <c r="AA2470" s="2">
        <v>-4.2166521033909596</v>
      </c>
      <c r="AB2470" s="2">
        <v>0.32503532743520303</v>
      </c>
      <c r="AC2470" s="2">
        <v>8861.4219828253408</v>
      </c>
      <c r="AD2470" s="2">
        <v>16306.262501454599</v>
      </c>
      <c r="AE2470" s="2">
        <v>8173.7386337081998</v>
      </c>
      <c r="AF2470" s="2">
        <v>8506.4000983448095</v>
      </c>
      <c r="AG2470" s="2">
        <v>8998.4346845744494</v>
      </c>
      <c r="AH2470" s="2">
        <v>7618.3293807927203</v>
      </c>
      <c r="AI2470" s="2">
        <v>12074.542971643699</v>
      </c>
      <c r="AJ2470" s="2">
        <v>7797.0861278881903</v>
      </c>
      <c r="AK2470" s="2">
        <v>15798.825679453101</v>
      </c>
      <c r="AL2470" s="2">
        <v>17019.246201043301</v>
      </c>
      <c r="AM2470" s="2">
        <v>14299.737804739299</v>
      </c>
      <c r="AN2470" s="2">
        <v>16972.1734448973</v>
      </c>
      <c r="AO2470" s="2">
        <v>14915.987217564299</v>
      </c>
      <c r="AP2470" s="2">
        <v>18831.604661030098</v>
      </c>
    </row>
    <row r="2471" spans="1:42" ht="14.5" x14ac:dyDescent="0.35">
      <c r="A2471" s="2" t="s">
        <v>16513</v>
      </c>
      <c r="B2471" s="2">
        <v>459.10940320873101</v>
      </c>
      <c r="C2471" s="2">
        <v>3.7494000000000001</v>
      </c>
      <c r="D2471" s="2" t="s">
        <v>70</v>
      </c>
      <c r="E2471" s="2" t="s">
        <v>16514</v>
      </c>
      <c r="F2471" s="2">
        <v>256045</v>
      </c>
      <c r="G2471" s="3" t="str">
        <f>HYPERLINK("http://funmeta.oebiotech.com/network/256045", "http://funmeta.oebiotech.com/network/256045")</f>
        <v>http://funmeta.oebiotech.com/network/256045</v>
      </c>
      <c r="H2471" s="2" t="s">
        <v>16515</v>
      </c>
      <c r="I2471" s="2">
        <v>69298</v>
      </c>
      <c r="J2471" s="2"/>
      <c r="K2471" s="2"/>
      <c r="L2471" s="2" t="s">
        <v>16516</v>
      </c>
      <c r="M2471" s="2"/>
      <c r="N2471" s="2"/>
      <c r="O2471" s="2">
        <v>54680478</v>
      </c>
      <c r="P2471" s="2" t="s">
        <v>16517</v>
      </c>
      <c r="Q2471" s="2" t="s">
        <v>16518</v>
      </c>
      <c r="R2471" s="2" t="s">
        <v>16519</v>
      </c>
      <c r="S2471" s="2" t="s">
        <v>148</v>
      </c>
      <c r="T2471" s="2" t="s">
        <v>149</v>
      </c>
      <c r="U2471" s="2" t="s">
        <v>2874</v>
      </c>
      <c r="V2471" s="2" t="s">
        <v>59</v>
      </c>
      <c r="W2471" s="2">
        <v>45.6</v>
      </c>
      <c r="X2471" s="2">
        <v>32.799999999999997</v>
      </c>
      <c r="Y2471" s="2" t="s">
        <v>560</v>
      </c>
      <c r="Z2471" s="2" t="s">
        <v>16520</v>
      </c>
      <c r="AA2471" s="2">
        <v>1.8735344848212001</v>
      </c>
      <c r="AB2471" s="2">
        <v>0.325000023849149</v>
      </c>
      <c r="AC2471" s="2">
        <v>28863.886821770699</v>
      </c>
      <c r="AD2471" s="2">
        <v>36241.459237930001</v>
      </c>
      <c r="AE2471" s="2">
        <v>29442.306815602798</v>
      </c>
      <c r="AF2471" s="2">
        <v>27767.583665430899</v>
      </c>
      <c r="AG2471" s="2">
        <v>27804.149724625498</v>
      </c>
      <c r="AH2471" s="2">
        <v>27047.855989639698</v>
      </c>
      <c r="AI2471" s="2">
        <v>28813.2046471863</v>
      </c>
      <c r="AJ2471" s="2">
        <v>32308.220088138802</v>
      </c>
      <c r="AK2471" s="2">
        <v>36159.6167149428</v>
      </c>
      <c r="AL2471" s="2">
        <v>35479.258314046398</v>
      </c>
      <c r="AM2471" s="2">
        <v>37114.183929037397</v>
      </c>
      <c r="AN2471" s="2">
        <v>35956.510481002297</v>
      </c>
      <c r="AO2471" s="2">
        <v>35194.188774641501</v>
      </c>
      <c r="AP2471" s="2">
        <v>37544.997213909497</v>
      </c>
    </row>
    <row r="2472" spans="1:42" ht="14.5" x14ac:dyDescent="0.35">
      <c r="A2472" s="2" t="s">
        <v>16521</v>
      </c>
      <c r="B2472" s="2">
        <v>723.22477803374102</v>
      </c>
      <c r="C2472" s="2">
        <v>5.1704666666666697</v>
      </c>
      <c r="D2472" s="2" t="s">
        <v>70</v>
      </c>
      <c r="E2472" s="2" t="s">
        <v>16522</v>
      </c>
      <c r="F2472" s="2">
        <v>34327</v>
      </c>
      <c r="G2472" s="3" t="str">
        <f>HYPERLINK("http://funmeta.oebiotech.com/network/34327", "http://funmeta.oebiotech.com/network/34327")</f>
        <v>http://funmeta.oebiotech.com/network/34327</v>
      </c>
      <c r="H2472" s="2"/>
      <c r="I2472" s="2"/>
      <c r="J2472" s="2" t="s">
        <v>16523</v>
      </c>
      <c r="K2472" s="2"/>
      <c r="L2472" s="2"/>
      <c r="M2472" s="2"/>
      <c r="N2472" s="2"/>
      <c r="O2472" s="2">
        <v>21721817</v>
      </c>
      <c r="P2472" s="2"/>
      <c r="Q2472" s="2" t="s">
        <v>16524</v>
      </c>
      <c r="R2472" s="2" t="s">
        <v>16525</v>
      </c>
      <c r="S2472" s="2" t="s">
        <v>115</v>
      </c>
      <c r="T2472" s="2" t="s">
        <v>575</v>
      </c>
      <c r="U2472" s="2" t="s">
        <v>576</v>
      </c>
      <c r="V2472" s="2" t="s">
        <v>59</v>
      </c>
      <c r="W2472" s="2">
        <v>38.9</v>
      </c>
      <c r="X2472" s="2">
        <v>0</v>
      </c>
      <c r="Y2472" s="2" t="s">
        <v>560</v>
      </c>
      <c r="Z2472" s="2" t="s">
        <v>16526</v>
      </c>
      <c r="AA2472" s="2">
        <v>1.66675532453603</v>
      </c>
      <c r="AB2472" s="2">
        <v>0.32497717622226202</v>
      </c>
      <c r="AC2472" s="2">
        <v>19200.556628157901</v>
      </c>
      <c r="AD2472" s="2">
        <v>26855.098142653798</v>
      </c>
      <c r="AE2472" s="2">
        <v>20103.273377129</v>
      </c>
      <c r="AF2472" s="2">
        <v>20118.4011883126</v>
      </c>
      <c r="AG2472" s="2">
        <v>19873.570564762002</v>
      </c>
      <c r="AH2472" s="2">
        <v>15663.5793695591</v>
      </c>
      <c r="AI2472" s="2">
        <v>19224.114876021002</v>
      </c>
      <c r="AJ2472" s="2">
        <v>20220.4003931638</v>
      </c>
      <c r="AK2472" s="2">
        <v>23700.114781957102</v>
      </c>
      <c r="AL2472" s="2">
        <v>26779.4692810046</v>
      </c>
      <c r="AM2472" s="2">
        <v>30379.651243594701</v>
      </c>
      <c r="AN2472" s="2">
        <v>26243.818623293999</v>
      </c>
      <c r="AO2472" s="2">
        <v>27453.636205475901</v>
      </c>
      <c r="AP2472" s="2">
        <v>26573.8987205964</v>
      </c>
    </row>
    <row r="2473" spans="1:42" ht="14.5" x14ac:dyDescent="0.35">
      <c r="A2473" s="2" t="s">
        <v>16527</v>
      </c>
      <c r="B2473" s="2">
        <v>437.23919300591899</v>
      </c>
      <c r="C2473" s="2">
        <v>4.7218999999999998</v>
      </c>
      <c r="D2473" s="2" t="s">
        <v>70</v>
      </c>
      <c r="E2473" s="2" t="s">
        <v>16528</v>
      </c>
      <c r="F2473" s="2">
        <v>273719</v>
      </c>
      <c r="G2473" s="3" t="str">
        <f>HYPERLINK("http://funmeta.oebiotech.com/network/273719", "http://funmeta.oebiotech.com/network/273719")</f>
        <v>http://funmeta.oebiotech.com/network/273719</v>
      </c>
      <c r="H2473" s="2"/>
      <c r="I2473" s="2">
        <v>63001</v>
      </c>
      <c r="J2473" s="2"/>
      <c r="K2473" s="2"/>
      <c r="L2473" s="2"/>
      <c r="M2473" s="2"/>
      <c r="N2473" s="2"/>
      <c r="O2473" s="2">
        <v>9800692</v>
      </c>
      <c r="P2473" s="2" t="s">
        <v>16529</v>
      </c>
      <c r="Q2473" s="2" t="s">
        <v>16530</v>
      </c>
      <c r="R2473" s="2" t="s">
        <v>16531</v>
      </c>
      <c r="S2473" s="2" t="s">
        <v>50</v>
      </c>
      <c r="T2473" s="2" t="s">
        <v>229</v>
      </c>
      <c r="U2473" s="2" t="s">
        <v>766</v>
      </c>
      <c r="V2473" s="2" t="s">
        <v>59</v>
      </c>
      <c r="W2473" s="2">
        <v>36.6</v>
      </c>
      <c r="X2473" s="2">
        <v>0</v>
      </c>
      <c r="Y2473" s="2" t="s">
        <v>408</v>
      </c>
      <c r="Z2473" s="2" t="s">
        <v>16532</v>
      </c>
      <c r="AA2473" s="2">
        <v>9.0748803173654</v>
      </c>
      <c r="AB2473" s="2">
        <v>0.32493727672422001</v>
      </c>
      <c r="AC2473" s="2">
        <v>36084.978436697202</v>
      </c>
      <c r="AD2473" s="2">
        <v>44360.923674120902</v>
      </c>
      <c r="AE2473" s="2">
        <v>34759.734516399301</v>
      </c>
      <c r="AF2473" s="2">
        <v>34336.077688356301</v>
      </c>
      <c r="AG2473" s="2">
        <v>38638.863767670096</v>
      </c>
      <c r="AH2473" s="2">
        <v>34199.914281201804</v>
      </c>
      <c r="AI2473" s="2">
        <v>37249.381697083103</v>
      </c>
      <c r="AJ2473" s="2">
        <v>37325.898669472597</v>
      </c>
      <c r="AK2473" s="2">
        <v>46702.576325662303</v>
      </c>
      <c r="AL2473" s="2">
        <v>37440.2506194089</v>
      </c>
      <c r="AM2473" s="2">
        <v>48253.7230659657</v>
      </c>
      <c r="AN2473" s="2">
        <v>45112.5604150156</v>
      </c>
      <c r="AO2473" s="2">
        <v>42858.776048428197</v>
      </c>
      <c r="AP2473" s="2">
        <v>45797.655570244999</v>
      </c>
    </row>
    <row r="2474" spans="1:42" ht="14.5" x14ac:dyDescent="0.35">
      <c r="A2474" s="2" t="s">
        <v>16533</v>
      </c>
      <c r="B2474" s="2">
        <v>517.20507655267704</v>
      </c>
      <c r="C2474" s="2">
        <v>5.0258500000000002</v>
      </c>
      <c r="D2474" s="2" t="s">
        <v>34</v>
      </c>
      <c r="E2474" s="2" t="s">
        <v>16534</v>
      </c>
      <c r="F2474" s="2">
        <v>275798</v>
      </c>
      <c r="G2474" s="3" t="str">
        <f>HYPERLINK("http://funmeta.oebiotech.com/network/275798", "http://funmeta.oebiotech.com/network/275798")</f>
        <v>http://funmeta.oebiotech.com/network/275798</v>
      </c>
      <c r="H2474" s="2"/>
      <c r="I2474" s="2">
        <v>67182</v>
      </c>
      <c r="J2474" s="2"/>
      <c r="K2474" s="2"/>
      <c r="L2474" s="2" t="s">
        <v>16535</v>
      </c>
      <c r="M2474" s="2"/>
      <c r="N2474" s="2"/>
      <c r="O2474" s="2">
        <v>441796</v>
      </c>
      <c r="P2474" s="2" t="s">
        <v>16536</v>
      </c>
      <c r="Q2474" s="2" t="s">
        <v>16537</v>
      </c>
      <c r="R2474" s="2" t="s">
        <v>16538</v>
      </c>
      <c r="S2474" s="2" t="s">
        <v>50</v>
      </c>
      <c r="T2474" s="2" t="s">
        <v>201</v>
      </c>
      <c r="U2474" s="2" t="s">
        <v>1217</v>
      </c>
      <c r="V2474" s="2" t="s">
        <v>59</v>
      </c>
      <c r="W2474" s="2">
        <v>38.700000000000003</v>
      </c>
      <c r="X2474" s="2">
        <v>0</v>
      </c>
      <c r="Y2474" s="2" t="s">
        <v>67</v>
      </c>
      <c r="Z2474" s="2" t="s">
        <v>10015</v>
      </c>
      <c r="AA2474" s="2">
        <v>1.33259094589557</v>
      </c>
      <c r="AB2474" s="2">
        <v>0.32489299806017602</v>
      </c>
      <c r="AC2474" s="2">
        <v>46399.299133830398</v>
      </c>
      <c r="AD2474" s="2">
        <v>56476.339451334199</v>
      </c>
      <c r="AE2474" s="2">
        <v>38897.379880427499</v>
      </c>
      <c r="AF2474" s="2">
        <v>54163.263357359698</v>
      </c>
      <c r="AG2474" s="2">
        <v>47343.028772514503</v>
      </c>
      <c r="AH2474" s="2">
        <v>42689.908394645703</v>
      </c>
      <c r="AI2474" s="2">
        <v>48365.657247061499</v>
      </c>
      <c r="AJ2474" s="2">
        <v>46936.557150973596</v>
      </c>
      <c r="AK2474" s="2">
        <v>61363.767179029703</v>
      </c>
      <c r="AL2474" s="2">
        <v>53232.227790849</v>
      </c>
      <c r="AM2474" s="2">
        <v>60098.946322947602</v>
      </c>
      <c r="AN2474" s="2">
        <v>63853.501881739801</v>
      </c>
      <c r="AO2474" s="2">
        <v>54103.063949068797</v>
      </c>
      <c r="AP2474" s="2">
        <v>46206.529584370299</v>
      </c>
    </row>
    <row r="2475" spans="1:42" ht="14.5" x14ac:dyDescent="0.35">
      <c r="A2475" s="2" t="s">
        <v>16539</v>
      </c>
      <c r="B2475" s="2">
        <v>640.51393072392</v>
      </c>
      <c r="C2475" s="2">
        <v>14.461916666666699</v>
      </c>
      <c r="D2475" s="2" t="s">
        <v>34</v>
      </c>
      <c r="E2475" s="2" t="s">
        <v>16540</v>
      </c>
      <c r="F2475" s="2">
        <v>54822</v>
      </c>
      <c r="G2475" s="3" t="str">
        <f>HYPERLINK("http://funmeta.oebiotech.com/network/54822", "http://funmeta.oebiotech.com/network/54822")</f>
        <v>http://funmeta.oebiotech.com/network/54822</v>
      </c>
      <c r="H2475" s="2" t="s">
        <v>16541</v>
      </c>
      <c r="I2475" s="2">
        <v>86615</v>
      </c>
      <c r="J2475" s="2"/>
      <c r="K2475" s="2">
        <v>565074</v>
      </c>
      <c r="L2475" s="2"/>
      <c r="M2475" s="2"/>
      <c r="N2475" s="2"/>
      <c r="O2475" s="2">
        <v>363980</v>
      </c>
      <c r="P2475" s="2" t="s">
        <v>16542</v>
      </c>
      <c r="Q2475" s="2" t="s">
        <v>16543</v>
      </c>
      <c r="R2475" s="2" t="s">
        <v>16544</v>
      </c>
      <c r="S2475" s="2" t="s">
        <v>50</v>
      </c>
      <c r="T2475" s="2" t="s">
        <v>229</v>
      </c>
      <c r="U2475" s="2" t="s">
        <v>1283</v>
      </c>
      <c r="V2475" s="2" t="s">
        <v>59</v>
      </c>
      <c r="W2475" s="2">
        <v>38.6</v>
      </c>
      <c r="X2475" s="2">
        <v>0</v>
      </c>
      <c r="Y2475" s="2" t="s">
        <v>43</v>
      </c>
      <c r="Z2475" s="2" t="s">
        <v>9463</v>
      </c>
      <c r="AA2475" s="2">
        <v>-1.2036669310830399</v>
      </c>
      <c r="AB2475" s="2">
        <v>0.32482638196095898</v>
      </c>
      <c r="AC2475" s="2">
        <v>14793.1865727612</v>
      </c>
      <c r="AD2475" s="2">
        <v>7438.97417902083</v>
      </c>
      <c r="AE2475" s="2">
        <v>13660.394844788399</v>
      </c>
      <c r="AF2475" s="2">
        <v>12091.140979903301</v>
      </c>
      <c r="AG2475" s="2">
        <v>14177.8406141369</v>
      </c>
      <c r="AH2475" s="2">
        <v>16113.8859853672</v>
      </c>
      <c r="AI2475" s="2">
        <v>15672.5347120392</v>
      </c>
      <c r="AJ2475" s="2">
        <v>17043.322300332002</v>
      </c>
      <c r="AK2475" s="2">
        <v>7605.5516233407398</v>
      </c>
      <c r="AL2475" s="2">
        <v>6962.7242227994802</v>
      </c>
      <c r="AM2475" s="2">
        <v>6531.6707560843197</v>
      </c>
      <c r="AN2475" s="2">
        <v>7993.8816617190696</v>
      </c>
      <c r="AO2475" s="2">
        <v>8545.4895587621995</v>
      </c>
      <c r="AP2475" s="2">
        <v>6994.5272514191502</v>
      </c>
    </row>
    <row r="2476" spans="1:42" ht="14.5" x14ac:dyDescent="0.35">
      <c r="A2476" s="2" t="s">
        <v>16545</v>
      </c>
      <c r="B2476" s="2">
        <v>299.25884559699801</v>
      </c>
      <c r="C2476" s="2">
        <v>11.185316666666701</v>
      </c>
      <c r="D2476" s="2" t="s">
        <v>70</v>
      </c>
      <c r="E2476" s="2" t="s">
        <v>16546</v>
      </c>
      <c r="F2476" s="2">
        <v>3074</v>
      </c>
      <c r="G2476" s="3" t="str">
        <f>HYPERLINK("http://funmeta.oebiotech.com/network/3074", "http://funmeta.oebiotech.com/network/3074")</f>
        <v>http://funmeta.oebiotech.com/network/3074</v>
      </c>
      <c r="H2476" s="2" t="s">
        <v>16547</v>
      </c>
      <c r="I2476" s="2">
        <v>35432</v>
      </c>
      <c r="J2476" s="2" t="s">
        <v>16548</v>
      </c>
      <c r="K2476" s="2">
        <v>19660</v>
      </c>
      <c r="L2476" s="2"/>
      <c r="M2476" s="2"/>
      <c r="N2476" s="2"/>
      <c r="O2476" s="2">
        <v>69417</v>
      </c>
      <c r="P2476" s="2" t="s">
        <v>16549</v>
      </c>
      <c r="Q2476" s="2" t="s">
        <v>16550</v>
      </c>
      <c r="R2476" s="2" t="s">
        <v>16551</v>
      </c>
      <c r="S2476" s="2" t="s">
        <v>50</v>
      </c>
      <c r="T2476" s="2" t="s">
        <v>229</v>
      </c>
      <c r="U2476" s="2" t="s">
        <v>433</v>
      </c>
      <c r="V2476" s="2" t="s">
        <v>59</v>
      </c>
      <c r="W2476" s="2">
        <v>46</v>
      </c>
      <c r="X2476" s="2">
        <v>35.700000000000003</v>
      </c>
      <c r="Y2476" s="2" t="s">
        <v>118</v>
      </c>
      <c r="Z2476" s="2" t="s">
        <v>16552</v>
      </c>
      <c r="AA2476" s="2">
        <v>-1.0756586592459201</v>
      </c>
      <c r="AB2476" s="2">
        <v>0.32478188035350303</v>
      </c>
      <c r="AC2476" s="2">
        <v>32124.5072516941</v>
      </c>
      <c r="AD2476" s="2">
        <v>39590.3187949774</v>
      </c>
      <c r="AE2476" s="2">
        <v>33124.020418878899</v>
      </c>
      <c r="AF2476" s="2">
        <v>32497.190180141999</v>
      </c>
      <c r="AG2476" s="2">
        <v>32935.904675208098</v>
      </c>
      <c r="AH2476" s="2">
        <v>33717.462945098501</v>
      </c>
      <c r="AI2476" s="2">
        <v>32105.564576023298</v>
      </c>
      <c r="AJ2476" s="2">
        <v>28366.900714813899</v>
      </c>
      <c r="AK2476" s="2">
        <v>40794.845725771302</v>
      </c>
      <c r="AL2476" s="2">
        <v>41028.021014136801</v>
      </c>
      <c r="AM2476" s="2">
        <v>39546.084299281902</v>
      </c>
      <c r="AN2476" s="2">
        <v>39074.898915578699</v>
      </c>
      <c r="AO2476" s="2">
        <v>37567.521133711401</v>
      </c>
      <c r="AP2476" s="2">
        <v>39530.5416813841</v>
      </c>
    </row>
    <row r="2477" spans="1:42" ht="14.5" x14ac:dyDescent="0.35">
      <c r="A2477" s="2" t="s">
        <v>16553</v>
      </c>
      <c r="B2477" s="2">
        <v>223.11138690314201</v>
      </c>
      <c r="C2477" s="2">
        <v>6.7814333333333296</v>
      </c>
      <c r="D2477" s="2" t="s">
        <v>34</v>
      </c>
      <c r="E2477" s="2" t="s">
        <v>16554</v>
      </c>
      <c r="F2477" s="2">
        <v>55601</v>
      </c>
      <c r="G2477" s="3" t="str">
        <f>HYPERLINK("http://funmeta.oebiotech.com/network/55601", "http://funmeta.oebiotech.com/network/55601")</f>
        <v>http://funmeta.oebiotech.com/network/55601</v>
      </c>
      <c r="H2477" s="2" t="s">
        <v>16555</v>
      </c>
      <c r="I2477" s="2">
        <v>87250</v>
      </c>
      <c r="J2477" s="2"/>
      <c r="K2477" s="2">
        <v>173734</v>
      </c>
      <c r="L2477" s="2"/>
      <c r="M2477" s="2"/>
      <c r="N2477" s="2"/>
      <c r="O2477" s="2">
        <v>15558632</v>
      </c>
      <c r="P2477" s="2" t="s">
        <v>16556</v>
      </c>
      <c r="Q2477" s="2" t="s">
        <v>16557</v>
      </c>
      <c r="R2477" s="2" t="s">
        <v>16558</v>
      </c>
      <c r="S2477" s="2" t="s">
        <v>50</v>
      </c>
      <c r="T2477" s="2" t="s">
        <v>229</v>
      </c>
      <c r="U2477" s="2" t="s">
        <v>16559</v>
      </c>
      <c r="V2477" s="2" t="s">
        <v>59</v>
      </c>
      <c r="W2477" s="2">
        <v>42.3</v>
      </c>
      <c r="X2477" s="2">
        <v>26.2</v>
      </c>
      <c r="Y2477" s="2" t="s">
        <v>266</v>
      </c>
      <c r="Z2477" s="2" t="s">
        <v>16560</v>
      </c>
      <c r="AA2477" s="2">
        <v>-1.47678843229477</v>
      </c>
      <c r="AB2477" s="2">
        <v>0.32443238580846301</v>
      </c>
      <c r="AC2477" s="2">
        <v>30607.347460079902</v>
      </c>
      <c r="AD2477" s="2">
        <v>23111.1193052831</v>
      </c>
      <c r="AE2477" s="2">
        <v>28753.834820704</v>
      </c>
      <c r="AF2477" s="2">
        <v>28809.275121970699</v>
      </c>
      <c r="AG2477" s="2">
        <v>31511.7343453389</v>
      </c>
      <c r="AH2477" s="2">
        <v>30016.871115001199</v>
      </c>
      <c r="AI2477" s="2">
        <v>32617.534344417501</v>
      </c>
      <c r="AJ2477" s="2">
        <v>31934.835013046999</v>
      </c>
      <c r="AK2477" s="2">
        <v>22595.686670089101</v>
      </c>
      <c r="AL2477" s="2">
        <v>21727.222353063</v>
      </c>
      <c r="AM2477" s="2">
        <v>23447.520958453599</v>
      </c>
      <c r="AN2477" s="2">
        <v>25727.291380715</v>
      </c>
      <c r="AO2477" s="2">
        <v>23971.093154676</v>
      </c>
      <c r="AP2477" s="2">
        <v>21197.901314701801</v>
      </c>
    </row>
    <row r="2478" spans="1:42" ht="14.5" x14ac:dyDescent="0.35">
      <c r="A2478" s="2" t="s">
        <v>16561</v>
      </c>
      <c r="B2478" s="2">
        <v>343.15474083247801</v>
      </c>
      <c r="C2478" s="2">
        <v>6.9333</v>
      </c>
      <c r="D2478" s="2" t="s">
        <v>70</v>
      </c>
      <c r="E2478" s="2" t="s">
        <v>16562</v>
      </c>
      <c r="F2478" s="2">
        <v>58490</v>
      </c>
      <c r="G2478" s="3" t="str">
        <f>HYPERLINK("http://funmeta.oebiotech.com/network/58490", "http://funmeta.oebiotech.com/network/58490")</f>
        <v>http://funmeta.oebiotech.com/network/58490</v>
      </c>
      <c r="H2478" s="2" t="s">
        <v>16563</v>
      </c>
      <c r="I2478" s="2"/>
      <c r="J2478" s="2"/>
      <c r="K2478" s="2"/>
      <c r="L2478" s="2"/>
      <c r="M2478" s="2"/>
      <c r="N2478" s="2"/>
      <c r="O2478" s="2">
        <v>131751567</v>
      </c>
      <c r="P2478" s="2"/>
      <c r="Q2478" s="2" t="s">
        <v>16564</v>
      </c>
      <c r="R2478" s="2" t="s">
        <v>16565</v>
      </c>
      <c r="S2478" s="2" t="s">
        <v>50</v>
      </c>
      <c r="T2478" s="2" t="s">
        <v>201</v>
      </c>
      <c r="U2478" s="2" t="s">
        <v>1217</v>
      </c>
      <c r="V2478" s="2" t="s">
        <v>42</v>
      </c>
      <c r="W2478" s="2">
        <v>52.9</v>
      </c>
      <c r="X2478" s="2">
        <v>71.900000000000006</v>
      </c>
      <c r="Y2478" s="2" t="s">
        <v>751</v>
      </c>
      <c r="Z2478" s="2" t="s">
        <v>4263</v>
      </c>
      <c r="AA2478" s="2">
        <v>-0.98460890837922499</v>
      </c>
      <c r="AB2478" s="2">
        <v>0.32436770097385298</v>
      </c>
      <c r="AC2478" s="2">
        <v>7189.2890396942003</v>
      </c>
      <c r="AD2478" s="2">
        <v>260.34496754222403</v>
      </c>
      <c r="AE2478" s="2">
        <v>7186.2784127260002</v>
      </c>
      <c r="AF2478" s="2">
        <v>7304.2222919435699</v>
      </c>
      <c r="AG2478" s="2">
        <v>7854.6346120312401</v>
      </c>
      <c r="AH2478" s="2">
        <v>7145.0999852265704</v>
      </c>
      <c r="AI2478" s="2">
        <v>6123.8628996252301</v>
      </c>
      <c r="AJ2478" s="2">
        <v>7521.6360366126</v>
      </c>
      <c r="AK2478" s="2">
        <v>258.72831430005698</v>
      </c>
      <c r="AL2478" s="2">
        <v>354.46431543708599</v>
      </c>
      <c r="AM2478" s="2">
        <v>190.80979851503</v>
      </c>
      <c r="AN2478" s="2">
        <v>144.68255792202601</v>
      </c>
      <c r="AO2478" s="2">
        <v>173.21935707103901</v>
      </c>
      <c r="AP2478" s="2">
        <v>440.16546200810802</v>
      </c>
    </row>
    <row r="2479" spans="1:42" ht="14.5" x14ac:dyDescent="0.35">
      <c r="A2479" s="2" t="s">
        <v>16566</v>
      </c>
      <c r="B2479" s="2">
        <v>467.22413521832698</v>
      </c>
      <c r="C2479" s="2">
        <v>6.0772000000000004</v>
      </c>
      <c r="D2479" s="2" t="s">
        <v>34</v>
      </c>
      <c r="E2479" s="2" t="s">
        <v>16567</v>
      </c>
      <c r="F2479" s="2">
        <v>207558</v>
      </c>
      <c r="G2479" s="3" t="str">
        <f>HYPERLINK("http://funmeta.oebiotech.com/network/207558", "http://funmeta.oebiotech.com/network/207558")</f>
        <v>http://funmeta.oebiotech.com/network/207558</v>
      </c>
      <c r="H2479" s="2" t="s">
        <v>16568</v>
      </c>
      <c r="I2479" s="2"/>
      <c r="J2479" s="2"/>
      <c r="K2479" s="2"/>
      <c r="L2479" s="2"/>
      <c r="M2479" s="2"/>
      <c r="N2479" s="2"/>
      <c r="O2479" s="2">
        <v>77658862</v>
      </c>
      <c r="P2479" s="2"/>
      <c r="Q2479" s="2" t="s">
        <v>16569</v>
      </c>
      <c r="R2479" s="2" t="s">
        <v>16570</v>
      </c>
      <c r="S2479" s="2" t="s">
        <v>41</v>
      </c>
      <c r="T2479" s="2" t="s">
        <v>41</v>
      </c>
      <c r="U2479" s="2" t="s">
        <v>41</v>
      </c>
      <c r="V2479" s="2" t="s">
        <v>59</v>
      </c>
      <c r="W2479" s="2">
        <v>36.9</v>
      </c>
      <c r="X2479" s="2">
        <v>0</v>
      </c>
      <c r="Y2479" s="2" t="s">
        <v>323</v>
      </c>
      <c r="Z2479" s="2" t="s">
        <v>16571</v>
      </c>
      <c r="AA2479" s="2">
        <v>3.7528626617691301</v>
      </c>
      <c r="AB2479" s="2">
        <v>0.32429256828720399</v>
      </c>
      <c r="AC2479" s="2">
        <v>52828.343692086899</v>
      </c>
      <c r="AD2479" s="2">
        <v>44404.984303974801</v>
      </c>
      <c r="AE2479" s="2">
        <v>59454.376745940899</v>
      </c>
      <c r="AF2479" s="2">
        <v>54918.000348614602</v>
      </c>
      <c r="AG2479" s="2">
        <v>53298.723285688597</v>
      </c>
      <c r="AH2479" s="2">
        <v>49636.887079070199</v>
      </c>
      <c r="AI2479" s="2">
        <v>48058.158367972101</v>
      </c>
      <c r="AJ2479" s="2">
        <v>51603.916325234801</v>
      </c>
      <c r="AK2479" s="2">
        <v>45952.635899469104</v>
      </c>
      <c r="AL2479" s="2">
        <v>40330.132741330301</v>
      </c>
      <c r="AM2479" s="2">
        <v>45743.304515833399</v>
      </c>
      <c r="AN2479" s="2">
        <v>46337.124120588</v>
      </c>
      <c r="AO2479" s="2">
        <v>44655.456057632298</v>
      </c>
      <c r="AP2479" s="2">
        <v>43411.2524889958</v>
      </c>
    </row>
    <row r="2480" spans="1:42" ht="14.5" x14ac:dyDescent="0.35">
      <c r="A2480" s="2" t="s">
        <v>16572</v>
      </c>
      <c r="B2480" s="2">
        <v>679.25626862559</v>
      </c>
      <c r="C2480" s="2">
        <v>4.9343500000000002</v>
      </c>
      <c r="D2480" s="2" t="s">
        <v>70</v>
      </c>
      <c r="E2480" s="2" t="s">
        <v>16573</v>
      </c>
      <c r="F2480" s="2">
        <v>35933</v>
      </c>
      <c r="G2480" s="3" t="str">
        <f>HYPERLINK("http://funmeta.oebiotech.com/network/35933", "http://funmeta.oebiotech.com/network/35933")</f>
        <v>http://funmeta.oebiotech.com/network/35933</v>
      </c>
      <c r="H2480" s="2"/>
      <c r="I2480" s="2"/>
      <c r="J2480" s="2" t="s">
        <v>16574</v>
      </c>
      <c r="K2480" s="2"/>
      <c r="L2480" s="2"/>
      <c r="M2480" s="2"/>
      <c r="N2480" s="2"/>
      <c r="O2480" s="2"/>
      <c r="P2480" s="2"/>
      <c r="Q2480" s="2" t="s">
        <v>16575</v>
      </c>
      <c r="R2480" s="2" t="s">
        <v>16576</v>
      </c>
      <c r="S2480" s="2" t="s">
        <v>50</v>
      </c>
      <c r="T2480" s="2" t="s">
        <v>201</v>
      </c>
      <c r="U2480" s="2" t="s">
        <v>241</v>
      </c>
      <c r="V2480" s="2" t="s">
        <v>59</v>
      </c>
      <c r="W2480" s="2">
        <v>37.200000000000003</v>
      </c>
      <c r="X2480" s="2">
        <v>1.99</v>
      </c>
      <c r="Y2480" s="2" t="s">
        <v>560</v>
      </c>
      <c r="Z2480" s="2" t="s">
        <v>4623</v>
      </c>
      <c r="AA2480" s="2">
        <v>2.05447149299285</v>
      </c>
      <c r="AB2480" s="2">
        <v>0.32416232195635802</v>
      </c>
      <c r="AC2480" s="2">
        <v>243919.52798753299</v>
      </c>
      <c r="AD2480" s="2">
        <v>232647.73912709599</v>
      </c>
      <c r="AE2480" s="2">
        <v>257571.16160788899</v>
      </c>
      <c r="AF2480" s="2">
        <v>241545.69040476001</v>
      </c>
      <c r="AG2480" s="2">
        <v>238869.412435334</v>
      </c>
      <c r="AH2480" s="2">
        <v>239103.789999753</v>
      </c>
      <c r="AI2480" s="2">
        <v>244206.82900865399</v>
      </c>
      <c r="AJ2480" s="2">
        <v>242220.284468809</v>
      </c>
      <c r="AK2480" s="2">
        <v>234440.84068650799</v>
      </c>
      <c r="AL2480" s="2">
        <v>246481.230131825</v>
      </c>
      <c r="AM2480" s="2">
        <v>230915.810184198</v>
      </c>
      <c r="AN2480" s="2">
        <v>226980.37500984201</v>
      </c>
      <c r="AO2480" s="2">
        <v>237047.99878607201</v>
      </c>
      <c r="AP2480" s="2">
        <v>220020.179964129</v>
      </c>
    </row>
    <row r="2481" spans="1:42" ht="14.5" x14ac:dyDescent="0.35">
      <c r="A2481" s="2" t="s">
        <v>16577</v>
      </c>
      <c r="B2481" s="2">
        <v>409.22277003231699</v>
      </c>
      <c r="C2481" s="2">
        <v>5.4873666666666701</v>
      </c>
      <c r="D2481" s="2" t="s">
        <v>70</v>
      </c>
      <c r="E2481" s="2" t="s">
        <v>16578</v>
      </c>
      <c r="F2481" s="2">
        <v>201017</v>
      </c>
      <c r="G2481" s="3" t="str">
        <f>HYPERLINK("http://funmeta.oebiotech.com/network/201017", "http://funmeta.oebiotech.com/network/201017")</f>
        <v>http://funmeta.oebiotech.com/network/201017</v>
      </c>
      <c r="H2481" s="2" t="s">
        <v>16579</v>
      </c>
      <c r="I2481" s="2"/>
      <c r="J2481" s="2"/>
      <c r="K2481" s="2"/>
      <c r="L2481" s="2"/>
      <c r="M2481" s="2"/>
      <c r="N2481" s="2"/>
      <c r="O2481" s="2">
        <v>536800</v>
      </c>
      <c r="P2481" s="2"/>
      <c r="Q2481" s="2" t="s">
        <v>16580</v>
      </c>
      <c r="R2481" s="2" t="s">
        <v>16581</v>
      </c>
      <c r="S2481" s="2" t="s">
        <v>50</v>
      </c>
      <c r="T2481" s="2" t="s">
        <v>124</v>
      </c>
      <c r="U2481" s="2" t="s">
        <v>1136</v>
      </c>
      <c r="V2481" s="2" t="s">
        <v>42</v>
      </c>
      <c r="W2481" s="2">
        <v>55.9</v>
      </c>
      <c r="X2481" s="2">
        <v>86.3</v>
      </c>
      <c r="Y2481" s="2" t="s">
        <v>408</v>
      </c>
      <c r="Z2481" s="2" t="s">
        <v>16582</v>
      </c>
      <c r="AA2481" s="2">
        <v>-1.11733613052675</v>
      </c>
      <c r="AB2481" s="2">
        <v>0.324138100447459</v>
      </c>
      <c r="AC2481" s="2">
        <v>11563.772760117299</v>
      </c>
      <c r="AD2481" s="2">
        <v>18708.694913858599</v>
      </c>
      <c r="AE2481" s="2">
        <v>13120.633203142001</v>
      </c>
      <c r="AF2481" s="2">
        <v>10628.6259282419</v>
      </c>
      <c r="AG2481" s="2">
        <v>11606.1897215585</v>
      </c>
      <c r="AH2481" s="2">
        <v>10072.749727550899</v>
      </c>
      <c r="AI2481" s="2">
        <v>10619.514380148399</v>
      </c>
      <c r="AJ2481" s="2">
        <v>13334.9236000618</v>
      </c>
      <c r="AK2481" s="2">
        <v>18640.790409955898</v>
      </c>
      <c r="AL2481" s="2">
        <v>18227.3811978253</v>
      </c>
      <c r="AM2481" s="2">
        <v>19405.666348655301</v>
      </c>
      <c r="AN2481" s="2">
        <v>18091.614308348999</v>
      </c>
      <c r="AO2481" s="2">
        <v>19115.3051297171</v>
      </c>
      <c r="AP2481" s="2">
        <v>18771.412088648802</v>
      </c>
    </row>
    <row r="2482" spans="1:42" ht="14.5" x14ac:dyDescent="0.35">
      <c r="A2482" s="2" t="s">
        <v>16583</v>
      </c>
      <c r="B2482" s="2">
        <v>549.21862393894799</v>
      </c>
      <c r="C2482" s="2">
        <v>4.3994166666666699</v>
      </c>
      <c r="D2482" s="2" t="s">
        <v>70</v>
      </c>
      <c r="E2482" s="2" t="s">
        <v>16584</v>
      </c>
      <c r="F2482" s="2">
        <v>53832</v>
      </c>
      <c r="G2482" s="3" t="str">
        <f>HYPERLINK("http://funmeta.oebiotech.com/network/53832", "http://funmeta.oebiotech.com/network/53832")</f>
        <v>http://funmeta.oebiotech.com/network/53832</v>
      </c>
      <c r="H2482" s="2" t="s">
        <v>16585</v>
      </c>
      <c r="I2482" s="2">
        <v>23965</v>
      </c>
      <c r="J2482" s="2"/>
      <c r="K2482" s="2">
        <v>73847</v>
      </c>
      <c r="L2482" s="2"/>
      <c r="M2482" s="2"/>
      <c r="N2482" s="2"/>
      <c r="O2482" s="2">
        <v>7020029</v>
      </c>
      <c r="P2482" s="2" t="s">
        <v>16586</v>
      </c>
      <c r="Q2482" s="2" t="s">
        <v>16587</v>
      </c>
      <c r="R2482" s="2" t="s">
        <v>16588</v>
      </c>
      <c r="S2482" s="2" t="s">
        <v>89</v>
      </c>
      <c r="T2482" s="2" t="s">
        <v>90</v>
      </c>
      <c r="U2482" s="2" t="s">
        <v>99</v>
      </c>
      <c r="V2482" s="2" t="s">
        <v>42</v>
      </c>
      <c r="W2482" s="2">
        <v>48.1</v>
      </c>
      <c r="X2482" s="2">
        <v>54.2</v>
      </c>
      <c r="Y2482" s="2" t="s">
        <v>560</v>
      </c>
      <c r="Z2482" s="2" t="s">
        <v>16589</v>
      </c>
      <c r="AA2482" s="2">
        <v>4.4160548912809796</v>
      </c>
      <c r="AB2482" s="2">
        <v>0.32411719356310198</v>
      </c>
      <c r="AC2482" s="2">
        <v>11620.0667463751</v>
      </c>
      <c r="AD2482" s="2">
        <v>4162.2303700208104</v>
      </c>
      <c r="AE2482" s="2">
        <v>13582.921503073299</v>
      </c>
      <c r="AF2482" s="2">
        <v>11546.322486552899</v>
      </c>
      <c r="AG2482" s="2">
        <v>10263.8767879721</v>
      </c>
      <c r="AH2482" s="2">
        <v>10600.8343894505</v>
      </c>
      <c r="AI2482" s="2">
        <v>9065.1917092384701</v>
      </c>
      <c r="AJ2482" s="2">
        <v>14661.253601963301</v>
      </c>
      <c r="AK2482" s="2">
        <v>5109.5761557577498</v>
      </c>
      <c r="AL2482" s="2">
        <v>3250.4227611982501</v>
      </c>
      <c r="AM2482" s="2">
        <v>2708.3849334885599</v>
      </c>
      <c r="AN2482" s="2">
        <v>5966.6915423630098</v>
      </c>
      <c r="AO2482" s="2">
        <v>3815.4416344374799</v>
      </c>
      <c r="AP2482" s="2">
        <v>4122.8651928798399</v>
      </c>
    </row>
    <row r="2483" spans="1:42" ht="14.5" x14ac:dyDescent="0.35">
      <c r="A2483" s="2" t="s">
        <v>16590</v>
      </c>
      <c r="B2483" s="2">
        <v>743.19682113594104</v>
      </c>
      <c r="C2483" s="2">
        <v>9.4284999999999997</v>
      </c>
      <c r="D2483" s="2" t="s">
        <v>34</v>
      </c>
      <c r="E2483" s="2" t="s">
        <v>16591</v>
      </c>
      <c r="F2483" s="2">
        <v>64501</v>
      </c>
      <c r="G2483" s="3" t="str">
        <f>HYPERLINK("http://funmeta.oebiotech.com/network/64501", "http://funmeta.oebiotech.com/network/64501")</f>
        <v>http://funmeta.oebiotech.com/network/64501</v>
      </c>
      <c r="H2483" s="2" t="s">
        <v>16592</v>
      </c>
      <c r="I2483" s="2"/>
      <c r="J2483" s="2"/>
      <c r="K2483" s="2"/>
      <c r="L2483" s="2"/>
      <c r="M2483" s="2"/>
      <c r="N2483" s="2"/>
      <c r="O2483" s="2">
        <v>74332620</v>
      </c>
      <c r="P2483" s="2" t="s">
        <v>16593</v>
      </c>
      <c r="Q2483" s="2" t="s">
        <v>16594</v>
      </c>
      <c r="R2483" s="2" t="s">
        <v>16595</v>
      </c>
      <c r="S2483" s="2" t="s">
        <v>115</v>
      </c>
      <c r="T2483" s="2" t="s">
        <v>139</v>
      </c>
      <c r="U2483" s="2" t="s">
        <v>140</v>
      </c>
      <c r="V2483" s="2" t="s">
        <v>42</v>
      </c>
      <c r="W2483" s="2">
        <v>55.8</v>
      </c>
      <c r="X2483" s="2">
        <v>92.8</v>
      </c>
      <c r="Y2483" s="2" t="s">
        <v>67</v>
      </c>
      <c r="Z2483" s="2" t="s">
        <v>16596</v>
      </c>
      <c r="AA2483" s="2">
        <v>-8.2173830732794695</v>
      </c>
      <c r="AB2483" s="2">
        <v>0.32407938981105</v>
      </c>
      <c r="AC2483" s="2">
        <v>61594.067535226102</v>
      </c>
      <c r="AD2483" s="2">
        <v>53697.7080772025</v>
      </c>
      <c r="AE2483" s="2">
        <v>63787.198612799599</v>
      </c>
      <c r="AF2483" s="2">
        <v>60071.209519935197</v>
      </c>
      <c r="AG2483" s="2">
        <v>62245.222914203499</v>
      </c>
      <c r="AH2483" s="2">
        <v>59573.910505093198</v>
      </c>
      <c r="AI2483" s="2">
        <v>57489.150806466001</v>
      </c>
      <c r="AJ2483" s="2">
        <v>66397.712852859302</v>
      </c>
      <c r="AK2483" s="2">
        <v>54195.671939710097</v>
      </c>
      <c r="AL2483" s="2">
        <v>51782.254592953301</v>
      </c>
      <c r="AM2483" s="2">
        <v>53202.063243188</v>
      </c>
      <c r="AN2483" s="2">
        <v>54390.640274703503</v>
      </c>
      <c r="AO2483" s="2">
        <v>55740.455439941703</v>
      </c>
      <c r="AP2483" s="2">
        <v>52875.162972718201</v>
      </c>
    </row>
    <row r="2484" spans="1:42" ht="14.5" x14ac:dyDescent="0.35">
      <c r="A2484" s="2" t="s">
        <v>16597</v>
      </c>
      <c r="B2484" s="2">
        <v>439.181951389939</v>
      </c>
      <c r="C2484" s="2">
        <v>4.6130500000000003</v>
      </c>
      <c r="D2484" s="2" t="s">
        <v>70</v>
      </c>
      <c r="E2484" s="2" t="s">
        <v>16598</v>
      </c>
      <c r="F2484" s="2">
        <v>56172</v>
      </c>
      <c r="G2484" s="3" t="str">
        <f>HYPERLINK("http://funmeta.oebiotech.com/network/56172", "http://funmeta.oebiotech.com/network/56172")</f>
        <v>http://funmeta.oebiotech.com/network/56172</v>
      </c>
      <c r="H2484" s="2" t="s">
        <v>16599</v>
      </c>
      <c r="I2484" s="2">
        <v>87866</v>
      </c>
      <c r="J2484" s="2"/>
      <c r="K2484" s="2">
        <v>168126</v>
      </c>
      <c r="L2484" s="2"/>
      <c r="M2484" s="2"/>
      <c r="N2484" s="2"/>
      <c r="O2484" s="2">
        <v>131751183</v>
      </c>
      <c r="P2484" s="2" t="s">
        <v>16600</v>
      </c>
      <c r="Q2484" s="2" t="s">
        <v>16601</v>
      </c>
      <c r="R2484" s="2" t="s">
        <v>16602</v>
      </c>
      <c r="S2484" s="2" t="s">
        <v>50</v>
      </c>
      <c r="T2484" s="2" t="s">
        <v>229</v>
      </c>
      <c r="U2484" s="2" t="s">
        <v>230</v>
      </c>
      <c r="V2484" s="2" t="s">
        <v>42</v>
      </c>
      <c r="W2484" s="2">
        <v>55.9</v>
      </c>
      <c r="X2484" s="2">
        <v>87.9</v>
      </c>
      <c r="Y2484" s="2" t="s">
        <v>408</v>
      </c>
      <c r="Z2484" s="2" t="s">
        <v>16603</v>
      </c>
      <c r="AA2484" s="2">
        <v>-0.37707720229156499</v>
      </c>
      <c r="AB2484" s="2">
        <v>0.32370435500021699</v>
      </c>
      <c r="AC2484" s="2">
        <v>20795.672838545099</v>
      </c>
      <c r="AD2484" s="2">
        <v>13382.423610158299</v>
      </c>
      <c r="AE2484" s="2">
        <v>21107.4737709947</v>
      </c>
      <c r="AF2484" s="2">
        <v>19507.010213158101</v>
      </c>
      <c r="AG2484" s="2">
        <v>22204.633377896102</v>
      </c>
      <c r="AH2484" s="2">
        <v>19842.161582246299</v>
      </c>
      <c r="AI2484" s="2">
        <v>23599.895322559401</v>
      </c>
      <c r="AJ2484" s="2">
        <v>18512.8627644158</v>
      </c>
      <c r="AK2484" s="2">
        <v>13699.5773454874</v>
      </c>
      <c r="AL2484" s="2">
        <v>14938.470637779201</v>
      </c>
      <c r="AM2484" s="2">
        <v>13805.8605863178</v>
      </c>
      <c r="AN2484" s="2">
        <v>11036.635928461499</v>
      </c>
      <c r="AO2484" s="2">
        <v>13583.826558540301</v>
      </c>
      <c r="AP2484" s="2">
        <v>13230.1706043635</v>
      </c>
    </row>
    <row r="2485" spans="1:42" ht="14.5" x14ac:dyDescent="0.35">
      <c r="A2485" s="2" t="s">
        <v>16604</v>
      </c>
      <c r="B2485" s="2">
        <v>422.13024427898398</v>
      </c>
      <c r="C2485" s="2">
        <v>2.59723333333333</v>
      </c>
      <c r="D2485" s="2" t="s">
        <v>70</v>
      </c>
      <c r="E2485" s="2" t="s">
        <v>16605</v>
      </c>
      <c r="F2485" s="2">
        <v>51937</v>
      </c>
      <c r="G2485" s="3" t="str">
        <f>HYPERLINK("http://funmeta.oebiotech.com/network/51937", "http://funmeta.oebiotech.com/network/51937")</f>
        <v>http://funmeta.oebiotech.com/network/51937</v>
      </c>
      <c r="H2485" s="2" t="s">
        <v>16606</v>
      </c>
      <c r="I2485" s="2"/>
      <c r="J2485" s="2"/>
      <c r="K2485" s="2"/>
      <c r="L2485" s="2"/>
      <c r="M2485" s="2"/>
      <c r="N2485" s="2"/>
      <c r="O2485" s="2">
        <v>11740302</v>
      </c>
      <c r="P2485" s="2" t="s">
        <v>16607</v>
      </c>
      <c r="Q2485" s="2" t="s">
        <v>16608</v>
      </c>
      <c r="R2485" s="2" t="s">
        <v>16609</v>
      </c>
      <c r="S2485" s="2" t="s">
        <v>79</v>
      </c>
      <c r="T2485" s="2" t="s">
        <v>80</v>
      </c>
      <c r="U2485" s="2" t="s">
        <v>81</v>
      </c>
      <c r="V2485" s="2" t="s">
        <v>59</v>
      </c>
      <c r="W2485" s="2">
        <v>38.799999999999997</v>
      </c>
      <c r="X2485" s="2">
        <v>1.98</v>
      </c>
      <c r="Y2485" s="2" t="s">
        <v>408</v>
      </c>
      <c r="Z2485" s="2" t="s">
        <v>16610</v>
      </c>
      <c r="AA2485" s="2">
        <v>-3.9560038397544801</v>
      </c>
      <c r="AB2485" s="2">
        <v>0.32368682360758999</v>
      </c>
      <c r="AC2485" s="2">
        <v>26936.259969504899</v>
      </c>
      <c r="AD2485" s="2">
        <v>19827.657807531199</v>
      </c>
      <c r="AE2485" s="2">
        <v>26193.436498159001</v>
      </c>
      <c r="AF2485" s="2">
        <v>26248.274882759499</v>
      </c>
      <c r="AG2485" s="2">
        <v>26591.748560444499</v>
      </c>
      <c r="AH2485" s="2">
        <v>28835.1400017909</v>
      </c>
      <c r="AI2485" s="2">
        <v>26752.466712168702</v>
      </c>
      <c r="AJ2485" s="2">
        <v>26996.493161706901</v>
      </c>
      <c r="AK2485" s="2">
        <v>18107.8986093977</v>
      </c>
      <c r="AL2485" s="2">
        <v>19152.900226970101</v>
      </c>
      <c r="AM2485" s="2">
        <v>20075.331253977602</v>
      </c>
      <c r="AN2485" s="2">
        <v>20578.177438514202</v>
      </c>
      <c r="AO2485" s="2">
        <v>20611.8962403062</v>
      </c>
      <c r="AP2485" s="2">
        <v>20439.743076021499</v>
      </c>
    </row>
    <row r="2486" spans="1:42" ht="14.5" x14ac:dyDescent="0.35">
      <c r="A2486" s="2" t="s">
        <v>16611</v>
      </c>
      <c r="B2486" s="2">
        <v>247.043208476883</v>
      </c>
      <c r="C2486" s="2">
        <v>3.6547999999999998</v>
      </c>
      <c r="D2486" s="2" t="s">
        <v>70</v>
      </c>
      <c r="E2486" s="2" t="s">
        <v>16612</v>
      </c>
      <c r="F2486" s="2">
        <v>256174</v>
      </c>
      <c r="G2486" s="3" t="str">
        <f>HYPERLINK("http://funmeta.oebiotech.com/network/256174", "http://funmeta.oebiotech.com/network/256174")</f>
        <v>http://funmeta.oebiotech.com/network/256174</v>
      </c>
      <c r="H2486" s="2" t="s">
        <v>16613</v>
      </c>
      <c r="I2486" s="2"/>
      <c r="J2486" s="2"/>
      <c r="K2486" s="2"/>
      <c r="L2486" s="2"/>
      <c r="M2486" s="2"/>
      <c r="N2486" s="2"/>
      <c r="O2486" s="2"/>
      <c r="P2486" s="2"/>
      <c r="Q2486" s="2" t="s">
        <v>16614</v>
      </c>
      <c r="R2486" s="2" t="s">
        <v>16615</v>
      </c>
      <c r="S2486" s="2" t="s">
        <v>79</v>
      </c>
      <c r="T2486" s="2" t="s">
        <v>80</v>
      </c>
      <c r="U2486" s="2" t="s">
        <v>81</v>
      </c>
      <c r="V2486" s="2" t="s">
        <v>59</v>
      </c>
      <c r="W2486" s="2">
        <v>39.200000000000003</v>
      </c>
      <c r="X2486" s="2">
        <v>0</v>
      </c>
      <c r="Y2486" s="2" t="s">
        <v>118</v>
      </c>
      <c r="Z2486" s="2" t="s">
        <v>16616</v>
      </c>
      <c r="AA2486" s="2">
        <v>-1.3172519155092</v>
      </c>
      <c r="AB2486" s="2">
        <v>0.32343877801561199</v>
      </c>
      <c r="AC2486" s="2">
        <v>7668.0329969018003</v>
      </c>
      <c r="AD2486" s="2">
        <v>639.82496841263696</v>
      </c>
      <c r="AE2486" s="2">
        <v>6345.0906947022904</v>
      </c>
      <c r="AF2486" s="2">
        <v>8271.35043863176</v>
      </c>
      <c r="AG2486" s="2">
        <v>7491.3496317485497</v>
      </c>
      <c r="AH2486" s="2">
        <v>7710.8206930737897</v>
      </c>
      <c r="AI2486" s="2">
        <v>9412.99095928522</v>
      </c>
      <c r="AJ2486" s="2">
        <v>6776.5955639692202</v>
      </c>
      <c r="AK2486" s="2">
        <v>1034.16811473385</v>
      </c>
      <c r="AL2486" s="2">
        <v>512.81725759376195</v>
      </c>
      <c r="AM2486" s="2">
        <v>621.38240000315295</v>
      </c>
      <c r="AN2486" s="2">
        <v>501.78927031941299</v>
      </c>
      <c r="AO2486" s="2">
        <v>555.03733208864799</v>
      </c>
      <c r="AP2486" s="2">
        <v>613.75543573699599</v>
      </c>
    </row>
    <row r="2487" spans="1:42" ht="14.5" x14ac:dyDescent="0.35">
      <c r="A2487" s="2" t="s">
        <v>16617</v>
      </c>
      <c r="B2487" s="2">
        <v>113.10719330814899</v>
      </c>
      <c r="C2487" s="2">
        <v>0.53741666666666699</v>
      </c>
      <c r="D2487" s="2" t="s">
        <v>34</v>
      </c>
      <c r="E2487" s="2" t="s">
        <v>16618</v>
      </c>
      <c r="F2487" s="2">
        <v>274684</v>
      </c>
      <c r="G2487" s="3" t="str">
        <f>HYPERLINK("http://funmeta.oebiotech.com/network/274684", "http://funmeta.oebiotech.com/network/274684")</f>
        <v>http://funmeta.oebiotech.com/network/274684</v>
      </c>
      <c r="H2487" s="2"/>
      <c r="I2487" s="2">
        <v>64866</v>
      </c>
      <c r="J2487" s="2"/>
      <c r="K2487" s="2"/>
      <c r="L2487" s="2"/>
      <c r="M2487" s="2"/>
      <c r="N2487" s="2"/>
      <c r="O2487" s="2">
        <v>3268009</v>
      </c>
      <c r="P2487" s="2" t="s">
        <v>16619</v>
      </c>
      <c r="Q2487" s="2" t="s">
        <v>16620</v>
      </c>
      <c r="R2487" s="2" t="s">
        <v>16621</v>
      </c>
      <c r="S2487" s="2" t="s">
        <v>491</v>
      </c>
      <c r="T2487" s="2" t="s">
        <v>2238</v>
      </c>
      <c r="U2487" s="2" t="s">
        <v>2239</v>
      </c>
      <c r="V2487" s="2" t="s">
        <v>59</v>
      </c>
      <c r="W2487" s="2">
        <v>43.6</v>
      </c>
      <c r="X2487" s="2">
        <v>30.5</v>
      </c>
      <c r="Y2487" s="2" t="s">
        <v>394</v>
      </c>
      <c r="Z2487" s="2" t="s">
        <v>16622</v>
      </c>
      <c r="AA2487" s="2">
        <v>-1.17322242559349</v>
      </c>
      <c r="AB2487" s="2">
        <v>0.32332003547892102</v>
      </c>
      <c r="AC2487" s="2">
        <v>11039.448856572601</v>
      </c>
      <c r="AD2487" s="2">
        <v>3903.2897102085299</v>
      </c>
      <c r="AE2487" s="2">
        <v>9707.5801559930696</v>
      </c>
      <c r="AF2487" s="2">
        <v>12174.554268325201</v>
      </c>
      <c r="AG2487" s="2">
        <v>11712.8791495899</v>
      </c>
      <c r="AH2487" s="2">
        <v>12154.026462641799</v>
      </c>
      <c r="AI2487" s="2">
        <v>10783.3752346659</v>
      </c>
      <c r="AJ2487" s="2">
        <v>9704.2778682199896</v>
      </c>
      <c r="AK2487" s="2">
        <v>3120.4875430590801</v>
      </c>
      <c r="AL2487" s="2">
        <v>4552.9292992788996</v>
      </c>
      <c r="AM2487" s="2">
        <v>3064.1848380647698</v>
      </c>
      <c r="AN2487" s="2">
        <v>3469.3542892580599</v>
      </c>
      <c r="AO2487" s="2">
        <v>3244.5795799264802</v>
      </c>
      <c r="AP2487" s="2">
        <v>5968.2027116639201</v>
      </c>
    </row>
    <row r="2488" spans="1:42" ht="14.5" x14ac:dyDescent="0.35">
      <c r="A2488" s="2" t="s">
        <v>16623</v>
      </c>
      <c r="B2488" s="2">
        <v>417.20978320361098</v>
      </c>
      <c r="C2488" s="2">
        <v>4.6661999999999999</v>
      </c>
      <c r="D2488" s="2" t="s">
        <v>34</v>
      </c>
      <c r="E2488" s="2" t="s">
        <v>16624</v>
      </c>
      <c r="F2488" s="2">
        <v>200182</v>
      </c>
      <c r="G2488" s="3" t="str">
        <f>HYPERLINK("http://funmeta.oebiotech.com/network/200182", "http://funmeta.oebiotech.com/network/200182")</f>
        <v>http://funmeta.oebiotech.com/network/200182</v>
      </c>
      <c r="H2488" s="2" t="s">
        <v>16625</v>
      </c>
      <c r="I2488" s="2"/>
      <c r="J2488" s="2"/>
      <c r="K2488" s="2"/>
      <c r="L2488" s="2"/>
      <c r="M2488" s="2"/>
      <c r="N2488" s="2"/>
      <c r="O2488" s="2">
        <v>6603915</v>
      </c>
      <c r="P2488" s="2"/>
      <c r="Q2488" s="2" t="s">
        <v>16626</v>
      </c>
      <c r="R2488" s="2" t="s">
        <v>16627</v>
      </c>
      <c r="S2488" s="2" t="s">
        <v>491</v>
      </c>
      <c r="T2488" s="2" t="s">
        <v>5190</v>
      </c>
      <c r="U2488" s="2" t="s">
        <v>5191</v>
      </c>
      <c r="V2488" s="2" t="s">
        <v>59</v>
      </c>
      <c r="W2488" s="2">
        <v>36.299999999999997</v>
      </c>
      <c r="X2488" s="2">
        <v>0</v>
      </c>
      <c r="Y2488" s="2" t="s">
        <v>141</v>
      </c>
      <c r="Z2488" s="2" t="s">
        <v>16628</v>
      </c>
      <c r="AA2488" s="2">
        <v>2.9181827579016</v>
      </c>
      <c r="AB2488" s="2">
        <v>0.32326721546903597</v>
      </c>
      <c r="AC2488" s="2">
        <v>21360.849930903201</v>
      </c>
      <c r="AD2488" s="2">
        <v>28884.2741489992</v>
      </c>
      <c r="AE2488" s="2">
        <v>21580.469610128599</v>
      </c>
      <c r="AF2488" s="2">
        <v>23484.750230809699</v>
      </c>
      <c r="AG2488" s="2">
        <v>22319.0916972128</v>
      </c>
      <c r="AH2488" s="2">
        <v>19695.101841606702</v>
      </c>
      <c r="AI2488" s="2">
        <v>22279.677936170901</v>
      </c>
      <c r="AJ2488" s="2">
        <v>18806.008269490401</v>
      </c>
      <c r="AK2488" s="2">
        <v>30342.469560286001</v>
      </c>
      <c r="AL2488" s="2">
        <v>30544.137133992001</v>
      </c>
      <c r="AM2488" s="2">
        <v>27327.882490433301</v>
      </c>
      <c r="AN2488" s="2">
        <v>28552.1226366316</v>
      </c>
      <c r="AO2488" s="2">
        <v>26072.731277993898</v>
      </c>
      <c r="AP2488" s="2">
        <v>30466.3017946582</v>
      </c>
    </row>
    <row r="2489" spans="1:42" ht="14.5" x14ac:dyDescent="0.35">
      <c r="A2489" s="2" t="s">
        <v>16629</v>
      </c>
      <c r="B2489" s="2">
        <v>491.16119964211703</v>
      </c>
      <c r="C2489" s="2">
        <v>0.76995000000000002</v>
      </c>
      <c r="D2489" s="2" t="s">
        <v>70</v>
      </c>
      <c r="E2489" s="2" t="s">
        <v>16630</v>
      </c>
      <c r="F2489" s="2">
        <v>47063</v>
      </c>
      <c r="G2489" s="3" t="str">
        <f>HYPERLINK("http://funmeta.oebiotech.com/network/47063", "http://funmeta.oebiotech.com/network/47063")</f>
        <v>http://funmeta.oebiotech.com/network/47063</v>
      </c>
      <c r="H2489" s="2" t="s">
        <v>16631</v>
      </c>
      <c r="I2489" s="2">
        <v>5483</v>
      </c>
      <c r="J2489" s="2"/>
      <c r="K2489" s="2">
        <v>23774</v>
      </c>
      <c r="L2489" s="2"/>
      <c r="M2489" s="2"/>
      <c r="N2489" s="2"/>
      <c r="O2489" s="2">
        <v>94312</v>
      </c>
      <c r="P2489" s="2" t="s">
        <v>16632</v>
      </c>
      <c r="Q2489" s="2" t="s">
        <v>16633</v>
      </c>
      <c r="R2489" s="2" t="s">
        <v>16634</v>
      </c>
      <c r="S2489" s="2" t="s">
        <v>79</v>
      </c>
      <c r="T2489" s="2" t="s">
        <v>80</v>
      </c>
      <c r="U2489" s="2" t="s">
        <v>81</v>
      </c>
      <c r="V2489" s="2" t="s">
        <v>59</v>
      </c>
      <c r="W2489" s="2">
        <v>38.5</v>
      </c>
      <c r="X2489" s="2">
        <v>1.01</v>
      </c>
      <c r="Y2489" s="2" t="s">
        <v>560</v>
      </c>
      <c r="Z2489" s="2" t="s">
        <v>16635</v>
      </c>
      <c r="AA2489" s="2">
        <v>-3.8528888961035102</v>
      </c>
      <c r="AB2489" s="2">
        <v>0.32323995224407798</v>
      </c>
      <c r="AC2489" s="2">
        <v>49961.139549901898</v>
      </c>
      <c r="AD2489" s="2">
        <v>60881.823847595901</v>
      </c>
      <c r="AE2489" s="2">
        <v>54171.652041390204</v>
      </c>
      <c r="AF2489" s="2">
        <v>40785.289293448099</v>
      </c>
      <c r="AG2489" s="2">
        <v>38413.567347525997</v>
      </c>
      <c r="AH2489" s="2">
        <v>54966.4090409622</v>
      </c>
      <c r="AI2489" s="2">
        <v>53099.2584566554</v>
      </c>
      <c r="AJ2489" s="2">
        <v>58330.661119429598</v>
      </c>
      <c r="AK2489" s="2">
        <v>59811.981810283702</v>
      </c>
      <c r="AL2489" s="2">
        <v>52265.306427189302</v>
      </c>
      <c r="AM2489" s="2">
        <v>69360.001623763397</v>
      </c>
      <c r="AN2489" s="2">
        <v>57122.131167004402</v>
      </c>
      <c r="AO2489" s="2">
        <v>57924.603094860198</v>
      </c>
      <c r="AP2489" s="2">
        <v>68806.918962474199</v>
      </c>
    </row>
    <row r="2490" spans="1:42" ht="14.5" x14ac:dyDescent="0.35">
      <c r="A2490" s="2" t="s">
        <v>16636</v>
      </c>
      <c r="B2490" s="2">
        <v>288.10558398785298</v>
      </c>
      <c r="C2490" s="2">
        <v>1.06171666666667</v>
      </c>
      <c r="D2490" s="2" t="s">
        <v>34</v>
      </c>
      <c r="E2490" s="2" t="s">
        <v>16637</v>
      </c>
      <c r="F2490" s="2">
        <v>62028</v>
      </c>
      <c r="G2490" s="3" t="str">
        <f>HYPERLINK("http://funmeta.oebiotech.com/network/62028", "http://funmeta.oebiotech.com/network/62028")</f>
        <v>http://funmeta.oebiotech.com/network/62028</v>
      </c>
      <c r="H2490" s="2" t="s">
        <v>16638</v>
      </c>
      <c r="I2490" s="2"/>
      <c r="J2490" s="2"/>
      <c r="K2490" s="2">
        <v>138790</v>
      </c>
      <c r="L2490" s="2"/>
      <c r="M2490" s="2"/>
      <c r="N2490" s="2"/>
      <c r="O2490" s="2">
        <v>131752417</v>
      </c>
      <c r="P2490" s="2" t="s">
        <v>16639</v>
      </c>
      <c r="Q2490" s="2" t="s">
        <v>16640</v>
      </c>
      <c r="R2490" s="2" t="s">
        <v>16641</v>
      </c>
      <c r="S2490" s="2" t="s">
        <v>89</v>
      </c>
      <c r="T2490" s="2" t="s">
        <v>90</v>
      </c>
      <c r="U2490" s="2" t="s">
        <v>99</v>
      </c>
      <c r="V2490" s="2" t="s">
        <v>59</v>
      </c>
      <c r="W2490" s="2">
        <v>38.799999999999997</v>
      </c>
      <c r="X2490" s="2">
        <v>0</v>
      </c>
      <c r="Y2490" s="2" t="s">
        <v>67</v>
      </c>
      <c r="Z2490" s="2" t="s">
        <v>16642</v>
      </c>
      <c r="AA2490" s="2">
        <v>0.79722341065815405</v>
      </c>
      <c r="AB2490" s="2">
        <v>0.32315976732560397</v>
      </c>
      <c r="AC2490" s="2">
        <v>26875.074547873399</v>
      </c>
      <c r="AD2490" s="2">
        <v>34458.922742784198</v>
      </c>
      <c r="AE2490" s="2">
        <v>26495.4553710295</v>
      </c>
      <c r="AF2490" s="2">
        <v>26645.262682189299</v>
      </c>
      <c r="AG2490" s="2">
        <v>26494.295242433702</v>
      </c>
      <c r="AH2490" s="2">
        <v>26588.5765082203</v>
      </c>
      <c r="AI2490" s="2">
        <v>29252.804797058699</v>
      </c>
      <c r="AJ2490" s="2">
        <v>25774.052686308802</v>
      </c>
      <c r="AK2490" s="2">
        <v>37388.049264266898</v>
      </c>
      <c r="AL2490" s="2">
        <v>37656.119783741102</v>
      </c>
      <c r="AM2490" s="2">
        <v>32880.085914935502</v>
      </c>
      <c r="AN2490" s="2">
        <v>32426.907072715501</v>
      </c>
      <c r="AO2490" s="2">
        <v>34429.963037793903</v>
      </c>
      <c r="AP2490" s="2">
        <v>31972.4113832523</v>
      </c>
    </row>
    <row r="2491" spans="1:42" ht="14.5" x14ac:dyDescent="0.35">
      <c r="A2491" s="2" t="s">
        <v>16643</v>
      </c>
      <c r="B2491" s="2">
        <v>506.151621973354</v>
      </c>
      <c r="C2491" s="2">
        <v>4.8264500000000004</v>
      </c>
      <c r="D2491" s="2" t="s">
        <v>70</v>
      </c>
      <c r="E2491" s="2" t="s">
        <v>16644</v>
      </c>
      <c r="F2491" s="2">
        <v>56219</v>
      </c>
      <c r="G2491" s="3" t="str">
        <f>HYPERLINK("http://funmeta.oebiotech.com/network/56219", "http://funmeta.oebiotech.com/network/56219")</f>
        <v>http://funmeta.oebiotech.com/network/56219</v>
      </c>
      <c r="H2491" s="2" t="s">
        <v>16645</v>
      </c>
      <c r="I2491" s="2">
        <v>87912</v>
      </c>
      <c r="J2491" s="2"/>
      <c r="K2491" s="2"/>
      <c r="L2491" s="2"/>
      <c r="M2491" s="2"/>
      <c r="N2491" s="2"/>
      <c r="O2491" s="2">
        <v>75110958</v>
      </c>
      <c r="P2491" s="2"/>
      <c r="Q2491" s="2" t="s">
        <v>16646</v>
      </c>
      <c r="R2491" s="2" t="s">
        <v>16647</v>
      </c>
      <c r="S2491" s="2" t="s">
        <v>79</v>
      </c>
      <c r="T2491" s="2" t="s">
        <v>80</v>
      </c>
      <c r="U2491" s="2" t="s">
        <v>81</v>
      </c>
      <c r="V2491" s="2" t="s">
        <v>59</v>
      </c>
      <c r="W2491" s="2">
        <v>38.299999999999997</v>
      </c>
      <c r="X2491" s="2">
        <v>0</v>
      </c>
      <c r="Y2491" s="2" t="s">
        <v>408</v>
      </c>
      <c r="Z2491" s="2" t="s">
        <v>16648</v>
      </c>
      <c r="AA2491" s="2">
        <v>0.203398607482042</v>
      </c>
      <c r="AB2491" s="2">
        <v>0.322986895842583</v>
      </c>
      <c r="AC2491" s="2">
        <v>7627.5517786888304</v>
      </c>
      <c r="AD2491" s="2">
        <v>14866.005147134299</v>
      </c>
      <c r="AE2491" s="2">
        <v>7843.7347087334701</v>
      </c>
      <c r="AF2491" s="2">
        <v>6200.6461682106301</v>
      </c>
      <c r="AG2491" s="2">
        <v>6850.7991222206001</v>
      </c>
      <c r="AH2491" s="2">
        <v>8922.3563169895297</v>
      </c>
      <c r="AI2491" s="2">
        <v>7472.1397014350196</v>
      </c>
      <c r="AJ2491" s="2">
        <v>8475.6346545437591</v>
      </c>
      <c r="AK2491" s="2">
        <v>15496.629011164499</v>
      </c>
      <c r="AL2491" s="2">
        <v>13654.983682975701</v>
      </c>
      <c r="AM2491" s="2">
        <v>17245.789011247201</v>
      </c>
      <c r="AN2491" s="2">
        <v>14616.792066928199</v>
      </c>
      <c r="AO2491" s="2">
        <v>12473.594541983201</v>
      </c>
      <c r="AP2491" s="2">
        <v>15708.242568507099</v>
      </c>
    </row>
    <row r="2492" spans="1:42" ht="14.5" x14ac:dyDescent="0.35">
      <c r="A2492" s="2" t="s">
        <v>16649</v>
      </c>
      <c r="B2492" s="2">
        <v>587.09583914129098</v>
      </c>
      <c r="C2492" s="2">
        <v>4.2251833333333302</v>
      </c>
      <c r="D2492" s="2" t="s">
        <v>34</v>
      </c>
      <c r="E2492" s="2" t="s">
        <v>16650</v>
      </c>
      <c r="F2492" s="2">
        <v>62168</v>
      </c>
      <c r="G2492" s="3" t="str">
        <f>HYPERLINK("http://funmeta.oebiotech.com/network/62168", "http://funmeta.oebiotech.com/network/62168")</f>
        <v>http://funmeta.oebiotech.com/network/62168</v>
      </c>
      <c r="H2492" s="2" t="s">
        <v>16651</v>
      </c>
      <c r="I2492" s="2"/>
      <c r="J2492" s="2"/>
      <c r="K2492" s="2"/>
      <c r="L2492" s="2"/>
      <c r="M2492" s="2"/>
      <c r="N2492" s="2"/>
      <c r="O2492" s="2">
        <v>74977620</v>
      </c>
      <c r="P2492" s="2" t="s">
        <v>16652</v>
      </c>
      <c r="Q2492" s="2" t="s">
        <v>16653</v>
      </c>
      <c r="R2492" s="2" t="s">
        <v>16654</v>
      </c>
      <c r="S2492" s="2" t="s">
        <v>115</v>
      </c>
      <c r="T2492" s="2" t="s">
        <v>139</v>
      </c>
      <c r="U2492" s="2" t="s">
        <v>140</v>
      </c>
      <c r="V2492" s="2" t="s">
        <v>59</v>
      </c>
      <c r="W2492" s="2">
        <v>37.200000000000003</v>
      </c>
      <c r="X2492" s="2">
        <v>0</v>
      </c>
      <c r="Y2492" s="2" t="s">
        <v>323</v>
      </c>
      <c r="Z2492" s="2" t="s">
        <v>16655</v>
      </c>
      <c r="AA2492" s="2">
        <v>-8.6890652195040108</v>
      </c>
      <c r="AB2492" s="2">
        <v>0.322880804670866</v>
      </c>
      <c r="AC2492" s="2">
        <v>8837.3802076683005</v>
      </c>
      <c r="AD2492" s="2">
        <v>15885.052064162201</v>
      </c>
      <c r="AE2492" s="2">
        <v>7609.08060178093</v>
      </c>
      <c r="AF2492" s="2">
        <v>10096.372599775499</v>
      </c>
      <c r="AG2492" s="2">
        <v>8798.8957546357396</v>
      </c>
      <c r="AH2492" s="2">
        <v>8508.2999464738296</v>
      </c>
      <c r="AI2492" s="2">
        <v>10343.9177182329</v>
      </c>
      <c r="AJ2492" s="2">
        <v>7667.7146251108697</v>
      </c>
      <c r="AK2492" s="2">
        <v>14575.121991686599</v>
      </c>
      <c r="AL2492" s="2">
        <v>15978.809916226301</v>
      </c>
      <c r="AM2492" s="2">
        <v>16201.677291773</v>
      </c>
      <c r="AN2492" s="2">
        <v>16231.9309171842</v>
      </c>
      <c r="AO2492" s="2">
        <v>15424.1380079545</v>
      </c>
      <c r="AP2492" s="2">
        <v>16898.634260148599</v>
      </c>
    </row>
    <row r="2493" spans="1:42" ht="14.5" x14ac:dyDescent="0.35">
      <c r="A2493" s="2" t="s">
        <v>16656</v>
      </c>
      <c r="B2493" s="2">
        <v>666.49339181573305</v>
      </c>
      <c r="C2493" s="2">
        <v>14.094333333333299</v>
      </c>
      <c r="D2493" s="2" t="s">
        <v>34</v>
      </c>
      <c r="E2493" s="2" t="s">
        <v>16657</v>
      </c>
      <c r="F2493" s="2">
        <v>248430</v>
      </c>
      <c r="G2493" s="3" t="str">
        <f>HYPERLINK("http://funmeta.oebiotech.com/network/248430", "http://funmeta.oebiotech.com/network/248430")</f>
        <v>http://funmeta.oebiotech.com/network/248430</v>
      </c>
      <c r="H2493" s="2" t="s">
        <v>16658</v>
      </c>
      <c r="I2493" s="2"/>
      <c r="J2493" s="2"/>
      <c r="K2493" s="2"/>
      <c r="L2493" s="2"/>
      <c r="M2493" s="2"/>
      <c r="N2493" s="2"/>
      <c r="O2493" s="2"/>
      <c r="P2493" s="2"/>
      <c r="Q2493" s="2" t="s">
        <v>16659</v>
      </c>
      <c r="R2493" s="2" t="s">
        <v>16660</v>
      </c>
      <c r="S2493" s="2" t="s">
        <v>41</v>
      </c>
      <c r="T2493" s="2" t="s">
        <v>41</v>
      </c>
      <c r="U2493" s="2" t="s">
        <v>41</v>
      </c>
      <c r="V2493" s="2" t="s">
        <v>59</v>
      </c>
      <c r="W2493" s="2">
        <v>38.1</v>
      </c>
      <c r="X2493" s="2">
        <v>0</v>
      </c>
      <c r="Y2493" s="2" t="s">
        <v>43</v>
      </c>
      <c r="Z2493" s="2" t="s">
        <v>16661</v>
      </c>
      <c r="AA2493" s="2">
        <v>-0.85236271332178903</v>
      </c>
      <c r="AB2493" s="2">
        <v>0.32267296121085898</v>
      </c>
      <c r="AC2493" s="2">
        <v>8869.6080715091302</v>
      </c>
      <c r="AD2493" s="2">
        <v>1916.66559194255</v>
      </c>
      <c r="AE2493" s="2">
        <v>8558.2953803791897</v>
      </c>
      <c r="AF2493" s="2">
        <v>8061.0903795258801</v>
      </c>
      <c r="AG2493" s="2">
        <v>10451.516702151899</v>
      </c>
      <c r="AH2493" s="2">
        <v>9138.7412434300095</v>
      </c>
      <c r="AI2493" s="2">
        <v>7881.3579976131396</v>
      </c>
      <c r="AJ2493" s="2">
        <v>9126.6467259546807</v>
      </c>
      <c r="AK2493" s="2">
        <v>2994.5288922078798</v>
      </c>
      <c r="AL2493" s="2">
        <v>1903.6247740011199</v>
      </c>
      <c r="AM2493" s="2">
        <v>1496.9465411494</v>
      </c>
      <c r="AN2493" s="2">
        <v>1707.83454393325</v>
      </c>
      <c r="AO2493" s="2">
        <v>1920.4158416268299</v>
      </c>
      <c r="AP2493" s="2">
        <v>1476.64295873679</v>
      </c>
    </row>
    <row r="2494" spans="1:42" ht="14.5" x14ac:dyDescent="0.35">
      <c r="A2494" s="2" t="s">
        <v>16662</v>
      </c>
      <c r="B2494" s="2">
        <v>263.16505236302601</v>
      </c>
      <c r="C2494" s="2">
        <v>9.8236333333333299</v>
      </c>
      <c r="D2494" s="2" t="s">
        <v>70</v>
      </c>
      <c r="E2494" s="2" t="s">
        <v>16663</v>
      </c>
      <c r="F2494" s="2">
        <v>56539</v>
      </c>
      <c r="G2494" s="3" t="str">
        <f>HYPERLINK("http://funmeta.oebiotech.com/network/56539", "http://funmeta.oebiotech.com/network/56539")</f>
        <v>http://funmeta.oebiotech.com/network/56539</v>
      </c>
      <c r="H2494" s="2" t="s">
        <v>16664</v>
      </c>
      <c r="I2494" s="2">
        <v>88174</v>
      </c>
      <c r="J2494" s="2"/>
      <c r="K2494" s="2">
        <v>138775</v>
      </c>
      <c r="L2494" s="2"/>
      <c r="M2494" s="2"/>
      <c r="N2494" s="2"/>
      <c r="O2494" s="2">
        <v>131751254</v>
      </c>
      <c r="P2494" s="2" t="s">
        <v>16665</v>
      </c>
      <c r="Q2494" s="2" t="s">
        <v>16666</v>
      </c>
      <c r="R2494" s="2" t="s">
        <v>16667</v>
      </c>
      <c r="S2494" s="2" t="s">
        <v>50</v>
      </c>
      <c r="T2494" s="2" t="s">
        <v>229</v>
      </c>
      <c r="U2494" s="2" t="s">
        <v>766</v>
      </c>
      <c r="V2494" s="2" t="s">
        <v>59</v>
      </c>
      <c r="W2494" s="2">
        <v>47</v>
      </c>
      <c r="X2494" s="2">
        <v>38.5</v>
      </c>
      <c r="Y2494" s="2" t="s">
        <v>118</v>
      </c>
      <c r="Z2494" s="2" t="s">
        <v>16668</v>
      </c>
      <c r="AA2494" s="2">
        <v>-0.81701652358536303</v>
      </c>
      <c r="AB2494" s="2">
        <v>0.32256480659152298</v>
      </c>
      <c r="AC2494" s="2">
        <v>66851.033876268993</v>
      </c>
      <c r="AD2494" s="2">
        <v>75826.490349132495</v>
      </c>
      <c r="AE2494" s="2">
        <v>66337.291317713098</v>
      </c>
      <c r="AF2494" s="2">
        <v>69138.388843571302</v>
      </c>
      <c r="AG2494" s="2">
        <v>65275.548323210103</v>
      </c>
      <c r="AH2494" s="2">
        <v>68218.823795463497</v>
      </c>
      <c r="AI2494" s="2">
        <v>63874.503695284198</v>
      </c>
      <c r="AJ2494" s="2">
        <v>68261.647282371996</v>
      </c>
      <c r="AK2494" s="2">
        <v>85143.469463974601</v>
      </c>
      <c r="AL2494" s="2">
        <v>77900.002630532093</v>
      </c>
      <c r="AM2494" s="2">
        <v>69084.621178466798</v>
      </c>
      <c r="AN2494" s="2">
        <v>73344.982583442601</v>
      </c>
      <c r="AO2494" s="2">
        <v>75789.225107932099</v>
      </c>
      <c r="AP2494" s="2">
        <v>73696.641130446704</v>
      </c>
    </row>
    <row r="2495" spans="1:42" ht="14.5" x14ac:dyDescent="0.35">
      <c r="A2495" s="2" t="s">
        <v>16669</v>
      </c>
      <c r="B2495" s="2">
        <v>915.49571412402997</v>
      </c>
      <c r="C2495" s="2">
        <v>11.310750000000001</v>
      </c>
      <c r="D2495" s="2" t="s">
        <v>70</v>
      </c>
      <c r="E2495" s="2" t="s">
        <v>16670</v>
      </c>
      <c r="F2495" s="2">
        <v>63803</v>
      </c>
      <c r="G2495" s="3" t="str">
        <f>HYPERLINK("http://funmeta.oebiotech.com/network/63803", "http://funmeta.oebiotech.com/network/63803")</f>
        <v>http://funmeta.oebiotech.com/network/63803</v>
      </c>
      <c r="H2495" s="2" t="s">
        <v>16671</v>
      </c>
      <c r="I2495" s="2">
        <v>95138</v>
      </c>
      <c r="J2495" s="2"/>
      <c r="K2495" s="2"/>
      <c r="L2495" s="2"/>
      <c r="M2495" s="2"/>
      <c r="N2495" s="2"/>
      <c r="O2495" s="2">
        <v>131752894</v>
      </c>
      <c r="P2495" s="2" t="s">
        <v>16672</v>
      </c>
      <c r="Q2495" s="2" t="s">
        <v>16673</v>
      </c>
      <c r="R2495" s="2" t="s">
        <v>16674</v>
      </c>
      <c r="S2495" s="2" t="s">
        <v>50</v>
      </c>
      <c r="T2495" s="2" t="s">
        <v>201</v>
      </c>
      <c r="U2495" s="2" t="s">
        <v>210</v>
      </c>
      <c r="V2495" s="2" t="s">
        <v>59</v>
      </c>
      <c r="W2495" s="2">
        <v>38.6</v>
      </c>
      <c r="X2495" s="2">
        <v>0</v>
      </c>
      <c r="Y2495" s="2" t="s">
        <v>118</v>
      </c>
      <c r="Z2495" s="2" t="s">
        <v>16675</v>
      </c>
      <c r="AA2495" s="2">
        <v>-0.190979557770837</v>
      </c>
      <c r="AB2495" s="2">
        <v>0.322560696488355</v>
      </c>
      <c r="AC2495" s="2">
        <v>76525.132627374405</v>
      </c>
      <c r="AD2495" s="2">
        <v>88111.559192949397</v>
      </c>
      <c r="AE2495" s="2">
        <v>70851.942903453499</v>
      </c>
      <c r="AF2495" s="2">
        <v>71177.352970234293</v>
      </c>
      <c r="AG2495" s="2">
        <v>89565.569092465506</v>
      </c>
      <c r="AH2495" s="2">
        <v>69890.813021014095</v>
      </c>
      <c r="AI2495" s="2">
        <v>75342.061104961904</v>
      </c>
      <c r="AJ2495" s="2">
        <v>82323.056672117207</v>
      </c>
      <c r="AK2495" s="2">
        <v>76723.301600605904</v>
      </c>
      <c r="AL2495" s="2">
        <v>81422.9489888643</v>
      </c>
      <c r="AM2495" s="2">
        <v>89972.652971494404</v>
      </c>
      <c r="AN2495" s="2">
        <v>86946.278587287597</v>
      </c>
      <c r="AO2495" s="2">
        <v>89157.841572680394</v>
      </c>
      <c r="AP2495" s="2">
        <v>104446.331436764</v>
      </c>
    </row>
    <row r="2496" spans="1:42" ht="14.5" x14ac:dyDescent="0.35">
      <c r="A2496" s="2" t="s">
        <v>16676</v>
      </c>
      <c r="B2496" s="2">
        <v>335.05395569770099</v>
      </c>
      <c r="C2496" s="2">
        <v>2.0493000000000001</v>
      </c>
      <c r="D2496" s="2" t="s">
        <v>70</v>
      </c>
      <c r="E2496" s="2" t="s">
        <v>16677</v>
      </c>
      <c r="F2496" s="2">
        <v>62008</v>
      </c>
      <c r="G2496" s="3" t="str">
        <f>HYPERLINK("http://funmeta.oebiotech.com/network/62008", "http://funmeta.oebiotech.com/network/62008")</f>
        <v>http://funmeta.oebiotech.com/network/62008</v>
      </c>
      <c r="H2496" s="2" t="s">
        <v>16678</v>
      </c>
      <c r="I2496" s="2">
        <v>93302</v>
      </c>
      <c r="J2496" s="2"/>
      <c r="K2496" s="2"/>
      <c r="L2496" s="2"/>
      <c r="M2496" s="2"/>
      <c r="N2496" s="2"/>
      <c r="O2496" s="2">
        <v>13993678</v>
      </c>
      <c r="P2496" s="2" t="s">
        <v>16679</v>
      </c>
      <c r="Q2496" s="2" t="s">
        <v>16680</v>
      </c>
      <c r="R2496" s="2" t="s">
        <v>16681</v>
      </c>
      <c r="S2496" s="2" t="s">
        <v>491</v>
      </c>
      <c r="T2496" s="2" t="s">
        <v>2184</v>
      </c>
      <c r="U2496" s="2" t="s">
        <v>3838</v>
      </c>
      <c r="V2496" s="2" t="s">
        <v>59</v>
      </c>
      <c r="W2496" s="2">
        <v>37.700000000000003</v>
      </c>
      <c r="X2496" s="2">
        <v>0.13800000000000001</v>
      </c>
      <c r="Y2496" s="2" t="s">
        <v>1654</v>
      </c>
      <c r="Z2496" s="2" t="s">
        <v>16682</v>
      </c>
      <c r="AA2496" s="2">
        <v>3.43986624553354</v>
      </c>
      <c r="AB2496" s="2">
        <v>0.32250817917153501</v>
      </c>
      <c r="AC2496" s="2">
        <v>34557.730937474997</v>
      </c>
      <c r="AD2496" s="2">
        <v>27126.818839608401</v>
      </c>
      <c r="AE2496" s="2">
        <v>34408.382540929299</v>
      </c>
      <c r="AF2496" s="2">
        <v>36584.865207086499</v>
      </c>
      <c r="AG2496" s="2">
        <v>36234.504106770197</v>
      </c>
      <c r="AH2496" s="2">
        <v>33337.9112949927</v>
      </c>
      <c r="AI2496" s="2">
        <v>31724.8304370978</v>
      </c>
      <c r="AJ2496" s="2">
        <v>35055.892037973499</v>
      </c>
      <c r="AK2496" s="2">
        <v>25568.649019121702</v>
      </c>
      <c r="AL2496" s="2">
        <v>27299.230912916901</v>
      </c>
      <c r="AM2496" s="2">
        <v>26973.832698357699</v>
      </c>
      <c r="AN2496" s="2">
        <v>30446.4465576892</v>
      </c>
      <c r="AO2496" s="2">
        <v>25653.278976243098</v>
      </c>
      <c r="AP2496" s="2">
        <v>26819.4748733216</v>
      </c>
    </row>
    <row r="2497" spans="1:42" ht="14.5" x14ac:dyDescent="0.35">
      <c r="A2497" s="2" t="s">
        <v>16683</v>
      </c>
      <c r="B2497" s="2">
        <v>310.12380179959399</v>
      </c>
      <c r="C2497" s="2">
        <v>10.5277666666667</v>
      </c>
      <c r="D2497" s="2" t="s">
        <v>34</v>
      </c>
      <c r="E2497" s="2" t="s">
        <v>16684</v>
      </c>
      <c r="F2497" s="2">
        <v>53225</v>
      </c>
      <c r="G2497" s="3" t="str">
        <f>HYPERLINK("http://funmeta.oebiotech.com/network/53225", "http://funmeta.oebiotech.com/network/53225")</f>
        <v>http://funmeta.oebiotech.com/network/53225</v>
      </c>
      <c r="H2497" s="2" t="s">
        <v>16685</v>
      </c>
      <c r="I2497" s="2">
        <v>4007</v>
      </c>
      <c r="J2497" s="2"/>
      <c r="K2497" s="2">
        <v>42191</v>
      </c>
      <c r="L2497" s="2" t="s">
        <v>16686</v>
      </c>
      <c r="M2497" s="2"/>
      <c r="N2497" s="2"/>
      <c r="O2497" s="2">
        <v>6049</v>
      </c>
      <c r="P2497" s="2" t="s">
        <v>16687</v>
      </c>
      <c r="Q2497" s="2" t="s">
        <v>16688</v>
      </c>
      <c r="R2497" s="2" t="s">
        <v>16689</v>
      </c>
      <c r="S2497" s="2" t="s">
        <v>89</v>
      </c>
      <c r="T2497" s="2" t="s">
        <v>90</v>
      </c>
      <c r="U2497" s="2" t="s">
        <v>1248</v>
      </c>
      <c r="V2497" s="2" t="s">
        <v>59</v>
      </c>
      <c r="W2497" s="2">
        <v>37.1</v>
      </c>
      <c r="X2497" s="2">
        <v>0</v>
      </c>
      <c r="Y2497" s="2" t="s">
        <v>43</v>
      </c>
      <c r="Z2497" s="2" t="s">
        <v>16690</v>
      </c>
      <c r="AA2497" s="2">
        <v>-2.3595742269844</v>
      </c>
      <c r="AB2497" s="2">
        <v>0.32225674896001999</v>
      </c>
      <c r="AC2497" s="2">
        <v>6912.4045962012497</v>
      </c>
      <c r="AD2497" s="2">
        <v>65.113987664993303</v>
      </c>
      <c r="AE2497" s="2">
        <v>7390.1217277921296</v>
      </c>
      <c r="AF2497" s="2">
        <v>7519.2435652782697</v>
      </c>
      <c r="AG2497" s="2">
        <v>6900.3232816836899</v>
      </c>
      <c r="AH2497" s="2">
        <v>5948.0277558791404</v>
      </c>
      <c r="AI2497" s="2">
        <v>6632.1921402357902</v>
      </c>
      <c r="AJ2497" s="2">
        <v>7084.51910633848</v>
      </c>
      <c r="AK2497" s="2">
        <v>2.7106294003980101E-5</v>
      </c>
      <c r="AL2497" s="2">
        <v>318.34162257782299</v>
      </c>
      <c r="AM2497" s="2">
        <v>72.342194986960607</v>
      </c>
      <c r="AN2497" s="2">
        <v>2.7106294003980101E-5</v>
      </c>
      <c r="AO2497" s="2">
        <v>2.7106294003980101E-5</v>
      </c>
      <c r="AP2497" s="2">
        <v>2.7106294003980101E-5</v>
      </c>
    </row>
    <row r="2498" spans="1:42" ht="14.5" x14ac:dyDescent="0.35">
      <c r="A2498" s="2" t="s">
        <v>16691</v>
      </c>
      <c r="B2498" s="2">
        <v>355.22647839588001</v>
      </c>
      <c r="C2498" s="2">
        <v>5.4400500000000003</v>
      </c>
      <c r="D2498" s="2" t="s">
        <v>34</v>
      </c>
      <c r="E2498" s="2" t="s">
        <v>16692</v>
      </c>
      <c r="F2498" s="2">
        <v>257848</v>
      </c>
      <c r="G2498" s="3" t="str">
        <f>HYPERLINK("http://funmeta.oebiotech.com/network/257848", "http://funmeta.oebiotech.com/network/257848")</f>
        <v>http://funmeta.oebiotech.com/network/257848</v>
      </c>
      <c r="H2498" s="2"/>
      <c r="I2498" s="2">
        <v>1093</v>
      </c>
      <c r="J2498" s="2"/>
      <c r="K2498" s="2"/>
      <c r="L2498" s="2"/>
      <c r="M2498" s="2"/>
      <c r="N2498" s="2"/>
      <c r="O2498" s="2">
        <v>10156152</v>
      </c>
      <c r="P2498" s="2" t="s">
        <v>16693</v>
      </c>
      <c r="Q2498" s="2" t="s">
        <v>16694</v>
      </c>
      <c r="R2498" s="2" t="s">
        <v>16695</v>
      </c>
      <c r="S2498" s="2" t="s">
        <v>50</v>
      </c>
      <c r="T2498" s="2" t="s">
        <v>124</v>
      </c>
      <c r="U2498" s="2" t="s">
        <v>929</v>
      </c>
      <c r="V2498" s="2" t="s">
        <v>59</v>
      </c>
      <c r="W2498" s="2">
        <v>38.4</v>
      </c>
      <c r="X2498" s="2">
        <v>0</v>
      </c>
      <c r="Y2498" s="2" t="s">
        <v>141</v>
      </c>
      <c r="Z2498" s="2" t="s">
        <v>8559</v>
      </c>
      <c r="AA2498" s="2">
        <v>-0.78676773175500603</v>
      </c>
      <c r="AB2498" s="2">
        <v>0.32222633446533699</v>
      </c>
      <c r="AC2498" s="2">
        <v>9414.6499361465794</v>
      </c>
      <c r="AD2498" s="2">
        <v>16487.364419848502</v>
      </c>
      <c r="AE2498" s="2">
        <v>7933.20867534234</v>
      </c>
      <c r="AF2498" s="2">
        <v>9247.8140313141394</v>
      </c>
      <c r="AG2498" s="2">
        <v>10859.1550433881</v>
      </c>
      <c r="AH2498" s="2">
        <v>8580.4965214449094</v>
      </c>
      <c r="AI2498" s="2">
        <v>10792.103983769601</v>
      </c>
      <c r="AJ2498" s="2">
        <v>9075.1213616203604</v>
      </c>
      <c r="AK2498" s="2">
        <v>17229.519440893899</v>
      </c>
      <c r="AL2498" s="2">
        <v>17559.366567904501</v>
      </c>
      <c r="AM2498" s="2">
        <v>15060.5508724014</v>
      </c>
      <c r="AN2498" s="2">
        <v>16094.587267586299</v>
      </c>
      <c r="AO2498" s="2">
        <v>15837.8745235845</v>
      </c>
      <c r="AP2498" s="2">
        <v>17142.287846720501</v>
      </c>
    </row>
    <row r="2499" spans="1:42" ht="14.5" x14ac:dyDescent="0.35">
      <c r="A2499" s="2" t="s">
        <v>16696</v>
      </c>
      <c r="B2499" s="2">
        <v>737.41138449188395</v>
      </c>
      <c r="C2499" s="2">
        <v>11.5098</v>
      </c>
      <c r="D2499" s="2" t="s">
        <v>70</v>
      </c>
      <c r="E2499" s="2" t="s">
        <v>16697</v>
      </c>
      <c r="F2499" s="2">
        <v>60009</v>
      </c>
      <c r="G2499" s="3" t="str">
        <f>HYPERLINK("http://funmeta.oebiotech.com/network/60009", "http://funmeta.oebiotech.com/network/60009")</f>
        <v>http://funmeta.oebiotech.com/network/60009</v>
      </c>
      <c r="H2499" s="2" t="s">
        <v>16698</v>
      </c>
      <c r="I2499" s="2">
        <v>91389</v>
      </c>
      <c r="J2499" s="2"/>
      <c r="K2499" s="2"/>
      <c r="L2499" s="2"/>
      <c r="M2499" s="2"/>
      <c r="N2499" s="2"/>
      <c r="O2499" s="2">
        <v>131751923</v>
      </c>
      <c r="P2499" s="2" t="s">
        <v>16699</v>
      </c>
      <c r="Q2499" s="2" t="s">
        <v>16700</v>
      </c>
      <c r="R2499" s="2" t="s">
        <v>16701</v>
      </c>
      <c r="S2499" s="2" t="s">
        <v>50</v>
      </c>
      <c r="T2499" s="2" t="s">
        <v>124</v>
      </c>
      <c r="U2499" s="2" t="s">
        <v>523</v>
      </c>
      <c r="V2499" s="2" t="s">
        <v>42</v>
      </c>
      <c r="W2499" s="2">
        <v>52</v>
      </c>
      <c r="X2499" s="2">
        <v>66.7</v>
      </c>
      <c r="Y2499" s="2" t="s">
        <v>751</v>
      </c>
      <c r="Z2499" s="2" t="s">
        <v>16702</v>
      </c>
      <c r="AA2499" s="2">
        <v>-0.50383331379967999</v>
      </c>
      <c r="AB2499" s="2">
        <v>0.32221023448407499</v>
      </c>
      <c r="AC2499" s="2">
        <v>80144.034324061795</v>
      </c>
      <c r="AD2499" s="2">
        <v>70753.695611517804</v>
      </c>
      <c r="AE2499" s="2">
        <v>81317.313347958305</v>
      </c>
      <c r="AF2499" s="2">
        <v>79879.528158323999</v>
      </c>
      <c r="AG2499" s="2">
        <v>78934.955637185194</v>
      </c>
      <c r="AH2499" s="2">
        <v>76984.763495458901</v>
      </c>
      <c r="AI2499" s="2">
        <v>89550.170898160504</v>
      </c>
      <c r="AJ2499" s="2">
        <v>74197.474407283604</v>
      </c>
      <c r="AK2499" s="2">
        <v>68930.247778204299</v>
      </c>
      <c r="AL2499" s="2">
        <v>67561.191582436702</v>
      </c>
      <c r="AM2499" s="2">
        <v>72631.526932943307</v>
      </c>
      <c r="AN2499" s="2">
        <v>68837.359373607804</v>
      </c>
      <c r="AO2499" s="2">
        <v>68016.809581361304</v>
      </c>
      <c r="AP2499" s="2">
        <v>78545.038420553698</v>
      </c>
    </row>
    <row r="2500" spans="1:42" ht="14.5" x14ac:dyDescent="0.35">
      <c r="A2500" s="2" t="s">
        <v>16703</v>
      </c>
      <c r="B2500" s="2">
        <v>455.167331415901</v>
      </c>
      <c r="C2500" s="2">
        <v>5.2493499999999997</v>
      </c>
      <c r="D2500" s="2" t="s">
        <v>34</v>
      </c>
      <c r="E2500" s="2" t="s">
        <v>16704</v>
      </c>
      <c r="F2500" s="2">
        <v>267130</v>
      </c>
      <c r="G2500" s="3" t="str">
        <f>HYPERLINK("http://funmeta.oebiotech.com/network/267130", "http://funmeta.oebiotech.com/network/267130")</f>
        <v>http://funmeta.oebiotech.com/network/267130</v>
      </c>
      <c r="H2500" s="2"/>
      <c r="I2500" s="2">
        <v>44846</v>
      </c>
      <c r="J2500" s="2"/>
      <c r="K2500" s="2"/>
      <c r="L2500" s="2"/>
      <c r="M2500" s="2"/>
      <c r="N2500" s="2"/>
      <c r="O2500" s="2">
        <v>71307573</v>
      </c>
      <c r="P2500" s="2" t="s">
        <v>16705</v>
      </c>
      <c r="Q2500" s="2" t="s">
        <v>16706</v>
      </c>
      <c r="R2500" s="2" t="s">
        <v>16707</v>
      </c>
      <c r="S2500" s="2" t="s">
        <v>50</v>
      </c>
      <c r="T2500" s="2" t="s">
        <v>201</v>
      </c>
      <c r="U2500" s="2" t="s">
        <v>1217</v>
      </c>
      <c r="V2500" s="2" t="s">
        <v>59</v>
      </c>
      <c r="W2500" s="2">
        <v>38.6</v>
      </c>
      <c r="X2500" s="2">
        <v>0</v>
      </c>
      <c r="Y2500" s="2" t="s">
        <v>470</v>
      </c>
      <c r="Z2500" s="2" t="s">
        <v>16708</v>
      </c>
      <c r="AA2500" s="2">
        <v>-0.71062905208285099</v>
      </c>
      <c r="AB2500" s="2">
        <v>0.32187154540258101</v>
      </c>
      <c r="AC2500" s="2">
        <v>83771.659594145807</v>
      </c>
      <c r="AD2500" s="2">
        <v>97060.405177369903</v>
      </c>
      <c r="AE2500" s="2">
        <v>91097.0431562507</v>
      </c>
      <c r="AF2500" s="2">
        <v>92489.513831757402</v>
      </c>
      <c r="AG2500" s="2">
        <v>75374.683917039598</v>
      </c>
      <c r="AH2500" s="2">
        <v>67433.150945331596</v>
      </c>
      <c r="AI2500" s="2">
        <v>82597.649471857498</v>
      </c>
      <c r="AJ2500" s="2">
        <v>93637.916242638094</v>
      </c>
      <c r="AK2500" s="2">
        <v>95886.708493163504</v>
      </c>
      <c r="AL2500" s="2">
        <v>100048.471044077</v>
      </c>
      <c r="AM2500" s="2">
        <v>114953.17610187401</v>
      </c>
      <c r="AN2500" s="2">
        <v>105333.942272812</v>
      </c>
      <c r="AO2500" s="2">
        <v>74688.138893566298</v>
      </c>
      <c r="AP2500" s="2">
        <v>91451.994258726394</v>
      </c>
    </row>
    <row r="2501" spans="1:42" ht="14.5" x14ac:dyDescent="0.35">
      <c r="A2501" s="2" t="s">
        <v>16709</v>
      </c>
      <c r="B2501" s="2">
        <v>286.12393493355</v>
      </c>
      <c r="C2501" s="2">
        <v>10.2647666666667</v>
      </c>
      <c r="D2501" s="2" t="s">
        <v>34</v>
      </c>
      <c r="E2501" s="2" t="s">
        <v>16710</v>
      </c>
      <c r="F2501" s="2">
        <v>82088</v>
      </c>
      <c r="G2501" s="3" t="str">
        <f>HYPERLINK("http://funmeta.oebiotech.com/network/82088", "http://funmeta.oebiotech.com/network/82088")</f>
        <v>http://funmeta.oebiotech.com/network/82088</v>
      </c>
      <c r="H2501" s="2" t="s">
        <v>16711</v>
      </c>
      <c r="I2501" s="2">
        <v>70354</v>
      </c>
      <c r="J2501" s="2"/>
      <c r="K2501" s="2">
        <v>34564</v>
      </c>
      <c r="L2501" s="2" t="s">
        <v>16712</v>
      </c>
      <c r="M2501" s="2" t="s">
        <v>13581</v>
      </c>
      <c r="N2501" s="2" t="s">
        <v>13582</v>
      </c>
      <c r="O2501" s="2">
        <v>37456</v>
      </c>
      <c r="P2501" s="2" t="s">
        <v>16713</v>
      </c>
      <c r="Q2501" s="2" t="s">
        <v>16714</v>
      </c>
      <c r="R2501" s="2" t="s">
        <v>16715</v>
      </c>
      <c r="S2501" s="2" t="s">
        <v>148</v>
      </c>
      <c r="T2501" s="2" t="s">
        <v>16716</v>
      </c>
      <c r="U2501" s="2" t="s">
        <v>41</v>
      </c>
      <c r="V2501" s="2" t="s">
        <v>59</v>
      </c>
      <c r="W2501" s="2">
        <v>36.700000000000003</v>
      </c>
      <c r="X2501" s="2">
        <v>0</v>
      </c>
      <c r="Y2501" s="2" t="s">
        <v>43</v>
      </c>
      <c r="Z2501" s="2" t="s">
        <v>16717</v>
      </c>
      <c r="AA2501" s="2">
        <v>4.8282474985133303</v>
      </c>
      <c r="AB2501" s="2">
        <v>0.32184206041331598</v>
      </c>
      <c r="AC2501" s="2">
        <v>17131.729351514099</v>
      </c>
      <c r="AD2501" s="2">
        <v>10100.3427210174</v>
      </c>
      <c r="AE2501" s="2">
        <v>19254.9463826221</v>
      </c>
      <c r="AF2501" s="2">
        <v>17509.842734904501</v>
      </c>
      <c r="AG2501" s="2">
        <v>17366.60297557</v>
      </c>
      <c r="AH2501" s="2">
        <v>16920.0822599315</v>
      </c>
      <c r="AI2501" s="2">
        <v>15860.9237993432</v>
      </c>
      <c r="AJ2501" s="2">
        <v>15877.977956713101</v>
      </c>
      <c r="AK2501" s="2">
        <v>8737.9298872221698</v>
      </c>
      <c r="AL2501" s="2">
        <v>10336.0872086856</v>
      </c>
      <c r="AM2501" s="2">
        <v>10000.459839288</v>
      </c>
      <c r="AN2501" s="2">
        <v>11027.8375125243</v>
      </c>
      <c r="AO2501" s="2">
        <v>10692.8920158929</v>
      </c>
      <c r="AP2501" s="2">
        <v>9806.8498624912809</v>
      </c>
    </row>
    <row r="2502" spans="1:42" ht="14.5" x14ac:dyDescent="0.35">
      <c r="A2502" s="2" t="s">
        <v>16718</v>
      </c>
      <c r="B2502" s="2">
        <v>571.19939993765399</v>
      </c>
      <c r="C2502" s="2">
        <v>1.8129833333333301</v>
      </c>
      <c r="D2502" s="2" t="s">
        <v>34</v>
      </c>
      <c r="E2502" s="2" t="s">
        <v>16719</v>
      </c>
      <c r="F2502" s="2">
        <v>58605</v>
      </c>
      <c r="G2502" s="3" t="str">
        <f>HYPERLINK("http://funmeta.oebiotech.com/network/58605", "http://funmeta.oebiotech.com/network/58605")</f>
        <v>http://funmeta.oebiotech.com/network/58605</v>
      </c>
      <c r="H2502" s="2" t="s">
        <v>16720</v>
      </c>
      <c r="I2502" s="2">
        <v>90074</v>
      </c>
      <c r="J2502" s="2"/>
      <c r="K2502" s="2"/>
      <c r="L2502" s="2"/>
      <c r="M2502" s="2"/>
      <c r="N2502" s="2"/>
      <c r="O2502" s="2">
        <v>131751592</v>
      </c>
      <c r="P2502" s="2" t="s">
        <v>16721</v>
      </c>
      <c r="Q2502" s="2" t="s">
        <v>16722</v>
      </c>
      <c r="R2502" s="2" t="s">
        <v>16723</v>
      </c>
      <c r="S2502" s="2" t="s">
        <v>115</v>
      </c>
      <c r="T2502" s="2" t="s">
        <v>758</v>
      </c>
      <c r="U2502" s="2" t="s">
        <v>759</v>
      </c>
      <c r="V2502" s="2" t="s">
        <v>42</v>
      </c>
      <c r="W2502" s="2">
        <v>47.2</v>
      </c>
      <c r="X2502" s="2">
        <v>48.6</v>
      </c>
      <c r="Y2502" s="2" t="s">
        <v>394</v>
      </c>
      <c r="Z2502" s="2" t="s">
        <v>8129</v>
      </c>
      <c r="AA2502" s="2">
        <v>-4.7917979938776902</v>
      </c>
      <c r="AB2502" s="2">
        <v>0.321817100541684</v>
      </c>
      <c r="AC2502" s="2">
        <v>125671.224996683</v>
      </c>
      <c r="AD2502" s="2">
        <v>115525.57496060101</v>
      </c>
      <c r="AE2502" s="2">
        <v>127011.666423826</v>
      </c>
      <c r="AF2502" s="2">
        <v>119588.605325442</v>
      </c>
      <c r="AG2502" s="2">
        <v>125839.72018091699</v>
      </c>
      <c r="AH2502" s="2">
        <v>128186.51718727101</v>
      </c>
      <c r="AI2502" s="2">
        <v>121665.45192197499</v>
      </c>
      <c r="AJ2502" s="2">
        <v>131735.38894066401</v>
      </c>
      <c r="AK2502" s="2">
        <v>112896.60308339899</v>
      </c>
      <c r="AL2502" s="2">
        <v>117158.600038213</v>
      </c>
      <c r="AM2502" s="2">
        <v>113658.419153681</v>
      </c>
      <c r="AN2502" s="2">
        <v>128183.101744916</v>
      </c>
      <c r="AO2502" s="2">
        <v>105179.043571608</v>
      </c>
      <c r="AP2502" s="2">
        <v>116077.68217178799</v>
      </c>
    </row>
    <row r="2503" spans="1:42" ht="14.5" x14ac:dyDescent="0.35">
      <c r="A2503" s="2" t="s">
        <v>16724</v>
      </c>
      <c r="B2503" s="2">
        <v>209.029372584583</v>
      </c>
      <c r="C2503" s="2">
        <v>0.71055000000000001</v>
      </c>
      <c r="D2503" s="2" t="s">
        <v>70</v>
      </c>
      <c r="E2503" s="2" t="s">
        <v>16725</v>
      </c>
      <c r="F2503" s="2">
        <v>258261</v>
      </c>
      <c r="G2503" s="3" t="str">
        <f>HYPERLINK("http://funmeta.oebiotech.com/network/258261", "http://funmeta.oebiotech.com/network/258261")</f>
        <v>http://funmeta.oebiotech.com/network/258261</v>
      </c>
      <c r="H2503" s="2" t="s">
        <v>16726</v>
      </c>
      <c r="I2503" s="2">
        <v>3343</v>
      </c>
      <c r="J2503" s="2"/>
      <c r="K2503" s="2"/>
      <c r="L2503" s="2" t="s">
        <v>16727</v>
      </c>
      <c r="M2503" s="2" t="s">
        <v>16728</v>
      </c>
      <c r="N2503" s="2" t="s">
        <v>16729</v>
      </c>
      <c r="O2503" s="2">
        <v>607</v>
      </c>
      <c r="P2503" s="2" t="s">
        <v>16730</v>
      </c>
      <c r="Q2503" s="2" t="s">
        <v>16731</v>
      </c>
      <c r="R2503" s="2" t="s">
        <v>16732</v>
      </c>
      <c r="S2503" s="2" t="s">
        <v>79</v>
      </c>
      <c r="T2503" s="2" t="s">
        <v>80</v>
      </c>
      <c r="U2503" s="2" t="s">
        <v>81</v>
      </c>
      <c r="V2503" s="2" t="s">
        <v>59</v>
      </c>
      <c r="W2503" s="2">
        <v>41.5</v>
      </c>
      <c r="X2503" s="2">
        <v>19.600000000000001</v>
      </c>
      <c r="Y2503" s="2" t="s">
        <v>118</v>
      </c>
      <c r="Z2503" s="2" t="s">
        <v>16733</v>
      </c>
      <c r="AA2503" s="2">
        <v>-4.3718874146830098</v>
      </c>
      <c r="AB2503" s="2">
        <v>0.32175822639058699</v>
      </c>
      <c r="AC2503" s="2">
        <v>44371.156582225201</v>
      </c>
      <c r="AD2503" s="2">
        <v>33313.242909638102</v>
      </c>
      <c r="AE2503" s="2">
        <v>41602.742312499198</v>
      </c>
      <c r="AF2503" s="2">
        <v>57869.479839490501</v>
      </c>
      <c r="AG2503" s="2">
        <v>35755.872462929903</v>
      </c>
      <c r="AH2503" s="2">
        <v>51468.173494454699</v>
      </c>
      <c r="AI2503" s="2">
        <v>47364.254932017997</v>
      </c>
      <c r="AJ2503" s="2">
        <v>32166.4164519591</v>
      </c>
      <c r="AK2503" s="2">
        <v>35424.185908666099</v>
      </c>
      <c r="AL2503" s="2">
        <v>31203.008830338698</v>
      </c>
      <c r="AM2503" s="2">
        <v>26176.414183831599</v>
      </c>
      <c r="AN2503" s="2">
        <v>33939.470353961296</v>
      </c>
      <c r="AO2503" s="2">
        <v>41319.360974939802</v>
      </c>
      <c r="AP2503" s="2">
        <v>31817.017206091299</v>
      </c>
    </row>
    <row r="2504" spans="1:42" ht="14.5" x14ac:dyDescent="0.35">
      <c r="A2504" s="2" t="s">
        <v>16734</v>
      </c>
      <c r="B2504" s="2">
        <v>579.17709929890395</v>
      </c>
      <c r="C2504" s="2">
        <v>0.72340000000000004</v>
      </c>
      <c r="D2504" s="2" t="s">
        <v>70</v>
      </c>
      <c r="E2504" s="2" t="s">
        <v>16735</v>
      </c>
      <c r="F2504" s="2">
        <v>203774</v>
      </c>
      <c r="G2504" s="3" t="str">
        <f>HYPERLINK("http://funmeta.oebiotech.com/network/203774", "http://funmeta.oebiotech.com/network/203774")</f>
        <v>http://funmeta.oebiotech.com/network/203774</v>
      </c>
      <c r="H2504" s="2" t="s">
        <v>16736</v>
      </c>
      <c r="I2504" s="2">
        <v>44052</v>
      </c>
      <c r="J2504" s="2"/>
      <c r="K2504" s="2"/>
      <c r="L2504" s="2" t="s">
        <v>16737</v>
      </c>
      <c r="M2504" s="2"/>
      <c r="N2504" s="2"/>
      <c r="O2504" s="2">
        <v>5100</v>
      </c>
      <c r="P2504" s="2" t="s">
        <v>16738</v>
      </c>
      <c r="Q2504" s="2" t="s">
        <v>16739</v>
      </c>
      <c r="R2504" s="2" t="s">
        <v>16740</v>
      </c>
      <c r="S2504" s="2" t="s">
        <v>148</v>
      </c>
      <c r="T2504" s="2" t="s">
        <v>149</v>
      </c>
      <c r="U2504" s="2" t="s">
        <v>3473</v>
      </c>
      <c r="V2504" s="2" t="s">
        <v>59</v>
      </c>
      <c r="W2504" s="2">
        <v>37</v>
      </c>
      <c r="X2504" s="2">
        <v>0</v>
      </c>
      <c r="Y2504" s="2" t="s">
        <v>560</v>
      </c>
      <c r="Z2504" s="2" t="s">
        <v>16741</v>
      </c>
      <c r="AA2504" s="2">
        <v>-7.2612328110208901</v>
      </c>
      <c r="AB2504" s="2">
        <v>0.32153031842322299</v>
      </c>
      <c r="AC2504" s="2">
        <v>400817.586288905</v>
      </c>
      <c r="AD2504" s="2">
        <v>430524.72096489702</v>
      </c>
      <c r="AE2504" s="2">
        <v>319008.98002773698</v>
      </c>
      <c r="AF2504" s="2">
        <v>436139.303737248</v>
      </c>
      <c r="AG2504" s="2">
        <v>431354.14125371102</v>
      </c>
      <c r="AH2504" s="2">
        <v>399483.95247926901</v>
      </c>
      <c r="AI2504" s="2">
        <v>386709.482654794</v>
      </c>
      <c r="AJ2504" s="2">
        <v>432209.65758067399</v>
      </c>
      <c r="AK2504" s="2">
        <v>575087.26291787799</v>
      </c>
      <c r="AL2504" s="2">
        <v>477627.30599476001</v>
      </c>
      <c r="AM2504" s="2">
        <v>363735.09125343402</v>
      </c>
      <c r="AN2504" s="2">
        <v>360374.09347345098</v>
      </c>
      <c r="AO2504" s="2">
        <v>415297.58936423803</v>
      </c>
      <c r="AP2504" s="2">
        <v>391026.98278561898</v>
      </c>
    </row>
    <row r="2505" spans="1:42" ht="14.5" x14ac:dyDescent="0.35">
      <c r="A2505" s="2" t="s">
        <v>16742</v>
      </c>
      <c r="B2505" s="2">
        <v>134.096338953182</v>
      </c>
      <c r="C2505" s="2">
        <v>4.0691166666666696</v>
      </c>
      <c r="D2505" s="2" t="s">
        <v>34</v>
      </c>
      <c r="E2505" s="2" t="s">
        <v>16743</v>
      </c>
      <c r="F2505" s="2">
        <v>47731</v>
      </c>
      <c r="G2505" s="3" t="str">
        <f>HYPERLINK("http://funmeta.oebiotech.com/network/47731", "http://funmeta.oebiotech.com/network/47731")</f>
        <v>http://funmeta.oebiotech.com/network/47731</v>
      </c>
      <c r="H2505" s="2" t="s">
        <v>16744</v>
      </c>
      <c r="I2505" s="2">
        <v>1846</v>
      </c>
      <c r="J2505" s="2"/>
      <c r="K2505" s="2">
        <v>36</v>
      </c>
      <c r="L2505" s="2" t="s">
        <v>16745</v>
      </c>
      <c r="M2505" s="2"/>
      <c r="N2505" s="2"/>
      <c r="O2505" s="2">
        <v>26934</v>
      </c>
      <c r="P2505" s="2" t="s">
        <v>16746</v>
      </c>
      <c r="Q2505" s="2" t="s">
        <v>16747</v>
      </c>
      <c r="R2505" s="2" t="s">
        <v>16748</v>
      </c>
      <c r="S2505" s="2" t="s">
        <v>148</v>
      </c>
      <c r="T2505" s="2" t="s">
        <v>149</v>
      </c>
      <c r="U2505" s="2" t="s">
        <v>15271</v>
      </c>
      <c r="V2505" s="2" t="s">
        <v>59</v>
      </c>
      <c r="W2505" s="2">
        <v>46.9</v>
      </c>
      <c r="X2505" s="2">
        <v>37.6</v>
      </c>
      <c r="Y2505" s="2" t="s">
        <v>141</v>
      </c>
      <c r="Z2505" s="2" t="s">
        <v>16749</v>
      </c>
      <c r="AA2505" s="2">
        <v>-0.57470716202014804</v>
      </c>
      <c r="AB2505" s="2">
        <v>0.32148980399654797</v>
      </c>
      <c r="AC2505" s="2">
        <v>35960.560641684999</v>
      </c>
      <c r="AD2505" s="2">
        <v>28766.454168056702</v>
      </c>
      <c r="AE2505" s="2">
        <v>35045.6916140096</v>
      </c>
      <c r="AF2505" s="2">
        <v>37474.652097449703</v>
      </c>
      <c r="AG2505" s="2">
        <v>36420.702661762603</v>
      </c>
      <c r="AH2505" s="2">
        <v>36079.304352262203</v>
      </c>
      <c r="AI2505" s="2">
        <v>35011.748557829902</v>
      </c>
      <c r="AJ2505" s="2">
        <v>35731.264566796199</v>
      </c>
      <c r="AK2505" s="2">
        <v>25636.3325805967</v>
      </c>
      <c r="AL2505" s="2">
        <v>28191.7858537795</v>
      </c>
      <c r="AM2505" s="2">
        <v>30668.2562565843</v>
      </c>
      <c r="AN2505" s="2">
        <v>29173.742271338899</v>
      </c>
      <c r="AO2505" s="2">
        <v>29846.211753298299</v>
      </c>
      <c r="AP2505" s="2">
        <v>29082.3962927424</v>
      </c>
    </row>
    <row r="2506" spans="1:42" ht="14.5" x14ac:dyDescent="0.35">
      <c r="A2506" s="2" t="s">
        <v>16750</v>
      </c>
      <c r="B2506" s="2">
        <v>353.209038178588</v>
      </c>
      <c r="C2506" s="2">
        <v>10.341383333333299</v>
      </c>
      <c r="D2506" s="2" t="s">
        <v>34</v>
      </c>
      <c r="E2506" s="2" t="s">
        <v>16751</v>
      </c>
      <c r="F2506" s="2">
        <v>3183</v>
      </c>
      <c r="G2506" s="3" t="str">
        <f>HYPERLINK("http://funmeta.oebiotech.com/network/3183", "http://funmeta.oebiotech.com/network/3183")</f>
        <v>http://funmeta.oebiotech.com/network/3183</v>
      </c>
      <c r="H2506" s="2" t="s">
        <v>16752</v>
      </c>
      <c r="I2506" s="2">
        <v>35697</v>
      </c>
      <c r="J2506" s="2" t="s">
        <v>16753</v>
      </c>
      <c r="K2506" s="2">
        <v>72663</v>
      </c>
      <c r="L2506" s="2" t="s">
        <v>16754</v>
      </c>
      <c r="M2506" s="2" t="s">
        <v>4579</v>
      </c>
      <c r="N2506" s="2" t="s">
        <v>4580</v>
      </c>
      <c r="O2506" s="2">
        <v>9966640</v>
      </c>
      <c r="P2506" s="2" t="s">
        <v>16755</v>
      </c>
      <c r="Q2506" s="2" t="s">
        <v>16756</v>
      </c>
      <c r="R2506" s="2" t="s">
        <v>16757</v>
      </c>
      <c r="S2506" s="2" t="s">
        <v>50</v>
      </c>
      <c r="T2506" s="2" t="s">
        <v>229</v>
      </c>
      <c r="U2506" s="2" t="s">
        <v>433</v>
      </c>
      <c r="V2506" s="2" t="s">
        <v>59</v>
      </c>
      <c r="W2506" s="2">
        <v>38</v>
      </c>
      <c r="X2506" s="2">
        <v>0</v>
      </c>
      <c r="Y2506" s="2" t="s">
        <v>340</v>
      </c>
      <c r="Z2506" s="2" t="s">
        <v>2693</v>
      </c>
      <c r="AA2506" s="2">
        <v>0.54266442757855904</v>
      </c>
      <c r="AB2506" s="2">
        <v>0.32140676963435399</v>
      </c>
      <c r="AC2506" s="2">
        <v>5989.47861595825</v>
      </c>
      <c r="AD2506" s="2">
        <v>12976.829536667899</v>
      </c>
      <c r="AE2506" s="2">
        <v>6008.7770414363104</v>
      </c>
      <c r="AF2506" s="2">
        <v>6087.2447814691204</v>
      </c>
      <c r="AG2506" s="2">
        <v>6273.10272448873</v>
      </c>
      <c r="AH2506" s="2">
        <v>5483.2089470672499</v>
      </c>
      <c r="AI2506" s="2">
        <v>6051.9822621945405</v>
      </c>
      <c r="AJ2506" s="2">
        <v>6032.5559390935496</v>
      </c>
      <c r="AK2506" s="2">
        <v>15334.0834188764</v>
      </c>
      <c r="AL2506" s="2">
        <v>11379.875143609601</v>
      </c>
      <c r="AM2506" s="2">
        <v>12895.169229736999</v>
      </c>
      <c r="AN2506" s="2">
        <v>12969.8188533578</v>
      </c>
      <c r="AO2506" s="2">
        <v>13192.226545179101</v>
      </c>
      <c r="AP2506" s="2">
        <v>12089.8040292477</v>
      </c>
    </row>
    <row r="2507" spans="1:42" ht="14.5" x14ac:dyDescent="0.35">
      <c r="A2507" s="2" t="s">
        <v>16758</v>
      </c>
      <c r="B2507" s="2">
        <v>553.24111484705998</v>
      </c>
      <c r="C2507" s="2">
        <v>5.9690166666666702</v>
      </c>
      <c r="D2507" s="2" t="s">
        <v>34</v>
      </c>
      <c r="E2507" s="2" t="s">
        <v>16759</v>
      </c>
      <c r="F2507" s="2">
        <v>208820</v>
      </c>
      <c r="G2507" s="3" t="str">
        <f>HYPERLINK("http://funmeta.oebiotech.com/network/208820", "http://funmeta.oebiotech.com/network/208820")</f>
        <v>http://funmeta.oebiotech.com/network/208820</v>
      </c>
      <c r="H2507" s="2" t="s">
        <v>16760</v>
      </c>
      <c r="I2507" s="2"/>
      <c r="J2507" s="2"/>
      <c r="K2507" s="2"/>
      <c r="L2507" s="2"/>
      <c r="M2507" s="2"/>
      <c r="N2507" s="2"/>
      <c r="O2507" s="2">
        <v>435765</v>
      </c>
      <c r="P2507" s="2"/>
      <c r="Q2507" s="2" t="s">
        <v>16761</v>
      </c>
      <c r="R2507" s="2" t="s">
        <v>16762</v>
      </c>
      <c r="S2507" s="2" t="s">
        <v>50</v>
      </c>
      <c r="T2507" s="2" t="s">
        <v>201</v>
      </c>
      <c r="U2507" s="2" t="s">
        <v>636</v>
      </c>
      <c r="V2507" s="2" t="s">
        <v>42</v>
      </c>
      <c r="W2507" s="2">
        <v>47.4</v>
      </c>
      <c r="X2507" s="2">
        <v>50.7</v>
      </c>
      <c r="Y2507" s="2" t="s">
        <v>323</v>
      </c>
      <c r="Z2507" s="2" t="s">
        <v>16763</v>
      </c>
      <c r="AA2507" s="2">
        <v>0.58721627637023399</v>
      </c>
      <c r="AB2507" s="2">
        <v>0.32120268916484102</v>
      </c>
      <c r="AC2507" s="2">
        <v>140276.430286385</v>
      </c>
      <c r="AD2507" s="2">
        <v>154748.702313085</v>
      </c>
      <c r="AE2507" s="2">
        <v>144762.71283485601</v>
      </c>
      <c r="AF2507" s="2">
        <v>121812.93291236401</v>
      </c>
      <c r="AG2507" s="2">
        <v>146397.997498657</v>
      </c>
      <c r="AH2507" s="2">
        <v>125598.20126948399</v>
      </c>
      <c r="AI2507" s="2">
        <v>130866.17530293801</v>
      </c>
      <c r="AJ2507" s="2">
        <v>172220.56190001301</v>
      </c>
      <c r="AK2507" s="2">
        <v>155213.01538567399</v>
      </c>
      <c r="AL2507" s="2">
        <v>165552.20250064399</v>
      </c>
      <c r="AM2507" s="2">
        <v>159831.08456781699</v>
      </c>
      <c r="AN2507" s="2">
        <v>161886.58075531301</v>
      </c>
      <c r="AO2507" s="2">
        <v>140876.95250945701</v>
      </c>
      <c r="AP2507" s="2">
        <v>145132.378159602</v>
      </c>
    </row>
    <row r="2508" spans="1:42" ht="14.5" x14ac:dyDescent="0.35">
      <c r="A2508" s="2" t="s">
        <v>16764</v>
      </c>
      <c r="B2508" s="2">
        <v>465.15799238696098</v>
      </c>
      <c r="C2508" s="2">
        <v>3.7155666666666698</v>
      </c>
      <c r="D2508" s="2" t="s">
        <v>34</v>
      </c>
      <c r="E2508" s="2" t="s">
        <v>16765</v>
      </c>
      <c r="F2508" s="2">
        <v>64326</v>
      </c>
      <c r="G2508" s="3" t="str">
        <f>HYPERLINK("http://funmeta.oebiotech.com/network/64326", "http://funmeta.oebiotech.com/network/64326")</f>
        <v>http://funmeta.oebiotech.com/network/64326</v>
      </c>
      <c r="H2508" s="2" t="s">
        <v>16766</v>
      </c>
      <c r="I2508" s="2"/>
      <c r="J2508" s="2"/>
      <c r="K2508" s="2"/>
      <c r="L2508" s="2"/>
      <c r="M2508" s="2"/>
      <c r="N2508" s="2"/>
      <c r="O2508" s="2">
        <v>91859160</v>
      </c>
      <c r="P2508" s="2"/>
      <c r="Q2508" s="2" t="s">
        <v>16767</v>
      </c>
      <c r="R2508" s="2" t="s">
        <v>16768</v>
      </c>
      <c r="S2508" s="2" t="s">
        <v>79</v>
      </c>
      <c r="T2508" s="2" t="s">
        <v>80</v>
      </c>
      <c r="U2508" s="2" t="s">
        <v>81</v>
      </c>
      <c r="V2508" s="2" t="s">
        <v>59</v>
      </c>
      <c r="W2508" s="2">
        <v>39.799999999999997</v>
      </c>
      <c r="X2508" s="2">
        <v>5.74</v>
      </c>
      <c r="Y2508" s="2" t="s">
        <v>323</v>
      </c>
      <c r="Z2508" s="2" t="s">
        <v>16769</v>
      </c>
      <c r="AA2508" s="2">
        <v>0.29556727562145702</v>
      </c>
      <c r="AB2508" s="2">
        <v>0.32116962417720102</v>
      </c>
      <c r="AC2508" s="2">
        <v>131429.51240376499</v>
      </c>
      <c r="AD2508" s="2">
        <v>120197.566288955</v>
      </c>
      <c r="AE2508" s="2">
        <v>130373.209068173</v>
      </c>
      <c r="AF2508" s="2">
        <v>134697.01515464601</v>
      </c>
      <c r="AG2508" s="2">
        <v>131926.690013065</v>
      </c>
      <c r="AH2508" s="2">
        <v>127420.464685567</v>
      </c>
      <c r="AI2508" s="2">
        <v>145344.977964522</v>
      </c>
      <c r="AJ2508" s="2">
        <v>118814.717536617</v>
      </c>
      <c r="AK2508" s="2">
        <v>113235.723711403</v>
      </c>
      <c r="AL2508" s="2">
        <v>112952.11353087101</v>
      </c>
      <c r="AM2508" s="2">
        <v>121988.534009865</v>
      </c>
      <c r="AN2508" s="2">
        <v>130214.93338519</v>
      </c>
      <c r="AO2508" s="2">
        <v>125158.12680542099</v>
      </c>
      <c r="AP2508" s="2">
        <v>117635.966290977</v>
      </c>
    </row>
    <row r="2509" spans="1:42" ht="14.5" x14ac:dyDescent="0.35">
      <c r="A2509" s="2" t="s">
        <v>16770</v>
      </c>
      <c r="B2509" s="2">
        <v>528.22561045834505</v>
      </c>
      <c r="C2509" s="2">
        <v>4.3632666666666697</v>
      </c>
      <c r="D2509" s="2" t="s">
        <v>34</v>
      </c>
      <c r="E2509" s="2" t="s">
        <v>16771</v>
      </c>
      <c r="F2509" s="2">
        <v>208129</v>
      </c>
      <c r="G2509" s="3" t="str">
        <f>HYPERLINK("http://funmeta.oebiotech.com/network/208129", "http://funmeta.oebiotech.com/network/208129")</f>
        <v>http://funmeta.oebiotech.com/network/208129</v>
      </c>
      <c r="H2509" s="2" t="s">
        <v>16772</v>
      </c>
      <c r="I2509" s="2"/>
      <c r="J2509" s="2"/>
      <c r="K2509" s="2"/>
      <c r="L2509" s="2"/>
      <c r="M2509" s="2"/>
      <c r="N2509" s="2"/>
      <c r="O2509" s="2">
        <v>18755202</v>
      </c>
      <c r="P2509" s="2"/>
      <c r="Q2509" s="2" t="s">
        <v>16773</v>
      </c>
      <c r="R2509" s="2" t="s">
        <v>16774</v>
      </c>
      <c r="S2509" s="2" t="s">
        <v>148</v>
      </c>
      <c r="T2509" s="2" t="s">
        <v>149</v>
      </c>
      <c r="U2509" s="2" t="s">
        <v>2102</v>
      </c>
      <c r="V2509" s="2" t="s">
        <v>59</v>
      </c>
      <c r="W2509" s="2">
        <v>37.700000000000003</v>
      </c>
      <c r="X2509" s="2">
        <v>0</v>
      </c>
      <c r="Y2509" s="2" t="s">
        <v>43</v>
      </c>
      <c r="Z2509" s="2" t="s">
        <v>16775</v>
      </c>
      <c r="AA2509" s="2">
        <v>-1.11475225149739</v>
      </c>
      <c r="AB2509" s="2">
        <v>0.32112795451297399</v>
      </c>
      <c r="AC2509" s="2">
        <v>55296.194673577302</v>
      </c>
      <c r="AD2509" s="2">
        <v>46084.625242659102</v>
      </c>
      <c r="AE2509" s="2">
        <v>55574.560176729901</v>
      </c>
      <c r="AF2509" s="2">
        <v>55294.458965552003</v>
      </c>
      <c r="AG2509" s="2">
        <v>57076.899467928997</v>
      </c>
      <c r="AH2509" s="2">
        <v>53039.814629146102</v>
      </c>
      <c r="AI2509" s="2">
        <v>59753.600512823497</v>
      </c>
      <c r="AJ2509" s="2">
        <v>51037.834289283499</v>
      </c>
      <c r="AK2509" s="2">
        <v>44432.470840904003</v>
      </c>
      <c r="AL2509" s="2">
        <v>39422.4543555813</v>
      </c>
      <c r="AM2509" s="2">
        <v>54440.836700832202</v>
      </c>
      <c r="AN2509" s="2">
        <v>45972.776867268301</v>
      </c>
      <c r="AO2509" s="2">
        <v>41376.377370320799</v>
      </c>
      <c r="AP2509" s="2">
        <v>50862.8353210477</v>
      </c>
    </row>
    <row r="2510" spans="1:42" ht="14.5" x14ac:dyDescent="0.35">
      <c r="A2510" s="2" t="s">
        <v>16776</v>
      </c>
      <c r="B2510" s="2">
        <v>573.21717587814203</v>
      </c>
      <c r="C2510" s="2">
        <v>6.3677999999999999</v>
      </c>
      <c r="D2510" s="2" t="s">
        <v>70</v>
      </c>
      <c r="E2510" s="2" t="s">
        <v>16777</v>
      </c>
      <c r="F2510" s="2">
        <v>47801</v>
      </c>
      <c r="G2510" s="3" t="str">
        <f>HYPERLINK("http://funmeta.oebiotech.com/network/47801", "http://funmeta.oebiotech.com/network/47801")</f>
        <v>http://funmeta.oebiotech.com/network/47801</v>
      </c>
      <c r="H2510" s="2" t="s">
        <v>16778</v>
      </c>
      <c r="I2510" s="2">
        <v>6481</v>
      </c>
      <c r="J2510" s="2"/>
      <c r="K2510" s="2">
        <v>90055</v>
      </c>
      <c r="L2510" s="2"/>
      <c r="M2510" s="2"/>
      <c r="N2510" s="2"/>
      <c r="O2510" s="2">
        <v>126923</v>
      </c>
      <c r="P2510" s="2" t="s">
        <v>16779</v>
      </c>
      <c r="Q2510" s="2" t="s">
        <v>16780</v>
      </c>
      <c r="R2510" s="2" t="s">
        <v>16781</v>
      </c>
      <c r="S2510" s="2" t="s">
        <v>89</v>
      </c>
      <c r="T2510" s="2" t="s">
        <v>90</v>
      </c>
      <c r="U2510" s="2" t="s">
        <v>99</v>
      </c>
      <c r="V2510" s="2" t="s">
        <v>59</v>
      </c>
      <c r="W2510" s="2">
        <v>39.299999999999997</v>
      </c>
      <c r="X2510" s="2">
        <v>0</v>
      </c>
      <c r="Y2510" s="2" t="s">
        <v>560</v>
      </c>
      <c r="Z2510" s="2" t="s">
        <v>16782</v>
      </c>
      <c r="AA2510" s="2">
        <v>1.7097110999507401</v>
      </c>
      <c r="AB2510" s="2">
        <v>0.32111889833555901</v>
      </c>
      <c r="AC2510" s="2">
        <v>10469.498043141701</v>
      </c>
      <c r="AD2510" s="2">
        <v>3479.8017282917099</v>
      </c>
      <c r="AE2510" s="2">
        <v>10773.3339852219</v>
      </c>
      <c r="AF2510" s="2">
        <v>9666.2388671942299</v>
      </c>
      <c r="AG2510" s="2">
        <v>12087.225755223801</v>
      </c>
      <c r="AH2510" s="2">
        <v>11190.2961760655</v>
      </c>
      <c r="AI2510" s="2">
        <v>9280.7094551303799</v>
      </c>
      <c r="AJ2510" s="2">
        <v>9819.1840200141396</v>
      </c>
      <c r="AK2510" s="2">
        <v>4489.7503128216604</v>
      </c>
      <c r="AL2510" s="2">
        <v>4093.07445204953</v>
      </c>
      <c r="AM2510" s="2">
        <v>3170.8044789535102</v>
      </c>
      <c r="AN2510" s="2">
        <v>4437.27839306033</v>
      </c>
      <c r="AO2510" s="2">
        <v>2298.19506479453</v>
      </c>
      <c r="AP2510" s="2">
        <v>2389.70766807068</v>
      </c>
    </row>
    <row r="2511" spans="1:42" ht="14.5" x14ac:dyDescent="0.35">
      <c r="A2511" s="2" t="s">
        <v>16783</v>
      </c>
      <c r="B2511" s="2">
        <v>477.19115060729303</v>
      </c>
      <c r="C2511" s="2">
        <v>4.8327999999999998</v>
      </c>
      <c r="D2511" s="2" t="s">
        <v>34</v>
      </c>
      <c r="E2511" s="2" t="s">
        <v>16784</v>
      </c>
      <c r="F2511" s="2">
        <v>62536</v>
      </c>
      <c r="G2511" s="3" t="str">
        <f>HYPERLINK("http://funmeta.oebiotech.com/network/62536", "http://funmeta.oebiotech.com/network/62536")</f>
        <v>http://funmeta.oebiotech.com/network/62536</v>
      </c>
      <c r="H2511" s="2" t="s">
        <v>16785</v>
      </c>
      <c r="I2511" s="2">
        <v>93839</v>
      </c>
      <c r="J2511" s="2"/>
      <c r="K2511" s="2">
        <v>169309</v>
      </c>
      <c r="L2511" s="2"/>
      <c r="M2511" s="2"/>
      <c r="N2511" s="2"/>
      <c r="O2511" s="2">
        <v>131752589</v>
      </c>
      <c r="P2511" s="2"/>
      <c r="Q2511" s="2" t="s">
        <v>16786</v>
      </c>
      <c r="R2511" s="2" t="s">
        <v>16787</v>
      </c>
      <c r="S2511" s="2" t="s">
        <v>148</v>
      </c>
      <c r="T2511" s="2" t="s">
        <v>149</v>
      </c>
      <c r="U2511" s="2" t="s">
        <v>1593</v>
      </c>
      <c r="V2511" s="2" t="s">
        <v>59</v>
      </c>
      <c r="W2511" s="2">
        <v>37.299999999999997</v>
      </c>
      <c r="X2511" s="2">
        <v>0</v>
      </c>
      <c r="Y2511" s="2" t="s">
        <v>266</v>
      </c>
      <c r="Z2511" s="2" t="s">
        <v>16788</v>
      </c>
      <c r="AA2511" s="2">
        <v>0.77898627500598905</v>
      </c>
      <c r="AB2511" s="2">
        <v>0.32108151590839801</v>
      </c>
      <c r="AC2511" s="2">
        <v>11519.903700226399</v>
      </c>
      <c r="AD2511" s="2">
        <v>20109.454662054701</v>
      </c>
      <c r="AE2511" s="2">
        <v>12248.474230673801</v>
      </c>
      <c r="AF2511" s="2">
        <v>15479.8598488922</v>
      </c>
      <c r="AG2511" s="2">
        <v>6838.01478437077</v>
      </c>
      <c r="AH2511" s="2">
        <v>9858.2839028336693</v>
      </c>
      <c r="AI2511" s="2">
        <v>11871.283735479699</v>
      </c>
      <c r="AJ2511" s="2">
        <v>12823.5056991081</v>
      </c>
      <c r="AK2511" s="2">
        <v>25677.5529669977</v>
      </c>
      <c r="AL2511" s="2">
        <v>24543.9450823265</v>
      </c>
      <c r="AM2511" s="2">
        <v>17642.551744450699</v>
      </c>
      <c r="AN2511" s="2">
        <v>19262.031474592699</v>
      </c>
      <c r="AO2511" s="2">
        <v>19056.828741971702</v>
      </c>
      <c r="AP2511" s="2">
        <v>14473.817961989</v>
      </c>
    </row>
    <row r="2512" spans="1:42" ht="14.5" x14ac:dyDescent="0.35">
      <c r="A2512" s="2" t="s">
        <v>16789</v>
      </c>
      <c r="B2512" s="2">
        <v>615.35151496235005</v>
      </c>
      <c r="C2512" s="2">
        <v>10.60355</v>
      </c>
      <c r="D2512" s="2" t="s">
        <v>34</v>
      </c>
      <c r="E2512" s="2" t="s">
        <v>16790</v>
      </c>
      <c r="F2512" s="2">
        <v>44</v>
      </c>
      <c r="G2512" s="3" t="str">
        <f>HYPERLINK("http://funmeta.oebiotech.com/network/44", "http://funmeta.oebiotech.com/network/44")</f>
        <v>http://funmeta.oebiotech.com/network/44</v>
      </c>
      <c r="H2512" s="2"/>
      <c r="I2512" s="2"/>
      <c r="J2512" s="2" t="s">
        <v>16791</v>
      </c>
      <c r="K2512" s="2"/>
      <c r="L2512" s="2"/>
      <c r="M2512" s="2"/>
      <c r="N2512" s="2"/>
      <c r="O2512" s="2">
        <v>45782747</v>
      </c>
      <c r="P2512" s="2"/>
      <c r="Q2512" s="2" t="s">
        <v>16792</v>
      </c>
      <c r="R2512" s="2" t="s">
        <v>16793</v>
      </c>
      <c r="S2512" s="2" t="s">
        <v>89</v>
      </c>
      <c r="T2512" s="2" t="s">
        <v>90</v>
      </c>
      <c r="U2512" s="2" t="s">
        <v>91</v>
      </c>
      <c r="V2512" s="2" t="s">
        <v>59</v>
      </c>
      <c r="W2512" s="2">
        <v>38.299999999999997</v>
      </c>
      <c r="X2512" s="2">
        <v>0</v>
      </c>
      <c r="Y2512" s="2" t="s">
        <v>340</v>
      </c>
      <c r="Z2512" s="2" t="s">
        <v>16794</v>
      </c>
      <c r="AA2512" s="2">
        <v>1.75036949307948</v>
      </c>
      <c r="AB2512" s="2">
        <v>0.32087477080833898</v>
      </c>
      <c r="AC2512" s="2">
        <v>17495.082279228402</v>
      </c>
      <c r="AD2512" s="2">
        <v>25474.491316234598</v>
      </c>
      <c r="AE2512" s="2">
        <v>18183.5813732266</v>
      </c>
      <c r="AF2512" s="2">
        <v>18018.518760724499</v>
      </c>
      <c r="AG2512" s="2">
        <v>17032.314188352899</v>
      </c>
      <c r="AH2512" s="2">
        <v>17218.366572321898</v>
      </c>
      <c r="AI2512" s="2">
        <v>16076.506582689701</v>
      </c>
      <c r="AJ2512" s="2">
        <v>18441.206198054701</v>
      </c>
      <c r="AK2512" s="2">
        <v>29813.7581093933</v>
      </c>
      <c r="AL2512" s="2">
        <v>28009.169059797299</v>
      </c>
      <c r="AM2512" s="2">
        <v>23148.595190702399</v>
      </c>
      <c r="AN2512" s="2">
        <v>21493.110440244898</v>
      </c>
      <c r="AO2512" s="2">
        <v>28447.3033569242</v>
      </c>
      <c r="AP2512" s="2">
        <v>21935.0117403453</v>
      </c>
    </row>
    <row r="2513" spans="1:42" ht="14.5" x14ac:dyDescent="0.35">
      <c r="A2513" s="2" t="s">
        <v>16795</v>
      </c>
      <c r="B2513" s="2">
        <v>799.21939852798596</v>
      </c>
      <c r="C2513" s="2">
        <v>4.7186333333333303</v>
      </c>
      <c r="D2513" s="2" t="s">
        <v>34</v>
      </c>
      <c r="E2513" s="2" t="s">
        <v>16796</v>
      </c>
      <c r="F2513" s="2">
        <v>32108</v>
      </c>
      <c r="G2513" s="3" t="str">
        <f>HYPERLINK("http://funmeta.oebiotech.com/network/32108", "http://funmeta.oebiotech.com/network/32108")</f>
        <v>http://funmeta.oebiotech.com/network/32108</v>
      </c>
      <c r="H2513" s="2"/>
      <c r="I2513" s="2">
        <v>50437</v>
      </c>
      <c r="J2513" s="2" t="s">
        <v>16797</v>
      </c>
      <c r="K2513" s="2"/>
      <c r="L2513" s="2"/>
      <c r="M2513" s="2"/>
      <c r="N2513" s="2"/>
      <c r="O2513" s="2">
        <v>10327790</v>
      </c>
      <c r="P2513" s="2"/>
      <c r="Q2513" s="2" t="s">
        <v>16798</v>
      </c>
      <c r="R2513" s="2" t="s">
        <v>16799</v>
      </c>
      <c r="S2513" s="2" t="s">
        <v>115</v>
      </c>
      <c r="T2513" s="2" t="s">
        <v>139</v>
      </c>
      <c r="U2513" s="2" t="s">
        <v>140</v>
      </c>
      <c r="V2513" s="2" t="s">
        <v>59</v>
      </c>
      <c r="W2513" s="2">
        <v>36.4</v>
      </c>
      <c r="X2513" s="2">
        <v>0</v>
      </c>
      <c r="Y2513" s="2" t="s">
        <v>340</v>
      </c>
      <c r="Z2513" s="2" t="s">
        <v>16800</v>
      </c>
      <c r="AA2513" s="2">
        <v>-2.11703912463078</v>
      </c>
      <c r="AB2513" s="2">
        <v>0.32085443972899502</v>
      </c>
      <c r="AC2513" s="2">
        <v>23548.036564706301</v>
      </c>
      <c r="AD2513" s="2">
        <v>14611.637605526999</v>
      </c>
      <c r="AE2513" s="2">
        <v>21852.924949918601</v>
      </c>
      <c r="AF2513" s="2">
        <v>21938.8150477407</v>
      </c>
      <c r="AG2513" s="2">
        <v>19523.217225138102</v>
      </c>
      <c r="AH2513" s="2">
        <v>24983.724126621299</v>
      </c>
      <c r="AI2513" s="2">
        <v>30193.734078569902</v>
      </c>
      <c r="AJ2513" s="2">
        <v>22795.803960249199</v>
      </c>
      <c r="AK2513" s="2">
        <v>14620.0921706353</v>
      </c>
      <c r="AL2513" s="2">
        <v>11871.1219940834</v>
      </c>
      <c r="AM2513" s="2">
        <v>21341.050903081399</v>
      </c>
      <c r="AN2513" s="2">
        <v>17607.281652383401</v>
      </c>
      <c r="AO2513" s="2">
        <v>13452.192134286601</v>
      </c>
      <c r="AP2513" s="2">
        <v>8778.0867786917206</v>
      </c>
    </row>
    <row r="2514" spans="1:42" ht="14.5" x14ac:dyDescent="0.35">
      <c r="A2514" s="2" t="s">
        <v>16801</v>
      </c>
      <c r="B2514" s="2">
        <v>443.242019073302</v>
      </c>
      <c r="C2514" s="2">
        <v>11.561633333333299</v>
      </c>
      <c r="D2514" s="2" t="s">
        <v>34</v>
      </c>
      <c r="E2514" s="2" t="s">
        <v>16802</v>
      </c>
      <c r="F2514" s="2">
        <v>44702</v>
      </c>
      <c r="G2514" s="3" t="str">
        <f>HYPERLINK("http://funmeta.oebiotech.com/network/44702", "http://funmeta.oebiotech.com/network/44702")</f>
        <v>http://funmeta.oebiotech.com/network/44702</v>
      </c>
      <c r="H2514" s="2"/>
      <c r="I2514" s="2"/>
      <c r="J2514" s="2" t="s">
        <v>16803</v>
      </c>
      <c r="K2514" s="2">
        <v>37417</v>
      </c>
      <c r="L2514" s="2"/>
      <c r="M2514" s="2"/>
      <c r="N2514" s="2"/>
      <c r="O2514" s="2">
        <v>52931494</v>
      </c>
      <c r="P2514" s="2"/>
      <c r="Q2514" s="2" t="s">
        <v>16804</v>
      </c>
      <c r="R2514" s="2" t="s">
        <v>16805</v>
      </c>
      <c r="S2514" s="2" t="s">
        <v>50</v>
      </c>
      <c r="T2514" s="2" t="s">
        <v>124</v>
      </c>
      <c r="U2514" s="2" t="s">
        <v>567</v>
      </c>
      <c r="V2514" s="2" t="s">
        <v>42</v>
      </c>
      <c r="W2514" s="2">
        <v>47.9</v>
      </c>
      <c r="X2514" s="2">
        <v>50.7</v>
      </c>
      <c r="Y2514" s="2" t="s">
        <v>394</v>
      </c>
      <c r="Z2514" s="2" t="s">
        <v>16806</v>
      </c>
      <c r="AA2514" s="2">
        <v>-1.8003221546263</v>
      </c>
      <c r="AB2514" s="2">
        <v>0.32083455050952803</v>
      </c>
      <c r="AC2514" s="2">
        <v>31926.342372978801</v>
      </c>
      <c r="AD2514" s="2">
        <v>24772.030199799901</v>
      </c>
      <c r="AE2514" s="2">
        <v>31887.9603043469</v>
      </c>
      <c r="AF2514" s="2">
        <v>30662.629836006799</v>
      </c>
      <c r="AG2514" s="2">
        <v>31663.522787893198</v>
      </c>
      <c r="AH2514" s="2">
        <v>32408.372262732701</v>
      </c>
      <c r="AI2514" s="2">
        <v>32154.768623050899</v>
      </c>
      <c r="AJ2514" s="2">
        <v>32780.800423842498</v>
      </c>
      <c r="AK2514" s="2">
        <v>23345.210505071798</v>
      </c>
      <c r="AL2514" s="2">
        <v>27464.1914913728</v>
      </c>
      <c r="AM2514" s="2">
        <v>24128.812992712501</v>
      </c>
      <c r="AN2514" s="2">
        <v>22471.652523004501</v>
      </c>
      <c r="AO2514" s="2">
        <v>25221.590902764499</v>
      </c>
      <c r="AP2514" s="2">
        <v>26000.722783873</v>
      </c>
    </row>
    <row r="2515" spans="1:42" ht="14.5" x14ac:dyDescent="0.35">
      <c r="A2515" s="2" t="s">
        <v>16807</v>
      </c>
      <c r="B2515" s="2">
        <v>283.20547879008501</v>
      </c>
      <c r="C2515" s="2">
        <v>9.9973333333333301</v>
      </c>
      <c r="D2515" s="2" t="s">
        <v>34</v>
      </c>
      <c r="E2515" s="2" t="s">
        <v>16808</v>
      </c>
      <c r="F2515" s="2">
        <v>1120</v>
      </c>
      <c r="G2515" s="3" t="str">
        <f>HYPERLINK("http://funmeta.oebiotech.com/network/1120", "http://funmeta.oebiotech.com/network/1120")</f>
        <v>http://funmeta.oebiotech.com/network/1120</v>
      </c>
      <c r="H2515" s="2"/>
      <c r="I2515" s="2">
        <v>74293</v>
      </c>
      <c r="J2515" s="2" t="s">
        <v>16809</v>
      </c>
      <c r="K2515" s="2"/>
      <c r="L2515" s="2"/>
      <c r="M2515" s="2"/>
      <c r="N2515" s="2"/>
      <c r="O2515" s="2">
        <v>9543604</v>
      </c>
      <c r="P2515" s="2"/>
      <c r="Q2515" s="2" t="s">
        <v>16810</v>
      </c>
      <c r="R2515" s="2" t="s">
        <v>16811</v>
      </c>
      <c r="S2515" s="2" t="s">
        <v>50</v>
      </c>
      <c r="T2515" s="2" t="s">
        <v>229</v>
      </c>
      <c r="U2515" s="2" t="s">
        <v>433</v>
      </c>
      <c r="V2515" s="2" t="s">
        <v>42</v>
      </c>
      <c r="W2515" s="2">
        <v>47.7</v>
      </c>
      <c r="X2515" s="2">
        <v>45.1</v>
      </c>
      <c r="Y2515" s="2" t="s">
        <v>141</v>
      </c>
      <c r="Z2515" s="2" t="s">
        <v>8502</v>
      </c>
      <c r="AA2515" s="2">
        <v>-0.543278293145953</v>
      </c>
      <c r="AB2515" s="2">
        <v>0.32078093837704202</v>
      </c>
      <c r="AC2515" s="2">
        <v>38774.5376494714</v>
      </c>
      <c r="AD2515" s="2">
        <v>31822.606478544702</v>
      </c>
      <c r="AE2515" s="2">
        <v>39995.1183870514</v>
      </c>
      <c r="AF2515" s="2">
        <v>39605.577323254904</v>
      </c>
      <c r="AG2515" s="2">
        <v>38326.917296862302</v>
      </c>
      <c r="AH2515" s="2">
        <v>36993.215099877903</v>
      </c>
      <c r="AI2515" s="2">
        <v>37863.201989475703</v>
      </c>
      <c r="AJ2515" s="2">
        <v>39863.195800306297</v>
      </c>
      <c r="AK2515" s="2">
        <v>31593.549185424199</v>
      </c>
      <c r="AL2515" s="2">
        <v>31849.503303342</v>
      </c>
      <c r="AM2515" s="2">
        <v>31140.909402809499</v>
      </c>
      <c r="AN2515" s="2">
        <v>31697.644483267799</v>
      </c>
      <c r="AO2515" s="2">
        <v>32972.962383815902</v>
      </c>
      <c r="AP2515" s="2">
        <v>31681.0701126085</v>
      </c>
    </row>
    <row r="2516" spans="1:42" ht="14.5" x14ac:dyDescent="0.35">
      <c r="A2516" s="2" t="s">
        <v>16812</v>
      </c>
      <c r="B2516" s="2">
        <v>894.21942959312105</v>
      </c>
      <c r="C2516" s="2">
        <v>3.7118500000000001</v>
      </c>
      <c r="D2516" s="2" t="s">
        <v>70</v>
      </c>
      <c r="E2516" s="2" t="s">
        <v>16813</v>
      </c>
      <c r="F2516" s="2">
        <v>8121</v>
      </c>
      <c r="G2516" s="3" t="str">
        <f>HYPERLINK("http://funmeta.oebiotech.com/network/8121", "http://funmeta.oebiotech.com/network/8121")</f>
        <v>http://funmeta.oebiotech.com/network/8121</v>
      </c>
      <c r="H2516" s="2"/>
      <c r="I2516" s="2"/>
      <c r="J2516" s="2" t="s">
        <v>16814</v>
      </c>
      <c r="K2516" s="2">
        <v>61517</v>
      </c>
      <c r="L2516" s="2"/>
      <c r="M2516" s="2"/>
      <c r="N2516" s="2"/>
      <c r="O2516" s="2">
        <v>50909836</v>
      </c>
      <c r="P2516" s="2"/>
      <c r="Q2516" s="2" t="s">
        <v>16815</v>
      </c>
      <c r="R2516" s="2" t="s">
        <v>16816</v>
      </c>
      <c r="S2516" s="2" t="s">
        <v>50</v>
      </c>
      <c r="T2516" s="2" t="s">
        <v>229</v>
      </c>
      <c r="U2516" s="2" t="s">
        <v>10433</v>
      </c>
      <c r="V2516" s="2" t="s">
        <v>59</v>
      </c>
      <c r="W2516" s="2">
        <v>36.5</v>
      </c>
      <c r="X2516" s="2">
        <v>0</v>
      </c>
      <c r="Y2516" s="2" t="s">
        <v>118</v>
      </c>
      <c r="Z2516" s="2" t="s">
        <v>16817</v>
      </c>
      <c r="AA2516" s="2">
        <v>4.4212021078586101</v>
      </c>
      <c r="AB2516" s="2">
        <v>0.32073812843308203</v>
      </c>
      <c r="AC2516" s="2">
        <v>5957.1985496512898</v>
      </c>
      <c r="AD2516" s="2">
        <v>13011.7580497616</v>
      </c>
      <c r="AE2516" s="2">
        <v>6138.8523886319099</v>
      </c>
      <c r="AF2516" s="2">
        <v>5486.0441398755002</v>
      </c>
      <c r="AG2516" s="2">
        <v>5050.8118213377002</v>
      </c>
      <c r="AH2516" s="2">
        <v>5048.8270862129202</v>
      </c>
      <c r="AI2516" s="2">
        <v>7840.7205947104103</v>
      </c>
      <c r="AJ2516" s="2">
        <v>6177.9352671392799</v>
      </c>
      <c r="AK2516" s="2">
        <v>11193.750875857801</v>
      </c>
      <c r="AL2516" s="2">
        <v>14149.9580835419</v>
      </c>
      <c r="AM2516" s="2">
        <v>13452.547734285299</v>
      </c>
      <c r="AN2516" s="2">
        <v>14071.8827573257</v>
      </c>
      <c r="AO2516" s="2">
        <v>11315.7092637593</v>
      </c>
      <c r="AP2516" s="2">
        <v>13886.6995837996</v>
      </c>
    </row>
    <row r="2517" spans="1:42" ht="14.5" x14ac:dyDescent="0.35">
      <c r="A2517" s="2" t="s">
        <v>16818</v>
      </c>
      <c r="B2517" s="2">
        <v>631.24233785699505</v>
      </c>
      <c r="C2517" s="2">
        <v>10.2578333333333</v>
      </c>
      <c r="D2517" s="2" t="s">
        <v>70</v>
      </c>
      <c r="E2517" s="2" t="s">
        <v>16819</v>
      </c>
      <c r="F2517" s="2">
        <v>204786</v>
      </c>
      <c r="G2517" s="3" t="str">
        <f>HYPERLINK("http://funmeta.oebiotech.com/network/204786", "http://funmeta.oebiotech.com/network/204786")</f>
        <v>http://funmeta.oebiotech.com/network/204786</v>
      </c>
      <c r="H2517" s="2" t="s">
        <v>16820</v>
      </c>
      <c r="I2517" s="2"/>
      <c r="J2517" s="2"/>
      <c r="K2517" s="2"/>
      <c r="L2517" s="2"/>
      <c r="M2517" s="2"/>
      <c r="N2517" s="2"/>
      <c r="O2517" s="2">
        <v>72297286</v>
      </c>
      <c r="P2517" s="2"/>
      <c r="Q2517" s="2" t="s">
        <v>16821</v>
      </c>
      <c r="R2517" s="2" t="s">
        <v>16822</v>
      </c>
      <c r="S2517" s="2" t="s">
        <v>41</v>
      </c>
      <c r="T2517" s="2" t="s">
        <v>41</v>
      </c>
      <c r="U2517" s="2" t="s">
        <v>41</v>
      </c>
      <c r="V2517" s="2" t="s">
        <v>59</v>
      </c>
      <c r="W2517" s="2">
        <v>38.9</v>
      </c>
      <c r="X2517" s="2">
        <v>0</v>
      </c>
      <c r="Y2517" s="2" t="s">
        <v>751</v>
      </c>
      <c r="Z2517" s="2" t="s">
        <v>16823</v>
      </c>
      <c r="AA2517" s="2">
        <v>2.1307570916991798</v>
      </c>
      <c r="AB2517" s="2">
        <v>0.32049524051331801</v>
      </c>
      <c r="AC2517" s="2">
        <v>14117.113251053999</v>
      </c>
      <c r="AD2517" s="2">
        <v>6987.1951276741202</v>
      </c>
      <c r="AE2517" s="2">
        <v>16384.571788330399</v>
      </c>
      <c r="AF2517" s="2">
        <v>14759.3457839851</v>
      </c>
      <c r="AG2517" s="2">
        <v>13738.6506062309</v>
      </c>
      <c r="AH2517" s="2">
        <v>14758.7257844793</v>
      </c>
      <c r="AI2517" s="2">
        <v>12310.396858714999</v>
      </c>
      <c r="AJ2517" s="2">
        <v>12750.988684583501</v>
      </c>
      <c r="AK2517" s="2">
        <v>4710.65978646644</v>
      </c>
      <c r="AL2517" s="2">
        <v>8223.0798775812109</v>
      </c>
      <c r="AM2517" s="2">
        <v>7815.02965665189</v>
      </c>
      <c r="AN2517" s="2">
        <v>7629.7331409613598</v>
      </c>
      <c r="AO2517" s="2">
        <v>6442.1980778191501</v>
      </c>
      <c r="AP2517" s="2">
        <v>7102.4702265646501</v>
      </c>
    </row>
    <row r="2518" spans="1:42" ht="14.5" x14ac:dyDescent="0.35">
      <c r="A2518" s="2" t="s">
        <v>16824</v>
      </c>
      <c r="B2518" s="2">
        <v>389.15918371122001</v>
      </c>
      <c r="C2518" s="2">
        <v>5.7384500000000003</v>
      </c>
      <c r="D2518" s="2" t="s">
        <v>34</v>
      </c>
      <c r="E2518" s="2" t="s">
        <v>16825</v>
      </c>
      <c r="F2518" s="2">
        <v>276139</v>
      </c>
      <c r="G2518" s="3" t="str">
        <f>HYPERLINK("http://funmeta.oebiotech.com/network/276139", "http://funmeta.oebiotech.com/network/276139")</f>
        <v>http://funmeta.oebiotech.com/network/276139</v>
      </c>
      <c r="H2518" s="2"/>
      <c r="I2518" s="2">
        <v>67598</v>
      </c>
      <c r="J2518" s="2"/>
      <c r="K2518" s="2"/>
      <c r="L2518" s="2" t="s">
        <v>16826</v>
      </c>
      <c r="M2518" s="2"/>
      <c r="N2518" s="2"/>
      <c r="O2518" s="2">
        <v>442151</v>
      </c>
      <c r="P2518" s="2" t="s">
        <v>16827</v>
      </c>
      <c r="Q2518" s="2" t="s">
        <v>16828</v>
      </c>
      <c r="R2518" s="2" t="s">
        <v>16829</v>
      </c>
      <c r="S2518" s="2" t="s">
        <v>115</v>
      </c>
      <c r="T2518" s="2" t="s">
        <v>758</v>
      </c>
      <c r="U2518" s="2" t="s">
        <v>6655</v>
      </c>
      <c r="V2518" s="2" t="s">
        <v>59</v>
      </c>
      <c r="W2518" s="2">
        <v>38.4</v>
      </c>
      <c r="X2518" s="2">
        <v>0</v>
      </c>
      <c r="Y2518" s="2" t="s">
        <v>266</v>
      </c>
      <c r="Z2518" s="2" t="s">
        <v>8767</v>
      </c>
      <c r="AA2518" s="2">
        <v>-0.76214273215817896</v>
      </c>
      <c r="AB2518" s="2">
        <v>0.32046395528083099</v>
      </c>
      <c r="AC2518" s="2">
        <v>49607.268899371098</v>
      </c>
      <c r="AD2518" s="2">
        <v>58456.198692771402</v>
      </c>
      <c r="AE2518" s="2">
        <v>46958.144037459198</v>
      </c>
      <c r="AF2518" s="2">
        <v>46106.841748399696</v>
      </c>
      <c r="AG2518" s="2">
        <v>49981.530662419202</v>
      </c>
      <c r="AH2518" s="2">
        <v>52316.848220362197</v>
      </c>
      <c r="AI2518" s="2">
        <v>51531.581145248099</v>
      </c>
      <c r="AJ2518" s="2">
        <v>50748.667582338298</v>
      </c>
      <c r="AK2518" s="2">
        <v>59986.889545127102</v>
      </c>
      <c r="AL2518" s="2">
        <v>61979.200037353701</v>
      </c>
      <c r="AM2518" s="2">
        <v>65509.347035956896</v>
      </c>
      <c r="AN2518" s="2">
        <v>52458.538855104001</v>
      </c>
      <c r="AO2518" s="2">
        <v>58648.639389841803</v>
      </c>
      <c r="AP2518" s="2">
        <v>52154.5772932451</v>
      </c>
    </row>
    <row r="2519" spans="1:42" ht="14.5" x14ac:dyDescent="0.35">
      <c r="A2519" s="2" t="s">
        <v>16830</v>
      </c>
      <c r="B2519" s="2">
        <v>441.20981080888703</v>
      </c>
      <c r="C2519" s="2">
        <v>4.8488333333333298</v>
      </c>
      <c r="D2519" s="2" t="s">
        <v>34</v>
      </c>
      <c r="E2519" s="2" t="s">
        <v>16831</v>
      </c>
      <c r="F2519" s="2">
        <v>55223</v>
      </c>
      <c r="G2519" s="3" t="str">
        <f>HYPERLINK("http://funmeta.oebiotech.com/network/55223", "http://funmeta.oebiotech.com/network/55223")</f>
        <v>http://funmeta.oebiotech.com/network/55223</v>
      </c>
      <c r="H2519" s="2" t="s">
        <v>16832</v>
      </c>
      <c r="I2519" s="2">
        <v>86951</v>
      </c>
      <c r="J2519" s="2"/>
      <c r="K2519" s="2">
        <v>168656</v>
      </c>
      <c r="L2519" s="2"/>
      <c r="M2519" s="2"/>
      <c r="N2519" s="2"/>
      <c r="O2519" s="2">
        <v>131751013</v>
      </c>
      <c r="P2519" s="2" t="s">
        <v>16833</v>
      </c>
      <c r="Q2519" s="2" t="s">
        <v>16834</v>
      </c>
      <c r="R2519" s="2" t="s">
        <v>16835</v>
      </c>
      <c r="S2519" s="2" t="s">
        <v>89</v>
      </c>
      <c r="T2519" s="2" t="s">
        <v>90</v>
      </c>
      <c r="U2519" s="2" t="s">
        <v>99</v>
      </c>
      <c r="V2519" s="2" t="s">
        <v>59</v>
      </c>
      <c r="W2519" s="2">
        <v>38.200000000000003</v>
      </c>
      <c r="X2519" s="2">
        <v>0</v>
      </c>
      <c r="Y2519" s="2" t="s">
        <v>340</v>
      </c>
      <c r="Z2519" s="2" t="s">
        <v>16836</v>
      </c>
      <c r="AA2519" s="2">
        <v>-2.9387306787140601</v>
      </c>
      <c r="AB2519" s="2">
        <v>0.32045661435957601</v>
      </c>
      <c r="AC2519" s="2">
        <v>47190.022065631303</v>
      </c>
      <c r="AD2519" s="2">
        <v>55410.243218982301</v>
      </c>
      <c r="AE2519" s="2">
        <v>46743.331257051701</v>
      </c>
      <c r="AF2519" s="2">
        <v>51105.203535913199</v>
      </c>
      <c r="AG2519" s="2">
        <v>46966.104562463101</v>
      </c>
      <c r="AH2519" s="2">
        <v>42204.613766576498</v>
      </c>
      <c r="AI2519" s="2">
        <v>47609.794856926601</v>
      </c>
      <c r="AJ2519" s="2">
        <v>48511.084414856603</v>
      </c>
      <c r="AK2519" s="2">
        <v>60017.061490626496</v>
      </c>
      <c r="AL2519" s="2">
        <v>51451.502936214703</v>
      </c>
      <c r="AM2519" s="2">
        <v>54771.131891226898</v>
      </c>
      <c r="AN2519" s="2">
        <v>52124.200621980897</v>
      </c>
      <c r="AO2519" s="2">
        <v>58083.697139621101</v>
      </c>
      <c r="AP2519" s="2">
        <v>56013.8652342239</v>
      </c>
    </row>
    <row r="2520" spans="1:42" ht="14.5" x14ac:dyDescent="0.35">
      <c r="A2520" s="2" t="s">
        <v>16837</v>
      </c>
      <c r="B2520" s="2">
        <v>297.28956848097101</v>
      </c>
      <c r="C2520" s="2">
        <v>12.1323166666667</v>
      </c>
      <c r="D2520" s="2" t="s">
        <v>34</v>
      </c>
      <c r="E2520" s="2" t="s">
        <v>16838</v>
      </c>
      <c r="F2520" s="2">
        <v>8571</v>
      </c>
      <c r="G2520" s="3" t="str">
        <f>HYPERLINK("http://funmeta.oebiotech.com/network/8571", "http://funmeta.oebiotech.com/network/8571")</f>
        <v>http://funmeta.oebiotech.com/network/8571</v>
      </c>
      <c r="H2520" s="2" t="s">
        <v>16839</v>
      </c>
      <c r="I2520" s="2">
        <v>43435</v>
      </c>
      <c r="J2520" s="2" t="s">
        <v>16840</v>
      </c>
      <c r="K2520" s="2">
        <v>82984</v>
      </c>
      <c r="L2520" s="2"/>
      <c r="M2520" s="2"/>
      <c r="N2520" s="2"/>
      <c r="O2520" s="2">
        <v>6435901</v>
      </c>
      <c r="P2520" s="2" t="s">
        <v>16841</v>
      </c>
      <c r="Q2520" s="2" t="s">
        <v>16842</v>
      </c>
      <c r="R2520" s="2" t="s">
        <v>16843</v>
      </c>
      <c r="S2520" s="2" t="s">
        <v>50</v>
      </c>
      <c r="T2520" s="2" t="s">
        <v>229</v>
      </c>
      <c r="U2520" s="2" t="s">
        <v>645</v>
      </c>
      <c r="V2520" s="2" t="s">
        <v>59</v>
      </c>
      <c r="W2520" s="2">
        <v>39.799999999999997</v>
      </c>
      <c r="X2520" s="2">
        <v>3.47</v>
      </c>
      <c r="Y2520" s="2" t="s">
        <v>43</v>
      </c>
      <c r="Z2520" s="2" t="s">
        <v>16844</v>
      </c>
      <c r="AA2520" s="2">
        <v>-1.68924333193251</v>
      </c>
      <c r="AB2520" s="2">
        <v>0.32036535349350698</v>
      </c>
      <c r="AC2520" s="2">
        <v>408844.802408182</v>
      </c>
      <c r="AD2520" s="2">
        <v>448701.60175809998</v>
      </c>
      <c r="AE2520" s="2">
        <v>494257.57330148597</v>
      </c>
      <c r="AF2520" s="2">
        <v>318814.32653775899</v>
      </c>
      <c r="AG2520" s="2">
        <v>352342.68848634599</v>
      </c>
      <c r="AH2520" s="2">
        <v>464934.48196645197</v>
      </c>
      <c r="AI2520" s="2">
        <v>474831.43651725701</v>
      </c>
      <c r="AJ2520" s="2">
        <v>347888.30763979</v>
      </c>
      <c r="AK2520" s="2">
        <v>288788.0359741</v>
      </c>
      <c r="AL2520" s="2">
        <v>687410.67374117905</v>
      </c>
      <c r="AM2520" s="2">
        <v>417156.10142281197</v>
      </c>
      <c r="AN2520" s="2">
        <v>628087.92308377405</v>
      </c>
      <c r="AO2520" s="2">
        <v>349392.63403216499</v>
      </c>
      <c r="AP2520" s="2">
        <v>321374.24229456799</v>
      </c>
    </row>
    <row r="2521" spans="1:42" ht="14.5" x14ac:dyDescent="0.35">
      <c r="A2521" s="2" t="s">
        <v>16845</v>
      </c>
      <c r="B2521" s="2">
        <v>970.61877907450901</v>
      </c>
      <c r="C2521" s="2">
        <v>10.2647666666667</v>
      </c>
      <c r="D2521" s="2" t="s">
        <v>34</v>
      </c>
      <c r="E2521" s="2" t="s">
        <v>16846</v>
      </c>
      <c r="F2521" s="2">
        <v>229022</v>
      </c>
      <c r="G2521" s="3" t="str">
        <f>HYPERLINK("http://funmeta.oebiotech.com/network/229022", "http://funmeta.oebiotech.com/network/229022")</f>
        <v>http://funmeta.oebiotech.com/network/229022</v>
      </c>
      <c r="H2521" s="2" t="s">
        <v>16847</v>
      </c>
      <c r="I2521" s="2"/>
      <c r="J2521" s="2"/>
      <c r="K2521" s="2"/>
      <c r="L2521" s="2"/>
      <c r="M2521" s="2"/>
      <c r="N2521" s="2"/>
      <c r="O2521" s="2"/>
      <c r="P2521" s="2"/>
      <c r="Q2521" s="2" t="s">
        <v>16848</v>
      </c>
      <c r="R2521" s="2" t="s">
        <v>16849</v>
      </c>
      <c r="S2521" s="2" t="s">
        <v>41</v>
      </c>
      <c r="T2521" s="2" t="s">
        <v>41</v>
      </c>
      <c r="U2521" s="2" t="s">
        <v>41</v>
      </c>
      <c r="V2521" s="2" t="s">
        <v>59</v>
      </c>
      <c r="W2521" s="2">
        <v>37.4</v>
      </c>
      <c r="X2521" s="2">
        <v>0</v>
      </c>
      <c r="Y2521" s="2" t="s">
        <v>43</v>
      </c>
      <c r="Z2521" s="2" t="s">
        <v>16850</v>
      </c>
      <c r="AA2521" s="2">
        <v>4.5903983952527696</v>
      </c>
      <c r="AB2521" s="2">
        <v>0.32025882512191001</v>
      </c>
      <c r="AC2521" s="2">
        <v>17314.283900280501</v>
      </c>
      <c r="AD2521" s="2">
        <v>25095.130186457802</v>
      </c>
      <c r="AE2521" s="2">
        <v>18367.802139520401</v>
      </c>
      <c r="AF2521" s="2">
        <v>12433.5631138401</v>
      </c>
      <c r="AG2521" s="2">
        <v>14852.520234785199</v>
      </c>
      <c r="AH2521" s="2">
        <v>22354.2167775813</v>
      </c>
      <c r="AI2521" s="2">
        <v>17771.642140557498</v>
      </c>
      <c r="AJ2521" s="2">
        <v>18105.958995398301</v>
      </c>
      <c r="AK2521" s="2">
        <v>25153.614136201599</v>
      </c>
      <c r="AL2521" s="2">
        <v>24151.101590521401</v>
      </c>
      <c r="AM2521" s="2">
        <v>25150.239069253799</v>
      </c>
      <c r="AN2521" s="2">
        <v>26288.675548209401</v>
      </c>
      <c r="AO2521" s="2">
        <v>26386.180061962499</v>
      </c>
      <c r="AP2521" s="2">
        <v>23440.970712597998</v>
      </c>
    </row>
    <row r="2522" spans="1:42" ht="14.5" x14ac:dyDescent="0.35">
      <c r="A2522" s="2" t="s">
        <v>16851</v>
      </c>
      <c r="B2522" s="2">
        <v>413.21771188069602</v>
      </c>
      <c r="C2522" s="2">
        <v>6.57588333333333</v>
      </c>
      <c r="D2522" s="2" t="s">
        <v>70</v>
      </c>
      <c r="E2522" s="2" t="s">
        <v>16852</v>
      </c>
      <c r="F2522" s="2">
        <v>3641</v>
      </c>
      <c r="G2522" s="3" t="str">
        <f>HYPERLINK("http://funmeta.oebiotech.com/network/3641", "http://funmeta.oebiotech.com/network/3641")</f>
        <v>http://funmeta.oebiotech.com/network/3641</v>
      </c>
      <c r="H2522" s="2" t="s">
        <v>16853</v>
      </c>
      <c r="I2522" s="2">
        <v>3508</v>
      </c>
      <c r="J2522" s="2" t="s">
        <v>16854</v>
      </c>
      <c r="K2522" s="2">
        <v>27647</v>
      </c>
      <c r="L2522" s="2" t="s">
        <v>16855</v>
      </c>
      <c r="M2522" s="2" t="s">
        <v>16856</v>
      </c>
      <c r="N2522" s="2" t="s">
        <v>16857</v>
      </c>
      <c r="O2522" s="2">
        <v>5280883</v>
      </c>
      <c r="P2522" s="2" t="s">
        <v>16858</v>
      </c>
      <c r="Q2522" s="2" t="s">
        <v>16859</v>
      </c>
      <c r="R2522" s="2" t="s">
        <v>16860</v>
      </c>
      <c r="S2522" s="2" t="s">
        <v>50</v>
      </c>
      <c r="T2522" s="2" t="s">
        <v>229</v>
      </c>
      <c r="U2522" s="2" t="s">
        <v>766</v>
      </c>
      <c r="V2522" s="2" t="s">
        <v>59</v>
      </c>
      <c r="W2522" s="2">
        <v>38.4</v>
      </c>
      <c r="X2522" s="2">
        <v>0</v>
      </c>
      <c r="Y2522" s="2" t="s">
        <v>408</v>
      </c>
      <c r="Z2522" s="2" t="s">
        <v>6559</v>
      </c>
      <c r="AA2522" s="2">
        <v>-1.0312666861377</v>
      </c>
      <c r="AB2522" s="2">
        <v>0.31987702782484501</v>
      </c>
      <c r="AC2522" s="2">
        <v>6340.90160187519</v>
      </c>
      <c r="AD2522" s="2">
        <v>13176.125834062699</v>
      </c>
      <c r="AE2522" s="2">
        <v>5643.9364576341504</v>
      </c>
      <c r="AF2522" s="2">
        <v>6984.6219970069396</v>
      </c>
      <c r="AG2522" s="2">
        <v>5651.4562484607504</v>
      </c>
      <c r="AH2522" s="2">
        <v>6012.3723013535</v>
      </c>
      <c r="AI2522" s="2">
        <v>6428.7298998219903</v>
      </c>
      <c r="AJ2522" s="2">
        <v>7324.2927069737998</v>
      </c>
      <c r="AK2522" s="2">
        <v>12898.020678610501</v>
      </c>
      <c r="AL2522" s="2">
        <v>13090.5515244791</v>
      </c>
      <c r="AM2522" s="2">
        <v>12696.3463034054</v>
      </c>
      <c r="AN2522" s="2">
        <v>13607.555157583</v>
      </c>
      <c r="AO2522" s="2">
        <v>12343.796662249801</v>
      </c>
      <c r="AP2522" s="2">
        <v>14420.4846780485</v>
      </c>
    </row>
    <row r="2523" spans="1:42" ht="14.5" x14ac:dyDescent="0.35">
      <c r="A2523" s="2" t="s">
        <v>16861</v>
      </c>
      <c r="B2523" s="2">
        <v>655.33348406567995</v>
      </c>
      <c r="C2523" s="2">
        <v>9.1865500000000004</v>
      </c>
      <c r="D2523" s="2" t="s">
        <v>70</v>
      </c>
      <c r="E2523" s="2" t="s">
        <v>16862</v>
      </c>
      <c r="F2523" s="2">
        <v>45112</v>
      </c>
      <c r="G2523" s="3" t="str">
        <f>HYPERLINK("http://funmeta.oebiotech.com/network/45112", "http://funmeta.oebiotech.com/network/45112")</f>
        <v>http://funmeta.oebiotech.com/network/45112</v>
      </c>
      <c r="H2523" s="2"/>
      <c r="I2523" s="2"/>
      <c r="J2523" s="2" t="s">
        <v>16863</v>
      </c>
      <c r="K2523" s="2"/>
      <c r="L2523" s="2"/>
      <c r="M2523" s="2"/>
      <c r="N2523" s="2"/>
      <c r="O2523" s="2"/>
      <c r="P2523" s="2"/>
      <c r="Q2523" s="2" t="s">
        <v>16864</v>
      </c>
      <c r="R2523" s="2" t="s">
        <v>16865</v>
      </c>
      <c r="S2523" s="2" t="s">
        <v>41</v>
      </c>
      <c r="T2523" s="2" t="s">
        <v>41</v>
      </c>
      <c r="U2523" s="2" t="s">
        <v>41</v>
      </c>
      <c r="V2523" s="2" t="s">
        <v>59</v>
      </c>
      <c r="W2523" s="2">
        <v>39</v>
      </c>
      <c r="X2523" s="2">
        <v>0</v>
      </c>
      <c r="Y2523" s="2" t="s">
        <v>408</v>
      </c>
      <c r="Z2523" s="2" t="s">
        <v>16866</v>
      </c>
      <c r="AA2523" s="2">
        <v>-5.11570925364183E-2</v>
      </c>
      <c r="AB2523" s="2">
        <v>0.31978368563568799</v>
      </c>
      <c r="AC2523" s="2">
        <v>24168.895043181601</v>
      </c>
      <c r="AD2523" s="2">
        <v>31289.495375078201</v>
      </c>
      <c r="AE2523" s="2">
        <v>23090.338431849501</v>
      </c>
      <c r="AF2523" s="2">
        <v>22570.6436664092</v>
      </c>
      <c r="AG2523" s="2">
        <v>26121.350047682899</v>
      </c>
      <c r="AH2523" s="2">
        <v>23188.132292581398</v>
      </c>
      <c r="AI2523" s="2">
        <v>25870.344023009999</v>
      </c>
      <c r="AJ2523" s="2">
        <v>24172.5617975563</v>
      </c>
      <c r="AK2523" s="2">
        <v>29655.775760668701</v>
      </c>
      <c r="AL2523" s="2">
        <v>30399.691205195501</v>
      </c>
      <c r="AM2523" s="2">
        <v>33325.470495094298</v>
      </c>
      <c r="AN2523" s="2">
        <v>31348.925085750401</v>
      </c>
      <c r="AO2523" s="2">
        <v>30613.193893664298</v>
      </c>
      <c r="AP2523" s="2">
        <v>32393.915810095899</v>
      </c>
    </row>
    <row r="2524" spans="1:42" ht="14.5" x14ac:dyDescent="0.35">
      <c r="A2524" s="2" t="s">
        <v>16867</v>
      </c>
      <c r="B2524" s="2">
        <v>329.16566406920901</v>
      </c>
      <c r="C2524" s="2">
        <v>4.7862166666666699</v>
      </c>
      <c r="D2524" s="2" t="s">
        <v>34</v>
      </c>
      <c r="E2524" s="2" t="s">
        <v>16868</v>
      </c>
      <c r="F2524" s="2">
        <v>206433</v>
      </c>
      <c r="G2524" s="3" t="str">
        <f>HYPERLINK("http://funmeta.oebiotech.com/network/206433", "http://funmeta.oebiotech.com/network/206433")</f>
        <v>http://funmeta.oebiotech.com/network/206433</v>
      </c>
      <c r="H2524" s="2" t="s">
        <v>16869</v>
      </c>
      <c r="I2524" s="2"/>
      <c r="J2524" s="2"/>
      <c r="K2524" s="2"/>
      <c r="L2524" s="2"/>
      <c r="M2524" s="2"/>
      <c r="N2524" s="2"/>
      <c r="O2524" s="2">
        <v>121843</v>
      </c>
      <c r="P2524" s="2"/>
      <c r="Q2524" s="2" t="s">
        <v>16870</v>
      </c>
      <c r="R2524" s="2" t="s">
        <v>16871</v>
      </c>
      <c r="S2524" s="2" t="s">
        <v>41</v>
      </c>
      <c r="T2524" s="2" t="s">
        <v>41</v>
      </c>
      <c r="U2524" s="2" t="s">
        <v>41</v>
      </c>
      <c r="V2524" s="2" t="s">
        <v>59</v>
      </c>
      <c r="W2524" s="2">
        <v>37.9</v>
      </c>
      <c r="X2524" s="2">
        <v>0</v>
      </c>
      <c r="Y2524" s="2" t="s">
        <v>67</v>
      </c>
      <c r="Z2524" s="2" t="s">
        <v>16872</v>
      </c>
      <c r="AA2524" s="2">
        <v>-0.97058214392514897</v>
      </c>
      <c r="AB2524" s="2">
        <v>0.31969943449725602</v>
      </c>
      <c r="AC2524" s="2">
        <v>20123.345474691501</v>
      </c>
      <c r="AD2524" s="2">
        <v>27569.582638921602</v>
      </c>
      <c r="AE2524" s="2">
        <v>21460.1691042604</v>
      </c>
      <c r="AF2524" s="2">
        <v>18737.127662011699</v>
      </c>
      <c r="AG2524" s="2">
        <v>17371.687654989499</v>
      </c>
      <c r="AH2524" s="2">
        <v>21649.853576400801</v>
      </c>
      <c r="AI2524" s="2">
        <v>19706.999721207801</v>
      </c>
      <c r="AJ2524" s="2">
        <v>21814.235129278801</v>
      </c>
      <c r="AK2524" s="2">
        <v>30220.718475625901</v>
      </c>
      <c r="AL2524" s="2">
        <v>24775.281616408902</v>
      </c>
      <c r="AM2524" s="2">
        <v>28299.528563828098</v>
      </c>
      <c r="AN2524" s="2">
        <v>26687.398934641598</v>
      </c>
      <c r="AO2524" s="2">
        <v>25928.7343794072</v>
      </c>
      <c r="AP2524" s="2">
        <v>29505.833863617801</v>
      </c>
    </row>
    <row r="2525" spans="1:42" ht="14.5" x14ac:dyDescent="0.35">
      <c r="A2525" s="2" t="s">
        <v>16873</v>
      </c>
      <c r="B2525" s="2">
        <v>551.29947638743897</v>
      </c>
      <c r="C2525" s="2">
        <v>5.5735333333333301</v>
      </c>
      <c r="D2525" s="2" t="s">
        <v>34</v>
      </c>
      <c r="E2525" s="2" t="s">
        <v>16874</v>
      </c>
      <c r="F2525" s="2">
        <v>212140</v>
      </c>
      <c r="G2525" s="3" t="str">
        <f>HYPERLINK("http://funmeta.oebiotech.com/network/212140", "http://funmeta.oebiotech.com/network/212140")</f>
        <v>http://funmeta.oebiotech.com/network/212140</v>
      </c>
      <c r="H2525" s="2" t="s">
        <v>16875</v>
      </c>
      <c r="I2525" s="2"/>
      <c r="J2525" s="2"/>
      <c r="K2525" s="2"/>
      <c r="L2525" s="2"/>
      <c r="M2525" s="2"/>
      <c r="N2525" s="2"/>
      <c r="O2525" s="2">
        <v>66621888</v>
      </c>
      <c r="P2525" s="2"/>
      <c r="Q2525" s="2" t="s">
        <v>16876</v>
      </c>
      <c r="R2525" s="2" t="s">
        <v>16877</v>
      </c>
      <c r="S2525" s="2" t="s">
        <v>41</v>
      </c>
      <c r="T2525" s="2" t="s">
        <v>41</v>
      </c>
      <c r="U2525" s="2" t="s">
        <v>41</v>
      </c>
      <c r="V2525" s="2" t="s">
        <v>59</v>
      </c>
      <c r="W2525" s="2">
        <v>38.6</v>
      </c>
      <c r="X2525" s="2">
        <v>0</v>
      </c>
      <c r="Y2525" s="2" t="s">
        <v>323</v>
      </c>
      <c r="Z2525" s="2" t="s">
        <v>16878</v>
      </c>
      <c r="AA2525" s="2">
        <v>0.40610009776651801</v>
      </c>
      <c r="AB2525" s="2">
        <v>0.31950333209987603</v>
      </c>
      <c r="AC2525" s="2">
        <v>27054.999796767199</v>
      </c>
      <c r="AD2525" s="2">
        <v>17531.209201805799</v>
      </c>
      <c r="AE2525" s="2">
        <v>25413.2258803564</v>
      </c>
      <c r="AF2525" s="2">
        <v>29289.604072898099</v>
      </c>
      <c r="AG2525" s="2">
        <v>20343.879617831601</v>
      </c>
      <c r="AH2525" s="2">
        <v>30213.5957771705</v>
      </c>
      <c r="AI2525" s="2">
        <v>31218.050453710901</v>
      </c>
      <c r="AJ2525" s="2">
        <v>25851.6429786355</v>
      </c>
      <c r="AK2525" s="2">
        <v>20985.021085029501</v>
      </c>
      <c r="AL2525" s="2">
        <v>17130.1650803169</v>
      </c>
      <c r="AM2525" s="2">
        <v>22107.366424818902</v>
      </c>
      <c r="AN2525" s="2">
        <v>20372.5310257442</v>
      </c>
      <c r="AO2525" s="2">
        <v>18943.5260072075</v>
      </c>
      <c r="AP2525" s="2">
        <v>5648.6455877179396</v>
      </c>
    </row>
    <row r="2526" spans="1:42" ht="14.5" x14ac:dyDescent="0.35">
      <c r="A2526" s="2" t="s">
        <v>16879</v>
      </c>
      <c r="B2526" s="2">
        <v>733.24661479330405</v>
      </c>
      <c r="C2526" s="2">
        <v>10.113516666666699</v>
      </c>
      <c r="D2526" s="2" t="s">
        <v>34</v>
      </c>
      <c r="E2526" s="2" t="s">
        <v>16880</v>
      </c>
      <c r="F2526" s="2">
        <v>210078</v>
      </c>
      <c r="G2526" s="3" t="str">
        <f>HYPERLINK("http://funmeta.oebiotech.com/network/210078", "http://funmeta.oebiotech.com/network/210078")</f>
        <v>http://funmeta.oebiotech.com/network/210078</v>
      </c>
      <c r="H2526" s="2" t="s">
        <v>16881</v>
      </c>
      <c r="I2526" s="2"/>
      <c r="J2526" s="2"/>
      <c r="K2526" s="2"/>
      <c r="L2526" s="2"/>
      <c r="M2526" s="2"/>
      <c r="N2526" s="2"/>
      <c r="O2526" s="2">
        <v>155885992</v>
      </c>
      <c r="P2526" s="2"/>
      <c r="Q2526" s="2" t="s">
        <v>16882</v>
      </c>
      <c r="R2526" s="2" t="s">
        <v>16883</v>
      </c>
      <c r="S2526" s="2" t="s">
        <v>41</v>
      </c>
      <c r="T2526" s="2" t="s">
        <v>41</v>
      </c>
      <c r="U2526" s="2" t="s">
        <v>41</v>
      </c>
      <c r="V2526" s="2" t="s">
        <v>59</v>
      </c>
      <c r="W2526" s="2">
        <v>38.799999999999997</v>
      </c>
      <c r="X2526" s="2">
        <v>0</v>
      </c>
      <c r="Y2526" s="2" t="s">
        <v>340</v>
      </c>
      <c r="Z2526" s="2" t="s">
        <v>16884</v>
      </c>
      <c r="AA2526" s="2">
        <v>-1.2960755736880401</v>
      </c>
      <c r="AB2526" s="2">
        <v>0.31946853106331402</v>
      </c>
      <c r="AC2526" s="2">
        <v>14055.9506022976</v>
      </c>
      <c r="AD2526" s="2">
        <v>21256.242669413299</v>
      </c>
      <c r="AE2526" s="2">
        <v>14096.116752509801</v>
      </c>
      <c r="AF2526" s="2">
        <v>14390.0604928501</v>
      </c>
      <c r="AG2526" s="2">
        <v>12894.205799372299</v>
      </c>
      <c r="AH2526" s="2">
        <v>14226.886079850099</v>
      </c>
      <c r="AI2526" s="2">
        <v>14476.6352413232</v>
      </c>
      <c r="AJ2526" s="2">
        <v>14251.799247880401</v>
      </c>
      <c r="AK2526" s="2">
        <v>18547.277856004399</v>
      </c>
      <c r="AL2526" s="2">
        <v>22126.849112609099</v>
      </c>
      <c r="AM2526" s="2">
        <v>22499.1667929129</v>
      </c>
      <c r="AN2526" s="2">
        <v>18546.002015438298</v>
      </c>
      <c r="AO2526" s="2">
        <v>23183.001942574701</v>
      </c>
      <c r="AP2526" s="2">
        <v>22635.158296940201</v>
      </c>
    </row>
    <row r="2527" spans="1:42" ht="14.5" x14ac:dyDescent="0.35">
      <c r="A2527" s="2" t="s">
        <v>16885</v>
      </c>
      <c r="B2527" s="2">
        <v>255.121017349558</v>
      </c>
      <c r="C2527" s="2">
        <v>7.1973833333333301</v>
      </c>
      <c r="D2527" s="2" t="s">
        <v>70</v>
      </c>
      <c r="E2527" s="2" t="s">
        <v>16886</v>
      </c>
      <c r="F2527" s="2">
        <v>61719</v>
      </c>
      <c r="G2527" s="3" t="str">
        <f>HYPERLINK("http://funmeta.oebiotech.com/network/61719", "http://funmeta.oebiotech.com/network/61719")</f>
        <v>http://funmeta.oebiotech.com/network/61719</v>
      </c>
      <c r="H2527" s="2" t="s">
        <v>16887</v>
      </c>
      <c r="I2527" s="2"/>
      <c r="J2527" s="2"/>
      <c r="K2527" s="2"/>
      <c r="L2527" s="2"/>
      <c r="M2527" s="2"/>
      <c r="N2527" s="2"/>
      <c r="O2527" s="2">
        <v>14917396</v>
      </c>
      <c r="P2527" s="2" t="s">
        <v>16888</v>
      </c>
      <c r="Q2527" s="2" t="s">
        <v>16889</v>
      </c>
      <c r="R2527" s="2" t="s">
        <v>16890</v>
      </c>
      <c r="S2527" s="2" t="s">
        <v>115</v>
      </c>
      <c r="T2527" s="2" t="s">
        <v>16891</v>
      </c>
      <c r="U2527" s="2" t="s">
        <v>41</v>
      </c>
      <c r="V2527" s="2" t="s">
        <v>59</v>
      </c>
      <c r="W2527" s="2">
        <v>39.299999999999997</v>
      </c>
      <c r="X2527" s="2">
        <v>0.39100000000000001</v>
      </c>
      <c r="Y2527" s="2" t="s">
        <v>118</v>
      </c>
      <c r="Z2527" s="2" t="s">
        <v>16892</v>
      </c>
      <c r="AA2527" s="2">
        <v>-0.369420364101749</v>
      </c>
      <c r="AB2527" s="2">
        <v>0.31945858440805203</v>
      </c>
      <c r="AC2527" s="2">
        <v>43367.1057691686</v>
      </c>
      <c r="AD2527" s="2">
        <v>51007.544920426997</v>
      </c>
      <c r="AE2527" s="2">
        <v>43510.026896584903</v>
      </c>
      <c r="AF2527" s="2">
        <v>43572.461249383203</v>
      </c>
      <c r="AG2527" s="2">
        <v>42658.349903696799</v>
      </c>
      <c r="AH2527" s="2">
        <v>42545.4932115708</v>
      </c>
      <c r="AI2527" s="2">
        <v>45266.4966849427</v>
      </c>
      <c r="AJ2527" s="2">
        <v>42649.806668833298</v>
      </c>
      <c r="AK2527" s="2">
        <v>53392.162002954901</v>
      </c>
      <c r="AL2527" s="2">
        <v>55275.782993220302</v>
      </c>
      <c r="AM2527" s="2">
        <v>51869.637034133397</v>
      </c>
      <c r="AN2527" s="2">
        <v>48715.941615262498</v>
      </c>
      <c r="AO2527" s="2">
        <v>49747.867348441403</v>
      </c>
      <c r="AP2527" s="2">
        <v>47043.878528549598</v>
      </c>
    </row>
    <row r="2528" spans="1:42" ht="14.5" x14ac:dyDescent="0.35">
      <c r="A2528" s="2" t="s">
        <v>16893</v>
      </c>
      <c r="B2528" s="2">
        <v>337.23833735811701</v>
      </c>
      <c r="C2528" s="2">
        <v>10.24235</v>
      </c>
      <c r="D2528" s="2" t="s">
        <v>70</v>
      </c>
      <c r="E2528" s="2" t="s">
        <v>16894</v>
      </c>
      <c r="F2528" s="2">
        <v>3741</v>
      </c>
      <c r="G2528" s="3" t="str">
        <f>HYPERLINK("http://funmeta.oebiotech.com/network/3741", "http://funmeta.oebiotech.com/network/3741")</f>
        <v>http://funmeta.oebiotech.com/network/3741</v>
      </c>
      <c r="H2528" s="2" t="s">
        <v>16895</v>
      </c>
      <c r="I2528" s="2">
        <v>3503</v>
      </c>
      <c r="J2528" s="2" t="s">
        <v>16896</v>
      </c>
      <c r="K2528" s="2">
        <v>28852</v>
      </c>
      <c r="L2528" s="2" t="s">
        <v>16897</v>
      </c>
      <c r="M2528" s="2"/>
      <c r="N2528" s="2"/>
      <c r="O2528" s="2">
        <v>5280939</v>
      </c>
      <c r="P2528" s="2" t="s">
        <v>16898</v>
      </c>
      <c r="Q2528" s="2" t="s">
        <v>16899</v>
      </c>
      <c r="R2528" s="2" t="s">
        <v>16900</v>
      </c>
      <c r="S2528" s="2" t="s">
        <v>50</v>
      </c>
      <c r="T2528" s="2" t="s">
        <v>229</v>
      </c>
      <c r="U2528" s="2" t="s">
        <v>766</v>
      </c>
      <c r="V2528" s="2" t="s">
        <v>42</v>
      </c>
      <c r="W2528" s="2">
        <v>47.7</v>
      </c>
      <c r="X2528" s="2">
        <v>48.2</v>
      </c>
      <c r="Y2528" s="2" t="s">
        <v>751</v>
      </c>
      <c r="Z2528" s="2" t="s">
        <v>16901</v>
      </c>
      <c r="AA2528" s="2">
        <v>-0.26883513329404601</v>
      </c>
      <c r="AB2528" s="2">
        <v>0.319349209159349</v>
      </c>
      <c r="AC2528" s="2">
        <v>9392.9246988912091</v>
      </c>
      <c r="AD2528" s="2">
        <v>2647.80522555059</v>
      </c>
      <c r="AE2528" s="2">
        <v>10180.150216150099</v>
      </c>
      <c r="AF2528" s="2">
        <v>8497.02899767079</v>
      </c>
      <c r="AG2528" s="2">
        <v>9081.9822156119608</v>
      </c>
      <c r="AH2528" s="2">
        <v>9285.7275069157404</v>
      </c>
      <c r="AI2528" s="2">
        <v>9438.9084631377391</v>
      </c>
      <c r="AJ2528" s="2">
        <v>9873.7507938609106</v>
      </c>
      <c r="AK2528" s="2">
        <v>2852.5194295538499</v>
      </c>
      <c r="AL2528" s="2">
        <v>2690.9616757457302</v>
      </c>
      <c r="AM2528" s="2">
        <v>2994.7540713282901</v>
      </c>
      <c r="AN2528" s="2">
        <v>2569.11936667802</v>
      </c>
      <c r="AO2528" s="2">
        <v>2364.1964444006999</v>
      </c>
      <c r="AP2528" s="2">
        <v>2415.2803655969501</v>
      </c>
    </row>
    <row r="2529" spans="1:42" ht="14.5" x14ac:dyDescent="0.35">
      <c r="A2529" s="2" t="s">
        <v>16902</v>
      </c>
      <c r="B2529" s="2">
        <v>522.19523931817605</v>
      </c>
      <c r="C2529" s="2">
        <v>4.0195333333333298</v>
      </c>
      <c r="D2529" s="2" t="s">
        <v>34</v>
      </c>
      <c r="E2529" s="2" t="s">
        <v>16903</v>
      </c>
      <c r="F2529" s="2">
        <v>212729</v>
      </c>
      <c r="G2529" s="3" t="str">
        <f>HYPERLINK("http://funmeta.oebiotech.com/network/212729", "http://funmeta.oebiotech.com/network/212729")</f>
        <v>http://funmeta.oebiotech.com/network/212729</v>
      </c>
      <c r="H2529" s="2" t="s">
        <v>16904</v>
      </c>
      <c r="I2529" s="2"/>
      <c r="J2529" s="2"/>
      <c r="K2529" s="2"/>
      <c r="L2529" s="2"/>
      <c r="M2529" s="2"/>
      <c r="N2529" s="2"/>
      <c r="O2529" s="2"/>
      <c r="P2529" s="2"/>
      <c r="Q2529" s="2" t="s">
        <v>16905</v>
      </c>
      <c r="R2529" s="2" t="s">
        <v>16906</v>
      </c>
      <c r="S2529" s="2" t="s">
        <v>41</v>
      </c>
      <c r="T2529" s="2" t="s">
        <v>41</v>
      </c>
      <c r="U2529" s="2" t="s">
        <v>41</v>
      </c>
      <c r="V2529" s="2" t="s">
        <v>59</v>
      </c>
      <c r="W2529" s="2">
        <v>37.700000000000003</v>
      </c>
      <c r="X2529" s="2">
        <v>0</v>
      </c>
      <c r="Y2529" s="2" t="s">
        <v>323</v>
      </c>
      <c r="Z2529" s="2" t="s">
        <v>16907</v>
      </c>
      <c r="AA2529" s="2">
        <v>-1.36146565430957</v>
      </c>
      <c r="AB2529" s="2">
        <v>0.31924671616119399</v>
      </c>
      <c r="AC2529" s="2">
        <v>4947.8623021585599</v>
      </c>
      <c r="AD2529" s="2">
        <v>12243.058514127501</v>
      </c>
      <c r="AE2529" s="2">
        <v>5468.5343827403503</v>
      </c>
      <c r="AF2529" s="2">
        <v>5851.2231823376897</v>
      </c>
      <c r="AG2529" s="2">
        <v>5305.2451649110599</v>
      </c>
      <c r="AH2529" s="2">
        <v>3943.49452988031</v>
      </c>
      <c r="AI2529" s="2">
        <v>3465.2105972302302</v>
      </c>
      <c r="AJ2529" s="2">
        <v>5653.4659558516896</v>
      </c>
      <c r="AK2529" s="2">
        <v>14834.8382773003</v>
      </c>
      <c r="AL2529" s="2">
        <v>11803.253394552699</v>
      </c>
      <c r="AM2529" s="2">
        <v>9187.2984113346702</v>
      </c>
      <c r="AN2529" s="2">
        <v>14799.2512882789</v>
      </c>
      <c r="AO2529" s="2">
        <v>11635.701468135099</v>
      </c>
      <c r="AP2529" s="2">
        <v>11198.008245163201</v>
      </c>
    </row>
    <row r="2530" spans="1:42" ht="14.5" x14ac:dyDescent="0.35">
      <c r="A2530" s="2" t="s">
        <v>16908</v>
      </c>
      <c r="B2530" s="2">
        <v>511.32719756253198</v>
      </c>
      <c r="C2530" s="2">
        <v>7.7806833333333296</v>
      </c>
      <c r="D2530" s="2" t="s">
        <v>70</v>
      </c>
      <c r="E2530" s="2" t="s">
        <v>16909</v>
      </c>
      <c r="F2530" s="2">
        <v>83643</v>
      </c>
      <c r="G2530" s="3" t="str">
        <f>HYPERLINK("http://funmeta.oebiotech.com/network/83643", "http://funmeta.oebiotech.com/network/83643")</f>
        <v>http://funmeta.oebiotech.com/network/83643</v>
      </c>
      <c r="H2530" s="2" t="s">
        <v>16910</v>
      </c>
      <c r="I2530" s="2"/>
      <c r="J2530" s="2"/>
      <c r="K2530" s="2"/>
      <c r="L2530" s="2"/>
      <c r="M2530" s="2"/>
      <c r="N2530" s="2"/>
      <c r="O2530" s="2">
        <v>13991770</v>
      </c>
      <c r="P2530" s="2"/>
      <c r="Q2530" s="2" t="s">
        <v>16911</v>
      </c>
      <c r="R2530" s="2" t="s">
        <v>16912</v>
      </c>
      <c r="S2530" s="2" t="s">
        <v>50</v>
      </c>
      <c r="T2530" s="2" t="s">
        <v>124</v>
      </c>
      <c r="U2530" s="2" t="s">
        <v>125</v>
      </c>
      <c r="V2530" s="2" t="s">
        <v>59</v>
      </c>
      <c r="W2530" s="2">
        <v>44.8</v>
      </c>
      <c r="X2530" s="2">
        <v>28</v>
      </c>
      <c r="Y2530" s="2" t="s">
        <v>408</v>
      </c>
      <c r="Z2530" s="2" t="s">
        <v>2412</v>
      </c>
      <c r="AA2530" s="2">
        <v>-0.95318890638903997</v>
      </c>
      <c r="AB2530" s="2">
        <v>0.31908099331404899</v>
      </c>
      <c r="AC2530" s="2">
        <v>21569.750766892099</v>
      </c>
      <c r="AD2530" s="2">
        <v>28634.589097899501</v>
      </c>
      <c r="AE2530" s="2">
        <v>21019.299504811999</v>
      </c>
      <c r="AF2530" s="2">
        <v>19735.5137231679</v>
      </c>
      <c r="AG2530" s="2">
        <v>21001.621439435999</v>
      </c>
      <c r="AH2530" s="2">
        <v>23262.5710866765</v>
      </c>
      <c r="AI2530" s="2">
        <v>22361.944637898501</v>
      </c>
      <c r="AJ2530" s="2">
        <v>22037.554209361599</v>
      </c>
      <c r="AK2530" s="2">
        <v>28560.523425164101</v>
      </c>
      <c r="AL2530" s="2">
        <v>27973.8035781871</v>
      </c>
      <c r="AM2530" s="2">
        <v>29483.9545215652</v>
      </c>
      <c r="AN2530" s="2">
        <v>30809.457827931001</v>
      </c>
      <c r="AO2530" s="2">
        <v>28774.2309143522</v>
      </c>
      <c r="AP2530" s="2">
        <v>26205.5643201975</v>
      </c>
    </row>
    <row r="2531" spans="1:42" ht="14.5" x14ac:dyDescent="0.35">
      <c r="A2531" s="2" t="s">
        <v>16913</v>
      </c>
      <c r="B2531" s="2">
        <v>627.31286396248504</v>
      </c>
      <c r="C2531" s="2">
        <v>11.4614333333333</v>
      </c>
      <c r="D2531" s="2" t="s">
        <v>34</v>
      </c>
      <c r="E2531" s="2" t="s">
        <v>16914</v>
      </c>
      <c r="F2531" s="2">
        <v>205748</v>
      </c>
      <c r="G2531" s="3" t="str">
        <f>HYPERLINK("http://funmeta.oebiotech.com/network/205748", "http://funmeta.oebiotech.com/network/205748")</f>
        <v>http://funmeta.oebiotech.com/network/205748</v>
      </c>
      <c r="H2531" s="2" t="s">
        <v>16915</v>
      </c>
      <c r="I2531" s="2">
        <v>68934</v>
      </c>
      <c r="J2531" s="2"/>
      <c r="K2531" s="2"/>
      <c r="L2531" s="2" t="s">
        <v>16916</v>
      </c>
      <c r="M2531" s="2"/>
      <c r="N2531" s="2"/>
      <c r="O2531" s="2">
        <v>1236</v>
      </c>
      <c r="P2531" s="2" t="s">
        <v>16917</v>
      </c>
      <c r="Q2531" s="2" t="s">
        <v>16918</v>
      </c>
      <c r="R2531" s="2" t="s">
        <v>16919</v>
      </c>
      <c r="S2531" s="2" t="s">
        <v>148</v>
      </c>
      <c r="T2531" s="2" t="s">
        <v>149</v>
      </c>
      <c r="U2531" s="2" t="s">
        <v>3473</v>
      </c>
      <c r="V2531" s="2" t="s">
        <v>59</v>
      </c>
      <c r="W2531" s="2">
        <v>36.700000000000003</v>
      </c>
      <c r="X2531" s="2">
        <v>0</v>
      </c>
      <c r="Y2531" s="2" t="s">
        <v>43</v>
      </c>
      <c r="Z2531" s="2" t="s">
        <v>16920</v>
      </c>
      <c r="AA2531" s="2">
        <v>-7.9561434593424503</v>
      </c>
      <c r="AB2531" s="2">
        <v>0.319010501823973</v>
      </c>
      <c r="AC2531" s="2">
        <v>6748.1132584675997</v>
      </c>
      <c r="AD2531" s="2">
        <v>28.958558252682099</v>
      </c>
      <c r="AE2531" s="2">
        <v>7443.9373061551796</v>
      </c>
      <c r="AF2531" s="2">
        <v>6463.79986325753</v>
      </c>
      <c r="AG2531" s="2">
        <v>6527.9024051243796</v>
      </c>
      <c r="AH2531" s="2">
        <v>6286.3097543100703</v>
      </c>
      <c r="AI2531" s="2">
        <v>6129.6365800097701</v>
      </c>
      <c r="AJ2531" s="2">
        <v>7637.0936419486598</v>
      </c>
      <c r="AK2531" s="2">
        <v>17.754418163692399</v>
      </c>
      <c r="AL2531" s="2">
        <v>46.791257257679803</v>
      </c>
      <c r="AM2531" s="2">
        <v>30.080206124758501</v>
      </c>
      <c r="AN2531" s="2">
        <v>33.555371238058299</v>
      </c>
      <c r="AO2531" s="2">
        <v>19.076982740536199</v>
      </c>
      <c r="AP2531" s="2">
        <v>26.493113991367501</v>
      </c>
    </row>
    <row r="2532" spans="1:42" ht="14.5" x14ac:dyDescent="0.35">
      <c r="A2532" s="2" t="s">
        <v>16921</v>
      </c>
      <c r="B2532" s="2">
        <v>453.13807598141699</v>
      </c>
      <c r="C2532" s="2">
        <v>3.6785666666666699</v>
      </c>
      <c r="D2532" s="2" t="s">
        <v>34</v>
      </c>
      <c r="E2532" s="2" t="s">
        <v>16922</v>
      </c>
      <c r="F2532" s="2">
        <v>61422</v>
      </c>
      <c r="G2532" s="3" t="str">
        <f>HYPERLINK("http://funmeta.oebiotech.com/network/61422", "http://funmeta.oebiotech.com/network/61422")</f>
        <v>http://funmeta.oebiotech.com/network/61422</v>
      </c>
      <c r="H2532" s="2" t="s">
        <v>16923</v>
      </c>
      <c r="I2532" s="2">
        <v>92741</v>
      </c>
      <c r="J2532" s="2"/>
      <c r="K2532" s="2"/>
      <c r="L2532" s="2"/>
      <c r="M2532" s="2"/>
      <c r="N2532" s="2"/>
      <c r="O2532" s="2">
        <v>14345560</v>
      </c>
      <c r="P2532" s="2" t="s">
        <v>16924</v>
      </c>
      <c r="Q2532" s="2" t="s">
        <v>16925</v>
      </c>
      <c r="R2532" s="2" t="s">
        <v>16926</v>
      </c>
      <c r="S2532" s="2" t="s">
        <v>115</v>
      </c>
      <c r="T2532" s="2" t="s">
        <v>139</v>
      </c>
      <c r="U2532" s="2" t="s">
        <v>140</v>
      </c>
      <c r="V2532" s="2" t="s">
        <v>59</v>
      </c>
      <c r="W2532" s="2">
        <v>45.4</v>
      </c>
      <c r="X2532" s="2">
        <v>37.6</v>
      </c>
      <c r="Y2532" s="2" t="s">
        <v>394</v>
      </c>
      <c r="Z2532" s="2" t="s">
        <v>2260</v>
      </c>
      <c r="AA2532" s="2">
        <v>-2.3489506335232901</v>
      </c>
      <c r="AB2532" s="2">
        <v>0.318843972835538</v>
      </c>
      <c r="AC2532" s="2">
        <v>43737.538803427597</v>
      </c>
      <c r="AD2532" s="2">
        <v>51186.329798646897</v>
      </c>
      <c r="AE2532" s="2">
        <v>41865.592291423098</v>
      </c>
      <c r="AF2532" s="2">
        <v>43665.046880224603</v>
      </c>
      <c r="AG2532" s="2">
        <v>42263.293969331004</v>
      </c>
      <c r="AH2532" s="2">
        <v>44992.655751471801</v>
      </c>
      <c r="AI2532" s="2">
        <v>45561.247753938304</v>
      </c>
      <c r="AJ2532" s="2">
        <v>44077.396174177004</v>
      </c>
      <c r="AK2532" s="2">
        <v>48295.009678456598</v>
      </c>
      <c r="AL2532" s="2">
        <v>48665.942768823297</v>
      </c>
      <c r="AM2532" s="2">
        <v>52642.013609162997</v>
      </c>
      <c r="AN2532" s="2">
        <v>53929.267416537201</v>
      </c>
      <c r="AO2532" s="2">
        <v>49706.425354392399</v>
      </c>
      <c r="AP2532" s="2">
        <v>53879.319964509203</v>
      </c>
    </row>
    <row r="2533" spans="1:42" ht="14.5" x14ac:dyDescent="0.35">
      <c r="A2533" s="2" t="s">
        <v>16927</v>
      </c>
      <c r="B2533" s="2">
        <v>271.06089802895502</v>
      </c>
      <c r="C2533" s="2">
        <v>5.0231500000000002</v>
      </c>
      <c r="D2533" s="2" t="s">
        <v>70</v>
      </c>
      <c r="E2533" s="2" t="s">
        <v>16928</v>
      </c>
      <c r="F2533" s="2">
        <v>57260</v>
      </c>
      <c r="G2533" s="3" t="str">
        <f>HYPERLINK("http://funmeta.oebiotech.com/network/57260", "http://funmeta.oebiotech.com/network/57260")</f>
        <v>http://funmeta.oebiotech.com/network/57260</v>
      </c>
      <c r="H2533" s="2" t="s">
        <v>16929</v>
      </c>
      <c r="I2533" s="2">
        <v>43829</v>
      </c>
      <c r="J2533" s="2"/>
      <c r="K2533" s="2"/>
      <c r="L2533" s="2"/>
      <c r="M2533" s="2"/>
      <c r="N2533" s="2"/>
      <c r="O2533" s="2">
        <v>71034</v>
      </c>
      <c r="P2533" s="2" t="s">
        <v>16930</v>
      </c>
      <c r="Q2533" s="2" t="s">
        <v>16931</v>
      </c>
      <c r="R2533" s="2" t="s">
        <v>16932</v>
      </c>
      <c r="S2533" s="2" t="s">
        <v>491</v>
      </c>
      <c r="T2533" s="2" t="s">
        <v>2251</v>
      </c>
      <c r="U2533" s="2" t="s">
        <v>2252</v>
      </c>
      <c r="V2533" s="2" t="s">
        <v>59</v>
      </c>
      <c r="W2533" s="2">
        <v>39</v>
      </c>
      <c r="X2533" s="2">
        <v>0</v>
      </c>
      <c r="Y2533" s="2" t="s">
        <v>408</v>
      </c>
      <c r="Z2533" s="2" t="s">
        <v>16933</v>
      </c>
      <c r="AA2533" s="2">
        <v>-1.3227305324082199</v>
      </c>
      <c r="AB2533" s="2">
        <v>0.31877698103813201</v>
      </c>
      <c r="AC2533" s="2">
        <v>10993.8318106881</v>
      </c>
      <c r="AD2533" s="2">
        <v>17862.6432882892</v>
      </c>
      <c r="AE2533" s="2">
        <v>11163.140564359301</v>
      </c>
      <c r="AF2533" s="2">
        <v>11929.409468178799</v>
      </c>
      <c r="AG2533" s="2">
        <v>10895.405839829</v>
      </c>
      <c r="AH2533" s="2">
        <v>9187.5750711776109</v>
      </c>
      <c r="AI2533" s="2">
        <v>11478.7741984404</v>
      </c>
      <c r="AJ2533" s="2">
        <v>11308.6857221433</v>
      </c>
      <c r="AK2533" s="2">
        <v>19152.602327022199</v>
      </c>
      <c r="AL2533" s="2">
        <v>17774.3972968532</v>
      </c>
      <c r="AM2533" s="2">
        <v>18458.050121365599</v>
      </c>
      <c r="AN2533" s="2">
        <v>17714.1377628966</v>
      </c>
      <c r="AO2533" s="2">
        <v>16449.807367416299</v>
      </c>
      <c r="AP2533" s="2">
        <v>17626.864854181102</v>
      </c>
    </row>
    <row r="2534" spans="1:42" ht="14.5" x14ac:dyDescent="0.35">
      <c r="A2534" s="2" t="s">
        <v>16934</v>
      </c>
      <c r="B2534" s="2">
        <v>759.40884011022399</v>
      </c>
      <c r="C2534" s="2">
        <v>11.08745</v>
      </c>
      <c r="D2534" s="2" t="s">
        <v>70</v>
      </c>
      <c r="E2534" s="2" t="s">
        <v>16935</v>
      </c>
      <c r="F2534" s="2">
        <v>216126</v>
      </c>
      <c r="G2534" s="3" t="str">
        <f>HYPERLINK("http://funmeta.oebiotech.com/network/216126", "http://funmeta.oebiotech.com/network/216126")</f>
        <v>http://funmeta.oebiotech.com/network/216126</v>
      </c>
      <c r="H2534" s="2" t="s">
        <v>16936</v>
      </c>
      <c r="I2534" s="2"/>
      <c r="J2534" s="2"/>
      <c r="K2534" s="2"/>
      <c r="L2534" s="2"/>
      <c r="M2534" s="2"/>
      <c r="N2534" s="2"/>
      <c r="O2534" s="2"/>
      <c r="P2534" s="2"/>
      <c r="Q2534" s="2" t="s">
        <v>16937</v>
      </c>
      <c r="R2534" s="2" t="s">
        <v>16938</v>
      </c>
      <c r="S2534" s="2" t="s">
        <v>41</v>
      </c>
      <c r="T2534" s="2" t="s">
        <v>41</v>
      </c>
      <c r="U2534" s="2" t="s">
        <v>41</v>
      </c>
      <c r="V2534" s="2" t="s">
        <v>59</v>
      </c>
      <c r="W2534" s="2">
        <v>37.799999999999997</v>
      </c>
      <c r="X2534" s="2">
        <v>0</v>
      </c>
      <c r="Y2534" s="2" t="s">
        <v>408</v>
      </c>
      <c r="Z2534" s="2" t="s">
        <v>16939</v>
      </c>
      <c r="AA2534" s="2">
        <v>-0.22707571827814499</v>
      </c>
      <c r="AB2534" s="2">
        <v>0.31832528429303802</v>
      </c>
      <c r="AC2534" s="2">
        <v>23575.490120981998</v>
      </c>
      <c r="AD2534" s="2">
        <v>31130.050924595002</v>
      </c>
      <c r="AE2534" s="2">
        <v>24427.685948125702</v>
      </c>
      <c r="AF2534" s="2">
        <v>23540.759284098898</v>
      </c>
      <c r="AG2534" s="2">
        <v>24492.556878849398</v>
      </c>
      <c r="AH2534" s="2">
        <v>22594.969084115299</v>
      </c>
      <c r="AI2534" s="2">
        <v>20656.451541937899</v>
      </c>
      <c r="AJ2534" s="2">
        <v>25740.517988764899</v>
      </c>
      <c r="AK2534" s="2">
        <v>31202.697557425901</v>
      </c>
      <c r="AL2534" s="2">
        <v>28133.313189362001</v>
      </c>
      <c r="AM2534" s="2">
        <v>30555.938726447101</v>
      </c>
      <c r="AN2534" s="2">
        <v>35942.829283314903</v>
      </c>
      <c r="AO2534" s="2">
        <v>30142.048755617499</v>
      </c>
      <c r="AP2534" s="2">
        <v>30803.478035402299</v>
      </c>
    </row>
    <row r="2535" spans="1:42" ht="14.5" x14ac:dyDescent="0.35">
      <c r="A2535" s="2" t="s">
        <v>16940</v>
      </c>
      <c r="B2535" s="2">
        <v>281.09946341052103</v>
      </c>
      <c r="C2535" s="2">
        <v>3.5873499999999998</v>
      </c>
      <c r="D2535" s="2" t="s">
        <v>34</v>
      </c>
      <c r="E2535" s="2" t="s">
        <v>16941</v>
      </c>
      <c r="F2535" s="2">
        <v>56829</v>
      </c>
      <c r="G2535" s="3" t="str">
        <f>HYPERLINK("http://funmeta.oebiotech.com/network/56829", "http://funmeta.oebiotech.com/network/56829")</f>
        <v>http://funmeta.oebiotech.com/network/56829</v>
      </c>
      <c r="H2535" s="2" t="s">
        <v>16942</v>
      </c>
      <c r="I2535" s="2">
        <v>88506</v>
      </c>
      <c r="J2535" s="2"/>
      <c r="K2535" s="2">
        <v>168972</v>
      </c>
      <c r="L2535" s="2"/>
      <c r="M2535" s="2"/>
      <c r="N2535" s="2"/>
      <c r="O2535" s="2">
        <v>193527</v>
      </c>
      <c r="P2535" s="2" t="s">
        <v>16943</v>
      </c>
      <c r="Q2535" s="2" t="s">
        <v>16944</v>
      </c>
      <c r="R2535" s="2" t="s">
        <v>16945</v>
      </c>
      <c r="S2535" s="2" t="s">
        <v>79</v>
      </c>
      <c r="T2535" s="2" t="s">
        <v>80</v>
      </c>
      <c r="U2535" s="2" t="s">
        <v>249</v>
      </c>
      <c r="V2535" s="2" t="s">
        <v>59</v>
      </c>
      <c r="W2535" s="2">
        <v>42</v>
      </c>
      <c r="X2535" s="2">
        <v>14.8</v>
      </c>
      <c r="Y2535" s="2" t="s">
        <v>323</v>
      </c>
      <c r="Z2535" s="2" t="s">
        <v>16946</v>
      </c>
      <c r="AA2535" s="2">
        <v>-0.37024514415851401</v>
      </c>
      <c r="AB2535" s="2">
        <v>0.31821959336744399</v>
      </c>
      <c r="AC2535" s="2">
        <v>13016.169564874101</v>
      </c>
      <c r="AD2535" s="2">
        <v>19741.1120949221</v>
      </c>
      <c r="AE2535" s="2">
        <v>12437.9846803606</v>
      </c>
      <c r="AF2535" s="2">
        <v>13682.9833816922</v>
      </c>
      <c r="AG2535" s="2">
        <v>12906.078641057</v>
      </c>
      <c r="AH2535" s="2">
        <v>12711.9666028255</v>
      </c>
      <c r="AI2535" s="2">
        <v>12720.434116828599</v>
      </c>
      <c r="AJ2535" s="2">
        <v>13637.5699664806</v>
      </c>
      <c r="AK2535" s="2">
        <v>19760.6829534996</v>
      </c>
      <c r="AL2535" s="2">
        <v>19136.166030761899</v>
      </c>
      <c r="AM2535" s="2">
        <v>20061.172623202401</v>
      </c>
      <c r="AN2535" s="2">
        <v>20592.945750722</v>
      </c>
      <c r="AO2535" s="2">
        <v>18881.033837469298</v>
      </c>
      <c r="AP2535" s="2">
        <v>20014.6713738773</v>
      </c>
    </row>
    <row r="2536" spans="1:42" ht="14.5" x14ac:dyDescent="0.35">
      <c r="A2536" s="2" t="s">
        <v>16947</v>
      </c>
      <c r="B2536" s="2">
        <v>785.39500885039797</v>
      </c>
      <c r="C2536" s="2">
        <v>8.1323500000000006</v>
      </c>
      <c r="D2536" s="2" t="s">
        <v>70</v>
      </c>
      <c r="E2536" s="2" t="s">
        <v>16948</v>
      </c>
      <c r="F2536" s="2">
        <v>44517</v>
      </c>
      <c r="G2536" s="3" t="str">
        <f>HYPERLINK("http://funmeta.oebiotech.com/network/44517", "http://funmeta.oebiotech.com/network/44517")</f>
        <v>http://funmeta.oebiotech.com/network/44517</v>
      </c>
      <c r="H2536" s="2"/>
      <c r="I2536" s="2"/>
      <c r="J2536" s="2" t="s">
        <v>16949</v>
      </c>
      <c r="K2536" s="2"/>
      <c r="L2536" s="2"/>
      <c r="M2536" s="2"/>
      <c r="N2536" s="2"/>
      <c r="O2536" s="2">
        <v>52931458</v>
      </c>
      <c r="P2536" s="2"/>
      <c r="Q2536" s="2" t="s">
        <v>16950</v>
      </c>
      <c r="R2536" s="2" t="s">
        <v>16951</v>
      </c>
      <c r="S2536" s="2" t="s">
        <v>50</v>
      </c>
      <c r="T2536" s="2" t="s">
        <v>124</v>
      </c>
      <c r="U2536" s="2" t="s">
        <v>523</v>
      </c>
      <c r="V2536" s="2" t="s">
        <v>59</v>
      </c>
      <c r="W2536" s="2">
        <v>36.299999999999997</v>
      </c>
      <c r="X2536" s="2">
        <v>0</v>
      </c>
      <c r="Y2536" s="2" t="s">
        <v>118</v>
      </c>
      <c r="Z2536" s="2" t="s">
        <v>16952</v>
      </c>
      <c r="AA2536" s="2">
        <v>-1.9082040651480101</v>
      </c>
      <c r="AB2536" s="2">
        <v>0.31814790563862799</v>
      </c>
      <c r="AC2536" s="2">
        <v>17417.7674711254</v>
      </c>
      <c r="AD2536" s="2">
        <v>24947.308250911999</v>
      </c>
      <c r="AE2536" s="2">
        <v>18571.469446594201</v>
      </c>
      <c r="AF2536" s="2">
        <v>17407.163526491098</v>
      </c>
      <c r="AG2536" s="2">
        <v>18134.2627170942</v>
      </c>
      <c r="AH2536" s="2">
        <v>13127.530161213301</v>
      </c>
      <c r="AI2536" s="2">
        <v>20234.323097224398</v>
      </c>
      <c r="AJ2536" s="2">
        <v>17031.8558781352</v>
      </c>
      <c r="AK2536" s="2">
        <v>28368.966005826602</v>
      </c>
      <c r="AL2536" s="2">
        <v>24970.021684035099</v>
      </c>
      <c r="AM2536" s="2">
        <v>22454.567984670099</v>
      </c>
      <c r="AN2536" s="2">
        <v>25965.848531495601</v>
      </c>
      <c r="AO2536" s="2">
        <v>24421.473517468301</v>
      </c>
      <c r="AP2536" s="2">
        <v>23502.971781976401</v>
      </c>
    </row>
    <row r="2537" spans="1:42" ht="14.5" x14ac:dyDescent="0.35">
      <c r="A2537" s="2" t="s">
        <v>16953</v>
      </c>
      <c r="B2537" s="2">
        <v>745.230034713892</v>
      </c>
      <c r="C2537" s="2">
        <v>5.5245499999999996</v>
      </c>
      <c r="D2537" s="2" t="s">
        <v>70</v>
      </c>
      <c r="E2537" s="2" t="s">
        <v>16954</v>
      </c>
      <c r="F2537" s="2">
        <v>257661</v>
      </c>
      <c r="G2537" s="3" t="str">
        <f>HYPERLINK("http://funmeta.oebiotech.com/network/257661", "http://funmeta.oebiotech.com/network/257661")</f>
        <v>http://funmeta.oebiotech.com/network/257661</v>
      </c>
      <c r="H2537" s="2" t="s">
        <v>16955</v>
      </c>
      <c r="I2537" s="2"/>
      <c r="J2537" s="2"/>
      <c r="K2537" s="2"/>
      <c r="L2537" s="2"/>
      <c r="M2537" s="2"/>
      <c r="N2537" s="2"/>
      <c r="O2537" s="2"/>
      <c r="P2537" s="2"/>
      <c r="Q2537" s="2" t="s">
        <v>16956</v>
      </c>
      <c r="R2537" s="2" t="s">
        <v>16957</v>
      </c>
      <c r="S2537" s="2" t="s">
        <v>41</v>
      </c>
      <c r="T2537" s="2" t="s">
        <v>41</v>
      </c>
      <c r="U2537" s="2" t="s">
        <v>41</v>
      </c>
      <c r="V2537" s="2" t="s">
        <v>59</v>
      </c>
      <c r="W2537" s="2">
        <v>38.5</v>
      </c>
      <c r="X2537" s="2">
        <v>0</v>
      </c>
      <c r="Y2537" s="2" t="s">
        <v>560</v>
      </c>
      <c r="Z2537" s="2" t="s">
        <v>16958</v>
      </c>
      <c r="AA2537" s="2">
        <v>-2.3250093614817202</v>
      </c>
      <c r="AB2537" s="2">
        <v>0.318025068036212</v>
      </c>
      <c r="AC2537" s="2">
        <v>9567.0921845118592</v>
      </c>
      <c r="AD2537" s="2">
        <v>16763.4657306525</v>
      </c>
      <c r="AE2537" s="2">
        <v>7313.0781030240896</v>
      </c>
      <c r="AF2537" s="2">
        <v>9729.1612617426308</v>
      </c>
      <c r="AG2537" s="2">
        <v>7985.6919771639696</v>
      </c>
      <c r="AH2537" s="2">
        <v>10383.9303426767</v>
      </c>
      <c r="AI2537" s="2">
        <v>12940.016632085701</v>
      </c>
      <c r="AJ2537" s="2">
        <v>9050.6747903780397</v>
      </c>
      <c r="AK2537" s="2">
        <v>18975.407098888401</v>
      </c>
      <c r="AL2537" s="2">
        <v>15561.066990998501</v>
      </c>
      <c r="AM2537" s="2">
        <v>15142.3599097677</v>
      </c>
      <c r="AN2537" s="2">
        <v>16300.952287939301</v>
      </c>
      <c r="AO2537" s="2">
        <v>17525.322441023902</v>
      </c>
      <c r="AP2537" s="2">
        <v>17075.685655296998</v>
      </c>
    </row>
    <row r="2538" spans="1:42" ht="14.5" x14ac:dyDescent="0.35">
      <c r="A2538" s="2" t="s">
        <v>16959</v>
      </c>
      <c r="B2538" s="2">
        <v>317.17432909753001</v>
      </c>
      <c r="C2538" s="2">
        <v>6.1123333333333303</v>
      </c>
      <c r="D2538" s="2" t="s">
        <v>34</v>
      </c>
      <c r="E2538" s="2" t="s">
        <v>16960</v>
      </c>
      <c r="F2538" s="2">
        <v>206496</v>
      </c>
      <c r="G2538" s="3" t="str">
        <f>HYPERLINK("http://funmeta.oebiotech.com/network/206496", "http://funmeta.oebiotech.com/network/206496")</f>
        <v>http://funmeta.oebiotech.com/network/206496</v>
      </c>
      <c r="H2538" s="2" t="s">
        <v>16961</v>
      </c>
      <c r="I2538" s="2"/>
      <c r="J2538" s="2"/>
      <c r="K2538" s="2"/>
      <c r="L2538" s="2"/>
      <c r="M2538" s="2"/>
      <c r="N2538" s="2"/>
      <c r="O2538" s="2"/>
      <c r="P2538" s="2"/>
      <c r="Q2538" s="2" t="s">
        <v>16962</v>
      </c>
      <c r="R2538" s="2" t="s">
        <v>16963</v>
      </c>
      <c r="S2538" s="2" t="s">
        <v>41</v>
      </c>
      <c r="T2538" s="2" t="s">
        <v>41</v>
      </c>
      <c r="U2538" s="2" t="s">
        <v>41</v>
      </c>
      <c r="V2538" s="2" t="s">
        <v>42</v>
      </c>
      <c r="W2538" s="2">
        <v>48.6</v>
      </c>
      <c r="X2538" s="2">
        <v>52.5</v>
      </c>
      <c r="Y2538" s="2" t="s">
        <v>394</v>
      </c>
      <c r="Z2538" s="2" t="s">
        <v>2046</v>
      </c>
      <c r="AA2538" s="2">
        <v>-1.2859716523395099</v>
      </c>
      <c r="AB2538" s="2">
        <v>0.31797060254854498</v>
      </c>
      <c r="AC2538" s="2">
        <v>14333.0899853306</v>
      </c>
      <c r="AD2538" s="2">
        <v>7498.5483844078899</v>
      </c>
      <c r="AE2538" s="2">
        <v>13600.433739424399</v>
      </c>
      <c r="AF2538" s="2">
        <v>14050.953927972299</v>
      </c>
      <c r="AG2538" s="2">
        <v>13935.4863459966</v>
      </c>
      <c r="AH2538" s="2">
        <v>15600.7082250842</v>
      </c>
      <c r="AI2538" s="2">
        <v>13658.728318540499</v>
      </c>
      <c r="AJ2538" s="2">
        <v>15152.229354965601</v>
      </c>
      <c r="AK2538" s="2">
        <v>9290.5506073266606</v>
      </c>
      <c r="AL2538" s="2">
        <v>7141.2986946553201</v>
      </c>
      <c r="AM2538" s="2">
        <v>6557.5614730273101</v>
      </c>
      <c r="AN2538" s="2">
        <v>6948.8475156356399</v>
      </c>
      <c r="AO2538" s="2">
        <v>6805.2822327616695</v>
      </c>
      <c r="AP2538" s="2">
        <v>8247.7497830407101</v>
      </c>
    </row>
    <row r="2539" spans="1:42" ht="14.5" x14ac:dyDescent="0.35">
      <c r="A2539" s="2" t="s">
        <v>16964</v>
      </c>
      <c r="B2539" s="2">
        <v>735.24041106885204</v>
      </c>
      <c r="C2539" s="2">
        <v>10.283666666666701</v>
      </c>
      <c r="D2539" s="2" t="s">
        <v>34</v>
      </c>
      <c r="E2539" s="2" t="s">
        <v>16965</v>
      </c>
      <c r="F2539" s="2">
        <v>62728</v>
      </c>
      <c r="G2539" s="3" t="str">
        <f>HYPERLINK("http://funmeta.oebiotech.com/network/62728", "http://funmeta.oebiotech.com/network/62728")</f>
        <v>http://funmeta.oebiotech.com/network/62728</v>
      </c>
      <c r="H2539" s="2" t="s">
        <v>16966</v>
      </c>
      <c r="I2539" s="2">
        <v>94024</v>
      </c>
      <c r="J2539" s="2"/>
      <c r="K2539" s="2"/>
      <c r="L2539" s="2"/>
      <c r="M2539" s="2"/>
      <c r="N2539" s="2"/>
      <c r="O2539" s="2">
        <v>131752651</v>
      </c>
      <c r="P2539" s="2"/>
      <c r="Q2539" s="2" t="s">
        <v>16967</v>
      </c>
      <c r="R2539" s="2" t="s">
        <v>16968</v>
      </c>
      <c r="S2539" s="2" t="s">
        <v>115</v>
      </c>
      <c r="T2539" s="2" t="s">
        <v>575</v>
      </c>
      <c r="U2539" s="2" t="s">
        <v>576</v>
      </c>
      <c r="V2539" s="2" t="s">
        <v>59</v>
      </c>
      <c r="W2539" s="2">
        <v>40</v>
      </c>
      <c r="X2539" s="2">
        <v>10.4</v>
      </c>
      <c r="Y2539" s="2" t="s">
        <v>394</v>
      </c>
      <c r="Z2539" s="2" t="s">
        <v>16969</v>
      </c>
      <c r="AA2539" s="2">
        <v>-4.3473966236637098</v>
      </c>
      <c r="AB2539" s="2">
        <v>0.31794978194552298</v>
      </c>
      <c r="AC2539" s="2">
        <v>16329.797744265201</v>
      </c>
      <c r="AD2539" s="2">
        <v>9285.1247677367191</v>
      </c>
      <c r="AE2539" s="2">
        <v>15682.7682566685</v>
      </c>
      <c r="AF2539" s="2">
        <v>17475.726912624701</v>
      </c>
      <c r="AG2539" s="2">
        <v>16595.894186278099</v>
      </c>
      <c r="AH2539" s="2">
        <v>17387.742346437801</v>
      </c>
      <c r="AI2539" s="2">
        <v>15644.851815902401</v>
      </c>
      <c r="AJ2539" s="2">
        <v>15191.8029476798</v>
      </c>
      <c r="AK2539" s="2">
        <v>7562.8181634236098</v>
      </c>
      <c r="AL2539" s="2">
        <v>7391.06487190396</v>
      </c>
      <c r="AM2539" s="2">
        <v>11895.9668602773</v>
      </c>
      <c r="AN2539" s="2">
        <v>9150.5774294365001</v>
      </c>
      <c r="AO2539" s="2">
        <v>9919.3703175731407</v>
      </c>
      <c r="AP2539" s="2">
        <v>9790.9509638058298</v>
      </c>
    </row>
    <row r="2540" spans="1:42" ht="14.5" x14ac:dyDescent="0.35">
      <c r="A2540" s="2" t="s">
        <v>16970</v>
      </c>
      <c r="B2540" s="2">
        <v>559.06538224831399</v>
      </c>
      <c r="C2540" s="2">
        <v>3.4826666666666699</v>
      </c>
      <c r="D2540" s="2" t="s">
        <v>70</v>
      </c>
      <c r="E2540" s="2" t="s">
        <v>16971</v>
      </c>
      <c r="F2540" s="2">
        <v>204042</v>
      </c>
      <c r="G2540" s="3" t="str">
        <f>HYPERLINK("http://funmeta.oebiotech.com/network/204042", "http://funmeta.oebiotech.com/network/204042")</f>
        <v>http://funmeta.oebiotech.com/network/204042</v>
      </c>
      <c r="H2540" s="2" t="s">
        <v>16972</v>
      </c>
      <c r="I2540" s="2"/>
      <c r="J2540" s="2"/>
      <c r="K2540" s="2"/>
      <c r="L2540" s="2"/>
      <c r="M2540" s="2"/>
      <c r="N2540" s="2"/>
      <c r="O2540" s="2">
        <v>129654330</v>
      </c>
      <c r="P2540" s="2"/>
      <c r="Q2540" s="2" t="s">
        <v>16973</v>
      </c>
      <c r="R2540" s="2" t="s">
        <v>16974</v>
      </c>
      <c r="S2540" s="2" t="s">
        <v>41</v>
      </c>
      <c r="T2540" s="2" t="s">
        <v>41</v>
      </c>
      <c r="U2540" s="2" t="s">
        <v>41</v>
      </c>
      <c r="V2540" s="2" t="s">
        <v>59</v>
      </c>
      <c r="W2540" s="2">
        <v>39.1</v>
      </c>
      <c r="X2540" s="2">
        <v>1.56</v>
      </c>
      <c r="Y2540" s="2" t="s">
        <v>560</v>
      </c>
      <c r="Z2540" s="2" t="s">
        <v>16975</v>
      </c>
      <c r="AA2540" s="2">
        <v>-3.0139363028699502</v>
      </c>
      <c r="AB2540" s="2">
        <v>0.31699126267974798</v>
      </c>
      <c r="AC2540" s="2">
        <v>18781.533141259199</v>
      </c>
      <c r="AD2540" s="2">
        <v>11882.337844871799</v>
      </c>
      <c r="AE2540" s="2">
        <v>20954.288193528599</v>
      </c>
      <c r="AF2540" s="2">
        <v>16960.290938373899</v>
      </c>
      <c r="AG2540" s="2">
        <v>20039.032932417002</v>
      </c>
      <c r="AH2540" s="2">
        <v>18207.832364866601</v>
      </c>
      <c r="AI2540" s="2">
        <v>18920.433168089399</v>
      </c>
      <c r="AJ2540" s="2">
        <v>17607.321250279801</v>
      </c>
      <c r="AK2540" s="2">
        <v>11501.1820904244</v>
      </c>
      <c r="AL2540" s="2">
        <v>11345.525170654601</v>
      </c>
      <c r="AM2540" s="2">
        <v>11418.8587615379</v>
      </c>
      <c r="AN2540" s="2">
        <v>12886.573675768999</v>
      </c>
      <c r="AO2540" s="2">
        <v>11673.545893439699</v>
      </c>
      <c r="AP2540" s="2">
        <v>12468.3414774051</v>
      </c>
    </row>
    <row r="2541" spans="1:42" ht="14.5" x14ac:dyDescent="0.35">
      <c r="A2541" s="2" t="s">
        <v>16976</v>
      </c>
      <c r="B2541" s="2">
        <v>419.26492491660798</v>
      </c>
      <c r="C2541" s="2">
        <v>7.3370666666666704</v>
      </c>
      <c r="D2541" s="2" t="s">
        <v>70</v>
      </c>
      <c r="E2541" s="2" t="s">
        <v>16977</v>
      </c>
      <c r="F2541" s="2">
        <v>10294</v>
      </c>
      <c r="G2541" s="3" t="str">
        <f>HYPERLINK("http://funmeta.oebiotech.com/network/10294", "http://funmeta.oebiotech.com/network/10294")</f>
        <v>http://funmeta.oebiotech.com/network/10294</v>
      </c>
      <c r="H2541" s="2"/>
      <c r="I2541" s="2"/>
      <c r="J2541" s="2" t="s">
        <v>16978</v>
      </c>
      <c r="K2541" s="2">
        <v>78962</v>
      </c>
      <c r="L2541" s="2"/>
      <c r="M2541" s="2"/>
      <c r="N2541" s="2"/>
      <c r="O2541" s="2">
        <v>86289695</v>
      </c>
      <c r="P2541" s="2"/>
      <c r="Q2541" s="2" t="s">
        <v>16979</v>
      </c>
      <c r="R2541" s="2" t="s">
        <v>16980</v>
      </c>
      <c r="S2541" s="2" t="s">
        <v>50</v>
      </c>
      <c r="T2541" s="2" t="s">
        <v>229</v>
      </c>
      <c r="U2541" s="2" t="s">
        <v>433</v>
      </c>
      <c r="V2541" s="2" t="s">
        <v>59</v>
      </c>
      <c r="W2541" s="2">
        <v>43.8</v>
      </c>
      <c r="X2541" s="2">
        <v>23.2</v>
      </c>
      <c r="Y2541" s="2" t="s">
        <v>408</v>
      </c>
      <c r="Z2541" s="2" t="s">
        <v>16981</v>
      </c>
      <c r="AA2541" s="2">
        <v>-0.31231570628299798</v>
      </c>
      <c r="AB2541" s="2">
        <v>0.316728601687089</v>
      </c>
      <c r="AC2541" s="2">
        <v>9891.3508386333197</v>
      </c>
      <c r="AD2541" s="2">
        <v>16658.386972851498</v>
      </c>
      <c r="AE2541" s="2">
        <v>9779.9082677256392</v>
      </c>
      <c r="AF2541" s="2">
        <v>10775.9286897972</v>
      </c>
      <c r="AG2541" s="2">
        <v>9480.9108116917505</v>
      </c>
      <c r="AH2541" s="2">
        <v>9159.9380737911997</v>
      </c>
      <c r="AI2541" s="2">
        <v>9015.19722255122</v>
      </c>
      <c r="AJ2541" s="2">
        <v>11136.2219662429</v>
      </c>
      <c r="AK2541" s="2">
        <v>17475.798791126501</v>
      </c>
      <c r="AL2541" s="2">
        <v>16320.488407532701</v>
      </c>
      <c r="AM2541" s="2">
        <v>17702.0021482667</v>
      </c>
      <c r="AN2541" s="2">
        <v>16330.970654827101</v>
      </c>
      <c r="AO2541" s="2">
        <v>15446.5150334263</v>
      </c>
      <c r="AP2541" s="2">
        <v>16674.546801929999</v>
      </c>
    </row>
    <row r="2542" spans="1:42" ht="14.5" x14ac:dyDescent="0.35">
      <c r="A2542" s="2" t="s">
        <v>16982</v>
      </c>
      <c r="B2542" s="2">
        <v>608.48798268164796</v>
      </c>
      <c r="C2542" s="2">
        <v>14.6675</v>
      </c>
      <c r="D2542" s="2" t="s">
        <v>34</v>
      </c>
      <c r="E2542" s="2" t="s">
        <v>16983</v>
      </c>
      <c r="F2542" s="2">
        <v>242952</v>
      </c>
      <c r="G2542" s="3" t="str">
        <f>HYPERLINK("http://funmeta.oebiotech.com/network/242952", "http://funmeta.oebiotech.com/network/242952")</f>
        <v>http://funmeta.oebiotech.com/network/242952</v>
      </c>
      <c r="H2542" s="2" t="s">
        <v>16984</v>
      </c>
      <c r="I2542" s="2"/>
      <c r="J2542" s="2"/>
      <c r="K2542" s="2"/>
      <c r="L2542" s="2"/>
      <c r="M2542" s="2"/>
      <c r="N2542" s="2"/>
      <c r="O2542" s="2"/>
      <c r="P2542" s="2"/>
      <c r="Q2542" s="2" t="s">
        <v>16985</v>
      </c>
      <c r="R2542" s="2" t="s">
        <v>16986</v>
      </c>
      <c r="S2542" s="2" t="s">
        <v>41</v>
      </c>
      <c r="T2542" s="2" t="s">
        <v>41</v>
      </c>
      <c r="U2542" s="2" t="s">
        <v>41</v>
      </c>
      <c r="V2542" s="2" t="s">
        <v>59</v>
      </c>
      <c r="W2542" s="2">
        <v>36.6</v>
      </c>
      <c r="X2542" s="2">
        <v>0</v>
      </c>
      <c r="Y2542" s="2" t="s">
        <v>394</v>
      </c>
      <c r="Z2542" s="2" t="s">
        <v>16987</v>
      </c>
      <c r="AA2542" s="2">
        <v>-0.79435721014361804</v>
      </c>
      <c r="AB2542" s="2">
        <v>0.31664162359784997</v>
      </c>
      <c r="AC2542" s="2">
        <v>19580.451873522899</v>
      </c>
      <c r="AD2542" s="2">
        <v>12096.3927424985</v>
      </c>
      <c r="AE2542" s="2">
        <v>16401.4561316949</v>
      </c>
      <c r="AF2542" s="2">
        <v>17847.856642505201</v>
      </c>
      <c r="AG2542" s="2">
        <v>19444.873489034999</v>
      </c>
      <c r="AH2542" s="2">
        <v>21029.977751426901</v>
      </c>
      <c r="AI2542" s="2">
        <v>17993.809841503298</v>
      </c>
      <c r="AJ2542" s="2">
        <v>24764.737384971999</v>
      </c>
      <c r="AK2542" s="2">
        <v>12882.2278559891</v>
      </c>
      <c r="AL2542" s="2">
        <v>11644.705252571601</v>
      </c>
      <c r="AM2542" s="2">
        <v>13128.421485532601</v>
      </c>
      <c r="AN2542" s="2">
        <v>11153.9109107284</v>
      </c>
      <c r="AO2542" s="2">
        <v>12918.0582332419</v>
      </c>
      <c r="AP2542" s="2">
        <v>10851.032716927401</v>
      </c>
    </row>
    <row r="2543" spans="1:42" ht="14.5" x14ac:dyDescent="0.35">
      <c r="A2543" s="2" t="s">
        <v>16988</v>
      </c>
      <c r="B2543" s="2">
        <v>321.06335041266499</v>
      </c>
      <c r="C2543" s="2">
        <v>2.0508333333333302</v>
      </c>
      <c r="D2543" s="2" t="s">
        <v>34</v>
      </c>
      <c r="E2543" s="2" t="s">
        <v>16989</v>
      </c>
      <c r="F2543" s="2">
        <v>199115</v>
      </c>
      <c r="G2543" s="3" t="str">
        <f>HYPERLINK("http://funmeta.oebiotech.com/network/199115", "http://funmeta.oebiotech.com/network/199115")</f>
        <v>http://funmeta.oebiotech.com/network/199115</v>
      </c>
      <c r="H2543" s="2" t="s">
        <v>16990</v>
      </c>
      <c r="I2543" s="2"/>
      <c r="J2543" s="2"/>
      <c r="K2543" s="2"/>
      <c r="L2543" s="2"/>
      <c r="M2543" s="2"/>
      <c r="N2543" s="2"/>
      <c r="O2543" s="2">
        <v>237358</v>
      </c>
      <c r="P2543" s="2"/>
      <c r="Q2543" s="2" t="s">
        <v>16991</v>
      </c>
      <c r="R2543" s="2" t="s">
        <v>16992</v>
      </c>
      <c r="S2543" s="2" t="s">
        <v>1444</v>
      </c>
      <c r="T2543" s="2" t="s">
        <v>3595</v>
      </c>
      <c r="U2543" s="2" t="s">
        <v>41</v>
      </c>
      <c r="V2543" s="2" t="s">
        <v>42</v>
      </c>
      <c r="W2543" s="2">
        <v>47.5</v>
      </c>
      <c r="X2543" s="2">
        <v>56.6</v>
      </c>
      <c r="Y2543" s="2" t="s">
        <v>323</v>
      </c>
      <c r="Z2543" s="2" t="s">
        <v>16993</v>
      </c>
      <c r="AA2543" s="2">
        <v>1.8578843935926801</v>
      </c>
      <c r="AB2543" s="2">
        <v>0.316535820002741</v>
      </c>
      <c r="AC2543" s="2">
        <v>48628.117396505302</v>
      </c>
      <c r="AD2543" s="2">
        <v>41498.752065020301</v>
      </c>
      <c r="AE2543" s="2">
        <v>49937.045626595398</v>
      </c>
      <c r="AF2543" s="2">
        <v>48093.541479486303</v>
      </c>
      <c r="AG2543" s="2">
        <v>48162.498270505399</v>
      </c>
      <c r="AH2543" s="2">
        <v>47622.314500528497</v>
      </c>
      <c r="AI2543" s="2">
        <v>50561.879558178698</v>
      </c>
      <c r="AJ2543" s="2">
        <v>47391.424943737802</v>
      </c>
      <c r="AK2543" s="2">
        <v>40939.402046862102</v>
      </c>
      <c r="AL2543" s="2">
        <v>42098.445054782504</v>
      </c>
      <c r="AM2543" s="2">
        <v>40938.283511947702</v>
      </c>
      <c r="AN2543" s="2">
        <v>41896.519971645699</v>
      </c>
      <c r="AO2543" s="2">
        <v>38698.330593160099</v>
      </c>
      <c r="AP2543" s="2">
        <v>44421.531211723603</v>
      </c>
    </row>
    <row r="2544" spans="1:42" ht="14.5" x14ac:dyDescent="0.35">
      <c r="A2544" s="2" t="s">
        <v>16994</v>
      </c>
      <c r="B2544" s="2">
        <v>473.202853181975</v>
      </c>
      <c r="C2544" s="2">
        <v>4.7765333333333304</v>
      </c>
      <c r="D2544" s="2" t="s">
        <v>70</v>
      </c>
      <c r="E2544" s="2" t="s">
        <v>16995</v>
      </c>
      <c r="F2544" s="2">
        <v>256612</v>
      </c>
      <c r="G2544" s="3" t="str">
        <f>HYPERLINK("http://funmeta.oebiotech.com/network/256612", "http://funmeta.oebiotech.com/network/256612")</f>
        <v>http://funmeta.oebiotech.com/network/256612</v>
      </c>
      <c r="H2544" s="2" t="s">
        <v>16996</v>
      </c>
      <c r="I2544" s="2"/>
      <c r="J2544" s="2"/>
      <c r="K2544" s="2"/>
      <c r="L2544" s="2"/>
      <c r="M2544" s="2"/>
      <c r="N2544" s="2"/>
      <c r="O2544" s="2"/>
      <c r="P2544" s="2"/>
      <c r="Q2544" s="2" t="s">
        <v>16997</v>
      </c>
      <c r="R2544" s="2" t="s">
        <v>16998</v>
      </c>
      <c r="S2544" s="2" t="s">
        <v>50</v>
      </c>
      <c r="T2544" s="2" t="s">
        <v>201</v>
      </c>
      <c r="U2544" s="2" t="s">
        <v>1217</v>
      </c>
      <c r="V2544" s="2" t="s">
        <v>42</v>
      </c>
      <c r="W2544" s="2">
        <v>53.7</v>
      </c>
      <c r="X2544" s="2">
        <v>73.400000000000006</v>
      </c>
      <c r="Y2544" s="2" t="s">
        <v>408</v>
      </c>
      <c r="Z2544" s="2" t="s">
        <v>16999</v>
      </c>
      <c r="AA2544" s="2">
        <v>4.1358018461863502E-2</v>
      </c>
      <c r="AB2544" s="2">
        <v>0.31638520952886701</v>
      </c>
      <c r="AC2544" s="2">
        <v>89463.689737008899</v>
      </c>
      <c r="AD2544" s="2">
        <v>97142.753491590003</v>
      </c>
      <c r="AE2544" s="2">
        <v>91295.973511231103</v>
      </c>
      <c r="AF2544" s="2">
        <v>87964.699698684504</v>
      </c>
      <c r="AG2544" s="2">
        <v>93962.885454747797</v>
      </c>
      <c r="AH2544" s="2">
        <v>84669.063823163393</v>
      </c>
      <c r="AI2544" s="2">
        <v>89679.183197567894</v>
      </c>
      <c r="AJ2544" s="2">
        <v>89210.332736658995</v>
      </c>
      <c r="AK2544" s="2">
        <v>96111.323179627594</v>
      </c>
      <c r="AL2544" s="2">
        <v>94991.395204653702</v>
      </c>
      <c r="AM2544" s="2">
        <v>96605.252822001101</v>
      </c>
      <c r="AN2544" s="2">
        <v>99284.243435499098</v>
      </c>
      <c r="AO2544" s="2">
        <v>99447.242778847896</v>
      </c>
      <c r="AP2544" s="2">
        <v>96417.063528910599</v>
      </c>
    </row>
    <row r="2545" spans="1:42" ht="14.5" x14ac:dyDescent="0.35">
      <c r="A2545" s="2" t="s">
        <v>17000</v>
      </c>
      <c r="B2545" s="2">
        <v>684.300163284007</v>
      </c>
      <c r="C2545" s="2">
        <v>6.8577833333333302</v>
      </c>
      <c r="D2545" s="2" t="s">
        <v>70</v>
      </c>
      <c r="E2545" s="2" t="s">
        <v>17001</v>
      </c>
      <c r="F2545" s="2">
        <v>28287</v>
      </c>
      <c r="G2545" s="3" t="str">
        <f>HYPERLINK("http://funmeta.oebiotech.com/network/28287", "http://funmeta.oebiotech.com/network/28287")</f>
        <v>http://funmeta.oebiotech.com/network/28287</v>
      </c>
      <c r="H2545" s="2"/>
      <c r="I2545" s="2"/>
      <c r="J2545" s="2" t="s">
        <v>17002</v>
      </c>
      <c r="K2545" s="2"/>
      <c r="L2545" s="2" t="s">
        <v>17003</v>
      </c>
      <c r="M2545" s="2" t="s">
        <v>1390</v>
      </c>
      <c r="N2545" s="2" t="s">
        <v>1391</v>
      </c>
      <c r="O2545" s="2">
        <v>11954004</v>
      </c>
      <c r="P2545" s="2"/>
      <c r="Q2545" s="2" t="s">
        <v>17004</v>
      </c>
      <c r="R2545" s="2" t="s">
        <v>17005</v>
      </c>
      <c r="S2545" s="2" t="s">
        <v>115</v>
      </c>
      <c r="T2545" s="2" t="s">
        <v>6130</v>
      </c>
      <c r="U2545" s="2" t="s">
        <v>41</v>
      </c>
      <c r="V2545" s="2" t="s">
        <v>42</v>
      </c>
      <c r="W2545" s="2">
        <v>37</v>
      </c>
      <c r="X2545" s="2">
        <v>60.4</v>
      </c>
      <c r="Y2545" s="2" t="s">
        <v>408</v>
      </c>
      <c r="Z2545" s="2" t="s">
        <v>17006</v>
      </c>
      <c r="AA2545" s="2">
        <v>-3.7325407765623102</v>
      </c>
      <c r="AB2545" s="2">
        <v>0.316380999780635</v>
      </c>
      <c r="AC2545" s="2">
        <v>96692.227940448603</v>
      </c>
      <c r="AD2545" s="2">
        <v>106771.606367603</v>
      </c>
      <c r="AE2545" s="2">
        <v>99305.721930186803</v>
      </c>
      <c r="AF2545" s="2">
        <v>94477.702714300394</v>
      </c>
      <c r="AG2545" s="2">
        <v>99289.881901910107</v>
      </c>
      <c r="AH2545" s="2">
        <v>96267.901330162698</v>
      </c>
      <c r="AI2545" s="2">
        <v>93065.089373493</v>
      </c>
      <c r="AJ2545" s="2">
        <v>97747.070392638896</v>
      </c>
      <c r="AK2545" s="2">
        <v>96538.779078692998</v>
      </c>
      <c r="AL2545" s="2">
        <v>121171.741955955</v>
      </c>
      <c r="AM2545" s="2">
        <v>111816.478432733</v>
      </c>
      <c r="AN2545" s="2">
        <v>103913.231170475</v>
      </c>
      <c r="AO2545" s="2">
        <v>103699.59367664201</v>
      </c>
      <c r="AP2545" s="2">
        <v>103489.813891117</v>
      </c>
    </row>
    <row r="2546" spans="1:42" ht="14.5" x14ac:dyDescent="0.35">
      <c r="A2546" s="2" t="s">
        <v>17007</v>
      </c>
      <c r="B2546" s="2">
        <v>319.08210729112898</v>
      </c>
      <c r="C2546" s="2">
        <v>4.3281833333333299</v>
      </c>
      <c r="D2546" s="2" t="s">
        <v>70</v>
      </c>
      <c r="E2546" s="2" t="s">
        <v>17008</v>
      </c>
      <c r="F2546" s="2">
        <v>534683</v>
      </c>
      <c r="G2546" s="3" t="str">
        <f>HYPERLINK("http://funmeta.oebiotech.com/network/534683", "http://funmeta.oebiotech.com/network/534683")</f>
        <v>http://funmeta.oebiotech.com/network/534683</v>
      </c>
      <c r="H2546" s="2"/>
      <c r="I2546" s="2">
        <v>985080</v>
      </c>
      <c r="J2546" s="2"/>
      <c r="K2546" s="2"/>
      <c r="L2546" s="2"/>
      <c r="M2546" s="2"/>
      <c r="N2546" s="2"/>
      <c r="O2546" s="2">
        <v>10358625</v>
      </c>
      <c r="P2546" s="2"/>
      <c r="Q2546" s="2" t="s">
        <v>17009</v>
      </c>
      <c r="R2546" s="2" t="s">
        <v>17010</v>
      </c>
      <c r="S2546" s="2" t="s">
        <v>148</v>
      </c>
      <c r="T2546" s="2" t="s">
        <v>149</v>
      </c>
      <c r="U2546" s="2" t="s">
        <v>5024</v>
      </c>
      <c r="V2546" s="2" t="s">
        <v>59</v>
      </c>
      <c r="W2546" s="2">
        <v>47.4</v>
      </c>
      <c r="X2546" s="2">
        <v>43</v>
      </c>
      <c r="Y2546" s="2" t="s">
        <v>17011</v>
      </c>
      <c r="Z2546" s="2" t="s">
        <v>13049</v>
      </c>
      <c r="AA2546" s="2">
        <v>-0.68457990917598699</v>
      </c>
      <c r="AB2546" s="2">
        <v>0.31622329833178198</v>
      </c>
      <c r="AC2546" s="2">
        <v>20572.0054942856</v>
      </c>
      <c r="AD2546" s="2">
        <v>27483.639060631998</v>
      </c>
      <c r="AE2546" s="2">
        <v>20315.1322519401</v>
      </c>
      <c r="AF2546" s="2">
        <v>20571.886015985401</v>
      </c>
      <c r="AG2546" s="2">
        <v>22513.9692675607</v>
      </c>
      <c r="AH2546" s="2">
        <v>20269.4376765077</v>
      </c>
      <c r="AI2546" s="2">
        <v>19081.0883042071</v>
      </c>
      <c r="AJ2546" s="2">
        <v>20680.519449512602</v>
      </c>
      <c r="AK2546" s="2">
        <v>26434.6372581332</v>
      </c>
      <c r="AL2546" s="2">
        <v>29835.395011655899</v>
      </c>
      <c r="AM2546" s="2">
        <v>27788.042026316201</v>
      </c>
      <c r="AN2546" s="2">
        <v>26539.8648073107</v>
      </c>
      <c r="AO2546" s="2">
        <v>27147.501384114501</v>
      </c>
      <c r="AP2546" s="2">
        <v>27156.393876261802</v>
      </c>
    </row>
    <row r="2547" spans="1:42" ht="14.5" x14ac:dyDescent="0.35">
      <c r="A2547" s="2" t="s">
        <v>17012</v>
      </c>
      <c r="B2547" s="2">
        <v>329.04869950909199</v>
      </c>
      <c r="C2547" s="2">
        <v>0.90876666666666694</v>
      </c>
      <c r="D2547" s="2" t="s">
        <v>70</v>
      </c>
      <c r="E2547" s="2" t="s">
        <v>17013</v>
      </c>
      <c r="F2547" s="2">
        <v>209898</v>
      </c>
      <c r="G2547" s="3" t="str">
        <f>HYPERLINK("http://funmeta.oebiotech.com/network/209898", "http://funmeta.oebiotech.com/network/209898")</f>
        <v>http://funmeta.oebiotech.com/network/209898</v>
      </c>
      <c r="H2547" s="2" t="s">
        <v>17014</v>
      </c>
      <c r="I2547" s="2"/>
      <c r="J2547" s="2"/>
      <c r="K2547" s="2"/>
      <c r="L2547" s="2"/>
      <c r="M2547" s="2"/>
      <c r="N2547" s="2"/>
      <c r="O2547" s="2">
        <v>135767295</v>
      </c>
      <c r="P2547" s="2"/>
      <c r="Q2547" s="2" t="s">
        <v>17015</v>
      </c>
      <c r="R2547" s="2" t="s">
        <v>17016</v>
      </c>
      <c r="S2547" s="2" t="s">
        <v>41</v>
      </c>
      <c r="T2547" s="2" t="s">
        <v>41</v>
      </c>
      <c r="U2547" s="2" t="s">
        <v>41</v>
      </c>
      <c r="V2547" s="2" t="s">
        <v>59</v>
      </c>
      <c r="W2547" s="2">
        <v>39.299999999999997</v>
      </c>
      <c r="X2547" s="2">
        <v>10.9</v>
      </c>
      <c r="Y2547" s="2" t="s">
        <v>560</v>
      </c>
      <c r="Z2547" s="2" t="s">
        <v>17017</v>
      </c>
      <c r="AA2547" s="2">
        <v>-4.1592092199243798</v>
      </c>
      <c r="AB2547" s="2">
        <v>0.31594231384792998</v>
      </c>
      <c r="AC2547" s="2">
        <v>131258.14881264401</v>
      </c>
      <c r="AD2547" s="2">
        <v>143577.424461563</v>
      </c>
      <c r="AE2547" s="2">
        <v>128896.706688345</v>
      </c>
      <c r="AF2547" s="2">
        <v>121898.89215232201</v>
      </c>
      <c r="AG2547" s="2">
        <v>146245.745538282</v>
      </c>
      <c r="AH2547" s="2">
        <v>137590.152643312</v>
      </c>
      <c r="AI2547" s="2">
        <v>136377.65564806</v>
      </c>
      <c r="AJ2547" s="2">
        <v>116539.74020554</v>
      </c>
      <c r="AK2547" s="2">
        <v>149608.730204066</v>
      </c>
      <c r="AL2547" s="2">
        <v>140558.11293631399</v>
      </c>
      <c r="AM2547" s="2">
        <v>126351.817372231</v>
      </c>
      <c r="AN2547" s="2">
        <v>140248.21504654401</v>
      </c>
      <c r="AO2547" s="2">
        <v>157324.335737338</v>
      </c>
      <c r="AP2547" s="2">
        <v>147373.33547288601</v>
      </c>
    </row>
    <row r="2548" spans="1:42" ht="14.5" x14ac:dyDescent="0.35">
      <c r="A2548" s="2" t="s">
        <v>17018</v>
      </c>
      <c r="B2548" s="2">
        <v>297.16807497917603</v>
      </c>
      <c r="C2548" s="2">
        <v>9.7873000000000001</v>
      </c>
      <c r="D2548" s="2" t="s">
        <v>70</v>
      </c>
      <c r="E2548" s="2" t="s">
        <v>17019</v>
      </c>
      <c r="F2548" s="2">
        <v>267435</v>
      </c>
      <c r="G2548" s="3" t="str">
        <f>HYPERLINK("http://funmeta.oebiotech.com/network/267435", "http://funmeta.oebiotech.com/network/267435")</f>
        <v>http://funmeta.oebiotech.com/network/267435</v>
      </c>
      <c r="H2548" s="2"/>
      <c r="I2548" s="2">
        <v>45459</v>
      </c>
      <c r="J2548" s="2"/>
      <c r="K2548" s="2"/>
      <c r="L2548" s="2"/>
      <c r="M2548" s="2"/>
      <c r="N2548" s="2"/>
      <c r="O2548" s="2">
        <v>44600450</v>
      </c>
      <c r="P2548" s="2"/>
      <c r="Q2548" s="2" t="s">
        <v>17020</v>
      </c>
      <c r="R2548" s="2" t="s">
        <v>17021</v>
      </c>
      <c r="S2548" s="2" t="s">
        <v>79</v>
      </c>
      <c r="T2548" s="2" t="s">
        <v>80</v>
      </c>
      <c r="U2548" s="2" t="s">
        <v>2021</v>
      </c>
      <c r="V2548" s="2" t="s">
        <v>59</v>
      </c>
      <c r="W2548" s="2">
        <v>39.4</v>
      </c>
      <c r="X2548" s="2">
        <v>13.8</v>
      </c>
      <c r="Y2548" s="2" t="s">
        <v>118</v>
      </c>
      <c r="Z2548" s="2" t="s">
        <v>6624</v>
      </c>
      <c r="AA2548" s="2">
        <v>-8.9628350494371496</v>
      </c>
      <c r="AB2548" s="2">
        <v>0.31572964178789198</v>
      </c>
      <c r="AC2548" s="2">
        <v>35868.778972454602</v>
      </c>
      <c r="AD2548" s="2">
        <v>43402.4867384061</v>
      </c>
      <c r="AE2548" s="2">
        <v>35027.460654101204</v>
      </c>
      <c r="AF2548" s="2">
        <v>37178.027033147802</v>
      </c>
      <c r="AG2548" s="2">
        <v>35299.0628061444</v>
      </c>
      <c r="AH2548" s="2">
        <v>36902.841753455803</v>
      </c>
      <c r="AI2548" s="2">
        <v>34526.207340216402</v>
      </c>
      <c r="AJ2548" s="2">
        <v>36279.074247662102</v>
      </c>
      <c r="AK2548" s="2">
        <v>47277.757265512897</v>
      </c>
      <c r="AL2548" s="2">
        <v>46256.7283490923</v>
      </c>
      <c r="AM2548" s="2">
        <v>40520.643783453503</v>
      </c>
      <c r="AN2548" s="2">
        <v>43049.742062692203</v>
      </c>
      <c r="AO2548" s="2">
        <v>43861.606761009803</v>
      </c>
      <c r="AP2548" s="2">
        <v>39448.4422086759</v>
      </c>
    </row>
    <row r="2549" spans="1:42" ht="14.5" x14ac:dyDescent="0.35">
      <c r="A2549" s="2" t="s">
        <v>17022</v>
      </c>
      <c r="B2549" s="2">
        <v>659.228246334495</v>
      </c>
      <c r="C2549" s="2">
        <v>6.26755</v>
      </c>
      <c r="D2549" s="2" t="s">
        <v>34</v>
      </c>
      <c r="E2549" s="2" t="s">
        <v>17023</v>
      </c>
      <c r="F2549" s="2">
        <v>59772</v>
      </c>
      <c r="G2549" s="3" t="str">
        <f>HYPERLINK("http://funmeta.oebiotech.com/network/59772", "http://funmeta.oebiotech.com/network/59772")</f>
        <v>http://funmeta.oebiotech.com/network/59772</v>
      </c>
      <c r="H2549" s="2" t="s">
        <v>17024</v>
      </c>
      <c r="I2549" s="2">
        <v>91147</v>
      </c>
      <c r="J2549" s="2"/>
      <c r="K2549" s="2">
        <v>176286</v>
      </c>
      <c r="L2549" s="2"/>
      <c r="M2549" s="2"/>
      <c r="N2549" s="2"/>
      <c r="O2549" s="2">
        <v>14681573</v>
      </c>
      <c r="P2549" s="2" t="s">
        <v>17025</v>
      </c>
      <c r="Q2549" s="2" t="s">
        <v>17026</v>
      </c>
      <c r="R2549" s="2" t="s">
        <v>17027</v>
      </c>
      <c r="S2549" s="2" t="s">
        <v>115</v>
      </c>
      <c r="T2549" s="2" t="s">
        <v>12600</v>
      </c>
      <c r="U2549" s="2" t="s">
        <v>12601</v>
      </c>
      <c r="V2549" s="2" t="s">
        <v>59</v>
      </c>
      <c r="W2549" s="2">
        <v>38.200000000000003</v>
      </c>
      <c r="X2549" s="2">
        <v>0</v>
      </c>
      <c r="Y2549" s="2" t="s">
        <v>141</v>
      </c>
      <c r="Z2549" s="2" t="s">
        <v>17028</v>
      </c>
      <c r="AA2549" s="2">
        <v>1.0162718511631601</v>
      </c>
      <c r="AB2549" s="2">
        <v>0.31569337048667501</v>
      </c>
      <c r="AC2549" s="2">
        <v>101092.817601038</v>
      </c>
      <c r="AD2549" s="2">
        <v>110407.115731846</v>
      </c>
      <c r="AE2549" s="2">
        <v>94551.4393073994</v>
      </c>
      <c r="AF2549" s="2">
        <v>104321.873738867</v>
      </c>
      <c r="AG2549" s="2">
        <v>95888.736308379099</v>
      </c>
      <c r="AH2549" s="2">
        <v>99454.003612491404</v>
      </c>
      <c r="AI2549" s="2">
        <v>102417.755798333</v>
      </c>
      <c r="AJ2549" s="2">
        <v>109923.096840756</v>
      </c>
      <c r="AK2549" s="2">
        <v>103455.40390437101</v>
      </c>
      <c r="AL2549" s="2">
        <v>114671.935054154</v>
      </c>
      <c r="AM2549" s="2">
        <v>111782.45313384999</v>
      </c>
      <c r="AN2549" s="2">
        <v>108284.012029816</v>
      </c>
      <c r="AO2549" s="2">
        <v>116002.982517989</v>
      </c>
      <c r="AP2549" s="2">
        <v>108245.907750899</v>
      </c>
    </row>
    <row r="2550" spans="1:42" ht="14.5" x14ac:dyDescent="0.35">
      <c r="A2550" s="2" t="s">
        <v>17029</v>
      </c>
      <c r="B2550" s="2">
        <v>469.18653326031102</v>
      </c>
      <c r="C2550" s="2">
        <v>6.4626999999999999</v>
      </c>
      <c r="D2550" s="2" t="s">
        <v>70</v>
      </c>
      <c r="E2550" s="2" t="s">
        <v>17030</v>
      </c>
      <c r="F2550" s="2">
        <v>34640</v>
      </c>
      <c r="G2550" s="3" t="str">
        <f>HYPERLINK("http://funmeta.oebiotech.com/network/34640", "http://funmeta.oebiotech.com/network/34640")</f>
        <v>http://funmeta.oebiotech.com/network/34640</v>
      </c>
      <c r="H2550" s="2" t="s">
        <v>17031</v>
      </c>
      <c r="I2550" s="2"/>
      <c r="J2550" s="2" t="s">
        <v>17032</v>
      </c>
      <c r="K2550" s="2"/>
      <c r="L2550" s="2"/>
      <c r="M2550" s="2"/>
      <c r="N2550" s="2"/>
      <c r="O2550" s="2">
        <v>73198</v>
      </c>
      <c r="P2550" s="2"/>
      <c r="Q2550" s="2" t="s">
        <v>17033</v>
      </c>
      <c r="R2550" s="2" t="s">
        <v>17034</v>
      </c>
      <c r="S2550" s="2" t="s">
        <v>115</v>
      </c>
      <c r="T2550" s="2" t="s">
        <v>139</v>
      </c>
      <c r="U2550" s="2" t="s">
        <v>1437</v>
      </c>
      <c r="V2550" s="2" t="s">
        <v>59</v>
      </c>
      <c r="W2550" s="2">
        <v>46.5</v>
      </c>
      <c r="X2550" s="2">
        <v>38</v>
      </c>
      <c r="Y2550" s="2" t="s">
        <v>408</v>
      </c>
      <c r="Z2550" s="2" t="s">
        <v>17035</v>
      </c>
      <c r="AA2550" s="2">
        <v>-0.608750485328724</v>
      </c>
      <c r="AB2550" s="2">
        <v>0.315592185839561</v>
      </c>
      <c r="AC2550" s="2">
        <v>30311.263208897599</v>
      </c>
      <c r="AD2550" s="2">
        <v>23528.2154204539</v>
      </c>
      <c r="AE2550" s="2">
        <v>30959.663727981799</v>
      </c>
      <c r="AF2550" s="2">
        <v>30879.036869238</v>
      </c>
      <c r="AG2550" s="2">
        <v>28779.226339635799</v>
      </c>
      <c r="AH2550" s="2">
        <v>30134.5157255136</v>
      </c>
      <c r="AI2550" s="2">
        <v>29000.4501938588</v>
      </c>
      <c r="AJ2550" s="2">
        <v>32114.686397157599</v>
      </c>
      <c r="AK2550" s="2">
        <v>22756.790570451602</v>
      </c>
      <c r="AL2550" s="2">
        <v>23194.333922305901</v>
      </c>
      <c r="AM2550" s="2">
        <v>23776.3088072547</v>
      </c>
      <c r="AN2550" s="2">
        <v>24836.9278204886</v>
      </c>
      <c r="AO2550" s="2">
        <v>22971.907484569001</v>
      </c>
      <c r="AP2550" s="2">
        <v>23633.023917653602</v>
      </c>
    </row>
    <row r="2551" spans="1:42" ht="14.5" x14ac:dyDescent="0.35">
      <c r="A2551" s="2" t="s">
        <v>17036</v>
      </c>
      <c r="B2551" s="2">
        <v>597.37579333369104</v>
      </c>
      <c r="C2551" s="2">
        <v>11.762983333333301</v>
      </c>
      <c r="D2551" s="2" t="s">
        <v>34</v>
      </c>
      <c r="E2551" s="2" t="s">
        <v>17037</v>
      </c>
      <c r="F2551" s="2">
        <v>210310</v>
      </c>
      <c r="G2551" s="3" t="str">
        <f>HYPERLINK("http://funmeta.oebiotech.com/network/210310", "http://funmeta.oebiotech.com/network/210310")</f>
        <v>http://funmeta.oebiotech.com/network/210310</v>
      </c>
      <c r="H2551" s="2" t="s">
        <v>17038</v>
      </c>
      <c r="I2551" s="2"/>
      <c r="J2551" s="2"/>
      <c r="K2551" s="2"/>
      <c r="L2551" s="2"/>
      <c r="M2551" s="2"/>
      <c r="N2551" s="2"/>
      <c r="O2551" s="2">
        <v>19003476</v>
      </c>
      <c r="P2551" s="2"/>
      <c r="Q2551" s="2" t="s">
        <v>17039</v>
      </c>
      <c r="R2551" s="2" t="s">
        <v>17040</v>
      </c>
      <c r="S2551" s="2" t="s">
        <v>41</v>
      </c>
      <c r="T2551" s="2" t="s">
        <v>41</v>
      </c>
      <c r="U2551" s="2" t="s">
        <v>41</v>
      </c>
      <c r="V2551" s="2" t="s">
        <v>59</v>
      </c>
      <c r="W2551" s="2">
        <v>40.299999999999997</v>
      </c>
      <c r="X2551" s="2">
        <v>4.7699999999999996</v>
      </c>
      <c r="Y2551" s="2" t="s">
        <v>323</v>
      </c>
      <c r="Z2551" s="2" t="s">
        <v>17041</v>
      </c>
      <c r="AA2551" s="2">
        <v>-0.664038425741864</v>
      </c>
      <c r="AB2551" s="2">
        <v>0.31544081121207102</v>
      </c>
      <c r="AC2551" s="2">
        <v>10183.7509868334</v>
      </c>
      <c r="AD2551" s="2">
        <v>17601.567211577101</v>
      </c>
      <c r="AE2551" s="2">
        <v>10654.1340123229</v>
      </c>
      <c r="AF2551" s="2">
        <v>9080.5322079748694</v>
      </c>
      <c r="AG2551" s="2">
        <v>9723.3336012594791</v>
      </c>
      <c r="AH2551" s="2">
        <v>9177.6517241576094</v>
      </c>
      <c r="AI2551" s="2">
        <v>10102.4752798674</v>
      </c>
      <c r="AJ2551" s="2">
        <v>12364.3790954179</v>
      </c>
      <c r="AK2551" s="2">
        <v>14441.4034484154</v>
      </c>
      <c r="AL2551" s="2">
        <v>16045.602110232399</v>
      </c>
      <c r="AM2551" s="2">
        <v>21755.473700750601</v>
      </c>
      <c r="AN2551" s="2">
        <v>15151.4230563087</v>
      </c>
      <c r="AO2551" s="2">
        <v>18361.1691081629</v>
      </c>
      <c r="AP2551" s="2">
        <v>19854.3318455929</v>
      </c>
    </row>
    <row r="2552" spans="1:42" ht="14.5" x14ac:dyDescent="0.35">
      <c r="A2552" s="2" t="s">
        <v>17042</v>
      </c>
      <c r="B2552" s="2">
        <v>217.15844431033199</v>
      </c>
      <c r="C2552" s="2">
        <v>6.2166833333333296</v>
      </c>
      <c r="D2552" s="2" t="s">
        <v>34</v>
      </c>
      <c r="E2552" s="2" t="s">
        <v>17043</v>
      </c>
      <c r="F2552" s="2">
        <v>35588</v>
      </c>
      <c r="G2552" s="3" t="str">
        <f>HYPERLINK("http://funmeta.oebiotech.com/network/35588", "http://funmeta.oebiotech.com/network/35588")</f>
        <v>http://funmeta.oebiotech.com/network/35588</v>
      </c>
      <c r="H2552" s="2"/>
      <c r="I2552" s="2">
        <v>53403</v>
      </c>
      <c r="J2552" s="2" t="s">
        <v>17044</v>
      </c>
      <c r="K2552" s="2"/>
      <c r="L2552" s="2"/>
      <c r="M2552" s="2"/>
      <c r="N2552" s="2"/>
      <c r="O2552" s="2">
        <v>21778220</v>
      </c>
      <c r="P2552" s="2"/>
      <c r="Q2552" s="2" t="s">
        <v>17045</v>
      </c>
      <c r="R2552" s="2" t="s">
        <v>17046</v>
      </c>
      <c r="S2552" s="2" t="s">
        <v>148</v>
      </c>
      <c r="T2552" s="2" t="s">
        <v>392</v>
      </c>
      <c r="U2552" s="2" t="s">
        <v>17047</v>
      </c>
      <c r="V2552" s="2" t="s">
        <v>59</v>
      </c>
      <c r="W2552" s="2">
        <v>46</v>
      </c>
      <c r="X2552" s="2">
        <v>37.299999999999997</v>
      </c>
      <c r="Y2552" s="2" t="s">
        <v>266</v>
      </c>
      <c r="Z2552" s="2" t="s">
        <v>17048</v>
      </c>
      <c r="AA2552" s="2">
        <v>-1.1444876625266101</v>
      </c>
      <c r="AB2552" s="2">
        <v>0.31537053481458099</v>
      </c>
      <c r="AC2552" s="2">
        <v>38859.315321322698</v>
      </c>
      <c r="AD2552" s="2">
        <v>32043.2721060648</v>
      </c>
      <c r="AE2552" s="2">
        <v>38813.022299606397</v>
      </c>
      <c r="AF2552" s="2">
        <v>38235.854683680802</v>
      </c>
      <c r="AG2552" s="2">
        <v>37661.155241882603</v>
      </c>
      <c r="AH2552" s="2">
        <v>37474.290693821902</v>
      </c>
      <c r="AI2552" s="2">
        <v>39535.533541258701</v>
      </c>
      <c r="AJ2552" s="2">
        <v>41436.035467685702</v>
      </c>
      <c r="AK2552" s="2">
        <v>31709.4437111277</v>
      </c>
      <c r="AL2552" s="2">
        <v>32419.9286495534</v>
      </c>
      <c r="AM2552" s="2">
        <v>31174.362058936302</v>
      </c>
      <c r="AN2552" s="2">
        <v>32083.224750899499</v>
      </c>
      <c r="AO2552" s="2">
        <v>32395.145993824499</v>
      </c>
      <c r="AP2552" s="2">
        <v>32477.527472047499</v>
      </c>
    </row>
    <row r="2553" spans="1:42" ht="14.5" x14ac:dyDescent="0.35">
      <c r="A2553" s="2" t="s">
        <v>17049</v>
      </c>
      <c r="B2553" s="2">
        <v>442.352370369352</v>
      </c>
      <c r="C2553" s="2">
        <v>11.3852666666667</v>
      </c>
      <c r="D2553" s="2" t="s">
        <v>34</v>
      </c>
      <c r="E2553" s="2" t="s">
        <v>17050</v>
      </c>
      <c r="F2553" s="2">
        <v>207984</v>
      </c>
      <c r="G2553" s="3" t="str">
        <f>HYPERLINK("http://funmeta.oebiotech.com/network/207984", "http://funmeta.oebiotech.com/network/207984")</f>
        <v>http://funmeta.oebiotech.com/network/207984</v>
      </c>
      <c r="H2553" s="2" t="s">
        <v>17051</v>
      </c>
      <c r="I2553" s="2"/>
      <c r="J2553" s="2"/>
      <c r="K2553" s="2"/>
      <c r="L2553" s="2"/>
      <c r="M2553" s="2"/>
      <c r="N2553" s="2"/>
      <c r="O2553" s="2">
        <v>3777</v>
      </c>
      <c r="P2553" s="2"/>
      <c r="Q2553" s="2" t="s">
        <v>17052</v>
      </c>
      <c r="R2553" s="2" t="s">
        <v>17053</v>
      </c>
      <c r="S2553" s="2" t="s">
        <v>50</v>
      </c>
      <c r="T2553" s="2" t="s">
        <v>229</v>
      </c>
      <c r="U2553" s="2" t="s">
        <v>766</v>
      </c>
      <c r="V2553" s="2" t="s">
        <v>59</v>
      </c>
      <c r="W2553" s="2">
        <v>40.6</v>
      </c>
      <c r="X2553" s="2">
        <v>7.38</v>
      </c>
      <c r="Y2553" s="2" t="s">
        <v>43</v>
      </c>
      <c r="Z2553" s="2" t="s">
        <v>17054</v>
      </c>
      <c r="AA2553" s="2">
        <v>-0.77693816645982405</v>
      </c>
      <c r="AB2553" s="2">
        <v>0.31535360087046599</v>
      </c>
      <c r="AC2553" s="2">
        <v>35558.797780931498</v>
      </c>
      <c r="AD2553" s="2">
        <v>20394.858028136001</v>
      </c>
      <c r="AE2553" s="2">
        <v>19834.152603164199</v>
      </c>
      <c r="AF2553" s="2">
        <v>25828.188377241098</v>
      </c>
      <c r="AG2553" s="2">
        <v>27314.085233581998</v>
      </c>
      <c r="AH2553" s="2">
        <v>84646.994771032798</v>
      </c>
      <c r="AI2553" s="2">
        <v>26224.836130506301</v>
      </c>
      <c r="AJ2553" s="2">
        <v>29504.529570062401</v>
      </c>
      <c r="AK2553" s="2">
        <v>13847.7734327701</v>
      </c>
      <c r="AL2553" s="2">
        <v>22529.073064857901</v>
      </c>
      <c r="AM2553" s="2">
        <v>20209.969233478099</v>
      </c>
      <c r="AN2553" s="2">
        <v>23378.3321055259</v>
      </c>
      <c r="AO2553" s="2">
        <v>23991.865816940699</v>
      </c>
      <c r="AP2553" s="2">
        <v>18412.134515243499</v>
      </c>
    </row>
    <row r="2554" spans="1:42" ht="14.5" x14ac:dyDescent="0.35">
      <c r="A2554" s="2" t="s">
        <v>17055</v>
      </c>
      <c r="B2554" s="2">
        <v>608.318925393011</v>
      </c>
      <c r="C2554" s="2">
        <v>5.31823333333333</v>
      </c>
      <c r="D2554" s="2" t="s">
        <v>34</v>
      </c>
      <c r="E2554" s="2" t="s">
        <v>17056</v>
      </c>
      <c r="F2554" s="2">
        <v>28069</v>
      </c>
      <c r="G2554" s="3" t="str">
        <f>HYPERLINK("http://funmeta.oebiotech.com/network/28069", "http://funmeta.oebiotech.com/network/28069")</f>
        <v>http://funmeta.oebiotech.com/network/28069</v>
      </c>
      <c r="H2554" s="2"/>
      <c r="I2554" s="2"/>
      <c r="J2554" s="2" t="s">
        <v>17057</v>
      </c>
      <c r="K2554" s="2"/>
      <c r="L2554" s="2"/>
      <c r="M2554" s="2"/>
      <c r="N2554" s="2"/>
      <c r="O2554" s="2">
        <v>134812514</v>
      </c>
      <c r="P2554" s="2"/>
      <c r="Q2554" s="2" t="s">
        <v>17058</v>
      </c>
      <c r="R2554" s="2" t="s">
        <v>17059</v>
      </c>
      <c r="S2554" s="2" t="s">
        <v>50</v>
      </c>
      <c r="T2554" s="2" t="s">
        <v>51</v>
      </c>
      <c r="U2554" s="2" t="s">
        <v>273</v>
      </c>
      <c r="V2554" s="2" t="s">
        <v>59</v>
      </c>
      <c r="W2554" s="2">
        <v>38.200000000000003</v>
      </c>
      <c r="X2554" s="2">
        <v>0</v>
      </c>
      <c r="Y2554" s="2" t="s">
        <v>43</v>
      </c>
      <c r="Z2554" s="2" t="s">
        <v>17060</v>
      </c>
      <c r="AA2554" s="2">
        <v>-0.84550502278200201</v>
      </c>
      <c r="AB2554" s="2">
        <v>0.31515300918420303</v>
      </c>
      <c r="AC2554" s="2">
        <v>3523.6369025054601</v>
      </c>
      <c r="AD2554" s="2">
        <v>10253.0827116735</v>
      </c>
      <c r="AE2554" s="2">
        <v>3954.35578507531</v>
      </c>
      <c r="AF2554" s="2">
        <v>4789.2960735240904</v>
      </c>
      <c r="AG2554" s="2">
        <v>3275.8362773269901</v>
      </c>
      <c r="AH2554" s="2">
        <v>2670.45548597267</v>
      </c>
      <c r="AI2554" s="2">
        <v>3583.7776084900902</v>
      </c>
      <c r="AJ2554" s="2">
        <v>2868.1001846436102</v>
      </c>
      <c r="AK2554" s="2">
        <v>9931.1845986050994</v>
      </c>
      <c r="AL2554" s="2">
        <v>9831.6587683418693</v>
      </c>
      <c r="AM2554" s="2">
        <v>10242.4859483481</v>
      </c>
      <c r="AN2554" s="2">
        <v>12240.501873393599</v>
      </c>
      <c r="AO2554" s="2">
        <v>8855.7415254417592</v>
      </c>
      <c r="AP2554" s="2">
        <v>10416.9235559108</v>
      </c>
    </row>
    <row r="2555" spans="1:42" ht="14.5" x14ac:dyDescent="0.35">
      <c r="A2555" s="2" t="s">
        <v>17061</v>
      </c>
      <c r="B2555" s="2">
        <v>469.20414062294202</v>
      </c>
      <c r="C2555" s="2">
        <v>4.7186333333333303</v>
      </c>
      <c r="D2555" s="2" t="s">
        <v>34</v>
      </c>
      <c r="E2555" s="2" t="s">
        <v>17062</v>
      </c>
      <c r="F2555" s="2">
        <v>212024</v>
      </c>
      <c r="G2555" s="3" t="str">
        <f>HYPERLINK("http://funmeta.oebiotech.com/network/212024", "http://funmeta.oebiotech.com/network/212024")</f>
        <v>http://funmeta.oebiotech.com/network/212024</v>
      </c>
      <c r="H2555" s="2" t="s">
        <v>17063</v>
      </c>
      <c r="I2555" s="2"/>
      <c r="J2555" s="2"/>
      <c r="K2555" s="2"/>
      <c r="L2555" s="2"/>
      <c r="M2555" s="2"/>
      <c r="N2555" s="2"/>
      <c r="O2555" s="2"/>
      <c r="P2555" s="2"/>
      <c r="Q2555" s="2" t="s">
        <v>17064</v>
      </c>
      <c r="R2555" s="2" t="s">
        <v>17065</v>
      </c>
      <c r="S2555" s="2" t="s">
        <v>41</v>
      </c>
      <c r="T2555" s="2" t="s">
        <v>41</v>
      </c>
      <c r="U2555" s="2" t="s">
        <v>41</v>
      </c>
      <c r="V2555" s="2" t="s">
        <v>59</v>
      </c>
      <c r="W2555" s="2">
        <v>38.9</v>
      </c>
      <c r="X2555" s="2">
        <v>0</v>
      </c>
      <c r="Y2555" s="2" t="s">
        <v>43</v>
      </c>
      <c r="Z2555" s="2" t="s">
        <v>17066</v>
      </c>
      <c r="AA2555" s="2">
        <v>5.1215947882718603E-3</v>
      </c>
      <c r="AB2555" s="2">
        <v>0.31511424968311003</v>
      </c>
      <c r="AC2555" s="2">
        <v>45525.501265118997</v>
      </c>
      <c r="AD2555" s="2">
        <v>53333.563118190097</v>
      </c>
      <c r="AE2555" s="2">
        <v>47172.260437066601</v>
      </c>
      <c r="AF2555" s="2">
        <v>44210.383870741804</v>
      </c>
      <c r="AG2555" s="2">
        <v>45009.6096664059</v>
      </c>
      <c r="AH2555" s="2">
        <v>42354.353215443203</v>
      </c>
      <c r="AI2555" s="2">
        <v>44707.020983674098</v>
      </c>
      <c r="AJ2555" s="2">
        <v>49699.379417382697</v>
      </c>
      <c r="AK2555" s="2">
        <v>52194.4455680389</v>
      </c>
      <c r="AL2555" s="2">
        <v>51512.495076934203</v>
      </c>
      <c r="AM2555" s="2">
        <v>48860.776119057897</v>
      </c>
      <c r="AN2555" s="2">
        <v>57445.438799575699</v>
      </c>
      <c r="AO2555" s="2">
        <v>54548.667675525197</v>
      </c>
      <c r="AP2555" s="2">
        <v>55439.555470009</v>
      </c>
    </row>
    <row r="2556" spans="1:42" ht="14.5" x14ac:dyDescent="0.35">
      <c r="A2556" s="2" t="s">
        <v>17067</v>
      </c>
      <c r="B2556" s="2">
        <v>395.09485571039602</v>
      </c>
      <c r="C2556" s="2">
        <v>1.5526500000000001</v>
      </c>
      <c r="D2556" s="2" t="s">
        <v>34</v>
      </c>
      <c r="E2556" s="2" t="s">
        <v>17068</v>
      </c>
      <c r="F2556" s="2">
        <v>56229</v>
      </c>
      <c r="G2556" s="3" t="str">
        <f>HYPERLINK("http://funmeta.oebiotech.com/network/56229", "http://funmeta.oebiotech.com/network/56229")</f>
        <v>http://funmeta.oebiotech.com/network/56229</v>
      </c>
      <c r="H2556" s="2" t="s">
        <v>17069</v>
      </c>
      <c r="I2556" s="2"/>
      <c r="J2556" s="2"/>
      <c r="K2556" s="2"/>
      <c r="L2556" s="2"/>
      <c r="M2556" s="2"/>
      <c r="N2556" s="2"/>
      <c r="O2556" s="2">
        <v>85216671</v>
      </c>
      <c r="P2556" s="2" t="s">
        <v>17070</v>
      </c>
      <c r="Q2556" s="2" t="s">
        <v>17071</v>
      </c>
      <c r="R2556" s="2" t="s">
        <v>17072</v>
      </c>
      <c r="S2556" s="2" t="s">
        <v>50</v>
      </c>
      <c r="T2556" s="2" t="s">
        <v>201</v>
      </c>
      <c r="U2556" s="2" t="s">
        <v>1217</v>
      </c>
      <c r="V2556" s="2" t="s">
        <v>42</v>
      </c>
      <c r="W2556" s="2">
        <v>50.1</v>
      </c>
      <c r="X2556" s="2">
        <v>64.8</v>
      </c>
      <c r="Y2556" s="2" t="s">
        <v>323</v>
      </c>
      <c r="Z2556" s="2" t="s">
        <v>17073</v>
      </c>
      <c r="AA2556" s="2">
        <v>-3.1729172249940298E-2</v>
      </c>
      <c r="AB2556" s="2">
        <v>0.31499870802683499</v>
      </c>
      <c r="AC2556" s="2">
        <v>42258.097316509797</v>
      </c>
      <c r="AD2556" s="2">
        <v>34942.066721418902</v>
      </c>
      <c r="AE2556" s="2">
        <v>42141.368886771503</v>
      </c>
      <c r="AF2556" s="2">
        <v>44083.755859902602</v>
      </c>
      <c r="AG2556" s="2">
        <v>40528.320635010699</v>
      </c>
      <c r="AH2556" s="2">
        <v>38977.750619030499</v>
      </c>
      <c r="AI2556" s="2">
        <v>46020.003408892699</v>
      </c>
      <c r="AJ2556" s="2">
        <v>41797.384489450698</v>
      </c>
      <c r="AK2556" s="2">
        <v>35041.318944057602</v>
      </c>
      <c r="AL2556" s="2">
        <v>34382.247996473801</v>
      </c>
      <c r="AM2556" s="2">
        <v>34810.5472962395</v>
      </c>
      <c r="AN2556" s="2">
        <v>34497.030108293497</v>
      </c>
      <c r="AO2556" s="2">
        <v>33534.013367463602</v>
      </c>
      <c r="AP2556" s="2">
        <v>37387.242615985502</v>
      </c>
    </row>
    <row r="2557" spans="1:42" ht="14.5" x14ac:dyDescent="0.35">
      <c r="A2557" s="2" t="s">
        <v>17074</v>
      </c>
      <c r="B2557" s="2">
        <v>381.19140948427901</v>
      </c>
      <c r="C2557" s="2">
        <v>5.5245499999999996</v>
      </c>
      <c r="D2557" s="2" t="s">
        <v>70</v>
      </c>
      <c r="E2557" s="2" t="s">
        <v>17075</v>
      </c>
      <c r="F2557" s="2">
        <v>35890</v>
      </c>
      <c r="G2557" s="3" t="str">
        <f>HYPERLINK("http://funmeta.oebiotech.com/network/35890", "http://funmeta.oebiotech.com/network/35890")</f>
        <v>http://funmeta.oebiotech.com/network/35890</v>
      </c>
      <c r="H2557" s="2"/>
      <c r="I2557" s="2"/>
      <c r="J2557" s="2" t="s">
        <v>17076</v>
      </c>
      <c r="K2557" s="2"/>
      <c r="L2557" s="2"/>
      <c r="M2557" s="2"/>
      <c r="N2557" s="2"/>
      <c r="O2557" s="2">
        <v>21778842</v>
      </c>
      <c r="P2557" s="2"/>
      <c r="Q2557" s="2" t="s">
        <v>17077</v>
      </c>
      <c r="R2557" s="2" t="s">
        <v>17078</v>
      </c>
      <c r="S2557" s="2" t="s">
        <v>491</v>
      </c>
      <c r="T2557" s="2" t="s">
        <v>2321</v>
      </c>
      <c r="U2557" s="2" t="s">
        <v>2322</v>
      </c>
      <c r="V2557" s="2" t="s">
        <v>42</v>
      </c>
      <c r="W2557" s="2">
        <v>48</v>
      </c>
      <c r="X2557" s="2">
        <v>47.9</v>
      </c>
      <c r="Y2557" s="2" t="s">
        <v>118</v>
      </c>
      <c r="Z2557" s="2" t="s">
        <v>14705</v>
      </c>
      <c r="AA2557" s="2">
        <v>-1.2228774895079799</v>
      </c>
      <c r="AB2557" s="2">
        <v>0.31491530023036401</v>
      </c>
      <c r="AC2557" s="2">
        <v>8992.1971945085006</v>
      </c>
      <c r="AD2557" s="2">
        <v>2372.7703373875502</v>
      </c>
      <c r="AE2557" s="2">
        <v>9893.4349728124998</v>
      </c>
      <c r="AF2557" s="2">
        <v>8700.3664138228305</v>
      </c>
      <c r="AG2557" s="2">
        <v>7952.16472505822</v>
      </c>
      <c r="AH2557" s="2">
        <v>9846.3874111105797</v>
      </c>
      <c r="AI2557" s="2">
        <v>9377.2516644169591</v>
      </c>
      <c r="AJ2557" s="2">
        <v>8183.57797982988</v>
      </c>
      <c r="AK2557" s="2">
        <v>2125.1400857861299</v>
      </c>
      <c r="AL2557" s="2">
        <v>2263.9216494202201</v>
      </c>
      <c r="AM2557" s="2">
        <v>2019.69274344001</v>
      </c>
      <c r="AN2557" s="2">
        <v>2840.1475456039602</v>
      </c>
      <c r="AO2557" s="2">
        <v>2782.2725013818299</v>
      </c>
      <c r="AP2557" s="2">
        <v>2205.44749869313</v>
      </c>
    </row>
    <row r="2558" spans="1:42" ht="14.5" x14ac:dyDescent="0.35">
      <c r="A2558" s="2" t="s">
        <v>17079</v>
      </c>
      <c r="B2558" s="2">
        <v>501.354659657909</v>
      </c>
      <c r="C2558" s="2">
        <v>11.599133333333301</v>
      </c>
      <c r="D2558" s="2" t="s">
        <v>34</v>
      </c>
      <c r="E2558" s="2" t="s">
        <v>17080</v>
      </c>
      <c r="F2558" s="2">
        <v>274758</v>
      </c>
      <c r="G2558" s="3" t="str">
        <f>HYPERLINK("http://funmeta.oebiotech.com/network/274758", "http://funmeta.oebiotech.com/network/274758")</f>
        <v>http://funmeta.oebiotech.com/network/274758</v>
      </c>
      <c r="H2558" s="2"/>
      <c r="I2558" s="2">
        <v>65436</v>
      </c>
      <c r="J2558" s="2"/>
      <c r="K2558" s="2"/>
      <c r="L2558" s="2"/>
      <c r="M2558" s="2"/>
      <c r="N2558" s="2"/>
      <c r="O2558" s="2">
        <v>25058105</v>
      </c>
      <c r="P2558" s="2"/>
      <c r="Q2558" s="2" t="s">
        <v>17081</v>
      </c>
      <c r="R2558" s="2" t="s">
        <v>17082</v>
      </c>
      <c r="S2558" s="2" t="s">
        <v>89</v>
      </c>
      <c r="T2558" s="2" t="s">
        <v>1600</v>
      </c>
      <c r="U2558" s="2" t="s">
        <v>1601</v>
      </c>
      <c r="V2558" s="2" t="s">
        <v>59</v>
      </c>
      <c r="W2558" s="2">
        <v>38.4</v>
      </c>
      <c r="X2558" s="2">
        <v>0</v>
      </c>
      <c r="Y2558" s="2" t="s">
        <v>43</v>
      </c>
      <c r="Z2558" s="2" t="s">
        <v>17083</v>
      </c>
      <c r="AA2558" s="2">
        <v>2.5476786619350298</v>
      </c>
      <c r="AB2558" s="2">
        <v>0.31488805994618302</v>
      </c>
      <c r="AC2558" s="2">
        <v>8074.1865616073201</v>
      </c>
      <c r="AD2558" s="2">
        <v>1301.5214703694601</v>
      </c>
      <c r="AE2558" s="2">
        <v>7692.3810249848602</v>
      </c>
      <c r="AF2558" s="2">
        <v>9212.6258687654408</v>
      </c>
      <c r="AG2558" s="2">
        <v>7789.7147505907897</v>
      </c>
      <c r="AH2558" s="2">
        <v>7594.8470364889699</v>
      </c>
      <c r="AI2558" s="2">
        <v>6437.0801503098601</v>
      </c>
      <c r="AJ2558" s="2">
        <v>9718.4705385039997</v>
      </c>
      <c r="AK2558" s="2">
        <v>2682.2043925778798</v>
      </c>
      <c r="AL2558" s="2">
        <v>616.87184657487705</v>
      </c>
      <c r="AM2558" s="2">
        <v>545.17406532220298</v>
      </c>
      <c r="AN2558" s="2">
        <v>2.7106294003980101E-5</v>
      </c>
      <c r="AO2558" s="2">
        <v>2158.8226500476799</v>
      </c>
      <c r="AP2558" s="2">
        <v>1806.0558405878501</v>
      </c>
    </row>
    <row r="2559" spans="1:42" ht="14.5" x14ac:dyDescent="0.35">
      <c r="A2559" s="2" t="s">
        <v>17084</v>
      </c>
      <c r="B2559" s="2">
        <v>829.423371847932</v>
      </c>
      <c r="C2559" s="2">
        <v>9.6570666666666707</v>
      </c>
      <c r="D2559" s="2" t="s">
        <v>70</v>
      </c>
      <c r="E2559" s="2" t="s">
        <v>17085</v>
      </c>
      <c r="F2559" s="2">
        <v>63570</v>
      </c>
      <c r="G2559" s="3" t="str">
        <f>HYPERLINK("http://funmeta.oebiotech.com/network/63570", "http://funmeta.oebiotech.com/network/63570")</f>
        <v>http://funmeta.oebiotech.com/network/63570</v>
      </c>
      <c r="H2559" s="2" t="s">
        <v>17086</v>
      </c>
      <c r="I2559" s="2">
        <v>94907</v>
      </c>
      <c r="J2559" s="2"/>
      <c r="K2559" s="2"/>
      <c r="L2559" s="2"/>
      <c r="M2559" s="2"/>
      <c r="N2559" s="2"/>
      <c r="O2559" s="2">
        <v>131752934</v>
      </c>
      <c r="P2559" s="2" t="s">
        <v>17087</v>
      </c>
      <c r="Q2559" s="2" t="s">
        <v>17088</v>
      </c>
      <c r="R2559" s="2" t="s">
        <v>17089</v>
      </c>
      <c r="S2559" s="2" t="s">
        <v>50</v>
      </c>
      <c r="T2559" s="2" t="s">
        <v>124</v>
      </c>
      <c r="U2559" s="2" t="s">
        <v>523</v>
      </c>
      <c r="V2559" s="2" t="s">
        <v>59</v>
      </c>
      <c r="W2559" s="2">
        <v>38.1</v>
      </c>
      <c r="X2559" s="2">
        <v>0</v>
      </c>
      <c r="Y2559" s="2" t="s">
        <v>408</v>
      </c>
      <c r="Z2559" s="2" t="s">
        <v>17090</v>
      </c>
      <c r="AA2559" s="2">
        <v>0.82561423634876796</v>
      </c>
      <c r="AB2559" s="2">
        <v>0.31471960001256999</v>
      </c>
      <c r="AC2559" s="2">
        <v>12490.2581339384</v>
      </c>
      <c r="AD2559" s="2">
        <v>5536.0674021816503</v>
      </c>
      <c r="AE2559" s="2">
        <v>11717.030988088</v>
      </c>
      <c r="AF2559" s="2">
        <v>13533.6463392635</v>
      </c>
      <c r="AG2559" s="2">
        <v>11139.985678106101</v>
      </c>
      <c r="AH2559" s="2">
        <v>14929.5037417938</v>
      </c>
      <c r="AI2559" s="2">
        <v>11458.6997913787</v>
      </c>
      <c r="AJ2559" s="2">
        <v>12162.6822650003</v>
      </c>
      <c r="AK2559" s="2">
        <v>5460.3268961901504</v>
      </c>
      <c r="AL2559" s="2">
        <v>3722.9548515255201</v>
      </c>
      <c r="AM2559" s="2">
        <v>6771.8173448450598</v>
      </c>
      <c r="AN2559" s="2">
        <v>4530.3904131218396</v>
      </c>
      <c r="AO2559" s="2">
        <v>7609.8663872460602</v>
      </c>
      <c r="AP2559" s="2">
        <v>5121.0485201612601</v>
      </c>
    </row>
    <row r="2560" spans="1:42" ht="14.5" x14ac:dyDescent="0.35">
      <c r="A2560" s="2" t="s">
        <v>17091</v>
      </c>
      <c r="B2560" s="2">
        <v>279.120387806829</v>
      </c>
      <c r="C2560" s="2">
        <v>4.3791333333333302</v>
      </c>
      <c r="D2560" s="2" t="s">
        <v>34</v>
      </c>
      <c r="E2560" s="2" t="s">
        <v>17092</v>
      </c>
      <c r="F2560" s="2">
        <v>56243</v>
      </c>
      <c r="G2560" s="3" t="str">
        <f>HYPERLINK("http://funmeta.oebiotech.com/network/56243", "http://funmeta.oebiotech.com/network/56243")</f>
        <v>http://funmeta.oebiotech.com/network/56243</v>
      </c>
      <c r="H2560" s="2" t="s">
        <v>17093</v>
      </c>
      <c r="I2560" s="2">
        <v>87929</v>
      </c>
      <c r="J2560" s="2"/>
      <c r="K2560" s="2">
        <v>172498</v>
      </c>
      <c r="L2560" s="2"/>
      <c r="M2560" s="2"/>
      <c r="N2560" s="2"/>
      <c r="O2560" s="2">
        <v>131751190</v>
      </c>
      <c r="P2560" s="2" t="s">
        <v>17094</v>
      </c>
      <c r="Q2560" s="2" t="s">
        <v>17095</v>
      </c>
      <c r="R2560" s="2" t="s">
        <v>17096</v>
      </c>
      <c r="S2560" s="2" t="s">
        <v>148</v>
      </c>
      <c r="T2560" s="2" t="s">
        <v>149</v>
      </c>
      <c r="U2560" s="2" t="s">
        <v>15271</v>
      </c>
      <c r="V2560" s="2" t="s">
        <v>59</v>
      </c>
      <c r="W2560" s="2">
        <v>39.200000000000003</v>
      </c>
      <c r="X2560" s="2">
        <v>0</v>
      </c>
      <c r="Y2560" s="2" t="s">
        <v>323</v>
      </c>
      <c r="Z2560" s="2" t="s">
        <v>17097</v>
      </c>
      <c r="AA2560" s="2">
        <v>0.36460874349098699</v>
      </c>
      <c r="AB2560" s="2">
        <v>0.31469677473868701</v>
      </c>
      <c r="AC2560" s="2">
        <v>9658.1587105158505</v>
      </c>
      <c r="AD2560" s="2">
        <v>16554.4589356828</v>
      </c>
      <c r="AE2560" s="2">
        <v>9571.3243555134704</v>
      </c>
      <c r="AF2560" s="2">
        <v>10324.363282296001</v>
      </c>
      <c r="AG2560" s="2">
        <v>11805.2736053391</v>
      </c>
      <c r="AH2560" s="2">
        <v>7234.16749865783</v>
      </c>
      <c r="AI2560" s="2">
        <v>9524.7891513765408</v>
      </c>
      <c r="AJ2560" s="2">
        <v>9489.0343699121804</v>
      </c>
      <c r="AK2560" s="2">
        <v>17565.2295619736</v>
      </c>
      <c r="AL2560" s="2">
        <v>17126.781804771399</v>
      </c>
      <c r="AM2560" s="2">
        <v>15390.796837411801</v>
      </c>
      <c r="AN2560" s="2">
        <v>17681.309816659901</v>
      </c>
      <c r="AO2560" s="2">
        <v>16563.2495790594</v>
      </c>
      <c r="AP2560" s="2">
        <v>14999.3860142209</v>
      </c>
    </row>
    <row r="2561" spans="1:42" ht="14.5" x14ac:dyDescent="0.35">
      <c r="A2561" s="2" t="s">
        <v>17098</v>
      </c>
      <c r="B2561" s="2">
        <v>387.026008272041</v>
      </c>
      <c r="C2561" s="2">
        <v>7.2607833333333298</v>
      </c>
      <c r="D2561" s="2" t="s">
        <v>70</v>
      </c>
      <c r="E2561" s="2" t="s">
        <v>17099</v>
      </c>
      <c r="F2561" s="2">
        <v>82299</v>
      </c>
      <c r="G2561" s="3" t="str">
        <f>HYPERLINK("http://funmeta.oebiotech.com/network/82299", "http://funmeta.oebiotech.com/network/82299")</f>
        <v>http://funmeta.oebiotech.com/network/82299</v>
      </c>
      <c r="H2561" s="2" t="s">
        <v>17100</v>
      </c>
      <c r="I2561" s="2">
        <v>71274</v>
      </c>
      <c r="J2561" s="2"/>
      <c r="K2561" s="2">
        <v>40101</v>
      </c>
      <c r="L2561" s="2" t="s">
        <v>17101</v>
      </c>
      <c r="M2561" s="2" t="s">
        <v>17102</v>
      </c>
      <c r="N2561" s="2" t="s">
        <v>17103</v>
      </c>
      <c r="O2561" s="2">
        <v>150856</v>
      </c>
      <c r="P2561" s="2" t="s">
        <v>17104</v>
      </c>
      <c r="Q2561" s="2" t="s">
        <v>17105</v>
      </c>
      <c r="R2561" s="2" t="s">
        <v>17106</v>
      </c>
      <c r="S2561" s="2" t="s">
        <v>1444</v>
      </c>
      <c r="T2561" s="2" t="s">
        <v>4040</v>
      </c>
      <c r="U2561" s="2" t="s">
        <v>8914</v>
      </c>
      <c r="V2561" s="2" t="s">
        <v>59</v>
      </c>
      <c r="W2561" s="2">
        <v>37.1</v>
      </c>
      <c r="X2561" s="2">
        <v>0</v>
      </c>
      <c r="Y2561" s="2" t="s">
        <v>408</v>
      </c>
      <c r="Z2561" s="2" t="s">
        <v>17107</v>
      </c>
      <c r="AA2561" s="2">
        <v>3.97800106184576</v>
      </c>
      <c r="AB2561" s="2">
        <v>0.314601896194039</v>
      </c>
      <c r="AC2561" s="2">
        <v>134698.05561617701</v>
      </c>
      <c r="AD2561" s="2">
        <v>143492.9223414</v>
      </c>
      <c r="AE2561" s="2">
        <v>138935.798998218</v>
      </c>
      <c r="AF2561" s="2">
        <v>134077.53278690501</v>
      </c>
      <c r="AG2561" s="2">
        <v>137536.31648637599</v>
      </c>
      <c r="AH2561" s="2">
        <v>133817.12670789001</v>
      </c>
      <c r="AI2561" s="2">
        <v>136660.56522075701</v>
      </c>
      <c r="AJ2561" s="2">
        <v>127160.993496914</v>
      </c>
      <c r="AK2561" s="2">
        <v>150304.78044344101</v>
      </c>
      <c r="AL2561" s="2">
        <v>142849.91421704501</v>
      </c>
      <c r="AM2561" s="2">
        <v>146255.959869952</v>
      </c>
      <c r="AN2561" s="2">
        <v>139574.88616468699</v>
      </c>
      <c r="AO2561" s="2">
        <v>144341.90875209199</v>
      </c>
      <c r="AP2561" s="2">
        <v>137630.08460118301</v>
      </c>
    </row>
    <row r="2562" spans="1:42" ht="14.5" x14ac:dyDescent="0.35">
      <c r="A2562" s="2" t="s">
        <v>17108</v>
      </c>
      <c r="B2562" s="2">
        <v>343.15483496473598</v>
      </c>
      <c r="C2562" s="2">
        <v>8.1048166666666699</v>
      </c>
      <c r="D2562" s="2" t="s">
        <v>70</v>
      </c>
      <c r="E2562" s="2" t="s">
        <v>17109</v>
      </c>
      <c r="F2562" s="2">
        <v>56227</v>
      </c>
      <c r="G2562" s="3" t="str">
        <f>HYPERLINK("http://funmeta.oebiotech.com/network/56227", "http://funmeta.oebiotech.com/network/56227")</f>
        <v>http://funmeta.oebiotech.com/network/56227</v>
      </c>
      <c r="H2562" s="2" t="s">
        <v>17110</v>
      </c>
      <c r="I2562" s="2">
        <v>87919</v>
      </c>
      <c r="J2562" s="2"/>
      <c r="K2562" s="2">
        <v>168785</v>
      </c>
      <c r="L2562" s="2"/>
      <c r="M2562" s="2"/>
      <c r="N2562" s="2"/>
      <c r="O2562" s="2">
        <v>14015408</v>
      </c>
      <c r="P2562" s="2" t="s">
        <v>17111</v>
      </c>
      <c r="Q2562" s="2" t="s">
        <v>17112</v>
      </c>
      <c r="R2562" s="2" t="s">
        <v>17113</v>
      </c>
      <c r="S2562" s="2" t="s">
        <v>1184</v>
      </c>
      <c r="T2562" s="2" t="s">
        <v>41</v>
      </c>
      <c r="U2562" s="2" t="s">
        <v>41</v>
      </c>
      <c r="V2562" s="2" t="s">
        <v>59</v>
      </c>
      <c r="W2562" s="2">
        <v>38.200000000000003</v>
      </c>
      <c r="X2562" s="2">
        <v>0</v>
      </c>
      <c r="Y2562" s="2" t="s">
        <v>498</v>
      </c>
      <c r="Z2562" s="2" t="s">
        <v>3335</v>
      </c>
      <c r="AA2562" s="2">
        <v>-0.76263637201281598</v>
      </c>
      <c r="AB2562" s="2">
        <v>0.31451162142011702</v>
      </c>
      <c r="AC2562" s="2">
        <v>8039.1201473726296</v>
      </c>
      <c r="AD2562" s="2">
        <v>988.27346617071703</v>
      </c>
      <c r="AE2562" s="2">
        <v>7615.6077029401204</v>
      </c>
      <c r="AF2562" s="2">
        <v>12414.4322391933</v>
      </c>
      <c r="AG2562" s="2">
        <v>8267.4082446104894</v>
      </c>
      <c r="AH2562" s="2">
        <v>6223.6734384086303</v>
      </c>
      <c r="AI2562" s="2">
        <v>5842.7398089364096</v>
      </c>
      <c r="AJ2562" s="2">
        <v>7870.8594501468497</v>
      </c>
      <c r="AK2562" s="2">
        <v>1111.38147586736</v>
      </c>
      <c r="AL2562" s="2">
        <v>183.41412011788501</v>
      </c>
      <c r="AM2562" s="2">
        <v>1059.4246517802401</v>
      </c>
      <c r="AN2562" s="2">
        <v>1496.31895466781</v>
      </c>
      <c r="AO2562" s="2">
        <v>660.26929897463594</v>
      </c>
      <c r="AP2562" s="2">
        <v>1418.8322956163699</v>
      </c>
    </row>
    <row r="2563" spans="1:42" ht="14.5" x14ac:dyDescent="0.35">
      <c r="A2563" s="2" t="s">
        <v>17114</v>
      </c>
      <c r="B2563" s="2">
        <v>393.26125347670899</v>
      </c>
      <c r="C2563" s="2">
        <v>10.0553333333333</v>
      </c>
      <c r="D2563" s="2" t="s">
        <v>34</v>
      </c>
      <c r="E2563" s="2" t="s">
        <v>17115</v>
      </c>
      <c r="F2563" s="2">
        <v>207286</v>
      </c>
      <c r="G2563" s="3" t="str">
        <f>HYPERLINK("http://funmeta.oebiotech.com/network/207286", "http://funmeta.oebiotech.com/network/207286")</f>
        <v>http://funmeta.oebiotech.com/network/207286</v>
      </c>
      <c r="H2563" s="2" t="s">
        <v>17116</v>
      </c>
      <c r="I2563" s="2"/>
      <c r="J2563" s="2"/>
      <c r="K2563" s="2"/>
      <c r="L2563" s="2"/>
      <c r="M2563" s="2"/>
      <c r="N2563" s="2"/>
      <c r="O2563" s="2">
        <v>73657505</v>
      </c>
      <c r="P2563" s="2"/>
      <c r="Q2563" s="2" t="s">
        <v>17117</v>
      </c>
      <c r="R2563" s="2" t="s">
        <v>17118</v>
      </c>
      <c r="S2563" s="2" t="s">
        <v>41</v>
      </c>
      <c r="T2563" s="2" t="s">
        <v>41</v>
      </c>
      <c r="U2563" s="2" t="s">
        <v>41</v>
      </c>
      <c r="V2563" s="2" t="s">
        <v>59</v>
      </c>
      <c r="W2563" s="2">
        <v>39</v>
      </c>
      <c r="X2563" s="2">
        <v>0</v>
      </c>
      <c r="Y2563" s="2" t="s">
        <v>323</v>
      </c>
      <c r="Z2563" s="2" t="s">
        <v>17119</v>
      </c>
      <c r="AA2563" s="2">
        <v>0.29297454474102802</v>
      </c>
      <c r="AB2563" s="2">
        <v>0.31424975489318902</v>
      </c>
      <c r="AC2563" s="2">
        <v>8175.13572337198</v>
      </c>
      <c r="AD2563" s="2">
        <v>1675.8853242436701</v>
      </c>
      <c r="AE2563" s="2">
        <v>8798.7158969551801</v>
      </c>
      <c r="AF2563" s="2">
        <v>8057.6821894694303</v>
      </c>
      <c r="AG2563" s="2">
        <v>8224.1640926827695</v>
      </c>
      <c r="AH2563" s="2">
        <v>7973.5857122856896</v>
      </c>
      <c r="AI2563" s="2">
        <v>7844.94087450797</v>
      </c>
      <c r="AJ2563" s="2">
        <v>8151.7255743308497</v>
      </c>
      <c r="AK2563" s="2">
        <v>2224.89464883866</v>
      </c>
      <c r="AL2563" s="2">
        <v>1489.52889158537</v>
      </c>
      <c r="AM2563" s="2">
        <v>1727.22301134687</v>
      </c>
      <c r="AN2563" s="2">
        <v>1312.0438288898399</v>
      </c>
      <c r="AO2563" s="2">
        <v>1570.11852975735</v>
      </c>
      <c r="AP2563" s="2">
        <v>1731.5030350439299</v>
      </c>
    </row>
    <row r="2564" spans="1:42" ht="14.5" x14ac:dyDescent="0.35">
      <c r="A2564" s="2" t="s">
        <v>17120</v>
      </c>
      <c r="B2564" s="2">
        <v>1029.56141858977</v>
      </c>
      <c r="C2564" s="2">
        <v>11.59065</v>
      </c>
      <c r="D2564" s="2" t="s">
        <v>70</v>
      </c>
      <c r="E2564" s="2" t="s">
        <v>17121</v>
      </c>
      <c r="F2564" s="2">
        <v>64556</v>
      </c>
      <c r="G2564" s="3" t="str">
        <f>HYPERLINK("http://funmeta.oebiotech.com/network/64556", "http://funmeta.oebiotech.com/network/64556")</f>
        <v>http://funmeta.oebiotech.com/network/64556</v>
      </c>
      <c r="H2564" s="2" t="s">
        <v>17122</v>
      </c>
      <c r="I2564" s="2">
        <v>95859</v>
      </c>
      <c r="J2564" s="2"/>
      <c r="K2564" s="2"/>
      <c r="L2564" s="2"/>
      <c r="M2564" s="2"/>
      <c r="N2564" s="2"/>
      <c r="O2564" s="2">
        <v>73813307</v>
      </c>
      <c r="P2564" s="2" t="s">
        <v>17123</v>
      </c>
      <c r="Q2564" s="2" t="s">
        <v>17124</v>
      </c>
      <c r="R2564" s="2" t="s">
        <v>17125</v>
      </c>
      <c r="S2564" s="2" t="s">
        <v>50</v>
      </c>
      <c r="T2564" s="2" t="s">
        <v>201</v>
      </c>
      <c r="U2564" s="2" t="s">
        <v>210</v>
      </c>
      <c r="V2564" s="2" t="s">
        <v>59</v>
      </c>
      <c r="W2564" s="2">
        <v>38</v>
      </c>
      <c r="X2564" s="2">
        <v>0</v>
      </c>
      <c r="Y2564" s="2" t="s">
        <v>118</v>
      </c>
      <c r="Z2564" s="2" t="s">
        <v>17126</v>
      </c>
      <c r="AA2564" s="2">
        <v>-2.4744795249724998</v>
      </c>
      <c r="AB2564" s="2">
        <v>0.31361436053011699</v>
      </c>
      <c r="AC2564" s="2">
        <v>16410.032090966801</v>
      </c>
      <c r="AD2564" s="2">
        <v>9417.3876174338002</v>
      </c>
      <c r="AE2564" s="2">
        <v>15556.199337579201</v>
      </c>
      <c r="AF2564" s="2">
        <v>15500.6970265043</v>
      </c>
      <c r="AG2564" s="2">
        <v>17200.364700657599</v>
      </c>
      <c r="AH2564" s="2">
        <v>15276.074047203299</v>
      </c>
      <c r="AI2564" s="2">
        <v>18460.949526679298</v>
      </c>
      <c r="AJ2564" s="2">
        <v>16465.907907176999</v>
      </c>
      <c r="AK2564" s="2">
        <v>8955.7182620498406</v>
      </c>
      <c r="AL2564" s="2">
        <v>12277.1772934405</v>
      </c>
      <c r="AM2564" s="2">
        <v>7010.4222444488596</v>
      </c>
      <c r="AN2564" s="2">
        <v>10725.9788387062</v>
      </c>
      <c r="AO2564" s="2">
        <v>9186.6553321143201</v>
      </c>
      <c r="AP2564" s="2">
        <v>8348.3737338430801</v>
      </c>
    </row>
    <row r="2565" spans="1:42" ht="14.5" x14ac:dyDescent="0.35">
      <c r="A2565" s="2" t="s">
        <v>17127</v>
      </c>
      <c r="B2565" s="2">
        <v>269.17558154468003</v>
      </c>
      <c r="C2565" s="2">
        <v>6.6124999999999998</v>
      </c>
      <c r="D2565" s="2" t="s">
        <v>70</v>
      </c>
      <c r="E2565" s="2" t="s">
        <v>17128</v>
      </c>
      <c r="F2565" s="2">
        <v>752</v>
      </c>
      <c r="G2565" s="3" t="str">
        <f>HYPERLINK("http://funmeta.oebiotech.com/network/752", "http://funmeta.oebiotech.com/network/752")</f>
        <v>http://funmeta.oebiotech.com/network/752</v>
      </c>
      <c r="H2565" s="2" t="s">
        <v>17129</v>
      </c>
      <c r="I2565" s="2">
        <v>34921</v>
      </c>
      <c r="J2565" s="2" t="s">
        <v>17130</v>
      </c>
      <c r="K2565" s="2">
        <v>70719</v>
      </c>
      <c r="L2565" s="2"/>
      <c r="M2565" s="2"/>
      <c r="N2565" s="2"/>
      <c r="O2565" s="2">
        <v>5312409</v>
      </c>
      <c r="P2565" s="2" t="s">
        <v>17131</v>
      </c>
      <c r="Q2565" s="2" t="s">
        <v>17132</v>
      </c>
      <c r="R2565" s="2" t="s">
        <v>17133</v>
      </c>
      <c r="S2565" s="2" t="s">
        <v>50</v>
      </c>
      <c r="T2565" s="2" t="s">
        <v>229</v>
      </c>
      <c r="U2565" s="2" t="s">
        <v>433</v>
      </c>
      <c r="V2565" s="2" t="s">
        <v>59</v>
      </c>
      <c r="W2565" s="2">
        <v>39</v>
      </c>
      <c r="X2565" s="2">
        <v>0</v>
      </c>
      <c r="Y2565" s="2" t="s">
        <v>408</v>
      </c>
      <c r="Z2565" s="2" t="s">
        <v>2900</v>
      </c>
      <c r="AA2565" s="2">
        <v>-1.1211382690392799</v>
      </c>
      <c r="AB2565" s="2">
        <v>0.31355807174386602</v>
      </c>
      <c r="AC2565" s="2">
        <v>5173.6102211405196</v>
      </c>
      <c r="AD2565" s="2">
        <v>11760.314810112</v>
      </c>
      <c r="AE2565" s="2">
        <v>5727.7629971229298</v>
      </c>
      <c r="AF2565" s="2">
        <v>5502.1000846209399</v>
      </c>
      <c r="AG2565" s="2">
        <v>4756.6442303704198</v>
      </c>
      <c r="AH2565" s="2">
        <v>4538.4943119685204</v>
      </c>
      <c r="AI2565" s="2">
        <v>5055.2847327036698</v>
      </c>
      <c r="AJ2565" s="2">
        <v>5461.3749700566104</v>
      </c>
      <c r="AK2565" s="2">
        <v>13070.8637839485</v>
      </c>
      <c r="AL2565" s="2">
        <v>11425.319291477699</v>
      </c>
      <c r="AM2565" s="2">
        <v>11953.442172466799</v>
      </c>
      <c r="AN2565" s="2">
        <v>12514.989704424501</v>
      </c>
      <c r="AO2565" s="2">
        <v>10549.499948373699</v>
      </c>
      <c r="AP2565" s="2">
        <v>11047.773959980999</v>
      </c>
    </row>
    <row r="2566" spans="1:42" ht="14.5" x14ac:dyDescent="0.35">
      <c r="A2566" s="2" t="s">
        <v>17134</v>
      </c>
      <c r="B2566" s="2">
        <v>389.18158009587802</v>
      </c>
      <c r="C2566" s="2">
        <v>4.7039999999999997</v>
      </c>
      <c r="D2566" s="2" t="s">
        <v>70</v>
      </c>
      <c r="E2566" s="2" t="s">
        <v>17135</v>
      </c>
      <c r="F2566" s="2">
        <v>3377</v>
      </c>
      <c r="G2566" s="3" t="str">
        <f>HYPERLINK("http://funmeta.oebiotech.com/network/3377", "http://funmeta.oebiotech.com/network/3377")</f>
        <v>http://funmeta.oebiotech.com/network/3377</v>
      </c>
      <c r="H2566" s="2"/>
      <c r="I2566" s="2">
        <v>45944</v>
      </c>
      <c r="J2566" s="2" t="s">
        <v>17136</v>
      </c>
      <c r="K2566" s="2">
        <v>18471</v>
      </c>
      <c r="L2566" s="2"/>
      <c r="M2566" s="2"/>
      <c r="N2566" s="2"/>
      <c r="O2566" s="2">
        <v>11966292</v>
      </c>
      <c r="P2566" s="2"/>
      <c r="Q2566" s="2" t="s">
        <v>17137</v>
      </c>
      <c r="R2566" s="2" t="s">
        <v>17138</v>
      </c>
      <c r="S2566" s="2" t="s">
        <v>50</v>
      </c>
      <c r="T2566" s="2" t="s">
        <v>229</v>
      </c>
      <c r="U2566" s="2" t="s">
        <v>230</v>
      </c>
      <c r="V2566" s="2" t="s">
        <v>59</v>
      </c>
      <c r="W2566" s="2">
        <v>44.3</v>
      </c>
      <c r="X2566" s="2">
        <v>27.8</v>
      </c>
      <c r="Y2566" s="2" t="s">
        <v>118</v>
      </c>
      <c r="Z2566" s="2" t="s">
        <v>17139</v>
      </c>
      <c r="AA2566" s="2">
        <v>-0.32294674545269703</v>
      </c>
      <c r="AB2566" s="2">
        <v>0.31345325457886403</v>
      </c>
      <c r="AC2566" s="2">
        <v>67063.265838538005</v>
      </c>
      <c r="AD2566" s="2">
        <v>74571.863428526704</v>
      </c>
      <c r="AE2566" s="2">
        <v>71367.8620666926</v>
      </c>
      <c r="AF2566" s="2">
        <v>65661.575697264503</v>
      </c>
      <c r="AG2566" s="2">
        <v>65800.975857966696</v>
      </c>
      <c r="AH2566" s="2">
        <v>68790.266610202307</v>
      </c>
      <c r="AI2566" s="2">
        <v>66011.040798405404</v>
      </c>
      <c r="AJ2566" s="2">
        <v>64747.8740006968</v>
      </c>
      <c r="AK2566" s="2">
        <v>70086.726933390702</v>
      </c>
      <c r="AL2566" s="2">
        <v>73633.704131736202</v>
      </c>
      <c r="AM2566" s="2">
        <v>76266.7199681497</v>
      </c>
      <c r="AN2566" s="2">
        <v>76587.166630961001</v>
      </c>
      <c r="AO2566" s="2">
        <v>75740.247320940107</v>
      </c>
      <c r="AP2566" s="2">
        <v>75116.615585982698</v>
      </c>
    </row>
    <row r="2567" spans="1:42" ht="14.5" x14ac:dyDescent="0.35">
      <c r="A2567" s="2" t="s">
        <v>17140</v>
      </c>
      <c r="B2567" s="2">
        <v>319.227610971883</v>
      </c>
      <c r="C2567" s="2">
        <v>10.611800000000001</v>
      </c>
      <c r="D2567" s="2" t="s">
        <v>70</v>
      </c>
      <c r="E2567" s="2" t="s">
        <v>17141</v>
      </c>
      <c r="F2567" s="2">
        <v>59258</v>
      </c>
      <c r="G2567" s="3" t="str">
        <f>HYPERLINK("http://funmeta.oebiotech.com/network/59258", "http://funmeta.oebiotech.com/network/59258")</f>
        <v>http://funmeta.oebiotech.com/network/59258</v>
      </c>
      <c r="H2567" s="2" t="s">
        <v>17142</v>
      </c>
      <c r="I2567" s="2"/>
      <c r="J2567" s="2"/>
      <c r="K2567" s="2">
        <v>171881</v>
      </c>
      <c r="L2567" s="2"/>
      <c r="M2567" s="2"/>
      <c r="N2567" s="2"/>
      <c r="O2567" s="2">
        <v>131751729</v>
      </c>
      <c r="P2567" s="2" t="s">
        <v>17143</v>
      </c>
      <c r="Q2567" s="2" t="s">
        <v>17144</v>
      </c>
      <c r="R2567" s="2" t="s">
        <v>17145</v>
      </c>
      <c r="S2567" s="2" t="s">
        <v>50</v>
      </c>
      <c r="T2567" s="2" t="s">
        <v>201</v>
      </c>
      <c r="U2567" s="2" t="s">
        <v>241</v>
      </c>
      <c r="V2567" s="2" t="s">
        <v>42</v>
      </c>
      <c r="W2567" s="2">
        <v>49.3</v>
      </c>
      <c r="X2567" s="2">
        <v>51.8</v>
      </c>
      <c r="Y2567" s="2" t="s">
        <v>751</v>
      </c>
      <c r="Z2567" s="2" t="s">
        <v>3664</v>
      </c>
      <c r="AA2567" s="2">
        <v>-0.76121213114464403</v>
      </c>
      <c r="AB2567" s="2">
        <v>0.31342895284180899</v>
      </c>
      <c r="AC2567" s="2">
        <v>8750.0287594455003</v>
      </c>
      <c r="AD2567" s="2">
        <v>2235.0961999270498</v>
      </c>
      <c r="AE2567" s="2">
        <v>9770.7042934385408</v>
      </c>
      <c r="AF2567" s="2">
        <v>8183.0541288321201</v>
      </c>
      <c r="AG2567" s="2">
        <v>8028.6770300047901</v>
      </c>
      <c r="AH2567" s="2">
        <v>8692.4112177827992</v>
      </c>
      <c r="AI2567" s="2">
        <v>8298.0722921520901</v>
      </c>
      <c r="AJ2567" s="2">
        <v>9527.2535944626798</v>
      </c>
      <c r="AK2567" s="2">
        <v>2387.6763402617298</v>
      </c>
      <c r="AL2567" s="2">
        <v>2378.8229781178802</v>
      </c>
      <c r="AM2567" s="2">
        <v>2195.1870500631599</v>
      </c>
      <c r="AN2567" s="2">
        <v>2406.67056369181</v>
      </c>
      <c r="AO2567" s="2">
        <v>2090.1994359217001</v>
      </c>
      <c r="AP2567" s="2">
        <v>1952.0208315059999</v>
      </c>
    </row>
    <row r="2568" spans="1:42" ht="14.5" x14ac:dyDescent="0.35">
      <c r="A2568" s="2" t="s">
        <v>17146</v>
      </c>
      <c r="B2568" s="2">
        <v>577.20462397315305</v>
      </c>
      <c r="C2568" s="2">
        <v>6.3386333333333296</v>
      </c>
      <c r="D2568" s="2" t="s">
        <v>34</v>
      </c>
      <c r="E2568" s="2" t="s">
        <v>17147</v>
      </c>
      <c r="F2568" s="2">
        <v>254891</v>
      </c>
      <c r="G2568" s="3" t="str">
        <f>HYPERLINK("http://funmeta.oebiotech.com/network/254891", "http://funmeta.oebiotech.com/network/254891")</f>
        <v>http://funmeta.oebiotech.com/network/254891</v>
      </c>
      <c r="H2568" s="2" t="s">
        <v>17148</v>
      </c>
      <c r="I2568" s="2">
        <v>71863</v>
      </c>
      <c r="J2568" s="2"/>
      <c r="K2568" s="2"/>
      <c r="L2568" s="2" t="s">
        <v>17149</v>
      </c>
      <c r="M2568" s="2"/>
      <c r="N2568" s="2"/>
      <c r="O2568" s="2">
        <v>323896</v>
      </c>
      <c r="P2568" s="2" t="s">
        <v>17150</v>
      </c>
      <c r="Q2568" s="2" t="s">
        <v>17151</v>
      </c>
      <c r="R2568" s="2" t="s">
        <v>17152</v>
      </c>
      <c r="S2568" s="2" t="s">
        <v>1184</v>
      </c>
      <c r="T2568" s="2" t="s">
        <v>3333</v>
      </c>
      <c r="U2568" s="2" t="s">
        <v>3334</v>
      </c>
      <c r="V2568" s="2" t="s">
        <v>59</v>
      </c>
      <c r="W2568" s="2">
        <v>38</v>
      </c>
      <c r="X2568" s="2">
        <v>0</v>
      </c>
      <c r="Y2568" s="2" t="s">
        <v>323</v>
      </c>
      <c r="Z2568" s="2" t="s">
        <v>10716</v>
      </c>
      <c r="AA2568" s="2">
        <v>0.371709714542523</v>
      </c>
      <c r="AB2568" s="2">
        <v>0.313425322322334</v>
      </c>
      <c r="AC2568" s="2">
        <v>41378.8968999922</v>
      </c>
      <c r="AD2568" s="2">
        <v>31908.471904465801</v>
      </c>
      <c r="AE2568" s="2">
        <v>43600.577445854397</v>
      </c>
      <c r="AF2568" s="2">
        <v>53215.600840380801</v>
      </c>
      <c r="AG2568" s="2">
        <v>36550.123034036304</v>
      </c>
      <c r="AH2568" s="2">
        <v>35611.697807707402</v>
      </c>
      <c r="AI2568" s="2">
        <v>40893.120733809599</v>
      </c>
      <c r="AJ2568" s="2">
        <v>38402.261538164603</v>
      </c>
      <c r="AK2568" s="2">
        <v>29411.617675139099</v>
      </c>
      <c r="AL2568" s="2">
        <v>27408.3118627724</v>
      </c>
      <c r="AM2568" s="2">
        <v>30005.3500336873</v>
      </c>
      <c r="AN2568" s="2">
        <v>36690.190751095397</v>
      </c>
      <c r="AO2568" s="2">
        <v>38316.8701848403</v>
      </c>
      <c r="AP2568" s="2">
        <v>29618.490919260399</v>
      </c>
    </row>
    <row r="2569" spans="1:42" ht="14.5" x14ac:dyDescent="0.35">
      <c r="A2569" s="2" t="s">
        <v>17153</v>
      </c>
      <c r="B2569" s="2">
        <v>699.39584854104703</v>
      </c>
      <c r="C2569" s="2">
        <v>11.246233333333301</v>
      </c>
      <c r="D2569" s="2" t="s">
        <v>70</v>
      </c>
      <c r="E2569" s="2" t="s">
        <v>17154</v>
      </c>
      <c r="F2569" s="2">
        <v>517119</v>
      </c>
      <c r="G2569" s="3" t="str">
        <f>HYPERLINK("http://funmeta.oebiotech.com/network/517119", "http://funmeta.oebiotech.com/network/517119")</f>
        <v>http://funmeta.oebiotech.com/network/517119</v>
      </c>
      <c r="H2569" s="2"/>
      <c r="I2569" s="2">
        <v>96651</v>
      </c>
      <c r="J2569" s="2"/>
      <c r="K2569" s="2"/>
      <c r="L2569" s="2"/>
      <c r="M2569" s="2"/>
      <c r="N2569" s="2"/>
      <c r="O2569" s="2">
        <v>53394768</v>
      </c>
      <c r="P2569" s="2"/>
      <c r="Q2569" s="2" t="s">
        <v>17155</v>
      </c>
      <c r="R2569" s="2" t="s">
        <v>17156</v>
      </c>
      <c r="S2569" s="2" t="s">
        <v>491</v>
      </c>
      <c r="T2569" s="2" t="s">
        <v>2184</v>
      </c>
      <c r="U2569" s="2" t="s">
        <v>2185</v>
      </c>
      <c r="V2569" s="2" t="s">
        <v>59</v>
      </c>
      <c r="W2569" s="2">
        <v>39</v>
      </c>
      <c r="X2569" s="2">
        <v>0</v>
      </c>
      <c r="Y2569" s="2" t="s">
        <v>560</v>
      </c>
      <c r="Z2569" s="2" t="s">
        <v>17157</v>
      </c>
      <c r="AA2569" s="2">
        <v>1.1317752821582101</v>
      </c>
      <c r="AB2569" s="2">
        <v>0.31329396720601499</v>
      </c>
      <c r="AC2569" s="2">
        <v>10880.4327158942</v>
      </c>
      <c r="AD2569" s="2">
        <v>18014.537437518102</v>
      </c>
      <c r="AE2569" s="2">
        <v>13086.2601557731</v>
      </c>
      <c r="AF2569" s="2">
        <v>9655.3413948642501</v>
      </c>
      <c r="AG2569" s="2">
        <v>12750.3812102024</v>
      </c>
      <c r="AH2569" s="2">
        <v>10301.8033788222</v>
      </c>
      <c r="AI2569" s="2">
        <v>10203.695965614201</v>
      </c>
      <c r="AJ2569" s="2">
        <v>9285.1141900888197</v>
      </c>
      <c r="AK2569" s="2">
        <v>19193.2424366661</v>
      </c>
      <c r="AL2569" s="2">
        <v>15093.963143475001</v>
      </c>
      <c r="AM2569" s="2">
        <v>17044.9125822231</v>
      </c>
      <c r="AN2569" s="2">
        <v>16958.0888888554</v>
      </c>
      <c r="AO2569" s="2">
        <v>18991.846324752201</v>
      </c>
      <c r="AP2569" s="2">
        <v>20805.1712491371</v>
      </c>
    </row>
    <row r="2570" spans="1:42" ht="14.5" x14ac:dyDescent="0.35">
      <c r="A2570" s="2" t="s">
        <v>17158</v>
      </c>
      <c r="B2570" s="2">
        <v>315.07207965462402</v>
      </c>
      <c r="C2570" s="2">
        <v>3.3893833333333299</v>
      </c>
      <c r="D2570" s="2" t="s">
        <v>70</v>
      </c>
      <c r="E2570" s="2" t="s">
        <v>17159</v>
      </c>
      <c r="F2570" s="2">
        <v>81845</v>
      </c>
      <c r="G2570" s="3" t="str">
        <f>HYPERLINK("http://funmeta.oebiotech.com/network/81845", "http://funmeta.oebiotech.com/network/81845")</f>
        <v>http://funmeta.oebiotech.com/network/81845</v>
      </c>
      <c r="H2570" s="2" t="s">
        <v>17160</v>
      </c>
      <c r="I2570" s="2"/>
      <c r="J2570" s="2"/>
      <c r="K2570" s="2"/>
      <c r="L2570" s="2"/>
      <c r="M2570" s="2"/>
      <c r="N2570" s="2"/>
      <c r="O2570" s="2">
        <v>119239</v>
      </c>
      <c r="P2570" s="2"/>
      <c r="Q2570" s="2" t="s">
        <v>17161</v>
      </c>
      <c r="R2570" s="2" t="s">
        <v>17162</v>
      </c>
      <c r="S2570" s="2" t="s">
        <v>79</v>
      </c>
      <c r="T2570" s="2" t="s">
        <v>80</v>
      </c>
      <c r="U2570" s="2" t="s">
        <v>81</v>
      </c>
      <c r="V2570" s="2" t="s">
        <v>42</v>
      </c>
      <c r="W2570" s="2">
        <v>48.5</v>
      </c>
      <c r="X2570" s="2">
        <v>48.2</v>
      </c>
      <c r="Y2570" s="2" t="s">
        <v>408</v>
      </c>
      <c r="Z2570" s="2" t="s">
        <v>2680</v>
      </c>
      <c r="AA2570" s="2">
        <v>-0.28140912924793698</v>
      </c>
      <c r="AB2570" s="2">
        <v>0.31318109727236498</v>
      </c>
      <c r="AC2570" s="2">
        <v>41451.307417756703</v>
      </c>
      <c r="AD2570" s="2">
        <v>49397.359031417996</v>
      </c>
      <c r="AE2570" s="2">
        <v>41329.923419091603</v>
      </c>
      <c r="AF2570" s="2">
        <v>42741.753179466097</v>
      </c>
      <c r="AG2570" s="2">
        <v>40417.125223044197</v>
      </c>
      <c r="AH2570" s="2">
        <v>39788.864178817399</v>
      </c>
      <c r="AI2570" s="2">
        <v>39543.271498417002</v>
      </c>
      <c r="AJ2570" s="2">
        <v>44886.907007704001</v>
      </c>
      <c r="AK2570" s="2">
        <v>50700.027880753601</v>
      </c>
      <c r="AL2570" s="2">
        <v>48646.435614584901</v>
      </c>
      <c r="AM2570" s="2">
        <v>47126.872142742097</v>
      </c>
      <c r="AN2570" s="2">
        <v>47640.6050134939</v>
      </c>
      <c r="AO2570" s="2">
        <v>45734.822733185698</v>
      </c>
      <c r="AP2570" s="2">
        <v>56535.390803747803</v>
      </c>
    </row>
    <row r="2571" spans="1:42" ht="14.5" x14ac:dyDescent="0.35">
      <c r="A2571" s="2" t="s">
        <v>17163</v>
      </c>
      <c r="B2571" s="2">
        <v>453.20931959089802</v>
      </c>
      <c r="C2571" s="2">
        <v>5.3519166666666704</v>
      </c>
      <c r="D2571" s="2" t="s">
        <v>34</v>
      </c>
      <c r="E2571" s="2" t="s">
        <v>17164</v>
      </c>
      <c r="F2571" s="2">
        <v>208185</v>
      </c>
      <c r="G2571" s="3" t="str">
        <f>HYPERLINK("http://funmeta.oebiotech.com/network/208185", "http://funmeta.oebiotech.com/network/208185")</f>
        <v>http://funmeta.oebiotech.com/network/208185</v>
      </c>
      <c r="H2571" s="2" t="s">
        <v>17165</v>
      </c>
      <c r="I2571" s="2"/>
      <c r="J2571" s="2"/>
      <c r="K2571" s="2"/>
      <c r="L2571" s="2"/>
      <c r="M2571" s="2"/>
      <c r="N2571" s="2"/>
      <c r="O2571" s="2">
        <v>3082392</v>
      </c>
      <c r="P2571" s="2"/>
      <c r="Q2571" s="2" t="s">
        <v>17166</v>
      </c>
      <c r="R2571" s="2" t="s">
        <v>17167</v>
      </c>
      <c r="S2571" s="2" t="s">
        <v>50</v>
      </c>
      <c r="T2571" s="2" t="s">
        <v>106</v>
      </c>
      <c r="U2571" s="2" t="s">
        <v>41</v>
      </c>
      <c r="V2571" s="2" t="s">
        <v>59</v>
      </c>
      <c r="W2571" s="2">
        <v>38.799999999999997</v>
      </c>
      <c r="X2571" s="2">
        <v>20.8</v>
      </c>
      <c r="Y2571" s="2" t="s">
        <v>141</v>
      </c>
      <c r="Z2571" s="2" t="s">
        <v>17168</v>
      </c>
      <c r="AA2571" s="2">
        <v>3.0482180686415701</v>
      </c>
      <c r="AB2571" s="2">
        <v>0.31309291018927998</v>
      </c>
      <c r="AC2571" s="2">
        <v>117059.698235148</v>
      </c>
      <c r="AD2571" s="2">
        <v>126804.907974883</v>
      </c>
      <c r="AE2571" s="2">
        <v>119322.201454708</v>
      </c>
      <c r="AF2571" s="2">
        <v>122578.864996827</v>
      </c>
      <c r="AG2571" s="2">
        <v>117240.100948226</v>
      </c>
      <c r="AH2571" s="2">
        <v>104488.102963363</v>
      </c>
      <c r="AI2571" s="2">
        <v>115405.90877953</v>
      </c>
      <c r="AJ2571" s="2">
        <v>123323.010268233</v>
      </c>
      <c r="AK2571" s="2">
        <v>122194.547498474</v>
      </c>
      <c r="AL2571" s="2">
        <v>122516.90711231</v>
      </c>
      <c r="AM2571" s="2">
        <v>132164.70119756501</v>
      </c>
      <c r="AN2571" s="2">
        <v>125273.83193109601</v>
      </c>
      <c r="AO2571" s="2">
        <v>134279.782881714</v>
      </c>
      <c r="AP2571" s="2">
        <v>124399.677228139</v>
      </c>
    </row>
    <row r="2572" spans="1:42" ht="14.5" x14ac:dyDescent="0.35">
      <c r="A2572" s="2" t="s">
        <v>17169</v>
      </c>
      <c r="B2572" s="2">
        <v>475.20946947843299</v>
      </c>
      <c r="C2572" s="2">
        <v>7.5527833333333296</v>
      </c>
      <c r="D2572" s="2" t="s">
        <v>34</v>
      </c>
      <c r="E2572" s="2" t="s">
        <v>17170</v>
      </c>
      <c r="F2572" s="2">
        <v>33772</v>
      </c>
      <c r="G2572" s="3" t="str">
        <f>HYPERLINK("http://funmeta.oebiotech.com/network/33772", "http://funmeta.oebiotech.com/network/33772")</f>
        <v>http://funmeta.oebiotech.com/network/33772</v>
      </c>
      <c r="H2572" s="2"/>
      <c r="I2572" s="2">
        <v>52084</v>
      </c>
      <c r="J2572" s="2" t="s">
        <v>17171</v>
      </c>
      <c r="K2572" s="2"/>
      <c r="L2572" s="2"/>
      <c r="M2572" s="2"/>
      <c r="N2572" s="2"/>
      <c r="O2572" s="2">
        <v>5318893</v>
      </c>
      <c r="P2572" s="2"/>
      <c r="Q2572" s="2" t="s">
        <v>17172</v>
      </c>
      <c r="R2572" s="2" t="s">
        <v>17173</v>
      </c>
      <c r="S2572" s="2" t="s">
        <v>115</v>
      </c>
      <c r="T2572" s="2" t="s">
        <v>12600</v>
      </c>
      <c r="U2572" s="2" t="s">
        <v>12601</v>
      </c>
      <c r="V2572" s="2" t="s">
        <v>59</v>
      </c>
      <c r="W2572" s="2">
        <v>37</v>
      </c>
      <c r="X2572" s="2">
        <v>0</v>
      </c>
      <c r="Y2572" s="2" t="s">
        <v>323</v>
      </c>
      <c r="Z2572" s="2" t="s">
        <v>17174</v>
      </c>
      <c r="AA2572" s="2">
        <v>0.79619415699612395</v>
      </c>
      <c r="AB2572" s="2">
        <v>0.31301537288111297</v>
      </c>
      <c r="AC2572" s="2">
        <v>3053.4468679146398</v>
      </c>
      <c r="AD2572" s="2">
        <v>10046.141729220901</v>
      </c>
      <c r="AE2572" s="2">
        <v>1574.2503276715499</v>
      </c>
      <c r="AF2572" s="2">
        <v>3016.60673699269</v>
      </c>
      <c r="AG2572" s="2">
        <v>3470.1602662359901</v>
      </c>
      <c r="AH2572" s="2">
        <v>4326.8031970597003</v>
      </c>
      <c r="AI2572" s="2">
        <v>3987.8627956200598</v>
      </c>
      <c r="AJ2572" s="2">
        <v>1944.9978839078401</v>
      </c>
      <c r="AK2572" s="2">
        <v>10435.501677141699</v>
      </c>
      <c r="AL2572" s="2">
        <v>9814.8654057608892</v>
      </c>
      <c r="AM2572" s="2">
        <v>7034.6042684022204</v>
      </c>
      <c r="AN2572" s="2">
        <v>8873.2156349179404</v>
      </c>
      <c r="AO2572" s="2">
        <v>13118.5986130281</v>
      </c>
      <c r="AP2572" s="2">
        <v>11000.0647760748</v>
      </c>
    </row>
    <row r="2573" spans="1:42" ht="14.5" x14ac:dyDescent="0.35">
      <c r="A2573" s="2" t="s">
        <v>17175</v>
      </c>
      <c r="B2573" s="2">
        <v>200.20076326030201</v>
      </c>
      <c r="C2573" s="2">
        <v>10.226800000000001</v>
      </c>
      <c r="D2573" s="2" t="s">
        <v>34</v>
      </c>
      <c r="E2573" s="2" t="s">
        <v>17176</v>
      </c>
      <c r="F2573" s="2">
        <v>8564</v>
      </c>
      <c r="G2573" s="3" t="str">
        <f>HYPERLINK("http://funmeta.oebiotech.com/network/8564", "http://funmeta.oebiotech.com/network/8564")</f>
        <v>http://funmeta.oebiotech.com/network/8564</v>
      </c>
      <c r="H2573" s="2" t="s">
        <v>17177</v>
      </c>
      <c r="I2573" s="2">
        <v>36671</v>
      </c>
      <c r="J2573" s="2" t="s">
        <v>17178</v>
      </c>
      <c r="K2573" s="2">
        <v>34726</v>
      </c>
      <c r="L2573" s="2" t="s">
        <v>17179</v>
      </c>
      <c r="M2573" s="2"/>
      <c r="N2573" s="2"/>
      <c r="O2573" s="2">
        <v>14256</v>
      </c>
      <c r="P2573" s="2"/>
      <c r="Q2573" s="2" t="s">
        <v>17180</v>
      </c>
      <c r="R2573" s="2" t="s">
        <v>17181</v>
      </c>
      <c r="S2573" s="2" t="s">
        <v>50</v>
      </c>
      <c r="T2573" s="2" t="s">
        <v>229</v>
      </c>
      <c r="U2573" s="2" t="s">
        <v>645</v>
      </c>
      <c r="V2573" s="2" t="s">
        <v>59</v>
      </c>
      <c r="W2573" s="2">
        <v>48.3</v>
      </c>
      <c r="X2573" s="2">
        <v>44</v>
      </c>
      <c r="Y2573" s="2" t="s">
        <v>394</v>
      </c>
      <c r="Z2573" s="2" t="s">
        <v>17182</v>
      </c>
      <c r="AA2573" s="2">
        <v>-0.64057177843971802</v>
      </c>
      <c r="AB2573" s="2">
        <v>0.31296403828780101</v>
      </c>
      <c r="AC2573" s="2">
        <v>1322197.1251496701</v>
      </c>
      <c r="AD2573" s="2">
        <v>1385488.9898560699</v>
      </c>
      <c r="AE2573" s="2">
        <v>1545040.4600855701</v>
      </c>
      <c r="AF2573" s="2">
        <v>1031253.94357493</v>
      </c>
      <c r="AG2573" s="2">
        <v>1185200.7929042501</v>
      </c>
      <c r="AH2573" s="2">
        <v>1512141.06594126</v>
      </c>
      <c r="AI2573" s="2">
        <v>1518309.2519358399</v>
      </c>
      <c r="AJ2573" s="2">
        <v>1141237.2364562</v>
      </c>
      <c r="AK2573" s="2">
        <v>1011871.79661135</v>
      </c>
      <c r="AL2573" s="2">
        <v>2051434.12088828</v>
      </c>
      <c r="AM2573" s="2">
        <v>1321510.98514618</v>
      </c>
      <c r="AN2573" s="2">
        <v>1824130.6151976399</v>
      </c>
      <c r="AO2573" s="2">
        <v>1035321.84593872</v>
      </c>
      <c r="AP2573" s="2">
        <v>1068664.5753542201</v>
      </c>
    </row>
    <row r="2574" spans="1:42" ht="14.5" x14ac:dyDescent="0.35">
      <c r="A2574" s="2" t="s">
        <v>17183</v>
      </c>
      <c r="B2574" s="2">
        <v>377.10514558620099</v>
      </c>
      <c r="C2574" s="2">
        <v>1.3109999999999999</v>
      </c>
      <c r="D2574" s="2" t="s">
        <v>34</v>
      </c>
      <c r="E2574" s="2" t="s">
        <v>17184</v>
      </c>
      <c r="F2574" s="2">
        <v>203230</v>
      </c>
      <c r="G2574" s="3" t="str">
        <f>HYPERLINK("http://funmeta.oebiotech.com/network/203230", "http://funmeta.oebiotech.com/network/203230")</f>
        <v>http://funmeta.oebiotech.com/network/203230</v>
      </c>
      <c r="H2574" s="2" t="s">
        <v>17185</v>
      </c>
      <c r="I2574" s="2"/>
      <c r="J2574" s="2"/>
      <c r="K2574" s="2"/>
      <c r="L2574" s="2"/>
      <c r="M2574" s="2"/>
      <c r="N2574" s="2"/>
      <c r="O2574" s="2">
        <v>21062558</v>
      </c>
      <c r="P2574" s="2"/>
      <c r="Q2574" s="2" t="s">
        <v>17186</v>
      </c>
      <c r="R2574" s="2" t="s">
        <v>17187</v>
      </c>
      <c r="S2574" s="2" t="s">
        <v>148</v>
      </c>
      <c r="T2574" s="2" t="s">
        <v>149</v>
      </c>
      <c r="U2574" s="2" t="s">
        <v>4875</v>
      </c>
      <c r="V2574" s="2" t="s">
        <v>59</v>
      </c>
      <c r="W2574" s="2">
        <v>37.299999999999997</v>
      </c>
      <c r="X2574" s="2">
        <v>0</v>
      </c>
      <c r="Y2574" s="2" t="s">
        <v>43</v>
      </c>
      <c r="Z2574" s="2" t="s">
        <v>17188</v>
      </c>
      <c r="AA2574" s="2">
        <v>-4.4144261954755404</v>
      </c>
      <c r="AB2574" s="2">
        <v>0.31294744985129103</v>
      </c>
      <c r="AC2574" s="2">
        <v>15220.804811465199</v>
      </c>
      <c r="AD2574" s="2">
        <v>22321.602640241301</v>
      </c>
      <c r="AE2574" s="2">
        <v>16955.555612912001</v>
      </c>
      <c r="AF2574" s="2">
        <v>14172.991075498499</v>
      </c>
      <c r="AG2574" s="2">
        <v>15672.6777654381</v>
      </c>
      <c r="AH2574" s="2">
        <v>15660.6170441129</v>
      </c>
      <c r="AI2574" s="2">
        <v>14551.905121408399</v>
      </c>
      <c r="AJ2574" s="2">
        <v>14311.082249421501</v>
      </c>
      <c r="AK2574" s="2">
        <v>23185.320352426199</v>
      </c>
      <c r="AL2574" s="2">
        <v>19409.755921072901</v>
      </c>
      <c r="AM2574" s="2">
        <v>21264.009422767798</v>
      </c>
      <c r="AN2574" s="2">
        <v>20874.124369616999</v>
      </c>
      <c r="AO2574" s="2">
        <v>23131.007481195898</v>
      </c>
      <c r="AP2574" s="2">
        <v>26065.3982943679</v>
      </c>
    </row>
    <row r="2575" spans="1:42" ht="14.5" x14ac:dyDescent="0.35">
      <c r="A2575" s="2" t="s">
        <v>17189</v>
      </c>
      <c r="B2575" s="2">
        <v>758.54236871036596</v>
      </c>
      <c r="C2575" s="2">
        <v>14.81725</v>
      </c>
      <c r="D2575" s="2" t="s">
        <v>70</v>
      </c>
      <c r="E2575" s="2" t="s">
        <v>17190</v>
      </c>
      <c r="F2575" s="2">
        <v>39965</v>
      </c>
      <c r="G2575" s="3" t="str">
        <f>HYPERLINK("http://funmeta.oebiotech.com/network/39965", "http://funmeta.oebiotech.com/network/39965")</f>
        <v>http://funmeta.oebiotech.com/network/39965</v>
      </c>
      <c r="H2575" s="2"/>
      <c r="I2575" s="2"/>
      <c r="J2575" s="2" t="s">
        <v>17191</v>
      </c>
      <c r="K2575" s="2"/>
      <c r="L2575" s="2"/>
      <c r="M2575" s="2"/>
      <c r="N2575" s="2"/>
      <c r="O2575" s="2">
        <v>134812543</v>
      </c>
      <c r="P2575" s="2"/>
      <c r="Q2575" s="2" t="s">
        <v>17192</v>
      </c>
      <c r="R2575" s="2" t="s">
        <v>17193</v>
      </c>
      <c r="S2575" s="2" t="s">
        <v>50</v>
      </c>
      <c r="T2575" s="2" t="s">
        <v>693</v>
      </c>
      <c r="U2575" s="2" t="s">
        <v>694</v>
      </c>
      <c r="V2575" s="2" t="s">
        <v>42</v>
      </c>
      <c r="W2575" s="2">
        <v>55</v>
      </c>
      <c r="X2575" s="2">
        <v>76</v>
      </c>
      <c r="Y2575" s="2" t="s">
        <v>286</v>
      </c>
      <c r="Z2575" s="2" t="s">
        <v>8104</v>
      </c>
      <c r="AA2575" s="2">
        <v>-2.4028958599636E-2</v>
      </c>
      <c r="AB2575" s="2">
        <v>0.31287711520807698</v>
      </c>
      <c r="AC2575" s="2">
        <v>289545.21382839198</v>
      </c>
      <c r="AD2575" s="2">
        <v>302738.17572056002</v>
      </c>
      <c r="AE2575" s="2">
        <v>289947.70627684001</v>
      </c>
      <c r="AF2575" s="2">
        <v>275251.71641934902</v>
      </c>
      <c r="AG2575" s="2">
        <v>287406.31729873299</v>
      </c>
      <c r="AH2575" s="2">
        <v>296228.916300699</v>
      </c>
      <c r="AI2575" s="2">
        <v>276926.64919702202</v>
      </c>
      <c r="AJ2575" s="2">
        <v>311509.97747770598</v>
      </c>
      <c r="AK2575" s="2">
        <v>299893.60236469901</v>
      </c>
      <c r="AL2575" s="2">
        <v>306162.94411010097</v>
      </c>
      <c r="AM2575" s="2">
        <v>291869.27965512202</v>
      </c>
      <c r="AN2575" s="2">
        <v>312451.02897419903</v>
      </c>
      <c r="AO2575" s="2">
        <v>319397.07810760901</v>
      </c>
      <c r="AP2575" s="2">
        <v>286655.12111163302</v>
      </c>
    </row>
    <row r="2576" spans="1:42" ht="14.5" x14ac:dyDescent="0.35">
      <c r="A2576" s="2" t="s">
        <v>17194</v>
      </c>
      <c r="B2576" s="2">
        <v>499.33899785400803</v>
      </c>
      <c r="C2576" s="2">
        <v>12.097849999999999</v>
      </c>
      <c r="D2576" s="2" t="s">
        <v>34</v>
      </c>
      <c r="E2576" s="2" t="s">
        <v>17195</v>
      </c>
      <c r="F2576" s="2">
        <v>58184</v>
      </c>
      <c r="G2576" s="3" t="str">
        <f>HYPERLINK("http://funmeta.oebiotech.com/network/58184", "http://funmeta.oebiotech.com/network/58184")</f>
        <v>http://funmeta.oebiotech.com/network/58184</v>
      </c>
      <c r="H2576" s="2" t="s">
        <v>17196</v>
      </c>
      <c r="I2576" s="2">
        <v>89701</v>
      </c>
      <c r="J2576" s="2"/>
      <c r="K2576" s="2"/>
      <c r="L2576" s="2"/>
      <c r="M2576" s="2"/>
      <c r="N2576" s="2"/>
      <c r="O2576" s="2">
        <v>14607932</v>
      </c>
      <c r="P2576" s="2" t="s">
        <v>17197</v>
      </c>
      <c r="Q2576" s="2" t="s">
        <v>17198</v>
      </c>
      <c r="R2576" s="2" t="s">
        <v>17199</v>
      </c>
      <c r="S2576" s="2" t="s">
        <v>50</v>
      </c>
      <c r="T2576" s="2" t="s">
        <v>124</v>
      </c>
      <c r="U2576" s="2" t="s">
        <v>5761</v>
      </c>
      <c r="V2576" s="2" t="s">
        <v>59</v>
      </c>
      <c r="W2576" s="2">
        <v>39.9</v>
      </c>
      <c r="X2576" s="2">
        <v>14.2</v>
      </c>
      <c r="Y2576" s="2" t="s">
        <v>323</v>
      </c>
      <c r="Z2576" s="2" t="s">
        <v>17200</v>
      </c>
      <c r="AA2576" s="2">
        <v>-0.83439279211433703</v>
      </c>
      <c r="AB2576" s="2">
        <v>0.31287317345458399</v>
      </c>
      <c r="AC2576" s="2">
        <v>29691.934977281398</v>
      </c>
      <c r="AD2576" s="2">
        <v>38373.990028731903</v>
      </c>
      <c r="AE2576" s="2">
        <v>33331.346428258497</v>
      </c>
      <c r="AF2576" s="2">
        <v>31056.903920898701</v>
      </c>
      <c r="AG2576" s="2">
        <v>30375.365671615698</v>
      </c>
      <c r="AH2576" s="2">
        <v>26224.591636170899</v>
      </c>
      <c r="AI2576" s="2">
        <v>26576.452609935601</v>
      </c>
      <c r="AJ2576" s="2">
        <v>30586.949596808801</v>
      </c>
      <c r="AK2576" s="2">
        <v>35697.151434157597</v>
      </c>
      <c r="AL2576" s="2">
        <v>30078.155635911298</v>
      </c>
      <c r="AM2576" s="2">
        <v>46344.187558967802</v>
      </c>
      <c r="AN2576" s="2">
        <v>37478.102265779104</v>
      </c>
      <c r="AO2576" s="2">
        <v>41137.768649890801</v>
      </c>
      <c r="AP2576" s="2">
        <v>39508.574627684698</v>
      </c>
    </row>
    <row r="2577" spans="1:42" ht="14.5" x14ac:dyDescent="0.35">
      <c r="A2577" s="2" t="s">
        <v>17201</v>
      </c>
      <c r="B2577" s="2">
        <v>553.31346640378297</v>
      </c>
      <c r="C2577" s="2">
        <v>11.200150000000001</v>
      </c>
      <c r="D2577" s="2" t="s">
        <v>34</v>
      </c>
      <c r="E2577" s="2" t="s">
        <v>17202</v>
      </c>
      <c r="F2577" s="2">
        <v>266890</v>
      </c>
      <c r="G2577" s="3" t="str">
        <f>HYPERLINK("http://funmeta.oebiotech.com/network/266890", "http://funmeta.oebiotech.com/network/266890")</f>
        <v>http://funmeta.oebiotech.com/network/266890</v>
      </c>
      <c r="H2577" s="2"/>
      <c r="I2577" s="2">
        <v>44214</v>
      </c>
      <c r="J2577" s="2"/>
      <c r="K2577" s="2"/>
      <c r="L2577" s="2"/>
      <c r="M2577" s="2"/>
      <c r="N2577" s="2"/>
      <c r="O2577" s="2">
        <v>6708609</v>
      </c>
      <c r="P2577" s="2"/>
      <c r="Q2577" s="2" t="s">
        <v>17203</v>
      </c>
      <c r="R2577" s="2" t="s">
        <v>17204</v>
      </c>
      <c r="S2577" s="2" t="s">
        <v>41</v>
      </c>
      <c r="T2577" s="2" t="s">
        <v>41</v>
      </c>
      <c r="U2577" s="2" t="s">
        <v>41</v>
      </c>
      <c r="V2577" s="2" t="s">
        <v>59</v>
      </c>
      <c r="W2577" s="2">
        <v>38.5</v>
      </c>
      <c r="X2577" s="2">
        <v>0</v>
      </c>
      <c r="Y2577" s="2" t="s">
        <v>323</v>
      </c>
      <c r="Z2577" s="2" t="s">
        <v>17205</v>
      </c>
      <c r="AA2577" s="2">
        <v>-0.203815563954996</v>
      </c>
      <c r="AB2577" s="2">
        <v>0.312453422838395</v>
      </c>
      <c r="AC2577" s="2">
        <v>32901.280868655303</v>
      </c>
      <c r="AD2577" s="2">
        <v>25802.867597600001</v>
      </c>
      <c r="AE2577" s="2">
        <v>33993.513035791097</v>
      </c>
      <c r="AF2577" s="2">
        <v>31844.204713387899</v>
      </c>
      <c r="AG2577" s="2">
        <v>33820.326405065302</v>
      </c>
      <c r="AH2577" s="2">
        <v>33817.380722075599</v>
      </c>
      <c r="AI2577" s="2">
        <v>31577.562806390601</v>
      </c>
      <c r="AJ2577" s="2">
        <v>32354.697529221099</v>
      </c>
      <c r="AK2577" s="2">
        <v>27517.671546021698</v>
      </c>
      <c r="AL2577" s="2">
        <v>29167.892301735301</v>
      </c>
      <c r="AM2577" s="2">
        <v>26474.437375670499</v>
      </c>
      <c r="AN2577" s="2">
        <v>25244.2847228153</v>
      </c>
      <c r="AO2577" s="2">
        <v>24139.899383682299</v>
      </c>
      <c r="AP2577" s="2">
        <v>22273.020255675099</v>
      </c>
    </row>
    <row r="2578" spans="1:42" ht="14.5" x14ac:dyDescent="0.35">
      <c r="A2578" s="2" t="s">
        <v>17206</v>
      </c>
      <c r="B2578" s="2">
        <v>230.189927924637</v>
      </c>
      <c r="C2578" s="2">
        <v>6.5183166666666699</v>
      </c>
      <c r="D2578" s="2" t="s">
        <v>34</v>
      </c>
      <c r="E2578" s="2" t="s">
        <v>17207</v>
      </c>
      <c r="F2578" s="2">
        <v>55660</v>
      </c>
      <c r="G2578" s="3" t="str">
        <f>HYPERLINK("http://funmeta.oebiotech.com/network/55660", "http://funmeta.oebiotech.com/network/55660")</f>
        <v>http://funmeta.oebiotech.com/network/55660</v>
      </c>
      <c r="H2578" s="2" t="s">
        <v>17208</v>
      </c>
      <c r="I2578" s="2"/>
      <c r="J2578" s="2"/>
      <c r="K2578" s="2">
        <v>173761</v>
      </c>
      <c r="L2578" s="2"/>
      <c r="M2578" s="2"/>
      <c r="N2578" s="2"/>
      <c r="O2578" s="2">
        <v>131751109</v>
      </c>
      <c r="P2578" s="2" t="s">
        <v>17209</v>
      </c>
      <c r="Q2578" s="2" t="s">
        <v>17210</v>
      </c>
      <c r="R2578" s="2" t="s">
        <v>17211</v>
      </c>
      <c r="S2578" s="2" t="s">
        <v>89</v>
      </c>
      <c r="T2578" s="2" t="s">
        <v>17212</v>
      </c>
      <c r="U2578" s="2" t="s">
        <v>17213</v>
      </c>
      <c r="V2578" s="2" t="s">
        <v>42</v>
      </c>
      <c r="W2578" s="2">
        <v>47.7</v>
      </c>
      <c r="X2578" s="2">
        <v>50</v>
      </c>
      <c r="Y2578" s="2" t="s">
        <v>141</v>
      </c>
      <c r="Z2578" s="2" t="s">
        <v>17214</v>
      </c>
      <c r="AA2578" s="2">
        <v>-1.61109126433887</v>
      </c>
      <c r="AB2578" s="2">
        <v>0.31245085341849099</v>
      </c>
      <c r="AC2578" s="2">
        <v>24904.087360614401</v>
      </c>
      <c r="AD2578" s="2">
        <v>32193.447803487201</v>
      </c>
      <c r="AE2578" s="2">
        <v>23763.999031489599</v>
      </c>
      <c r="AF2578" s="2">
        <v>22758.597223706802</v>
      </c>
      <c r="AG2578" s="2">
        <v>21456.08455661</v>
      </c>
      <c r="AH2578" s="2">
        <v>26517.462307734899</v>
      </c>
      <c r="AI2578" s="2">
        <v>25347.726566931</v>
      </c>
      <c r="AJ2578" s="2">
        <v>29580.654477214299</v>
      </c>
      <c r="AK2578" s="2">
        <v>31496.810533441199</v>
      </c>
      <c r="AL2578" s="2">
        <v>31702.627631352101</v>
      </c>
      <c r="AM2578" s="2">
        <v>30868.0101955871</v>
      </c>
      <c r="AN2578" s="2">
        <v>32704.807034694699</v>
      </c>
      <c r="AO2578" s="2">
        <v>34120.741650591503</v>
      </c>
      <c r="AP2578" s="2">
        <v>32267.6897752564</v>
      </c>
    </row>
    <row r="2579" spans="1:42" ht="14.5" x14ac:dyDescent="0.35">
      <c r="A2579" s="2" t="s">
        <v>17215</v>
      </c>
      <c r="B2579" s="2">
        <v>521.27147309141696</v>
      </c>
      <c r="C2579" s="2">
        <v>4.4128166666666697</v>
      </c>
      <c r="D2579" s="2" t="s">
        <v>34</v>
      </c>
      <c r="E2579" s="2" t="s">
        <v>17216</v>
      </c>
      <c r="F2579" s="2">
        <v>207427</v>
      </c>
      <c r="G2579" s="3" t="str">
        <f>HYPERLINK("http://funmeta.oebiotech.com/network/207427", "http://funmeta.oebiotech.com/network/207427")</f>
        <v>http://funmeta.oebiotech.com/network/207427</v>
      </c>
      <c r="H2579" s="2" t="s">
        <v>17217</v>
      </c>
      <c r="I2579" s="2"/>
      <c r="J2579" s="2"/>
      <c r="K2579" s="2"/>
      <c r="L2579" s="2"/>
      <c r="M2579" s="2"/>
      <c r="N2579" s="2"/>
      <c r="O2579" s="2">
        <v>5008460</v>
      </c>
      <c r="P2579" s="2"/>
      <c r="Q2579" s="2" t="s">
        <v>17218</v>
      </c>
      <c r="R2579" s="2" t="s">
        <v>17219</v>
      </c>
      <c r="S2579" s="2" t="s">
        <v>89</v>
      </c>
      <c r="T2579" s="2" t="s">
        <v>90</v>
      </c>
      <c r="U2579" s="2" t="s">
        <v>99</v>
      </c>
      <c r="V2579" s="2" t="s">
        <v>59</v>
      </c>
      <c r="W2579" s="2">
        <v>45</v>
      </c>
      <c r="X2579" s="2">
        <v>32.6</v>
      </c>
      <c r="Y2579" s="2" t="s">
        <v>1871</v>
      </c>
      <c r="Z2579" s="2" t="s">
        <v>17220</v>
      </c>
      <c r="AA2579" s="2">
        <v>4.1238384481949097</v>
      </c>
      <c r="AB2579" s="2">
        <v>0.31205698996946502</v>
      </c>
      <c r="AC2579" s="2">
        <v>612666.33645078703</v>
      </c>
      <c r="AD2579" s="2">
        <v>651426.90476069099</v>
      </c>
      <c r="AE2579" s="2">
        <v>545172.62906242104</v>
      </c>
      <c r="AF2579" s="2">
        <v>704051.05016296695</v>
      </c>
      <c r="AG2579" s="2">
        <v>721789.97938193101</v>
      </c>
      <c r="AH2579" s="2">
        <v>441389.59358542901</v>
      </c>
      <c r="AI2579" s="2">
        <v>683189.69287215895</v>
      </c>
      <c r="AJ2579" s="2">
        <v>580405.07363981602</v>
      </c>
      <c r="AK2579" s="2">
        <v>801357.62291903305</v>
      </c>
      <c r="AL2579" s="2">
        <v>588464.44838267902</v>
      </c>
      <c r="AM2579" s="2">
        <v>745692.10651834204</v>
      </c>
      <c r="AN2579" s="2">
        <v>498135.31515012501</v>
      </c>
      <c r="AO2579" s="2">
        <v>500979.57475704298</v>
      </c>
      <c r="AP2579" s="2">
        <v>773932.36083692499</v>
      </c>
    </row>
    <row r="2580" spans="1:42" ht="14.5" x14ac:dyDescent="0.35">
      <c r="A2580" s="2" t="s">
        <v>17221</v>
      </c>
      <c r="B2580" s="2">
        <v>535.19719619837304</v>
      </c>
      <c r="C2580" s="2">
        <v>5.37076666666667</v>
      </c>
      <c r="D2580" s="2" t="s">
        <v>34</v>
      </c>
      <c r="E2580" s="2" t="s">
        <v>17222</v>
      </c>
      <c r="F2580" s="2">
        <v>206415</v>
      </c>
      <c r="G2580" s="3" t="str">
        <f>HYPERLINK("http://funmeta.oebiotech.com/network/206415", "http://funmeta.oebiotech.com/network/206415")</f>
        <v>http://funmeta.oebiotech.com/network/206415</v>
      </c>
      <c r="H2580" s="2" t="s">
        <v>17223</v>
      </c>
      <c r="I2580" s="2"/>
      <c r="J2580" s="2"/>
      <c r="K2580" s="2"/>
      <c r="L2580" s="2"/>
      <c r="M2580" s="2"/>
      <c r="N2580" s="2"/>
      <c r="O2580" s="2">
        <v>21734643</v>
      </c>
      <c r="P2580" s="2"/>
      <c r="Q2580" s="2" t="s">
        <v>17224</v>
      </c>
      <c r="R2580" s="2" t="s">
        <v>17225</v>
      </c>
      <c r="S2580" s="2" t="s">
        <v>41</v>
      </c>
      <c r="T2580" s="2" t="s">
        <v>41</v>
      </c>
      <c r="U2580" s="2" t="s">
        <v>41</v>
      </c>
      <c r="V2580" s="2" t="s">
        <v>59</v>
      </c>
      <c r="W2580" s="2">
        <v>38</v>
      </c>
      <c r="X2580" s="2">
        <v>0</v>
      </c>
      <c r="Y2580" s="2" t="s">
        <v>43</v>
      </c>
      <c r="Z2580" s="2" t="s">
        <v>17226</v>
      </c>
      <c r="AA2580" s="2">
        <v>-4.3519061292220496</v>
      </c>
      <c r="AB2580" s="2">
        <v>0.31200493822701297</v>
      </c>
      <c r="AC2580" s="2">
        <v>12794.251450023399</v>
      </c>
      <c r="AD2580" s="2">
        <v>19652.205726002801</v>
      </c>
      <c r="AE2580" s="2">
        <v>14164.291944266501</v>
      </c>
      <c r="AF2580" s="2">
        <v>12543.101821349799</v>
      </c>
      <c r="AG2580" s="2">
        <v>11061.46423641</v>
      </c>
      <c r="AH2580" s="2">
        <v>11915.8801140671</v>
      </c>
      <c r="AI2580" s="2">
        <v>12129.8773700945</v>
      </c>
      <c r="AJ2580" s="2">
        <v>14950.8932139522</v>
      </c>
      <c r="AK2580" s="2">
        <v>20561.477325092899</v>
      </c>
      <c r="AL2580" s="2">
        <v>19618.0784316893</v>
      </c>
      <c r="AM2580" s="2">
        <v>18847.619228871099</v>
      </c>
      <c r="AN2580" s="2">
        <v>20461.098636785398</v>
      </c>
      <c r="AO2580" s="2">
        <v>17237.012115094101</v>
      </c>
      <c r="AP2580" s="2">
        <v>21187.948618484199</v>
      </c>
    </row>
    <row r="2581" spans="1:42" ht="14.5" x14ac:dyDescent="0.35">
      <c r="A2581" s="2" t="s">
        <v>17227</v>
      </c>
      <c r="B2581" s="2">
        <v>192.086448151154</v>
      </c>
      <c r="C2581" s="2">
        <v>0.73473333333333302</v>
      </c>
      <c r="D2581" s="2" t="s">
        <v>34</v>
      </c>
      <c r="E2581" s="2" t="s">
        <v>17228</v>
      </c>
      <c r="F2581" s="2">
        <v>2881</v>
      </c>
      <c r="G2581" s="3" t="str">
        <f>HYPERLINK("http://funmeta.oebiotech.com/network/2881", "http://funmeta.oebiotech.com/network/2881")</f>
        <v>http://funmeta.oebiotech.com/network/2881</v>
      </c>
      <c r="H2581" s="2"/>
      <c r="I2581" s="2">
        <v>45912</v>
      </c>
      <c r="J2581" s="2" t="s">
        <v>17229</v>
      </c>
      <c r="K2581" s="2">
        <v>37259</v>
      </c>
      <c r="L2581" s="2"/>
      <c r="M2581" s="2"/>
      <c r="N2581" s="2"/>
      <c r="O2581" s="2">
        <v>3014019</v>
      </c>
      <c r="P2581" s="2"/>
      <c r="Q2581" s="2" t="s">
        <v>17230</v>
      </c>
      <c r="R2581" s="2" t="s">
        <v>17231</v>
      </c>
      <c r="S2581" s="2" t="s">
        <v>89</v>
      </c>
      <c r="T2581" s="2" t="s">
        <v>2718</v>
      </c>
      <c r="U2581" s="2" t="s">
        <v>11268</v>
      </c>
      <c r="V2581" s="2" t="s">
        <v>42</v>
      </c>
      <c r="W2581" s="2">
        <v>48.9</v>
      </c>
      <c r="X2581" s="2">
        <v>51</v>
      </c>
      <c r="Y2581" s="2" t="s">
        <v>43</v>
      </c>
      <c r="Z2581" s="2" t="s">
        <v>13223</v>
      </c>
      <c r="AA2581" s="2">
        <v>-1.15365750741246</v>
      </c>
      <c r="AB2581" s="2">
        <v>0.31198901077582097</v>
      </c>
      <c r="AC2581" s="2">
        <v>52593.152669624898</v>
      </c>
      <c r="AD2581" s="2">
        <v>60312.122510453199</v>
      </c>
      <c r="AE2581" s="2">
        <v>51802.7372969766</v>
      </c>
      <c r="AF2581" s="2">
        <v>57576.709998898601</v>
      </c>
      <c r="AG2581" s="2">
        <v>51296.422438417299</v>
      </c>
      <c r="AH2581" s="2">
        <v>50589.437776463703</v>
      </c>
      <c r="AI2581" s="2">
        <v>53276.622134778103</v>
      </c>
      <c r="AJ2581" s="2">
        <v>51016.986372214902</v>
      </c>
      <c r="AK2581" s="2">
        <v>59212.5753002817</v>
      </c>
      <c r="AL2581" s="2">
        <v>61147.429960171998</v>
      </c>
      <c r="AM2581" s="2">
        <v>59945.899507150098</v>
      </c>
      <c r="AN2581" s="2">
        <v>58405.2496426871</v>
      </c>
      <c r="AO2581" s="2">
        <v>65997.370389587595</v>
      </c>
      <c r="AP2581" s="2">
        <v>57164.210262840803</v>
      </c>
    </row>
    <row r="2582" spans="1:42" ht="14.5" x14ac:dyDescent="0.35">
      <c r="A2582" s="2" t="s">
        <v>17232</v>
      </c>
      <c r="B2582" s="2">
        <v>136.99804813278399</v>
      </c>
      <c r="C2582" s="2">
        <v>13.950516666666701</v>
      </c>
      <c r="D2582" s="2" t="s">
        <v>70</v>
      </c>
      <c r="E2582" s="2" t="s">
        <v>17233</v>
      </c>
      <c r="F2582" s="2">
        <v>46943</v>
      </c>
      <c r="G2582" s="3" t="str">
        <f>HYPERLINK("http://funmeta.oebiotech.com/network/46943", "http://funmeta.oebiotech.com/network/46943")</f>
        <v>http://funmeta.oebiotech.com/network/46943</v>
      </c>
      <c r="H2582" s="2" t="s">
        <v>17234</v>
      </c>
      <c r="I2582" s="2">
        <v>318</v>
      </c>
      <c r="J2582" s="2"/>
      <c r="K2582" s="2">
        <v>16742</v>
      </c>
      <c r="L2582" s="2" t="s">
        <v>17235</v>
      </c>
      <c r="M2582" s="2" t="s">
        <v>15342</v>
      </c>
      <c r="N2582" s="2" t="s">
        <v>15343</v>
      </c>
      <c r="O2582" s="2">
        <v>967</v>
      </c>
      <c r="P2582" s="2" t="s">
        <v>17236</v>
      </c>
      <c r="Q2582" s="2" t="s">
        <v>17237</v>
      </c>
      <c r="R2582" s="2" t="s">
        <v>17238</v>
      </c>
      <c r="S2582" s="2" t="s">
        <v>491</v>
      </c>
      <c r="T2582" s="2" t="s">
        <v>4517</v>
      </c>
      <c r="U2582" s="2" t="s">
        <v>4518</v>
      </c>
      <c r="V2582" s="2" t="s">
        <v>59</v>
      </c>
      <c r="W2582" s="2">
        <v>37.799999999999997</v>
      </c>
      <c r="X2582" s="2">
        <v>0</v>
      </c>
      <c r="Y2582" s="2" t="s">
        <v>751</v>
      </c>
      <c r="Z2582" s="2" t="s">
        <v>17239</v>
      </c>
      <c r="AA2582" s="2">
        <v>-7.8027554952146696</v>
      </c>
      <c r="AB2582" s="2">
        <v>0.31197013074311503</v>
      </c>
      <c r="AC2582" s="2">
        <v>53367.660557513598</v>
      </c>
      <c r="AD2582" s="2">
        <v>61890.179111965997</v>
      </c>
      <c r="AE2582" s="2">
        <v>54167.337126658102</v>
      </c>
      <c r="AF2582" s="2">
        <v>51226.102051284099</v>
      </c>
      <c r="AG2582" s="2">
        <v>53318.732429895303</v>
      </c>
      <c r="AH2582" s="2">
        <v>53999.3698662651</v>
      </c>
      <c r="AI2582" s="2">
        <v>53739.2269066507</v>
      </c>
      <c r="AJ2582" s="2">
        <v>53755.194964328497</v>
      </c>
      <c r="AK2582" s="2">
        <v>72056.357621236501</v>
      </c>
      <c r="AL2582" s="2">
        <v>63464.586716598002</v>
      </c>
      <c r="AM2582" s="2">
        <v>62856.314512016201</v>
      </c>
      <c r="AN2582" s="2">
        <v>57063.949274645602</v>
      </c>
      <c r="AO2582" s="2">
        <v>57942.843556770596</v>
      </c>
      <c r="AP2582" s="2">
        <v>57957.022990528902</v>
      </c>
    </row>
    <row r="2583" spans="1:42" ht="14.5" x14ac:dyDescent="0.35">
      <c r="A2583" s="2" t="s">
        <v>17240</v>
      </c>
      <c r="B2583" s="2">
        <v>517.25631856961797</v>
      </c>
      <c r="C2583" s="2">
        <v>6.9144500000000004</v>
      </c>
      <c r="D2583" s="2" t="s">
        <v>70</v>
      </c>
      <c r="E2583" s="2" t="s">
        <v>17241</v>
      </c>
      <c r="F2583" s="2">
        <v>82812</v>
      </c>
      <c r="G2583" s="3" t="str">
        <f>HYPERLINK("http://funmeta.oebiotech.com/network/82812", "http://funmeta.oebiotech.com/network/82812")</f>
        <v>http://funmeta.oebiotech.com/network/82812</v>
      </c>
      <c r="H2583" s="2" t="s">
        <v>17242</v>
      </c>
      <c r="I2583" s="2"/>
      <c r="J2583" s="2"/>
      <c r="K2583" s="2"/>
      <c r="L2583" s="2"/>
      <c r="M2583" s="2"/>
      <c r="N2583" s="2"/>
      <c r="O2583" s="2">
        <v>29978255</v>
      </c>
      <c r="P2583" s="2"/>
      <c r="Q2583" s="2" t="s">
        <v>17243</v>
      </c>
      <c r="R2583" s="2" t="s">
        <v>17244</v>
      </c>
      <c r="S2583" s="2" t="s">
        <v>491</v>
      </c>
      <c r="T2583" s="2" t="s">
        <v>2184</v>
      </c>
      <c r="U2583" s="2" t="s">
        <v>5421</v>
      </c>
      <c r="V2583" s="2" t="s">
        <v>59</v>
      </c>
      <c r="W2583" s="2">
        <v>37.700000000000003</v>
      </c>
      <c r="X2583" s="2">
        <v>0</v>
      </c>
      <c r="Y2583" s="2" t="s">
        <v>560</v>
      </c>
      <c r="Z2583" s="2" t="s">
        <v>17245</v>
      </c>
      <c r="AA2583" s="2">
        <v>-1.0778206400572601</v>
      </c>
      <c r="AB2583" s="2">
        <v>0.31196298507999598</v>
      </c>
      <c r="AC2583" s="2">
        <v>32905.504952589501</v>
      </c>
      <c r="AD2583" s="2">
        <v>25871.042287591201</v>
      </c>
      <c r="AE2583" s="2">
        <v>30646.642800510501</v>
      </c>
      <c r="AF2583" s="2">
        <v>32620.300324155902</v>
      </c>
      <c r="AG2583" s="2">
        <v>31574.649811290299</v>
      </c>
      <c r="AH2583" s="2">
        <v>33338.416444500501</v>
      </c>
      <c r="AI2583" s="2">
        <v>33919.692747145498</v>
      </c>
      <c r="AJ2583" s="2">
        <v>35333.327587934102</v>
      </c>
      <c r="AK2583" s="2">
        <v>27740.373876155201</v>
      </c>
      <c r="AL2583" s="2">
        <v>25052.097620186902</v>
      </c>
      <c r="AM2583" s="2">
        <v>28558.8560149474</v>
      </c>
      <c r="AN2583" s="2">
        <v>24852.820350822301</v>
      </c>
      <c r="AO2583" s="2">
        <v>24786.424746234599</v>
      </c>
      <c r="AP2583" s="2">
        <v>24235.6811172007</v>
      </c>
    </row>
    <row r="2584" spans="1:42" ht="14.5" x14ac:dyDescent="0.35">
      <c r="A2584" s="2" t="s">
        <v>17246</v>
      </c>
      <c r="B2584" s="2">
        <v>459.18131455644999</v>
      </c>
      <c r="C2584" s="2">
        <v>5.4683000000000002</v>
      </c>
      <c r="D2584" s="2" t="s">
        <v>70</v>
      </c>
      <c r="E2584" s="2" t="s">
        <v>17247</v>
      </c>
      <c r="F2584" s="2">
        <v>47714</v>
      </c>
      <c r="G2584" s="3" t="str">
        <f>HYPERLINK("http://funmeta.oebiotech.com/network/47714", "http://funmeta.oebiotech.com/network/47714")</f>
        <v>http://funmeta.oebiotech.com/network/47714</v>
      </c>
      <c r="H2584" s="2" t="s">
        <v>17248</v>
      </c>
      <c r="I2584" s="2">
        <v>1461</v>
      </c>
      <c r="J2584" s="2"/>
      <c r="K2584" s="2">
        <v>7476</v>
      </c>
      <c r="L2584" s="2" t="s">
        <v>17249</v>
      </c>
      <c r="M2584" s="2"/>
      <c r="N2584" s="2"/>
      <c r="O2584" s="2">
        <v>156391</v>
      </c>
      <c r="P2584" s="2" t="s">
        <v>17250</v>
      </c>
      <c r="Q2584" s="2" t="s">
        <v>17251</v>
      </c>
      <c r="R2584" s="2" t="s">
        <v>17252</v>
      </c>
      <c r="S2584" s="2" t="s">
        <v>148</v>
      </c>
      <c r="T2584" s="2" t="s">
        <v>6221</v>
      </c>
      <c r="U2584" s="2" t="s">
        <v>41</v>
      </c>
      <c r="V2584" s="2" t="s">
        <v>59</v>
      </c>
      <c r="W2584" s="2">
        <v>39.4</v>
      </c>
      <c r="X2584" s="2">
        <v>0</v>
      </c>
      <c r="Y2584" s="2" t="s">
        <v>560</v>
      </c>
      <c r="Z2584" s="2" t="s">
        <v>17253</v>
      </c>
      <c r="AA2584" s="2">
        <v>5.1568635223828603E-3</v>
      </c>
      <c r="AB2584" s="2">
        <v>0.311897427606393</v>
      </c>
      <c r="AC2584" s="2">
        <v>25574.431055754201</v>
      </c>
      <c r="AD2584" s="2">
        <v>18645.237957856902</v>
      </c>
      <c r="AE2584" s="2">
        <v>25280.459578733</v>
      </c>
      <c r="AF2584" s="2">
        <v>25552.211683102301</v>
      </c>
      <c r="AG2584" s="2">
        <v>27009.067691204698</v>
      </c>
      <c r="AH2584" s="2">
        <v>23295.5639632893</v>
      </c>
      <c r="AI2584" s="2">
        <v>25073.665250889699</v>
      </c>
      <c r="AJ2584" s="2">
        <v>27235.618167305998</v>
      </c>
      <c r="AK2584" s="2">
        <v>15874.0946483032</v>
      </c>
      <c r="AL2584" s="2">
        <v>18017.482794251198</v>
      </c>
      <c r="AM2584" s="2">
        <v>21120.634402534499</v>
      </c>
      <c r="AN2584" s="2">
        <v>19251.217295114799</v>
      </c>
      <c r="AO2584" s="2">
        <v>18269.679149674099</v>
      </c>
      <c r="AP2584" s="2">
        <v>19338.319457263799</v>
      </c>
    </row>
    <row r="2585" spans="1:42" ht="14.5" x14ac:dyDescent="0.35">
      <c r="A2585" s="2" t="s">
        <v>17254</v>
      </c>
      <c r="B2585" s="2">
        <v>404.15289754674001</v>
      </c>
      <c r="C2585" s="2">
        <v>3.3826333333333301</v>
      </c>
      <c r="D2585" s="2" t="s">
        <v>34</v>
      </c>
      <c r="E2585" s="2" t="s">
        <v>17255</v>
      </c>
      <c r="F2585" s="2">
        <v>51900</v>
      </c>
      <c r="G2585" s="3" t="str">
        <f>HYPERLINK("http://funmeta.oebiotech.com/network/51900", "http://funmeta.oebiotech.com/network/51900")</f>
        <v>http://funmeta.oebiotech.com/network/51900</v>
      </c>
      <c r="H2585" s="2" t="s">
        <v>17256</v>
      </c>
      <c r="I2585" s="2"/>
      <c r="J2585" s="2"/>
      <c r="K2585" s="2">
        <v>133211</v>
      </c>
      <c r="L2585" s="2"/>
      <c r="M2585" s="2"/>
      <c r="N2585" s="2"/>
      <c r="O2585" s="2">
        <v>101928901</v>
      </c>
      <c r="P2585" s="2" t="s">
        <v>17257</v>
      </c>
      <c r="Q2585" s="2" t="s">
        <v>17258</v>
      </c>
      <c r="R2585" s="2" t="s">
        <v>17259</v>
      </c>
      <c r="S2585" s="2" t="s">
        <v>79</v>
      </c>
      <c r="T2585" s="2" t="s">
        <v>80</v>
      </c>
      <c r="U2585" s="2" t="s">
        <v>81</v>
      </c>
      <c r="V2585" s="2" t="s">
        <v>59</v>
      </c>
      <c r="W2585" s="2">
        <v>39.1</v>
      </c>
      <c r="X2585" s="2">
        <v>12.7</v>
      </c>
      <c r="Y2585" s="2" t="s">
        <v>67</v>
      </c>
      <c r="Z2585" s="2" t="s">
        <v>17260</v>
      </c>
      <c r="AA2585" s="2">
        <v>-3.0344148470008299</v>
      </c>
      <c r="AB2585" s="2">
        <v>0.31182828602958801</v>
      </c>
      <c r="AC2585" s="2">
        <v>27989.548981352302</v>
      </c>
      <c r="AD2585" s="2">
        <v>35100.660675527099</v>
      </c>
      <c r="AE2585" s="2">
        <v>27072.401197034302</v>
      </c>
      <c r="AF2585" s="2">
        <v>29329.075032079101</v>
      </c>
      <c r="AG2585" s="2">
        <v>28178.610845393101</v>
      </c>
      <c r="AH2585" s="2">
        <v>28717.948673238399</v>
      </c>
      <c r="AI2585" s="2">
        <v>27270.6864824037</v>
      </c>
      <c r="AJ2585" s="2">
        <v>27368.571657964902</v>
      </c>
      <c r="AK2585" s="2">
        <v>31227.750410017201</v>
      </c>
      <c r="AL2585" s="2">
        <v>34222.142071361202</v>
      </c>
      <c r="AM2585" s="2">
        <v>34503.153413587199</v>
      </c>
      <c r="AN2585" s="2">
        <v>39089.306372833104</v>
      </c>
      <c r="AO2585" s="2">
        <v>35301.907414124304</v>
      </c>
      <c r="AP2585" s="2">
        <v>36259.704371239699</v>
      </c>
    </row>
    <row r="2586" spans="1:42" ht="14.5" x14ac:dyDescent="0.35">
      <c r="A2586" s="2" t="s">
        <v>17261</v>
      </c>
      <c r="B2586" s="2">
        <v>347.28003630213902</v>
      </c>
      <c r="C2586" s="2">
        <v>3.3893833333333299</v>
      </c>
      <c r="D2586" s="2" t="s">
        <v>70</v>
      </c>
      <c r="E2586" s="2" t="s">
        <v>17262</v>
      </c>
      <c r="F2586" s="2">
        <v>199395</v>
      </c>
      <c r="G2586" s="3" t="str">
        <f>HYPERLINK("http://funmeta.oebiotech.com/network/199395", "http://funmeta.oebiotech.com/network/199395")</f>
        <v>http://funmeta.oebiotech.com/network/199395</v>
      </c>
      <c r="H2586" s="2" t="s">
        <v>17263</v>
      </c>
      <c r="I2586" s="2">
        <v>336277</v>
      </c>
      <c r="J2586" s="2"/>
      <c r="K2586" s="2"/>
      <c r="L2586" s="2"/>
      <c r="M2586" s="2"/>
      <c r="N2586" s="2"/>
      <c r="O2586" s="2">
        <v>8917</v>
      </c>
      <c r="P2586" s="2"/>
      <c r="Q2586" s="2" t="s">
        <v>17264</v>
      </c>
      <c r="R2586" s="2" t="s">
        <v>17265</v>
      </c>
      <c r="S2586" s="2" t="s">
        <v>5916</v>
      </c>
      <c r="T2586" s="2" t="s">
        <v>17266</v>
      </c>
      <c r="U2586" s="2" t="s">
        <v>17267</v>
      </c>
      <c r="V2586" s="2" t="s">
        <v>59</v>
      </c>
      <c r="W2586" s="2">
        <v>37.299999999999997</v>
      </c>
      <c r="X2586" s="2">
        <v>0</v>
      </c>
      <c r="Y2586" s="2" t="s">
        <v>560</v>
      </c>
      <c r="Z2586" s="2" t="s">
        <v>17268</v>
      </c>
      <c r="AA2586" s="2">
        <v>-3.2463808743394802</v>
      </c>
      <c r="AB2586" s="2">
        <v>0.31176704847431702</v>
      </c>
      <c r="AC2586" s="2">
        <v>26072.3785509806</v>
      </c>
      <c r="AD2586" s="2">
        <v>19320.955103649801</v>
      </c>
      <c r="AE2586" s="2">
        <v>27662.740133748401</v>
      </c>
      <c r="AF2586" s="2">
        <v>23964.334026226399</v>
      </c>
      <c r="AG2586" s="2">
        <v>25502.536537710501</v>
      </c>
      <c r="AH2586" s="2">
        <v>27556.450708657299</v>
      </c>
      <c r="AI2586" s="2">
        <v>26073.8218642047</v>
      </c>
      <c r="AJ2586" s="2">
        <v>25674.388035336498</v>
      </c>
      <c r="AK2586" s="2">
        <v>17908.356447472099</v>
      </c>
      <c r="AL2586" s="2">
        <v>19331.772354034201</v>
      </c>
      <c r="AM2586" s="2">
        <v>20769.777420246301</v>
      </c>
      <c r="AN2586" s="2">
        <v>18684.1210663356</v>
      </c>
      <c r="AO2586" s="2">
        <v>20516.6837088252</v>
      </c>
      <c r="AP2586" s="2">
        <v>18715.019624985402</v>
      </c>
    </row>
    <row r="2587" spans="1:42" ht="14.5" x14ac:dyDescent="0.35">
      <c r="A2587" s="2" t="s">
        <v>17269</v>
      </c>
      <c r="B2587" s="2">
        <v>409.18624914603299</v>
      </c>
      <c r="C2587" s="2">
        <v>4.4526833333333302</v>
      </c>
      <c r="D2587" s="2" t="s">
        <v>70</v>
      </c>
      <c r="E2587" s="2" t="s">
        <v>17270</v>
      </c>
      <c r="F2587" s="2">
        <v>200256</v>
      </c>
      <c r="G2587" s="3" t="str">
        <f>HYPERLINK("http://funmeta.oebiotech.com/network/200256", "http://funmeta.oebiotech.com/network/200256")</f>
        <v>http://funmeta.oebiotech.com/network/200256</v>
      </c>
      <c r="H2587" s="2" t="s">
        <v>17271</v>
      </c>
      <c r="I2587" s="2"/>
      <c r="J2587" s="2"/>
      <c r="K2587" s="2">
        <v>90232</v>
      </c>
      <c r="L2587" s="2"/>
      <c r="M2587" s="2"/>
      <c r="N2587" s="2"/>
      <c r="O2587" s="2"/>
      <c r="P2587" s="2"/>
      <c r="Q2587" s="2" t="s">
        <v>17272</v>
      </c>
      <c r="R2587" s="2" t="s">
        <v>17273</v>
      </c>
      <c r="S2587" s="2" t="s">
        <v>491</v>
      </c>
      <c r="T2587" s="2" t="s">
        <v>7431</v>
      </c>
      <c r="U2587" s="2" t="s">
        <v>7432</v>
      </c>
      <c r="V2587" s="2" t="s">
        <v>59</v>
      </c>
      <c r="W2587" s="2">
        <v>39.1</v>
      </c>
      <c r="X2587" s="2">
        <v>0</v>
      </c>
      <c r="Y2587" s="2" t="s">
        <v>560</v>
      </c>
      <c r="Z2587" s="2" t="s">
        <v>17274</v>
      </c>
      <c r="AA2587" s="2">
        <v>1.9639192361297999</v>
      </c>
      <c r="AB2587" s="2">
        <v>0.311679663880156</v>
      </c>
      <c r="AC2587" s="2">
        <v>17076.909778433601</v>
      </c>
      <c r="AD2587" s="2">
        <v>10379.1383808226</v>
      </c>
      <c r="AE2587" s="2">
        <v>16094.8078301773</v>
      </c>
      <c r="AF2587" s="2">
        <v>16963.2405744073</v>
      </c>
      <c r="AG2587" s="2">
        <v>17506.374618570499</v>
      </c>
      <c r="AH2587" s="2">
        <v>15815.672171124899</v>
      </c>
      <c r="AI2587" s="2">
        <v>18434.5808873559</v>
      </c>
      <c r="AJ2587" s="2">
        <v>17646.782588965802</v>
      </c>
      <c r="AK2587" s="2">
        <v>9328.2309480763306</v>
      </c>
      <c r="AL2587" s="2">
        <v>11023.135413391499</v>
      </c>
      <c r="AM2587" s="2">
        <v>12674.018782011801</v>
      </c>
      <c r="AN2587" s="2">
        <v>10111.023749116401</v>
      </c>
      <c r="AO2587" s="2">
        <v>9675.4127004894999</v>
      </c>
      <c r="AP2587" s="2">
        <v>9463.0086918500892</v>
      </c>
    </row>
    <row r="2588" spans="1:42" ht="14.5" x14ac:dyDescent="0.35">
      <c r="A2588" s="2" t="s">
        <v>17275</v>
      </c>
      <c r="B2588" s="2">
        <v>428.372972261906</v>
      </c>
      <c r="C2588" s="2">
        <v>10.490783333333299</v>
      </c>
      <c r="D2588" s="2" t="s">
        <v>34</v>
      </c>
      <c r="E2588" s="2" t="s">
        <v>17276</v>
      </c>
      <c r="F2588" s="2">
        <v>51371</v>
      </c>
      <c r="G2588" s="3" t="str">
        <f>HYPERLINK("http://funmeta.oebiotech.com/network/51371", "http://funmeta.oebiotech.com/network/51371")</f>
        <v>http://funmeta.oebiotech.com/network/51371</v>
      </c>
      <c r="H2588" s="2" t="s">
        <v>17277</v>
      </c>
      <c r="I2588" s="2">
        <v>62336</v>
      </c>
      <c r="J2588" s="2"/>
      <c r="K2588" s="2"/>
      <c r="L2588" s="2"/>
      <c r="M2588" s="2"/>
      <c r="N2588" s="2"/>
      <c r="O2588" s="2">
        <v>53480968</v>
      </c>
      <c r="P2588" s="2"/>
      <c r="Q2588" s="2" t="s">
        <v>17278</v>
      </c>
      <c r="R2588" s="2" t="s">
        <v>17279</v>
      </c>
      <c r="S2588" s="2" t="s">
        <v>50</v>
      </c>
      <c r="T2588" s="2" t="s">
        <v>448</v>
      </c>
      <c r="U2588" s="2" t="s">
        <v>7051</v>
      </c>
      <c r="V2588" s="2" t="s">
        <v>59</v>
      </c>
      <c r="W2588" s="2">
        <v>39.1</v>
      </c>
      <c r="X2588" s="2">
        <v>0.58699999999999997</v>
      </c>
      <c r="Y2588" s="2" t="s">
        <v>43</v>
      </c>
      <c r="Z2588" s="2" t="s">
        <v>17280</v>
      </c>
      <c r="AA2588" s="2">
        <v>-1.12887360317631</v>
      </c>
      <c r="AB2588" s="2">
        <v>0.31160520039802903</v>
      </c>
      <c r="AC2588" s="2">
        <v>24172.4101572783</v>
      </c>
      <c r="AD2588" s="2">
        <v>16166.174324657601</v>
      </c>
      <c r="AE2588" s="2">
        <v>29732.579316341002</v>
      </c>
      <c r="AF2588" s="2">
        <v>21807.179442043001</v>
      </c>
      <c r="AG2588" s="2">
        <v>23003.009183629802</v>
      </c>
      <c r="AH2588" s="2">
        <v>23017.047026094799</v>
      </c>
      <c r="AI2588" s="2">
        <v>22223.789918138202</v>
      </c>
      <c r="AJ2588" s="2">
        <v>25250.8560574232</v>
      </c>
      <c r="AK2588" s="2">
        <v>14109.397597150601</v>
      </c>
      <c r="AL2588" s="2">
        <v>13778.409997249901</v>
      </c>
      <c r="AM2588" s="2">
        <v>13789.972861636899</v>
      </c>
      <c r="AN2588" s="2">
        <v>14684.425069651399</v>
      </c>
      <c r="AO2588" s="2">
        <v>17392.923901800801</v>
      </c>
      <c r="AP2588" s="2">
        <v>23241.916520455899</v>
      </c>
    </row>
    <row r="2589" spans="1:42" ht="14.5" x14ac:dyDescent="0.35">
      <c r="A2589" s="2" t="s">
        <v>17281</v>
      </c>
      <c r="B2589" s="2">
        <v>878.51747482828898</v>
      </c>
      <c r="C2589" s="2">
        <v>10.93595</v>
      </c>
      <c r="D2589" s="2" t="s">
        <v>34</v>
      </c>
      <c r="E2589" s="2" t="s">
        <v>17282</v>
      </c>
      <c r="F2589" s="2">
        <v>237468</v>
      </c>
      <c r="G2589" s="3" t="str">
        <f>HYPERLINK("http://funmeta.oebiotech.com/network/237468", "http://funmeta.oebiotech.com/network/237468")</f>
        <v>http://funmeta.oebiotech.com/network/237468</v>
      </c>
      <c r="H2589" s="2" t="s">
        <v>17283</v>
      </c>
      <c r="I2589" s="2"/>
      <c r="J2589" s="2"/>
      <c r="K2589" s="2"/>
      <c r="L2589" s="2"/>
      <c r="M2589" s="2"/>
      <c r="N2589" s="2"/>
      <c r="O2589" s="2"/>
      <c r="P2589" s="2"/>
      <c r="Q2589" s="2" t="s">
        <v>17284</v>
      </c>
      <c r="R2589" s="2" t="s">
        <v>17285</v>
      </c>
      <c r="S2589" s="2" t="s">
        <v>41</v>
      </c>
      <c r="T2589" s="2" t="s">
        <v>41</v>
      </c>
      <c r="U2589" s="2" t="s">
        <v>41</v>
      </c>
      <c r="V2589" s="2" t="s">
        <v>59</v>
      </c>
      <c r="W2589" s="2">
        <v>36.200000000000003</v>
      </c>
      <c r="X2589" s="2">
        <v>0</v>
      </c>
      <c r="Y2589" s="2" t="s">
        <v>394</v>
      </c>
      <c r="Z2589" s="2" t="s">
        <v>17286</v>
      </c>
      <c r="AA2589" s="2">
        <v>-0.35909604011483198</v>
      </c>
      <c r="AB2589" s="2">
        <v>0.31153777532290899</v>
      </c>
      <c r="AC2589" s="2">
        <v>10195.5908092961</v>
      </c>
      <c r="AD2589" s="2">
        <v>17305.328871718899</v>
      </c>
      <c r="AE2589" s="2">
        <v>9123.0678057983496</v>
      </c>
      <c r="AF2589" s="2">
        <v>8897.0923781787405</v>
      </c>
      <c r="AG2589" s="2">
        <v>11803.441450140101</v>
      </c>
      <c r="AH2589" s="2">
        <v>9748.3484321327596</v>
      </c>
      <c r="AI2589" s="2">
        <v>9409.1493383036704</v>
      </c>
      <c r="AJ2589" s="2">
        <v>12192.445451223201</v>
      </c>
      <c r="AK2589" s="2">
        <v>15783.9755419511</v>
      </c>
      <c r="AL2589" s="2">
        <v>17560.782437285401</v>
      </c>
      <c r="AM2589" s="2">
        <v>21001.885209867502</v>
      </c>
      <c r="AN2589" s="2">
        <v>18716.043344875299</v>
      </c>
      <c r="AO2589" s="2">
        <v>14386.546790681499</v>
      </c>
      <c r="AP2589" s="2">
        <v>16382.739905652599</v>
      </c>
    </row>
    <row r="2590" spans="1:42" ht="14.5" x14ac:dyDescent="0.35">
      <c r="A2590" s="2" t="s">
        <v>17287</v>
      </c>
      <c r="B2590" s="2">
        <v>147.11279626905301</v>
      </c>
      <c r="C2590" s="2">
        <v>0.65180000000000005</v>
      </c>
      <c r="D2590" s="2" t="s">
        <v>34</v>
      </c>
      <c r="E2590" s="2" t="s">
        <v>17288</v>
      </c>
      <c r="F2590" s="2">
        <v>53310</v>
      </c>
      <c r="G2590" s="3" t="str">
        <f>HYPERLINK("http://funmeta.oebiotech.com/network/53310", "http://funmeta.oebiotech.com/network/53310")</f>
        <v>http://funmeta.oebiotech.com/network/53310</v>
      </c>
      <c r="H2590" s="2" t="s">
        <v>17289</v>
      </c>
      <c r="I2590" s="2">
        <v>3024</v>
      </c>
      <c r="J2590" s="2"/>
      <c r="K2590" s="2">
        <v>63638</v>
      </c>
      <c r="L2590" s="2" t="s">
        <v>17290</v>
      </c>
      <c r="M2590" s="2"/>
      <c r="N2590" s="2"/>
      <c r="O2590" s="2">
        <v>5665</v>
      </c>
      <c r="P2590" s="2" t="s">
        <v>17291</v>
      </c>
      <c r="Q2590" s="2" t="s">
        <v>17292</v>
      </c>
      <c r="R2590" s="2" t="s">
        <v>17293</v>
      </c>
      <c r="S2590" s="2" t="s">
        <v>89</v>
      </c>
      <c r="T2590" s="2" t="s">
        <v>90</v>
      </c>
      <c r="U2590" s="2" t="s">
        <v>99</v>
      </c>
      <c r="V2590" s="2" t="s">
        <v>59</v>
      </c>
      <c r="W2590" s="2">
        <v>46.8</v>
      </c>
      <c r="X2590" s="2">
        <v>37.1</v>
      </c>
      <c r="Y2590" s="2" t="s">
        <v>43</v>
      </c>
      <c r="Z2590" s="2" t="s">
        <v>17294</v>
      </c>
      <c r="AA2590" s="2">
        <v>-6.0874646340274403E-2</v>
      </c>
      <c r="AB2590" s="2">
        <v>0.31143741369870498</v>
      </c>
      <c r="AC2590" s="2">
        <v>10804.9327315599</v>
      </c>
      <c r="AD2590" s="2">
        <v>4368.6853875994902</v>
      </c>
      <c r="AE2590" s="2">
        <v>10404.304188800301</v>
      </c>
      <c r="AF2590" s="2">
        <v>11330.585416123</v>
      </c>
      <c r="AG2590" s="2">
        <v>10855.944927635899</v>
      </c>
      <c r="AH2590" s="2">
        <v>11573.7079957399</v>
      </c>
      <c r="AI2590" s="2">
        <v>9709.6452473390491</v>
      </c>
      <c r="AJ2590" s="2">
        <v>10955.4086137211</v>
      </c>
      <c r="AK2590" s="2">
        <v>4507.3434737921798</v>
      </c>
      <c r="AL2590" s="2">
        <v>3920.4988335532198</v>
      </c>
      <c r="AM2590" s="2">
        <v>4264.2287355397102</v>
      </c>
      <c r="AN2590" s="2">
        <v>4348.3663445030097</v>
      </c>
      <c r="AO2590" s="2">
        <v>3957.6268263209699</v>
      </c>
      <c r="AP2590" s="2">
        <v>5214.0481118878697</v>
      </c>
    </row>
    <row r="2591" spans="1:42" ht="14.5" x14ac:dyDescent="0.35">
      <c r="A2591" s="2" t="s">
        <v>17295</v>
      </c>
      <c r="B2591" s="2">
        <v>356.35200177455999</v>
      </c>
      <c r="C2591" s="2">
        <v>10.302849999999999</v>
      </c>
      <c r="D2591" s="2" t="s">
        <v>34</v>
      </c>
      <c r="E2591" s="2" t="s">
        <v>17296</v>
      </c>
      <c r="F2591" s="2">
        <v>9047</v>
      </c>
      <c r="G2591" s="3" t="str">
        <f>HYPERLINK("http://funmeta.oebiotech.com/network/9047", "http://funmeta.oebiotech.com/network/9047")</f>
        <v>http://funmeta.oebiotech.com/network/9047</v>
      </c>
      <c r="H2591" s="2" t="s">
        <v>17297</v>
      </c>
      <c r="I2591" s="2">
        <v>3723</v>
      </c>
      <c r="J2591" s="2" t="s">
        <v>17298</v>
      </c>
      <c r="K2591" s="2">
        <v>85253</v>
      </c>
      <c r="L2591" s="2"/>
      <c r="M2591" s="2"/>
      <c r="N2591" s="2"/>
      <c r="O2591" s="2">
        <v>3787294</v>
      </c>
      <c r="P2591" s="2" t="s">
        <v>17299</v>
      </c>
      <c r="Q2591" s="2" t="s">
        <v>17300</v>
      </c>
      <c r="R2591" s="2" t="s">
        <v>17301</v>
      </c>
      <c r="S2591" s="2" t="s">
        <v>1677</v>
      </c>
      <c r="T2591" s="2" t="s">
        <v>1678</v>
      </c>
      <c r="U2591" s="2" t="s">
        <v>1679</v>
      </c>
      <c r="V2591" s="2" t="s">
        <v>59</v>
      </c>
      <c r="W2591" s="2">
        <v>45.7</v>
      </c>
      <c r="X2591" s="2">
        <v>34</v>
      </c>
      <c r="Y2591" s="2" t="s">
        <v>394</v>
      </c>
      <c r="Z2591" s="2" t="s">
        <v>17302</v>
      </c>
      <c r="AA2591" s="2">
        <v>-0.856476058795826</v>
      </c>
      <c r="AB2591" s="2">
        <v>0.31137218215343698</v>
      </c>
      <c r="AC2591" s="2">
        <v>24663.1757965039</v>
      </c>
      <c r="AD2591" s="2">
        <v>37807.624909120001</v>
      </c>
      <c r="AE2591" s="2">
        <v>25394.387422207001</v>
      </c>
      <c r="AF2591" s="2">
        <v>16321.185616819799</v>
      </c>
      <c r="AG2591" s="2">
        <v>26046.112758205702</v>
      </c>
      <c r="AH2591" s="2">
        <v>16304.6063189459</v>
      </c>
      <c r="AI2591" s="2">
        <v>22494.179604441499</v>
      </c>
      <c r="AJ2591" s="2">
        <v>41418.583058403499</v>
      </c>
      <c r="AK2591" s="2">
        <v>38006.208439462403</v>
      </c>
      <c r="AL2591" s="2">
        <v>67853.876600725096</v>
      </c>
      <c r="AM2591" s="2">
        <v>27709.639319767401</v>
      </c>
      <c r="AN2591" s="2">
        <v>32189.319625785301</v>
      </c>
      <c r="AO2591" s="2">
        <v>25241.732855382699</v>
      </c>
      <c r="AP2591" s="2">
        <v>35844.972613597303</v>
      </c>
    </row>
    <row r="2592" spans="1:42" ht="14.5" x14ac:dyDescent="0.35">
      <c r="A2592" s="2" t="s">
        <v>17303</v>
      </c>
      <c r="B2592" s="2">
        <v>566.34710145176405</v>
      </c>
      <c r="C2592" s="2">
        <v>8.4708833333333295</v>
      </c>
      <c r="D2592" s="2" t="s">
        <v>34</v>
      </c>
      <c r="E2592" s="2" t="s">
        <v>17304</v>
      </c>
      <c r="F2592" s="2">
        <v>18117</v>
      </c>
      <c r="G2592" s="3" t="str">
        <f>HYPERLINK("http://funmeta.oebiotech.com/network/18117", "http://funmeta.oebiotech.com/network/18117")</f>
        <v>http://funmeta.oebiotech.com/network/18117</v>
      </c>
      <c r="H2592" s="2"/>
      <c r="I2592" s="2"/>
      <c r="J2592" s="2" t="s">
        <v>17305</v>
      </c>
      <c r="K2592" s="2"/>
      <c r="L2592" s="2"/>
      <c r="M2592" s="2"/>
      <c r="N2592" s="2"/>
      <c r="O2592" s="2">
        <v>118714357</v>
      </c>
      <c r="P2592" s="2"/>
      <c r="Q2592" s="2" t="s">
        <v>17306</v>
      </c>
      <c r="R2592" s="2" t="s">
        <v>17307</v>
      </c>
      <c r="S2592" s="2" t="s">
        <v>89</v>
      </c>
      <c r="T2592" s="2" t="s">
        <v>90</v>
      </c>
      <c r="U2592" s="2" t="s">
        <v>99</v>
      </c>
      <c r="V2592" s="2" t="s">
        <v>59</v>
      </c>
      <c r="W2592" s="2">
        <v>37.299999999999997</v>
      </c>
      <c r="X2592" s="2">
        <v>0</v>
      </c>
      <c r="Y2592" s="2" t="s">
        <v>340</v>
      </c>
      <c r="Z2592" s="2" t="s">
        <v>17308</v>
      </c>
      <c r="AA2592" s="2">
        <v>3.29994134011943</v>
      </c>
      <c r="AB2592" s="2">
        <v>0.31134157119983702</v>
      </c>
      <c r="AC2592" s="2">
        <v>8408.9949405474908</v>
      </c>
      <c r="AD2592" s="2">
        <v>1809.1390558330099</v>
      </c>
      <c r="AE2592" s="2">
        <v>9249.1076126921798</v>
      </c>
      <c r="AF2592" s="2">
        <v>7303.5907409074798</v>
      </c>
      <c r="AG2592" s="2">
        <v>8506.6454264047698</v>
      </c>
      <c r="AH2592" s="2">
        <v>9370.4855631443097</v>
      </c>
      <c r="AI2592" s="2">
        <v>7671.9646991498503</v>
      </c>
      <c r="AJ2592" s="2">
        <v>8352.1756009863802</v>
      </c>
      <c r="AK2592" s="2">
        <v>511.78346419097198</v>
      </c>
      <c r="AL2592" s="2">
        <v>1436.76460412954</v>
      </c>
      <c r="AM2592" s="2">
        <v>2816.9132503093501</v>
      </c>
      <c r="AN2592" s="2">
        <v>3373.2360060936999</v>
      </c>
      <c r="AO2592" s="2">
        <v>1904.3436667301301</v>
      </c>
      <c r="AP2592" s="2">
        <v>811.79334354437697</v>
      </c>
    </row>
    <row r="2593" spans="1:42" ht="14.5" x14ac:dyDescent="0.35">
      <c r="A2593" s="2" t="s">
        <v>17309</v>
      </c>
      <c r="B2593" s="2">
        <v>329.12360047978302</v>
      </c>
      <c r="C2593" s="2">
        <v>2.03033333333333</v>
      </c>
      <c r="D2593" s="2" t="s">
        <v>70</v>
      </c>
      <c r="E2593" s="2" t="s">
        <v>17310</v>
      </c>
      <c r="F2593" s="2">
        <v>203226</v>
      </c>
      <c r="G2593" s="3" t="str">
        <f>HYPERLINK("http://funmeta.oebiotech.com/network/203226", "http://funmeta.oebiotech.com/network/203226")</f>
        <v>http://funmeta.oebiotech.com/network/203226</v>
      </c>
      <c r="H2593" s="2" t="s">
        <v>17311</v>
      </c>
      <c r="I2593" s="2"/>
      <c r="J2593" s="2"/>
      <c r="K2593" s="2"/>
      <c r="L2593" s="2"/>
      <c r="M2593" s="2"/>
      <c r="N2593" s="2"/>
      <c r="O2593" s="2">
        <v>14355407</v>
      </c>
      <c r="P2593" s="2"/>
      <c r="Q2593" s="2" t="s">
        <v>17312</v>
      </c>
      <c r="R2593" s="2" t="s">
        <v>17313</v>
      </c>
      <c r="S2593" s="2" t="s">
        <v>50</v>
      </c>
      <c r="T2593" s="2" t="s">
        <v>201</v>
      </c>
      <c r="U2593" s="2" t="s">
        <v>202</v>
      </c>
      <c r="V2593" s="2" t="s">
        <v>59</v>
      </c>
      <c r="W2593" s="2">
        <v>41.1</v>
      </c>
      <c r="X2593" s="2">
        <v>14.8</v>
      </c>
      <c r="Y2593" s="2" t="s">
        <v>751</v>
      </c>
      <c r="Z2593" s="2" t="s">
        <v>17314</v>
      </c>
      <c r="AA2593" s="2">
        <v>-1.6968532448231901</v>
      </c>
      <c r="AB2593" s="2">
        <v>0.31134146117158901</v>
      </c>
      <c r="AC2593" s="2">
        <v>14100.3381062807</v>
      </c>
      <c r="AD2593" s="2">
        <v>7437.3988537475298</v>
      </c>
      <c r="AE2593" s="2">
        <v>14004.731706594001</v>
      </c>
      <c r="AF2593" s="2">
        <v>15706.495975501701</v>
      </c>
      <c r="AG2593" s="2">
        <v>12363.456587401701</v>
      </c>
      <c r="AH2593" s="2">
        <v>13026.7142420534</v>
      </c>
      <c r="AI2593" s="2">
        <v>15850.8320399982</v>
      </c>
      <c r="AJ2593" s="2">
        <v>13649.798086135001</v>
      </c>
      <c r="AK2593" s="2">
        <v>7636.5251167317201</v>
      </c>
      <c r="AL2593" s="2">
        <v>7768.5625500731003</v>
      </c>
      <c r="AM2593" s="2">
        <v>6190.6624692475498</v>
      </c>
      <c r="AN2593" s="2">
        <v>7292.7553021535796</v>
      </c>
      <c r="AO2593" s="2">
        <v>7589.6160281401699</v>
      </c>
      <c r="AP2593" s="2">
        <v>8146.2716561390398</v>
      </c>
    </row>
    <row r="2594" spans="1:42" ht="14.5" x14ac:dyDescent="0.35">
      <c r="A2594" s="2" t="s">
        <v>17315</v>
      </c>
      <c r="B2594" s="2">
        <v>421.20047932274503</v>
      </c>
      <c r="C2594" s="2">
        <v>7.53433333333333</v>
      </c>
      <c r="D2594" s="2" t="s">
        <v>34</v>
      </c>
      <c r="E2594" s="2" t="s">
        <v>17316</v>
      </c>
      <c r="F2594" s="2">
        <v>293852</v>
      </c>
      <c r="G2594" s="3" t="str">
        <f>HYPERLINK("http://funmeta.oebiotech.com/network/293852", "http://funmeta.oebiotech.com/network/293852")</f>
        <v>http://funmeta.oebiotech.com/network/293852</v>
      </c>
      <c r="H2594" s="2"/>
      <c r="I2594" s="2">
        <v>317812</v>
      </c>
      <c r="J2594" s="2"/>
      <c r="K2594" s="2"/>
      <c r="L2594" s="2"/>
      <c r="M2594" s="2"/>
      <c r="N2594" s="2"/>
      <c r="O2594" s="2">
        <v>9951932</v>
      </c>
      <c r="P2594" s="2"/>
      <c r="Q2594" s="2" t="s">
        <v>17317</v>
      </c>
      <c r="R2594" s="2" t="s">
        <v>17318</v>
      </c>
      <c r="S2594" s="2" t="s">
        <v>491</v>
      </c>
      <c r="T2594" s="2" t="s">
        <v>3019</v>
      </c>
      <c r="U2594" s="2" t="s">
        <v>10208</v>
      </c>
      <c r="V2594" s="2" t="s">
        <v>59</v>
      </c>
      <c r="W2594" s="2">
        <v>38</v>
      </c>
      <c r="X2594" s="2">
        <v>0</v>
      </c>
      <c r="Y2594" s="2" t="s">
        <v>340</v>
      </c>
      <c r="Z2594" s="2" t="s">
        <v>17319</v>
      </c>
      <c r="AA2594" s="2">
        <v>1.1642579587467199</v>
      </c>
      <c r="AB2594" s="2">
        <v>0.311289809573364</v>
      </c>
      <c r="AC2594" s="2">
        <v>14767.365991622701</v>
      </c>
      <c r="AD2594" s="2">
        <v>22111.8336473743</v>
      </c>
      <c r="AE2594" s="2">
        <v>12126.1230907319</v>
      </c>
      <c r="AF2594" s="2">
        <v>17678.2461432952</v>
      </c>
      <c r="AG2594" s="2">
        <v>18054.325685673801</v>
      </c>
      <c r="AH2594" s="2">
        <v>13315.3914389898</v>
      </c>
      <c r="AI2594" s="2">
        <v>12520.239539436399</v>
      </c>
      <c r="AJ2594" s="2">
        <v>14909.870051608999</v>
      </c>
      <c r="AK2594" s="2">
        <v>21162.0442702121</v>
      </c>
      <c r="AL2594" s="2">
        <v>24744.048737609501</v>
      </c>
      <c r="AM2594" s="2">
        <v>20894.973324639901</v>
      </c>
      <c r="AN2594" s="2">
        <v>24326.556063911099</v>
      </c>
      <c r="AO2594" s="2">
        <v>20630.776075511301</v>
      </c>
      <c r="AP2594" s="2">
        <v>20912.603412361801</v>
      </c>
    </row>
    <row r="2595" spans="1:42" ht="14.5" x14ac:dyDescent="0.35">
      <c r="A2595" s="2" t="s">
        <v>17320</v>
      </c>
      <c r="B2595" s="2">
        <v>218.10279371961801</v>
      </c>
      <c r="C2595" s="2">
        <v>2.8475999999999999</v>
      </c>
      <c r="D2595" s="2" t="s">
        <v>70</v>
      </c>
      <c r="E2595" s="2" t="s">
        <v>17321</v>
      </c>
      <c r="F2595" s="2">
        <v>46931</v>
      </c>
      <c r="G2595" s="3" t="str">
        <f>HYPERLINK("http://funmeta.oebiotech.com/network/46931", "http://funmeta.oebiotech.com/network/46931")</f>
        <v>http://funmeta.oebiotech.com/network/46931</v>
      </c>
      <c r="H2595" s="2" t="s">
        <v>17322</v>
      </c>
      <c r="I2595" s="2">
        <v>241</v>
      </c>
      <c r="J2595" s="2"/>
      <c r="K2595" s="2">
        <v>46905</v>
      </c>
      <c r="L2595" s="2" t="s">
        <v>17323</v>
      </c>
      <c r="M2595" s="2" t="s">
        <v>17324</v>
      </c>
      <c r="N2595" s="2" t="s">
        <v>17325</v>
      </c>
      <c r="O2595" s="2">
        <v>6613</v>
      </c>
      <c r="P2595" s="2" t="s">
        <v>17326</v>
      </c>
      <c r="Q2595" s="2" t="s">
        <v>17327</v>
      </c>
      <c r="R2595" s="2" t="s">
        <v>17328</v>
      </c>
      <c r="S2595" s="2" t="s">
        <v>79</v>
      </c>
      <c r="T2595" s="2" t="s">
        <v>80</v>
      </c>
      <c r="U2595" s="2" t="s">
        <v>2021</v>
      </c>
      <c r="V2595" s="2" t="s">
        <v>42</v>
      </c>
      <c r="W2595" s="2">
        <v>53.4</v>
      </c>
      <c r="X2595" s="2">
        <v>73.099999999999994</v>
      </c>
      <c r="Y2595" s="2" t="s">
        <v>118</v>
      </c>
      <c r="Z2595" s="2" t="s">
        <v>17329</v>
      </c>
      <c r="AA2595" s="2">
        <v>-2.7497344847083101</v>
      </c>
      <c r="AB2595" s="2">
        <v>0.31099391420968397</v>
      </c>
      <c r="AC2595" s="2">
        <v>20578.004737301799</v>
      </c>
      <c r="AD2595" s="2">
        <v>14030.854880708601</v>
      </c>
      <c r="AE2595" s="2">
        <v>20251.836560858999</v>
      </c>
      <c r="AF2595" s="2">
        <v>20547.7475786379</v>
      </c>
      <c r="AG2595" s="2">
        <v>20107.514146709302</v>
      </c>
      <c r="AH2595" s="2">
        <v>22752.951114417199</v>
      </c>
      <c r="AI2595" s="2">
        <v>20352.854811187499</v>
      </c>
      <c r="AJ2595" s="2">
        <v>19455.1242119997</v>
      </c>
      <c r="AK2595" s="2">
        <v>13371.7986997401</v>
      </c>
      <c r="AL2595" s="2">
        <v>14596.2339997615</v>
      </c>
      <c r="AM2595" s="2">
        <v>14493.533151400699</v>
      </c>
      <c r="AN2595" s="2">
        <v>14494.5736013388</v>
      </c>
      <c r="AO2595" s="2">
        <v>13942.2521831453</v>
      </c>
      <c r="AP2595" s="2">
        <v>13286.737648865101</v>
      </c>
    </row>
    <row r="2596" spans="1:42" ht="14.5" x14ac:dyDescent="0.35">
      <c r="A2596" s="2" t="s">
        <v>17330</v>
      </c>
      <c r="B2596" s="2">
        <v>312.120477739092</v>
      </c>
      <c r="C2596" s="2">
        <v>1.3109999999999999</v>
      </c>
      <c r="D2596" s="2" t="s">
        <v>34</v>
      </c>
      <c r="E2596" s="2" t="s">
        <v>17331</v>
      </c>
      <c r="F2596" s="2">
        <v>209690</v>
      </c>
      <c r="G2596" s="3" t="str">
        <f>HYPERLINK("http://funmeta.oebiotech.com/network/209690", "http://funmeta.oebiotech.com/network/209690")</f>
        <v>http://funmeta.oebiotech.com/network/209690</v>
      </c>
      <c r="H2596" s="2" t="s">
        <v>17332</v>
      </c>
      <c r="I2596" s="2"/>
      <c r="J2596" s="2"/>
      <c r="K2596" s="2"/>
      <c r="L2596" s="2"/>
      <c r="M2596" s="2"/>
      <c r="N2596" s="2"/>
      <c r="O2596" s="2">
        <v>10424253</v>
      </c>
      <c r="P2596" s="2"/>
      <c r="Q2596" s="2" t="s">
        <v>17333</v>
      </c>
      <c r="R2596" s="2" t="s">
        <v>17334</v>
      </c>
      <c r="S2596" s="2" t="s">
        <v>89</v>
      </c>
      <c r="T2596" s="2" t="s">
        <v>4218</v>
      </c>
      <c r="U2596" s="2" t="s">
        <v>4219</v>
      </c>
      <c r="V2596" s="2" t="s">
        <v>59</v>
      </c>
      <c r="W2596" s="2">
        <v>39.200000000000003</v>
      </c>
      <c r="X2596" s="2">
        <v>10.4</v>
      </c>
      <c r="Y2596" s="2" t="s">
        <v>323</v>
      </c>
      <c r="Z2596" s="2" t="s">
        <v>17335</v>
      </c>
      <c r="AA2596" s="2">
        <v>-0.52236897600173904</v>
      </c>
      <c r="AB2596" s="2">
        <v>0.31098768823540501</v>
      </c>
      <c r="AC2596" s="2">
        <v>33906.867876488897</v>
      </c>
      <c r="AD2596" s="2">
        <v>26125.6545786512</v>
      </c>
      <c r="AE2596" s="2">
        <v>33905.189257710197</v>
      </c>
      <c r="AF2596" s="2">
        <v>33216.452461925801</v>
      </c>
      <c r="AG2596" s="2">
        <v>31867.8101057518</v>
      </c>
      <c r="AH2596" s="2">
        <v>37747.004718345801</v>
      </c>
      <c r="AI2596" s="2">
        <v>36742.433278158103</v>
      </c>
      <c r="AJ2596" s="2">
        <v>29962.317437041402</v>
      </c>
      <c r="AK2596" s="2">
        <v>23624.454465906099</v>
      </c>
      <c r="AL2596" s="2">
        <v>22771.527493732301</v>
      </c>
      <c r="AM2596" s="2">
        <v>25972.267481088598</v>
      </c>
      <c r="AN2596" s="2">
        <v>28402.441320868002</v>
      </c>
      <c r="AO2596" s="2">
        <v>25358.947810376601</v>
      </c>
      <c r="AP2596" s="2">
        <v>30624.2888999356</v>
      </c>
    </row>
    <row r="2597" spans="1:42" ht="14.5" x14ac:dyDescent="0.35">
      <c r="A2597" s="2" t="s">
        <v>17336</v>
      </c>
      <c r="B2597" s="2">
        <v>411.23040611231397</v>
      </c>
      <c r="C2597" s="2">
        <v>5.0723166666666701</v>
      </c>
      <c r="D2597" s="2" t="s">
        <v>34</v>
      </c>
      <c r="E2597" s="2" t="s">
        <v>17337</v>
      </c>
      <c r="F2597" s="2">
        <v>53268</v>
      </c>
      <c r="G2597" s="3" t="str">
        <f>HYPERLINK("http://funmeta.oebiotech.com/network/53268", "http://funmeta.oebiotech.com/network/53268")</f>
        <v>http://funmeta.oebiotech.com/network/53268</v>
      </c>
      <c r="H2597" s="2" t="s">
        <v>17338</v>
      </c>
      <c r="I2597" s="2">
        <v>43218</v>
      </c>
      <c r="J2597" s="2"/>
      <c r="K2597" s="2">
        <v>5959</v>
      </c>
      <c r="L2597" s="2" t="s">
        <v>17339</v>
      </c>
      <c r="M2597" s="2"/>
      <c r="N2597" s="2"/>
      <c r="O2597" s="2">
        <v>3749</v>
      </c>
      <c r="P2597" s="2" t="s">
        <v>17340</v>
      </c>
      <c r="Q2597" s="2" t="s">
        <v>17341</v>
      </c>
      <c r="R2597" s="2" t="s">
        <v>17342</v>
      </c>
      <c r="S2597" s="2" t="s">
        <v>148</v>
      </c>
      <c r="T2597" s="2" t="s">
        <v>149</v>
      </c>
      <c r="U2597" s="2" t="s">
        <v>5292</v>
      </c>
      <c r="V2597" s="2" t="s">
        <v>59</v>
      </c>
      <c r="W2597" s="2">
        <v>37.799999999999997</v>
      </c>
      <c r="X2597" s="2">
        <v>0</v>
      </c>
      <c r="Y2597" s="2" t="s">
        <v>141</v>
      </c>
      <c r="Z2597" s="2" t="s">
        <v>17343</v>
      </c>
      <c r="AA2597" s="2">
        <v>2.8835179732376499</v>
      </c>
      <c r="AB2597" s="2">
        <v>0.310770585771319</v>
      </c>
      <c r="AC2597" s="2">
        <v>11247.044769461299</v>
      </c>
      <c r="AD2597" s="2">
        <v>4207.78164136326</v>
      </c>
      <c r="AE2597" s="2">
        <v>13089.2183422371</v>
      </c>
      <c r="AF2597" s="2">
        <v>9746.1630346216898</v>
      </c>
      <c r="AG2597" s="2">
        <v>12667.443736155201</v>
      </c>
      <c r="AH2597" s="2">
        <v>8385.9124970017292</v>
      </c>
      <c r="AI2597" s="2">
        <v>10987.3529381649</v>
      </c>
      <c r="AJ2597" s="2">
        <v>12606.1780685872</v>
      </c>
      <c r="AK2597" s="2">
        <v>1920.5340860583599</v>
      </c>
      <c r="AL2597" s="2">
        <v>3936.8071110001301</v>
      </c>
      <c r="AM2597" s="2">
        <v>6261.2076080726201</v>
      </c>
      <c r="AN2597" s="2">
        <v>6453.7144253116603</v>
      </c>
      <c r="AO2597" s="2">
        <v>3730.9998031598602</v>
      </c>
      <c r="AP2597" s="2">
        <v>2943.4268145769502</v>
      </c>
    </row>
    <row r="2598" spans="1:42" ht="14.5" x14ac:dyDescent="0.35">
      <c r="A2598" s="2" t="s">
        <v>17344</v>
      </c>
      <c r="B2598" s="2">
        <v>787.35359952869896</v>
      </c>
      <c r="C2598" s="2">
        <v>4.2944166666666703</v>
      </c>
      <c r="D2598" s="2" t="s">
        <v>70</v>
      </c>
      <c r="E2598" s="2" t="s">
        <v>17345</v>
      </c>
      <c r="F2598" s="2">
        <v>27977</v>
      </c>
      <c r="G2598" s="3" t="str">
        <f>HYPERLINK("http://funmeta.oebiotech.com/network/27977", "http://funmeta.oebiotech.com/network/27977")</f>
        <v>http://funmeta.oebiotech.com/network/27977</v>
      </c>
      <c r="H2598" s="2"/>
      <c r="I2598" s="2"/>
      <c r="J2598" s="2" t="s">
        <v>17346</v>
      </c>
      <c r="K2598" s="2"/>
      <c r="L2598" s="2"/>
      <c r="M2598" s="2"/>
      <c r="N2598" s="2"/>
      <c r="O2598" s="2">
        <v>134812424</v>
      </c>
      <c r="P2598" s="2"/>
      <c r="Q2598" s="2" t="s">
        <v>17347</v>
      </c>
      <c r="R2598" s="2" t="s">
        <v>17348</v>
      </c>
      <c r="S2598" s="2" t="s">
        <v>50</v>
      </c>
      <c r="T2598" s="2" t="s">
        <v>51</v>
      </c>
      <c r="U2598" s="2" t="s">
        <v>52</v>
      </c>
      <c r="V2598" s="2" t="s">
        <v>59</v>
      </c>
      <c r="W2598" s="2">
        <v>38.700000000000003</v>
      </c>
      <c r="X2598" s="2">
        <v>0</v>
      </c>
      <c r="Y2598" s="2" t="s">
        <v>408</v>
      </c>
      <c r="Z2598" s="2" t="s">
        <v>17349</v>
      </c>
      <c r="AA2598" s="2">
        <v>1.7838167241973999</v>
      </c>
      <c r="AB2598" s="2">
        <v>0.31071869004970698</v>
      </c>
      <c r="AC2598" s="2">
        <v>56493.306410642603</v>
      </c>
      <c r="AD2598" s="2">
        <v>67099.109440577406</v>
      </c>
      <c r="AE2598" s="2">
        <v>63253.494770416597</v>
      </c>
      <c r="AF2598" s="2">
        <v>45731.471736360501</v>
      </c>
      <c r="AG2598" s="2">
        <v>51146.6219121756</v>
      </c>
      <c r="AH2598" s="2">
        <v>67978.8750189313</v>
      </c>
      <c r="AI2598" s="2">
        <v>59957.966067778398</v>
      </c>
      <c r="AJ2598" s="2">
        <v>50891.4089581933</v>
      </c>
      <c r="AK2598" s="2">
        <v>61069.163334537901</v>
      </c>
      <c r="AL2598" s="2">
        <v>65701.625115293704</v>
      </c>
      <c r="AM2598" s="2">
        <v>76595.886143910393</v>
      </c>
      <c r="AN2598" s="2">
        <v>60088.989500761098</v>
      </c>
      <c r="AO2598" s="2">
        <v>75621.991852038496</v>
      </c>
      <c r="AP2598" s="2">
        <v>63517.000696922798</v>
      </c>
    </row>
    <row r="2599" spans="1:42" ht="14.5" x14ac:dyDescent="0.35">
      <c r="A2599" s="2" t="s">
        <v>17350</v>
      </c>
      <c r="B2599" s="2">
        <v>323.07096203156601</v>
      </c>
      <c r="C2599" s="2">
        <v>1.58995</v>
      </c>
      <c r="D2599" s="2" t="s">
        <v>34</v>
      </c>
      <c r="E2599" s="2" t="s">
        <v>17351</v>
      </c>
      <c r="F2599" s="2">
        <v>255747</v>
      </c>
      <c r="G2599" s="3" t="str">
        <f>HYPERLINK("http://funmeta.oebiotech.com/network/255747", "http://funmeta.oebiotech.com/network/255747")</f>
        <v>http://funmeta.oebiotech.com/network/255747</v>
      </c>
      <c r="H2599" s="2" t="s">
        <v>17352</v>
      </c>
      <c r="I2599" s="2"/>
      <c r="J2599" s="2"/>
      <c r="K2599" s="2">
        <v>33283</v>
      </c>
      <c r="L2599" s="2"/>
      <c r="M2599" s="2"/>
      <c r="N2599" s="2"/>
      <c r="O2599" s="2">
        <v>6042</v>
      </c>
      <c r="P2599" s="2"/>
      <c r="Q2599" s="2" t="s">
        <v>17353</v>
      </c>
      <c r="R2599" s="2" t="s">
        <v>17354</v>
      </c>
      <c r="S2599" s="2" t="s">
        <v>491</v>
      </c>
      <c r="T2599" s="2" t="s">
        <v>4517</v>
      </c>
      <c r="U2599" s="2" t="s">
        <v>4518</v>
      </c>
      <c r="V2599" s="2" t="s">
        <v>59</v>
      </c>
      <c r="W2599" s="2">
        <v>37.299999999999997</v>
      </c>
      <c r="X2599" s="2">
        <v>0</v>
      </c>
      <c r="Y2599" s="2" t="s">
        <v>323</v>
      </c>
      <c r="Z2599" s="2" t="s">
        <v>17355</v>
      </c>
      <c r="AA2599" s="2">
        <v>1.93770117456846</v>
      </c>
      <c r="AB2599" s="2">
        <v>0.31059161698323101</v>
      </c>
      <c r="AC2599" s="2">
        <v>10911.5371375044</v>
      </c>
      <c r="AD2599" s="2">
        <v>17325.9446945278</v>
      </c>
      <c r="AE2599" s="2">
        <v>9885.6991511695505</v>
      </c>
      <c r="AF2599" s="2">
        <v>11080.9868259472</v>
      </c>
      <c r="AG2599" s="2">
        <v>10857.798127571699</v>
      </c>
      <c r="AH2599" s="2">
        <v>10615.5420999404</v>
      </c>
      <c r="AI2599" s="2">
        <v>11411.6115783483</v>
      </c>
      <c r="AJ2599" s="2">
        <v>11617.585042049301</v>
      </c>
      <c r="AK2599" s="2">
        <v>16645.9317407415</v>
      </c>
      <c r="AL2599" s="2">
        <v>17173.7319605556</v>
      </c>
      <c r="AM2599" s="2">
        <v>17061.848448664699</v>
      </c>
      <c r="AN2599" s="2">
        <v>17550.4121892925</v>
      </c>
      <c r="AO2599" s="2">
        <v>18423.2075278989</v>
      </c>
      <c r="AP2599" s="2">
        <v>17100.536300013398</v>
      </c>
    </row>
    <row r="2600" spans="1:42" ht="14.5" x14ac:dyDescent="0.35">
      <c r="A2600" s="2" t="s">
        <v>17356</v>
      </c>
      <c r="B2600" s="2">
        <v>422.15932847061703</v>
      </c>
      <c r="C2600" s="2">
        <v>2.9042833333333302</v>
      </c>
      <c r="D2600" s="2" t="s">
        <v>34</v>
      </c>
      <c r="E2600" s="2" t="s">
        <v>17357</v>
      </c>
      <c r="F2600" s="2">
        <v>54485</v>
      </c>
      <c r="G2600" s="3" t="str">
        <f>HYPERLINK("http://funmeta.oebiotech.com/network/54485", "http://funmeta.oebiotech.com/network/54485")</f>
        <v>http://funmeta.oebiotech.com/network/54485</v>
      </c>
      <c r="H2600" s="2" t="s">
        <v>17358</v>
      </c>
      <c r="I2600" s="2">
        <v>86339</v>
      </c>
      <c r="J2600" s="2"/>
      <c r="K2600" s="2"/>
      <c r="L2600" s="2"/>
      <c r="M2600" s="2"/>
      <c r="N2600" s="2"/>
      <c r="O2600" s="2">
        <v>61156</v>
      </c>
      <c r="P2600" s="2" t="s">
        <v>17359</v>
      </c>
      <c r="Q2600" s="2" t="s">
        <v>17360</v>
      </c>
      <c r="R2600" s="2" t="s">
        <v>17361</v>
      </c>
      <c r="S2600" s="2" t="s">
        <v>148</v>
      </c>
      <c r="T2600" s="2" t="s">
        <v>149</v>
      </c>
      <c r="U2600" s="2" t="s">
        <v>1593</v>
      </c>
      <c r="V2600" s="2" t="s">
        <v>59</v>
      </c>
      <c r="W2600" s="2">
        <v>38.700000000000003</v>
      </c>
      <c r="X2600" s="2">
        <v>0</v>
      </c>
      <c r="Y2600" s="2" t="s">
        <v>43</v>
      </c>
      <c r="Z2600" s="2" t="s">
        <v>17362</v>
      </c>
      <c r="AA2600" s="2">
        <v>-1.2011554731843099</v>
      </c>
      <c r="AB2600" s="2">
        <v>0.310582991183111</v>
      </c>
      <c r="AC2600" s="2">
        <v>12009.823778743899</v>
      </c>
      <c r="AD2600" s="2">
        <v>5474.6988784929199</v>
      </c>
      <c r="AE2600" s="2">
        <v>11074.8682674342</v>
      </c>
      <c r="AF2600" s="2">
        <v>10962.334107255499</v>
      </c>
      <c r="AG2600" s="2">
        <v>12243.520797958399</v>
      </c>
      <c r="AH2600" s="2">
        <v>12112.8294258393</v>
      </c>
      <c r="AI2600" s="2">
        <v>12834.816231934799</v>
      </c>
      <c r="AJ2600" s="2">
        <v>12830.5738420414</v>
      </c>
      <c r="AK2600" s="2">
        <v>5440.6186191888601</v>
      </c>
      <c r="AL2600" s="2">
        <v>4429.7401704989497</v>
      </c>
      <c r="AM2600" s="2">
        <v>6307.3055113105402</v>
      </c>
      <c r="AN2600" s="2">
        <v>4719.2284258496402</v>
      </c>
      <c r="AO2600" s="2">
        <v>5104.30167861672</v>
      </c>
      <c r="AP2600" s="2">
        <v>6846.9988654928302</v>
      </c>
    </row>
    <row r="2601" spans="1:42" ht="14.5" x14ac:dyDescent="0.35">
      <c r="A2601" s="2" t="s">
        <v>17363</v>
      </c>
      <c r="B2601" s="2">
        <v>473.19164319392303</v>
      </c>
      <c r="C2601" s="2">
        <v>5.2179000000000002</v>
      </c>
      <c r="D2601" s="2" t="s">
        <v>34</v>
      </c>
      <c r="E2601" s="2" t="s">
        <v>17364</v>
      </c>
      <c r="F2601" s="2">
        <v>199829</v>
      </c>
      <c r="G2601" s="3" t="str">
        <f>HYPERLINK("http://funmeta.oebiotech.com/network/199829", "http://funmeta.oebiotech.com/network/199829")</f>
        <v>http://funmeta.oebiotech.com/network/199829</v>
      </c>
      <c r="H2601" s="2" t="s">
        <v>17365</v>
      </c>
      <c r="I2601" s="2"/>
      <c r="J2601" s="2"/>
      <c r="K2601" s="2"/>
      <c r="L2601" s="2"/>
      <c r="M2601" s="2"/>
      <c r="N2601" s="2"/>
      <c r="O2601" s="2">
        <v>14256073</v>
      </c>
      <c r="P2601" s="2"/>
      <c r="Q2601" s="2" t="s">
        <v>17366</v>
      </c>
      <c r="R2601" s="2" t="s">
        <v>17367</v>
      </c>
      <c r="S2601" s="2" t="s">
        <v>41</v>
      </c>
      <c r="T2601" s="2" t="s">
        <v>41</v>
      </c>
      <c r="U2601" s="2" t="s">
        <v>41</v>
      </c>
      <c r="V2601" s="2" t="s">
        <v>59</v>
      </c>
      <c r="W2601" s="2">
        <v>39</v>
      </c>
      <c r="X2601" s="2">
        <v>0</v>
      </c>
      <c r="Y2601" s="2" t="s">
        <v>394</v>
      </c>
      <c r="Z2601" s="2" t="s">
        <v>17368</v>
      </c>
      <c r="AA2601" s="2">
        <v>1.14009879346716</v>
      </c>
      <c r="AB2601" s="2">
        <v>0.31046714978206702</v>
      </c>
      <c r="AC2601" s="2">
        <v>2980.9812677855002</v>
      </c>
      <c r="AD2601" s="2">
        <v>9637.1744195154606</v>
      </c>
      <c r="AE2601" s="2">
        <v>1623.3765175518899</v>
      </c>
      <c r="AF2601" s="2">
        <v>2237.8515327489299</v>
      </c>
      <c r="AG2601" s="2">
        <v>3072.1985404461702</v>
      </c>
      <c r="AH2601" s="2">
        <v>4222.4997638169298</v>
      </c>
      <c r="AI2601" s="2">
        <v>2754.5602022617099</v>
      </c>
      <c r="AJ2601" s="2">
        <v>3975.4010498873599</v>
      </c>
      <c r="AK2601" s="2">
        <v>10333.762654656401</v>
      </c>
      <c r="AL2601" s="2">
        <v>9142.3605435009995</v>
      </c>
      <c r="AM2601" s="2">
        <v>8388.0498445125304</v>
      </c>
      <c r="AN2601" s="2">
        <v>11587.703933901899</v>
      </c>
      <c r="AO2601" s="2">
        <v>7935.6209614988302</v>
      </c>
      <c r="AP2601" s="2">
        <v>10435.548579022099</v>
      </c>
    </row>
    <row r="2602" spans="1:42" ht="14.5" x14ac:dyDescent="0.35">
      <c r="A2602" s="2" t="s">
        <v>17369</v>
      </c>
      <c r="B2602" s="2">
        <v>584.15852496890705</v>
      </c>
      <c r="C2602" s="2">
        <v>10.509316666666701</v>
      </c>
      <c r="D2602" s="2" t="s">
        <v>34</v>
      </c>
      <c r="E2602" s="2" t="s">
        <v>17370</v>
      </c>
      <c r="F2602" s="2">
        <v>48796</v>
      </c>
      <c r="G2602" s="3" t="str">
        <f>HYPERLINK("http://funmeta.oebiotech.com/network/48796", "http://funmeta.oebiotech.com/network/48796")</f>
        <v>http://funmeta.oebiotech.com/network/48796</v>
      </c>
      <c r="H2602" s="2" t="s">
        <v>17371</v>
      </c>
      <c r="I2602" s="2">
        <v>58477</v>
      </c>
      <c r="J2602" s="2"/>
      <c r="K2602" s="2">
        <v>168559</v>
      </c>
      <c r="L2602" s="2"/>
      <c r="M2602" s="2"/>
      <c r="N2602" s="2"/>
      <c r="O2602" s="2">
        <v>53477860</v>
      </c>
      <c r="P2602" s="2" t="s">
        <v>17372</v>
      </c>
      <c r="Q2602" s="2" t="s">
        <v>17373</v>
      </c>
      <c r="R2602" s="2" t="s">
        <v>17374</v>
      </c>
      <c r="S2602" s="2" t="s">
        <v>79</v>
      </c>
      <c r="T2602" s="2" t="s">
        <v>80</v>
      </c>
      <c r="U2602" s="2" t="s">
        <v>81</v>
      </c>
      <c r="V2602" s="2" t="s">
        <v>42</v>
      </c>
      <c r="W2602" s="2">
        <v>48.5</v>
      </c>
      <c r="X2602" s="2">
        <v>61.6</v>
      </c>
      <c r="Y2602" s="2" t="s">
        <v>340</v>
      </c>
      <c r="Z2602" s="2" t="s">
        <v>17375</v>
      </c>
      <c r="AA2602" s="2">
        <v>-0.39829981958791</v>
      </c>
      <c r="AB2602" s="2">
        <v>0.31007782805067902</v>
      </c>
      <c r="AC2602" s="2">
        <v>58796.334632731501</v>
      </c>
      <c r="AD2602" s="2">
        <v>48247.643701070599</v>
      </c>
      <c r="AE2602" s="2">
        <v>54375.432412035902</v>
      </c>
      <c r="AF2602" s="2">
        <v>47846.978971881799</v>
      </c>
      <c r="AG2602" s="2">
        <v>50589.689789383301</v>
      </c>
      <c r="AH2602" s="2">
        <v>73061.033618280897</v>
      </c>
      <c r="AI2602" s="2">
        <v>65153.079808511196</v>
      </c>
      <c r="AJ2602" s="2">
        <v>61751.793196295599</v>
      </c>
      <c r="AK2602" s="2">
        <v>44860.160122587899</v>
      </c>
      <c r="AL2602" s="2">
        <v>45315.0016130492</v>
      </c>
      <c r="AM2602" s="2">
        <v>46522.789594986301</v>
      </c>
      <c r="AN2602" s="2">
        <v>46755.020961866001</v>
      </c>
      <c r="AO2602" s="2">
        <v>57334.487754957503</v>
      </c>
      <c r="AP2602" s="2">
        <v>48698.402158976802</v>
      </c>
    </row>
    <row r="2603" spans="1:42" ht="14.5" x14ac:dyDescent="0.35">
      <c r="A2603" s="2" t="s">
        <v>17376</v>
      </c>
      <c r="B2603" s="2">
        <v>523.19939979981405</v>
      </c>
      <c r="C2603" s="2">
        <v>3.4003333333333301</v>
      </c>
      <c r="D2603" s="2" t="s">
        <v>34</v>
      </c>
      <c r="E2603" s="2" t="s">
        <v>17377</v>
      </c>
      <c r="F2603" s="2">
        <v>207043</v>
      </c>
      <c r="G2603" s="3" t="str">
        <f>HYPERLINK("http://funmeta.oebiotech.com/network/207043", "http://funmeta.oebiotech.com/network/207043")</f>
        <v>http://funmeta.oebiotech.com/network/207043</v>
      </c>
      <c r="H2603" s="2" t="s">
        <v>17378</v>
      </c>
      <c r="I2603" s="2"/>
      <c r="J2603" s="2"/>
      <c r="K2603" s="2"/>
      <c r="L2603" s="2"/>
      <c r="M2603" s="2"/>
      <c r="N2603" s="2"/>
      <c r="O2603" s="2">
        <v>24847856</v>
      </c>
      <c r="P2603" s="2"/>
      <c r="Q2603" s="2" t="s">
        <v>17379</v>
      </c>
      <c r="R2603" s="2" t="s">
        <v>17380</v>
      </c>
      <c r="S2603" s="2" t="s">
        <v>79</v>
      </c>
      <c r="T2603" s="2" t="s">
        <v>80</v>
      </c>
      <c r="U2603" s="2" t="s">
        <v>81</v>
      </c>
      <c r="V2603" s="2" t="s">
        <v>59</v>
      </c>
      <c r="W2603" s="2">
        <v>45.8</v>
      </c>
      <c r="X2603" s="2">
        <v>40.6</v>
      </c>
      <c r="Y2603" s="2" t="s">
        <v>323</v>
      </c>
      <c r="Z2603" s="2" t="s">
        <v>17381</v>
      </c>
      <c r="AA2603" s="2">
        <v>-0.65314211149701096</v>
      </c>
      <c r="AB2603" s="2">
        <v>0.30994800064628403</v>
      </c>
      <c r="AC2603" s="2">
        <v>35670.0220380213</v>
      </c>
      <c r="AD2603" s="2">
        <v>27895.240719833</v>
      </c>
      <c r="AE2603" s="2">
        <v>35333.3620388411</v>
      </c>
      <c r="AF2603" s="2">
        <v>33758.235679473197</v>
      </c>
      <c r="AG2603" s="2">
        <v>38302.771943401203</v>
      </c>
      <c r="AH2603" s="2">
        <v>36843.964330141796</v>
      </c>
      <c r="AI2603" s="2">
        <v>33239.584082532601</v>
      </c>
      <c r="AJ2603" s="2">
        <v>36542.214153737899</v>
      </c>
      <c r="AK2603" s="2">
        <v>23334.360483746401</v>
      </c>
      <c r="AL2603" s="2">
        <v>29074.4592496605</v>
      </c>
      <c r="AM2603" s="2">
        <v>29178.0375638599</v>
      </c>
      <c r="AN2603" s="2">
        <v>32245.134824099401</v>
      </c>
      <c r="AO2603" s="2">
        <v>22798.9894576595</v>
      </c>
      <c r="AP2603" s="2">
        <v>30740.462739972201</v>
      </c>
    </row>
    <row r="2604" spans="1:42" ht="14.5" x14ac:dyDescent="0.35">
      <c r="A2604" s="2" t="s">
        <v>17382</v>
      </c>
      <c r="B2604" s="2">
        <v>239.16393921542399</v>
      </c>
      <c r="C2604" s="2">
        <v>5.8468499999999999</v>
      </c>
      <c r="D2604" s="2" t="s">
        <v>34</v>
      </c>
      <c r="E2604" s="2" t="s">
        <v>17383</v>
      </c>
      <c r="F2604" s="2">
        <v>83546</v>
      </c>
      <c r="G2604" s="3" t="str">
        <f>HYPERLINK("http://funmeta.oebiotech.com/network/83546", "http://funmeta.oebiotech.com/network/83546")</f>
        <v>http://funmeta.oebiotech.com/network/83546</v>
      </c>
      <c r="H2604" s="2" t="s">
        <v>17384</v>
      </c>
      <c r="I2604" s="2"/>
      <c r="J2604" s="2"/>
      <c r="K2604" s="2"/>
      <c r="L2604" s="2"/>
      <c r="M2604" s="2"/>
      <c r="N2604" s="2"/>
      <c r="O2604" s="2">
        <v>134819281</v>
      </c>
      <c r="P2604" s="2"/>
      <c r="Q2604" s="2" t="s">
        <v>17385</v>
      </c>
      <c r="R2604" s="2" t="s">
        <v>17386</v>
      </c>
      <c r="S2604" s="2" t="s">
        <v>50</v>
      </c>
      <c r="T2604" s="2" t="s">
        <v>229</v>
      </c>
      <c r="U2604" s="2" t="s">
        <v>433</v>
      </c>
      <c r="V2604" s="2" t="s">
        <v>59</v>
      </c>
      <c r="W2604" s="2">
        <v>47.3</v>
      </c>
      <c r="X2604" s="2">
        <v>42.1</v>
      </c>
      <c r="Y2604" s="2" t="s">
        <v>266</v>
      </c>
      <c r="Z2604" s="2" t="s">
        <v>17387</v>
      </c>
      <c r="AA2604" s="2">
        <v>-0.90480850666172097</v>
      </c>
      <c r="AB2604" s="2">
        <v>0.30969518017187703</v>
      </c>
      <c r="AC2604" s="2">
        <v>43704.556935478897</v>
      </c>
      <c r="AD2604" s="2">
        <v>36402.514434145698</v>
      </c>
      <c r="AE2604" s="2">
        <v>42222.869775043502</v>
      </c>
      <c r="AF2604" s="2">
        <v>44992.5146899221</v>
      </c>
      <c r="AG2604" s="2">
        <v>47199.9890893759</v>
      </c>
      <c r="AH2604" s="2">
        <v>41419.267289975702</v>
      </c>
      <c r="AI2604" s="2">
        <v>43984.549045110602</v>
      </c>
      <c r="AJ2604" s="2">
        <v>42408.151723445801</v>
      </c>
      <c r="AK2604" s="2">
        <v>33634.666747429699</v>
      </c>
      <c r="AL2604" s="2">
        <v>36923.837778260102</v>
      </c>
      <c r="AM2604" s="2">
        <v>37060.930195282002</v>
      </c>
      <c r="AN2604" s="2">
        <v>40791.120665188602</v>
      </c>
      <c r="AO2604" s="2">
        <v>34749.1494375451</v>
      </c>
      <c r="AP2604" s="2">
        <v>35255.3817811685</v>
      </c>
    </row>
    <row r="2605" spans="1:42" ht="14.5" x14ac:dyDescent="0.35">
      <c r="A2605" s="2" t="s">
        <v>17388</v>
      </c>
      <c r="B2605" s="2">
        <v>619.27509864380397</v>
      </c>
      <c r="C2605" s="2">
        <v>4.8662333333333301</v>
      </c>
      <c r="D2605" s="2" t="s">
        <v>34</v>
      </c>
      <c r="E2605" s="2" t="s">
        <v>17389</v>
      </c>
      <c r="F2605" s="2">
        <v>55272</v>
      </c>
      <c r="G2605" s="3" t="str">
        <f>HYPERLINK("http://funmeta.oebiotech.com/network/55272", "http://funmeta.oebiotech.com/network/55272")</f>
        <v>http://funmeta.oebiotech.com/network/55272</v>
      </c>
      <c r="H2605" s="2" t="s">
        <v>17390</v>
      </c>
      <c r="I2605" s="2"/>
      <c r="J2605" s="2"/>
      <c r="K2605" s="2"/>
      <c r="L2605" s="2" t="s">
        <v>17391</v>
      </c>
      <c r="M2605" s="2"/>
      <c r="N2605" s="2"/>
      <c r="O2605" s="2">
        <v>131751021</v>
      </c>
      <c r="P2605" s="2" t="s">
        <v>17392</v>
      </c>
      <c r="Q2605" s="2" t="s">
        <v>17393</v>
      </c>
      <c r="R2605" s="2" t="s">
        <v>17394</v>
      </c>
      <c r="S2605" s="2" t="s">
        <v>115</v>
      </c>
      <c r="T2605" s="2" t="s">
        <v>1095</v>
      </c>
      <c r="U2605" s="2" t="s">
        <v>41</v>
      </c>
      <c r="V2605" s="2" t="s">
        <v>59</v>
      </c>
      <c r="W2605" s="2">
        <v>38.700000000000003</v>
      </c>
      <c r="X2605" s="2">
        <v>0</v>
      </c>
      <c r="Y2605" s="2" t="s">
        <v>340</v>
      </c>
      <c r="Z2605" s="2" t="s">
        <v>17395</v>
      </c>
      <c r="AA2605" s="2">
        <v>-0.38919603852274198</v>
      </c>
      <c r="AB2605" s="2">
        <v>0.30966028886733499</v>
      </c>
      <c r="AC2605" s="2">
        <v>9990.2624210386493</v>
      </c>
      <c r="AD2605" s="2">
        <v>17439.733229178099</v>
      </c>
      <c r="AE2605" s="2">
        <v>7762.6626796337796</v>
      </c>
      <c r="AF2605" s="2">
        <v>12061.581821821699</v>
      </c>
      <c r="AG2605" s="2">
        <v>10082.739582724</v>
      </c>
      <c r="AH2605" s="2">
        <v>7329.6860310986403</v>
      </c>
      <c r="AI2605" s="2">
        <v>9543.8769423248104</v>
      </c>
      <c r="AJ2605" s="2">
        <v>13161.027468628999</v>
      </c>
      <c r="AK2605" s="2">
        <v>14678.0822292132</v>
      </c>
      <c r="AL2605" s="2">
        <v>16450.3746120385</v>
      </c>
      <c r="AM2605" s="2">
        <v>17322.876652736399</v>
      </c>
      <c r="AN2605" s="2">
        <v>23067.758056344199</v>
      </c>
      <c r="AO2605" s="2">
        <v>16646.147771637399</v>
      </c>
      <c r="AP2605" s="2">
        <v>16473.160053098702</v>
      </c>
    </row>
    <row r="2606" spans="1:42" ht="14.5" x14ac:dyDescent="0.35">
      <c r="A2606" s="2" t="s">
        <v>17396</v>
      </c>
      <c r="B2606" s="2">
        <v>357.24203772698002</v>
      </c>
      <c r="C2606" s="2">
        <v>5.5068333333333301</v>
      </c>
      <c r="D2606" s="2" t="s">
        <v>34</v>
      </c>
      <c r="E2606" s="2" t="s">
        <v>17397</v>
      </c>
      <c r="F2606" s="2">
        <v>44643</v>
      </c>
      <c r="G2606" s="3" t="str">
        <f>HYPERLINK("http://funmeta.oebiotech.com/network/44643", "http://funmeta.oebiotech.com/network/44643")</f>
        <v>http://funmeta.oebiotech.com/network/44643</v>
      </c>
      <c r="H2606" s="2"/>
      <c r="I2606" s="2">
        <v>2045</v>
      </c>
      <c r="J2606" s="2" t="s">
        <v>17398</v>
      </c>
      <c r="K2606" s="2">
        <v>42219</v>
      </c>
      <c r="L2606" s="2"/>
      <c r="M2606" s="2"/>
      <c r="N2606" s="2"/>
      <c r="O2606" s="2">
        <v>4369270</v>
      </c>
      <c r="P2606" s="2" t="s">
        <v>17399</v>
      </c>
      <c r="Q2606" s="2" t="s">
        <v>17400</v>
      </c>
      <c r="R2606" s="2" t="s">
        <v>17401</v>
      </c>
      <c r="S2606" s="2" t="s">
        <v>50</v>
      </c>
      <c r="T2606" s="2" t="s">
        <v>124</v>
      </c>
      <c r="U2606" s="2" t="s">
        <v>567</v>
      </c>
      <c r="V2606" s="2" t="s">
        <v>59</v>
      </c>
      <c r="W2606" s="2">
        <v>38.299999999999997</v>
      </c>
      <c r="X2606" s="2">
        <v>0</v>
      </c>
      <c r="Y2606" s="2" t="s">
        <v>4572</v>
      </c>
      <c r="Z2606" s="2" t="s">
        <v>17402</v>
      </c>
      <c r="AA2606" s="2">
        <v>-1.0249727110820599</v>
      </c>
      <c r="AB2606" s="2">
        <v>0.309540506854183</v>
      </c>
      <c r="AC2606" s="2">
        <v>17219.5286811554</v>
      </c>
      <c r="AD2606" s="2">
        <v>24073.2755759465</v>
      </c>
      <c r="AE2606" s="2">
        <v>17317.482760105398</v>
      </c>
      <c r="AF2606" s="2">
        <v>17277.109885421702</v>
      </c>
      <c r="AG2606" s="2">
        <v>19153.3460685379</v>
      </c>
      <c r="AH2606" s="2">
        <v>16312.582587864599</v>
      </c>
      <c r="AI2606" s="2">
        <v>16308.724143036399</v>
      </c>
      <c r="AJ2606" s="2">
        <v>16947.9266419663</v>
      </c>
      <c r="AK2606" s="2">
        <v>23263.072951291801</v>
      </c>
      <c r="AL2606" s="2">
        <v>26313.648150991801</v>
      </c>
      <c r="AM2606" s="2">
        <v>20642.953234343899</v>
      </c>
      <c r="AN2606" s="2">
        <v>24372.859310948501</v>
      </c>
      <c r="AO2606" s="2">
        <v>24497.3631398861</v>
      </c>
      <c r="AP2606" s="2">
        <v>25349.756668217</v>
      </c>
    </row>
    <row r="2607" spans="1:42" ht="14.5" x14ac:dyDescent="0.35">
      <c r="A2607" s="2" t="s">
        <v>17403</v>
      </c>
      <c r="B2607" s="2">
        <v>150.09134295853499</v>
      </c>
      <c r="C2607" s="2">
        <v>0.84421666666666695</v>
      </c>
      <c r="D2607" s="2" t="s">
        <v>34</v>
      </c>
      <c r="E2607" s="2" t="s">
        <v>17404</v>
      </c>
      <c r="F2607" s="2">
        <v>200474</v>
      </c>
      <c r="G2607" s="3" t="str">
        <f>HYPERLINK("http://funmeta.oebiotech.com/network/200474", "http://funmeta.oebiotech.com/network/200474")</f>
        <v>http://funmeta.oebiotech.com/network/200474</v>
      </c>
      <c r="H2607" s="2" t="s">
        <v>17405</v>
      </c>
      <c r="I2607" s="2">
        <v>2011</v>
      </c>
      <c r="J2607" s="2"/>
      <c r="K2607" s="2">
        <v>59332</v>
      </c>
      <c r="L2607" s="2"/>
      <c r="M2607" s="2"/>
      <c r="N2607" s="2"/>
      <c r="O2607" s="2">
        <v>107786</v>
      </c>
      <c r="P2607" s="2" t="s">
        <v>17406</v>
      </c>
      <c r="Q2607" s="2" t="s">
        <v>17407</v>
      </c>
      <c r="R2607" s="2" t="s">
        <v>17408</v>
      </c>
      <c r="S2607" s="2" t="s">
        <v>79</v>
      </c>
      <c r="T2607" s="2" t="s">
        <v>80</v>
      </c>
      <c r="U2607" s="2" t="s">
        <v>2820</v>
      </c>
      <c r="V2607" s="2" t="s">
        <v>59</v>
      </c>
      <c r="W2607" s="2">
        <v>39</v>
      </c>
      <c r="X2607" s="2">
        <v>0</v>
      </c>
      <c r="Y2607" s="2" t="s">
        <v>394</v>
      </c>
      <c r="Z2607" s="2" t="s">
        <v>17409</v>
      </c>
      <c r="AA2607" s="2">
        <v>1.7100451255883699E-2</v>
      </c>
      <c r="AB2607" s="2">
        <v>0.309389712215627</v>
      </c>
      <c r="AC2607" s="2">
        <v>3800.4401954567102</v>
      </c>
      <c r="AD2607" s="2">
        <v>10613.7058713446</v>
      </c>
      <c r="AE2607" s="2">
        <v>4349.0571470737796</v>
      </c>
      <c r="AF2607" s="2">
        <v>4383.9011217474599</v>
      </c>
      <c r="AG2607" s="2">
        <v>3361.3076624749901</v>
      </c>
      <c r="AH2607" s="2">
        <v>3231.3157274488899</v>
      </c>
      <c r="AI2607" s="2">
        <v>3586.1886188765102</v>
      </c>
      <c r="AJ2607" s="2">
        <v>3890.87089511865</v>
      </c>
      <c r="AK2607" s="2">
        <v>7330.6934546672401</v>
      </c>
      <c r="AL2607" s="2">
        <v>8508.3729844435802</v>
      </c>
      <c r="AM2607" s="2">
        <v>11064.6648518975</v>
      </c>
      <c r="AN2607" s="2">
        <v>12140.1699282678</v>
      </c>
      <c r="AO2607" s="2">
        <v>11736.6513611635</v>
      </c>
      <c r="AP2607" s="2">
        <v>12901.6826476281</v>
      </c>
    </row>
    <row r="2608" spans="1:42" ht="14.5" x14ac:dyDescent="0.35">
      <c r="A2608" s="2" t="s">
        <v>17410</v>
      </c>
      <c r="B2608" s="2">
        <v>360.14395570733598</v>
      </c>
      <c r="C2608" s="2">
        <v>4.2251833333333302</v>
      </c>
      <c r="D2608" s="2" t="s">
        <v>34</v>
      </c>
      <c r="E2608" s="2" t="s">
        <v>17411</v>
      </c>
      <c r="F2608" s="2">
        <v>81793</v>
      </c>
      <c r="G2608" s="3" t="str">
        <f>HYPERLINK("http://funmeta.oebiotech.com/network/81793", "http://funmeta.oebiotech.com/network/81793")</f>
        <v>http://funmeta.oebiotech.com/network/81793</v>
      </c>
      <c r="H2608" s="2" t="s">
        <v>17412</v>
      </c>
      <c r="I2608" s="2"/>
      <c r="J2608" s="2"/>
      <c r="K2608" s="2"/>
      <c r="L2608" s="2"/>
      <c r="M2608" s="2"/>
      <c r="N2608" s="2"/>
      <c r="O2608" s="2">
        <v>101423087</v>
      </c>
      <c r="P2608" s="2"/>
      <c r="Q2608" s="2" t="s">
        <v>17413</v>
      </c>
      <c r="R2608" s="2" t="s">
        <v>17414</v>
      </c>
      <c r="S2608" s="2" t="s">
        <v>1184</v>
      </c>
      <c r="T2608" s="2" t="s">
        <v>3333</v>
      </c>
      <c r="U2608" s="2" t="s">
        <v>41</v>
      </c>
      <c r="V2608" s="2" t="s">
        <v>42</v>
      </c>
      <c r="W2608" s="2">
        <v>51.5</v>
      </c>
      <c r="X2608" s="2">
        <v>68.599999999999994</v>
      </c>
      <c r="Y2608" s="2" t="s">
        <v>43</v>
      </c>
      <c r="Z2608" s="2" t="s">
        <v>17415</v>
      </c>
      <c r="AA2608" s="2">
        <v>-0.60833380415244998</v>
      </c>
      <c r="AB2608" s="2">
        <v>0.30935198633529198</v>
      </c>
      <c r="AC2608" s="2">
        <v>227448.54335444199</v>
      </c>
      <c r="AD2608" s="2">
        <v>213964.154842007</v>
      </c>
      <c r="AE2608" s="2">
        <v>212410.41438157501</v>
      </c>
      <c r="AF2608" s="2">
        <v>218844.06971829999</v>
      </c>
      <c r="AG2608" s="2">
        <v>240452.84202197599</v>
      </c>
      <c r="AH2608" s="2">
        <v>228369.49045956001</v>
      </c>
      <c r="AI2608" s="2">
        <v>230294.27218804799</v>
      </c>
      <c r="AJ2608" s="2">
        <v>234320.17135719501</v>
      </c>
      <c r="AK2608" s="2">
        <v>181597.64124984099</v>
      </c>
      <c r="AL2608" s="2">
        <v>218949.746221643</v>
      </c>
      <c r="AM2608" s="2">
        <v>219334.74549117099</v>
      </c>
      <c r="AN2608" s="2">
        <v>215774.333047361</v>
      </c>
      <c r="AO2608" s="2">
        <v>216957.22746552801</v>
      </c>
      <c r="AP2608" s="2">
        <v>231171.235576501</v>
      </c>
    </row>
    <row r="2609" spans="1:42" ht="14.5" x14ac:dyDescent="0.35">
      <c r="A2609" s="2" t="s">
        <v>17416</v>
      </c>
      <c r="B2609" s="2">
        <v>457.186065140739</v>
      </c>
      <c r="C2609" s="2">
        <v>4.4450666666666701</v>
      </c>
      <c r="D2609" s="2" t="s">
        <v>34</v>
      </c>
      <c r="E2609" s="2" t="s">
        <v>17417</v>
      </c>
      <c r="F2609" s="2">
        <v>266656</v>
      </c>
      <c r="G2609" s="3" t="str">
        <f>HYPERLINK("http://funmeta.oebiotech.com/network/266656", "http://funmeta.oebiotech.com/network/266656")</f>
        <v>http://funmeta.oebiotech.com/network/266656</v>
      </c>
      <c r="H2609" s="2"/>
      <c r="I2609" s="2">
        <v>43732</v>
      </c>
      <c r="J2609" s="2"/>
      <c r="K2609" s="2"/>
      <c r="L2609" s="2"/>
      <c r="M2609" s="2"/>
      <c r="N2609" s="2"/>
      <c r="O2609" s="2">
        <v>73157</v>
      </c>
      <c r="P2609" s="2" t="s">
        <v>17418</v>
      </c>
      <c r="Q2609" s="2" t="s">
        <v>17419</v>
      </c>
      <c r="R2609" s="2" t="s">
        <v>17420</v>
      </c>
      <c r="S2609" s="2" t="s">
        <v>115</v>
      </c>
      <c r="T2609" s="2" t="s">
        <v>2833</v>
      </c>
      <c r="U2609" s="2" t="s">
        <v>41</v>
      </c>
      <c r="V2609" s="2" t="s">
        <v>59</v>
      </c>
      <c r="W2609" s="2">
        <v>37.6</v>
      </c>
      <c r="X2609" s="2">
        <v>0</v>
      </c>
      <c r="Y2609" s="2" t="s">
        <v>394</v>
      </c>
      <c r="Z2609" s="2" t="s">
        <v>17421</v>
      </c>
      <c r="AA2609" s="2">
        <v>0.81295888715173703</v>
      </c>
      <c r="AB2609" s="2">
        <v>0.30925801709302397</v>
      </c>
      <c r="AC2609" s="2">
        <v>20362.367259413801</v>
      </c>
      <c r="AD2609" s="2">
        <v>11551.5579438817</v>
      </c>
      <c r="AE2609" s="2">
        <v>17600.987950580002</v>
      </c>
      <c r="AF2609" s="2">
        <v>23675.911244703901</v>
      </c>
      <c r="AG2609" s="2">
        <v>16052.6401859079</v>
      </c>
      <c r="AH2609" s="2">
        <v>22198.327201189601</v>
      </c>
      <c r="AI2609" s="2">
        <v>21158.562118280101</v>
      </c>
      <c r="AJ2609" s="2">
        <v>21487.774855821499</v>
      </c>
      <c r="AK2609" s="2">
        <v>13867.901500136701</v>
      </c>
      <c r="AL2609" s="2">
        <v>18809.242821384501</v>
      </c>
      <c r="AM2609" s="2">
        <v>6851.478385032</v>
      </c>
      <c r="AN2609" s="2">
        <v>17885.273157670901</v>
      </c>
      <c r="AO2609" s="2">
        <v>6416.4963112022797</v>
      </c>
      <c r="AP2609" s="2">
        <v>5478.9554878639401</v>
      </c>
    </row>
    <row r="2610" spans="1:42" ht="14.5" x14ac:dyDescent="0.35">
      <c r="A2610" s="2" t="s">
        <v>17422</v>
      </c>
      <c r="B2610" s="2">
        <v>267.26784071140997</v>
      </c>
      <c r="C2610" s="2">
        <v>11.5801</v>
      </c>
      <c r="D2610" s="2" t="s">
        <v>34</v>
      </c>
      <c r="E2610" s="2" t="s">
        <v>17423</v>
      </c>
      <c r="F2610" s="2">
        <v>6564</v>
      </c>
      <c r="G2610" s="3" t="str">
        <f>HYPERLINK("http://funmeta.oebiotech.com/network/6564", "http://funmeta.oebiotech.com/network/6564")</f>
        <v>http://funmeta.oebiotech.com/network/6564</v>
      </c>
      <c r="H2610" s="2" t="s">
        <v>17424</v>
      </c>
      <c r="I2610" s="2">
        <v>75373</v>
      </c>
      <c r="J2610" s="2" t="s">
        <v>17425</v>
      </c>
      <c r="K2610" s="2"/>
      <c r="L2610" s="2"/>
      <c r="M2610" s="2"/>
      <c r="N2610" s="2"/>
      <c r="O2610" s="2">
        <v>5283381</v>
      </c>
      <c r="P2610" s="2" t="s">
        <v>17426</v>
      </c>
      <c r="Q2610" s="2" t="s">
        <v>17427</v>
      </c>
      <c r="R2610" s="2" t="s">
        <v>17428</v>
      </c>
      <c r="S2610" s="2" t="s">
        <v>50</v>
      </c>
      <c r="T2610" s="2" t="s">
        <v>229</v>
      </c>
      <c r="U2610" s="2" t="s">
        <v>1007</v>
      </c>
      <c r="V2610" s="2" t="s">
        <v>59</v>
      </c>
      <c r="W2610" s="2">
        <v>47.9</v>
      </c>
      <c r="X2610" s="2">
        <v>44.8</v>
      </c>
      <c r="Y2610" s="2" t="s">
        <v>394</v>
      </c>
      <c r="Z2610" s="2" t="s">
        <v>11737</v>
      </c>
      <c r="AA2610" s="2">
        <v>-1.5076582079780201</v>
      </c>
      <c r="AB2610" s="2">
        <v>0.30924283064209002</v>
      </c>
      <c r="AC2610" s="2">
        <v>53469.491895015402</v>
      </c>
      <c r="AD2610" s="2">
        <v>61009.349737076198</v>
      </c>
      <c r="AE2610" s="2">
        <v>52459.734501687999</v>
      </c>
      <c r="AF2610" s="2">
        <v>57097.426192784304</v>
      </c>
      <c r="AG2610" s="2">
        <v>54782.761313863099</v>
      </c>
      <c r="AH2610" s="2">
        <v>54177.369565159097</v>
      </c>
      <c r="AI2610" s="2">
        <v>50702.404025666503</v>
      </c>
      <c r="AJ2610" s="2">
        <v>51597.255770931602</v>
      </c>
      <c r="AK2610" s="2">
        <v>63885.5924064871</v>
      </c>
      <c r="AL2610" s="2">
        <v>64844.933389106402</v>
      </c>
      <c r="AM2610" s="2">
        <v>58006.379166335901</v>
      </c>
      <c r="AN2610" s="2">
        <v>61855.572132932299</v>
      </c>
      <c r="AO2610" s="2">
        <v>59086.354274955003</v>
      </c>
      <c r="AP2610" s="2">
        <v>58377.267052640302</v>
      </c>
    </row>
    <row r="2611" spans="1:42" ht="14.5" x14ac:dyDescent="0.35">
      <c r="A2611" s="2" t="s">
        <v>17429</v>
      </c>
      <c r="B2611" s="2">
        <v>765.406267266089</v>
      </c>
      <c r="C2611" s="2">
        <v>9.3251833333333298</v>
      </c>
      <c r="D2611" s="2" t="s">
        <v>70</v>
      </c>
      <c r="E2611" s="2" t="s">
        <v>17430</v>
      </c>
      <c r="F2611" s="2">
        <v>44590</v>
      </c>
      <c r="G2611" s="3" t="str">
        <f>HYPERLINK("http://funmeta.oebiotech.com/network/44590", "http://funmeta.oebiotech.com/network/44590")</f>
        <v>http://funmeta.oebiotech.com/network/44590</v>
      </c>
      <c r="H2611" s="2"/>
      <c r="I2611" s="2"/>
      <c r="J2611" s="2" t="s">
        <v>17431</v>
      </c>
      <c r="K2611" s="2"/>
      <c r="L2611" s="2"/>
      <c r="M2611" s="2"/>
      <c r="N2611" s="2"/>
      <c r="O2611" s="2">
        <v>54672305</v>
      </c>
      <c r="P2611" s="2"/>
      <c r="Q2611" s="2" t="s">
        <v>17432</v>
      </c>
      <c r="R2611" s="2" t="s">
        <v>17433</v>
      </c>
      <c r="S2611" s="2" t="s">
        <v>50</v>
      </c>
      <c r="T2611" s="2" t="s">
        <v>124</v>
      </c>
      <c r="U2611" s="2" t="s">
        <v>4336</v>
      </c>
      <c r="V2611" s="2" t="s">
        <v>59</v>
      </c>
      <c r="W2611" s="2">
        <v>38.299999999999997</v>
      </c>
      <c r="X2611" s="2">
        <v>0</v>
      </c>
      <c r="Y2611" s="2" t="s">
        <v>408</v>
      </c>
      <c r="Z2611" s="2" t="s">
        <v>17434</v>
      </c>
      <c r="AA2611" s="2">
        <v>-0.57323427402960203</v>
      </c>
      <c r="AB2611" s="2">
        <v>0.309174670357176</v>
      </c>
      <c r="AC2611" s="2">
        <v>28832.2217513289</v>
      </c>
      <c r="AD2611" s="2">
        <v>22151.1214612068</v>
      </c>
      <c r="AE2611" s="2">
        <v>27083.956799434502</v>
      </c>
      <c r="AF2611" s="2">
        <v>28318.039108032401</v>
      </c>
      <c r="AG2611" s="2">
        <v>28347.8001487906</v>
      </c>
      <c r="AH2611" s="2">
        <v>29004.136410340201</v>
      </c>
      <c r="AI2611" s="2">
        <v>31149.672308158599</v>
      </c>
      <c r="AJ2611" s="2">
        <v>29089.725733217299</v>
      </c>
      <c r="AK2611" s="2">
        <v>22256.579577250101</v>
      </c>
      <c r="AL2611" s="2">
        <v>23149.152687350899</v>
      </c>
      <c r="AM2611" s="2">
        <v>22671.7847662147</v>
      </c>
      <c r="AN2611" s="2">
        <v>20315.047263955301</v>
      </c>
      <c r="AO2611" s="2">
        <v>23503.332516146598</v>
      </c>
      <c r="AP2611" s="2">
        <v>21010.831956323</v>
      </c>
    </row>
    <row r="2612" spans="1:42" ht="14.5" x14ac:dyDescent="0.35">
      <c r="A2612" s="2" t="s">
        <v>17435</v>
      </c>
      <c r="B2612" s="2">
        <v>695.28806768365996</v>
      </c>
      <c r="C2612" s="2">
        <v>5.9351500000000001</v>
      </c>
      <c r="D2612" s="2" t="s">
        <v>70</v>
      </c>
      <c r="E2612" s="2" t="s">
        <v>17436</v>
      </c>
      <c r="F2612" s="2">
        <v>204814</v>
      </c>
      <c r="G2612" s="3" t="str">
        <f>HYPERLINK("http://funmeta.oebiotech.com/network/204814", "http://funmeta.oebiotech.com/network/204814")</f>
        <v>http://funmeta.oebiotech.com/network/204814</v>
      </c>
      <c r="H2612" s="2" t="s">
        <v>17437</v>
      </c>
      <c r="I2612" s="2"/>
      <c r="J2612" s="2"/>
      <c r="K2612" s="2"/>
      <c r="L2612" s="2"/>
      <c r="M2612" s="2"/>
      <c r="N2612" s="2"/>
      <c r="O2612" s="2">
        <v>9841240</v>
      </c>
      <c r="P2612" s="2"/>
      <c r="Q2612" s="2" t="s">
        <v>17438</v>
      </c>
      <c r="R2612" s="2" t="s">
        <v>17439</v>
      </c>
      <c r="S2612" s="2" t="s">
        <v>41</v>
      </c>
      <c r="T2612" s="2" t="s">
        <v>41</v>
      </c>
      <c r="U2612" s="2" t="s">
        <v>41</v>
      </c>
      <c r="V2612" s="2" t="s">
        <v>59</v>
      </c>
      <c r="W2612" s="2">
        <v>38.5</v>
      </c>
      <c r="X2612" s="2">
        <v>0</v>
      </c>
      <c r="Y2612" s="2" t="s">
        <v>560</v>
      </c>
      <c r="Z2612" s="2" t="s">
        <v>17440</v>
      </c>
      <c r="AA2612" s="2">
        <v>0.80295919439322605</v>
      </c>
      <c r="AB2612" s="2">
        <v>0.30905935479498697</v>
      </c>
      <c r="AC2612" s="2">
        <v>9318.4410741178599</v>
      </c>
      <c r="AD2612" s="2">
        <v>15885.089519110399</v>
      </c>
      <c r="AE2612" s="2">
        <v>8906.3861978539699</v>
      </c>
      <c r="AF2612" s="2">
        <v>9337.2648596269501</v>
      </c>
      <c r="AG2612" s="2">
        <v>10185.7479912161</v>
      </c>
      <c r="AH2612" s="2">
        <v>8148.7807231097104</v>
      </c>
      <c r="AI2612" s="2">
        <v>8980.7193657036496</v>
      </c>
      <c r="AJ2612" s="2">
        <v>10351.7473071968</v>
      </c>
      <c r="AK2612" s="2">
        <v>16170.759938151799</v>
      </c>
      <c r="AL2612" s="2">
        <v>17712.2419931281</v>
      </c>
      <c r="AM2612" s="2">
        <v>14516.0840060586</v>
      </c>
      <c r="AN2612" s="2">
        <v>14970.639505241799</v>
      </c>
      <c r="AO2612" s="2">
        <v>14988.5168065956</v>
      </c>
      <c r="AP2612" s="2">
        <v>16952.294865486499</v>
      </c>
    </row>
    <row r="2613" spans="1:42" ht="14.5" x14ac:dyDescent="0.35">
      <c r="A2613" s="2" t="s">
        <v>17441</v>
      </c>
      <c r="B2613" s="2">
        <v>417.20132515758002</v>
      </c>
      <c r="C2613" s="2">
        <v>3.8966500000000002</v>
      </c>
      <c r="D2613" s="2" t="s">
        <v>34</v>
      </c>
      <c r="E2613" s="2" t="s">
        <v>17442</v>
      </c>
      <c r="F2613" s="2">
        <v>26085</v>
      </c>
      <c r="G2613" s="3" t="str">
        <f>HYPERLINK("http://funmeta.oebiotech.com/network/26085", "http://funmeta.oebiotech.com/network/26085")</f>
        <v>http://funmeta.oebiotech.com/network/26085</v>
      </c>
      <c r="H2613" s="2"/>
      <c r="I2613" s="2">
        <v>82340</v>
      </c>
      <c r="J2613" s="2" t="s">
        <v>17443</v>
      </c>
      <c r="K2613" s="2"/>
      <c r="L2613" s="2"/>
      <c r="M2613" s="2"/>
      <c r="N2613" s="2"/>
      <c r="O2613" s="2">
        <v>52929755</v>
      </c>
      <c r="P2613" s="2"/>
      <c r="Q2613" s="2" t="s">
        <v>17444</v>
      </c>
      <c r="R2613" s="2" t="s">
        <v>17445</v>
      </c>
      <c r="S2613" s="2" t="s">
        <v>50</v>
      </c>
      <c r="T2613" s="2" t="s">
        <v>51</v>
      </c>
      <c r="U2613" s="2" t="s">
        <v>273</v>
      </c>
      <c r="V2613" s="2" t="s">
        <v>59</v>
      </c>
      <c r="W2613" s="2">
        <v>39.299999999999997</v>
      </c>
      <c r="X2613" s="2">
        <v>0</v>
      </c>
      <c r="Y2613" s="2" t="s">
        <v>323</v>
      </c>
      <c r="Z2613" s="2" t="s">
        <v>17446</v>
      </c>
      <c r="AA2613" s="2">
        <v>0.163333950555447</v>
      </c>
      <c r="AB2613" s="2">
        <v>0.308969524355517</v>
      </c>
      <c r="AC2613" s="2">
        <v>19478.5899975293</v>
      </c>
      <c r="AD2613" s="2">
        <v>26420.669924789399</v>
      </c>
      <c r="AE2613" s="2">
        <v>18943.967332784399</v>
      </c>
      <c r="AF2613" s="2">
        <v>18571.509432766801</v>
      </c>
      <c r="AG2613" s="2">
        <v>21674.518807230699</v>
      </c>
      <c r="AH2613" s="2">
        <v>20086.8528397267</v>
      </c>
      <c r="AI2613" s="2">
        <v>20144.937285534299</v>
      </c>
      <c r="AJ2613" s="2">
        <v>17449.754287132801</v>
      </c>
      <c r="AK2613" s="2">
        <v>24565.668357629798</v>
      </c>
      <c r="AL2613" s="2">
        <v>26422.9952289992</v>
      </c>
      <c r="AM2613" s="2">
        <v>26651.6105171532</v>
      </c>
      <c r="AN2613" s="2">
        <v>30146.549365695701</v>
      </c>
      <c r="AO2613" s="2">
        <v>24012.777186310999</v>
      </c>
      <c r="AP2613" s="2">
        <v>26724.418892947699</v>
      </c>
    </row>
    <row r="2614" spans="1:42" ht="14.5" x14ac:dyDescent="0.35">
      <c r="A2614" s="2" t="s">
        <v>17447</v>
      </c>
      <c r="B2614" s="2">
        <v>589.26655426000298</v>
      </c>
      <c r="C2614" s="2">
        <v>5.1890333333333301</v>
      </c>
      <c r="D2614" s="2" t="s">
        <v>70</v>
      </c>
      <c r="E2614" s="2" t="s">
        <v>17448</v>
      </c>
      <c r="F2614" s="2">
        <v>62890</v>
      </c>
      <c r="G2614" s="3" t="str">
        <f>HYPERLINK("http://funmeta.oebiotech.com/network/62890", "http://funmeta.oebiotech.com/network/62890")</f>
        <v>http://funmeta.oebiotech.com/network/62890</v>
      </c>
      <c r="H2614" s="2" t="s">
        <v>17449</v>
      </c>
      <c r="I2614" s="2">
        <v>94188</v>
      </c>
      <c r="J2614" s="2"/>
      <c r="K2614" s="2"/>
      <c r="L2614" s="2"/>
      <c r="M2614" s="2"/>
      <c r="N2614" s="2"/>
      <c r="O2614" s="2">
        <v>74820162</v>
      </c>
      <c r="P2614" s="2"/>
      <c r="Q2614" s="2" t="s">
        <v>17450</v>
      </c>
      <c r="R2614" s="2" t="s">
        <v>17451</v>
      </c>
      <c r="S2614" s="2" t="s">
        <v>50</v>
      </c>
      <c r="T2614" s="2" t="s">
        <v>124</v>
      </c>
      <c r="U2614" s="2" t="s">
        <v>567</v>
      </c>
      <c r="V2614" s="2" t="s">
        <v>59</v>
      </c>
      <c r="W2614" s="2">
        <v>41.9</v>
      </c>
      <c r="X2614" s="2">
        <v>15.8</v>
      </c>
      <c r="Y2614" s="2" t="s">
        <v>408</v>
      </c>
      <c r="Z2614" s="2" t="s">
        <v>17452</v>
      </c>
      <c r="AA2614" s="2">
        <v>2.0551139134586598</v>
      </c>
      <c r="AB2614" s="2">
        <v>0.30890570088555402</v>
      </c>
      <c r="AC2614" s="2">
        <v>60205.495548030798</v>
      </c>
      <c r="AD2614" s="2">
        <v>68483.701741533107</v>
      </c>
      <c r="AE2614" s="2">
        <v>60271.690529547901</v>
      </c>
      <c r="AF2614" s="2">
        <v>56481.093821034301</v>
      </c>
      <c r="AG2614" s="2">
        <v>56859.547976740098</v>
      </c>
      <c r="AH2614" s="2">
        <v>61907.640770568301</v>
      </c>
      <c r="AI2614" s="2">
        <v>57573.838765212196</v>
      </c>
      <c r="AJ2614" s="2">
        <v>68139.1614250821</v>
      </c>
      <c r="AK2614" s="2">
        <v>72115.697386408807</v>
      </c>
      <c r="AL2614" s="2">
        <v>65838.883520592295</v>
      </c>
      <c r="AM2614" s="2">
        <v>69049.062450788406</v>
      </c>
      <c r="AN2614" s="2">
        <v>72759.714387288506</v>
      </c>
      <c r="AO2614" s="2">
        <v>64657.452706634002</v>
      </c>
      <c r="AP2614" s="2">
        <v>66481.399997486398</v>
      </c>
    </row>
    <row r="2615" spans="1:42" ht="14.5" x14ac:dyDescent="0.35">
      <c r="A2615" s="2" t="s">
        <v>17453</v>
      </c>
      <c r="B2615" s="2">
        <v>589.24838502044304</v>
      </c>
      <c r="C2615" s="2">
        <v>5.3391000000000002</v>
      </c>
      <c r="D2615" s="2" t="s">
        <v>70</v>
      </c>
      <c r="E2615" s="2" t="s">
        <v>17454</v>
      </c>
      <c r="F2615" s="2">
        <v>47157</v>
      </c>
      <c r="G2615" s="3" t="str">
        <f>HYPERLINK("http://funmeta.oebiotech.com/network/47157", "http://funmeta.oebiotech.com/network/47157")</f>
        <v>http://funmeta.oebiotech.com/network/47157</v>
      </c>
      <c r="H2615" s="2" t="s">
        <v>17455</v>
      </c>
      <c r="I2615" s="2">
        <v>5652</v>
      </c>
      <c r="J2615" s="2"/>
      <c r="K2615" s="2">
        <v>169840</v>
      </c>
      <c r="L2615" s="2"/>
      <c r="M2615" s="2"/>
      <c r="N2615" s="2"/>
      <c r="O2615" s="2"/>
      <c r="P2615" s="2" t="s">
        <v>17456</v>
      </c>
      <c r="Q2615" s="2" t="s">
        <v>17457</v>
      </c>
      <c r="R2615" s="2" t="s">
        <v>17458</v>
      </c>
      <c r="S2615" s="2" t="s">
        <v>491</v>
      </c>
      <c r="T2615" s="2" t="s">
        <v>492</v>
      </c>
      <c r="U2615" s="2" t="s">
        <v>6398</v>
      </c>
      <c r="V2615" s="2" t="s">
        <v>59</v>
      </c>
      <c r="W2615" s="2">
        <v>37.200000000000003</v>
      </c>
      <c r="X2615" s="2">
        <v>0</v>
      </c>
      <c r="Y2615" s="2" t="s">
        <v>751</v>
      </c>
      <c r="Z2615" s="2" t="s">
        <v>17459</v>
      </c>
      <c r="AA2615" s="2">
        <v>4.5066807910002602</v>
      </c>
      <c r="AB2615" s="2">
        <v>0.30876390422452099</v>
      </c>
      <c r="AC2615" s="2">
        <v>22722.392117227198</v>
      </c>
      <c r="AD2615" s="2">
        <v>15786.882374455299</v>
      </c>
      <c r="AE2615" s="2">
        <v>20815.265286988499</v>
      </c>
      <c r="AF2615" s="2">
        <v>23456.752720049499</v>
      </c>
      <c r="AG2615" s="2">
        <v>26875.731881809199</v>
      </c>
      <c r="AH2615" s="2">
        <v>21487.7040289535</v>
      </c>
      <c r="AI2615" s="2">
        <v>23582.8023917176</v>
      </c>
      <c r="AJ2615" s="2">
        <v>20116.096393844899</v>
      </c>
      <c r="AK2615" s="2">
        <v>15148.178137029199</v>
      </c>
      <c r="AL2615" s="2">
        <v>15959.8883590942</v>
      </c>
      <c r="AM2615" s="2">
        <v>16164.6352128036</v>
      </c>
      <c r="AN2615" s="2">
        <v>14807.0561105532</v>
      </c>
      <c r="AO2615" s="2">
        <v>16934.357494134299</v>
      </c>
      <c r="AP2615" s="2">
        <v>15707.1789331175</v>
      </c>
    </row>
    <row r="2616" spans="1:42" ht="14.5" x14ac:dyDescent="0.35">
      <c r="A2616" s="2" t="s">
        <v>17460</v>
      </c>
      <c r="B2616" s="2">
        <v>445.20800033263799</v>
      </c>
      <c r="C2616" s="2">
        <v>4.7039999999999997</v>
      </c>
      <c r="D2616" s="2" t="s">
        <v>70</v>
      </c>
      <c r="E2616" s="2" t="s">
        <v>17461</v>
      </c>
      <c r="F2616" s="2">
        <v>7908</v>
      </c>
      <c r="G2616" s="3" t="str">
        <f>HYPERLINK("http://funmeta.oebiotech.com/network/7908", "http://funmeta.oebiotech.com/network/7908")</f>
        <v>http://funmeta.oebiotech.com/network/7908</v>
      </c>
      <c r="H2616" s="2"/>
      <c r="I2616" s="2"/>
      <c r="J2616" s="2" t="s">
        <v>17462</v>
      </c>
      <c r="K2616" s="2"/>
      <c r="L2616" s="2"/>
      <c r="M2616" s="2"/>
      <c r="N2616" s="2"/>
      <c r="O2616" s="2">
        <v>132967555</v>
      </c>
      <c r="P2616" s="2"/>
      <c r="Q2616" s="2" t="s">
        <v>17463</v>
      </c>
      <c r="R2616" s="2" t="s">
        <v>17464</v>
      </c>
      <c r="S2616" s="2" t="s">
        <v>115</v>
      </c>
      <c r="T2616" s="2" t="s">
        <v>1384</v>
      </c>
      <c r="U2616" s="2" t="s">
        <v>41</v>
      </c>
      <c r="V2616" s="2" t="s">
        <v>42</v>
      </c>
      <c r="W2616" s="2">
        <v>55.4</v>
      </c>
      <c r="X2616" s="2">
        <v>83.1</v>
      </c>
      <c r="Y2616" s="2" t="s">
        <v>408</v>
      </c>
      <c r="Z2616" s="2" t="s">
        <v>17465</v>
      </c>
      <c r="AA2616" s="2">
        <v>0.19859567211290099</v>
      </c>
      <c r="AB2616" s="2">
        <v>0.30861348112029002</v>
      </c>
      <c r="AC2616" s="2">
        <v>41386.004174839101</v>
      </c>
      <c r="AD2616" s="2">
        <v>48545.424741356299</v>
      </c>
      <c r="AE2616" s="2">
        <v>40989.111521893901</v>
      </c>
      <c r="AF2616" s="2">
        <v>41770.7484447971</v>
      </c>
      <c r="AG2616" s="2">
        <v>42053.879093268297</v>
      </c>
      <c r="AH2616" s="2">
        <v>38465.670455799504</v>
      </c>
      <c r="AI2616" s="2">
        <v>41862.898555899701</v>
      </c>
      <c r="AJ2616" s="2">
        <v>43173.7169773758</v>
      </c>
      <c r="AK2616" s="2">
        <v>45028.822546315001</v>
      </c>
      <c r="AL2616" s="2">
        <v>47764.231515000203</v>
      </c>
      <c r="AM2616" s="2">
        <v>53037.4875859233</v>
      </c>
      <c r="AN2616" s="2">
        <v>49291.933129696197</v>
      </c>
      <c r="AO2616" s="2">
        <v>46969.730778778801</v>
      </c>
      <c r="AP2616" s="2">
        <v>49180.342892424203</v>
      </c>
    </row>
    <row r="2617" spans="1:42" ht="14.5" x14ac:dyDescent="0.35">
      <c r="A2617" s="2" t="s">
        <v>17466</v>
      </c>
      <c r="B2617" s="2">
        <v>241.118210020725</v>
      </c>
      <c r="C2617" s="2">
        <v>1.1643666666666701</v>
      </c>
      <c r="D2617" s="2" t="s">
        <v>34</v>
      </c>
      <c r="E2617" s="2" t="s">
        <v>17467</v>
      </c>
      <c r="F2617" s="2">
        <v>115472</v>
      </c>
      <c r="G2617" s="3" t="str">
        <f>HYPERLINK("http://funmeta.oebiotech.com/network/115472", "http://funmeta.oebiotech.com/network/115472")</f>
        <v>http://funmeta.oebiotech.com/network/115472</v>
      </c>
      <c r="H2617" s="2" t="s">
        <v>17468</v>
      </c>
      <c r="I2617" s="2"/>
      <c r="J2617" s="2"/>
      <c r="K2617" s="2"/>
      <c r="L2617" s="2"/>
      <c r="M2617" s="2"/>
      <c r="N2617" s="2"/>
      <c r="O2617" s="2">
        <v>131802906</v>
      </c>
      <c r="P2617" s="2"/>
      <c r="Q2617" s="2" t="s">
        <v>17469</v>
      </c>
      <c r="R2617" s="2" t="s">
        <v>17470</v>
      </c>
      <c r="S2617" s="2" t="s">
        <v>89</v>
      </c>
      <c r="T2617" s="2" t="s">
        <v>90</v>
      </c>
      <c r="U2617" s="2" t="s">
        <v>99</v>
      </c>
      <c r="V2617" s="2" t="s">
        <v>42</v>
      </c>
      <c r="W2617" s="2">
        <v>49.6</v>
      </c>
      <c r="X2617" s="2">
        <v>49.3</v>
      </c>
      <c r="Y2617" s="2" t="s">
        <v>43</v>
      </c>
      <c r="Z2617" s="2" t="s">
        <v>16023</v>
      </c>
      <c r="AA2617" s="2">
        <v>-0.32906472220090999</v>
      </c>
      <c r="AB2617" s="2">
        <v>0.30821332739382501</v>
      </c>
      <c r="AC2617" s="2">
        <v>18943.062253917102</v>
      </c>
      <c r="AD2617" s="2">
        <v>25263.873056727702</v>
      </c>
      <c r="AE2617" s="2">
        <v>19354.703963880402</v>
      </c>
      <c r="AF2617" s="2">
        <v>18741.9116726428</v>
      </c>
      <c r="AG2617" s="2">
        <v>18832.740641375301</v>
      </c>
      <c r="AH2617" s="2">
        <v>17993.589511129601</v>
      </c>
      <c r="AI2617" s="2">
        <v>18614.847417839199</v>
      </c>
      <c r="AJ2617" s="2">
        <v>20120.5803166351</v>
      </c>
      <c r="AK2617" s="2">
        <v>25329.246366774802</v>
      </c>
      <c r="AL2617" s="2">
        <v>25198.156242465899</v>
      </c>
      <c r="AM2617" s="2">
        <v>25380.174812942201</v>
      </c>
      <c r="AN2617" s="2">
        <v>25764.262348302302</v>
      </c>
      <c r="AO2617" s="2">
        <v>25322.145990494799</v>
      </c>
      <c r="AP2617" s="2">
        <v>24589.252579386099</v>
      </c>
    </row>
    <row r="2618" spans="1:42" ht="14.5" x14ac:dyDescent="0.35">
      <c r="A2618" s="2" t="s">
        <v>17471</v>
      </c>
      <c r="B2618" s="2">
        <v>653.35454259678704</v>
      </c>
      <c r="C2618" s="2">
        <v>7.0269500000000003</v>
      </c>
      <c r="D2618" s="2" t="s">
        <v>70</v>
      </c>
      <c r="E2618" s="2" t="s">
        <v>17472</v>
      </c>
      <c r="F2618" s="2">
        <v>19902</v>
      </c>
      <c r="G2618" s="3" t="str">
        <f>HYPERLINK("http://funmeta.oebiotech.com/network/19902", "http://funmeta.oebiotech.com/network/19902")</f>
        <v>http://funmeta.oebiotech.com/network/19902</v>
      </c>
      <c r="H2618" s="2"/>
      <c r="I2618" s="2">
        <v>40394</v>
      </c>
      <c r="J2618" s="2" t="s">
        <v>17473</v>
      </c>
      <c r="K2618" s="2"/>
      <c r="L2618" s="2"/>
      <c r="M2618" s="2"/>
      <c r="N2618" s="2"/>
      <c r="O2618" s="2">
        <v>24779520</v>
      </c>
      <c r="P2618" s="2"/>
      <c r="Q2618" s="2" t="s">
        <v>17474</v>
      </c>
      <c r="R2618" s="2" t="s">
        <v>17475</v>
      </c>
      <c r="S2618" s="2" t="s">
        <v>50</v>
      </c>
      <c r="T2618" s="2" t="s">
        <v>51</v>
      </c>
      <c r="U2618" s="2" t="s">
        <v>168</v>
      </c>
      <c r="V2618" s="2" t="s">
        <v>59</v>
      </c>
      <c r="W2618" s="2">
        <v>38.200000000000003</v>
      </c>
      <c r="X2618" s="2">
        <v>0</v>
      </c>
      <c r="Y2618" s="2" t="s">
        <v>560</v>
      </c>
      <c r="Z2618" s="2" t="s">
        <v>17476</v>
      </c>
      <c r="AA2618" s="2">
        <v>-0.50369620767252299</v>
      </c>
      <c r="AB2618" s="2">
        <v>0.30812631563303999</v>
      </c>
      <c r="AC2618" s="2">
        <v>7986.9378426579397</v>
      </c>
      <c r="AD2618" s="2">
        <v>14392.4047917812</v>
      </c>
      <c r="AE2618" s="2">
        <v>8238.1372541199307</v>
      </c>
      <c r="AF2618" s="2">
        <v>8741.8567150890703</v>
      </c>
      <c r="AG2618" s="2">
        <v>7718.3823921209196</v>
      </c>
      <c r="AH2618" s="2">
        <v>7181.8657003314502</v>
      </c>
      <c r="AI2618" s="2">
        <v>8142.3258081330096</v>
      </c>
      <c r="AJ2618" s="2">
        <v>7899.0591861532503</v>
      </c>
      <c r="AK2618" s="2">
        <v>14227.4552812276</v>
      </c>
      <c r="AL2618" s="2">
        <v>13321.361286572101</v>
      </c>
      <c r="AM2618" s="2">
        <v>15456.3972057394</v>
      </c>
      <c r="AN2618" s="2">
        <v>15458.714657504301</v>
      </c>
      <c r="AO2618" s="2">
        <v>12899.7596567399</v>
      </c>
      <c r="AP2618" s="2">
        <v>14990.7406629041</v>
      </c>
    </row>
    <row r="2619" spans="1:42" ht="14.5" x14ac:dyDescent="0.35">
      <c r="A2619" s="2" t="s">
        <v>17477</v>
      </c>
      <c r="B2619" s="2">
        <v>643.141698227181</v>
      </c>
      <c r="C2619" s="2">
        <v>10.60355</v>
      </c>
      <c r="D2619" s="2" t="s">
        <v>34</v>
      </c>
      <c r="E2619" s="2" t="s">
        <v>17478</v>
      </c>
      <c r="F2619" s="2">
        <v>30496</v>
      </c>
      <c r="G2619" s="3" t="str">
        <f>HYPERLINK("http://funmeta.oebiotech.com/network/30496", "http://funmeta.oebiotech.com/network/30496")</f>
        <v>http://funmeta.oebiotech.com/network/30496</v>
      </c>
      <c r="H2619" s="2"/>
      <c r="I2619" s="2"/>
      <c r="J2619" s="2" t="s">
        <v>17479</v>
      </c>
      <c r="K2619" s="2"/>
      <c r="L2619" s="2"/>
      <c r="M2619" s="2"/>
      <c r="N2619" s="2"/>
      <c r="O2619" s="2">
        <v>101999899</v>
      </c>
      <c r="P2619" s="2"/>
      <c r="Q2619" s="2" t="s">
        <v>17480</v>
      </c>
      <c r="R2619" s="2" t="s">
        <v>17481</v>
      </c>
      <c r="S2619" s="2" t="s">
        <v>115</v>
      </c>
      <c r="T2619" s="2" t="s">
        <v>139</v>
      </c>
      <c r="U2619" s="2" t="s">
        <v>140</v>
      </c>
      <c r="V2619" s="2" t="s">
        <v>59</v>
      </c>
      <c r="W2619" s="2">
        <v>37.9</v>
      </c>
      <c r="X2619" s="2">
        <v>0</v>
      </c>
      <c r="Y2619" s="2" t="s">
        <v>250</v>
      </c>
      <c r="Z2619" s="2" t="s">
        <v>17482</v>
      </c>
      <c r="AA2619" s="2">
        <v>-0.82786839114307897</v>
      </c>
      <c r="AB2619" s="2">
        <v>0.30793621306468599</v>
      </c>
      <c r="AC2619" s="2">
        <v>19758.992307911001</v>
      </c>
      <c r="AD2619" s="2">
        <v>30086.147237819201</v>
      </c>
      <c r="AE2619" s="2">
        <v>22762.6933555955</v>
      </c>
      <c r="AF2619" s="2">
        <v>26013.019647737699</v>
      </c>
      <c r="AG2619" s="2">
        <v>29174.183772651399</v>
      </c>
      <c r="AH2619" s="2">
        <v>13212.5621100767</v>
      </c>
      <c r="AI2619" s="2">
        <v>15905.697013641</v>
      </c>
      <c r="AJ2619" s="2">
        <v>11485.7979477635</v>
      </c>
      <c r="AK2619" s="2">
        <v>41875.196638247297</v>
      </c>
      <c r="AL2619" s="2">
        <v>34567.574512541803</v>
      </c>
      <c r="AM2619" s="2">
        <v>20813.4209056076</v>
      </c>
      <c r="AN2619" s="2">
        <v>26205.146171092299</v>
      </c>
      <c r="AO2619" s="2">
        <v>28004.222092866399</v>
      </c>
      <c r="AP2619" s="2">
        <v>29051.323106559699</v>
      </c>
    </row>
    <row r="2620" spans="1:42" ht="14.5" x14ac:dyDescent="0.35">
      <c r="A2620" s="2" t="s">
        <v>17483</v>
      </c>
      <c r="B2620" s="2">
        <v>657.32494470903396</v>
      </c>
      <c r="C2620" s="2">
        <v>9.7661333333333307</v>
      </c>
      <c r="D2620" s="2" t="s">
        <v>34</v>
      </c>
      <c r="E2620" s="2" t="s">
        <v>17484</v>
      </c>
      <c r="F2620" s="2">
        <v>27986</v>
      </c>
      <c r="G2620" s="3" t="str">
        <f>HYPERLINK("http://funmeta.oebiotech.com/network/27986", "http://funmeta.oebiotech.com/network/27986")</f>
        <v>http://funmeta.oebiotech.com/network/27986</v>
      </c>
      <c r="H2620" s="2"/>
      <c r="I2620" s="2"/>
      <c r="J2620" s="2" t="s">
        <v>17485</v>
      </c>
      <c r="K2620" s="2"/>
      <c r="L2620" s="2"/>
      <c r="M2620" s="2"/>
      <c r="N2620" s="2"/>
      <c r="O2620" s="2">
        <v>134812433</v>
      </c>
      <c r="P2620" s="2"/>
      <c r="Q2620" s="2" t="s">
        <v>17486</v>
      </c>
      <c r="R2620" s="2" t="s">
        <v>17487</v>
      </c>
      <c r="S2620" s="2" t="s">
        <v>50</v>
      </c>
      <c r="T2620" s="2" t="s">
        <v>51</v>
      </c>
      <c r="U2620" s="2" t="s">
        <v>52</v>
      </c>
      <c r="V2620" s="2" t="s">
        <v>59</v>
      </c>
      <c r="W2620" s="2">
        <v>38</v>
      </c>
      <c r="X2620" s="2">
        <v>0</v>
      </c>
      <c r="Y2620" s="2" t="s">
        <v>394</v>
      </c>
      <c r="Z2620" s="2" t="s">
        <v>17488</v>
      </c>
      <c r="AA2620" s="2">
        <v>0.57178667626479096</v>
      </c>
      <c r="AB2620" s="2">
        <v>0.307602700299965</v>
      </c>
      <c r="AC2620" s="2">
        <v>4541.7277587020299</v>
      </c>
      <c r="AD2620" s="2">
        <v>10818.3748348797</v>
      </c>
      <c r="AE2620" s="2">
        <v>4284.89254749672</v>
      </c>
      <c r="AF2620" s="2">
        <v>4258.5636254095698</v>
      </c>
      <c r="AG2620" s="2">
        <v>4741.0919385818397</v>
      </c>
      <c r="AH2620" s="2">
        <v>4654.5271766937803</v>
      </c>
      <c r="AI2620" s="2">
        <v>4819.55059022362</v>
      </c>
      <c r="AJ2620" s="2">
        <v>4491.7406738066402</v>
      </c>
      <c r="AK2620" s="2">
        <v>9907.65634503617</v>
      </c>
      <c r="AL2620" s="2">
        <v>10743.785904160801</v>
      </c>
      <c r="AM2620" s="2">
        <v>10399.413429078701</v>
      </c>
      <c r="AN2620" s="2">
        <v>11907.781189309801</v>
      </c>
      <c r="AO2620" s="2">
        <v>10512.837121879</v>
      </c>
      <c r="AP2620" s="2">
        <v>11438.7750198135</v>
      </c>
    </row>
    <row r="2621" spans="1:42" ht="14.5" x14ac:dyDescent="0.35">
      <c r="A2621" s="2" t="s">
        <v>17489</v>
      </c>
      <c r="B2621" s="2">
        <v>459.34613285128597</v>
      </c>
      <c r="C2621" s="2">
        <v>11.9917833333333</v>
      </c>
      <c r="D2621" s="2" t="s">
        <v>34</v>
      </c>
      <c r="E2621" s="2" t="s">
        <v>17490</v>
      </c>
      <c r="F2621" s="2">
        <v>266634</v>
      </c>
      <c r="G2621" s="3" t="str">
        <f>HYPERLINK("http://funmeta.oebiotech.com/network/266634", "http://funmeta.oebiotech.com/network/266634")</f>
        <v>http://funmeta.oebiotech.com/network/266634</v>
      </c>
      <c r="H2621" s="2"/>
      <c r="I2621" s="2">
        <v>43696</v>
      </c>
      <c r="J2621" s="2"/>
      <c r="K2621" s="2"/>
      <c r="L2621" s="2"/>
      <c r="M2621" s="2"/>
      <c r="N2621" s="2"/>
      <c r="O2621" s="2">
        <v>313012</v>
      </c>
      <c r="P2621" s="2" t="s">
        <v>17491</v>
      </c>
      <c r="Q2621" s="2" t="s">
        <v>17492</v>
      </c>
      <c r="R2621" s="2" t="s">
        <v>17493</v>
      </c>
      <c r="S2621" s="2" t="s">
        <v>50</v>
      </c>
      <c r="T2621" s="2" t="s">
        <v>201</v>
      </c>
      <c r="U2621" s="2" t="s">
        <v>210</v>
      </c>
      <c r="V2621" s="2" t="s">
        <v>59</v>
      </c>
      <c r="W2621" s="2">
        <v>38.1</v>
      </c>
      <c r="X2621" s="2">
        <v>0</v>
      </c>
      <c r="Y2621" s="2" t="s">
        <v>394</v>
      </c>
      <c r="Z2621" s="2" t="s">
        <v>17494</v>
      </c>
      <c r="AA2621" s="2">
        <v>-1.6440520477167699</v>
      </c>
      <c r="AB2621" s="2">
        <v>0.30744595342613501</v>
      </c>
      <c r="AC2621" s="2">
        <v>9618.8305636679797</v>
      </c>
      <c r="AD2621" s="2">
        <v>3278.0915503057099</v>
      </c>
      <c r="AE2621" s="2">
        <v>10312.959569501099</v>
      </c>
      <c r="AF2621" s="2">
        <v>10625.1265789482</v>
      </c>
      <c r="AG2621" s="2">
        <v>9181.2242061516408</v>
      </c>
      <c r="AH2621" s="2">
        <v>8406.5150673062399</v>
      </c>
      <c r="AI2621" s="2">
        <v>9030.3201202154705</v>
      </c>
      <c r="AJ2621" s="2">
        <v>10156.8378398852</v>
      </c>
      <c r="AK2621" s="2">
        <v>3042.7064700491101</v>
      </c>
      <c r="AL2621" s="2">
        <v>3319.73968061502</v>
      </c>
      <c r="AM2621" s="2">
        <v>2698.5620145155999</v>
      </c>
      <c r="AN2621" s="2">
        <v>2876.4991578289801</v>
      </c>
      <c r="AO2621" s="2">
        <v>3146.0722312335802</v>
      </c>
      <c r="AP2621" s="2">
        <v>4584.9697475919802</v>
      </c>
    </row>
    <row r="2622" spans="1:42" ht="14.5" x14ac:dyDescent="0.35">
      <c r="A2622" s="2" t="s">
        <v>17495</v>
      </c>
      <c r="B2622" s="2">
        <v>735.20274816217898</v>
      </c>
      <c r="C2622" s="2">
        <v>7.7048833333333304</v>
      </c>
      <c r="D2622" s="2" t="s">
        <v>70</v>
      </c>
      <c r="E2622" s="2" t="s">
        <v>17496</v>
      </c>
      <c r="F2622" s="2">
        <v>210111</v>
      </c>
      <c r="G2622" s="3" t="str">
        <f>HYPERLINK("http://funmeta.oebiotech.com/network/210111", "http://funmeta.oebiotech.com/network/210111")</f>
        <v>http://funmeta.oebiotech.com/network/210111</v>
      </c>
      <c r="H2622" s="2" t="s">
        <v>17497</v>
      </c>
      <c r="I2622" s="2">
        <v>1740</v>
      </c>
      <c r="J2622" s="2"/>
      <c r="K2622" s="2"/>
      <c r="L2622" s="2"/>
      <c r="M2622" s="2"/>
      <c r="N2622" s="2"/>
      <c r="O2622" s="2">
        <v>96439</v>
      </c>
      <c r="P2622" s="2" t="s">
        <v>17498</v>
      </c>
      <c r="Q2622" s="2" t="s">
        <v>17499</v>
      </c>
      <c r="R2622" s="2" t="s">
        <v>17500</v>
      </c>
      <c r="S2622" s="2" t="s">
        <v>89</v>
      </c>
      <c r="T2622" s="2" t="s">
        <v>90</v>
      </c>
      <c r="U2622" s="2" t="s">
        <v>99</v>
      </c>
      <c r="V2622" s="2" t="s">
        <v>59</v>
      </c>
      <c r="W2622" s="2">
        <v>37.700000000000003</v>
      </c>
      <c r="X2622" s="2">
        <v>0</v>
      </c>
      <c r="Y2622" s="2" t="s">
        <v>560</v>
      </c>
      <c r="Z2622" s="2" t="s">
        <v>17501</v>
      </c>
      <c r="AA2622" s="2">
        <v>2.1866871205716198</v>
      </c>
      <c r="AB2622" s="2">
        <v>0.30743717798674602</v>
      </c>
      <c r="AC2622" s="2">
        <v>11033.965170384299</v>
      </c>
      <c r="AD2622" s="2">
        <v>4554.6189582431798</v>
      </c>
      <c r="AE2622" s="2">
        <v>11426.0249449044</v>
      </c>
      <c r="AF2622" s="2">
        <v>9581.26534048949</v>
      </c>
      <c r="AG2622" s="2">
        <v>9803.3350100319694</v>
      </c>
      <c r="AH2622" s="2">
        <v>12386.7103238173</v>
      </c>
      <c r="AI2622" s="2">
        <v>11689.1202185563</v>
      </c>
      <c r="AJ2622" s="2">
        <v>11317.335184506401</v>
      </c>
      <c r="AK2622" s="2">
        <v>3482.5435571461999</v>
      </c>
      <c r="AL2622" s="2">
        <v>4398.7787496123601</v>
      </c>
      <c r="AM2622" s="2">
        <v>5692.1835076319203</v>
      </c>
      <c r="AN2622" s="2">
        <v>4118.5370086169496</v>
      </c>
      <c r="AO2622" s="2">
        <v>3866.73452869843</v>
      </c>
      <c r="AP2622" s="2">
        <v>5768.9363977532003</v>
      </c>
    </row>
    <row r="2623" spans="1:42" ht="14.5" x14ac:dyDescent="0.35">
      <c r="A2623" s="2" t="s">
        <v>17502</v>
      </c>
      <c r="B2623" s="2">
        <v>510.45136922627398</v>
      </c>
      <c r="C2623" s="2">
        <v>12.881083333333301</v>
      </c>
      <c r="D2623" s="2" t="s">
        <v>34</v>
      </c>
      <c r="E2623" s="2" t="s">
        <v>17503</v>
      </c>
      <c r="F2623" s="2">
        <v>48750</v>
      </c>
      <c r="G2623" s="3" t="str">
        <f>HYPERLINK("http://funmeta.oebiotech.com/network/48750", "http://funmeta.oebiotech.com/network/48750")</f>
        <v>http://funmeta.oebiotech.com/network/48750</v>
      </c>
      <c r="H2623" s="2" t="s">
        <v>17504</v>
      </c>
      <c r="I2623" s="2"/>
      <c r="J2623" s="2"/>
      <c r="K2623" s="2"/>
      <c r="L2623" s="2"/>
      <c r="M2623" s="2"/>
      <c r="N2623" s="2"/>
      <c r="O2623" s="2"/>
      <c r="P2623" s="2" t="s">
        <v>17505</v>
      </c>
      <c r="Q2623" s="2" t="s">
        <v>17506</v>
      </c>
      <c r="R2623" s="2" t="s">
        <v>17507</v>
      </c>
      <c r="S2623" s="2" t="s">
        <v>41</v>
      </c>
      <c r="T2623" s="2" t="s">
        <v>41</v>
      </c>
      <c r="U2623" s="2" t="s">
        <v>41</v>
      </c>
      <c r="V2623" s="2" t="s">
        <v>59</v>
      </c>
      <c r="W2623" s="2">
        <v>38.4</v>
      </c>
      <c r="X2623" s="2">
        <v>0</v>
      </c>
      <c r="Y2623" s="2" t="s">
        <v>394</v>
      </c>
      <c r="Z2623" s="2" t="s">
        <v>17508</v>
      </c>
      <c r="AA2623" s="2">
        <v>-0.62142382951471298</v>
      </c>
      <c r="AB2623" s="2">
        <v>0.30719659654826997</v>
      </c>
      <c r="AC2623" s="2">
        <v>9402.8991394537297</v>
      </c>
      <c r="AD2623" s="2">
        <v>3094.5047238203001</v>
      </c>
      <c r="AE2623" s="2">
        <v>9197.4870208882494</v>
      </c>
      <c r="AF2623" s="2">
        <v>8779.9777487900901</v>
      </c>
      <c r="AG2623" s="2">
        <v>9646.2440997451395</v>
      </c>
      <c r="AH2623" s="2">
        <v>9785.8286658527704</v>
      </c>
      <c r="AI2623" s="2">
        <v>8633.9056974813393</v>
      </c>
      <c r="AJ2623" s="2">
        <v>10373.951603964801</v>
      </c>
      <c r="AK2623" s="2">
        <v>4259.7767034154804</v>
      </c>
      <c r="AL2623" s="2">
        <v>3261.7228369867898</v>
      </c>
      <c r="AM2623" s="2">
        <v>3623.6206214231702</v>
      </c>
      <c r="AN2623" s="2">
        <v>2402.5426601473901</v>
      </c>
      <c r="AO2623" s="2">
        <v>2504.14222881046</v>
      </c>
      <c r="AP2623" s="2">
        <v>2515.2232921384898</v>
      </c>
    </row>
    <row r="2624" spans="1:42" ht="14.5" x14ac:dyDescent="0.35">
      <c r="A2624" s="2" t="s">
        <v>17509</v>
      </c>
      <c r="B2624" s="2">
        <v>363.264567828574</v>
      </c>
      <c r="C2624" s="2">
        <v>5.7384500000000003</v>
      </c>
      <c r="D2624" s="2" t="s">
        <v>34</v>
      </c>
      <c r="E2624" s="2" t="s">
        <v>17510</v>
      </c>
      <c r="F2624" s="2">
        <v>212136</v>
      </c>
      <c r="G2624" s="3" t="str">
        <f>HYPERLINK("http://funmeta.oebiotech.com/network/212136", "http://funmeta.oebiotech.com/network/212136")</f>
        <v>http://funmeta.oebiotech.com/network/212136</v>
      </c>
      <c r="H2624" s="2" t="s">
        <v>17511</v>
      </c>
      <c r="I2624" s="2"/>
      <c r="J2624" s="2"/>
      <c r="K2624" s="2"/>
      <c r="L2624" s="2"/>
      <c r="M2624" s="2"/>
      <c r="N2624" s="2"/>
      <c r="O2624" s="2">
        <v>16749</v>
      </c>
      <c r="P2624" s="2"/>
      <c r="Q2624" s="2" t="s">
        <v>17512</v>
      </c>
      <c r="R2624" s="2" t="s">
        <v>17513</v>
      </c>
      <c r="S2624" s="2" t="s">
        <v>41</v>
      </c>
      <c r="T2624" s="2" t="s">
        <v>41</v>
      </c>
      <c r="U2624" s="2" t="s">
        <v>41</v>
      </c>
      <c r="V2624" s="2" t="s">
        <v>59</v>
      </c>
      <c r="W2624" s="2">
        <v>37.4</v>
      </c>
      <c r="X2624" s="2">
        <v>0</v>
      </c>
      <c r="Y2624" s="2" t="s">
        <v>43</v>
      </c>
      <c r="Z2624" s="2" t="s">
        <v>17514</v>
      </c>
      <c r="AA2624" s="2">
        <v>1.0092996738248501</v>
      </c>
      <c r="AB2624" s="2">
        <v>0.307041634333378</v>
      </c>
      <c r="AC2624" s="2">
        <v>11667.015884587599</v>
      </c>
      <c r="AD2624" s="2">
        <v>19245.542799152001</v>
      </c>
      <c r="AE2624" s="2">
        <v>11102.024227768699</v>
      </c>
      <c r="AF2624" s="2">
        <v>8445.1249587702205</v>
      </c>
      <c r="AG2624" s="2">
        <v>8167.3714742012899</v>
      </c>
      <c r="AH2624" s="2">
        <v>16812.627364380001</v>
      </c>
      <c r="AI2624" s="2">
        <v>12879.116471634799</v>
      </c>
      <c r="AJ2624" s="2">
        <v>12595.8308107704</v>
      </c>
      <c r="AK2624" s="2">
        <v>21985.5026717361</v>
      </c>
      <c r="AL2624" s="2">
        <v>19957.8180317351</v>
      </c>
      <c r="AM2624" s="2">
        <v>21645.726129282699</v>
      </c>
      <c r="AN2624" s="2">
        <v>20131.963378939199</v>
      </c>
      <c r="AO2624" s="2">
        <v>16306.5084485965</v>
      </c>
      <c r="AP2624" s="2">
        <v>15445.738134622099</v>
      </c>
    </row>
    <row r="2625" spans="1:42" ht="14.5" x14ac:dyDescent="0.35">
      <c r="A2625" s="2" t="s">
        <v>17515</v>
      </c>
      <c r="B2625" s="2">
        <v>531.24445083331398</v>
      </c>
      <c r="C2625" s="2">
        <v>6.8957833333333296</v>
      </c>
      <c r="D2625" s="2" t="s">
        <v>70</v>
      </c>
      <c r="E2625" s="2" t="s">
        <v>17516</v>
      </c>
      <c r="F2625" s="2">
        <v>204788</v>
      </c>
      <c r="G2625" s="3" t="str">
        <f>HYPERLINK("http://funmeta.oebiotech.com/network/204788", "http://funmeta.oebiotech.com/network/204788")</f>
        <v>http://funmeta.oebiotech.com/network/204788</v>
      </c>
      <c r="H2625" s="2" t="s">
        <v>17517</v>
      </c>
      <c r="I2625" s="2"/>
      <c r="J2625" s="2"/>
      <c r="K2625" s="2"/>
      <c r="L2625" s="2"/>
      <c r="M2625" s="2"/>
      <c r="N2625" s="2"/>
      <c r="O2625" s="2">
        <v>22480423</v>
      </c>
      <c r="P2625" s="2"/>
      <c r="Q2625" s="2" t="s">
        <v>17518</v>
      </c>
      <c r="R2625" s="2" t="s">
        <v>17519</v>
      </c>
      <c r="S2625" s="2" t="s">
        <v>41</v>
      </c>
      <c r="T2625" s="2" t="s">
        <v>41</v>
      </c>
      <c r="U2625" s="2" t="s">
        <v>41</v>
      </c>
      <c r="V2625" s="2" t="s">
        <v>59</v>
      </c>
      <c r="W2625" s="2">
        <v>43.5</v>
      </c>
      <c r="X2625" s="2">
        <v>26.8</v>
      </c>
      <c r="Y2625" s="2" t="s">
        <v>408</v>
      </c>
      <c r="Z2625" s="2" t="s">
        <v>17520</v>
      </c>
      <c r="AA2625" s="2">
        <v>-0.46815240420660997</v>
      </c>
      <c r="AB2625" s="2">
        <v>0.30697534673583099</v>
      </c>
      <c r="AC2625" s="2">
        <v>12016.9751485877</v>
      </c>
      <c r="AD2625" s="2">
        <v>5715.1860605575703</v>
      </c>
      <c r="AE2625" s="2">
        <v>12025.2959644369</v>
      </c>
      <c r="AF2625" s="2">
        <v>11206.1619485669</v>
      </c>
      <c r="AG2625" s="2">
        <v>12161.012146811399</v>
      </c>
      <c r="AH2625" s="2">
        <v>11340.774422487801</v>
      </c>
      <c r="AI2625" s="2">
        <v>12596.149519341699</v>
      </c>
      <c r="AJ2625" s="2">
        <v>12772.4568898813</v>
      </c>
      <c r="AK2625" s="2">
        <v>6469.5361249298503</v>
      </c>
      <c r="AL2625" s="2">
        <v>6116.0908166313202</v>
      </c>
      <c r="AM2625" s="2">
        <v>5985.41678026516</v>
      </c>
      <c r="AN2625" s="2">
        <v>5695.0673850695403</v>
      </c>
      <c r="AO2625" s="2">
        <v>4473.5969631185199</v>
      </c>
      <c r="AP2625" s="2">
        <v>5551.4082933310301</v>
      </c>
    </row>
    <row r="2626" spans="1:42" ht="14.5" x14ac:dyDescent="0.35">
      <c r="A2626" s="2" t="s">
        <v>17521</v>
      </c>
      <c r="B2626" s="2">
        <v>1094.5096515074399</v>
      </c>
      <c r="C2626" s="2">
        <v>6.1053333333333297</v>
      </c>
      <c r="D2626" s="2" t="s">
        <v>70</v>
      </c>
      <c r="E2626" s="2" t="s">
        <v>17522</v>
      </c>
      <c r="F2626" s="2">
        <v>135653</v>
      </c>
      <c r="G2626" s="3" t="str">
        <f>HYPERLINK("http://funmeta.oebiotech.com/network/135653", "http://funmeta.oebiotech.com/network/135653")</f>
        <v>http://funmeta.oebiotech.com/network/135653</v>
      </c>
      <c r="H2626" s="2" t="s">
        <v>17523</v>
      </c>
      <c r="I2626" s="2"/>
      <c r="J2626" s="2"/>
      <c r="K2626" s="2"/>
      <c r="L2626" s="2"/>
      <c r="M2626" s="2"/>
      <c r="N2626" s="2"/>
      <c r="O2626" s="2">
        <v>131822632</v>
      </c>
      <c r="P2626" s="2"/>
      <c r="Q2626" s="2" t="s">
        <v>17524</v>
      </c>
      <c r="R2626" s="2" t="s">
        <v>17525</v>
      </c>
      <c r="S2626" s="2" t="s">
        <v>50</v>
      </c>
      <c r="T2626" s="2" t="s">
        <v>51</v>
      </c>
      <c r="U2626" s="2" t="s">
        <v>12285</v>
      </c>
      <c r="V2626" s="2" t="s">
        <v>59</v>
      </c>
      <c r="W2626" s="2">
        <v>38.1</v>
      </c>
      <c r="X2626" s="2">
        <v>0</v>
      </c>
      <c r="Y2626" s="2" t="s">
        <v>408</v>
      </c>
      <c r="Z2626" s="2" t="s">
        <v>17526</v>
      </c>
      <c r="AA2626" s="2">
        <v>-2.7093752347314801</v>
      </c>
      <c r="AB2626" s="2">
        <v>0.30684889979824698</v>
      </c>
      <c r="AC2626" s="2">
        <v>6852.7177264433403</v>
      </c>
      <c r="AD2626" s="2">
        <v>232.83928934617501</v>
      </c>
      <c r="AE2626" s="2">
        <v>9400.4081677072099</v>
      </c>
      <c r="AF2626" s="2">
        <v>8327.3146697025895</v>
      </c>
      <c r="AG2626" s="2">
        <v>7493.9523735944704</v>
      </c>
      <c r="AH2626" s="2">
        <v>5245.5358529893401</v>
      </c>
      <c r="AI2626" s="2">
        <v>3924.1248575999098</v>
      </c>
      <c r="AJ2626" s="2">
        <v>6724.9704370665204</v>
      </c>
      <c r="AK2626" s="2">
        <v>1397.0356005455801</v>
      </c>
      <c r="AL2626" s="2">
        <v>2.7106294003980101E-5</v>
      </c>
      <c r="AM2626" s="2">
        <v>2.7106294003980101E-5</v>
      </c>
      <c r="AN2626" s="2">
        <v>2.7106294003980101E-5</v>
      </c>
      <c r="AO2626" s="2">
        <v>2.7106294003980101E-5</v>
      </c>
      <c r="AP2626" s="2">
        <v>2.7106294003980101E-5</v>
      </c>
    </row>
    <row r="2627" spans="1:42" ht="14.5" x14ac:dyDescent="0.35">
      <c r="A2627" s="2" t="s">
        <v>17527</v>
      </c>
      <c r="B2627" s="2">
        <v>829.36391163205099</v>
      </c>
      <c r="C2627" s="2">
        <v>4.84418333333333</v>
      </c>
      <c r="D2627" s="2" t="s">
        <v>70</v>
      </c>
      <c r="E2627" s="2" t="s">
        <v>17528</v>
      </c>
      <c r="F2627" s="2">
        <v>36226</v>
      </c>
      <c r="G2627" s="3" t="str">
        <f>HYPERLINK("http://funmeta.oebiotech.com/network/36226", "http://funmeta.oebiotech.com/network/36226")</f>
        <v>http://funmeta.oebiotech.com/network/36226</v>
      </c>
      <c r="H2627" s="2"/>
      <c r="I2627" s="2"/>
      <c r="J2627" s="2" t="s">
        <v>17529</v>
      </c>
      <c r="K2627" s="2"/>
      <c r="L2627" s="2"/>
      <c r="M2627" s="2"/>
      <c r="N2627" s="2"/>
      <c r="O2627" s="2">
        <v>102204796</v>
      </c>
      <c r="P2627" s="2"/>
      <c r="Q2627" s="2" t="s">
        <v>17530</v>
      </c>
      <c r="R2627" s="2" t="s">
        <v>17531</v>
      </c>
      <c r="S2627" s="2" t="s">
        <v>50</v>
      </c>
      <c r="T2627" s="2" t="s">
        <v>201</v>
      </c>
      <c r="U2627" s="2" t="s">
        <v>210</v>
      </c>
      <c r="V2627" s="2" t="s">
        <v>59</v>
      </c>
      <c r="W2627" s="2">
        <v>38.1</v>
      </c>
      <c r="X2627" s="2">
        <v>0</v>
      </c>
      <c r="Y2627" s="2" t="s">
        <v>408</v>
      </c>
      <c r="Z2627" s="2" t="s">
        <v>17532</v>
      </c>
      <c r="AA2627" s="2">
        <v>-1.6544649356516401</v>
      </c>
      <c r="AB2627" s="2">
        <v>0.30682782985910001</v>
      </c>
      <c r="AC2627" s="2">
        <v>15698.170080866499</v>
      </c>
      <c r="AD2627" s="2">
        <v>6163.6442842448696</v>
      </c>
      <c r="AE2627" s="2">
        <v>20385.922636856001</v>
      </c>
      <c r="AF2627" s="2">
        <v>22080.9226457277</v>
      </c>
      <c r="AG2627" s="2">
        <v>13311.887411481201</v>
      </c>
      <c r="AH2627" s="2">
        <v>25763.450999047898</v>
      </c>
      <c r="AI2627" s="2">
        <v>7077.3300028514104</v>
      </c>
      <c r="AJ2627" s="2">
        <v>5569.5067892345996</v>
      </c>
      <c r="AK2627" s="2">
        <v>1921.74909435417</v>
      </c>
      <c r="AL2627" s="2">
        <v>8659.6051725941197</v>
      </c>
      <c r="AM2627" s="2">
        <v>2891.5178067058901</v>
      </c>
      <c r="AN2627" s="2">
        <v>9071.5252883246794</v>
      </c>
      <c r="AO2627" s="2">
        <v>6318.8964810391099</v>
      </c>
      <c r="AP2627" s="2">
        <v>8118.5718624512201</v>
      </c>
    </row>
    <row r="2628" spans="1:42" ht="14.5" x14ac:dyDescent="0.35">
      <c r="A2628" s="2" t="s">
        <v>17533</v>
      </c>
      <c r="B2628" s="2">
        <v>889.44640797453098</v>
      </c>
      <c r="C2628" s="2">
        <v>8.2317499999999999</v>
      </c>
      <c r="D2628" s="2" t="s">
        <v>34</v>
      </c>
      <c r="E2628" s="2" t="s">
        <v>17534</v>
      </c>
      <c r="F2628" s="2">
        <v>228123</v>
      </c>
      <c r="G2628" s="3" t="str">
        <f>HYPERLINK("http://funmeta.oebiotech.com/network/228123", "http://funmeta.oebiotech.com/network/228123")</f>
        <v>http://funmeta.oebiotech.com/network/228123</v>
      </c>
      <c r="H2628" s="2" t="s">
        <v>17535</v>
      </c>
      <c r="I2628" s="2"/>
      <c r="J2628" s="2"/>
      <c r="K2628" s="2"/>
      <c r="L2628" s="2"/>
      <c r="M2628" s="2"/>
      <c r="N2628" s="2"/>
      <c r="O2628" s="2"/>
      <c r="P2628" s="2"/>
      <c r="Q2628" s="2" t="s">
        <v>17536</v>
      </c>
      <c r="R2628" s="2" t="s">
        <v>17537</v>
      </c>
      <c r="S2628" s="2" t="s">
        <v>41</v>
      </c>
      <c r="T2628" s="2" t="s">
        <v>41</v>
      </c>
      <c r="U2628" s="2" t="s">
        <v>41</v>
      </c>
      <c r="V2628" s="2" t="s">
        <v>59</v>
      </c>
      <c r="W2628" s="2">
        <v>38.299999999999997</v>
      </c>
      <c r="X2628" s="2">
        <v>0</v>
      </c>
      <c r="Y2628" s="2" t="s">
        <v>67</v>
      </c>
      <c r="Z2628" s="2" t="s">
        <v>17538</v>
      </c>
      <c r="AA2628" s="2">
        <v>-1.1172651276250201</v>
      </c>
      <c r="AB2628" s="2">
        <v>0.306772146922485</v>
      </c>
      <c r="AC2628" s="2">
        <v>10177.4094518655</v>
      </c>
      <c r="AD2628" s="2">
        <v>17340.347141767299</v>
      </c>
      <c r="AE2628" s="2">
        <v>9288.4882305548999</v>
      </c>
      <c r="AF2628" s="2">
        <v>10901.7700403873</v>
      </c>
      <c r="AG2628" s="2">
        <v>11167.0864055411</v>
      </c>
      <c r="AH2628" s="2">
        <v>9160.3304634466895</v>
      </c>
      <c r="AI2628" s="2">
        <v>14618.846909607601</v>
      </c>
      <c r="AJ2628" s="2">
        <v>5927.9346616551802</v>
      </c>
      <c r="AK2628" s="2">
        <v>15130.0736912007</v>
      </c>
      <c r="AL2628" s="2">
        <v>19936.159938423501</v>
      </c>
      <c r="AM2628" s="2">
        <v>18291.205769346601</v>
      </c>
      <c r="AN2628" s="2">
        <v>16062.1993566445</v>
      </c>
      <c r="AO2628" s="2">
        <v>17589.244880370599</v>
      </c>
      <c r="AP2628" s="2">
        <v>17033.199214617602</v>
      </c>
    </row>
    <row r="2629" spans="1:42" ht="14.5" x14ac:dyDescent="0.35">
      <c r="A2629" s="2" t="s">
        <v>17539</v>
      </c>
      <c r="B2629" s="2">
        <v>493.11032073121697</v>
      </c>
      <c r="C2629" s="2">
        <v>5.0778999999999996</v>
      </c>
      <c r="D2629" s="2" t="s">
        <v>70</v>
      </c>
      <c r="E2629" s="2" t="s">
        <v>17540</v>
      </c>
      <c r="F2629" s="2">
        <v>207562</v>
      </c>
      <c r="G2629" s="3" t="str">
        <f>HYPERLINK("http://funmeta.oebiotech.com/network/207562", "http://funmeta.oebiotech.com/network/207562")</f>
        <v>http://funmeta.oebiotech.com/network/207562</v>
      </c>
      <c r="H2629" s="2" t="s">
        <v>17541</v>
      </c>
      <c r="I2629" s="2"/>
      <c r="J2629" s="2"/>
      <c r="K2629" s="2"/>
      <c r="L2629" s="2"/>
      <c r="M2629" s="2"/>
      <c r="N2629" s="2"/>
      <c r="O2629" s="2">
        <v>511335</v>
      </c>
      <c r="P2629" s="2"/>
      <c r="Q2629" s="2" t="s">
        <v>17542</v>
      </c>
      <c r="R2629" s="2" t="s">
        <v>17543</v>
      </c>
      <c r="S2629" s="2" t="s">
        <v>41</v>
      </c>
      <c r="T2629" s="2" t="s">
        <v>41</v>
      </c>
      <c r="U2629" s="2" t="s">
        <v>41</v>
      </c>
      <c r="V2629" s="2" t="s">
        <v>59</v>
      </c>
      <c r="W2629" s="2">
        <v>38.5</v>
      </c>
      <c r="X2629" s="2">
        <v>0</v>
      </c>
      <c r="Y2629" s="2" t="s">
        <v>560</v>
      </c>
      <c r="Z2629" s="2" t="s">
        <v>17544</v>
      </c>
      <c r="AA2629" s="2">
        <v>-2.0529470032458099</v>
      </c>
      <c r="AB2629" s="2">
        <v>0.30660346570682101</v>
      </c>
      <c r="AC2629" s="2">
        <v>387.29980216109499</v>
      </c>
      <c r="AD2629" s="2">
        <v>6661.5821170591998</v>
      </c>
      <c r="AE2629" s="2">
        <v>276.65497171155602</v>
      </c>
      <c r="AF2629" s="2">
        <v>749.81985601294105</v>
      </c>
      <c r="AG2629" s="2">
        <v>127.580867603051</v>
      </c>
      <c r="AH2629" s="2">
        <v>14.546052674072</v>
      </c>
      <c r="AI2629" s="2">
        <v>72.175815328617304</v>
      </c>
      <c r="AJ2629" s="2">
        <v>1083.0212496363299</v>
      </c>
      <c r="AK2629" s="2">
        <v>5274.5627347854997</v>
      </c>
      <c r="AL2629" s="2">
        <v>6883.8719728164297</v>
      </c>
      <c r="AM2629" s="2">
        <v>6701.1575447329596</v>
      </c>
      <c r="AN2629" s="2">
        <v>7791.3927596945196</v>
      </c>
      <c r="AO2629" s="2">
        <v>6726.5214931773698</v>
      </c>
      <c r="AP2629" s="2">
        <v>6591.9861971484397</v>
      </c>
    </row>
    <row r="2630" spans="1:42" ht="14.5" x14ac:dyDescent="0.35">
      <c r="A2630" s="2" t="s">
        <v>17545</v>
      </c>
      <c r="B2630" s="2">
        <v>219.13784059055499</v>
      </c>
      <c r="C2630" s="2">
        <v>4.8662333333333301</v>
      </c>
      <c r="D2630" s="2" t="s">
        <v>34</v>
      </c>
      <c r="E2630" s="2" t="s">
        <v>17546</v>
      </c>
      <c r="F2630" s="2">
        <v>55506</v>
      </c>
      <c r="G2630" s="3" t="str">
        <f>HYPERLINK("http://funmeta.oebiotech.com/network/55506", "http://funmeta.oebiotech.com/network/55506")</f>
        <v>http://funmeta.oebiotech.com/network/55506</v>
      </c>
      <c r="H2630" s="2" t="s">
        <v>17547</v>
      </c>
      <c r="I2630" s="2">
        <v>87179</v>
      </c>
      <c r="J2630" s="2"/>
      <c r="K2630" s="2"/>
      <c r="L2630" s="2"/>
      <c r="M2630" s="2"/>
      <c r="N2630" s="2"/>
      <c r="O2630" s="2">
        <v>5320780</v>
      </c>
      <c r="P2630" s="2" t="s">
        <v>17548</v>
      </c>
      <c r="Q2630" s="2" t="s">
        <v>17549</v>
      </c>
      <c r="R2630" s="2" t="s">
        <v>17550</v>
      </c>
      <c r="S2630" s="2" t="s">
        <v>148</v>
      </c>
      <c r="T2630" s="2" t="s">
        <v>5205</v>
      </c>
      <c r="U2630" s="2" t="s">
        <v>17551</v>
      </c>
      <c r="V2630" s="2" t="s">
        <v>59</v>
      </c>
      <c r="W2630" s="2">
        <v>39.1</v>
      </c>
      <c r="X2630" s="2">
        <v>0</v>
      </c>
      <c r="Y2630" s="2" t="s">
        <v>266</v>
      </c>
      <c r="Z2630" s="2" t="s">
        <v>17552</v>
      </c>
      <c r="AA2630" s="2">
        <v>-0.53022263936506298</v>
      </c>
      <c r="AB2630" s="2">
        <v>0.30646835243120901</v>
      </c>
      <c r="AC2630" s="2">
        <v>32702.286468759201</v>
      </c>
      <c r="AD2630" s="2">
        <v>39473.346438951397</v>
      </c>
      <c r="AE2630" s="2">
        <v>33891.967358676498</v>
      </c>
      <c r="AF2630" s="2">
        <v>36407.799027871399</v>
      </c>
      <c r="AG2630" s="2">
        <v>31491.951741078599</v>
      </c>
      <c r="AH2630" s="2">
        <v>31324.062346283601</v>
      </c>
      <c r="AI2630" s="2">
        <v>31516.234690925801</v>
      </c>
      <c r="AJ2630" s="2">
        <v>31581.7036477193</v>
      </c>
      <c r="AK2630" s="2">
        <v>38890.671772175498</v>
      </c>
      <c r="AL2630" s="2">
        <v>39923.975905653802</v>
      </c>
      <c r="AM2630" s="2">
        <v>40423.396597450097</v>
      </c>
      <c r="AN2630" s="2">
        <v>40971.946277055104</v>
      </c>
      <c r="AO2630" s="2">
        <v>38465.633388329603</v>
      </c>
      <c r="AP2630" s="2">
        <v>38164.454693044303</v>
      </c>
    </row>
    <row r="2631" spans="1:42" ht="14.5" x14ac:dyDescent="0.35">
      <c r="A2631" s="2" t="s">
        <v>17553</v>
      </c>
      <c r="B2631" s="2">
        <v>459.23739384168601</v>
      </c>
      <c r="C2631" s="2">
        <v>10.6223333333333</v>
      </c>
      <c r="D2631" s="2" t="s">
        <v>34</v>
      </c>
      <c r="E2631" s="2" t="s">
        <v>17554</v>
      </c>
      <c r="F2631" s="2">
        <v>266639</v>
      </c>
      <c r="G2631" s="3" t="str">
        <f>HYPERLINK("http://funmeta.oebiotech.com/network/266639", "http://funmeta.oebiotech.com/network/266639")</f>
        <v>http://funmeta.oebiotech.com/network/266639</v>
      </c>
      <c r="H2631" s="2"/>
      <c r="I2631" s="2">
        <v>43704</v>
      </c>
      <c r="J2631" s="2"/>
      <c r="K2631" s="2"/>
      <c r="L2631" s="2"/>
      <c r="M2631" s="2"/>
      <c r="N2631" s="2"/>
      <c r="O2631" s="2">
        <v>6708618</v>
      </c>
      <c r="P2631" s="2"/>
      <c r="Q2631" s="2" t="s">
        <v>17555</v>
      </c>
      <c r="R2631" s="2" t="s">
        <v>17556</v>
      </c>
      <c r="S2631" s="2" t="s">
        <v>491</v>
      </c>
      <c r="T2631" s="2" t="s">
        <v>1341</v>
      </c>
      <c r="U2631" s="2" t="s">
        <v>41</v>
      </c>
      <c r="V2631" s="2" t="s">
        <v>59</v>
      </c>
      <c r="W2631" s="2">
        <v>37.200000000000003</v>
      </c>
      <c r="X2631" s="2">
        <v>0</v>
      </c>
      <c r="Y2631" s="2" t="s">
        <v>266</v>
      </c>
      <c r="Z2631" s="2" t="s">
        <v>4024</v>
      </c>
      <c r="AA2631" s="2">
        <v>-0.73329393967428602</v>
      </c>
      <c r="AB2631" s="2">
        <v>0.30646458804728899</v>
      </c>
      <c r="AC2631" s="2">
        <v>10213.178893115801</v>
      </c>
      <c r="AD2631" s="2">
        <v>3960.0909599041001</v>
      </c>
      <c r="AE2631" s="2">
        <v>10038.6865162332</v>
      </c>
      <c r="AF2631" s="2">
        <v>9258.0829540402301</v>
      </c>
      <c r="AG2631" s="2">
        <v>11129.509434036399</v>
      </c>
      <c r="AH2631" s="2">
        <v>10648.030403609901</v>
      </c>
      <c r="AI2631" s="2">
        <v>9513.3121981522709</v>
      </c>
      <c r="AJ2631" s="2">
        <v>10691.4518526227</v>
      </c>
      <c r="AK2631" s="2">
        <v>3574.8114452988598</v>
      </c>
      <c r="AL2631" s="2">
        <v>3761.7650549955401</v>
      </c>
      <c r="AM2631" s="2">
        <v>3862.6014780461101</v>
      </c>
      <c r="AN2631" s="2">
        <v>4231.7679274271504</v>
      </c>
      <c r="AO2631" s="2">
        <v>3584.373401583</v>
      </c>
      <c r="AP2631" s="2">
        <v>4745.22645207394</v>
      </c>
    </row>
    <row r="2632" spans="1:42" ht="14.5" x14ac:dyDescent="0.35">
      <c r="A2632" s="2" t="s">
        <v>17557</v>
      </c>
      <c r="B2632" s="2">
        <v>489.22668723067699</v>
      </c>
      <c r="C2632" s="2">
        <v>11.3852666666667</v>
      </c>
      <c r="D2632" s="2" t="s">
        <v>34</v>
      </c>
      <c r="E2632" s="2" t="s">
        <v>17558</v>
      </c>
      <c r="F2632" s="2">
        <v>55407</v>
      </c>
      <c r="G2632" s="3" t="str">
        <f>HYPERLINK("http://funmeta.oebiotech.com/network/55407", "http://funmeta.oebiotech.com/network/55407")</f>
        <v>http://funmeta.oebiotech.com/network/55407</v>
      </c>
      <c r="H2632" s="2" t="s">
        <v>17559</v>
      </c>
      <c r="I2632" s="2"/>
      <c r="J2632" s="2"/>
      <c r="K2632" s="2"/>
      <c r="L2632" s="2"/>
      <c r="M2632" s="2"/>
      <c r="N2632" s="2"/>
      <c r="O2632" s="2">
        <v>131751060</v>
      </c>
      <c r="P2632" s="2" t="s">
        <v>17560</v>
      </c>
      <c r="Q2632" s="2" t="s">
        <v>17561</v>
      </c>
      <c r="R2632" s="2" t="s">
        <v>17562</v>
      </c>
      <c r="S2632" s="2" t="s">
        <v>115</v>
      </c>
      <c r="T2632" s="2" t="s">
        <v>139</v>
      </c>
      <c r="U2632" s="2" t="s">
        <v>1806</v>
      </c>
      <c r="V2632" s="2" t="s">
        <v>59</v>
      </c>
      <c r="W2632" s="2">
        <v>38.299999999999997</v>
      </c>
      <c r="X2632" s="2">
        <v>0</v>
      </c>
      <c r="Y2632" s="2" t="s">
        <v>394</v>
      </c>
      <c r="Z2632" s="2" t="s">
        <v>17563</v>
      </c>
      <c r="AA2632" s="2">
        <v>-0.97895422451820302</v>
      </c>
      <c r="AB2632" s="2">
        <v>0.30633355420531999</v>
      </c>
      <c r="AC2632" s="2">
        <v>15292.6048876438</v>
      </c>
      <c r="AD2632" s="2">
        <v>21941.221472318299</v>
      </c>
      <c r="AE2632" s="2">
        <v>16524.1268398598</v>
      </c>
      <c r="AF2632" s="2">
        <v>13417.1313326952</v>
      </c>
      <c r="AG2632" s="2">
        <v>15776.7850502521</v>
      </c>
      <c r="AH2632" s="2">
        <v>14269.8198333741</v>
      </c>
      <c r="AI2632" s="2">
        <v>16544.397673607298</v>
      </c>
      <c r="AJ2632" s="2">
        <v>15223.3685960742</v>
      </c>
      <c r="AK2632" s="2">
        <v>20703.599889085999</v>
      </c>
      <c r="AL2632" s="2">
        <v>21841.793714181498</v>
      </c>
      <c r="AM2632" s="2">
        <v>19994.706162359998</v>
      </c>
      <c r="AN2632" s="2">
        <v>25116.394797326699</v>
      </c>
      <c r="AO2632" s="2">
        <v>22139.004599243999</v>
      </c>
      <c r="AP2632" s="2">
        <v>21851.829671711399</v>
      </c>
    </row>
    <row r="2633" spans="1:42" ht="14.5" x14ac:dyDescent="0.35">
      <c r="A2633" s="2" t="s">
        <v>17564</v>
      </c>
      <c r="B2633" s="2">
        <v>197.01951194948001</v>
      </c>
      <c r="C2633" s="2">
        <v>7.3370666666666704</v>
      </c>
      <c r="D2633" s="2" t="s">
        <v>70</v>
      </c>
      <c r="E2633" s="2" t="s">
        <v>17565</v>
      </c>
      <c r="F2633" s="2">
        <v>200660</v>
      </c>
      <c r="G2633" s="3" t="str">
        <f>HYPERLINK("http://funmeta.oebiotech.com/network/200660", "http://funmeta.oebiotech.com/network/200660")</f>
        <v>http://funmeta.oebiotech.com/network/200660</v>
      </c>
      <c r="H2633" s="2" t="s">
        <v>17566</v>
      </c>
      <c r="I2633" s="2">
        <v>72439</v>
      </c>
      <c r="J2633" s="2"/>
      <c r="K2633" s="2">
        <v>39349</v>
      </c>
      <c r="L2633" s="2" t="s">
        <v>17567</v>
      </c>
      <c r="M2633" s="2"/>
      <c r="N2633" s="2"/>
      <c r="O2633" s="2">
        <v>10800</v>
      </c>
      <c r="P2633" s="2" t="s">
        <v>17568</v>
      </c>
      <c r="Q2633" s="2" t="s">
        <v>17569</v>
      </c>
      <c r="R2633" s="2" t="s">
        <v>17570</v>
      </c>
      <c r="S2633" s="2" t="s">
        <v>148</v>
      </c>
      <c r="T2633" s="2" t="s">
        <v>392</v>
      </c>
      <c r="U2633" s="2" t="s">
        <v>1177</v>
      </c>
      <c r="V2633" s="2" t="s">
        <v>59</v>
      </c>
      <c r="W2633" s="2">
        <v>41.8</v>
      </c>
      <c r="X2633" s="2">
        <v>17</v>
      </c>
      <c r="Y2633" s="2" t="s">
        <v>118</v>
      </c>
      <c r="Z2633" s="2" t="s">
        <v>17571</v>
      </c>
      <c r="AA2633" s="2">
        <v>-4.4585604341521297</v>
      </c>
      <c r="AB2633" s="2">
        <v>0.306323745818119</v>
      </c>
      <c r="AC2633" s="2">
        <v>4355.8394244393603</v>
      </c>
      <c r="AD2633" s="2">
        <v>10587.112991629599</v>
      </c>
      <c r="AE2633" s="2">
        <v>4100.7319152902701</v>
      </c>
      <c r="AF2633" s="2">
        <v>4469.4116116999903</v>
      </c>
      <c r="AG2633" s="2">
        <v>3964.1088662908101</v>
      </c>
      <c r="AH2633" s="2">
        <v>4563.7426367035696</v>
      </c>
      <c r="AI2633" s="2">
        <v>4688.0678578754196</v>
      </c>
      <c r="AJ2633" s="2">
        <v>4348.9736587760799</v>
      </c>
      <c r="AK2633" s="2">
        <v>11427.6485842646</v>
      </c>
      <c r="AL2633" s="2">
        <v>10880.4758052609</v>
      </c>
      <c r="AM2633" s="2">
        <v>11262.529274311501</v>
      </c>
      <c r="AN2633" s="2">
        <v>10032.2083868353</v>
      </c>
      <c r="AO2633" s="2">
        <v>9688.2483314965593</v>
      </c>
      <c r="AP2633" s="2">
        <v>10231.567567609</v>
      </c>
    </row>
    <row r="2634" spans="1:42" ht="14.5" x14ac:dyDescent="0.35">
      <c r="A2634" s="2" t="s">
        <v>17572</v>
      </c>
      <c r="B2634" s="2">
        <v>179.05495550938801</v>
      </c>
      <c r="C2634" s="2">
        <v>0.78071666666666695</v>
      </c>
      <c r="D2634" s="2" t="s">
        <v>34</v>
      </c>
      <c r="E2634" s="2" t="s">
        <v>17573</v>
      </c>
      <c r="F2634" s="2">
        <v>46897</v>
      </c>
      <c r="G2634" s="3" t="str">
        <f>HYPERLINK("http://funmeta.oebiotech.com/network/46897", "http://funmeta.oebiotech.com/network/46897")</f>
        <v>http://funmeta.oebiotech.com/network/46897</v>
      </c>
      <c r="H2634" s="2" t="s">
        <v>17574</v>
      </c>
      <c r="I2634" s="2">
        <v>353</v>
      </c>
      <c r="J2634" s="2"/>
      <c r="K2634" s="2">
        <v>16217</v>
      </c>
      <c r="L2634" s="2" t="s">
        <v>17575</v>
      </c>
      <c r="M2634" s="2" t="s">
        <v>358</v>
      </c>
      <c r="N2634" s="2" t="s">
        <v>359</v>
      </c>
      <c r="O2634" s="2">
        <v>7027</v>
      </c>
      <c r="P2634" s="2" t="s">
        <v>17576</v>
      </c>
      <c r="Q2634" s="2" t="s">
        <v>17577</v>
      </c>
      <c r="R2634" s="2" t="s">
        <v>17578</v>
      </c>
      <c r="S2634" s="2" t="s">
        <v>79</v>
      </c>
      <c r="T2634" s="2" t="s">
        <v>80</v>
      </c>
      <c r="U2634" s="2" t="s">
        <v>81</v>
      </c>
      <c r="V2634" s="2" t="s">
        <v>59</v>
      </c>
      <c r="W2634" s="2">
        <v>46.4</v>
      </c>
      <c r="X2634" s="2">
        <v>39.299999999999997</v>
      </c>
      <c r="Y2634" s="2" t="s">
        <v>266</v>
      </c>
      <c r="Z2634" s="2" t="s">
        <v>2752</v>
      </c>
      <c r="AA2634" s="2">
        <v>-0.33115092092019799</v>
      </c>
      <c r="AB2634" s="2">
        <v>0.30620603144137598</v>
      </c>
      <c r="AC2634" s="2">
        <v>17085.701114359501</v>
      </c>
      <c r="AD2634" s="2">
        <v>10746.419193693901</v>
      </c>
      <c r="AE2634" s="2">
        <v>18494.420608508699</v>
      </c>
      <c r="AF2634" s="2">
        <v>16380.6569769619</v>
      </c>
      <c r="AG2634" s="2">
        <v>17450.025449664099</v>
      </c>
      <c r="AH2634" s="2">
        <v>16643.515830342199</v>
      </c>
      <c r="AI2634" s="2">
        <v>16811.487646337398</v>
      </c>
      <c r="AJ2634" s="2">
        <v>16734.100174342901</v>
      </c>
      <c r="AK2634" s="2">
        <v>9965.1686483468402</v>
      </c>
      <c r="AL2634" s="2">
        <v>11738.3319763258</v>
      </c>
      <c r="AM2634" s="2">
        <v>10542.4662049411</v>
      </c>
      <c r="AN2634" s="2">
        <v>12028.6730772808</v>
      </c>
      <c r="AO2634" s="2">
        <v>9596.1702735912004</v>
      </c>
      <c r="AP2634" s="2">
        <v>10607.7049816777</v>
      </c>
    </row>
    <row r="2635" spans="1:42" ht="14.5" x14ac:dyDescent="0.35">
      <c r="A2635" s="2" t="s">
        <v>17579</v>
      </c>
      <c r="B2635" s="2">
        <v>527.31422535129605</v>
      </c>
      <c r="C2635" s="2">
        <v>7.6856999999999998</v>
      </c>
      <c r="D2635" s="2" t="s">
        <v>70</v>
      </c>
      <c r="E2635" s="2" t="s">
        <v>17580</v>
      </c>
      <c r="F2635" s="2">
        <v>203488</v>
      </c>
      <c r="G2635" s="3" t="str">
        <f>HYPERLINK("http://funmeta.oebiotech.com/network/203488", "http://funmeta.oebiotech.com/network/203488")</f>
        <v>http://funmeta.oebiotech.com/network/203488</v>
      </c>
      <c r="H2635" s="2" t="s">
        <v>17581</v>
      </c>
      <c r="I2635" s="2"/>
      <c r="J2635" s="2"/>
      <c r="K2635" s="2"/>
      <c r="L2635" s="2"/>
      <c r="M2635" s="2"/>
      <c r="N2635" s="2"/>
      <c r="O2635" s="2">
        <v>18518455</v>
      </c>
      <c r="P2635" s="2"/>
      <c r="Q2635" s="2" t="s">
        <v>17582</v>
      </c>
      <c r="R2635" s="2" t="s">
        <v>17583</v>
      </c>
      <c r="S2635" s="2" t="s">
        <v>89</v>
      </c>
      <c r="T2635" s="2" t="s">
        <v>90</v>
      </c>
      <c r="U2635" s="2" t="s">
        <v>99</v>
      </c>
      <c r="V2635" s="2" t="s">
        <v>59</v>
      </c>
      <c r="W2635" s="2">
        <v>38.200000000000003</v>
      </c>
      <c r="X2635" s="2">
        <v>0</v>
      </c>
      <c r="Y2635" s="2" t="s">
        <v>751</v>
      </c>
      <c r="Z2635" s="2" t="s">
        <v>17584</v>
      </c>
      <c r="AA2635" s="2">
        <v>0.415931966789436</v>
      </c>
      <c r="AB2635" s="2">
        <v>0.30602395484954598</v>
      </c>
      <c r="AC2635" s="2">
        <v>19471.466620773099</v>
      </c>
      <c r="AD2635" s="2">
        <v>12686.551751588</v>
      </c>
      <c r="AE2635" s="2">
        <v>18500.0722079103</v>
      </c>
      <c r="AF2635" s="2">
        <v>17969.2335020432</v>
      </c>
      <c r="AG2635" s="2">
        <v>19712.708975617799</v>
      </c>
      <c r="AH2635" s="2">
        <v>23569.367863803302</v>
      </c>
      <c r="AI2635" s="2">
        <v>19798.352228895201</v>
      </c>
      <c r="AJ2635" s="2">
        <v>17279.0649463687</v>
      </c>
      <c r="AK2635" s="2">
        <v>12439.1584291484</v>
      </c>
      <c r="AL2635" s="2">
        <v>13804.961275386901</v>
      </c>
      <c r="AM2635" s="2">
        <v>13349.8707002305</v>
      </c>
      <c r="AN2635" s="2">
        <v>12375.387978438799</v>
      </c>
      <c r="AO2635" s="2">
        <v>10981.357778826299</v>
      </c>
      <c r="AP2635" s="2">
        <v>13168.5743474971</v>
      </c>
    </row>
    <row r="2636" spans="1:42" ht="14.5" x14ac:dyDescent="0.35">
      <c r="A2636" s="2" t="s">
        <v>17585</v>
      </c>
      <c r="B2636" s="2">
        <v>517.24333969935503</v>
      </c>
      <c r="C2636" s="2">
        <v>9.5044666666666693</v>
      </c>
      <c r="D2636" s="2" t="s">
        <v>34</v>
      </c>
      <c r="E2636" s="2" t="s">
        <v>17586</v>
      </c>
      <c r="F2636" s="2">
        <v>44746</v>
      </c>
      <c r="G2636" s="3" t="str">
        <f>HYPERLINK("http://funmeta.oebiotech.com/network/44746", "http://funmeta.oebiotech.com/network/44746")</f>
        <v>http://funmeta.oebiotech.com/network/44746</v>
      </c>
      <c r="H2636" s="2"/>
      <c r="I2636" s="2"/>
      <c r="J2636" s="2" t="s">
        <v>17587</v>
      </c>
      <c r="K2636" s="2"/>
      <c r="L2636" s="2"/>
      <c r="M2636" s="2"/>
      <c r="N2636" s="2"/>
      <c r="O2636" s="2"/>
      <c r="P2636" s="2"/>
      <c r="Q2636" s="2" t="s">
        <v>17588</v>
      </c>
      <c r="R2636" s="2" t="s">
        <v>17589</v>
      </c>
      <c r="S2636" s="2" t="s">
        <v>50</v>
      </c>
      <c r="T2636" s="2" t="s">
        <v>124</v>
      </c>
      <c r="U2636" s="2" t="s">
        <v>567</v>
      </c>
      <c r="V2636" s="2" t="s">
        <v>42</v>
      </c>
      <c r="W2636" s="2">
        <v>50.6</v>
      </c>
      <c r="X2636" s="2">
        <v>58.6</v>
      </c>
      <c r="Y2636" s="2" t="s">
        <v>394</v>
      </c>
      <c r="Z2636" s="2" t="s">
        <v>17590</v>
      </c>
      <c r="AA2636" s="2">
        <v>0.25286266689981901</v>
      </c>
      <c r="AB2636" s="2">
        <v>0.30596826193517701</v>
      </c>
      <c r="AC2636" s="2">
        <v>32352.565751043199</v>
      </c>
      <c r="AD2636" s="2">
        <v>39665.511424461001</v>
      </c>
      <c r="AE2636" s="2">
        <v>28503.340728912899</v>
      </c>
      <c r="AF2636" s="2">
        <v>30526.956411469</v>
      </c>
      <c r="AG2636" s="2">
        <v>34170.978003410703</v>
      </c>
      <c r="AH2636" s="2">
        <v>32692.203018451401</v>
      </c>
      <c r="AI2636" s="2">
        <v>31207.5369820821</v>
      </c>
      <c r="AJ2636" s="2">
        <v>37014.379361933199</v>
      </c>
      <c r="AK2636" s="2">
        <v>35976.169376327598</v>
      </c>
      <c r="AL2636" s="2">
        <v>40402.723010733898</v>
      </c>
      <c r="AM2636" s="2">
        <v>41313.875052418203</v>
      </c>
      <c r="AN2636" s="2">
        <v>40937.1049995184</v>
      </c>
      <c r="AO2636" s="2">
        <v>38247.685213531498</v>
      </c>
      <c r="AP2636" s="2">
        <v>41115.510894236097</v>
      </c>
    </row>
    <row r="2637" spans="1:42" ht="14.5" x14ac:dyDescent="0.35">
      <c r="A2637" s="2" t="s">
        <v>17591</v>
      </c>
      <c r="B2637" s="2">
        <v>213.127072103675</v>
      </c>
      <c r="C2637" s="2">
        <v>7.0664166666666697</v>
      </c>
      <c r="D2637" s="2" t="s">
        <v>34</v>
      </c>
      <c r="E2637" s="2" t="s">
        <v>17592</v>
      </c>
      <c r="F2637" s="2">
        <v>2335</v>
      </c>
      <c r="G2637" s="3" t="str">
        <f>HYPERLINK("http://funmeta.oebiotech.com/network/2335", "http://funmeta.oebiotech.com/network/2335")</f>
        <v>http://funmeta.oebiotech.com/network/2335</v>
      </c>
      <c r="H2637" s="2"/>
      <c r="I2637" s="2">
        <v>96778</v>
      </c>
      <c r="J2637" s="2" t="s">
        <v>17593</v>
      </c>
      <c r="K2637" s="2">
        <v>137794</v>
      </c>
      <c r="L2637" s="2"/>
      <c r="M2637" s="2"/>
      <c r="N2637" s="2"/>
      <c r="O2637" s="2">
        <v>9542</v>
      </c>
      <c r="P2637" s="2"/>
      <c r="Q2637" s="2" t="s">
        <v>17594</v>
      </c>
      <c r="R2637" s="2" t="s">
        <v>17595</v>
      </c>
      <c r="S2637" s="2" t="s">
        <v>50</v>
      </c>
      <c r="T2637" s="2" t="s">
        <v>229</v>
      </c>
      <c r="U2637" s="2" t="s">
        <v>433</v>
      </c>
      <c r="V2637" s="2" t="s">
        <v>59</v>
      </c>
      <c r="W2637" s="2">
        <v>37.1</v>
      </c>
      <c r="X2637" s="2">
        <v>0</v>
      </c>
      <c r="Y2637" s="2" t="s">
        <v>323</v>
      </c>
      <c r="Z2637" s="2" t="s">
        <v>17596</v>
      </c>
      <c r="AA2637" s="2">
        <v>4.9614524308706098</v>
      </c>
      <c r="AB2637" s="2">
        <v>0.30595276455208098</v>
      </c>
      <c r="AC2637" s="2">
        <v>9150.9237892543897</v>
      </c>
      <c r="AD2637" s="2">
        <v>2898.00278019289</v>
      </c>
      <c r="AE2637" s="2">
        <v>8475.2670487843006</v>
      </c>
      <c r="AF2637" s="2">
        <v>8776.2138952353707</v>
      </c>
      <c r="AG2637" s="2">
        <v>8973.6540796296595</v>
      </c>
      <c r="AH2637" s="2">
        <v>9429.3011715479606</v>
      </c>
      <c r="AI2637" s="2">
        <v>9175.6736568278393</v>
      </c>
      <c r="AJ2637" s="2">
        <v>10075.4328835012</v>
      </c>
      <c r="AK2637" s="2">
        <v>4000.7078960486001</v>
      </c>
      <c r="AL2637" s="2">
        <v>3609.8479036054</v>
      </c>
      <c r="AM2637" s="2">
        <v>2005.49907994874</v>
      </c>
      <c r="AN2637" s="2">
        <v>2486.4292709285801</v>
      </c>
      <c r="AO2637" s="2">
        <v>2410.6503576764799</v>
      </c>
      <c r="AP2637" s="2">
        <v>2874.8821729495498</v>
      </c>
    </row>
    <row r="2638" spans="1:42" ht="14.5" x14ac:dyDescent="0.35">
      <c r="A2638" s="2" t="s">
        <v>17597</v>
      </c>
      <c r="B2638" s="2">
        <v>589.26655517214999</v>
      </c>
      <c r="C2638" s="2">
        <v>5.0599499999999997</v>
      </c>
      <c r="D2638" s="2" t="s">
        <v>70</v>
      </c>
      <c r="E2638" s="2" t="s">
        <v>17598</v>
      </c>
      <c r="F2638" s="2">
        <v>267307</v>
      </c>
      <c r="G2638" s="3" t="str">
        <f>HYPERLINK("http://funmeta.oebiotech.com/network/267307", "http://funmeta.oebiotech.com/network/267307")</f>
        <v>http://funmeta.oebiotech.com/network/267307</v>
      </c>
      <c r="H2638" s="2"/>
      <c r="I2638" s="2">
        <v>45216</v>
      </c>
      <c r="J2638" s="2"/>
      <c r="K2638" s="2"/>
      <c r="L2638" s="2"/>
      <c r="M2638" s="2"/>
      <c r="N2638" s="2"/>
      <c r="O2638" s="2">
        <v>9807431</v>
      </c>
      <c r="P2638" s="2" t="s">
        <v>17599</v>
      </c>
      <c r="Q2638" s="2" t="s">
        <v>17600</v>
      </c>
      <c r="R2638" s="2" t="s">
        <v>17601</v>
      </c>
      <c r="S2638" s="2" t="s">
        <v>148</v>
      </c>
      <c r="T2638" s="2" t="s">
        <v>149</v>
      </c>
      <c r="U2638" s="2" t="s">
        <v>17602</v>
      </c>
      <c r="V2638" s="2" t="s">
        <v>59</v>
      </c>
      <c r="W2638" s="2">
        <v>38.200000000000003</v>
      </c>
      <c r="X2638" s="2">
        <v>0</v>
      </c>
      <c r="Y2638" s="2" t="s">
        <v>408</v>
      </c>
      <c r="Z2638" s="2" t="s">
        <v>17603</v>
      </c>
      <c r="AA2638" s="2">
        <v>-0.40048127228492703</v>
      </c>
      <c r="AB2638" s="2">
        <v>0.30592869758137298</v>
      </c>
      <c r="AC2638" s="2">
        <v>31846.612431688201</v>
      </c>
      <c r="AD2638" s="2">
        <v>39383.639460325197</v>
      </c>
      <c r="AE2638" s="2">
        <v>31777.693495627202</v>
      </c>
      <c r="AF2638" s="2">
        <v>29744.413945444401</v>
      </c>
      <c r="AG2638" s="2">
        <v>33086.803420004297</v>
      </c>
      <c r="AH2638" s="2">
        <v>31139.6763698209</v>
      </c>
      <c r="AI2638" s="2">
        <v>34339.845285488198</v>
      </c>
      <c r="AJ2638" s="2">
        <v>30991.242073743899</v>
      </c>
      <c r="AK2638" s="2">
        <v>36690.281596974703</v>
      </c>
      <c r="AL2638" s="2">
        <v>40822.065224905899</v>
      </c>
      <c r="AM2638" s="2">
        <v>42066.611548511799</v>
      </c>
      <c r="AN2638" s="2">
        <v>32939.446760207997</v>
      </c>
      <c r="AO2638" s="2">
        <v>40735.916097889101</v>
      </c>
      <c r="AP2638" s="2">
        <v>43047.515533461999</v>
      </c>
    </row>
    <row r="2639" spans="1:42" ht="14.5" x14ac:dyDescent="0.35">
      <c r="A2639" s="2" t="s">
        <v>17604</v>
      </c>
      <c r="B2639" s="2">
        <v>515.22518630866102</v>
      </c>
      <c r="C2639" s="2">
        <v>5.7559333333333296</v>
      </c>
      <c r="D2639" s="2" t="s">
        <v>34</v>
      </c>
      <c r="E2639" s="2" t="s">
        <v>17605</v>
      </c>
      <c r="F2639" s="2">
        <v>82109</v>
      </c>
      <c r="G2639" s="3" t="str">
        <f>HYPERLINK("http://funmeta.oebiotech.com/network/82109", "http://funmeta.oebiotech.com/network/82109")</f>
        <v>http://funmeta.oebiotech.com/network/82109</v>
      </c>
      <c r="H2639" s="2" t="s">
        <v>17606</v>
      </c>
      <c r="I2639" s="2"/>
      <c r="J2639" s="2"/>
      <c r="K2639" s="2"/>
      <c r="L2639" s="2"/>
      <c r="M2639" s="2"/>
      <c r="N2639" s="2"/>
      <c r="O2639" s="2">
        <v>131769835</v>
      </c>
      <c r="P2639" s="2"/>
      <c r="Q2639" s="2" t="s">
        <v>17607</v>
      </c>
      <c r="R2639" s="2" t="s">
        <v>17608</v>
      </c>
      <c r="S2639" s="2" t="s">
        <v>50</v>
      </c>
      <c r="T2639" s="2" t="s">
        <v>201</v>
      </c>
      <c r="U2639" s="2" t="s">
        <v>202</v>
      </c>
      <c r="V2639" s="2" t="s">
        <v>59</v>
      </c>
      <c r="W2639" s="2">
        <v>39.299999999999997</v>
      </c>
      <c r="X2639" s="2">
        <v>7.81</v>
      </c>
      <c r="Y2639" s="2" t="s">
        <v>470</v>
      </c>
      <c r="Z2639" s="2" t="s">
        <v>12728</v>
      </c>
      <c r="AA2639" s="2">
        <v>6.6834008417188506E-2</v>
      </c>
      <c r="AB2639" s="2">
        <v>0.30573249513004003</v>
      </c>
      <c r="AC2639" s="2">
        <v>53898.220016722698</v>
      </c>
      <c r="AD2639" s="2">
        <v>46520.5289912812</v>
      </c>
      <c r="AE2639" s="2">
        <v>52383.820673411901</v>
      </c>
      <c r="AF2639" s="2">
        <v>53822.165405358297</v>
      </c>
      <c r="AG2639" s="2">
        <v>53829.227146065103</v>
      </c>
      <c r="AH2639" s="2">
        <v>54174.277723444698</v>
      </c>
      <c r="AI2639" s="2">
        <v>55532.8879793788</v>
      </c>
      <c r="AJ2639" s="2">
        <v>53646.941172677602</v>
      </c>
      <c r="AK2639" s="2">
        <v>43806.135317052001</v>
      </c>
      <c r="AL2639" s="2">
        <v>46934.736570515699</v>
      </c>
      <c r="AM2639" s="2">
        <v>51442.957103784698</v>
      </c>
      <c r="AN2639" s="2">
        <v>46118.709214039001</v>
      </c>
      <c r="AO2639" s="2">
        <v>49319.958173069201</v>
      </c>
      <c r="AP2639" s="2">
        <v>41500.677569226697</v>
      </c>
    </row>
    <row r="2640" spans="1:42" ht="14.5" x14ac:dyDescent="0.35">
      <c r="A2640" s="2" t="s">
        <v>17609</v>
      </c>
      <c r="B2640" s="2">
        <v>293.15303868263601</v>
      </c>
      <c r="C2640" s="2">
        <v>6.7814333333333296</v>
      </c>
      <c r="D2640" s="2" t="s">
        <v>34</v>
      </c>
      <c r="E2640" s="2" t="s">
        <v>17610</v>
      </c>
      <c r="F2640" s="2">
        <v>63875</v>
      </c>
      <c r="G2640" s="3" t="str">
        <f>HYPERLINK("http://funmeta.oebiotech.com/network/63875", "http://funmeta.oebiotech.com/network/63875")</f>
        <v>http://funmeta.oebiotech.com/network/63875</v>
      </c>
      <c r="H2640" s="2" t="s">
        <v>17611</v>
      </c>
      <c r="I2640" s="2"/>
      <c r="J2640" s="2"/>
      <c r="K2640" s="2"/>
      <c r="L2640" s="2"/>
      <c r="M2640" s="2"/>
      <c r="N2640" s="2"/>
      <c r="O2640" s="2"/>
      <c r="P2640" s="2"/>
      <c r="Q2640" s="2" t="s">
        <v>17612</v>
      </c>
      <c r="R2640" s="2" t="s">
        <v>17613</v>
      </c>
      <c r="S2640" s="2" t="s">
        <v>148</v>
      </c>
      <c r="T2640" s="2" t="s">
        <v>6221</v>
      </c>
      <c r="U2640" s="2" t="s">
        <v>17614</v>
      </c>
      <c r="V2640" s="2" t="s">
        <v>59</v>
      </c>
      <c r="W2640" s="2">
        <v>45.8</v>
      </c>
      <c r="X2640" s="2">
        <v>39.200000000000003</v>
      </c>
      <c r="Y2640" s="2" t="s">
        <v>141</v>
      </c>
      <c r="Z2640" s="2" t="s">
        <v>17615</v>
      </c>
      <c r="AA2640" s="2">
        <v>-1.8301433704121901</v>
      </c>
      <c r="AB2640" s="2">
        <v>0.30567848276738702</v>
      </c>
      <c r="AC2640" s="2">
        <v>46481.346045055499</v>
      </c>
      <c r="AD2640" s="2">
        <v>39044.545191911297</v>
      </c>
      <c r="AE2640" s="2">
        <v>48438.621003564898</v>
      </c>
      <c r="AF2640" s="2">
        <v>43955.294881578899</v>
      </c>
      <c r="AG2640" s="2">
        <v>50059.400792696302</v>
      </c>
      <c r="AH2640" s="2">
        <v>41696.183218276201</v>
      </c>
      <c r="AI2640" s="2">
        <v>44163.860270894198</v>
      </c>
      <c r="AJ2640" s="2">
        <v>50574.7161033226</v>
      </c>
      <c r="AK2640" s="2">
        <v>35917.5280028743</v>
      </c>
      <c r="AL2640" s="2">
        <v>40114.774613391601</v>
      </c>
      <c r="AM2640" s="2">
        <v>39657.585770890597</v>
      </c>
      <c r="AN2640" s="2">
        <v>38890.166585619801</v>
      </c>
      <c r="AO2640" s="2">
        <v>39596.119146021301</v>
      </c>
      <c r="AP2640" s="2">
        <v>40091.097032670397</v>
      </c>
    </row>
    <row r="2641" spans="1:42" ht="14.5" x14ac:dyDescent="0.35">
      <c r="A2641" s="2" t="s">
        <v>17616</v>
      </c>
      <c r="B2641" s="2">
        <v>257.17433887174002</v>
      </c>
      <c r="C2641" s="2">
        <v>6.3948166666666699</v>
      </c>
      <c r="D2641" s="2" t="s">
        <v>34</v>
      </c>
      <c r="E2641" s="2" t="s">
        <v>17617</v>
      </c>
      <c r="F2641" s="2">
        <v>55681</v>
      </c>
      <c r="G2641" s="3" t="str">
        <f>HYPERLINK("http://funmeta.oebiotech.com/network/55681", "http://funmeta.oebiotech.com/network/55681")</f>
        <v>http://funmeta.oebiotech.com/network/55681</v>
      </c>
      <c r="H2641" s="2" t="s">
        <v>17618</v>
      </c>
      <c r="I2641" s="2">
        <v>87337</v>
      </c>
      <c r="J2641" s="2"/>
      <c r="K2641" s="2">
        <v>168062</v>
      </c>
      <c r="L2641" s="2"/>
      <c r="M2641" s="2"/>
      <c r="N2641" s="2"/>
      <c r="O2641" s="2">
        <v>131751119</v>
      </c>
      <c r="P2641" s="2"/>
      <c r="Q2641" s="2" t="s">
        <v>17619</v>
      </c>
      <c r="R2641" s="2" t="s">
        <v>17620</v>
      </c>
      <c r="S2641" s="2" t="s">
        <v>491</v>
      </c>
      <c r="T2641" s="2" t="s">
        <v>5973</v>
      </c>
      <c r="U2641" s="2" t="s">
        <v>6296</v>
      </c>
      <c r="V2641" s="2" t="s">
        <v>59</v>
      </c>
      <c r="W2641" s="2">
        <v>38.1</v>
      </c>
      <c r="X2641" s="2">
        <v>0</v>
      </c>
      <c r="Y2641" s="2" t="s">
        <v>394</v>
      </c>
      <c r="Z2641" s="2" t="s">
        <v>17387</v>
      </c>
      <c r="AA2641" s="2">
        <v>-1.5490186832900801</v>
      </c>
      <c r="AB2641" s="2">
        <v>0.30565517320970698</v>
      </c>
      <c r="AC2641" s="2">
        <v>3319.7010609464501</v>
      </c>
      <c r="AD2641" s="2">
        <v>9534.3576845369898</v>
      </c>
      <c r="AE2641" s="2">
        <v>2789.8194332316102</v>
      </c>
      <c r="AF2641" s="2">
        <v>4324.7516880415296</v>
      </c>
      <c r="AG2641" s="2">
        <v>2658.38533803767</v>
      </c>
      <c r="AH2641" s="2">
        <v>2928.9546534856099</v>
      </c>
      <c r="AI2641" s="2">
        <v>3617.3805335390898</v>
      </c>
      <c r="AJ2641" s="2">
        <v>3598.91471934318</v>
      </c>
      <c r="AK2641" s="2">
        <v>9698.6552929331992</v>
      </c>
      <c r="AL2641" s="2">
        <v>9916.7594491519594</v>
      </c>
      <c r="AM2641" s="2">
        <v>9609.2131912049699</v>
      </c>
      <c r="AN2641" s="2">
        <v>10121.4115881047</v>
      </c>
      <c r="AO2641" s="2">
        <v>9144.5419687275007</v>
      </c>
      <c r="AP2641" s="2">
        <v>8715.5646170996097</v>
      </c>
    </row>
    <row r="2642" spans="1:42" ht="14.5" x14ac:dyDescent="0.35">
      <c r="A2642" s="2" t="s">
        <v>17621</v>
      </c>
      <c r="B2642" s="2">
        <v>419.24273293183302</v>
      </c>
      <c r="C2642" s="2">
        <v>9.44783333333333</v>
      </c>
      <c r="D2642" s="2" t="s">
        <v>34</v>
      </c>
      <c r="E2642" s="2" t="s">
        <v>17622</v>
      </c>
      <c r="F2642" s="2">
        <v>44712</v>
      </c>
      <c r="G2642" s="3" t="str">
        <f>HYPERLINK("http://funmeta.oebiotech.com/network/44712", "http://funmeta.oebiotech.com/network/44712")</f>
        <v>http://funmeta.oebiotech.com/network/44712</v>
      </c>
      <c r="H2642" s="2"/>
      <c r="I2642" s="2"/>
      <c r="J2642" s="2" t="s">
        <v>17623</v>
      </c>
      <c r="K2642" s="2"/>
      <c r="L2642" s="2"/>
      <c r="M2642" s="2"/>
      <c r="N2642" s="2"/>
      <c r="O2642" s="2">
        <v>10432170</v>
      </c>
      <c r="P2642" s="2"/>
      <c r="Q2642" s="2" t="s">
        <v>17624</v>
      </c>
      <c r="R2642" s="2" t="s">
        <v>17625</v>
      </c>
      <c r="S2642" s="2" t="s">
        <v>50</v>
      </c>
      <c r="T2642" s="2" t="s">
        <v>124</v>
      </c>
      <c r="U2642" s="2" t="s">
        <v>567</v>
      </c>
      <c r="V2642" s="2" t="s">
        <v>42</v>
      </c>
      <c r="W2642" s="2">
        <v>55.3</v>
      </c>
      <c r="X2642" s="2">
        <v>82.3</v>
      </c>
      <c r="Y2642" s="2" t="s">
        <v>394</v>
      </c>
      <c r="Z2642" s="2" t="s">
        <v>8927</v>
      </c>
      <c r="AA2642" s="2">
        <v>-0.196797974889555</v>
      </c>
      <c r="AB2642" s="2">
        <v>0.30553338504597599</v>
      </c>
      <c r="AC2642" s="2">
        <v>12072.5752157689</v>
      </c>
      <c r="AD2642" s="2">
        <v>18384.591388050299</v>
      </c>
      <c r="AE2642" s="2">
        <v>12611.3423462336</v>
      </c>
      <c r="AF2642" s="2">
        <v>12248.716406973799</v>
      </c>
      <c r="AG2642" s="2">
        <v>11254.4068565453</v>
      </c>
      <c r="AH2642" s="2">
        <v>12731.6991256403</v>
      </c>
      <c r="AI2642" s="2">
        <v>11734.0390235501</v>
      </c>
      <c r="AJ2642" s="2">
        <v>11855.2475356705</v>
      </c>
      <c r="AK2642" s="2">
        <v>19154.871684020301</v>
      </c>
      <c r="AL2642" s="2">
        <v>16219.179586478</v>
      </c>
      <c r="AM2642" s="2">
        <v>19007.296725912202</v>
      </c>
      <c r="AN2642" s="2">
        <v>18379.2410939291</v>
      </c>
      <c r="AO2642" s="2">
        <v>18540.046710053801</v>
      </c>
      <c r="AP2642" s="2">
        <v>19006.912527908102</v>
      </c>
    </row>
    <row r="2643" spans="1:42" ht="14.5" x14ac:dyDescent="0.35">
      <c r="A2643" s="2" t="s">
        <v>17626</v>
      </c>
      <c r="B2643" s="2">
        <v>973.63509802216095</v>
      </c>
      <c r="C2643" s="2">
        <v>10.5845</v>
      </c>
      <c r="D2643" s="2" t="s">
        <v>34</v>
      </c>
      <c r="E2643" s="2" t="s">
        <v>17627</v>
      </c>
      <c r="F2643" s="2">
        <v>240068</v>
      </c>
      <c r="G2643" s="3" t="str">
        <f>HYPERLINK("http://funmeta.oebiotech.com/network/240068", "http://funmeta.oebiotech.com/network/240068")</f>
        <v>http://funmeta.oebiotech.com/network/240068</v>
      </c>
      <c r="H2643" s="2" t="s">
        <v>17628</v>
      </c>
      <c r="I2643" s="2"/>
      <c r="J2643" s="2"/>
      <c r="K2643" s="2"/>
      <c r="L2643" s="2"/>
      <c r="M2643" s="2"/>
      <c r="N2643" s="2"/>
      <c r="O2643" s="2"/>
      <c r="P2643" s="2"/>
      <c r="Q2643" s="2" t="s">
        <v>17629</v>
      </c>
      <c r="R2643" s="2" t="s">
        <v>17630</v>
      </c>
      <c r="S2643" s="2" t="s">
        <v>41</v>
      </c>
      <c r="T2643" s="2" t="s">
        <v>41</v>
      </c>
      <c r="U2643" s="2" t="s">
        <v>41</v>
      </c>
      <c r="V2643" s="2" t="s">
        <v>59</v>
      </c>
      <c r="W2643" s="2">
        <v>36.1</v>
      </c>
      <c r="X2643" s="2">
        <v>0</v>
      </c>
      <c r="Y2643" s="2" t="s">
        <v>394</v>
      </c>
      <c r="Z2643" s="2" t="s">
        <v>17631</v>
      </c>
      <c r="AA2643" s="2">
        <v>4.1662079617044903</v>
      </c>
      <c r="AB2643" s="2">
        <v>0.30549125274493399</v>
      </c>
      <c r="AC2643" s="2">
        <v>5627.59950685491</v>
      </c>
      <c r="AD2643" s="2">
        <v>12147.840037669201</v>
      </c>
      <c r="AE2643" s="2">
        <v>4482.4938558964304</v>
      </c>
      <c r="AF2643" s="2">
        <v>4380.2564308432502</v>
      </c>
      <c r="AG2643" s="2">
        <v>3964.7957331307898</v>
      </c>
      <c r="AH2643" s="2">
        <v>7449.7239361264301</v>
      </c>
      <c r="AI2643" s="2">
        <v>6007.5434025513196</v>
      </c>
      <c r="AJ2643" s="2">
        <v>7480.7836825812401</v>
      </c>
      <c r="AK2643" s="2">
        <v>12880.8385673744</v>
      </c>
      <c r="AL2643" s="2">
        <v>12244.109324553399</v>
      </c>
      <c r="AM2643" s="2">
        <v>10976.927557913499</v>
      </c>
      <c r="AN2643" s="2">
        <v>12203.570931844</v>
      </c>
      <c r="AO2643" s="2">
        <v>11048.945572631201</v>
      </c>
      <c r="AP2643" s="2">
        <v>13532.648271698999</v>
      </c>
    </row>
    <row r="2644" spans="1:42" ht="14.5" x14ac:dyDescent="0.35">
      <c r="A2644" s="2" t="s">
        <v>17632</v>
      </c>
      <c r="B2644" s="2">
        <v>499.218035739524</v>
      </c>
      <c r="C2644" s="2">
        <v>4.96875</v>
      </c>
      <c r="D2644" s="2" t="s">
        <v>70</v>
      </c>
      <c r="E2644" s="2" t="s">
        <v>17633</v>
      </c>
      <c r="F2644" s="2">
        <v>62247</v>
      </c>
      <c r="G2644" s="3" t="str">
        <f>HYPERLINK("http://funmeta.oebiotech.com/network/62247", "http://funmeta.oebiotech.com/network/62247")</f>
        <v>http://funmeta.oebiotech.com/network/62247</v>
      </c>
      <c r="H2644" s="2" t="s">
        <v>17634</v>
      </c>
      <c r="I2644" s="2">
        <v>93536</v>
      </c>
      <c r="J2644" s="2"/>
      <c r="K2644" s="2">
        <v>169143</v>
      </c>
      <c r="L2644" s="2"/>
      <c r="M2644" s="2"/>
      <c r="N2644" s="2"/>
      <c r="O2644" s="2">
        <v>13909547</v>
      </c>
      <c r="P2644" s="2" t="s">
        <v>17635</v>
      </c>
      <c r="Q2644" s="2" t="s">
        <v>17636</v>
      </c>
      <c r="R2644" s="2" t="s">
        <v>17637</v>
      </c>
      <c r="S2644" s="2" t="s">
        <v>50</v>
      </c>
      <c r="T2644" s="2" t="s">
        <v>201</v>
      </c>
      <c r="U2644" s="2" t="s">
        <v>202</v>
      </c>
      <c r="V2644" s="2" t="s">
        <v>59</v>
      </c>
      <c r="W2644" s="2">
        <v>46.3</v>
      </c>
      <c r="X2644" s="2">
        <v>40</v>
      </c>
      <c r="Y2644" s="2" t="s">
        <v>751</v>
      </c>
      <c r="Z2644" s="2" t="s">
        <v>8730</v>
      </c>
      <c r="AA2644" s="2">
        <v>-0.867931930865527</v>
      </c>
      <c r="AB2644" s="2">
        <v>0.30528580953299</v>
      </c>
      <c r="AC2644" s="2">
        <v>62242.615049214699</v>
      </c>
      <c r="AD2644" s="2">
        <v>55049.366362002802</v>
      </c>
      <c r="AE2644" s="2">
        <v>64206.4381431445</v>
      </c>
      <c r="AF2644" s="2">
        <v>61121.850626860003</v>
      </c>
      <c r="AG2644" s="2">
        <v>63707.854822958099</v>
      </c>
      <c r="AH2644" s="2">
        <v>60184.921953479403</v>
      </c>
      <c r="AI2644" s="2">
        <v>60806.694329506499</v>
      </c>
      <c r="AJ2644" s="2">
        <v>63427.9304193395</v>
      </c>
      <c r="AK2644" s="2">
        <v>55659.433043579498</v>
      </c>
      <c r="AL2644" s="2">
        <v>53580.288578467</v>
      </c>
      <c r="AM2644" s="2">
        <v>59163.964658325101</v>
      </c>
      <c r="AN2644" s="2">
        <v>51742.468708633503</v>
      </c>
      <c r="AO2644" s="2">
        <v>57837.998311254101</v>
      </c>
      <c r="AP2644" s="2">
        <v>52312.044871757404</v>
      </c>
    </row>
    <row r="2645" spans="1:42" ht="14.5" x14ac:dyDescent="0.35">
      <c r="A2645" s="2" t="s">
        <v>17638</v>
      </c>
      <c r="B2645" s="2">
        <v>599.19307890247399</v>
      </c>
      <c r="C2645" s="2">
        <v>6.3677999999999999</v>
      </c>
      <c r="D2645" s="2" t="s">
        <v>70</v>
      </c>
      <c r="E2645" s="2" t="s">
        <v>17639</v>
      </c>
      <c r="F2645" s="2">
        <v>289866</v>
      </c>
      <c r="G2645" s="3" t="str">
        <f>HYPERLINK("http://funmeta.oebiotech.com/network/289866", "http://funmeta.oebiotech.com/network/289866")</f>
        <v>http://funmeta.oebiotech.com/network/289866</v>
      </c>
      <c r="H2645" s="2"/>
      <c r="I2645" s="2">
        <v>985023</v>
      </c>
      <c r="J2645" s="2"/>
      <c r="K2645" s="2"/>
      <c r="L2645" s="2"/>
      <c r="M2645" s="2"/>
      <c r="N2645" s="2"/>
      <c r="O2645" s="2">
        <v>11415348</v>
      </c>
      <c r="P2645" s="2"/>
      <c r="Q2645" s="2" t="s">
        <v>17640</v>
      </c>
      <c r="R2645" s="2" t="s">
        <v>17641</v>
      </c>
      <c r="S2645" s="2" t="s">
        <v>115</v>
      </c>
      <c r="T2645" s="2" t="s">
        <v>17642</v>
      </c>
      <c r="U2645" s="2" t="s">
        <v>17643</v>
      </c>
      <c r="V2645" s="2" t="s">
        <v>59</v>
      </c>
      <c r="W2645" s="2">
        <v>39</v>
      </c>
      <c r="X2645" s="2">
        <v>0</v>
      </c>
      <c r="Y2645" s="2" t="s">
        <v>560</v>
      </c>
      <c r="Z2645" s="2" t="s">
        <v>17644</v>
      </c>
      <c r="AA2645" s="2">
        <v>1.34640660287462</v>
      </c>
      <c r="AB2645" s="2">
        <v>0.30507528123949801</v>
      </c>
      <c r="AC2645" s="2">
        <v>3006.9619162070699</v>
      </c>
      <c r="AD2645" s="2">
        <v>9254.6503407670498</v>
      </c>
      <c r="AE2645" s="2">
        <v>2779.4677490028998</v>
      </c>
      <c r="AF2645" s="2">
        <v>4488.5594904936097</v>
      </c>
      <c r="AG2645" s="2">
        <v>2278.9047830125401</v>
      </c>
      <c r="AH2645" s="2">
        <v>3269.4737324769299</v>
      </c>
      <c r="AI2645" s="2">
        <v>2425.7577770399698</v>
      </c>
      <c r="AJ2645" s="2">
        <v>2799.6079652164799</v>
      </c>
      <c r="AK2645" s="2">
        <v>9603.4071863596891</v>
      </c>
      <c r="AL2645" s="2">
        <v>8344.8318367203392</v>
      </c>
      <c r="AM2645" s="2">
        <v>9116.0743723350606</v>
      </c>
      <c r="AN2645" s="2">
        <v>10329.9970381946</v>
      </c>
      <c r="AO2645" s="2">
        <v>9100.8553993046608</v>
      </c>
      <c r="AP2645" s="2">
        <v>9032.7362116879303</v>
      </c>
    </row>
    <row r="2646" spans="1:42" ht="14.5" x14ac:dyDescent="0.35">
      <c r="A2646" s="2" t="s">
        <v>17645</v>
      </c>
      <c r="B2646" s="2">
        <v>352.32058717175698</v>
      </c>
      <c r="C2646" s="2">
        <v>11.915233333333299</v>
      </c>
      <c r="D2646" s="2" t="s">
        <v>34</v>
      </c>
      <c r="E2646" s="2" t="s">
        <v>17646</v>
      </c>
      <c r="F2646" s="2">
        <v>899</v>
      </c>
      <c r="G2646" s="3" t="str">
        <f>HYPERLINK("http://funmeta.oebiotech.com/network/899", "http://funmeta.oebiotech.com/network/899")</f>
        <v>http://funmeta.oebiotech.com/network/899</v>
      </c>
      <c r="H2646" s="2" t="s">
        <v>17647</v>
      </c>
      <c r="I2646" s="2">
        <v>195</v>
      </c>
      <c r="J2646" s="2" t="s">
        <v>17648</v>
      </c>
      <c r="K2646" s="2">
        <v>77807</v>
      </c>
      <c r="L2646" s="2"/>
      <c r="M2646" s="2"/>
      <c r="N2646" s="2"/>
      <c r="O2646" s="2">
        <v>5312557</v>
      </c>
      <c r="P2646" s="2" t="s">
        <v>17649</v>
      </c>
      <c r="Q2646" s="2" t="s">
        <v>17650</v>
      </c>
      <c r="R2646" s="2" t="s">
        <v>17651</v>
      </c>
      <c r="S2646" s="2" t="s">
        <v>50</v>
      </c>
      <c r="T2646" s="2" t="s">
        <v>229</v>
      </c>
      <c r="U2646" s="2" t="s">
        <v>433</v>
      </c>
      <c r="V2646" s="2" t="s">
        <v>42</v>
      </c>
      <c r="W2646" s="2">
        <v>51.5</v>
      </c>
      <c r="X2646" s="2">
        <v>62.3</v>
      </c>
      <c r="Y2646" s="2" t="s">
        <v>43</v>
      </c>
      <c r="Z2646" s="2" t="s">
        <v>17652</v>
      </c>
      <c r="AA2646" s="2">
        <v>-1.25286294847385</v>
      </c>
      <c r="AB2646" s="2">
        <v>0.30487129546826602</v>
      </c>
      <c r="AC2646" s="2">
        <v>35884.237540596703</v>
      </c>
      <c r="AD2646" s="2">
        <v>25621.228255468399</v>
      </c>
      <c r="AE2646" s="2">
        <v>34919.832414488803</v>
      </c>
      <c r="AF2646" s="2">
        <v>32047.860216953199</v>
      </c>
      <c r="AG2646" s="2">
        <v>26014.553915319</v>
      </c>
      <c r="AH2646" s="2">
        <v>40042.438970581403</v>
      </c>
      <c r="AI2646" s="2">
        <v>38531.584161574203</v>
      </c>
      <c r="AJ2646" s="2">
        <v>43749.155564663299</v>
      </c>
      <c r="AK2646" s="2">
        <v>22511.970190404401</v>
      </c>
      <c r="AL2646" s="2">
        <v>30167.698522598199</v>
      </c>
      <c r="AM2646" s="2">
        <v>18803.363382236799</v>
      </c>
      <c r="AN2646" s="2">
        <v>17309.0456590385</v>
      </c>
      <c r="AO2646" s="2">
        <v>24109.474200975401</v>
      </c>
      <c r="AP2646" s="2">
        <v>40825.817577557202</v>
      </c>
    </row>
    <row r="2647" spans="1:42" ht="14.5" x14ac:dyDescent="0.35">
      <c r="A2647" s="2" t="s">
        <v>17653</v>
      </c>
      <c r="B2647" s="2">
        <v>602.12851893752099</v>
      </c>
      <c r="C2647" s="2">
        <v>1.8129833333333301</v>
      </c>
      <c r="D2647" s="2" t="s">
        <v>34</v>
      </c>
      <c r="E2647" s="2" t="s">
        <v>17654</v>
      </c>
      <c r="F2647" s="2">
        <v>28473</v>
      </c>
      <c r="G2647" s="3" t="str">
        <f>HYPERLINK("http://funmeta.oebiotech.com/network/28473", "http://funmeta.oebiotech.com/network/28473")</f>
        <v>http://funmeta.oebiotech.com/network/28473</v>
      </c>
      <c r="H2647" s="2"/>
      <c r="I2647" s="2"/>
      <c r="J2647" s="2" t="s">
        <v>17655</v>
      </c>
      <c r="K2647" s="2">
        <v>85143</v>
      </c>
      <c r="L2647" s="2"/>
      <c r="M2647" s="2"/>
      <c r="N2647" s="2"/>
      <c r="O2647" s="2">
        <v>21576546</v>
      </c>
      <c r="P2647" s="2"/>
      <c r="Q2647" s="2" t="s">
        <v>17656</v>
      </c>
      <c r="R2647" s="2" t="s">
        <v>17657</v>
      </c>
      <c r="S2647" s="2" t="s">
        <v>115</v>
      </c>
      <c r="T2647" s="2" t="s">
        <v>139</v>
      </c>
      <c r="U2647" s="2" t="s">
        <v>140</v>
      </c>
      <c r="V2647" s="2" t="s">
        <v>59</v>
      </c>
      <c r="W2647" s="2">
        <v>37.299999999999997</v>
      </c>
      <c r="X2647" s="2">
        <v>0</v>
      </c>
      <c r="Y2647" s="2" t="s">
        <v>394</v>
      </c>
      <c r="Z2647" s="2" t="s">
        <v>17658</v>
      </c>
      <c r="AA2647" s="2">
        <v>3.1564620018744001</v>
      </c>
      <c r="AB2647" s="2">
        <v>0.304865026097076</v>
      </c>
      <c r="AC2647" s="2">
        <v>11775.709373707101</v>
      </c>
      <c r="AD2647" s="2">
        <v>5107.6029313409799</v>
      </c>
      <c r="AE2647" s="2">
        <v>13631.837200055201</v>
      </c>
      <c r="AF2647" s="2">
        <v>11868.665410855299</v>
      </c>
      <c r="AG2647" s="2">
        <v>10466.0734305316</v>
      </c>
      <c r="AH2647" s="2">
        <v>10944.094242617601</v>
      </c>
      <c r="AI2647" s="2">
        <v>12276.5664668218</v>
      </c>
      <c r="AJ2647" s="2">
        <v>11467.019491361199</v>
      </c>
      <c r="AK2647" s="2">
        <v>7030.2420242715998</v>
      </c>
      <c r="AL2647" s="2">
        <v>4434.9624207994302</v>
      </c>
      <c r="AM2647" s="2">
        <v>3083.9826351277402</v>
      </c>
      <c r="AN2647" s="2">
        <v>3242.2237412741802</v>
      </c>
      <c r="AO2647" s="2">
        <v>7985.3825457193498</v>
      </c>
      <c r="AP2647" s="2">
        <v>4868.8242208536003</v>
      </c>
    </row>
    <row r="2648" spans="1:42" ht="14.5" x14ac:dyDescent="0.35">
      <c r="A2648" s="2" t="s">
        <v>17659</v>
      </c>
      <c r="B2648" s="2">
        <v>510.30526944935201</v>
      </c>
      <c r="C2648" s="2">
        <v>4.9308666666666703</v>
      </c>
      <c r="D2648" s="2" t="s">
        <v>34</v>
      </c>
      <c r="E2648" s="2" t="s">
        <v>17660</v>
      </c>
      <c r="F2648" s="2">
        <v>60077</v>
      </c>
      <c r="G2648" s="3" t="str">
        <f>HYPERLINK("http://funmeta.oebiotech.com/network/60077", "http://funmeta.oebiotech.com/network/60077")</f>
        <v>http://funmeta.oebiotech.com/network/60077</v>
      </c>
      <c r="H2648" s="2" t="s">
        <v>17661</v>
      </c>
      <c r="I2648" s="2"/>
      <c r="J2648" s="2"/>
      <c r="K2648" s="2"/>
      <c r="L2648" s="2"/>
      <c r="M2648" s="2"/>
      <c r="N2648" s="2"/>
      <c r="O2648" s="2">
        <v>131751956</v>
      </c>
      <c r="P2648" s="2" t="s">
        <v>17662</v>
      </c>
      <c r="Q2648" s="2" t="s">
        <v>17663</v>
      </c>
      <c r="R2648" s="2" t="s">
        <v>17664</v>
      </c>
      <c r="S2648" s="2" t="s">
        <v>50</v>
      </c>
      <c r="T2648" s="2" t="s">
        <v>201</v>
      </c>
      <c r="U2648" s="2" t="s">
        <v>241</v>
      </c>
      <c r="V2648" s="2" t="s">
        <v>59</v>
      </c>
      <c r="W2648" s="2">
        <v>36.4</v>
      </c>
      <c r="X2648" s="2">
        <v>0</v>
      </c>
      <c r="Y2648" s="2" t="s">
        <v>43</v>
      </c>
      <c r="Z2648" s="2" t="s">
        <v>17665</v>
      </c>
      <c r="AA2648" s="2">
        <v>-1.7760899718529499</v>
      </c>
      <c r="AB2648" s="2">
        <v>0.30480256678129802</v>
      </c>
      <c r="AC2648" s="2">
        <v>268083.11984716699</v>
      </c>
      <c r="AD2648" s="2">
        <v>281397.30232873699</v>
      </c>
      <c r="AE2648" s="2">
        <v>290255.82896405098</v>
      </c>
      <c r="AF2648" s="2">
        <v>257188.29726632501</v>
      </c>
      <c r="AG2648" s="2">
        <v>250407.11506005301</v>
      </c>
      <c r="AH2648" s="2">
        <v>276291.42210445303</v>
      </c>
      <c r="AI2648" s="2">
        <v>280894.79619812302</v>
      </c>
      <c r="AJ2648" s="2">
        <v>253461.25948999799</v>
      </c>
      <c r="AK2648" s="2">
        <v>265172.79652033502</v>
      </c>
      <c r="AL2648" s="2">
        <v>278477.00693620899</v>
      </c>
      <c r="AM2648" s="2">
        <v>299836.70389031299</v>
      </c>
      <c r="AN2648" s="2">
        <v>272719.833790256</v>
      </c>
      <c r="AO2648" s="2">
        <v>284508.83819961199</v>
      </c>
      <c r="AP2648" s="2">
        <v>287668.63463569799</v>
      </c>
    </row>
    <row r="2649" spans="1:42" ht="14.5" x14ac:dyDescent="0.35">
      <c r="A2649" s="2" t="s">
        <v>17666</v>
      </c>
      <c r="B2649" s="2">
        <v>779.20112004599002</v>
      </c>
      <c r="C2649" s="2">
        <v>3.0535666666666699</v>
      </c>
      <c r="D2649" s="2" t="s">
        <v>70</v>
      </c>
      <c r="E2649" s="2" t="s">
        <v>17667</v>
      </c>
      <c r="F2649" s="2">
        <v>32050</v>
      </c>
      <c r="G2649" s="3" t="str">
        <f>HYPERLINK("http://funmeta.oebiotech.com/network/32050", "http://funmeta.oebiotech.com/network/32050")</f>
        <v>http://funmeta.oebiotech.com/network/32050</v>
      </c>
      <c r="H2649" s="2"/>
      <c r="I2649" s="2"/>
      <c r="J2649" s="2" t="s">
        <v>17668</v>
      </c>
      <c r="K2649" s="2"/>
      <c r="L2649" s="2"/>
      <c r="M2649" s="2"/>
      <c r="N2649" s="2"/>
      <c r="O2649" s="2">
        <v>100953252</v>
      </c>
      <c r="P2649" s="2"/>
      <c r="Q2649" s="2" t="s">
        <v>17669</v>
      </c>
      <c r="R2649" s="2" t="s">
        <v>17670</v>
      </c>
      <c r="S2649" s="2" t="s">
        <v>115</v>
      </c>
      <c r="T2649" s="2" t="s">
        <v>139</v>
      </c>
      <c r="U2649" s="2" t="s">
        <v>140</v>
      </c>
      <c r="V2649" s="2" t="s">
        <v>42</v>
      </c>
      <c r="W2649" s="2">
        <v>49</v>
      </c>
      <c r="X2649" s="2">
        <v>56.8</v>
      </c>
      <c r="Y2649" s="2" t="s">
        <v>751</v>
      </c>
      <c r="Z2649" s="2" t="s">
        <v>17671</v>
      </c>
      <c r="AA2649" s="2">
        <v>-3.6295569693040299</v>
      </c>
      <c r="AB2649" s="2">
        <v>0.30475621109394502</v>
      </c>
      <c r="AC2649" s="2">
        <v>510544.84507257899</v>
      </c>
      <c r="AD2649" s="2">
        <v>528232.83774031396</v>
      </c>
      <c r="AE2649" s="2">
        <v>517471.01571269502</v>
      </c>
      <c r="AF2649" s="2">
        <v>481338.97735164699</v>
      </c>
      <c r="AG2649" s="2">
        <v>517184.59227180103</v>
      </c>
      <c r="AH2649" s="2">
        <v>509126.44842308701</v>
      </c>
      <c r="AI2649" s="2">
        <v>499412.779030893</v>
      </c>
      <c r="AJ2649" s="2">
        <v>538735.25764535205</v>
      </c>
      <c r="AK2649" s="2">
        <v>535305.34757133096</v>
      </c>
      <c r="AL2649" s="2">
        <v>488571.05742434599</v>
      </c>
      <c r="AM2649" s="2">
        <v>581057.38571423304</v>
      </c>
      <c r="AN2649" s="2">
        <v>527541.20439989399</v>
      </c>
      <c r="AO2649" s="2">
        <v>500428.90057477402</v>
      </c>
      <c r="AP2649" s="2">
        <v>536493.130757306</v>
      </c>
    </row>
    <row r="2650" spans="1:42" ht="14.5" x14ac:dyDescent="0.35">
      <c r="A2650" s="2" t="s">
        <v>17672</v>
      </c>
      <c r="B2650" s="2">
        <v>134.09629790826401</v>
      </c>
      <c r="C2650" s="2">
        <v>8.3059499999999993</v>
      </c>
      <c r="D2650" s="2" t="s">
        <v>34</v>
      </c>
      <c r="E2650" s="2" t="s">
        <v>17673</v>
      </c>
      <c r="F2650" s="2">
        <v>207788</v>
      </c>
      <c r="G2650" s="3" t="str">
        <f>HYPERLINK("http://funmeta.oebiotech.com/network/207788", "http://funmeta.oebiotech.com/network/207788")</f>
        <v>http://funmeta.oebiotech.com/network/207788</v>
      </c>
      <c r="H2650" s="2" t="s">
        <v>17674</v>
      </c>
      <c r="I2650" s="2"/>
      <c r="J2650" s="2"/>
      <c r="K2650" s="2">
        <v>41921</v>
      </c>
      <c r="L2650" s="2"/>
      <c r="M2650" s="2"/>
      <c r="N2650" s="2"/>
      <c r="O2650" s="2">
        <v>7219</v>
      </c>
      <c r="P2650" s="2"/>
      <c r="Q2650" s="2" t="s">
        <v>17675</v>
      </c>
      <c r="R2650" s="2" t="s">
        <v>17676</v>
      </c>
      <c r="S2650" s="2" t="s">
        <v>148</v>
      </c>
      <c r="T2650" s="2" t="s">
        <v>17677</v>
      </c>
      <c r="U2650" s="2" t="s">
        <v>41</v>
      </c>
      <c r="V2650" s="2" t="s">
        <v>59</v>
      </c>
      <c r="W2650" s="2">
        <v>39.700000000000003</v>
      </c>
      <c r="X2650" s="2">
        <v>3</v>
      </c>
      <c r="Y2650" s="2" t="s">
        <v>440</v>
      </c>
      <c r="Z2650" s="2" t="s">
        <v>17678</v>
      </c>
      <c r="AA2650" s="2">
        <v>-1.1018045096817399</v>
      </c>
      <c r="AB2650" s="2">
        <v>0.304715335750259</v>
      </c>
      <c r="AC2650" s="2">
        <v>42509.253467956201</v>
      </c>
      <c r="AD2650" s="2">
        <v>49416.750331192801</v>
      </c>
      <c r="AE2650" s="2">
        <v>43163.590051529703</v>
      </c>
      <c r="AF2650" s="2">
        <v>43037.888246029397</v>
      </c>
      <c r="AG2650" s="2">
        <v>43608.709884464399</v>
      </c>
      <c r="AH2650" s="2">
        <v>42040.251542497797</v>
      </c>
      <c r="AI2650" s="2">
        <v>40806.864268557001</v>
      </c>
      <c r="AJ2650" s="2">
        <v>42398.216814658801</v>
      </c>
      <c r="AK2650" s="2">
        <v>50926.8553563323</v>
      </c>
      <c r="AL2650" s="2">
        <v>50004.8665020033</v>
      </c>
      <c r="AM2650" s="2">
        <v>53351.130392482301</v>
      </c>
      <c r="AN2650" s="2">
        <v>46734.288189333201</v>
      </c>
      <c r="AO2650" s="2">
        <v>46557.291637024602</v>
      </c>
      <c r="AP2650" s="2">
        <v>48926.069909981299</v>
      </c>
    </row>
    <row r="2651" spans="1:42" ht="14.5" x14ac:dyDescent="0.35">
      <c r="A2651" s="2" t="s">
        <v>17679</v>
      </c>
      <c r="B2651" s="2">
        <v>309.220914515022</v>
      </c>
      <c r="C2651" s="2">
        <v>10.7167833333333</v>
      </c>
      <c r="D2651" s="2" t="s">
        <v>34</v>
      </c>
      <c r="E2651" s="2" t="s">
        <v>17680</v>
      </c>
      <c r="F2651" s="2">
        <v>6432</v>
      </c>
      <c r="G2651" s="3" t="str">
        <f>HYPERLINK("http://funmeta.oebiotech.com/network/6432", "http://funmeta.oebiotech.com/network/6432")</f>
        <v>http://funmeta.oebiotech.com/network/6432</v>
      </c>
      <c r="H2651" s="2"/>
      <c r="I2651" s="2"/>
      <c r="J2651" s="2" t="s">
        <v>17681</v>
      </c>
      <c r="K2651" s="2"/>
      <c r="L2651" s="2"/>
      <c r="M2651" s="2"/>
      <c r="N2651" s="2"/>
      <c r="O2651" s="2">
        <v>10448021</v>
      </c>
      <c r="P2651" s="2"/>
      <c r="Q2651" s="2" t="s">
        <v>17682</v>
      </c>
      <c r="R2651" s="2" t="s">
        <v>17683</v>
      </c>
      <c r="S2651" s="2" t="s">
        <v>50</v>
      </c>
      <c r="T2651" s="2" t="s">
        <v>229</v>
      </c>
      <c r="U2651" s="2" t="s">
        <v>1283</v>
      </c>
      <c r="V2651" s="2" t="s">
        <v>42</v>
      </c>
      <c r="W2651" s="2">
        <v>48.4</v>
      </c>
      <c r="X2651" s="2">
        <v>58.8</v>
      </c>
      <c r="Y2651" s="2" t="s">
        <v>394</v>
      </c>
      <c r="Z2651" s="2" t="s">
        <v>17684</v>
      </c>
      <c r="AA2651" s="2">
        <v>-1.22458577241504</v>
      </c>
      <c r="AB2651" s="2">
        <v>0.304671230857332</v>
      </c>
      <c r="AC2651" s="2">
        <v>31027.233418028201</v>
      </c>
      <c r="AD2651" s="2">
        <v>37489.922418831498</v>
      </c>
      <c r="AE2651" s="2">
        <v>30551.354072783401</v>
      </c>
      <c r="AF2651" s="2">
        <v>31382.784012757798</v>
      </c>
      <c r="AG2651" s="2">
        <v>32139.796034343799</v>
      </c>
      <c r="AH2651" s="2">
        <v>30616.918164922099</v>
      </c>
      <c r="AI2651" s="2">
        <v>31668.0112981374</v>
      </c>
      <c r="AJ2651" s="2">
        <v>29804.5369252249</v>
      </c>
      <c r="AK2651" s="2">
        <v>39408.491561762901</v>
      </c>
      <c r="AL2651" s="2">
        <v>36827.273152034701</v>
      </c>
      <c r="AM2651" s="2">
        <v>35170.168683165597</v>
      </c>
      <c r="AN2651" s="2">
        <v>36753.409025221903</v>
      </c>
      <c r="AO2651" s="2">
        <v>38110.215292382301</v>
      </c>
      <c r="AP2651" s="2">
        <v>38669.9767984215</v>
      </c>
    </row>
    <row r="2652" spans="1:42" ht="14.5" x14ac:dyDescent="0.35">
      <c r="A2652" s="2" t="s">
        <v>17685</v>
      </c>
      <c r="B2652" s="2">
        <v>274.02079438832197</v>
      </c>
      <c r="C2652" s="2">
        <v>2.9767333333333301</v>
      </c>
      <c r="D2652" s="2" t="s">
        <v>34</v>
      </c>
      <c r="E2652" s="2" t="s">
        <v>17686</v>
      </c>
      <c r="F2652" s="2">
        <v>208773</v>
      </c>
      <c r="G2652" s="3" t="str">
        <f>HYPERLINK("http://funmeta.oebiotech.com/network/208773", "http://funmeta.oebiotech.com/network/208773")</f>
        <v>http://funmeta.oebiotech.com/network/208773</v>
      </c>
      <c r="H2652" s="2" t="s">
        <v>17687</v>
      </c>
      <c r="I2652" s="2"/>
      <c r="J2652" s="2"/>
      <c r="K2652" s="2"/>
      <c r="L2652" s="2"/>
      <c r="M2652" s="2"/>
      <c r="N2652" s="2"/>
      <c r="O2652" s="2">
        <v>51794</v>
      </c>
      <c r="P2652" s="2"/>
      <c r="Q2652" s="2" t="s">
        <v>17688</v>
      </c>
      <c r="R2652" s="2" t="s">
        <v>17689</v>
      </c>
      <c r="S2652" s="2" t="s">
        <v>41</v>
      </c>
      <c r="T2652" s="2" t="s">
        <v>41</v>
      </c>
      <c r="U2652" s="2" t="s">
        <v>41</v>
      </c>
      <c r="V2652" s="2" t="s">
        <v>59</v>
      </c>
      <c r="W2652" s="2">
        <v>37.5</v>
      </c>
      <c r="X2652" s="2">
        <v>0</v>
      </c>
      <c r="Y2652" s="2" t="s">
        <v>323</v>
      </c>
      <c r="Z2652" s="2" t="s">
        <v>17690</v>
      </c>
      <c r="AA2652" s="2">
        <v>3.3941099169323699</v>
      </c>
      <c r="AB2652" s="2">
        <v>0.30459641361547901</v>
      </c>
      <c r="AC2652" s="2">
        <v>21058.414367846501</v>
      </c>
      <c r="AD2652" s="2">
        <v>27534.493175019001</v>
      </c>
      <c r="AE2652" s="2">
        <v>21057.871885841101</v>
      </c>
      <c r="AF2652" s="2">
        <v>21437.1410979135</v>
      </c>
      <c r="AG2652" s="2">
        <v>20303.713222838302</v>
      </c>
      <c r="AH2652" s="2">
        <v>20327.397473606001</v>
      </c>
      <c r="AI2652" s="2">
        <v>21124.149125843502</v>
      </c>
      <c r="AJ2652" s="2">
        <v>22100.213401036399</v>
      </c>
      <c r="AK2652" s="2">
        <v>29445.373282908698</v>
      </c>
      <c r="AL2652" s="2">
        <v>24543.006143785398</v>
      </c>
      <c r="AM2652" s="2">
        <v>27692.891857938801</v>
      </c>
      <c r="AN2652" s="2">
        <v>28979.538540563401</v>
      </c>
      <c r="AO2652" s="2">
        <v>26986.879322152901</v>
      </c>
      <c r="AP2652" s="2">
        <v>27559.269902764801</v>
      </c>
    </row>
    <row r="2653" spans="1:42" ht="14.5" x14ac:dyDescent="0.35">
      <c r="A2653" s="2" t="s">
        <v>17691</v>
      </c>
      <c r="B2653" s="2">
        <v>661.03104916200903</v>
      </c>
      <c r="C2653" s="2">
        <v>10.0394666666667</v>
      </c>
      <c r="D2653" s="2" t="s">
        <v>70</v>
      </c>
      <c r="E2653" s="2" t="s">
        <v>17692</v>
      </c>
      <c r="F2653" s="2">
        <v>257179</v>
      </c>
      <c r="G2653" s="3" t="str">
        <f>HYPERLINK("http://funmeta.oebiotech.com/network/257179", "http://funmeta.oebiotech.com/network/257179")</f>
        <v>http://funmeta.oebiotech.com/network/257179</v>
      </c>
      <c r="H2653" s="2" t="s">
        <v>17693</v>
      </c>
      <c r="I2653" s="2"/>
      <c r="J2653" s="2"/>
      <c r="K2653" s="2">
        <v>17466</v>
      </c>
      <c r="L2653" s="2"/>
      <c r="M2653" s="2"/>
      <c r="N2653" s="2"/>
      <c r="O2653" s="2">
        <v>11966153</v>
      </c>
      <c r="P2653" s="2"/>
      <c r="Q2653" s="2" t="s">
        <v>17694</v>
      </c>
      <c r="R2653" s="2" t="s">
        <v>17695</v>
      </c>
      <c r="S2653" s="2" t="s">
        <v>1444</v>
      </c>
      <c r="T2653" s="2" t="s">
        <v>4937</v>
      </c>
      <c r="U2653" s="2" t="s">
        <v>17696</v>
      </c>
      <c r="V2653" s="2" t="s">
        <v>59</v>
      </c>
      <c r="W2653" s="2">
        <v>37.9</v>
      </c>
      <c r="X2653" s="2">
        <v>0</v>
      </c>
      <c r="Y2653" s="2" t="s">
        <v>408</v>
      </c>
      <c r="Z2653" s="2" t="s">
        <v>17697</v>
      </c>
      <c r="AA2653" s="2">
        <v>-0.156105144294788</v>
      </c>
      <c r="AB2653" s="2">
        <v>0.30453989264928999</v>
      </c>
      <c r="AC2653" s="2">
        <v>48140.541973840103</v>
      </c>
      <c r="AD2653" s="2">
        <v>55350.702865621999</v>
      </c>
      <c r="AE2653" s="2">
        <v>50989.347454828603</v>
      </c>
      <c r="AF2653" s="2">
        <v>49674.282091135101</v>
      </c>
      <c r="AG2653" s="2">
        <v>46823.603735216297</v>
      </c>
      <c r="AH2653" s="2">
        <v>49678.524355727197</v>
      </c>
      <c r="AI2653" s="2">
        <v>44788.251600516</v>
      </c>
      <c r="AJ2653" s="2">
        <v>46889.242605617699</v>
      </c>
      <c r="AK2653" s="2">
        <v>58351.535910271101</v>
      </c>
      <c r="AL2653" s="2">
        <v>57178.154906428201</v>
      </c>
      <c r="AM2653" s="2">
        <v>55816.868820781398</v>
      </c>
      <c r="AN2653" s="2">
        <v>51367.193546352697</v>
      </c>
      <c r="AO2653" s="2">
        <v>55637.540261866197</v>
      </c>
      <c r="AP2653" s="2">
        <v>53752.923748032299</v>
      </c>
    </row>
    <row r="2654" spans="1:42" ht="14.5" x14ac:dyDescent="0.35">
      <c r="A2654" s="2" t="s">
        <v>17698</v>
      </c>
      <c r="B2654" s="2">
        <v>1079.52247580622</v>
      </c>
      <c r="C2654" s="2">
        <v>10.5845</v>
      </c>
      <c r="D2654" s="2" t="s">
        <v>34</v>
      </c>
      <c r="E2654" s="2" t="s">
        <v>17699</v>
      </c>
      <c r="F2654" s="2">
        <v>233439</v>
      </c>
      <c r="G2654" s="3" t="str">
        <f>HYPERLINK("http://funmeta.oebiotech.com/network/233439", "http://funmeta.oebiotech.com/network/233439")</f>
        <v>http://funmeta.oebiotech.com/network/233439</v>
      </c>
      <c r="H2654" s="2" t="s">
        <v>17700</v>
      </c>
      <c r="I2654" s="2"/>
      <c r="J2654" s="2"/>
      <c r="K2654" s="2"/>
      <c r="L2654" s="2"/>
      <c r="M2654" s="2"/>
      <c r="N2654" s="2"/>
      <c r="O2654" s="2"/>
      <c r="P2654" s="2"/>
      <c r="Q2654" s="2" t="s">
        <v>17701</v>
      </c>
      <c r="R2654" s="2" t="s">
        <v>17702</v>
      </c>
      <c r="S2654" s="2" t="s">
        <v>41</v>
      </c>
      <c r="T2654" s="2" t="s">
        <v>41</v>
      </c>
      <c r="U2654" s="2" t="s">
        <v>41</v>
      </c>
      <c r="V2654" s="2" t="s">
        <v>59</v>
      </c>
      <c r="W2654" s="2">
        <v>36.5</v>
      </c>
      <c r="X2654" s="2">
        <v>0</v>
      </c>
      <c r="Y2654" s="2" t="s">
        <v>340</v>
      </c>
      <c r="Z2654" s="2" t="s">
        <v>17703</v>
      </c>
      <c r="AA2654" s="2">
        <v>-0.88564998380840698</v>
      </c>
      <c r="AB2654" s="2">
        <v>0.30447278983724502</v>
      </c>
      <c r="AC2654" s="2">
        <v>5324.1770326598898</v>
      </c>
      <c r="AD2654" s="2">
        <v>11836.6295259322</v>
      </c>
      <c r="AE2654" s="2">
        <v>4006.2269738712498</v>
      </c>
      <c r="AF2654" s="2">
        <v>3815.0570119189501</v>
      </c>
      <c r="AG2654" s="2">
        <v>6642.7913479188001</v>
      </c>
      <c r="AH2654" s="2">
        <v>5647.2160838080199</v>
      </c>
      <c r="AI2654" s="2">
        <v>5388.3417481932802</v>
      </c>
      <c r="AJ2654" s="2">
        <v>6445.4290302490399</v>
      </c>
      <c r="AK2654" s="2">
        <v>10906.893051176599</v>
      </c>
      <c r="AL2654" s="2">
        <v>9611.2509809971507</v>
      </c>
      <c r="AM2654" s="2">
        <v>11209.220855235601</v>
      </c>
      <c r="AN2654" s="2">
        <v>12356.9807870408</v>
      </c>
      <c r="AO2654" s="2">
        <v>13017.8968876909</v>
      </c>
      <c r="AP2654" s="2">
        <v>13917.534593452099</v>
      </c>
    </row>
    <row r="2655" spans="1:42" ht="14.5" x14ac:dyDescent="0.35">
      <c r="A2655" s="2" t="s">
        <v>17704</v>
      </c>
      <c r="B2655" s="2">
        <v>1195.52950167022</v>
      </c>
      <c r="C2655" s="2">
        <v>9.8611333333333295</v>
      </c>
      <c r="D2655" s="2" t="s">
        <v>70</v>
      </c>
      <c r="E2655" s="2" t="s">
        <v>17705</v>
      </c>
      <c r="F2655" s="2">
        <v>246080</v>
      </c>
      <c r="G2655" s="3" t="str">
        <f>HYPERLINK("http://funmeta.oebiotech.com/network/246080", "http://funmeta.oebiotech.com/network/246080")</f>
        <v>http://funmeta.oebiotech.com/network/246080</v>
      </c>
      <c r="H2655" s="2" t="s">
        <v>17706</v>
      </c>
      <c r="I2655" s="2"/>
      <c r="J2655" s="2"/>
      <c r="K2655" s="2"/>
      <c r="L2655" s="2"/>
      <c r="M2655" s="2"/>
      <c r="N2655" s="2"/>
      <c r="O2655" s="2"/>
      <c r="P2655" s="2"/>
      <c r="Q2655" s="2" t="s">
        <v>17707</v>
      </c>
      <c r="R2655" s="2" t="s">
        <v>17708</v>
      </c>
      <c r="S2655" s="2" t="s">
        <v>41</v>
      </c>
      <c r="T2655" s="2" t="s">
        <v>41</v>
      </c>
      <c r="U2655" s="2" t="s">
        <v>41</v>
      </c>
      <c r="V2655" s="2" t="s">
        <v>59</v>
      </c>
      <c r="W2655" s="2">
        <v>36.700000000000003</v>
      </c>
      <c r="X2655" s="2">
        <v>0</v>
      </c>
      <c r="Y2655" s="2" t="s">
        <v>408</v>
      </c>
      <c r="Z2655" s="2" t="s">
        <v>17709</v>
      </c>
      <c r="AA2655" s="2">
        <v>2.0360606943028898</v>
      </c>
      <c r="AB2655" s="2">
        <v>0.30422379296280999</v>
      </c>
      <c r="AC2655" s="2">
        <v>26066.715128921602</v>
      </c>
      <c r="AD2655" s="2">
        <v>18886.6189307727</v>
      </c>
      <c r="AE2655" s="2">
        <v>26622.4111358952</v>
      </c>
      <c r="AF2655" s="2">
        <v>25753.089745729401</v>
      </c>
      <c r="AG2655" s="2">
        <v>23678.915185975398</v>
      </c>
      <c r="AH2655" s="2">
        <v>24446.8719891521</v>
      </c>
      <c r="AI2655" s="2">
        <v>31026.461715216999</v>
      </c>
      <c r="AJ2655" s="2">
        <v>24872.541001560301</v>
      </c>
      <c r="AK2655" s="2">
        <v>19347.021310126001</v>
      </c>
      <c r="AL2655" s="2">
        <v>15871.849381284601</v>
      </c>
      <c r="AM2655" s="2">
        <v>19480.553971161</v>
      </c>
      <c r="AN2655" s="2">
        <v>17815.047564106699</v>
      </c>
      <c r="AO2655" s="2">
        <v>18534.218228824298</v>
      </c>
      <c r="AP2655" s="2">
        <v>22271.023129133599</v>
      </c>
    </row>
    <row r="2656" spans="1:42" ht="14.5" x14ac:dyDescent="0.35">
      <c r="A2656" s="2" t="s">
        <v>17710</v>
      </c>
      <c r="B2656" s="2">
        <v>695.218900121057</v>
      </c>
      <c r="C2656" s="2">
        <v>3.91611666666667</v>
      </c>
      <c r="D2656" s="2" t="s">
        <v>70</v>
      </c>
      <c r="E2656" s="2" t="s">
        <v>17711</v>
      </c>
      <c r="F2656" s="2">
        <v>55406</v>
      </c>
      <c r="G2656" s="3" t="str">
        <f>HYPERLINK("http://funmeta.oebiotech.com/network/55406", "http://funmeta.oebiotech.com/network/55406")</f>
        <v>http://funmeta.oebiotech.com/network/55406</v>
      </c>
      <c r="H2656" s="2" t="s">
        <v>17712</v>
      </c>
      <c r="I2656" s="2">
        <v>87105</v>
      </c>
      <c r="J2656" s="2"/>
      <c r="K2656" s="2">
        <v>168866</v>
      </c>
      <c r="L2656" s="2"/>
      <c r="M2656" s="2"/>
      <c r="N2656" s="2"/>
      <c r="O2656" s="2">
        <v>131751059</v>
      </c>
      <c r="P2656" s="2" t="s">
        <v>17713</v>
      </c>
      <c r="Q2656" s="2" t="s">
        <v>17714</v>
      </c>
      <c r="R2656" s="2" t="s">
        <v>17715</v>
      </c>
      <c r="S2656" s="2" t="s">
        <v>115</v>
      </c>
      <c r="T2656" s="2" t="s">
        <v>1371</v>
      </c>
      <c r="U2656" s="2" t="s">
        <v>1372</v>
      </c>
      <c r="V2656" s="2" t="s">
        <v>59</v>
      </c>
      <c r="W2656" s="2">
        <v>38.200000000000003</v>
      </c>
      <c r="X2656" s="2">
        <v>0</v>
      </c>
      <c r="Y2656" s="2" t="s">
        <v>408</v>
      </c>
      <c r="Z2656" s="2" t="s">
        <v>3387</v>
      </c>
      <c r="AA2656" s="2">
        <v>-0.57405245629859403</v>
      </c>
      <c r="AB2656" s="2">
        <v>0.30397298392712802</v>
      </c>
      <c r="AC2656" s="2">
        <v>7673.9640706703403</v>
      </c>
      <c r="AD2656" s="2">
        <v>813.655889741225</v>
      </c>
      <c r="AE2656" s="2">
        <v>5338.6670600778398</v>
      </c>
      <c r="AF2656" s="2">
        <v>3672.1777939056701</v>
      </c>
      <c r="AG2656" s="2">
        <v>9129.43005455602</v>
      </c>
      <c r="AH2656" s="2">
        <v>8572.8726957161998</v>
      </c>
      <c r="AI2656" s="2">
        <v>8855.1361109071095</v>
      </c>
      <c r="AJ2656" s="2">
        <v>10475.500708859199</v>
      </c>
      <c r="AK2656" s="2">
        <v>39.048056990754098</v>
      </c>
      <c r="AL2656" s="2">
        <v>2418.0158311565201</v>
      </c>
      <c r="AM2656" s="2">
        <v>5.4644407987580701</v>
      </c>
      <c r="AN2656" s="2">
        <v>895.56615426515498</v>
      </c>
      <c r="AO2656" s="2">
        <v>32.154964825601397</v>
      </c>
      <c r="AP2656" s="2">
        <v>1491.68589041056</v>
      </c>
    </row>
    <row r="2657" spans="1:42" ht="14.5" x14ac:dyDescent="0.35">
      <c r="A2657" s="2" t="s">
        <v>17716</v>
      </c>
      <c r="B2657" s="2">
        <v>523.14165220982602</v>
      </c>
      <c r="C2657" s="2">
        <v>4.5951666666666702</v>
      </c>
      <c r="D2657" s="2" t="s">
        <v>70</v>
      </c>
      <c r="E2657" s="2" t="s">
        <v>17717</v>
      </c>
      <c r="F2657" s="2">
        <v>197336</v>
      </c>
      <c r="G2657" s="3" t="str">
        <f>HYPERLINK("http://funmeta.oebiotech.com/network/197336", "http://funmeta.oebiotech.com/network/197336")</f>
        <v>http://funmeta.oebiotech.com/network/197336</v>
      </c>
      <c r="H2657" s="2" t="s">
        <v>17718</v>
      </c>
      <c r="I2657" s="2"/>
      <c r="J2657" s="2"/>
      <c r="K2657" s="2"/>
      <c r="L2657" s="2"/>
      <c r="M2657" s="2"/>
      <c r="N2657" s="2"/>
      <c r="O2657" s="2">
        <v>5318432</v>
      </c>
      <c r="P2657" s="2"/>
      <c r="Q2657" s="2" t="s">
        <v>17719</v>
      </c>
      <c r="R2657" s="2" t="s">
        <v>17720</v>
      </c>
      <c r="S2657" s="2" t="s">
        <v>491</v>
      </c>
      <c r="T2657" s="2" t="s">
        <v>2184</v>
      </c>
      <c r="U2657" s="2" t="s">
        <v>13266</v>
      </c>
      <c r="V2657" s="2" t="s">
        <v>59</v>
      </c>
      <c r="W2657" s="2">
        <v>39.299999999999997</v>
      </c>
      <c r="X2657" s="2">
        <v>0</v>
      </c>
      <c r="Y2657" s="2" t="s">
        <v>560</v>
      </c>
      <c r="Z2657" s="2" t="s">
        <v>17721</v>
      </c>
      <c r="AA2657" s="2">
        <v>0.90337571519286397</v>
      </c>
      <c r="AB2657" s="2">
        <v>0.30370483879196303</v>
      </c>
      <c r="AC2657" s="2">
        <v>7585.5940460070296</v>
      </c>
      <c r="AD2657" s="2">
        <v>1267.50052752633</v>
      </c>
      <c r="AE2657" s="2">
        <v>7628.3282932197799</v>
      </c>
      <c r="AF2657" s="2">
        <v>5679.1658314738097</v>
      </c>
      <c r="AG2657" s="2">
        <v>7191.5021729111804</v>
      </c>
      <c r="AH2657" s="2">
        <v>7590.9726521879502</v>
      </c>
      <c r="AI2657" s="2">
        <v>9150.0556963520394</v>
      </c>
      <c r="AJ2657" s="2">
        <v>8273.5396298974192</v>
      </c>
      <c r="AK2657" s="2">
        <v>1168.2654795231999</v>
      </c>
      <c r="AL2657" s="2">
        <v>1584.0145408056901</v>
      </c>
      <c r="AM2657" s="2">
        <v>983.47277303854901</v>
      </c>
      <c r="AN2657" s="2">
        <v>1662.2818818492899</v>
      </c>
      <c r="AO2657" s="2">
        <v>2206.9684628349701</v>
      </c>
      <c r="AP2657" s="2">
        <v>2.7106294003980101E-5</v>
      </c>
    </row>
    <row r="2658" spans="1:42" ht="14.5" x14ac:dyDescent="0.35">
      <c r="A2658" s="2" t="s">
        <v>17722</v>
      </c>
      <c r="B2658" s="2">
        <v>920.51939730205902</v>
      </c>
      <c r="C2658" s="2">
        <v>10.4180166666667</v>
      </c>
      <c r="D2658" s="2" t="s">
        <v>34</v>
      </c>
      <c r="E2658" s="2" t="s">
        <v>17723</v>
      </c>
      <c r="F2658" s="2">
        <v>58016</v>
      </c>
      <c r="G2658" s="3" t="str">
        <f>HYPERLINK("http://funmeta.oebiotech.com/network/58016", "http://funmeta.oebiotech.com/network/58016")</f>
        <v>http://funmeta.oebiotech.com/network/58016</v>
      </c>
      <c r="H2658" s="2" t="s">
        <v>17724</v>
      </c>
      <c r="I2658" s="2"/>
      <c r="J2658" s="2"/>
      <c r="K2658" s="2"/>
      <c r="L2658" s="2"/>
      <c r="M2658" s="2"/>
      <c r="N2658" s="2"/>
      <c r="O2658" s="2">
        <v>14104212</v>
      </c>
      <c r="P2658" s="2" t="s">
        <v>17725</v>
      </c>
      <c r="Q2658" s="2" t="s">
        <v>17726</v>
      </c>
      <c r="R2658" s="2" t="s">
        <v>17727</v>
      </c>
      <c r="S2658" s="2" t="s">
        <v>50</v>
      </c>
      <c r="T2658" s="2" t="s">
        <v>124</v>
      </c>
      <c r="U2658" s="2" t="s">
        <v>523</v>
      </c>
      <c r="V2658" s="2" t="s">
        <v>59</v>
      </c>
      <c r="W2658" s="2">
        <v>41.1</v>
      </c>
      <c r="X2658" s="2">
        <v>17.3</v>
      </c>
      <c r="Y2658" s="2" t="s">
        <v>43</v>
      </c>
      <c r="Z2658" s="2" t="s">
        <v>17728</v>
      </c>
      <c r="AA2658" s="2">
        <v>-2.1537729511906001</v>
      </c>
      <c r="AB2658" s="2">
        <v>0.30369843468705798</v>
      </c>
      <c r="AC2658" s="2">
        <v>93211.148803038595</v>
      </c>
      <c r="AD2658" s="2">
        <v>84071.7808047734</v>
      </c>
      <c r="AE2658" s="2">
        <v>95300.076382205298</v>
      </c>
      <c r="AF2658" s="2">
        <v>91885.963519591096</v>
      </c>
      <c r="AG2658" s="2">
        <v>94293.816430402207</v>
      </c>
      <c r="AH2658" s="2">
        <v>86883.185990100101</v>
      </c>
      <c r="AI2658" s="2">
        <v>94488.533601495001</v>
      </c>
      <c r="AJ2658" s="2">
        <v>96415.316894438103</v>
      </c>
      <c r="AK2658" s="2">
        <v>70481.749798742196</v>
      </c>
      <c r="AL2658" s="2">
        <v>86952.264185003194</v>
      </c>
      <c r="AM2658" s="2">
        <v>91180.756260286595</v>
      </c>
      <c r="AN2658" s="2">
        <v>86098.865464397604</v>
      </c>
      <c r="AO2658" s="2">
        <v>86687.812010295005</v>
      </c>
      <c r="AP2658" s="2">
        <v>83029.237109915601</v>
      </c>
    </row>
    <row r="2659" spans="1:42" ht="14.5" x14ac:dyDescent="0.35">
      <c r="A2659" s="2" t="s">
        <v>17729</v>
      </c>
      <c r="B2659" s="2">
        <v>735.21030035412502</v>
      </c>
      <c r="C2659" s="2">
        <v>3.4744666666666699</v>
      </c>
      <c r="D2659" s="2" t="s">
        <v>34</v>
      </c>
      <c r="E2659" s="2" t="s">
        <v>17730</v>
      </c>
      <c r="F2659" s="2">
        <v>64255</v>
      </c>
      <c r="G2659" s="3" t="str">
        <f>HYPERLINK("http://funmeta.oebiotech.com/network/64255", "http://funmeta.oebiotech.com/network/64255")</f>
        <v>http://funmeta.oebiotech.com/network/64255</v>
      </c>
      <c r="H2659" s="2" t="s">
        <v>17731</v>
      </c>
      <c r="I2659" s="2">
        <v>95577</v>
      </c>
      <c r="J2659" s="2"/>
      <c r="K2659" s="2"/>
      <c r="L2659" s="2"/>
      <c r="M2659" s="2"/>
      <c r="N2659" s="2"/>
      <c r="O2659" s="2">
        <v>74819335</v>
      </c>
      <c r="P2659" s="2" t="s">
        <v>17732</v>
      </c>
      <c r="Q2659" s="2" t="s">
        <v>17733</v>
      </c>
      <c r="R2659" s="2" t="s">
        <v>17734</v>
      </c>
      <c r="S2659" s="2" t="s">
        <v>115</v>
      </c>
      <c r="T2659" s="2" t="s">
        <v>139</v>
      </c>
      <c r="U2659" s="2" t="s">
        <v>140</v>
      </c>
      <c r="V2659" s="2" t="s">
        <v>59</v>
      </c>
      <c r="W2659" s="2">
        <v>38.4</v>
      </c>
      <c r="X2659" s="2">
        <v>0</v>
      </c>
      <c r="Y2659" s="2" t="s">
        <v>323</v>
      </c>
      <c r="Z2659" s="2" t="s">
        <v>17735</v>
      </c>
      <c r="AA2659" s="2">
        <v>-0.54022628347301704</v>
      </c>
      <c r="AB2659" s="2">
        <v>0.303513350223727</v>
      </c>
      <c r="AC2659" s="2">
        <v>7469.66107157243</v>
      </c>
      <c r="AD2659" s="2">
        <v>1317.23802810649</v>
      </c>
      <c r="AE2659" s="2">
        <v>8167.9084085299601</v>
      </c>
      <c r="AF2659" s="2">
        <v>6617.2543815746403</v>
      </c>
      <c r="AG2659" s="2">
        <v>8378.6978219867797</v>
      </c>
      <c r="AH2659" s="2">
        <v>6829.6535350741497</v>
      </c>
      <c r="AI2659" s="2">
        <v>6450.3128029322897</v>
      </c>
      <c r="AJ2659" s="2">
        <v>8374.1394793367308</v>
      </c>
      <c r="AK2659" s="2">
        <v>1209.99767421875</v>
      </c>
      <c r="AL2659" s="2">
        <v>1102.9238358377399</v>
      </c>
      <c r="AM2659" s="2">
        <v>1449.53656666352</v>
      </c>
      <c r="AN2659" s="2">
        <v>1144.43457544343</v>
      </c>
      <c r="AO2659" s="2">
        <v>1204.6740565570001</v>
      </c>
      <c r="AP2659" s="2">
        <v>1791.8614599185</v>
      </c>
    </row>
    <row r="2660" spans="1:42" ht="14.5" x14ac:dyDescent="0.35">
      <c r="A2660" s="2" t="s">
        <v>17736</v>
      </c>
      <c r="B2660" s="2">
        <v>392.171187341311</v>
      </c>
      <c r="C2660" s="2">
        <v>8.4361166666666705</v>
      </c>
      <c r="D2660" s="2" t="s">
        <v>70</v>
      </c>
      <c r="E2660" s="2" t="s">
        <v>17737</v>
      </c>
      <c r="F2660" s="2">
        <v>258334</v>
      </c>
      <c r="G2660" s="3" t="str">
        <f>HYPERLINK("http://funmeta.oebiotech.com/network/258334", "http://funmeta.oebiotech.com/network/258334")</f>
        <v>http://funmeta.oebiotech.com/network/258334</v>
      </c>
      <c r="H2660" s="2"/>
      <c r="I2660" s="2">
        <v>4082</v>
      </c>
      <c r="J2660" s="2"/>
      <c r="K2660" s="2"/>
      <c r="L2660" s="2"/>
      <c r="M2660" s="2"/>
      <c r="N2660" s="2"/>
      <c r="O2660" s="2">
        <v>3000667</v>
      </c>
      <c r="P2660" s="2" t="s">
        <v>17738</v>
      </c>
      <c r="Q2660" s="2" t="s">
        <v>17739</v>
      </c>
      <c r="R2660" s="2" t="s">
        <v>17740</v>
      </c>
      <c r="S2660" s="2" t="s">
        <v>89</v>
      </c>
      <c r="T2660" s="2" t="s">
        <v>4218</v>
      </c>
      <c r="U2660" s="2" t="s">
        <v>4219</v>
      </c>
      <c r="V2660" s="2" t="s">
        <v>59</v>
      </c>
      <c r="W2660" s="2">
        <v>38.700000000000003</v>
      </c>
      <c r="X2660" s="2">
        <v>0</v>
      </c>
      <c r="Y2660" s="2" t="s">
        <v>408</v>
      </c>
      <c r="Z2660" s="2" t="s">
        <v>17741</v>
      </c>
      <c r="AA2660" s="2">
        <v>-0.83080427555205805</v>
      </c>
      <c r="AB2660" s="2">
        <v>0.303437273016126</v>
      </c>
      <c r="AC2660" s="2">
        <v>7584.9446488674403</v>
      </c>
      <c r="AD2660" s="2">
        <v>16.218006514660001</v>
      </c>
      <c r="AE2660" s="2">
        <v>4304.7528802608203</v>
      </c>
      <c r="AF2660" s="2">
        <v>15831.988334731101</v>
      </c>
      <c r="AG2660" s="2">
        <v>7880.3132400007098</v>
      </c>
      <c r="AH2660" s="2">
        <v>8664.3134208558895</v>
      </c>
      <c r="AI2660" s="2">
        <v>3174.3572387823601</v>
      </c>
      <c r="AJ2660" s="2">
        <v>5653.9427785737698</v>
      </c>
      <c r="AK2660" s="2">
        <v>2.7106294003980101E-5</v>
      </c>
      <c r="AL2660" s="2">
        <v>0.32480847286105902</v>
      </c>
      <c r="AM2660" s="2">
        <v>2.7106294003980101E-5</v>
      </c>
      <c r="AN2660" s="2">
        <v>2.7106294003980101E-5</v>
      </c>
      <c r="AO2660" s="2">
        <v>96.983122189923094</v>
      </c>
      <c r="AP2660" s="2">
        <v>2.7106294003980101E-5</v>
      </c>
    </row>
    <row r="2661" spans="1:42" ht="14.5" x14ac:dyDescent="0.35">
      <c r="A2661" s="2" t="s">
        <v>17742</v>
      </c>
      <c r="B2661" s="2">
        <v>1029.4374123816499</v>
      </c>
      <c r="C2661" s="2">
        <v>9.2734333333333296</v>
      </c>
      <c r="D2661" s="2" t="s">
        <v>34</v>
      </c>
      <c r="E2661" s="2" t="s">
        <v>17743</v>
      </c>
      <c r="F2661" s="2">
        <v>232417</v>
      </c>
      <c r="G2661" s="3" t="str">
        <f>HYPERLINK("http://funmeta.oebiotech.com/network/232417", "http://funmeta.oebiotech.com/network/232417")</f>
        <v>http://funmeta.oebiotech.com/network/232417</v>
      </c>
      <c r="H2661" s="2" t="s">
        <v>17744</v>
      </c>
      <c r="I2661" s="2"/>
      <c r="J2661" s="2"/>
      <c r="K2661" s="2"/>
      <c r="L2661" s="2"/>
      <c r="M2661" s="2"/>
      <c r="N2661" s="2"/>
      <c r="O2661" s="2"/>
      <c r="P2661" s="2"/>
      <c r="Q2661" s="2" t="s">
        <v>17745</v>
      </c>
      <c r="R2661" s="2" t="s">
        <v>17746</v>
      </c>
      <c r="S2661" s="2" t="s">
        <v>41</v>
      </c>
      <c r="T2661" s="2" t="s">
        <v>41</v>
      </c>
      <c r="U2661" s="2" t="s">
        <v>41</v>
      </c>
      <c r="V2661" s="2" t="s">
        <v>59</v>
      </c>
      <c r="W2661" s="2">
        <v>37.799999999999997</v>
      </c>
      <c r="X2661" s="2">
        <v>0</v>
      </c>
      <c r="Y2661" s="2" t="s">
        <v>323</v>
      </c>
      <c r="Z2661" s="2" t="s">
        <v>17747</v>
      </c>
      <c r="AA2661" s="2">
        <v>2.5716568136318601</v>
      </c>
      <c r="AB2661" s="2">
        <v>0.30312132095296301</v>
      </c>
      <c r="AC2661" s="2">
        <v>6357.9142484595804</v>
      </c>
      <c r="AD2661" s="2">
        <v>322.97988689523498</v>
      </c>
      <c r="AE2661" s="2">
        <v>6166.0873284196296</v>
      </c>
      <c r="AF2661" s="2">
        <v>6333.5796983590499</v>
      </c>
      <c r="AG2661" s="2">
        <v>6546.3949337567801</v>
      </c>
      <c r="AH2661" s="2">
        <v>6448.1973427325702</v>
      </c>
      <c r="AI2661" s="2">
        <v>5992.2011308175397</v>
      </c>
      <c r="AJ2661" s="2">
        <v>6661.0250566718896</v>
      </c>
      <c r="AK2661" s="2">
        <v>262.51373513086298</v>
      </c>
      <c r="AL2661" s="2">
        <v>650.49148165172301</v>
      </c>
      <c r="AM2661" s="2">
        <v>320.98550624983301</v>
      </c>
      <c r="AN2661" s="2">
        <v>236.14812663981601</v>
      </c>
      <c r="AO2661" s="2">
        <v>248.06771330652899</v>
      </c>
      <c r="AP2661" s="2">
        <v>219.672758392649</v>
      </c>
    </row>
    <row r="2662" spans="1:42" ht="14.5" x14ac:dyDescent="0.35">
      <c r="A2662" s="2" t="s">
        <v>17748</v>
      </c>
      <c r="B2662" s="2">
        <v>599.19626230418203</v>
      </c>
      <c r="C2662" s="2">
        <v>4.64978333333333</v>
      </c>
      <c r="D2662" s="2" t="s">
        <v>34</v>
      </c>
      <c r="E2662" s="2" t="s">
        <v>17749</v>
      </c>
      <c r="F2662" s="2">
        <v>293659</v>
      </c>
      <c r="G2662" s="3" t="str">
        <f>HYPERLINK("http://funmeta.oebiotech.com/network/293659", "http://funmeta.oebiotech.com/network/293659")</f>
        <v>http://funmeta.oebiotech.com/network/293659</v>
      </c>
      <c r="H2662" s="2"/>
      <c r="I2662" s="2">
        <v>317609</v>
      </c>
      <c r="J2662" s="2"/>
      <c r="K2662" s="2"/>
      <c r="L2662" s="2"/>
      <c r="M2662" s="2"/>
      <c r="N2662" s="2"/>
      <c r="O2662" s="2">
        <v>10145345</v>
      </c>
      <c r="P2662" s="2"/>
      <c r="Q2662" s="2" t="s">
        <v>17750</v>
      </c>
      <c r="R2662" s="2" t="s">
        <v>17751</v>
      </c>
      <c r="S2662" s="2" t="s">
        <v>491</v>
      </c>
      <c r="T2662" s="2" t="s">
        <v>1516</v>
      </c>
      <c r="U2662" s="2" t="s">
        <v>17752</v>
      </c>
      <c r="V2662" s="2" t="s">
        <v>59</v>
      </c>
      <c r="W2662" s="2">
        <v>38.5</v>
      </c>
      <c r="X2662" s="2">
        <v>0</v>
      </c>
      <c r="Y2662" s="2" t="s">
        <v>242</v>
      </c>
      <c r="Z2662" s="2" t="s">
        <v>17753</v>
      </c>
      <c r="AA2662" s="2">
        <v>1.98793425447672</v>
      </c>
      <c r="AB2662" s="2">
        <v>0.30306920016852301</v>
      </c>
      <c r="AC2662" s="2">
        <v>44463.219314517897</v>
      </c>
      <c r="AD2662" s="2">
        <v>36512.5055539682</v>
      </c>
      <c r="AE2662" s="2">
        <v>40718.7550618319</v>
      </c>
      <c r="AF2662" s="2">
        <v>44291.857727681403</v>
      </c>
      <c r="AG2662" s="2">
        <v>51647.896942334199</v>
      </c>
      <c r="AH2662" s="2">
        <v>39078.3610121163</v>
      </c>
      <c r="AI2662" s="2">
        <v>42457.842548086497</v>
      </c>
      <c r="AJ2662" s="2">
        <v>48584.602595057397</v>
      </c>
      <c r="AK2662" s="2">
        <v>37023.654737149598</v>
      </c>
      <c r="AL2662" s="2">
        <v>38017.380280814403</v>
      </c>
      <c r="AM2662" s="2">
        <v>37257.875426422397</v>
      </c>
      <c r="AN2662" s="2">
        <v>35654.370511837296</v>
      </c>
      <c r="AO2662" s="2">
        <v>38954.543599221601</v>
      </c>
      <c r="AP2662" s="2">
        <v>32167.2087683639</v>
      </c>
    </row>
    <row r="2663" spans="1:42" ht="14.5" x14ac:dyDescent="0.35">
      <c r="A2663" s="2" t="s">
        <v>17754</v>
      </c>
      <c r="B2663" s="2">
        <v>253.10582269688899</v>
      </c>
      <c r="C2663" s="2">
        <v>4.2938999999999998</v>
      </c>
      <c r="D2663" s="2" t="s">
        <v>34</v>
      </c>
      <c r="E2663" s="2" t="s">
        <v>17755</v>
      </c>
      <c r="F2663" s="2">
        <v>257232</v>
      </c>
      <c r="G2663" s="3" t="str">
        <f>HYPERLINK("http://funmeta.oebiotech.com/network/257232", "http://funmeta.oebiotech.com/network/257232")</f>
        <v>http://funmeta.oebiotech.com/network/257232</v>
      </c>
      <c r="H2663" s="2" t="s">
        <v>17756</v>
      </c>
      <c r="I2663" s="2"/>
      <c r="J2663" s="2"/>
      <c r="K2663" s="2"/>
      <c r="L2663" s="2"/>
      <c r="M2663" s="2"/>
      <c r="N2663" s="2"/>
      <c r="O2663" s="2">
        <v>75107009</v>
      </c>
      <c r="P2663" s="2"/>
      <c r="Q2663" s="2" t="s">
        <v>17757</v>
      </c>
      <c r="R2663" s="2" t="s">
        <v>17758</v>
      </c>
      <c r="S2663" s="2" t="s">
        <v>491</v>
      </c>
      <c r="T2663" s="2" t="s">
        <v>2184</v>
      </c>
      <c r="U2663" s="2" t="s">
        <v>8858</v>
      </c>
      <c r="V2663" s="2" t="s">
        <v>59</v>
      </c>
      <c r="W2663" s="2">
        <v>38.5</v>
      </c>
      <c r="X2663" s="2">
        <v>0</v>
      </c>
      <c r="Y2663" s="2" t="s">
        <v>43</v>
      </c>
      <c r="Z2663" s="2" t="s">
        <v>17759</v>
      </c>
      <c r="AA2663" s="2">
        <v>0.49060006027151498</v>
      </c>
      <c r="AB2663" s="2">
        <v>0.302843285914141</v>
      </c>
      <c r="AC2663" s="2">
        <v>23745.8710886585</v>
      </c>
      <c r="AD2663" s="2">
        <v>30375.021253882602</v>
      </c>
      <c r="AE2663" s="2">
        <v>25283.5840850819</v>
      </c>
      <c r="AF2663" s="2">
        <v>23635.093457516399</v>
      </c>
      <c r="AG2663" s="2">
        <v>24659.686697946301</v>
      </c>
      <c r="AH2663" s="2">
        <v>22391.658098503998</v>
      </c>
      <c r="AI2663" s="2">
        <v>23723.747831184501</v>
      </c>
      <c r="AJ2663" s="2">
        <v>22781.456361717999</v>
      </c>
      <c r="AK2663" s="2">
        <v>34224.684474861999</v>
      </c>
      <c r="AL2663" s="2">
        <v>30799.540793650202</v>
      </c>
      <c r="AM2663" s="2">
        <v>28286.185104870299</v>
      </c>
      <c r="AN2663" s="2">
        <v>29740.190808393701</v>
      </c>
      <c r="AO2663" s="2">
        <v>29527.963389315901</v>
      </c>
      <c r="AP2663" s="2">
        <v>29671.562952203702</v>
      </c>
    </row>
    <row r="2664" spans="1:42" ht="14.5" x14ac:dyDescent="0.35">
      <c r="A2664" s="2" t="s">
        <v>17760</v>
      </c>
      <c r="B2664" s="2">
        <v>481.097482360627</v>
      </c>
      <c r="C2664" s="2">
        <v>4.4793166666666702</v>
      </c>
      <c r="D2664" s="2" t="s">
        <v>34</v>
      </c>
      <c r="E2664" s="2" t="s">
        <v>17761</v>
      </c>
      <c r="F2664" s="2">
        <v>33283</v>
      </c>
      <c r="G2664" s="3" t="str">
        <f>HYPERLINK("http://funmeta.oebiotech.com/network/33283", "http://funmeta.oebiotech.com/network/33283")</f>
        <v>http://funmeta.oebiotech.com/network/33283</v>
      </c>
      <c r="H2664" s="2"/>
      <c r="I2664" s="2">
        <v>51610</v>
      </c>
      <c r="J2664" s="2" t="s">
        <v>17762</v>
      </c>
      <c r="K2664" s="2">
        <v>5525</v>
      </c>
      <c r="L2664" s="2" t="s">
        <v>17763</v>
      </c>
      <c r="M2664" s="2"/>
      <c r="N2664" s="2"/>
      <c r="O2664" s="2">
        <v>5281621</v>
      </c>
      <c r="P2664" s="2"/>
      <c r="Q2664" s="2" t="s">
        <v>17764</v>
      </c>
      <c r="R2664" s="2" t="s">
        <v>17765</v>
      </c>
      <c r="S2664" s="2" t="s">
        <v>115</v>
      </c>
      <c r="T2664" s="2" t="s">
        <v>139</v>
      </c>
      <c r="U2664" s="2" t="s">
        <v>140</v>
      </c>
      <c r="V2664" s="2" t="s">
        <v>59</v>
      </c>
      <c r="W2664" s="2">
        <v>38</v>
      </c>
      <c r="X2664" s="2">
        <v>0</v>
      </c>
      <c r="Y2664" s="2" t="s">
        <v>67</v>
      </c>
      <c r="Z2664" s="2" t="s">
        <v>9284</v>
      </c>
      <c r="AA2664" s="2">
        <v>-0.38485888703696802</v>
      </c>
      <c r="AB2664" s="2">
        <v>0.302842914132534</v>
      </c>
      <c r="AC2664" s="2">
        <v>28007.233020829401</v>
      </c>
      <c r="AD2664" s="2">
        <v>19909.290389165399</v>
      </c>
      <c r="AE2664" s="2">
        <v>24991.658978551401</v>
      </c>
      <c r="AF2664" s="2">
        <v>25792.908653824299</v>
      </c>
      <c r="AG2664" s="2">
        <v>30379.761477266198</v>
      </c>
      <c r="AH2664" s="2">
        <v>23184.5512405027</v>
      </c>
      <c r="AI2664" s="2">
        <v>27005.324014064699</v>
      </c>
      <c r="AJ2664" s="2">
        <v>36689.193760767201</v>
      </c>
      <c r="AK2664" s="2">
        <v>23711.191528839001</v>
      </c>
      <c r="AL2664" s="2">
        <v>19346.300407286199</v>
      </c>
      <c r="AM2664" s="2">
        <v>22295.864020330398</v>
      </c>
      <c r="AN2664" s="2">
        <v>20530.698475554898</v>
      </c>
      <c r="AO2664" s="2">
        <v>17166.588576711401</v>
      </c>
      <c r="AP2664" s="2">
        <v>16405.099326270301</v>
      </c>
    </row>
    <row r="2665" spans="1:42" ht="14.5" x14ac:dyDescent="0.35">
      <c r="A2665" s="2" t="s">
        <v>17766</v>
      </c>
      <c r="B2665" s="2">
        <v>319.08211380553001</v>
      </c>
      <c r="C2665" s="2">
        <v>4.0778333333333299</v>
      </c>
      <c r="D2665" s="2" t="s">
        <v>70</v>
      </c>
      <c r="E2665" s="2" t="s">
        <v>17767</v>
      </c>
      <c r="F2665" s="2">
        <v>55503</v>
      </c>
      <c r="G2665" s="3" t="str">
        <f>HYPERLINK("http://funmeta.oebiotech.com/network/55503", "http://funmeta.oebiotech.com/network/55503")</f>
        <v>http://funmeta.oebiotech.com/network/55503</v>
      </c>
      <c r="H2665" s="2" t="s">
        <v>17768</v>
      </c>
      <c r="I2665" s="2">
        <v>87176</v>
      </c>
      <c r="J2665" s="2"/>
      <c r="K2665" s="2">
        <v>174603</v>
      </c>
      <c r="L2665" s="2"/>
      <c r="M2665" s="2"/>
      <c r="N2665" s="2"/>
      <c r="O2665" s="2">
        <v>131751080</v>
      </c>
      <c r="P2665" s="2" t="s">
        <v>17769</v>
      </c>
      <c r="Q2665" s="2" t="s">
        <v>17770</v>
      </c>
      <c r="R2665" s="2" t="s">
        <v>17771</v>
      </c>
      <c r="S2665" s="2" t="s">
        <v>115</v>
      </c>
      <c r="T2665" s="2" t="s">
        <v>17772</v>
      </c>
      <c r="U2665" s="2" t="s">
        <v>41</v>
      </c>
      <c r="V2665" s="2" t="s">
        <v>42</v>
      </c>
      <c r="W2665" s="2">
        <v>54.4</v>
      </c>
      <c r="X2665" s="2">
        <v>75.8</v>
      </c>
      <c r="Y2665" s="2" t="s">
        <v>408</v>
      </c>
      <c r="Z2665" s="2" t="s">
        <v>15852</v>
      </c>
      <c r="AA2665" s="2">
        <v>-0.77571530827430202</v>
      </c>
      <c r="AB2665" s="2">
        <v>0.30271578473295702</v>
      </c>
      <c r="AC2665" s="2">
        <v>28259.4257595944</v>
      </c>
      <c r="AD2665" s="2">
        <v>36312.210951990703</v>
      </c>
      <c r="AE2665" s="2">
        <v>26509.740711888298</v>
      </c>
      <c r="AF2665" s="2">
        <v>28106.154318228801</v>
      </c>
      <c r="AG2665" s="2">
        <v>33562.209170851798</v>
      </c>
      <c r="AH2665" s="2">
        <v>26133.5303462384</v>
      </c>
      <c r="AI2665" s="2">
        <v>24191.959388610601</v>
      </c>
      <c r="AJ2665" s="2">
        <v>31052.960621748702</v>
      </c>
      <c r="AK2665" s="2">
        <v>31758.277084810499</v>
      </c>
      <c r="AL2665" s="2">
        <v>41426.7689341812</v>
      </c>
      <c r="AM2665" s="2">
        <v>37159.905199131397</v>
      </c>
      <c r="AN2665" s="2">
        <v>38020.133089879098</v>
      </c>
      <c r="AO2665" s="2">
        <v>38850.074672347502</v>
      </c>
      <c r="AP2665" s="2">
        <v>30658.106731594198</v>
      </c>
    </row>
    <row r="2666" spans="1:42" ht="14.5" x14ac:dyDescent="0.35">
      <c r="A2666" s="2" t="s">
        <v>17773</v>
      </c>
      <c r="B2666" s="2">
        <v>1067.4806326563901</v>
      </c>
      <c r="C2666" s="2">
        <v>8.4708833333333295</v>
      </c>
      <c r="D2666" s="2" t="s">
        <v>34</v>
      </c>
      <c r="E2666" s="2" t="s">
        <v>17774</v>
      </c>
      <c r="F2666" s="2">
        <v>61716</v>
      </c>
      <c r="G2666" s="3" t="str">
        <f>HYPERLINK("http://funmeta.oebiotech.com/network/61716", "http://funmeta.oebiotech.com/network/61716")</f>
        <v>http://funmeta.oebiotech.com/network/61716</v>
      </c>
      <c r="H2666" s="2" t="s">
        <v>17775</v>
      </c>
      <c r="I2666" s="2">
        <v>93040</v>
      </c>
      <c r="J2666" s="2"/>
      <c r="K2666" s="2"/>
      <c r="L2666" s="2"/>
      <c r="M2666" s="2"/>
      <c r="N2666" s="2"/>
      <c r="O2666" s="2">
        <v>85194431</v>
      </c>
      <c r="P2666" s="2" t="s">
        <v>17776</v>
      </c>
      <c r="Q2666" s="2" t="s">
        <v>17777</v>
      </c>
      <c r="R2666" s="2" t="s">
        <v>17778</v>
      </c>
      <c r="S2666" s="2" t="s">
        <v>50</v>
      </c>
      <c r="T2666" s="2" t="s">
        <v>201</v>
      </c>
      <c r="U2666" s="2" t="s">
        <v>202</v>
      </c>
      <c r="V2666" s="2" t="s">
        <v>59</v>
      </c>
      <c r="W2666" s="2">
        <v>36.799999999999997</v>
      </c>
      <c r="X2666" s="2">
        <v>0</v>
      </c>
      <c r="Y2666" s="2" t="s">
        <v>340</v>
      </c>
      <c r="Z2666" s="2" t="s">
        <v>17779</v>
      </c>
      <c r="AA2666" s="2">
        <v>-1.6868911692966899</v>
      </c>
      <c r="AB2666" s="2">
        <v>0.30256043466127303</v>
      </c>
      <c r="AC2666" s="2">
        <v>18551.940362987101</v>
      </c>
      <c r="AD2666" s="2">
        <v>9430.4386004424396</v>
      </c>
      <c r="AE2666" s="2">
        <v>11226.693585864001</v>
      </c>
      <c r="AF2666" s="2">
        <v>10709.8495278186</v>
      </c>
      <c r="AG2666" s="2">
        <v>28018.004421138299</v>
      </c>
      <c r="AH2666" s="2">
        <v>23230.9419173762</v>
      </c>
      <c r="AI2666" s="2">
        <v>16504.796460212001</v>
      </c>
      <c r="AJ2666" s="2">
        <v>21621.356265513499</v>
      </c>
      <c r="AK2666" s="2">
        <v>12325.676258076301</v>
      </c>
      <c r="AL2666" s="2">
        <v>10079.538355885699</v>
      </c>
      <c r="AM2666" s="2">
        <v>5016.4885828440802</v>
      </c>
      <c r="AN2666" s="2">
        <v>3880.6839853402698</v>
      </c>
      <c r="AO2666" s="2">
        <v>10009.3428081732</v>
      </c>
      <c r="AP2666" s="2">
        <v>15270.901612335099</v>
      </c>
    </row>
    <row r="2667" spans="1:42" ht="14.5" x14ac:dyDescent="0.35">
      <c r="A2667" s="2" t="s">
        <v>17780</v>
      </c>
      <c r="B2667" s="2">
        <v>204.02939950843901</v>
      </c>
      <c r="C2667" s="2">
        <v>3.35293333333333</v>
      </c>
      <c r="D2667" s="2" t="s">
        <v>70</v>
      </c>
      <c r="E2667" s="2" t="s">
        <v>17781</v>
      </c>
      <c r="F2667" s="2">
        <v>47277</v>
      </c>
      <c r="G2667" s="3" t="str">
        <f>HYPERLINK("http://funmeta.oebiotech.com/network/47277", "http://funmeta.oebiotech.com/network/47277")</f>
        <v>http://funmeta.oebiotech.com/network/47277</v>
      </c>
      <c r="H2667" s="2" t="s">
        <v>17782</v>
      </c>
      <c r="I2667" s="2">
        <v>5841</v>
      </c>
      <c r="J2667" s="2"/>
      <c r="K2667" s="2">
        <v>10072</v>
      </c>
      <c r="L2667" s="2" t="s">
        <v>17783</v>
      </c>
      <c r="M2667" s="2" t="s">
        <v>17784</v>
      </c>
      <c r="N2667" s="2" t="s">
        <v>17785</v>
      </c>
      <c r="O2667" s="2">
        <v>5699</v>
      </c>
      <c r="P2667" s="2" t="s">
        <v>17786</v>
      </c>
      <c r="Q2667" s="2" t="s">
        <v>17787</v>
      </c>
      <c r="R2667" s="2" t="s">
        <v>17788</v>
      </c>
      <c r="S2667" s="2" t="s">
        <v>491</v>
      </c>
      <c r="T2667" s="2" t="s">
        <v>1516</v>
      </c>
      <c r="U2667" s="2" t="s">
        <v>2355</v>
      </c>
      <c r="V2667" s="2" t="s">
        <v>42</v>
      </c>
      <c r="W2667" s="2">
        <v>55.7</v>
      </c>
      <c r="X2667" s="2">
        <v>85.9</v>
      </c>
      <c r="Y2667" s="2" t="s">
        <v>118</v>
      </c>
      <c r="Z2667" s="2" t="s">
        <v>7851</v>
      </c>
      <c r="AA2667" s="2">
        <v>-4.0566582212820803</v>
      </c>
      <c r="AB2667" s="2">
        <v>0.30235890633378998</v>
      </c>
      <c r="AC2667" s="2">
        <v>54460.387361693298</v>
      </c>
      <c r="AD2667" s="2">
        <v>61126.503108664503</v>
      </c>
      <c r="AE2667" s="2">
        <v>55102.574025606402</v>
      </c>
      <c r="AF2667" s="2">
        <v>54223.386887572698</v>
      </c>
      <c r="AG2667" s="2">
        <v>53517.336864909397</v>
      </c>
      <c r="AH2667" s="2">
        <v>55941.475256061</v>
      </c>
      <c r="AI2667" s="2">
        <v>54478.376079795104</v>
      </c>
      <c r="AJ2667" s="2">
        <v>53499.175056215099</v>
      </c>
      <c r="AK2667" s="2">
        <v>61207.136255852602</v>
      </c>
      <c r="AL2667" s="2">
        <v>58020.608371226299</v>
      </c>
      <c r="AM2667" s="2">
        <v>63523.825413662104</v>
      </c>
      <c r="AN2667" s="2">
        <v>62844.480275314098</v>
      </c>
      <c r="AO2667" s="2">
        <v>58437.642099861798</v>
      </c>
      <c r="AP2667" s="2">
        <v>62725.326236070199</v>
      </c>
    </row>
    <row r="2668" spans="1:42" ht="14.5" x14ac:dyDescent="0.35">
      <c r="A2668" s="2" t="s">
        <v>17789</v>
      </c>
      <c r="B2668" s="2">
        <v>436.96379919072302</v>
      </c>
      <c r="C2668" s="2">
        <v>0.78520000000000001</v>
      </c>
      <c r="D2668" s="2" t="s">
        <v>70</v>
      </c>
      <c r="E2668" s="2" t="s">
        <v>17790</v>
      </c>
      <c r="F2668" s="2">
        <v>210192</v>
      </c>
      <c r="G2668" s="3" t="str">
        <f>HYPERLINK("http://funmeta.oebiotech.com/network/210192", "http://funmeta.oebiotech.com/network/210192")</f>
        <v>http://funmeta.oebiotech.com/network/210192</v>
      </c>
      <c r="H2668" s="2" t="s">
        <v>17791</v>
      </c>
      <c r="I2668" s="2">
        <v>336528</v>
      </c>
      <c r="J2668" s="2"/>
      <c r="K2668" s="2">
        <v>38826</v>
      </c>
      <c r="L2668" s="2"/>
      <c r="M2668" s="2"/>
      <c r="N2668" s="2"/>
      <c r="O2668" s="2">
        <v>9387</v>
      </c>
      <c r="P2668" s="2"/>
      <c r="Q2668" s="2" t="s">
        <v>17792</v>
      </c>
      <c r="R2668" s="2" t="s">
        <v>17793</v>
      </c>
      <c r="S2668" s="2" t="s">
        <v>2811</v>
      </c>
      <c r="T2668" s="2" t="s">
        <v>17794</v>
      </c>
      <c r="U2668" s="2" t="s">
        <v>41</v>
      </c>
      <c r="V2668" s="2" t="s">
        <v>59</v>
      </c>
      <c r="W2668" s="2">
        <v>39.200000000000003</v>
      </c>
      <c r="X2668" s="2">
        <v>0</v>
      </c>
      <c r="Y2668" s="2" t="s">
        <v>792</v>
      </c>
      <c r="Z2668" s="2" t="s">
        <v>17795</v>
      </c>
      <c r="AA2668" s="2">
        <v>-0.41632247200962702</v>
      </c>
      <c r="AB2668" s="2">
        <v>0.30228020146055301</v>
      </c>
      <c r="AC2668" s="2">
        <v>16113.0416641428</v>
      </c>
      <c r="AD2668" s="2">
        <v>8655.1871885796299</v>
      </c>
      <c r="AE2668" s="2">
        <v>18449.0026069657</v>
      </c>
      <c r="AF2668" s="2">
        <v>13974.969256435799</v>
      </c>
      <c r="AG2668" s="2">
        <v>11531.017311449201</v>
      </c>
      <c r="AH2668" s="2">
        <v>15068.3446231507</v>
      </c>
      <c r="AI2668" s="2">
        <v>18976.9000785762</v>
      </c>
      <c r="AJ2668" s="2">
        <v>18678.016108279</v>
      </c>
      <c r="AK2668" s="2">
        <v>9246.5475927247007</v>
      </c>
      <c r="AL2668" s="2">
        <v>4605.3664797419096</v>
      </c>
      <c r="AM2668" s="2">
        <v>9430.8589380831509</v>
      </c>
      <c r="AN2668" s="2">
        <v>13008.403327054</v>
      </c>
      <c r="AO2668" s="2">
        <v>8259.0038809743091</v>
      </c>
      <c r="AP2668" s="2">
        <v>7380.9429128996999</v>
      </c>
    </row>
    <row r="2669" spans="1:42" ht="14.5" x14ac:dyDescent="0.35">
      <c r="A2669" s="2" t="s">
        <v>17796</v>
      </c>
      <c r="B2669" s="2">
        <v>180.989757971394</v>
      </c>
      <c r="C2669" s="2">
        <v>0.55359999999999998</v>
      </c>
      <c r="D2669" s="2" t="s">
        <v>34</v>
      </c>
      <c r="E2669" s="2" t="s">
        <v>17797</v>
      </c>
      <c r="F2669" s="2">
        <v>57250</v>
      </c>
      <c r="G2669" s="3" t="str">
        <f>HYPERLINK("http://funmeta.oebiotech.com/network/57250", "http://funmeta.oebiotech.com/network/57250")</f>
        <v>http://funmeta.oebiotech.com/network/57250</v>
      </c>
      <c r="H2669" s="2" t="s">
        <v>17798</v>
      </c>
      <c r="I2669" s="2">
        <v>88885</v>
      </c>
      <c r="J2669" s="2"/>
      <c r="K2669" s="2"/>
      <c r="L2669" s="2"/>
      <c r="M2669" s="2"/>
      <c r="N2669" s="2"/>
      <c r="O2669" s="2">
        <v>70627</v>
      </c>
      <c r="P2669" s="2" t="s">
        <v>17799</v>
      </c>
      <c r="Q2669" s="2" t="s">
        <v>17800</v>
      </c>
      <c r="R2669" s="2" t="s">
        <v>17801</v>
      </c>
      <c r="S2669" s="2" t="s">
        <v>491</v>
      </c>
      <c r="T2669" s="2" t="s">
        <v>12134</v>
      </c>
      <c r="U2669" s="2" t="s">
        <v>14916</v>
      </c>
      <c r="V2669" s="2" t="s">
        <v>59</v>
      </c>
      <c r="W2669" s="2">
        <v>39.799999999999997</v>
      </c>
      <c r="X2669" s="2">
        <v>6.46</v>
      </c>
      <c r="Y2669" s="2" t="s">
        <v>340</v>
      </c>
      <c r="Z2669" s="2" t="s">
        <v>14009</v>
      </c>
      <c r="AA2669" s="2">
        <v>-6.1814231917637602E-2</v>
      </c>
      <c r="AB2669" s="2">
        <v>0.302196781749763</v>
      </c>
      <c r="AC2669" s="2">
        <v>8770.7594596477993</v>
      </c>
      <c r="AD2669" s="2">
        <v>2726.7172618477398</v>
      </c>
      <c r="AE2669" s="2">
        <v>8133.8456970946499</v>
      </c>
      <c r="AF2669" s="2">
        <v>9530.4891007748101</v>
      </c>
      <c r="AG2669" s="2">
        <v>8493.2968881157394</v>
      </c>
      <c r="AH2669" s="2">
        <v>8759.3610308383795</v>
      </c>
      <c r="AI2669" s="2">
        <v>9162.4662017314695</v>
      </c>
      <c r="AJ2669" s="2">
        <v>8545.0978393317291</v>
      </c>
      <c r="AK2669" s="2">
        <v>2882.8559796124</v>
      </c>
      <c r="AL2669" s="2">
        <v>3163.0315405728602</v>
      </c>
      <c r="AM2669" s="2">
        <v>2125.7862235203302</v>
      </c>
      <c r="AN2669" s="2">
        <v>2578.26789657888</v>
      </c>
      <c r="AO2669" s="2">
        <v>2705.0881333225402</v>
      </c>
      <c r="AP2669" s="2">
        <v>2905.27379747944</v>
      </c>
    </row>
    <row r="2670" spans="1:42" ht="14.5" x14ac:dyDescent="0.35">
      <c r="A2670" s="2" t="s">
        <v>17802</v>
      </c>
      <c r="B2670" s="2">
        <v>703.50738584580097</v>
      </c>
      <c r="C2670" s="2">
        <v>14.522733333333299</v>
      </c>
      <c r="D2670" s="2" t="s">
        <v>34</v>
      </c>
      <c r="E2670" s="2" t="s">
        <v>17803</v>
      </c>
      <c r="F2670" s="2">
        <v>243110</v>
      </c>
      <c r="G2670" s="3" t="str">
        <f>HYPERLINK("http://funmeta.oebiotech.com/network/243110", "http://funmeta.oebiotech.com/network/243110")</f>
        <v>http://funmeta.oebiotech.com/network/243110</v>
      </c>
      <c r="H2670" s="2" t="s">
        <v>17804</v>
      </c>
      <c r="I2670" s="2"/>
      <c r="J2670" s="2"/>
      <c r="K2670" s="2"/>
      <c r="L2670" s="2"/>
      <c r="M2670" s="2"/>
      <c r="N2670" s="2"/>
      <c r="O2670" s="2"/>
      <c r="P2670" s="2"/>
      <c r="Q2670" s="2" t="s">
        <v>17805</v>
      </c>
      <c r="R2670" s="2" t="s">
        <v>17806</v>
      </c>
      <c r="S2670" s="2" t="s">
        <v>41</v>
      </c>
      <c r="T2670" s="2" t="s">
        <v>41</v>
      </c>
      <c r="U2670" s="2" t="s">
        <v>41</v>
      </c>
      <c r="V2670" s="2" t="s">
        <v>59</v>
      </c>
      <c r="W2670" s="2">
        <v>36.5</v>
      </c>
      <c r="X2670" s="2">
        <v>0</v>
      </c>
      <c r="Y2670" s="2" t="s">
        <v>141</v>
      </c>
      <c r="Z2670" s="2" t="s">
        <v>17807</v>
      </c>
      <c r="AA2670" s="2">
        <v>-0.60365509110923399</v>
      </c>
      <c r="AB2670" s="2">
        <v>0.301995979707678</v>
      </c>
      <c r="AC2670" s="2">
        <v>9784.4968451724508</v>
      </c>
      <c r="AD2670" s="2">
        <v>17617.040056121801</v>
      </c>
      <c r="AE2670" s="2">
        <v>9600.1800867246693</v>
      </c>
      <c r="AF2670" s="2">
        <v>10639.852095088499</v>
      </c>
      <c r="AG2670" s="2">
        <v>10983.1780885343</v>
      </c>
      <c r="AH2670" s="2">
        <v>9207.0361992139005</v>
      </c>
      <c r="AI2670" s="2">
        <v>11209.5224476065</v>
      </c>
      <c r="AJ2670" s="2">
        <v>7067.2121538668198</v>
      </c>
      <c r="AK2670" s="2">
        <v>23847.610083482199</v>
      </c>
      <c r="AL2670" s="2">
        <v>23390.4617786407</v>
      </c>
      <c r="AM2670" s="2">
        <v>16919.0087570793</v>
      </c>
      <c r="AN2670" s="2">
        <v>13803.8338400515</v>
      </c>
      <c r="AO2670" s="2">
        <v>13517.2363322003</v>
      </c>
      <c r="AP2670" s="2">
        <v>14224.0895452765</v>
      </c>
    </row>
    <row r="2671" spans="1:42" ht="14.5" x14ac:dyDescent="0.35">
      <c r="A2671" s="2" t="s">
        <v>17808</v>
      </c>
      <c r="B2671" s="2">
        <v>447.347597155328</v>
      </c>
      <c r="C2671" s="2">
        <v>12.108933333333299</v>
      </c>
      <c r="D2671" s="2" t="s">
        <v>70</v>
      </c>
      <c r="E2671" s="2" t="s">
        <v>17809</v>
      </c>
      <c r="F2671" s="2">
        <v>58373</v>
      </c>
      <c r="G2671" s="3" t="str">
        <f>HYPERLINK("http://funmeta.oebiotech.com/network/58373", "http://funmeta.oebiotech.com/network/58373")</f>
        <v>http://funmeta.oebiotech.com/network/58373</v>
      </c>
      <c r="H2671" s="2" t="s">
        <v>17810</v>
      </c>
      <c r="I2671" s="2">
        <v>89853</v>
      </c>
      <c r="J2671" s="2"/>
      <c r="K2671" s="2"/>
      <c r="L2671" s="2"/>
      <c r="M2671" s="2"/>
      <c r="N2671" s="2"/>
      <c r="O2671" s="2">
        <v>13870426</v>
      </c>
      <c r="P2671" s="2" t="s">
        <v>17811</v>
      </c>
      <c r="Q2671" s="2" t="s">
        <v>17812</v>
      </c>
      <c r="R2671" s="2" t="s">
        <v>17813</v>
      </c>
      <c r="S2671" s="2" t="s">
        <v>50</v>
      </c>
      <c r="T2671" s="2" t="s">
        <v>124</v>
      </c>
      <c r="U2671" s="2" t="s">
        <v>125</v>
      </c>
      <c r="V2671" s="2" t="s">
        <v>59</v>
      </c>
      <c r="W2671" s="2">
        <v>44.1</v>
      </c>
      <c r="X2671" s="2">
        <v>29.4</v>
      </c>
      <c r="Y2671" s="2" t="s">
        <v>286</v>
      </c>
      <c r="Z2671" s="2" t="s">
        <v>7899</v>
      </c>
      <c r="AA2671" s="2">
        <v>-0.86188410407969596</v>
      </c>
      <c r="AB2671" s="2">
        <v>0.30197050187909003</v>
      </c>
      <c r="AC2671" s="2">
        <v>26275.086067407501</v>
      </c>
      <c r="AD2671" s="2">
        <v>19462.548622969</v>
      </c>
      <c r="AE2671" s="2">
        <v>29253.846667718699</v>
      </c>
      <c r="AF2671" s="2">
        <v>23182.320197564699</v>
      </c>
      <c r="AG2671" s="2">
        <v>27141.134685061501</v>
      </c>
      <c r="AH2671" s="2">
        <v>24657.3395085134</v>
      </c>
      <c r="AI2671" s="2">
        <v>28653.043605679399</v>
      </c>
      <c r="AJ2671" s="2">
        <v>24762.8317399076</v>
      </c>
      <c r="AK2671" s="2">
        <v>19160.246659096902</v>
      </c>
      <c r="AL2671" s="2">
        <v>17530.1221566801</v>
      </c>
      <c r="AM2671" s="2">
        <v>18947.3749592145</v>
      </c>
      <c r="AN2671" s="2">
        <v>20557.0284968782</v>
      </c>
      <c r="AO2671" s="2">
        <v>19105.98483673</v>
      </c>
      <c r="AP2671" s="2">
        <v>21474.5346292141</v>
      </c>
    </row>
    <row r="2672" spans="1:42" ht="14.5" x14ac:dyDescent="0.35">
      <c r="A2672" s="2" t="s">
        <v>17814</v>
      </c>
      <c r="B2672" s="2">
        <v>445.17074321136499</v>
      </c>
      <c r="C2672" s="2">
        <v>4.4526833333333302</v>
      </c>
      <c r="D2672" s="2" t="s">
        <v>70</v>
      </c>
      <c r="E2672" s="2" t="s">
        <v>17815</v>
      </c>
      <c r="F2672" s="2">
        <v>55668</v>
      </c>
      <c r="G2672" s="3" t="str">
        <f>HYPERLINK("http://funmeta.oebiotech.com/network/55668", "http://funmeta.oebiotech.com/network/55668")</f>
        <v>http://funmeta.oebiotech.com/network/55668</v>
      </c>
      <c r="H2672" s="2" t="s">
        <v>17816</v>
      </c>
      <c r="I2672" s="2">
        <v>87325</v>
      </c>
      <c r="J2672" s="2"/>
      <c r="K2672" s="2">
        <v>168749</v>
      </c>
      <c r="L2672" s="2"/>
      <c r="M2672" s="2"/>
      <c r="N2672" s="2"/>
      <c r="O2672" s="2">
        <v>131751110</v>
      </c>
      <c r="P2672" s="2" t="s">
        <v>17817</v>
      </c>
      <c r="Q2672" s="2" t="s">
        <v>17818</v>
      </c>
      <c r="R2672" s="2" t="s">
        <v>17819</v>
      </c>
      <c r="S2672" s="2" t="s">
        <v>50</v>
      </c>
      <c r="T2672" s="2" t="s">
        <v>229</v>
      </c>
      <c r="U2672" s="2" t="s">
        <v>230</v>
      </c>
      <c r="V2672" s="2" t="s">
        <v>42</v>
      </c>
      <c r="W2672" s="2">
        <v>53.4</v>
      </c>
      <c r="X2672" s="2">
        <v>75.599999999999994</v>
      </c>
      <c r="Y2672" s="2" t="s">
        <v>408</v>
      </c>
      <c r="Z2672" s="2" t="s">
        <v>17820</v>
      </c>
      <c r="AA2672" s="2">
        <v>-1.97947381908595</v>
      </c>
      <c r="AB2672" s="2">
        <v>0.301793863588246</v>
      </c>
      <c r="AC2672" s="2">
        <v>74869.941013791802</v>
      </c>
      <c r="AD2672" s="2">
        <v>66931.003466925002</v>
      </c>
      <c r="AE2672" s="2">
        <v>70176.700302604397</v>
      </c>
      <c r="AF2672" s="2">
        <v>81907.442076153806</v>
      </c>
      <c r="AG2672" s="2">
        <v>73541.592357048095</v>
      </c>
      <c r="AH2672" s="2">
        <v>76907.838536090305</v>
      </c>
      <c r="AI2672" s="2">
        <v>75799.823618006296</v>
      </c>
      <c r="AJ2672" s="2">
        <v>70886.249192847899</v>
      </c>
      <c r="AK2672" s="2">
        <v>68545.870315283595</v>
      </c>
      <c r="AL2672" s="2">
        <v>64859.028414963097</v>
      </c>
      <c r="AM2672" s="2">
        <v>66339.685033442904</v>
      </c>
      <c r="AN2672" s="2">
        <v>65106.991127274297</v>
      </c>
      <c r="AO2672" s="2">
        <v>64104.6580164427</v>
      </c>
      <c r="AP2672" s="2">
        <v>72629.787894143607</v>
      </c>
    </row>
    <row r="2673" spans="1:42" ht="14.5" x14ac:dyDescent="0.35">
      <c r="A2673" s="2" t="s">
        <v>17821</v>
      </c>
      <c r="B2673" s="2">
        <v>437.12280802212399</v>
      </c>
      <c r="C2673" s="2">
        <v>5.5395666666666701</v>
      </c>
      <c r="D2673" s="2" t="s">
        <v>34</v>
      </c>
      <c r="E2673" s="2" t="s">
        <v>17822</v>
      </c>
      <c r="F2673" s="2">
        <v>204499</v>
      </c>
      <c r="G2673" s="3" t="str">
        <f>HYPERLINK("http://funmeta.oebiotech.com/network/204499", "http://funmeta.oebiotech.com/network/204499")</f>
        <v>http://funmeta.oebiotech.com/network/204499</v>
      </c>
      <c r="H2673" s="2" t="s">
        <v>17823</v>
      </c>
      <c r="I2673" s="2"/>
      <c r="J2673" s="2"/>
      <c r="K2673" s="2">
        <v>135632</v>
      </c>
      <c r="L2673" s="2"/>
      <c r="M2673" s="2"/>
      <c r="N2673" s="2"/>
      <c r="O2673" s="2"/>
      <c r="P2673" s="2"/>
      <c r="Q2673" s="2" t="s">
        <v>17824</v>
      </c>
      <c r="R2673" s="2" t="s">
        <v>17825</v>
      </c>
      <c r="S2673" s="2" t="s">
        <v>115</v>
      </c>
      <c r="T2673" s="2" t="s">
        <v>2833</v>
      </c>
      <c r="U2673" s="2" t="s">
        <v>41</v>
      </c>
      <c r="V2673" s="2" t="s">
        <v>59</v>
      </c>
      <c r="W2673" s="2">
        <v>39</v>
      </c>
      <c r="X2673" s="2">
        <v>0</v>
      </c>
      <c r="Y2673" s="2" t="s">
        <v>340</v>
      </c>
      <c r="Z2673" s="2" t="s">
        <v>17826</v>
      </c>
      <c r="AA2673" s="2">
        <v>1.5825827181127301</v>
      </c>
      <c r="AB2673" s="2">
        <v>0.301479540144658</v>
      </c>
      <c r="AC2673" s="2">
        <v>83527.629729451495</v>
      </c>
      <c r="AD2673" s="2">
        <v>91918.131226038095</v>
      </c>
      <c r="AE2673" s="2">
        <v>82757.117055082301</v>
      </c>
      <c r="AF2673" s="2">
        <v>77090.583542348206</v>
      </c>
      <c r="AG2673" s="2">
        <v>89976.081969873107</v>
      </c>
      <c r="AH2673" s="2">
        <v>86320.547334567993</v>
      </c>
      <c r="AI2673" s="2">
        <v>83404.011601910301</v>
      </c>
      <c r="AJ2673" s="2">
        <v>81617.436872926904</v>
      </c>
      <c r="AK2673" s="2">
        <v>82833.868503523801</v>
      </c>
      <c r="AL2673" s="2">
        <v>94972.8038306323</v>
      </c>
      <c r="AM2673" s="2">
        <v>95825.952743762202</v>
      </c>
      <c r="AN2673" s="2">
        <v>94402.348125498407</v>
      </c>
      <c r="AO2673" s="2">
        <v>91201.137245511607</v>
      </c>
      <c r="AP2673" s="2">
        <v>92272.676907300105</v>
      </c>
    </row>
    <row r="2674" spans="1:42" ht="14.5" x14ac:dyDescent="0.35">
      <c r="A2674" s="2" t="s">
        <v>17827</v>
      </c>
      <c r="B2674" s="2">
        <v>471.34369825635503</v>
      </c>
      <c r="C2674" s="2">
        <v>14.366400000000001</v>
      </c>
      <c r="D2674" s="2" t="s">
        <v>34</v>
      </c>
      <c r="E2674" s="2" t="s">
        <v>17828</v>
      </c>
      <c r="F2674" s="2">
        <v>198345</v>
      </c>
      <c r="G2674" s="3" t="str">
        <f>HYPERLINK("http://funmeta.oebiotech.com/network/198345", "http://funmeta.oebiotech.com/network/198345")</f>
        <v>http://funmeta.oebiotech.com/network/198345</v>
      </c>
      <c r="H2674" s="2" t="s">
        <v>17829</v>
      </c>
      <c r="I2674" s="2"/>
      <c r="J2674" s="2"/>
      <c r="K2674" s="2"/>
      <c r="L2674" s="2"/>
      <c r="M2674" s="2"/>
      <c r="N2674" s="2"/>
      <c r="O2674" s="2"/>
      <c r="P2674" s="2"/>
      <c r="Q2674" s="2" t="s">
        <v>17830</v>
      </c>
      <c r="R2674" s="2" t="s">
        <v>17831</v>
      </c>
      <c r="S2674" s="2" t="s">
        <v>41</v>
      </c>
      <c r="T2674" s="2" t="s">
        <v>41</v>
      </c>
      <c r="U2674" s="2" t="s">
        <v>41</v>
      </c>
      <c r="V2674" s="2" t="s">
        <v>59</v>
      </c>
      <c r="W2674" s="2">
        <v>38.700000000000003</v>
      </c>
      <c r="X2674" s="2">
        <v>0</v>
      </c>
      <c r="Y2674" s="2" t="s">
        <v>394</v>
      </c>
      <c r="Z2674" s="2" t="s">
        <v>17832</v>
      </c>
      <c r="AA2674" s="2">
        <v>1.77452482313346</v>
      </c>
      <c r="AB2674" s="2">
        <v>0.30127923680866497</v>
      </c>
      <c r="AC2674" s="2">
        <v>17347.290592777601</v>
      </c>
      <c r="AD2674" s="2">
        <v>24235.216449948399</v>
      </c>
      <c r="AE2674" s="2">
        <v>17256.658853549299</v>
      </c>
      <c r="AF2674" s="2">
        <v>15780.397119728699</v>
      </c>
      <c r="AG2674" s="2">
        <v>16179.005732621799</v>
      </c>
      <c r="AH2674" s="2">
        <v>19967.4299413187</v>
      </c>
      <c r="AI2674" s="2">
        <v>19016.429497876401</v>
      </c>
      <c r="AJ2674" s="2">
        <v>15883.8224115704</v>
      </c>
      <c r="AK2674" s="2">
        <v>24394.715174267902</v>
      </c>
      <c r="AL2674" s="2">
        <v>25449.361379079601</v>
      </c>
      <c r="AM2674" s="2">
        <v>22914.184041266701</v>
      </c>
      <c r="AN2674" s="2">
        <v>21037.2245348211</v>
      </c>
      <c r="AO2674" s="2">
        <v>23147.635401597101</v>
      </c>
      <c r="AP2674" s="2">
        <v>28468.1781686578</v>
      </c>
    </row>
    <row r="2675" spans="1:42" ht="14.5" x14ac:dyDescent="0.35">
      <c r="A2675" s="2" t="s">
        <v>17833</v>
      </c>
      <c r="B2675" s="2">
        <v>627.30150377243399</v>
      </c>
      <c r="C2675" s="2">
        <v>9.1675166666666694</v>
      </c>
      <c r="D2675" s="2" t="s">
        <v>70</v>
      </c>
      <c r="E2675" s="2" t="s">
        <v>17834</v>
      </c>
      <c r="F2675" s="2">
        <v>534718</v>
      </c>
      <c r="G2675" s="3" t="str">
        <f>HYPERLINK("http://funmeta.oebiotech.com/network/534718", "http://funmeta.oebiotech.com/network/534718")</f>
        <v>http://funmeta.oebiotech.com/network/534718</v>
      </c>
      <c r="H2675" s="2"/>
      <c r="I2675" s="2">
        <v>985372</v>
      </c>
      <c r="J2675" s="2"/>
      <c r="K2675" s="2"/>
      <c r="L2675" s="2"/>
      <c r="M2675" s="2"/>
      <c r="N2675" s="2"/>
      <c r="O2675" s="2">
        <v>14376449</v>
      </c>
      <c r="P2675" s="2"/>
      <c r="Q2675" s="2" t="s">
        <v>17835</v>
      </c>
      <c r="R2675" s="2" t="s">
        <v>17836</v>
      </c>
      <c r="S2675" s="2" t="s">
        <v>50</v>
      </c>
      <c r="T2675" s="2" t="s">
        <v>201</v>
      </c>
      <c r="U2675" s="2" t="s">
        <v>1217</v>
      </c>
      <c r="V2675" s="2" t="s">
        <v>59</v>
      </c>
      <c r="W2675" s="2">
        <v>37.5</v>
      </c>
      <c r="X2675" s="2">
        <v>0</v>
      </c>
      <c r="Y2675" s="2" t="s">
        <v>560</v>
      </c>
      <c r="Z2675" s="2" t="s">
        <v>3652</v>
      </c>
      <c r="AA2675" s="2">
        <v>8.2155135238038799</v>
      </c>
      <c r="AB2675" s="2">
        <v>0.30120466327040901</v>
      </c>
      <c r="AC2675" s="2">
        <v>3265.4176340818499</v>
      </c>
      <c r="AD2675" s="2">
        <v>9323.3988369434192</v>
      </c>
      <c r="AE2675" s="2">
        <v>3239.1622479604198</v>
      </c>
      <c r="AF2675" s="2">
        <v>3099.6483224902399</v>
      </c>
      <c r="AG2675" s="2">
        <v>3464.8634157903198</v>
      </c>
      <c r="AH2675" s="2">
        <v>3213.5166032345101</v>
      </c>
      <c r="AI2675" s="2">
        <v>2908.5057203359702</v>
      </c>
      <c r="AJ2675" s="2">
        <v>3666.80949467965</v>
      </c>
      <c r="AK2675" s="2">
        <v>8774.4554910691895</v>
      </c>
      <c r="AL2675" s="2">
        <v>8923.8178638250502</v>
      </c>
      <c r="AM2675" s="2">
        <v>10341.7234291105</v>
      </c>
      <c r="AN2675" s="2">
        <v>8184.5916130948799</v>
      </c>
      <c r="AO2675" s="2">
        <v>9757.7278793863807</v>
      </c>
      <c r="AP2675" s="2">
        <v>9958.0767451744996</v>
      </c>
    </row>
    <row r="2676" spans="1:42" ht="14.5" x14ac:dyDescent="0.35">
      <c r="A2676" s="2" t="s">
        <v>17837</v>
      </c>
      <c r="B2676" s="2">
        <v>685.24311630335501</v>
      </c>
      <c r="C2676" s="2">
        <v>7.9920499999999999</v>
      </c>
      <c r="D2676" s="2" t="s">
        <v>34</v>
      </c>
      <c r="E2676" s="2" t="s">
        <v>17838</v>
      </c>
      <c r="F2676" s="2">
        <v>212187</v>
      </c>
      <c r="G2676" s="3" t="str">
        <f>HYPERLINK("http://funmeta.oebiotech.com/network/212187", "http://funmeta.oebiotech.com/network/212187")</f>
        <v>http://funmeta.oebiotech.com/network/212187</v>
      </c>
      <c r="H2676" s="2" t="s">
        <v>17839</v>
      </c>
      <c r="I2676" s="2">
        <v>450985</v>
      </c>
      <c r="J2676" s="2"/>
      <c r="K2676" s="2"/>
      <c r="L2676" s="2"/>
      <c r="M2676" s="2"/>
      <c r="N2676" s="2"/>
      <c r="O2676" s="2">
        <v>148201</v>
      </c>
      <c r="P2676" s="2"/>
      <c r="Q2676" s="2" t="s">
        <v>17840</v>
      </c>
      <c r="R2676" s="2" t="s">
        <v>17841</v>
      </c>
      <c r="S2676" s="2" t="s">
        <v>148</v>
      </c>
      <c r="T2676" s="2" t="s">
        <v>149</v>
      </c>
      <c r="U2676" s="2" t="s">
        <v>4630</v>
      </c>
      <c r="V2676" s="2" t="s">
        <v>59</v>
      </c>
      <c r="W2676" s="2">
        <v>38.4</v>
      </c>
      <c r="X2676" s="2">
        <v>11.2</v>
      </c>
      <c r="Y2676" s="2" t="s">
        <v>340</v>
      </c>
      <c r="Z2676" s="2" t="s">
        <v>17842</v>
      </c>
      <c r="AA2676" s="2">
        <v>1.27385844694978</v>
      </c>
      <c r="AB2676" s="2">
        <v>0.30112446627915401</v>
      </c>
      <c r="AC2676" s="2">
        <v>38567.498160956602</v>
      </c>
      <c r="AD2676" s="2">
        <v>30707.7748064974</v>
      </c>
      <c r="AE2676" s="2">
        <v>34687.699204817</v>
      </c>
      <c r="AF2676" s="2">
        <v>42230.5555865731</v>
      </c>
      <c r="AG2676" s="2">
        <v>37927.750219890899</v>
      </c>
      <c r="AH2676" s="2">
        <v>34456.555685831001</v>
      </c>
      <c r="AI2676" s="2">
        <v>40590.069551681001</v>
      </c>
      <c r="AJ2676" s="2">
        <v>41512.358716946299</v>
      </c>
      <c r="AK2676" s="2">
        <v>28338.942754049898</v>
      </c>
      <c r="AL2676" s="2">
        <v>28896.6826715801</v>
      </c>
      <c r="AM2676" s="2">
        <v>28346.835432762698</v>
      </c>
      <c r="AN2676" s="2">
        <v>33172.833972521199</v>
      </c>
      <c r="AO2676" s="2">
        <v>37573.321632360101</v>
      </c>
      <c r="AP2676" s="2">
        <v>27918.0323757103</v>
      </c>
    </row>
    <row r="2677" spans="1:42" ht="14.5" x14ac:dyDescent="0.35">
      <c r="A2677" s="2" t="s">
        <v>17843</v>
      </c>
      <c r="B2677" s="2">
        <v>166.08628272675099</v>
      </c>
      <c r="C2677" s="2">
        <v>2.1446833333333299</v>
      </c>
      <c r="D2677" s="2" t="s">
        <v>34</v>
      </c>
      <c r="E2677" s="2" t="s">
        <v>17844</v>
      </c>
      <c r="F2677" s="2">
        <v>46902</v>
      </c>
      <c r="G2677" s="3" t="str">
        <f>HYPERLINK("http://funmeta.oebiotech.com/network/46902", "http://funmeta.oebiotech.com/network/46902")</f>
        <v>http://funmeta.oebiotech.com/network/46902</v>
      </c>
      <c r="H2677" s="2" t="s">
        <v>17845</v>
      </c>
      <c r="I2677" s="2">
        <v>28</v>
      </c>
      <c r="J2677" s="2"/>
      <c r="K2677" s="2">
        <v>17295</v>
      </c>
      <c r="L2677" s="2" t="s">
        <v>17846</v>
      </c>
      <c r="M2677" s="2" t="s">
        <v>17847</v>
      </c>
      <c r="N2677" s="2" t="s">
        <v>17848</v>
      </c>
      <c r="O2677" s="2">
        <v>6140</v>
      </c>
      <c r="P2677" s="2" t="s">
        <v>17849</v>
      </c>
      <c r="Q2677" s="2" t="s">
        <v>17850</v>
      </c>
      <c r="R2677" s="2" t="s">
        <v>17851</v>
      </c>
      <c r="S2677" s="2" t="s">
        <v>89</v>
      </c>
      <c r="T2677" s="2" t="s">
        <v>90</v>
      </c>
      <c r="U2677" s="2" t="s">
        <v>99</v>
      </c>
      <c r="V2677" s="2" t="s">
        <v>42</v>
      </c>
      <c r="W2677" s="2">
        <v>55.7</v>
      </c>
      <c r="X2677" s="2">
        <v>80.599999999999994</v>
      </c>
      <c r="Y2677" s="2" t="s">
        <v>394</v>
      </c>
      <c r="Z2677" s="2" t="s">
        <v>13409</v>
      </c>
      <c r="AA2677" s="2">
        <v>0.16778672450497201</v>
      </c>
      <c r="AB2677" s="2">
        <v>0.30102737931328999</v>
      </c>
      <c r="AC2677" s="2">
        <v>246082.47620758001</v>
      </c>
      <c r="AD2677" s="2">
        <v>254838.36144858401</v>
      </c>
      <c r="AE2677" s="2">
        <v>244848.62636955301</v>
      </c>
      <c r="AF2677" s="2">
        <v>251345.524749214</v>
      </c>
      <c r="AG2677" s="2">
        <v>255661.53154061001</v>
      </c>
      <c r="AH2677" s="2">
        <v>239721.09711505301</v>
      </c>
      <c r="AI2677" s="2">
        <v>238518.03493389001</v>
      </c>
      <c r="AJ2677" s="2">
        <v>246400.04253715699</v>
      </c>
      <c r="AK2677" s="2">
        <v>252292.96674104099</v>
      </c>
      <c r="AL2677" s="2">
        <v>254263.102933602</v>
      </c>
      <c r="AM2677" s="2">
        <v>259017.357565432</v>
      </c>
      <c r="AN2677" s="2">
        <v>256754.012856635</v>
      </c>
      <c r="AO2677" s="2">
        <v>254816.87072699299</v>
      </c>
      <c r="AP2677" s="2">
        <v>251885.85786780101</v>
      </c>
    </row>
    <row r="2678" spans="1:42" ht="14.5" x14ac:dyDescent="0.35">
      <c r="A2678" s="2" t="s">
        <v>17852</v>
      </c>
      <c r="B2678" s="2">
        <v>383.11340587838703</v>
      </c>
      <c r="C2678" s="2">
        <v>5.8977166666666703</v>
      </c>
      <c r="D2678" s="2" t="s">
        <v>70</v>
      </c>
      <c r="E2678" s="2" t="s">
        <v>17853</v>
      </c>
      <c r="F2678" s="2">
        <v>32479</v>
      </c>
      <c r="G2678" s="3" t="str">
        <f>HYPERLINK("http://funmeta.oebiotech.com/network/32479", "http://funmeta.oebiotech.com/network/32479")</f>
        <v>http://funmeta.oebiotech.com/network/32479</v>
      </c>
      <c r="H2678" s="2" t="s">
        <v>17854</v>
      </c>
      <c r="I2678" s="2">
        <v>50810</v>
      </c>
      <c r="J2678" s="2" t="s">
        <v>17855</v>
      </c>
      <c r="K2678" s="2"/>
      <c r="L2678" s="2"/>
      <c r="M2678" s="2"/>
      <c r="N2678" s="2"/>
      <c r="O2678" s="2">
        <v>5317483</v>
      </c>
      <c r="P2678" s="2" t="s">
        <v>17856</v>
      </c>
      <c r="Q2678" s="2" t="s">
        <v>17857</v>
      </c>
      <c r="R2678" s="2" t="s">
        <v>17858</v>
      </c>
      <c r="S2678" s="2" t="s">
        <v>115</v>
      </c>
      <c r="T2678" s="2" t="s">
        <v>139</v>
      </c>
      <c r="U2678" s="2" t="s">
        <v>1806</v>
      </c>
      <c r="V2678" s="2" t="s">
        <v>42</v>
      </c>
      <c r="W2678" s="2">
        <v>52</v>
      </c>
      <c r="X2678" s="2">
        <v>65.599999999999994</v>
      </c>
      <c r="Y2678" s="2" t="s">
        <v>286</v>
      </c>
      <c r="Z2678" s="2" t="s">
        <v>17859</v>
      </c>
      <c r="AA2678" s="2">
        <v>-0.57447520034349797</v>
      </c>
      <c r="AB2678" s="2">
        <v>0.30102403733134497</v>
      </c>
      <c r="AC2678" s="2">
        <v>49436.554435762497</v>
      </c>
      <c r="AD2678" s="2">
        <v>41249.341566208503</v>
      </c>
      <c r="AE2678" s="2">
        <v>53317.026455149797</v>
      </c>
      <c r="AF2678" s="2">
        <v>48784.061843857897</v>
      </c>
      <c r="AG2678" s="2">
        <v>50909.118638935797</v>
      </c>
      <c r="AH2678" s="2">
        <v>47590.759304523599</v>
      </c>
      <c r="AI2678" s="2">
        <v>47228.991405129796</v>
      </c>
      <c r="AJ2678" s="2">
        <v>48789.368966978298</v>
      </c>
      <c r="AK2678" s="2">
        <v>51514.676235319203</v>
      </c>
      <c r="AL2678" s="2">
        <v>42405.438743766303</v>
      </c>
      <c r="AM2678" s="2">
        <v>40864.052046227502</v>
      </c>
      <c r="AN2678" s="2">
        <v>37994.441254090802</v>
      </c>
      <c r="AO2678" s="2">
        <v>39913.111600142598</v>
      </c>
      <c r="AP2678" s="2">
        <v>34804.329517704602</v>
      </c>
    </row>
    <row r="2679" spans="1:42" ht="14.5" x14ac:dyDescent="0.35">
      <c r="A2679" s="2" t="s">
        <v>17860</v>
      </c>
      <c r="B2679" s="2">
        <v>353.120390508875</v>
      </c>
      <c r="C2679" s="2">
        <v>3.9315333333333302</v>
      </c>
      <c r="D2679" s="2" t="s">
        <v>34</v>
      </c>
      <c r="E2679" s="2" t="s">
        <v>17861</v>
      </c>
      <c r="F2679" s="2">
        <v>61709</v>
      </c>
      <c r="G2679" s="3" t="str">
        <f>HYPERLINK("http://funmeta.oebiotech.com/network/61709", "http://funmeta.oebiotech.com/network/61709")</f>
        <v>http://funmeta.oebiotech.com/network/61709</v>
      </c>
      <c r="H2679" s="2" t="s">
        <v>17862</v>
      </c>
      <c r="I2679" s="2">
        <v>93028</v>
      </c>
      <c r="J2679" s="2"/>
      <c r="K2679" s="2">
        <v>169117</v>
      </c>
      <c r="L2679" s="2"/>
      <c r="M2679" s="2"/>
      <c r="N2679" s="2"/>
      <c r="O2679" s="2">
        <v>85366474</v>
      </c>
      <c r="P2679" s="2"/>
      <c r="Q2679" s="2" t="s">
        <v>17863</v>
      </c>
      <c r="R2679" s="2" t="s">
        <v>17864</v>
      </c>
      <c r="S2679" s="2" t="s">
        <v>79</v>
      </c>
      <c r="T2679" s="2" t="s">
        <v>80</v>
      </c>
      <c r="U2679" s="2" t="s">
        <v>81</v>
      </c>
      <c r="V2679" s="2" t="s">
        <v>59</v>
      </c>
      <c r="W2679" s="2">
        <v>42.6</v>
      </c>
      <c r="X2679" s="2">
        <v>17.100000000000001</v>
      </c>
      <c r="Y2679" s="2" t="s">
        <v>376</v>
      </c>
      <c r="Z2679" s="2" t="s">
        <v>2745</v>
      </c>
      <c r="AA2679" s="2">
        <v>-0.90216527188866802</v>
      </c>
      <c r="AB2679" s="2">
        <v>0.300944498798695</v>
      </c>
      <c r="AC2679" s="2">
        <v>849066.28929070104</v>
      </c>
      <c r="AD2679" s="2">
        <v>829103.74375896004</v>
      </c>
      <c r="AE2679" s="2">
        <v>868313.365637279</v>
      </c>
      <c r="AF2679" s="2">
        <v>843804.93292216898</v>
      </c>
      <c r="AG2679" s="2">
        <v>912492.91930324899</v>
      </c>
      <c r="AH2679" s="2">
        <v>794226.94420369097</v>
      </c>
      <c r="AI2679" s="2">
        <v>799046.16155034397</v>
      </c>
      <c r="AJ2679" s="2">
        <v>876513.41212747595</v>
      </c>
      <c r="AK2679" s="2">
        <v>789751.94897797098</v>
      </c>
      <c r="AL2679" s="2">
        <v>840181.39341868297</v>
      </c>
      <c r="AM2679" s="2">
        <v>822697.28652725497</v>
      </c>
      <c r="AN2679" s="2">
        <v>830197.40626434202</v>
      </c>
      <c r="AO2679" s="2">
        <v>862101.66567106696</v>
      </c>
      <c r="AP2679" s="2">
        <v>829692.76169444202</v>
      </c>
    </row>
    <row r="2680" spans="1:42" ht="14.5" x14ac:dyDescent="0.35">
      <c r="A2680" s="2" t="s">
        <v>17865</v>
      </c>
      <c r="B2680" s="2">
        <v>507.22340421305603</v>
      </c>
      <c r="C2680" s="2">
        <v>4.9873666666666701</v>
      </c>
      <c r="D2680" s="2" t="s">
        <v>70</v>
      </c>
      <c r="E2680" s="2" t="s">
        <v>17866</v>
      </c>
      <c r="F2680" s="2">
        <v>57067</v>
      </c>
      <c r="G2680" s="3" t="str">
        <f>HYPERLINK("http://funmeta.oebiotech.com/network/57067", "http://funmeta.oebiotech.com/network/57067")</f>
        <v>http://funmeta.oebiotech.com/network/57067</v>
      </c>
      <c r="H2680" s="2" t="s">
        <v>17867</v>
      </c>
      <c r="I2680" s="2">
        <v>88719</v>
      </c>
      <c r="J2680" s="2"/>
      <c r="K2680" s="2">
        <v>138773</v>
      </c>
      <c r="L2680" s="2"/>
      <c r="M2680" s="2"/>
      <c r="N2680" s="2"/>
      <c r="O2680" s="2">
        <v>11184361</v>
      </c>
      <c r="P2680" s="2" t="s">
        <v>17868</v>
      </c>
      <c r="Q2680" s="2" t="s">
        <v>17869</v>
      </c>
      <c r="R2680" s="2" t="s">
        <v>17870</v>
      </c>
      <c r="S2680" s="2" t="s">
        <v>148</v>
      </c>
      <c r="T2680" s="2" t="s">
        <v>149</v>
      </c>
      <c r="U2680" s="2" t="s">
        <v>1593</v>
      </c>
      <c r="V2680" s="2" t="s">
        <v>59</v>
      </c>
      <c r="W2680" s="2">
        <v>38.299999999999997</v>
      </c>
      <c r="X2680" s="2">
        <v>0</v>
      </c>
      <c r="Y2680" s="2" t="s">
        <v>560</v>
      </c>
      <c r="Z2680" s="2" t="s">
        <v>17871</v>
      </c>
      <c r="AA2680" s="2">
        <v>-0.32801051881769699</v>
      </c>
      <c r="AB2680" s="2">
        <v>0.300905663069787</v>
      </c>
      <c r="AC2680" s="2">
        <v>13374.9725112579</v>
      </c>
      <c r="AD2680" s="2">
        <v>7008.8401588653496</v>
      </c>
      <c r="AE2680" s="2">
        <v>12462.0858311627</v>
      </c>
      <c r="AF2680" s="2">
        <v>12801.7307252919</v>
      </c>
      <c r="AG2680" s="2">
        <v>15573.659072669099</v>
      </c>
      <c r="AH2680" s="2">
        <v>14994.4027354974</v>
      </c>
      <c r="AI2680" s="2">
        <v>13530.1194877456</v>
      </c>
      <c r="AJ2680" s="2">
        <v>10887.8372151805</v>
      </c>
      <c r="AK2680" s="2">
        <v>5947.3522644765999</v>
      </c>
      <c r="AL2680" s="2">
        <v>7768.0917973212299</v>
      </c>
      <c r="AM2680" s="2">
        <v>7737.2817999811396</v>
      </c>
      <c r="AN2680" s="2">
        <v>6015.8083357461801</v>
      </c>
      <c r="AO2680" s="2">
        <v>7132.5305142410598</v>
      </c>
      <c r="AP2680" s="2">
        <v>7451.9762414258703</v>
      </c>
    </row>
    <row r="2681" spans="1:42" ht="14.5" x14ac:dyDescent="0.35">
      <c r="A2681" s="2" t="s">
        <v>17872</v>
      </c>
      <c r="B2681" s="2">
        <v>401.28333866900198</v>
      </c>
      <c r="C2681" s="2">
        <v>11.915233333333299</v>
      </c>
      <c r="D2681" s="2" t="s">
        <v>34</v>
      </c>
      <c r="E2681" s="2" t="s">
        <v>17873</v>
      </c>
      <c r="F2681" s="2">
        <v>36932</v>
      </c>
      <c r="G2681" s="3" t="str">
        <f>HYPERLINK("http://funmeta.oebiotech.com/network/36932", "http://funmeta.oebiotech.com/network/36932")</f>
        <v>http://funmeta.oebiotech.com/network/36932</v>
      </c>
      <c r="H2681" s="2"/>
      <c r="I2681" s="2"/>
      <c r="J2681" s="2" t="s">
        <v>17874</v>
      </c>
      <c r="K2681" s="2"/>
      <c r="L2681" s="2"/>
      <c r="M2681" s="2"/>
      <c r="N2681" s="2"/>
      <c r="O2681" s="2"/>
      <c r="P2681" s="2"/>
      <c r="Q2681" s="2" t="s">
        <v>17875</v>
      </c>
      <c r="R2681" s="2" t="s">
        <v>17876</v>
      </c>
      <c r="S2681" s="2" t="s">
        <v>50</v>
      </c>
      <c r="T2681" s="2" t="s">
        <v>201</v>
      </c>
      <c r="U2681" s="2" t="s">
        <v>6839</v>
      </c>
      <c r="V2681" s="2" t="s">
        <v>59</v>
      </c>
      <c r="W2681" s="2">
        <v>38.6</v>
      </c>
      <c r="X2681" s="2">
        <v>0</v>
      </c>
      <c r="Y2681" s="2" t="s">
        <v>141</v>
      </c>
      <c r="Z2681" s="2" t="s">
        <v>17877</v>
      </c>
      <c r="AA2681" s="2">
        <v>-1.3233462651897301</v>
      </c>
      <c r="AB2681" s="2">
        <v>0.300848992992927</v>
      </c>
      <c r="AC2681" s="2">
        <v>10925.5683701582</v>
      </c>
      <c r="AD2681" s="2">
        <v>4691.8134758013903</v>
      </c>
      <c r="AE2681" s="2">
        <v>9167.6697878053892</v>
      </c>
      <c r="AF2681" s="2">
        <v>10137.1260510392</v>
      </c>
      <c r="AG2681" s="2">
        <v>10726.3791713963</v>
      </c>
      <c r="AH2681" s="2">
        <v>11226.292653087699</v>
      </c>
      <c r="AI2681" s="2">
        <v>12233.189420091499</v>
      </c>
      <c r="AJ2681" s="2">
        <v>12062.7531375291</v>
      </c>
      <c r="AK2681" s="2">
        <v>6009.5339014455903</v>
      </c>
      <c r="AL2681" s="2">
        <v>5558.9897792168804</v>
      </c>
      <c r="AM2681" s="2">
        <v>3405.6891575140999</v>
      </c>
      <c r="AN2681" s="2">
        <v>4267.9079634173104</v>
      </c>
      <c r="AO2681" s="2">
        <v>4243.5511971646702</v>
      </c>
      <c r="AP2681" s="2">
        <v>4665.2088560497796</v>
      </c>
    </row>
    <row r="2682" spans="1:42" ht="14.5" x14ac:dyDescent="0.35">
      <c r="A2682" s="2" t="s">
        <v>17878</v>
      </c>
      <c r="B2682" s="2">
        <v>256.10248255293197</v>
      </c>
      <c r="C2682" s="2">
        <v>1.06171666666667</v>
      </c>
      <c r="D2682" s="2" t="s">
        <v>34</v>
      </c>
      <c r="E2682" s="2" t="s">
        <v>17879</v>
      </c>
      <c r="F2682" s="2">
        <v>199811</v>
      </c>
      <c r="G2682" s="3" t="str">
        <f>HYPERLINK("http://funmeta.oebiotech.com/network/199811", "http://funmeta.oebiotech.com/network/199811")</f>
        <v>http://funmeta.oebiotech.com/network/199811</v>
      </c>
      <c r="H2682" s="2" t="s">
        <v>17880</v>
      </c>
      <c r="I2682" s="2"/>
      <c r="J2682" s="2"/>
      <c r="K2682" s="2"/>
      <c r="L2682" s="2" t="s">
        <v>17881</v>
      </c>
      <c r="M2682" s="2" t="s">
        <v>7597</v>
      </c>
      <c r="N2682" s="2" t="s">
        <v>7598</v>
      </c>
      <c r="O2682" s="2">
        <v>817</v>
      </c>
      <c r="P2682" s="2"/>
      <c r="Q2682" s="2" t="s">
        <v>17882</v>
      </c>
      <c r="R2682" s="2" t="s">
        <v>17883</v>
      </c>
      <c r="S2682" s="2" t="s">
        <v>79</v>
      </c>
      <c r="T2682" s="2" t="s">
        <v>80</v>
      </c>
      <c r="U2682" s="2" t="s">
        <v>81</v>
      </c>
      <c r="V2682" s="2" t="s">
        <v>59</v>
      </c>
      <c r="W2682" s="2">
        <v>39</v>
      </c>
      <c r="X2682" s="2">
        <v>0</v>
      </c>
      <c r="Y2682" s="2" t="s">
        <v>43</v>
      </c>
      <c r="Z2682" s="2" t="s">
        <v>3268</v>
      </c>
      <c r="AA2682" s="2">
        <v>-0.88370449538344298</v>
      </c>
      <c r="AB2682" s="2">
        <v>0.30061623786244401</v>
      </c>
      <c r="AC2682" s="2">
        <v>30760.277305670501</v>
      </c>
      <c r="AD2682" s="2">
        <v>37139.710304615997</v>
      </c>
      <c r="AE2682" s="2">
        <v>31433.9297742177</v>
      </c>
      <c r="AF2682" s="2">
        <v>32049.709658264499</v>
      </c>
      <c r="AG2682" s="2">
        <v>28177.721328357198</v>
      </c>
      <c r="AH2682" s="2">
        <v>30244.382515657398</v>
      </c>
      <c r="AI2682" s="2">
        <v>32325.535957497199</v>
      </c>
      <c r="AJ2682" s="2">
        <v>30330.384600029101</v>
      </c>
      <c r="AK2682" s="2">
        <v>36690.033759463302</v>
      </c>
      <c r="AL2682" s="2">
        <v>37341.264125004302</v>
      </c>
      <c r="AM2682" s="2">
        <v>37030.189170701597</v>
      </c>
      <c r="AN2682" s="2">
        <v>35617.803552692203</v>
      </c>
      <c r="AO2682" s="2">
        <v>39495.239086035101</v>
      </c>
      <c r="AP2682" s="2">
        <v>36663.732133799502</v>
      </c>
    </row>
    <row r="2683" spans="1:42" ht="14.5" x14ac:dyDescent="0.35">
      <c r="A2683" s="2" t="s">
        <v>17884</v>
      </c>
      <c r="B2683" s="2">
        <v>566.27579193004897</v>
      </c>
      <c r="C2683" s="2">
        <v>5.6176666666666701</v>
      </c>
      <c r="D2683" s="2" t="s">
        <v>70</v>
      </c>
      <c r="E2683" s="2" t="s">
        <v>17885</v>
      </c>
      <c r="F2683" s="2">
        <v>201778</v>
      </c>
      <c r="G2683" s="3" t="str">
        <f>HYPERLINK("http://funmeta.oebiotech.com/network/201778", "http://funmeta.oebiotech.com/network/201778")</f>
        <v>http://funmeta.oebiotech.com/network/201778</v>
      </c>
      <c r="H2683" s="2" t="s">
        <v>17886</v>
      </c>
      <c r="I2683" s="2"/>
      <c r="J2683" s="2"/>
      <c r="K2683" s="2"/>
      <c r="L2683" s="2"/>
      <c r="M2683" s="2"/>
      <c r="N2683" s="2"/>
      <c r="O2683" s="2">
        <v>76418768</v>
      </c>
      <c r="P2683" s="2"/>
      <c r="Q2683" s="2" t="s">
        <v>17887</v>
      </c>
      <c r="R2683" s="2" t="s">
        <v>17888</v>
      </c>
      <c r="S2683" s="2" t="s">
        <v>50</v>
      </c>
      <c r="T2683" s="2" t="s">
        <v>201</v>
      </c>
      <c r="U2683" s="2" t="s">
        <v>2195</v>
      </c>
      <c r="V2683" s="2" t="s">
        <v>42</v>
      </c>
      <c r="W2683" s="2">
        <v>46.9</v>
      </c>
      <c r="X2683" s="2">
        <v>51.8</v>
      </c>
      <c r="Y2683" s="2" t="s">
        <v>118</v>
      </c>
      <c r="Z2683" s="2" t="s">
        <v>17889</v>
      </c>
      <c r="AA2683" s="2">
        <v>-0.26250397812728399</v>
      </c>
      <c r="AB2683" s="2">
        <v>0.30057199057074202</v>
      </c>
      <c r="AC2683" s="2">
        <v>23377.722068222902</v>
      </c>
      <c r="AD2683" s="2">
        <v>29860.5647625401</v>
      </c>
      <c r="AE2683" s="2">
        <v>22983.755386895598</v>
      </c>
      <c r="AF2683" s="2">
        <v>24210.6838118015</v>
      </c>
      <c r="AG2683" s="2">
        <v>22572.721104321801</v>
      </c>
      <c r="AH2683" s="2">
        <v>24986.8206625985</v>
      </c>
      <c r="AI2683" s="2">
        <v>23191.407217756201</v>
      </c>
      <c r="AJ2683" s="2">
        <v>22320.9442259639</v>
      </c>
      <c r="AK2683" s="2">
        <v>28333.177184987399</v>
      </c>
      <c r="AL2683" s="2">
        <v>29993.097867124099</v>
      </c>
      <c r="AM2683" s="2">
        <v>30553.0473209989</v>
      </c>
      <c r="AN2683" s="2">
        <v>32695.6731143508</v>
      </c>
      <c r="AO2683" s="2">
        <v>26939.861259089099</v>
      </c>
      <c r="AP2683" s="2">
        <v>30648.5318286904</v>
      </c>
    </row>
    <row r="2684" spans="1:42" ht="14.5" x14ac:dyDescent="0.35">
      <c r="A2684" s="2" t="s">
        <v>17890</v>
      </c>
      <c r="B2684" s="2">
        <v>843.42579741212398</v>
      </c>
      <c r="C2684" s="2">
        <v>9.9588999999999999</v>
      </c>
      <c r="D2684" s="2" t="s">
        <v>34</v>
      </c>
      <c r="E2684" s="2" t="s">
        <v>17891</v>
      </c>
      <c r="F2684" s="2">
        <v>55256</v>
      </c>
      <c r="G2684" s="3" t="str">
        <f>HYPERLINK("http://funmeta.oebiotech.com/network/55256", "http://funmeta.oebiotech.com/network/55256")</f>
        <v>http://funmeta.oebiotech.com/network/55256</v>
      </c>
      <c r="H2684" s="2" t="s">
        <v>17892</v>
      </c>
      <c r="I2684" s="2"/>
      <c r="J2684" s="2"/>
      <c r="K2684" s="2">
        <v>1137572</v>
      </c>
      <c r="L2684" s="2" t="s">
        <v>17893</v>
      </c>
      <c r="M2684" s="2"/>
      <c r="N2684" s="2"/>
      <c r="O2684" s="2">
        <v>5353844</v>
      </c>
      <c r="P2684" s="2" t="s">
        <v>17894</v>
      </c>
      <c r="Q2684" s="2" t="s">
        <v>17895</v>
      </c>
      <c r="R2684" s="2" t="s">
        <v>17896</v>
      </c>
      <c r="S2684" s="2" t="s">
        <v>79</v>
      </c>
      <c r="T2684" s="2" t="s">
        <v>80</v>
      </c>
      <c r="U2684" s="2" t="s">
        <v>249</v>
      </c>
      <c r="V2684" s="2" t="s">
        <v>59</v>
      </c>
      <c r="W2684" s="2">
        <v>36.6</v>
      </c>
      <c r="X2684" s="2">
        <v>0</v>
      </c>
      <c r="Y2684" s="2" t="s">
        <v>340</v>
      </c>
      <c r="Z2684" s="2" t="s">
        <v>17897</v>
      </c>
      <c r="AA2684" s="2">
        <v>-4.1678615971545501</v>
      </c>
      <c r="AB2684" s="2">
        <v>0.30029965646102802</v>
      </c>
      <c r="AC2684" s="2">
        <v>8192.0313258563292</v>
      </c>
      <c r="AD2684" s="2">
        <v>1671.03735142797</v>
      </c>
      <c r="AE2684" s="2">
        <v>8549.6029703935401</v>
      </c>
      <c r="AF2684" s="2">
        <v>10289.491362031</v>
      </c>
      <c r="AG2684" s="2">
        <v>10553.288681184</v>
      </c>
      <c r="AH2684" s="2">
        <v>9190.4772880829405</v>
      </c>
      <c r="AI2684" s="2">
        <v>5376.8032335545304</v>
      </c>
      <c r="AJ2684" s="2">
        <v>5192.524419892</v>
      </c>
      <c r="AK2684" s="2">
        <v>635.30358186356204</v>
      </c>
      <c r="AL2684" s="2">
        <v>2096.5659345105601</v>
      </c>
      <c r="AM2684" s="2">
        <v>2164.8012746815798</v>
      </c>
      <c r="AN2684" s="2">
        <v>1686.39062914388</v>
      </c>
      <c r="AO2684" s="2">
        <v>1996.0198417056199</v>
      </c>
      <c r="AP2684" s="2">
        <v>1447.14284666259</v>
      </c>
    </row>
    <row r="2685" spans="1:42" ht="14.5" x14ac:dyDescent="0.35">
      <c r="A2685" s="2" t="s">
        <v>17898</v>
      </c>
      <c r="B2685" s="2">
        <v>815.33433878291703</v>
      </c>
      <c r="C2685" s="2">
        <v>4.6673166666666699</v>
      </c>
      <c r="D2685" s="2" t="s">
        <v>70</v>
      </c>
      <c r="E2685" s="2" t="s">
        <v>17899</v>
      </c>
      <c r="F2685" s="2">
        <v>53008</v>
      </c>
      <c r="G2685" s="3" t="str">
        <f>HYPERLINK("http://funmeta.oebiotech.com/network/53008", "http://funmeta.oebiotech.com/network/53008")</f>
        <v>http://funmeta.oebiotech.com/network/53008</v>
      </c>
      <c r="H2685" s="2" t="s">
        <v>17900</v>
      </c>
      <c r="I2685" s="2">
        <v>66595</v>
      </c>
      <c r="J2685" s="2"/>
      <c r="K2685" s="2">
        <v>9398</v>
      </c>
      <c r="L2685" s="2" t="s">
        <v>17901</v>
      </c>
      <c r="M2685" s="2"/>
      <c r="N2685" s="2"/>
      <c r="O2685" s="2">
        <v>129211</v>
      </c>
      <c r="P2685" s="2" t="s">
        <v>17902</v>
      </c>
      <c r="Q2685" s="2" t="s">
        <v>17903</v>
      </c>
      <c r="R2685" s="2" t="s">
        <v>17904</v>
      </c>
      <c r="S2685" s="2" t="s">
        <v>148</v>
      </c>
      <c r="T2685" s="2" t="s">
        <v>149</v>
      </c>
      <c r="U2685" s="2" t="s">
        <v>13117</v>
      </c>
      <c r="V2685" s="2" t="s">
        <v>59</v>
      </c>
      <c r="W2685" s="2">
        <v>36.700000000000003</v>
      </c>
      <c r="X2685" s="2">
        <v>0</v>
      </c>
      <c r="Y2685" s="2" t="s">
        <v>560</v>
      </c>
      <c r="Z2685" s="2" t="s">
        <v>17905</v>
      </c>
      <c r="AA2685" s="2">
        <v>-2.6591686494753999</v>
      </c>
      <c r="AB2685" s="2">
        <v>0.300280220393431</v>
      </c>
      <c r="AC2685" s="2">
        <v>9837.1048535563004</v>
      </c>
      <c r="AD2685" s="2">
        <v>3023.4140962987399</v>
      </c>
      <c r="AE2685" s="2">
        <v>7889.5095274637597</v>
      </c>
      <c r="AF2685" s="2">
        <v>8769.24732015683</v>
      </c>
      <c r="AG2685" s="2">
        <v>14810.016946551001</v>
      </c>
      <c r="AH2685" s="2">
        <v>7305.55461803248</v>
      </c>
      <c r="AI2685" s="2">
        <v>8274.3537496172303</v>
      </c>
      <c r="AJ2685" s="2">
        <v>11973.946959516499</v>
      </c>
      <c r="AK2685" s="2">
        <v>2510.3601171678201</v>
      </c>
      <c r="AL2685" s="2">
        <v>2156.0262873483698</v>
      </c>
      <c r="AM2685" s="2">
        <v>3670.0529009634402</v>
      </c>
      <c r="AN2685" s="2">
        <v>3086.1029783802901</v>
      </c>
      <c r="AO2685" s="2">
        <v>2327.30200246602</v>
      </c>
      <c r="AP2685" s="2">
        <v>4390.6402914664995</v>
      </c>
    </row>
    <row r="2686" spans="1:42" ht="14.5" x14ac:dyDescent="0.35">
      <c r="A2686" s="2" t="s">
        <v>17906</v>
      </c>
      <c r="B2686" s="2">
        <v>472.18227995540099</v>
      </c>
      <c r="C2686" s="2">
        <v>3.6738166666666698</v>
      </c>
      <c r="D2686" s="2" t="s">
        <v>70</v>
      </c>
      <c r="E2686" s="2" t="s">
        <v>17907</v>
      </c>
      <c r="F2686" s="2">
        <v>207347</v>
      </c>
      <c r="G2686" s="3" t="str">
        <f>HYPERLINK("http://funmeta.oebiotech.com/network/207347", "http://funmeta.oebiotech.com/network/207347")</f>
        <v>http://funmeta.oebiotech.com/network/207347</v>
      </c>
      <c r="H2686" s="2" t="s">
        <v>17908</v>
      </c>
      <c r="I2686" s="2"/>
      <c r="J2686" s="2"/>
      <c r="K2686" s="2"/>
      <c r="L2686" s="2"/>
      <c r="M2686" s="2"/>
      <c r="N2686" s="2"/>
      <c r="O2686" s="2"/>
      <c r="P2686" s="2"/>
      <c r="Q2686" s="2" t="s">
        <v>17909</v>
      </c>
      <c r="R2686" s="2" t="s">
        <v>17910</v>
      </c>
      <c r="S2686" s="2" t="s">
        <v>491</v>
      </c>
      <c r="T2686" s="2" t="s">
        <v>3519</v>
      </c>
      <c r="U2686" s="2" t="s">
        <v>7268</v>
      </c>
      <c r="V2686" s="2" t="s">
        <v>59</v>
      </c>
      <c r="W2686" s="2">
        <v>39</v>
      </c>
      <c r="X2686" s="2">
        <v>0</v>
      </c>
      <c r="Y2686" s="2" t="s">
        <v>751</v>
      </c>
      <c r="Z2686" s="2" t="s">
        <v>17911</v>
      </c>
      <c r="AA2686" s="2">
        <v>2.0567274432232101</v>
      </c>
      <c r="AB2686" s="2">
        <v>0.30024858082464201</v>
      </c>
      <c r="AC2686" s="2">
        <v>6704.0700283393999</v>
      </c>
      <c r="AD2686" s="2">
        <v>566.74185250992696</v>
      </c>
      <c r="AE2686" s="2">
        <v>5784.8415240023996</v>
      </c>
      <c r="AF2686" s="2">
        <v>6989.0136734021498</v>
      </c>
      <c r="AG2686" s="2">
        <v>5882.9543046899398</v>
      </c>
      <c r="AH2686" s="2">
        <v>7826.0999562413399</v>
      </c>
      <c r="AI2686" s="2">
        <v>8371.4825858242202</v>
      </c>
      <c r="AJ2686" s="2">
        <v>5370.0281258763398</v>
      </c>
      <c r="AK2686" s="2">
        <v>602.71894347790703</v>
      </c>
      <c r="AL2686" s="2">
        <v>856.32639088399105</v>
      </c>
      <c r="AM2686" s="2">
        <v>357.78447781784803</v>
      </c>
      <c r="AN2686" s="2">
        <v>807.23657984225497</v>
      </c>
      <c r="AO2686" s="2">
        <v>296.93798061178899</v>
      </c>
      <c r="AP2686" s="2">
        <v>479.44674242577298</v>
      </c>
    </row>
    <row r="2687" spans="1:42" ht="14.5" x14ac:dyDescent="0.35">
      <c r="A2687" s="2" t="s">
        <v>17912</v>
      </c>
      <c r="B2687" s="2">
        <v>301.08933377366998</v>
      </c>
      <c r="C2687" s="2">
        <v>1.5714333333333299</v>
      </c>
      <c r="D2687" s="2" t="s">
        <v>34</v>
      </c>
      <c r="E2687" s="2" t="s">
        <v>17913</v>
      </c>
      <c r="F2687" s="2">
        <v>10216</v>
      </c>
      <c r="G2687" s="3" t="str">
        <f>HYPERLINK("http://funmeta.oebiotech.com/network/10216", "http://funmeta.oebiotech.com/network/10216")</f>
        <v>http://funmeta.oebiotech.com/network/10216</v>
      </c>
      <c r="H2687" s="2" t="s">
        <v>17914</v>
      </c>
      <c r="I2687" s="2">
        <v>67065</v>
      </c>
      <c r="J2687" s="2" t="s">
        <v>17915</v>
      </c>
      <c r="K2687" s="2"/>
      <c r="L2687" s="2" t="s">
        <v>17916</v>
      </c>
      <c r="M2687" s="2"/>
      <c r="N2687" s="2"/>
      <c r="O2687" s="2">
        <v>108011</v>
      </c>
      <c r="P2687" s="2" t="s">
        <v>17917</v>
      </c>
      <c r="Q2687" s="2" t="s">
        <v>17918</v>
      </c>
      <c r="R2687" s="2" t="s">
        <v>17919</v>
      </c>
      <c r="S2687" s="2" t="s">
        <v>79</v>
      </c>
      <c r="T2687" s="2" t="s">
        <v>80</v>
      </c>
      <c r="U2687" s="2" t="s">
        <v>81</v>
      </c>
      <c r="V2687" s="2" t="s">
        <v>42</v>
      </c>
      <c r="W2687" s="2">
        <v>49.8</v>
      </c>
      <c r="X2687" s="2">
        <v>61.6</v>
      </c>
      <c r="Y2687" s="2" t="s">
        <v>323</v>
      </c>
      <c r="Z2687" s="2" t="s">
        <v>8761</v>
      </c>
      <c r="AA2687" s="2">
        <v>-0.195757057035507</v>
      </c>
      <c r="AB2687" s="2">
        <v>0.300189808510402</v>
      </c>
      <c r="AC2687" s="2">
        <v>76250.686802416807</v>
      </c>
      <c r="AD2687" s="2">
        <v>83616.362819208007</v>
      </c>
      <c r="AE2687" s="2">
        <v>75359.195239056105</v>
      </c>
      <c r="AF2687" s="2">
        <v>79017.113428268203</v>
      </c>
      <c r="AG2687" s="2">
        <v>70842.574274790895</v>
      </c>
      <c r="AH2687" s="2">
        <v>72507.105157174999</v>
      </c>
      <c r="AI2687" s="2">
        <v>82618.069581227799</v>
      </c>
      <c r="AJ2687" s="2">
        <v>77160.063133982694</v>
      </c>
      <c r="AK2687" s="2">
        <v>83497.479740734605</v>
      </c>
      <c r="AL2687" s="2">
        <v>82350.855889602302</v>
      </c>
      <c r="AM2687" s="2">
        <v>84017.470064558394</v>
      </c>
      <c r="AN2687" s="2">
        <v>84971.901106590303</v>
      </c>
      <c r="AO2687" s="2">
        <v>83447.351668926</v>
      </c>
      <c r="AP2687" s="2">
        <v>83413.118444836204</v>
      </c>
    </row>
    <row r="2688" spans="1:42" ht="14.5" x14ac:dyDescent="0.35">
      <c r="A2688" s="2" t="s">
        <v>17920</v>
      </c>
      <c r="B2688" s="2">
        <v>507.29447325386701</v>
      </c>
      <c r="C2688" s="2">
        <v>7.5527833333333296</v>
      </c>
      <c r="D2688" s="2" t="s">
        <v>34</v>
      </c>
      <c r="E2688" s="2" t="s">
        <v>17921</v>
      </c>
      <c r="F2688" s="2">
        <v>54310</v>
      </c>
      <c r="G2688" s="3" t="str">
        <f>HYPERLINK("http://funmeta.oebiotech.com/network/54310", "http://funmeta.oebiotech.com/network/54310")</f>
        <v>http://funmeta.oebiotech.com/network/54310</v>
      </c>
      <c r="H2688" s="2" t="s">
        <v>17922</v>
      </c>
      <c r="I2688" s="2">
        <v>86202</v>
      </c>
      <c r="J2688" s="2"/>
      <c r="K2688" s="2">
        <v>175769</v>
      </c>
      <c r="L2688" s="2"/>
      <c r="M2688" s="2"/>
      <c r="N2688" s="2"/>
      <c r="O2688" s="2">
        <v>131750854</v>
      </c>
      <c r="P2688" s="2" t="s">
        <v>17923</v>
      </c>
      <c r="Q2688" s="2" t="s">
        <v>17924</v>
      </c>
      <c r="R2688" s="2" t="s">
        <v>17925</v>
      </c>
      <c r="S2688" s="2" t="s">
        <v>89</v>
      </c>
      <c r="T2688" s="2" t="s">
        <v>90</v>
      </c>
      <c r="U2688" s="2" t="s">
        <v>99</v>
      </c>
      <c r="V2688" s="2" t="s">
        <v>59</v>
      </c>
      <c r="W2688" s="2">
        <v>37.299999999999997</v>
      </c>
      <c r="X2688" s="2">
        <v>0</v>
      </c>
      <c r="Y2688" s="2" t="s">
        <v>323</v>
      </c>
      <c r="Z2688" s="2" t="s">
        <v>17926</v>
      </c>
      <c r="AA2688" s="2">
        <v>0.61282384881428698</v>
      </c>
      <c r="AB2688" s="2">
        <v>0.299949145059558</v>
      </c>
      <c r="AC2688" s="2">
        <v>15175.0219260494</v>
      </c>
      <c r="AD2688" s="2">
        <v>7945.3470253464502</v>
      </c>
      <c r="AE2688" s="2">
        <v>13168.965262142099</v>
      </c>
      <c r="AF2688" s="2">
        <v>12204.916053020799</v>
      </c>
      <c r="AG2688" s="2">
        <v>18000.1161883762</v>
      </c>
      <c r="AH2688" s="2">
        <v>17908.796569575101</v>
      </c>
      <c r="AI2688" s="2">
        <v>16857.519642304898</v>
      </c>
      <c r="AJ2688" s="2">
        <v>12909.8178408773</v>
      </c>
      <c r="AK2688" s="2">
        <v>6770.2085875857902</v>
      </c>
      <c r="AL2688" s="2">
        <v>9004.7879459027808</v>
      </c>
      <c r="AM2688" s="2">
        <v>9851.1868104736404</v>
      </c>
      <c r="AN2688" s="2">
        <v>6526.3976790748702</v>
      </c>
      <c r="AO2688" s="2">
        <v>3695.9568712345499</v>
      </c>
      <c r="AP2688" s="2">
        <v>11823.5442578071</v>
      </c>
    </row>
    <row r="2689" spans="1:42" ht="14.5" x14ac:dyDescent="0.35">
      <c r="A2689" s="2" t="s">
        <v>17927</v>
      </c>
      <c r="B2689" s="2">
        <v>1135.56818312274</v>
      </c>
      <c r="C2689" s="2">
        <v>10.5876</v>
      </c>
      <c r="D2689" s="2" t="s">
        <v>70</v>
      </c>
      <c r="E2689" s="2" t="s">
        <v>17928</v>
      </c>
      <c r="F2689" s="2">
        <v>212707</v>
      </c>
      <c r="G2689" s="3" t="str">
        <f>HYPERLINK("http://funmeta.oebiotech.com/network/212707", "http://funmeta.oebiotech.com/network/212707")</f>
        <v>http://funmeta.oebiotech.com/network/212707</v>
      </c>
      <c r="H2689" s="2" t="s">
        <v>17929</v>
      </c>
      <c r="I2689" s="2"/>
      <c r="J2689" s="2"/>
      <c r="K2689" s="2"/>
      <c r="L2689" s="2"/>
      <c r="M2689" s="2"/>
      <c r="N2689" s="2"/>
      <c r="O2689" s="2"/>
      <c r="P2689" s="2"/>
      <c r="Q2689" s="2" t="s">
        <v>17930</v>
      </c>
      <c r="R2689" s="2" t="s">
        <v>17931</v>
      </c>
      <c r="S2689" s="2" t="s">
        <v>41</v>
      </c>
      <c r="T2689" s="2" t="s">
        <v>41</v>
      </c>
      <c r="U2689" s="2" t="s">
        <v>41</v>
      </c>
      <c r="V2689" s="2" t="s">
        <v>59</v>
      </c>
      <c r="W2689" s="2">
        <v>37.4</v>
      </c>
      <c r="X2689" s="2">
        <v>0</v>
      </c>
      <c r="Y2689" s="2" t="s">
        <v>560</v>
      </c>
      <c r="Z2689" s="2" t="s">
        <v>17932</v>
      </c>
      <c r="AA2689" s="2">
        <v>-0.21008147842125499</v>
      </c>
      <c r="AB2689" s="2">
        <v>0.29993756159205098</v>
      </c>
      <c r="AC2689" s="2">
        <v>15168.762219038201</v>
      </c>
      <c r="AD2689" s="2">
        <v>8434.2575137341191</v>
      </c>
      <c r="AE2689" s="2">
        <v>14732.0741732809</v>
      </c>
      <c r="AF2689" s="2">
        <v>13271.2374164511</v>
      </c>
      <c r="AG2689" s="2">
        <v>18083.934279992802</v>
      </c>
      <c r="AH2689" s="2">
        <v>16642.657312913099</v>
      </c>
      <c r="AI2689" s="2">
        <v>12586.644294653601</v>
      </c>
      <c r="AJ2689" s="2">
        <v>15696.025836937801</v>
      </c>
      <c r="AK2689" s="2">
        <v>6846.7349309124302</v>
      </c>
      <c r="AL2689" s="2">
        <v>8229.8593389668004</v>
      </c>
      <c r="AM2689" s="2">
        <v>11535.407509610701</v>
      </c>
      <c r="AN2689" s="2">
        <v>7301.5887569714396</v>
      </c>
      <c r="AO2689" s="2">
        <v>6366.9007419224699</v>
      </c>
      <c r="AP2689" s="2">
        <v>10325.053804020899</v>
      </c>
    </row>
    <row r="2690" spans="1:42" ht="14.5" x14ac:dyDescent="0.35">
      <c r="A2690" s="2" t="s">
        <v>17933</v>
      </c>
      <c r="B2690" s="2">
        <v>525.23452545477096</v>
      </c>
      <c r="C2690" s="2">
        <v>5.1527500000000002</v>
      </c>
      <c r="D2690" s="2" t="s">
        <v>70</v>
      </c>
      <c r="E2690" s="2" t="s">
        <v>17934</v>
      </c>
      <c r="F2690" s="2">
        <v>59951</v>
      </c>
      <c r="G2690" s="3" t="str">
        <f>HYPERLINK("http://funmeta.oebiotech.com/network/59951", "http://funmeta.oebiotech.com/network/59951")</f>
        <v>http://funmeta.oebiotech.com/network/59951</v>
      </c>
      <c r="H2690" s="2" t="s">
        <v>17935</v>
      </c>
      <c r="I2690" s="2">
        <v>91312</v>
      </c>
      <c r="J2690" s="2"/>
      <c r="K2690" s="2"/>
      <c r="L2690" s="2"/>
      <c r="M2690" s="2"/>
      <c r="N2690" s="2"/>
      <c r="O2690" s="2">
        <v>131751921</v>
      </c>
      <c r="P2690" s="2" t="s">
        <v>17936</v>
      </c>
      <c r="Q2690" s="2" t="s">
        <v>17937</v>
      </c>
      <c r="R2690" s="2" t="s">
        <v>17938</v>
      </c>
      <c r="S2690" s="2" t="s">
        <v>50</v>
      </c>
      <c r="T2690" s="2" t="s">
        <v>201</v>
      </c>
      <c r="U2690" s="2" t="s">
        <v>636</v>
      </c>
      <c r="V2690" s="2" t="s">
        <v>59</v>
      </c>
      <c r="W2690" s="2">
        <v>41.1</v>
      </c>
      <c r="X2690" s="2">
        <v>12.3</v>
      </c>
      <c r="Y2690" s="2" t="s">
        <v>1395</v>
      </c>
      <c r="Z2690" s="2" t="s">
        <v>1192</v>
      </c>
      <c r="AA2690" s="2">
        <v>0.81179725266807601</v>
      </c>
      <c r="AB2690" s="2">
        <v>0.29989738195786497</v>
      </c>
      <c r="AC2690" s="2">
        <v>263134.06186011998</v>
      </c>
      <c r="AD2690" s="2">
        <v>274871.99359454302</v>
      </c>
      <c r="AE2690" s="2">
        <v>266378.27668370301</v>
      </c>
      <c r="AF2690" s="2">
        <v>246175.72118270001</v>
      </c>
      <c r="AG2690" s="2">
        <v>278343.81363458699</v>
      </c>
      <c r="AH2690" s="2">
        <v>254537.58606088901</v>
      </c>
      <c r="AI2690" s="2">
        <v>258156.954751646</v>
      </c>
      <c r="AJ2690" s="2">
        <v>275212.01884719398</v>
      </c>
      <c r="AK2690" s="2">
        <v>262687.72897867602</v>
      </c>
      <c r="AL2690" s="2">
        <v>288944.03821867501</v>
      </c>
      <c r="AM2690" s="2">
        <v>277726.80343725497</v>
      </c>
      <c r="AN2690" s="2">
        <v>268680.53585652402</v>
      </c>
      <c r="AO2690" s="2">
        <v>278656.637156896</v>
      </c>
      <c r="AP2690" s="2">
        <v>272536.21791923197</v>
      </c>
    </row>
    <row r="2691" spans="1:42" ht="14.5" x14ac:dyDescent="0.35">
      <c r="A2691" s="2" t="s">
        <v>17939</v>
      </c>
      <c r="B2691" s="2">
        <v>423.090789324235</v>
      </c>
      <c r="C2691" s="2">
        <v>2.6792500000000001</v>
      </c>
      <c r="D2691" s="2" t="s">
        <v>70</v>
      </c>
      <c r="E2691" s="2" t="s">
        <v>17940</v>
      </c>
      <c r="F2691" s="2">
        <v>57259</v>
      </c>
      <c r="G2691" s="3" t="str">
        <f>HYPERLINK("http://funmeta.oebiotech.com/network/57259", "http://funmeta.oebiotech.com/network/57259")</f>
        <v>http://funmeta.oebiotech.com/network/57259</v>
      </c>
      <c r="H2691" s="2" t="s">
        <v>17941</v>
      </c>
      <c r="I2691" s="2">
        <v>44452</v>
      </c>
      <c r="J2691" s="2"/>
      <c r="K2691" s="2"/>
      <c r="L2691" s="2"/>
      <c r="M2691" s="2"/>
      <c r="N2691" s="2"/>
      <c r="O2691" s="2">
        <v>74708</v>
      </c>
      <c r="P2691" s="2" t="s">
        <v>17942</v>
      </c>
      <c r="Q2691" s="2" t="s">
        <v>17943</v>
      </c>
      <c r="R2691" s="2" t="s">
        <v>17944</v>
      </c>
      <c r="S2691" s="2" t="s">
        <v>491</v>
      </c>
      <c r="T2691" s="2" t="s">
        <v>2251</v>
      </c>
      <c r="U2691" s="2" t="s">
        <v>2252</v>
      </c>
      <c r="V2691" s="2" t="s">
        <v>59</v>
      </c>
      <c r="W2691" s="2">
        <v>37.6</v>
      </c>
      <c r="X2691" s="2">
        <v>0</v>
      </c>
      <c r="Y2691" s="2" t="s">
        <v>560</v>
      </c>
      <c r="Z2691" s="2" t="s">
        <v>17945</v>
      </c>
      <c r="AA2691" s="2">
        <v>7.9640840808218796</v>
      </c>
      <c r="AB2691" s="2">
        <v>0.299856413600324</v>
      </c>
      <c r="AC2691" s="2">
        <v>18181.020521201401</v>
      </c>
      <c r="AD2691" s="2">
        <v>24477.833902001101</v>
      </c>
      <c r="AE2691" s="2">
        <v>17040.4145150677</v>
      </c>
      <c r="AF2691" s="2">
        <v>17190.8541535064</v>
      </c>
      <c r="AG2691" s="2">
        <v>18577.7603146785</v>
      </c>
      <c r="AH2691" s="2">
        <v>16977.7639802216</v>
      </c>
      <c r="AI2691" s="2">
        <v>18470.628009638702</v>
      </c>
      <c r="AJ2691" s="2">
        <v>20828.702154095401</v>
      </c>
      <c r="AK2691" s="2">
        <v>25462.433593358401</v>
      </c>
      <c r="AL2691" s="2">
        <v>23022.1525425449</v>
      </c>
      <c r="AM2691" s="2">
        <v>25804.437561947401</v>
      </c>
      <c r="AN2691" s="2">
        <v>24675.240397718</v>
      </c>
      <c r="AO2691" s="2">
        <v>23336.878951841602</v>
      </c>
      <c r="AP2691" s="2">
        <v>24565.860364596301</v>
      </c>
    </row>
    <row r="2692" spans="1:42" ht="14.5" x14ac:dyDescent="0.35">
      <c r="A2692" s="2" t="s">
        <v>17946</v>
      </c>
      <c r="B2692" s="2">
        <v>940.33841798568403</v>
      </c>
      <c r="C2692" s="2">
        <v>10.1084333333333</v>
      </c>
      <c r="D2692" s="2" t="s">
        <v>70</v>
      </c>
      <c r="E2692" s="2" t="s">
        <v>17947</v>
      </c>
      <c r="F2692" s="2">
        <v>280450</v>
      </c>
      <c r="G2692" s="3" t="str">
        <f>HYPERLINK("http://funmeta.oebiotech.com/network/280450", "http://funmeta.oebiotech.com/network/280450")</f>
        <v>http://funmeta.oebiotech.com/network/280450</v>
      </c>
      <c r="H2692" s="2"/>
      <c r="I2692" s="2">
        <v>73552</v>
      </c>
      <c r="J2692" s="2"/>
      <c r="K2692" s="2"/>
      <c r="L2692" s="2"/>
      <c r="M2692" s="2"/>
      <c r="N2692" s="2"/>
      <c r="O2692" s="2">
        <v>124950</v>
      </c>
      <c r="P2692" s="2" t="s">
        <v>17948</v>
      </c>
      <c r="Q2692" s="2" t="s">
        <v>17949</v>
      </c>
      <c r="R2692" s="2" t="s">
        <v>17950</v>
      </c>
      <c r="S2692" s="2" t="s">
        <v>41</v>
      </c>
      <c r="T2692" s="2" t="s">
        <v>41</v>
      </c>
      <c r="U2692" s="2" t="s">
        <v>41</v>
      </c>
      <c r="V2692" s="2" t="s">
        <v>59</v>
      </c>
      <c r="W2692" s="2">
        <v>38.299999999999997</v>
      </c>
      <c r="X2692" s="2">
        <v>0</v>
      </c>
      <c r="Y2692" s="2" t="s">
        <v>408</v>
      </c>
      <c r="Z2692" s="2" t="s">
        <v>17951</v>
      </c>
      <c r="AA2692" s="2">
        <v>-1.45741283726991</v>
      </c>
      <c r="AB2692" s="2">
        <v>0.29980495774830901</v>
      </c>
      <c r="AC2692" s="2">
        <v>11342.767450997</v>
      </c>
      <c r="AD2692" s="2">
        <v>4995.7522107491104</v>
      </c>
      <c r="AE2692" s="2">
        <v>13327.2851644476</v>
      </c>
      <c r="AF2692" s="2">
        <v>11206.0678343453</v>
      </c>
      <c r="AG2692" s="2">
        <v>11105.0896409163</v>
      </c>
      <c r="AH2692" s="2">
        <v>11093.4913956079</v>
      </c>
      <c r="AI2692" s="2">
        <v>9366.4599628523501</v>
      </c>
      <c r="AJ2692" s="2">
        <v>11958.210707812799</v>
      </c>
      <c r="AK2692" s="2">
        <v>2922.7433066952799</v>
      </c>
      <c r="AL2692" s="2">
        <v>7476.9424894145504</v>
      </c>
      <c r="AM2692" s="2">
        <v>3865.7351422865399</v>
      </c>
      <c r="AN2692" s="2">
        <v>5718.4644254732702</v>
      </c>
      <c r="AO2692" s="2">
        <v>5064.0304914446797</v>
      </c>
      <c r="AP2692" s="2">
        <v>4926.59740918034</v>
      </c>
    </row>
    <row r="2693" spans="1:42" ht="14.5" x14ac:dyDescent="0.35">
      <c r="A2693" s="2" t="s">
        <v>17952</v>
      </c>
      <c r="B2693" s="2">
        <v>165.069875678052</v>
      </c>
      <c r="C2693" s="2">
        <v>8.6905333333333292</v>
      </c>
      <c r="D2693" s="2" t="s">
        <v>34</v>
      </c>
      <c r="E2693" s="2" t="s">
        <v>17953</v>
      </c>
      <c r="F2693" s="2">
        <v>81715</v>
      </c>
      <c r="G2693" s="3" t="str">
        <f>HYPERLINK("http://funmeta.oebiotech.com/network/81715", "http://funmeta.oebiotech.com/network/81715")</f>
        <v>http://funmeta.oebiotech.com/network/81715</v>
      </c>
      <c r="H2693" s="2" t="s">
        <v>17954</v>
      </c>
      <c r="I2693" s="2">
        <v>66076</v>
      </c>
      <c r="J2693" s="2"/>
      <c r="K2693" s="2">
        <v>17195</v>
      </c>
      <c r="L2693" s="2" t="s">
        <v>17955</v>
      </c>
      <c r="M2693" s="2"/>
      <c r="N2693" s="2"/>
      <c r="O2693" s="2">
        <v>440159</v>
      </c>
      <c r="P2693" s="2" t="s">
        <v>17956</v>
      </c>
      <c r="Q2693" s="2" t="s">
        <v>17957</v>
      </c>
      <c r="R2693" s="2" t="s">
        <v>17958</v>
      </c>
      <c r="S2693" s="2" t="s">
        <v>89</v>
      </c>
      <c r="T2693" s="2" t="s">
        <v>90</v>
      </c>
      <c r="U2693" s="2" t="s">
        <v>99</v>
      </c>
      <c r="V2693" s="2" t="s">
        <v>59</v>
      </c>
      <c r="W2693" s="2">
        <v>39</v>
      </c>
      <c r="X2693" s="2">
        <v>8.73</v>
      </c>
      <c r="Y2693" s="2" t="s">
        <v>43</v>
      </c>
      <c r="Z2693" s="2" t="s">
        <v>17959</v>
      </c>
      <c r="AA2693" s="2">
        <v>4.4248902235750602</v>
      </c>
      <c r="AB2693" s="2">
        <v>0.29979872112471601</v>
      </c>
      <c r="AC2693" s="2">
        <v>21876.5672199943</v>
      </c>
      <c r="AD2693" s="2">
        <v>27946.709008694401</v>
      </c>
      <c r="AE2693" s="2">
        <v>22697.128473283599</v>
      </c>
      <c r="AF2693" s="2">
        <v>21261.530382782799</v>
      </c>
      <c r="AG2693" s="2">
        <v>21613.455494774</v>
      </c>
      <c r="AH2693" s="2">
        <v>21378.4345131505</v>
      </c>
      <c r="AI2693" s="2">
        <v>21246.784933691299</v>
      </c>
      <c r="AJ2693" s="2">
        <v>23062.0695222836</v>
      </c>
      <c r="AK2693" s="2">
        <v>27387.030211860099</v>
      </c>
      <c r="AL2693" s="2">
        <v>27920.712366542299</v>
      </c>
      <c r="AM2693" s="2">
        <v>28829.285198068999</v>
      </c>
      <c r="AN2693" s="2">
        <v>28188.875658859401</v>
      </c>
      <c r="AO2693" s="2">
        <v>26699.2806161427</v>
      </c>
      <c r="AP2693" s="2">
        <v>28655.070000692798</v>
      </c>
    </row>
    <row r="2694" spans="1:42" ht="14.5" x14ac:dyDescent="0.35">
      <c r="A2694" s="2" t="s">
        <v>17960</v>
      </c>
      <c r="B2694" s="2">
        <v>461.250677025389</v>
      </c>
      <c r="C2694" s="2">
        <v>7.3518666666666697</v>
      </c>
      <c r="D2694" s="2" t="s">
        <v>34</v>
      </c>
      <c r="E2694" s="2" t="s">
        <v>17961</v>
      </c>
      <c r="F2694" s="2">
        <v>36096</v>
      </c>
      <c r="G2694" s="3" t="str">
        <f>HYPERLINK("http://funmeta.oebiotech.com/network/36096", "http://funmeta.oebiotech.com/network/36096")</f>
        <v>http://funmeta.oebiotech.com/network/36096</v>
      </c>
      <c r="H2694" s="2"/>
      <c r="I2694" s="2">
        <v>53690</v>
      </c>
      <c r="J2694" s="2" t="s">
        <v>17962</v>
      </c>
      <c r="K2694" s="2"/>
      <c r="L2694" s="2"/>
      <c r="M2694" s="2"/>
      <c r="N2694" s="2"/>
      <c r="O2694" s="2">
        <v>42608251</v>
      </c>
      <c r="P2694" s="2"/>
      <c r="Q2694" s="2" t="s">
        <v>17963</v>
      </c>
      <c r="R2694" s="2" t="s">
        <v>17964</v>
      </c>
      <c r="S2694" s="2" t="s">
        <v>50</v>
      </c>
      <c r="T2694" s="2" t="s">
        <v>201</v>
      </c>
      <c r="U2694" s="2" t="s">
        <v>241</v>
      </c>
      <c r="V2694" s="2" t="s">
        <v>42</v>
      </c>
      <c r="W2694" s="2">
        <v>47.7</v>
      </c>
      <c r="X2694" s="2">
        <v>46.6</v>
      </c>
      <c r="Y2694" s="2" t="s">
        <v>323</v>
      </c>
      <c r="Z2694" s="2" t="s">
        <v>17965</v>
      </c>
      <c r="AA2694" s="2">
        <v>-0.67815680534201295</v>
      </c>
      <c r="AB2694" s="2">
        <v>0.299702304161579</v>
      </c>
      <c r="AC2694" s="2">
        <v>71009.750867854498</v>
      </c>
      <c r="AD2694" s="2">
        <v>79800.034744630393</v>
      </c>
      <c r="AE2694" s="2">
        <v>67582.717002068006</v>
      </c>
      <c r="AF2694" s="2">
        <v>72781.463334391694</v>
      </c>
      <c r="AG2694" s="2">
        <v>69976.7047605431</v>
      </c>
      <c r="AH2694" s="2">
        <v>74618.844835349504</v>
      </c>
      <c r="AI2694" s="2">
        <v>75183.882049371998</v>
      </c>
      <c r="AJ2694" s="2">
        <v>65914.893225402702</v>
      </c>
      <c r="AK2694" s="2">
        <v>75308.3735497054</v>
      </c>
      <c r="AL2694" s="2">
        <v>75430.970145380707</v>
      </c>
      <c r="AM2694" s="2">
        <v>87165.885881338094</v>
      </c>
      <c r="AN2694" s="2">
        <v>85170.675206482003</v>
      </c>
      <c r="AO2694" s="2">
        <v>70973.967930670493</v>
      </c>
      <c r="AP2694" s="2">
        <v>84750.335754205793</v>
      </c>
    </row>
    <row r="2695" spans="1:42" ht="14.5" x14ac:dyDescent="0.35">
      <c r="A2695" s="2" t="s">
        <v>17966</v>
      </c>
      <c r="B2695" s="2">
        <v>379.24530299299801</v>
      </c>
      <c r="C2695" s="2">
        <v>9.7086333333333297</v>
      </c>
      <c r="D2695" s="2" t="s">
        <v>34</v>
      </c>
      <c r="E2695" s="2" t="s">
        <v>17967</v>
      </c>
      <c r="F2695" s="2">
        <v>3748</v>
      </c>
      <c r="G2695" s="3" t="str">
        <f>HYPERLINK("http://funmeta.oebiotech.com/network/3748", "http://funmeta.oebiotech.com/network/3748")</f>
        <v>http://funmeta.oebiotech.com/network/3748</v>
      </c>
      <c r="H2695" s="2" t="s">
        <v>17968</v>
      </c>
      <c r="I2695" s="2">
        <v>36193</v>
      </c>
      <c r="J2695" s="2" t="s">
        <v>17969</v>
      </c>
      <c r="K2695" s="2">
        <v>1000694</v>
      </c>
      <c r="L2695" s="2"/>
      <c r="M2695" s="2"/>
      <c r="N2695" s="2"/>
      <c r="O2695" s="2">
        <v>161273</v>
      </c>
      <c r="P2695" s="2" t="s">
        <v>17970</v>
      </c>
      <c r="Q2695" s="2" t="s">
        <v>17971</v>
      </c>
      <c r="R2695" s="2" t="s">
        <v>17972</v>
      </c>
      <c r="S2695" s="2" t="s">
        <v>50</v>
      </c>
      <c r="T2695" s="2" t="s">
        <v>229</v>
      </c>
      <c r="U2695" s="2" t="s">
        <v>766</v>
      </c>
      <c r="V2695" s="2" t="s">
        <v>59</v>
      </c>
      <c r="W2695" s="2">
        <v>38.799999999999997</v>
      </c>
      <c r="X2695" s="2">
        <v>0</v>
      </c>
      <c r="Y2695" s="2" t="s">
        <v>323</v>
      </c>
      <c r="Z2695" s="2" t="s">
        <v>16901</v>
      </c>
      <c r="AA2695" s="2">
        <v>-0.53876755629027595</v>
      </c>
      <c r="AB2695" s="2">
        <v>0.29957304945887903</v>
      </c>
      <c r="AC2695" s="2">
        <v>9927.2879051652308</v>
      </c>
      <c r="AD2695" s="2">
        <v>3993.5502729321502</v>
      </c>
      <c r="AE2695" s="2">
        <v>10336.3669995499</v>
      </c>
      <c r="AF2695" s="2">
        <v>9752.5093353981301</v>
      </c>
      <c r="AG2695" s="2">
        <v>9664.8438717225508</v>
      </c>
      <c r="AH2695" s="2">
        <v>10437.657536684401</v>
      </c>
      <c r="AI2695" s="2">
        <v>9102.9145035916899</v>
      </c>
      <c r="AJ2695" s="2">
        <v>10269.4351840447</v>
      </c>
      <c r="AK2695" s="2">
        <v>4182.7445290754004</v>
      </c>
      <c r="AL2695" s="2">
        <v>3973.2770482135202</v>
      </c>
      <c r="AM2695" s="2">
        <v>3553.2166165195599</v>
      </c>
      <c r="AN2695" s="2">
        <v>4257.2691601665902</v>
      </c>
      <c r="AO2695" s="2">
        <v>4383.9468983441302</v>
      </c>
      <c r="AP2695" s="2">
        <v>3610.8473852737002</v>
      </c>
    </row>
    <row r="2696" spans="1:42" ht="14.5" x14ac:dyDescent="0.35">
      <c r="A2696" s="2" t="s">
        <v>17973</v>
      </c>
      <c r="B2696" s="2">
        <v>567.27678208138798</v>
      </c>
      <c r="C2696" s="2">
        <v>8.4346166666666704</v>
      </c>
      <c r="D2696" s="2" t="s">
        <v>34</v>
      </c>
      <c r="E2696" s="2" t="s">
        <v>17974</v>
      </c>
      <c r="F2696" s="2">
        <v>46723</v>
      </c>
      <c r="G2696" s="3" t="str">
        <f>HYPERLINK("http://funmeta.oebiotech.com/network/46723", "http://funmeta.oebiotech.com/network/46723")</f>
        <v>http://funmeta.oebiotech.com/network/46723</v>
      </c>
      <c r="H2696" s="2"/>
      <c r="I2696" s="2"/>
      <c r="J2696" s="2" t="s">
        <v>17975</v>
      </c>
      <c r="K2696" s="2"/>
      <c r="L2696" s="2"/>
      <c r="M2696" s="2"/>
      <c r="N2696" s="2"/>
      <c r="O2696" s="2"/>
      <c r="P2696" s="2"/>
      <c r="Q2696" s="2" t="s">
        <v>17976</v>
      </c>
      <c r="R2696" s="2" t="s">
        <v>17977</v>
      </c>
      <c r="S2696" s="2" t="s">
        <v>50</v>
      </c>
      <c r="T2696" s="2" t="s">
        <v>124</v>
      </c>
      <c r="U2696" s="2" t="s">
        <v>723</v>
      </c>
      <c r="V2696" s="2" t="s">
        <v>59</v>
      </c>
      <c r="W2696" s="2">
        <v>41.5</v>
      </c>
      <c r="X2696" s="2">
        <v>42.3</v>
      </c>
      <c r="Y2696" s="2" t="s">
        <v>340</v>
      </c>
      <c r="Z2696" s="2" t="s">
        <v>17978</v>
      </c>
      <c r="AA2696" s="2">
        <v>2.93221597906579</v>
      </c>
      <c r="AB2696" s="2">
        <v>0.29956980762122298</v>
      </c>
      <c r="AC2696" s="2">
        <v>23884.606157844799</v>
      </c>
      <c r="AD2696" s="2">
        <v>16801.6043517951</v>
      </c>
      <c r="AE2696" s="2">
        <v>25437.797117632901</v>
      </c>
      <c r="AF2696" s="2">
        <v>22081.273952856001</v>
      </c>
      <c r="AG2696" s="2">
        <v>19256.864756522598</v>
      </c>
      <c r="AH2696" s="2">
        <v>26916.161025037902</v>
      </c>
      <c r="AI2696" s="2">
        <v>22801.955309991401</v>
      </c>
      <c r="AJ2696" s="2">
        <v>26813.584785028099</v>
      </c>
      <c r="AK2696" s="2">
        <v>16759.906570482101</v>
      </c>
      <c r="AL2696" s="2">
        <v>16536.237823710799</v>
      </c>
      <c r="AM2696" s="2">
        <v>17520.466911494899</v>
      </c>
      <c r="AN2696" s="2">
        <v>20086.756887366399</v>
      </c>
      <c r="AO2696" s="2">
        <v>15766.914955005899</v>
      </c>
      <c r="AP2696" s="2">
        <v>14139.3429627105</v>
      </c>
    </row>
    <row r="2697" spans="1:42" ht="14.5" x14ac:dyDescent="0.35">
      <c r="A2697" s="2" t="s">
        <v>17979</v>
      </c>
      <c r="B2697" s="2">
        <v>647.12271204431295</v>
      </c>
      <c r="C2697" s="2">
        <v>4.6857333333333298</v>
      </c>
      <c r="D2697" s="2" t="s">
        <v>70</v>
      </c>
      <c r="E2697" s="2" t="s">
        <v>17980</v>
      </c>
      <c r="F2697" s="2">
        <v>62123</v>
      </c>
      <c r="G2697" s="3" t="str">
        <f>HYPERLINK("http://funmeta.oebiotech.com/network/62123", "http://funmeta.oebiotech.com/network/62123")</f>
        <v>http://funmeta.oebiotech.com/network/62123</v>
      </c>
      <c r="H2697" s="2" t="s">
        <v>17981</v>
      </c>
      <c r="I2697" s="2">
        <v>93414</v>
      </c>
      <c r="J2697" s="2"/>
      <c r="K2697" s="2"/>
      <c r="L2697" s="2"/>
      <c r="M2697" s="2"/>
      <c r="N2697" s="2"/>
      <c r="O2697" s="2">
        <v>131752459</v>
      </c>
      <c r="P2697" s="2" t="s">
        <v>17982</v>
      </c>
      <c r="Q2697" s="2" t="s">
        <v>17983</v>
      </c>
      <c r="R2697" s="2" t="s">
        <v>17984</v>
      </c>
      <c r="S2697" s="2" t="s">
        <v>115</v>
      </c>
      <c r="T2697" s="2" t="s">
        <v>139</v>
      </c>
      <c r="U2697" s="2" t="s">
        <v>140</v>
      </c>
      <c r="V2697" s="2" t="s">
        <v>42</v>
      </c>
      <c r="W2697" s="2">
        <v>52.6</v>
      </c>
      <c r="X2697" s="2">
        <v>73.3</v>
      </c>
      <c r="Y2697" s="2" t="s">
        <v>751</v>
      </c>
      <c r="Z2697" s="2" t="s">
        <v>17985</v>
      </c>
      <c r="AA2697" s="2">
        <v>-3.9945612446410599</v>
      </c>
      <c r="AB2697" s="2">
        <v>0.29950951689635802</v>
      </c>
      <c r="AC2697" s="2">
        <v>147156.499967212</v>
      </c>
      <c r="AD2697" s="2">
        <v>136088.86394117001</v>
      </c>
      <c r="AE2697" s="2">
        <v>144218.83542076001</v>
      </c>
      <c r="AF2697" s="2">
        <v>136902.26724366201</v>
      </c>
      <c r="AG2697" s="2">
        <v>141105.12113997099</v>
      </c>
      <c r="AH2697" s="2">
        <v>142513.551695198</v>
      </c>
      <c r="AI2697" s="2">
        <v>146669.45533238701</v>
      </c>
      <c r="AJ2697" s="2">
        <v>171529.76897129201</v>
      </c>
      <c r="AK2697" s="2">
        <v>133130.36566454</v>
      </c>
      <c r="AL2697" s="2">
        <v>136757.610217529</v>
      </c>
      <c r="AM2697" s="2">
        <v>145134.80798960701</v>
      </c>
      <c r="AN2697" s="2">
        <v>131975.842612904</v>
      </c>
      <c r="AO2697" s="2">
        <v>139103.46031544701</v>
      </c>
      <c r="AP2697" s="2">
        <v>130431.09684699299</v>
      </c>
    </row>
    <row r="2698" spans="1:42" ht="14.5" x14ac:dyDescent="0.35">
      <c r="A2698" s="2" t="s">
        <v>17986</v>
      </c>
      <c r="B2698" s="2">
        <v>356.13130619761898</v>
      </c>
      <c r="C2698" s="2">
        <v>3.6251333333333302</v>
      </c>
      <c r="D2698" s="2" t="s">
        <v>34</v>
      </c>
      <c r="E2698" s="2" t="s">
        <v>17987</v>
      </c>
      <c r="F2698" s="2">
        <v>205057</v>
      </c>
      <c r="G2698" s="3" t="str">
        <f>HYPERLINK("http://funmeta.oebiotech.com/network/205057", "http://funmeta.oebiotech.com/network/205057")</f>
        <v>http://funmeta.oebiotech.com/network/205057</v>
      </c>
      <c r="H2698" s="2" t="s">
        <v>17988</v>
      </c>
      <c r="I2698" s="2">
        <v>43448</v>
      </c>
      <c r="J2698" s="2"/>
      <c r="K2698" s="2">
        <v>64227</v>
      </c>
      <c r="L2698" s="2"/>
      <c r="M2698" s="2"/>
      <c r="N2698" s="2"/>
      <c r="O2698" s="2">
        <v>2750</v>
      </c>
      <c r="P2698" s="2" t="s">
        <v>17989</v>
      </c>
      <c r="Q2698" s="2" t="s">
        <v>17990</v>
      </c>
      <c r="R2698" s="2" t="s">
        <v>17991</v>
      </c>
      <c r="S2698" s="2" t="s">
        <v>148</v>
      </c>
      <c r="T2698" s="2" t="s">
        <v>3772</v>
      </c>
      <c r="U2698" s="2" t="s">
        <v>41</v>
      </c>
      <c r="V2698" s="2" t="s">
        <v>59</v>
      </c>
      <c r="W2698" s="2">
        <v>37</v>
      </c>
      <c r="X2698" s="2">
        <v>0</v>
      </c>
      <c r="Y2698" s="2" t="s">
        <v>67</v>
      </c>
      <c r="Z2698" s="2" t="s">
        <v>17992</v>
      </c>
      <c r="AA2698" s="2">
        <v>6.6666189342328499</v>
      </c>
      <c r="AB2698" s="2">
        <v>0.29947006334506099</v>
      </c>
      <c r="AC2698" s="2">
        <v>49073.554608723301</v>
      </c>
      <c r="AD2698" s="2">
        <v>56093.282726320896</v>
      </c>
      <c r="AE2698" s="2">
        <v>50125.204804729503</v>
      </c>
      <c r="AF2698" s="2">
        <v>49831.404306920303</v>
      </c>
      <c r="AG2698" s="2">
        <v>46134.389133499397</v>
      </c>
      <c r="AH2698" s="2">
        <v>46708.254462449797</v>
      </c>
      <c r="AI2698" s="2">
        <v>53735.218388117399</v>
      </c>
      <c r="AJ2698" s="2">
        <v>47906.856556623097</v>
      </c>
      <c r="AK2698" s="2">
        <v>55164.091858925698</v>
      </c>
      <c r="AL2698" s="2">
        <v>56488.4433568764</v>
      </c>
      <c r="AM2698" s="2">
        <v>55135.577904487203</v>
      </c>
      <c r="AN2698" s="2">
        <v>54436.7711444124</v>
      </c>
      <c r="AO2698" s="2">
        <v>54785.892881645203</v>
      </c>
      <c r="AP2698" s="2">
        <v>60548.919211578301</v>
      </c>
    </row>
    <row r="2699" spans="1:42" ht="14.5" x14ac:dyDescent="0.35">
      <c r="A2699" s="2" t="s">
        <v>17993</v>
      </c>
      <c r="B2699" s="2">
        <v>591.265787277615</v>
      </c>
      <c r="C2699" s="2">
        <v>4.4179500000000003</v>
      </c>
      <c r="D2699" s="2" t="s">
        <v>70</v>
      </c>
      <c r="E2699" s="2" t="s">
        <v>17994</v>
      </c>
      <c r="F2699" s="2">
        <v>60081</v>
      </c>
      <c r="G2699" s="3" t="str">
        <f>HYPERLINK("http://funmeta.oebiotech.com/network/60081", "http://funmeta.oebiotech.com/network/60081")</f>
        <v>http://funmeta.oebiotech.com/network/60081</v>
      </c>
      <c r="H2699" s="2" t="s">
        <v>17995</v>
      </c>
      <c r="I2699" s="2">
        <v>91462</v>
      </c>
      <c r="J2699" s="2"/>
      <c r="K2699" s="2"/>
      <c r="L2699" s="2"/>
      <c r="M2699" s="2"/>
      <c r="N2699" s="2"/>
      <c r="O2699" s="2">
        <v>73107437</v>
      </c>
      <c r="P2699" s="2" t="s">
        <v>17996</v>
      </c>
      <c r="Q2699" s="2" t="s">
        <v>17997</v>
      </c>
      <c r="R2699" s="2" t="s">
        <v>17998</v>
      </c>
      <c r="S2699" s="2" t="s">
        <v>50</v>
      </c>
      <c r="T2699" s="2" t="s">
        <v>201</v>
      </c>
      <c r="U2699" s="2" t="s">
        <v>202</v>
      </c>
      <c r="V2699" s="2" t="s">
        <v>59</v>
      </c>
      <c r="W2699" s="2">
        <v>38.4</v>
      </c>
      <c r="X2699" s="2">
        <v>0</v>
      </c>
      <c r="Y2699" s="2" t="s">
        <v>286</v>
      </c>
      <c r="Z2699" s="2" t="s">
        <v>17999</v>
      </c>
      <c r="AA2699" s="2">
        <v>-7.7570120264802395E-2</v>
      </c>
      <c r="AB2699" s="2">
        <v>0.299342836068137</v>
      </c>
      <c r="AC2699" s="2">
        <v>25140.958613889601</v>
      </c>
      <c r="AD2699" s="2">
        <v>32517.270757816299</v>
      </c>
      <c r="AE2699" s="2">
        <v>24858.3695856987</v>
      </c>
      <c r="AF2699" s="2">
        <v>27586.9091683636</v>
      </c>
      <c r="AG2699" s="2">
        <v>26978.8697110178</v>
      </c>
      <c r="AH2699" s="2">
        <v>25140.047206017</v>
      </c>
      <c r="AI2699" s="2">
        <v>19344.989633855701</v>
      </c>
      <c r="AJ2699" s="2">
        <v>26936.566378385101</v>
      </c>
      <c r="AK2699" s="2">
        <v>29691.779932280799</v>
      </c>
      <c r="AL2699" s="2">
        <v>33234.926619224403</v>
      </c>
      <c r="AM2699" s="2">
        <v>37238.068006634901</v>
      </c>
      <c r="AN2699" s="2">
        <v>31302.9795896713</v>
      </c>
      <c r="AO2699" s="2">
        <v>33955.8223581618</v>
      </c>
      <c r="AP2699" s="2">
        <v>29680.048040924499</v>
      </c>
    </row>
    <row r="2700" spans="1:42" ht="14.5" x14ac:dyDescent="0.35">
      <c r="A2700" s="2" t="s">
        <v>18000</v>
      </c>
      <c r="B2700" s="2">
        <v>471.343242731815</v>
      </c>
      <c r="C2700" s="2">
        <v>12.097849999999999</v>
      </c>
      <c r="D2700" s="2" t="s">
        <v>34</v>
      </c>
      <c r="E2700" s="2" t="s">
        <v>18001</v>
      </c>
      <c r="F2700" s="2">
        <v>28268</v>
      </c>
      <c r="G2700" s="3" t="str">
        <f>HYPERLINK("http://funmeta.oebiotech.com/network/28268", "http://funmeta.oebiotech.com/network/28268")</f>
        <v>http://funmeta.oebiotech.com/network/28268</v>
      </c>
      <c r="H2700" s="2"/>
      <c r="I2700" s="2">
        <v>40999</v>
      </c>
      <c r="J2700" s="2" t="s">
        <v>18002</v>
      </c>
      <c r="K2700" s="2">
        <v>29706</v>
      </c>
      <c r="L2700" s="2" t="s">
        <v>18003</v>
      </c>
      <c r="M2700" s="2" t="s">
        <v>2604</v>
      </c>
      <c r="N2700" s="2" t="s">
        <v>2605</v>
      </c>
      <c r="O2700" s="2">
        <v>5282032</v>
      </c>
      <c r="P2700" s="2"/>
      <c r="Q2700" s="2" t="s">
        <v>18004</v>
      </c>
      <c r="R2700" s="2" t="s">
        <v>18005</v>
      </c>
      <c r="S2700" s="2" t="s">
        <v>79</v>
      </c>
      <c r="T2700" s="2" t="s">
        <v>80</v>
      </c>
      <c r="U2700" s="2" t="s">
        <v>81</v>
      </c>
      <c r="V2700" s="2" t="s">
        <v>59</v>
      </c>
      <c r="W2700" s="2">
        <v>37.700000000000003</v>
      </c>
      <c r="X2700" s="2">
        <v>0</v>
      </c>
      <c r="Y2700" s="2" t="s">
        <v>43</v>
      </c>
      <c r="Z2700" s="2" t="s">
        <v>18006</v>
      </c>
      <c r="AA2700" s="2">
        <v>0.83629624201228803</v>
      </c>
      <c r="AB2700" s="2">
        <v>0.29925259803620102</v>
      </c>
      <c r="AC2700" s="2">
        <v>11905.945919465001</v>
      </c>
      <c r="AD2700" s="2">
        <v>5522.7181060917801</v>
      </c>
      <c r="AE2700" s="2">
        <v>12778.808038270799</v>
      </c>
      <c r="AF2700" s="2">
        <v>11038.069529405</v>
      </c>
      <c r="AG2700" s="2">
        <v>12658.234882602001</v>
      </c>
      <c r="AH2700" s="2">
        <v>10869.404979878</v>
      </c>
      <c r="AI2700" s="2">
        <v>11638.4157251837</v>
      </c>
      <c r="AJ2700" s="2">
        <v>12452.742361450701</v>
      </c>
      <c r="AK2700" s="2">
        <v>8414.3756873909206</v>
      </c>
      <c r="AL2700" s="2">
        <v>3247.8819930465202</v>
      </c>
      <c r="AM2700" s="2">
        <v>4553.0366780635604</v>
      </c>
      <c r="AN2700" s="2">
        <v>3954.9415835395098</v>
      </c>
      <c r="AO2700" s="2">
        <v>6188.6411701057395</v>
      </c>
      <c r="AP2700" s="2">
        <v>6777.4315244044001</v>
      </c>
    </row>
    <row r="2701" spans="1:42" ht="14.5" x14ac:dyDescent="0.35">
      <c r="A2701" s="2" t="s">
        <v>18007</v>
      </c>
      <c r="B2701" s="2">
        <v>366.11549786046601</v>
      </c>
      <c r="C2701" s="2">
        <v>3.4003333333333301</v>
      </c>
      <c r="D2701" s="2" t="s">
        <v>34</v>
      </c>
      <c r="E2701" s="2" t="s">
        <v>18008</v>
      </c>
      <c r="F2701" s="2">
        <v>82747</v>
      </c>
      <c r="G2701" s="3" t="str">
        <f>HYPERLINK("http://funmeta.oebiotech.com/network/82747", "http://funmeta.oebiotech.com/network/82747")</f>
        <v>http://funmeta.oebiotech.com/network/82747</v>
      </c>
      <c r="H2701" s="2" t="s">
        <v>18009</v>
      </c>
      <c r="I2701" s="2"/>
      <c r="J2701" s="2"/>
      <c r="K2701" s="2"/>
      <c r="L2701" s="2"/>
      <c r="M2701" s="2"/>
      <c r="N2701" s="2"/>
      <c r="O2701" s="2">
        <v>131769987</v>
      </c>
      <c r="P2701" s="2"/>
      <c r="Q2701" s="2" t="s">
        <v>18010</v>
      </c>
      <c r="R2701" s="2" t="s">
        <v>18011</v>
      </c>
      <c r="S2701" s="2" t="s">
        <v>148</v>
      </c>
      <c r="T2701" s="2" t="s">
        <v>149</v>
      </c>
      <c r="U2701" s="2" t="s">
        <v>15271</v>
      </c>
      <c r="V2701" s="2" t="s">
        <v>42</v>
      </c>
      <c r="W2701" s="2">
        <v>53.3</v>
      </c>
      <c r="X2701" s="2">
        <v>83</v>
      </c>
      <c r="Y2701" s="2" t="s">
        <v>394</v>
      </c>
      <c r="Z2701" s="2" t="s">
        <v>18012</v>
      </c>
      <c r="AA2701" s="2">
        <v>-4.7600554006522398</v>
      </c>
      <c r="AB2701" s="2">
        <v>0.29880915274287201</v>
      </c>
      <c r="AC2701" s="2">
        <v>34197.814369038999</v>
      </c>
      <c r="AD2701" s="2">
        <v>27566.620517163501</v>
      </c>
      <c r="AE2701" s="2">
        <v>34161.004385038701</v>
      </c>
      <c r="AF2701" s="2">
        <v>34992.847961716303</v>
      </c>
      <c r="AG2701" s="2">
        <v>34750.456823996697</v>
      </c>
      <c r="AH2701" s="2">
        <v>33035.2307946242</v>
      </c>
      <c r="AI2701" s="2">
        <v>33495.101841771597</v>
      </c>
      <c r="AJ2701" s="2">
        <v>34752.244407086298</v>
      </c>
      <c r="AK2701" s="2">
        <v>27583.6595664202</v>
      </c>
      <c r="AL2701" s="2">
        <v>25253.131617166298</v>
      </c>
      <c r="AM2701" s="2">
        <v>25249.651444311599</v>
      </c>
      <c r="AN2701" s="2">
        <v>28435.712397195999</v>
      </c>
      <c r="AO2701" s="2">
        <v>32216.926523460901</v>
      </c>
      <c r="AP2701" s="2">
        <v>26660.6415544257</v>
      </c>
    </row>
    <row r="2702" spans="1:42" ht="14.5" x14ac:dyDescent="0.35">
      <c r="A2702" s="2" t="s">
        <v>18013</v>
      </c>
      <c r="B2702" s="2">
        <v>551.17826022759095</v>
      </c>
      <c r="C2702" s="2">
        <v>3.8429333333333302</v>
      </c>
      <c r="D2702" s="2" t="s">
        <v>70</v>
      </c>
      <c r="E2702" s="2" t="s">
        <v>18014</v>
      </c>
      <c r="F2702" s="2">
        <v>204038</v>
      </c>
      <c r="G2702" s="3" t="str">
        <f>HYPERLINK("http://funmeta.oebiotech.com/network/204038", "http://funmeta.oebiotech.com/network/204038")</f>
        <v>http://funmeta.oebiotech.com/network/204038</v>
      </c>
      <c r="H2702" s="2" t="s">
        <v>18015</v>
      </c>
      <c r="I2702" s="2">
        <v>69963</v>
      </c>
      <c r="J2702" s="2"/>
      <c r="K2702" s="2"/>
      <c r="L2702" s="2" t="s">
        <v>18016</v>
      </c>
      <c r="M2702" s="2"/>
      <c r="N2702" s="2"/>
      <c r="O2702" s="2">
        <v>9117</v>
      </c>
      <c r="P2702" s="2" t="s">
        <v>18017</v>
      </c>
      <c r="Q2702" s="2" t="s">
        <v>18018</v>
      </c>
      <c r="R2702" s="2" t="s">
        <v>18019</v>
      </c>
      <c r="S2702" s="2" t="s">
        <v>148</v>
      </c>
      <c r="T2702" s="2" t="s">
        <v>16716</v>
      </c>
      <c r="U2702" s="2" t="s">
        <v>18020</v>
      </c>
      <c r="V2702" s="2" t="s">
        <v>59</v>
      </c>
      <c r="W2702" s="2">
        <v>37.5</v>
      </c>
      <c r="X2702" s="2">
        <v>0</v>
      </c>
      <c r="Y2702" s="2" t="s">
        <v>560</v>
      </c>
      <c r="Z2702" s="2" t="s">
        <v>18021</v>
      </c>
      <c r="AA2702" s="2">
        <v>-4.10025372894901</v>
      </c>
      <c r="AB2702" s="2">
        <v>0.29866656254332002</v>
      </c>
      <c r="AC2702" s="2">
        <v>7532.3975655784498</v>
      </c>
      <c r="AD2702" s="2">
        <v>13918.406886696899</v>
      </c>
      <c r="AE2702" s="2">
        <v>8009.2971422631299</v>
      </c>
      <c r="AF2702" s="2">
        <v>7096.2707753940504</v>
      </c>
      <c r="AG2702" s="2">
        <v>5587.9247361223597</v>
      </c>
      <c r="AH2702" s="2">
        <v>7011.9167358958903</v>
      </c>
      <c r="AI2702" s="2">
        <v>10808.800330806</v>
      </c>
      <c r="AJ2702" s="2">
        <v>6680.1756729892904</v>
      </c>
      <c r="AK2702" s="2">
        <v>12343.8431448294</v>
      </c>
      <c r="AL2702" s="2">
        <v>15775.6614481462</v>
      </c>
      <c r="AM2702" s="2">
        <v>14084.107486733599</v>
      </c>
      <c r="AN2702" s="2">
        <v>14829.4645741034</v>
      </c>
      <c r="AO2702" s="2">
        <v>12327.3980504255</v>
      </c>
      <c r="AP2702" s="2">
        <v>14149.9666159432</v>
      </c>
    </row>
    <row r="2703" spans="1:42" ht="14.5" x14ac:dyDescent="0.35">
      <c r="A2703" s="2" t="s">
        <v>18022</v>
      </c>
      <c r="B2703" s="2">
        <v>717.36932398410397</v>
      </c>
      <c r="C2703" s="2">
        <v>8.9065166666666702</v>
      </c>
      <c r="D2703" s="2" t="s">
        <v>70</v>
      </c>
      <c r="E2703" s="2" t="s">
        <v>18023</v>
      </c>
      <c r="F2703" s="2">
        <v>82495</v>
      </c>
      <c r="G2703" s="3" t="str">
        <f>HYPERLINK("http://funmeta.oebiotech.com/network/82495", "http://funmeta.oebiotech.com/network/82495")</f>
        <v>http://funmeta.oebiotech.com/network/82495</v>
      </c>
      <c r="H2703" s="2" t="s">
        <v>18024</v>
      </c>
      <c r="I2703" s="2"/>
      <c r="J2703" s="2"/>
      <c r="K2703" s="2"/>
      <c r="L2703" s="2"/>
      <c r="M2703" s="2"/>
      <c r="N2703" s="2"/>
      <c r="O2703" s="2">
        <v>68037237</v>
      </c>
      <c r="P2703" s="2"/>
      <c r="Q2703" s="2" t="s">
        <v>18025</v>
      </c>
      <c r="R2703" s="2" t="s">
        <v>18026</v>
      </c>
      <c r="S2703" s="2" t="s">
        <v>115</v>
      </c>
      <c r="T2703" s="2" t="s">
        <v>4730</v>
      </c>
      <c r="U2703" s="2" t="s">
        <v>41</v>
      </c>
      <c r="V2703" s="2" t="s">
        <v>59</v>
      </c>
      <c r="W2703" s="2">
        <v>39.200000000000003</v>
      </c>
      <c r="X2703" s="2">
        <v>0</v>
      </c>
      <c r="Y2703" s="2" t="s">
        <v>560</v>
      </c>
      <c r="Z2703" s="2" t="s">
        <v>18027</v>
      </c>
      <c r="AA2703" s="2">
        <v>-0.63709611977890601</v>
      </c>
      <c r="AB2703" s="2">
        <v>0.29854659674729001</v>
      </c>
      <c r="AC2703" s="2">
        <v>27505.026588707598</v>
      </c>
      <c r="AD2703" s="2">
        <v>21219.738684878001</v>
      </c>
      <c r="AE2703" s="2">
        <v>26332.2052122807</v>
      </c>
      <c r="AF2703" s="2">
        <v>24919.597519780698</v>
      </c>
      <c r="AG2703" s="2">
        <v>28677.225916347201</v>
      </c>
      <c r="AH2703" s="2">
        <v>27702.212206847798</v>
      </c>
      <c r="AI2703" s="2">
        <v>29058.629020132401</v>
      </c>
      <c r="AJ2703" s="2">
        <v>28340.289656856501</v>
      </c>
      <c r="AK2703" s="2">
        <v>19905.506610553501</v>
      </c>
      <c r="AL2703" s="2">
        <v>21973.910884779099</v>
      </c>
      <c r="AM2703" s="2">
        <v>21365.879438804499</v>
      </c>
      <c r="AN2703" s="2">
        <v>20695.9008158</v>
      </c>
      <c r="AO2703" s="2">
        <v>20732.582055383798</v>
      </c>
      <c r="AP2703" s="2">
        <v>22644.652303947201</v>
      </c>
    </row>
    <row r="2704" spans="1:42" ht="14.5" x14ac:dyDescent="0.35">
      <c r="A2704" s="2" t="s">
        <v>18028</v>
      </c>
      <c r="B2704" s="2">
        <v>895.47532969518204</v>
      </c>
      <c r="C2704" s="2">
        <v>5.04155</v>
      </c>
      <c r="D2704" s="2" t="s">
        <v>70</v>
      </c>
      <c r="E2704" s="2" t="s">
        <v>18029</v>
      </c>
      <c r="F2704" s="2">
        <v>52295</v>
      </c>
      <c r="G2704" s="3" t="str">
        <f>HYPERLINK("http://funmeta.oebiotech.com/network/52295", "http://funmeta.oebiotech.com/network/52295")</f>
        <v>http://funmeta.oebiotech.com/network/52295</v>
      </c>
      <c r="H2704" s="2" t="s">
        <v>18030</v>
      </c>
      <c r="I2704" s="2"/>
      <c r="J2704" s="2"/>
      <c r="K2704" s="2"/>
      <c r="L2704" s="2"/>
      <c r="M2704" s="2"/>
      <c r="N2704" s="2"/>
      <c r="O2704" s="2">
        <v>53481802</v>
      </c>
      <c r="P2704" s="2"/>
      <c r="Q2704" s="2" t="s">
        <v>18031</v>
      </c>
      <c r="R2704" s="2" t="s">
        <v>18032</v>
      </c>
      <c r="S2704" s="2" t="s">
        <v>50</v>
      </c>
      <c r="T2704" s="2" t="s">
        <v>51</v>
      </c>
      <c r="U2704" s="2" t="s">
        <v>1989</v>
      </c>
      <c r="V2704" s="2" t="s">
        <v>59</v>
      </c>
      <c r="W2704" s="2">
        <v>38.4</v>
      </c>
      <c r="X2704" s="2">
        <v>0</v>
      </c>
      <c r="Y2704" s="2" t="s">
        <v>408</v>
      </c>
      <c r="Z2704" s="2" t="s">
        <v>1990</v>
      </c>
      <c r="AA2704" s="2">
        <v>1.1888324241728201</v>
      </c>
      <c r="AB2704" s="2">
        <v>0.29854196778042602</v>
      </c>
      <c r="AC2704" s="2">
        <v>61894.9760764159</v>
      </c>
      <c r="AD2704" s="2">
        <v>70425.567592263498</v>
      </c>
      <c r="AE2704" s="2">
        <v>64684.1382006571</v>
      </c>
      <c r="AF2704" s="2">
        <v>58283.122540302596</v>
      </c>
      <c r="AG2704" s="2">
        <v>60086.795641709003</v>
      </c>
      <c r="AH2704" s="2">
        <v>66966.137683841502</v>
      </c>
      <c r="AI2704" s="2">
        <v>65415.794618626598</v>
      </c>
      <c r="AJ2704" s="2">
        <v>55933.867773358797</v>
      </c>
      <c r="AK2704" s="2">
        <v>68264.743245735299</v>
      </c>
      <c r="AL2704" s="2">
        <v>71595.491015871303</v>
      </c>
      <c r="AM2704" s="2">
        <v>76907.689872425195</v>
      </c>
      <c r="AN2704" s="2">
        <v>64604.848696510002</v>
      </c>
      <c r="AO2704" s="2">
        <v>76632.190645277995</v>
      </c>
      <c r="AP2704" s="2">
        <v>64548.442077760898</v>
      </c>
    </row>
    <row r="2705" spans="1:42" ht="14.5" x14ac:dyDescent="0.35">
      <c r="A2705" s="2" t="s">
        <v>18033</v>
      </c>
      <c r="B2705" s="2">
        <v>357.20546189059002</v>
      </c>
      <c r="C2705" s="2">
        <v>7.5153999999999996</v>
      </c>
      <c r="D2705" s="2" t="s">
        <v>34</v>
      </c>
      <c r="E2705" s="2" t="s">
        <v>18034</v>
      </c>
      <c r="F2705" s="2">
        <v>213005</v>
      </c>
      <c r="G2705" s="3" t="str">
        <f>HYPERLINK("http://funmeta.oebiotech.com/network/213005", "http://funmeta.oebiotech.com/network/213005")</f>
        <v>http://funmeta.oebiotech.com/network/213005</v>
      </c>
      <c r="H2705" s="2" t="s">
        <v>18035</v>
      </c>
      <c r="I2705" s="2"/>
      <c r="J2705" s="2"/>
      <c r="K2705" s="2"/>
      <c r="L2705" s="2"/>
      <c r="M2705" s="2"/>
      <c r="N2705" s="2"/>
      <c r="O2705" s="2">
        <v>496847</v>
      </c>
      <c r="P2705" s="2"/>
      <c r="Q2705" s="2" t="s">
        <v>18036</v>
      </c>
      <c r="R2705" s="2" t="s">
        <v>18037</v>
      </c>
      <c r="S2705" s="2" t="s">
        <v>41</v>
      </c>
      <c r="T2705" s="2" t="s">
        <v>41</v>
      </c>
      <c r="U2705" s="2" t="s">
        <v>41</v>
      </c>
      <c r="V2705" s="2" t="s">
        <v>42</v>
      </c>
      <c r="W2705" s="2">
        <v>51.7</v>
      </c>
      <c r="X2705" s="2">
        <v>67.400000000000006</v>
      </c>
      <c r="Y2705" s="2" t="s">
        <v>266</v>
      </c>
      <c r="Z2705" s="2" t="s">
        <v>18038</v>
      </c>
      <c r="AA2705" s="2">
        <v>-1.6112285484813</v>
      </c>
      <c r="AB2705" s="2">
        <v>0.29853109077864098</v>
      </c>
      <c r="AC2705" s="2">
        <v>89854.738394356595</v>
      </c>
      <c r="AD2705" s="2">
        <v>98839.770429947996</v>
      </c>
      <c r="AE2705" s="2">
        <v>84020.092086044402</v>
      </c>
      <c r="AF2705" s="2">
        <v>93039.444960308101</v>
      </c>
      <c r="AG2705" s="2">
        <v>94383.919665764304</v>
      </c>
      <c r="AH2705" s="2">
        <v>90934.525575436404</v>
      </c>
      <c r="AI2705" s="2">
        <v>89712.244958122596</v>
      </c>
      <c r="AJ2705" s="2">
        <v>87038.203120463804</v>
      </c>
      <c r="AK2705" s="2">
        <v>95377.348184112401</v>
      </c>
      <c r="AL2705" s="2">
        <v>110342.219946533</v>
      </c>
      <c r="AM2705" s="2">
        <v>95657.596479127504</v>
      </c>
      <c r="AN2705" s="2">
        <v>103883.190446482</v>
      </c>
      <c r="AO2705" s="2">
        <v>90721.507125973003</v>
      </c>
      <c r="AP2705" s="2">
        <v>97056.760397459904</v>
      </c>
    </row>
    <row r="2706" spans="1:42" ht="14.5" x14ac:dyDescent="0.35">
      <c r="A2706" s="2" t="s">
        <v>18039</v>
      </c>
      <c r="B2706" s="2">
        <v>174.16004441229001</v>
      </c>
      <c r="C2706" s="2">
        <v>1.0770999999999999</v>
      </c>
      <c r="D2706" s="2" t="s">
        <v>34</v>
      </c>
      <c r="E2706" s="2" t="s">
        <v>18040</v>
      </c>
      <c r="F2706" s="2">
        <v>201586</v>
      </c>
      <c r="G2706" s="3" t="str">
        <f>HYPERLINK("http://funmeta.oebiotech.com/network/201586", "http://funmeta.oebiotech.com/network/201586")</f>
        <v>http://funmeta.oebiotech.com/network/201586</v>
      </c>
      <c r="H2706" s="2" t="s">
        <v>18041</v>
      </c>
      <c r="I2706" s="2"/>
      <c r="J2706" s="2"/>
      <c r="K2706" s="2"/>
      <c r="L2706" s="2"/>
      <c r="M2706" s="2"/>
      <c r="N2706" s="2"/>
      <c r="O2706" s="2">
        <v>77452</v>
      </c>
      <c r="P2706" s="2"/>
      <c r="Q2706" s="2" t="s">
        <v>18042</v>
      </c>
      <c r="R2706" s="2" t="s">
        <v>18043</v>
      </c>
      <c r="S2706" s="2" t="s">
        <v>89</v>
      </c>
      <c r="T2706" s="2" t="s">
        <v>90</v>
      </c>
      <c r="U2706" s="2" t="s">
        <v>18044</v>
      </c>
      <c r="V2706" s="2" t="s">
        <v>59</v>
      </c>
      <c r="W2706" s="2">
        <v>39.200000000000003</v>
      </c>
      <c r="X2706" s="2">
        <v>0</v>
      </c>
      <c r="Y2706" s="2" t="s">
        <v>43</v>
      </c>
      <c r="Z2706" s="2" t="s">
        <v>18045</v>
      </c>
      <c r="AA2706" s="2">
        <v>-0.28348843321066097</v>
      </c>
      <c r="AB2706" s="2">
        <v>0.29848134246374403</v>
      </c>
      <c r="AC2706" s="2">
        <v>6143.61400343066</v>
      </c>
      <c r="AD2706" s="2">
        <v>13029.374299135899</v>
      </c>
      <c r="AE2706" s="2">
        <v>5768.1730325388999</v>
      </c>
      <c r="AF2706" s="2">
        <v>6798.5246295159204</v>
      </c>
      <c r="AG2706" s="2">
        <v>6234.2178812390803</v>
      </c>
      <c r="AH2706" s="2">
        <v>6008.47102614696</v>
      </c>
      <c r="AI2706" s="2">
        <v>6658.5441001544204</v>
      </c>
      <c r="AJ2706" s="2">
        <v>5393.7533509886498</v>
      </c>
      <c r="AK2706" s="2">
        <v>10344.483858502699</v>
      </c>
      <c r="AL2706" s="2">
        <v>14308.2122673383</v>
      </c>
      <c r="AM2706" s="2">
        <v>11411.996742577499</v>
      </c>
      <c r="AN2706" s="2">
        <v>10220.825150910199</v>
      </c>
      <c r="AO2706" s="2">
        <v>13094.0726014681</v>
      </c>
      <c r="AP2706" s="2">
        <v>18796.655174018801</v>
      </c>
    </row>
    <row r="2707" spans="1:42" ht="14.5" x14ac:dyDescent="0.35">
      <c r="A2707" s="2" t="s">
        <v>18046</v>
      </c>
      <c r="B2707" s="2">
        <v>302.12294341704501</v>
      </c>
      <c r="C2707" s="2">
        <v>3.7887</v>
      </c>
      <c r="D2707" s="2" t="s">
        <v>34</v>
      </c>
      <c r="E2707" s="2" t="s">
        <v>18047</v>
      </c>
      <c r="F2707" s="2">
        <v>207457</v>
      </c>
      <c r="G2707" s="3" t="str">
        <f>HYPERLINK("http://funmeta.oebiotech.com/network/207457", "http://funmeta.oebiotech.com/network/207457")</f>
        <v>http://funmeta.oebiotech.com/network/207457</v>
      </c>
      <c r="H2707" s="2" t="s">
        <v>18048</v>
      </c>
      <c r="I2707" s="2"/>
      <c r="J2707" s="2"/>
      <c r="K2707" s="2"/>
      <c r="L2707" s="2"/>
      <c r="M2707" s="2"/>
      <c r="N2707" s="2"/>
      <c r="O2707" s="2">
        <v>3303383</v>
      </c>
      <c r="P2707" s="2"/>
      <c r="Q2707" s="2" t="s">
        <v>18049</v>
      </c>
      <c r="R2707" s="2" t="s">
        <v>18050</v>
      </c>
      <c r="S2707" s="2" t="s">
        <v>79</v>
      </c>
      <c r="T2707" s="2" t="s">
        <v>80</v>
      </c>
      <c r="U2707" s="2" t="s">
        <v>81</v>
      </c>
      <c r="V2707" s="2" t="s">
        <v>59</v>
      </c>
      <c r="W2707" s="2">
        <v>45.3</v>
      </c>
      <c r="X2707" s="2">
        <v>34</v>
      </c>
      <c r="Y2707" s="2" t="s">
        <v>43</v>
      </c>
      <c r="Z2707" s="2" t="s">
        <v>6734</v>
      </c>
      <c r="AA2707" s="2">
        <v>-1.70707759294912</v>
      </c>
      <c r="AB2707" s="2">
        <v>0.29847547723335999</v>
      </c>
      <c r="AC2707" s="2">
        <v>51406.871308633803</v>
      </c>
      <c r="AD2707" s="2">
        <v>58318.402029440003</v>
      </c>
      <c r="AE2707" s="2">
        <v>50517.8050865892</v>
      </c>
      <c r="AF2707" s="2">
        <v>50912.566842777698</v>
      </c>
      <c r="AG2707" s="2">
        <v>50321.2673818029</v>
      </c>
      <c r="AH2707" s="2">
        <v>51178.633652588796</v>
      </c>
      <c r="AI2707" s="2">
        <v>52597.148545412601</v>
      </c>
      <c r="AJ2707" s="2">
        <v>52913.806342631302</v>
      </c>
      <c r="AK2707" s="2">
        <v>54400.946082169598</v>
      </c>
      <c r="AL2707" s="2">
        <v>57927.9089968607</v>
      </c>
      <c r="AM2707" s="2">
        <v>56420.339150315704</v>
      </c>
      <c r="AN2707" s="2">
        <v>63373.942142527703</v>
      </c>
      <c r="AO2707" s="2">
        <v>56851.393447885697</v>
      </c>
      <c r="AP2707" s="2">
        <v>60935.882356880698</v>
      </c>
    </row>
    <row r="2708" spans="1:42" ht="14.5" x14ac:dyDescent="0.35">
      <c r="A2708" s="2" t="s">
        <v>18051</v>
      </c>
      <c r="B2708" s="2">
        <v>296.294683620998</v>
      </c>
      <c r="C2708" s="2">
        <v>12.8904333333333</v>
      </c>
      <c r="D2708" s="2" t="s">
        <v>34</v>
      </c>
      <c r="E2708" s="2" t="s">
        <v>18052</v>
      </c>
      <c r="F2708" s="2">
        <v>57824</v>
      </c>
      <c r="G2708" s="3" t="str">
        <f>HYPERLINK("http://funmeta.oebiotech.com/network/57824", "http://funmeta.oebiotech.com/network/57824")</f>
        <v>http://funmeta.oebiotech.com/network/57824</v>
      </c>
      <c r="H2708" s="2" t="s">
        <v>18053</v>
      </c>
      <c r="I2708" s="2">
        <v>89411</v>
      </c>
      <c r="J2708" s="2"/>
      <c r="K2708" s="2"/>
      <c r="L2708" s="2"/>
      <c r="M2708" s="2"/>
      <c r="N2708" s="2"/>
      <c r="O2708" s="2">
        <v>181250</v>
      </c>
      <c r="P2708" s="2" t="s">
        <v>18054</v>
      </c>
      <c r="Q2708" s="2" t="s">
        <v>18055</v>
      </c>
      <c r="R2708" s="2" t="s">
        <v>18056</v>
      </c>
      <c r="S2708" s="2" t="s">
        <v>491</v>
      </c>
      <c r="T2708" s="2" t="s">
        <v>2621</v>
      </c>
      <c r="U2708" s="2" t="s">
        <v>41</v>
      </c>
      <c r="V2708" s="2" t="s">
        <v>59</v>
      </c>
      <c r="W2708" s="2">
        <v>47.4</v>
      </c>
      <c r="X2708" s="2">
        <v>40.6</v>
      </c>
      <c r="Y2708" s="2" t="s">
        <v>43</v>
      </c>
      <c r="Z2708" s="2" t="s">
        <v>18057</v>
      </c>
      <c r="AA2708" s="2">
        <v>-0.38675543865628997</v>
      </c>
      <c r="AB2708" s="2">
        <v>0.29840529186022102</v>
      </c>
      <c r="AC2708" s="2">
        <v>15529.823869149701</v>
      </c>
      <c r="AD2708" s="2">
        <v>7988.3389818587102</v>
      </c>
      <c r="AE2708" s="2">
        <v>17203.665708930199</v>
      </c>
      <c r="AF2708" s="2">
        <v>11169.855792816201</v>
      </c>
      <c r="AG2708" s="2">
        <v>14070.8028205299</v>
      </c>
      <c r="AH2708" s="2">
        <v>19189.2974159566</v>
      </c>
      <c r="AI2708" s="2">
        <v>18456.817596687099</v>
      </c>
      <c r="AJ2708" s="2">
        <v>13088.5038799785</v>
      </c>
      <c r="AK2708" s="2">
        <v>5199.4496595926603</v>
      </c>
      <c r="AL2708" s="2">
        <v>13528.515770137699</v>
      </c>
      <c r="AM2708" s="2">
        <v>7451.6548120950902</v>
      </c>
      <c r="AN2708" s="2">
        <v>10714.0284707226</v>
      </c>
      <c r="AO2708" s="2">
        <v>5421.21397768314</v>
      </c>
      <c r="AP2708" s="2">
        <v>5615.1712009210996</v>
      </c>
    </row>
    <row r="2709" spans="1:42" ht="14.5" x14ac:dyDescent="0.35">
      <c r="A2709" s="2" t="s">
        <v>18058</v>
      </c>
      <c r="B2709" s="2">
        <v>439.23339718026102</v>
      </c>
      <c r="C2709" s="2">
        <v>6.6313500000000003</v>
      </c>
      <c r="D2709" s="2" t="s">
        <v>70</v>
      </c>
      <c r="E2709" s="2" t="s">
        <v>18059</v>
      </c>
      <c r="F2709" s="2">
        <v>63718</v>
      </c>
      <c r="G2709" s="3" t="str">
        <f>HYPERLINK("http://funmeta.oebiotech.com/network/63718", "http://funmeta.oebiotech.com/network/63718")</f>
        <v>http://funmeta.oebiotech.com/network/63718</v>
      </c>
      <c r="H2709" s="2" t="s">
        <v>18060</v>
      </c>
      <c r="I2709" s="2">
        <v>95054</v>
      </c>
      <c r="J2709" s="2"/>
      <c r="K2709" s="2">
        <v>175968</v>
      </c>
      <c r="L2709" s="2"/>
      <c r="M2709" s="2"/>
      <c r="N2709" s="2"/>
      <c r="O2709" s="2">
        <v>5319662</v>
      </c>
      <c r="P2709" s="2" t="s">
        <v>18061</v>
      </c>
      <c r="Q2709" s="2" t="s">
        <v>18062</v>
      </c>
      <c r="R2709" s="2" t="s">
        <v>18063</v>
      </c>
      <c r="S2709" s="2" t="s">
        <v>50</v>
      </c>
      <c r="T2709" s="2" t="s">
        <v>229</v>
      </c>
      <c r="U2709" s="2" t="s">
        <v>16559</v>
      </c>
      <c r="V2709" s="2" t="s">
        <v>59</v>
      </c>
      <c r="W2709" s="2">
        <v>38.799999999999997</v>
      </c>
      <c r="X2709" s="2">
        <v>0</v>
      </c>
      <c r="Y2709" s="2" t="s">
        <v>408</v>
      </c>
      <c r="Z2709" s="2" t="s">
        <v>13837</v>
      </c>
      <c r="AA2709" s="2">
        <v>-0.87383669226386895</v>
      </c>
      <c r="AB2709" s="2">
        <v>0.298186673888025</v>
      </c>
      <c r="AC2709" s="2">
        <v>8673.2837414852802</v>
      </c>
      <c r="AD2709" s="2">
        <v>14566.789461468999</v>
      </c>
      <c r="AE2709" s="2">
        <v>8936.4593146705101</v>
      </c>
      <c r="AF2709" s="2">
        <v>8635.3607331586809</v>
      </c>
      <c r="AG2709" s="2">
        <v>9271.7592122126498</v>
      </c>
      <c r="AH2709" s="2">
        <v>8651.4708093290592</v>
      </c>
      <c r="AI2709" s="2">
        <v>8016.1243911237998</v>
      </c>
      <c r="AJ2709" s="2">
        <v>8528.5279884169704</v>
      </c>
      <c r="AK2709" s="2">
        <v>14045.375212241701</v>
      </c>
      <c r="AL2709" s="2">
        <v>14082.353572384</v>
      </c>
      <c r="AM2709" s="2">
        <v>14588.397972905799</v>
      </c>
      <c r="AN2709" s="2">
        <v>14598.6932746984</v>
      </c>
      <c r="AO2709" s="2">
        <v>15153.8862049052</v>
      </c>
      <c r="AP2709" s="2">
        <v>14932.0305316788</v>
      </c>
    </row>
    <row r="2710" spans="1:42" ht="14.5" x14ac:dyDescent="0.35">
      <c r="A2710" s="2" t="s">
        <v>18064</v>
      </c>
      <c r="B2710" s="2">
        <v>188.05532207842001</v>
      </c>
      <c r="C2710" s="2">
        <v>1.27495</v>
      </c>
      <c r="D2710" s="2" t="s">
        <v>34</v>
      </c>
      <c r="E2710" s="2" t="s">
        <v>18065</v>
      </c>
      <c r="F2710" s="2">
        <v>56181</v>
      </c>
      <c r="G2710" s="3" t="str">
        <f>HYPERLINK("http://funmeta.oebiotech.com/network/56181", "http://funmeta.oebiotech.com/network/56181")</f>
        <v>http://funmeta.oebiotech.com/network/56181</v>
      </c>
      <c r="H2710" s="2" t="s">
        <v>18066</v>
      </c>
      <c r="I2710" s="2">
        <v>87876</v>
      </c>
      <c r="J2710" s="2"/>
      <c r="K2710" s="2">
        <v>168168</v>
      </c>
      <c r="L2710" s="2"/>
      <c r="M2710" s="2"/>
      <c r="N2710" s="2"/>
      <c r="O2710" s="2">
        <v>133503</v>
      </c>
      <c r="P2710" s="2" t="s">
        <v>18067</v>
      </c>
      <c r="Q2710" s="2" t="s">
        <v>18068</v>
      </c>
      <c r="R2710" s="2" t="s">
        <v>18069</v>
      </c>
      <c r="S2710" s="2" t="s">
        <v>89</v>
      </c>
      <c r="T2710" s="2" t="s">
        <v>90</v>
      </c>
      <c r="U2710" s="2" t="s">
        <v>99</v>
      </c>
      <c r="V2710" s="2" t="s">
        <v>59</v>
      </c>
      <c r="W2710" s="2">
        <v>38.5</v>
      </c>
      <c r="X2710" s="2">
        <v>0</v>
      </c>
      <c r="Y2710" s="2" t="s">
        <v>266</v>
      </c>
      <c r="Z2710" s="2" t="s">
        <v>18070</v>
      </c>
      <c r="AA2710" s="2">
        <v>-0.14298361677316601</v>
      </c>
      <c r="AB2710" s="2">
        <v>0.29802272818806402</v>
      </c>
      <c r="AC2710" s="2">
        <v>13159.1281110984</v>
      </c>
      <c r="AD2710" s="2">
        <v>7109.1809955267499</v>
      </c>
      <c r="AE2710" s="2">
        <v>13938.335821586899</v>
      </c>
      <c r="AF2710" s="2">
        <v>13647.558730987401</v>
      </c>
      <c r="AG2710" s="2">
        <v>15047.344901792399</v>
      </c>
      <c r="AH2710" s="2">
        <v>12810.101551957499</v>
      </c>
      <c r="AI2710" s="2">
        <v>11851.153706122101</v>
      </c>
      <c r="AJ2710" s="2">
        <v>11660.273954144101</v>
      </c>
      <c r="AK2710" s="2">
        <v>6356.9701440078497</v>
      </c>
      <c r="AL2710" s="2">
        <v>7400.1682127840704</v>
      </c>
      <c r="AM2710" s="2">
        <v>7215.5153705121202</v>
      </c>
      <c r="AN2710" s="2">
        <v>7649.8318377237601</v>
      </c>
      <c r="AO2710" s="2">
        <v>7016.29007194117</v>
      </c>
      <c r="AP2710" s="2">
        <v>7016.31033619153</v>
      </c>
    </row>
    <row r="2711" spans="1:42" ht="14.5" x14ac:dyDescent="0.35">
      <c r="A2711" s="2" t="s">
        <v>18071</v>
      </c>
      <c r="B2711" s="2">
        <v>285.20695288898798</v>
      </c>
      <c r="C2711" s="2">
        <v>8.1565333333333303</v>
      </c>
      <c r="D2711" s="2" t="s">
        <v>70</v>
      </c>
      <c r="E2711" s="2" t="s">
        <v>18072</v>
      </c>
      <c r="F2711" s="2">
        <v>62972</v>
      </c>
      <c r="G2711" s="3" t="str">
        <f>HYPERLINK("http://funmeta.oebiotech.com/network/62972", "http://funmeta.oebiotech.com/network/62972")</f>
        <v>http://funmeta.oebiotech.com/network/62972</v>
      </c>
      <c r="H2711" s="2" t="s">
        <v>18073</v>
      </c>
      <c r="I2711" s="2">
        <v>94270</v>
      </c>
      <c r="J2711" s="2"/>
      <c r="K2711" s="2"/>
      <c r="L2711" s="2"/>
      <c r="M2711" s="2"/>
      <c r="N2711" s="2"/>
      <c r="O2711" s="2">
        <v>85157952</v>
      </c>
      <c r="P2711" s="2" t="s">
        <v>18074</v>
      </c>
      <c r="Q2711" s="2" t="s">
        <v>18075</v>
      </c>
      <c r="R2711" s="2" t="s">
        <v>18076</v>
      </c>
      <c r="S2711" s="2" t="s">
        <v>50</v>
      </c>
      <c r="T2711" s="2" t="s">
        <v>201</v>
      </c>
      <c r="U2711" s="2" t="s">
        <v>636</v>
      </c>
      <c r="V2711" s="2" t="s">
        <v>59</v>
      </c>
      <c r="W2711" s="2">
        <v>41.2</v>
      </c>
      <c r="X2711" s="2">
        <v>9.65</v>
      </c>
      <c r="Y2711" s="2" t="s">
        <v>408</v>
      </c>
      <c r="Z2711" s="2" t="s">
        <v>18077</v>
      </c>
      <c r="AA2711" s="2">
        <v>-0.74983928206589701</v>
      </c>
      <c r="AB2711" s="2">
        <v>0.298005254265854</v>
      </c>
      <c r="AC2711" s="2">
        <v>27371.3694171073</v>
      </c>
      <c r="AD2711" s="2">
        <v>21188.3948788493</v>
      </c>
      <c r="AE2711" s="2">
        <v>29294.984442724701</v>
      </c>
      <c r="AF2711" s="2">
        <v>27764.755039181098</v>
      </c>
      <c r="AG2711" s="2">
        <v>28486.344080506999</v>
      </c>
      <c r="AH2711" s="2">
        <v>27696.752538500601</v>
      </c>
      <c r="AI2711" s="2">
        <v>26188.454871268401</v>
      </c>
      <c r="AJ2711" s="2">
        <v>24796.9255304619</v>
      </c>
      <c r="AK2711" s="2">
        <v>22190.533603501601</v>
      </c>
      <c r="AL2711" s="2">
        <v>22005.1949774329</v>
      </c>
      <c r="AM2711" s="2">
        <v>20558.3053774082</v>
      </c>
      <c r="AN2711" s="2">
        <v>20567.125758096001</v>
      </c>
      <c r="AO2711" s="2">
        <v>20925.697157104602</v>
      </c>
      <c r="AP2711" s="2">
        <v>20883.512399552499</v>
      </c>
    </row>
    <row r="2712" spans="1:42" ht="14.5" x14ac:dyDescent="0.35">
      <c r="A2712" s="2" t="s">
        <v>18078</v>
      </c>
      <c r="B2712" s="2">
        <v>422.24668359765502</v>
      </c>
      <c r="C2712" s="2">
        <v>0.78071666666666695</v>
      </c>
      <c r="D2712" s="2" t="s">
        <v>34</v>
      </c>
      <c r="E2712" s="2" t="s">
        <v>18079</v>
      </c>
      <c r="F2712" s="2">
        <v>267393</v>
      </c>
      <c r="G2712" s="3" t="str">
        <f>HYPERLINK("http://funmeta.oebiotech.com/network/267393", "http://funmeta.oebiotech.com/network/267393")</f>
        <v>http://funmeta.oebiotech.com/network/267393</v>
      </c>
      <c r="H2712" s="2"/>
      <c r="I2712" s="2">
        <v>45375</v>
      </c>
      <c r="J2712" s="2"/>
      <c r="K2712" s="2"/>
      <c r="L2712" s="2"/>
      <c r="M2712" s="2"/>
      <c r="N2712" s="2"/>
      <c r="O2712" s="2">
        <v>10199993</v>
      </c>
      <c r="P2712" s="2" t="s">
        <v>18080</v>
      </c>
      <c r="Q2712" s="2" t="s">
        <v>18081</v>
      </c>
      <c r="R2712" s="2" t="s">
        <v>18082</v>
      </c>
      <c r="S2712" s="2" t="s">
        <v>50</v>
      </c>
      <c r="T2712" s="2" t="s">
        <v>229</v>
      </c>
      <c r="U2712" s="2" t="s">
        <v>645</v>
      </c>
      <c r="V2712" s="2" t="s">
        <v>59</v>
      </c>
      <c r="W2712" s="2">
        <v>36.5</v>
      </c>
      <c r="X2712" s="2">
        <v>0</v>
      </c>
      <c r="Y2712" s="2" t="s">
        <v>340</v>
      </c>
      <c r="Z2712" s="2" t="s">
        <v>18083</v>
      </c>
      <c r="AA2712" s="2">
        <v>2.8597375219806902</v>
      </c>
      <c r="AB2712" s="2">
        <v>0.29797973416095902</v>
      </c>
      <c r="AC2712" s="2">
        <v>14264.851573660701</v>
      </c>
      <c r="AD2712" s="2">
        <v>20979.441565629299</v>
      </c>
      <c r="AE2712" s="2">
        <v>13409.508121363</v>
      </c>
      <c r="AF2712" s="2">
        <v>14731.230623080201</v>
      </c>
      <c r="AG2712" s="2">
        <v>12094.657728526199</v>
      </c>
      <c r="AH2712" s="2">
        <v>15690.418465087199</v>
      </c>
      <c r="AI2712" s="2">
        <v>14922.0380147223</v>
      </c>
      <c r="AJ2712" s="2">
        <v>14741.2564891852</v>
      </c>
      <c r="AK2712" s="2">
        <v>21878.955694113902</v>
      </c>
      <c r="AL2712" s="2">
        <v>17772.587391432298</v>
      </c>
      <c r="AM2712" s="2">
        <v>18092.7263995916</v>
      </c>
      <c r="AN2712" s="2">
        <v>25250.132652737298</v>
      </c>
      <c r="AO2712" s="2">
        <v>21808.384906656898</v>
      </c>
      <c r="AP2712" s="2">
        <v>21073.8623492437</v>
      </c>
    </row>
    <row r="2713" spans="1:42" ht="14.5" x14ac:dyDescent="0.35">
      <c r="A2713" s="2" t="s">
        <v>18084</v>
      </c>
      <c r="B2713" s="2">
        <v>799.09234076539997</v>
      </c>
      <c r="C2713" s="2">
        <v>4.5065833333333298</v>
      </c>
      <c r="D2713" s="2" t="s">
        <v>70</v>
      </c>
      <c r="E2713" s="2" t="s">
        <v>18085</v>
      </c>
      <c r="F2713" s="2">
        <v>52414</v>
      </c>
      <c r="G2713" s="3" t="str">
        <f>HYPERLINK("http://funmeta.oebiotech.com/network/52414", "http://funmeta.oebiotech.com/network/52414")</f>
        <v>http://funmeta.oebiotech.com/network/52414</v>
      </c>
      <c r="H2713" s="2" t="s">
        <v>18086</v>
      </c>
      <c r="I2713" s="2">
        <v>85241</v>
      </c>
      <c r="J2713" s="2"/>
      <c r="K2713" s="2"/>
      <c r="L2713" s="2"/>
      <c r="M2713" s="2"/>
      <c r="N2713" s="2"/>
      <c r="O2713" s="2">
        <v>53481914</v>
      </c>
      <c r="P2713" s="2" t="s">
        <v>18087</v>
      </c>
      <c r="Q2713" s="2" t="s">
        <v>18088</v>
      </c>
      <c r="R2713" s="2" t="s">
        <v>18089</v>
      </c>
      <c r="S2713" s="2" t="s">
        <v>1444</v>
      </c>
      <c r="T2713" s="2" t="s">
        <v>4937</v>
      </c>
      <c r="U2713" s="2" t="s">
        <v>5723</v>
      </c>
      <c r="V2713" s="2" t="s">
        <v>59</v>
      </c>
      <c r="W2713" s="2">
        <v>36.700000000000003</v>
      </c>
      <c r="X2713" s="2">
        <v>0</v>
      </c>
      <c r="Y2713" s="2" t="s">
        <v>286</v>
      </c>
      <c r="Z2713" s="2" t="s">
        <v>18090</v>
      </c>
      <c r="AA2713" s="2">
        <v>-4.4425108200418801</v>
      </c>
      <c r="AB2713" s="2">
        <v>0.29793589707213602</v>
      </c>
      <c r="AC2713" s="2">
        <v>28148.259038202701</v>
      </c>
      <c r="AD2713" s="2">
        <v>36326.814015460201</v>
      </c>
      <c r="AE2713" s="2">
        <v>28501.119722498199</v>
      </c>
      <c r="AF2713" s="2">
        <v>22754.048166160701</v>
      </c>
      <c r="AG2713" s="2">
        <v>30816.891398098</v>
      </c>
      <c r="AH2713" s="2">
        <v>23088.199963384599</v>
      </c>
      <c r="AI2713" s="2">
        <v>28981.4662816171</v>
      </c>
      <c r="AJ2713" s="2">
        <v>34747.828697457502</v>
      </c>
      <c r="AK2713" s="2">
        <v>35216.5622355534</v>
      </c>
      <c r="AL2713" s="2">
        <v>34680.162038104099</v>
      </c>
      <c r="AM2713" s="2">
        <v>40197.479817023697</v>
      </c>
      <c r="AN2713" s="2">
        <v>38478.1773256628</v>
      </c>
      <c r="AO2713" s="2">
        <v>40406.969687174402</v>
      </c>
      <c r="AP2713" s="2">
        <v>28981.532989242602</v>
      </c>
    </row>
    <row r="2714" spans="1:42" ht="14.5" x14ac:dyDescent="0.35">
      <c r="A2714" s="2" t="s">
        <v>18091</v>
      </c>
      <c r="B2714" s="2">
        <v>307.13948954260201</v>
      </c>
      <c r="C2714" s="2">
        <v>3.9694833333333301</v>
      </c>
      <c r="D2714" s="2" t="s">
        <v>70</v>
      </c>
      <c r="E2714" s="2" t="s">
        <v>18092</v>
      </c>
      <c r="F2714" s="2">
        <v>2187</v>
      </c>
      <c r="G2714" s="3" t="str">
        <f>HYPERLINK("http://funmeta.oebiotech.com/network/2187", "http://funmeta.oebiotech.com/network/2187")</f>
        <v>http://funmeta.oebiotech.com/network/2187</v>
      </c>
      <c r="H2714" s="2" t="s">
        <v>18093</v>
      </c>
      <c r="I2714" s="2"/>
      <c r="J2714" s="2" t="s">
        <v>18094</v>
      </c>
      <c r="K2714" s="2"/>
      <c r="L2714" s="2"/>
      <c r="M2714" s="2"/>
      <c r="N2714" s="2"/>
      <c r="O2714" s="2">
        <v>73242171</v>
      </c>
      <c r="P2714" s="2" t="s">
        <v>18095</v>
      </c>
      <c r="Q2714" s="2" t="s">
        <v>18096</v>
      </c>
      <c r="R2714" s="2" t="s">
        <v>18097</v>
      </c>
      <c r="S2714" s="2" t="s">
        <v>89</v>
      </c>
      <c r="T2714" s="2" t="s">
        <v>2718</v>
      </c>
      <c r="U2714" s="2" t="s">
        <v>11268</v>
      </c>
      <c r="V2714" s="2" t="s">
        <v>42</v>
      </c>
      <c r="W2714" s="2">
        <v>50.5</v>
      </c>
      <c r="X2714" s="2">
        <v>57.1</v>
      </c>
      <c r="Y2714" s="2" t="s">
        <v>408</v>
      </c>
      <c r="Z2714" s="2" t="s">
        <v>18098</v>
      </c>
      <c r="AA2714" s="2">
        <v>-1.3418329864896399</v>
      </c>
      <c r="AB2714" s="2">
        <v>0.29764804463600097</v>
      </c>
      <c r="AC2714" s="2">
        <v>37987.903672586202</v>
      </c>
      <c r="AD2714" s="2">
        <v>44199.187235549201</v>
      </c>
      <c r="AE2714" s="2">
        <v>39189.587689386899</v>
      </c>
      <c r="AF2714" s="2">
        <v>38836.211383837297</v>
      </c>
      <c r="AG2714" s="2">
        <v>35350.6762003025</v>
      </c>
      <c r="AH2714" s="2">
        <v>36969.6492667192</v>
      </c>
      <c r="AI2714" s="2">
        <v>38558.6153065947</v>
      </c>
      <c r="AJ2714" s="2">
        <v>39022.682188676299</v>
      </c>
      <c r="AK2714" s="2">
        <v>44803.807370452101</v>
      </c>
      <c r="AL2714" s="2">
        <v>45097.358142112702</v>
      </c>
      <c r="AM2714" s="2">
        <v>45168.596604838101</v>
      </c>
      <c r="AN2714" s="2">
        <v>42784.557196052097</v>
      </c>
      <c r="AO2714" s="2">
        <v>43366.566171635997</v>
      </c>
      <c r="AP2714" s="2">
        <v>43974.237928203998</v>
      </c>
    </row>
    <row r="2715" spans="1:42" ht="14.5" x14ac:dyDescent="0.35">
      <c r="A2715" s="2" t="s">
        <v>18099</v>
      </c>
      <c r="B2715" s="2">
        <v>128.95832648175499</v>
      </c>
      <c r="C2715" s="2">
        <v>0.67131666666666701</v>
      </c>
      <c r="D2715" s="2" t="s">
        <v>70</v>
      </c>
      <c r="E2715" s="2" t="s">
        <v>18100</v>
      </c>
      <c r="F2715" s="2">
        <v>208723</v>
      </c>
      <c r="G2715" s="3" t="str">
        <f>HYPERLINK("http://funmeta.oebiotech.com/network/208723", "http://funmeta.oebiotech.com/network/208723")</f>
        <v>http://funmeta.oebiotech.com/network/208723</v>
      </c>
      <c r="H2715" s="2" t="s">
        <v>18101</v>
      </c>
      <c r="I2715" s="2"/>
      <c r="J2715" s="2"/>
      <c r="K2715" s="2">
        <v>134614</v>
      </c>
      <c r="L2715" s="2"/>
      <c r="M2715" s="2"/>
      <c r="N2715" s="2"/>
      <c r="O2715" s="2">
        <v>22772</v>
      </c>
      <c r="P2715" s="2"/>
      <c r="Q2715" s="2" t="s">
        <v>18102</v>
      </c>
      <c r="R2715" s="2" t="s">
        <v>18103</v>
      </c>
      <c r="S2715" s="2" t="s">
        <v>5916</v>
      </c>
      <c r="T2715" s="2" t="s">
        <v>18104</v>
      </c>
      <c r="U2715" s="2" t="s">
        <v>18105</v>
      </c>
      <c r="V2715" s="2" t="s">
        <v>59</v>
      </c>
      <c r="W2715" s="2">
        <v>37.4</v>
      </c>
      <c r="X2715" s="2">
        <v>0</v>
      </c>
      <c r="Y2715" s="2" t="s">
        <v>118</v>
      </c>
      <c r="Z2715" s="2" t="s">
        <v>18106</v>
      </c>
      <c r="AA2715" s="2">
        <v>-2.5942180303080198</v>
      </c>
      <c r="AB2715" s="2">
        <v>0.29763144732828201</v>
      </c>
      <c r="AC2715" s="2">
        <v>33402.634352169902</v>
      </c>
      <c r="AD2715" s="2">
        <v>42989.547110334599</v>
      </c>
      <c r="AE2715" s="2">
        <v>25124.202641224201</v>
      </c>
      <c r="AF2715" s="2">
        <v>40268.819968492702</v>
      </c>
      <c r="AG2715" s="2">
        <v>34606.066351977403</v>
      </c>
      <c r="AH2715" s="2">
        <v>30834.187538635699</v>
      </c>
      <c r="AI2715" s="2">
        <v>34544.7898995957</v>
      </c>
      <c r="AJ2715" s="2">
        <v>35037.739713093797</v>
      </c>
      <c r="AK2715" s="2">
        <v>46160.019409706598</v>
      </c>
      <c r="AL2715" s="2">
        <v>41638.137232245797</v>
      </c>
      <c r="AM2715" s="2">
        <v>35891.876742423403</v>
      </c>
      <c r="AN2715" s="2">
        <v>58270.811363739798</v>
      </c>
      <c r="AO2715" s="2">
        <v>40240.789139491397</v>
      </c>
      <c r="AP2715" s="2">
        <v>35735.648774400499</v>
      </c>
    </row>
    <row r="2716" spans="1:42" ht="14.5" x14ac:dyDescent="0.35">
      <c r="A2716" s="2" t="s">
        <v>18107</v>
      </c>
      <c r="B2716" s="2">
        <v>645.21469505230903</v>
      </c>
      <c r="C2716" s="2">
        <v>5.1527500000000002</v>
      </c>
      <c r="D2716" s="2" t="s">
        <v>70</v>
      </c>
      <c r="E2716" s="2" t="s">
        <v>18108</v>
      </c>
      <c r="F2716" s="2">
        <v>210964</v>
      </c>
      <c r="G2716" s="3" t="str">
        <f>HYPERLINK("http://funmeta.oebiotech.com/network/210964", "http://funmeta.oebiotech.com/network/210964")</f>
        <v>http://funmeta.oebiotech.com/network/210964</v>
      </c>
      <c r="H2716" s="2" t="s">
        <v>18109</v>
      </c>
      <c r="I2716" s="2"/>
      <c r="J2716" s="2"/>
      <c r="K2716" s="2"/>
      <c r="L2716" s="2"/>
      <c r="M2716" s="2"/>
      <c r="N2716" s="2"/>
      <c r="O2716" s="2">
        <v>9927220</v>
      </c>
      <c r="P2716" s="2"/>
      <c r="Q2716" s="2" t="s">
        <v>18110</v>
      </c>
      <c r="R2716" s="2" t="s">
        <v>18111</v>
      </c>
      <c r="S2716" s="2" t="s">
        <v>491</v>
      </c>
      <c r="T2716" s="2" t="s">
        <v>13817</v>
      </c>
      <c r="U2716" s="2" t="s">
        <v>41</v>
      </c>
      <c r="V2716" s="2" t="s">
        <v>59</v>
      </c>
      <c r="W2716" s="2">
        <v>38.700000000000003</v>
      </c>
      <c r="X2716" s="2">
        <v>0</v>
      </c>
      <c r="Y2716" s="2" t="s">
        <v>560</v>
      </c>
      <c r="Z2716" s="2" t="s">
        <v>18112</v>
      </c>
      <c r="AA2716" s="2">
        <v>1.88694458448355</v>
      </c>
      <c r="AB2716" s="2">
        <v>0.29760474229957201</v>
      </c>
      <c r="AC2716" s="2">
        <v>11820.691348873799</v>
      </c>
      <c r="AD2716" s="2">
        <v>5341.95802872079</v>
      </c>
      <c r="AE2716" s="2">
        <v>11034.8288699479</v>
      </c>
      <c r="AF2716" s="2">
        <v>11898.0986515321</v>
      </c>
      <c r="AG2716" s="2">
        <v>15015.794677820901</v>
      </c>
      <c r="AH2716" s="2">
        <v>11689.4679805208</v>
      </c>
      <c r="AI2716" s="2">
        <v>12504.0799102194</v>
      </c>
      <c r="AJ2716" s="2">
        <v>8781.8780032014001</v>
      </c>
      <c r="AK2716" s="2">
        <v>5646.1667055582402</v>
      </c>
      <c r="AL2716" s="2">
        <v>7538.8953170705699</v>
      </c>
      <c r="AM2716" s="2">
        <v>4363.8306270985404</v>
      </c>
      <c r="AN2716" s="2">
        <v>3476.4221373978899</v>
      </c>
      <c r="AO2716" s="2">
        <v>6414.0297488766</v>
      </c>
      <c r="AP2716" s="2">
        <v>4612.4036363228797</v>
      </c>
    </row>
    <row r="2717" spans="1:42" ht="14.5" x14ac:dyDescent="0.35">
      <c r="A2717" s="2" t="s">
        <v>18113</v>
      </c>
      <c r="B2717" s="2">
        <v>479.20604260957799</v>
      </c>
      <c r="C2717" s="2">
        <v>6.2504</v>
      </c>
      <c r="D2717" s="2" t="s">
        <v>34</v>
      </c>
      <c r="E2717" s="2" t="s">
        <v>18114</v>
      </c>
      <c r="F2717" s="2">
        <v>266869</v>
      </c>
      <c r="G2717" s="3" t="str">
        <f>HYPERLINK("http://funmeta.oebiotech.com/network/266869", "http://funmeta.oebiotech.com/network/266869")</f>
        <v>http://funmeta.oebiotech.com/network/266869</v>
      </c>
      <c r="H2717" s="2"/>
      <c r="I2717" s="2">
        <v>44154</v>
      </c>
      <c r="J2717" s="2"/>
      <c r="K2717" s="2"/>
      <c r="L2717" s="2" t="s">
        <v>18115</v>
      </c>
      <c r="M2717" s="2"/>
      <c r="N2717" s="2"/>
      <c r="O2717" s="2">
        <v>6216</v>
      </c>
      <c r="P2717" s="2" t="s">
        <v>18116</v>
      </c>
      <c r="Q2717" s="2" t="s">
        <v>18117</v>
      </c>
      <c r="R2717" s="2" t="s">
        <v>18118</v>
      </c>
      <c r="S2717" s="2" t="s">
        <v>50</v>
      </c>
      <c r="T2717" s="2" t="s">
        <v>124</v>
      </c>
      <c r="U2717" s="2" t="s">
        <v>929</v>
      </c>
      <c r="V2717" s="2" t="s">
        <v>59</v>
      </c>
      <c r="W2717" s="2">
        <v>37.700000000000003</v>
      </c>
      <c r="X2717" s="2">
        <v>0</v>
      </c>
      <c r="Y2717" s="2" t="s">
        <v>394</v>
      </c>
      <c r="Z2717" s="2" t="s">
        <v>18119</v>
      </c>
      <c r="AA2717" s="2">
        <v>-3.1994816497332801</v>
      </c>
      <c r="AB2717" s="2">
        <v>0.29759159194264301</v>
      </c>
      <c r="AC2717" s="2">
        <v>32117.9418469421</v>
      </c>
      <c r="AD2717" s="2">
        <v>24646.4950280222</v>
      </c>
      <c r="AE2717" s="2">
        <v>28496.193451153002</v>
      </c>
      <c r="AF2717" s="2">
        <v>34963.615746220297</v>
      </c>
      <c r="AG2717" s="2">
        <v>28853.571747940299</v>
      </c>
      <c r="AH2717" s="2">
        <v>29133.375890274401</v>
      </c>
      <c r="AI2717" s="2">
        <v>36530.863723689698</v>
      </c>
      <c r="AJ2717" s="2">
        <v>34730.030522374902</v>
      </c>
      <c r="AK2717" s="2">
        <v>24892.1198057004</v>
      </c>
      <c r="AL2717" s="2">
        <v>24676.218957939</v>
      </c>
      <c r="AM2717" s="2">
        <v>25077.4562472664</v>
      </c>
      <c r="AN2717" s="2">
        <v>28628.2205874397</v>
      </c>
      <c r="AO2717" s="2">
        <v>20105.8366937756</v>
      </c>
      <c r="AP2717" s="2">
        <v>24499.1178760121</v>
      </c>
    </row>
    <row r="2718" spans="1:42" ht="14.5" x14ac:dyDescent="0.35">
      <c r="A2718" s="2" t="s">
        <v>18120</v>
      </c>
      <c r="B2718" s="2">
        <v>687.26528090193199</v>
      </c>
      <c r="C2718" s="2">
        <v>5.1341999999999999</v>
      </c>
      <c r="D2718" s="2" t="s">
        <v>70</v>
      </c>
      <c r="E2718" s="2" t="s">
        <v>18121</v>
      </c>
      <c r="F2718" s="2">
        <v>280510</v>
      </c>
      <c r="G2718" s="3" t="str">
        <f>HYPERLINK("http://funmeta.oebiotech.com/network/280510", "http://funmeta.oebiotech.com/network/280510")</f>
        <v>http://funmeta.oebiotech.com/network/280510</v>
      </c>
      <c r="H2718" s="2"/>
      <c r="I2718" s="2">
        <v>84989</v>
      </c>
      <c r="J2718" s="2"/>
      <c r="K2718" s="2"/>
      <c r="L2718" s="2"/>
      <c r="M2718" s="2"/>
      <c r="N2718" s="2"/>
      <c r="O2718" s="2">
        <v>131908</v>
      </c>
      <c r="P2718" s="2" t="s">
        <v>18122</v>
      </c>
      <c r="Q2718" s="2" t="s">
        <v>18123</v>
      </c>
      <c r="R2718" s="2" t="s">
        <v>18124</v>
      </c>
      <c r="S2718" s="2" t="s">
        <v>41</v>
      </c>
      <c r="T2718" s="2" t="s">
        <v>41</v>
      </c>
      <c r="U2718" s="2" t="s">
        <v>41</v>
      </c>
      <c r="V2718" s="2" t="s">
        <v>59</v>
      </c>
      <c r="W2718" s="2">
        <v>38.700000000000003</v>
      </c>
      <c r="X2718" s="2">
        <v>0</v>
      </c>
      <c r="Y2718" s="2" t="s">
        <v>118</v>
      </c>
      <c r="Z2718" s="2" t="s">
        <v>18125</v>
      </c>
      <c r="AA2718" s="2">
        <v>-0.79728669183890899</v>
      </c>
      <c r="AB2718" s="2">
        <v>0.29734821639369802</v>
      </c>
      <c r="AC2718" s="2">
        <v>33198.412645121702</v>
      </c>
      <c r="AD2718" s="2">
        <v>40754.438819806302</v>
      </c>
      <c r="AE2718" s="2">
        <v>33627.664650031897</v>
      </c>
      <c r="AF2718" s="2">
        <v>35497.966267951997</v>
      </c>
      <c r="AG2718" s="2">
        <v>30631.798126580899</v>
      </c>
      <c r="AH2718" s="2">
        <v>29338.645145345501</v>
      </c>
      <c r="AI2718" s="2">
        <v>33849.431757074701</v>
      </c>
      <c r="AJ2718" s="2">
        <v>36244.969923745302</v>
      </c>
      <c r="AK2718" s="2">
        <v>42598.331596963901</v>
      </c>
      <c r="AL2718" s="2">
        <v>39101.49379244</v>
      </c>
      <c r="AM2718" s="2">
        <v>40482.5602637673</v>
      </c>
      <c r="AN2718" s="2">
        <v>44110.938850879902</v>
      </c>
      <c r="AO2718" s="2">
        <v>33607.869536065897</v>
      </c>
      <c r="AP2718" s="2">
        <v>44625.438878720699</v>
      </c>
    </row>
    <row r="2719" spans="1:42" ht="14.5" x14ac:dyDescent="0.35">
      <c r="A2719" s="2" t="s">
        <v>18126</v>
      </c>
      <c r="B2719" s="2">
        <v>249.18469932483899</v>
      </c>
      <c r="C2719" s="2">
        <v>10.6795333333333</v>
      </c>
      <c r="D2719" s="2" t="s">
        <v>34</v>
      </c>
      <c r="E2719" s="2" t="s">
        <v>18127</v>
      </c>
      <c r="F2719" s="2">
        <v>132590</v>
      </c>
      <c r="G2719" s="3" t="str">
        <f>HYPERLINK("http://funmeta.oebiotech.com/network/132590", "http://funmeta.oebiotech.com/network/132590")</f>
        <v>http://funmeta.oebiotech.com/network/132590</v>
      </c>
      <c r="H2719" s="2" t="s">
        <v>18128</v>
      </c>
      <c r="I2719" s="2"/>
      <c r="J2719" s="2"/>
      <c r="K2719" s="2"/>
      <c r="L2719" s="2"/>
      <c r="M2719" s="2"/>
      <c r="N2719" s="2"/>
      <c r="O2719" s="2">
        <v>131819624</v>
      </c>
      <c r="P2719" s="2"/>
      <c r="Q2719" s="2" t="s">
        <v>18129</v>
      </c>
      <c r="R2719" s="2" t="s">
        <v>18130</v>
      </c>
      <c r="S2719" s="2" t="s">
        <v>50</v>
      </c>
      <c r="T2719" s="2" t="s">
        <v>229</v>
      </c>
      <c r="U2719" s="2" t="s">
        <v>433</v>
      </c>
      <c r="V2719" s="2" t="s">
        <v>42</v>
      </c>
      <c r="W2719" s="2">
        <v>54.9</v>
      </c>
      <c r="X2719" s="2">
        <v>78.2</v>
      </c>
      <c r="Y2719" s="2" t="s">
        <v>141</v>
      </c>
      <c r="Z2719" s="2" t="s">
        <v>18131</v>
      </c>
      <c r="AA2719" s="2">
        <v>-0.77808732669833602</v>
      </c>
      <c r="AB2719" s="2">
        <v>0.29706635425585798</v>
      </c>
      <c r="AC2719" s="2">
        <v>72626.858313277902</v>
      </c>
      <c r="AD2719" s="2">
        <v>82646.368859601804</v>
      </c>
      <c r="AE2719" s="2">
        <v>80252.046498735304</v>
      </c>
      <c r="AF2719" s="2">
        <v>73321.223339479504</v>
      </c>
      <c r="AG2719" s="2">
        <v>78777.334479686702</v>
      </c>
      <c r="AH2719" s="2">
        <v>56674.291683204698</v>
      </c>
      <c r="AI2719" s="2">
        <v>67613.333782418995</v>
      </c>
      <c r="AJ2719" s="2">
        <v>79122.920096142203</v>
      </c>
      <c r="AK2719" s="2">
        <v>80957.634862585197</v>
      </c>
      <c r="AL2719" s="2">
        <v>91624.806947471297</v>
      </c>
      <c r="AM2719" s="2">
        <v>75139.971623205405</v>
      </c>
      <c r="AN2719" s="2">
        <v>82854.413716472496</v>
      </c>
      <c r="AO2719" s="2">
        <v>80239.470948373695</v>
      </c>
      <c r="AP2719" s="2">
        <v>85061.915059502906</v>
      </c>
    </row>
    <row r="2720" spans="1:42" ht="14.5" x14ac:dyDescent="0.35">
      <c r="A2720" s="2" t="s">
        <v>18132</v>
      </c>
      <c r="B2720" s="2">
        <v>651.26186630833001</v>
      </c>
      <c r="C2720" s="2">
        <v>4.1584500000000002</v>
      </c>
      <c r="D2720" s="2" t="s">
        <v>34</v>
      </c>
      <c r="E2720" s="2" t="s">
        <v>18133</v>
      </c>
      <c r="F2720" s="2">
        <v>205739</v>
      </c>
      <c r="G2720" s="3" t="str">
        <f>HYPERLINK("http://funmeta.oebiotech.com/network/205739", "http://funmeta.oebiotech.com/network/205739")</f>
        <v>http://funmeta.oebiotech.com/network/205739</v>
      </c>
      <c r="H2720" s="2" t="s">
        <v>18134</v>
      </c>
      <c r="I2720" s="2"/>
      <c r="J2720" s="2"/>
      <c r="K2720" s="2"/>
      <c r="L2720" s="2"/>
      <c r="M2720" s="2"/>
      <c r="N2720" s="2"/>
      <c r="O2720" s="2"/>
      <c r="P2720" s="2"/>
      <c r="Q2720" s="2" t="s">
        <v>18135</v>
      </c>
      <c r="R2720" s="2" t="s">
        <v>18136</v>
      </c>
      <c r="S2720" s="2" t="s">
        <v>41</v>
      </c>
      <c r="T2720" s="2" t="s">
        <v>41</v>
      </c>
      <c r="U2720" s="2" t="s">
        <v>41</v>
      </c>
      <c r="V2720" s="2" t="s">
        <v>59</v>
      </c>
      <c r="W2720" s="2">
        <v>38.5</v>
      </c>
      <c r="X2720" s="2">
        <v>0</v>
      </c>
      <c r="Y2720" s="2" t="s">
        <v>43</v>
      </c>
      <c r="Z2720" s="2" t="s">
        <v>18137</v>
      </c>
      <c r="AA2720" s="2">
        <v>-0.28552555533795498</v>
      </c>
      <c r="AB2720" s="2">
        <v>0.29673576363141002</v>
      </c>
      <c r="AC2720" s="2">
        <v>8803.5547415130895</v>
      </c>
      <c r="AD2720" s="2">
        <v>2570.5022576995998</v>
      </c>
      <c r="AE2720" s="2">
        <v>10546.709241442901</v>
      </c>
      <c r="AF2720" s="2">
        <v>7783.9456058552996</v>
      </c>
      <c r="AG2720" s="2">
        <v>7681.4151647874096</v>
      </c>
      <c r="AH2720" s="2">
        <v>7456.0396197227501</v>
      </c>
      <c r="AI2720" s="2">
        <v>9228.6393773302498</v>
      </c>
      <c r="AJ2720" s="2">
        <v>10124.5794399399</v>
      </c>
      <c r="AK2720" s="2">
        <v>2.7106294003980101E-5</v>
      </c>
      <c r="AL2720" s="2">
        <v>3787.3632325793601</v>
      </c>
      <c r="AM2720" s="2">
        <v>2595.4919727352599</v>
      </c>
      <c r="AN2720" s="2">
        <v>2161.9956750858801</v>
      </c>
      <c r="AO2720" s="2">
        <v>3500.6288591745201</v>
      </c>
      <c r="AP2720" s="2">
        <v>3377.53377951628</v>
      </c>
    </row>
    <row r="2721" spans="1:42" ht="14.5" x14ac:dyDescent="0.35">
      <c r="A2721" s="2" t="s">
        <v>18138</v>
      </c>
      <c r="B2721" s="2">
        <v>472.14565589991599</v>
      </c>
      <c r="C2721" s="2">
        <v>3.8059833333333302</v>
      </c>
      <c r="D2721" s="2" t="s">
        <v>70</v>
      </c>
      <c r="E2721" s="2" t="s">
        <v>18139</v>
      </c>
      <c r="F2721" s="2">
        <v>54772</v>
      </c>
      <c r="G2721" s="3" t="str">
        <f>HYPERLINK("http://funmeta.oebiotech.com/network/54772", "http://funmeta.oebiotech.com/network/54772")</f>
        <v>http://funmeta.oebiotech.com/network/54772</v>
      </c>
      <c r="H2721" s="2" t="s">
        <v>18140</v>
      </c>
      <c r="I2721" s="2"/>
      <c r="J2721" s="2"/>
      <c r="K2721" s="2">
        <v>6559</v>
      </c>
      <c r="L2721" s="2" t="s">
        <v>18141</v>
      </c>
      <c r="M2721" s="2"/>
      <c r="N2721" s="2"/>
      <c r="O2721" s="2">
        <v>4475723</v>
      </c>
      <c r="P2721" s="2" t="s">
        <v>18142</v>
      </c>
      <c r="Q2721" s="2" t="s">
        <v>18143</v>
      </c>
      <c r="R2721" s="2" t="s">
        <v>18144</v>
      </c>
      <c r="S2721" s="2" t="s">
        <v>79</v>
      </c>
      <c r="T2721" s="2" t="s">
        <v>80</v>
      </c>
      <c r="U2721" s="2" t="s">
        <v>81</v>
      </c>
      <c r="V2721" s="2" t="s">
        <v>59</v>
      </c>
      <c r="W2721" s="2">
        <v>38.299999999999997</v>
      </c>
      <c r="X2721" s="2">
        <v>0</v>
      </c>
      <c r="Y2721" s="2" t="s">
        <v>408</v>
      </c>
      <c r="Z2721" s="2" t="s">
        <v>18145</v>
      </c>
      <c r="AA2721" s="2">
        <v>-0.91999114077720701</v>
      </c>
      <c r="AB2721" s="2">
        <v>0.29673400786820597</v>
      </c>
      <c r="AC2721" s="2">
        <v>15556.452879030199</v>
      </c>
      <c r="AD2721" s="2">
        <v>21542.902169994799</v>
      </c>
      <c r="AE2721" s="2">
        <v>15117.1143643901</v>
      </c>
      <c r="AF2721" s="2">
        <v>15857.3829624509</v>
      </c>
      <c r="AG2721" s="2">
        <v>15573.2201432728</v>
      </c>
      <c r="AH2721" s="2">
        <v>15264.625821851099</v>
      </c>
      <c r="AI2721" s="2">
        <v>15119.1821819447</v>
      </c>
      <c r="AJ2721" s="2">
        <v>16407.191800271699</v>
      </c>
      <c r="AK2721" s="2">
        <v>20481.431559780802</v>
      </c>
      <c r="AL2721" s="2">
        <v>22561.879941655399</v>
      </c>
      <c r="AM2721" s="2">
        <v>23063.156335285999</v>
      </c>
      <c r="AN2721" s="2">
        <v>20233.4350119679</v>
      </c>
      <c r="AO2721" s="2">
        <v>21386.4887276222</v>
      </c>
      <c r="AP2721" s="2">
        <v>21531.0214436563</v>
      </c>
    </row>
    <row r="2722" spans="1:42" ht="14.5" x14ac:dyDescent="0.35">
      <c r="A2722" s="2" t="s">
        <v>18146</v>
      </c>
      <c r="B2722" s="2">
        <v>275.12756209086899</v>
      </c>
      <c r="C2722" s="2">
        <v>4.4793166666666702</v>
      </c>
      <c r="D2722" s="2" t="s">
        <v>34</v>
      </c>
      <c r="E2722" s="2" t="s">
        <v>18147</v>
      </c>
      <c r="F2722" s="2">
        <v>61270</v>
      </c>
      <c r="G2722" s="3" t="str">
        <f>HYPERLINK("http://funmeta.oebiotech.com/network/61270", "http://funmeta.oebiotech.com/network/61270")</f>
        <v>http://funmeta.oebiotech.com/network/61270</v>
      </c>
      <c r="H2722" s="2" t="s">
        <v>18148</v>
      </c>
      <c r="I2722" s="2">
        <v>92590</v>
      </c>
      <c r="J2722" s="2"/>
      <c r="K2722" s="2"/>
      <c r="L2722" s="2"/>
      <c r="M2722" s="2"/>
      <c r="N2722" s="2"/>
      <c r="O2722" s="2">
        <v>131752232</v>
      </c>
      <c r="P2722" s="2" t="s">
        <v>18149</v>
      </c>
      <c r="Q2722" s="2" t="s">
        <v>18150</v>
      </c>
      <c r="R2722" s="2" t="s">
        <v>18151</v>
      </c>
      <c r="S2722" s="2" t="s">
        <v>491</v>
      </c>
      <c r="T2722" s="2" t="s">
        <v>2251</v>
      </c>
      <c r="U2722" s="2" t="s">
        <v>2252</v>
      </c>
      <c r="V2722" s="2" t="s">
        <v>59</v>
      </c>
      <c r="W2722" s="2">
        <v>46.9</v>
      </c>
      <c r="X2722" s="2">
        <v>41.1</v>
      </c>
      <c r="Y2722" s="2" t="s">
        <v>266</v>
      </c>
      <c r="Z2722" s="2" t="s">
        <v>18152</v>
      </c>
      <c r="AA2722" s="2">
        <v>-0.76471950670875799</v>
      </c>
      <c r="AB2722" s="2">
        <v>0.29656460353956698</v>
      </c>
      <c r="AC2722" s="2">
        <v>24445.831268491998</v>
      </c>
      <c r="AD2722" s="2">
        <v>18240.413851039801</v>
      </c>
      <c r="AE2722" s="2">
        <v>23976.409412578501</v>
      </c>
      <c r="AF2722" s="2">
        <v>24435.728016153102</v>
      </c>
      <c r="AG2722" s="2">
        <v>24880.201575487899</v>
      </c>
      <c r="AH2722" s="2">
        <v>22337.550191907001</v>
      </c>
      <c r="AI2722" s="2">
        <v>26496.771820740501</v>
      </c>
      <c r="AJ2722" s="2">
        <v>24548.3265940848</v>
      </c>
      <c r="AK2722" s="2">
        <v>18407.116914958799</v>
      </c>
      <c r="AL2722" s="2">
        <v>20462.844905080401</v>
      </c>
      <c r="AM2722" s="2">
        <v>17424.677245897899</v>
      </c>
      <c r="AN2722" s="2">
        <v>17607.8085011515</v>
      </c>
      <c r="AO2722" s="2">
        <v>16708.715413927301</v>
      </c>
      <c r="AP2722" s="2">
        <v>18831.320125222701</v>
      </c>
    </row>
    <row r="2723" spans="1:42" ht="14.5" x14ac:dyDescent="0.35">
      <c r="A2723" s="2" t="s">
        <v>18153</v>
      </c>
      <c r="B2723" s="2">
        <v>681.33835499397901</v>
      </c>
      <c r="C2723" s="2">
        <v>8.6936</v>
      </c>
      <c r="D2723" s="2" t="s">
        <v>70</v>
      </c>
      <c r="E2723" s="2" t="s">
        <v>18154</v>
      </c>
      <c r="F2723" s="2">
        <v>56736</v>
      </c>
      <c r="G2723" s="3" t="str">
        <f>HYPERLINK("http://funmeta.oebiotech.com/network/56736", "http://funmeta.oebiotech.com/network/56736")</f>
        <v>http://funmeta.oebiotech.com/network/56736</v>
      </c>
      <c r="H2723" s="2" t="s">
        <v>18155</v>
      </c>
      <c r="I2723" s="2">
        <v>88409</v>
      </c>
      <c r="J2723" s="2"/>
      <c r="K2723" s="2"/>
      <c r="L2723" s="2"/>
      <c r="M2723" s="2"/>
      <c r="N2723" s="2"/>
      <c r="O2723" s="2">
        <v>11210019</v>
      </c>
      <c r="P2723" s="2" t="s">
        <v>18156</v>
      </c>
      <c r="Q2723" s="2" t="s">
        <v>18157</v>
      </c>
      <c r="R2723" s="2" t="s">
        <v>18158</v>
      </c>
      <c r="S2723" s="2" t="s">
        <v>89</v>
      </c>
      <c r="T2723" s="2" t="s">
        <v>90</v>
      </c>
      <c r="U2723" s="2" t="s">
        <v>99</v>
      </c>
      <c r="V2723" s="2" t="s">
        <v>59</v>
      </c>
      <c r="W2723" s="2">
        <v>41.8</v>
      </c>
      <c r="X2723" s="2">
        <v>26.5</v>
      </c>
      <c r="Y2723" s="2" t="s">
        <v>560</v>
      </c>
      <c r="Z2723" s="2" t="s">
        <v>18159</v>
      </c>
      <c r="AA2723" s="2">
        <v>-3.3000694456936301</v>
      </c>
      <c r="AB2723" s="2">
        <v>0.29643356605300097</v>
      </c>
      <c r="AC2723" s="2">
        <v>936.54814195748497</v>
      </c>
      <c r="AD2723" s="2">
        <v>7091.8268424791804</v>
      </c>
      <c r="AE2723" s="2">
        <v>551.30609584048705</v>
      </c>
      <c r="AF2723" s="2">
        <v>1197.8384395318101</v>
      </c>
      <c r="AG2723" s="2">
        <v>1620.2286570136</v>
      </c>
      <c r="AH2723" s="2">
        <v>704.92467846184604</v>
      </c>
      <c r="AI2723" s="2">
        <v>1544.99095379087</v>
      </c>
      <c r="AJ2723" s="2">
        <v>2.7106294003980101E-5</v>
      </c>
      <c r="AK2723" s="2">
        <v>5578.6302413478697</v>
      </c>
      <c r="AL2723" s="2">
        <v>5532.9382378489599</v>
      </c>
      <c r="AM2723" s="2">
        <v>9553.3599621863505</v>
      </c>
      <c r="AN2723" s="2">
        <v>6537.8203001736902</v>
      </c>
      <c r="AO2723" s="2">
        <v>6498.5112591602001</v>
      </c>
      <c r="AP2723" s="2">
        <v>8849.7010541580294</v>
      </c>
    </row>
    <row r="2724" spans="1:42" ht="14.5" x14ac:dyDescent="0.35">
      <c r="A2724" s="2" t="s">
        <v>18160</v>
      </c>
      <c r="B2724" s="2">
        <v>215.13897000791999</v>
      </c>
      <c r="C2724" s="2">
        <v>1.0770999999999999</v>
      </c>
      <c r="D2724" s="2" t="s">
        <v>34</v>
      </c>
      <c r="E2724" s="2" t="s">
        <v>18161</v>
      </c>
      <c r="F2724" s="2">
        <v>115531</v>
      </c>
      <c r="G2724" s="3" t="str">
        <f>HYPERLINK("http://funmeta.oebiotech.com/network/115531", "http://funmeta.oebiotech.com/network/115531")</f>
        <v>http://funmeta.oebiotech.com/network/115531</v>
      </c>
      <c r="H2724" s="2" t="s">
        <v>18162</v>
      </c>
      <c r="I2724" s="2"/>
      <c r="J2724" s="2"/>
      <c r="K2724" s="2"/>
      <c r="L2724" s="2"/>
      <c r="M2724" s="2"/>
      <c r="N2724" s="2"/>
      <c r="O2724" s="2"/>
      <c r="P2724" s="2"/>
      <c r="Q2724" s="2" t="s">
        <v>18163</v>
      </c>
      <c r="R2724" s="2" t="s">
        <v>18164</v>
      </c>
      <c r="S2724" s="2" t="s">
        <v>89</v>
      </c>
      <c r="T2724" s="2" t="s">
        <v>90</v>
      </c>
      <c r="U2724" s="2" t="s">
        <v>99</v>
      </c>
      <c r="V2724" s="2" t="s">
        <v>59</v>
      </c>
      <c r="W2724" s="2">
        <v>40.200000000000003</v>
      </c>
      <c r="X2724" s="2">
        <v>3.61</v>
      </c>
      <c r="Y2724" s="2" t="s">
        <v>43</v>
      </c>
      <c r="Z2724" s="2" t="s">
        <v>18165</v>
      </c>
      <c r="AA2724" s="2">
        <v>-0.247921472367954</v>
      </c>
      <c r="AB2724" s="2">
        <v>0.29641589280452002</v>
      </c>
      <c r="AC2724" s="2">
        <v>35825.138403529199</v>
      </c>
      <c r="AD2724" s="2">
        <v>42087.432805103403</v>
      </c>
      <c r="AE2724" s="2">
        <v>34626.984570570399</v>
      </c>
      <c r="AF2724" s="2">
        <v>35760.044590929101</v>
      </c>
      <c r="AG2724" s="2">
        <v>38696.776246643698</v>
      </c>
      <c r="AH2724" s="2">
        <v>34598.151437902103</v>
      </c>
      <c r="AI2724" s="2">
        <v>35222.902686198802</v>
      </c>
      <c r="AJ2724" s="2">
        <v>36045.970888930999</v>
      </c>
      <c r="AK2724" s="2">
        <v>41272.1368065813</v>
      </c>
      <c r="AL2724" s="2">
        <v>42242.332850849598</v>
      </c>
      <c r="AM2724" s="2">
        <v>42122.142267101299</v>
      </c>
      <c r="AN2724" s="2">
        <v>44674.171237846604</v>
      </c>
      <c r="AO2724" s="2">
        <v>40908.821284749502</v>
      </c>
      <c r="AP2724" s="2">
        <v>41304.992383492201</v>
      </c>
    </row>
    <row r="2725" spans="1:42" ht="14.5" x14ac:dyDescent="0.35">
      <c r="A2725" s="2" t="s">
        <v>18166</v>
      </c>
      <c r="B2725" s="2">
        <v>211.09691136398899</v>
      </c>
      <c r="C2725" s="2">
        <v>4.7218999999999998</v>
      </c>
      <c r="D2725" s="2" t="s">
        <v>70</v>
      </c>
      <c r="E2725" s="2" t="s">
        <v>18167</v>
      </c>
      <c r="F2725" s="2">
        <v>35387</v>
      </c>
      <c r="G2725" s="3" t="str">
        <f>HYPERLINK("http://funmeta.oebiotech.com/network/35387", "http://funmeta.oebiotech.com/network/35387")</f>
        <v>http://funmeta.oebiotech.com/network/35387</v>
      </c>
      <c r="H2725" s="2" t="s">
        <v>18168</v>
      </c>
      <c r="I2725" s="2">
        <v>41133</v>
      </c>
      <c r="J2725" s="2" t="s">
        <v>18169</v>
      </c>
      <c r="K2725" s="2">
        <v>36999</v>
      </c>
      <c r="L2725" s="2" t="s">
        <v>18170</v>
      </c>
      <c r="M2725" s="2" t="s">
        <v>18171</v>
      </c>
      <c r="N2725" s="2" t="s">
        <v>18172</v>
      </c>
      <c r="O2725" s="2">
        <v>1256</v>
      </c>
      <c r="P2725" s="2" t="s">
        <v>18173</v>
      </c>
      <c r="Q2725" s="2" t="s">
        <v>18174</v>
      </c>
      <c r="R2725" s="2" t="s">
        <v>18175</v>
      </c>
      <c r="S2725" s="2" t="s">
        <v>50</v>
      </c>
      <c r="T2725" s="2" t="s">
        <v>201</v>
      </c>
      <c r="U2725" s="2" t="s">
        <v>265</v>
      </c>
      <c r="V2725" s="2" t="s">
        <v>59</v>
      </c>
      <c r="W2725" s="2">
        <v>38.4</v>
      </c>
      <c r="X2725" s="2">
        <v>0</v>
      </c>
      <c r="Y2725" s="2" t="s">
        <v>408</v>
      </c>
      <c r="Z2725" s="2" t="s">
        <v>18176</v>
      </c>
      <c r="AA2725" s="2">
        <v>-4.0409188278753696</v>
      </c>
      <c r="AB2725" s="2">
        <v>0.29585883492927401</v>
      </c>
      <c r="AC2725" s="2">
        <v>7868.9096785658303</v>
      </c>
      <c r="AD2725" s="2">
        <v>13705.5747698545</v>
      </c>
      <c r="AE2725" s="2">
        <v>7413.3996044936102</v>
      </c>
      <c r="AF2725" s="2">
        <v>7811.3751404244103</v>
      </c>
      <c r="AG2725" s="2">
        <v>7109.3494638427201</v>
      </c>
      <c r="AH2725" s="2">
        <v>8525.5631353970603</v>
      </c>
      <c r="AI2725" s="2">
        <v>8042.3740709919302</v>
      </c>
      <c r="AJ2725" s="2">
        <v>8311.3966562452297</v>
      </c>
      <c r="AK2725" s="2">
        <v>14232.2195903832</v>
      </c>
      <c r="AL2725" s="2">
        <v>12821.2086307681</v>
      </c>
      <c r="AM2725" s="2">
        <v>14511.532089925</v>
      </c>
      <c r="AN2725" s="2">
        <v>13111.669252967</v>
      </c>
      <c r="AO2725" s="2">
        <v>14065.5661873886</v>
      </c>
      <c r="AP2725" s="2">
        <v>13491.252867695001</v>
      </c>
    </row>
    <row r="2726" spans="1:42" ht="14.5" x14ac:dyDescent="0.35">
      <c r="A2726" s="2" t="s">
        <v>18177</v>
      </c>
      <c r="B2726" s="2">
        <v>449.01354957010301</v>
      </c>
      <c r="C2726" s="2">
        <v>1.8492</v>
      </c>
      <c r="D2726" s="2" t="s">
        <v>34</v>
      </c>
      <c r="E2726" s="2" t="s">
        <v>18178</v>
      </c>
      <c r="F2726" s="2">
        <v>33117</v>
      </c>
      <c r="G2726" s="3" t="str">
        <f>HYPERLINK("http://funmeta.oebiotech.com/network/33117", "http://funmeta.oebiotech.com/network/33117")</f>
        <v>http://funmeta.oebiotech.com/network/33117</v>
      </c>
      <c r="H2726" s="2"/>
      <c r="I2726" s="2">
        <v>51444</v>
      </c>
      <c r="J2726" s="2" t="s">
        <v>18179</v>
      </c>
      <c r="K2726" s="2"/>
      <c r="L2726" s="2"/>
      <c r="M2726" s="2"/>
      <c r="N2726" s="2"/>
      <c r="O2726" s="2">
        <v>44259878</v>
      </c>
      <c r="P2726" s="2"/>
      <c r="Q2726" s="2" t="s">
        <v>18180</v>
      </c>
      <c r="R2726" s="2" t="s">
        <v>18181</v>
      </c>
      <c r="S2726" s="2" t="s">
        <v>115</v>
      </c>
      <c r="T2726" s="2" t="s">
        <v>139</v>
      </c>
      <c r="U2726" s="2" t="s">
        <v>1552</v>
      </c>
      <c r="V2726" s="2" t="s">
        <v>42</v>
      </c>
      <c r="W2726" s="2">
        <v>48.6</v>
      </c>
      <c r="X2726" s="2">
        <v>56.8</v>
      </c>
      <c r="Y2726" s="2" t="s">
        <v>323</v>
      </c>
      <c r="Z2726" s="2" t="s">
        <v>3547</v>
      </c>
      <c r="AA2726" s="2">
        <v>-3.1767428422312598</v>
      </c>
      <c r="AB2726" s="2">
        <v>0.29583414763476501</v>
      </c>
      <c r="AC2726" s="2">
        <v>74980.178310073097</v>
      </c>
      <c r="AD2726" s="2">
        <v>83214.141030391096</v>
      </c>
      <c r="AE2726" s="2">
        <v>75761.415079828905</v>
      </c>
      <c r="AF2726" s="2">
        <v>82441.373494109896</v>
      </c>
      <c r="AG2726" s="2">
        <v>76464.147369255996</v>
      </c>
      <c r="AH2726" s="2">
        <v>67536.295567530993</v>
      </c>
      <c r="AI2726" s="2">
        <v>73833.884138168898</v>
      </c>
      <c r="AJ2726" s="2">
        <v>73843.954211543998</v>
      </c>
      <c r="AK2726" s="2">
        <v>84389.322994995397</v>
      </c>
      <c r="AL2726" s="2">
        <v>90723.166524252796</v>
      </c>
      <c r="AM2726" s="2">
        <v>82840.015573401703</v>
      </c>
      <c r="AN2726" s="2">
        <v>80651.255868066</v>
      </c>
      <c r="AO2726" s="2">
        <v>82292.104390155495</v>
      </c>
      <c r="AP2726" s="2">
        <v>78388.980831474895</v>
      </c>
    </row>
    <row r="2727" spans="1:42" ht="14.5" x14ac:dyDescent="0.35">
      <c r="A2727" s="2" t="s">
        <v>18182</v>
      </c>
      <c r="B2727" s="2">
        <v>571.36205295652098</v>
      </c>
      <c r="C2727" s="2">
        <v>11.442033333333301</v>
      </c>
      <c r="D2727" s="2" t="s">
        <v>34</v>
      </c>
      <c r="E2727" s="2" t="s">
        <v>18183</v>
      </c>
      <c r="F2727" s="2">
        <v>36357</v>
      </c>
      <c r="G2727" s="3" t="str">
        <f>HYPERLINK("http://funmeta.oebiotech.com/network/36357", "http://funmeta.oebiotech.com/network/36357")</f>
        <v>http://funmeta.oebiotech.com/network/36357</v>
      </c>
      <c r="H2727" s="2"/>
      <c r="I2727" s="2"/>
      <c r="J2727" s="2" t="s">
        <v>18184</v>
      </c>
      <c r="K2727" s="2"/>
      <c r="L2727" s="2"/>
      <c r="M2727" s="2"/>
      <c r="N2727" s="2"/>
      <c r="O2727" s="2"/>
      <c r="P2727" s="2"/>
      <c r="Q2727" s="2" t="s">
        <v>18185</v>
      </c>
      <c r="R2727" s="2" t="s">
        <v>18186</v>
      </c>
      <c r="S2727" s="2" t="s">
        <v>50</v>
      </c>
      <c r="T2727" s="2" t="s">
        <v>201</v>
      </c>
      <c r="U2727" s="2" t="s">
        <v>210</v>
      </c>
      <c r="V2727" s="2" t="s">
        <v>59</v>
      </c>
      <c r="W2727" s="2">
        <v>37.700000000000003</v>
      </c>
      <c r="X2727" s="2">
        <v>0</v>
      </c>
      <c r="Y2727" s="2" t="s">
        <v>323</v>
      </c>
      <c r="Z2727" s="2" t="s">
        <v>18187</v>
      </c>
      <c r="AA2727" s="2">
        <v>2.78692912899912</v>
      </c>
      <c r="AB2727" s="2">
        <v>0.29583294531879001</v>
      </c>
      <c r="AC2727" s="2">
        <v>2367.1632176553799</v>
      </c>
      <c r="AD2727" s="2">
        <v>8575.5538731708402</v>
      </c>
      <c r="AE2727" s="2">
        <v>1984.23018340562</v>
      </c>
      <c r="AF2727" s="2">
        <v>2259.21883818787</v>
      </c>
      <c r="AG2727" s="2">
        <v>1959.0895006440801</v>
      </c>
      <c r="AH2727" s="2">
        <v>2634.4706212742099</v>
      </c>
      <c r="AI2727" s="2">
        <v>2081.7930113007201</v>
      </c>
      <c r="AJ2727" s="2">
        <v>3284.1771511198099</v>
      </c>
      <c r="AK2727" s="2">
        <v>6041.2211784692599</v>
      </c>
      <c r="AL2727" s="2">
        <v>6853.5204230858799</v>
      </c>
      <c r="AM2727" s="2">
        <v>11179.384897759101</v>
      </c>
      <c r="AN2727" s="2">
        <v>8078.0275038166701</v>
      </c>
      <c r="AO2727" s="2">
        <v>9386.8316766285097</v>
      </c>
      <c r="AP2727" s="2">
        <v>9914.3375592656303</v>
      </c>
    </row>
    <row r="2728" spans="1:42" ht="14.5" x14ac:dyDescent="0.35">
      <c r="A2728" s="2" t="s">
        <v>18188</v>
      </c>
      <c r="B2728" s="2">
        <v>419.155362171337</v>
      </c>
      <c r="C2728" s="2">
        <v>4.09636666666667</v>
      </c>
      <c r="D2728" s="2" t="s">
        <v>70</v>
      </c>
      <c r="E2728" s="2" t="s">
        <v>18189</v>
      </c>
      <c r="F2728" s="2">
        <v>205681</v>
      </c>
      <c r="G2728" s="3" t="str">
        <f>HYPERLINK("http://funmeta.oebiotech.com/network/205681", "http://funmeta.oebiotech.com/network/205681")</f>
        <v>http://funmeta.oebiotech.com/network/205681</v>
      </c>
      <c r="H2728" s="2" t="s">
        <v>18190</v>
      </c>
      <c r="I2728" s="2"/>
      <c r="J2728" s="2"/>
      <c r="K2728" s="2"/>
      <c r="L2728" s="2"/>
      <c r="M2728" s="2"/>
      <c r="N2728" s="2"/>
      <c r="O2728" s="2">
        <v>5253702</v>
      </c>
      <c r="P2728" s="2"/>
      <c r="Q2728" s="2" t="s">
        <v>18191</v>
      </c>
      <c r="R2728" s="2" t="s">
        <v>18192</v>
      </c>
      <c r="S2728" s="2" t="s">
        <v>50</v>
      </c>
      <c r="T2728" s="2" t="s">
        <v>201</v>
      </c>
      <c r="U2728" s="2" t="s">
        <v>202</v>
      </c>
      <c r="V2728" s="2" t="s">
        <v>42</v>
      </c>
      <c r="W2728" s="2">
        <v>52.8</v>
      </c>
      <c r="X2728" s="2">
        <v>71.099999999999994</v>
      </c>
      <c r="Y2728" s="2" t="s">
        <v>408</v>
      </c>
      <c r="Z2728" s="2" t="s">
        <v>18193</v>
      </c>
      <c r="AA2728" s="2">
        <v>-1.3980964373132301</v>
      </c>
      <c r="AB2728" s="2">
        <v>0.29581034756584701</v>
      </c>
      <c r="AC2728" s="2">
        <v>30140.582308554898</v>
      </c>
      <c r="AD2728" s="2">
        <v>23949.557247444602</v>
      </c>
      <c r="AE2728" s="2">
        <v>30927.9188439553</v>
      </c>
      <c r="AF2728" s="2">
        <v>28363.853618308902</v>
      </c>
      <c r="AG2728" s="2">
        <v>30147.632895772</v>
      </c>
      <c r="AH2728" s="2">
        <v>28172.653446503798</v>
      </c>
      <c r="AI2728" s="2">
        <v>30389.197802293998</v>
      </c>
      <c r="AJ2728" s="2">
        <v>32842.237244495198</v>
      </c>
      <c r="AK2728" s="2">
        <v>24933.063475919698</v>
      </c>
      <c r="AL2728" s="2">
        <v>22950.974223735699</v>
      </c>
      <c r="AM2728" s="2">
        <v>24430.491275654898</v>
      </c>
      <c r="AN2728" s="2">
        <v>24330.973688670001</v>
      </c>
      <c r="AO2728" s="2">
        <v>23006.578205218899</v>
      </c>
      <c r="AP2728" s="2">
        <v>24045.262615468499</v>
      </c>
    </row>
    <row r="2729" spans="1:42" ht="14.5" x14ac:dyDescent="0.35">
      <c r="A2729" s="2" t="s">
        <v>18194</v>
      </c>
      <c r="B2729" s="2">
        <v>361.27305368709898</v>
      </c>
      <c r="C2729" s="2">
        <v>11.61295</v>
      </c>
      <c r="D2729" s="2" t="s">
        <v>34</v>
      </c>
      <c r="E2729" s="2" t="s">
        <v>18195</v>
      </c>
      <c r="F2729" s="2">
        <v>10448</v>
      </c>
      <c r="G2729" s="3" t="str">
        <f>HYPERLINK("http://funmeta.oebiotech.com/network/10448", "http://funmeta.oebiotech.com/network/10448")</f>
        <v>http://funmeta.oebiotech.com/network/10448</v>
      </c>
      <c r="H2729" s="2" t="s">
        <v>18196</v>
      </c>
      <c r="I2729" s="2">
        <v>62360</v>
      </c>
      <c r="J2729" s="2" t="s">
        <v>18197</v>
      </c>
      <c r="K2729" s="2">
        <v>34071</v>
      </c>
      <c r="L2729" s="2" t="s">
        <v>18198</v>
      </c>
      <c r="M2729" s="2"/>
      <c r="N2729" s="2"/>
      <c r="O2729" s="2">
        <v>16019980</v>
      </c>
      <c r="P2729" s="2" t="s">
        <v>18199</v>
      </c>
      <c r="Q2729" s="2" t="s">
        <v>18200</v>
      </c>
      <c r="R2729" s="2" t="s">
        <v>18201</v>
      </c>
      <c r="S2729" s="2" t="s">
        <v>50</v>
      </c>
      <c r="T2729" s="2" t="s">
        <v>448</v>
      </c>
      <c r="U2729" s="2" t="s">
        <v>7051</v>
      </c>
      <c r="V2729" s="2" t="s">
        <v>42</v>
      </c>
      <c r="W2729" s="2">
        <v>52.4</v>
      </c>
      <c r="X2729" s="2">
        <v>70.8</v>
      </c>
      <c r="Y2729" s="2" t="s">
        <v>266</v>
      </c>
      <c r="Z2729" s="2" t="s">
        <v>18202</v>
      </c>
      <c r="AA2729" s="2">
        <v>-1.76526668050095</v>
      </c>
      <c r="AB2729" s="2">
        <v>0.29557676663803001</v>
      </c>
      <c r="AC2729" s="2">
        <v>7660.1310986304798</v>
      </c>
      <c r="AD2729" s="2">
        <v>1847.43467719451</v>
      </c>
      <c r="AE2729" s="2">
        <v>7729.7457089100199</v>
      </c>
      <c r="AF2729" s="2">
        <v>8709.6867409290498</v>
      </c>
      <c r="AG2729" s="2">
        <v>7586.75598408518</v>
      </c>
      <c r="AH2729" s="2">
        <v>6898.9329892350097</v>
      </c>
      <c r="AI2729" s="2">
        <v>7683.9174906326198</v>
      </c>
      <c r="AJ2729" s="2">
        <v>7351.7476779909703</v>
      </c>
      <c r="AK2729" s="2">
        <v>1729.6869521410099</v>
      </c>
      <c r="AL2729" s="2">
        <v>2316.3393443026498</v>
      </c>
      <c r="AM2729" s="2">
        <v>1064.3121894969199</v>
      </c>
      <c r="AN2729" s="2">
        <v>1695.8923081584901</v>
      </c>
      <c r="AO2729" s="2">
        <v>2514.2062556384799</v>
      </c>
      <c r="AP2729" s="2">
        <v>1764.1710134295399</v>
      </c>
    </row>
    <row r="2730" spans="1:42" ht="14.5" x14ac:dyDescent="0.35">
      <c r="A2730" s="2" t="s">
        <v>18203</v>
      </c>
      <c r="B2730" s="2">
        <v>477.24916368530802</v>
      </c>
      <c r="C2730" s="2">
        <v>8.2048000000000005</v>
      </c>
      <c r="D2730" s="2" t="s">
        <v>70</v>
      </c>
      <c r="E2730" s="2" t="s">
        <v>18204</v>
      </c>
      <c r="F2730" s="2">
        <v>63489</v>
      </c>
      <c r="G2730" s="3" t="str">
        <f>HYPERLINK("http://funmeta.oebiotech.com/network/63489", "http://funmeta.oebiotech.com/network/63489")</f>
        <v>http://funmeta.oebiotech.com/network/63489</v>
      </c>
      <c r="H2730" s="2" t="s">
        <v>18205</v>
      </c>
      <c r="I2730" s="2">
        <v>94816</v>
      </c>
      <c r="J2730" s="2"/>
      <c r="K2730" s="2"/>
      <c r="L2730" s="2"/>
      <c r="M2730" s="2"/>
      <c r="N2730" s="2"/>
      <c r="O2730" s="2">
        <v>9867477</v>
      </c>
      <c r="P2730" s="2"/>
      <c r="Q2730" s="2" t="s">
        <v>18206</v>
      </c>
      <c r="R2730" s="2" t="s">
        <v>18207</v>
      </c>
      <c r="S2730" s="2" t="s">
        <v>50</v>
      </c>
      <c r="T2730" s="2" t="s">
        <v>201</v>
      </c>
      <c r="U2730" s="2" t="s">
        <v>241</v>
      </c>
      <c r="V2730" s="2" t="s">
        <v>59</v>
      </c>
      <c r="W2730" s="2">
        <v>48.1</v>
      </c>
      <c r="X2730" s="2">
        <v>44.9</v>
      </c>
      <c r="Y2730" s="2" t="s">
        <v>408</v>
      </c>
      <c r="Z2730" s="2" t="s">
        <v>18208</v>
      </c>
      <c r="AA2730" s="2">
        <v>-0.52760195440148305</v>
      </c>
      <c r="AB2730" s="2">
        <v>0.29530230906712801</v>
      </c>
      <c r="AC2730" s="2">
        <v>7942.3869476160899</v>
      </c>
      <c r="AD2730" s="2">
        <v>2091.8519000491501</v>
      </c>
      <c r="AE2730" s="2">
        <v>7830.7554942732704</v>
      </c>
      <c r="AF2730" s="2">
        <v>7254.5999255239503</v>
      </c>
      <c r="AG2730" s="2">
        <v>9699.7347525017994</v>
      </c>
      <c r="AH2730" s="2">
        <v>7510.9341738866597</v>
      </c>
      <c r="AI2730" s="2">
        <v>6991.7399855186004</v>
      </c>
      <c r="AJ2730" s="2">
        <v>8366.5573539922607</v>
      </c>
      <c r="AK2730" s="2">
        <v>2243.9065094821899</v>
      </c>
      <c r="AL2730" s="2">
        <v>1679.4545889584999</v>
      </c>
      <c r="AM2730" s="2">
        <v>2015.6150425535</v>
      </c>
      <c r="AN2730" s="2">
        <v>1909.3032868661601</v>
      </c>
      <c r="AO2730" s="2">
        <v>2393.6483009702201</v>
      </c>
      <c r="AP2730" s="2">
        <v>2309.18367146435</v>
      </c>
    </row>
    <row r="2731" spans="1:42" ht="14.5" x14ac:dyDescent="0.35">
      <c r="A2731" s="2" t="s">
        <v>18209</v>
      </c>
      <c r="B2731" s="2">
        <v>584.42131172915799</v>
      </c>
      <c r="C2731" s="2">
        <v>12.953900000000001</v>
      </c>
      <c r="D2731" s="2" t="s">
        <v>34</v>
      </c>
      <c r="E2731" s="2" t="s">
        <v>18210</v>
      </c>
      <c r="F2731" s="2">
        <v>205030</v>
      </c>
      <c r="G2731" s="3" t="str">
        <f>HYPERLINK("http://funmeta.oebiotech.com/network/205030", "http://funmeta.oebiotech.com/network/205030")</f>
        <v>http://funmeta.oebiotech.com/network/205030</v>
      </c>
      <c r="H2731" s="2" t="s">
        <v>18211</v>
      </c>
      <c r="I2731" s="2"/>
      <c r="J2731" s="2"/>
      <c r="K2731" s="2"/>
      <c r="L2731" s="2"/>
      <c r="M2731" s="2"/>
      <c r="N2731" s="2"/>
      <c r="O2731" s="2">
        <v>4403211</v>
      </c>
      <c r="P2731" s="2"/>
      <c r="Q2731" s="2" t="s">
        <v>18212</v>
      </c>
      <c r="R2731" s="2" t="s">
        <v>18213</v>
      </c>
      <c r="S2731" s="2" t="s">
        <v>41</v>
      </c>
      <c r="T2731" s="2" t="s">
        <v>41</v>
      </c>
      <c r="U2731" s="2" t="s">
        <v>41</v>
      </c>
      <c r="V2731" s="2" t="s">
        <v>59</v>
      </c>
      <c r="W2731" s="2">
        <v>39.299999999999997</v>
      </c>
      <c r="X2731" s="2">
        <v>0</v>
      </c>
      <c r="Y2731" s="2" t="s">
        <v>394</v>
      </c>
      <c r="Z2731" s="2" t="s">
        <v>18214</v>
      </c>
      <c r="AA2731" s="2">
        <v>0.44110018901387799</v>
      </c>
      <c r="AB2731" s="2">
        <v>0.295277955691024</v>
      </c>
      <c r="AC2731" s="2">
        <v>12828.301104333101</v>
      </c>
      <c r="AD2731" s="2">
        <v>6293.6327534348102</v>
      </c>
      <c r="AE2731" s="2">
        <v>10715.9846072647</v>
      </c>
      <c r="AF2731" s="2">
        <v>12435.503352227501</v>
      </c>
      <c r="AG2731" s="2">
        <v>12052.791534665999</v>
      </c>
      <c r="AH2731" s="2">
        <v>14203.5264274705</v>
      </c>
      <c r="AI2731" s="2">
        <v>12619.451011324199</v>
      </c>
      <c r="AJ2731" s="2">
        <v>14942.549693045999</v>
      </c>
      <c r="AK2731" s="2">
        <v>2738.5804544030698</v>
      </c>
      <c r="AL2731" s="2">
        <v>5830.7570567475304</v>
      </c>
      <c r="AM2731" s="2">
        <v>5368.8675881015697</v>
      </c>
      <c r="AN2731" s="2">
        <v>7767.2505743683696</v>
      </c>
      <c r="AO2731" s="2">
        <v>9493.4855537803705</v>
      </c>
      <c r="AP2731" s="2">
        <v>6562.8552932079601</v>
      </c>
    </row>
    <row r="2732" spans="1:42" ht="14.5" x14ac:dyDescent="0.35">
      <c r="A2732" s="2" t="s">
        <v>18215</v>
      </c>
      <c r="B2732" s="2">
        <v>971.32995966993997</v>
      </c>
      <c r="C2732" s="2">
        <v>10.28895</v>
      </c>
      <c r="D2732" s="2" t="s">
        <v>70</v>
      </c>
      <c r="E2732" s="2" t="s">
        <v>18216</v>
      </c>
      <c r="F2732" s="2">
        <v>33554</v>
      </c>
      <c r="G2732" s="3" t="str">
        <f>HYPERLINK("http://funmeta.oebiotech.com/network/33554", "http://funmeta.oebiotech.com/network/33554")</f>
        <v>http://funmeta.oebiotech.com/network/33554</v>
      </c>
      <c r="H2732" s="2"/>
      <c r="I2732" s="2">
        <v>51869</v>
      </c>
      <c r="J2732" s="2" t="s">
        <v>18217</v>
      </c>
      <c r="K2732" s="2"/>
      <c r="L2732" s="2"/>
      <c r="M2732" s="2"/>
      <c r="N2732" s="2"/>
      <c r="O2732" s="2">
        <v>42607532</v>
      </c>
      <c r="P2732" s="2"/>
      <c r="Q2732" s="2" t="s">
        <v>18218</v>
      </c>
      <c r="R2732" s="2" t="s">
        <v>18219</v>
      </c>
      <c r="S2732" s="2" t="s">
        <v>115</v>
      </c>
      <c r="T2732" s="2" t="s">
        <v>12600</v>
      </c>
      <c r="U2732" s="2" t="s">
        <v>12601</v>
      </c>
      <c r="V2732" s="2" t="s">
        <v>59</v>
      </c>
      <c r="W2732" s="2">
        <v>39</v>
      </c>
      <c r="X2732" s="2">
        <v>0</v>
      </c>
      <c r="Y2732" s="2" t="s">
        <v>560</v>
      </c>
      <c r="Z2732" s="2" t="s">
        <v>18220</v>
      </c>
      <c r="AA2732" s="2">
        <v>1.57328425714598</v>
      </c>
      <c r="AB2732" s="2">
        <v>0.29523471451331501</v>
      </c>
      <c r="AC2732" s="2">
        <v>6965.5309531509602</v>
      </c>
      <c r="AD2732" s="2">
        <v>1199.3989935273601</v>
      </c>
      <c r="AE2732" s="2">
        <v>6447.0690316112295</v>
      </c>
      <c r="AF2732" s="2">
        <v>7486.1426472541898</v>
      </c>
      <c r="AG2732" s="2">
        <v>7458.5542261807996</v>
      </c>
      <c r="AH2732" s="2">
        <v>6687.1531802834897</v>
      </c>
      <c r="AI2732" s="2">
        <v>6686.2283185783499</v>
      </c>
      <c r="AJ2732" s="2">
        <v>7028.0383149976797</v>
      </c>
      <c r="AK2732" s="2">
        <v>1667.56976356626</v>
      </c>
      <c r="AL2732" s="2">
        <v>690.52928776396698</v>
      </c>
      <c r="AM2732" s="2">
        <v>989.06744451153202</v>
      </c>
      <c r="AN2732" s="2">
        <v>835.37304851284398</v>
      </c>
      <c r="AO2732" s="2">
        <v>1284.8929444734699</v>
      </c>
      <c r="AP2732" s="2">
        <v>1728.9614723360601</v>
      </c>
    </row>
    <row r="2733" spans="1:42" ht="14.5" x14ac:dyDescent="0.35">
      <c r="A2733" s="2" t="s">
        <v>18221</v>
      </c>
      <c r="B2733" s="2">
        <v>836.31329486841503</v>
      </c>
      <c r="C2733" s="2">
        <v>8.1823666666666703</v>
      </c>
      <c r="D2733" s="2" t="s">
        <v>70</v>
      </c>
      <c r="E2733" s="2" t="s">
        <v>18222</v>
      </c>
      <c r="F2733" s="2">
        <v>203657</v>
      </c>
      <c r="G2733" s="3" t="str">
        <f>HYPERLINK("http://funmeta.oebiotech.com/network/203657", "http://funmeta.oebiotech.com/network/203657")</f>
        <v>http://funmeta.oebiotech.com/network/203657</v>
      </c>
      <c r="H2733" s="2" t="s">
        <v>18223</v>
      </c>
      <c r="I2733" s="2"/>
      <c r="J2733" s="2"/>
      <c r="K2733" s="2"/>
      <c r="L2733" s="2"/>
      <c r="M2733" s="2"/>
      <c r="N2733" s="2"/>
      <c r="O2733" s="2">
        <v>78169840</v>
      </c>
      <c r="P2733" s="2"/>
      <c r="Q2733" s="2" t="s">
        <v>18224</v>
      </c>
      <c r="R2733" s="2" t="s">
        <v>18225</v>
      </c>
      <c r="S2733" s="2" t="s">
        <v>41</v>
      </c>
      <c r="T2733" s="2" t="s">
        <v>41</v>
      </c>
      <c r="U2733" s="2" t="s">
        <v>41</v>
      </c>
      <c r="V2733" s="2" t="s">
        <v>59</v>
      </c>
      <c r="W2733" s="2">
        <v>37.9</v>
      </c>
      <c r="X2733" s="2">
        <v>2.81</v>
      </c>
      <c r="Y2733" s="2" t="s">
        <v>408</v>
      </c>
      <c r="Z2733" s="2" t="s">
        <v>18226</v>
      </c>
      <c r="AA2733" s="2">
        <v>-2.0027772202826899</v>
      </c>
      <c r="AB2733" s="2">
        <v>0.29490821249685301</v>
      </c>
      <c r="AC2733" s="2">
        <v>80994.203570957601</v>
      </c>
      <c r="AD2733" s="2">
        <v>72285.891901114199</v>
      </c>
      <c r="AE2733" s="2">
        <v>78824.315747143904</v>
      </c>
      <c r="AF2733" s="2">
        <v>83085.931946925397</v>
      </c>
      <c r="AG2733" s="2">
        <v>82873.702405783202</v>
      </c>
      <c r="AH2733" s="2">
        <v>71771.121967820305</v>
      </c>
      <c r="AI2733" s="2">
        <v>88755.194276594295</v>
      </c>
      <c r="AJ2733" s="2">
        <v>80654.955081478503</v>
      </c>
      <c r="AK2733" s="2">
        <v>73888.531560497097</v>
      </c>
      <c r="AL2733" s="2">
        <v>77435.664166365605</v>
      </c>
      <c r="AM2733" s="2">
        <v>67774.992249497707</v>
      </c>
      <c r="AN2733" s="2">
        <v>67851.155343094593</v>
      </c>
      <c r="AO2733" s="2">
        <v>67404.131323681097</v>
      </c>
      <c r="AP2733" s="2">
        <v>79360.876763549095</v>
      </c>
    </row>
    <row r="2734" spans="1:42" ht="14.5" x14ac:dyDescent="0.35">
      <c r="A2734" s="2" t="s">
        <v>18227</v>
      </c>
      <c r="B2734" s="2">
        <v>111.091578712931</v>
      </c>
      <c r="C2734" s="2">
        <v>12.8663666666667</v>
      </c>
      <c r="D2734" s="2" t="s">
        <v>34</v>
      </c>
      <c r="E2734" s="2" t="s">
        <v>18228</v>
      </c>
      <c r="F2734" s="2">
        <v>210405</v>
      </c>
      <c r="G2734" s="3" t="str">
        <f>HYPERLINK("http://funmeta.oebiotech.com/network/210405", "http://funmeta.oebiotech.com/network/210405")</f>
        <v>http://funmeta.oebiotech.com/network/210405</v>
      </c>
      <c r="H2734" s="2" t="s">
        <v>18229</v>
      </c>
      <c r="I2734" s="2">
        <v>345218</v>
      </c>
      <c r="J2734" s="2"/>
      <c r="K2734" s="2"/>
      <c r="L2734" s="2"/>
      <c r="M2734" s="2"/>
      <c r="N2734" s="2"/>
      <c r="O2734" s="2">
        <v>72887</v>
      </c>
      <c r="P2734" s="2"/>
      <c r="Q2734" s="2" t="s">
        <v>18230</v>
      </c>
      <c r="R2734" s="2" t="s">
        <v>18231</v>
      </c>
      <c r="S2734" s="2" t="s">
        <v>491</v>
      </c>
      <c r="T2734" s="2" t="s">
        <v>7584</v>
      </c>
      <c r="U2734" s="2" t="s">
        <v>18232</v>
      </c>
      <c r="V2734" s="2" t="s">
        <v>59</v>
      </c>
      <c r="W2734" s="2">
        <v>42.7</v>
      </c>
      <c r="X2734" s="2">
        <v>20.100000000000001</v>
      </c>
      <c r="Y2734" s="2" t="s">
        <v>266</v>
      </c>
      <c r="Z2734" s="2" t="s">
        <v>18233</v>
      </c>
      <c r="AA2734" s="2">
        <v>-0.74984267154434303</v>
      </c>
      <c r="AB2734" s="2">
        <v>0.29480652382587802</v>
      </c>
      <c r="AC2734" s="2">
        <v>12115.258582333199</v>
      </c>
      <c r="AD2734" s="2">
        <v>6369.8391940716001</v>
      </c>
      <c r="AE2734" s="2">
        <v>11288.682519485499</v>
      </c>
      <c r="AF2734" s="2">
        <v>12163.662470642599</v>
      </c>
      <c r="AG2734" s="2">
        <v>12448.8996675954</v>
      </c>
      <c r="AH2734" s="2">
        <v>12133.420380025</v>
      </c>
      <c r="AI2734" s="2">
        <v>11945.133302841399</v>
      </c>
      <c r="AJ2734" s="2">
        <v>12711.7531534093</v>
      </c>
      <c r="AK2734" s="2">
        <v>6529.5452519721803</v>
      </c>
      <c r="AL2734" s="2">
        <v>6546.6912536497202</v>
      </c>
      <c r="AM2734" s="2">
        <v>6409.0137000467903</v>
      </c>
      <c r="AN2734" s="2">
        <v>6583.6805188718199</v>
      </c>
      <c r="AO2734" s="2">
        <v>6258.2467781565001</v>
      </c>
      <c r="AP2734" s="2">
        <v>5891.8576617325798</v>
      </c>
    </row>
    <row r="2735" spans="1:42" ht="14.5" x14ac:dyDescent="0.35">
      <c r="A2735" s="2" t="s">
        <v>18234</v>
      </c>
      <c r="B2735" s="2">
        <v>270.14459220450402</v>
      </c>
      <c r="C2735" s="2">
        <v>0.76544999999999996</v>
      </c>
      <c r="D2735" s="2" t="s">
        <v>34</v>
      </c>
      <c r="E2735" s="2" t="s">
        <v>18235</v>
      </c>
      <c r="F2735" s="2">
        <v>52522</v>
      </c>
      <c r="G2735" s="3" t="str">
        <f>HYPERLINK("http://funmeta.oebiotech.com/network/52522", "http://funmeta.oebiotech.com/network/52522")</f>
        <v>http://funmeta.oebiotech.com/network/52522</v>
      </c>
      <c r="H2735" s="2" t="s">
        <v>18236</v>
      </c>
      <c r="I2735" s="2">
        <v>85315</v>
      </c>
      <c r="J2735" s="2"/>
      <c r="K2735" s="2"/>
      <c r="L2735" s="2"/>
      <c r="M2735" s="2"/>
      <c r="N2735" s="2"/>
      <c r="O2735" s="2">
        <v>160460</v>
      </c>
      <c r="P2735" s="2" t="s">
        <v>18237</v>
      </c>
      <c r="Q2735" s="2" t="s">
        <v>18238</v>
      </c>
      <c r="R2735" s="2" t="s">
        <v>18239</v>
      </c>
      <c r="S2735" s="2" t="s">
        <v>491</v>
      </c>
      <c r="T2735" s="2" t="s">
        <v>4517</v>
      </c>
      <c r="U2735" s="2" t="s">
        <v>4518</v>
      </c>
      <c r="V2735" s="2" t="s">
        <v>59</v>
      </c>
      <c r="W2735" s="2">
        <v>37.799999999999997</v>
      </c>
      <c r="X2735" s="2">
        <v>0</v>
      </c>
      <c r="Y2735" s="2" t="s">
        <v>43</v>
      </c>
      <c r="Z2735" s="2" t="s">
        <v>18240</v>
      </c>
      <c r="AA2735" s="2">
        <v>-0.95325649855660299</v>
      </c>
      <c r="AB2735" s="2">
        <v>0.29458197490358401</v>
      </c>
      <c r="AC2735" s="2">
        <v>6763.7591079607901</v>
      </c>
      <c r="AD2735" s="2">
        <v>693.73153938309395</v>
      </c>
      <c r="AE2735" s="2">
        <v>5815.65639527844</v>
      </c>
      <c r="AF2735" s="2">
        <v>8595.56133751981</v>
      </c>
      <c r="AG2735" s="2">
        <v>7888.0795566565803</v>
      </c>
      <c r="AH2735" s="2">
        <v>5673.2535403352504</v>
      </c>
      <c r="AI2735" s="2">
        <v>5187.8329727665296</v>
      </c>
      <c r="AJ2735" s="2">
        <v>7422.1708452081502</v>
      </c>
      <c r="AK2735" s="2">
        <v>2711.0567945488201</v>
      </c>
      <c r="AL2735" s="2">
        <v>2.7106294003980101E-5</v>
      </c>
      <c r="AM2735" s="2">
        <v>2.7106294003980101E-5</v>
      </c>
      <c r="AN2735" s="2">
        <v>1451.3323333245701</v>
      </c>
      <c r="AO2735" s="2">
        <v>2.7106294003980101E-5</v>
      </c>
      <c r="AP2735" s="2">
        <v>2.7106294003980101E-5</v>
      </c>
    </row>
    <row r="2736" spans="1:42" ht="14.5" x14ac:dyDescent="0.35">
      <c r="A2736" s="2" t="s">
        <v>18241</v>
      </c>
      <c r="B2736" s="2">
        <v>291.23160718930598</v>
      </c>
      <c r="C2736" s="2">
        <v>11.270016666666701</v>
      </c>
      <c r="D2736" s="2" t="s">
        <v>34</v>
      </c>
      <c r="E2736" s="2" t="s">
        <v>18242</v>
      </c>
      <c r="F2736" s="2">
        <v>44961</v>
      </c>
      <c r="G2736" s="3" t="str">
        <f>HYPERLINK("http://funmeta.oebiotech.com/network/44961", "http://funmeta.oebiotech.com/network/44961")</f>
        <v>http://funmeta.oebiotech.com/network/44961</v>
      </c>
      <c r="H2736" s="2" t="s">
        <v>18243</v>
      </c>
      <c r="I2736" s="2">
        <v>57835</v>
      </c>
      <c r="J2736" s="2" t="s">
        <v>18244</v>
      </c>
      <c r="K2736" s="2">
        <v>34386</v>
      </c>
      <c r="L2736" s="2" t="s">
        <v>18245</v>
      </c>
      <c r="M2736" s="2"/>
      <c r="N2736" s="2"/>
      <c r="O2736" s="2">
        <v>136297</v>
      </c>
      <c r="P2736" s="2" t="s">
        <v>18246</v>
      </c>
      <c r="Q2736" s="2" t="s">
        <v>18247</v>
      </c>
      <c r="R2736" s="2" t="s">
        <v>18248</v>
      </c>
      <c r="S2736" s="2" t="s">
        <v>50</v>
      </c>
      <c r="T2736" s="2" t="s">
        <v>124</v>
      </c>
      <c r="U2736" s="2" t="s">
        <v>2373</v>
      </c>
      <c r="V2736" s="2" t="s">
        <v>59</v>
      </c>
      <c r="W2736" s="2">
        <v>47.2</v>
      </c>
      <c r="X2736" s="2">
        <v>40.200000000000003</v>
      </c>
      <c r="Y2736" s="2" t="s">
        <v>394</v>
      </c>
      <c r="Z2736" s="2" t="s">
        <v>18249</v>
      </c>
      <c r="AA2736" s="2">
        <v>-0.85948582779361105</v>
      </c>
      <c r="AB2736" s="2">
        <v>0.29433772500131899</v>
      </c>
      <c r="AC2736" s="2">
        <v>8963.5937726186003</v>
      </c>
      <c r="AD2736" s="2">
        <v>3205.2185872729701</v>
      </c>
      <c r="AE2736" s="2">
        <v>9621.6052196615692</v>
      </c>
      <c r="AF2736" s="2">
        <v>8379.9115541595402</v>
      </c>
      <c r="AG2736" s="2">
        <v>8839.1290033428704</v>
      </c>
      <c r="AH2736" s="2">
        <v>9465.04486832164</v>
      </c>
      <c r="AI2736" s="2">
        <v>8007.5381107098301</v>
      </c>
      <c r="AJ2736" s="2">
        <v>9468.3338795161399</v>
      </c>
      <c r="AK2736" s="2">
        <v>3206.5571331791898</v>
      </c>
      <c r="AL2736" s="2">
        <v>3231.0968671097999</v>
      </c>
      <c r="AM2736" s="2">
        <v>3306.5764803055299</v>
      </c>
      <c r="AN2736" s="2">
        <v>3702.4962902909601</v>
      </c>
      <c r="AO2736" s="2">
        <v>3203.59092622459</v>
      </c>
      <c r="AP2736" s="2">
        <v>2580.9938265277601</v>
      </c>
    </row>
    <row r="2737" spans="1:42" ht="14.5" x14ac:dyDescent="0.35">
      <c r="A2737" s="2" t="s">
        <v>18250</v>
      </c>
      <c r="B2737" s="2">
        <v>544.32438679280494</v>
      </c>
      <c r="C2737" s="2">
        <v>4.7862166666666699</v>
      </c>
      <c r="D2737" s="2" t="s">
        <v>34</v>
      </c>
      <c r="E2737" s="2" t="s">
        <v>18251</v>
      </c>
      <c r="F2737" s="2">
        <v>198858</v>
      </c>
      <c r="G2737" s="3" t="str">
        <f>HYPERLINK("http://funmeta.oebiotech.com/network/198858", "http://funmeta.oebiotech.com/network/198858")</f>
        <v>http://funmeta.oebiotech.com/network/198858</v>
      </c>
      <c r="H2737" s="2" t="s">
        <v>18252</v>
      </c>
      <c r="I2737" s="2"/>
      <c r="J2737" s="2"/>
      <c r="K2737" s="2"/>
      <c r="L2737" s="2"/>
      <c r="M2737" s="2"/>
      <c r="N2737" s="2"/>
      <c r="O2737" s="2">
        <v>85110504</v>
      </c>
      <c r="P2737" s="2"/>
      <c r="Q2737" s="2" t="s">
        <v>18253</v>
      </c>
      <c r="R2737" s="2" t="s">
        <v>18254</v>
      </c>
      <c r="S2737" s="2" t="s">
        <v>50</v>
      </c>
      <c r="T2737" s="2" t="s">
        <v>124</v>
      </c>
      <c r="U2737" s="2" t="s">
        <v>125</v>
      </c>
      <c r="V2737" s="2" t="s">
        <v>59</v>
      </c>
      <c r="W2737" s="2">
        <v>38.700000000000003</v>
      </c>
      <c r="X2737" s="2">
        <v>0</v>
      </c>
      <c r="Y2737" s="2" t="s">
        <v>67</v>
      </c>
      <c r="Z2737" s="2" t="s">
        <v>18255</v>
      </c>
      <c r="AA2737" s="2">
        <v>-0.16637318271090401</v>
      </c>
      <c r="AB2737" s="2">
        <v>0.29424437221753902</v>
      </c>
      <c r="AC2737" s="2">
        <v>11072.422481978399</v>
      </c>
      <c r="AD2737" s="2">
        <v>18607.405962038902</v>
      </c>
      <c r="AE2737" s="2">
        <v>8936.7545686944704</v>
      </c>
      <c r="AF2737" s="2">
        <v>13318.2041025448</v>
      </c>
      <c r="AG2737" s="2">
        <v>13051.1466801878</v>
      </c>
      <c r="AH2737" s="2">
        <v>12708.7320102751</v>
      </c>
      <c r="AI2737" s="2">
        <v>6276.7329666415098</v>
      </c>
      <c r="AJ2737" s="2">
        <v>12142.964563526901</v>
      </c>
      <c r="AK2737" s="2">
        <v>16811.7052731945</v>
      </c>
      <c r="AL2737" s="2">
        <v>23989.4119703547</v>
      </c>
      <c r="AM2737" s="2">
        <v>12799.6473819153</v>
      </c>
      <c r="AN2737" s="2">
        <v>20399.863682592499</v>
      </c>
      <c r="AO2737" s="2">
        <v>21346.694062544801</v>
      </c>
      <c r="AP2737" s="2">
        <v>16297.113401631799</v>
      </c>
    </row>
    <row r="2738" spans="1:42" ht="14.5" x14ac:dyDescent="0.35">
      <c r="A2738" s="2" t="s">
        <v>18256</v>
      </c>
      <c r="B2738" s="2">
        <v>291.158286603411</v>
      </c>
      <c r="C2738" s="2">
        <v>6.4662166666666696</v>
      </c>
      <c r="D2738" s="2" t="s">
        <v>34</v>
      </c>
      <c r="E2738" s="2" t="s">
        <v>18257</v>
      </c>
      <c r="F2738" s="2">
        <v>255118</v>
      </c>
      <c r="G2738" s="3" t="str">
        <f>HYPERLINK("http://funmeta.oebiotech.com/network/255118", "http://funmeta.oebiotech.com/network/255118")</f>
        <v>http://funmeta.oebiotech.com/network/255118</v>
      </c>
      <c r="H2738" s="2" t="s">
        <v>18258</v>
      </c>
      <c r="I2738" s="2"/>
      <c r="J2738" s="2"/>
      <c r="K2738" s="2">
        <v>81311</v>
      </c>
      <c r="L2738" s="2" t="s">
        <v>18259</v>
      </c>
      <c r="M2738" s="2" t="s">
        <v>8986</v>
      </c>
      <c r="N2738" s="2" t="s">
        <v>8987</v>
      </c>
      <c r="O2738" s="2"/>
      <c r="P2738" s="2"/>
      <c r="Q2738" s="2" t="s">
        <v>18260</v>
      </c>
      <c r="R2738" s="2" t="s">
        <v>18261</v>
      </c>
      <c r="S2738" s="2" t="s">
        <v>115</v>
      </c>
      <c r="T2738" s="2" t="s">
        <v>116</v>
      </c>
      <c r="U2738" s="2" t="s">
        <v>117</v>
      </c>
      <c r="V2738" s="2" t="s">
        <v>59</v>
      </c>
      <c r="W2738" s="2">
        <v>46</v>
      </c>
      <c r="X2738" s="2">
        <v>39</v>
      </c>
      <c r="Y2738" s="2" t="s">
        <v>266</v>
      </c>
      <c r="Z2738" s="2" t="s">
        <v>1594</v>
      </c>
      <c r="AA2738" s="2">
        <v>-2.7537735216336698</v>
      </c>
      <c r="AB2738" s="2">
        <v>0.29416162271208302</v>
      </c>
      <c r="AC2738" s="2">
        <v>29324.567712080599</v>
      </c>
      <c r="AD2738" s="2">
        <v>36184.045052252302</v>
      </c>
      <c r="AE2738" s="2">
        <v>29905.048935137002</v>
      </c>
      <c r="AF2738" s="2">
        <v>28470.809919888201</v>
      </c>
      <c r="AG2738" s="2">
        <v>28689.519120784</v>
      </c>
      <c r="AH2738" s="2">
        <v>29177.230981609198</v>
      </c>
      <c r="AI2738" s="2">
        <v>26866.643152329001</v>
      </c>
      <c r="AJ2738" s="2">
        <v>32838.154162736399</v>
      </c>
      <c r="AK2738" s="2">
        <v>38601.441768054698</v>
      </c>
      <c r="AL2738" s="2">
        <v>36485.216467832703</v>
      </c>
      <c r="AM2738" s="2">
        <v>40263.313636298502</v>
      </c>
      <c r="AN2738" s="2">
        <v>35770.474870243503</v>
      </c>
      <c r="AO2738" s="2">
        <v>33468.946421648303</v>
      </c>
      <c r="AP2738" s="2">
        <v>32514.877149436299</v>
      </c>
    </row>
    <row r="2739" spans="1:42" ht="14.5" x14ac:dyDescent="0.35">
      <c r="A2739" s="2" t="s">
        <v>18262</v>
      </c>
      <c r="B2739" s="2">
        <v>391.07949396305497</v>
      </c>
      <c r="C2739" s="2">
        <v>3.8797333333333301</v>
      </c>
      <c r="D2739" s="2" t="s">
        <v>70</v>
      </c>
      <c r="E2739" s="2" t="s">
        <v>18263</v>
      </c>
      <c r="F2739" s="2">
        <v>201546</v>
      </c>
      <c r="G2739" s="3" t="str">
        <f>HYPERLINK("http://funmeta.oebiotech.com/network/201546", "http://funmeta.oebiotech.com/network/201546")</f>
        <v>http://funmeta.oebiotech.com/network/201546</v>
      </c>
      <c r="H2739" s="2" t="s">
        <v>18264</v>
      </c>
      <c r="I2739" s="2">
        <v>1538</v>
      </c>
      <c r="J2739" s="2"/>
      <c r="K2739" s="2"/>
      <c r="L2739" s="2"/>
      <c r="M2739" s="2"/>
      <c r="N2739" s="2"/>
      <c r="O2739" s="2">
        <v>13599653</v>
      </c>
      <c r="P2739" s="2" t="s">
        <v>18265</v>
      </c>
      <c r="Q2739" s="2" t="s">
        <v>18266</v>
      </c>
      <c r="R2739" s="2" t="s">
        <v>18267</v>
      </c>
      <c r="S2739" s="2" t="s">
        <v>491</v>
      </c>
      <c r="T2739" s="2" t="s">
        <v>2238</v>
      </c>
      <c r="U2739" s="2" t="s">
        <v>6482</v>
      </c>
      <c r="V2739" s="2" t="s">
        <v>59</v>
      </c>
      <c r="W2739" s="2">
        <v>38.1</v>
      </c>
      <c r="X2739" s="2">
        <v>0.29299999999999998</v>
      </c>
      <c r="Y2739" s="2" t="s">
        <v>408</v>
      </c>
      <c r="Z2739" s="2" t="s">
        <v>18268</v>
      </c>
      <c r="AA2739" s="2">
        <v>3.4393701109534902</v>
      </c>
      <c r="AB2739" s="2">
        <v>0.29411510147360898</v>
      </c>
      <c r="AC2739" s="2">
        <v>13062.3169340724</v>
      </c>
      <c r="AD2739" s="2">
        <v>7098.0940613042603</v>
      </c>
      <c r="AE2739" s="2">
        <v>12464.0083873571</v>
      </c>
      <c r="AF2739" s="2">
        <v>12167.7210524769</v>
      </c>
      <c r="AG2739" s="2">
        <v>15454.247267734199</v>
      </c>
      <c r="AH2739" s="2">
        <v>13138.9505102329</v>
      </c>
      <c r="AI2739" s="2">
        <v>11657.5227257406</v>
      </c>
      <c r="AJ2739" s="2">
        <v>13491.451660892801</v>
      </c>
      <c r="AK2739" s="2">
        <v>7544.2754609232697</v>
      </c>
      <c r="AL2739" s="2">
        <v>8173.1335261558897</v>
      </c>
      <c r="AM2739" s="2">
        <v>7697.5748915406502</v>
      </c>
      <c r="AN2739" s="2">
        <v>6381.7763345973899</v>
      </c>
      <c r="AO2739" s="2">
        <v>6359.0256465467301</v>
      </c>
      <c r="AP2739" s="2">
        <v>6432.7785080616204</v>
      </c>
    </row>
    <row r="2740" spans="1:42" ht="14.5" x14ac:dyDescent="0.35">
      <c r="A2740" s="2" t="s">
        <v>18269</v>
      </c>
      <c r="B2740" s="2">
        <v>180.101922311332</v>
      </c>
      <c r="C2740" s="2">
        <v>5.8999499999999996</v>
      </c>
      <c r="D2740" s="2" t="s">
        <v>34</v>
      </c>
      <c r="E2740" s="2" t="s">
        <v>18270</v>
      </c>
      <c r="F2740" s="2">
        <v>82446</v>
      </c>
      <c r="G2740" s="3" t="str">
        <f>HYPERLINK("http://funmeta.oebiotech.com/network/82446", "http://funmeta.oebiotech.com/network/82446")</f>
        <v>http://funmeta.oebiotech.com/network/82446</v>
      </c>
      <c r="H2740" s="2" t="s">
        <v>18271</v>
      </c>
      <c r="I2740" s="2"/>
      <c r="J2740" s="2"/>
      <c r="K2740" s="2">
        <v>73248</v>
      </c>
      <c r="L2740" s="2"/>
      <c r="M2740" s="2"/>
      <c r="N2740" s="2"/>
      <c r="O2740" s="2">
        <v>43260</v>
      </c>
      <c r="P2740" s="2"/>
      <c r="Q2740" s="2" t="s">
        <v>18272</v>
      </c>
      <c r="R2740" s="2" t="s">
        <v>18273</v>
      </c>
      <c r="S2740" s="2" t="s">
        <v>148</v>
      </c>
      <c r="T2740" s="2" t="s">
        <v>149</v>
      </c>
      <c r="U2740" s="2" t="s">
        <v>4297</v>
      </c>
      <c r="V2740" s="2" t="s">
        <v>59</v>
      </c>
      <c r="W2740" s="2">
        <v>43</v>
      </c>
      <c r="X2740" s="2">
        <v>17.899999999999999</v>
      </c>
      <c r="Y2740" s="2" t="s">
        <v>141</v>
      </c>
      <c r="Z2740" s="2" t="s">
        <v>18165</v>
      </c>
      <c r="AA2740" s="2">
        <v>8.7348293997295004E-2</v>
      </c>
      <c r="AB2740" s="2">
        <v>0.29400439625399799</v>
      </c>
      <c r="AC2740" s="2">
        <v>26132.619377967501</v>
      </c>
      <c r="AD2740" s="2">
        <v>20182.4943485722</v>
      </c>
      <c r="AE2740" s="2">
        <v>25600.2635915889</v>
      </c>
      <c r="AF2740" s="2">
        <v>26231.1353357035</v>
      </c>
      <c r="AG2740" s="2">
        <v>25103.156668786101</v>
      </c>
      <c r="AH2740" s="2">
        <v>27205.7013903152</v>
      </c>
      <c r="AI2740" s="2">
        <v>25816.693449626098</v>
      </c>
      <c r="AJ2740" s="2">
        <v>26838.765831784898</v>
      </c>
      <c r="AK2740" s="2">
        <v>19726.013611398401</v>
      </c>
      <c r="AL2740" s="2">
        <v>19307.1912641382</v>
      </c>
      <c r="AM2740" s="2">
        <v>22134.582608251101</v>
      </c>
      <c r="AN2740" s="2">
        <v>21052.260236826402</v>
      </c>
      <c r="AO2740" s="2">
        <v>18998.157084242899</v>
      </c>
      <c r="AP2740" s="2">
        <v>19876.7612865761</v>
      </c>
    </row>
    <row r="2741" spans="1:42" ht="14.5" x14ac:dyDescent="0.35">
      <c r="A2741" s="2" t="s">
        <v>18274</v>
      </c>
      <c r="B2741" s="2">
        <v>709.33993314070506</v>
      </c>
      <c r="C2741" s="2">
        <v>8.9527166666666709</v>
      </c>
      <c r="D2741" s="2" t="s">
        <v>34</v>
      </c>
      <c r="E2741" s="2" t="s">
        <v>18275</v>
      </c>
      <c r="F2741" s="2">
        <v>37302</v>
      </c>
      <c r="G2741" s="3" t="str">
        <f>HYPERLINK("http://funmeta.oebiotech.com/network/37302", "http://funmeta.oebiotech.com/network/37302")</f>
        <v>http://funmeta.oebiotech.com/network/37302</v>
      </c>
      <c r="H2741" s="2"/>
      <c r="I2741" s="2"/>
      <c r="J2741" s="2" t="s">
        <v>18276</v>
      </c>
      <c r="K2741" s="2"/>
      <c r="L2741" s="2"/>
      <c r="M2741" s="2"/>
      <c r="N2741" s="2"/>
      <c r="O2741" s="2"/>
      <c r="P2741" s="2"/>
      <c r="Q2741" s="2" t="s">
        <v>18277</v>
      </c>
      <c r="R2741" s="2" t="s">
        <v>18278</v>
      </c>
      <c r="S2741" s="2" t="s">
        <v>50</v>
      </c>
      <c r="T2741" s="2" t="s">
        <v>201</v>
      </c>
      <c r="U2741" s="2" t="s">
        <v>210</v>
      </c>
      <c r="V2741" s="2" t="s">
        <v>59</v>
      </c>
      <c r="W2741" s="2">
        <v>36.299999999999997</v>
      </c>
      <c r="X2741" s="2">
        <v>0</v>
      </c>
      <c r="Y2741" s="2" t="s">
        <v>394</v>
      </c>
      <c r="Z2741" s="2" t="s">
        <v>18279</v>
      </c>
      <c r="AA2741" s="2">
        <v>-0.77299069300978496</v>
      </c>
      <c r="AB2741" s="2">
        <v>0.29391301140446602</v>
      </c>
      <c r="AC2741" s="2">
        <v>30442.600669146101</v>
      </c>
      <c r="AD2741" s="2">
        <v>23651.828591835099</v>
      </c>
      <c r="AE2741" s="2">
        <v>30958.672547084399</v>
      </c>
      <c r="AF2741" s="2">
        <v>32246.3218949435</v>
      </c>
      <c r="AG2741" s="2">
        <v>29179.704007631401</v>
      </c>
      <c r="AH2741" s="2">
        <v>26467.6433924507</v>
      </c>
      <c r="AI2741" s="2">
        <v>29397.176927571101</v>
      </c>
      <c r="AJ2741" s="2">
        <v>34406.0852451955</v>
      </c>
      <c r="AK2741" s="2">
        <v>21362.246648107899</v>
      </c>
      <c r="AL2741" s="2">
        <v>22790.150088020699</v>
      </c>
      <c r="AM2741" s="2">
        <v>27324.807019790798</v>
      </c>
      <c r="AN2741" s="2">
        <v>24572.1981201372</v>
      </c>
      <c r="AO2741" s="2">
        <v>23596.658935597101</v>
      </c>
      <c r="AP2741" s="2">
        <v>22264.910739357001</v>
      </c>
    </row>
    <row r="2742" spans="1:42" ht="14.5" x14ac:dyDescent="0.35">
      <c r="A2742" s="2" t="s">
        <v>18280</v>
      </c>
      <c r="B2742" s="2">
        <v>357.08304282111902</v>
      </c>
      <c r="C2742" s="2">
        <v>3.6928666666666699</v>
      </c>
      <c r="D2742" s="2" t="s">
        <v>70</v>
      </c>
      <c r="E2742" s="2" t="s">
        <v>18281</v>
      </c>
      <c r="F2742" s="2">
        <v>47170</v>
      </c>
      <c r="G2742" s="3" t="str">
        <f>HYPERLINK("http://funmeta.oebiotech.com/network/47170", "http://funmeta.oebiotech.com/network/47170")</f>
        <v>http://funmeta.oebiotech.com/network/47170</v>
      </c>
      <c r="H2742" s="2" t="s">
        <v>18282</v>
      </c>
      <c r="I2742" s="2">
        <v>44874</v>
      </c>
      <c r="J2742" s="2"/>
      <c r="K2742" s="2">
        <v>16713</v>
      </c>
      <c r="L2742" s="2" t="s">
        <v>18283</v>
      </c>
      <c r="M2742" s="2"/>
      <c r="N2742" s="2"/>
      <c r="O2742" s="2">
        <v>10729</v>
      </c>
      <c r="P2742" s="2" t="s">
        <v>18284</v>
      </c>
      <c r="Q2742" s="2" t="s">
        <v>18285</v>
      </c>
      <c r="R2742" s="2" t="s">
        <v>18286</v>
      </c>
      <c r="S2742" s="2" t="s">
        <v>491</v>
      </c>
      <c r="T2742" s="2" t="s">
        <v>4914</v>
      </c>
      <c r="U2742" s="2" t="s">
        <v>4915</v>
      </c>
      <c r="V2742" s="2" t="s">
        <v>59</v>
      </c>
      <c r="W2742" s="2">
        <v>37.200000000000003</v>
      </c>
      <c r="X2742" s="2">
        <v>0</v>
      </c>
      <c r="Y2742" s="2" t="s">
        <v>560</v>
      </c>
      <c r="Z2742" s="2" t="s">
        <v>18287</v>
      </c>
      <c r="AA2742" s="2">
        <v>4.6647839424928597</v>
      </c>
      <c r="AB2742" s="2">
        <v>0.29379171349956801</v>
      </c>
      <c r="AC2742" s="2">
        <v>10208.250630202399</v>
      </c>
      <c r="AD2742" s="2">
        <v>4428.6266972484</v>
      </c>
      <c r="AE2742" s="2">
        <v>10781.6434259988</v>
      </c>
      <c r="AF2742" s="2">
        <v>10189.9261295002</v>
      </c>
      <c r="AG2742" s="2">
        <v>8871.6478103675108</v>
      </c>
      <c r="AH2742" s="2">
        <v>10387.101617247001</v>
      </c>
      <c r="AI2742" s="2">
        <v>11093.2943874754</v>
      </c>
      <c r="AJ2742" s="2">
        <v>9925.8904106257596</v>
      </c>
      <c r="AK2742" s="2">
        <v>4344.4165823424601</v>
      </c>
      <c r="AL2742" s="2">
        <v>4686.4122140864602</v>
      </c>
      <c r="AM2742" s="2">
        <v>4226.7101804906797</v>
      </c>
      <c r="AN2742" s="2">
        <v>4018.1007623137998</v>
      </c>
      <c r="AO2742" s="2">
        <v>4209.5037332055099</v>
      </c>
      <c r="AP2742" s="2">
        <v>5086.6167110514998</v>
      </c>
    </row>
    <row r="2743" spans="1:42" ht="14.5" x14ac:dyDescent="0.35">
      <c r="A2743" s="2" t="s">
        <v>18288</v>
      </c>
      <c r="B2743" s="2">
        <v>262.97822040698799</v>
      </c>
      <c r="C2743" s="2">
        <v>1.14778333333333</v>
      </c>
      <c r="D2743" s="2" t="s">
        <v>70</v>
      </c>
      <c r="E2743" s="2" t="s">
        <v>18289</v>
      </c>
      <c r="F2743" s="2">
        <v>200759</v>
      </c>
      <c r="G2743" s="3" t="str">
        <f>HYPERLINK("http://funmeta.oebiotech.com/network/200759", "http://funmeta.oebiotech.com/network/200759")</f>
        <v>http://funmeta.oebiotech.com/network/200759</v>
      </c>
      <c r="H2743" s="2" t="s">
        <v>18290</v>
      </c>
      <c r="I2743" s="2"/>
      <c r="J2743" s="2"/>
      <c r="K2743" s="2"/>
      <c r="L2743" s="2"/>
      <c r="M2743" s="2"/>
      <c r="N2743" s="2"/>
      <c r="O2743" s="2"/>
      <c r="P2743" s="2"/>
      <c r="Q2743" s="2" t="s">
        <v>18291</v>
      </c>
      <c r="R2743" s="2" t="s">
        <v>18292</v>
      </c>
      <c r="S2743" s="2" t="s">
        <v>41</v>
      </c>
      <c r="T2743" s="2" t="s">
        <v>41</v>
      </c>
      <c r="U2743" s="2" t="s">
        <v>41</v>
      </c>
      <c r="V2743" s="2" t="s">
        <v>59</v>
      </c>
      <c r="W2743" s="2">
        <v>43.6</v>
      </c>
      <c r="X2743" s="2">
        <v>24.5</v>
      </c>
      <c r="Y2743" s="2" t="s">
        <v>408</v>
      </c>
      <c r="Z2743" s="2" t="s">
        <v>18293</v>
      </c>
      <c r="AA2743" s="2">
        <v>1.2007213079825501</v>
      </c>
      <c r="AB2743" s="2">
        <v>0.29375339015213597</v>
      </c>
      <c r="AC2743" s="2">
        <v>230172.54312759099</v>
      </c>
      <c r="AD2743" s="2">
        <v>243038.18049870801</v>
      </c>
      <c r="AE2743" s="2">
        <v>234817.153450593</v>
      </c>
      <c r="AF2743" s="2">
        <v>228391.060666707</v>
      </c>
      <c r="AG2743" s="2">
        <v>235209.660330032</v>
      </c>
      <c r="AH2743" s="2">
        <v>231830.973522482</v>
      </c>
      <c r="AI2743" s="2">
        <v>212807.10587130699</v>
      </c>
      <c r="AJ2743" s="2">
        <v>237979.30492442401</v>
      </c>
      <c r="AK2743" s="2">
        <v>244208.98447676399</v>
      </c>
      <c r="AL2743" s="2">
        <v>268387.29597412102</v>
      </c>
      <c r="AM2743" s="2">
        <v>217018.57465300799</v>
      </c>
      <c r="AN2743" s="2">
        <v>252767.50901585</v>
      </c>
      <c r="AO2743" s="2">
        <v>242610.724225632</v>
      </c>
      <c r="AP2743" s="2">
        <v>233235.994646873</v>
      </c>
    </row>
    <row r="2744" spans="1:42" ht="14.5" x14ac:dyDescent="0.35">
      <c r="A2744" s="2" t="s">
        <v>18294</v>
      </c>
      <c r="B2744" s="2">
        <v>776.46030672395898</v>
      </c>
      <c r="C2744" s="2">
        <v>5.7914500000000002</v>
      </c>
      <c r="D2744" s="2" t="s">
        <v>34</v>
      </c>
      <c r="E2744" s="2" t="s">
        <v>18295</v>
      </c>
      <c r="F2744" s="2">
        <v>49931</v>
      </c>
      <c r="G2744" s="3" t="str">
        <f>HYPERLINK("http://funmeta.oebiotech.com/network/49931", "http://funmeta.oebiotech.com/network/49931")</f>
        <v>http://funmeta.oebiotech.com/network/49931</v>
      </c>
      <c r="H2744" s="2" t="s">
        <v>18296</v>
      </c>
      <c r="I2744" s="2">
        <v>60289</v>
      </c>
      <c r="J2744" s="2"/>
      <c r="K2744" s="2"/>
      <c r="L2744" s="2" t="s">
        <v>594</v>
      </c>
      <c r="M2744" s="2" t="s">
        <v>595</v>
      </c>
      <c r="N2744" s="2" t="s">
        <v>596</v>
      </c>
      <c r="O2744" s="2">
        <v>53479555</v>
      </c>
      <c r="P2744" s="2"/>
      <c r="Q2744" s="2" t="s">
        <v>18297</v>
      </c>
      <c r="R2744" s="2" t="s">
        <v>18298</v>
      </c>
      <c r="S2744" s="2" t="s">
        <v>50</v>
      </c>
      <c r="T2744" s="2" t="s">
        <v>51</v>
      </c>
      <c r="U2744" s="2" t="s">
        <v>257</v>
      </c>
      <c r="V2744" s="2" t="s">
        <v>59</v>
      </c>
      <c r="W2744" s="2">
        <v>36.4</v>
      </c>
      <c r="X2744" s="2">
        <v>0</v>
      </c>
      <c r="Y2744" s="2" t="s">
        <v>340</v>
      </c>
      <c r="Z2744" s="2" t="s">
        <v>18299</v>
      </c>
      <c r="AA2744" s="2">
        <v>-3.26272245806561</v>
      </c>
      <c r="AB2744" s="2">
        <v>0.29364829509848001</v>
      </c>
      <c r="AC2744" s="2">
        <v>10191.965722779199</v>
      </c>
      <c r="AD2744" s="2">
        <v>3261.2537461543602</v>
      </c>
      <c r="AE2744" s="2">
        <v>7128.6170991770596</v>
      </c>
      <c r="AF2744" s="2">
        <v>6972.5707779757104</v>
      </c>
      <c r="AG2744" s="2">
        <v>10279.8821610673</v>
      </c>
      <c r="AH2744" s="2">
        <v>9638.9438514436406</v>
      </c>
      <c r="AI2744" s="2">
        <v>15877.6424558871</v>
      </c>
      <c r="AJ2744" s="2">
        <v>11254.1379911242</v>
      </c>
      <c r="AK2744" s="2">
        <v>5198.1768593605502</v>
      </c>
      <c r="AL2744" s="2">
        <v>4187.3928516924398</v>
      </c>
      <c r="AM2744" s="2">
        <v>4674.5948759397897</v>
      </c>
      <c r="AN2744" s="2">
        <v>2618.55026320565</v>
      </c>
      <c r="AO2744" s="2">
        <v>1213.61285910694</v>
      </c>
      <c r="AP2744" s="2">
        <v>1675.1947676207601</v>
      </c>
    </row>
    <row r="2745" spans="1:42" ht="14.5" x14ac:dyDescent="0.35">
      <c r="A2745" s="2" t="s">
        <v>18300</v>
      </c>
      <c r="B2745" s="2">
        <v>287.14584678948597</v>
      </c>
      <c r="C2745" s="2">
        <v>4.4793166666666702</v>
      </c>
      <c r="D2745" s="2" t="s">
        <v>34</v>
      </c>
      <c r="E2745" s="2" t="s">
        <v>18301</v>
      </c>
      <c r="F2745" s="2">
        <v>53772</v>
      </c>
      <c r="G2745" s="3" t="str">
        <f>HYPERLINK("http://funmeta.oebiotech.com/network/53772", "http://funmeta.oebiotech.com/network/53772")</f>
        <v>http://funmeta.oebiotech.com/network/53772</v>
      </c>
      <c r="H2745" s="2" t="s">
        <v>18302</v>
      </c>
      <c r="I2745" s="2">
        <v>23720</v>
      </c>
      <c r="J2745" s="2"/>
      <c r="K2745" s="2">
        <v>73424</v>
      </c>
      <c r="L2745" s="2"/>
      <c r="M2745" s="2"/>
      <c r="N2745" s="2"/>
      <c r="O2745" s="2">
        <v>9835143</v>
      </c>
      <c r="P2745" s="2" t="s">
        <v>18303</v>
      </c>
      <c r="Q2745" s="2" t="s">
        <v>18304</v>
      </c>
      <c r="R2745" s="2" t="s">
        <v>18305</v>
      </c>
      <c r="S2745" s="2" t="s">
        <v>89</v>
      </c>
      <c r="T2745" s="2" t="s">
        <v>90</v>
      </c>
      <c r="U2745" s="2" t="s">
        <v>99</v>
      </c>
      <c r="V2745" s="2" t="s">
        <v>59</v>
      </c>
      <c r="W2745" s="2">
        <v>37.9</v>
      </c>
      <c r="X2745" s="2">
        <v>0</v>
      </c>
      <c r="Y2745" s="2" t="s">
        <v>43</v>
      </c>
      <c r="Z2745" s="2" t="s">
        <v>18306</v>
      </c>
      <c r="AA2745" s="2">
        <v>-1.4221708060010301</v>
      </c>
      <c r="AB2745" s="2">
        <v>0.29343326315392299</v>
      </c>
      <c r="AC2745" s="2">
        <v>6545.4349399434404</v>
      </c>
      <c r="AD2745" s="2">
        <v>12353.100967694199</v>
      </c>
      <c r="AE2745" s="2">
        <v>6905.2906293860096</v>
      </c>
      <c r="AF2745" s="2">
        <v>6104.5682559765801</v>
      </c>
      <c r="AG2745" s="2">
        <v>7950.78901554409</v>
      </c>
      <c r="AH2745" s="2">
        <v>6536.9242143299698</v>
      </c>
      <c r="AI2745" s="2">
        <v>6291.5965115701301</v>
      </c>
      <c r="AJ2745" s="2">
        <v>5483.4410128538402</v>
      </c>
      <c r="AK2745" s="2">
        <v>11520.0269575686</v>
      </c>
      <c r="AL2745" s="2">
        <v>12432.421183062301</v>
      </c>
      <c r="AM2745" s="2">
        <v>12854.5908029983</v>
      </c>
      <c r="AN2745" s="2">
        <v>12464.1274040313</v>
      </c>
      <c r="AO2745" s="2">
        <v>13182.901218981</v>
      </c>
      <c r="AP2745" s="2">
        <v>11664.538239523499</v>
      </c>
    </row>
    <row r="2746" spans="1:42" ht="14.5" x14ac:dyDescent="0.35">
      <c r="A2746" s="2" t="s">
        <v>18307</v>
      </c>
      <c r="B2746" s="2">
        <v>309.02655969510801</v>
      </c>
      <c r="C2746" s="2">
        <v>1.11073333333333</v>
      </c>
      <c r="D2746" s="2" t="s">
        <v>34</v>
      </c>
      <c r="E2746" s="2" t="s">
        <v>18308</v>
      </c>
      <c r="F2746" s="2">
        <v>204351</v>
      </c>
      <c r="G2746" s="3" t="str">
        <f>HYPERLINK("http://funmeta.oebiotech.com/network/204351", "http://funmeta.oebiotech.com/network/204351")</f>
        <v>http://funmeta.oebiotech.com/network/204351</v>
      </c>
      <c r="H2746" s="2" t="s">
        <v>18309</v>
      </c>
      <c r="I2746" s="2">
        <v>338440</v>
      </c>
      <c r="J2746" s="2"/>
      <c r="K2746" s="2"/>
      <c r="L2746" s="2"/>
      <c r="M2746" s="2"/>
      <c r="N2746" s="2"/>
      <c r="O2746" s="2">
        <v>173894</v>
      </c>
      <c r="P2746" s="2"/>
      <c r="Q2746" s="2" t="s">
        <v>18310</v>
      </c>
      <c r="R2746" s="2" t="s">
        <v>18311</v>
      </c>
      <c r="S2746" s="2" t="s">
        <v>491</v>
      </c>
      <c r="T2746" s="2" t="s">
        <v>15140</v>
      </c>
      <c r="U2746" s="2" t="s">
        <v>41</v>
      </c>
      <c r="V2746" s="2" t="s">
        <v>59</v>
      </c>
      <c r="W2746" s="2">
        <v>41.6</v>
      </c>
      <c r="X2746" s="2">
        <v>17.7</v>
      </c>
      <c r="Y2746" s="2" t="s">
        <v>568</v>
      </c>
      <c r="Z2746" s="2" t="s">
        <v>18312</v>
      </c>
      <c r="AA2746" s="2">
        <v>-2.4260667611781699</v>
      </c>
      <c r="AB2746" s="2">
        <v>0.29324969222017</v>
      </c>
      <c r="AC2746" s="2">
        <v>11638.6507221597</v>
      </c>
      <c r="AD2746" s="2">
        <v>17544.258939241801</v>
      </c>
      <c r="AE2746" s="2">
        <v>10604.2918538349</v>
      </c>
      <c r="AF2746" s="2">
        <v>13749.219989285</v>
      </c>
      <c r="AG2746" s="2">
        <v>11397.9281372106</v>
      </c>
      <c r="AH2746" s="2">
        <v>12122.324563751399</v>
      </c>
      <c r="AI2746" s="2">
        <v>11883.723866106</v>
      </c>
      <c r="AJ2746" s="2">
        <v>10074.4159227704</v>
      </c>
      <c r="AK2746" s="2">
        <v>18466.839251689398</v>
      </c>
      <c r="AL2746" s="2">
        <v>17846.1075591724</v>
      </c>
      <c r="AM2746" s="2">
        <v>17246.934512090302</v>
      </c>
      <c r="AN2746" s="2">
        <v>17405.956352233999</v>
      </c>
      <c r="AO2746" s="2">
        <v>17388.3043612767</v>
      </c>
      <c r="AP2746" s="2">
        <v>16911.411598988099</v>
      </c>
    </row>
    <row r="2747" spans="1:42" ht="14.5" x14ac:dyDescent="0.35">
      <c r="A2747" s="2" t="s">
        <v>18313</v>
      </c>
      <c r="B2747" s="2">
        <v>455.13241619359098</v>
      </c>
      <c r="C2747" s="2">
        <v>5.5431833333333298</v>
      </c>
      <c r="D2747" s="2" t="s">
        <v>70</v>
      </c>
      <c r="E2747" s="2" t="s">
        <v>18314</v>
      </c>
      <c r="F2747" s="2">
        <v>197092</v>
      </c>
      <c r="G2747" s="3" t="str">
        <f>HYPERLINK("http://funmeta.oebiotech.com/network/197092", "http://funmeta.oebiotech.com/network/197092")</f>
        <v>http://funmeta.oebiotech.com/network/197092</v>
      </c>
      <c r="H2747" s="2" t="s">
        <v>18315</v>
      </c>
      <c r="I2747" s="2"/>
      <c r="J2747" s="2"/>
      <c r="K2747" s="2">
        <v>176435</v>
      </c>
      <c r="L2747" s="2"/>
      <c r="M2747" s="2"/>
      <c r="N2747" s="2"/>
      <c r="O2747" s="2">
        <v>155926115</v>
      </c>
      <c r="P2747" s="2"/>
      <c r="Q2747" s="2" t="s">
        <v>18316</v>
      </c>
      <c r="R2747" s="2" t="s">
        <v>18317</v>
      </c>
      <c r="S2747" s="2" t="s">
        <v>1184</v>
      </c>
      <c r="T2747" s="2" t="s">
        <v>1185</v>
      </c>
      <c r="U2747" s="2" t="s">
        <v>41</v>
      </c>
      <c r="V2747" s="2" t="s">
        <v>59</v>
      </c>
      <c r="W2747" s="2">
        <v>46.4</v>
      </c>
      <c r="X2747" s="2">
        <v>42.5</v>
      </c>
      <c r="Y2747" s="2" t="s">
        <v>751</v>
      </c>
      <c r="Z2747" s="2" t="s">
        <v>18318</v>
      </c>
      <c r="AA2747" s="2">
        <v>-4.9345207517146799</v>
      </c>
      <c r="AB2747" s="2">
        <v>0.293220605884147</v>
      </c>
      <c r="AC2747" s="2">
        <v>67240.111866635998</v>
      </c>
      <c r="AD2747" s="2">
        <v>59451.939887790002</v>
      </c>
      <c r="AE2747" s="2">
        <v>72508.696959847599</v>
      </c>
      <c r="AF2747" s="2">
        <v>59116.947409184402</v>
      </c>
      <c r="AG2747" s="2">
        <v>65890.356189973696</v>
      </c>
      <c r="AH2747" s="2">
        <v>71415.606817746506</v>
      </c>
      <c r="AI2747" s="2">
        <v>65469.835369378001</v>
      </c>
      <c r="AJ2747" s="2">
        <v>69039.228453685602</v>
      </c>
      <c r="AK2747" s="2">
        <v>63831.531277761598</v>
      </c>
      <c r="AL2747" s="2">
        <v>60407.616475802402</v>
      </c>
      <c r="AM2747" s="2">
        <v>61559.753562177299</v>
      </c>
      <c r="AN2747" s="2">
        <v>58435.909047817797</v>
      </c>
      <c r="AO2747" s="2">
        <v>56473.3512990089</v>
      </c>
      <c r="AP2747" s="2">
        <v>56003.477664172002</v>
      </c>
    </row>
    <row r="2748" spans="1:42" ht="14.5" x14ac:dyDescent="0.35">
      <c r="A2748" s="2" t="s">
        <v>18319</v>
      </c>
      <c r="B2748" s="2">
        <v>253.09246230587701</v>
      </c>
      <c r="C2748" s="2">
        <v>0.80284999999999995</v>
      </c>
      <c r="D2748" s="2" t="s">
        <v>70</v>
      </c>
      <c r="E2748" s="2" t="s">
        <v>18320</v>
      </c>
      <c r="F2748" s="2">
        <v>198624</v>
      </c>
      <c r="G2748" s="3" t="str">
        <f>HYPERLINK("http://funmeta.oebiotech.com/network/198624", "http://funmeta.oebiotech.com/network/198624")</f>
        <v>http://funmeta.oebiotech.com/network/198624</v>
      </c>
      <c r="H2748" s="2" t="s">
        <v>18321</v>
      </c>
      <c r="I2748" s="2">
        <v>86625</v>
      </c>
      <c r="J2748" s="2"/>
      <c r="K2748" s="2"/>
      <c r="L2748" s="2"/>
      <c r="M2748" s="2"/>
      <c r="N2748" s="2"/>
      <c r="O2748" s="2">
        <v>428040</v>
      </c>
      <c r="P2748" s="2" t="s">
        <v>1080</v>
      </c>
      <c r="Q2748" s="2" t="s">
        <v>18322</v>
      </c>
      <c r="R2748" s="2" t="s">
        <v>18323</v>
      </c>
      <c r="S2748" s="2" t="s">
        <v>79</v>
      </c>
      <c r="T2748" s="2" t="s">
        <v>80</v>
      </c>
      <c r="U2748" s="2" t="s">
        <v>81</v>
      </c>
      <c r="V2748" s="2" t="s">
        <v>59</v>
      </c>
      <c r="W2748" s="2">
        <v>45.3</v>
      </c>
      <c r="X2748" s="2">
        <v>32.5</v>
      </c>
      <c r="Y2748" s="2" t="s">
        <v>408</v>
      </c>
      <c r="Z2748" s="2" t="s">
        <v>1083</v>
      </c>
      <c r="AA2748" s="2">
        <v>-2.06057447747152</v>
      </c>
      <c r="AB2748" s="2">
        <v>0.29314869108859498</v>
      </c>
      <c r="AC2748" s="2">
        <v>9271.39278712136</v>
      </c>
      <c r="AD2748" s="2">
        <v>15145.7858745216</v>
      </c>
      <c r="AE2748" s="2">
        <v>9315.2491328345895</v>
      </c>
      <c r="AF2748" s="2">
        <v>11036.664674507299</v>
      </c>
      <c r="AG2748" s="2">
        <v>8531.6185382661206</v>
      </c>
      <c r="AH2748" s="2">
        <v>9100.6723521393506</v>
      </c>
      <c r="AI2748" s="2">
        <v>8961.0150157681092</v>
      </c>
      <c r="AJ2748" s="2">
        <v>8683.1370092126999</v>
      </c>
      <c r="AK2748" s="2">
        <v>16904.611126133401</v>
      </c>
      <c r="AL2748" s="2">
        <v>14763.757795056799</v>
      </c>
      <c r="AM2748" s="2">
        <v>14639.8178375506</v>
      </c>
      <c r="AN2748" s="2">
        <v>15476.0092395582</v>
      </c>
      <c r="AO2748" s="2">
        <v>14706.4354480356</v>
      </c>
      <c r="AP2748" s="2">
        <v>14384.083800795201</v>
      </c>
    </row>
    <row r="2749" spans="1:42" ht="14.5" x14ac:dyDescent="0.35">
      <c r="A2749" s="2" t="s">
        <v>18324</v>
      </c>
      <c r="B2749" s="2">
        <v>311.18497496015499</v>
      </c>
      <c r="C2749" s="2">
        <v>9.1767166666666693</v>
      </c>
      <c r="D2749" s="2" t="s">
        <v>34</v>
      </c>
      <c r="E2749" s="2" t="s">
        <v>18325</v>
      </c>
      <c r="F2749" s="2">
        <v>35761</v>
      </c>
      <c r="G2749" s="3" t="str">
        <f>HYPERLINK("http://funmeta.oebiotech.com/network/35761", "http://funmeta.oebiotech.com/network/35761")</f>
        <v>http://funmeta.oebiotech.com/network/35761</v>
      </c>
      <c r="H2749" s="2"/>
      <c r="I2749" s="2">
        <v>53517</v>
      </c>
      <c r="J2749" s="2" t="s">
        <v>18326</v>
      </c>
      <c r="K2749" s="2">
        <v>3159</v>
      </c>
      <c r="L2749" s="2" t="s">
        <v>18327</v>
      </c>
      <c r="M2749" s="2"/>
      <c r="N2749" s="2"/>
      <c r="O2749" s="2">
        <v>185781</v>
      </c>
      <c r="P2749" s="2"/>
      <c r="Q2749" s="2" t="s">
        <v>18328</v>
      </c>
      <c r="R2749" s="2" t="s">
        <v>18329</v>
      </c>
      <c r="S2749" s="2" t="s">
        <v>50</v>
      </c>
      <c r="T2749" s="2" t="s">
        <v>201</v>
      </c>
      <c r="U2749" s="2" t="s">
        <v>265</v>
      </c>
      <c r="V2749" s="2" t="s">
        <v>42</v>
      </c>
      <c r="W2749" s="2">
        <v>50.1</v>
      </c>
      <c r="X2749" s="2">
        <v>56.3</v>
      </c>
      <c r="Y2749" s="2" t="s">
        <v>67</v>
      </c>
      <c r="Z2749" s="2" t="s">
        <v>18330</v>
      </c>
      <c r="AA2749" s="2">
        <v>-1.04908613641874</v>
      </c>
      <c r="AB2749" s="2">
        <v>0.29311310586730499</v>
      </c>
      <c r="AC2749" s="2">
        <v>51640.561365966103</v>
      </c>
      <c r="AD2749" s="2">
        <v>57873.435441555099</v>
      </c>
      <c r="AE2749" s="2">
        <v>51369.0751691029</v>
      </c>
      <c r="AF2749" s="2">
        <v>52669.507675443201</v>
      </c>
      <c r="AG2749" s="2">
        <v>52519.563877552202</v>
      </c>
      <c r="AH2749" s="2">
        <v>50839.364191913803</v>
      </c>
      <c r="AI2749" s="2">
        <v>52160.514172006398</v>
      </c>
      <c r="AJ2749" s="2">
        <v>50285.343109778303</v>
      </c>
      <c r="AK2749" s="2">
        <v>60984.246486648299</v>
      </c>
      <c r="AL2749" s="2">
        <v>59019.534765611999</v>
      </c>
      <c r="AM2749" s="2">
        <v>57311.312198366002</v>
      </c>
      <c r="AN2749" s="2">
        <v>57438.528147446297</v>
      </c>
      <c r="AO2749" s="2">
        <v>57644.848273948097</v>
      </c>
      <c r="AP2749" s="2">
        <v>54842.142777309702</v>
      </c>
    </row>
    <row r="2750" spans="1:42" ht="14.5" x14ac:dyDescent="0.35">
      <c r="A2750" s="2" t="s">
        <v>18331</v>
      </c>
      <c r="B2750" s="2">
        <v>173.13240922682999</v>
      </c>
      <c r="C2750" s="2">
        <v>4.5826500000000001</v>
      </c>
      <c r="D2750" s="2" t="s">
        <v>34</v>
      </c>
      <c r="E2750" s="2" t="s">
        <v>18332</v>
      </c>
      <c r="F2750" s="2">
        <v>36638</v>
      </c>
      <c r="G2750" s="3" t="str">
        <f>HYPERLINK("http://funmeta.oebiotech.com/network/36638", "http://funmeta.oebiotech.com/network/36638")</f>
        <v>http://funmeta.oebiotech.com/network/36638</v>
      </c>
      <c r="H2750" s="2" t="s">
        <v>18333</v>
      </c>
      <c r="I2750" s="2">
        <v>91646</v>
      </c>
      <c r="J2750" s="2" t="s">
        <v>18334</v>
      </c>
      <c r="K2750" s="2">
        <v>67251</v>
      </c>
      <c r="L2750" s="2"/>
      <c r="M2750" s="2"/>
      <c r="N2750" s="2"/>
      <c r="O2750" s="2">
        <v>5366074</v>
      </c>
      <c r="P2750" s="2" t="s">
        <v>18335</v>
      </c>
      <c r="Q2750" s="2" t="s">
        <v>18336</v>
      </c>
      <c r="R2750" s="2" t="s">
        <v>18337</v>
      </c>
      <c r="S2750" s="2" t="s">
        <v>79</v>
      </c>
      <c r="T2750" s="2" t="s">
        <v>80</v>
      </c>
      <c r="U2750" s="2" t="s">
        <v>2820</v>
      </c>
      <c r="V2750" s="2" t="s">
        <v>42</v>
      </c>
      <c r="W2750" s="2">
        <v>49.3</v>
      </c>
      <c r="X2750" s="2">
        <v>51.3</v>
      </c>
      <c r="Y2750" s="2" t="s">
        <v>141</v>
      </c>
      <c r="Z2750" s="2" t="s">
        <v>7966</v>
      </c>
      <c r="AA2750" s="2">
        <v>-0.35616649872361</v>
      </c>
      <c r="AB2750" s="2">
        <v>0.29288588002237598</v>
      </c>
      <c r="AC2750" s="2">
        <v>18927.111056457899</v>
      </c>
      <c r="AD2750" s="2">
        <v>13199.8757177637</v>
      </c>
      <c r="AE2750" s="2">
        <v>18280.3543479002</v>
      </c>
      <c r="AF2750" s="2">
        <v>19431.056618862</v>
      </c>
      <c r="AG2750" s="2">
        <v>18571.198846872201</v>
      </c>
      <c r="AH2750" s="2">
        <v>18924.169122741499</v>
      </c>
      <c r="AI2750" s="2">
        <v>19231.040901743101</v>
      </c>
      <c r="AJ2750" s="2">
        <v>19124.8465006283</v>
      </c>
      <c r="AK2750" s="2">
        <v>13052.107216661299</v>
      </c>
      <c r="AL2750" s="2">
        <v>13935.9078034624</v>
      </c>
      <c r="AM2750" s="2">
        <v>13674.9869848363</v>
      </c>
      <c r="AN2750" s="2">
        <v>13683.5592176597</v>
      </c>
      <c r="AO2750" s="2">
        <v>12679.9333083446</v>
      </c>
      <c r="AP2750" s="2">
        <v>12172.7597756178</v>
      </c>
    </row>
    <row r="2751" spans="1:42" ht="14.5" x14ac:dyDescent="0.35">
      <c r="A2751" s="2" t="s">
        <v>18338</v>
      </c>
      <c r="B2751" s="2">
        <v>567.33756420927705</v>
      </c>
      <c r="C2751" s="2">
        <v>5.7290666666666699</v>
      </c>
      <c r="D2751" s="2" t="s">
        <v>70</v>
      </c>
      <c r="E2751" s="2" t="s">
        <v>18339</v>
      </c>
      <c r="F2751" s="2">
        <v>202773</v>
      </c>
      <c r="G2751" s="3" t="str">
        <f>HYPERLINK("http://funmeta.oebiotech.com/network/202773", "http://funmeta.oebiotech.com/network/202773")</f>
        <v>http://funmeta.oebiotech.com/network/202773</v>
      </c>
      <c r="H2751" s="2" t="s">
        <v>18340</v>
      </c>
      <c r="I2751" s="2">
        <v>811391</v>
      </c>
      <c r="J2751" s="2"/>
      <c r="K2751" s="2"/>
      <c r="L2751" s="2"/>
      <c r="M2751" s="2"/>
      <c r="N2751" s="2"/>
      <c r="O2751" s="2">
        <v>45072429</v>
      </c>
      <c r="P2751" s="2"/>
      <c r="Q2751" s="2" t="s">
        <v>18341</v>
      </c>
      <c r="R2751" s="2" t="s">
        <v>18342</v>
      </c>
      <c r="S2751" s="2" t="s">
        <v>41</v>
      </c>
      <c r="T2751" s="2" t="s">
        <v>41</v>
      </c>
      <c r="U2751" s="2" t="s">
        <v>41</v>
      </c>
      <c r="V2751" s="2" t="s">
        <v>59</v>
      </c>
      <c r="W2751" s="2">
        <v>38.200000000000003</v>
      </c>
      <c r="X2751" s="2">
        <v>0</v>
      </c>
      <c r="Y2751" s="2" t="s">
        <v>560</v>
      </c>
      <c r="Z2751" s="2" t="s">
        <v>18343</v>
      </c>
      <c r="AA2751" s="2">
        <v>-4.1768019668103102</v>
      </c>
      <c r="AB2751" s="2">
        <v>0.29285617287773502</v>
      </c>
      <c r="AC2751" s="2">
        <v>22234.798522207198</v>
      </c>
      <c r="AD2751" s="2">
        <v>28627.2557495851</v>
      </c>
      <c r="AE2751" s="2">
        <v>23369.411078590299</v>
      </c>
      <c r="AF2751" s="2">
        <v>21629.438117204001</v>
      </c>
      <c r="AG2751" s="2">
        <v>20597.944628653298</v>
      </c>
      <c r="AH2751" s="2">
        <v>21179.168042797999</v>
      </c>
      <c r="AI2751" s="2">
        <v>23951.1004733462</v>
      </c>
      <c r="AJ2751" s="2">
        <v>22681.7287926514</v>
      </c>
      <c r="AK2751" s="2">
        <v>29321.049707638202</v>
      </c>
      <c r="AL2751" s="2">
        <v>23873.8031906488</v>
      </c>
      <c r="AM2751" s="2">
        <v>30715.407202736002</v>
      </c>
      <c r="AN2751" s="2">
        <v>28902.700566736999</v>
      </c>
      <c r="AO2751" s="2">
        <v>28936.372131692799</v>
      </c>
      <c r="AP2751" s="2">
        <v>30014.201698057699</v>
      </c>
    </row>
    <row r="2752" spans="1:42" ht="14.5" x14ac:dyDescent="0.35">
      <c r="A2752" s="2" t="s">
        <v>18344</v>
      </c>
      <c r="B2752" s="2">
        <v>589.17418664202</v>
      </c>
      <c r="C2752" s="2">
        <v>4.2405333333333299</v>
      </c>
      <c r="D2752" s="2" t="s">
        <v>70</v>
      </c>
      <c r="E2752" s="2" t="s">
        <v>18345</v>
      </c>
      <c r="F2752" s="2">
        <v>10231</v>
      </c>
      <c r="G2752" s="3" t="str">
        <f>HYPERLINK("http://funmeta.oebiotech.com/network/10231", "http://funmeta.oebiotech.com/network/10231")</f>
        <v>http://funmeta.oebiotech.com/network/10231</v>
      </c>
      <c r="H2752" s="2"/>
      <c r="I2752" s="2"/>
      <c r="J2752" s="2" t="s">
        <v>18346</v>
      </c>
      <c r="K2752" s="2">
        <v>64888</v>
      </c>
      <c r="L2752" s="2"/>
      <c r="M2752" s="2"/>
      <c r="N2752" s="2"/>
      <c r="O2752" s="2">
        <v>57339274</v>
      </c>
      <c r="P2752" s="2"/>
      <c r="Q2752" s="2" t="s">
        <v>18347</v>
      </c>
      <c r="R2752" s="2" t="s">
        <v>18348</v>
      </c>
      <c r="S2752" s="2" t="s">
        <v>79</v>
      </c>
      <c r="T2752" s="2" t="s">
        <v>80</v>
      </c>
      <c r="U2752" s="2" t="s">
        <v>81</v>
      </c>
      <c r="V2752" s="2" t="s">
        <v>59</v>
      </c>
      <c r="W2752" s="2">
        <v>39.1</v>
      </c>
      <c r="X2752" s="2">
        <v>0</v>
      </c>
      <c r="Y2752" s="2" t="s">
        <v>560</v>
      </c>
      <c r="Z2752" s="2" t="s">
        <v>18349</v>
      </c>
      <c r="AA2752" s="2">
        <v>1.3569098606646</v>
      </c>
      <c r="AB2752" s="2">
        <v>0.29279213339323501</v>
      </c>
      <c r="AC2752" s="2">
        <v>87960.978360685796</v>
      </c>
      <c r="AD2752" s="2">
        <v>77530.229217470507</v>
      </c>
      <c r="AE2752" s="2">
        <v>78994.065611660495</v>
      </c>
      <c r="AF2752" s="2">
        <v>97614.383067905103</v>
      </c>
      <c r="AG2752" s="2">
        <v>100970.11544788</v>
      </c>
      <c r="AH2752" s="2">
        <v>88556.418479616797</v>
      </c>
      <c r="AI2752" s="2">
        <v>79051.270746863403</v>
      </c>
      <c r="AJ2752" s="2">
        <v>82579.616810188905</v>
      </c>
      <c r="AK2752" s="2">
        <v>68877.709268526698</v>
      </c>
      <c r="AL2752" s="2">
        <v>76509.289966910204</v>
      </c>
      <c r="AM2752" s="2">
        <v>85708.802735658799</v>
      </c>
      <c r="AN2752" s="2">
        <v>86066.892505567899</v>
      </c>
      <c r="AO2752" s="2">
        <v>81755.167236576002</v>
      </c>
      <c r="AP2752" s="2">
        <v>66263.513591583294</v>
      </c>
    </row>
    <row r="2753" spans="1:42" ht="14.5" x14ac:dyDescent="0.35">
      <c r="A2753" s="2" t="s">
        <v>18350</v>
      </c>
      <c r="B2753" s="2">
        <v>707.26632100391396</v>
      </c>
      <c r="C2753" s="2">
        <v>5.5431833333333298</v>
      </c>
      <c r="D2753" s="2" t="s">
        <v>70</v>
      </c>
      <c r="E2753" s="2" t="s">
        <v>18351</v>
      </c>
      <c r="F2753" s="2">
        <v>207949</v>
      </c>
      <c r="G2753" s="3" t="str">
        <f>HYPERLINK("http://funmeta.oebiotech.com/network/207949", "http://funmeta.oebiotech.com/network/207949")</f>
        <v>http://funmeta.oebiotech.com/network/207949</v>
      </c>
      <c r="H2753" s="2" t="s">
        <v>18352</v>
      </c>
      <c r="I2753" s="2"/>
      <c r="J2753" s="2"/>
      <c r="K2753" s="2"/>
      <c r="L2753" s="2"/>
      <c r="M2753" s="2"/>
      <c r="N2753" s="2"/>
      <c r="O2753" s="2">
        <v>68677</v>
      </c>
      <c r="P2753" s="2"/>
      <c r="Q2753" s="2" t="s">
        <v>18353</v>
      </c>
      <c r="R2753" s="2" t="s">
        <v>18354</v>
      </c>
      <c r="S2753" s="2" t="s">
        <v>491</v>
      </c>
      <c r="T2753" s="2" t="s">
        <v>3519</v>
      </c>
      <c r="U2753" s="2" t="s">
        <v>7152</v>
      </c>
      <c r="V2753" s="2" t="s">
        <v>59</v>
      </c>
      <c r="W2753" s="2">
        <v>36.1</v>
      </c>
      <c r="X2753" s="2">
        <v>0</v>
      </c>
      <c r="Y2753" s="2" t="s">
        <v>560</v>
      </c>
      <c r="Z2753" s="2" t="s">
        <v>18355</v>
      </c>
      <c r="AA2753" s="2">
        <v>-8.2194284799026199E-2</v>
      </c>
      <c r="AB2753" s="2">
        <v>0.29278771643492402</v>
      </c>
      <c r="AC2753" s="2">
        <v>12457.8841075984</v>
      </c>
      <c r="AD2753" s="2">
        <v>19158.241901262001</v>
      </c>
      <c r="AE2753" s="2">
        <v>13661.8651221451</v>
      </c>
      <c r="AF2753" s="2">
        <v>12109.638705687599</v>
      </c>
      <c r="AG2753" s="2">
        <v>13380.8608239641</v>
      </c>
      <c r="AH2753" s="2">
        <v>11972.9581703063</v>
      </c>
      <c r="AI2753" s="2">
        <v>14173.7991434495</v>
      </c>
      <c r="AJ2753" s="2">
        <v>9448.1826800377094</v>
      </c>
      <c r="AK2753" s="2">
        <v>15335.6701337632</v>
      </c>
      <c r="AL2753" s="2">
        <v>18068.163558016298</v>
      </c>
      <c r="AM2753" s="2">
        <v>18713.462012870299</v>
      </c>
      <c r="AN2753" s="2">
        <v>17741.721708384699</v>
      </c>
      <c r="AO2753" s="2">
        <v>21580.4133929743</v>
      </c>
      <c r="AP2753" s="2">
        <v>23510.020601563101</v>
      </c>
    </row>
    <row r="2754" spans="1:42" ht="14.5" x14ac:dyDescent="0.35">
      <c r="A2754" s="2" t="s">
        <v>18356</v>
      </c>
      <c r="B2754" s="2">
        <v>435.183921899501</v>
      </c>
      <c r="C2754" s="2">
        <v>4.2777833333333302</v>
      </c>
      <c r="D2754" s="2" t="s">
        <v>34</v>
      </c>
      <c r="E2754" s="2" t="s">
        <v>18357</v>
      </c>
      <c r="F2754" s="2">
        <v>208391</v>
      </c>
      <c r="G2754" s="3" t="str">
        <f>HYPERLINK("http://funmeta.oebiotech.com/network/208391", "http://funmeta.oebiotech.com/network/208391")</f>
        <v>http://funmeta.oebiotech.com/network/208391</v>
      </c>
      <c r="H2754" s="2" t="s">
        <v>18358</v>
      </c>
      <c r="I2754" s="2"/>
      <c r="J2754" s="2"/>
      <c r="K2754" s="2"/>
      <c r="L2754" s="2"/>
      <c r="M2754" s="2"/>
      <c r="N2754" s="2"/>
      <c r="O2754" s="2">
        <v>73170271</v>
      </c>
      <c r="P2754" s="2"/>
      <c r="Q2754" s="2" t="s">
        <v>18359</v>
      </c>
      <c r="R2754" s="2" t="s">
        <v>18360</v>
      </c>
      <c r="S2754" s="2" t="s">
        <v>148</v>
      </c>
      <c r="T2754" s="2" t="s">
        <v>149</v>
      </c>
      <c r="U2754" s="2" t="s">
        <v>3473</v>
      </c>
      <c r="V2754" s="2" t="s">
        <v>59</v>
      </c>
      <c r="W2754" s="2">
        <v>37.799999999999997</v>
      </c>
      <c r="X2754" s="2">
        <v>0</v>
      </c>
      <c r="Y2754" s="2" t="s">
        <v>394</v>
      </c>
      <c r="Z2754" s="2" t="s">
        <v>18361</v>
      </c>
      <c r="AA2754" s="2">
        <v>0.77339097909051202</v>
      </c>
      <c r="AB2754" s="2">
        <v>0.29239944126093398</v>
      </c>
      <c r="AC2754" s="2">
        <v>47736.8686711767</v>
      </c>
      <c r="AD2754" s="2">
        <v>56247.575221353298</v>
      </c>
      <c r="AE2754" s="2">
        <v>42491.065438642298</v>
      </c>
      <c r="AF2754" s="2">
        <v>41735.2342267692</v>
      </c>
      <c r="AG2754" s="2">
        <v>52228.922889708403</v>
      </c>
      <c r="AH2754" s="2">
        <v>41260.598985867298</v>
      </c>
      <c r="AI2754" s="2">
        <v>54771.863048823398</v>
      </c>
      <c r="AJ2754" s="2">
        <v>53933.527437249599</v>
      </c>
      <c r="AK2754" s="2">
        <v>49631.394198374001</v>
      </c>
      <c r="AL2754" s="2">
        <v>52575.682898894796</v>
      </c>
      <c r="AM2754" s="2">
        <v>59193.074760512704</v>
      </c>
      <c r="AN2754" s="2">
        <v>58147.035953136801</v>
      </c>
      <c r="AO2754" s="2">
        <v>59980.986985876203</v>
      </c>
      <c r="AP2754" s="2">
        <v>57957.276531325297</v>
      </c>
    </row>
    <row r="2755" spans="1:42" ht="14.5" x14ac:dyDescent="0.35">
      <c r="A2755" s="2" t="s">
        <v>18362</v>
      </c>
      <c r="B2755" s="2">
        <v>641.39044951593496</v>
      </c>
      <c r="C2755" s="2">
        <v>7.5277166666666702</v>
      </c>
      <c r="D2755" s="2" t="s">
        <v>70</v>
      </c>
      <c r="E2755" s="2" t="s">
        <v>18363</v>
      </c>
      <c r="F2755" s="2">
        <v>44435</v>
      </c>
      <c r="G2755" s="3" t="str">
        <f>HYPERLINK("http://funmeta.oebiotech.com/network/44435", "http://funmeta.oebiotech.com/network/44435")</f>
        <v>http://funmeta.oebiotech.com/network/44435</v>
      </c>
      <c r="H2755" s="2"/>
      <c r="I2755" s="2"/>
      <c r="J2755" s="2" t="s">
        <v>18364</v>
      </c>
      <c r="K2755" s="2"/>
      <c r="L2755" s="2"/>
      <c r="M2755" s="2"/>
      <c r="N2755" s="2"/>
      <c r="O2755" s="2">
        <v>25041237</v>
      </c>
      <c r="P2755" s="2"/>
      <c r="Q2755" s="2" t="s">
        <v>18365</v>
      </c>
      <c r="R2755" s="2" t="s">
        <v>18366</v>
      </c>
      <c r="S2755" s="2" t="s">
        <v>50</v>
      </c>
      <c r="T2755" s="2" t="s">
        <v>124</v>
      </c>
      <c r="U2755" s="2" t="s">
        <v>523</v>
      </c>
      <c r="V2755" s="2" t="s">
        <v>42</v>
      </c>
      <c r="W2755" s="2">
        <v>49.9</v>
      </c>
      <c r="X2755" s="2">
        <v>53.5</v>
      </c>
      <c r="Y2755" s="2" t="s">
        <v>408</v>
      </c>
      <c r="Z2755" s="2" t="s">
        <v>18367</v>
      </c>
      <c r="AA2755" s="2">
        <v>-0.313092546017956</v>
      </c>
      <c r="AB2755" s="2">
        <v>0.292354811954328</v>
      </c>
      <c r="AC2755" s="2">
        <v>32184.972056931201</v>
      </c>
      <c r="AD2755" s="2">
        <v>25985.815764827999</v>
      </c>
      <c r="AE2755" s="2">
        <v>34295.092410410703</v>
      </c>
      <c r="AF2755" s="2">
        <v>32720.328924287998</v>
      </c>
      <c r="AG2755" s="2">
        <v>31277.297253698402</v>
      </c>
      <c r="AH2755" s="2">
        <v>32246.743490151999</v>
      </c>
      <c r="AI2755" s="2">
        <v>32433.585580954201</v>
      </c>
      <c r="AJ2755" s="2">
        <v>30136.7846820839</v>
      </c>
      <c r="AK2755" s="2">
        <v>28558.553377599299</v>
      </c>
      <c r="AL2755" s="2">
        <v>23216.558890854201</v>
      </c>
      <c r="AM2755" s="2">
        <v>25622.9618687605</v>
      </c>
      <c r="AN2755" s="2">
        <v>26839.224945190599</v>
      </c>
      <c r="AO2755" s="2">
        <v>26011.162465100901</v>
      </c>
      <c r="AP2755" s="2">
        <v>25666.4330414625</v>
      </c>
    </row>
    <row r="2756" spans="1:42" ht="14.5" x14ac:dyDescent="0.35">
      <c r="A2756" s="2" t="s">
        <v>18368</v>
      </c>
      <c r="B2756" s="2">
        <v>1041.46836495563</v>
      </c>
      <c r="C2756" s="2">
        <v>8.0215999999999994</v>
      </c>
      <c r="D2756" s="2" t="s">
        <v>70</v>
      </c>
      <c r="E2756" s="2" t="s">
        <v>18369</v>
      </c>
      <c r="F2756" s="2">
        <v>50673</v>
      </c>
      <c r="G2756" s="3" t="str">
        <f>HYPERLINK("http://funmeta.oebiotech.com/network/50673", "http://funmeta.oebiotech.com/network/50673")</f>
        <v>http://funmeta.oebiotech.com/network/50673</v>
      </c>
      <c r="H2756" s="2" t="s">
        <v>18370</v>
      </c>
      <c r="I2756" s="2">
        <v>61414</v>
      </c>
      <c r="J2756" s="2"/>
      <c r="K2756" s="2"/>
      <c r="L2756" s="2" t="s">
        <v>5751</v>
      </c>
      <c r="M2756" s="2"/>
      <c r="N2756" s="2"/>
      <c r="O2756" s="2">
        <v>53480227</v>
      </c>
      <c r="P2756" s="2"/>
      <c r="Q2756" s="2" t="s">
        <v>18371</v>
      </c>
      <c r="R2756" s="2" t="s">
        <v>18372</v>
      </c>
      <c r="S2756" s="2" t="s">
        <v>50</v>
      </c>
      <c r="T2756" s="2" t="s">
        <v>51</v>
      </c>
      <c r="U2756" s="2" t="s">
        <v>5754</v>
      </c>
      <c r="V2756" s="2" t="s">
        <v>59</v>
      </c>
      <c r="W2756" s="2">
        <v>36.200000000000003</v>
      </c>
      <c r="X2756" s="2">
        <v>0</v>
      </c>
      <c r="Y2756" s="2" t="s">
        <v>408</v>
      </c>
      <c r="Z2756" s="2" t="s">
        <v>18373</v>
      </c>
      <c r="AA2756" s="2">
        <v>-3.9923141610871702</v>
      </c>
      <c r="AB2756" s="2">
        <v>0.29225063832290898</v>
      </c>
      <c r="AC2756" s="2">
        <v>8115.4211091912903</v>
      </c>
      <c r="AD2756" s="2">
        <v>2291.2337134170202</v>
      </c>
      <c r="AE2756" s="2">
        <v>7769.47409971046</v>
      </c>
      <c r="AF2756" s="2">
        <v>7794.9204397760604</v>
      </c>
      <c r="AG2756" s="2">
        <v>8176.7553205948898</v>
      </c>
      <c r="AH2756" s="2">
        <v>7400.81017388092</v>
      </c>
      <c r="AI2756" s="2">
        <v>9358.4233658493904</v>
      </c>
      <c r="AJ2756" s="2">
        <v>8192.1432553360301</v>
      </c>
      <c r="AK2756" s="2">
        <v>3898.2932469505699</v>
      </c>
      <c r="AL2756" s="2">
        <v>2119.5114879173402</v>
      </c>
      <c r="AM2756" s="2">
        <v>884.63559261276305</v>
      </c>
      <c r="AN2756" s="2">
        <v>1876.2701636533</v>
      </c>
      <c r="AO2756" s="2">
        <v>3042.9458869412501</v>
      </c>
      <c r="AP2756" s="2">
        <v>1925.7459024268701</v>
      </c>
    </row>
    <row r="2757" spans="1:42" ht="14.5" x14ac:dyDescent="0.35">
      <c r="A2757" s="2" t="s">
        <v>18374</v>
      </c>
      <c r="B2757" s="2">
        <v>417.01670215387401</v>
      </c>
      <c r="C2757" s="2">
        <v>9.4001166666666691</v>
      </c>
      <c r="D2757" s="2" t="s">
        <v>70</v>
      </c>
      <c r="E2757" s="2" t="s">
        <v>18375</v>
      </c>
      <c r="F2757" s="2">
        <v>467798</v>
      </c>
      <c r="G2757" s="3" t="str">
        <f>HYPERLINK("http://funmeta.oebiotech.com/network/467798", "http://funmeta.oebiotech.com/network/467798")</f>
        <v>http://funmeta.oebiotech.com/network/467798</v>
      </c>
      <c r="H2757" s="2"/>
      <c r="I2757" s="2">
        <v>85169</v>
      </c>
      <c r="J2757" s="2"/>
      <c r="K2757" s="2"/>
      <c r="L2757" s="2"/>
      <c r="M2757" s="2"/>
      <c r="N2757" s="2"/>
      <c r="O2757" s="2">
        <v>67778</v>
      </c>
      <c r="P2757" s="2" t="s">
        <v>18376</v>
      </c>
      <c r="Q2757" s="2" t="s">
        <v>18377</v>
      </c>
      <c r="R2757" s="2" t="s">
        <v>18378</v>
      </c>
      <c r="S2757" s="2" t="s">
        <v>41</v>
      </c>
      <c r="T2757" s="2" t="s">
        <v>41</v>
      </c>
      <c r="U2757" s="2" t="s">
        <v>41</v>
      </c>
      <c r="V2757" s="2" t="s">
        <v>59</v>
      </c>
      <c r="W2757" s="2">
        <v>37.5</v>
      </c>
      <c r="X2757" s="2">
        <v>0</v>
      </c>
      <c r="Y2757" s="2" t="s">
        <v>560</v>
      </c>
      <c r="Z2757" s="2" t="s">
        <v>18379</v>
      </c>
      <c r="AA2757" s="2">
        <v>9.5596999716433793</v>
      </c>
      <c r="AB2757" s="2">
        <v>0.292146087142995</v>
      </c>
      <c r="AC2757" s="2">
        <v>75976.236700353693</v>
      </c>
      <c r="AD2757" s="2">
        <v>83185.122447730799</v>
      </c>
      <c r="AE2757" s="2">
        <v>75260.630790499505</v>
      </c>
      <c r="AF2757" s="2">
        <v>77647.078922978893</v>
      </c>
      <c r="AG2757" s="2">
        <v>76206.721441829301</v>
      </c>
      <c r="AH2757" s="2">
        <v>75774.706195708204</v>
      </c>
      <c r="AI2757" s="2">
        <v>76518.683929099905</v>
      </c>
      <c r="AJ2757" s="2">
        <v>74449.598922006495</v>
      </c>
      <c r="AK2757" s="2">
        <v>90962.346830810304</v>
      </c>
      <c r="AL2757" s="2">
        <v>83736.350259374696</v>
      </c>
      <c r="AM2757" s="2">
        <v>84377.023166430197</v>
      </c>
      <c r="AN2757" s="2">
        <v>79690.406374003796</v>
      </c>
      <c r="AO2757" s="2">
        <v>81163.0277122275</v>
      </c>
      <c r="AP2757" s="2">
        <v>79181.580343538502</v>
      </c>
    </row>
    <row r="2758" spans="1:42" ht="14.5" x14ac:dyDescent="0.35">
      <c r="A2758" s="2" t="s">
        <v>18380</v>
      </c>
      <c r="B2758" s="2">
        <v>585.23811532865795</v>
      </c>
      <c r="C2758" s="2">
        <v>7.4131166666666699</v>
      </c>
      <c r="D2758" s="2" t="s">
        <v>70</v>
      </c>
      <c r="E2758" s="2" t="s">
        <v>18381</v>
      </c>
      <c r="F2758" s="2">
        <v>197014</v>
      </c>
      <c r="G2758" s="3" t="str">
        <f>HYPERLINK("http://funmeta.oebiotech.com/network/197014", "http://funmeta.oebiotech.com/network/197014")</f>
        <v>http://funmeta.oebiotech.com/network/197014</v>
      </c>
      <c r="H2758" s="2" t="s">
        <v>18382</v>
      </c>
      <c r="I2758" s="2">
        <v>43470</v>
      </c>
      <c r="J2758" s="2"/>
      <c r="K2758" s="2"/>
      <c r="L2758" s="2"/>
      <c r="M2758" s="2"/>
      <c r="N2758" s="2"/>
      <c r="O2758" s="2">
        <v>4822</v>
      </c>
      <c r="P2758" s="2" t="s">
        <v>18383</v>
      </c>
      <c r="Q2758" s="2" t="s">
        <v>18384</v>
      </c>
      <c r="R2758" s="2" t="s">
        <v>18385</v>
      </c>
      <c r="S2758" s="2" t="s">
        <v>491</v>
      </c>
      <c r="T2758" s="2" t="s">
        <v>7038</v>
      </c>
      <c r="U2758" s="2" t="s">
        <v>7039</v>
      </c>
      <c r="V2758" s="2" t="s">
        <v>59</v>
      </c>
      <c r="W2758" s="2">
        <v>37.700000000000003</v>
      </c>
      <c r="X2758" s="2">
        <v>0</v>
      </c>
      <c r="Y2758" s="2" t="s">
        <v>560</v>
      </c>
      <c r="Z2758" s="2" t="s">
        <v>18386</v>
      </c>
      <c r="AA2758" s="2">
        <v>-3.8370603881683798</v>
      </c>
      <c r="AB2758" s="2">
        <v>0.29191851181713702</v>
      </c>
      <c r="AC2758" s="2">
        <v>8618.6201148421005</v>
      </c>
      <c r="AD2758" s="2">
        <v>2861.2126652930001</v>
      </c>
      <c r="AE2758" s="2">
        <v>9002.8842526711705</v>
      </c>
      <c r="AF2758" s="2">
        <v>8951.0732592970999</v>
      </c>
      <c r="AG2758" s="2">
        <v>8954.6051824049391</v>
      </c>
      <c r="AH2758" s="2">
        <v>7068.2948616216099</v>
      </c>
      <c r="AI2758" s="2">
        <v>8506.5123662230508</v>
      </c>
      <c r="AJ2758" s="2">
        <v>9228.3507668346992</v>
      </c>
      <c r="AK2758" s="2">
        <v>3540.3890676695801</v>
      </c>
      <c r="AL2758" s="2">
        <v>3794.7853920297698</v>
      </c>
      <c r="AM2758" s="2">
        <v>2759.5419675619801</v>
      </c>
      <c r="AN2758" s="2">
        <v>1422.16780583327</v>
      </c>
      <c r="AO2758" s="2">
        <v>2636.3795355555199</v>
      </c>
      <c r="AP2758" s="2">
        <v>3014.0122231078699</v>
      </c>
    </row>
    <row r="2759" spans="1:42" ht="14.5" x14ac:dyDescent="0.35">
      <c r="A2759" s="2" t="s">
        <v>18387</v>
      </c>
      <c r="B2759" s="2">
        <v>714.47783404491997</v>
      </c>
      <c r="C2759" s="2">
        <v>12.5232166666667</v>
      </c>
      <c r="D2759" s="2" t="s">
        <v>34</v>
      </c>
      <c r="E2759" s="2" t="s">
        <v>18388</v>
      </c>
      <c r="F2759" s="2">
        <v>274762</v>
      </c>
      <c r="G2759" s="3" t="str">
        <f>HYPERLINK("http://funmeta.oebiotech.com/network/274762", "http://funmeta.oebiotech.com/network/274762")</f>
        <v>http://funmeta.oebiotech.com/network/274762</v>
      </c>
      <c r="H2759" s="2"/>
      <c r="I2759" s="2">
        <v>65442</v>
      </c>
      <c r="J2759" s="2"/>
      <c r="K2759" s="2"/>
      <c r="L2759" s="2"/>
      <c r="M2759" s="2"/>
      <c r="N2759" s="2"/>
      <c r="O2759" s="2">
        <v>11050877</v>
      </c>
      <c r="P2759" s="2"/>
      <c r="Q2759" s="2" t="s">
        <v>18389</v>
      </c>
      <c r="R2759" s="2" t="s">
        <v>18390</v>
      </c>
      <c r="S2759" s="2" t="s">
        <v>89</v>
      </c>
      <c r="T2759" s="2" t="s">
        <v>1600</v>
      </c>
      <c r="U2759" s="2" t="s">
        <v>3890</v>
      </c>
      <c r="V2759" s="2" t="s">
        <v>59</v>
      </c>
      <c r="W2759" s="2">
        <v>36.9</v>
      </c>
      <c r="X2759" s="2">
        <v>0</v>
      </c>
      <c r="Y2759" s="2" t="s">
        <v>141</v>
      </c>
      <c r="Z2759" s="2" t="s">
        <v>18391</v>
      </c>
      <c r="AA2759" s="2">
        <v>-2.9963364402041699</v>
      </c>
      <c r="AB2759" s="2">
        <v>0.29180289090645101</v>
      </c>
      <c r="AC2759" s="2">
        <v>20956.932911768901</v>
      </c>
      <c r="AD2759" s="2">
        <v>29281.5841630824</v>
      </c>
      <c r="AE2759" s="2">
        <v>18417.769055537701</v>
      </c>
      <c r="AF2759" s="2">
        <v>24550.730675221701</v>
      </c>
      <c r="AG2759" s="2">
        <v>19757.446912125299</v>
      </c>
      <c r="AH2759" s="2">
        <v>22497.898748772699</v>
      </c>
      <c r="AI2759" s="2">
        <v>15927.975547682099</v>
      </c>
      <c r="AJ2759" s="2">
        <v>24589.776531274099</v>
      </c>
      <c r="AK2759" s="2">
        <v>30105.261746398101</v>
      </c>
      <c r="AL2759" s="2">
        <v>22833.082754253701</v>
      </c>
      <c r="AM2759" s="2">
        <v>28901.851778734799</v>
      </c>
      <c r="AN2759" s="2">
        <v>22328.884151731902</v>
      </c>
      <c r="AO2759" s="2">
        <v>33578.5920715627</v>
      </c>
      <c r="AP2759" s="2">
        <v>37941.832475812997</v>
      </c>
    </row>
    <row r="2760" spans="1:42" ht="14.5" x14ac:dyDescent="0.35">
      <c r="A2760" s="2" t="s">
        <v>18392</v>
      </c>
      <c r="B2760" s="2">
        <v>359.10868011060001</v>
      </c>
      <c r="C2760" s="2">
        <v>8.3620833333333309</v>
      </c>
      <c r="D2760" s="2" t="s">
        <v>70</v>
      </c>
      <c r="E2760" s="2" t="s">
        <v>18393</v>
      </c>
      <c r="F2760" s="2">
        <v>62240</v>
      </c>
      <c r="G2760" s="3" t="str">
        <f>HYPERLINK("http://funmeta.oebiotech.com/network/62240", "http://funmeta.oebiotech.com/network/62240")</f>
        <v>http://funmeta.oebiotech.com/network/62240</v>
      </c>
      <c r="H2760" s="2" t="s">
        <v>18394</v>
      </c>
      <c r="I2760" s="2">
        <v>93528</v>
      </c>
      <c r="J2760" s="2"/>
      <c r="K2760" s="2"/>
      <c r="L2760" s="2"/>
      <c r="M2760" s="2"/>
      <c r="N2760" s="2"/>
      <c r="O2760" s="2">
        <v>85775343</v>
      </c>
      <c r="P2760" s="2" t="s">
        <v>18395</v>
      </c>
      <c r="Q2760" s="2" t="s">
        <v>18396</v>
      </c>
      <c r="R2760" s="2" t="s">
        <v>18397</v>
      </c>
      <c r="S2760" s="2" t="s">
        <v>50</v>
      </c>
      <c r="T2760" s="2" t="s">
        <v>229</v>
      </c>
      <c r="U2760" s="2" t="s">
        <v>1007</v>
      </c>
      <c r="V2760" s="2" t="s">
        <v>59</v>
      </c>
      <c r="W2760" s="2">
        <v>39.200000000000003</v>
      </c>
      <c r="X2760" s="2">
        <v>0</v>
      </c>
      <c r="Y2760" s="2" t="s">
        <v>560</v>
      </c>
      <c r="Z2760" s="2" t="s">
        <v>18398</v>
      </c>
      <c r="AA2760" s="2">
        <v>2.5735953324049201</v>
      </c>
      <c r="AB2760" s="2">
        <v>0.29173249920174499</v>
      </c>
      <c r="AC2760" s="2">
        <v>7562.9832917031099</v>
      </c>
      <c r="AD2760" s="2">
        <v>1968.98085981796</v>
      </c>
      <c r="AE2760" s="2">
        <v>7711.5156573587901</v>
      </c>
      <c r="AF2760" s="2">
        <v>7353.0794635053899</v>
      </c>
      <c r="AG2760" s="2">
        <v>7573.31571863925</v>
      </c>
      <c r="AH2760" s="2">
        <v>7570.3932593301197</v>
      </c>
      <c r="AI2760" s="2">
        <v>7759.4008670221001</v>
      </c>
      <c r="AJ2760" s="2">
        <v>7410.1947843629996</v>
      </c>
      <c r="AK2760" s="2">
        <v>2026.17253279238</v>
      </c>
      <c r="AL2760" s="2">
        <v>1894.93953097945</v>
      </c>
      <c r="AM2760" s="2">
        <v>1959.8618629177299</v>
      </c>
      <c r="AN2760" s="2">
        <v>2165.7919291384501</v>
      </c>
      <c r="AO2760" s="2">
        <v>1883.80096868956</v>
      </c>
      <c r="AP2760" s="2">
        <v>1883.3183343901801</v>
      </c>
    </row>
    <row r="2761" spans="1:42" ht="14.5" x14ac:dyDescent="0.35">
      <c r="A2761" s="2" t="s">
        <v>18399</v>
      </c>
      <c r="B2761" s="2">
        <v>438.15391577369797</v>
      </c>
      <c r="C2761" s="2">
        <v>3.7887</v>
      </c>
      <c r="D2761" s="2" t="s">
        <v>34</v>
      </c>
      <c r="E2761" s="2" t="s">
        <v>18400</v>
      </c>
      <c r="F2761" s="2">
        <v>47533</v>
      </c>
      <c r="G2761" s="3" t="str">
        <f>HYPERLINK("http://funmeta.oebiotech.com/network/47533", "http://funmeta.oebiotech.com/network/47533")</f>
        <v>http://funmeta.oebiotech.com/network/47533</v>
      </c>
      <c r="H2761" s="2" t="s">
        <v>18401</v>
      </c>
      <c r="I2761" s="2">
        <v>6185</v>
      </c>
      <c r="J2761" s="2"/>
      <c r="K2761" s="2">
        <v>15636</v>
      </c>
      <c r="L2761" s="2" t="s">
        <v>18402</v>
      </c>
      <c r="M2761" s="2" t="s">
        <v>18403</v>
      </c>
      <c r="N2761" s="2" t="s">
        <v>18404</v>
      </c>
      <c r="O2761" s="2">
        <v>135450599</v>
      </c>
      <c r="P2761" s="2" t="s">
        <v>18405</v>
      </c>
      <c r="Q2761" s="2" t="s">
        <v>18406</v>
      </c>
      <c r="R2761" s="2" t="s">
        <v>18407</v>
      </c>
      <c r="S2761" s="2" t="s">
        <v>491</v>
      </c>
      <c r="T2761" s="2" t="s">
        <v>4914</v>
      </c>
      <c r="U2761" s="2" t="s">
        <v>4915</v>
      </c>
      <c r="V2761" s="2" t="s">
        <v>59</v>
      </c>
      <c r="W2761" s="2">
        <v>41.9</v>
      </c>
      <c r="X2761" s="2">
        <v>37</v>
      </c>
      <c r="Y2761" s="2" t="s">
        <v>141</v>
      </c>
      <c r="Z2761" s="2" t="s">
        <v>18408</v>
      </c>
      <c r="AA2761" s="2">
        <v>4.1141982505338603</v>
      </c>
      <c r="AB2761" s="2">
        <v>0.291673465475356</v>
      </c>
      <c r="AC2761" s="2">
        <v>9004.7556448910691</v>
      </c>
      <c r="AD2761" s="2">
        <v>3344.64902266728</v>
      </c>
      <c r="AE2761" s="2">
        <v>9614.7366052768903</v>
      </c>
      <c r="AF2761" s="2">
        <v>9160.5472622836405</v>
      </c>
      <c r="AG2761" s="2">
        <v>8912.5254654153996</v>
      </c>
      <c r="AH2761" s="2">
        <v>8353.305044056</v>
      </c>
      <c r="AI2761" s="2">
        <v>8008.5824589271197</v>
      </c>
      <c r="AJ2761" s="2">
        <v>9978.8370333874009</v>
      </c>
      <c r="AK2761" s="2">
        <v>3550.8981727830901</v>
      </c>
      <c r="AL2761" s="2">
        <v>3448.0393817304398</v>
      </c>
      <c r="AM2761" s="2">
        <v>3724.1060963167201</v>
      </c>
      <c r="AN2761" s="2">
        <v>2948.7084779943498</v>
      </c>
      <c r="AO2761" s="2">
        <v>3386.93515520041</v>
      </c>
      <c r="AP2761" s="2">
        <v>3009.2068519786799</v>
      </c>
    </row>
    <row r="2762" spans="1:42" ht="14.5" x14ac:dyDescent="0.35">
      <c r="A2762" s="2" t="s">
        <v>18409</v>
      </c>
      <c r="B2762" s="2">
        <v>590.29561271574505</v>
      </c>
      <c r="C2762" s="2">
        <v>8.4346166666666704</v>
      </c>
      <c r="D2762" s="2" t="s">
        <v>34</v>
      </c>
      <c r="E2762" s="2" t="s">
        <v>18410</v>
      </c>
      <c r="F2762" s="2">
        <v>204078</v>
      </c>
      <c r="G2762" s="3" t="str">
        <f>HYPERLINK("http://funmeta.oebiotech.com/network/204078", "http://funmeta.oebiotech.com/network/204078")</f>
        <v>http://funmeta.oebiotech.com/network/204078</v>
      </c>
      <c r="H2762" s="2" t="s">
        <v>18411</v>
      </c>
      <c r="I2762" s="2"/>
      <c r="J2762" s="2"/>
      <c r="K2762" s="2"/>
      <c r="L2762" s="2"/>
      <c r="M2762" s="2"/>
      <c r="N2762" s="2"/>
      <c r="O2762" s="2">
        <v>13343339</v>
      </c>
      <c r="P2762" s="2"/>
      <c r="Q2762" s="2" t="s">
        <v>18412</v>
      </c>
      <c r="R2762" s="2" t="s">
        <v>18413</v>
      </c>
      <c r="S2762" s="2" t="s">
        <v>50</v>
      </c>
      <c r="T2762" s="2" t="s">
        <v>201</v>
      </c>
      <c r="U2762" s="2" t="s">
        <v>241</v>
      </c>
      <c r="V2762" s="2" t="s">
        <v>59</v>
      </c>
      <c r="W2762" s="2">
        <v>38.200000000000003</v>
      </c>
      <c r="X2762" s="2">
        <v>0</v>
      </c>
      <c r="Y2762" s="2" t="s">
        <v>394</v>
      </c>
      <c r="Z2762" s="2" t="s">
        <v>18414</v>
      </c>
      <c r="AA2762" s="2">
        <v>-0.61140773046388297</v>
      </c>
      <c r="AB2762" s="2">
        <v>0.291614466681828</v>
      </c>
      <c r="AC2762" s="2">
        <v>7325.2338933013998</v>
      </c>
      <c r="AD2762" s="2">
        <v>1657.6164151493001</v>
      </c>
      <c r="AE2762" s="2">
        <v>8133.0774529247001</v>
      </c>
      <c r="AF2762" s="2">
        <v>7172.1245364408796</v>
      </c>
      <c r="AG2762" s="2">
        <v>7267.2187673624003</v>
      </c>
      <c r="AH2762" s="2">
        <v>7271.3980717732702</v>
      </c>
      <c r="AI2762" s="2">
        <v>7025.8733144800199</v>
      </c>
      <c r="AJ2762" s="2">
        <v>7081.7112168271096</v>
      </c>
      <c r="AK2762" s="2">
        <v>1110.7975536568099</v>
      </c>
      <c r="AL2762" s="2">
        <v>2792.6933796186599</v>
      </c>
      <c r="AM2762" s="2">
        <v>1742.4679204978199</v>
      </c>
      <c r="AN2762" s="2">
        <v>1366.5982440711</v>
      </c>
      <c r="AO2762" s="2">
        <v>806.82998400102201</v>
      </c>
      <c r="AP2762" s="2">
        <v>2126.31140905039</v>
      </c>
    </row>
    <row r="2763" spans="1:42" ht="14.5" x14ac:dyDescent="0.35">
      <c r="A2763" s="2" t="s">
        <v>18415</v>
      </c>
      <c r="B2763" s="2">
        <v>675.34471839921798</v>
      </c>
      <c r="C2763" s="2">
        <v>4.7218999999999998</v>
      </c>
      <c r="D2763" s="2" t="s">
        <v>70</v>
      </c>
      <c r="E2763" s="2" t="s">
        <v>18416</v>
      </c>
      <c r="F2763" s="2">
        <v>502</v>
      </c>
      <c r="G2763" s="3" t="str">
        <f>HYPERLINK("http://funmeta.oebiotech.com/network/502", "http://funmeta.oebiotech.com/network/502")</f>
        <v>http://funmeta.oebiotech.com/network/502</v>
      </c>
      <c r="H2763" s="2"/>
      <c r="I2763" s="2"/>
      <c r="J2763" s="2" t="s">
        <v>18417</v>
      </c>
      <c r="K2763" s="2"/>
      <c r="L2763" s="2"/>
      <c r="M2763" s="2"/>
      <c r="N2763" s="2"/>
      <c r="O2763" s="2">
        <v>153296861</v>
      </c>
      <c r="P2763" s="2"/>
      <c r="Q2763" s="2" t="s">
        <v>18418</v>
      </c>
      <c r="R2763" s="2" t="s">
        <v>18419</v>
      </c>
      <c r="S2763" s="2" t="s">
        <v>50</v>
      </c>
      <c r="T2763" s="2" t="s">
        <v>229</v>
      </c>
      <c r="U2763" s="2" t="s">
        <v>433</v>
      </c>
      <c r="V2763" s="2" t="s">
        <v>59</v>
      </c>
      <c r="W2763" s="2">
        <v>37.299999999999997</v>
      </c>
      <c r="X2763" s="2">
        <v>0</v>
      </c>
      <c r="Y2763" s="2" t="s">
        <v>560</v>
      </c>
      <c r="Z2763" s="2" t="s">
        <v>18420</v>
      </c>
      <c r="AA2763" s="2">
        <v>-0.92337589109982399</v>
      </c>
      <c r="AB2763" s="2">
        <v>0.29156718633103001</v>
      </c>
      <c r="AC2763" s="2">
        <v>11687.028019661901</v>
      </c>
      <c r="AD2763" s="2">
        <v>17991.615110691899</v>
      </c>
      <c r="AE2763" s="2">
        <v>11524.9622555072</v>
      </c>
      <c r="AF2763" s="2">
        <v>8909.5801359560792</v>
      </c>
      <c r="AG2763" s="2">
        <v>12985.0126087237</v>
      </c>
      <c r="AH2763" s="2">
        <v>14964.9237511641</v>
      </c>
      <c r="AI2763" s="2">
        <v>11333.567416150199</v>
      </c>
      <c r="AJ2763" s="2">
        <v>10404.1219504703</v>
      </c>
      <c r="AK2763" s="2">
        <v>15658.6791206991</v>
      </c>
      <c r="AL2763" s="2">
        <v>17054.734752127501</v>
      </c>
      <c r="AM2763" s="2">
        <v>19952.044472684101</v>
      </c>
      <c r="AN2763" s="2">
        <v>17947.4597427554</v>
      </c>
      <c r="AO2763" s="2">
        <v>19335.516589940002</v>
      </c>
      <c r="AP2763" s="2">
        <v>18001.255985945299</v>
      </c>
    </row>
    <row r="2764" spans="1:42" ht="14.5" x14ac:dyDescent="0.35">
      <c r="A2764" s="2" t="s">
        <v>18421</v>
      </c>
      <c r="B2764" s="2">
        <v>273.25752891693003</v>
      </c>
      <c r="C2764" s="2">
        <v>12.756133333333301</v>
      </c>
      <c r="D2764" s="2" t="s">
        <v>34</v>
      </c>
      <c r="E2764" s="2" t="s">
        <v>18422</v>
      </c>
      <c r="F2764" s="2">
        <v>36030</v>
      </c>
      <c r="G2764" s="3" t="str">
        <f>HYPERLINK("http://funmeta.oebiotech.com/network/36030", "http://funmeta.oebiotech.com/network/36030")</f>
        <v>http://funmeta.oebiotech.com/network/36030</v>
      </c>
      <c r="H2764" s="2"/>
      <c r="I2764" s="2">
        <v>41248</v>
      </c>
      <c r="J2764" s="2" t="s">
        <v>18423</v>
      </c>
      <c r="K2764" s="2">
        <v>82800</v>
      </c>
      <c r="L2764" s="2" t="s">
        <v>18424</v>
      </c>
      <c r="M2764" s="2"/>
      <c r="N2764" s="2"/>
      <c r="O2764" s="2">
        <v>5281384</v>
      </c>
      <c r="P2764" s="2"/>
      <c r="Q2764" s="2" t="s">
        <v>18425</v>
      </c>
      <c r="R2764" s="2" t="s">
        <v>18426</v>
      </c>
      <c r="S2764" s="2" t="s">
        <v>50</v>
      </c>
      <c r="T2764" s="2" t="s">
        <v>201</v>
      </c>
      <c r="U2764" s="2" t="s">
        <v>241</v>
      </c>
      <c r="V2764" s="2" t="s">
        <v>42</v>
      </c>
      <c r="W2764" s="2">
        <v>56.6</v>
      </c>
      <c r="X2764" s="2">
        <v>86.3</v>
      </c>
      <c r="Y2764" s="2" t="s">
        <v>394</v>
      </c>
      <c r="Z2764" s="2" t="s">
        <v>18427</v>
      </c>
      <c r="AA2764" s="2">
        <v>-0.54560547735237197</v>
      </c>
      <c r="AB2764" s="2">
        <v>0.291408946754384</v>
      </c>
      <c r="AC2764" s="2">
        <v>6830.1142465572902</v>
      </c>
      <c r="AD2764" s="2">
        <v>1243.1671812745101</v>
      </c>
      <c r="AE2764" s="2">
        <v>6769.0182443150998</v>
      </c>
      <c r="AF2764" s="2">
        <v>6652.5127096589104</v>
      </c>
      <c r="AG2764" s="2">
        <v>6722.9461071973201</v>
      </c>
      <c r="AH2764" s="2">
        <v>6794.7335059580701</v>
      </c>
      <c r="AI2764" s="2">
        <v>7249.1905137929298</v>
      </c>
      <c r="AJ2764" s="2">
        <v>6792.2843984214296</v>
      </c>
      <c r="AK2764" s="2">
        <v>1273.8281976599801</v>
      </c>
      <c r="AL2764" s="2">
        <v>1293.2548952519101</v>
      </c>
      <c r="AM2764" s="2">
        <v>1070.16397609511</v>
      </c>
      <c r="AN2764" s="2">
        <v>1122.8722018252299</v>
      </c>
      <c r="AO2764" s="2">
        <v>1461.4731389927799</v>
      </c>
      <c r="AP2764" s="2">
        <v>1237.41067782204</v>
      </c>
    </row>
    <row r="2765" spans="1:42" ht="14.5" x14ac:dyDescent="0.35">
      <c r="A2765" s="2" t="s">
        <v>18428</v>
      </c>
      <c r="B2765" s="2">
        <v>479.17359333578099</v>
      </c>
      <c r="C2765" s="2">
        <v>2.06958333333333</v>
      </c>
      <c r="D2765" s="2" t="s">
        <v>34</v>
      </c>
      <c r="E2765" s="2" t="s">
        <v>18429</v>
      </c>
      <c r="F2765" s="2">
        <v>56581</v>
      </c>
      <c r="G2765" s="3" t="str">
        <f>HYPERLINK("http://funmeta.oebiotech.com/network/56581", "http://funmeta.oebiotech.com/network/56581")</f>
        <v>http://funmeta.oebiotech.com/network/56581</v>
      </c>
      <c r="H2765" s="2" t="s">
        <v>18430</v>
      </c>
      <c r="I2765" s="2">
        <v>88215</v>
      </c>
      <c r="J2765" s="2"/>
      <c r="K2765" s="2"/>
      <c r="L2765" s="2"/>
      <c r="M2765" s="2"/>
      <c r="N2765" s="2"/>
      <c r="O2765" s="2">
        <v>131751263</v>
      </c>
      <c r="P2765" s="2"/>
      <c r="Q2765" s="2" t="s">
        <v>18431</v>
      </c>
      <c r="R2765" s="2" t="s">
        <v>18432</v>
      </c>
      <c r="S2765" s="2" t="s">
        <v>79</v>
      </c>
      <c r="T2765" s="2" t="s">
        <v>80</v>
      </c>
      <c r="U2765" s="2" t="s">
        <v>81</v>
      </c>
      <c r="V2765" s="2" t="s">
        <v>59</v>
      </c>
      <c r="W2765" s="2">
        <v>46.5</v>
      </c>
      <c r="X2765" s="2">
        <v>45</v>
      </c>
      <c r="Y2765" s="2" t="s">
        <v>394</v>
      </c>
      <c r="Z2765" s="2" t="s">
        <v>18433</v>
      </c>
      <c r="AA2765" s="2">
        <v>-4.8604454578131904</v>
      </c>
      <c r="AB2765" s="2">
        <v>0.29133912807455598</v>
      </c>
      <c r="AC2765" s="2">
        <v>44838.725228277697</v>
      </c>
      <c r="AD2765" s="2">
        <v>37869.769187056001</v>
      </c>
      <c r="AE2765" s="2">
        <v>44150.2590807179</v>
      </c>
      <c r="AF2765" s="2">
        <v>43480.483611782904</v>
      </c>
      <c r="AG2765" s="2">
        <v>42477.370507025204</v>
      </c>
      <c r="AH2765" s="2">
        <v>42297.190407314098</v>
      </c>
      <c r="AI2765" s="2">
        <v>46062.898660774197</v>
      </c>
      <c r="AJ2765" s="2">
        <v>50564.149102052201</v>
      </c>
      <c r="AK2765" s="2">
        <v>35551.062109750703</v>
      </c>
      <c r="AL2765" s="2">
        <v>37049.250477536902</v>
      </c>
      <c r="AM2765" s="2">
        <v>38642.956724462703</v>
      </c>
      <c r="AN2765" s="2">
        <v>37516.791290949797</v>
      </c>
      <c r="AO2765" s="2">
        <v>35958.244323653103</v>
      </c>
      <c r="AP2765" s="2">
        <v>42500.310195982602</v>
      </c>
    </row>
    <row r="2766" spans="1:42" ht="14.5" x14ac:dyDescent="0.35">
      <c r="A2766" s="2" t="s">
        <v>18434</v>
      </c>
      <c r="B2766" s="2">
        <v>475.23343508952001</v>
      </c>
      <c r="C2766" s="2">
        <v>8.3379333333333303</v>
      </c>
      <c r="D2766" s="2" t="s">
        <v>70</v>
      </c>
      <c r="E2766" s="2" t="s">
        <v>18435</v>
      </c>
      <c r="F2766" s="2">
        <v>207819</v>
      </c>
      <c r="G2766" s="3" t="str">
        <f>HYPERLINK("http://funmeta.oebiotech.com/network/207819", "http://funmeta.oebiotech.com/network/207819")</f>
        <v>http://funmeta.oebiotech.com/network/207819</v>
      </c>
      <c r="H2766" s="2" t="s">
        <v>18436</v>
      </c>
      <c r="I2766" s="2"/>
      <c r="J2766" s="2"/>
      <c r="K2766" s="2"/>
      <c r="L2766" s="2"/>
      <c r="M2766" s="2"/>
      <c r="N2766" s="2"/>
      <c r="O2766" s="2">
        <v>73234850</v>
      </c>
      <c r="P2766" s="2"/>
      <c r="Q2766" s="2" t="s">
        <v>18437</v>
      </c>
      <c r="R2766" s="2" t="s">
        <v>18438</v>
      </c>
      <c r="S2766" s="2" t="s">
        <v>50</v>
      </c>
      <c r="T2766" s="2" t="s">
        <v>201</v>
      </c>
      <c r="U2766" s="2" t="s">
        <v>241</v>
      </c>
      <c r="V2766" s="2" t="s">
        <v>59</v>
      </c>
      <c r="W2766" s="2">
        <v>47.5</v>
      </c>
      <c r="X2766" s="2">
        <v>43.2</v>
      </c>
      <c r="Y2766" s="2" t="s">
        <v>408</v>
      </c>
      <c r="Z2766" s="2" t="s">
        <v>18439</v>
      </c>
      <c r="AA2766" s="2">
        <v>-0.71260552096344298</v>
      </c>
      <c r="AB2766" s="2">
        <v>0.29121041319079199</v>
      </c>
      <c r="AC2766" s="2">
        <v>8731.2453555495194</v>
      </c>
      <c r="AD2766" s="2">
        <v>2941.9408309218602</v>
      </c>
      <c r="AE2766" s="2">
        <v>9009.4235162717996</v>
      </c>
      <c r="AF2766" s="2">
        <v>9339.0649053349698</v>
      </c>
      <c r="AG2766" s="2">
        <v>9637.78493006399</v>
      </c>
      <c r="AH2766" s="2">
        <v>7352.11548245841</v>
      </c>
      <c r="AI2766" s="2">
        <v>9851.5470862620605</v>
      </c>
      <c r="AJ2766" s="2">
        <v>7197.5362129059004</v>
      </c>
      <c r="AK2766" s="2">
        <v>2977.8530265742402</v>
      </c>
      <c r="AL2766" s="2">
        <v>2907.0270464785999</v>
      </c>
      <c r="AM2766" s="2">
        <v>2882.1165946141</v>
      </c>
      <c r="AN2766" s="2">
        <v>3048.1742672667601</v>
      </c>
      <c r="AO2766" s="2">
        <v>3679.3374986037902</v>
      </c>
      <c r="AP2766" s="2">
        <v>2157.1365519936799</v>
      </c>
    </row>
    <row r="2767" spans="1:42" ht="14.5" x14ac:dyDescent="0.35">
      <c r="A2767" s="2" t="s">
        <v>18440</v>
      </c>
      <c r="B2767" s="2">
        <v>563.31907574280899</v>
      </c>
      <c r="C2767" s="2">
        <v>9.9973333333333301</v>
      </c>
      <c r="D2767" s="2" t="s">
        <v>34</v>
      </c>
      <c r="E2767" s="2" t="s">
        <v>18441</v>
      </c>
      <c r="F2767" s="2">
        <v>35972</v>
      </c>
      <c r="G2767" s="3" t="str">
        <f>HYPERLINK("http://funmeta.oebiotech.com/network/35972", "http://funmeta.oebiotech.com/network/35972")</f>
        <v>http://funmeta.oebiotech.com/network/35972</v>
      </c>
      <c r="H2767" s="2"/>
      <c r="I2767" s="2"/>
      <c r="J2767" s="2" t="s">
        <v>18442</v>
      </c>
      <c r="K2767" s="2"/>
      <c r="L2767" s="2"/>
      <c r="M2767" s="2"/>
      <c r="N2767" s="2"/>
      <c r="O2767" s="2"/>
      <c r="P2767" s="2"/>
      <c r="Q2767" s="2" t="s">
        <v>18443</v>
      </c>
      <c r="R2767" s="2" t="s">
        <v>18444</v>
      </c>
      <c r="S2767" s="2" t="s">
        <v>50</v>
      </c>
      <c r="T2767" s="2" t="s">
        <v>201</v>
      </c>
      <c r="U2767" s="2" t="s">
        <v>202</v>
      </c>
      <c r="V2767" s="2" t="s">
        <v>59</v>
      </c>
      <c r="W2767" s="2">
        <v>40.1</v>
      </c>
      <c r="X2767" s="2">
        <v>10.9</v>
      </c>
      <c r="Y2767" s="2" t="s">
        <v>141</v>
      </c>
      <c r="Z2767" s="2" t="s">
        <v>18445</v>
      </c>
      <c r="AA2767" s="2">
        <v>-4.1076003738578697</v>
      </c>
      <c r="AB2767" s="2">
        <v>0.291121679774408</v>
      </c>
      <c r="AC2767" s="2">
        <v>15246.7226820382</v>
      </c>
      <c r="AD2767" s="2">
        <v>9475.3700335650501</v>
      </c>
      <c r="AE2767" s="2">
        <v>16037.886606627701</v>
      </c>
      <c r="AF2767" s="2">
        <v>14456.5000588442</v>
      </c>
      <c r="AG2767" s="2">
        <v>14918.984773071499</v>
      </c>
      <c r="AH2767" s="2">
        <v>15604.072355324901</v>
      </c>
      <c r="AI2767" s="2">
        <v>13521.337308293199</v>
      </c>
      <c r="AJ2767" s="2">
        <v>16941.554990067802</v>
      </c>
      <c r="AK2767" s="2">
        <v>9942.4640518405304</v>
      </c>
      <c r="AL2767" s="2">
        <v>9416.3396561687896</v>
      </c>
      <c r="AM2767" s="2">
        <v>9060.5355379722296</v>
      </c>
      <c r="AN2767" s="2">
        <v>8933.1563739181493</v>
      </c>
      <c r="AO2767" s="2">
        <v>9299.6317561914093</v>
      </c>
      <c r="AP2767" s="2">
        <v>10200.0928252992</v>
      </c>
    </row>
    <row r="2768" spans="1:42" ht="14.5" x14ac:dyDescent="0.35">
      <c r="A2768" s="2" t="s">
        <v>18446</v>
      </c>
      <c r="B2768" s="2">
        <v>225.109509220641</v>
      </c>
      <c r="C2768" s="2">
        <v>4.7186333333333303</v>
      </c>
      <c r="D2768" s="2" t="s">
        <v>34</v>
      </c>
      <c r="E2768" s="2" t="s">
        <v>18447</v>
      </c>
      <c r="F2768" s="2">
        <v>1900</v>
      </c>
      <c r="G2768" s="3" t="str">
        <f>HYPERLINK("http://funmeta.oebiotech.com/network/1900", "http://funmeta.oebiotech.com/network/1900")</f>
        <v>http://funmeta.oebiotech.com/network/1900</v>
      </c>
      <c r="H2768" s="2"/>
      <c r="I2768" s="2"/>
      <c r="J2768" s="2" t="s">
        <v>18448</v>
      </c>
      <c r="K2768" s="2"/>
      <c r="L2768" s="2"/>
      <c r="M2768" s="2"/>
      <c r="N2768" s="2"/>
      <c r="O2768" s="2">
        <v>25141159</v>
      </c>
      <c r="P2768" s="2"/>
      <c r="Q2768" s="2" t="s">
        <v>18449</v>
      </c>
      <c r="R2768" s="2" t="s">
        <v>18450</v>
      </c>
      <c r="S2768" s="2" t="s">
        <v>89</v>
      </c>
      <c r="T2768" s="2" t="s">
        <v>4218</v>
      </c>
      <c r="U2768" s="2" t="s">
        <v>5830</v>
      </c>
      <c r="V2768" s="2" t="s">
        <v>59</v>
      </c>
      <c r="W2768" s="2">
        <v>42.7</v>
      </c>
      <c r="X2768" s="2">
        <v>18.5</v>
      </c>
      <c r="Y2768" s="2" t="s">
        <v>1115</v>
      </c>
      <c r="Z2768" s="2" t="s">
        <v>18451</v>
      </c>
      <c r="AA2768" s="2">
        <v>-1.0910068466230001</v>
      </c>
      <c r="AB2768" s="2">
        <v>0.29111259648190102</v>
      </c>
      <c r="AC2768" s="2">
        <v>17608.908127441999</v>
      </c>
      <c r="AD2768" s="2">
        <v>23614.735915709301</v>
      </c>
      <c r="AE2768" s="2">
        <v>18701.3288564309</v>
      </c>
      <c r="AF2768" s="2">
        <v>16724.9053045648</v>
      </c>
      <c r="AG2768" s="2">
        <v>17496.663707004001</v>
      </c>
      <c r="AH2768" s="2">
        <v>18117.046502266901</v>
      </c>
      <c r="AI2768" s="2">
        <v>16992.469531636099</v>
      </c>
      <c r="AJ2768" s="2">
        <v>17621.034862749399</v>
      </c>
      <c r="AK2768" s="2">
        <v>25926.668455872099</v>
      </c>
      <c r="AL2768" s="2">
        <v>24544.7167693296</v>
      </c>
      <c r="AM2768" s="2">
        <v>21060.314029749101</v>
      </c>
      <c r="AN2768" s="2">
        <v>23553.305739599899</v>
      </c>
      <c r="AO2768" s="2">
        <v>24211.531185345098</v>
      </c>
      <c r="AP2768" s="2">
        <v>22391.879314359801</v>
      </c>
    </row>
    <row r="2769" spans="1:42" ht="14.5" x14ac:dyDescent="0.35">
      <c r="A2769" s="2" t="s">
        <v>18452</v>
      </c>
      <c r="B2769" s="2">
        <v>509.15077029877398</v>
      </c>
      <c r="C2769" s="2">
        <v>2.1229166666666699</v>
      </c>
      <c r="D2769" s="2" t="s">
        <v>70</v>
      </c>
      <c r="E2769" s="2" t="s">
        <v>18453</v>
      </c>
      <c r="F2769" s="2">
        <v>209312</v>
      </c>
      <c r="G2769" s="3" t="str">
        <f>HYPERLINK("http://funmeta.oebiotech.com/network/209312", "http://funmeta.oebiotech.com/network/209312")</f>
        <v>http://funmeta.oebiotech.com/network/209312</v>
      </c>
      <c r="H2769" s="2" t="s">
        <v>18454</v>
      </c>
      <c r="I2769" s="2">
        <v>318594</v>
      </c>
      <c r="J2769" s="2"/>
      <c r="K2769" s="2"/>
      <c r="L2769" s="2"/>
      <c r="M2769" s="2"/>
      <c r="N2769" s="2"/>
      <c r="O2769" s="2">
        <v>145816</v>
      </c>
      <c r="P2769" s="2"/>
      <c r="Q2769" s="2" t="s">
        <v>18455</v>
      </c>
      <c r="R2769" s="2" t="s">
        <v>18456</v>
      </c>
      <c r="S2769" s="2" t="s">
        <v>41</v>
      </c>
      <c r="T2769" s="2" t="s">
        <v>41</v>
      </c>
      <c r="U2769" s="2" t="s">
        <v>41</v>
      </c>
      <c r="V2769" s="2" t="s">
        <v>59</v>
      </c>
      <c r="W2769" s="2">
        <v>38.4</v>
      </c>
      <c r="X2769" s="2">
        <v>0</v>
      </c>
      <c r="Y2769" s="2" t="s">
        <v>560</v>
      </c>
      <c r="Z2769" s="2" t="s">
        <v>18457</v>
      </c>
      <c r="AA2769" s="2">
        <v>0.108536404163439</v>
      </c>
      <c r="AB2769" s="2">
        <v>0.29089613467124098</v>
      </c>
      <c r="AC2769" s="2">
        <v>10565.7335623124</v>
      </c>
      <c r="AD2769" s="2">
        <v>4491.9790478661598</v>
      </c>
      <c r="AE2769" s="2">
        <v>9805.7634102448501</v>
      </c>
      <c r="AF2769" s="2">
        <v>8772.2522112834995</v>
      </c>
      <c r="AG2769" s="2">
        <v>11446.1307361954</v>
      </c>
      <c r="AH2769" s="2">
        <v>10089.0006969676</v>
      </c>
      <c r="AI2769" s="2">
        <v>8949.7473030767997</v>
      </c>
      <c r="AJ2769" s="2">
        <v>14331.507016106299</v>
      </c>
      <c r="AK2769" s="2">
        <v>4038.6254664298199</v>
      </c>
      <c r="AL2769" s="2">
        <v>4207.1003313616002</v>
      </c>
      <c r="AM2769" s="2">
        <v>4308.1381661304404</v>
      </c>
      <c r="AN2769" s="2">
        <v>4981.5893390493902</v>
      </c>
      <c r="AO2769" s="2">
        <v>4751.19508024683</v>
      </c>
      <c r="AP2769" s="2">
        <v>4665.2259039788496</v>
      </c>
    </row>
    <row r="2770" spans="1:42" ht="14.5" x14ac:dyDescent="0.35">
      <c r="A2770" s="2" t="s">
        <v>18458</v>
      </c>
      <c r="B2770" s="2">
        <v>483.27968569649897</v>
      </c>
      <c r="C2770" s="2">
        <v>5.2829833333333296</v>
      </c>
      <c r="D2770" s="2" t="s">
        <v>34</v>
      </c>
      <c r="E2770" s="2" t="s">
        <v>18459</v>
      </c>
      <c r="F2770" s="2">
        <v>207304</v>
      </c>
      <c r="G2770" s="3" t="str">
        <f>HYPERLINK("http://funmeta.oebiotech.com/network/207304", "http://funmeta.oebiotech.com/network/207304")</f>
        <v>http://funmeta.oebiotech.com/network/207304</v>
      </c>
      <c r="H2770" s="2" t="s">
        <v>18460</v>
      </c>
      <c r="I2770" s="2"/>
      <c r="J2770" s="2"/>
      <c r="K2770" s="2"/>
      <c r="L2770" s="2"/>
      <c r="M2770" s="2"/>
      <c r="N2770" s="2"/>
      <c r="O2770" s="2">
        <v>18487920</v>
      </c>
      <c r="P2770" s="2"/>
      <c r="Q2770" s="2" t="s">
        <v>18461</v>
      </c>
      <c r="R2770" s="2" t="s">
        <v>18462</v>
      </c>
      <c r="S2770" s="2" t="s">
        <v>41</v>
      </c>
      <c r="T2770" s="2" t="s">
        <v>41</v>
      </c>
      <c r="U2770" s="2" t="s">
        <v>41</v>
      </c>
      <c r="V2770" s="2" t="s">
        <v>59</v>
      </c>
      <c r="W2770" s="2">
        <v>36.700000000000003</v>
      </c>
      <c r="X2770" s="2">
        <v>0</v>
      </c>
      <c r="Y2770" s="2" t="s">
        <v>43</v>
      </c>
      <c r="Z2770" s="2" t="s">
        <v>18463</v>
      </c>
      <c r="AA2770" s="2">
        <v>2.24619661435203</v>
      </c>
      <c r="AB2770" s="2">
        <v>0.29087137060228901</v>
      </c>
      <c r="AC2770" s="2">
        <v>59372.167411081697</v>
      </c>
      <c r="AD2770" s="2">
        <v>67493.443707183804</v>
      </c>
      <c r="AE2770" s="2">
        <v>54235.508402838299</v>
      </c>
      <c r="AF2770" s="2">
        <v>57585.244258494</v>
      </c>
      <c r="AG2770" s="2">
        <v>57875.748000683998</v>
      </c>
      <c r="AH2770" s="2">
        <v>67927.468663384803</v>
      </c>
      <c r="AI2770" s="2">
        <v>61385.0771264207</v>
      </c>
      <c r="AJ2770" s="2">
        <v>57223.958014668402</v>
      </c>
      <c r="AK2770" s="2">
        <v>69195.395872777299</v>
      </c>
      <c r="AL2770" s="2">
        <v>64679.103733465701</v>
      </c>
      <c r="AM2770" s="2">
        <v>73713.850830676805</v>
      </c>
      <c r="AN2770" s="2">
        <v>61427.012130827003</v>
      </c>
      <c r="AO2770" s="2">
        <v>64129.8572603754</v>
      </c>
      <c r="AP2770" s="2">
        <v>71815.442414980498</v>
      </c>
    </row>
    <row r="2771" spans="1:42" ht="14.5" x14ac:dyDescent="0.35">
      <c r="A2771" s="2" t="s">
        <v>18464</v>
      </c>
      <c r="B2771" s="2">
        <v>445.18603250232502</v>
      </c>
      <c r="C2771" s="2">
        <v>5.5233833333333298</v>
      </c>
      <c r="D2771" s="2" t="s">
        <v>34</v>
      </c>
      <c r="E2771" s="2" t="s">
        <v>18465</v>
      </c>
      <c r="F2771" s="2">
        <v>59689</v>
      </c>
      <c r="G2771" s="3" t="str">
        <f>HYPERLINK("http://funmeta.oebiotech.com/network/59689", "http://funmeta.oebiotech.com/network/59689")</f>
        <v>http://funmeta.oebiotech.com/network/59689</v>
      </c>
      <c r="H2771" s="2" t="s">
        <v>18466</v>
      </c>
      <c r="I2771" s="2">
        <v>91075</v>
      </c>
      <c r="J2771" s="2"/>
      <c r="K2771" s="2">
        <v>168896</v>
      </c>
      <c r="L2771" s="2"/>
      <c r="M2771" s="2"/>
      <c r="N2771" s="2"/>
      <c r="O2771" s="2">
        <v>131751876</v>
      </c>
      <c r="P2771" s="2" t="s">
        <v>18467</v>
      </c>
      <c r="Q2771" s="2" t="s">
        <v>18468</v>
      </c>
      <c r="R2771" s="2" t="s">
        <v>18469</v>
      </c>
      <c r="S2771" s="2" t="s">
        <v>50</v>
      </c>
      <c r="T2771" s="2" t="s">
        <v>201</v>
      </c>
      <c r="U2771" s="2" t="s">
        <v>636</v>
      </c>
      <c r="V2771" s="2" t="s">
        <v>59</v>
      </c>
      <c r="W2771" s="2">
        <v>38.5</v>
      </c>
      <c r="X2771" s="2">
        <v>0</v>
      </c>
      <c r="Y2771" s="2" t="s">
        <v>141</v>
      </c>
      <c r="Z2771" s="2" t="s">
        <v>18470</v>
      </c>
      <c r="AA2771" s="2">
        <v>0.73176600453505303</v>
      </c>
      <c r="AB2771" s="2">
        <v>0.29068322285030301</v>
      </c>
      <c r="AC2771" s="2">
        <v>6371.5396392254297</v>
      </c>
      <c r="AD2771" s="2">
        <v>13191.5073222558</v>
      </c>
      <c r="AE2771" s="2">
        <v>6885.9518689423603</v>
      </c>
      <c r="AF2771" s="2">
        <v>6300.9513781184996</v>
      </c>
      <c r="AG2771" s="2">
        <v>4214.05551446549</v>
      </c>
      <c r="AH2771" s="2">
        <v>7066.8877277627298</v>
      </c>
      <c r="AI2771" s="2">
        <v>5916.7136960550797</v>
      </c>
      <c r="AJ2771" s="2">
        <v>7844.6776500084197</v>
      </c>
      <c r="AK2771" s="2">
        <v>8550.3329502106608</v>
      </c>
      <c r="AL2771" s="2">
        <v>12747.0891402834</v>
      </c>
      <c r="AM2771" s="2">
        <v>13670.648191247001</v>
      </c>
      <c r="AN2771" s="2">
        <v>19360.207848808699</v>
      </c>
      <c r="AO2771" s="2">
        <v>10848.283484277799</v>
      </c>
      <c r="AP2771" s="2">
        <v>13972.4823187074</v>
      </c>
    </row>
    <row r="2772" spans="1:42" ht="14.5" x14ac:dyDescent="0.35">
      <c r="A2772" s="2" t="s">
        <v>18471</v>
      </c>
      <c r="B2772" s="2">
        <v>526.21032937647499</v>
      </c>
      <c r="C2772" s="2">
        <v>4.6130500000000003</v>
      </c>
      <c r="D2772" s="2" t="s">
        <v>70</v>
      </c>
      <c r="E2772" s="2" t="s">
        <v>18472</v>
      </c>
      <c r="F2772" s="2">
        <v>210975</v>
      </c>
      <c r="G2772" s="3" t="str">
        <f>HYPERLINK("http://funmeta.oebiotech.com/network/210975", "http://funmeta.oebiotech.com/network/210975")</f>
        <v>http://funmeta.oebiotech.com/network/210975</v>
      </c>
      <c r="H2772" s="2" t="s">
        <v>18473</v>
      </c>
      <c r="I2772" s="2"/>
      <c r="J2772" s="2"/>
      <c r="K2772" s="2"/>
      <c r="L2772" s="2"/>
      <c r="M2772" s="2"/>
      <c r="N2772" s="2"/>
      <c r="O2772" s="2"/>
      <c r="P2772" s="2"/>
      <c r="Q2772" s="2" t="s">
        <v>18474</v>
      </c>
      <c r="R2772" s="2" t="s">
        <v>18475</v>
      </c>
      <c r="S2772" s="2" t="s">
        <v>41</v>
      </c>
      <c r="T2772" s="2" t="s">
        <v>41</v>
      </c>
      <c r="U2772" s="2" t="s">
        <v>41</v>
      </c>
      <c r="V2772" s="2" t="s">
        <v>59</v>
      </c>
      <c r="W2772" s="2">
        <v>36.799999999999997</v>
      </c>
      <c r="X2772" s="2">
        <v>0</v>
      </c>
      <c r="Y2772" s="2" t="s">
        <v>408</v>
      </c>
      <c r="Z2772" s="2" t="s">
        <v>18476</v>
      </c>
      <c r="AA2772" s="2">
        <v>2.5043905942048701</v>
      </c>
      <c r="AB2772" s="2">
        <v>0.290296961000993</v>
      </c>
      <c r="AC2772" s="2">
        <v>27987.710296341</v>
      </c>
      <c r="AD2772" s="2">
        <v>34476.016829878703</v>
      </c>
      <c r="AE2772" s="2">
        <v>27521.5520128639</v>
      </c>
      <c r="AF2772" s="2">
        <v>28764.175162273499</v>
      </c>
      <c r="AG2772" s="2">
        <v>24710.773754650701</v>
      </c>
      <c r="AH2772" s="2">
        <v>26069.001627356301</v>
      </c>
      <c r="AI2772" s="2">
        <v>28101.102436357101</v>
      </c>
      <c r="AJ2772" s="2">
        <v>32759.656784544601</v>
      </c>
      <c r="AK2772" s="2">
        <v>32883.799661302502</v>
      </c>
      <c r="AL2772" s="2">
        <v>36565.2680675843</v>
      </c>
      <c r="AM2772" s="2">
        <v>33339.735873650301</v>
      </c>
      <c r="AN2772" s="2">
        <v>35679.1996180489</v>
      </c>
      <c r="AO2772" s="2">
        <v>33973.464473372798</v>
      </c>
      <c r="AP2772" s="2">
        <v>34414.633285313597</v>
      </c>
    </row>
    <row r="2773" spans="1:42" ht="14.5" x14ac:dyDescent="0.35">
      <c r="A2773" s="2" t="s">
        <v>18477</v>
      </c>
      <c r="B2773" s="2">
        <v>309.15536126270001</v>
      </c>
      <c r="C2773" s="2">
        <v>5.0964166666666699</v>
      </c>
      <c r="D2773" s="2" t="s">
        <v>70</v>
      </c>
      <c r="E2773" s="2" t="s">
        <v>18478</v>
      </c>
      <c r="F2773" s="2">
        <v>56170</v>
      </c>
      <c r="G2773" s="3" t="str">
        <f>HYPERLINK("http://funmeta.oebiotech.com/network/56170", "http://funmeta.oebiotech.com/network/56170")</f>
        <v>http://funmeta.oebiotech.com/network/56170</v>
      </c>
      <c r="H2773" s="2" t="s">
        <v>18479</v>
      </c>
      <c r="I2773" s="2">
        <v>87864</v>
      </c>
      <c r="J2773" s="2"/>
      <c r="K2773" s="2">
        <v>165499</v>
      </c>
      <c r="L2773" s="2"/>
      <c r="M2773" s="2"/>
      <c r="N2773" s="2"/>
      <c r="O2773" s="2">
        <v>4462283</v>
      </c>
      <c r="P2773" s="2" t="s">
        <v>18480</v>
      </c>
      <c r="Q2773" s="2" t="s">
        <v>18481</v>
      </c>
      <c r="R2773" s="2" t="s">
        <v>18482</v>
      </c>
      <c r="S2773" s="2" t="s">
        <v>50</v>
      </c>
      <c r="T2773" s="2" t="s">
        <v>229</v>
      </c>
      <c r="U2773" s="2" t="s">
        <v>230</v>
      </c>
      <c r="V2773" s="2" t="s">
        <v>59</v>
      </c>
      <c r="W2773" s="2">
        <v>38.9</v>
      </c>
      <c r="X2773" s="2">
        <v>0</v>
      </c>
      <c r="Y2773" s="2" t="s">
        <v>408</v>
      </c>
      <c r="Z2773" s="2" t="s">
        <v>18483</v>
      </c>
      <c r="AA2773" s="2">
        <v>-0.49248817289350399</v>
      </c>
      <c r="AB2773" s="2">
        <v>0.29008504709244298</v>
      </c>
      <c r="AC2773" s="2">
        <v>2810.4251347366298</v>
      </c>
      <c r="AD2773" s="2">
        <v>8370.3325913986191</v>
      </c>
      <c r="AE2773" s="2">
        <v>3170.0103644873798</v>
      </c>
      <c r="AF2773" s="2">
        <v>2386.8143512453898</v>
      </c>
      <c r="AG2773" s="2">
        <v>2423.97040505002</v>
      </c>
      <c r="AH2773" s="2">
        <v>3008.7598649469901</v>
      </c>
      <c r="AI2773" s="2">
        <v>2603.0628610650101</v>
      </c>
      <c r="AJ2773" s="2">
        <v>3269.9329616249902</v>
      </c>
      <c r="AK2773" s="2">
        <v>8520.3951482528992</v>
      </c>
      <c r="AL2773" s="2">
        <v>8514.0911318715407</v>
      </c>
      <c r="AM2773" s="2">
        <v>8711.6278812684996</v>
      </c>
      <c r="AN2773" s="2">
        <v>8541.2863268609708</v>
      </c>
      <c r="AO2773" s="2">
        <v>8114.4268606804198</v>
      </c>
      <c r="AP2773" s="2">
        <v>7820.1681994574001</v>
      </c>
    </row>
    <row r="2774" spans="1:42" ht="14.5" x14ac:dyDescent="0.35">
      <c r="A2774" s="2" t="s">
        <v>18484</v>
      </c>
      <c r="B2774" s="2">
        <v>485.21720802158097</v>
      </c>
      <c r="C2774" s="2">
        <v>6.2733666666666696</v>
      </c>
      <c r="D2774" s="2" t="s">
        <v>70</v>
      </c>
      <c r="E2774" s="2" t="s">
        <v>18485</v>
      </c>
      <c r="F2774" s="2">
        <v>266613</v>
      </c>
      <c r="G2774" s="3" t="str">
        <f>HYPERLINK("http://funmeta.oebiotech.com/network/266613", "http://funmeta.oebiotech.com/network/266613")</f>
        <v>http://funmeta.oebiotech.com/network/266613</v>
      </c>
      <c r="H2774" s="2"/>
      <c r="I2774" s="2">
        <v>43666</v>
      </c>
      <c r="J2774" s="2"/>
      <c r="K2774" s="2"/>
      <c r="L2774" s="2"/>
      <c r="M2774" s="2"/>
      <c r="N2774" s="2"/>
      <c r="O2774" s="2">
        <v>6708540</v>
      </c>
      <c r="P2774" s="2"/>
      <c r="Q2774" s="2" t="s">
        <v>18486</v>
      </c>
      <c r="R2774" s="2" t="s">
        <v>18487</v>
      </c>
      <c r="S2774" s="2" t="s">
        <v>50</v>
      </c>
      <c r="T2774" s="2" t="s">
        <v>201</v>
      </c>
      <c r="U2774" s="2" t="s">
        <v>210</v>
      </c>
      <c r="V2774" s="2" t="s">
        <v>59</v>
      </c>
      <c r="W2774" s="2">
        <v>38.299999999999997</v>
      </c>
      <c r="X2774" s="2">
        <v>3.41</v>
      </c>
      <c r="Y2774" s="2" t="s">
        <v>286</v>
      </c>
      <c r="Z2774" s="2" t="s">
        <v>13022</v>
      </c>
      <c r="AA2774" s="2">
        <v>-1.817250470364</v>
      </c>
      <c r="AB2774" s="2">
        <v>0.29004147063021701</v>
      </c>
      <c r="AC2774" s="2">
        <v>12818.328191991999</v>
      </c>
      <c r="AD2774" s="2">
        <v>6076.6902786348901</v>
      </c>
      <c r="AE2774" s="2">
        <v>12497.664503919499</v>
      </c>
      <c r="AF2774" s="2">
        <v>15152.1466507693</v>
      </c>
      <c r="AG2774" s="2">
        <v>10213.9655502936</v>
      </c>
      <c r="AH2774" s="2">
        <v>13606.1249362038</v>
      </c>
      <c r="AI2774" s="2">
        <v>10317.812307902201</v>
      </c>
      <c r="AJ2774" s="2">
        <v>15122.2552028637</v>
      </c>
      <c r="AK2774" s="2">
        <v>4333.82781407528</v>
      </c>
      <c r="AL2774" s="2">
        <v>11712.3897797094</v>
      </c>
      <c r="AM2774" s="2">
        <v>6772.4759623514401</v>
      </c>
      <c r="AN2774" s="2">
        <v>5826.7717394148003</v>
      </c>
      <c r="AO2774" s="2">
        <v>4496.1749322713904</v>
      </c>
      <c r="AP2774" s="2">
        <v>3318.5014439870502</v>
      </c>
    </row>
    <row r="2775" spans="1:42" ht="14.5" x14ac:dyDescent="0.35">
      <c r="A2775" s="2" t="s">
        <v>18488</v>
      </c>
      <c r="B2775" s="2">
        <v>261.08784634883398</v>
      </c>
      <c r="C2775" s="2">
        <v>2.1979333333333302</v>
      </c>
      <c r="D2775" s="2" t="s">
        <v>70</v>
      </c>
      <c r="E2775" s="2" t="s">
        <v>18489</v>
      </c>
      <c r="F2775" s="2">
        <v>59520</v>
      </c>
      <c r="G2775" s="3" t="str">
        <f>HYPERLINK("http://funmeta.oebiotech.com/network/59520", "http://funmeta.oebiotech.com/network/59520")</f>
        <v>http://funmeta.oebiotech.com/network/59520</v>
      </c>
      <c r="H2775" s="2" t="s">
        <v>18490</v>
      </c>
      <c r="I2775" s="2">
        <v>90929</v>
      </c>
      <c r="J2775" s="2"/>
      <c r="K2775" s="2">
        <v>91151</v>
      </c>
      <c r="L2775" s="2"/>
      <c r="M2775" s="2"/>
      <c r="N2775" s="2"/>
      <c r="O2775" s="2">
        <v>98285</v>
      </c>
      <c r="P2775" s="2" t="s">
        <v>18491</v>
      </c>
      <c r="Q2775" s="2" t="s">
        <v>18492</v>
      </c>
      <c r="R2775" s="2" t="s">
        <v>18493</v>
      </c>
      <c r="S2775" s="2" t="s">
        <v>491</v>
      </c>
      <c r="T2775" s="2" t="s">
        <v>2184</v>
      </c>
      <c r="U2775" s="2" t="s">
        <v>8234</v>
      </c>
      <c r="V2775" s="2" t="s">
        <v>59</v>
      </c>
      <c r="W2775" s="2">
        <v>46.1</v>
      </c>
      <c r="X2775" s="2">
        <v>33.5</v>
      </c>
      <c r="Y2775" s="2" t="s">
        <v>408</v>
      </c>
      <c r="Z2775" s="2" t="s">
        <v>18494</v>
      </c>
      <c r="AA2775" s="2">
        <v>-1.0835987716661399</v>
      </c>
      <c r="AB2775" s="2">
        <v>0.289916452047281</v>
      </c>
      <c r="AC2775" s="2">
        <v>13313.841255838601</v>
      </c>
      <c r="AD2775" s="2">
        <v>7688.9095431912101</v>
      </c>
      <c r="AE2775" s="2">
        <v>13784.3902838011</v>
      </c>
      <c r="AF2775" s="2">
        <v>12749.544853977201</v>
      </c>
      <c r="AG2775" s="2">
        <v>13819.8445693215</v>
      </c>
      <c r="AH2775" s="2">
        <v>12305.859500742899</v>
      </c>
      <c r="AI2775" s="2">
        <v>13555.5174822464</v>
      </c>
      <c r="AJ2775" s="2">
        <v>13667.8908449424</v>
      </c>
      <c r="AK2775" s="2">
        <v>7652.07438250014</v>
      </c>
      <c r="AL2775" s="2">
        <v>7533.3382115798904</v>
      </c>
      <c r="AM2775" s="2">
        <v>8727.8161178310893</v>
      </c>
      <c r="AN2775" s="2">
        <v>7288.0839474844097</v>
      </c>
      <c r="AO2775" s="2">
        <v>7022.9161593997696</v>
      </c>
      <c r="AP2775" s="2">
        <v>7909.2284403519798</v>
      </c>
    </row>
    <row r="2776" spans="1:42" ht="14.5" x14ac:dyDescent="0.35">
      <c r="A2776" s="2" t="s">
        <v>18495</v>
      </c>
      <c r="B2776" s="2">
        <v>369.06314798845398</v>
      </c>
      <c r="C2776" s="2">
        <v>3.84351666666667</v>
      </c>
      <c r="D2776" s="2" t="s">
        <v>34</v>
      </c>
      <c r="E2776" s="2" t="s">
        <v>18496</v>
      </c>
      <c r="F2776" s="2">
        <v>210929</v>
      </c>
      <c r="G2776" s="3" t="str">
        <f>HYPERLINK("http://funmeta.oebiotech.com/network/210929", "http://funmeta.oebiotech.com/network/210929")</f>
        <v>http://funmeta.oebiotech.com/network/210929</v>
      </c>
      <c r="H2776" s="2" t="s">
        <v>18497</v>
      </c>
      <c r="I2776" s="2"/>
      <c r="J2776" s="2"/>
      <c r="K2776" s="2"/>
      <c r="L2776" s="2"/>
      <c r="M2776" s="2"/>
      <c r="N2776" s="2"/>
      <c r="O2776" s="2"/>
      <c r="P2776" s="2"/>
      <c r="Q2776" s="2" t="s">
        <v>18498</v>
      </c>
      <c r="R2776" s="2" t="s">
        <v>18499</v>
      </c>
      <c r="S2776" s="2" t="s">
        <v>491</v>
      </c>
      <c r="T2776" s="2" t="s">
        <v>2251</v>
      </c>
      <c r="U2776" s="2" t="s">
        <v>2252</v>
      </c>
      <c r="V2776" s="2" t="s">
        <v>59</v>
      </c>
      <c r="W2776" s="2">
        <v>38.299999999999997</v>
      </c>
      <c r="X2776" s="2">
        <v>0</v>
      </c>
      <c r="Y2776" s="2" t="s">
        <v>340</v>
      </c>
      <c r="Z2776" s="2" t="s">
        <v>18500</v>
      </c>
      <c r="AA2776" s="2">
        <v>-1.3705186303953101</v>
      </c>
      <c r="AB2776" s="2">
        <v>0.289874655693943</v>
      </c>
      <c r="AC2776" s="2">
        <v>4711.7366712565799</v>
      </c>
      <c r="AD2776" s="2">
        <v>10419.4308589543</v>
      </c>
      <c r="AE2776" s="2">
        <v>4127.5876815471502</v>
      </c>
      <c r="AF2776" s="2">
        <v>3500.8003135146701</v>
      </c>
      <c r="AG2776" s="2">
        <v>5896.7750110407896</v>
      </c>
      <c r="AH2776" s="2">
        <v>5114.8598129580996</v>
      </c>
      <c r="AI2776" s="2">
        <v>5845.7152659505</v>
      </c>
      <c r="AJ2776" s="2">
        <v>3784.6819425282702</v>
      </c>
      <c r="AK2776" s="2">
        <v>10798.1376259189</v>
      </c>
      <c r="AL2776" s="2">
        <v>11291.2158743158</v>
      </c>
      <c r="AM2776" s="2">
        <v>10548.367773542001</v>
      </c>
      <c r="AN2776" s="2">
        <v>9924.9179550145509</v>
      </c>
      <c r="AO2776" s="2">
        <v>10344.630461769701</v>
      </c>
      <c r="AP2776" s="2">
        <v>9609.3154631650104</v>
      </c>
    </row>
    <row r="2777" spans="1:42" ht="14.5" x14ac:dyDescent="0.35">
      <c r="A2777" s="2" t="s">
        <v>18501</v>
      </c>
      <c r="B2777" s="2">
        <v>361.236997794545</v>
      </c>
      <c r="C2777" s="2">
        <v>9.9973333333333301</v>
      </c>
      <c r="D2777" s="2" t="s">
        <v>34</v>
      </c>
      <c r="E2777" s="2" t="s">
        <v>18502</v>
      </c>
      <c r="F2777" s="2">
        <v>205764</v>
      </c>
      <c r="G2777" s="3" t="str">
        <f>HYPERLINK("http://funmeta.oebiotech.com/network/205764", "http://funmeta.oebiotech.com/network/205764")</f>
        <v>http://funmeta.oebiotech.com/network/205764</v>
      </c>
      <c r="H2777" s="2" t="s">
        <v>18503</v>
      </c>
      <c r="I2777" s="2"/>
      <c r="J2777" s="2"/>
      <c r="K2777" s="2"/>
      <c r="L2777" s="2"/>
      <c r="M2777" s="2"/>
      <c r="N2777" s="2"/>
      <c r="O2777" s="2">
        <v>57107445</v>
      </c>
      <c r="P2777" s="2"/>
      <c r="Q2777" s="2" t="s">
        <v>18504</v>
      </c>
      <c r="R2777" s="2" t="s">
        <v>18505</v>
      </c>
      <c r="S2777" s="2" t="s">
        <v>41</v>
      </c>
      <c r="T2777" s="2" t="s">
        <v>41</v>
      </c>
      <c r="U2777" s="2" t="s">
        <v>41</v>
      </c>
      <c r="V2777" s="2" t="s">
        <v>42</v>
      </c>
      <c r="W2777" s="2">
        <v>52.8</v>
      </c>
      <c r="X2777" s="2">
        <v>70.400000000000006</v>
      </c>
      <c r="Y2777" s="2" t="s">
        <v>141</v>
      </c>
      <c r="Z2777" s="2" t="s">
        <v>18506</v>
      </c>
      <c r="AA2777" s="2">
        <v>-0.89399079171415896</v>
      </c>
      <c r="AB2777" s="2">
        <v>0.28984340879592202</v>
      </c>
      <c r="AC2777" s="2">
        <v>9179.1273889393597</v>
      </c>
      <c r="AD2777" s="2">
        <v>14753.764650920601</v>
      </c>
      <c r="AE2777" s="2">
        <v>8959.8661941521095</v>
      </c>
      <c r="AF2777" s="2">
        <v>8765.6538562511705</v>
      </c>
      <c r="AG2777" s="2">
        <v>9242.3286977124408</v>
      </c>
      <c r="AH2777" s="2">
        <v>9128.8007687879999</v>
      </c>
      <c r="AI2777" s="2">
        <v>9212.1727359442393</v>
      </c>
      <c r="AJ2777" s="2">
        <v>9765.9420807882198</v>
      </c>
      <c r="AK2777" s="2">
        <v>13745.3777045645</v>
      </c>
      <c r="AL2777" s="2">
        <v>14774.048721020299</v>
      </c>
      <c r="AM2777" s="2">
        <v>14572.8855706377</v>
      </c>
      <c r="AN2777" s="2">
        <v>14836.861542423099</v>
      </c>
      <c r="AO2777" s="2">
        <v>15435.967471328901</v>
      </c>
      <c r="AP2777" s="2">
        <v>15157.446895549399</v>
      </c>
    </row>
    <row r="2778" spans="1:42" ht="14.5" x14ac:dyDescent="0.35">
      <c r="A2778" s="2" t="s">
        <v>18507</v>
      </c>
      <c r="B2778" s="2">
        <v>407.132623047295</v>
      </c>
      <c r="C2778" s="2">
        <v>5.8104500000000003</v>
      </c>
      <c r="D2778" s="2" t="s">
        <v>34</v>
      </c>
      <c r="E2778" s="2" t="s">
        <v>18508</v>
      </c>
      <c r="F2778" s="2">
        <v>55557</v>
      </c>
      <c r="G2778" s="3" t="str">
        <f>HYPERLINK("http://funmeta.oebiotech.com/network/55557", "http://funmeta.oebiotech.com/network/55557")</f>
        <v>http://funmeta.oebiotech.com/network/55557</v>
      </c>
      <c r="H2778" s="2" t="s">
        <v>18509</v>
      </c>
      <c r="I2778" s="2">
        <v>87214</v>
      </c>
      <c r="J2778" s="2"/>
      <c r="K2778" s="2">
        <v>173137</v>
      </c>
      <c r="L2778" s="2"/>
      <c r="M2778" s="2"/>
      <c r="N2778" s="2"/>
      <c r="O2778" s="2">
        <v>13888255</v>
      </c>
      <c r="P2778" s="2" t="s">
        <v>18510</v>
      </c>
      <c r="Q2778" s="2" t="s">
        <v>18511</v>
      </c>
      <c r="R2778" s="2" t="s">
        <v>18512</v>
      </c>
      <c r="S2778" s="2" t="s">
        <v>115</v>
      </c>
      <c r="T2778" s="2" t="s">
        <v>139</v>
      </c>
      <c r="U2778" s="2" t="s">
        <v>1437</v>
      </c>
      <c r="V2778" s="2" t="s">
        <v>59</v>
      </c>
      <c r="W2778" s="2">
        <v>37.9</v>
      </c>
      <c r="X2778" s="2">
        <v>0</v>
      </c>
      <c r="Y2778" s="2" t="s">
        <v>67</v>
      </c>
      <c r="Z2778" s="2" t="s">
        <v>7542</v>
      </c>
      <c r="AA2778" s="2">
        <v>-2.5501083666190998</v>
      </c>
      <c r="AB2778" s="2">
        <v>0.289750108082939</v>
      </c>
      <c r="AC2778" s="2">
        <v>94901.594187664799</v>
      </c>
      <c r="AD2778" s="2">
        <v>87865.182327787305</v>
      </c>
      <c r="AE2778" s="2">
        <v>96202.941332746806</v>
      </c>
      <c r="AF2778" s="2">
        <v>93430.094098542002</v>
      </c>
      <c r="AG2778" s="2">
        <v>94433.218972962903</v>
      </c>
      <c r="AH2778" s="2">
        <v>99698.168482601701</v>
      </c>
      <c r="AI2778" s="2">
        <v>96148.5436951765</v>
      </c>
      <c r="AJ2778" s="2">
        <v>89496.598543958797</v>
      </c>
      <c r="AK2778" s="2">
        <v>90514.062182286594</v>
      </c>
      <c r="AL2778" s="2">
        <v>89615.0036777965</v>
      </c>
      <c r="AM2778" s="2">
        <v>88708.776508372801</v>
      </c>
      <c r="AN2778" s="2">
        <v>83556.950178512707</v>
      </c>
      <c r="AO2778" s="2">
        <v>89191.110703258702</v>
      </c>
      <c r="AP2778" s="2">
        <v>85605.190716496407</v>
      </c>
    </row>
    <row r="2779" spans="1:42" ht="14.5" x14ac:dyDescent="0.35">
      <c r="A2779" s="2" t="s">
        <v>18513</v>
      </c>
      <c r="B2779" s="2">
        <v>767.38376936163104</v>
      </c>
      <c r="C2779" s="2">
        <v>6.8387500000000001</v>
      </c>
      <c r="D2779" s="2" t="s">
        <v>70</v>
      </c>
      <c r="E2779" s="2" t="s">
        <v>18514</v>
      </c>
      <c r="F2779" s="2">
        <v>55954</v>
      </c>
      <c r="G2779" s="3" t="str">
        <f>HYPERLINK("http://funmeta.oebiotech.com/network/55954", "http://funmeta.oebiotech.com/network/55954")</f>
        <v>http://funmeta.oebiotech.com/network/55954</v>
      </c>
      <c r="H2779" s="2" t="s">
        <v>18515</v>
      </c>
      <c r="I2779" s="2">
        <v>87633</v>
      </c>
      <c r="J2779" s="2"/>
      <c r="K2779" s="2"/>
      <c r="L2779" s="2"/>
      <c r="M2779" s="2"/>
      <c r="N2779" s="2"/>
      <c r="O2779" s="2">
        <v>73880583</v>
      </c>
      <c r="P2779" s="2" t="s">
        <v>18516</v>
      </c>
      <c r="Q2779" s="2" t="s">
        <v>18517</v>
      </c>
      <c r="R2779" s="2" t="s">
        <v>18518</v>
      </c>
      <c r="S2779" s="2" t="s">
        <v>50</v>
      </c>
      <c r="T2779" s="2" t="s">
        <v>201</v>
      </c>
      <c r="U2779" s="2" t="s">
        <v>1217</v>
      </c>
      <c r="V2779" s="2" t="s">
        <v>59</v>
      </c>
      <c r="W2779" s="2">
        <v>37.799999999999997</v>
      </c>
      <c r="X2779" s="2">
        <v>0</v>
      </c>
      <c r="Y2779" s="2" t="s">
        <v>560</v>
      </c>
      <c r="Z2779" s="2" t="s">
        <v>18519</v>
      </c>
      <c r="AA2779" s="2">
        <v>4.81241931024074</v>
      </c>
      <c r="AB2779" s="2">
        <v>0.28968589376123999</v>
      </c>
      <c r="AC2779" s="2">
        <v>11102.8878933659</v>
      </c>
      <c r="AD2779" s="2">
        <v>5485.9702967982503</v>
      </c>
      <c r="AE2779" s="2">
        <v>11315.143516173201</v>
      </c>
      <c r="AF2779" s="2">
        <v>12029.499823317799</v>
      </c>
      <c r="AG2779" s="2">
        <v>10856.8274296204</v>
      </c>
      <c r="AH2779" s="2">
        <v>12027.2956030887</v>
      </c>
      <c r="AI2779" s="2">
        <v>9788.2967752089698</v>
      </c>
      <c r="AJ2779" s="2">
        <v>10600.2642127862</v>
      </c>
      <c r="AK2779" s="2">
        <v>5365.0607730506199</v>
      </c>
      <c r="AL2779" s="2">
        <v>5501.8576993566103</v>
      </c>
      <c r="AM2779" s="2">
        <v>5319.5234988059601</v>
      </c>
      <c r="AN2779" s="2">
        <v>5987.1471680682298</v>
      </c>
      <c r="AO2779" s="2">
        <v>4973.3938950042502</v>
      </c>
      <c r="AP2779" s="2">
        <v>5768.8387465038204</v>
      </c>
    </row>
    <row r="2780" spans="1:42" ht="14.5" x14ac:dyDescent="0.35">
      <c r="A2780" s="2" t="s">
        <v>18520</v>
      </c>
      <c r="B2780" s="2">
        <v>569.20658187892502</v>
      </c>
      <c r="C2780" s="2">
        <v>4.3640166666666698</v>
      </c>
      <c r="D2780" s="2" t="s">
        <v>70</v>
      </c>
      <c r="E2780" s="2" t="s">
        <v>18521</v>
      </c>
      <c r="F2780" s="2">
        <v>52599</v>
      </c>
      <c r="G2780" s="3" t="str">
        <f>HYPERLINK("http://funmeta.oebiotech.com/network/52599", "http://funmeta.oebiotech.com/network/52599")</f>
        <v>http://funmeta.oebiotech.com/network/52599</v>
      </c>
      <c r="H2780" s="2" t="s">
        <v>18522</v>
      </c>
      <c r="I2780" s="2">
        <v>3020</v>
      </c>
      <c r="J2780" s="2"/>
      <c r="K2780" s="2">
        <v>45327</v>
      </c>
      <c r="L2780" s="2" t="s">
        <v>18523</v>
      </c>
      <c r="M2780" s="2"/>
      <c r="N2780" s="2"/>
      <c r="O2780" s="2">
        <v>21704</v>
      </c>
      <c r="P2780" s="2" t="s">
        <v>18524</v>
      </c>
      <c r="Q2780" s="2" t="s">
        <v>18525</v>
      </c>
      <c r="R2780" s="2" t="s">
        <v>18526</v>
      </c>
      <c r="S2780" s="2" t="s">
        <v>1444</v>
      </c>
      <c r="T2780" s="2" t="s">
        <v>3595</v>
      </c>
      <c r="U2780" s="2" t="s">
        <v>41</v>
      </c>
      <c r="V2780" s="2" t="s">
        <v>59</v>
      </c>
      <c r="W2780" s="2">
        <v>38.799999999999997</v>
      </c>
      <c r="X2780" s="2">
        <v>0</v>
      </c>
      <c r="Y2780" s="2" t="s">
        <v>560</v>
      </c>
      <c r="Z2780" s="2" t="s">
        <v>10948</v>
      </c>
      <c r="AA2780" s="2">
        <v>-1.36596769830137</v>
      </c>
      <c r="AB2780" s="2">
        <v>0.289429412061742</v>
      </c>
      <c r="AC2780" s="2">
        <v>24989.558470706201</v>
      </c>
      <c r="AD2780" s="2">
        <v>32278.6623158732</v>
      </c>
      <c r="AE2780" s="2">
        <v>23626.6460290412</v>
      </c>
      <c r="AF2780" s="2">
        <v>22833.717141655801</v>
      </c>
      <c r="AG2780" s="2">
        <v>29231.572251276801</v>
      </c>
      <c r="AH2780" s="2">
        <v>25317.063835077101</v>
      </c>
      <c r="AI2780" s="2">
        <v>25342.6650277646</v>
      </c>
      <c r="AJ2780" s="2">
        <v>23585.6865394218</v>
      </c>
      <c r="AK2780" s="2">
        <v>32292.097441118101</v>
      </c>
      <c r="AL2780" s="2">
        <v>29980.559354419998</v>
      </c>
      <c r="AM2780" s="2">
        <v>35499.682672457799</v>
      </c>
      <c r="AN2780" s="2">
        <v>28620.674672962599</v>
      </c>
      <c r="AO2780" s="2">
        <v>28134.026805830701</v>
      </c>
      <c r="AP2780" s="2">
        <v>39144.932948449998</v>
      </c>
    </row>
    <row r="2781" spans="1:42" ht="14.5" x14ac:dyDescent="0.35">
      <c r="A2781" s="2" t="s">
        <v>18527</v>
      </c>
      <c r="B2781" s="2">
        <v>723.24817149912894</v>
      </c>
      <c r="C2781" s="2">
        <v>7.1213833333333296</v>
      </c>
      <c r="D2781" s="2" t="s">
        <v>70</v>
      </c>
      <c r="E2781" s="2" t="s">
        <v>18528</v>
      </c>
      <c r="F2781" s="2">
        <v>63917</v>
      </c>
      <c r="G2781" s="3" t="str">
        <f>HYPERLINK("http://funmeta.oebiotech.com/network/63917", "http://funmeta.oebiotech.com/network/63917")</f>
        <v>http://funmeta.oebiotech.com/network/63917</v>
      </c>
      <c r="H2781" s="2" t="s">
        <v>18529</v>
      </c>
      <c r="I2781" s="2">
        <v>95251</v>
      </c>
      <c r="J2781" s="2"/>
      <c r="K2781" s="2">
        <v>174842</v>
      </c>
      <c r="L2781" s="2"/>
      <c r="M2781" s="2"/>
      <c r="N2781" s="2"/>
      <c r="O2781" s="2">
        <v>54688597</v>
      </c>
      <c r="P2781" s="2" t="s">
        <v>18530</v>
      </c>
      <c r="Q2781" s="2" t="s">
        <v>18531</v>
      </c>
      <c r="R2781" s="2" t="s">
        <v>18532</v>
      </c>
      <c r="S2781" s="2" t="s">
        <v>491</v>
      </c>
      <c r="T2781" s="2" t="s">
        <v>1516</v>
      </c>
      <c r="U2781" s="2" t="s">
        <v>18533</v>
      </c>
      <c r="V2781" s="2" t="s">
        <v>59</v>
      </c>
      <c r="W2781" s="2">
        <v>38.6</v>
      </c>
      <c r="X2781" s="2">
        <v>0</v>
      </c>
      <c r="Y2781" s="2" t="s">
        <v>560</v>
      </c>
      <c r="Z2781" s="2" t="s">
        <v>18534</v>
      </c>
      <c r="AA2781" s="2">
        <v>2.9462080289347599</v>
      </c>
      <c r="AB2781" s="2">
        <v>0.28941670752656701</v>
      </c>
      <c r="AC2781" s="2">
        <v>7024.5263091055303</v>
      </c>
      <c r="AD2781" s="2">
        <v>1349.1616856180001</v>
      </c>
      <c r="AE2781" s="2">
        <v>6934.3872209174197</v>
      </c>
      <c r="AF2781" s="2">
        <v>8333.0321561855799</v>
      </c>
      <c r="AG2781" s="2">
        <v>6317.5505052259596</v>
      </c>
      <c r="AH2781" s="2">
        <v>8026.8575829253796</v>
      </c>
      <c r="AI2781" s="2">
        <v>5932.8900177507703</v>
      </c>
      <c r="AJ2781" s="2">
        <v>6602.4403716280804</v>
      </c>
      <c r="AK2781" s="2">
        <v>566.49857263992601</v>
      </c>
      <c r="AL2781" s="2">
        <v>1359.7008414268601</v>
      </c>
      <c r="AM2781" s="2">
        <v>2086.2203378495601</v>
      </c>
      <c r="AN2781" s="2">
        <v>489.57411699060202</v>
      </c>
      <c r="AO2781" s="2">
        <v>1946.2565236722301</v>
      </c>
      <c r="AP2781" s="2">
        <v>1646.7197211288201</v>
      </c>
    </row>
    <row r="2782" spans="1:42" ht="14.5" x14ac:dyDescent="0.35">
      <c r="A2782" s="2" t="s">
        <v>18535</v>
      </c>
      <c r="B2782" s="2">
        <v>325.21590321516902</v>
      </c>
      <c r="C2782" s="2">
        <v>11.889900000000001</v>
      </c>
      <c r="D2782" s="2" t="s">
        <v>34</v>
      </c>
      <c r="E2782" s="2" t="s">
        <v>18536</v>
      </c>
      <c r="F2782" s="2">
        <v>52682</v>
      </c>
      <c r="G2782" s="3" t="str">
        <f>HYPERLINK("http://funmeta.oebiotech.com/network/52682", "http://funmeta.oebiotech.com/network/52682")</f>
        <v>http://funmeta.oebiotech.com/network/52682</v>
      </c>
      <c r="H2782" s="2" t="s">
        <v>18537</v>
      </c>
      <c r="I2782" s="2">
        <v>1954</v>
      </c>
      <c r="J2782" s="2"/>
      <c r="K2782" s="2">
        <v>50777</v>
      </c>
      <c r="L2782" s="2"/>
      <c r="M2782" s="2"/>
      <c r="N2782" s="2"/>
      <c r="O2782" s="2">
        <v>6917715</v>
      </c>
      <c r="P2782" s="2" t="s">
        <v>18538</v>
      </c>
      <c r="Q2782" s="2" t="s">
        <v>18539</v>
      </c>
      <c r="R2782" s="2" t="s">
        <v>18540</v>
      </c>
      <c r="S2782" s="2" t="s">
        <v>50</v>
      </c>
      <c r="T2782" s="2" t="s">
        <v>124</v>
      </c>
      <c r="U2782" s="2" t="s">
        <v>2093</v>
      </c>
      <c r="V2782" s="2" t="s">
        <v>59</v>
      </c>
      <c r="W2782" s="2">
        <v>39</v>
      </c>
      <c r="X2782" s="2">
        <v>0</v>
      </c>
      <c r="Y2782" s="2" t="s">
        <v>394</v>
      </c>
      <c r="Z2782" s="2" t="s">
        <v>18541</v>
      </c>
      <c r="AA2782" s="2">
        <v>-0.93567413698332502</v>
      </c>
      <c r="AB2782" s="2">
        <v>0.28933238480301299</v>
      </c>
      <c r="AC2782" s="2">
        <v>5762.6997461313404</v>
      </c>
      <c r="AD2782" s="2">
        <v>218.500197797162</v>
      </c>
      <c r="AE2782" s="2">
        <v>5221.9516239917002</v>
      </c>
      <c r="AF2782" s="2">
        <v>5838.23308239581</v>
      </c>
      <c r="AG2782" s="2">
        <v>6568.2670326583902</v>
      </c>
      <c r="AH2782" s="2">
        <v>5048.6071173017199</v>
      </c>
      <c r="AI2782" s="2">
        <v>5826.3475312280098</v>
      </c>
      <c r="AJ2782" s="2">
        <v>6072.7920892124203</v>
      </c>
      <c r="AK2782" s="2">
        <v>2.7106294003980101E-5</v>
      </c>
      <c r="AL2782" s="2">
        <v>405.483438694813</v>
      </c>
      <c r="AM2782" s="2">
        <v>2.7106294003980101E-5</v>
      </c>
      <c r="AN2782" s="2">
        <v>481.83803395285202</v>
      </c>
      <c r="AO2782" s="2">
        <v>289.91122232204299</v>
      </c>
      <c r="AP2782" s="2">
        <v>133.768437600678</v>
      </c>
    </row>
    <row r="2783" spans="1:42" ht="14.5" x14ac:dyDescent="0.35">
      <c r="A2783" s="2" t="s">
        <v>18542</v>
      </c>
      <c r="B2783" s="2">
        <v>360.13987840679198</v>
      </c>
      <c r="C2783" s="2">
        <v>1.06171666666667</v>
      </c>
      <c r="D2783" s="2" t="s">
        <v>34</v>
      </c>
      <c r="E2783" s="2" t="s">
        <v>18543</v>
      </c>
      <c r="F2783" s="2">
        <v>201545</v>
      </c>
      <c r="G2783" s="3" t="str">
        <f>HYPERLINK("http://funmeta.oebiotech.com/network/201545", "http://funmeta.oebiotech.com/network/201545")</f>
        <v>http://funmeta.oebiotech.com/network/201545</v>
      </c>
      <c r="H2783" s="2" t="s">
        <v>18544</v>
      </c>
      <c r="I2783" s="2"/>
      <c r="J2783" s="2"/>
      <c r="K2783" s="2"/>
      <c r="L2783" s="2"/>
      <c r="M2783" s="2"/>
      <c r="N2783" s="2"/>
      <c r="O2783" s="2">
        <v>558756</v>
      </c>
      <c r="P2783" s="2"/>
      <c r="Q2783" s="2" t="s">
        <v>18545</v>
      </c>
      <c r="R2783" s="2" t="s">
        <v>18546</v>
      </c>
      <c r="S2783" s="2" t="s">
        <v>79</v>
      </c>
      <c r="T2783" s="2" t="s">
        <v>80</v>
      </c>
      <c r="U2783" s="2" t="s">
        <v>81</v>
      </c>
      <c r="V2783" s="2" t="s">
        <v>59</v>
      </c>
      <c r="W2783" s="2">
        <v>38.700000000000003</v>
      </c>
      <c r="X2783" s="2">
        <v>0</v>
      </c>
      <c r="Y2783" s="2" t="s">
        <v>43</v>
      </c>
      <c r="Z2783" s="2" t="s">
        <v>18547</v>
      </c>
      <c r="AA2783" s="2">
        <v>-0.76779216402493999</v>
      </c>
      <c r="AB2783" s="2">
        <v>0.28923918451979103</v>
      </c>
      <c r="AC2783" s="2">
        <v>16316.687855681599</v>
      </c>
      <c r="AD2783" s="2">
        <v>22346.218883925201</v>
      </c>
      <c r="AE2783" s="2">
        <v>16807.0145966249</v>
      </c>
      <c r="AF2783" s="2">
        <v>16145.812989956499</v>
      </c>
      <c r="AG2783" s="2">
        <v>14969.6184107177</v>
      </c>
      <c r="AH2783" s="2">
        <v>17327.964967024702</v>
      </c>
      <c r="AI2783" s="2">
        <v>17177.571732946799</v>
      </c>
      <c r="AJ2783" s="2">
        <v>15472.144436819</v>
      </c>
      <c r="AK2783" s="2">
        <v>21409.904614728799</v>
      </c>
      <c r="AL2783" s="2">
        <v>20816.487927796101</v>
      </c>
      <c r="AM2783" s="2">
        <v>20925.009240678999</v>
      </c>
      <c r="AN2783" s="2">
        <v>25746.016172206</v>
      </c>
      <c r="AO2783" s="2">
        <v>23757.825422851001</v>
      </c>
      <c r="AP2783" s="2">
        <v>21422.069925290001</v>
      </c>
    </row>
    <row r="2784" spans="1:42" ht="14.5" x14ac:dyDescent="0.35">
      <c r="A2784" s="2" t="s">
        <v>18548</v>
      </c>
      <c r="B2784" s="2">
        <v>581.29232140646604</v>
      </c>
      <c r="C2784" s="2">
        <v>5.31823333333333</v>
      </c>
      <c r="D2784" s="2" t="s">
        <v>34</v>
      </c>
      <c r="E2784" s="2" t="s">
        <v>18549</v>
      </c>
      <c r="F2784" s="2">
        <v>46670</v>
      </c>
      <c r="G2784" s="3" t="str">
        <f>HYPERLINK("http://funmeta.oebiotech.com/network/46670", "http://funmeta.oebiotech.com/network/46670")</f>
        <v>http://funmeta.oebiotech.com/network/46670</v>
      </c>
      <c r="H2784" s="2" t="s">
        <v>18550</v>
      </c>
      <c r="I2784" s="2">
        <v>6716</v>
      </c>
      <c r="J2784" s="2" t="s">
        <v>18551</v>
      </c>
      <c r="K2784" s="2">
        <v>17864</v>
      </c>
      <c r="L2784" s="2" t="s">
        <v>18552</v>
      </c>
      <c r="M2784" s="2" t="s">
        <v>4185</v>
      </c>
      <c r="N2784" s="2" t="s">
        <v>4186</v>
      </c>
      <c r="O2784" s="2">
        <v>440071</v>
      </c>
      <c r="P2784" s="2" t="s">
        <v>18553</v>
      </c>
      <c r="Q2784" s="2" t="s">
        <v>18554</v>
      </c>
      <c r="R2784" s="2" t="s">
        <v>18555</v>
      </c>
      <c r="S2784" s="2" t="s">
        <v>50</v>
      </c>
      <c r="T2784" s="2" t="s">
        <v>124</v>
      </c>
      <c r="U2784" s="2" t="s">
        <v>125</v>
      </c>
      <c r="V2784" s="2" t="s">
        <v>59</v>
      </c>
      <c r="W2784" s="2">
        <v>36.6</v>
      </c>
      <c r="X2784" s="2">
        <v>0</v>
      </c>
      <c r="Y2784" s="2" t="s">
        <v>43</v>
      </c>
      <c r="Z2784" s="2" t="s">
        <v>18556</v>
      </c>
      <c r="AA2784" s="2">
        <v>-0.29032481188180398</v>
      </c>
      <c r="AB2784" s="2">
        <v>0.28923068808150598</v>
      </c>
      <c r="AC2784" s="2">
        <v>16604.179648947302</v>
      </c>
      <c r="AD2784" s="2">
        <v>23098.434354111199</v>
      </c>
      <c r="AE2784" s="2">
        <v>18301.184412829902</v>
      </c>
      <c r="AF2784" s="2">
        <v>14794.3255584656</v>
      </c>
      <c r="AG2784" s="2">
        <v>18125.470899521799</v>
      </c>
      <c r="AH2784" s="2">
        <v>14811.092467680701</v>
      </c>
      <c r="AI2784" s="2">
        <v>14644.3538630034</v>
      </c>
      <c r="AJ2784" s="2">
        <v>18948.6506921826</v>
      </c>
      <c r="AK2784" s="2">
        <v>21212.102453568601</v>
      </c>
      <c r="AL2784" s="2">
        <v>19623.391663121602</v>
      </c>
      <c r="AM2784" s="2">
        <v>24156.071812624501</v>
      </c>
      <c r="AN2784" s="2">
        <v>26444.708535821501</v>
      </c>
      <c r="AO2784" s="2">
        <v>24501.041066605601</v>
      </c>
      <c r="AP2784" s="2">
        <v>22653.290592925401</v>
      </c>
    </row>
    <row r="2785" spans="1:42" ht="14.5" x14ac:dyDescent="0.35">
      <c r="A2785" s="2" t="s">
        <v>18557</v>
      </c>
      <c r="B2785" s="2">
        <v>288.113282274477</v>
      </c>
      <c r="C2785" s="2">
        <v>9.7086333333333297</v>
      </c>
      <c r="D2785" s="2" t="s">
        <v>34</v>
      </c>
      <c r="E2785" s="2" t="s">
        <v>18558</v>
      </c>
      <c r="F2785" s="2">
        <v>205084</v>
      </c>
      <c r="G2785" s="3" t="str">
        <f>HYPERLINK("http://funmeta.oebiotech.com/network/205084", "http://funmeta.oebiotech.com/network/205084")</f>
        <v>http://funmeta.oebiotech.com/network/205084</v>
      </c>
      <c r="H2785" s="2" t="s">
        <v>18559</v>
      </c>
      <c r="I2785" s="2">
        <v>1776</v>
      </c>
      <c r="J2785" s="2"/>
      <c r="K2785" s="2"/>
      <c r="L2785" s="2"/>
      <c r="M2785" s="2"/>
      <c r="N2785" s="2"/>
      <c r="O2785" s="2">
        <v>63000</v>
      </c>
      <c r="P2785" s="2" t="s">
        <v>18560</v>
      </c>
      <c r="Q2785" s="2" t="s">
        <v>18561</v>
      </c>
      <c r="R2785" s="2" t="s">
        <v>18562</v>
      </c>
      <c r="S2785" s="2" t="s">
        <v>491</v>
      </c>
      <c r="T2785" s="2" t="s">
        <v>1516</v>
      </c>
      <c r="U2785" s="2" t="s">
        <v>2355</v>
      </c>
      <c r="V2785" s="2" t="s">
        <v>59</v>
      </c>
      <c r="W2785" s="2">
        <v>44.9</v>
      </c>
      <c r="X2785" s="2">
        <v>37.700000000000003</v>
      </c>
      <c r="Y2785" s="2" t="s">
        <v>141</v>
      </c>
      <c r="Z2785" s="2" t="s">
        <v>18563</v>
      </c>
      <c r="AA2785" s="2">
        <v>-3.2744155770133401</v>
      </c>
      <c r="AB2785" s="2">
        <v>0.289166953060844</v>
      </c>
      <c r="AC2785" s="2">
        <v>53553.453397609002</v>
      </c>
      <c r="AD2785" s="2">
        <v>59771.957747276298</v>
      </c>
      <c r="AE2785" s="2">
        <v>54636.6692257166</v>
      </c>
      <c r="AF2785" s="2">
        <v>50208.484246840402</v>
      </c>
      <c r="AG2785" s="2">
        <v>53851.650849898397</v>
      </c>
      <c r="AH2785" s="2">
        <v>54790.334025993601</v>
      </c>
      <c r="AI2785" s="2">
        <v>52368.969668984202</v>
      </c>
      <c r="AJ2785" s="2">
        <v>55464.612368220798</v>
      </c>
      <c r="AK2785" s="2">
        <v>57623.855834557799</v>
      </c>
      <c r="AL2785" s="2">
        <v>58397.280468256497</v>
      </c>
      <c r="AM2785" s="2">
        <v>61651.546360362197</v>
      </c>
      <c r="AN2785" s="2">
        <v>59026.330857427303</v>
      </c>
      <c r="AO2785" s="2">
        <v>60363.005484154499</v>
      </c>
      <c r="AP2785" s="2">
        <v>61569.727478899797</v>
      </c>
    </row>
    <row r="2786" spans="1:42" ht="14.5" x14ac:dyDescent="0.35">
      <c r="A2786" s="2" t="s">
        <v>18564</v>
      </c>
      <c r="B2786" s="2">
        <v>339.119177572642</v>
      </c>
      <c r="C2786" s="2">
        <v>3.5784166666666701</v>
      </c>
      <c r="D2786" s="2" t="s">
        <v>70</v>
      </c>
      <c r="E2786" s="2" t="s">
        <v>18565</v>
      </c>
      <c r="F2786" s="2">
        <v>54117</v>
      </c>
      <c r="G2786" s="3" t="str">
        <f>HYPERLINK("http://funmeta.oebiotech.com/network/54117", "http://funmeta.oebiotech.com/network/54117")</f>
        <v>http://funmeta.oebiotech.com/network/54117</v>
      </c>
      <c r="H2786" s="2" t="s">
        <v>18566</v>
      </c>
      <c r="I2786" s="2"/>
      <c r="J2786" s="2"/>
      <c r="K2786" s="2"/>
      <c r="L2786" s="2"/>
      <c r="M2786" s="2"/>
      <c r="N2786" s="2"/>
      <c r="O2786" s="2">
        <v>69040603</v>
      </c>
      <c r="P2786" s="2" t="s">
        <v>18567</v>
      </c>
      <c r="Q2786" s="2" t="s">
        <v>18568</v>
      </c>
      <c r="R2786" s="2" t="s">
        <v>18569</v>
      </c>
      <c r="S2786" s="2" t="s">
        <v>89</v>
      </c>
      <c r="T2786" s="2" t="s">
        <v>90</v>
      </c>
      <c r="U2786" s="2" t="s">
        <v>99</v>
      </c>
      <c r="V2786" s="2" t="s">
        <v>42</v>
      </c>
      <c r="W2786" s="2">
        <v>51.1</v>
      </c>
      <c r="X2786" s="2">
        <v>61.6</v>
      </c>
      <c r="Y2786" s="2" t="s">
        <v>408</v>
      </c>
      <c r="Z2786" s="2" t="s">
        <v>18570</v>
      </c>
      <c r="AA2786" s="2">
        <v>-2.0297117757657799</v>
      </c>
      <c r="AB2786" s="2">
        <v>0.28884281680008</v>
      </c>
      <c r="AC2786" s="2">
        <v>13360.7293693171</v>
      </c>
      <c r="AD2786" s="2">
        <v>19004.1373461</v>
      </c>
      <c r="AE2786" s="2">
        <v>14139.660683107801</v>
      </c>
      <c r="AF2786" s="2">
        <v>12816.5311944244</v>
      </c>
      <c r="AG2786" s="2">
        <v>13333.464932716401</v>
      </c>
      <c r="AH2786" s="2">
        <v>11982.238997570001</v>
      </c>
      <c r="AI2786" s="2">
        <v>13341.7537256914</v>
      </c>
      <c r="AJ2786" s="2">
        <v>14550.7266823928</v>
      </c>
      <c r="AK2786" s="2">
        <v>18803.857188375699</v>
      </c>
      <c r="AL2786" s="2">
        <v>18073.717885174199</v>
      </c>
      <c r="AM2786" s="2">
        <v>19318.1428982135</v>
      </c>
      <c r="AN2786" s="2">
        <v>19030.159246756601</v>
      </c>
      <c r="AO2786" s="2">
        <v>18864.695522566199</v>
      </c>
      <c r="AP2786" s="2">
        <v>19934.2513355138</v>
      </c>
    </row>
    <row r="2787" spans="1:42" ht="14.5" x14ac:dyDescent="0.35">
      <c r="A2787" s="2" t="s">
        <v>18571</v>
      </c>
      <c r="B2787" s="2">
        <v>517.09654333956996</v>
      </c>
      <c r="C2787" s="2">
        <v>5.0778999999999996</v>
      </c>
      <c r="D2787" s="2" t="s">
        <v>70</v>
      </c>
      <c r="E2787" s="2" t="s">
        <v>18572</v>
      </c>
      <c r="F2787" s="2">
        <v>61682</v>
      </c>
      <c r="G2787" s="3" t="str">
        <f>HYPERLINK("http://funmeta.oebiotech.com/network/61682", "http://funmeta.oebiotech.com/network/61682")</f>
        <v>http://funmeta.oebiotech.com/network/61682</v>
      </c>
      <c r="H2787" s="2" t="s">
        <v>18573</v>
      </c>
      <c r="I2787" s="2">
        <v>92989</v>
      </c>
      <c r="J2787" s="2"/>
      <c r="K2787" s="2"/>
      <c r="L2787" s="2"/>
      <c r="M2787" s="2"/>
      <c r="N2787" s="2"/>
      <c r="O2787" s="2">
        <v>85364009</v>
      </c>
      <c r="P2787" s="2"/>
      <c r="Q2787" s="2" t="s">
        <v>18574</v>
      </c>
      <c r="R2787" s="2" t="s">
        <v>18575</v>
      </c>
      <c r="S2787" s="2" t="s">
        <v>115</v>
      </c>
      <c r="T2787" s="2" t="s">
        <v>139</v>
      </c>
      <c r="U2787" s="2" t="s">
        <v>140</v>
      </c>
      <c r="V2787" s="2" t="s">
        <v>42</v>
      </c>
      <c r="W2787" s="2">
        <v>47.7</v>
      </c>
      <c r="X2787" s="2">
        <v>49.8</v>
      </c>
      <c r="Y2787" s="2" t="s">
        <v>751</v>
      </c>
      <c r="Z2787" s="2" t="s">
        <v>18576</v>
      </c>
      <c r="AA2787" s="2">
        <v>-4.1427255333500996</v>
      </c>
      <c r="AB2787" s="2">
        <v>0.288830181437702</v>
      </c>
      <c r="AC2787" s="2">
        <v>40233.741950107098</v>
      </c>
      <c r="AD2787" s="2">
        <v>46773.390146925398</v>
      </c>
      <c r="AE2787" s="2">
        <v>40978.395613736298</v>
      </c>
      <c r="AF2787" s="2">
        <v>41717.630876047297</v>
      </c>
      <c r="AG2787" s="2">
        <v>42072.909872509801</v>
      </c>
      <c r="AH2787" s="2">
        <v>39268.493998663398</v>
      </c>
      <c r="AI2787" s="2">
        <v>35934.209639584798</v>
      </c>
      <c r="AJ2787" s="2">
        <v>41430.811700101302</v>
      </c>
      <c r="AK2787" s="2">
        <v>45802.408302089199</v>
      </c>
      <c r="AL2787" s="2">
        <v>47760.782963022997</v>
      </c>
      <c r="AM2787" s="2">
        <v>49673.711951881698</v>
      </c>
      <c r="AN2787" s="2">
        <v>46500.059067701797</v>
      </c>
      <c r="AO2787" s="2">
        <v>47760.957524109399</v>
      </c>
      <c r="AP2787" s="2">
        <v>43142.421072747202</v>
      </c>
    </row>
    <row r="2788" spans="1:42" ht="14.5" x14ac:dyDescent="0.35">
      <c r="A2788" s="2" t="s">
        <v>18577</v>
      </c>
      <c r="B2788" s="2">
        <v>947.48503791558198</v>
      </c>
      <c r="C2788" s="2">
        <v>9.2927333333333308</v>
      </c>
      <c r="D2788" s="2" t="s">
        <v>70</v>
      </c>
      <c r="E2788" s="2" t="s">
        <v>18578</v>
      </c>
      <c r="F2788" s="2">
        <v>56302</v>
      </c>
      <c r="G2788" s="3" t="str">
        <f>HYPERLINK("http://funmeta.oebiotech.com/network/56302", "http://funmeta.oebiotech.com/network/56302")</f>
        <v>http://funmeta.oebiotech.com/network/56302</v>
      </c>
      <c r="H2788" s="2" t="s">
        <v>18579</v>
      </c>
      <c r="I2788" s="2">
        <v>87958</v>
      </c>
      <c r="J2788" s="2"/>
      <c r="K2788" s="2"/>
      <c r="L2788" s="2"/>
      <c r="M2788" s="2"/>
      <c r="N2788" s="2"/>
      <c r="O2788" s="2">
        <v>3042721</v>
      </c>
      <c r="P2788" s="2" t="s">
        <v>18580</v>
      </c>
      <c r="Q2788" s="2" t="s">
        <v>18581</v>
      </c>
      <c r="R2788" s="2" t="s">
        <v>18582</v>
      </c>
      <c r="S2788" s="2" t="s">
        <v>50</v>
      </c>
      <c r="T2788" s="2" t="s">
        <v>124</v>
      </c>
      <c r="U2788" s="2" t="s">
        <v>523</v>
      </c>
      <c r="V2788" s="2" t="s">
        <v>59</v>
      </c>
      <c r="W2788" s="2">
        <v>38</v>
      </c>
      <c r="X2788" s="2">
        <v>0</v>
      </c>
      <c r="Y2788" s="2" t="s">
        <v>408</v>
      </c>
      <c r="Z2788" s="2" t="s">
        <v>17728</v>
      </c>
      <c r="AA2788" s="2">
        <v>-0.75400453317477401</v>
      </c>
      <c r="AB2788" s="2">
        <v>0.28878966815091101</v>
      </c>
      <c r="AC2788" s="2">
        <v>10583.435973145801</v>
      </c>
      <c r="AD2788" s="2">
        <v>4502.5715702933903</v>
      </c>
      <c r="AE2788" s="2">
        <v>9448.1610226635603</v>
      </c>
      <c r="AF2788" s="2">
        <v>9518.2913511994193</v>
      </c>
      <c r="AG2788" s="2">
        <v>8744.1633413227391</v>
      </c>
      <c r="AH2788" s="2">
        <v>11803.8731625868</v>
      </c>
      <c r="AI2788" s="2">
        <v>10644.126573924599</v>
      </c>
      <c r="AJ2788" s="2">
        <v>13342.000387177401</v>
      </c>
      <c r="AK2788" s="2">
        <v>3228.5957866206099</v>
      </c>
      <c r="AL2788" s="2">
        <v>6352.4671988252303</v>
      </c>
      <c r="AM2788" s="2">
        <v>2724.8548288208199</v>
      </c>
      <c r="AN2788" s="2">
        <v>3645.97588247778</v>
      </c>
      <c r="AO2788" s="2">
        <v>5653.9506189446602</v>
      </c>
      <c r="AP2788" s="2">
        <v>5409.5851060712203</v>
      </c>
    </row>
    <row r="2789" spans="1:42" ht="14.5" x14ac:dyDescent="0.35">
      <c r="A2789" s="2" t="s">
        <v>18583</v>
      </c>
      <c r="B2789" s="2">
        <v>478.29440393724701</v>
      </c>
      <c r="C2789" s="2">
        <v>7.9920499999999999</v>
      </c>
      <c r="D2789" s="2" t="s">
        <v>34</v>
      </c>
      <c r="E2789" s="2" t="s">
        <v>18584</v>
      </c>
      <c r="F2789" s="2">
        <v>213009</v>
      </c>
      <c r="G2789" s="3" t="str">
        <f>HYPERLINK("http://funmeta.oebiotech.com/network/213009", "http://funmeta.oebiotech.com/network/213009")</f>
        <v>http://funmeta.oebiotech.com/network/213009</v>
      </c>
      <c r="H2789" s="2" t="s">
        <v>18585</v>
      </c>
      <c r="I2789" s="2"/>
      <c r="J2789" s="2"/>
      <c r="K2789" s="2"/>
      <c r="L2789" s="2"/>
      <c r="M2789" s="2"/>
      <c r="N2789" s="2"/>
      <c r="O2789" s="2">
        <v>5034185</v>
      </c>
      <c r="P2789" s="2"/>
      <c r="Q2789" s="2" t="s">
        <v>18586</v>
      </c>
      <c r="R2789" s="2" t="s">
        <v>18587</v>
      </c>
      <c r="S2789" s="2" t="s">
        <v>148</v>
      </c>
      <c r="T2789" s="2" t="s">
        <v>149</v>
      </c>
      <c r="U2789" s="2" t="s">
        <v>5292</v>
      </c>
      <c r="V2789" s="2" t="s">
        <v>59</v>
      </c>
      <c r="W2789" s="2">
        <v>38.299999999999997</v>
      </c>
      <c r="X2789" s="2">
        <v>0</v>
      </c>
      <c r="Y2789" s="2" t="s">
        <v>394</v>
      </c>
      <c r="Z2789" s="2" t="s">
        <v>18588</v>
      </c>
      <c r="AA2789" s="2">
        <v>-1.63680769836355</v>
      </c>
      <c r="AB2789" s="2">
        <v>0.28877436295240499</v>
      </c>
      <c r="AC2789" s="2">
        <v>11943.1478346687</v>
      </c>
      <c r="AD2789" s="2">
        <v>5860.50401046147</v>
      </c>
      <c r="AE2789" s="2">
        <v>11057.117220522499</v>
      </c>
      <c r="AF2789" s="2">
        <v>11534.121173583901</v>
      </c>
      <c r="AG2789" s="2">
        <v>12660.6618113108</v>
      </c>
      <c r="AH2789" s="2">
        <v>13615.0846155819</v>
      </c>
      <c r="AI2789" s="2">
        <v>11569.286255949501</v>
      </c>
      <c r="AJ2789" s="2">
        <v>11222.615931063599</v>
      </c>
      <c r="AK2789" s="2">
        <v>7692.0249674444904</v>
      </c>
      <c r="AL2789" s="2">
        <v>8776.67287968452</v>
      </c>
      <c r="AM2789" s="2">
        <v>5296.1757346510303</v>
      </c>
      <c r="AN2789" s="2">
        <v>4664.7488896572804</v>
      </c>
      <c r="AO2789" s="2">
        <v>5816.60933504901</v>
      </c>
      <c r="AP2789" s="2">
        <v>2916.7922562824701</v>
      </c>
    </row>
    <row r="2790" spans="1:42" ht="14.5" x14ac:dyDescent="0.35">
      <c r="A2790" s="2" t="s">
        <v>18589</v>
      </c>
      <c r="B2790" s="2">
        <v>325.20067591792701</v>
      </c>
      <c r="C2790" s="2">
        <v>9.2343499999999992</v>
      </c>
      <c r="D2790" s="2" t="s">
        <v>34</v>
      </c>
      <c r="E2790" s="2" t="s">
        <v>18590</v>
      </c>
      <c r="F2790" s="2">
        <v>210234</v>
      </c>
      <c r="G2790" s="3" t="str">
        <f>HYPERLINK("http://funmeta.oebiotech.com/network/210234", "http://funmeta.oebiotech.com/network/210234")</f>
        <v>http://funmeta.oebiotech.com/network/210234</v>
      </c>
      <c r="H2790" s="2" t="s">
        <v>18591</v>
      </c>
      <c r="I2790" s="2"/>
      <c r="J2790" s="2"/>
      <c r="K2790" s="2"/>
      <c r="L2790" s="2"/>
      <c r="M2790" s="2"/>
      <c r="N2790" s="2"/>
      <c r="O2790" s="2"/>
      <c r="P2790" s="2"/>
      <c r="Q2790" s="2" t="s">
        <v>18592</v>
      </c>
      <c r="R2790" s="2" t="s">
        <v>18593</v>
      </c>
      <c r="S2790" s="2" t="s">
        <v>41</v>
      </c>
      <c r="T2790" s="2" t="s">
        <v>41</v>
      </c>
      <c r="U2790" s="2" t="s">
        <v>41</v>
      </c>
      <c r="V2790" s="2" t="s">
        <v>42</v>
      </c>
      <c r="W2790" s="2">
        <v>54.3</v>
      </c>
      <c r="X2790" s="2">
        <v>77.8</v>
      </c>
      <c r="Y2790" s="2" t="s">
        <v>141</v>
      </c>
      <c r="Z2790" s="2" t="s">
        <v>18594</v>
      </c>
      <c r="AA2790" s="2">
        <v>-0.80218624462448795</v>
      </c>
      <c r="AB2790" s="2">
        <v>0.28856864845309999</v>
      </c>
      <c r="AC2790" s="2">
        <v>10925.352526230899</v>
      </c>
      <c r="AD2790" s="2">
        <v>5425.4890234249597</v>
      </c>
      <c r="AE2790" s="2">
        <v>11040.3616316754</v>
      </c>
      <c r="AF2790" s="2">
        <v>10238.1758895853</v>
      </c>
      <c r="AG2790" s="2">
        <v>11165.5744805494</v>
      </c>
      <c r="AH2790" s="2">
        <v>10657.826644279699</v>
      </c>
      <c r="AI2790" s="2">
        <v>10962.0755703011</v>
      </c>
      <c r="AJ2790" s="2">
        <v>11488.1009409946</v>
      </c>
      <c r="AK2790" s="2">
        <v>5738.91731446638</v>
      </c>
      <c r="AL2790" s="2">
        <v>5383.0356881525704</v>
      </c>
      <c r="AM2790" s="2">
        <v>5468.6405926812504</v>
      </c>
      <c r="AN2790" s="2">
        <v>5122.5108764778097</v>
      </c>
      <c r="AO2790" s="2">
        <v>5590.84917486615</v>
      </c>
      <c r="AP2790" s="2">
        <v>5248.9804939055803</v>
      </c>
    </row>
    <row r="2791" spans="1:42" ht="14.5" x14ac:dyDescent="0.35">
      <c r="A2791" s="2" t="s">
        <v>18595</v>
      </c>
      <c r="B2791" s="2">
        <v>907.22277350443198</v>
      </c>
      <c r="C2791" s="2">
        <v>7.9733000000000001</v>
      </c>
      <c r="D2791" s="2" t="s">
        <v>70</v>
      </c>
      <c r="E2791" s="2" t="s">
        <v>18596</v>
      </c>
      <c r="F2791" s="2">
        <v>293670</v>
      </c>
      <c r="G2791" s="3" t="str">
        <f>HYPERLINK("http://funmeta.oebiotech.com/network/293670", "http://funmeta.oebiotech.com/network/293670")</f>
        <v>http://funmeta.oebiotech.com/network/293670</v>
      </c>
      <c r="H2791" s="2"/>
      <c r="I2791" s="2">
        <v>317620</v>
      </c>
      <c r="J2791" s="2"/>
      <c r="K2791" s="2"/>
      <c r="L2791" s="2"/>
      <c r="M2791" s="2"/>
      <c r="N2791" s="2"/>
      <c r="O2791" s="2">
        <v>9955578</v>
      </c>
      <c r="P2791" s="2"/>
      <c r="Q2791" s="2" t="s">
        <v>18597</v>
      </c>
      <c r="R2791" s="2" t="s">
        <v>18598</v>
      </c>
      <c r="S2791" s="2" t="s">
        <v>148</v>
      </c>
      <c r="T2791" s="2" t="s">
        <v>149</v>
      </c>
      <c r="U2791" s="2" t="s">
        <v>18599</v>
      </c>
      <c r="V2791" s="2" t="s">
        <v>59</v>
      </c>
      <c r="W2791" s="2">
        <v>37</v>
      </c>
      <c r="X2791" s="2">
        <v>0</v>
      </c>
      <c r="Y2791" s="2" t="s">
        <v>560</v>
      </c>
      <c r="Z2791" s="2" t="s">
        <v>18600</v>
      </c>
      <c r="AA2791" s="2">
        <v>-5.7346543419473299</v>
      </c>
      <c r="AB2791" s="2">
        <v>0.28850724600357103</v>
      </c>
      <c r="AC2791" s="2">
        <v>8654.2332091427597</v>
      </c>
      <c r="AD2791" s="2">
        <v>14639.006434364799</v>
      </c>
      <c r="AE2791" s="2">
        <v>8592.7969477092101</v>
      </c>
      <c r="AF2791" s="2">
        <v>8418.5733585280504</v>
      </c>
      <c r="AG2791" s="2">
        <v>6799.9415898626703</v>
      </c>
      <c r="AH2791" s="2">
        <v>9702.5912808544999</v>
      </c>
      <c r="AI2791" s="2">
        <v>10826.738811650001</v>
      </c>
      <c r="AJ2791" s="2">
        <v>7584.7572662521397</v>
      </c>
      <c r="AK2791" s="2">
        <v>14665.625167419001</v>
      </c>
      <c r="AL2791" s="2">
        <v>12564.2250345062</v>
      </c>
      <c r="AM2791" s="2">
        <v>14035.3653212022</v>
      </c>
      <c r="AN2791" s="2">
        <v>14215.599415667901</v>
      </c>
      <c r="AO2791" s="2">
        <v>14914.088783585899</v>
      </c>
      <c r="AP2791" s="2">
        <v>17439.134883807801</v>
      </c>
    </row>
    <row r="2792" spans="1:42" ht="14.5" x14ac:dyDescent="0.35">
      <c r="A2792" s="2" t="s">
        <v>18601</v>
      </c>
      <c r="B2792" s="2">
        <v>413.18152980183999</v>
      </c>
      <c r="C2792" s="2">
        <v>4.9511166666666702</v>
      </c>
      <c r="D2792" s="2" t="s">
        <v>70</v>
      </c>
      <c r="E2792" s="2" t="s">
        <v>18602</v>
      </c>
      <c r="F2792" s="2">
        <v>289862</v>
      </c>
      <c r="G2792" s="3" t="str">
        <f>HYPERLINK("http://funmeta.oebiotech.com/network/289862", "http://funmeta.oebiotech.com/network/289862")</f>
        <v>http://funmeta.oebiotech.com/network/289862</v>
      </c>
      <c r="H2792" s="2"/>
      <c r="I2792" s="2">
        <v>984998</v>
      </c>
      <c r="J2792" s="2"/>
      <c r="K2792" s="2"/>
      <c r="L2792" s="2"/>
      <c r="M2792" s="2"/>
      <c r="N2792" s="2"/>
      <c r="O2792" s="2">
        <v>102571623</v>
      </c>
      <c r="P2792" s="2"/>
      <c r="Q2792" s="2" t="s">
        <v>18603</v>
      </c>
      <c r="R2792" s="2" t="s">
        <v>18604</v>
      </c>
      <c r="S2792" s="2" t="s">
        <v>50</v>
      </c>
      <c r="T2792" s="2" t="s">
        <v>201</v>
      </c>
      <c r="U2792" s="2" t="s">
        <v>1217</v>
      </c>
      <c r="V2792" s="2" t="s">
        <v>59</v>
      </c>
      <c r="W2792" s="2">
        <v>39.1</v>
      </c>
      <c r="X2792" s="2">
        <v>0</v>
      </c>
      <c r="Y2792" s="2" t="s">
        <v>408</v>
      </c>
      <c r="Z2792" s="2" t="s">
        <v>18605</v>
      </c>
      <c r="AA2792" s="2">
        <v>-0.47884557161001901</v>
      </c>
      <c r="AB2792" s="2">
        <v>0.28849021837866901</v>
      </c>
      <c r="AC2792" s="2">
        <v>64522.210596085199</v>
      </c>
      <c r="AD2792" s="2">
        <v>71518.400522683805</v>
      </c>
      <c r="AE2792" s="2">
        <v>64506.549439580602</v>
      </c>
      <c r="AF2792" s="2">
        <v>64637.350331942704</v>
      </c>
      <c r="AG2792" s="2">
        <v>61358.969920964097</v>
      </c>
      <c r="AH2792" s="2">
        <v>61568.894954707903</v>
      </c>
      <c r="AI2792" s="2">
        <v>66459.629603471301</v>
      </c>
      <c r="AJ2792" s="2">
        <v>68601.869325844396</v>
      </c>
      <c r="AK2792" s="2">
        <v>71614.725661612305</v>
      </c>
      <c r="AL2792" s="2">
        <v>73752.682223113996</v>
      </c>
      <c r="AM2792" s="2">
        <v>76523.589895175901</v>
      </c>
      <c r="AN2792" s="2">
        <v>68917.424996782094</v>
      </c>
      <c r="AO2792" s="2">
        <v>67120.471893322901</v>
      </c>
      <c r="AP2792" s="2">
        <v>71181.508466095504</v>
      </c>
    </row>
    <row r="2793" spans="1:42" ht="14.5" x14ac:dyDescent="0.35">
      <c r="A2793" s="2" t="s">
        <v>18606</v>
      </c>
      <c r="B2793" s="2">
        <v>335.25776636006498</v>
      </c>
      <c r="C2793" s="2">
        <v>11.141500000000001</v>
      </c>
      <c r="D2793" s="2" t="s">
        <v>34</v>
      </c>
      <c r="E2793" s="2" t="s">
        <v>18607</v>
      </c>
      <c r="F2793" s="2">
        <v>61549</v>
      </c>
      <c r="G2793" s="3" t="str">
        <f>HYPERLINK("http://funmeta.oebiotech.com/network/61549", "http://funmeta.oebiotech.com/network/61549")</f>
        <v>http://funmeta.oebiotech.com/network/61549</v>
      </c>
      <c r="H2793" s="2" t="s">
        <v>18608</v>
      </c>
      <c r="I2793" s="2">
        <v>92861</v>
      </c>
      <c r="J2793" s="2"/>
      <c r="K2793" s="2"/>
      <c r="L2793" s="2"/>
      <c r="M2793" s="2"/>
      <c r="N2793" s="2"/>
      <c r="O2793" s="2">
        <v>131752302</v>
      </c>
      <c r="P2793" s="2" t="s">
        <v>18609</v>
      </c>
      <c r="Q2793" s="2" t="s">
        <v>18610</v>
      </c>
      <c r="R2793" s="2" t="s">
        <v>18611</v>
      </c>
      <c r="S2793" s="2" t="s">
        <v>491</v>
      </c>
      <c r="T2793" s="2" t="s">
        <v>6207</v>
      </c>
      <c r="U2793" s="2" t="s">
        <v>41</v>
      </c>
      <c r="V2793" s="2" t="s">
        <v>59</v>
      </c>
      <c r="W2793" s="2">
        <v>45.8</v>
      </c>
      <c r="X2793" s="2">
        <v>33.6</v>
      </c>
      <c r="Y2793" s="2" t="s">
        <v>394</v>
      </c>
      <c r="Z2793" s="2" t="s">
        <v>18612</v>
      </c>
      <c r="AA2793" s="2">
        <v>-0.91255129222589104</v>
      </c>
      <c r="AB2793" s="2">
        <v>0.28845912706834098</v>
      </c>
      <c r="AC2793" s="2">
        <v>61788.134181674999</v>
      </c>
      <c r="AD2793" s="2">
        <v>70722.865138941503</v>
      </c>
      <c r="AE2793" s="2">
        <v>66090.670926562307</v>
      </c>
      <c r="AF2793" s="2">
        <v>63710.152466297302</v>
      </c>
      <c r="AG2793" s="2">
        <v>64069.1715096021</v>
      </c>
      <c r="AH2793" s="2">
        <v>59027.104985523598</v>
      </c>
      <c r="AI2793" s="2">
        <v>57481.536030842202</v>
      </c>
      <c r="AJ2793" s="2">
        <v>60350.169171222697</v>
      </c>
      <c r="AK2793" s="2">
        <v>61165.342559961799</v>
      </c>
      <c r="AL2793" s="2">
        <v>66389.236214759905</v>
      </c>
      <c r="AM2793" s="2">
        <v>69917.5889414579</v>
      </c>
      <c r="AN2793" s="2">
        <v>72508.583998597096</v>
      </c>
      <c r="AO2793" s="2">
        <v>85737.472333973303</v>
      </c>
      <c r="AP2793" s="2">
        <v>68618.966784899298</v>
      </c>
    </row>
    <row r="2794" spans="1:42" ht="14.5" x14ac:dyDescent="0.35">
      <c r="A2794" s="2" t="s">
        <v>18613</v>
      </c>
      <c r="B2794" s="2">
        <v>1121.5310161765899</v>
      </c>
      <c r="C2794" s="2">
        <v>9.8631833333333301</v>
      </c>
      <c r="D2794" s="2" t="s">
        <v>34</v>
      </c>
      <c r="E2794" s="2" t="s">
        <v>18614</v>
      </c>
      <c r="F2794" s="2">
        <v>233481</v>
      </c>
      <c r="G2794" s="3" t="str">
        <f>HYPERLINK("http://funmeta.oebiotech.com/network/233481", "http://funmeta.oebiotech.com/network/233481")</f>
        <v>http://funmeta.oebiotech.com/network/233481</v>
      </c>
      <c r="H2794" s="2" t="s">
        <v>18615</v>
      </c>
      <c r="I2794" s="2"/>
      <c r="J2794" s="2"/>
      <c r="K2794" s="2"/>
      <c r="L2794" s="2"/>
      <c r="M2794" s="2"/>
      <c r="N2794" s="2"/>
      <c r="O2794" s="2"/>
      <c r="P2794" s="2"/>
      <c r="Q2794" s="2" t="s">
        <v>18616</v>
      </c>
      <c r="R2794" s="2" t="s">
        <v>18617</v>
      </c>
      <c r="S2794" s="2" t="s">
        <v>41</v>
      </c>
      <c r="T2794" s="2" t="s">
        <v>41</v>
      </c>
      <c r="U2794" s="2" t="s">
        <v>41</v>
      </c>
      <c r="V2794" s="2" t="s">
        <v>59</v>
      </c>
      <c r="W2794" s="2">
        <v>38.200000000000003</v>
      </c>
      <c r="X2794" s="2">
        <v>0</v>
      </c>
      <c r="Y2794" s="2" t="s">
        <v>340</v>
      </c>
      <c r="Z2794" s="2" t="s">
        <v>18618</v>
      </c>
      <c r="AA2794" s="2">
        <v>-2.7211942866816199</v>
      </c>
      <c r="AB2794" s="2">
        <v>0.28834636699119498</v>
      </c>
      <c r="AC2794" s="2">
        <v>19418.004117143701</v>
      </c>
      <c r="AD2794" s="2">
        <v>13607.444644262499</v>
      </c>
      <c r="AE2794" s="2">
        <v>20331.946638988698</v>
      </c>
      <c r="AF2794" s="2">
        <v>21191.573863586698</v>
      </c>
      <c r="AG2794" s="2">
        <v>19525.945226435098</v>
      </c>
      <c r="AH2794" s="2">
        <v>17296.526509985299</v>
      </c>
      <c r="AI2794" s="2">
        <v>18951.177231626501</v>
      </c>
      <c r="AJ2794" s="2">
        <v>19210.855232240101</v>
      </c>
      <c r="AK2794" s="2">
        <v>14080.2267778228</v>
      </c>
      <c r="AL2794" s="2">
        <v>11791.612962733499</v>
      </c>
      <c r="AM2794" s="2">
        <v>14113.3131841371</v>
      </c>
      <c r="AN2794" s="2">
        <v>12982.192354324699</v>
      </c>
      <c r="AO2794" s="2">
        <v>14345.0068379</v>
      </c>
      <c r="AP2794" s="2">
        <v>14332.315748657</v>
      </c>
    </row>
    <row r="2795" spans="1:42" ht="14.5" x14ac:dyDescent="0.35">
      <c r="A2795" s="2" t="s">
        <v>18619</v>
      </c>
      <c r="B2795" s="2">
        <v>873.31590971378796</v>
      </c>
      <c r="C2795" s="2">
        <v>7.2797333333333301</v>
      </c>
      <c r="D2795" s="2" t="s">
        <v>70</v>
      </c>
      <c r="E2795" s="2" t="s">
        <v>18620</v>
      </c>
      <c r="F2795" s="2">
        <v>210025</v>
      </c>
      <c r="G2795" s="3" t="str">
        <f>HYPERLINK("http://funmeta.oebiotech.com/network/210025", "http://funmeta.oebiotech.com/network/210025")</f>
        <v>http://funmeta.oebiotech.com/network/210025</v>
      </c>
      <c r="H2795" s="2" t="s">
        <v>18621</v>
      </c>
      <c r="I2795" s="2">
        <v>321971</v>
      </c>
      <c r="J2795" s="2"/>
      <c r="K2795" s="2">
        <v>71219</v>
      </c>
      <c r="L2795" s="2"/>
      <c r="M2795" s="2"/>
      <c r="N2795" s="2"/>
      <c r="O2795" s="2">
        <v>10113978</v>
      </c>
      <c r="P2795" s="2"/>
      <c r="Q2795" s="2" t="s">
        <v>18622</v>
      </c>
      <c r="R2795" s="2" t="s">
        <v>18623</v>
      </c>
      <c r="S2795" s="2" t="s">
        <v>1677</v>
      </c>
      <c r="T2795" s="2" t="s">
        <v>1678</v>
      </c>
      <c r="U2795" s="2" t="s">
        <v>1679</v>
      </c>
      <c r="V2795" s="2" t="s">
        <v>59</v>
      </c>
      <c r="W2795" s="2">
        <v>36.1</v>
      </c>
      <c r="X2795" s="2">
        <v>0</v>
      </c>
      <c r="Y2795" s="2" t="s">
        <v>560</v>
      </c>
      <c r="Z2795" s="2" t="s">
        <v>18624</v>
      </c>
      <c r="AA2795" s="2">
        <v>-4.1195979823373303</v>
      </c>
      <c r="AB2795" s="2">
        <v>0.28831074287222902</v>
      </c>
      <c r="AC2795" s="2">
        <v>84330.585182429699</v>
      </c>
      <c r="AD2795" s="2">
        <v>76516.887136027493</v>
      </c>
      <c r="AE2795" s="2">
        <v>83676.129317345098</v>
      </c>
      <c r="AF2795" s="2">
        <v>78346.783691895194</v>
      </c>
      <c r="AG2795" s="2">
        <v>86879.722705222099</v>
      </c>
      <c r="AH2795" s="2">
        <v>89810.620881825205</v>
      </c>
      <c r="AI2795" s="2">
        <v>90145.329695542197</v>
      </c>
      <c r="AJ2795" s="2">
        <v>77124.924802748195</v>
      </c>
      <c r="AK2795" s="2">
        <v>73030.981775921595</v>
      </c>
      <c r="AL2795" s="2">
        <v>79409.209811132896</v>
      </c>
      <c r="AM2795" s="2">
        <v>77164.7978387607</v>
      </c>
      <c r="AN2795" s="2">
        <v>74575.116848613194</v>
      </c>
      <c r="AO2795" s="2">
        <v>76782.809350642099</v>
      </c>
      <c r="AP2795" s="2">
        <v>78138.407191094695</v>
      </c>
    </row>
    <row r="2796" spans="1:42" ht="14.5" x14ac:dyDescent="0.35">
      <c r="A2796" s="2" t="s">
        <v>18625</v>
      </c>
      <c r="B2796" s="2">
        <v>163.147995632022</v>
      </c>
      <c r="C2796" s="2">
        <v>4.4289500000000004</v>
      </c>
      <c r="D2796" s="2" t="s">
        <v>34</v>
      </c>
      <c r="E2796" s="2" t="s">
        <v>18626</v>
      </c>
      <c r="F2796" s="2">
        <v>55791</v>
      </c>
      <c r="G2796" s="3" t="str">
        <f>HYPERLINK("http://funmeta.oebiotech.com/network/55791", "http://funmeta.oebiotech.com/network/55791")</f>
        <v>http://funmeta.oebiotech.com/network/55791</v>
      </c>
      <c r="H2796" s="2" t="s">
        <v>18627</v>
      </c>
      <c r="I2796" s="2">
        <v>87473</v>
      </c>
      <c r="J2796" s="2"/>
      <c r="K2796" s="2"/>
      <c r="L2796" s="2"/>
      <c r="M2796" s="2"/>
      <c r="N2796" s="2"/>
      <c r="O2796" s="2">
        <v>11137732</v>
      </c>
      <c r="P2796" s="2" t="s">
        <v>18628</v>
      </c>
      <c r="Q2796" s="2" t="s">
        <v>18629</v>
      </c>
      <c r="R2796" s="2" t="s">
        <v>18630</v>
      </c>
      <c r="S2796" s="2" t="s">
        <v>79</v>
      </c>
      <c r="T2796" s="2" t="s">
        <v>80</v>
      </c>
      <c r="U2796" s="2" t="s">
        <v>2820</v>
      </c>
      <c r="V2796" s="2" t="s">
        <v>59</v>
      </c>
      <c r="W2796" s="2">
        <v>39.200000000000003</v>
      </c>
      <c r="X2796" s="2">
        <v>0</v>
      </c>
      <c r="Y2796" s="2" t="s">
        <v>141</v>
      </c>
      <c r="Z2796" s="2" t="s">
        <v>18631</v>
      </c>
      <c r="AA2796" s="2">
        <v>-0.72926953110709603</v>
      </c>
      <c r="AB2796" s="2">
        <v>0.288245770183642</v>
      </c>
      <c r="AC2796" s="2">
        <v>30135.9609702733</v>
      </c>
      <c r="AD2796" s="2">
        <v>24336.982467997401</v>
      </c>
      <c r="AE2796" s="2">
        <v>30017.176854872901</v>
      </c>
      <c r="AF2796" s="2">
        <v>29625.9566646817</v>
      </c>
      <c r="AG2796" s="2">
        <v>29239.3713761935</v>
      </c>
      <c r="AH2796" s="2">
        <v>29543.414610758999</v>
      </c>
      <c r="AI2796" s="2">
        <v>30873.52972866</v>
      </c>
      <c r="AJ2796" s="2">
        <v>31516.3165864728</v>
      </c>
      <c r="AK2796" s="2">
        <v>22227.421648766998</v>
      </c>
      <c r="AL2796" s="2">
        <v>23613.592644052998</v>
      </c>
      <c r="AM2796" s="2">
        <v>25696.6799314858</v>
      </c>
      <c r="AN2796" s="2">
        <v>25386.658729221301</v>
      </c>
      <c r="AO2796" s="2">
        <v>24866.932583842699</v>
      </c>
      <c r="AP2796" s="2">
        <v>24230.609270614801</v>
      </c>
    </row>
    <row r="2797" spans="1:42" ht="14.5" x14ac:dyDescent="0.35">
      <c r="A2797" s="2" t="s">
        <v>18632</v>
      </c>
      <c r="B2797" s="2">
        <v>381.11307448182902</v>
      </c>
      <c r="C2797" s="2">
        <v>4.2764166666666696</v>
      </c>
      <c r="D2797" s="2" t="s">
        <v>70</v>
      </c>
      <c r="E2797" s="2" t="s">
        <v>18633</v>
      </c>
      <c r="F2797" s="2">
        <v>34231</v>
      </c>
      <c r="G2797" s="3" t="str">
        <f>HYPERLINK("http://funmeta.oebiotech.com/network/34231", "http://funmeta.oebiotech.com/network/34231")</f>
        <v>http://funmeta.oebiotech.com/network/34231</v>
      </c>
      <c r="H2797" s="2"/>
      <c r="I2797" s="2">
        <v>52539</v>
      </c>
      <c r="J2797" s="2" t="s">
        <v>18634</v>
      </c>
      <c r="K2797" s="2"/>
      <c r="L2797" s="2"/>
      <c r="M2797" s="2"/>
      <c r="N2797" s="2"/>
      <c r="O2797" s="2">
        <v>42607816</v>
      </c>
      <c r="P2797" s="2"/>
      <c r="Q2797" s="2" t="s">
        <v>18635</v>
      </c>
      <c r="R2797" s="2" t="s">
        <v>18636</v>
      </c>
      <c r="S2797" s="2" t="s">
        <v>115</v>
      </c>
      <c r="T2797" s="2" t="s">
        <v>1095</v>
      </c>
      <c r="U2797" s="2" t="s">
        <v>41</v>
      </c>
      <c r="V2797" s="2" t="s">
        <v>59</v>
      </c>
      <c r="W2797" s="2">
        <v>37.5</v>
      </c>
      <c r="X2797" s="2">
        <v>7.6700000000000004E-2</v>
      </c>
      <c r="Y2797" s="2" t="s">
        <v>751</v>
      </c>
      <c r="Z2797" s="2" t="s">
        <v>18637</v>
      </c>
      <c r="AA2797" s="2">
        <v>-0.39521392191217602</v>
      </c>
      <c r="AB2797" s="2">
        <v>0.28800182001483499</v>
      </c>
      <c r="AC2797" s="2">
        <v>147321.171987384</v>
      </c>
      <c r="AD2797" s="2">
        <v>138952.39970083401</v>
      </c>
      <c r="AE2797" s="2">
        <v>153361.25637215</v>
      </c>
      <c r="AF2797" s="2">
        <v>141903.594157327</v>
      </c>
      <c r="AG2797" s="2">
        <v>149904.17431232799</v>
      </c>
      <c r="AH2797" s="2">
        <v>151085.20609356699</v>
      </c>
      <c r="AI2797" s="2">
        <v>142629.98888211299</v>
      </c>
      <c r="AJ2797" s="2">
        <v>145042.81210681799</v>
      </c>
      <c r="AK2797" s="2">
        <v>129714.69265225</v>
      </c>
      <c r="AL2797" s="2">
        <v>139552.90956885801</v>
      </c>
      <c r="AM2797" s="2">
        <v>146050.89874214699</v>
      </c>
      <c r="AN2797" s="2">
        <v>139939.49539452</v>
      </c>
      <c r="AO2797" s="2">
        <v>143550.55251975599</v>
      </c>
      <c r="AP2797" s="2">
        <v>134905.84932747501</v>
      </c>
    </row>
    <row r="2798" spans="1:42" ht="14.5" x14ac:dyDescent="0.35">
      <c r="A2798" s="2" t="s">
        <v>18638</v>
      </c>
      <c r="B2798" s="2">
        <v>361.138695356509</v>
      </c>
      <c r="C2798" s="2">
        <v>1.5526500000000001</v>
      </c>
      <c r="D2798" s="2" t="s">
        <v>34</v>
      </c>
      <c r="E2798" s="2" t="s">
        <v>18639</v>
      </c>
      <c r="F2798" s="2">
        <v>53289</v>
      </c>
      <c r="G2798" s="3" t="str">
        <f>HYPERLINK("http://funmeta.oebiotech.com/network/53289", "http://funmeta.oebiotech.com/network/53289")</f>
        <v>http://funmeta.oebiotech.com/network/53289</v>
      </c>
      <c r="H2798" s="2" t="s">
        <v>18640</v>
      </c>
      <c r="I2798" s="2">
        <v>44354</v>
      </c>
      <c r="J2798" s="2"/>
      <c r="K2798" s="2">
        <v>7582</v>
      </c>
      <c r="L2798" s="2" t="s">
        <v>18641</v>
      </c>
      <c r="M2798" s="2"/>
      <c r="N2798" s="2"/>
      <c r="O2798" s="2">
        <v>4507</v>
      </c>
      <c r="P2798" s="2" t="s">
        <v>18642</v>
      </c>
      <c r="Q2798" s="2" t="s">
        <v>18643</v>
      </c>
      <c r="R2798" s="2" t="s">
        <v>18644</v>
      </c>
      <c r="S2798" s="2" t="s">
        <v>491</v>
      </c>
      <c r="T2798" s="2" t="s">
        <v>2238</v>
      </c>
      <c r="U2798" s="2" t="s">
        <v>2239</v>
      </c>
      <c r="V2798" s="2" t="s">
        <v>59</v>
      </c>
      <c r="W2798" s="2">
        <v>38.799999999999997</v>
      </c>
      <c r="X2798" s="2">
        <v>0</v>
      </c>
      <c r="Y2798" s="2" t="s">
        <v>394</v>
      </c>
      <c r="Z2798" s="2" t="s">
        <v>2861</v>
      </c>
      <c r="AA2798" s="2">
        <v>-1.99216837049555</v>
      </c>
      <c r="AB2798" s="2">
        <v>0.28797013283675499</v>
      </c>
      <c r="AC2798" s="2">
        <v>10734.3796562604</v>
      </c>
      <c r="AD2798" s="2">
        <v>16326.467398634901</v>
      </c>
      <c r="AE2798" s="2">
        <v>10767.984437401499</v>
      </c>
      <c r="AF2798" s="2">
        <v>11127.530506536899</v>
      </c>
      <c r="AG2798" s="2">
        <v>10742.651885135399</v>
      </c>
      <c r="AH2798" s="2">
        <v>9715.3017718551091</v>
      </c>
      <c r="AI2798" s="2">
        <v>10929.2920058953</v>
      </c>
      <c r="AJ2798" s="2">
        <v>11123.517330737899</v>
      </c>
      <c r="AK2798" s="2">
        <v>15742.8087849202</v>
      </c>
      <c r="AL2798" s="2">
        <v>16469.1658436902</v>
      </c>
      <c r="AM2798" s="2">
        <v>15100.357519831899</v>
      </c>
      <c r="AN2798" s="2">
        <v>16502.642230916001</v>
      </c>
      <c r="AO2798" s="2">
        <v>16446.825494044599</v>
      </c>
      <c r="AP2798" s="2">
        <v>17697.0045184066</v>
      </c>
    </row>
    <row r="2799" spans="1:42" ht="14.5" x14ac:dyDescent="0.35">
      <c r="A2799" s="2" t="s">
        <v>18645</v>
      </c>
      <c r="B2799" s="2">
        <v>427.28414485772998</v>
      </c>
      <c r="C2799" s="2">
        <v>5.5735333333333301</v>
      </c>
      <c r="D2799" s="2" t="s">
        <v>34</v>
      </c>
      <c r="E2799" s="2" t="s">
        <v>18646</v>
      </c>
      <c r="F2799" s="2">
        <v>197265</v>
      </c>
      <c r="G2799" s="3" t="str">
        <f>HYPERLINK("http://funmeta.oebiotech.com/network/197265", "http://funmeta.oebiotech.com/network/197265")</f>
        <v>http://funmeta.oebiotech.com/network/197265</v>
      </c>
      <c r="H2799" s="2" t="s">
        <v>18647</v>
      </c>
      <c r="I2799" s="2"/>
      <c r="J2799" s="2"/>
      <c r="K2799" s="2"/>
      <c r="L2799" s="2"/>
      <c r="M2799" s="2"/>
      <c r="N2799" s="2"/>
      <c r="O2799" s="2">
        <v>118562750</v>
      </c>
      <c r="P2799" s="2" t="s">
        <v>18648</v>
      </c>
      <c r="Q2799" s="2" t="s">
        <v>18649</v>
      </c>
      <c r="R2799" s="2" t="s">
        <v>18650</v>
      </c>
      <c r="S2799" s="2" t="s">
        <v>1677</v>
      </c>
      <c r="T2799" s="2" t="s">
        <v>1678</v>
      </c>
      <c r="U2799" s="2" t="s">
        <v>7289</v>
      </c>
      <c r="V2799" s="2" t="s">
        <v>59</v>
      </c>
      <c r="W2799" s="2">
        <v>37.799999999999997</v>
      </c>
      <c r="X2799" s="2">
        <v>0</v>
      </c>
      <c r="Y2799" s="2" t="s">
        <v>340</v>
      </c>
      <c r="Z2799" s="2" t="s">
        <v>18651</v>
      </c>
      <c r="AA2799" s="2">
        <v>-1.4622240851848001</v>
      </c>
      <c r="AB2799" s="2">
        <v>0.28789916199078902</v>
      </c>
      <c r="AC2799" s="2">
        <v>1733.1513403122401</v>
      </c>
      <c r="AD2799" s="2">
        <v>7558.4494125567899</v>
      </c>
      <c r="AE2799" s="2">
        <v>2.7106294003980101E-5</v>
      </c>
      <c r="AF2799" s="2">
        <v>1839.77755950187</v>
      </c>
      <c r="AG2799" s="2">
        <v>801.07471444344696</v>
      </c>
      <c r="AH2799" s="2">
        <v>2185.6854140380901</v>
      </c>
      <c r="AI2799" s="2">
        <v>4432.8476390871401</v>
      </c>
      <c r="AJ2799" s="2">
        <v>1139.5226876966201</v>
      </c>
      <c r="AK2799" s="2">
        <v>8137.9570656485203</v>
      </c>
      <c r="AL2799" s="2">
        <v>7588.9660824472103</v>
      </c>
      <c r="AM2799" s="2">
        <v>8904.6468678915699</v>
      </c>
      <c r="AN2799" s="2">
        <v>7719.8054327702403</v>
      </c>
      <c r="AO2799" s="2">
        <v>7053.0701035750199</v>
      </c>
      <c r="AP2799" s="2">
        <v>5946.2509230081796</v>
      </c>
    </row>
    <row r="2800" spans="1:42" ht="14.5" x14ac:dyDescent="0.35">
      <c r="A2800" s="2" t="s">
        <v>18652</v>
      </c>
      <c r="B2800" s="2">
        <v>273.07655229290901</v>
      </c>
      <c r="C2800" s="2">
        <v>4.5951666666666702</v>
      </c>
      <c r="D2800" s="2" t="s">
        <v>70</v>
      </c>
      <c r="E2800" s="2" t="s">
        <v>18653</v>
      </c>
      <c r="F2800" s="2">
        <v>58329</v>
      </c>
      <c r="G2800" s="3" t="str">
        <f>HYPERLINK("http://funmeta.oebiotech.com/network/58329", "http://funmeta.oebiotech.com/network/58329")</f>
        <v>http://funmeta.oebiotech.com/network/58329</v>
      </c>
      <c r="H2800" s="2" t="s">
        <v>18654</v>
      </c>
      <c r="I2800" s="2">
        <v>68015</v>
      </c>
      <c r="J2800" s="2"/>
      <c r="K2800" s="2"/>
      <c r="L2800" s="2" t="s">
        <v>18655</v>
      </c>
      <c r="M2800" s="2"/>
      <c r="N2800" s="2"/>
      <c r="O2800" s="2">
        <v>5273621</v>
      </c>
      <c r="P2800" s="2" t="s">
        <v>18656</v>
      </c>
      <c r="Q2800" s="2" t="s">
        <v>18657</v>
      </c>
      <c r="R2800" s="2" t="s">
        <v>18658</v>
      </c>
      <c r="S2800" s="2" t="s">
        <v>115</v>
      </c>
      <c r="T2800" s="2" t="s">
        <v>17772</v>
      </c>
      <c r="U2800" s="2" t="s">
        <v>41</v>
      </c>
      <c r="V2800" s="2" t="s">
        <v>59</v>
      </c>
      <c r="W2800" s="2">
        <v>41.7</v>
      </c>
      <c r="X2800" s="2">
        <v>14.3</v>
      </c>
      <c r="Y2800" s="2" t="s">
        <v>408</v>
      </c>
      <c r="Z2800" s="2" t="s">
        <v>18659</v>
      </c>
      <c r="AA2800" s="2">
        <v>-1.29262699054015</v>
      </c>
      <c r="AB2800" s="2">
        <v>0.28777347999064001</v>
      </c>
      <c r="AC2800" s="2">
        <v>10006.3410868257</v>
      </c>
      <c r="AD2800" s="2">
        <v>4244.76584846685</v>
      </c>
      <c r="AE2800" s="2">
        <v>10323.988989654301</v>
      </c>
      <c r="AF2800" s="2">
        <v>7299.4619881887002</v>
      </c>
      <c r="AG2800" s="2">
        <v>10059.0588925253</v>
      </c>
      <c r="AH2800" s="2">
        <v>11763.264035898301</v>
      </c>
      <c r="AI2800" s="2">
        <v>9934.2247439783896</v>
      </c>
      <c r="AJ2800" s="2">
        <v>10658.047870709401</v>
      </c>
      <c r="AK2800" s="2">
        <v>4119.1441303987704</v>
      </c>
      <c r="AL2800" s="2">
        <v>4249.6825073463297</v>
      </c>
      <c r="AM2800" s="2">
        <v>4449.2680212699997</v>
      </c>
      <c r="AN2800" s="2">
        <v>3646.74667038298</v>
      </c>
      <c r="AO2800" s="2">
        <v>5036.3326224045504</v>
      </c>
      <c r="AP2800" s="2">
        <v>3967.4211389984898</v>
      </c>
    </row>
    <row r="2801" spans="1:42" ht="14.5" x14ac:dyDescent="0.35">
      <c r="A2801" s="2" t="s">
        <v>18660</v>
      </c>
      <c r="B2801" s="2">
        <v>257.138157269614</v>
      </c>
      <c r="C2801" s="2">
        <v>4.1233166666666703</v>
      </c>
      <c r="D2801" s="2" t="s">
        <v>34</v>
      </c>
      <c r="E2801" s="2" t="s">
        <v>18661</v>
      </c>
      <c r="F2801" s="2">
        <v>63535</v>
      </c>
      <c r="G2801" s="3" t="str">
        <f>HYPERLINK("http://funmeta.oebiotech.com/network/63535", "http://funmeta.oebiotech.com/network/63535")</f>
        <v>http://funmeta.oebiotech.com/network/63535</v>
      </c>
      <c r="H2801" s="2" t="s">
        <v>18662</v>
      </c>
      <c r="I2801" s="2">
        <v>94866</v>
      </c>
      <c r="J2801" s="2"/>
      <c r="K2801" s="2"/>
      <c r="L2801" s="2"/>
      <c r="M2801" s="2"/>
      <c r="N2801" s="2"/>
      <c r="O2801" s="2">
        <v>10264377</v>
      </c>
      <c r="P2801" s="2"/>
      <c r="Q2801" s="2" t="s">
        <v>18663</v>
      </c>
      <c r="R2801" s="2" t="s">
        <v>18664</v>
      </c>
      <c r="S2801" s="2" t="s">
        <v>148</v>
      </c>
      <c r="T2801" s="2" t="s">
        <v>3772</v>
      </c>
      <c r="U2801" s="2" t="s">
        <v>18665</v>
      </c>
      <c r="V2801" s="2" t="s">
        <v>59</v>
      </c>
      <c r="W2801" s="2">
        <v>47.6</v>
      </c>
      <c r="X2801" s="2">
        <v>41.9</v>
      </c>
      <c r="Y2801" s="2" t="s">
        <v>266</v>
      </c>
      <c r="Z2801" s="2" t="s">
        <v>17097</v>
      </c>
      <c r="AA2801" s="2">
        <v>-0.75313621119326801</v>
      </c>
      <c r="AB2801" s="2">
        <v>0.28776472580879497</v>
      </c>
      <c r="AC2801" s="2">
        <v>116525.85375911499</v>
      </c>
      <c r="AD2801" s="2">
        <v>108167.376817756</v>
      </c>
      <c r="AE2801" s="2">
        <v>121324.88357968</v>
      </c>
      <c r="AF2801" s="2">
        <v>123435.592924596</v>
      </c>
      <c r="AG2801" s="2">
        <v>115332.25795313899</v>
      </c>
      <c r="AH2801" s="2">
        <v>109551.77581366101</v>
      </c>
      <c r="AI2801" s="2">
        <v>110539.205769548</v>
      </c>
      <c r="AJ2801" s="2">
        <v>118971.406514067</v>
      </c>
      <c r="AK2801" s="2">
        <v>107376.418445125</v>
      </c>
      <c r="AL2801" s="2">
        <v>109491.39707761801</v>
      </c>
      <c r="AM2801" s="2">
        <v>105470.913285869</v>
      </c>
      <c r="AN2801" s="2">
        <v>117006.097390175</v>
      </c>
      <c r="AO2801" s="2">
        <v>101359.31346125899</v>
      </c>
      <c r="AP2801" s="2">
        <v>108300.12124649</v>
      </c>
    </row>
    <row r="2802" spans="1:42" ht="14.5" x14ac:dyDescent="0.35">
      <c r="A2802" s="2" t="s">
        <v>18666</v>
      </c>
      <c r="B2802" s="2">
        <v>325.20186121085499</v>
      </c>
      <c r="C2802" s="2">
        <v>7.6008500000000003</v>
      </c>
      <c r="D2802" s="2" t="s">
        <v>70</v>
      </c>
      <c r="E2802" s="2" t="s">
        <v>18667</v>
      </c>
      <c r="F2802" s="2">
        <v>3466</v>
      </c>
      <c r="G2802" s="3" t="str">
        <f>HYPERLINK("http://funmeta.oebiotech.com/network/3466", "http://funmeta.oebiotech.com/network/3466")</f>
        <v>http://funmeta.oebiotech.com/network/3466</v>
      </c>
      <c r="H2802" s="2"/>
      <c r="I2802" s="2"/>
      <c r="J2802" s="2" t="s">
        <v>18668</v>
      </c>
      <c r="K2802" s="2"/>
      <c r="L2802" s="2"/>
      <c r="M2802" s="2"/>
      <c r="N2802" s="2"/>
      <c r="O2802" s="2">
        <v>126457312</v>
      </c>
      <c r="P2802" s="2"/>
      <c r="Q2802" s="2" t="s">
        <v>18669</v>
      </c>
      <c r="R2802" s="2" t="s">
        <v>18670</v>
      </c>
      <c r="S2802" s="2" t="s">
        <v>50</v>
      </c>
      <c r="T2802" s="2" t="s">
        <v>229</v>
      </c>
      <c r="U2802" s="2" t="s">
        <v>433</v>
      </c>
      <c r="V2802" s="2" t="s">
        <v>42</v>
      </c>
      <c r="W2802" s="2">
        <v>49.4</v>
      </c>
      <c r="X2802" s="2">
        <v>53</v>
      </c>
      <c r="Y2802" s="2" t="s">
        <v>751</v>
      </c>
      <c r="Z2802" s="2" t="s">
        <v>18671</v>
      </c>
      <c r="AA2802" s="2">
        <v>-0.54155134968038598</v>
      </c>
      <c r="AB2802" s="2">
        <v>0.28773949859861903</v>
      </c>
      <c r="AC2802" s="2">
        <v>23726.650794174198</v>
      </c>
      <c r="AD2802" s="2">
        <v>17888.747961982601</v>
      </c>
      <c r="AE2802" s="2">
        <v>25917.983771540599</v>
      </c>
      <c r="AF2802" s="2">
        <v>22651.541818590202</v>
      </c>
      <c r="AG2802" s="2">
        <v>22997.142675237399</v>
      </c>
      <c r="AH2802" s="2">
        <v>23929.768641716801</v>
      </c>
      <c r="AI2802" s="2">
        <v>24250.671917981799</v>
      </c>
      <c r="AJ2802" s="2">
        <v>22612.795939978401</v>
      </c>
      <c r="AK2802" s="2">
        <v>19982.068028523001</v>
      </c>
      <c r="AL2802" s="2">
        <v>17308.826973528299</v>
      </c>
      <c r="AM2802" s="2">
        <v>18752.962126345199</v>
      </c>
      <c r="AN2802" s="2">
        <v>16811.897740350902</v>
      </c>
      <c r="AO2802" s="2">
        <v>17489.789320061602</v>
      </c>
      <c r="AP2802" s="2">
        <v>16986.9435830865</v>
      </c>
    </row>
    <row r="2803" spans="1:42" ht="14.5" x14ac:dyDescent="0.35">
      <c r="A2803" s="2" t="s">
        <v>18672</v>
      </c>
      <c r="B2803" s="2">
        <v>511.02036012359503</v>
      </c>
      <c r="C2803" s="2">
        <v>9.9024166666666709</v>
      </c>
      <c r="D2803" s="2" t="s">
        <v>70</v>
      </c>
      <c r="E2803" s="2" t="s">
        <v>18673</v>
      </c>
      <c r="F2803" s="2">
        <v>201856</v>
      </c>
      <c r="G2803" s="3" t="str">
        <f>HYPERLINK("http://funmeta.oebiotech.com/network/201856", "http://funmeta.oebiotech.com/network/201856")</f>
        <v>http://funmeta.oebiotech.com/network/201856</v>
      </c>
      <c r="H2803" s="2" t="s">
        <v>18674</v>
      </c>
      <c r="I2803" s="2">
        <v>348000</v>
      </c>
      <c r="J2803" s="2"/>
      <c r="K2803" s="2"/>
      <c r="L2803" s="2"/>
      <c r="M2803" s="2"/>
      <c r="N2803" s="2"/>
      <c r="O2803" s="2">
        <v>65118</v>
      </c>
      <c r="P2803" s="2"/>
      <c r="Q2803" s="2" t="s">
        <v>18675</v>
      </c>
      <c r="R2803" s="2" t="s">
        <v>18676</v>
      </c>
      <c r="S2803" s="2" t="s">
        <v>115</v>
      </c>
      <c r="T2803" s="2" t="s">
        <v>758</v>
      </c>
      <c r="U2803" s="2" t="s">
        <v>41</v>
      </c>
      <c r="V2803" s="2" t="s">
        <v>59</v>
      </c>
      <c r="W2803" s="2">
        <v>39.1</v>
      </c>
      <c r="X2803" s="2">
        <v>0</v>
      </c>
      <c r="Y2803" s="2" t="s">
        <v>560</v>
      </c>
      <c r="Z2803" s="2" t="s">
        <v>18677</v>
      </c>
      <c r="AA2803" s="2">
        <v>0.56107084045836897</v>
      </c>
      <c r="AB2803" s="2">
        <v>0.28770652538601599</v>
      </c>
      <c r="AC2803" s="2">
        <v>57993.366399279897</v>
      </c>
      <c r="AD2803" s="2">
        <v>64433.352131106403</v>
      </c>
      <c r="AE2803" s="2">
        <v>59416.610141062403</v>
      </c>
      <c r="AF2803" s="2">
        <v>58560.1855950877</v>
      </c>
      <c r="AG2803" s="2">
        <v>57540.993571188497</v>
      </c>
      <c r="AH2803" s="2">
        <v>58764.304597461101</v>
      </c>
      <c r="AI2803" s="2">
        <v>55536.2741632568</v>
      </c>
      <c r="AJ2803" s="2">
        <v>58141.8303276226</v>
      </c>
      <c r="AK2803" s="2">
        <v>67998.209891171093</v>
      </c>
      <c r="AL2803" s="2">
        <v>64397.622485665401</v>
      </c>
      <c r="AM2803" s="2">
        <v>65121.950480240303</v>
      </c>
      <c r="AN2803" s="2">
        <v>64008.139883064097</v>
      </c>
      <c r="AO2803" s="2">
        <v>65615.035631487801</v>
      </c>
      <c r="AP2803" s="2">
        <v>59459.1544150099</v>
      </c>
    </row>
    <row r="2804" spans="1:42" ht="14.5" x14ac:dyDescent="0.35">
      <c r="A2804" s="2" t="s">
        <v>18678</v>
      </c>
      <c r="B2804" s="2">
        <v>529.24315903434695</v>
      </c>
      <c r="C2804" s="2">
        <v>5.8999499999999996</v>
      </c>
      <c r="D2804" s="2" t="s">
        <v>34</v>
      </c>
      <c r="E2804" s="2" t="s">
        <v>18679</v>
      </c>
      <c r="F2804" s="2">
        <v>82104</v>
      </c>
      <c r="G2804" s="3" t="str">
        <f>HYPERLINK("http://funmeta.oebiotech.com/network/82104", "http://funmeta.oebiotech.com/network/82104")</f>
        <v>http://funmeta.oebiotech.com/network/82104</v>
      </c>
      <c r="H2804" s="2" t="s">
        <v>18680</v>
      </c>
      <c r="I2804" s="2"/>
      <c r="J2804" s="2"/>
      <c r="K2804" s="2"/>
      <c r="L2804" s="2"/>
      <c r="M2804" s="2"/>
      <c r="N2804" s="2"/>
      <c r="O2804" s="2">
        <v>131769830</v>
      </c>
      <c r="P2804" s="2"/>
      <c r="Q2804" s="2" t="s">
        <v>18681</v>
      </c>
      <c r="R2804" s="2" t="s">
        <v>18682</v>
      </c>
      <c r="S2804" s="2" t="s">
        <v>50</v>
      </c>
      <c r="T2804" s="2" t="s">
        <v>106</v>
      </c>
      <c r="U2804" s="2" t="s">
        <v>41</v>
      </c>
      <c r="V2804" s="2" t="s">
        <v>59</v>
      </c>
      <c r="W2804" s="2">
        <v>38.1</v>
      </c>
      <c r="X2804" s="2">
        <v>0.24199999999999999</v>
      </c>
      <c r="Y2804" s="2" t="s">
        <v>1249</v>
      </c>
      <c r="Z2804" s="2" t="s">
        <v>18683</v>
      </c>
      <c r="AA2804" s="2">
        <v>4.49421086990393</v>
      </c>
      <c r="AB2804" s="2">
        <v>0.28758257532731202</v>
      </c>
      <c r="AC2804" s="2">
        <v>87527.310248089401</v>
      </c>
      <c r="AD2804" s="2">
        <v>95711.048707590104</v>
      </c>
      <c r="AE2804" s="2">
        <v>92753.233645873202</v>
      </c>
      <c r="AF2804" s="2">
        <v>93432.534137257506</v>
      </c>
      <c r="AG2804" s="2">
        <v>84124.503717055297</v>
      </c>
      <c r="AH2804" s="2">
        <v>76349.940332119397</v>
      </c>
      <c r="AI2804" s="2">
        <v>86847.908085460906</v>
      </c>
      <c r="AJ2804" s="2">
        <v>91655.741570770202</v>
      </c>
      <c r="AK2804" s="2">
        <v>93126.545145159194</v>
      </c>
      <c r="AL2804" s="2">
        <v>92529.602577737198</v>
      </c>
      <c r="AM2804" s="2">
        <v>96315.993852790096</v>
      </c>
      <c r="AN2804" s="2">
        <v>100255.873227751</v>
      </c>
      <c r="AO2804" s="2">
        <v>97185.713511729205</v>
      </c>
      <c r="AP2804" s="2">
        <v>94852.563930374105</v>
      </c>
    </row>
    <row r="2805" spans="1:42" ht="14.5" x14ac:dyDescent="0.35">
      <c r="A2805" s="2" t="s">
        <v>18684</v>
      </c>
      <c r="B2805" s="2">
        <v>751.31544038256004</v>
      </c>
      <c r="C2805" s="2">
        <v>9.3529166666666708</v>
      </c>
      <c r="D2805" s="2" t="s">
        <v>70</v>
      </c>
      <c r="E2805" s="2" t="s">
        <v>18685</v>
      </c>
      <c r="F2805" s="2">
        <v>37303</v>
      </c>
      <c r="G2805" s="3" t="str">
        <f>HYPERLINK("http://funmeta.oebiotech.com/network/37303", "http://funmeta.oebiotech.com/network/37303")</f>
        <v>http://funmeta.oebiotech.com/network/37303</v>
      </c>
      <c r="H2805" s="2"/>
      <c r="I2805" s="2"/>
      <c r="J2805" s="2" t="s">
        <v>18686</v>
      </c>
      <c r="K2805" s="2"/>
      <c r="L2805" s="2"/>
      <c r="M2805" s="2"/>
      <c r="N2805" s="2"/>
      <c r="O2805" s="2"/>
      <c r="P2805" s="2"/>
      <c r="Q2805" s="2" t="s">
        <v>18687</v>
      </c>
      <c r="R2805" s="2" t="s">
        <v>18688</v>
      </c>
      <c r="S2805" s="2" t="s">
        <v>50</v>
      </c>
      <c r="T2805" s="2" t="s">
        <v>201</v>
      </c>
      <c r="U2805" s="2" t="s">
        <v>210</v>
      </c>
      <c r="V2805" s="2" t="s">
        <v>59</v>
      </c>
      <c r="W2805" s="2">
        <v>38.1</v>
      </c>
      <c r="X2805" s="2">
        <v>0</v>
      </c>
      <c r="Y2805" s="2" t="s">
        <v>408</v>
      </c>
      <c r="Z2805" s="2" t="s">
        <v>18689</v>
      </c>
      <c r="AA2805" s="2">
        <v>-0.44833514063194102</v>
      </c>
      <c r="AB2805" s="2">
        <v>0.28734176762934599</v>
      </c>
      <c r="AC2805" s="2">
        <v>10988.2004622395</v>
      </c>
      <c r="AD2805" s="2">
        <v>5445.1646706300598</v>
      </c>
      <c r="AE2805" s="2">
        <v>10619.9746273456</v>
      </c>
      <c r="AF2805" s="2">
        <v>10242.932436577999</v>
      </c>
      <c r="AG2805" s="2">
        <v>10375.048883969601</v>
      </c>
      <c r="AH2805" s="2">
        <v>11533.8236445813</v>
      </c>
      <c r="AI2805" s="2">
        <v>11054.0951382647</v>
      </c>
      <c r="AJ2805" s="2">
        <v>12103.3280426976</v>
      </c>
      <c r="AK2805" s="2">
        <v>5138.9764591843996</v>
      </c>
      <c r="AL2805" s="2">
        <v>6321.9708477806798</v>
      </c>
      <c r="AM2805" s="2">
        <v>5820.5668176644804</v>
      </c>
      <c r="AN2805" s="2">
        <v>4673.3524096292404</v>
      </c>
      <c r="AO2805" s="2">
        <v>5510.3630838225299</v>
      </c>
      <c r="AP2805" s="2">
        <v>5205.7584056990499</v>
      </c>
    </row>
    <row r="2806" spans="1:42" ht="14.5" x14ac:dyDescent="0.35">
      <c r="A2806" s="2" t="s">
        <v>18690</v>
      </c>
      <c r="B2806" s="2">
        <v>278.24762626833399</v>
      </c>
      <c r="C2806" s="2">
        <v>11.1610333333333</v>
      </c>
      <c r="D2806" s="2" t="s">
        <v>34</v>
      </c>
      <c r="E2806" s="2" t="s">
        <v>18691</v>
      </c>
      <c r="F2806" s="2">
        <v>2605</v>
      </c>
      <c r="G2806" s="3" t="str">
        <f>HYPERLINK("http://funmeta.oebiotech.com/network/2605", "http://funmeta.oebiotech.com/network/2605")</f>
        <v>http://funmeta.oebiotech.com/network/2605</v>
      </c>
      <c r="H2806" s="2"/>
      <c r="I2806" s="2"/>
      <c r="J2806" s="2" t="s">
        <v>18692</v>
      </c>
      <c r="K2806" s="2"/>
      <c r="L2806" s="2"/>
      <c r="M2806" s="2"/>
      <c r="N2806" s="2"/>
      <c r="O2806" s="2">
        <v>137323827</v>
      </c>
      <c r="P2806" s="2"/>
      <c r="Q2806" s="2" t="s">
        <v>18693</v>
      </c>
      <c r="R2806" s="2" t="s">
        <v>18694</v>
      </c>
      <c r="S2806" s="2" t="s">
        <v>50</v>
      </c>
      <c r="T2806" s="2" t="s">
        <v>229</v>
      </c>
      <c r="U2806" s="2" t="s">
        <v>1283</v>
      </c>
      <c r="V2806" s="2" t="s">
        <v>42</v>
      </c>
      <c r="W2806" s="2">
        <v>50.3</v>
      </c>
      <c r="X2806" s="2">
        <v>55.2</v>
      </c>
      <c r="Y2806" s="2" t="s">
        <v>43</v>
      </c>
      <c r="Z2806" s="2" t="s">
        <v>18695</v>
      </c>
      <c r="AA2806" s="2">
        <v>-0.82539438181855995</v>
      </c>
      <c r="AB2806" s="2">
        <v>0.28731107039877002</v>
      </c>
      <c r="AC2806" s="2">
        <v>62225.524010095098</v>
      </c>
      <c r="AD2806" s="2">
        <v>75095.729079951605</v>
      </c>
      <c r="AE2806" s="2">
        <v>76316.653395084693</v>
      </c>
      <c r="AF2806" s="2">
        <v>48267.1193235147</v>
      </c>
      <c r="AG2806" s="2">
        <v>47974.524986885903</v>
      </c>
      <c r="AH2806" s="2">
        <v>72772.641798934899</v>
      </c>
      <c r="AI2806" s="2">
        <v>71912.085382417907</v>
      </c>
      <c r="AJ2806" s="2">
        <v>56110.119173732499</v>
      </c>
      <c r="AK2806" s="2">
        <v>69980.129843729403</v>
      </c>
      <c r="AL2806" s="2">
        <v>104606.763871131</v>
      </c>
      <c r="AM2806" s="2">
        <v>68114.386568479094</v>
      </c>
      <c r="AN2806" s="2">
        <v>78525.620016504894</v>
      </c>
      <c r="AO2806" s="2">
        <v>52194.432022839901</v>
      </c>
      <c r="AP2806" s="2">
        <v>77153.042157025193</v>
      </c>
    </row>
    <row r="2807" spans="1:42" ht="14.5" x14ac:dyDescent="0.35">
      <c r="A2807" s="2" t="s">
        <v>18696</v>
      </c>
      <c r="B2807" s="2">
        <v>115.03890517046899</v>
      </c>
      <c r="C2807" s="2">
        <v>0.75019999999999998</v>
      </c>
      <c r="D2807" s="2" t="s">
        <v>34</v>
      </c>
      <c r="E2807" s="2" t="s">
        <v>18697</v>
      </c>
      <c r="F2807" s="2">
        <v>54762</v>
      </c>
      <c r="G2807" s="3" t="str">
        <f>HYPERLINK("http://funmeta.oebiotech.com/network/54762", "http://funmeta.oebiotech.com/network/54762")</f>
        <v>http://funmeta.oebiotech.com/network/54762</v>
      </c>
      <c r="H2807" s="2" t="s">
        <v>18698</v>
      </c>
      <c r="I2807" s="2">
        <v>86563</v>
      </c>
      <c r="J2807" s="2"/>
      <c r="K2807" s="2"/>
      <c r="L2807" s="2"/>
      <c r="M2807" s="2"/>
      <c r="N2807" s="2"/>
      <c r="O2807" s="2">
        <v>11469098</v>
      </c>
      <c r="P2807" s="2" t="s">
        <v>18699</v>
      </c>
      <c r="Q2807" s="2" t="s">
        <v>18700</v>
      </c>
      <c r="R2807" s="2" t="s">
        <v>18701</v>
      </c>
      <c r="S2807" s="2" t="s">
        <v>491</v>
      </c>
      <c r="T2807" s="2" t="s">
        <v>5973</v>
      </c>
      <c r="U2807" s="2" t="s">
        <v>6296</v>
      </c>
      <c r="V2807" s="2" t="s">
        <v>59</v>
      </c>
      <c r="W2807" s="2">
        <v>42.3</v>
      </c>
      <c r="X2807" s="2">
        <v>15.3</v>
      </c>
      <c r="Y2807" s="2" t="s">
        <v>141</v>
      </c>
      <c r="Z2807" s="2" t="s">
        <v>18702</v>
      </c>
      <c r="AA2807" s="2">
        <v>-0.49464718108417899</v>
      </c>
      <c r="AB2807" s="2">
        <v>0.28729834579355101</v>
      </c>
      <c r="AC2807" s="2">
        <v>70043.775171374902</v>
      </c>
      <c r="AD2807" s="2">
        <v>77510.076297492196</v>
      </c>
      <c r="AE2807" s="2">
        <v>65310.8214244642</v>
      </c>
      <c r="AF2807" s="2">
        <v>71462.391342934396</v>
      </c>
      <c r="AG2807" s="2">
        <v>71712.724949533906</v>
      </c>
      <c r="AH2807" s="2">
        <v>69648.470704065301</v>
      </c>
      <c r="AI2807" s="2">
        <v>71282.9781675595</v>
      </c>
      <c r="AJ2807" s="2">
        <v>70845.264439692095</v>
      </c>
      <c r="AK2807" s="2">
        <v>70046.4200382993</v>
      </c>
      <c r="AL2807" s="2">
        <v>72554.6321378578</v>
      </c>
      <c r="AM2807" s="2">
        <v>80095.953325764902</v>
      </c>
      <c r="AN2807" s="2">
        <v>78782.151031638394</v>
      </c>
      <c r="AO2807" s="2">
        <v>82622.208764994895</v>
      </c>
      <c r="AP2807" s="2">
        <v>80959.092486397902</v>
      </c>
    </row>
    <row r="2808" spans="1:42" ht="14.5" x14ac:dyDescent="0.35">
      <c r="A2808" s="2" t="s">
        <v>18703</v>
      </c>
      <c r="B2808" s="2">
        <v>144.065427468677</v>
      </c>
      <c r="C2808" s="2">
        <v>0.73473333333333302</v>
      </c>
      <c r="D2808" s="2" t="s">
        <v>34</v>
      </c>
      <c r="E2808" s="2" t="s">
        <v>18704</v>
      </c>
      <c r="F2808" s="2">
        <v>83286</v>
      </c>
      <c r="G2808" s="3" t="str">
        <f>HYPERLINK("http://funmeta.oebiotech.com/network/83286", "http://funmeta.oebiotech.com/network/83286")</f>
        <v>http://funmeta.oebiotech.com/network/83286</v>
      </c>
      <c r="H2808" s="2" t="s">
        <v>18705</v>
      </c>
      <c r="I2808" s="2">
        <v>314259</v>
      </c>
      <c r="J2808" s="2"/>
      <c r="K2808" s="2"/>
      <c r="L2808" s="2"/>
      <c r="M2808" s="2"/>
      <c r="N2808" s="2"/>
      <c r="O2808" s="2">
        <v>68662</v>
      </c>
      <c r="P2808" s="2" t="s">
        <v>18706</v>
      </c>
      <c r="Q2808" s="2" t="s">
        <v>18707</v>
      </c>
      <c r="R2808" s="2" t="s">
        <v>18708</v>
      </c>
      <c r="S2808" s="2" t="s">
        <v>89</v>
      </c>
      <c r="T2808" s="2" t="s">
        <v>90</v>
      </c>
      <c r="U2808" s="2" t="s">
        <v>99</v>
      </c>
      <c r="V2808" s="2" t="s">
        <v>42</v>
      </c>
      <c r="W2808" s="2">
        <v>50.2</v>
      </c>
      <c r="X2808" s="2">
        <v>57.7</v>
      </c>
      <c r="Y2808" s="2" t="s">
        <v>141</v>
      </c>
      <c r="Z2808" s="2" t="s">
        <v>18709</v>
      </c>
      <c r="AA2808" s="2">
        <v>-0.57191168192203901</v>
      </c>
      <c r="AB2808" s="2">
        <v>0.28727067455966099</v>
      </c>
      <c r="AC2808" s="2">
        <v>44534.443017903199</v>
      </c>
      <c r="AD2808" s="2">
        <v>51652.943014437602</v>
      </c>
      <c r="AE2808" s="2">
        <v>43576.502637838203</v>
      </c>
      <c r="AF2808" s="2">
        <v>42273.254535410597</v>
      </c>
      <c r="AG2808" s="2">
        <v>49083.4254342356</v>
      </c>
      <c r="AH2808" s="2">
        <v>44603.921822138997</v>
      </c>
      <c r="AI2808" s="2">
        <v>44962.898301080197</v>
      </c>
      <c r="AJ2808" s="2">
        <v>42706.655376715396</v>
      </c>
      <c r="AK2808" s="2">
        <v>47078.240206354698</v>
      </c>
      <c r="AL2808" s="2">
        <v>51157.104163797798</v>
      </c>
      <c r="AM2808" s="2">
        <v>57105.406761275997</v>
      </c>
      <c r="AN2808" s="2">
        <v>51447.899096884801</v>
      </c>
      <c r="AO2808" s="2">
        <v>55543.714559344502</v>
      </c>
      <c r="AP2808" s="2">
        <v>47585.293298967597</v>
      </c>
    </row>
    <row r="2809" spans="1:42" ht="14.5" x14ac:dyDescent="0.35">
      <c r="A2809" s="2" t="s">
        <v>18710</v>
      </c>
      <c r="B2809" s="2">
        <v>375.195827267737</v>
      </c>
      <c r="C2809" s="2">
        <v>9.8048666666666708</v>
      </c>
      <c r="D2809" s="2" t="s">
        <v>34</v>
      </c>
      <c r="E2809" s="2" t="s">
        <v>18711</v>
      </c>
      <c r="F2809" s="2">
        <v>52799</v>
      </c>
      <c r="G2809" s="3" t="str">
        <f>HYPERLINK("http://funmeta.oebiotech.com/network/52799", "http://funmeta.oebiotech.com/network/52799")</f>
        <v>http://funmeta.oebiotech.com/network/52799</v>
      </c>
      <c r="H2809" s="2" t="s">
        <v>18712</v>
      </c>
      <c r="I2809" s="2">
        <v>1316</v>
      </c>
      <c r="J2809" s="2"/>
      <c r="K2809" s="2">
        <v>3077</v>
      </c>
      <c r="L2809" s="2" t="s">
        <v>18713</v>
      </c>
      <c r="M2809" s="2"/>
      <c r="N2809" s="2"/>
      <c r="O2809" s="2">
        <v>9782</v>
      </c>
      <c r="P2809" s="2" t="s">
        <v>18714</v>
      </c>
      <c r="Q2809" s="2" t="s">
        <v>18715</v>
      </c>
      <c r="R2809" s="2" t="s">
        <v>18716</v>
      </c>
      <c r="S2809" s="2" t="s">
        <v>50</v>
      </c>
      <c r="T2809" s="2" t="s">
        <v>124</v>
      </c>
      <c r="U2809" s="2" t="s">
        <v>1136</v>
      </c>
      <c r="V2809" s="2" t="s">
        <v>59</v>
      </c>
      <c r="W2809" s="2">
        <v>37</v>
      </c>
      <c r="X2809" s="2">
        <v>0</v>
      </c>
      <c r="Y2809" s="2" t="s">
        <v>141</v>
      </c>
      <c r="Z2809" s="2" t="s">
        <v>18717</v>
      </c>
      <c r="AA2809" s="2">
        <v>-2.0059415847818598</v>
      </c>
      <c r="AB2809" s="2">
        <v>0.28719383000577398</v>
      </c>
      <c r="AC2809" s="2">
        <v>5490.39072185855</v>
      </c>
      <c r="AD2809" s="2">
        <v>2.7106294003980101E-5</v>
      </c>
      <c r="AE2809" s="2">
        <v>5221.0982594062598</v>
      </c>
      <c r="AF2809" s="2">
        <v>4998.6205215581704</v>
      </c>
      <c r="AG2809" s="2">
        <v>6287.8970849790303</v>
      </c>
      <c r="AH2809" s="2">
        <v>6469.8257407219899</v>
      </c>
      <c r="AI2809" s="2">
        <v>5348.6802399503704</v>
      </c>
      <c r="AJ2809" s="2">
        <v>4616.2224845354804</v>
      </c>
      <c r="AK2809" s="2">
        <v>2.7106294003980101E-5</v>
      </c>
      <c r="AL2809" s="2">
        <v>2.7106294003980101E-5</v>
      </c>
      <c r="AM2809" s="2">
        <v>2.7106294003980101E-5</v>
      </c>
      <c r="AN2809" s="2">
        <v>2.7106294003980101E-5</v>
      </c>
      <c r="AO2809" s="2">
        <v>2.7106294003980101E-5</v>
      </c>
      <c r="AP2809" s="2">
        <v>2.7106294003980101E-5</v>
      </c>
    </row>
    <row r="2810" spans="1:42" ht="14.5" x14ac:dyDescent="0.35">
      <c r="A2810" s="2" t="s">
        <v>18718</v>
      </c>
      <c r="B2810" s="2">
        <v>317.17447658730299</v>
      </c>
      <c r="C2810" s="2">
        <v>8.4891833333333295</v>
      </c>
      <c r="D2810" s="2" t="s">
        <v>34</v>
      </c>
      <c r="E2810" s="2" t="s">
        <v>18719</v>
      </c>
      <c r="F2810" s="2">
        <v>202840</v>
      </c>
      <c r="G2810" s="3" t="str">
        <f>HYPERLINK("http://funmeta.oebiotech.com/network/202840", "http://funmeta.oebiotech.com/network/202840")</f>
        <v>http://funmeta.oebiotech.com/network/202840</v>
      </c>
      <c r="H2810" s="2" t="s">
        <v>18720</v>
      </c>
      <c r="I2810" s="2">
        <v>69983</v>
      </c>
      <c r="J2810" s="2"/>
      <c r="K2810" s="2"/>
      <c r="L2810" s="2" t="s">
        <v>18721</v>
      </c>
      <c r="M2810" s="2"/>
      <c r="N2810" s="2"/>
      <c r="O2810" s="2">
        <v>61909</v>
      </c>
      <c r="P2810" s="2" t="s">
        <v>18722</v>
      </c>
      <c r="Q2810" s="2" t="s">
        <v>18723</v>
      </c>
      <c r="R2810" s="2" t="s">
        <v>18724</v>
      </c>
      <c r="S2810" s="2" t="s">
        <v>148</v>
      </c>
      <c r="T2810" s="2" t="s">
        <v>149</v>
      </c>
      <c r="U2810" s="2" t="s">
        <v>3473</v>
      </c>
      <c r="V2810" s="2" t="s">
        <v>59</v>
      </c>
      <c r="W2810" s="2">
        <v>47.4</v>
      </c>
      <c r="X2810" s="2">
        <v>44</v>
      </c>
      <c r="Y2810" s="2" t="s">
        <v>394</v>
      </c>
      <c r="Z2810" s="2" t="s">
        <v>2046</v>
      </c>
      <c r="AA2810" s="2">
        <v>-0.81947907610193704</v>
      </c>
      <c r="AB2810" s="2">
        <v>0.28676906589534201</v>
      </c>
      <c r="AC2810" s="2">
        <v>39784.639455217002</v>
      </c>
      <c r="AD2810" s="2">
        <v>48383.543774761798</v>
      </c>
      <c r="AE2810" s="2">
        <v>37557.049469921803</v>
      </c>
      <c r="AF2810" s="2">
        <v>43423.795438870402</v>
      </c>
      <c r="AG2810" s="2">
        <v>40998.967054269997</v>
      </c>
      <c r="AH2810" s="2">
        <v>35880.912702653703</v>
      </c>
      <c r="AI2810" s="2">
        <v>40045.358894637</v>
      </c>
      <c r="AJ2810" s="2">
        <v>40801.753170949203</v>
      </c>
      <c r="AK2810" s="2">
        <v>39371.528651348301</v>
      </c>
      <c r="AL2810" s="2">
        <v>61540.217025809601</v>
      </c>
      <c r="AM2810" s="2">
        <v>44374.0094411151</v>
      </c>
      <c r="AN2810" s="2">
        <v>52518.1154499318</v>
      </c>
      <c r="AO2810" s="2">
        <v>47525.3778531235</v>
      </c>
      <c r="AP2810" s="2">
        <v>44972.014227242398</v>
      </c>
    </row>
    <row r="2811" spans="1:42" ht="14.5" x14ac:dyDescent="0.35">
      <c r="A2811" s="2" t="s">
        <v>18725</v>
      </c>
      <c r="B2811" s="2">
        <v>358.14941116170201</v>
      </c>
      <c r="C2811" s="2">
        <v>0.78071666666666695</v>
      </c>
      <c r="D2811" s="2" t="s">
        <v>34</v>
      </c>
      <c r="E2811" s="2" t="s">
        <v>18726</v>
      </c>
      <c r="F2811" s="2">
        <v>199076</v>
      </c>
      <c r="G2811" s="3" t="str">
        <f>HYPERLINK("http://funmeta.oebiotech.com/network/199076", "http://funmeta.oebiotech.com/network/199076")</f>
        <v>http://funmeta.oebiotech.com/network/199076</v>
      </c>
      <c r="H2811" s="2" t="s">
        <v>18727</v>
      </c>
      <c r="I2811" s="2"/>
      <c r="J2811" s="2"/>
      <c r="K2811" s="2">
        <v>91927</v>
      </c>
      <c r="L2811" s="2"/>
      <c r="M2811" s="2"/>
      <c r="N2811" s="2"/>
      <c r="O2811" s="2">
        <v>4402</v>
      </c>
      <c r="P2811" s="2"/>
      <c r="Q2811" s="2" t="s">
        <v>18728</v>
      </c>
      <c r="R2811" s="2" t="s">
        <v>18729</v>
      </c>
      <c r="S2811" s="2" t="s">
        <v>1444</v>
      </c>
      <c r="T2811" s="2" t="s">
        <v>3595</v>
      </c>
      <c r="U2811" s="2" t="s">
        <v>41</v>
      </c>
      <c r="V2811" s="2" t="s">
        <v>59</v>
      </c>
      <c r="W2811" s="2">
        <v>37.799999999999997</v>
      </c>
      <c r="X2811" s="2">
        <v>0</v>
      </c>
      <c r="Y2811" s="2" t="s">
        <v>67</v>
      </c>
      <c r="Z2811" s="2" t="s">
        <v>12772</v>
      </c>
      <c r="AA2811" s="2">
        <v>2.4952488458935602</v>
      </c>
      <c r="AB2811" s="2">
        <v>0.286743686503107</v>
      </c>
      <c r="AC2811" s="2">
        <v>53599.542240584597</v>
      </c>
      <c r="AD2811" s="2">
        <v>60055.211884628698</v>
      </c>
      <c r="AE2811" s="2">
        <v>56035.715224887899</v>
      </c>
      <c r="AF2811" s="2">
        <v>57509.291011134199</v>
      </c>
      <c r="AG2811" s="2">
        <v>52311.163935047902</v>
      </c>
      <c r="AH2811" s="2">
        <v>49815.398911587698</v>
      </c>
      <c r="AI2811" s="2">
        <v>51327.184927811497</v>
      </c>
      <c r="AJ2811" s="2">
        <v>54598.499433038698</v>
      </c>
      <c r="AK2811" s="2">
        <v>57716.701594989303</v>
      </c>
      <c r="AL2811" s="2">
        <v>60953.107563469297</v>
      </c>
      <c r="AM2811" s="2">
        <v>59446.185080346499</v>
      </c>
      <c r="AN2811" s="2">
        <v>60600.352833210498</v>
      </c>
      <c r="AO2811" s="2">
        <v>60542.479179746297</v>
      </c>
      <c r="AP2811" s="2">
        <v>61072.4450560103</v>
      </c>
    </row>
    <row r="2812" spans="1:42" ht="14.5" x14ac:dyDescent="0.35">
      <c r="A2812" s="2" t="s">
        <v>18730</v>
      </c>
      <c r="B2812" s="2">
        <v>329.233191266326</v>
      </c>
      <c r="C2812" s="2">
        <v>7.9091166666666703</v>
      </c>
      <c r="D2812" s="2" t="s">
        <v>70</v>
      </c>
      <c r="E2812" s="2" t="s">
        <v>18731</v>
      </c>
      <c r="F2812" s="2">
        <v>6363</v>
      </c>
      <c r="G2812" s="3" t="str">
        <f>HYPERLINK("http://funmeta.oebiotech.com/network/6363", "http://funmeta.oebiotech.com/network/6363")</f>
        <v>http://funmeta.oebiotech.com/network/6363</v>
      </c>
      <c r="H2812" s="2" t="s">
        <v>18732</v>
      </c>
      <c r="I2812" s="2">
        <v>43517</v>
      </c>
      <c r="J2812" s="2" t="s">
        <v>18733</v>
      </c>
      <c r="K2812" s="2"/>
      <c r="L2812" s="2"/>
      <c r="M2812" s="2"/>
      <c r="N2812" s="2"/>
      <c r="O2812" s="2">
        <v>3015189</v>
      </c>
      <c r="P2812" s="2" t="s">
        <v>18734</v>
      </c>
      <c r="Q2812" s="2" t="s">
        <v>18735</v>
      </c>
      <c r="R2812" s="2" t="s">
        <v>18736</v>
      </c>
      <c r="S2812" s="2" t="s">
        <v>50</v>
      </c>
      <c r="T2812" s="2" t="s">
        <v>229</v>
      </c>
      <c r="U2812" s="2" t="s">
        <v>1283</v>
      </c>
      <c r="V2812" s="2" t="s">
        <v>59</v>
      </c>
      <c r="W2812" s="2">
        <v>41.7</v>
      </c>
      <c r="X2812" s="2">
        <v>12.9</v>
      </c>
      <c r="Y2812" s="2" t="s">
        <v>408</v>
      </c>
      <c r="Z2812" s="2" t="s">
        <v>18737</v>
      </c>
      <c r="AA2812" s="2">
        <v>-0.55056032480438799</v>
      </c>
      <c r="AB2812" s="2">
        <v>0.28674253542634098</v>
      </c>
      <c r="AC2812" s="2">
        <v>5740.6068293701301</v>
      </c>
      <c r="AD2812" s="2">
        <v>11268.874545807501</v>
      </c>
      <c r="AE2812" s="2">
        <v>5317.27522894714</v>
      </c>
      <c r="AF2812" s="2">
        <v>5523.0657865124704</v>
      </c>
      <c r="AG2812" s="2">
        <v>6209.3507504491899</v>
      </c>
      <c r="AH2812" s="2">
        <v>6280.4488239637403</v>
      </c>
      <c r="AI2812" s="2">
        <v>5873.3125091601796</v>
      </c>
      <c r="AJ2812" s="2">
        <v>5240.1878771880702</v>
      </c>
      <c r="AK2812" s="2">
        <v>12505.036856090301</v>
      </c>
      <c r="AL2812" s="2">
        <v>10351.2147132921</v>
      </c>
      <c r="AM2812" s="2">
        <v>11455.131958235301</v>
      </c>
      <c r="AN2812" s="2">
        <v>11656.8485851807</v>
      </c>
      <c r="AO2812" s="2">
        <v>11485.8431361401</v>
      </c>
      <c r="AP2812" s="2">
        <v>10159.172025906601</v>
      </c>
    </row>
    <row r="2813" spans="1:42" ht="14.5" x14ac:dyDescent="0.35">
      <c r="A2813" s="2" t="s">
        <v>18738</v>
      </c>
      <c r="B2813" s="2">
        <v>573.16228398565295</v>
      </c>
      <c r="C2813" s="2">
        <v>3.9884499999999998</v>
      </c>
      <c r="D2813" s="2" t="s">
        <v>70</v>
      </c>
      <c r="E2813" s="2" t="s">
        <v>18739</v>
      </c>
      <c r="F2813" s="2">
        <v>210863</v>
      </c>
      <c r="G2813" s="3" t="str">
        <f>HYPERLINK("http://funmeta.oebiotech.com/network/210863", "http://funmeta.oebiotech.com/network/210863")</f>
        <v>http://funmeta.oebiotech.com/network/210863</v>
      </c>
      <c r="H2813" s="2" t="s">
        <v>18740</v>
      </c>
      <c r="I2813" s="2"/>
      <c r="J2813" s="2"/>
      <c r="K2813" s="2"/>
      <c r="L2813" s="2"/>
      <c r="M2813" s="2"/>
      <c r="N2813" s="2"/>
      <c r="O2813" s="2"/>
      <c r="P2813" s="2"/>
      <c r="Q2813" s="2" t="s">
        <v>18741</v>
      </c>
      <c r="R2813" s="2" t="s">
        <v>18742</v>
      </c>
      <c r="S2813" s="2" t="s">
        <v>148</v>
      </c>
      <c r="T2813" s="2" t="s">
        <v>149</v>
      </c>
      <c r="U2813" s="2" t="s">
        <v>4630</v>
      </c>
      <c r="V2813" s="2" t="s">
        <v>59</v>
      </c>
      <c r="W2813" s="2">
        <v>38.5</v>
      </c>
      <c r="X2813" s="2">
        <v>0</v>
      </c>
      <c r="Y2813" s="2" t="s">
        <v>408</v>
      </c>
      <c r="Z2813" s="2" t="s">
        <v>18743</v>
      </c>
      <c r="AA2813" s="2">
        <v>-0.85898093633732997</v>
      </c>
      <c r="AB2813" s="2">
        <v>0.28673381420800198</v>
      </c>
      <c r="AC2813" s="2">
        <v>13563.4988945145</v>
      </c>
      <c r="AD2813" s="2">
        <v>7869.5067346539399</v>
      </c>
      <c r="AE2813" s="2">
        <v>14924.299069406599</v>
      </c>
      <c r="AF2813" s="2">
        <v>12327.4168197947</v>
      </c>
      <c r="AG2813" s="2">
        <v>11869.682104268</v>
      </c>
      <c r="AH2813" s="2">
        <v>14626.8913247692</v>
      </c>
      <c r="AI2813" s="2">
        <v>13698.504500565199</v>
      </c>
      <c r="AJ2813" s="2">
        <v>13934.199548283001</v>
      </c>
      <c r="AK2813" s="2">
        <v>7333.6467638905697</v>
      </c>
      <c r="AL2813" s="2">
        <v>8299.8841074289794</v>
      </c>
      <c r="AM2813" s="2">
        <v>7944.7663611079697</v>
      </c>
      <c r="AN2813" s="2">
        <v>9128.5728357641801</v>
      </c>
      <c r="AO2813" s="2">
        <v>7542.2355947431397</v>
      </c>
      <c r="AP2813" s="2">
        <v>6967.93474498878</v>
      </c>
    </row>
    <row r="2814" spans="1:42" ht="14.5" x14ac:dyDescent="0.35">
      <c r="A2814" s="2" t="s">
        <v>18744</v>
      </c>
      <c r="B2814" s="2">
        <v>771.341857351611</v>
      </c>
      <c r="C2814" s="2">
        <v>8.3740000000000006</v>
      </c>
      <c r="D2814" s="2" t="s">
        <v>70</v>
      </c>
      <c r="E2814" s="2" t="s">
        <v>18745</v>
      </c>
      <c r="F2814" s="2">
        <v>209841</v>
      </c>
      <c r="G2814" s="3" t="str">
        <f>HYPERLINK("http://funmeta.oebiotech.com/network/209841", "http://funmeta.oebiotech.com/network/209841")</f>
        <v>http://funmeta.oebiotech.com/network/209841</v>
      </c>
      <c r="H2814" s="2" t="s">
        <v>18746</v>
      </c>
      <c r="I2814" s="2"/>
      <c r="J2814" s="2"/>
      <c r="K2814" s="2"/>
      <c r="L2814" s="2"/>
      <c r="M2814" s="2"/>
      <c r="N2814" s="2"/>
      <c r="O2814" s="2">
        <v>22633931</v>
      </c>
      <c r="P2814" s="2"/>
      <c r="Q2814" s="2" t="s">
        <v>18747</v>
      </c>
      <c r="R2814" s="2" t="s">
        <v>18748</v>
      </c>
      <c r="S2814" s="2" t="s">
        <v>41</v>
      </c>
      <c r="T2814" s="2" t="s">
        <v>41</v>
      </c>
      <c r="U2814" s="2" t="s">
        <v>41</v>
      </c>
      <c r="V2814" s="2" t="s">
        <v>59</v>
      </c>
      <c r="W2814" s="2">
        <v>37.5</v>
      </c>
      <c r="X2814" s="2">
        <v>0</v>
      </c>
      <c r="Y2814" s="2" t="s">
        <v>560</v>
      </c>
      <c r="Z2814" s="2" t="s">
        <v>18749</v>
      </c>
      <c r="AA2814" s="2">
        <v>-2.2061054198218</v>
      </c>
      <c r="AB2814" s="2">
        <v>0.28673307278076698</v>
      </c>
      <c r="AC2814" s="2">
        <v>11104.747345252101</v>
      </c>
      <c r="AD2814" s="2">
        <v>16923.5420169561</v>
      </c>
      <c r="AE2814" s="2">
        <v>8842.6139345987303</v>
      </c>
      <c r="AF2814" s="2">
        <v>10418.560585903901</v>
      </c>
      <c r="AG2814" s="2">
        <v>12281.7816971102</v>
      </c>
      <c r="AH2814" s="2">
        <v>11865.309546238601</v>
      </c>
      <c r="AI2814" s="2">
        <v>12781.553922453</v>
      </c>
      <c r="AJ2814" s="2">
        <v>10438.6643852079</v>
      </c>
      <c r="AK2814" s="2">
        <v>17961.8907846888</v>
      </c>
      <c r="AL2814" s="2">
        <v>15154.3174956609</v>
      </c>
      <c r="AM2814" s="2">
        <v>18323.595474816899</v>
      </c>
      <c r="AN2814" s="2">
        <v>16970.272877030198</v>
      </c>
      <c r="AO2814" s="2">
        <v>15981.6691130904</v>
      </c>
      <c r="AP2814" s="2">
        <v>17149.5063564497</v>
      </c>
    </row>
    <row r="2815" spans="1:42" ht="14.5" x14ac:dyDescent="0.35">
      <c r="A2815" s="2" t="s">
        <v>18750</v>
      </c>
      <c r="B2815" s="2">
        <v>403.247016956501</v>
      </c>
      <c r="C2815" s="2">
        <v>7.2976999999999999</v>
      </c>
      <c r="D2815" s="2" t="s">
        <v>34</v>
      </c>
      <c r="E2815" s="2" t="s">
        <v>18751</v>
      </c>
      <c r="F2815" s="2">
        <v>35985</v>
      </c>
      <c r="G2815" s="3" t="str">
        <f>HYPERLINK("http://funmeta.oebiotech.com/network/35985", "http://funmeta.oebiotech.com/network/35985")</f>
        <v>http://funmeta.oebiotech.com/network/35985</v>
      </c>
      <c r="H2815" s="2"/>
      <c r="I2815" s="2"/>
      <c r="J2815" s="2" t="s">
        <v>18752</v>
      </c>
      <c r="K2815" s="2"/>
      <c r="L2815" s="2"/>
      <c r="M2815" s="2"/>
      <c r="N2815" s="2"/>
      <c r="O2815" s="2"/>
      <c r="P2815" s="2"/>
      <c r="Q2815" s="2" t="s">
        <v>18753</v>
      </c>
      <c r="R2815" s="2" t="s">
        <v>18754</v>
      </c>
      <c r="S2815" s="2" t="s">
        <v>50</v>
      </c>
      <c r="T2815" s="2" t="s">
        <v>201</v>
      </c>
      <c r="U2815" s="2" t="s">
        <v>241</v>
      </c>
      <c r="V2815" s="2" t="s">
        <v>42</v>
      </c>
      <c r="W2815" s="2">
        <v>46.7</v>
      </c>
      <c r="X2815" s="2">
        <v>47.4</v>
      </c>
      <c r="Y2815" s="2" t="s">
        <v>323</v>
      </c>
      <c r="Z2815" s="2" t="s">
        <v>18755</v>
      </c>
      <c r="AA2815" s="2">
        <v>4.0026273950818396</v>
      </c>
      <c r="AB2815" s="2">
        <v>0.28665510397828597</v>
      </c>
      <c r="AC2815" s="2">
        <v>18464.4429145055</v>
      </c>
      <c r="AD2815" s="2">
        <v>24239.739437723401</v>
      </c>
      <c r="AE2815" s="2">
        <v>16329.1479587511</v>
      </c>
      <c r="AF2815" s="2">
        <v>19751.3366288508</v>
      </c>
      <c r="AG2815" s="2">
        <v>18958.0978526953</v>
      </c>
      <c r="AH2815" s="2">
        <v>16982.501203117601</v>
      </c>
      <c r="AI2815" s="2">
        <v>20416.403770646099</v>
      </c>
      <c r="AJ2815" s="2">
        <v>18349.1700729722</v>
      </c>
      <c r="AK2815" s="2">
        <v>23509.950613444002</v>
      </c>
      <c r="AL2815" s="2">
        <v>24062.650759472301</v>
      </c>
      <c r="AM2815" s="2">
        <v>24287.227837962899</v>
      </c>
      <c r="AN2815" s="2">
        <v>25598.347658259499</v>
      </c>
      <c r="AO2815" s="2">
        <v>23336.817009242801</v>
      </c>
      <c r="AP2815" s="2">
        <v>24643.442747959001</v>
      </c>
    </row>
    <row r="2816" spans="1:42" ht="14.5" x14ac:dyDescent="0.35">
      <c r="A2816" s="2" t="s">
        <v>18756</v>
      </c>
      <c r="B2816" s="2">
        <v>318.03960068818498</v>
      </c>
      <c r="C2816" s="2">
        <v>1.58995</v>
      </c>
      <c r="D2816" s="2" t="s">
        <v>34</v>
      </c>
      <c r="E2816" s="2" t="s">
        <v>18757</v>
      </c>
      <c r="F2816" s="2">
        <v>207442</v>
      </c>
      <c r="G2816" s="3" t="str">
        <f>HYPERLINK("http://funmeta.oebiotech.com/network/207442", "http://funmeta.oebiotech.com/network/207442")</f>
        <v>http://funmeta.oebiotech.com/network/207442</v>
      </c>
      <c r="H2816" s="2" t="s">
        <v>18758</v>
      </c>
      <c r="I2816" s="2"/>
      <c r="J2816" s="2"/>
      <c r="K2816" s="2"/>
      <c r="L2816" s="2"/>
      <c r="M2816" s="2"/>
      <c r="N2816" s="2"/>
      <c r="O2816" s="2">
        <v>101216872</v>
      </c>
      <c r="P2816" s="2"/>
      <c r="Q2816" s="2" t="s">
        <v>18759</v>
      </c>
      <c r="R2816" s="2" t="s">
        <v>18760</v>
      </c>
      <c r="S2816" s="2" t="s">
        <v>41</v>
      </c>
      <c r="T2816" s="2" t="s">
        <v>41</v>
      </c>
      <c r="U2816" s="2" t="s">
        <v>41</v>
      </c>
      <c r="V2816" s="2" t="s">
        <v>59</v>
      </c>
      <c r="W2816" s="2">
        <v>37.799999999999997</v>
      </c>
      <c r="X2816" s="2">
        <v>16</v>
      </c>
      <c r="Y2816" s="2" t="s">
        <v>141</v>
      </c>
      <c r="Z2816" s="2" t="s">
        <v>18761</v>
      </c>
      <c r="AA2816" s="2">
        <v>4.1852962708110804</v>
      </c>
      <c r="AB2816" s="2">
        <v>0.28661587029255098</v>
      </c>
      <c r="AC2816" s="2">
        <v>12601.8928853865</v>
      </c>
      <c r="AD2816" s="2">
        <v>18377.6315173566</v>
      </c>
      <c r="AE2816" s="2">
        <v>13016.707826579801</v>
      </c>
      <c r="AF2816" s="2">
        <v>11950.1404534262</v>
      </c>
      <c r="AG2816" s="2">
        <v>10827.583641105401</v>
      </c>
      <c r="AH2816" s="2">
        <v>11793.705209841901</v>
      </c>
      <c r="AI2816" s="2">
        <v>14592.714616891901</v>
      </c>
      <c r="AJ2816" s="2">
        <v>13430.505564474</v>
      </c>
      <c r="AK2816" s="2">
        <v>20472.024932632001</v>
      </c>
      <c r="AL2816" s="2">
        <v>18304.561143925301</v>
      </c>
      <c r="AM2816" s="2">
        <v>17528.741406437701</v>
      </c>
      <c r="AN2816" s="2">
        <v>17668.639124515801</v>
      </c>
      <c r="AO2816" s="2">
        <v>18862.868136099001</v>
      </c>
      <c r="AP2816" s="2">
        <v>17428.954360529598</v>
      </c>
    </row>
    <row r="2817" spans="1:42" ht="14.5" x14ac:dyDescent="0.35">
      <c r="A2817" s="2" t="s">
        <v>18762</v>
      </c>
      <c r="B2817" s="2">
        <v>554.34723146158603</v>
      </c>
      <c r="C2817" s="2">
        <v>7.53433333333333</v>
      </c>
      <c r="D2817" s="2" t="s">
        <v>34</v>
      </c>
      <c r="E2817" s="2" t="s">
        <v>18763</v>
      </c>
      <c r="F2817" s="2">
        <v>23686</v>
      </c>
      <c r="G2817" s="3" t="str">
        <f>HYPERLINK("http://funmeta.oebiotech.com/network/23686", "http://funmeta.oebiotech.com/network/23686")</f>
        <v>http://funmeta.oebiotech.com/network/23686</v>
      </c>
      <c r="H2817" s="2"/>
      <c r="I2817" s="2">
        <v>80012</v>
      </c>
      <c r="J2817" s="2" t="s">
        <v>18764</v>
      </c>
      <c r="K2817" s="2"/>
      <c r="L2817" s="2"/>
      <c r="M2817" s="2"/>
      <c r="N2817" s="2"/>
      <c r="O2817" s="2">
        <v>52927447</v>
      </c>
      <c r="P2817" s="2"/>
      <c r="Q2817" s="2" t="s">
        <v>18765</v>
      </c>
      <c r="R2817" s="2" t="s">
        <v>18766</v>
      </c>
      <c r="S2817" s="2" t="s">
        <v>50</v>
      </c>
      <c r="T2817" s="2" t="s">
        <v>51</v>
      </c>
      <c r="U2817" s="2" t="s">
        <v>738</v>
      </c>
      <c r="V2817" s="2" t="s">
        <v>59</v>
      </c>
      <c r="W2817" s="2">
        <v>42</v>
      </c>
      <c r="X2817" s="2">
        <v>18.899999999999999</v>
      </c>
      <c r="Y2817" s="2" t="s">
        <v>43</v>
      </c>
      <c r="Z2817" s="2" t="s">
        <v>18767</v>
      </c>
      <c r="AA2817" s="2">
        <v>3.7033597330269199</v>
      </c>
      <c r="AB2817" s="2">
        <v>0.28658206370292899</v>
      </c>
      <c r="AC2817" s="2">
        <v>20721.848876112101</v>
      </c>
      <c r="AD2817" s="2">
        <v>27043.049896038199</v>
      </c>
      <c r="AE2817" s="2">
        <v>17893.200821144401</v>
      </c>
      <c r="AF2817" s="2">
        <v>22501.124905704499</v>
      </c>
      <c r="AG2817" s="2">
        <v>24406.018619346101</v>
      </c>
      <c r="AH2817" s="2">
        <v>21473.308106926899</v>
      </c>
      <c r="AI2817" s="2">
        <v>18773.803851000401</v>
      </c>
      <c r="AJ2817" s="2">
        <v>19283.6369525501</v>
      </c>
      <c r="AK2817" s="2">
        <v>25459.196941616501</v>
      </c>
      <c r="AL2817" s="2">
        <v>29862.7612803263</v>
      </c>
      <c r="AM2817" s="2">
        <v>26314.866742967999</v>
      </c>
      <c r="AN2817" s="2">
        <v>27356.9756841011</v>
      </c>
      <c r="AO2817" s="2">
        <v>26519.008419821701</v>
      </c>
      <c r="AP2817" s="2">
        <v>26745.490307395299</v>
      </c>
    </row>
    <row r="2818" spans="1:42" ht="14.5" x14ac:dyDescent="0.35">
      <c r="A2818" s="2" t="s">
        <v>18768</v>
      </c>
      <c r="B2818" s="2">
        <v>787.41157655020697</v>
      </c>
      <c r="C2818" s="2">
        <v>9.1537000000000006</v>
      </c>
      <c r="D2818" s="2" t="s">
        <v>70</v>
      </c>
      <c r="E2818" s="2" t="s">
        <v>18769</v>
      </c>
      <c r="F2818" s="2">
        <v>64425</v>
      </c>
      <c r="G2818" s="3" t="str">
        <f>HYPERLINK("http://funmeta.oebiotech.com/network/64425", "http://funmeta.oebiotech.com/network/64425")</f>
        <v>http://funmeta.oebiotech.com/network/64425</v>
      </c>
      <c r="H2818" s="2" t="s">
        <v>18770</v>
      </c>
      <c r="I2818" s="2"/>
      <c r="J2818" s="2"/>
      <c r="K2818" s="2"/>
      <c r="L2818" s="2"/>
      <c r="M2818" s="2"/>
      <c r="N2818" s="2"/>
      <c r="O2818" s="2">
        <v>131753108</v>
      </c>
      <c r="P2818" s="2" t="s">
        <v>18771</v>
      </c>
      <c r="Q2818" s="2" t="s">
        <v>18772</v>
      </c>
      <c r="R2818" s="2" t="s">
        <v>18773</v>
      </c>
      <c r="S2818" s="2" t="s">
        <v>50</v>
      </c>
      <c r="T2818" s="2" t="s">
        <v>124</v>
      </c>
      <c r="U2818" s="2" t="s">
        <v>523</v>
      </c>
      <c r="V2818" s="2" t="s">
        <v>59</v>
      </c>
      <c r="W2818" s="2">
        <v>38</v>
      </c>
      <c r="X2818" s="2">
        <v>0</v>
      </c>
      <c r="Y2818" s="2" t="s">
        <v>118</v>
      </c>
      <c r="Z2818" s="2" t="s">
        <v>18774</v>
      </c>
      <c r="AA2818" s="2">
        <v>-0.73943285286361504</v>
      </c>
      <c r="AB2818" s="2">
        <v>0.28605228249609699</v>
      </c>
      <c r="AC2818" s="2">
        <v>11934.0466702256</v>
      </c>
      <c r="AD2818" s="2">
        <v>17788.229891555999</v>
      </c>
      <c r="AE2818" s="2">
        <v>12287.615725853901</v>
      </c>
      <c r="AF2818" s="2">
        <v>9451.1877516637906</v>
      </c>
      <c r="AG2818" s="2">
        <v>11147.133775774801</v>
      </c>
      <c r="AH2818" s="2">
        <v>12716.602584140899</v>
      </c>
      <c r="AI2818" s="2">
        <v>13069.173491116901</v>
      </c>
      <c r="AJ2818" s="2">
        <v>12932.566692803301</v>
      </c>
      <c r="AK2818" s="2">
        <v>16927.563895439001</v>
      </c>
      <c r="AL2818" s="2">
        <v>18456.706154927098</v>
      </c>
      <c r="AM2818" s="2">
        <v>19925.078449600001</v>
      </c>
      <c r="AN2818" s="2">
        <v>16493.534008922601</v>
      </c>
      <c r="AO2818" s="2">
        <v>16279.098466252301</v>
      </c>
      <c r="AP2818" s="2">
        <v>18647.3983741952</v>
      </c>
    </row>
    <row r="2819" spans="1:42" ht="14.5" x14ac:dyDescent="0.35">
      <c r="A2819" s="2" t="s">
        <v>18775</v>
      </c>
      <c r="B2819" s="2">
        <v>763.29410354497497</v>
      </c>
      <c r="C2819" s="2">
        <v>10.2458166666667</v>
      </c>
      <c r="D2819" s="2" t="s">
        <v>34</v>
      </c>
      <c r="E2819" s="2" t="s">
        <v>18776</v>
      </c>
      <c r="F2819" s="2">
        <v>44706</v>
      </c>
      <c r="G2819" s="3" t="str">
        <f>HYPERLINK("http://funmeta.oebiotech.com/network/44706", "http://funmeta.oebiotech.com/network/44706")</f>
        <v>http://funmeta.oebiotech.com/network/44706</v>
      </c>
      <c r="H2819" s="2"/>
      <c r="I2819" s="2">
        <v>57798</v>
      </c>
      <c r="J2819" s="2" t="s">
        <v>18777</v>
      </c>
      <c r="K2819" s="2">
        <v>28271</v>
      </c>
      <c r="L2819" s="2" t="s">
        <v>18778</v>
      </c>
      <c r="M2819" s="2"/>
      <c r="N2819" s="2"/>
      <c r="O2819" s="2">
        <v>10439890</v>
      </c>
      <c r="P2819" s="2"/>
      <c r="Q2819" s="2" t="s">
        <v>18779</v>
      </c>
      <c r="R2819" s="2" t="s">
        <v>18780</v>
      </c>
      <c r="S2819" s="2" t="s">
        <v>50</v>
      </c>
      <c r="T2819" s="2" t="s">
        <v>124</v>
      </c>
      <c r="U2819" s="2" t="s">
        <v>567</v>
      </c>
      <c r="V2819" s="2" t="s">
        <v>59</v>
      </c>
      <c r="W2819" s="2">
        <v>38.6</v>
      </c>
      <c r="X2819" s="2">
        <v>0</v>
      </c>
      <c r="Y2819" s="2" t="s">
        <v>340</v>
      </c>
      <c r="Z2819" s="2" t="s">
        <v>18781</v>
      </c>
      <c r="AA2819" s="2">
        <v>0.44800526937773799</v>
      </c>
      <c r="AB2819" s="2">
        <v>0.28594226378242799</v>
      </c>
      <c r="AC2819" s="2">
        <v>12169.405875562599</v>
      </c>
      <c r="AD2819" s="2">
        <v>6375.2851740647602</v>
      </c>
      <c r="AE2819" s="2">
        <v>13470.144718993201</v>
      </c>
      <c r="AF2819" s="2">
        <v>14023.881034649099</v>
      </c>
      <c r="AG2819" s="2">
        <v>13161.9390399442</v>
      </c>
      <c r="AH2819" s="2">
        <v>11858.497603513</v>
      </c>
      <c r="AI2819" s="2">
        <v>10160.5960465151</v>
      </c>
      <c r="AJ2819" s="2">
        <v>10341.376809760801</v>
      </c>
      <c r="AK2819" s="2">
        <v>5129.6335671336201</v>
      </c>
      <c r="AL2819" s="2">
        <v>6326.59145567832</v>
      </c>
      <c r="AM2819" s="2">
        <v>6818.3514662879297</v>
      </c>
      <c r="AN2819" s="2">
        <v>6466.7478107839197</v>
      </c>
      <c r="AO2819" s="2">
        <v>7848.2423142652997</v>
      </c>
      <c r="AP2819" s="2">
        <v>5662.1444302395003</v>
      </c>
    </row>
    <row r="2820" spans="1:42" ht="14.5" x14ac:dyDescent="0.35">
      <c r="A2820" s="2" t="s">
        <v>18782</v>
      </c>
      <c r="B2820" s="2">
        <v>288.113331542178</v>
      </c>
      <c r="C2820" s="2">
        <v>9.0455833333333295</v>
      </c>
      <c r="D2820" s="2" t="s">
        <v>34</v>
      </c>
      <c r="E2820" s="2" t="s">
        <v>18783</v>
      </c>
      <c r="F2820" s="2">
        <v>64996</v>
      </c>
      <c r="G2820" s="3" t="str">
        <f>HYPERLINK("http://funmeta.oebiotech.com/network/64996", "http://funmeta.oebiotech.com/network/64996")</f>
        <v>http://funmeta.oebiotech.com/network/64996</v>
      </c>
      <c r="H2820" s="2" t="s">
        <v>18784</v>
      </c>
      <c r="I2820" s="2">
        <v>67545</v>
      </c>
      <c r="J2820" s="2"/>
      <c r="K2820" s="2"/>
      <c r="L2820" s="2" t="s">
        <v>18785</v>
      </c>
      <c r="M2820" s="2"/>
      <c r="N2820" s="2"/>
      <c r="O2820" s="2">
        <v>65752</v>
      </c>
      <c r="P2820" s="2" t="s">
        <v>18786</v>
      </c>
      <c r="Q2820" s="2" t="s">
        <v>18787</v>
      </c>
      <c r="R2820" s="2" t="s">
        <v>18788</v>
      </c>
      <c r="S2820" s="2" t="s">
        <v>491</v>
      </c>
      <c r="T2820" s="2" t="s">
        <v>2184</v>
      </c>
      <c r="U2820" s="2" t="s">
        <v>8234</v>
      </c>
      <c r="V2820" s="2" t="s">
        <v>59</v>
      </c>
      <c r="W2820" s="2">
        <v>37.4</v>
      </c>
      <c r="X2820" s="2">
        <v>0</v>
      </c>
      <c r="Y2820" s="2" t="s">
        <v>394</v>
      </c>
      <c r="Z2820" s="2" t="s">
        <v>18789</v>
      </c>
      <c r="AA2820" s="2">
        <v>0.67243248424485902</v>
      </c>
      <c r="AB2820" s="2">
        <v>0.28568920793999603</v>
      </c>
      <c r="AC2820" s="2">
        <v>30800.888308173598</v>
      </c>
      <c r="AD2820" s="2">
        <v>24741.3886755803</v>
      </c>
      <c r="AE2820" s="2">
        <v>31047.0711289869</v>
      </c>
      <c r="AF2820" s="2">
        <v>30198.5068474213</v>
      </c>
      <c r="AG2820" s="2">
        <v>31949.899592921902</v>
      </c>
      <c r="AH2820" s="2">
        <v>29808.689319053599</v>
      </c>
      <c r="AI2820" s="2">
        <v>28921.320621080398</v>
      </c>
      <c r="AJ2820" s="2">
        <v>32879.842339577401</v>
      </c>
      <c r="AK2820" s="2">
        <v>21850.926240659501</v>
      </c>
      <c r="AL2820" s="2">
        <v>27154.097258688798</v>
      </c>
      <c r="AM2820" s="2">
        <v>27009.075914965299</v>
      </c>
      <c r="AN2820" s="2">
        <v>23973.695123565201</v>
      </c>
      <c r="AO2820" s="2">
        <v>23413.1817138724</v>
      </c>
      <c r="AP2820" s="2">
        <v>25047.355801730599</v>
      </c>
    </row>
    <row r="2821" spans="1:42" ht="14.5" x14ac:dyDescent="0.35">
      <c r="A2821" s="2" t="s">
        <v>18790</v>
      </c>
      <c r="B2821" s="2">
        <v>407.13444031575699</v>
      </c>
      <c r="C2821" s="2">
        <v>5.1527500000000002</v>
      </c>
      <c r="D2821" s="2" t="s">
        <v>70</v>
      </c>
      <c r="E2821" s="2" t="s">
        <v>18791</v>
      </c>
      <c r="F2821" s="2">
        <v>280517</v>
      </c>
      <c r="G2821" s="3" t="str">
        <f>HYPERLINK("http://funmeta.oebiotech.com/network/280517", "http://funmeta.oebiotech.com/network/280517")</f>
        <v>http://funmeta.oebiotech.com/network/280517</v>
      </c>
      <c r="H2821" s="2"/>
      <c r="I2821" s="2">
        <v>85000</v>
      </c>
      <c r="J2821" s="2"/>
      <c r="K2821" s="2"/>
      <c r="L2821" s="2"/>
      <c r="M2821" s="2"/>
      <c r="N2821" s="2"/>
      <c r="O2821" s="2">
        <v>91567</v>
      </c>
      <c r="P2821" s="2" t="s">
        <v>18792</v>
      </c>
      <c r="Q2821" s="2" t="s">
        <v>18793</v>
      </c>
      <c r="R2821" s="2" t="s">
        <v>18794</v>
      </c>
      <c r="S2821" s="2" t="s">
        <v>50</v>
      </c>
      <c r="T2821" s="2" t="s">
        <v>201</v>
      </c>
      <c r="U2821" s="2" t="s">
        <v>1217</v>
      </c>
      <c r="V2821" s="2" t="s">
        <v>59</v>
      </c>
      <c r="W2821" s="2">
        <v>38.1</v>
      </c>
      <c r="X2821" s="2">
        <v>0</v>
      </c>
      <c r="Y2821" s="2" t="s">
        <v>408</v>
      </c>
      <c r="Z2821" s="2" t="s">
        <v>18795</v>
      </c>
      <c r="AA2821" s="2">
        <v>-0.87148535623219503</v>
      </c>
      <c r="AB2821" s="2">
        <v>0.28566877493269099</v>
      </c>
      <c r="AC2821" s="2">
        <v>1535.6867713900999</v>
      </c>
      <c r="AD2821" s="2">
        <v>7044.3291020754496</v>
      </c>
      <c r="AE2821" s="2">
        <v>2266.3204375878299</v>
      </c>
      <c r="AF2821" s="2">
        <v>2177.3391167340601</v>
      </c>
      <c r="AG2821" s="2">
        <v>628.89226468244601</v>
      </c>
      <c r="AH2821" s="2">
        <v>1657.40838589548</v>
      </c>
      <c r="AI2821" s="2">
        <v>781.393013482887</v>
      </c>
      <c r="AJ2821" s="2">
        <v>1702.7674099578701</v>
      </c>
      <c r="AK2821" s="2">
        <v>6313.65954483935</v>
      </c>
      <c r="AL2821" s="2">
        <v>7629.4807585138697</v>
      </c>
      <c r="AM2821" s="2">
        <v>8183.3759181040195</v>
      </c>
      <c r="AN2821" s="2">
        <v>6560.5327123819698</v>
      </c>
      <c r="AO2821" s="2">
        <v>6699.4247029185799</v>
      </c>
      <c r="AP2821" s="2">
        <v>6879.5009756948903</v>
      </c>
    </row>
    <row r="2822" spans="1:42" ht="14.5" x14ac:dyDescent="0.35">
      <c r="A2822" s="2" t="s">
        <v>18796</v>
      </c>
      <c r="B2822" s="2">
        <v>179.070354268344</v>
      </c>
      <c r="C2822" s="2">
        <v>1.97685</v>
      </c>
      <c r="D2822" s="2" t="s">
        <v>34</v>
      </c>
      <c r="E2822" s="2" t="s">
        <v>18797</v>
      </c>
      <c r="F2822" s="2">
        <v>144429</v>
      </c>
      <c r="G2822" s="3" t="str">
        <f>HYPERLINK("http://funmeta.oebiotech.com/network/144429", "http://funmeta.oebiotech.com/network/144429")</f>
        <v>http://funmeta.oebiotech.com/network/144429</v>
      </c>
      <c r="H2822" s="2" t="s">
        <v>18798</v>
      </c>
      <c r="I2822" s="2">
        <v>63108</v>
      </c>
      <c r="J2822" s="2"/>
      <c r="K2822" s="2">
        <v>16547</v>
      </c>
      <c r="L2822" s="2" t="s">
        <v>18799</v>
      </c>
      <c r="M2822" s="2" t="s">
        <v>74</v>
      </c>
      <c r="N2822" s="2" t="s">
        <v>75</v>
      </c>
      <c r="O2822" s="2">
        <v>5280536</v>
      </c>
      <c r="P2822" s="2" t="s">
        <v>18800</v>
      </c>
      <c r="Q2822" s="2" t="s">
        <v>18801</v>
      </c>
      <c r="R2822" s="2" t="s">
        <v>18802</v>
      </c>
      <c r="S2822" s="2" t="s">
        <v>148</v>
      </c>
      <c r="T2822" s="2" t="s">
        <v>392</v>
      </c>
      <c r="U2822" s="2" t="s">
        <v>3450</v>
      </c>
      <c r="V2822" s="2" t="s">
        <v>42</v>
      </c>
      <c r="W2822" s="2">
        <v>51</v>
      </c>
      <c r="X2822" s="2">
        <v>59.4</v>
      </c>
      <c r="Y2822" s="2" t="s">
        <v>394</v>
      </c>
      <c r="Z2822" s="2" t="s">
        <v>18803</v>
      </c>
      <c r="AA2822" s="2">
        <v>0.46981667763688501</v>
      </c>
      <c r="AB2822" s="2">
        <v>0.285525975322797</v>
      </c>
      <c r="AC2822" s="2">
        <v>26496.537918529099</v>
      </c>
      <c r="AD2822" s="2">
        <v>20812.9404912721</v>
      </c>
      <c r="AE2822" s="2">
        <v>26857.468631869899</v>
      </c>
      <c r="AF2822" s="2">
        <v>28017.3485569365</v>
      </c>
      <c r="AG2822" s="2">
        <v>25967.644964215699</v>
      </c>
      <c r="AH2822" s="2">
        <v>24255.6101727397</v>
      </c>
      <c r="AI2822" s="2">
        <v>26974.2637587055</v>
      </c>
      <c r="AJ2822" s="2">
        <v>26906.891426707301</v>
      </c>
      <c r="AK2822" s="2">
        <v>20529.709644884901</v>
      </c>
      <c r="AL2822" s="2">
        <v>20666.877980119902</v>
      </c>
      <c r="AM2822" s="2">
        <v>20824.650893201098</v>
      </c>
      <c r="AN2822" s="2">
        <v>20662.578246947902</v>
      </c>
      <c r="AO2822" s="2">
        <v>19657.205431736998</v>
      </c>
      <c r="AP2822" s="2">
        <v>22536.620750741698</v>
      </c>
    </row>
    <row r="2823" spans="1:42" ht="14.5" x14ac:dyDescent="0.35">
      <c r="A2823" s="2" t="s">
        <v>18804</v>
      </c>
      <c r="B2823" s="2">
        <v>489.14051152800897</v>
      </c>
      <c r="C2823" s="2">
        <v>4.0592666666666704</v>
      </c>
      <c r="D2823" s="2" t="s">
        <v>70</v>
      </c>
      <c r="E2823" s="2" t="s">
        <v>18805</v>
      </c>
      <c r="F2823" s="2">
        <v>255923</v>
      </c>
      <c r="G2823" s="3" t="str">
        <f>HYPERLINK("http://funmeta.oebiotech.com/network/255923", "http://funmeta.oebiotech.com/network/255923")</f>
        <v>http://funmeta.oebiotech.com/network/255923</v>
      </c>
      <c r="H2823" s="2" t="s">
        <v>18806</v>
      </c>
      <c r="I2823" s="2"/>
      <c r="J2823" s="2"/>
      <c r="K2823" s="2"/>
      <c r="L2823" s="2"/>
      <c r="M2823" s="2"/>
      <c r="N2823" s="2"/>
      <c r="O2823" s="2">
        <v>67283061</v>
      </c>
      <c r="P2823" s="2"/>
      <c r="Q2823" s="2" t="s">
        <v>18807</v>
      </c>
      <c r="R2823" s="2" t="s">
        <v>18808</v>
      </c>
      <c r="S2823" s="2" t="s">
        <v>115</v>
      </c>
      <c r="T2823" s="2" t="s">
        <v>116</v>
      </c>
      <c r="U2823" s="2" t="s">
        <v>117</v>
      </c>
      <c r="V2823" s="2" t="s">
        <v>59</v>
      </c>
      <c r="W2823" s="2">
        <v>37.299999999999997</v>
      </c>
      <c r="X2823" s="2">
        <v>0</v>
      </c>
      <c r="Y2823" s="2" t="s">
        <v>1654</v>
      </c>
      <c r="Z2823" s="2" t="s">
        <v>7355</v>
      </c>
      <c r="AA2823" s="2">
        <v>0.62212596086488103</v>
      </c>
      <c r="AB2823" s="2">
        <v>0.28535225640412099</v>
      </c>
      <c r="AC2823" s="2">
        <v>13580.8462303422</v>
      </c>
      <c r="AD2823" s="2">
        <v>20296.010197459102</v>
      </c>
      <c r="AE2823" s="2">
        <v>14273.9895280047</v>
      </c>
      <c r="AF2823" s="2">
        <v>13717.567157616801</v>
      </c>
      <c r="AG2823" s="2">
        <v>16011.1645271261</v>
      </c>
      <c r="AH2823" s="2">
        <v>10649.6837213987</v>
      </c>
      <c r="AI2823" s="2">
        <v>8799.3604268060699</v>
      </c>
      <c r="AJ2823" s="2">
        <v>18033.312021100901</v>
      </c>
      <c r="AK2823" s="2">
        <v>20291.852983592998</v>
      </c>
      <c r="AL2823" s="2">
        <v>17854.332211661502</v>
      </c>
      <c r="AM2823" s="2">
        <v>21528.672154579799</v>
      </c>
      <c r="AN2823" s="2">
        <v>20659.060927557799</v>
      </c>
      <c r="AO2823" s="2">
        <v>22906.223852960899</v>
      </c>
      <c r="AP2823" s="2">
        <v>18535.9190544013</v>
      </c>
    </row>
    <row r="2824" spans="1:42" ht="14.5" x14ac:dyDescent="0.35">
      <c r="A2824" s="2" t="s">
        <v>18809</v>
      </c>
      <c r="B2824" s="2">
        <v>237.020492248701</v>
      </c>
      <c r="C2824" s="2">
        <v>0.60526666666666695</v>
      </c>
      <c r="D2824" s="2" t="s">
        <v>34</v>
      </c>
      <c r="E2824" s="2" t="s">
        <v>18810</v>
      </c>
      <c r="F2824" s="2">
        <v>208552</v>
      </c>
      <c r="G2824" s="3" t="str">
        <f>HYPERLINK("http://funmeta.oebiotech.com/network/208552", "http://funmeta.oebiotech.com/network/208552")</f>
        <v>http://funmeta.oebiotech.com/network/208552</v>
      </c>
      <c r="H2824" s="2" t="s">
        <v>18811</v>
      </c>
      <c r="I2824" s="2"/>
      <c r="J2824" s="2"/>
      <c r="K2824" s="2">
        <v>63930</v>
      </c>
      <c r="L2824" s="2"/>
      <c r="M2824" s="2"/>
      <c r="N2824" s="2"/>
      <c r="O2824" s="2">
        <v>8536</v>
      </c>
      <c r="P2824" s="2"/>
      <c r="Q2824" s="2" t="s">
        <v>18812</v>
      </c>
      <c r="R2824" s="2" t="s">
        <v>18813</v>
      </c>
      <c r="S2824" s="2" t="s">
        <v>148</v>
      </c>
      <c r="T2824" s="2" t="s">
        <v>6221</v>
      </c>
      <c r="U2824" s="2" t="s">
        <v>17614</v>
      </c>
      <c r="V2824" s="2" t="s">
        <v>59</v>
      </c>
      <c r="W2824" s="2">
        <v>36.4</v>
      </c>
      <c r="X2824" s="2">
        <v>0</v>
      </c>
      <c r="Y2824" s="2" t="s">
        <v>141</v>
      </c>
      <c r="Z2824" s="2" t="s">
        <v>18814</v>
      </c>
      <c r="AA2824" s="2">
        <v>-4.3850812389484499</v>
      </c>
      <c r="AB2824" s="2">
        <v>0.28526717466073997</v>
      </c>
      <c r="AC2824" s="2">
        <v>30294.991516259601</v>
      </c>
      <c r="AD2824" s="2">
        <v>23099.008062125798</v>
      </c>
      <c r="AE2824" s="2">
        <v>32227.589094964002</v>
      </c>
      <c r="AF2824" s="2">
        <v>33854.491407880902</v>
      </c>
      <c r="AG2824" s="2">
        <v>31885.6299330039</v>
      </c>
      <c r="AH2824" s="2">
        <v>23802.268773252701</v>
      </c>
      <c r="AI2824" s="2">
        <v>33686.961535937902</v>
      </c>
      <c r="AJ2824" s="2">
        <v>26313.0083525181</v>
      </c>
      <c r="AK2824" s="2">
        <v>23734.867805935399</v>
      </c>
      <c r="AL2824" s="2">
        <v>23697.771213952801</v>
      </c>
      <c r="AM2824" s="2">
        <v>19558.719686672801</v>
      </c>
      <c r="AN2824" s="2">
        <v>27593.604995652098</v>
      </c>
      <c r="AO2824" s="2">
        <v>22547.033102122699</v>
      </c>
      <c r="AP2824" s="2">
        <v>21462.0515684192</v>
      </c>
    </row>
    <row r="2825" spans="1:42" ht="14.5" x14ac:dyDescent="0.35">
      <c r="A2825" s="2" t="s">
        <v>18815</v>
      </c>
      <c r="B2825" s="2">
        <v>300.12290762935999</v>
      </c>
      <c r="C2825" s="2">
        <v>4.9463833333333298</v>
      </c>
      <c r="D2825" s="2" t="s">
        <v>34</v>
      </c>
      <c r="E2825" s="2" t="s">
        <v>18816</v>
      </c>
      <c r="F2825" s="2">
        <v>30196</v>
      </c>
      <c r="G2825" s="3" t="str">
        <f>HYPERLINK("http://funmeta.oebiotech.com/network/30196", "http://funmeta.oebiotech.com/network/30196")</f>
        <v>http://funmeta.oebiotech.com/network/30196</v>
      </c>
      <c r="H2825" s="2"/>
      <c r="I2825" s="2">
        <v>43552</v>
      </c>
      <c r="J2825" s="2" t="s">
        <v>18817</v>
      </c>
      <c r="K2825" s="2">
        <v>107657</v>
      </c>
      <c r="L2825" s="2"/>
      <c r="M2825" s="2"/>
      <c r="N2825" s="2"/>
      <c r="O2825" s="2">
        <v>676293</v>
      </c>
      <c r="P2825" s="2"/>
      <c r="Q2825" s="2" t="s">
        <v>18818</v>
      </c>
      <c r="R2825" s="2" t="s">
        <v>18819</v>
      </c>
      <c r="S2825" s="2" t="s">
        <v>115</v>
      </c>
      <c r="T2825" s="2" t="s">
        <v>139</v>
      </c>
      <c r="U2825" s="2" t="s">
        <v>1552</v>
      </c>
      <c r="V2825" s="2" t="s">
        <v>59</v>
      </c>
      <c r="W2825" s="2">
        <v>39</v>
      </c>
      <c r="X2825" s="2">
        <v>0</v>
      </c>
      <c r="Y2825" s="2" t="s">
        <v>43</v>
      </c>
      <c r="Z2825" s="2" t="s">
        <v>6695</v>
      </c>
      <c r="AA2825" s="2">
        <v>-0.449601954690724</v>
      </c>
      <c r="AB2825" s="2">
        <v>0.28502691363895299</v>
      </c>
      <c r="AC2825" s="2">
        <v>26331.8323003519</v>
      </c>
      <c r="AD2825" s="2">
        <v>20552.166210318399</v>
      </c>
      <c r="AE2825" s="2">
        <v>26524.520802160401</v>
      </c>
      <c r="AF2825" s="2">
        <v>28508.784881105301</v>
      </c>
      <c r="AG2825" s="2">
        <v>24311.506249761602</v>
      </c>
      <c r="AH2825" s="2">
        <v>26046.3679787492</v>
      </c>
      <c r="AI2825" s="2">
        <v>25843.582784414</v>
      </c>
      <c r="AJ2825" s="2">
        <v>26756.231105920699</v>
      </c>
      <c r="AK2825" s="2">
        <v>20061.559326753901</v>
      </c>
      <c r="AL2825" s="2">
        <v>19710.5748597413</v>
      </c>
      <c r="AM2825" s="2">
        <v>21806.5712393758</v>
      </c>
      <c r="AN2825" s="2">
        <v>22453.326324481299</v>
      </c>
      <c r="AO2825" s="2">
        <v>19775.318119245701</v>
      </c>
      <c r="AP2825" s="2">
        <v>19505.647392312701</v>
      </c>
    </row>
    <row r="2826" spans="1:42" ht="14.5" x14ac:dyDescent="0.35">
      <c r="A2826" s="2" t="s">
        <v>18820</v>
      </c>
      <c r="B2826" s="2">
        <v>441.20491477023199</v>
      </c>
      <c r="C2826" s="2">
        <v>4.2619999999999996</v>
      </c>
      <c r="D2826" s="2" t="s">
        <v>34</v>
      </c>
      <c r="E2826" s="2" t="s">
        <v>18821</v>
      </c>
      <c r="F2826" s="2">
        <v>278024</v>
      </c>
      <c r="G2826" s="3" t="str">
        <f>HYPERLINK("http://funmeta.oebiotech.com/network/278024", "http://funmeta.oebiotech.com/network/278024")</f>
        <v>http://funmeta.oebiotech.com/network/278024</v>
      </c>
      <c r="H2826" s="2"/>
      <c r="I2826" s="2">
        <v>70218</v>
      </c>
      <c r="J2826" s="2"/>
      <c r="K2826" s="2"/>
      <c r="L2826" s="2" t="s">
        <v>18822</v>
      </c>
      <c r="M2826" s="2"/>
      <c r="N2826" s="2"/>
      <c r="O2826" s="2">
        <v>240767</v>
      </c>
      <c r="P2826" s="2" t="s">
        <v>18823</v>
      </c>
      <c r="Q2826" s="2" t="s">
        <v>18824</v>
      </c>
      <c r="R2826" s="2" t="s">
        <v>18825</v>
      </c>
      <c r="S2826" s="2" t="s">
        <v>50</v>
      </c>
      <c r="T2826" s="2" t="s">
        <v>124</v>
      </c>
      <c r="U2826" s="2" t="s">
        <v>929</v>
      </c>
      <c r="V2826" s="2" t="s">
        <v>59</v>
      </c>
      <c r="W2826" s="2">
        <v>37</v>
      </c>
      <c r="X2826" s="2">
        <v>0</v>
      </c>
      <c r="Y2826" s="2" t="s">
        <v>323</v>
      </c>
      <c r="Z2826" s="2" t="s">
        <v>18826</v>
      </c>
      <c r="AA2826" s="2">
        <v>0.33900762652147198</v>
      </c>
      <c r="AB2826" s="2">
        <v>0.28496530546280002</v>
      </c>
      <c r="AC2826" s="2">
        <v>42909.394426679602</v>
      </c>
      <c r="AD2826" s="2">
        <v>34130.2501255553</v>
      </c>
      <c r="AE2826" s="2">
        <v>53873.652383621898</v>
      </c>
      <c r="AF2826" s="2">
        <v>50701.541599268799</v>
      </c>
      <c r="AG2826" s="2">
        <v>43618.308437380198</v>
      </c>
      <c r="AH2826" s="2">
        <v>36592.024507843402</v>
      </c>
      <c r="AI2826" s="2">
        <v>36919.180858860796</v>
      </c>
      <c r="AJ2826" s="2">
        <v>35751.658773102798</v>
      </c>
      <c r="AK2826" s="2">
        <v>39172.091357119702</v>
      </c>
      <c r="AL2826" s="2">
        <v>34292.366737603399</v>
      </c>
      <c r="AM2826" s="2">
        <v>39230.217179684303</v>
      </c>
      <c r="AN2826" s="2">
        <v>34099.891434960802</v>
      </c>
      <c r="AO2826" s="2">
        <v>27777.524778559</v>
      </c>
      <c r="AP2826" s="2">
        <v>30209.4092654048</v>
      </c>
    </row>
    <row r="2827" spans="1:42" ht="14.5" x14ac:dyDescent="0.35">
      <c r="A2827" s="2" t="s">
        <v>18827</v>
      </c>
      <c r="B2827" s="2">
        <v>415.09862275249498</v>
      </c>
      <c r="C2827" s="2">
        <v>5.1704666666666697</v>
      </c>
      <c r="D2827" s="2" t="s">
        <v>70</v>
      </c>
      <c r="E2827" s="2" t="s">
        <v>18828</v>
      </c>
      <c r="F2827" s="2">
        <v>200976</v>
      </c>
      <c r="G2827" s="3" t="str">
        <f>HYPERLINK("http://funmeta.oebiotech.com/network/200976", "http://funmeta.oebiotech.com/network/200976")</f>
        <v>http://funmeta.oebiotech.com/network/200976</v>
      </c>
      <c r="H2827" s="2" t="s">
        <v>18829</v>
      </c>
      <c r="I2827" s="2"/>
      <c r="J2827" s="2"/>
      <c r="K2827" s="2"/>
      <c r="L2827" s="2"/>
      <c r="M2827" s="2"/>
      <c r="N2827" s="2"/>
      <c r="O2827" s="2">
        <v>254731</v>
      </c>
      <c r="P2827" s="2"/>
      <c r="Q2827" s="2" t="s">
        <v>18830</v>
      </c>
      <c r="R2827" s="2" t="s">
        <v>18831</v>
      </c>
      <c r="S2827" s="2" t="s">
        <v>1444</v>
      </c>
      <c r="T2827" s="2" t="s">
        <v>10689</v>
      </c>
      <c r="U2827" s="2" t="s">
        <v>41</v>
      </c>
      <c r="V2827" s="2" t="s">
        <v>59</v>
      </c>
      <c r="W2827" s="2">
        <v>38.700000000000003</v>
      </c>
      <c r="X2827" s="2">
        <v>0.44600000000000001</v>
      </c>
      <c r="Y2827" s="2" t="s">
        <v>286</v>
      </c>
      <c r="Z2827" s="2" t="s">
        <v>18832</v>
      </c>
      <c r="AA2827" s="2">
        <v>-2.1893480458002501</v>
      </c>
      <c r="AB2827" s="2">
        <v>0.28493076078778101</v>
      </c>
      <c r="AC2827" s="2">
        <v>35385.480841360899</v>
      </c>
      <c r="AD2827" s="2">
        <v>41254.455307445198</v>
      </c>
      <c r="AE2827" s="2">
        <v>34481.078637599698</v>
      </c>
      <c r="AF2827" s="2">
        <v>34571.285828887201</v>
      </c>
      <c r="AG2827" s="2">
        <v>36753.875131077002</v>
      </c>
      <c r="AH2827" s="2">
        <v>36235.698079465998</v>
      </c>
      <c r="AI2827" s="2">
        <v>35197.488214170997</v>
      </c>
      <c r="AJ2827" s="2">
        <v>35073.459156964702</v>
      </c>
      <c r="AK2827" s="2">
        <v>43706.737491826803</v>
      </c>
      <c r="AL2827" s="2">
        <v>41320.564276571597</v>
      </c>
      <c r="AM2827" s="2">
        <v>43299.792936574602</v>
      </c>
      <c r="AN2827" s="2">
        <v>39574.963703950198</v>
      </c>
      <c r="AO2827" s="2">
        <v>40218.7948106517</v>
      </c>
      <c r="AP2827" s="2">
        <v>39405.8786250962</v>
      </c>
    </row>
    <row r="2828" spans="1:42" ht="14.5" x14ac:dyDescent="0.35">
      <c r="A2828" s="2" t="s">
        <v>18833</v>
      </c>
      <c r="B2828" s="2">
        <v>289.06146371320398</v>
      </c>
      <c r="C2828" s="2">
        <v>5.3391000000000002</v>
      </c>
      <c r="D2828" s="2" t="s">
        <v>70</v>
      </c>
      <c r="E2828" s="2" t="s">
        <v>18834</v>
      </c>
      <c r="F2828" s="2">
        <v>212268</v>
      </c>
      <c r="G2828" s="3" t="str">
        <f>HYPERLINK("http://funmeta.oebiotech.com/network/212268", "http://funmeta.oebiotech.com/network/212268")</f>
        <v>http://funmeta.oebiotech.com/network/212268</v>
      </c>
      <c r="H2828" s="2" t="s">
        <v>18835</v>
      </c>
      <c r="I2828" s="2">
        <v>72768</v>
      </c>
      <c r="J2828" s="2"/>
      <c r="K2828" s="2"/>
      <c r="L2828" s="2" t="s">
        <v>18836</v>
      </c>
      <c r="M2828" s="2"/>
      <c r="N2828" s="2"/>
      <c r="O2828" s="2">
        <v>7873</v>
      </c>
      <c r="P2828" s="2" t="s">
        <v>18837</v>
      </c>
      <c r="Q2828" s="2" t="s">
        <v>18838</v>
      </c>
      <c r="R2828" s="2" t="s">
        <v>18839</v>
      </c>
      <c r="S2828" s="2" t="s">
        <v>79</v>
      </c>
      <c r="T2828" s="2" t="s">
        <v>18840</v>
      </c>
      <c r="U2828" s="2" t="s">
        <v>18841</v>
      </c>
      <c r="V2828" s="2" t="s">
        <v>59</v>
      </c>
      <c r="W2828" s="2">
        <v>39</v>
      </c>
      <c r="X2828" s="2">
        <v>0</v>
      </c>
      <c r="Y2828" s="2" t="s">
        <v>118</v>
      </c>
      <c r="Z2828" s="2" t="s">
        <v>18842</v>
      </c>
      <c r="AA2828" s="2">
        <v>1.0821821875977899</v>
      </c>
      <c r="AB2828" s="2">
        <v>0.28487742445943198</v>
      </c>
      <c r="AC2828" s="2">
        <v>3534.1187621409399</v>
      </c>
      <c r="AD2828" s="2">
        <v>8888.9558367167501</v>
      </c>
      <c r="AE2828" s="2">
        <v>3409.3636430445999</v>
      </c>
      <c r="AF2828" s="2">
        <v>3464.1424653282802</v>
      </c>
      <c r="AG2828" s="2">
        <v>3396.9881812089802</v>
      </c>
      <c r="AH2828" s="2">
        <v>3259.4898017034202</v>
      </c>
      <c r="AI2828" s="2">
        <v>3400.4682389782101</v>
      </c>
      <c r="AJ2828" s="2">
        <v>4274.2602425821697</v>
      </c>
      <c r="AK2828" s="2">
        <v>8959.3418525556808</v>
      </c>
      <c r="AL2828" s="2">
        <v>8865.8952812038206</v>
      </c>
      <c r="AM2828" s="2">
        <v>9312.3369667104707</v>
      </c>
      <c r="AN2828" s="2">
        <v>8758.8161371162096</v>
      </c>
      <c r="AO2828" s="2">
        <v>8669.4645791582698</v>
      </c>
      <c r="AP2828" s="2">
        <v>8767.8802035560493</v>
      </c>
    </row>
    <row r="2829" spans="1:42" ht="14.5" x14ac:dyDescent="0.35">
      <c r="A2829" s="2" t="s">
        <v>18843</v>
      </c>
      <c r="B2829" s="2">
        <v>501.20889895512602</v>
      </c>
      <c r="C2829" s="2">
        <v>6.1123333333333303</v>
      </c>
      <c r="D2829" s="2" t="s">
        <v>34</v>
      </c>
      <c r="E2829" s="2" t="s">
        <v>18844</v>
      </c>
      <c r="F2829" s="2">
        <v>54318</v>
      </c>
      <c r="G2829" s="3" t="str">
        <f>HYPERLINK("http://funmeta.oebiotech.com/network/54318", "http://funmeta.oebiotech.com/network/54318")</f>
        <v>http://funmeta.oebiotech.com/network/54318</v>
      </c>
      <c r="H2829" s="2" t="s">
        <v>18845</v>
      </c>
      <c r="I2829" s="2">
        <v>86210</v>
      </c>
      <c r="J2829" s="2"/>
      <c r="K2829" s="2">
        <v>169082</v>
      </c>
      <c r="L2829" s="2"/>
      <c r="M2829" s="2"/>
      <c r="N2829" s="2"/>
      <c r="O2829" s="2">
        <v>131750856</v>
      </c>
      <c r="P2829" s="2" t="s">
        <v>18846</v>
      </c>
      <c r="Q2829" s="2" t="s">
        <v>18847</v>
      </c>
      <c r="R2829" s="2" t="s">
        <v>18848</v>
      </c>
      <c r="S2829" s="2" t="s">
        <v>50</v>
      </c>
      <c r="T2829" s="2" t="s">
        <v>201</v>
      </c>
      <c r="U2829" s="2" t="s">
        <v>202</v>
      </c>
      <c r="V2829" s="2" t="s">
        <v>59</v>
      </c>
      <c r="W2829" s="2">
        <v>38.700000000000003</v>
      </c>
      <c r="X2829" s="2">
        <v>0</v>
      </c>
      <c r="Y2829" s="2" t="s">
        <v>340</v>
      </c>
      <c r="Z2829" s="2" t="s">
        <v>18849</v>
      </c>
      <c r="AA2829" s="2">
        <v>-1.63665736451751</v>
      </c>
      <c r="AB2829" s="2">
        <v>0.28483643416844701</v>
      </c>
      <c r="AC2829" s="2">
        <v>7059.9459544662204</v>
      </c>
      <c r="AD2829" s="2">
        <v>1118.75013362506</v>
      </c>
      <c r="AE2829" s="2">
        <v>8226.4009156777101</v>
      </c>
      <c r="AF2829" s="2">
        <v>9080.2683352578897</v>
      </c>
      <c r="AG2829" s="2">
        <v>6318.2585276757</v>
      </c>
      <c r="AH2829" s="2">
        <v>4228.9602161574803</v>
      </c>
      <c r="AI2829" s="2">
        <v>7701.1624238684899</v>
      </c>
      <c r="AJ2829" s="2">
        <v>6804.6253081600498</v>
      </c>
      <c r="AK2829" s="2">
        <v>2.7106294003980101E-5</v>
      </c>
      <c r="AL2829" s="2">
        <v>2.7106294003980101E-5</v>
      </c>
      <c r="AM2829" s="2">
        <v>3754.0188813045502</v>
      </c>
      <c r="AN2829" s="2">
        <v>1351.1845336797401</v>
      </c>
      <c r="AO2829" s="2">
        <v>2.7106294003980101E-5</v>
      </c>
      <c r="AP2829" s="2">
        <v>1607.29730544719</v>
      </c>
    </row>
    <row r="2830" spans="1:42" ht="14.5" x14ac:dyDescent="0.35">
      <c r="A2830" s="2" t="s">
        <v>18850</v>
      </c>
      <c r="B2830" s="2">
        <v>180.04440717020299</v>
      </c>
      <c r="C2830" s="2">
        <v>0.62124999999999997</v>
      </c>
      <c r="D2830" s="2" t="s">
        <v>34</v>
      </c>
      <c r="E2830" s="2" t="s">
        <v>18851</v>
      </c>
      <c r="F2830" s="2">
        <v>199770</v>
      </c>
      <c r="G2830" s="3" t="str">
        <f>HYPERLINK("http://funmeta.oebiotech.com/network/199770", "http://funmeta.oebiotech.com/network/199770")</f>
        <v>http://funmeta.oebiotech.com/network/199770</v>
      </c>
      <c r="H2830" s="2" t="s">
        <v>18852</v>
      </c>
      <c r="I2830" s="2"/>
      <c r="J2830" s="2"/>
      <c r="K2830" s="2"/>
      <c r="L2830" s="2"/>
      <c r="M2830" s="2"/>
      <c r="N2830" s="2"/>
      <c r="O2830" s="2">
        <v>66491</v>
      </c>
      <c r="P2830" s="2"/>
      <c r="Q2830" s="2" t="s">
        <v>18853</v>
      </c>
      <c r="R2830" s="2" t="s">
        <v>18854</v>
      </c>
      <c r="S2830" s="2" t="s">
        <v>491</v>
      </c>
      <c r="T2830" s="2" t="s">
        <v>13817</v>
      </c>
      <c r="U2830" s="2" t="s">
        <v>13818</v>
      </c>
      <c r="V2830" s="2" t="s">
        <v>59</v>
      </c>
      <c r="W2830" s="2">
        <v>37.4</v>
      </c>
      <c r="X2830" s="2">
        <v>0</v>
      </c>
      <c r="Y2830" s="2" t="s">
        <v>141</v>
      </c>
      <c r="Z2830" s="2" t="s">
        <v>18855</v>
      </c>
      <c r="AA2830" s="2">
        <v>8.6028888493418595E-2</v>
      </c>
      <c r="AB2830" s="2">
        <v>0.28482361683282298</v>
      </c>
      <c r="AC2830" s="2">
        <v>32920.909145216399</v>
      </c>
      <c r="AD2830" s="2">
        <v>24540.0546537439</v>
      </c>
      <c r="AE2830" s="2">
        <v>36712.150603080197</v>
      </c>
      <c r="AF2830" s="2">
        <v>46439.888050073801</v>
      </c>
      <c r="AG2830" s="2">
        <v>30559.3810571883</v>
      </c>
      <c r="AH2830" s="2">
        <v>26684.7202289618</v>
      </c>
      <c r="AI2830" s="2">
        <v>30946.4106046497</v>
      </c>
      <c r="AJ2830" s="2">
        <v>26182.9043273444</v>
      </c>
      <c r="AK2830" s="2">
        <v>23215.765825089198</v>
      </c>
      <c r="AL2830" s="2">
        <v>28229.630444324201</v>
      </c>
      <c r="AM2830" s="2">
        <v>22044.471942877401</v>
      </c>
      <c r="AN2830" s="2">
        <v>26226.616741021899</v>
      </c>
      <c r="AO2830" s="2">
        <v>25422.519370178601</v>
      </c>
      <c r="AP2830" s="2">
        <v>22101.3235989719</v>
      </c>
    </row>
    <row r="2831" spans="1:42" ht="14.5" x14ac:dyDescent="0.35">
      <c r="A2831" s="2" t="s">
        <v>18856</v>
      </c>
      <c r="B2831" s="2">
        <v>671.35991173553305</v>
      </c>
      <c r="C2831" s="2">
        <v>8.1940166666666698</v>
      </c>
      <c r="D2831" s="2" t="s">
        <v>34</v>
      </c>
      <c r="E2831" s="2" t="s">
        <v>18857</v>
      </c>
      <c r="F2831" s="2">
        <v>62819</v>
      </c>
      <c r="G2831" s="3" t="str">
        <f>HYPERLINK("http://funmeta.oebiotech.com/network/62819", "http://funmeta.oebiotech.com/network/62819")</f>
        <v>http://funmeta.oebiotech.com/network/62819</v>
      </c>
      <c r="H2831" s="2" t="s">
        <v>18858</v>
      </c>
      <c r="I2831" s="2">
        <v>94112</v>
      </c>
      <c r="J2831" s="2"/>
      <c r="K2831" s="2">
        <v>176274</v>
      </c>
      <c r="L2831" s="2"/>
      <c r="M2831" s="2"/>
      <c r="N2831" s="2"/>
      <c r="O2831" s="2">
        <v>131752673</v>
      </c>
      <c r="P2831" s="2"/>
      <c r="Q2831" s="2" t="s">
        <v>18859</v>
      </c>
      <c r="R2831" s="2" t="s">
        <v>18860</v>
      </c>
      <c r="S2831" s="2" t="s">
        <v>50</v>
      </c>
      <c r="T2831" s="2" t="s">
        <v>201</v>
      </c>
      <c r="U2831" s="2" t="s">
        <v>202</v>
      </c>
      <c r="V2831" s="2" t="s">
        <v>59</v>
      </c>
      <c r="W2831" s="2">
        <v>36.200000000000003</v>
      </c>
      <c r="X2831" s="2">
        <v>0</v>
      </c>
      <c r="Y2831" s="2" t="s">
        <v>323</v>
      </c>
      <c r="Z2831" s="2" t="s">
        <v>18861</v>
      </c>
      <c r="AA2831" s="2">
        <v>-2.1604795832306301</v>
      </c>
      <c r="AB2831" s="2">
        <v>0.28477115927004698</v>
      </c>
      <c r="AC2831" s="2">
        <v>18321.635143197698</v>
      </c>
      <c r="AD2831" s="2">
        <v>11846.5722110145</v>
      </c>
      <c r="AE2831" s="2">
        <v>19949.442141704501</v>
      </c>
      <c r="AF2831" s="2">
        <v>19119.3629126046</v>
      </c>
      <c r="AG2831" s="2">
        <v>20399.0052410141</v>
      </c>
      <c r="AH2831" s="2">
        <v>16134.3560696477</v>
      </c>
      <c r="AI2831" s="2">
        <v>18659.435029050099</v>
      </c>
      <c r="AJ2831" s="2">
        <v>15668.2094651649</v>
      </c>
      <c r="AK2831" s="2">
        <v>16491.906244870701</v>
      </c>
      <c r="AL2831" s="2">
        <v>13767.094398208401</v>
      </c>
      <c r="AM2831" s="2">
        <v>12237.7139632895</v>
      </c>
      <c r="AN2831" s="2">
        <v>8737.2045131383493</v>
      </c>
      <c r="AO2831" s="2">
        <v>10538.899474055799</v>
      </c>
      <c r="AP2831" s="2">
        <v>9306.6146725240706</v>
      </c>
    </row>
    <row r="2832" spans="1:42" ht="14.5" x14ac:dyDescent="0.35">
      <c r="A2832" s="2" t="s">
        <v>18862</v>
      </c>
      <c r="B2832" s="2">
        <v>311.236599746477</v>
      </c>
      <c r="C2832" s="2">
        <v>13.4339666666667</v>
      </c>
      <c r="D2832" s="2" t="s">
        <v>34</v>
      </c>
      <c r="E2832" s="2" t="s">
        <v>18863</v>
      </c>
      <c r="F2832" s="2">
        <v>62236</v>
      </c>
      <c r="G2832" s="3" t="str">
        <f>HYPERLINK("http://funmeta.oebiotech.com/network/62236", "http://funmeta.oebiotech.com/network/62236")</f>
        <v>http://funmeta.oebiotech.com/network/62236</v>
      </c>
      <c r="H2832" s="2" t="s">
        <v>18864</v>
      </c>
      <c r="I2832" s="2">
        <v>93521</v>
      </c>
      <c r="J2832" s="2"/>
      <c r="K2832" s="2"/>
      <c r="L2832" s="2"/>
      <c r="M2832" s="2"/>
      <c r="N2832" s="2"/>
      <c r="O2832" s="2">
        <v>131752490</v>
      </c>
      <c r="P2832" s="2" t="s">
        <v>18865</v>
      </c>
      <c r="Q2832" s="2" t="s">
        <v>18866</v>
      </c>
      <c r="R2832" s="2" t="s">
        <v>18867</v>
      </c>
      <c r="S2832" s="2" t="s">
        <v>148</v>
      </c>
      <c r="T2832" s="2" t="s">
        <v>392</v>
      </c>
      <c r="U2832" s="2" t="s">
        <v>2045</v>
      </c>
      <c r="V2832" s="2" t="s">
        <v>59</v>
      </c>
      <c r="W2832" s="2">
        <v>38.700000000000003</v>
      </c>
      <c r="X2832" s="2">
        <v>10.5</v>
      </c>
      <c r="Y2832" s="2" t="s">
        <v>141</v>
      </c>
      <c r="Z2832" s="2" t="s">
        <v>18868</v>
      </c>
      <c r="AA2832" s="2">
        <v>-1.04273897978802</v>
      </c>
      <c r="AB2832" s="2">
        <v>0.28474957044916899</v>
      </c>
      <c r="AC2832" s="2">
        <v>21008.994794009199</v>
      </c>
      <c r="AD2832" s="2">
        <v>15177.0578445832</v>
      </c>
      <c r="AE2832" s="2">
        <v>19070.880176572799</v>
      </c>
      <c r="AF2832" s="2">
        <v>20880.330438490801</v>
      </c>
      <c r="AG2832" s="2">
        <v>22136.858007574901</v>
      </c>
      <c r="AH2832" s="2">
        <v>21994.766258713102</v>
      </c>
      <c r="AI2832" s="2">
        <v>20182.755676803201</v>
      </c>
      <c r="AJ2832" s="2">
        <v>21788.378205900601</v>
      </c>
      <c r="AK2832" s="2">
        <v>17731.369526680599</v>
      </c>
      <c r="AL2832" s="2">
        <v>15779.1200421431</v>
      </c>
      <c r="AM2832" s="2">
        <v>13194.0440387533</v>
      </c>
      <c r="AN2832" s="2">
        <v>14692.743717000199</v>
      </c>
      <c r="AO2832" s="2">
        <v>16020.0492939674</v>
      </c>
      <c r="AP2832" s="2">
        <v>13645.0204489547</v>
      </c>
    </row>
    <row r="2833" spans="1:42" ht="14.5" x14ac:dyDescent="0.35">
      <c r="A2833" s="2" t="s">
        <v>18869</v>
      </c>
      <c r="B2833" s="2">
        <v>499.37553280303098</v>
      </c>
      <c r="C2833" s="2">
        <v>10.910600000000001</v>
      </c>
      <c r="D2833" s="2" t="s">
        <v>34</v>
      </c>
      <c r="E2833" s="2" t="s">
        <v>18870</v>
      </c>
      <c r="F2833" s="2">
        <v>61666</v>
      </c>
      <c r="G2833" s="3" t="str">
        <f>HYPERLINK("http://funmeta.oebiotech.com/network/61666", "http://funmeta.oebiotech.com/network/61666")</f>
        <v>http://funmeta.oebiotech.com/network/61666</v>
      </c>
      <c r="H2833" s="2" t="s">
        <v>18871</v>
      </c>
      <c r="I2833" s="2">
        <v>92970</v>
      </c>
      <c r="J2833" s="2"/>
      <c r="K2833" s="2"/>
      <c r="L2833" s="2"/>
      <c r="M2833" s="2"/>
      <c r="N2833" s="2"/>
      <c r="O2833" s="2">
        <v>328779</v>
      </c>
      <c r="P2833" s="2"/>
      <c r="Q2833" s="2" t="s">
        <v>18872</v>
      </c>
      <c r="R2833" s="2" t="s">
        <v>18873</v>
      </c>
      <c r="S2833" s="2" t="s">
        <v>50</v>
      </c>
      <c r="T2833" s="2" t="s">
        <v>201</v>
      </c>
      <c r="U2833" s="2" t="s">
        <v>210</v>
      </c>
      <c r="V2833" s="2" t="s">
        <v>59</v>
      </c>
      <c r="W2833" s="2">
        <v>38.5</v>
      </c>
      <c r="X2833" s="2">
        <v>0</v>
      </c>
      <c r="Y2833" s="2" t="s">
        <v>323</v>
      </c>
      <c r="Z2833" s="2" t="s">
        <v>18874</v>
      </c>
      <c r="AA2833" s="2">
        <v>-0.52063359952816601</v>
      </c>
      <c r="AB2833" s="2">
        <v>0.28465770294697201</v>
      </c>
      <c r="AC2833" s="2">
        <v>5920.7077990760199</v>
      </c>
      <c r="AD2833" s="2">
        <v>11358.5465733528</v>
      </c>
      <c r="AE2833" s="2">
        <v>6479.9662930751801</v>
      </c>
      <c r="AF2833" s="2">
        <v>5435.8216510456296</v>
      </c>
      <c r="AG2833" s="2">
        <v>5848.7771933511904</v>
      </c>
      <c r="AH2833" s="2">
        <v>5533.3931366067</v>
      </c>
      <c r="AI2833" s="2">
        <v>5962.2677343603</v>
      </c>
      <c r="AJ2833" s="2">
        <v>6264.0207860171304</v>
      </c>
      <c r="AK2833" s="2">
        <v>11733.920179631201</v>
      </c>
      <c r="AL2833" s="2">
        <v>10889.6061308717</v>
      </c>
      <c r="AM2833" s="2">
        <v>12301.1028493142</v>
      </c>
      <c r="AN2833" s="2">
        <v>12201.672364063499</v>
      </c>
      <c r="AO2833" s="2">
        <v>10261.5280611956</v>
      </c>
      <c r="AP2833" s="2">
        <v>10763.449855040701</v>
      </c>
    </row>
    <row r="2834" spans="1:42" ht="14.5" x14ac:dyDescent="0.35">
      <c r="A2834" s="2" t="s">
        <v>18875</v>
      </c>
      <c r="B2834" s="2">
        <v>576.172103805701</v>
      </c>
      <c r="C2834" s="2">
        <v>4.1877333333333304</v>
      </c>
      <c r="D2834" s="2" t="s">
        <v>70</v>
      </c>
      <c r="E2834" s="2" t="s">
        <v>18876</v>
      </c>
      <c r="F2834" s="2">
        <v>54327</v>
      </c>
      <c r="G2834" s="3" t="str">
        <f>HYPERLINK("http://funmeta.oebiotech.com/network/54327", "http://funmeta.oebiotech.com/network/54327")</f>
        <v>http://funmeta.oebiotech.com/network/54327</v>
      </c>
      <c r="H2834" s="2" t="s">
        <v>18877</v>
      </c>
      <c r="I2834" s="2">
        <v>86222</v>
      </c>
      <c r="J2834" s="2"/>
      <c r="K2834" s="2"/>
      <c r="L2834" s="2"/>
      <c r="M2834" s="2"/>
      <c r="N2834" s="2"/>
      <c r="O2834" s="2">
        <v>131750861</v>
      </c>
      <c r="P2834" s="2" t="s">
        <v>18878</v>
      </c>
      <c r="Q2834" s="2" t="s">
        <v>18879</v>
      </c>
      <c r="R2834" s="2" t="s">
        <v>18880</v>
      </c>
      <c r="S2834" s="2" t="s">
        <v>39</v>
      </c>
      <c r="T2834" s="2" t="s">
        <v>18881</v>
      </c>
      <c r="U2834" s="2" t="s">
        <v>41</v>
      </c>
      <c r="V2834" s="2" t="s">
        <v>59</v>
      </c>
      <c r="W2834" s="2">
        <v>37.9</v>
      </c>
      <c r="X2834" s="2">
        <v>0</v>
      </c>
      <c r="Y2834" s="2" t="s">
        <v>408</v>
      </c>
      <c r="Z2834" s="2" t="s">
        <v>18882</v>
      </c>
      <c r="AA2834" s="2">
        <v>-0.30086990434746202</v>
      </c>
      <c r="AB2834" s="2">
        <v>0.28464957570617999</v>
      </c>
      <c r="AC2834" s="2">
        <v>45007.304600128002</v>
      </c>
      <c r="AD2834" s="2">
        <v>37574.434444457896</v>
      </c>
      <c r="AE2834" s="2">
        <v>48557.109856847397</v>
      </c>
      <c r="AF2834" s="2">
        <v>44197.627887983901</v>
      </c>
      <c r="AG2834" s="2">
        <v>43662.955997532699</v>
      </c>
      <c r="AH2834" s="2">
        <v>42552.663944924898</v>
      </c>
      <c r="AI2834" s="2">
        <v>41201.916359006602</v>
      </c>
      <c r="AJ2834" s="2">
        <v>49871.553554472302</v>
      </c>
      <c r="AK2834" s="2">
        <v>28982.1521380138</v>
      </c>
      <c r="AL2834" s="2">
        <v>41937.5120017644</v>
      </c>
      <c r="AM2834" s="2">
        <v>40314.189678389703</v>
      </c>
      <c r="AN2834" s="2">
        <v>37367.642774021399</v>
      </c>
      <c r="AO2834" s="2">
        <v>37591.114440787002</v>
      </c>
      <c r="AP2834" s="2">
        <v>39253.995633771199</v>
      </c>
    </row>
    <row r="2835" spans="1:42" ht="14.5" x14ac:dyDescent="0.35">
      <c r="A2835" s="2" t="s">
        <v>18883</v>
      </c>
      <c r="B2835" s="2">
        <v>405.11572290388398</v>
      </c>
      <c r="C2835" s="2">
        <v>4.5143500000000003</v>
      </c>
      <c r="D2835" s="2" t="s">
        <v>34</v>
      </c>
      <c r="E2835" s="2" t="s">
        <v>18884</v>
      </c>
      <c r="F2835" s="2">
        <v>207891</v>
      </c>
      <c r="G2835" s="3" t="str">
        <f>HYPERLINK("http://funmeta.oebiotech.com/network/207891", "http://funmeta.oebiotech.com/network/207891")</f>
        <v>http://funmeta.oebiotech.com/network/207891</v>
      </c>
      <c r="H2835" s="2" t="s">
        <v>18885</v>
      </c>
      <c r="I2835" s="2"/>
      <c r="J2835" s="2"/>
      <c r="K2835" s="2"/>
      <c r="L2835" s="2"/>
      <c r="M2835" s="2"/>
      <c r="N2835" s="2"/>
      <c r="O2835" s="2">
        <v>24994854</v>
      </c>
      <c r="P2835" s="2"/>
      <c r="Q2835" s="2" t="s">
        <v>18886</v>
      </c>
      <c r="R2835" s="2" t="s">
        <v>18887</v>
      </c>
      <c r="S2835" s="2" t="s">
        <v>79</v>
      </c>
      <c r="T2835" s="2" t="s">
        <v>80</v>
      </c>
      <c r="U2835" s="2" t="s">
        <v>81</v>
      </c>
      <c r="V2835" s="2" t="s">
        <v>59</v>
      </c>
      <c r="W2835" s="2">
        <v>37.4</v>
      </c>
      <c r="X2835" s="2">
        <v>0</v>
      </c>
      <c r="Y2835" s="2" t="s">
        <v>266</v>
      </c>
      <c r="Z2835" s="2" t="s">
        <v>18888</v>
      </c>
      <c r="AA2835" s="2">
        <v>-2.2927441142510001</v>
      </c>
      <c r="AB2835" s="2">
        <v>0.284531391886712</v>
      </c>
      <c r="AC2835" s="2">
        <v>23977.023064143399</v>
      </c>
      <c r="AD2835" s="2">
        <v>18403.6902399969</v>
      </c>
      <c r="AE2835" s="2">
        <v>25006.968019277901</v>
      </c>
      <c r="AF2835" s="2">
        <v>24714.594999558201</v>
      </c>
      <c r="AG2835" s="2">
        <v>23991.159737853301</v>
      </c>
      <c r="AH2835" s="2">
        <v>23741.813791535998</v>
      </c>
      <c r="AI2835" s="2">
        <v>24403.485797886002</v>
      </c>
      <c r="AJ2835" s="2">
        <v>22004.1160387487</v>
      </c>
      <c r="AK2835" s="2">
        <v>19048.0485686102</v>
      </c>
      <c r="AL2835" s="2">
        <v>19226.498917262499</v>
      </c>
      <c r="AM2835" s="2">
        <v>18708.467852108199</v>
      </c>
      <c r="AN2835" s="2">
        <v>16828.986263792998</v>
      </c>
      <c r="AO2835" s="2">
        <v>17851.184676356701</v>
      </c>
      <c r="AP2835" s="2">
        <v>18758.955161851001</v>
      </c>
    </row>
    <row r="2836" spans="1:42" ht="14.5" x14ac:dyDescent="0.35">
      <c r="A2836" s="2" t="s">
        <v>18889</v>
      </c>
      <c r="B2836" s="2">
        <v>319.22756333907199</v>
      </c>
      <c r="C2836" s="2">
        <v>11.0721333333333</v>
      </c>
      <c r="D2836" s="2" t="s">
        <v>70</v>
      </c>
      <c r="E2836" s="2" t="s">
        <v>18890</v>
      </c>
      <c r="F2836" s="2">
        <v>44896</v>
      </c>
      <c r="G2836" s="3" t="str">
        <f>HYPERLINK("http://funmeta.oebiotech.com/network/44896", "http://funmeta.oebiotech.com/network/44896")</f>
        <v>http://funmeta.oebiotech.com/network/44896</v>
      </c>
      <c r="H2836" s="2" t="s">
        <v>18891</v>
      </c>
      <c r="I2836" s="2"/>
      <c r="J2836" s="2" t="s">
        <v>18892</v>
      </c>
      <c r="K2836" s="2">
        <v>40933</v>
      </c>
      <c r="L2836" s="2"/>
      <c r="M2836" s="2"/>
      <c r="N2836" s="2"/>
      <c r="O2836" s="2">
        <v>101989</v>
      </c>
      <c r="P2836" s="2" t="s">
        <v>18893</v>
      </c>
      <c r="Q2836" s="2" t="s">
        <v>18894</v>
      </c>
      <c r="R2836" s="2" t="s">
        <v>18895</v>
      </c>
      <c r="S2836" s="2" t="s">
        <v>50</v>
      </c>
      <c r="T2836" s="2" t="s">
        <v>124</v>
      </c>
      <c r="U2836" s="2" t="s">
        <v>2373</v>
      </c>
      <c r="V2836" s="2" t="s">
        <v>59</v>
      </c>
      <c r="W2836" s="2">
        <v>42.7</v>
      </c>
      <c r="X2836" s="2">
        <v>18.3</v>
      </c>
      <c r="Y2836" s="2" t="s">
        <v>408</v>
      </c>
      <c r="Z2836" s="2" t="s">
        <v>18896</v>
      </c>
      <c r="AA2836" s="2">
        <v>-1.11261700049606</v>
      </c>
      <c r="AB2836" s="2">
        <v>0.28450711936316703</v>
      </c>
      <c r="AC2836" s="2">
        <v>7457.3635583953001</v>
      </c>
      <c r="AD2836" s="2">
        <v>2121.3963761253899</v>
      </c>
      <c r="AE2836" s="2">
        <v>7460.7766113368998</v>
      </c>
      <c r="AF2836" s="2">
        <v>7133.6808831244298</v>
      </c>
      <c r="AG2836" s="2">
        <v>7290.3818083725801</v>
      </c>
      <c r="AH2836" s="2">
        <v>8191.7528043140101</v>
      </c>
      <c r="AI2836" s="2">
        <v>7318.0099302766503</v>
      </c>
      <c r="AJ2836" s="2">
        <v>7349.5793129472404</v>
      </c>
      <c r="AK2836" s="2">
        <v>1941.73856622011</v>
      </c>
      <c r="AL2836" s="2">
        <v>2334.1557282625399</v>
      </c>
      <c r="AM2836" s="2">
        <v>2014.0655068262499</v>
      </c>
      <c r="AN2836" s="2">
        <v>2113.0300267655098</v>
      </c>
      <c r="AO2836" s="2">
        <v>2226.9408368754498</v>
      </c>
      <c r="AP2836" s="2">
        <v>2098.4475918025</v>
      </c>
    </row>
    <row r="2837" spans="1:42" ht="14.5" x14ac:dyDescent="0.35">
      <c r="A2837" s="2" t="s">
        <v>18897</v>
      </c>
      <c r="B2837" s="2">
        <v>457.19875047769199</v>
      </c>
      <c r="C2837" s="2">
        <v>10.341383333333299</v>
      </c>
      <c r="D2837" s="2" t="s">
        <v>34</v>
      </c>
      <c r="E2837" s="2" t="s">
        <v>18898</v>
      </c>
      <c r="F2837" s="2">
        <v>210355</v>
      </c>
      <c r="G2837" s="3" t="str">
        <f>HYPERLINK("http://funmeta.oebiotech.com/network/210355", "http://funmeta.oebiotech.com/network/210355")</f>
        <v>http://funmeta.oebiotech.com/network/210355</v>
      </c>
      <c r="H2837" s="2" t="s">
        <v>18899</v>
      </c>
      <c r="I2837" s="2"/>
      <c r="J2837" s="2"/>
      <c r="K2837" s="2"/>
      <c r="L2837" s="2"/>
      <c r="M2837" s="2"/>
      <c r="N2837" s="2"/>
      <c r="O2837" s="2">
        <v>101522</v>
      </c>
      <c r="P2837" s="2"/>
      <c r="Q2837" s="2" t="s">
        <v>18900</v>
      </c>
      <c r="R2837" s="2" t="s">
        <v>18901</v>
      </c>
      <c r="S2837" s="2" t="s">
        <v>1184</v>
      </c>
      <c r="T2837" s="2" t="s">
        <v>4551</v>
      </c>
      <c r="U2837" s="2" t="s">
        <v>41</v>
      </c>
      <c r="V2837" s="2" t="s">
        <v>59</v>
      </c>
      <c r="W2837" s="2">
        <v>39.200000000000003</v>
      </c>
      <c r="X2837" s="2">
        <v>0</v>
      </c>
      <c r="Y2837" s="2" t="s">
        <v>340</v>
      </c>
      <c r="Z2837" s="2" t="s">
        <v>8927</v>
      </c>
      <c r="AA2837" s="2">
        <v>0.12813342507174499</v>
      </c>
      <c r="AB2837" s="2">
        <v>0.284309860909292</v>
      </c>
      <c r="AC2837" s="2">
        <v>6667.6524080608497</v>
      </c>
      <c r="AD2837" s="2">
        <v>12374.8937096389</v>
      </c>
      <c r="AE2837" s="2">
        <v>6138.8632007883398</v>
      </c>
      <c r="AF2837" s="2">
        <v>8179.0967964513002</v>
      </c>
      <c r="AG2837" s="2">
        <v>6639.4631391385901</v>
      </c>
      <c r="AH2837" s="2">
        <v>7032.2861513681901</v>
      </c>
      <c r="AI2837" s="2">
        <v>6097.1655863402402</v>
      </c>
      <c r="AJ2837" s="2">
        <v>5919.0395742784503</v>
      </c>
      <c r="AK2837" s="2">
        <v>11873.7629931025</v>
      </c>
      <c r="AL2837" s="2">
        <v>10218.946840361001</v>
      </c>
      <c r="AM2837" s="2">
        <v>11967.1946687776</v>
      </c>
      <c r="AN2837" s="2">
        <v>13418.701290495799</v>
      </c>
      <c r="AO2837" s="2">
        <v>14785.4309189999</v>
      </c>
      <c r="AP2837" s="2">
        <v>11985.325546096899</v>
      </c>
    </row>
    <row r="2838" spans="1:42" ht="14.5" x14ac:dyDescent="0.35">
      <c r="A2838" s="2" t="s">
        <v>18902</v>
      </c>
      <c r="B2838" s="2">
        <v>275.07578351125699</v>
      </c>
      <c r="C2838" s="2">
        <v>3.7887</v>
      </c>
      <c r="D2838" s="2" t="s">
        <v>34</v>
      </c>
      <c r="E2838" s="2" t="s">
        <v>18903</v>
      </c>
      <c r="F2838" s="2">
        <v>201462</v>
      </c>
      <c r="G2838" s="3" t="str">
        <f>HYPERLINK("http://funmeta.oebiotech.com/network/201462", "http://funmeta.oebiotech.com/network/201462")</f>
        <v>http://funmeta.oebiotech.com/network/201462</v>
      </c>
      <c r="H2838" s="2" t="s">
        <v>18904</v>
      </c>
      <c r="I2838" s="2"/>
      <c r="J2838" s="2"/>
      <c r="K2838" s="2"/>
      <c r="L2838" s="2"/>
      <c r="M2838" s="2"/>
      <c r="N2838" s="2"/>
      <c r="O2838" s="2">
        <v>13989619</v>
      </c>
      <c r="P2838" s="2"/>
      <c r="Q2838" s="2" t="s">
        <v>18905</v>
      </c>
      <c r="R2838" s="2" t="s">
        <v>18906</v>
      </c>
      <c r="S2838" s="2" t="s">
        <v>1444</v>
      </c>
      <c r="T2838" s="2" t="s">
        <v>3595</v>
      </c>
      <c r="U2838" s="2" t="s">
        <v>18907</v>
      </c>
      <c r="V2838" s="2" t="s">
        <v>59</v>
      </c>
      <c r="W2838" s="2">
        <v>41.3</v>
      </c>
      <c r="X2838" s="2">
        <v>16.100000000000001</v>
      </c>
      <c r="Y2838" s="2" t="s">
        <v>323</v>
      </c>
      <c r="Z2838" s="2" t="s">
        <v>18908</v>
      </c>
      <c r="AA2838" s="2">
        <v>2.8083645456919801</v>
      </c>
      <c r="AB2838" s="2">
        <v>0.284291154796256</v>
      </c>
      <c r="AC2838" s="2">
        <v>7698.0287686287802</v>
      </c>
      <c r="AD2838" s="2">
        <v>2375.82531907676</v>
      </c>
      <c r="AE2838" s="2">
        <v>7651.4294843691296</v>
      </c>
      <c r="AF2838" s="2">
        <v>7831.5310141312502</v>
      </c>
      <c r="AG2838" s="2">
        <v>7354.40608922718</v>
      </c>
      <c r="AH2838" s="2">
        <v>7829.1175492983903</v>
      </c>
      <c r="AI2838" s="2">
        <v>7719.1405388998101</v>
      </c>
      <c r="AJ2838" s="2">
        <v>7802.5479358469502</v>
      </c>
      <c r="AK2838" s="2">
        <v>2532.1730150703202</v>
      </c>
      <c r="AL2838" s="2">
        <v>2201.0816348431199</v>
      </c>
      <c r="AM2838" s="2">
        <v>2825.8629382315298</v>
      </c>
      <c r="AN2838" s="2">
        <v>2159.7685098462198</v>
      </c>
      <c r="AO2838" s="2">
        <v>2084.8772964930399</v>
      </c>
      <c r="AP2838" s="2">
        <v>2451.1885199763301</v>
      </c>
    </row>
    <row r="2839" spans="1:42" ht="14.5" x14ac:dyDescent="0.35">
      <c r="A2839" s="2" t="s">
        <v>18909</v>
      </c>
      <c r="B2839" s="2">
        <v>577.30048611408404</v>
      </c>
      <c r="C2839" s="2">
        <v>5.8226333333333304</v>
      </c>
      <c r="D2839" s="2" t="s">
        <v>70</v>
      </c>
      <c r="E2839" s="2" t="s">
        <v>18910</v>
      </c>
      <c r="F2839" s="2">
        <v>202401</v>
      </c>
      <c r="G2839" s="3" t="str">
        <f>HYPERLINK("http://funmeta.oebiotech.com/network/202401", "http://funmeta.oebiotech.com/network/202401")</f>
        <v>http://funmeta.oebiotech.com/network/202401</v>
      </c>
      <c r="H2839" s="2" t="s">
        <v>18911</v>
      </c>
      <c r="I2839" s="2">
        <v>2460</v>
      </c>
      <c r="J2839" s="2"/>
      <c r="K2839" s="2"/>
      <c r="L2839" s="2"/>
      <c r="M2839" s="2"/>
      <c r="N2839" s="2"/>
      <c r="O2839" s="2">
        <v>616267</v>
      </c>
      <c r="P2839" s="2" t="s">
        <v>18912</v>
      </c>
      <c r="Q2839" s="2" t="s">
        <v>18913</v>
      </c>
      <c r="R2839" s="2" t="s">
        <v>18914</v>
      </c>
      <c r="S2839" s="2" t="s">
        <v>491</v>
      </c>
      <c r="T2839" s="2" t="s">
        <v>5190</v>
      </c>
      <c r="U2839" s="2" t="s">
        <v>5191</v>
      </c>
      <c r="V2839" s="2" t="s">
        <v>59</v>
      </c>
      <c r="W2839" s="2">
        <v>38.5</v>
      </c>
      <c r="X2839" s="2">
        <v>0</v>
      </c>
      <c r="Y2839" s="2" t="s">
        <v>560</v>
      </c>
      <c r="Z2839" s="2" t="s">
        <v>18915</v>
      </c>
      <c r="AA2839" s="2">
        <v>2.2135592242546E-2</v>
      </c>
      <c r="AB2839" s="2">
        <v>0.28404562110535903</v>
      </c>
      <c r="AC2839" s="2">
        <v>4855.0834449935001</v>
      </c>
      <c r="AD2839" s="2">
        <v>10405.3490957711</v>
      </c>
      <c r="AE2839" s="2">
        <v>5167.5621277386499</v>
      </c>
      <c r="AF2839" s="2">
        <v>4889.8288279483504</v>
      </c>
      <c r="AG2839" s="2">
        <v>4632.0701603594298</v>
      </c>
      <c r="AH2839" s="2">
        <v>5579.12139660296</v>
      </c>
      <c r="AI2839" s="2">
        <v>5129.8895397368797</v>
      </c>
      <c r="AJ2839" s="2">
        <v>3732.0286175747301</v>
      </c>
      <c r="AK2839" s="2">
        <v>10648.775023136601</v>
      </c>
      <c r="AL2839" s="2">
        <v>10662.588315408</v>
      </c>
      <c r="AM2839" s="2">
        <v>11992.9075925175</v>
      </c>
      <c r="AN2839" s="2">
        <v>9639.0762305646003</v>
      </c>
      <c r="AO2839" s="2">
        <v>11015.947815781899</v>
      </c>
      <c r="AP2839" s="2">
        <v>8472.7995972180597</v>
      </c>
    </row>
    <row r="2840" spans="1:42" ht="14.5" x14ac:dyDescent="0.35">
      <c r="A2840" s="2" t="s">
        <v>18916</v>
      </c>
      <c r="B2840" s="2">
        <v>379.28377065045402</v>
      </c>
      <c r="C2840" s="2">
        <v>10.60355</v>
      </c>
      <c r="D2840" s="2" t="s">
        <v>34</v>
      </c>
      <c r="E2840" s="2" t="s">
        <v>18917</v>
      </c>
      <c r="F2840" s="2">
        <v>51368</v>
      </c>
      <c r="G2840" s="3" t="str">
        <f>HYPERLINK("http://funmeta.oebiotech.com/network/51368", "http://funmeta.oebiotech.com/network/51368")</f>
        <v>http://funmeta.oebiotech.com/network/51368</v>
      </c>
      <c r="H2840" s="2" t="s">
        <v>18918</v>
      </c>
      <c r="I2840" s="2">
        <v>62332</v>
      </c>
      <c r="J2840" s="2"/>
      <c r="K2840" s="2"/>
      <c r="L2840" s="2"/>
      <c r="M2840" s="2"/>
      <c r="N2840" s="2"/>
      <c r="O2840" s="2">
        <v>44422842</v>
      </c>
      <c r="P2840" s="2"/>
      <c r="Q2840" s="2" t="s">
        <v>18919</v>
      </c>
      <c r="R2840" s="2" t="s">
        <v>18920</v>
      </c>
      <c r="S2840" s="2" t="s">
        <v>50</v>
      </c>
      <c r="T2840" s="2" t="s">
        <v>18921</v>
      </c>
      <c r="U2840" s="2" t="s">
        <v>41</v>
      </c>
      <c r="V2840" s="2" t="s">
        <v>42</v>
      </c>
      <c r="W2840" s="2">
        <v>53.4</v>
      </c>
      <c r="X2840" s="2">
        <v>76.400000000000006</v>
      </c>
      <c r="Y2840" s="2" t="s">
        <v>394</v>
      </c>
      <c r="Z2840" s="2" t="s">
        <v>18202</v>
      </c>
      <c r="AA2840" s="2">
        <v>-1.3627009653636799</v>
      </c>
      <c r="AB2840" s="2">
        <v>0.28403064285324098</v>
      </c>
      <c r="AC2840" s="2">
        <v>14680.0810178784</v>
      </c>
      <c r="AD2840" s="2">
        <v>9201.6263386847695</v>
      </c>
      <c r="AE2840" s="2">
        <v>14290.498098501601</v>
      </c>
      <c r="AF2840" s="2">
        <v>15429.2169645556</v>
      </c>
      <c r="AG2840" s="2">
        <v>15758.0158916447</v>
      </c>
      <c r="AH2840" s="2">
        <v>12914.2243168635</v>
      </c>
      <c r="AI2840" s="2">
        <v>14367.004687594799</v>
      </c>
      <c r="AJ2840" s="2">
        <v>15321.526148110101</v>
      </c>
      <c r="AK2840" s="2">
        <v>9774.1034237534004</v>
      </c>
      <c r="AL2840" s="2">
        <v>8583.3083795422099</v>
      </c>
      <c r="AM2840" s="2">
        <v>8870.5459112767294</v>
      </c>
      <c r="AN2840" s="2">
        <v>9432.6833819302592</v>
      </c>
      <c r="AO2840" s="2">
        <v>9651.8107903642704</v>
      </c>
      <c r="AP2840" s="2">
        <v>8897.3061452417296</v>
      </c>
    </row>
    <row r="2841" spans="1:42" ht="14.5" x14ac:dyDescent="0.35">
      <c r="A2841" s="2" t="s">
        <v>18922</v>
      </c>
      <c r="B2841" s="2">
        <v>443.315398600538</v>
      </c>
      <c r="C2841" s="2">
        <v>5.8651</v>
      </c>
      <c r="D2841" s="2" t="s">
        <v>34</v>
      </c>
      <c r="E2841" s="2" t="s">
        <v>18923</v>
      </c>
      <c r="F2841" s="2">
        <v>44131</v>
      </c>
      <c r="G2841" s="3" t="str">
        <f>HYPERLINK("http://funmeta.oebiotech.com/network/44131", "http://funmeta.oebiotech.com/network/44131")</f>
        <v>http://funmeta.oebiotech.com/network/44131</v>
      </c>
      <c r="H2841" s="2"/>
      <c r="I2841" s="2"/>
      <c r="J2841" s="2" t="s">
        <v>18924</v>
      </c>
      <c r="K2841" s="2"/>
      <c r="L2841" s="2"/>
      <c r="M2841" s="2"/>
      <c r="N2841" s="2"/>
      <c r="O2841" s="2"/>
      <c r="P2841" s="2"/>
      <c r="Q2841" s="2" t="s">
        <v>18925</v>
      </c>
      <c r="R2841" s="2" t="s">
        <v>18926</v>
      </c>
      <c r="S2841" s="2" t="s">
        <v>50</v>
      </c>
      <c r="T2841" s="2" t="s">
        <v>124</v>
      </c>
      <c r="U2841" s="2" t="s">
        <v>723</v>
      </c>
      <c r="V2841" s="2" t="s">
        <v>42</v>
      </c>
      <c r="W2841" s="2">
        <v>54.7</v>
      </c>
      <c r="X2841" s="2">
        <v>82</v>
      </c>
      <c r="Y2841" s="2" t="s">
        <v>266</v>
      </c>
      <c r="Z2841" s="2" t="s">
        <v>16174</v>
      </c>
      <c r="AA2841" s="2">
        <v>-0.40767031831934802</v>
      </c>
      <c r="AB2841" s="2">
        <v>0.28400696160290301</v>
      </c>
      <c r="AC2841" s="2">
        <v>50369.503825292399</v>
      </c>
      <c r="AD2841" s="2">
        <v>56244.152147248897</v>
      </c>
      <c r="AE2841" s="2">
        <v>50352.172468333898</v>
      </c>
      <c r="AF2841" s="2">
        <v>53004.884304589599</v>
      </c>
      <c r="AG2841" s="2">
        <v>49963.418110752697</v>
      </c>
      <c r="AH2841" s="2">
        <v>48779.546353187798</v>
      </c>
      <c r="AI2841" s="2">
        <v>49804.637118486702</v>
      </c>
      <c r="AJ2841" s="2">
        <v>50312.364596403902</v>
      </c>
      <c r="AK2841" s="2">
        <v>55611.693329368303</v>
      </c>
      <c r="AL2841" s="2">
        <v>59120.576237818503</v>
      </c>
      <c r="AM2841" s="2">
        <v>55754.611701834197</v>
      </c>
      <c r="AN2841" s="2">
        <v>54878.907998094903</v>
      </c>
      <c r="AO2841" s="2">
        <v>55146.306738531901</v>
      </c>
      <c r="AP2841" s="2">
        <v>56952.816877845697</v>
      </c>
    </row>
    <row r="2842" spans="1:42" ht="14.5" x14ac:dyDescent="0.35">
      <c r="A2842" s="2" t="s">
        <v>18927</v>
      </c>
      <c r="B2842" s="2">
        <v>293.09145100253198</v>
      </c>
      <c r="C2842" s="2">
        <v>4.0355999999999996</v>
      </c>
      <c r="D2842" s="2" t="s">
        <v>34</v>
      </c>
      <c r="E2842" s="2" t="s">
        <v>18928</v>
      </c>
      <c r="F2842" s="2">
        <v>206691</v>
      </c>
      <c r="G2842" s="3" t="str">
        <f>HYPERLINK("http://funmeta.oebiotech.com/network/206691", "http://funmeta.oebiotech.com/network/206691")</f>
        <v>http://funmeta.oebiotech.com/network/206691</v>
      </c>
      <c r="H2842" s="2" t="s">
        <v>18929</v>
      </c>
      <c r="I2842" s="2"/>
      <c r="J2842" s="2"/>
      <c r="K2842" s="2"/>
      <c r="L2842" s="2"/>
      <c r="M2842" s="2"/>
      <c r="N2842" s="2"/>
      <c r="O2842" s="2">
        <v>124956</v>
      </c>
      <c r="P2842" s="2"/>
      <c r="Q2842" s="2" t="s">
        <v>18930</v>
      </c>
      <c r="R2842" s="2" t="s">
        <v>18931</v>
      </c>
      <c r="S2842" s="2" t="s">
        <v>491</v>
      </c>
      <c r="T2842" s="2" t="s">
        <v>4517</v>
      </c>
      <c r="U2842" s="2" t="s">
        <v>4518</v>
      </c>
      <c r="V2842" s="2" t="s">
        <v>59</v>
      </c>
      <c r="W2842" s="2">
        <v>38.4</v>
      </c>
      <c r="X2842" s="2">
        <v>0</v>
      </c>
      <c r="Y2842" s="2" t="s">
        <v>323</v>
      </c>
      <c r="Z2842" s="2" t="s">
        <v>18932</v>
      </c>
      <c r="AA2842" s="2">
        <v>2.38848521265303</v>
      </c>
      <c r="AB2842" s="2">
        <v>0.28366242092049898</v>
      </c>
      <c r="AC2842" s="2">
        <v>86396.7897719022</v>
      </c>
      <c r="AD2842" s="2">
        <v>78393.929846525905</v>
      </c>
      <c r="AE2842" s="2">
        <v>79433.061851811799</v>
      </c>
      <c r="AF2842" s="2">
        <v>77630.462597527905</v>
      </c>
      <c r="AG2842" s="2">
        <v>92398.085350489506</v>
      </c>
      <c r="AH2842" s="2">
        <v>89942.877707471795</v>
      </c>
      <c r="AI2842" s="2">
        <v>90933.790068845701</v>
      </c>
      <c r="AJ2842" s="2">
        <v>88042.461055266307</v>
      </c>
      <c r="AK2842" s="2">
        <v>75468.570737446906</v>
      </c>
      <c r="AL2842" s="2">
        <v>82565.434360012005</v>
      </c>
      <c r="AM2842" s="2">
        <v>81322.529656718601</v>
      </c>
      <c r="AN2842" s="2">
        <v>75886.857846159604</v>
      </c>
      <c r="AO2842" s="2">
        <v>78704.932932627999</v>
      </c>
      <c r="AP2842" s="2">
        <v>76415.253546190506</v>
      </c>
    </row>
    <row r="2843" spans="1:42" ht="14.5" x14ac:dyDescent="0.35">
      <c r="A2843" s="2" t="s">
        <v>18933</v>
      </c>
      <c r="B2843" s="2">
        <v>727.28027420448996</v>
      </c>
      <c r="C2843" s="2">
        <v>5.4873666666666701</v>
      </c>
      <c r="D2843" s="2" t="s">
        <v>70</v>
      </c>
      <c r="E2843" s="2" t="s">
        <v>18934</v>
      </c>
      <c r="F2843" s="2">
        <v>60246</v>
      </c>
      <c r="G2843" s="3" t="str">
        <f>HYPERLINK("http://funmeta.oebiotech.com/network/60246", "http://funmeta.oebiotech.com/network/60246")</f>
        <v>http://funmeta.oebiotech.com/network/60246</v>
      </c>
      <c r="H2843" s="2" t="s">
        <v>18935</v>
      </c>
      <c r="I2843" s="2">
        <v>91623</v>
      </c>
      <c r="J2843" s="2"/>
      <c r="K2843" s="2"/>
      <c r="L2843" s="2"/>
      <c r="M2843" s="2"/>
      <c r="N2843" s="2"/>
      <c r="O2843" s="2">
        <v>131752898</v>
      </c>
      <c r="P2843" s="2" t="s">
        <v>18936</v>
      </c>
      <c r="Q2843" s="2" t="s">
        <v>18937</v>
      </c>
      <c r="R2843" s="2" t="s">
        <v>18938</v>
      </c>
      <c r="S2843" s="2" t="s">
        <v>115</v>
      </c>
      <c r="T2843" s="2" t="s">
        <v>575</v>
      </c>
      <c r="U2843" s="2" t="s">
        <v>4232</v>
      </c>
      <c r="V2843" s="2" t="s">
        <v>59</v>
      </c>
      <c r="W2843" s="2">
        <v>42.8</v>
      </c>
      <c r="X2843" s="2">
        <v>23.9</v>
      </c>
      <c r="Y2843" s="2" t="s">
        <v>408</v>
      </c>
      <c r="Z2843" s="2" t="s">
        <v>18939</v>
      </c>
      <c r="AA2843" s="2">
        <v>-2.3442362735164601</v>
      </c>
      <c r="AB2843" s="2">
        <v>0.28364927312955701</v>
      </c>
      <c r="AC2843" s="2">
        <v>112778.018815227</v>
      </c>
      <c r="AD2843" s="2">
        <v>103788.474059984</v>
      </c>
      <c r="AE2843" s="2">
        <v>119032.954844113</v>
      </c>
      <c r="AF2843" s="2">
        <v>109505.93794292799</v>
      </c>
      <c r="AG2843" s="2">
        <v>113868.745923075</v>
      </c>
      <c r="AH2843" s="2">
        <v>109845.488960581</v>
      </c>
      <c r="AI2843" s="2">
        <v>112255.074792662</v>
      </c>
      <c r="AJ2843" s="2">
        <v>112159.91042800499</v>
      </c>
      <c r="AK2843" s="2">
        <v>95772.694616241104</v>
      </c>
      <c r="AL2843" s="2">
        <v>117117.68584622099</v>
      </c>
      <c r="AM2843" s="2">
        <v>109418.43486496199</v>
      </c>
      <c r="AN2843" s="2">
        <v>100954.846818951</v>
      </c>
      <c r="AO2843" s="2">
        <v>106549.72116972299</v>
      </c>
      <c r="AP2843" s="2">
        <v>92917.461043808202</v>
      </c>
    </row>
    <row r="2844" spans="1:42" ht="14.5" x14ac:dyDescent="0.35">
      <c r="A2844" s="2" t="s">
        <v>18940</v>
      </c>
      <c r="B2844" s="2">
        <v>183.065183468778</v>
      </c>
      <c r="C2844" s="2">
        <v>3.4003333333333301</v>
      </c>
      <c r="D2844" s="2" t="s">
        <v>34</v>
      </c>
      <c r="E2844" s="2" t="s">
        <v>18941</v>
      </c>
      <c r="F2844" s="2">
        <v>54556</v>
      </c>
      <c r="G2844" s="3" t="str">
        <f>HYPERLINK("http://funmeta.oebiotech.com/network/54556", "http://funmeta.oebiotech.com/network/54556")</f>
        <v>http://funmeta.oebiotech.com/network/54556</v>
      </c>
      <c r="H2844" s="2" t="s">
        <v>18942</v>
      </c>
      <c r="I2844" s="2">
        <v>68489</v>
      </c>
      <c r="J2844" s="2"/>
      <c r="K2844" s="2">
        <v>562351</v>
      </c>
      <c r="L2844" s="2" t="s">
        <v>18943</v>
      </c>
      <c r="M2844" s="2"/>
      <c r="N2844" s="2"/>
      <c r="O2844" s="2">
        <v>24135</v>
      </c>
      <c r="P2844" s="2" t="s">
        <v>18944</v>
      </c>
      <c r="Q2844" s="2" t="s">
        <v>18945</v>
      </c>
      <c r="R2844" s="2" t="s">
        <v>18946</v>
      </c>
      <c r="S2844" s="2" t="s">
        <v>79</v>
      </c>
      <c r="T2844" s="2" t="s">
        <v>80</v>
      </c>
      <c r="U2844" s="2" t="s">
        <v>2820</v>
      </c>
      <c r="V2844" s="2" t="s">
        <v>59</v>
      </c>
      <c r="W2844" s="2">
        <v>47.9</v>
      </c>
      <c r="X2844" s="2">
        <v>41.8</v>
      </c>
      <c r="Y2844" s="2" t="s">
        <v>266</v>
      </c>
      <c r="Z2844" s="2" t="s">
        <v>18947</v>
      </c>
      <c r="AA2844" s="2">
        <v>-9.6791291636511793E-3</v>
      </c>
      <c r="AB2844" s="2">
        <v>0.28363013043397101</v>
      </c>
      <c r="AC2844" s="2">
        <v>101673.34626855599</v>
      </c>
      <c r="AD2844" s="2">
        <v>95209.207865277</v>
      </c>
      <c r="AE2844" s="2">
        <v>101269.78868917</v>
      </c>
      <c r="AF2844" s="2">
        <v>100428.51093314801</v>
      </c>
      <c r="AG2844" s="2">
        <v>103108.630932197</v>
      </c>
      <c r="AH2844" s="2">
        <v>102026.76615038799</v>
      </c>
      <c r="AI2844" s="2">
        <v>97996.017967299296</v>
      </c>
      <c r="AJ2844" s="2">
        <v>105210.362939131</v>
      </c>
      <c r="AK2844" s="2">
        <v>96811.857260846402</v>
      </c>
      <c r="AL2844" s="2">
        <v>92760.6037693041</v>
      </c>
      <c r="AM2844" s="2">
        <v>98987.670235150101</v>
      </c>
      <c r="AN2844" s="2">
        <v>94194.415854671694</v>
      </c>
      <c r="AO2844" s="2">
        <v>92112.136638416807</v>
      </c>
      <c r="AP2844" s="2">
        <v>96388.563433272997</v>
      </c>
    </row>
    <row r="2845" spans="1:42" ht="14.5" x14ac:dyDescent="0.35">
      <c r="A2845" s="2" t="s">
        <v>18948</v>
      </c>
      <c r="B2845" s="2">
        <v>636.35242828017203</v>
      </c>
      <c r="C2845" s="2">
        <v>8.5262166666666701</v>
      </c>
      <c r="D2845" s="2" t="s">
        <v>34</v>
      </c>
      <c r="E2845" s="2" t="s">
        <v>18949</v>
      </c>
      <c r="F2845" s="2">
        <v>52622</v>
      </c>
      <c r="G2845" s="3" t="str">
        <f>HYPERLINK("http://funmeta.oebiotech.com/network/52622", "http://funmeta.oebiotech.com/network/52622")</f>
        <v>http://funmeta.oebiotech.com/network/52622</v>
      </c>
      <c r="H2845" s="2" t="s">
        <v>18950</v>
      </c>
      <c r="I2845" s="2">
        <v>816</v>
      </c>
      <c r="J2845" s="2"/>
      <c r="K2845" s="2">
        <v>44032</v>
      </c>
      <c r="L2845" s="2" t="s">
        <v>18951</v>
      </c>
      <c r="M2845" s="2" t="s">
        <v>4185</v>
      </c>
      <c r="N2845" s="2" t="s">
        <v>4186</v>
      </c>
      <c r="O2845" s="2">
        <v>5362440</v>
      </c>
      <c r="P2845" s="2" t="s">
        <v>18952</v>
      </c>
      <c r="Q2845" s="2" t="s">
        <v>18953</v>
      </c>
      <c r="R2845" s="2" t="s">
        <v>18954</v>
      </c>
      <c r="S2845" s="2" t="s">
        <v>89</v>
      </c>
      <c r="T2845" s="2" t="s">
        <v>90</v>
      </c>
      <c r="U2845" s="2" t="s">
        <v>99</v>
      </c>
      <c r="V2845" s="2" t="s">
        <v>42</v>
      </c>
      <c r="W2845" s="2">
        <v>51.5</v>
      </c>
      <c r="X2845" s="2">
        <v>61.2</v>
      </c>
      <c r="Y2845" s="2" t="s">
        <v>323</v>
      </c>
      <c r="Z2845" s="2" t="s">
        <v>18955</v>
      </c>
      <c r="AA2845" s="2">
        <v>0.65636624677984901</v>
      </c>
      <c r="AB2845" s="2">
        <v>0.28330623045327002</v>
      </c>
      <c r="AC2845" s="2">
        <v>316015.01537735702</v>
      </c>
      <c r="AD2845" s="2">
        <v>330657.40003015799</v>
      </c>
      <c r="AE2845" s="2">
        <v>293436.13430133602</v>
      </c>
      <c r="AF2845" s="2">
        <v>295084.31245288998</v>
      </c>
      <c r="AG2845" s="2">
        <v>345023.29984527902</v>
      </c>
      <c r="AH2845" s="2">
        <v>293351.14225956099</v>
      </c>
      <c r="AI2845" s="2">
        <v>314057.10688923002</v>
      </c>
      <c r="AJ2845" s="2">
        <v>355138.096515849</v>
      </c>
      <c r="AK2845" s="2">
        <v>324220.60691671702</v>
      </c>
      <c r="AL2845" s="2">
        <v>343893.06699901097</v>
      </c>
      <c r="AM2845" s="2">
        <v>325260.62707660103</v>
      </c>
      <c r="AN2845" s="2">
        <v>337311.60648129898</v>
      </c>
      <c r="AO2845" s="2">
        <v>335157.62721574103</v>
      </c>
      <c r="AP2845" s="2">
        <v>318100.86549157603</v>
      </c>
    </row>
    <row r="2846" spans="1:42" ht="14.5" x14ac:dyDescent="0.35">
      <c r="A2846" s="2" t="s">
        <v>18956</v>
      </c>
      <c r="B2846" s="2">
        <v>541.29379429584299</v>
      </c>
      <c r="C2846" s="2">
        <v>6.8767666666666702</v>
      </c>
      <c r="D2846" s="2" t="s">
        <v>70</v>
      </c>
      <c r="E2846" s="2" t="s">
        <v>18957</v>
      </c>
      <c r="F2846" s="2">
        <v>23679</v>
      </c>
      <c r="G2846" s="3" t="str">
        <f>HYPERLINK("http://funmeta.oebiotech.com/network/23679", "http://funmeta.oebiotech.com/network/23679")</f>
        <v>http://funmeta.oebiotech.com/network/23679</v>
      </c>
      <c r="H2846" s="2"/>
      <c r="I2846" s="2">
        <v>80005</v>
      </c>
      <c r="J2846" s="2" t="s">
        <v>18958</v>
      </c>
      <c r="K2846" s="2"/>
      <c r="L2846" s="2"/>
      <c r="M2846" s="2"/>
      <c r="N2846" s="2"/>
      <c r="O2846" s="2">
        <v>52927440</v>
      </c>
      <c r="P2846" s="2"/>
      <c r="Q2846" s="2" t="s">
        <v>18959</v>
      </c>
      <c r="R2846" s="2" t="s">
        <v>18960</v>
      </c>
      <c r="S2846" s="2" t="s">
        <v>50</v>
      </c>
      <c r="T2846" s="2" t="s">
        <v>51</v>
      </c>
      <c r="U2846" s="2" t="s">
        <v>738</v>
      </c>
      <c r="V2846" s="2" t="s">
        <v>59</v>
      </c>
      <c r="W2846" s="2">
        <v>37.799999999999997</v>
      </c>
      <c r="X2846" s="2">
        <v>0</v>
      </c>
      <c r="Y2846" s="2" t="s">
        <v>751</v>
      </c>
      <c r="Z2846" s="2" t="s">
        <v>18961</v>
      </c>
      <c r="AA2846" s="2">
        <v>0.38485450362451301</v>
      </c>
      <c r="AB2846" s="2">
        <v>0.283056342615846</v>
      </c>
      <c r="AC2846" s="2">
        <v>6276.1729524311804</v>
      </c>
      <c r="AD2846" s="2">
        <v>841.19882484791299</v>
      </c>
      <c r="AE2846" s="2">
        <v>6626.6253438395997</v>
      </c>
      <c r="AF2846" s="2">
        <v>5825.9532575263202</v>
      </c>
      <c r="AG2846" s="2">
        <v>7178.47226897574</v>
      </c>
      <c r="AH2846" s="2">
        <v>7626.7409905780296</v>
      </c>
      <c r="AI2846" s="2">
        <v>5599.1353389145497</v>
      </c>
      <c r="AJ2846" s="2">
        <v>4800.1105147528197</v>
      </c>
      <c r="AK2846" s="2">
        <v>285.90690966322097</v>
      </c>
      <c r="AL2846" s="2">
        <v>1551.2063677050501</v>
      </c>
      <c r="AM2846" s="2">
        <v>789.57612624422802</v>
      </c>
      <c r="AN2846" s="2">
        <v>1026.5579229919399</v>
      </c>
      <c r="AO2846" s="2">
        <v>706.65205172848005</v>
      </c>
      <c r="AP2846" s="2">
        <v>687.29357075455596</v>
      </c>
    </row>
    <row r="2847" spans="1:42" ht="14.5" x14ac:dyDescent="0.35">
      <c r="A2847" s="2" t="s">
        <v>18962</v>
      </c>
      <c r="B2847" s="2">
        <v>429.17620024911099</v>
      </c>
      <c r="C2847" s="2">
        <v>4.5423999999999998</v>
      </c>
      <c r="D2847" s="2" t="s">
        <v>70</v>
      </c>
      <c r="E2847" s="2" t="s">
        <v>18963</v>
      </c>
      <c r="F2847" s="2">
        <v>2952</v>
      </c>
      <c r="G2847" s="3" t="str">
        <f>HYPERLINK("http://funmeta.oebiotech.com/network/2952", "http://funmeta.oebiotech.com/network/2952")</f>
        <v>http://funmeta.oebiotech.com/network/2952</v>
      </c>
      <c r="H2847" s="2"/>
      <c r="I2847" s="2"/>
      <c r="J2847" s="2" t="s">
        <v>18964</v>
      </c>
      <c r="K2847" s="2"/>
      <c r="L2847" s="2"/>
      <c r="M2847" s="2"/>
      <c r="N2847" s="2"/>
      <c r="O2847" s="2"/>
      <c r="P2847" s="2"/>
      <c r="Q2847" s="2" t="s">
        <v>18965</v>
      </c>
      <c r="R2847" s="2" t="s">
        <v>18966</v>
      </c>
      <c r="S2847" s="2" t="s">
        <v>50</v>
      </c>
      <c r="T2847" s="2" t="s">
        <v>229</v>
      </c>
      <c r="U2847" s="2" t="s">
        <v>230</v>
      </c>
      <c r="V2847" s="2" t="s">
        <v>59</v>
      </c>
      <c r="W2847" s="2">
        <v>44.4</v>
      </c>
      <c r="X2847" s="2">
        <v>32.799999999999997</v>
      </c>
      <c r="Y2847" s="2" t="s">
        <v>792</v>
      </c>
      <c r="Z2847" s="2" t="s">
        <v>18967</v>
      </c>
      <c r="AA2847" s="2">
        <v>-0.97743451541182402</v>
      </c>
      <c r="AB2847" s="2">
        <v>0.282808175741459</v>
      </c>
      <c r="AC2847" s="2">
        <v>20004.355715429501</v>
      </c>
      <c r="AD2847" s="2">
        <v>14476.735934594801</v>
      </c>
      <c r="AE2847" s="2">
        <v>20881.2429067882</v>
      </c>
      <c r="AF2847" s="2">
        <v>19730.968518744699</v>
      </c>
      <c r="AG2847" s="2">
        <v>21862.1978766744</v>
      </c>
      <c r="AH2847" s="2">
        <v>19575.339597620601</v>
      </c>
      <c r="AI2847" s="2">
        <v>19990.907604644901</v>
      </c>
      <c r="AJ2847" s="2">
        <v>17985.477788104301</v>
      </c>
      <c r="AK2847" s="2">
        <v>13657.512902819601</v>
      </c>
      <c r="AL2847" s="2">
        <v>14795.243759134</v>
      </c>
      <c r="AM2847" s="2">
        <v>14885.444791989299</v>
      </c>
      <c r="AN2847" s="2">
        <v>14579.7399987836</v>
      </c>
      <c r="AO2847" s="2">
        <v>13828.6713728549</v>
      </c>
      <c r="AP2847" s="2">
        <v>15113.8027819873</v>
      </c>
    </row>
    <row r="2848" spans="1:42" ht="14.5" x14ac:dyDescent="0.35">
      <c r="A2848" s="2" t="s">
        <v>18968</v>
      </c>
      <c r="B2848" s="2">
        <v>1133.6161741688099</v>
      </c>
      <c r="C2848" s="2">
        <v>5.0231500000000002</v>
      </c>
      <c r="D2848" s="2" t="s">
        <v>70</v>
      </c>
      <c r="E2848" s="2" t="s">
        <v>18969</v>
      </c>
      <c r="F2848" s="2">
        <v>52618</v>
      </c>
      <c r="G2848" s="3" t="str">
        <f>HYPERLINK("http://funmeta.oebiotech.com/network/52618", "http://funmeta.oebiotech.com/network/52618")</f>
        <v>http://funmeta.oebiotech.com/network/52618</v>
      </c>
      <c r="H2848" s="2" t="s">
        <v>18970</v>
      </c>
      <c r="I2848" s="2">
        <v>66612</v>
      </c>
      <c r="J2848" s="2"/>
      <c r="K2848" s="2">
        <v>7496</v>
      </c>
      <c r="L2848" s="2" t="s">
        <v>18971</v>
      </c>
      <c r="M2848" s="2"/>
      <c r="N2848" s="2"/>
      <c r="O2848" s="2">
        <v>64143</v>
      </c>
      <c r="P2848" s="2" t="s">
        <v>18972</v>
      </c>
      <c r="Q2848" s="2" t="s">
        <v>18973</v>
      </c>
      <c r="R2848" s="2" t="s">
        <v>18974</v>
      </c>
      <c r="S2848" s="2" t="s">
        <v>89</v>
      </c>
      <c r="T2848" s="2" t="s">
        <v>90</v>
      </c>
      <c r="U2848" s="2" t="s">
        <v>99</v>
      </c>
      <c r="V2848" s="2" t="s">
        <v>59</v>
      </c>
      <c r="W2848" s="2">
        <v>36.9</v>
      </c>
      <c r="X2848" s="2">
        <v>0</v>
      </c>
      <c r="Y2848" s="2" t="s">
        <v>560</v>
      </c>
      <c r="Z2848" s="2" t="s">
        <v>18975</v>
      </c>
      <c r="AA2848" s="2">
        <v>-2.3842838022827699</v>
      </c>
      <c r="AB2848" s="2">
        <v>0.28272042633418298</v>
      </c>
      <c r="AC2848" s="2">
        <v>213408.71236233099</v>
      </c>
      <c r="AD2848" s="2">
        <v>202152.80687248299</v>
      </c>
      <c r="AE2848" s="2">
        <v>220195.27434537999</v>
      </c>
      <c r="AF2848" s="2">
        <v>217474.79811957499</v>
      </c>
      <c r="AG2848" s="2">
        <v>211237.536560576</v>
      </c>
      <c r="AH2848" s="2">
        <v>223472.54200487601</v>
      </c>
      <c r="AI2848" s="2">
        <v>217600.872530483</v>
      </c>
      <c r="AJ2848" s="2">
        <v>190471.250613098</v>
      </c>
      <c r="AK2848" s="2">
        <v>198305.96957389801</v>
      </c>
      <c r="AL2848" s="2">
        <v>214407.15986611199</v>
      </c>
      <c r="AM2848" s="2">
        <v>218154.32404975701</v>
      </c>
      <c r="AN2848" s="2">
        <v>194410.63102279301</v>
      </c>
      <c r="AO2848" s="2">
        <v>198215.24540122101</v>
      </c>
      <c r="AP2848" s="2">
        <v>189423.511321117</v>
      </c>
    </row>
    <row r="2849" spans="1:42" ht="14.5" x14ac:dyDescent="0.35">
      <c r="A2849" s="2" t="s">
        <v>18976</v>
      </c>
      <c r="B2849" s="2">
        <v>735.40163792691806</v>
      </c>
      <c r="C2849" s="2">
        <v>5.00538333333333</v>
      </c>
      <c r="D2849" s="2" t="s">
        <v>70</v>
      </c>
      <c r="E2849" s="2" t="s">
        <v>18977</v>
      </c>
      <c r="F2849" s="2">
        <v>58283</v>
      </c>
      <c r="G2849" s="3" t="str">
        <f>HYPERLINK("http://funmeta.oebiotech.com/network/58283", "http://funmeta.oebiotech.com/network/58283")</f>
        <v>http://funmeta.oebiotech.com/network/58283</v>
      </c>
      <c r="H2849" s="2" t="s">
        <v>18978</v>
      </c>
      <c r="I2849" s="2"/>
      <c r="J2849" s="2"/>
      <c r="K2849" s="2"/>
      <c r="L2849" s="2"/>
      <c r="M2849" s="2"/>
      <c r="N2849" s="2"/>
      <c r="O2849" s="2">
        <v>73157316</v>
      </c>
      <c r="P2849" s="2" t="s">
        <v>18979</v>
      </c>
      <c r="Q2849" s="2" t="s">
        <v>18980</v>
      </c>
      <c r="R2849" s="2" t="s">
        <v>18981</v>
      </c>
      <c r="S2849" s="2" t="s">
        <v>50</v>
      </c>
      <c r="T2849" s="2" t="s">
        <v>124</v>
      </c>
      <c r="U2849" s="2" t="s">
        <v>523</v>
      </c>
      <c r="V2849" s="2" t="s">
        <v>59</v>
      </c>
      <c r="W2849" s="2">
        <v>36</v>
      </c>
      <c r="X2849" s="2">
        <v>0</v>
      </c>
      <c r="Y2849" s="2" t="s">
        <v>751</v>
      </c>
      <c r="Z2849" s="2" t="s">
        <v>4344</v>
      </c>
      <c r="AA2849" s="2">
        <v>7.3200988526463897</v>
      </c>
      <c r="AB2849" s="2">
        <v>0.28268419462108202</v>
      </c>
      <c r="AC2849" s="2">
        <v>5427.5374232081404</v>
      </c>
      <c r="AD2849" s="2">
        <v>116.143768215836</v>
      </c>
      <c r="AE2849" s="2">
        <v>5164.0001320459296</v>
      </c>
      <c r="AF2849" s="2">
        <v>4848.3552927532901</v>
      </c>
      <c r="AG2849" s="2">
        <v>5407.18337542064</v>
      </c>
      <c r="AH2849" s="2">
        <v>6578.7750601247899</v>
      </c>
      <c r="AI2849" s="2">
        <v>5408.7883475032804</v>
      </c>
      <c r="AJ2849" s="2">
        <v>5158.1223314009103</v>
      </c>
      <c r="AK2849" s="2">
        <v>2.7106294003980101E-5</v>
      </c>
      <c r="AL2849" s="2">
        <v>696.86247376354402</v>
      </c>
      <c r="AM2849" s="2">
        <v>2.7106294003980101E-5</v>
      </c>
      <c r="AN2849" s="2">
        <v>2.7106294003980101E-5</v>
      </c>
      <c r="AO2849" s="2">
        <v>2.7106294003980101E-5</v>
      </c>
      <c r="AP2849" s="2">
        <v>2.7106294003980101E-5</v>
      </c>
    </row>
    <row r="2850" spans="1:42" ht="14.5" x14ac:dyDescent="0.35">
      <c r="A2850" s="2" t="s">
        <v>18982</v>
      </c>
      <c r="B2850" s="2">
        <v>380.15534901350401</v>
      </c>
      <c r="C2850" s="2">
        <v>3.3893833333333299</v>
      </c>
      <c r="D2850" s="2" t="s">
        <v>70</v>
      </c>
      <c r="E2850" s="2" t="s">
        <v>18983</v>
      </c>
      <c r="F2850" s="2">
        <v>203069</v>
      </c>
      <c r="G2850" s="3" t="str">
        <f>HYPERLINK("http://funmeta.oebiotech.com/network/203069", "http://funmeta.oebiotech.com/network/203069")</f>
        <v>http://funmeta.oebiotech.com/network/203069</v>
      </c>
      <c r="H2850" s="2" t="s">
        <v>18984</v>
      </c>
      <c r="I2850" s="2"/>
      <c r="J2850" s="2"/>
      <c r="K2850" s="2"/>
      <c r="L2850" s="2"/>
      <c r="M2850" s="2"/>
      <c r="N2850" s="2"/>
      <c r="O2850" s="2">
        <v>13118212</v>
      </c>
      <c r="P2850" s="2"/>
      <c r="Q2850" s="2" t="s">
        <v>18985</v>
      </c>
      <c r="R2850" s="2" t="s">
        <v>18986</v>
      </c>
      <c r="S2850" s="2" t="s">
        <v>79</v>
      </c>
      <c r="T2850" s="2" t="s">
        <v>80</v>
      </c>
      <c r="U2850" s="2" t="s">
        <v>81</v>
      </c>
      <c r="V2850" s="2" t="s">
        <v>59</v>
      </c>
      <c r="W2850" s="2">
        <v>40.5</v>
      </c>
      <c r="X2850" s="2">
        <v>14.3</v>
      </c>
      <c r="Y2850" s="2" t="s">
        <v>408</v>
      </c>
      <c r="Z2850" s="2" t="s">
        <v>18987</v>
      </c>
      <c r="AA2850" s="2">
        <v>-2.5976389720954298</v>
      </c>
      <c r="AB2850" s="2">
        <v>0.282682673302106</v>
      </c>
      <c r="AC2850" s="2">
        <v>13912.9560464592</v>
      </c>
      <c r="AD2850" s="2">
        <v>19755.248916177701</v>
      </c>
      <c r="AE2850" s="2">
        <v>12915.171069726999</v>
      </c>
      <c r="AF2850" s="2">
        <v>13689.1487062336</v>
      </c>
      <c r="AG2850" s="2">
        <v>12221.2611645694</v>
      </c>
      <c r="AH2850" s="2">
        <v>14838.635271224</v>
      </c>
      <c r="AI2850" s="2">
        <v>15484.0531114349</v>
      </c>
      <c r="AJ2850" s="2">
        <v>14329.4669555663</v>
      </c>
      <c r="AK2850" s="2">
        <v>17091.1079668895</v>
      </c>
      <c r="AL2850" s="2">
        <v>18350.700367142301</v>
      </c>
      <c r="AM2850" s="2">
        <v>19747.4106308437</v>
      </c>
      <c r="AN2850" s="2">
        <v>20329.858570113101</v>
      </c>
      <c r="AO2850" s="2">
        <v>20176.388913782899</v>
      </c>
      <c r="AP2850" s="2">
        <v>22836.0270482948</v>
      </c>
    </row>
    <row r="2851" spans="1:42" ht="14.5" x14ac:dyDescent="0.35">
      <c r="A2851" s="2" t="s">
        <v>18988</v>
      </c>
      <c r="B2851" s="2">
        <v>685.20892360220796</v>
      </c>
      <c r="C2851" s="2">
        <v>5.5245499999999996</v>
      </c>
      <c r="D2851" s="2" t="s">
        <v>70</v>
      </c>
      <c r="E2851" s="2" t="s">
        <v>18989</v>
      </c>
      <c r="F2851" s="2">
        <v>56404</v>
      </c>
      <c r="G2851" s="3" t="str">
        <f>HYPERLINK("http://funmeta.oebiotech.com/network/56404", "http://funmeta.oebiotech.com/network/56404")</f>
        <v>http://funmeta.oebiotech.com/network/56404</v>
      </c>
      <c r="H2851" s="2" t="s">
        <v>18990</v>
      </c>
      <c r="I2851" s="2"/>
      <c r="J2851" s="2"/>
      <c r="K2851" s="2"/>
      <c r="L2851" s="2"/>
      <c r="M2851" s="2"/>
      <c r="N2851" s="2"/>
      <c r="O2851" s="2">
        <v>10088810</v>
      </c>
      <c r="P2851" s="2" t="s">
        <v>18991</v>
      </c>
      <c r="Q2851" s="2" t="s">
        <v>18992</v>
      </c>
      <c r="R2851" s="2" t="s">
        <v>18993</v>
      </c>
      <c r="S2851" s="2" t="s">
        <v>79</v>
      </c>
      <c r="T2851" s="2" t="s">
        <v>80</v>
      </c>
      <c r="U2851" s="2" t="s">
        <v>81</v>
      </c>
      <c r="V2851" s="2" t="s">
        <v>59</v>
      </c>
      <c r="W2851" s="2">
        <v>38.1</v>
      </c>
      <c r="X2851" s="2">
        <v>0</v>
      </c>
      <c r="Y2851" s="2" t="s">
        <v>560</v>
      </c>
      <c r="Z2851" s="2" t="s">
        <v>18994</v>
      </c>
      <c r="AA2851" s="2">
        <v>-2.5017665815584098</v>
      </c>
      <c r="AB2851" s="2">
        <v>0.28259413958755802</v>
      </c>
      <c r="AC2851" s="2">
        <v>10088.4293615898</v>
      </c>
      <c r="AD2851" s="2">
        <v>4143.5055521956501</v>
      </c>
      <c r="AE2851" s="2">
        <v>9878.8490199769094</v>
      </c>
      <c r="AF2851" s="2">
        <v>10124.4675572742</v>
      </c>
      <c r="AG2851" s="2">
        <v>7461.0224942104396</v>
      </c>
      <c r="AH2851" s="2">
        <v>9766.1142180639908</v>
      </c>
      <c r="AI2851" s="2">
        <v>11648.847610897399</v>
      </c>
      <c r="AJ2851" s="2">
        <v>11651.2752691158</v>
      </c>
      <c r="AK2851" s="2">
        <v>4453.4816308954996</v>
      </c>
      <c r="AL2851" s="2">
        <v>4968.3416792150101</v>
      </c>
      <c r="AM2851" s="2">
        <v>3236.0396808783698</v>
      </c>
      <c r="AN2851" s="2">
        <v>2796.4712322370501</v>
      </c>
      <c r="AO2851" s="2">
        <v>2059.7881639499401</v>
      </c>
      <c r="AP2851" s="2">
        <v>7346.9109259980596</v>
      </c>
    </row>
    <row r="2852" spans="1:42" ht="14.5" x14ac:dyDescent="0.35">
      <c r="A2852" s="2" t="s">
        <v>18995</v>
      </c>
      <c r="B2852" s="2">
        <v>178.992669178894</v>
      </c>
      <c r="C2852" s="2">
        <v>0.87980000000000003</v>
      </c>
      <c r="D2852" s="2" t="s">
        <v>34</v>
      </c>
      <c r="E2852" s="2" t="s">
        <v>18996</v>
      </c>
      <c r="F2852" s="2">
        <v>64380</v>
      </c>
      <c r="G2852" s="3" t="str">
        <f>HYPERLINK("http://funmeta.oebiotech.com/network/64380", "http://funmeta.oebiotech.com/network/64380")</f>
        <v>http://funmeta.oebiotech.com/network/64380</v>
      </c>
      <c r="H2852" s="2" t="s">
        <v>18997</v>
      </c>
      <c r="I2852" s="2">
        <v>95695</v>
      </c>
      <c r="J2852" s="2"/>
      <c r="K2852" s="2"/>
      <c r="L2852" s="2"/>
      <c r="M2852" s="2"/>
      <c r="N2852" s="2"/>
      <c r="O2852" s="2">
        <v>61261</v>
      </c>
      <c r="P2852" s="2" t="s">
        <v>18998</v>
      </c>
      <c r="Q2852" s="2" t="s">
        <v>18999</v>
      </c>
      <c r="R2852" s="2" t="s">
        <v>19000</v>
      </c>
      <c r="S2852" s="2" t="s">
        <v>5916</v>
      </c>
      <c r="T2852" s="2" t="s">
        <v>5917</v>
      </c>
      <c r="U2852" s="2" t="s">
        <v>5918</v>
      </c>
      <c r="V2852" s="2" t="s">
        <v>59</v>
      </c>
      <c r="W2852" s="2">
        <v>38.9</v>
      </c>
      <c r="X2852" s="2">
        <v>6.36</v>
      </c>
      <c r="Y2852" s="2" t="s">
        <v>340</v>
      </c>
      <c r="Z2852" s="2" t="s">
        <v>19001</v>
      </c>
      <c r="AA2852" s="2">
        <v>-0.53401018941406897</v>
      </c>
      <c r="AB2852" s="2">
        <v>0.28247135613243901</v>
      </c>
      <c r="AC2852" s="2">
        <v>52618.3294327939</v>
      </c>
      <c r="AD2852" s="2">
        <v>46318.414864606697</v>
      </c>
      <c r="AE2852" s="2">
        <v>53082.6661381718</v>
      </c>
      <c r="AF2852" s="2">
        <v>57170.494877388097</v>
      </c>
      <c r="AG2852" s="2">
        <v>51550.347748533903</v>
      </c>
      <c r="AH2852" s="2">
        <v>51998.923356470201</v>
      </c>
      <c r="AI2852" s="2">
        <v>49846.413711199399</v>
      </c>
      <c r="AJ2852" s="2">
        <v>52061.130764999798</v>
      </c>
      <c r="AK2852" s="2">
        <v>43155.930930273098</v>
      </c>
      <c r="AL2852" s="2">
        <v>44522.845492343098</v>
      </c>
      <c r="AM2852" s="2">
        <v>46096.661116535499</v>
      </c>
      <c r="AN2852" s="2">
        <v>48256.747895838103</v>
      </c>
      <c r="AO2852" s="2">
        <v>48895.021515430701</v>
      </c>
      <c r="AP2852" s="2">
        <v>46983.282237219501</v>
      </c>
    </row>
    <row r="2853" spans="1:42" ht="14.5" x14ac:dyDescent="0.35">
      <c r="A2853" s="2" t="s">
        <v>19002</v>
      </c>
      <c r="B2853" s="2">
        <v>615.29779818322197</v>
      </c>
      <c r="C2853" s="2">
        <v>5.5064166666666701</v>
      </c>
      <c r="D2853" s="2" t="s">
        <v>70</v>
      </c>
      <c r="E2853" s="2" t="s">
        <v>19003</v>
      </c>
      <c r="F2853" s="2">
        <v>293762</v>
      </c>
      <c r="G2853" s="3" t="str">
        <f>HYPERLINK("http://funmeta.oebiotech.com/network/293762", "http://funmeta.oebiotech.com/network/293762")</f>
        <v>http://funmeta.oebiotech.com/network/293762</v>
      </c>
      <c r="H2853" s="2"/>
      <c r="I2853" s="2">
        <v>317718</v>
      </c>
      <c r="J2853" s="2"/>
      <c r="K2853" s="2"/>
      <c r="L2853" s="2"/>
      <c r="M2853" s="2"/>
      <c r="N2853" s="2"/>
      <c r="O2853" s="2">
        <v>9926621</v>
      </c>
      <c r="P2853" s="2"/>
      <c r="Q2853" s="2" t="s">
        <v>19004</v>
      </c>
      <c r="R2853" s="2" t="s">
        <v>19005</v>
      </c>
      <c r="S2853" s="2" t="s">
        <v>491</v>
      </c>
      <c r="T2853" s="2" t="s">
        <v>2184</v>
      </c>
      <c r="U2853" s="2" t="s">
        <v>8858</v>
      </c>
      <c r="V2853" s="2" t="s">
        <v>59</v>
      </c>
      <c r="W2853" s="2">
        <v>37.799999999999997</v>
      </c>
      <c r="X2853" s="2">
        <v>0</v>
      </c>
      <c r="Y2853" s="2" t="s">
        <v>560</v>
      </c>
      <c r="Z2853" s="2" t="s">
        <v>19006</v>
      </c>
      <c r="AA2853" s="2">
        <v>0.19281847492616799</v>
      </c>
      <c r="AB2853" s="2">
        <v>0.28231957401130198</v>
      </c>
      <c r="AC2853" s="2">
        <v>34440.805418581796</v>
      </c>
      <c r="AD2853" s="2">
        <v>40675.483447701998</v>
      </c>
      <c r="AE2853" s="2">
        <v>36345.2725849829</v>
      </c>
      <c r="AF2853" s="2">
        <v>32579.904740793401</v>
      </c>
      <c r="AG2853" s="2">
        <v>34852.571501954197</v>
      </c>
      <c r="AH2853" s="2">
        <v>34731.244718625203</v>
      </c>
      <c r="AI2853" s="2">
        <v>33180.724753001501</v>
      </c>
      <c r="AJ2853" s="2">
        <v>34955.114212133303</v>
      </c>
      <c r="AK2853" s="2">
        <v>41123.968809528</v>
      </c>
      <c r="AL2853" s="2">
        <v>38851.612646091802</v>
      </c>
      <c r="AM2853" s="2">
        <v>42967.970896672399</v>
      </c>
      <c r="AN2853" s="2">
        <v>41473.265317161902</v>
      </c>
      <c r="AO2853" s="2">
        <v>36032.4711259252</v>
      </c>
      <c r="AP2853" s="2">
        <v>43603.611890832697</v>
      </c>
    </row>
    <row r="2854" spans="1:42" ht="14.5" x14ac:dyDescent="0.35">
      <c r="A2854" s="2" t="s">
        <v>19007</v>
      </c>
      <c r="B2854" s="2">
        <v>344.22151358143901</v>
      </c>
      <c r="C2854" s="2">
        <v>5.7559333333333296</v>
      </c>
      <c r="D2854" s="2" t="s">
        <v>34</v>
      </c>
      <c r="E2854" s="2" t="s">
        <v>19008</v>
      </c>
      <c r="F2854" s="2">
        <v>52810</v>
      </c>
      <c r="G2854" s="3" t="str">
        <f>HYPERLINK("http://funmeta.oebiotech.com/network/52810", "http://funmeta.oebiotech.com/network/52810")</f>
        <v>http://funmeta.oebiotech.com/network/52810</v>
      </c>
      <c r="H2854" s="2" t="s">
        <v>19009</v>
      </c>
      <c r="I2854" s="2">
        <v>564</v>
      </c>
      <c r="J2854" s="2"/>
      <c r="K2854" s="2">
        <v>50173</v>
      </c>
      <c r="L2854" s="2" t="s">
        <v>19010</v>
      </c>
      <c r="M2854" s="2"/>
      <c r="N2854" s="2"/>
      <c r="O2854" s="2">
        <v>5284513</v>
      </c>
      <c r="P2854" s="2" t="s">
        <v>19011</v>
      </c>
      <c r="Q2854" s="2" t="s">
        <v>19012</v>
      </c>
      <c r="R2854" s="2" t="s">
        <v>19013</v>
      </c>
      <c r="S2854" s="2" t="s">
        <v>50</v>
      </c>
      <c r="T2854" s="2" t="s">
        <v>201</v>
      </c>
      <c r="U2854" s="2" t="s">
        <v>2195</v>
      </c>
      <c r="V2854" s="2" t="s">
        <v>59</v>
      </c>
      <c r="W2854" s="2">
        <v>38.200000000000003</v>
      </c>
      <c r="X2854" s="2">
        <v>0</v>
      </c>
      <c r="Y2854" s="2" t="s">
        <v>43</v>
      </c>
      <c r="Z2854" s="2" t="s">
        <v>19014</v>
      </c>
      <c r="AA2854" s="2">
        <v>-1.5532170355172901</v>
      </c>
      <c r="AB2854" s="2">
        <v>0.28231118793207</v>
      </c>
      <c r="AC2854" s="2">
        <v>7664.8086354812403</v>
      </c>
      <c r="AD2854" s="2">
        <v>13182.254600878299</v>
      </c>
      <c r="AE2854" s="2">
        <v>7409.07503109148</v>
      </c>
      <c r="AF2854" s="2">
        <v>7282.9047978092603</v>
      </c>
      <c r="AG2854" s="2">
        <v>7921.5778110011597</v>
      </c>
      <c r="AH2854" s="2">
        <v>7380.4765669235003</v>
      </c>
      <c r="AI2854" s="2">
        <v>7851.3969859893496</v>
      </c>
      <c r="AJ2854" s="2">
        <v>8143.4206200726703</v>
      </c>
      <c r="AK2854" s="2">
        <v>13627.4175140848</v>
      </c>
      <c r="AL2854" s="2">
        <v>11898.2634136983</v>
      </c>
      <c r="AM2854" s="2">
        <v>13978.1805319062</v>
      </c>
      <c r="AN2854" s="2">
        <v>14385.753967625</v>
      </c>
      <c r="AO2854" s="2">
        <v>14305.384692240599</v>
      </c>
      <c r="AP2854" s="2">
        <v>10898.5274857149</v>
      </c>
    </row>
    <row r="2855" spans="1:42" ht="14.5" x14ac:dyDescent="0.35">
      <c r="A2855" s="2" t="s">
        <v>19015</v>
      </c>
      <c r="B2855" s="2">
        <v>344.315829469439</v>
      </c>
      <c r="C2855" s="2">
        <v>9.8048666666666708</v>
      </c>
      <c r="D2855" s="2" t="s">
        <v>34</v>
      </c>
      <c r="E2855" s="2" t="s">
        <v>19016</v>
      </c>
      <c r="F2855" s="2">
        <v>1719</v>
      </c>
      <c r="G2855" s="3" t="str">
        <f>HYPERLINK("http://funmeta.oebiotech.com/network/1719", "http://funmeta.oebiotech.com/network/1719")</f>
        <v>http://funmeta.oebiotech.com/network/1719</v>
      </c>
      <c r="H2855" s="2"/>
      <c r="I2855" s="2"/>
      <c r="J2855" s="2" t="s">
        <v>19017</v>
      </c>
      <c r="K2855" s="2"/>
      <c r="L2855" s="2"/>
      <c r="M2855" s="2"/>
      <c r="N2855" s="2"/>
      <c r="O2855" s="2">
        <v>5282951</v>
      </c>
      <c r="P2855" s="2"/>
      <c r="Q2855" s="2" t="s">
        <v>19018</v>
      </c>
      <c r="R2855" s="2" t="s">
        <v>19019</v>
      </c>
      <c r="S2855" s="2" t="s">
        <v>50</v>
      </c>
      <c r="T2855" s="2" t="s">
        <v>229</v>
      </c>
      <c r="U2855" s="2" t="s">
        <v>433</v>
      </c>
      <c r="V2855" s="2" t="s">
        <v>59</v>
      </c>
      <c r="W2855" s="2">
        <v>39.1</v>
      </c>
      <c r="X2855" s="2">
        <v>0</v>
      </c>
      <c r="Y2855" s="2" t="s">
        <v>43</v>
      </c>
      <c r="Z2855" s="2" t="s">
        <v>5461</v>
      </c>
      <c r="AA2855" s="2">
        <v>-0.279322408868106</v>
      </c>
      <c r="AB2855" s="2">
        <v>0.28226368596851298</v>
      </c>
      <c r="AC2855" s="2">
        <v>33355.453086787304</v>
      </c>
      <c r="AD2855" s="2">
        <v>40123.778434345702</v>
      </c>
      <c r="AE2855" s="2">
        <v>31818.758784432699</v>
      </c>
      <c r="AF2855" s="2">
        <v>32941.905731691899</v>
      </c>
      <c r="AG2855" s="2">
        <v>35146.590326318503</v>
      </c>
      <c r="AH2855" s="2">
        <v>32942.545008115798</v>
      </c>
      <c r="AI2855" s="2">
        <v>33766.519448397303</v>
      </c>
      <c r="AJ2855" s="2">
        <v>33516.3992217673</v>
      </c>
      <c r="AK2855" s="2">
        <v>45508.744357638599</v>
      </c>
      <c r="AL2855" s="2">
        <v>44878.528076084403</v>
      </c>
      <c r="AM2855" s="2">
        <v>38552.881636641199</v>
      </c>
      <c r="AN2855" s="2">
        <v>38624.043469257202</v>
      </c>
      <c r="AO2855" s="2">
        <v>37824.1530469586</v>
      </c>
      <c r="AP2855" s="2">
        <v>35354.3200194944</v>
      </c>
    </row>
    <row r="2856" spans="1:42" ht="14.5" x14ac:dyDescent="0.35">
      <c r="A2856" s="2" t="s">
        <v>19020</v>
      </c>
      <c r="B2856" s="2">
        <v>521.27196817866195</v>
      </c>
      <c r="C2856" s="2">
        <v>4.2777833333333302</v>
      </c>
      <c r="D2856" s="2" t="s">
        <v>34</v>
      </c>
      <c r="E2856" s="2" t="s">
        <v>19021</v>
      </c>
      <c r="F2856" s="2">
        <v>210562</v>
      </c>
      <c r="G2856" s="3" t="str">
        <f>HYPERLINK("http://funmeta.oebiotech.com/network/210562", "http://funmeta.oebiotech.com/network/210562")</f>
        <v>http://funmeta.oebiotech.com/network/210562</v>
      </c>
      <c r="H2856" s="2" t="s">
        <v>19022</v>
      </c>
      <c r="I2856" s="2"/>
      <c r="J2856" s="2"/>
      <c r="K2856" s="2"/>
      <c r="L2856" s="2"/>
      <c r="M2856" s="2"/>
      <c r="N2856" s="2"/>
      <c r="O2856" s="2"/>
      <c r="P2856" s="2"/>
      <c r="Q2856" s="2" t="s">
        <v>19023</v>
      </c>
      <c r="R2856" s="2" t="s">
        <v>19024</v>
      </c>
      <c r="S2856" s="2" t="s">
        <v>491</v>
      </c>
      <c r="T2856" s="2" t="s">
        <v>5190</v>
      </c>
      <c r="U2856" s="2" t="s">
        <v>5191</v>
      </c>
      <c r="V2856" s="2" t="s">
        <v>59</v>
      </c>
      <c r="W2856" s="2">
        <v>44.3</v>
      </c>
      <c r="X2856" s="2">
        <v>30.6</v>
      </c>
      <c r="Y2856" s="2" t="s">
        <v>43</v>
      </c>
      <c r="Z2856" s="2" t="s">
        <v>19025</v>
      </c>
      <c r="AA2856" s="2">
        <v>-2.3710055293330501</v>
      </c>
      <c r="AB2856" s="2">
        <v>0.28205904931904502</v>
      </c>
      <c r="AC2856" s="2">
        <v>435126.84409650299</v>
      </c>
      <c r="AD2856" s="2">
        <v>447436.24881195801</v>
      </c>
      <c r="AE2856" s="2">
        <v>446507.57714859198</v>
      </c>
      <c r="AF2856" s="2">
        <v>419416.12587065302</v>
      </c>
      <c r="AG2856" s="2">
        <v>449742.887214533</v>
      </c>
      <c r="AH2856" s="2">
        <v>419198.86050629802</v>
      </c>
      <c r="AI2856" s="2">
        <v>424683.80978799501</v>
      </c>
      <c r="AJ2856" s="2">
        <v>451211.80405094702</v>
      </c>
      <c r="AK2856" s="2">
        <v>452615.06223398302</v>
      </c>
      <c r="AL2856" s="2">
        <v>465901.10518448299</v>
      </c>
      <c r="AM2856" s="2">
        <v>438287.95682366402</v>
      </c>
      <c r="AN2856" s="2">
        <v>435759.89959641697</v>
      </c>
      <c r="AO2856" s="2">
        <v>454519.67038355698</v>
      </c>
      <c r="AP2856" s="2">
        <v>437533.79864964302</v>
      </c>
    </row>
    <row r="2857" spans="1:42" ht="14.5" x14ac:dyDescent="0.35">
      <c r="A2857" s="2" t="s">
        <v>19026</v>
      </c>
      <c r="B2857" s="2">
        <v>709.15933406946499</v>
      </c>
      <c r="C2857" s="2">
        <v>1.14778333333333</v>
      </c>
      <c r="D2857" s="2" t="s">
        <v>70</v>
      </c>
      <c r="E2857" s="2" t="s">
        <v>19027</v>
      </c>
      <c r="F2857" s="2">
        <v>30479</v>
      </c>
      <c r="G2857" s="3" t="str">
        <f>HYPERLINK("http://funmeta.oebiotech.com/network/30479", "http://funmeta.oebiotech.com/network/30479")</f>
        <v>http://funmeta.oebiotech.com/network/30479</v>
      </c>
      <c r="H2857" s="2"/>
      <c r="I2857" s="2"/>
      <c r="J2857" s="2" t="s">
        <v>19028</v>
      </c>
      <c r="K2857" s="2"/>
      <c r="L2857" s="2"/>
      <c r="M2857" s="2"/>
      <c r="N2857" s="2"/>
      <c r="O2857" s="2">
        <v>44257842</v>
      </c>
      <c r="P2857" s="2"/>
      <c r="Q2857" s="2" t="s">
        <v>19029</v>
      </c>
      <c r="R2857" s="2" t="s">
        <v>19030</v>
      </c>
      <c r="S2857" s="2" t="s">
        <v>115</v>
      </c>
      <c r="T2857" s="2" t="s">
        <v>139</v>
      </c>
      <c r="U2857" s="2" t="s">
        <v>140</v>
      </c>
      <c r="V2857" s="2" t="s">
        <v>59</v>
      </c>
      <c r="W2857" s="2">
        <v>37.6</v>
      </c>
      <c r="X2857" s="2">
        <v>0</v>
      </c>
      <c r="Y2857" s="2" t="s">
        <v>408</v>
      </c>
      <c r="Z2857" s="2" t="s">
        <v>19031</v>
      </c>
      <c r="AA2857" s="2">
        <v>-4.2434692473236799</v>
      </c>
      <c r="AB2857" s="2">
        <v>0.28189780377518098</v>
      </c>
      <c r="AC2857" s="2">
        <v>33391.433282122198</v>
      </c>
      <c r="AD2857" s="2">
        <v>26122.139929868401</v>
      </c>
      <c r="AE2857" s="2">
        <v>32139.750581947101</v>
      </c>
      <c r="AF2857" s="2">
        <v>32382.664348767201</v>
      </c>
      <c r="AG2857" s="2">
        <v>32163.852962397701</v>
      </c>
      <c r="AH2857" s="2">
        <v>31377.368585144901</v>
      </c>
      <c r="AI2857" s="2">
        <v>38053.770807858498</v>
      </c>
      <c r="AJ2857" s="2">
        <v>34231.192406617803</v>
      </c>
      <c r="AK2857" s="2">
        <v>26568.7737160994</v>
      </c>
      <c r="AL2857" s="2">
        <v>21544.831501276502</v>
      </c>
      <c r="AM2857" s="2">
        <v>19416.458345932799</v>
      </c>
      <c r="AN2857" s="2">
        <v>27840.494327497399</v>
      </c>
      <c r="AO2857" s="2">
        <v>31564.322607027399</v>
      </c>
      <c r="AP2857" s="2">
        <v>29797.959081377001</v>
      </c>
    </row>
    <row r="2858" spans="1:42" ht="14.5" x14ac:dyDescent="0.35">
      <c r="A2858" s="2" t="s">
        <v>19032</v>
      </c>
      <c r="B2858" s="2">
        <v>723.14799407605597</v>
      </c>
      <c r="C2858" s="2">
        <v>5.1704666666666697</v>
      </c>
      <c r="D2858" s="2" t="s">
        <v>70</v>
      </c>
      <c r="E2858" s="2" t="s">
        <v>19033</v>
      </c>
      <c r="F2858" s="2">
        <v>29961</v>
      </c>
      <c r="G2858" s="3" t="str">
        <f>HYPERLINK("http://funmeta.oebiotech.com/network/29961", "http://funmeta.oebiotech.com/network/29961")</f>
        <v>http://funmeta.oebiotech.com/network/29961</v>
      </c>
      <c r="H2858" s="2"/>
      <c r="I2858" s="2">
        <v>48315</v>
      </c>
      <c r="J2858" s="2" t="s">
        <v>19034</v>
      </c>
      <c r="K2858" s="2"/>
      <c r="L2858" s="2"/>
      <c r="M2858" s="2"/>
      <c r="N2858" s="2"/>
      <c r="O2858" s="2">
        <v>11013898</v>
      </c>
      <c r="P2858" s="2"/>
      <c r="Q2858" s="2" t="s">
        <v>19035</v>
      </c>
      <c r="R2858" s="2" t="s">
        <v>19036</v>
      </c>
      <c r="S2858" s="2" t="s">
        <v>115</v>
      </c>
      <c r="T2858" s="2" t="s">
        <v>1371</v>
      </c>
      <c r="U2858" s="2" t="s">
        <v>19037</v>
      </c>
      <c r="V2858" s="2" t="s">
        <v>59</v>
      </c>
      <c r="W2858" s="2">
        <v>38.200000000000003</v>
      </c>
      <c r="X2858" s="2">
        <v>0</v>
      </c>
      <c r="Y2858" s="2" t="s">
        <v>560</v>
      </c>
      <c r="Z2858" s="2" t="s">
        <v>19038</v>
      </c>
      <c r="AA2858" s="2">
        <v>-3.8746024043559602</v>
      </c>
      <c r="AB2858" s="2">
        <v>0.28168006008262803</v>
      </c>
      <c r="AC2858" s="2">
        <v>27729.581905725499</v>
      </c>
      <c r="AD2858" s="2">
        <v>20132.722492471599</v>
      </c>
      <c r="AE2858" s="2">
        <v>25481.328592987498</v>
      </c>
      <c r="AF2858" s="2">
        <v>29742.348430854501</v>
      </c>
      <c r="AG2858" s="2">
        <v>32068.4196568917</v>
      </c>
      <c r="AH2858" s="2">
        <v>19102.587874785</v>
      </c>
      <c r="AI2858" s="2">
        <v>31832.874539406101</v>
      </c>
      <c r="AJ2858" s="2">
        <v>28149.932339428298</v>
      </c>
      <c r="AK2858" s="2">
        <v>17083.964075641801</v>
      </c>
      <c r="AL2858" s="2">
        <v>25161.1136700346</v>
      </c>
      <c r="AM2858" s="2">
        <v>19248.214394583902</v>
      </c>
      <c r="AN2858" s="2">
        <v>14525.4727642243</v>
      </c>
      <c r="AO2858" s="2">
        <v>21699.343105553002</v>
      </c>
      <c r="AP2858" s="2">
        <v>23078.226944792099</v>
      </c>
    </row>
    <row r="2859" spans="1:42" ht="14.5" x14ac:dyDescent="0.35">
      <c r="A2859" s="2" t="s">
        <v>19039</v>
      </c>
      <c r="B2859" s="2">
        <v>568.45660595212405</v>
      </c>
      <c r="C2859" s="2">
        <v>14.6552166666667</v>
      </c>
      <c r="D2859" s="2" t="s">
        <v>34</v>
      </c>
      <c r="E2859" s="2" t="s">
        <v>19040</v>
      </c>
      <c r="F2859" s="2">
        <v>247700</v>
      </c>
      <c r="G2859" s="3" t="str">
        <f>HYPERLINK("http://funmeta.oebiotech.com/network/247700", "http://funmeta.oebiotech.com/network/247700")</f>
        <v>http://funmeta.oebiotech.com/network/247700</v>
      </c>
      <c r="H2859" s="2" t="s">
        <v>19041</v>
      </c>
      <c r="I2859" s="2"/>
      <c r="J2859" s="2"/>
      <c r="K2859" s="2"/>
      <c r="L2859" s="2"/>
      <c r="M2859" s="2"/>
      <c r="N2859" s="2"/>
      <c r="O2859" s="2"/>
      <c r="P2859" s="2"/>
      <c r="Q2859" s="2" t="s">
        <v>19042</v>
      </c>
      <c r="R2859" s="2" t="s">
        <v>19043</v>
      </c>
      <c r="S2859" s="2" t="s">
        <v>41</v>
      </c>
      <c r="T2859" s="2" t="s">
        <v>41</v>
      </c>
      <c r="U2859" s="2" t="s">
        <v>41</v>
      </c>
      <c r="V2859" s="2" t="s">
        <v>59</v>
      </c>
      <c r="W2859" s="2">
        <v>39.1</v>
      </c>
      <c r="X2859" s="2">
        <v>0</v>
      </c>
      <c r="Y2859" s="2" t="s">
        <v>43</v>
      </c>
      <c r="Z2859" s="2" t="s">
        <v>19044</v>
      </c>
      <c r="AA2859" s="2">
        <v>-1.0158640744229499</v>
      </c>
      <c r="AB2859" s="2">
        <v>0.28143733931334097</v>
      </c>
      <c r="AC2859" s="2">
        <v>22276.817726205099</v>
      </c>
      <c r="AD2859" s="2">
        <v>16178.8811599292</v>
      </c>
      <c r="AE2859" s="2">
        <v>19483.050310662598</v>
      </c>
      <c r="AF2859" s="2">
        <v>20278.2261471897</v>
      </c>
      <c r="AG2859" s="2">
        <v>22452.714887635299</v>
      </c>
      <c r="AH2859" s="2">
        <v>22831.196542098001</v>
      </c>
      <c r="AI2859" s="2">
        <v>21430.753977304699</v>
      </c>
      <c r="AJ2859" s="2">
        <v>27184.964492340201</v>
      </c>
      <c r="AK2859" s="2">
        <v>16611.4370030889</v>
      </c>
      <c r="AL2859" s="2">
        <v>15857.110948494899</v>
      </c>
      <c r="AM2859" s="2">
        <v>16927.999806145501</v>
      </c>
      <c r="AN2859" s="2">
        <v>14282.620821837299</v>
      </c>
      <c r="AO2859" s="2">
        <v>17019.725435873301</v>
      </c>
      <c r="AP2859" s="2">
        <v>16374.392944135399</v>
      </c>
    </row>
    <row r="2860" spans="1:42" ht="14.5" x14ac:dyDescent="0.35">
      <c r="A2860" s="2" t="s">
        <v>19045</v>
      </c>
      <c r="B2860" s="2">
        <v>296.15133565691099</v>
      </c>
      <c r="C2860" s="2">
        <v>4.7017833333333297</v>
      </c>
      <c r="D2860" s="2" t="s">
        <v>34</v>
      </c>
      <c r="E2860" s="2" t="s">
        <v>19046</v>
      </c>
      <c r="F2860" s="2">
        <v>203175</v>
      </c>
      <c r="G2860" s="3" t="str">
        <f>HYPERLINK("http://funmeta.oebiotech.com/network/203175", "http://funmeta.oebiotech.com/network/203175")</f>
        <v>http://funmeta.oebiotech.com/network/203175</v>
      </c>
      <c r="H2860" s="2" t="s">
        <v>19047</v>
      </c>
      <c r="I2860" s="2"/>
      <c r="J2860" s="2"/>
      <c r="K2860" s="2"/>
      <c r="L2860" s="2"/>
      <c r="M2860" s="2"/>
      <c r="N2860" s="2"/>
      <c r="O2860" s="2">
        <v>65867</v>
      </c>
      <c r="P2860" s="2"/>
      <c r="Q2860" s="2" t="s">
        <v>19048</v>
      </c>
      <c r="R2860" s="2" t="s">
        <v>19049</v>
      </c>
      <c r="S2860" s="2" t="s">
        <v>41</v>
      </c>
      <c r="T2860" s="2" t="s">
        <v>41</v>
      </c>
      <c r="U2860" s="2" t="s">
        <v>41</v>
      </c>
      <c r="V2860" s="2" t="s">
        <v>59</v>
      </c>
      <c r="W2860" s="2">
        <v>38.4</v>
      </c>
      <c r="X2860" s="2">
        <v>0</v>
      </c>
      <c r="Y2860" s="2" t="s">
        <v>43</v>
      </c>
      <c r="Z2860" s="2" t="s">
        <v>19050</v>
      </c>
      <c r="AA2860" s="2">
        <v>2.69325432947246</v>
      </c>
      <c r="AB2860" s="2">
        <v>0.28124931519232199</v>
      </c>
      <c r="AC2860" s="2">
        <v>16581.071635451099</v>
      </c>
      <c r="AD2860" s="2">
        <v>22955.950671977898</v>
      </c>
      <c r="AE2860" s="2">
        <v>16298.262815325899</v>
      </c>
      <c r="AF2860" s="2">
        <v>16692.564801304699</v>
      </c>
      <c r="AG2860" s="2">
        <v>17899.3017880556</v>
      </c>
      <c r="AH2860" s="2">
        <v>17963.694391176399</v>
      </c>
      <c r="AI2860" s="2">
        <v>18166.031802828002</v>
      </c>
      <c r="AJ2860" s="2">
        <v>12466.5742140163</v>
      </c>
      <c r="AK2860" s="2">
        <v>21851.576002353799</v>
      </c>
      <c r="AL2860" s="2">
        <v>20873.6933178324</v>
      </c>
      <c r="AM2860" s="2">
        <v>27976.690493237398</v>
      </c>
      <c r="AN2860" s="2">
        <v>24822.0617771568</v>
      </c>
      <c r="AO2860" s="2">
        <v>21605.723668067902</v>
      </c>
      <c r="AP2860" s="2">
        <v>20605.958773219299</v>
      </c>
    </row>
    <row r="2861" spans="1:42" ht="14.5" x14ac:dyDescent="0.35">
      <c r="A2861" s="2" t="s">
        <v>19051</v>
      </c>
      <c r="B2861" s="2">
        <v>851.45376619115802</v>
      </c>
      <c r="C2861" s="2">
        <v>11.9672</v>
      </c>
      <c r="D2861" s="2" t="s">
        <v>34</v>
      </c>
      <c r="E2861" s="2" t="s">
        <v>19052</v>
      </c>
      <c r="F2861" s="2">
        <v>211133</v>
      </c>
      <c r="G2861" s="3" t="str">
        <f>HYPERLINK("http://funmeta.oebiotech.com/network/211133", "http://funmeta.oebiotech.com/network/211133")</f>
        <v>http://funmeta.oebiotech.com/network/211133</v>
      </c>
      <c r="H2861" s="2" t="s">
        <v>19053</v>
      </c>
      <c r="I2861" s="2"/>
      <c r="J2861" s="2"/>
      <c r="K2861" s="2"/>
      <c r="L2861" s="2"/>
      <c r="M2861" s="2"/>
      <c r="N2861" s="2"/>
      <c r="O2861" s="2">
        <v>73818264</v>
      </c>
      <c r="P2861" s="2"/>
      <c r="Q2861" s="2" t="s">
        <v>19054</v>
      </c>
      <c r="R2861" s="2" t="s">
        <v>19055</v>
      </c>
      <c r="S2861" s="2" t="s">
        <v>50</v>
      </c>
      <c r="T2861" s="2" t="s">
        <v>201</v>
      </c>
      <c r="U2861" s="2" t="s">
        <v>202</v>
      </c>
      <c r="V2861" s="2" t="s">
        <v>59</v>
      </c>
      <c r="W2861" s="2">
        <v>38.1</v>
      </c>
      <c r="X2861" s="2">
        <v>0</v>
      </c>
      <c r="Y2861" s="2" t="s">
        <v>340</v>
      </c>
      <c r="Z2861" s="2" t="s">
        <v>19056</v>
      </c>
      <c r="AA2861" s="2">
        <v>-1.9678609927777899</v>
      </c>
      <c r="AB2861" s="2">
        <v>0.28120517187305999</v>
      </c>
      <c r="AC2861" s="2">
        <v>5567.1182901371603</v>
      </c>
      <c r="AD2861" s="2">
        <v>2.7106294003980101E-5</v>
      </c>
      <c r="AE2861" s="2">
        <v>5483.6606574814996</v>
      </c>
      <c r="AF2861" s="2">
        <v>3025.8933493035402</v>
      </c>
      <c r="AG2861" s="2">
        <v>4659.5267578439998</v>
      </c>
      <c r="AH2861" s="2">
        <v>7635.9223215142001</v>
      </c>
      <c r="AI2861" s="2">
        <v>6721.9278462102802</v>
      </c>
      <c r="AJ2861" s="2">
        <v>5875.7788084694603</v>
      </c>
      <c r="AK2861" s="2">
        <v>2.7106294003980101E-5</v>
      </c>
      <c r="AL2861" s="2">
        <v>2.7106294003980101E-5</v>
      </c>
      <c r="AM2861" s="2">
        <v>2.7106294003980101E-5</v>
      </c>
      <c r="AN2861" s="2">
        <v>2.7106294003980101E-5</v>
      </c>
      <c r="AO2861" s="2">
        <v>2.7106294003980101E-5</v>
      </c>
      <c r="AP2861" s="2">
        <v>2.7106294003980101E-5</v>
      </c>
    </row>
    <row r="2862" spans="1:42" ht="14.5" x14ac:dyDescent="0.35">
      <c r="A2862" s="2" t="s">
        <v>19057</v>
      </c>
      <c r="B2862" s="2">
        <v>731.31387258545499</v>
      </c>
      <c r="C2862" s="2">
        <v>5.6539333333333301</v>
      </c>
      <c r="D2862" s="2" t="s">
        <v>70</v>
      </c>
      <c r="E2862" s="2" t="s">
        <v>19058</v>
      </c>
      <c r="F2862" s="2">
        <v>201120</v>
      </c>
      <c r="G2862" s="3" t="str">
        <f>HYPERLINK("http://funmeta.oebiotech.com/network/201120", "http://funmeta.oebiotech.com/network/201120")</f>
        <v>http://funmeta.oebiotech.com/network/201120</v>
      </c>
      <c r="H2862" s="2" t="s">
        <v>19059</v>
      </c>
      <c r="I2862" s="2"/>
      <c r="J2862" s="2"/>
      <c r="K2862" s="2"/>
      <c r="L2862" s="2"/>
      <c r="M2862" s="2"/>
      <c r="N2862" s="2"/>
      <c r="O2862" s="2">
        <v>33649</v>
      </c>
      <c r="P2862" s="2"/>
      <c r="Q2862" s="2" t="s">
        <v>19060</v>
      </c>
      <c r="R2862" s="2" t="s">
        <v>19061</v>
      </c>
      <c r="S2862" s="2" t="s">
        <v>50</v>
      </c>
      <c r="T2862" s="2" t="s">
        <v>201</v>
      </c>
      <c r="U2862" s="2" t="s">
        <v>265</v>
      </c>
      <c r="V2862" s="2" t="s">
        <v>59</v>
      </c>
      <c r="W2862" s="2">
        <v>37.299999999999997</v>
      </c>
      <c r="X2862" s="2">
        <v>0</v>
      </c>
      <c r="Y2862" s="2" t="s">
        <v>560</v>
      </c>
      <c r="Z2862" s="2" t="s">
        <v>19062</v>
      </c>
      <c r="AA2862" s="2">
        <v>-2.0586907306654498</v>
      </c>
      <c r="AB2862" s="2">
        <v>0.28114650309542799</v>
      </c>
      <c r="AC2862" s="2">
        <v>117437.933464374</v>
      </c>
      <c r="AD2862" s="2">
        <v>109191.01227719399</v>
      </c>
      <c r="AE2862" s="2">
        <v>121542.225195608</v>
      </c>
      <c r="AF2862" s="2">
        <v>115850.09146555699</v>
      </c>
      <c r="AG2862" s="2">
        <v>110075.923470201</v>
      </c>
      <c r="AH2862" s="2">
        <v>117695.744649139</v>
      </c>
      <c r="AI2862" s="2">
        <v>114018.65764962599</v>
      </c>
      <c r="AJ2862" s="2">
        <v>125444.95835611501</v>
      </c>
      <c r="AK2862" s="2">
        <v>101524.33427577501</v>
      </c>
      <c r="AL2862" s="2">
        <v>106586.546167578</v>
      </c>
      <c r="AM2862" s="2">
        <v>113731.341938831</v>
      </c>
      <c r="AN2862" s="2">
        <v>116875.374021995</v>
      </c>
      <c r="AO2862" s="2">
        <v>106050.83993096001</v>
      </c>
      <c r="AP2862" s="2">
        <v>110377.637328025</v>
      </c>
    </row>
    <row r="2863" spans="1:42" ht="14.5" x14ac:dyDescent="0.35">
      <c r="A2863" s="2" t="s">
        <v>19063</v>
      </c>
      <c r="B2863" s="2">
        <v>259.14772946730301</v>
      </c>
      <c r="C2863" s="2">
        <v>7.0664166666666697</v>
      </c>
      <c r="D2863" s="2" t="s">
        <v>34</v>
      </c>
      <c r="E2863" s="2" t="s">
        <v>19064</v>
      </c>
      <c r="F2863" s="2">
        <v>56771</v>
      </c>
      <c r="G2863" s="3" t="str">
        <f>HYPERLINK("http://funmeta.oebiotech.com/network/56771", "http://funmeta.oebiotech.com/network/56771")</f>
        <v>http://funmeta.oebiotech.com/network/56771</v>
      </c>
      <c r="H2863" s="2" t="s">
        <v>19065</v>
      </c>
      <c r="I2863" s="2">
        <v>88445</v>
      </c>
      <c r="J2863" s="2"/>
      <c r="K2863" s="2"/>
      <c r="L2863" s="2"/>
      <c r="M2863" s="2"/>
      <c r="N2863" s="2"/>
      <c r="O2863" s="2">
        <v>3023839</v>
      </c>
      <c r="P2863" s="2" t="s">
        <v>19066</v>
      </c>
      <c r="Q2863" s="2" t="s">
        <v>19067</v>
      </c>
      <c r="R2863" s="2" t="s">
        <v>19068</v>
      </c>
      <c r="S2863" s="2" t="s">
        <v>491</v>
      </c>
      <c r="T2863" s="2" t="s">
        <v>3519</v>
      </c>
      <c r="U2863" s="2" t="s">
        <v>19069</v>
      </c>
      <c r="V2863" s="2" t="s">
        <v>59</v>
      </c>
      <c r="W2863" s="2">
        <v>38</v>
      </c>
      <c r="X2863" s="2">
        <v>0</v>
      </c>
      <c r="Y2863" s="2" t="s">
        <v>43</v>
      </c>
      <c r="Z2863" s="2" t="s">
        <v>19070</v>
      </c>
      <c r="AA2863" s="2">
        <v>1.0537937314578001</v>
      </c>
      <c r="AB2863" s="2">
        <v>0.28100229062356902</v>
      </c>
      <c r="AC2863" s="2">
        <v>5620.1671621818596</v>
      </c>
      <c r="AD2863" s="2">
        <v>341.95919865165502</v>
      </c>
      <c r="AE2863" s="2">
        <v>5301.0817825335398</v>
      </c>
      <c r="AF2863" s="2">
        <v>4411.3337319262801</v>
      </c>
      <c r="AG2863" s="2">
        <v>6545.87882746572</v>
      </c>
      <c r="AH2863" s="2">
        <v>6062.7823492507496</v>
      </c>
      <c r="AI2863" s="2">
        <v>5584.4910404577304</v>
      </c>
      <c r="AJ2863" s="2">
        <v>5815.4352414571104</v>
      </c>
      <c r="AK2863" s="2">
        <v>886.004710728894</v>
      </c>
      <c r="AL2863" s="2">
        <v>442.14791279053298</v>
      </c>
      <c r="AM2863" s="2">
        <v>372.10620092079603</v>
      </c>
      <c r="AN2863" s="2">
        <v>2.7106294003980101E-5</v>
      </c>
      <c r="AO2863" s="2">
        <v>351.49631325712102</v>
      </c>
      <c r="AP2863" s="2">
        <v>2.7106294003980101E-5</v>
      </c>
    </row>
    <row r="2864" spans="1:42" ht="14.5" x14ac:dyDescent="0.35">
      <c r="A2864" s="2" t="s">
        <v>19071</v>
      </c>
      <c r="B2864" s="2">
        <v>441.24607080642801</v>
      </c>
      <c r="C2864" s="2">
        <v>5.7736666666666698</v>
      </c>
      <c r="D2864" s="2" t="s">
        <v>34</v>
      </c>
      <c r="E2864" s="2" t="s">
        <v>19072</v>
      </c>
      <c r="F2864" s="2">
        <v>52956</v>
      </c>
      <c r="G2864" s="3" t="str">
        <f>HYPERLINK("http://funmeta.oebiotech.com/network/52956", "http://funmeta.oebiotech.com/network/52956")</f>
        <v>http://funmeta.oebiotech.com/network/52956</v>
      </c>
      <c r="H2864" s="2" t="s">
        <v>19073</v>
      </c>
      <c r="I2864" s="2">
        <v>1122</v>
      </c>
      <c r="J2864" s="2"/>
      <c r="K2864" s="2">
        <v>2896</v>
      </c>
      <c r="L2864" s="2" t="s">
        <v>19074</v>
      </c>
      <c r="M2864" s="2"/>
      <c r="N2864" s="2"/>
      <c r="O2864" s="2">
        <v>2247</v>
      </c>
      <c r="P2864" s="2" t="s">
        <v>19075</v>
      </c>
      <c r="Q2864" s="2" t="s">
        <v>19076</v>
      </c>
      <c r="R2864" s="2" t="s">
        <v>19077</v>
      </c>
      <c r="S2864" s="2" t="s">
        <v>491</v>
      </c>
      <c r="T2864" s="2" t="s">
        <v>15878</v>
      </c>
      <c r="U2864" s="2" t="s">
        <v>41</v>
      </c>
      <c r="V2864" s="2" t="s">
        <v>59</v>
      </c>
      <c r="W2864" s="2">
        <v>37.299999999999997</v>
      </c>
      <c r="X2864" s="2">
        <v>0</v>
      </c>
      <c r="Y2864" s="2" t="s">
        <v>141</v>
      </c>
      <c r="Z2864" s="2" t="s">
        <v>19078</v>
      </c>
      <c r="AA2864" s="2">
        <v>2.5514634288329199</v>
      </c>
      <c r="AB2864" s="2">
        <v>0.28098418227552502</v>
      </c>
      <c r="AC2864" s="2">
        <v>20491.200573581002</v>
      </c>
      <c r="AD2864" s="2">
        <v>14338.8998162875</v>
      </c>
      <c r="AE2864" s="2">
        <v>18939.267852217999</v>
      </c>
      <c r="AF2864" s="2">
        <v>22294.5422042914</v>
      </c>
      <c r="AG2864" s="2">
        <v>22759.726123666798</v>
      </c>
      <c r="AH2864" s="2">
        <v>19546.3901386863</v>
      </c>
      <c r="AI2864" s="2">
        <v>23463.7257907278</v>
      </c>
      <c r="AJ2864" s="2">
        <v>15943.5513318956</v>
      </c>
      <c r="AK2864" s="2">
        <v>13229.5828927659</v>
      </c>
      <c r="AL2864" s="2">
        <v>14939.236623589701</v>
      </c>
      <c r="AM2864" s="2">
        <v>14877.5147971147</v>
      </c>
      <c r="AN2864" s="2">
        <v>14630.4094728487</v>
      </c>
      <c r="AO2864" s="2">
        <v>15146.2329152701</v>
      </c>
      <c r="AP2864" s="2">
        <v>13210.4221961357</v>
      </c>
    </row>
    <row r="2865" spans="1:42" ht="14.5" x14ac:dyDescent="0.35">
      <c r="A2865" s="2" t="s">
        <v>19079</v>
      </c>
      <c r="B2865" s="2">
        <v>967.323517037805</v>
      </c>
      <c r="C2865" s="2">
        <v>4.3632666666666697</v>
      </c>
      <c r="D2865" s="2" t="s">
        <v>34</v>
      </c>
      <c r="E2865" s="2" t="s">
        <v>19080</v>
      </c>
      <c r="F2865" s="2">
        <v>201877</v>
      </c>
      <c r="G2865" s="3" t="str">
        <f>HYPERLINK("http://funmeta.oebiotech.com/network/201877", "http://funmeta.oebiotech.com/network/201877")</f>
        <v>http://funmeta.oebiotech.com/network/201877</v>
      </c>
      <c r="H2865" s="2" t="s">
        <v>19081</v>
      </c>
      <c r="I2865" s="2"/>
      <c r="J2865" s="2"/>
      <c r="K2865" s="2"/>
      <c r="L2865" s="2"/>
      <c r="M2865" s="2"/>
      <c r="N2865" s="2"/>
      <c r="O2865" s="2">
        <v>5067795</v>
      </c>
      <c r="P2865" s="2"/>
      <c r="Q2865" s="2" t="s">
        <v>19082</v>
      </c>
      <c r="R2865" s="2" t="s">
        <v>19083</v>
      </c>
      <c r="S2865" s="2" t="s">
        <v>41</v>
      </c>
      <c r="T2865" s="2" t="s">
        <v>41</v>
      </c>
      <c r="U2865" s="2" t="s">
        <v>41</v>
      </c>
      <c r="V2865" s="2" t="s">
        <v>59</v>
      </c>
      <c r="W2865" s="2">
        <v>38.9</v>
      </c>
      <c r="X2865" s="2">
        <v>0</v>
      </c>
      <c r="Y2865" s="2" t="s">
        <v>43</v>
      </c>
      <c r="Z2865" s="2" t="s">
        <v>19084</v>
      </c>
      <c r="AA2865" s="2">
        <v>-1.4417164366747499</v>
      </c>
      <c r="AB2865" s="2">
        <v>0.28097398375654498</v>
      </c>
      <c r="AC2865" s="2">
        <v>55356.0721977422</v>
      </c>
      <c r="AD2865" s="2">
        <v>46567.7495885393</v>
      </c>
      <c r="AE2865" s="2">
        <v>48525.595579168301</v>
      </c>
      <c r="AF2865" s="2">
        <v>53689.144587505201</v>
      </c>
      <c r="AG2865" s="2">
        <v>68052.910466753194</v>
      </c>
      <c r="AH2865" s="2">
        <v>53535.895969154801</v>
      </c>
      <c r="AI2865" s="2">
        <v>62552.151509420197</v>
      </c>
      <c r="AJ2865" s="2">
        <v>45780.735074451499</v>
      </c>
      <c r="AK2865" s="2">
        <v>49781.010117903497</v>
      </c>
      <c r="AL2865" s="2">
        <v>48173.1547623488</v>
      </c>
      <c r="AM2865" s="2">
        <v>41559.299981283497</v>
      </c>
      <c r="AN2865" s="2">
        <v>49156.885155623502</v>
      </c>
      <c r="AO2865" s="2">
        <v>41893.915669094204</v>
      </c>
      <c r="AP2865" s="2">
        <v>48842.231844982503</v>
      </c>
    </row>
    <row r="2866" spans="1:42" ht="14.5" x14ac:dyDescent="0.35">
      <c r="A2866" s="2" t="s">
        <v>19085</v>
      </c>
      <c r="B2866" s="2">
        <v>507.20449644976401</v>
      </c>
      <c r="C2866" s="2">
        <v>3.7704833333333299</v>
      </c>
      <c r="D2866" s="2" t="s">
        <v>34</v>
      </c>
      <c r="E2866" s="2" t="s">
        <v>19086</v>
      </c>
      <c r="F2866" s="2">
        <v>207135</v>
      </c>
      <c r="G2866" s="3" t="str">
        <f>HYPERLINK("http://funmeta.oebiotech.com/network/207135", "http://funmeta.oebiotech.com/network/207135")</f>
        <v>http://funmeta.oebiotech.com/network/207135</v>
      </c>
      <c r="H2866" s="2" t="s">
        <v>19087</v>
      </c>
      <c r="I2866" s="2"/>
      <c r="J2866" s="2"/>
      <c r="K2866" s="2"/>
      <c r="L2866" s="2"/>
      <c r="M2866" s="2"/>
      <c r="N2866" s="2"/>
      <c r="O2866" s="2">
        <v>86474</v>
      </c>
      <c r="P2866" s="2"/>
      <c r="Q2866" s="2" t="s">
        <v>19088</v>
      </c>
      <c r="R2866" s="2" t="s">
        <v>19089</v>
      </c>
      <c r="S2866" s="2" t="s">
        <v>79</v>
      </c>
      <c r="T2866" s="2" t="s">
        <v>80</v>
      </c>
      <c r="U2866" s="2" t="s">
        <v>81</v>
      </c>
      <c r="V2866" s="2" t="s">
        <v>59</v>
      </c>
      <c r="W2866" s="2">
        <v>37.200000000000003</v>
      </c>
      <c r="X2866" s="2">
        <v>0</v>
      </c>
      <c r="Y2866" s="2" t="s">
        <v>340</v>
      </c>
      <c r="Z2866" s="2" t="s">
        <v>19090</v>
      </c>
      <c r="AA2866" s="2">
        <v>-3.8548339300103902</v>
      </c>
      <c r="AB2866" s="2">
        <v>0.28093503086475102</v>
      </c>
      <c r="AC2866" s="2">
        <v>46704.518202602398</v>
      </c>
      <c r="AD2866" s="2">
        <v>53774.340548766399</v>
      </c>
      <c r="AE2866" s="2">
        <v>46342.718051825097</v>
      </c>
      <c r="AF2866" s="2">
        <v>48562.195319082799</v>
      </c>
      <c r="AG2866" s="2">
        <v>46239.047103917597</v>
      </c>
      <c r="AH2866" s="2">
        <v>45954.1488372003</v>
      </c>
      <c r="AI2866" s="2">
        <v>45084.550459085898</v>
      </c>
      <c r="AJ2866" s="2">
        <v>48044.449444502701</v>
      </c>
      <c r="AK2866" s="2">
        <v>49392.822073115698</v>
      </c>
      <c r="AL2866" s="2">
        <v>59745.369856886296</v>
      </c>
      <c r="AM2866" s="2">
        <v>56011.359088940902</v>
      </c>
      <c r="AN2866" s="2">
        <v>51950.537210423099</v>
      </c>
      <c r="AO2866" s="2">
        <v>47721.315150483802</v>
      </c>
      <c r="AP2866" s="2">
        <v>57824.639912748396</v>
      </c>
    </row>
    <row r="2867" spans="1:42" ht="14.5" x14ac:dyDescent="0.35">
      <c r="A2867" s="2" t="s">
        <v>19091</v>
      </c>
      <c r="B2867" s="2">
        <v>672.27984227312402</v>
      </c>
      <c r="C2867" s="2">
        <v>9.0455833333333295</v>
      </c>
      <c r="D2867" s="2" t="s">
        <v>34</v>
      </c>
      <c r="E2867" s="2" t="s">
        <v>19092</v>
      </c>
      <c r="F2867" s="2">
        <v>208777</v>
      </c>
      <c r="G2867" s="3" t="str">
        <f>HYPERLINK("http://funmeta.oebiotech.com/network/208777", "http://funmeta.oebiotech.com/network/208777")</f>
        <v>http://funmeta.oebiotech.com/network/208777</v>
      </c>
      <c r="H2867" s="2" t="s">
        <v>19093</v>
      </c>
      <c r="I2867" s="2"/>
      <c r="J2867" s="2"/>
      <c r="K2867" s="2"/>
      <c r="L2867" s="2"/>
      <c r="M2867" s="2"/>
      <c r="N2867" s="2"/>
      <c r="O2867" s="2">
        <v>4179</v>
      </c>
      <c r="P2867" s="2"/>
      <c r="Q2867" s="2" t="s">
        <v>19094</v>
      </c>
      <c r="R2867" s="2" t="s">
        <v>19095</v>
      </c>
      <c r="S2867" s="2" t="s">
        <v>50</v>
      </c>
      <c r="T2867" s="2" t="s">
        <v>201</v>
      </c>
      <c r="U2867" s="2" t="s">
        <v>241</v>
      </c>
      <c r="V2867" s="2" t="s">
        <v>59</v>
      </c>
      <c r="W2867" s="2">
        <v>38.5</v>
      </c>
      <c r="X2867" s="2">
        <v>0</v>
      </c>
      <c r="Y2867" s="2" t="s">
        <v>43</v>
      </c>
      <c r="Z2867" s="2" t="s">
        <v>19096</v>
      </c>
      <c r="AA2867" s="2">
        <v>-0.73469424284402496</v>
      </c>
      <c r="AB2867" s="2">
        <v>0.280861582398097</v>
      </c>
      <c r="AC2867" s="2">
        <v>13412.7989144968</v>
      </c>
      <c r="AD2867" s="2">
        <v>7648.9423915795996</v>
      </c>
      <c r="AE2867" s="2">
        <v>15855.3878857339</v>
      </c>
      <c r="AF2867" s="2">
        <v>13405.817351383999</v>
      </c>
      <c r="AG2867" s="2">
        <v>13705.5625006767</v>
      </c>
      <c r="AH2867" s="2">
        <v>11097.799499259499</v>
      </c>
      <c r="AI2867" s="2">
        <v>11729.694457708099</v>
      </c>
      <c r="AJ2867" s="2">
        <v>14682.5317922184</v>
      </c>
      <c r="AK2867" s="2">
        <v>8011.66210500323</v>
      </c>
      <c r="AL2867" s="2">
        <v>8588.5585278400104</v>
      </c>
      <c r="AM2867" s="2">
        <v>7912.17761503989</v>
      </c>
      <c r="AN2867" s="2">
        <v>5483.0955246430804</v>
      </c>
      <c r="AO2867" s="2">
        <v>6521.2960014590399</v>
      </c>
      <c r="AP2867" s="2">
        <v>9376.8645754923491</v>
      </c>
    </row>
    <row r="2868" spans="1:42" ht="14.5" x14ac:dyDescent="0.35">
      <c r="A2868" s="2" t="s">
        <v>19097</v>
      </c>
      <c r="B2868" s="2">
        <v>1081.5229916138901</v>
      </c>
      <c r="C2868" s="2">
        <v>11.4425166666667</v>
      </c>
      <c r="D2868" s="2" t="s">
        <v>70</v>
      </c>
      <c r="E2868" s="2" t="s">
        <v>19098</v>
      </c>
      <c r="F2868" s="2">
        <v>58542</v>
      </c>
      <c r="G2868" s="3" t="str">
        <f>HYPERLINK("http://funmeta.oebiotech.com/network/58542", "http://funmeta.oebiotech.com/network/58542")</f>
        <v>http://funmeta.oebiotech.com/network/58542</v>
      </c>
      <c r="H2868" s="2" t="s">
        <v>19099</v>
      </c>
      <c r="I2868" s="2"/>
      <c r="J2868" s="2"/>
      <c r="K2868" s="2"/>
      <c r="L2868" s="2"/>
      <c r="M2868" s="2"/>
      <c r="N2868" s="2"/>
      <c r="O2868" s="2">
        <v>131751577</v>
      </c>
      <c r="P2868" s="2" t="s">
        <v>19100</v>
      </c>
      <c r="Q2868" s="2" t="s">
        <v>19101</v>
      </c>
      <c r="R2868" s="2" t="s">
        <v>19102</v>
      </c>
      <c r="S2868" s="2" t="s">
        <v>50</v>
      </c>
      <c r="T2868" s="2" t="s">
        <v>201</v>
      </c>
      <c r="U2868" s="2" t="s">
        <v>202</v>
      </c>
      <c r="V2868" s="2" t="s">
        <v>59</v>
      </c>
      <c r="W2868" s="2">
        <v>38.4</v>
      </c>
      <c r="X2868" s="2">
        <v>0</v>
      </c>
      <c r="Y2868" s="2" t="s">
        <v>118</v>
      </c>
      <c r="Z2868" s="2" t="s">
        <v>19103</v>
      </c>
      <c r="AA2868" s="2">
        <v>0.45614064888552203</v>
      </c>
      <c r="AB2868" s="2">
        <v>0.28085294217258</v>
      </c>
      <c r="AC2868" s="2">
        <v>11296.767489486099</v>
      </c>
      <c r="AD2868" s="2">
        <v>5477.7552539610497</v>
      </c>
      <c r="AE2868" s="2">
        <v>11392.859975670401</v>
      </c>
      <c r="AF2868" s="2">
        <v>8946.1916051996595</v>
      </c>
      <c r="AG2868" s="2">
        <v>12195.081637843299</v>
      </c>
      <c r="AH2868" s="2">
        <v>13366.4109134258</v>
      </c>
      <c r="AI2868" s="2">
        <v>9912.0346052259192</v>
      </c>
      <c r="AJ2868" s="2">
        <v>11968.026199551299</v>
      </c>
      <c r="AK2868" s="2">
        <v>5990.7297022806797</v>
      </c>
      <c r="AL2868" s="2">
        <v>4054.7303843893301</v>
      </c>
      <c r="AM2868" s="2">
        <v>4232.9248128879799</v>
      </c>
      <c r="AN2868" s="2">
        <v>3851.52178622368</v>
      </c>
      <c r="AO2868" s="2">
        <v>8006.7454013963097</v>
      </c>
      <c r="AP2868" s="2">
        <v>6729.8794365883105</v>
      </c>
    </row>
    <row r="2869" spans="1:42" ht="14.5" x14ac:dyDescent="0.35">
      <c r="A2869" s="2" t="s">
        <v>19104</v>
      </c>
      <c r="B2869" s="2">
        <v>624.93897880054703</v>
      </c>
      <c r="C2869" s="2">
        <v>1.27888333333333</v>
      </c>
      <c r="D2869" s="2" t="s">
        <v>70</v>
      </c>
      <c r="E2869" s="2" t="s">
        <v>19105</v>
      </c>
      <c r="F2869" s="2">
        <v>210178</v>
      </c>
      <c r="G2869" s="3" t="str">
        <f>HYPERLINK("http://funmeta.oebiotech.com/network/210178", "http://funmeta.oebiotech.com/network/210178")</f>
        <v>http://funmeta.oebiotech.com/network/210178</v>
      </c>
      <c r="H2869" s="2" t="s">
        <v>19106</v>
      </c>
      <c r="I2869" s="2">
        <v>459153</v>
      </c>
      <c r="J2869" s="2"/>
      <c r="K2869" s="2"/>
      <c r="L2869" s="2"/>
      <c r="M2869" s="2"/>
      <c r="N2869" s="2"/>
      <c r="O2869" s="2">
        <v>2776038</v>
      </c>
      <c r="P2869" s="2"/>
      <c r="Q2869" s="2" t="s">
        <v>19107</v>
      </c>
      <c r="R2869" s="2" t="s">
        <v>19108</v>
      </c>
      <c r="S2869" s="2" t="s">
        <v>41</v>
      </c>
      <c r="T2869" s="2" t="s">
        <v>41</v>
      </c>
      <c r="U2869" s="2" t="s">
        <v>41</v>
      </c>
      <c r="V2869" s="2" t="s">
        <v>59</v>
      </c>
      <c r="W2869" s="2">
        <v>41.3</v>
      </c>
      <c r="X2869" s="2">
        <v>12</v>
      </c>
      <c r="Y2869" s="2" t="s">
        <v>408</v>
      </c>
      <c r="Z2869" s="2" t="s">
        <v>19109</v>
      </c>
      <c r="AA2869" s="2">
        <v>-3.2099161762472801</v>
      </c>
      <c r="AB2869" s="2">
        <v>0.28044563656605598</v>
      </c>
      <c r="AC2869" s="2">
        <v>34412.362334864403</v>
      </c>
      <c r="AD2869" s="2">
        <v>48136.612680958999</v>
      </c>
      <c r="AE2869" s="2">
        <v>34685.626740432301</v>
      </c>
      <c r="AF2869" s="2">
        <v>36873.165115219199</v>
      </c>
      <c r="AG2869" s="2">
        <v>33083.702148499899</v>
      </c>
      <c r="AH2869" s="2">
        <v>36082.016282905002</v>
      </c>
      <c r="AI2869" s="2">
        <v>34796.317401866901</v>
      </c>
      <c r="AJ2869" s="2">
        <v>30953.346320262801</v>
      </c>
      <c r="AK2869" s="2">
        <v>37041.850578179503</v>
      </c>
      <c r="AL2869" s="2">
        <v>35576.411200876297</v>
      </c>
      <c r="AM2869" s="2">
        <v>101835.119820919</v>
      </c>
      <c r="AN2869" s="2">
        <v>40766.207024378702</v>
      </c>
      <c r="AO2869" s="2">
        <v>41188.923278062903</v>
      </c>
      <c r="AP2869" s="2">
        <v>32411.1641833375</v>
      </c>
    </row>
    <row r="2870" spans="1:42" ht="14.5" x14ac:dyDescent="0.35">
      <c r="A2870" s="2" t="s">
        <v>19110</v>
      </c>
      <c r="B2870" s="2">
        <v>291.12124985375902</v>
      </c>
      <c r="C2870" s="2">
        <v>8.3620833333333309</v>
      </c>
      <c r="D2870" s="2" t="s">
        <v>70</v>
      </c>
      <c r="E2870" s="2" t="s">
        <v>19111</v>
      </c>
      <c r="F2870" s="2">
        <v>205702</v>
      </c>
      <c r="G2870" s="3" t="str">
        <f>HYPERLINK("http://funmeta.oebiotech.com/network/205702", "http://funmeta.oebiotech.com/network/205702")</f>
        <v>http://funmeta.oebiotech.com/network/205702</v>
      </c>
      <c r="H2870" s="2" t="s">
        <v>19112</v>
      </c>
      <c r="I2870" s="2"/>
      <c r="J2870" s="2"/>
      <c r="K2870" s="2"/>
      <c r="L2870" s="2"/>
      <c r="M2870" s="2"/>
      <c r="N2870" s="2"/>
      <c r="O2870" s="2">
        <v>357075</v>
      </c>
      <c r="P2870" s="2"/>
      <c r="Q2870" s="2" t="s">
        <v>19113</v>
      </c>
      <c r="R2870" s="2" t="s">
        <v>19114</v>
      </c>
      <c r="S2870" s="2" t="s">
        <v>41</v>
      </c>
      <c r="T2870" s="2" t="s">
        <v>41</v>
      </c>
      <c r="U2870" s="2" t="s">
        <v>41</v>
      </c>
      <c r="V2870" s="2" t="s">
        <v>59</v>
      </c>
      <c r="W2870" s="2">
        <v>41.5</v>
      </c>
      <c r="X2870" s="2">
        <v>9.33</v>
      </c>
      <c r="Y2870" s="2" t="s">
        <v>408</v>
      </c>
      <c r="Z2870" s="2" t="s">
        <v>19115</v>
      </c>
      <c r="AA2870" s="2">
        <v>0.56023398931226198</v>
      </c>
      <c r="AB2870" s="2">
        <v>0.280254211792831</v>
      </c>
      <c r="AC2870" s="2">
        <v>7251.0412191302303</v>
      </c>
      <c r="AD2870" s="2">
        <v>2063.1095625599801</v>
      </c>
      <c r="AE2870" s="2">
        <v>7479.0375859660899</v>
      </c>
      <c r="AF2870" s="2">
        <v>7483.5750065813099</v>
      </c>
      <c r="AG2870" s="2">
        <v>6933.9081586837501</v>
      </c>
      <c r="AH2870" s="2">
        <v>7753.8234033669196</v>
      </c>
      <c r="AI2870" s="2">
        <v>7231.3350429335696</v>
      </c>
      <c r="AJ2870" s="2">
        <v>6624.5681172497598</v>
      </c>
      <c r="AK2870" s="2">
        <v>2357.73542206706</v>
      </c>
      <c r="AL2870" s="2">
        <v>1894.9742892224799</v>
      </c>
      <c r="AM2870" s="2">
        <v>2275.6373697681602</v>
      </c>
      <c r="AN2870" s="2">
        <v>2021.36605470474</v>
      </c>
      <c r="AO2870" s="2">
        <v>1938.2354646860399</v>
      </c>
      <c r="AP2870" s="2">
        <v>1890.70877491137</v>
      </c>
    </row>
    <row r="2871" spans="1:42" ht="14.5" x14ac:dyDescent="0.35">
      <c r="A2871" s="2" t="s">
        <v>19116</v>
      </c>
      <c r="B2871" s="2">
        <v>181.12224423375801</v>
      </c>
      <c r="C2871" s="2">
        <v>9.9015833333333294</v>
      </c>
      <c r="D2871" s="2" t="s">
        <v>34</v>
      </c>
      <c r="E2871" s="2" t="s">
        <v>19117</v>
      </c>
      <c r="F2871" s="2">
        <v>59127</v>
      </c>
      <c r="G2871" s="3" t="str">
        <f>HYPERLINK("http://funmeta.oebiotech.com/network/59127", "http://funmeta.oebiotech.com/network/59127")</f>
        <v>http://funmeta.oebiotech.com/network/59127</v>
      </c>
      <c r="H2871" s="2" t="s">
        <v>19118</v>
      </c>
      <c r="I2871" s="2">
        <v>90552</v>
      </c>
      <c r="J2871" s="2"/>
      <c r="K2871" s="2"/>
      <c r="L2871" s="2"/>
      <c r="M2871" s="2"/>
      <c r="N2871" s="2"/>
      <c r="O2871" s="2">
        <v>27209</v>
      </c>
      <c r="P2871" s="2" t="s">
        <v>19119</v>
      </c>
      <c r="Q2871" s="2" t="s">
        <v>19120</v>
      </c>
      <c r="R2871" s="2" t="s">
        <v>19121</v>
      </c>
      <c r="S2871" s="2" t="s">
        <v>491</v>
      </c>
      <c r="T2871" s="2" t="s">
        <v>19122</v>
      </c>
      <c r="U2871" s="2" t="s">
        <v>41</v>
      </c>
      <c r="V2871" s="2" t="s">
        <v>59</v>
      </c>
      <c r="W2871" s="2">
        <v>48.4</v>
      </c>
      <c r="X2871" s="2">
        <v>44.3</v>
      </c>
      <c r="Y2871" s="2" t="s">
        <v>394</v>
      </c>
      <c r="Z2871" s="2" t="s">
        <v>19123</v>
      </c>
      <c r="AA2871" s="2">
        <v>-0.34394954114162402</v>
      </c>
      <c r="AB2871" s="2">
        <v>0.27993710640984099</v>
      </c>
      <c r="AC2871" s="2">
        <v>34966.221094239503</v>
      </c>
      <c r="AD2871" s="2">
        <v>42287.669667262802</v>
      </c>
      <c r="AE2871" s="2">
        <v>29709.935907212901</v>
      </c>
      <c r="AF2871" s="2">
        <v>30933.9266180708</v>
      </c>
      <c r="AG2871" s="2">
        <v>35768.860835859297</v>
      </c>
      <c r="AH2871" s="2">
        <v>39925.381945187502</v>
      </c>
      <c r="AI2871" s="2">
        <v>38123.399880758203</v>
      </c>
      <c r="AJ2871" s="2">
        <v>35335.821378348097</v>
      </c>
      <c r="AK2871" s="2">
        <v>46645.894857442298</v>
      </c>
      <c r="AL2871" s="2">
        <v>44516.693831919598</v>
      </c>
      <c r="AM2871" s="2">
        <v>37131.672683066899</v>
      </c>
      <c r="AN2871" s="2">
        <v>37540.737046933202</v>
      </c>
      <c r="AO2871" s="2">
        <v>41920.508465410298</v>
      </c>
      <c r="AP2871" s="2">
        <v>45970.511118804803</v>
      </c>
    </row>
    <row r="2872" spans="1:42" ht="14.5" x14ac:dyDescent="0.35">
      <c r="A2872" s="2" t="s">
        <v>19124</v>
      </c>
      <c r="B2872" s="2">
        <v>845.22007385073005</v>
      </c>
      <c r="C2872" s="2">
        <v>8.5806833333333294</v>
      </c>
      <c r="D2872" s="2" t="s">
        <v>34</v>
      </c>
      <c r="E2872" s="2" t="s">
        <v>19125</v>
      </c>
      <c r="F2872" s="2">
        <v>28776</v>
      </c>
      <c r="G2872" s="3" t="str">
        <f>HYPERLINK("http://funmeta.oebiotech.com/network/28776", "http://funmeta.oebiotech.com/network/28776")</f>
        <v>http://funmeta.oebiotech.com/network/28776</v>
      </c>
      <c r="H2872" s="2"/>
      <c r="I2872" s="2"/>
      <c r="J2872" s="2" t="s">
        <v>19126</v>
      </c>
      <c r="K2872" s="2"/>
      <c r="L2872" s="2"/>
      <c r="M2872" s="2"/>
      <c r="N2872" s="2"/>
      <c r="O2872" s="2">
        <v>101949838</v>
      </c>
      <c r="P2872" s="2"/>
      <c r="Q2872" s="2" t="s">
        <v>19127</v>
      </c>
      <c r="R2872" s="2" t="s">
        <v>19128</v>
      </c>
      <c r="S2872" s="2" t="s">
        <v>115</v>
      </c>
      <c r="T2872" s="2" t="s">
        <v>139</v>
      </c>
      <c r="U2872" s="2" t="s">
        <v>140</v>
      </c>
      <c r="V2872" s="2" t="s">
        <v>59</v>
      </c>
      <c r="W2872" s="2">
        <v>36.200000000000003</v>
      </c>
      <c r="X2872" s="2">
        <v>0</v>
      </c>
      <c r="Y2872" s="2" t="s">
        <v>43</v>
      </c>
      <c r="Z2872" s="2" t="s">
        <v>19129</v>
      </c>
      <c r="AA2872" s="2">
        <v>-2.3745259538932699</v>
      </c>
      <c r="AB2872" s="2">
        <v>0.27989014616900498</v>
      </c>
      <c r="AC2872" s="2">
        <v>59822.693191597398</v>
      </c>
      <c r="AD2872" s="2">
        <v>49493.328138706398</v>
      </c>
      <c r="AE2872" s="2">
        <v>62715.266451082003</v>
      </c>
      <c r="AF2872" s="2">
        <v>67959.346884899394</v>
      </c>
      <c r="AG2872" s="2">
        <v>54630.169410396396</v>
      </c>
      <c r="AH2872" s="2">
        <v>52731.343054069803</v>
      </c>
      <c r="AI2872" s="2">
        <v>61115.671395149497</v>
      </c>
      <c r="AJ2872" s="2">
        <v>59784.3619539875</v>
      </c>
      <c r="AK2872" s="2">
        <v>49036.51240272</v>
      </c>
      <c r="AL2872" s="2">
        <v>26820.3971456578</v>
      </c>
      <c r="AM2872" s="2">
        <v>54625.130779847299</v>
      </c>
      <c r="AN2872" s="2">
        <v>60769.750268024203</v>
      </c>
      <c r="AO2872" s="2">
        <v>59373.917506670798</v>
      </c>
      <c r="AP2872" s="2">
        <v>46334.260729318201</v>
      </c>
    </row>
    <row r="2873" spans="1:42" ht="14.5" x14ac:dyDescent="0.35">
      <c r="A2873" s="2" t="s">
        <v>19130</v>
      </c>
      <c r="B2873" s="2">
        <v>535.20117120369002</v>
      </c>
      <c r="C2873" s="2">
        <v>3.6167500000000001</v>
      </c>
      <c r="D2873" s="2" t="s">
        <v>70</v>
      </c>
      <c r="E2873" s="2" t="s">
        <v>19131</v>
      </c>
      <c r="F2873" s="2">
        <v>277300</v>
      </c>
      <c r="G2873" s="3" t="str">
        <f>HYPERLINK("http://funmeta.oebiotech.com/network/277300", "http://funmeta.oebiotech.com/network/277300")</f>
        <v>http://funmeta.oebiotech.com/network/277300</v>
      </c>
      <c r="H2873" s="2"/>
      <c r="I2873" s="2">
        <v>69104</v>
      </c>
      <c r="J2873" s="2"/>
      <c r="K2873" s="2"/>
      <c r="L2873" s="2" t="s">
        <v>19132</v>
      </c>
      <c r="M2873" s="2"/>
      <c r="N2873" s="2"/>
      <c r="O2873" s="2">
        <v>443278</v>
      </c>
      <c r="P2873" s="2"/>
      <c r="Q2873" s="2" t="s">
        <v>19133</v>
      </c>
      <c r="R2873" s="2" t="s">
        <v>19134</v>
      </c>
      <c r="S2873" s="2" t="s">
        <v>491</v>
      </c>
      <c r="T2873" s="2" t="s">
        <v>3519</v>
      </c>
      <c r="U2873" s="2" t="s">
        <v>7268</v>
      </c>
      <c r="V2873" s="2" t="s">
        <v>59</v>
      </c>
      <c r="W2873" s="2">
        <v>37.700000000000003</v>
      </c>
      <c r="X2873" s="2">
        <v>0</v>
      </c>
      <c r="Y2873" s="2" t="s">
        <v>560</v>
      </c>
      <c r="Z2873" s="2" t="s">
        <v>19135</v>
      </c>
      <c r="AA2873" s="2">
        <v>2.9999435533257799</v>
      </c>
      <c r="AB2873" s="2">
        <v>0.27987394170577401</v>
      </c>
      <c r="AC2873" s="2">
        <v>17340.590010897002</v>
      </c>
      <c r="AD2873" s="2">
        <v>12024.0485106346</v>
      </c>
      <c r="AE2873" s="2">
        <v>18226.0070254647</v>
      </c>
      <c r="AF2873" s="2">
        <v>15817.293958891099</v>
      </c>
      <c r="AG2873" s="2">
        <v>16949.147640604799</v>
      </c>
      <c r="AH2873" s="2">
        <v>17125.7012259412</v>
      </c>
      <c r="AI2873" s="2">
        <v>18006.283096480802</v>
      </c>
      <c r="AJ2873" s="2">
        <v>17919.1071179992</v>
      </c>
      <c r="AK2873" s="2">
        <v>11150.230238955401</v>
      </c>
      <c r="AL2873" s="2">
        <v>12235.8861003498</v>
      </c>
      <c r="AM2873" s="2">
        <v>11864.112953989399</v>
      </c>
      <c r="AN2873" s="2">
        <v>12681.9183557702</v>
      </c>
      <c r="AO2873" s="2">
        <v>12220.8396679753</v>
      </c>
      <c r="AP2873" s="2">
        <v>11991.3037467675</v>
      </c>
    </row>
    <row r="2874" spans="1:42" ht="14.5" x14ac:dyDescent="0.35">
      <c r="A2874" s="2" t="s">
        <v>19136</v>
      </c>
      <c r="B2874" s="2">
        <v>159.065106195933</v>
      </c>
      <c r="C2874" s="2">
        <v>0.75019999999999998</v>
      </c>
      <c r="D2874" s="2" t="s">
        <v>34</v>
      </c>
      <c r="E2874" s="2" t="s">
        <v>19137</v>
      </c>
      <c r="F2874" s="2">
        <v>1369</v>
      </c>
      <c r="G2874" s="3" t="str">
        <f>HYPERLINK("http://funmeta.oebiotech.com/network/1369", "http://funmeta.oebiotech.com/network/1369")</f>
        <v>http://funmeta.oebiotech.com/network/1369</v>
      </c>
      <c r="H2874" s="2"/>
      <c r="I2874" s="2"/>
      <c r="J2874" s="2" t="s">
        <v>19138</v>
      </c>
      <c r="K2874" s="2">
        <v>37260</v>
      </c>
      <c r="L2874" s="2"/>
      <c r="M2874" s="2"/>
      <c r="N2874" s="2"/>
      <c r="O2874" s="2">
        <v>11966236</v>
      </c>
      <c r="P2874" s="2"/>
      <c r="Q2874" s="2" t="s">
        <v>19139</v>
      </c>
      <c r="R2874" s="2" t="s">
        <v>19140</v>
      </c>
      <c r="S2874" s="2" t="s">
        <v>50</v>
      </c>
      <c r="T2874" s="2" t="s">
        <v>229</v>
      </c>
      <c r="U2874" s="2" t="s">
        <v>433</v>
      </c>
      <c r="V2874" s="2" t="s">
        <v>59</v>
      </c>
      <c r="W2874" s="2">
        <v>46.7</v>
      </c>
      <c r="X2874" s="2">
        <v>36.700000000000003</v>
      </c>
      <c r="Y2874" s="2" t="s">
        <v>440</v>
      </c>
      <c r="Z2874" s="2" t="s">
        <v>19141</v>
      </c>
      <c r="AA2874" s="2">
        <v>-0.50003829314402803</v>
      </c>
      <c r="AB2874" s="2">
        <v>0.27937300831674</v>
      </c>
      <c r="AC2874" s="2">
        <v>323388.45289371</v>
      </c>
      <c r="AD2874" s="2">
        <v>335690.20125409402</v>
      </c>
      <c r="AE2874" s="2">
        <v>300640.66122268199</v>
      </c>
      <c r="AF2874" s="2">
        <v>324695.57983129902</v>
      </c>
      <c r="AG2874" s="2">
        <v>342923.53065245698</v>
      </c>
      <c r="AH2874" s="2">
        <v>324954.69105493801</v>
      </c>
      <c r="AI2874" s="2">
        <v>319130.83043055702</v>
      </c>
      <c r="AJ2874" s="2">
        <v>327985.42417032598</v>
      </c>
      <c r="AK2874" s="2">
        <v>324610.67937274202</v>
      </c>
      <c r="AL2874" s="2">
        <v>356660.38038134301</v>
      </c>
      <c r="AM2874" s="2">
        <v>342030.22936774598</v>
      </c>
      <c r="AN2874" s="2">
        <v>326563.58389728301</v>
      </c>
      <c r="AO2874" s="2">
        <v>347164.045902443</v>
      </c>
      <c r="AP2874" s="2">
        <v>317112.28860301001</v>
      </c>
    </row>
    <row r="2875" spans="1:42" ht="14.5" x14ac:dyDescent="0.35">
      <c r="A2875" s="2" t="s">
        <v>19142</v>
      </c>
      <c r="B2875" s="2">
        <v>363.166255757096</v>
      </c>
      <c r="C2875" s="2">
        <v>4.6304499999999997</v>
      </c>
      <c r="D2875" s="2" t="s">
        <v>70</v>
      </c>
      <c r="E2875" s="2" t="s">
        <v>19143</v>
      </c>
      <c r="F2875" s="2">
        <v>204350</v>
      </c>
      <c r="G2875" s="3" t="str">
        <f>HYPERLINK("http://funmeta.oebiotech.com/network/204350", "http://funmeta.oebiotech.com/network/204350")</f>
        <v>http://funmeta.oebiotech.com/network/204350</v>
      </c>
      <c r="H2875" s="2" t="s">
        <v>19144</v>
      </c>
      <c r="I2875" s="2"/>
      <c r="J2875" s="2"/>
      <c r="K2875" s="2"/>
      <c r="L2875" s="2"/>
      <c r="M2875" s="2"/>
      <c r="N2875" s="2"/>
      <c r="O2875" s="2"/>
      <c r="P2875" s="2"/>
      <c r="Q2875" s="2" t="s">
        <v>19145</v>
      </c>
      <c r="R2875" s="2" t="s">
        <v>19146</v>
      </c>
      <c r="S2875" s="2" t="s">
        <v>41</v>
      </c>
      <c r="T2875" s="2" t="s">
        <v>41</v>
      </c>
      <c r="U2875" s="2" t="s">
        <v>41</v>
      </c>
      <c r="V2875" s="2" t="s">
        <v>59</v>
      </c>
      <c r="W2875" s="2">
        <v>45.7</v>
      </c>
      <c r="X2875" s="2">
        <v>42</v>
      </c>
      <c r="Y2875" s="2" t="s">
        <v>408</v>
      </c>
      <c r="Z2875" s="2" t="s">
        <v>19147</v>
      </c>
      <c r="AA2875" s="2">
        <v>-3.5757589278038902</v>
      </c>
      <c r="AB2875" s="2">
        <v>0.27929426902405002</v>
      </c>
      <c r="AC2875" s="2">
        <v>40604.7469419552</v>
      </c>
      <c r="AD2875" s="2">
        <v>34744.4220702655</v>
      </c>
      <c r="AE2875" s="2">
        <v>40115.210261051499</v>
      </c>
      <c r="AF2875" s="2">
        <v>40769.695012563199</v>
      </c>
      <c r="AG2875" s="2">
        <v>40401.929658425601</v>
      </c>
      <c r="AH2875" s="2">
        <v>40469.987552512997</v>
      </c>
      <c r="AI2875" s="2">
        <v>40986.580512555702</v>
      </c>
      <c r="AJ2875" s="2">
        <v>40885.078654622201</v>
      </c>
      <c r="AK2875" s="2">
        <v>34598.442159680802</v>
      </c>
      <c r="AL2875" s="2">
        <v>31126.501724108799</v>
      </c>
      <c r="AM2875" s="2">
        <v>36495.718772543703</v>
      </c>
      <c r="AN2875" s="2">
        <v>34274.153215769496</v>
      </c>
      <c r="AO2875" s="2">
        <v>33629.926737322501</v>
      </c>
      <c r="AP2875" s="2">
        <v>38341.789812167801</v>
      </c>
    </row>
    <row r="2876" spans="1:42" ht="14.5" x14ac:dyDescent="0.35">
      <c r="A2876" s="2" t="s">
        <v>19148</v>
      </c>
      <c r="B2876" s="2">
        <v>335.15129862413801</v>
      </c>
      <c r="C2876" s="2">
        <v>11.827999999999999</v>
      </c>
      <c r="D2876" s="2" t="s">
        <v>34</v>
      </c>
      <c r="E2876" s="2" t="s">
        <v>19149</v>
      </c>
      <c r="F2876" s="2">
        <v>55105</v>
      </c>
      <c r="G2876" s="3" t="str">
        <f>HYPERLINK("http://funmeta.oebiotech.com/network/55105", "http://funmeta.oebiotech.com/network/55105")</f>
        <v>http://funmeta.oebiotech.com/network/55105</v>
      </c>
      <c r="H2876" s="2" t="s">
        <v>19150</v>
      </c>
      <c r="I2876" s="2">
        <v>86857</v>
      </c>
      <c r="J2876" s="2"/>
      <c r="K2876" s="2">
        <v>115148</v>
      </c>
      <c r="L2876" s="2"/>
      <c r="M2876" s="2"/>
      <c r="N2876" s="2"/>
      <c r="O2876" s="2">
        <v>101711</v>
      </c>
      <c r="P2876" s="2" t="s">
        <v>19151</v>
      </c>
      <c r="Q2876" s="2" t="s">
        <v>19152</v>
      </c>
      <c r="R2876" s="2" t="s">
        <v>19153</v>
      </c>
      <c r="S2876" s="2" t="s">
        <v>39</v>
      </c>
      <c r="T2876" s="2" t="s">
        <v>19154</v>
      </c>
      <c r="U2876" s="2" t="s">
        <v>41</v>
      </c>
      <c r="V2876" s="2" t="s">
        <v>59</v>
      </c>
      <c r="W2876" s="2">
        <v>41.1</v>
      </c>
      <c r="X2876" s="2">
        <v>14.2</v>
      </c>
      <c r="Y2876" s="2" t="s">
        <v>340</v>
      </c>
      <c r="Z2876" s="2" t="s">
        <v>19155</v>
      </c>
      <c r="AA2876" s="2">
        <v>-2.4405195172108298</v>
      </c>
      <c r="AB2876" s="2">
        <v>0.27926740627801699</v>
      </c>
      <c r="AC2876" s="2">
        <v>6302.1821704130498</v>
      </c>
      <c r="AD2876" s="2">
        <v>1122.79957868881</v>
      </c>
      <c r="AE2876" s="2">
        <v>6843.0126506590695</v>
      </c>
      <c r="AF2876" s="2">
        <v>6572.6408029499198</v>
      </c>
      <c r="AG2876" s="2">
        <v>6642.9929087485398</v>
      </c>
      <c r="AH2876" s="2">
        <v>5151.1452192779298</v>
      </c>
      <c r="AI2876" s="2">
        <v>6501.8720693544101</v>
      </c>
      <c r="AJ2876" s="2">
        <v>6101.4293714884598</v>
      </c>
      <c r="AK2876" s="2">
        <v>872.53900158947795</v>
      </c>
      <c r="AL2876" s="2">
        <v>1189.1504582658699</v>
      </c>
      <c r="AM2876" s="2">
        <v>1227.27401297437</v>
      </c>
      <c r="AN2876" s="2">
        <v>958.60840581432296</v>
      </c>
      <c r="AO2876" s="2">
        <v>1196.4166965322399</v>
      </c>
      <c r="AP2876" s="2">
        <v>1292.8088969565499</v>
      </c>
    </row>
    <row r="2877" spans="1:42" ht="14.5" x14ac:dyDescent="0.35">
      <c r="A2877" s="2" t="s">
        <v>19156</v>
      </c>
      <c r="B2877" s="2">
        <v>515.37266779161996</v>
      </c>
      <c r="C2877" s="2">
        <v>11.0433</v>
      </c>
      <c r="D2877" s="2" t="s">
        <v>34</v>
      </c>
      <c r="E2877" s="2" t="s">
        <v>19157</v>
      </c>
      <c r="F2877" s="2">
        <v>204319</v>
      </c>
      <c r="G2877" s="3" t="str">
        <f>HYPERLINK("http://funmeta.oebiotech.com/network/204319", "http://funmeta.oebiotech.com/network/204319")</f>
        <v>http://funmeta.oebiotech.com/network/204319</v>
      </c>
      <c r="H2877" s="2" t="s">
        <v>19158</v>
      </c>
      <c r="I2877" s="2"/>
      <c r="J2877" s="2"/>
      <c r="K2877" s="2"/>
      <c r="L2877" s="2"/>
      <c r="M2877" s="2"/>
      <c r="N2877" s="2"/>
      <c r="O2877" s="2">
        <v>146249</v>
      </c>
      <c r="P2877" s="2"/>
      <c r="Q2877" s="2" t="s">
        <v>19159</v>
      </c>
      <c r="R2877" s="2" t="s">
        <v>19160</v>
      </c>
      <c r="S2877" s="2" t="s">
        <v>41</v>
      </c>
      <c r="T2877" s="2" t="s">
        <v>41</v>
      </c>
      <c r="U2877" s="2" t="s">
        <v>41</v>
      </c>
      <c r="V2877" s="2" t="s">
        <v>59</v>
      </c>
      <c r="W2877" s="2">
        <v>38.799999999999997</v>
      </c>
      <c r="X2877" s="2">
        <v>0</v>
      </c>
      <c r="Y2877" s="2" t="s">
        <v>340</v>
      </c>
      <c r="Z2877" s="2" t="s">
        <v>19161</v>
      </c>
      <c r="AA2877" s="2">
        <v>1.0133847853109701</v>
      </c>
      <c r="AB2877" s="2">
        <v>0.278874027730383</v>
      </c>
      <c r="AC2877" s="2">
        <v>10059.9298408085</v>
      </c>
      <c r="AD2877" s="2">
        <v>15312.9257619813</v>
      </c>
      <c r="AE2877" s="2">
        <v>8882.6075729463792</v>
      </c>
      <c r="AF2877" s="2">
        <v>10581.9094827178</v>
      </c>
      <c r="AG2877" s="2">
        <v>10716.164869538399</v>
      </c>
      <c r="AH2877" s="2">
        <v>10043.480853503401</v>
      </c>
      <c r="AI2877" s="2">
        <v>9984.1490146755295</v>
      </c>
      <c r="AJ2877" s="2">
        <v>10151.267251469601</v>
      </c>
      <c r="AK2877" s="2">
        <v>14785.799364344</v>
      </c>
      <c r="AL2877" s="2">
        <v>14986.5826565191</v>
      </c>
      <c r="AM2877" s="2">
        <v>16054.3897350774</v>
      </c>
      <c r="AN2877" s="2">
        <v>15551.6302690062</v>
      </c>
      <c r="AO2877" s="2">
        <v>14286.549399490001</v>
      </c>
      <c r="AP2877" s="2">
        <v>16212.603147451</v>
      </c>
    </row>
    <row r="2878" spans="1:42" ht="14.5" x14ac:dyDescent="0.35">
      <c r="A2878" s="2" t="s">
        <v>19162</v>
      </c>
      <c r="B2878" s="2">
        <v>215.138974200456</v>
      </c>
      <c r="C2878" s="2">
        <v>0.78071666666666695</v>
      </c>
      <c r="D2878" s="2" t="s">
        <v>34</v>
      </c>
      <c r="E2878" s="2" t="s">
        <v>19163</v>
      </c>
      <c r="F2878" s="2">
        <v>266964</v>
      </c>
      <c r="G2878" s="3" t="str">
        <f>HYPERLINK("http://funmeta.oebiotech.com/network/266964", "http://funmeta.oebiotech.com/network/266964")</f>
        <v>http://funmeta.oebiotech.com/network/266964</v>
      </c>
      <c r="H2878" s="2"/>
      <c r="I2878" s="2">
        <v>44403</v>
      </c>
      <c r="J2878" s="2"/>
      <c r="K2878" s="2"/>
      <c r="L2878" s="2"/>
      <c r="M2878" s="2"/>
      <c r="N2878" s="2"/>
      <c r="O2878" s="2">
        <v>18538</v>
      </c>
      <c r="P2878" s="2" t="s">
        <v>19164</v>
      </c>
      <c r="Q2878" s="2" t="s">
        <v>19165</v>
      </c>
      <c r="R2878" s="2" t="s">
        <v>19166</v>
      </c>
      <c r="S2878" s="2" t="s">
        <v>148</v>
      </c>
      <c r="T2878" s="2" t="s">
        <v>392</v>
      </c>
      <c r="U2878" s="2" t="s">
        <v>2045</v>
      </c>
      <c r="V2878" s="2" t="s">
        <v>59</v>
      </c>
      <c r="W2878" s="2">
        <v>39.299999999999997</v>
      </c>
      <c r="X2878" s="2">
        <v>0</v>
      </c>
      <c r="Y2878" s="2" t="s">
        <v>43</v>
      </c>
      <c r="Z2878" s="2" t="s">
        <v>18165</v>
      </c>
      <c r="AA2878" s="2">
        <v>-0.22665092078990801</v>
      </c>
      <c r="AB2878" s="2">
        <v>0.278812855131646</v>
      </c>
      <c r="AC2878" s="2">
        <v>34585.090221024599</v>
      </c>
      <c r="AD2878" s="2">
        <v>40541.428111057503</v>
      </c>
      <c r="AE2878" s="2">
        <v>31183.470062707998</v>
      </c>
      <c r="AF2878" s="2">
        <v>35217.7231127544</v>
      </c>
      <c r="AG2878" s="2">
        <v>38233.242996966997</v>
      </c>
      <c r="AH2878" s="2">
        <v>31941.712641166501</v>
      </c>
      <c r="AI2878" s="2">
        <v>34716.857048948303</v>
      </c>
      <c r="AJ2878" s="2">
        <v>36217.535463603599</v>
      </c>
      <c r="AK2878" s="2">
        <v>40851.226662451598</v>
      </c>
      <c r="AL2878" s="2">
        <v>41573.3648116283</v>
      </c>
      <c r="AM2878" s="2">
        <v>39586.273066959096</v>
      </c>
      <c r="AN2878" s="2">
        <v>40643.044092038101</v>
      </c>
      <c r="AO2878" s="2">
        <v>40964.6643888658</v>
      </c>
      <c r="AP2878" s="2">
        <v>39629.995644401999</v>
      </c>
    </row>
    <row r="2879" spans="1:42" ht="14.5" x14ac:dyDescent="0.35">
      <c r="A2879" s="2" t="s">
        <v>19167</v>
      </c>
      <c r="B2879" s="2">
        <v>1108.5619987474199</v>
      </c>
      <c r="C2879" s="2">
        <v>9.5044666666666693</v>
      </c>
      <c r="D2879" s="2" t="s">
        <v>34</v>
      </c>
      <c r="E2879" s="2" t="s">
        <v>19168</v>
      </c>
      <c r="F2879" s="2">
        <v>245468</v>
      </c>
      <c r="G2879" s="3" t="str">
        <f>HYPERLINK("http://funmeta.oebiotech.com/network/245468", "http://funmeta.oebiotech.com/network/245468")</f>
        <v>http://funmeta.oebiotech.com/network/245468</v>
      </c>
      <c r="H2879" s="2" t="s">
        <v>19169</v>
      </c>
      <c r="I2879" s="2"/>
      <c r="J2879" s="2"/>
      <c r="K2879" s="2"/>
      <c r="L2879" s="2"/>
      <c r="M2879" s="2"/>
      <c r="N2879" s="2"/>
      <c r="O2879" s="2"/>
      <c r="P2879" s="2"/>
      <c r="Q2879" s="2" t="s">
        <v>19170</v>
      </c>
      <c r="R2879" s="2" t="s">
        <v>19171</v>
      </c>
      <c r="S2879" s="2" t="s">
        <v>41</v>
      </c>
      <c r="T2879" s="2" t="s">
        <v>41</v>
      </c>
      <c r="U2879" s="2" t="s">
        <v>41</v>
      </c>
      <c r="V2879" s="2" t="s">
        <v>59</v>
      </c>
      <c r="W2879" s="2">
        <v>38.799999999999997</v>
      </c>
      <c r="X2879" s="2">
        <v>0</v>
      </c>
      <c r="Y2879" s="2" t="s">
        <v>394</v>
      </c>
      <c r="Z2879" s="2" t="s">
        <v>19172</v>
      </c>
      <c r="AA2879" s="2">
        <v>-1.29534021420544</v>
      </c>
      <c r="AB2879" s="2">
        <v>0.27849998057717601</v>
      </c>
      <c r="AC2879" s="2">
        <v>6162.6248397514801</v>
      </c>
      <c r="AD2879" s="2">
        <v>880.18269493306502</v>
      </c>
      <c r="AE2879" s="2">
        <v>7629.9064331910904</v>
      </c>
      <c r="AF2879" s="2">
        <v>4935.1776831413399</v>
      </c>
      <c r="AG2879" s="2">
        <v>7031.3501364109297</v>
      </c>
      <c r="AH2879" s="2">
        <v>5759.3635399900304</v>
      </c>
      <c r="AI2879" s="2">
        <v>5404.1662738477598</v>
      </c>
      <c r="AJ2879" s="2">
        <v>6215.7849719277101</v>
      </c>
      <c r="AK2879" s="2">
        <v>2.7106294003980101E-5</v>
      </c>
      <c r="AL2879" s="2">
        <v>1362.5047470304501</v>
      </c>
      <c r="AM2879" s="2">
        <v>782.40977836496597</v>
      </c>
      <c r="AN2879" s="2">
        <v>1621.4651043684501</v>
      </c>
      <c r="AO2879" s="2">
        <v>882.37104842115104</v>
      </c>
      <c r="AP2879" s="2">
        <v>632.34546430708099</v>
      </c>
    </row>
    <row r="2880" spans="1:42" ht="14.5" x14ac:dyDescent="0.35">
      <c r="A2880" s="2" t="s">
        <v>19173</v>
      </c>
      <c r="B2880" s="2">
        <v>417.20199798847602</v>
      </c>
      <c r="C2880" s="2">
        <v>3.5301</v>
      </c>
      <c r="D2880" s="2" t="s">
        <v>34</v>
      </c>
      <c r="E2880" s="2" t="s">
        <v>19174</v>
      </c>
      <c r="F2880" s="2">
        <v>53528</v>
      </c>
      <c r="G2880" s="3" t="str">
        <f>HYPERLINK("http://funmeta.oebiotech.com/network/53528", "http://funmeta.oebiotech.com/network/53528")</f>
        <v>http://funmeta.oebiotech.com/network/53528</v>
      </c>
      <c r="H2880" s="2" t="s">
        <v>19175</v>
      </c>
      <c r="I2880" s="2"/>
      <c r="J2880" s="2"/>
      <c r="K2880" s="2">
        <v>23359</v>
      </c>
      <c r="L2880" s="2" t="s">
        <v>19176</v>
      </c>
      <c r="M2880" s="2" t="s">
        <v>9575</v>
      </c>
      <c r="N2880" s="2" t="s">
        <v>9576</v>
      </c>
      <c r="O2880" s="2">
        <v>2833</v>
      </c>
      <c r="P2880" s="2" t="s">
        <v>19177</v>
      </c>
      <c r="Q2880" s="2" t="s">
        <v>19178</v>
      </c>
      <c r="R2880" s="2" t="s">
        <v>19179</v>
      </c>
      <c r="S2880" s="2" t="s">
        <v>11257</v>
      </c>
      <c r="T2880" s="2" t="s">
        <v>11258</v>
      </c>
      <c r="U2880" s="2" t="s">
        <v>41</v>
      </c>
      <c r="V2880" s="2" t="s">
        <v>59</v>
      </c>
      <c r="W2880" s="2">
        <v>39.700000000000003</v>
      </c>
      <c r="X2880" s="2">
        <v>2.64</v>
      </c>
      <c r="Y2880" s="2" t="s">
        <v>43</v>
      </c>
      <c r="Z2880" s="2" t="s">
        <v>19180</v>
      </c>
      <c r="AA2880" s="2">
        <v>-3.7742071985734003E-2</v>
      </c>
      <c r="AB2880" s="2">
        <v>0.27840454395034903</v>
      </c>
      <c r="AC2880" s="2">
        <v>95882.565399239698</v>
      </c>
      <c r="AD2880" s="2">
        <v>88726.784451541505</v>
      </c>
      <c r="AE2880" s="2">
        <v>95388.972270305094</v>
      </c>
      <c r="AF2880" s="2">
        <v>99173.3739722475</v>
      </c>
      <c r="AG2880" s="2">
        <v>97784.685749683995</v>
      </c>
      <c r="AH2880" s="2">
        <v>88751.303664161896</v>
      </c>
      <c r="AI2880" s="2">
        <v>97920.769257303997</v>
      </c>
      <c r="AJ2880" s="2">
        <v>96276.287481735402</v>
      </c>
      <c r="AK2880" s="2">
        <v>90467.078839332302</v>
      </c>
      <c r="AL2880" s="2">
        <v>85040.9865801907</v>
      </c>
      <c r="AM2880" s="2">
        <v>91444.3500028704</v>
      </c>
      <c r="AN2880" s="2">
        <v>90054.662418195294</v>
      </c>
      <c r="AO2880" s="2">
        <v>82619.638005472603</v>
      </c>
      <c r="AP2880" s="2">
        <v>92733.990863187806</v>
      </c>
    </row>
    <row r="2881" spans="1:42" ht="14.5" x14ac:dyDescent="0.35">
      <c r="A2881" s="2" t="s">
        <v>19181</v>
      </c>
      <c r="B2881" s="2">
        <v>681.24079171944004</v>
      </c>
      <c r="C2881" s="2">
        <v>4.84418333333333</v>
      </c>
      <c r="D2881" s="2" t="s">
        <v>70</v>
      </c>
      <c r="E2881" s="2" t="s">
        <v>19182</v>
      </c>
      <c r="F2881" s="2">
        <v>18453</v>
      </c>
      <c r="G2881" s="3" t="str">
        <f>HYPERLINK("http://funmeta.oebiotech.com/network/18453", "http://funmeta.oebiotech.com/network/18453")</f>
        <v>http://funmeta.oebiotech.com/network/18453</v>
      </c>
      <c r="H2881" s="2"/>
      <c r="I2881" s="2">
        <v>39733</v>
      </c>
      <c r="J2881" s="2" t="s">
        <v>19183</v>
      </c>
      <c r="K2881" s="2"/>
      <c r="L2881" s="2"/>
      <c r="M2881" s="2"/>
      <c r="N2881" s="2"/>
      <c r="O2881" s="2">
        <v>12114857</v>
      </c>
      <c r="P2881" s="2"/>
      <c r="Q2881" s="2" t="s">
        <v>19184</v>
      </c>
      <c r="R2881" s="2" t="s">
        <v>19185</v>
      </c>
      <c r="S2881" s="2" t="s">
        <v>50</v>
      </c>
      <c r="T2881" s="2" t="s">
        <v>51</v>
      </c>
      <c r="U2881" s="2" t="s">
        <v>168</v>
      </c>
      <c r="V2881" s="2" t="s">
        <v>59</v>
      </c>
      <c r="W2881" s="2">
        <v>38.5</v>
      </c>
      <c r="X2881" s="2">
        <v>0</v>
      </c>
      <c r="Y2881" s="2" t="s">
        <v>560</v>
      </c>
      <c r="Z2881" s="2" t="s">
        <v>19186</v>
      </c>
      <c r="AA2881" s="2">
        <v>0.236614167391417</v>
      </c>
      <c r="AB2881" s="2">
        <v>0.27838917776428301</v>
      </c>
      <c r="AC2881" s="2">
        <v>5161.1243493369302</v>
      </c>
      <c r="AD2881" s="2">
        <v>11020.2130129205</v>
      </c>
      <c r="AE2881" s="2">
        <v>4785.9035313294999</v>
      </c>
      <c r="AF2881" s="2">
        <v>5698.9878122382197</v>
      </c>
      <c r="AG2881" s="2">
        <v>1048.3365160046701</v>
      </c>
      <c r="AH2881" s="2">
        <v>6090.7623950479701</v>
      </c>
      <c r="AI2881" s="2">
        <v>5157.7554657416504</v>
      </c>
      <c r="AJ2881" s="2">
        <v>8185.0003756595497</v>
      </c>
      <c r="AK2881" s="2">
        <v>10923.241235793101</v>
      </c>
      <c r="AL2881" s="2">
        <v>11142.8979357887</v>
      </c>
      <c r="AM2881" s="2">
        <v>12866.9600720861</v>
      </c>
      <c r="AN2881" s="2">
        <v>9444.9653976014597</v>
      </c>
      <c r="AO2881" s="2">
        <v>11588.7352476335</v>
      </c>
      <c r="AP2881" s="2">
        <v>10154.4781886199</v>
      </c>
    </row>
    <row r="2882" spans="1:42" ht="14.5" x14ac:dyDescent="0.35">
      <c r="A2882" s="2" t="s">
        <v>19187</v>
      </c>
      <c r="B2882" s="2">
        <v>461.36237662232998</v>
      </c>
      <c r="C2882" s="2">
        <v>12.5392666666667</v>
      </c>
      <c r="D2882" s="2" t="s">
        <v>34</v>
      </c>
      <c r="E2882" s="2" t="s">
        <v>19188</v>
      </c>
      <c r="F2882" s="2">
        <v>52040</v>
      </c>
      <c r="G2882" s="3" t="str">
        <f>HYPERLINK("http://funmeta.oebiotech.com/network/52040", "http://funmeta.oebiotech.com/network/52040")</f>
        <v>http://funmeta.oebiotech.com/network/52040</v>
      </c>
      <c r="H2882" s="2" t="s">
        <v>19189</v>
      </c>
      <c r="I2882" s="2"/>
      <c r="J2882" s="2"/>
      <c r="K2882" s="2">
        <v>145207</v>
      </c>
      <c r="L2882" s="2"/>
      <c r="M2882" s="2"/>
      <c r="N2882" s="2"/>
      <c r="O2882" s="2">
        <v>53481461</v>
      </c>
      <c r="P2882" s="2"/>
      <c r="Q2882" s="2" t="s">
        <v>19190</v>
      </c>
      <c r="R2882" s="2" t="s">
        <v>19191</v>
      </c>
      <c r="S2882" s="2" t="s">
        <v>50</v>
      </c>
      <c r="T2882" s="2" t="s">
        <v>201</v>
      </c>
      <c r="U2882" s="2" t="s">
        <v>5622</v>
      </c>
      <c r="V2882" s="2" t="s">
        <v>59</v>
      </c>
      <c r="W2882" s="2">
        <v>38.700000000000003</v>
      </c>
      <c r="X2882" s="2">
        <v>0</v>
      </c>
      <c r="Y2882" s="2" t="s">
        <v>394</v>
      </c>
      <c r="Z2882" s="2" t="s">
        <v>15805</v>
      </c>
      <c r="AA2882" s="2">
        <v>-0.34718245607554599</v>
      </c>
      <c r="AB2882" s="2">
        <v>0.27828901361050001</v>
      </c>
      <c r="AC2882" s="2">
        <v>8873.8317855330606</v>
      </c>
      <c r="AD2882" s="2">
        <v>3562.87516838791</v>
      </c>
      <c r="AE2882" s="2">
        <v>8711.5305738102707</v>
      </c>
      <c r="AF2882" s="2">
        <v>9201.1043541421695</v>
      </c>
      <c r="AG2882" s="2">
        <v>10516.885139121699</v>
      </c>
      <c r="AH2882" s="2">
        <v>8853.4426381594694</v>
      </c>
      <c r="AI2882" s="2">
        <v>6832.8676373921598</v>
      </c>
      <c r="AJ2882" s="2">
        <v>9127.1603705726193</v>
      </c>
      <c r="AK2882" s="2">
        <v>3900.9586574396199</v>
      </c>
      <c r="AL2882" s="2">
        <v>4174.2902170252501</v>
      </c>
      <c r="AM2882" s="2">
        <v>2542.9597255241301</v>
      </c>
      <c r="AN2882" s="2">
        <v>4050.5835526053702</v>
      </c>
      <c r="AO2882" s="2">
        <v>3084.2241202372402</v>
      </c>
      <c r="AP2882" s="2">
        <v>3624.2347374958399</v>
      </c>
    </row>
    <row r="2883" spans="1:42" ht="14.5" x14ac:dyDescent="0.35">
      <c r="A2883" s="2" t="s">
        <v>19192</v>
      </c>
      <c r="B2883" s="2">
        <v>492.15094180307</v>
      </c>
      <c r="C2883" s="2">
        <v>4.9166499999999997</v>
      </c>
      <c r="D2883" s="2" t="s">
        <v>70</v>
      </c>
      <c r="E2883" s="2" t="s">
        <v>19193</v>
      </c>
      <c r="F2883" s="2">
        <v>209686</v>
      </c>
      <c r="G2883" s="3" t="str">
        <f>HYPERLINK("http://funmeta.oebiotech.com/network/209686", "http://funmeta.oebiotech.com/network/209686")</f>
        <v>http://funmeta.oebiotech.com/network/209686</v>
      </c>
      <c r="H2883" s="2" t="s">
        <v>19194</v>
      </c>
      <c r="I2883" s="2"/>
      <c r="J2883" s="2"/>
      <c r="K2883" s="2"/>
      <c r="L2883" s="2"/>
      <c r="M2883" s="2"/>
      <c r="N2883" s="2"/>
      <c r="O2883" s="2">
        <v>14356106</v>
      </c>
      <c r="P2883" s="2"/>
      <c r="Q2883" s="2" t="s">
        <v>19195</v>
      </c>
      <c r="R2883" s="2" t="s">
        <v>19196</v>
      </c>
      <c r="S2883" s="2" t="s">
        <v>41</v>
      </c>
      <c r="T2883" s="2" t="s">
        <v>41</v>
      </c>
      <c r="U2883" s="2" t="s">
        <v>41</v>
      </c>
      <c r="V2883" s="2" t="s">
        <v>59</v>
      </c>
      <c r="W2883" s="2">
        <v>38.5</v>
      </c>
      <c r="X2883" s="2">
        <v>0</v>
      </c>
      <c r="Y2883" s="2" t="s">
        <v>408</v>
      </c>
      <c r="Z2883" s="2" t="s">
        <v>19197</v>
      </c>
      <c r="AA2883" s="2">
        <v>-0.43038859039680399</v>
      </c>
      <c r="AB2883" s="2">
        <v>0.27811508480098801</v>
      </c>
      <c r="AC2883" s="2">
        <v>3051.9102211289601</v>
      </c>
      <c r="AD2883" s="2">
        <v>8332.5458235853494</v>
      </c>
      <c r="AE2883" s="2">
        <v>2388.5337288704</v>
      </c>
      <c r="AF2883" s="2">
        <v>2063.3052707419401</v>
      </c>
      <c r="AG2883" s="2">
        <v>3753.2735416297901</v>
      </c>
      <c r="AH2883" s="2">
        <v>3702.02278049301</v>
      </c>
      <c r="AI2883" s="2">
        <v>2235.59536502528</v>
      </c>
      <c r="AJ2883" s="2">
        <v>4168.7306400133202</v>
      </c>
      <c r="AK2883" s="2">
        <v>8150.9237617900199</v>
      </c>
      <c r="AL2883" s="2">
        <v>9357.8276257923499</v>
      </c>
      <c r="AM2883" s="2">
        <v>8551.4662302187498</v>
      </c>
      <c r="AN2883" s="2">
        <v>8005.4052491239399</v>
      </c>
      <c r="AO2883" s="2">
        <v>7382.9591593538898</v>
      </c>
      <c r="AP2883" s="2">
        <v>8546.6929152331395</v>
      </c>
    </row>
    <row r="2884" spans="1:42" ht="14.5" x14ac:dyDescent="0.35">
      <c r="A2884" s="2" t="s">
        <v>19198</v>
      </c>
      <c r="B2884" s="2">
        <v>469.24385323231002</v>
      </c>
      <c r="C2884" s="2">
        <v>5.4314499999999999</v>
      </c>
      <c r="D2884" s="2" t="s">
        <v>70</v>
      </c>
      <c r="E2884" s="2" t="s">
        <v>19199</v>
      </c>
      <c r="F2884" s="2">
        <v>6404</v>
      </c>
      <c r="G2884" s="3" t="str">
        <f>HYPERLINK("http://funmeta.oebiotech.com/network/6404", "http://funmeta.oebiotech.com/network/6404")</f>
        <v>http://funmeta.oebiotech.com/network/6404</v>
      </c>
      <c r="H2884" s="2" t="s">
        <v>19200</v>
      </c>
      <c r="I2884" s="2">
        <v>2053</v>
      </c>
      <c r="J2884" s="2" t="s">
        <v>19201</v>
      </c>
      <c r="K2884" s="2">
        <v>63618</v>
      </c>
      <c r="L2884" s="2" t="s">
        <v>19202</v>
      </c>
      <c r="M2884" s="2" t="s">
        <v>4185</v>
      </c>
      <c r="N2884" s="2" t="s">
        <v>4186</v>
      </c>
      <c r="O2884" s="2">
        <v>54687</v>
      </c>
      <c r="P2884" s="2" t="s">
        <v>19203</v>
      </c>
      <c r="Q2884" s="2" t="s">
        <v>19204</v>
      </c>
      <c r="R2884" s="2" t="s">
        <v>19205</v>
      </c>
      <c r="S2884" s="2" t="s">
        <v>89</v>
      </c>
      <c r="T2884" s="2" t="s">
        <v>4218</v>
      </c>
      <c r="U2884" s="2" t="s">
        <v>5830</v>
      </c>
      <c r="V2884" s="2" t="s">
        <v>59</v>
      </c>
      <c r="W2884" s="2">
        <v>38.700000000000003</v>
      </c>
      <c r="X2884" s="2">
        <v>0</v>
      </c>
      <c r="Y2884" s="2" t="s">
        <v>408</v>
      </c>
      <c r="Z2884" s="2" t="s">
        <v>19206</v>
      </c>
      <c r="AA2884" s="2">
        <v>-1.06808082918129</v>
      </c>
      <c r="AB2884" s="2">
        <v>0.27792950090419299</v>
      </c>
      <c r="AC2884" s="2">
        <v>12970.769788203001</v>
      </c>
      <c r="AD2884" s="2">
        <v>7547.2871283651002</v>
      </c>
      <c r="AE2884" s="2">
        <v>11979.235150409701</v>
      </c>
      <c r="AF2884" s="2">
        <v>11253.6214971769</v>
      </c>
      <c r="AG2884" s="2">
        <v>13477.1005575446</v>
      </c>
      <c r="AH2884" s="2">
        <v>13889.573198255601</v>
      </c>
      <c r="AI2884" s="2">
        <v>13768.954587677599</v>
      </c>
      <c r="AJ2884" s="2">
        <v>13456.133738153399</v>
      </c>
      <c r="AK2884" s="2">
        <v>7246.48890915421</v>
      </c>
      <c r="AL2884" s="2">
        <v>6921.4017784815596</v>
      </c>
      <c r="AM2884" s="2">
        <v>9136.5233228852103</v>
      </c>
      <c r="AN2884" s="2">
        <v>6604.1165913196901</v>
      </c>
      <c r="AO2884" s="2">
        <v>6612.8121803144604</v>
      </c>
      <c r="AP2884" s="2">
        <v>8762.3799880354509</v>
      </c>
    </row>
    <row r="2885" spans="1:42" ht="14.5" x14ac:dyDescent="0.35">
      <c r="A2885" s="2" t="s">
        <v>19207</v>
      </c>
      <c r="B2885" s="2">
        <v>833.42993744239004</v>
      </c>
      <c r="C2885" s="2">
        <v>12.184433333333301</v>
      </c>
      <c r="D2885" s="2" t="s">
        <v>70</v>
      </c>
      <c r="E2885" s="2" t="s">
        <v>19208</v>
      </c>
      <c r="F2885" s="2">
        <v>64139</v>
      </c>
      <c r="G2885" s="3" t="str">
        <f>HYPERLINK("http://funmeta.oebiotech.com/network/64139", "http://funmeta.oebiotech.com/network/64139")</f>
        <v>http://funmeta.oebiotech.com/network/64139</v>
      </c>
      <c r="H2885" s="2" t="s">
        <v>19209</v>
      </c>
      <c r="I2885" s="2">
        <v>95462</v>
      </c>
      <c r="J2885" s="2"/>
      <c r="K2885" s="2">
        <v>176326</v>
      </c>
      <c r="L2885" s="2"/>
      <c r="M2885" s="2"/>
      <c r="N2885" s="2"/>
      <c r="O2885" s="2">
        <v>76401300</v>
      </c>
      <c r="P2885" s="2" t="s">
        <v>19210</v>
      </c>
      <c r="Q2885" s="2" t="s">
        <v>19211</v>
      </c>
      <c r="R2885" s="2" t="s">
        <v>19212</v>
      </c>
      <c r="S2885" s="2" t="s">
        <v>50</v>
      </c>
      <c r="T2885" s="2" t="s">
        <v>201</v>
      </c>
      <c r="U2885" s="2" t="s">
        <v>202</v>
      </c>
      <c r="V2885" s="2" t="s">
        <v>59</v>
      </c>
      <c r="W2885" s="2">
        <v>36.700000000000003</v>
      </c>
      <c r="X2885" s="2">
        <v>0</v>
      </c>
      <c r="Y2885" s="2" t="s">
        <v>751</v>
      </c>
      <c r="Z2885" s="2" t="s">
        <v>19213</v>
      </c>
      <c r="AA2885" s="2">
        <v>-3.4694454520736602</v>
      </c>
      <c r="AB2885" s="2">
        <v>0.27781936022807702</v>
      </c>
      <c r="AC2885" s="2">
        <v>40231.598961080497</v>
      </c>
      <c r="AD2885" s="2">
        <v>33836.631450622699</v>
      </c>
      <c r="AE2885" s="2">
        <v>41488.930070526701</v>
      </c>
      <c r="AF2885" s="2">
        <v>37317.442160928498</v>
      </c>
      <c r="AG2885" s="2">
        <v>44155.126434879399</v>
      </c>
      <c r="AH2885" s="2">
        <v>36835.822174472698</v>
      </c>
      <c r="AI2885" s="2">
        <v>42672.978839472198</v>
      </c>
      <c r="AJ2885" s="2">
        <v>38919.294086203801</v>
      </c>
      <c r="AK2885" s="2">
        <v>35718.9633174439</v>
      </c>
      <c r="AL2885" s="2">
        <v>29789.159714943598</v>
      </c>
      <c r="AM2885" s="2">
        <v>34002.9194292717</v>
      </c>
      <c r="AN2885" s="2">
        <v>34107.832519008101</v>
      </c>
      <c r="AO2885" s="2">
        <v>33169.840983852097</v>
      </c>
      <c r="AP2885" s="2">
        <v>36231.072739216797</v>
      </c>
    </row>
    <row r="2886" spans="1:42" ht="14.5" x14ac:dyDescent="0.35">
      <c r="A2886" s="2" t="s">
        <v>19214</v>
      </c>
      <c r="B2886" s="2">
        <v>1011.4911577434</v>
      </c>
      <c r="C2886" s="2">
        <v>10.5845</v>
      </c>
      <c r="D2886" s="2" t="s">
        <v>34</v>
      </c>
      <c r="E2886" s="2" t="s">
        <v>19215</v>
      </c>
      <c r="F2886" s="2">
        <v>27469</v>
      </c>
      <c r="G2886" s="3" t="str">
        <f>HYPERLINK("http://funmeta.oebiotech.com/network/27469", "http://funmeta.oebiotech.com/network/27469")</f>
        <v>http://funmeta.oebiotech.com/network/27469</v>
      </c>
      <c r="H2886" s="2"/>
      <c r="I2886" s="2"/>
      <c r="J2886" s="2" t="s">
        <v>19216</v>
      </c>
      <c r="K2886" s="2"/>
      <c r="L2886" s="2"/>
      <c r="M2886" s="2"/>
      <c r="N2886" s="2"/>
      <c r="O2886" s="2"/>
      <c r="P2886" s="2"/>
      <c r="Q2886" s="2" t="s">
        <v>19217</v>
      </c>
      <c r="R2886" s="2" t="s">
        <v>19218</v>
      </c>
      <c r="S2886" s="2" t="s">
        <v>79</v>
      </c>
      <c r="T2886" s="2" t="s">
        <v>80</v>
      </c>
      <c r="U2886" s="2" t="s">
        <v>81</v>
      </c>
      <c r="V2886" s="2" t="s">
        <v>59</v>
      </c>
      <c r="W2886" s="2">
        <v>38.9</v>
      </c>
      <c r="X2886" s="2">
        <v>0</v>
      </c>
      <c r="Y2886" s="2" t="s">
        <v>340</v>
      </c>
      <c r="Z2886" s="2" t="s">
        <v>19219</v>
      </c>
      <c r="AA2886" s="2">
        <v>-0.42777849459853401</v>
      </c>
      <c r="AB2886" s="2">
        <v>0.27776024537412403</v>
      </c>
      <c r="AC2886" s="2">
        <v>4800.3580917506697</v>
      </c>
      <c r="AD2886" s="2">
        <v>10147.2677383396</v>
      </c>
      <c r="AE2886" s="2">
        <v>5780.31620973381</v>
      </c>
      <c r="AF2886" s="2">
        <v>3582.29412265055</v>
      </c>
      <c r="AG2886" s="2">
        <v>5863.9714980325998</v>
      </c>
      <c r="AH2886" s="2">
        <v>4304.75614615225</v>
      </c>
      <c r="AI2886" s="2">
        <v>4765.5870413062603</v>
      </c>
      <c r="AJ2886" s="2">
        <v>4505.2235326285499</v>
      </c>
      <c r="AK2886" s="2">
        <v>8894.0267208821406</v>
      </c>
      <c r="AL2886" s="2">
        <v>10391.2662992487</v>
      </c>
      <c r="AM2886" s="2">
        <v>10731.834516336399</v>
      </c>
      <c r="AN2886" s="2">
        <v>9506.8136953390604</v>
      </c>
      <c r="AO2886" s="2">
        <v>9485.8063577676203</v>
      </c>
      <c r="AP2886" s="2">
        <v>11873.858840463599</v>
      </c>
    </row>
    <row r="2887" spans="1:42" ht="14.5" x14ac:dyDescent="0.35">
      <c r="A2887" s="2" t="s">
        <v>19220</v>
      </c>
      <c r="B2887" s="2">
        <v>274.13927513296898</v>
      </c>
      <c r="C2887" s="2">
        <v>0.71894999999999998</v>
      </c>
      <c r="D2887" s="2" t="s">
        <v>34</v>
      </c>
      <c r="E2887" s="2" t="s">
        <v>19221</v>
      </c>
      <c r="F2887" s="2">
        <v>267062</v>
      </c>
      <c r="G2887" s="3" t="str">
        <f>HYPERLINK("http://funmeta.oebiotech.com/network/267062", "http://funmeta.oebiotech.com/network/267062")</f>
        <v>http://funmeta.oebiotech.com/network/267062</v>
      </c>
      <c r="H2887" s="2"/>
      <c r="I2887" s="2">
        <v>44641</v>
      </c>
      <c r="J2887" s="2"/>
      <c r="K2887" s="2"/>
      <c r="L2887" s="2"/>
      <c r="M2887" s="2"/>
      <c r="N2887" s="2"/>
      <c r="O2887" s="2">
        <v>66377</v>
      </c>
      <c r="P2887" s="2" t="s">
        <v>19222</v>
      </c>
      <c r="Q2887" s="2" t="s">
        <v>19223</v>
      </c>
      <c r="R2887" s="2" t="s">
        <v>19224</v>
      </c>
      <c r="S2887" s="2" t="s">
        <v>1444</v>
      </c>
      <c r="T2887" s="2" t="s">
        <v>10689</v>
      </c>
      <c r="U2887" s="2" t="s">
        <v>10690</v>
      </c>
      <c r="V2887" s="2" t="s">
        <v>59</v>
      </c>
      <c r="W2887" s="2">
        <v>37.200000000000003</v>
      </c>
      <c r="X2887" s="2">
        <v>0</v>
      </c>
      <c r="Y2887" s="2" t="s">
        <v>43</v>
      </c>
      <c r="Z2887" s="2" t="s">
        <v>19225</v>
      </c>
      <c r="AA2887" s="2">
        <v>-1.8430559835303399</v>
      </c>
      <c r="AB2887" s="2">
        <v>0.277736698275727</v>
      </c>
      <c r="AC2887" s="2">
        <v>15934.906619511101</v>
      </c>
      <c r="AD2887" s="2">
        <v>9471.2011992346397</v>
      </c>
      <c r="AE2887" s="2">
        <v>13317.844759559401</v>
      </c>
      <c r="AF2887" s="2">
        <v>16516.821751605999</v>
      </c>
      <c r="AG2887" s="2">
        <v>15487.291315775199</v>
      </c>
      <c r="AH2887" s="2">
        <v>21561.4709930957</v>
      </c>
      <c r="AI2887" s="2">
        <v>14630.041978421699</v>
      </c>
      <c r="AJ2887" s="2">
        <v>14095.9689186086</v>
      </c>
      <c r="AK2887" s="2">
        <v>6918.2779095205296</v>
      </c>
      <c r="AL2887" s="2">
        <v>9302.4827366924692</v>
      </c>
      <c r="AM2887" s="2">
        <v>9513.9507491582008</v>
      </c>
      <c r="AN2887" s="2">
        <v>14189.883291693801</v>
      </c>
      <c r="AO2887" s="2">
        <v>9599.8758460563604</v>
      </c>
      <c r="AP2887" s="2">
        <v>7302.7366622864602</v>
      </c>
    </row>
    <row r="2888" spans="1:42" ht="14.5" x14ac:dyDescent="0.35">
      <c r="A2888" s="2" t="s">
        <v>19226</v>
      </c>
      <c r="B2888" s="2">
        <v>878.19346506351599</v>
      </c>
      <c r="C2888" s="2">
        <v>3.8059833333333302</v>
      </c>
      <c r="D2888" s="2" t="s">
        <v>70</v>
      </c>
      <c r="E2888" s="2" t="s">
        <v>19227</v>
      </c>
      <c r="F2888" s="2">
        <v>51446</v>
      </c>
      <c r="G2888" s="3" t="str">
        <f>HYPERLINK("http://funmeta.oebiotech.com/network/51446", "http://funmeta.oebiotech.com/network/51446")</f>
        <v>http://funmeta.oebiotech.com/network/51446</v>
      </c>
      <c r="H2888" s="2" t="s">
        <v>19228</v>
      </c>
      <c r="I2888" s="2">
        <v>62405</v>
      </c>
      <c r="J2888" s="2"/>
      <c r="K2888" s="2"/>
      <c r="L2888" s="2"/>
      <c r="M2888" s="2"/>
      <c r="N2888" s="2"/>
      <c r="O2888" s="2">
        <v>53481016</v>
      </c>
      <c r="P2888" s="2"/>
      <c r="Q2888" s="2" t="s">
        <v>19229</v>
      </c>
      <c r="R2888" s="2" t="s">
        <v>19230</v>
      </c>
      <c r="S2888" s="2" t="s">
        <v>50</v>
      </c>
      <c r="T2888" s="2" t="s">
        <v>229</v>
      </c>
      <c r="U2888" s="2" t="s">
        <v>10433</v>
      </c>
      <c r="V2888" s="2" t="s">
        <v>59</v>
      </c>
      <c r="W2888" s="2">
        <v>37.6</v>
      </c>
      <c r="X2888" s="2">
        <v>0</v>
      </c>
      <c r="Y2888" s="2" t="s">
        <v>118</v>
      </c>
      <c r="Z2888" s="2" t="s">
        <v>19231</v>
      </c>
      <c r="AA2888" s="2">
        <v>-3.7334906057712698</v>
      </c>
      <c r="AB2888" s="2">
        <v>0.27711436475186102</v>
      </c>
      <c r="AC2888" s="2">
        <v>12249.684535828001</v>
      </c>
      <c r="AD2888" s="2">
        <v>5646.7529269714396</v>
      </c>
      <c r="AE2888" s="2">
        <v>9973.0249783256895</v>
      </c>
      <c r="AF2888" s="2">
        <v>14161.843932968401</v>
      </c>
      <c r="AG2888" s="2">
        <v>18443.111504451401</v>
      </c>
      <c r="AH2888" s="2">
        <v>8144.0967945246502</v>
      </c>
      <c r="AI2888" s="2">
        <v>8404.5911583745892</v>
      </c>
      <c r="AJ2888" s="2">
        <v>14371.438846323499</v>
      </c>
      <c r="AK2888" s="2">
        <v>4534.0616606673702</v>
      </c>
      <c r="AL2888" s="2">
        <v>4530.7924124765996</v>
      </c>
      <c r="AM2888" s="2">
        <v>4759.8887408703204</v>
      </c>
      <c r="AN2888" s="2">
        <v>5776.8851642274003</v>
      </c>
      <c r="AO2888" s="2">
        <v>9019.6619578586105</v>
      </c>
      <c r="AP2888" s="2">
        <v>5259.2276257283102</v>
      </c>
    </row>
    <row r="2889" spans="1:42" ht="14.5" x14ac:dyDescent="0.35">
      <c r="A2889" s="2" t="s">
        <v>19232</v>
      </c>
      <c r="B2889" s="2">
        <v>315.19503770542298</v>
      </c>
      <c r="C2889" s="2">
        <v>7.7732999999999999</v>
      </c>
      <c r="D2889" s="2" t="s">
        <v>34</v>
      </c>
      <c r="E2889" s="2" t="s">
        <v>19233</v>
      </c>
      <c r="F2889" s="2">
        <v>36117</v>
      </c>
      <c r="G2889" s="3" t="str">
        <f>HYPERLINK("http://funmeta.oebiotech.com/network/36117", "http://funmeta.oebiotech.com/network/36117")</f>
        <v>http://funmeta.oebiotech.com/network/36117</v>
      </c>
      <c r="H2889" s="2"/>
      <c r="I2889" s="2">
        <v>53705</v>
      </c>
      <c r="J2889" s="2" t="s">
        <v>19234</v>
      </c>
      <c r="K2889" s="2"/>
      <c r="L2889" s="2"/>
      <c r="M2889" s="2"/>
      <c r="N2889" s="2"/>
      <c r="O2889" s="2">
        <v>21603665</v>
      </c>
      <c r="P2889" s="2"/>
      <c r="Q2889" s="2" t="s">
        <v>19235</v>
      </c>
      <c r="R2889" s="2" t="s">
        <v>19236</v>
      </c>
      <c r="S2889" s="2" t="s">
        <v>491</v>
      </c>
      <c r="T2889" s="2" t="s">
        <v>5973</v>
      </c>
      <c r="U2889" s="2" t="s">
        <v>5974</v>
      </c>
      <c r="V2889" s="2" t="s">
        <v>42</v>
      </c>
      <c r="W2889" s="2">
        <v>52.9</v>
      </c>
      <c r="X2889" s="2">
        <v>80.400000000000006</v>
      </c>
      <c r="Y2889" s="2" t="s">
        <v>141</v>
      </c>
      <c r="Z2889" s="2" t="s">
        <v>4980</v>
      </c>
      <c r="AA2889" s="2">
        <v>-1.3047031788541099</v>
      </c>
      <c r="AB2889" s="2">
        <v>0.277090111307285</v>
      </c>
      <c r="AC2889" s="2">
        <v>16255.059247274699</v>
      </c>
      <c r="AD2889" s="2">
        <v>10438.692426650299</v>
      </c>
      <c r="AE2889" s="2">
        <v>14161.3833596532</v>
      </c>
      <c r="AF2889" s="2">
        <v>17950.488282162001</v>
      </c>
      <c r="AG2889" s="2">
        <v>16933.351726579</v>
      </c>
      <c r="AH2889" s="2">
        <v>16716.041273596398</v>
      </c>
      <c r="AI2889" s="2">
        <v>14184.3669020744</v>
      </c>
      <c r="AJ2889" s="2">
        <v>17584.723939582898</v>
      </c>
      <c r="AK2889" s="2">
        <v>8025.4196653101299</v>
      </c>
      <c r="AL2889" s="2">
        <v>9079.9162218107904</v>
      </c>
      <c r="AM2889" s="2">
        <v>12223.691547550199</v>
      </c>
      <c r="AN2889" s="2">
        <v>13360.5555030424</v>
      </c>
      <c r="AO2889" s="2">
        <v>9973.2646886596394</v>
      </c>
      <c r="AP2889" s="2">
        <v>9969.3069335289092</v>
      </c>
    </row>
    <row r="2890" spans="1:42" ht="14.5" x14ac:dyDescent="0.35">
      <c r="A2890" s="2" t="s">
        <v>19237</v>
      </c>
      <c r="B2890" s="2">
        <v>917.47436692478004</v>
      </c>
      <c r="C2890" s="2">
        <v>9.4170999999999996</v>
      </c>
      <c r="D2890" s="2" t="s">
        <v>70</v>
      </c>
      <c r="E2890" s="2" t="s">
        <v>19238</v>
      </c>
      <c r="F2890" s="2">
        <v>55058</v>
      </c>
      <c r="G2890" s="3" t="str">
        <f>HYPERLINK("http://funmeta.oebiotech.com/network/55058", "http://funmeta.oebiotech.com/network/55058")</f>
        <v>http://funmeta.oebiotech.com/network/55058</v>
      </c>
      <c r="H2890" s="2" t="s">
        <v>19239</v>
      </c>
      <c r="I2890" s="2">
        <v>86820</v>
      </c>
      <c r="J2890" s="2"/>
      <c r="K2890" s="2">
        <v>134013</v>
      </c>
      <c r="L2890" s="2"/>
      <c r="M2890" s="2"/>
      <c r="N2890" s="2"/>
      <c r="O2890" s="2">
        <v>129011027</v>
      </c>
      <c r="P2890" s="2" t="s">
        <v>19240</v>
      </c>
      <c r="Q2890" s="2" t="s">
        <v>19241</v>
      </c>
      <c r="R2890" s="2" t="s">
        <v>19242</v>
      </c>
      <c r="S2890" s="2" t="s">
        <v>50</v>
      </c>
      <c r="T2890" s="2" t="s">
        <v>124</v>
      </c>
      <c r="U2890" s="2" t="s">
        <v>523</v>
      </c>
      <c r="V2890" s="2" t="s">
        <v>59</v>
      </c>
      <c r="W2890" s="2">
        <v>38.1</v>
      </c>
      <c r="X2890" s="2">
        <v>0</v>
      </c>
      <c r="Y2890" s="2" t="s">
        <v>408</v>
      </c>
      <c r="Z2890" s="2" t="s">
        <v>19243</v>
      </c>
      <c r="AA2890" s="2">
        <v>-0.90178517438134898</v>
      </c>
      <c r="AB2890" s="2">
        <v>0.27707172466746299</v>
      </c>
      <c r="AC2890" s="2">
        <v>10861.2370535307</v>
      </c>
      <c r="AD2890" s="2">
        <v>5311.6669194000597</v>
      </c>
      <c r="AE2890" s="2">
        <v>12006.5301866799</v>
      </c>
      <c r="AF2890" s="2">
        <v>8523.4902796880906</v>
      </c>
      <c r="AG2890" s="2">
        <v>10210.461779338</v>
      </c>
      <c r="AH2890" s="2">
        <v>10902.591317160999</v>
      </c>
      <c r="AI2890" s="2">
        <v>10761.531456393601</v>
      </c>
      <c r="AJ2890" s="2">
        <v>12762.8173019234</v>
      </c>
      <c r="AK2890" s="2">
        <v>4037.1777830565302</v>
      </c>
      <c r="AL2890" s="2">
        <v>5147.1550352915101</v>
      </c>
      <c r="AM2890" s="2">
        <v>4864.2736201356902</v>
      </c>
      <c r="AN2890" s="2">
        <v>6419.7081243481498</v>
      </c>
      <c r="AO2890" s="2">
        <v>7258.1986583278804</v>
      </c>
      <c r="AP2890" s="2">
        <v>4143.4882952405796</v>
      </c>
    </row>
    <row r="2891" spans="1:42" ht="14.5" x14ac:dyDescent="0.35">
      <c r="A2891" s="2" t="s">
        <v>19244</v>
      </c>
      <c r="B2891" s="2">
        <v>431.15522653176902</v>
      </c>
      <c r="C2891" s="2">
        <v>4.1524000000000001</v>
      </c>
      <c r="D2891" s="2" t="s">
        <v>70</v>
      </c>
      <c r="E2891" s="2" t="s">
        <v>19245</v>
      </c>
      <c r="F2891" s="2">
        <v>64597</v>
      </c>
      <c r="G2891" s="3" t="str">
        <f>HYPERLINK("http://funmeta.oebiotech.com/network/64597", "http://funmeta.oebiotech.com/network/64597")</f>
        <v>http://funmeta.oebiotech.com/network/64597</v>
      </c>
      <c r="H2891" s="2" t="s">
        <v>19246</v>
      </c>
      <c r="I2891" s="2">
        <v>95899</v>
      </c>
      <c r="J2891" s="2"/>
      <c r="K2891" s="2"/>
      <c r="L2891" s="2"/>
      <c r="M2891" s="2"/>
      <c r="N2891" s="2"/>
      <c r="O2891" s="2">
        <v>4155678</v>
      </c>
      <c r="P2891" s="2" t="s">
        <v>19247</v>
      </c>
      <c r="Q2891" s="2" t="s">
        <v>19248</v>
      </c>
      <c r="R2891" s="2" t="s">
        <v>19249</v>
      </c>
      <c r="S2891" s="2" t="s">
        <v>79</v>
      </c>
      <c r="T2891" s="2" t="s">
        <v>80</v>
      </c>
      <c r="U2891" s="2" t="s">
        <v>81</v>
      </c>
      <c r="V2891" s="2" t="s">
        <v>42</v>
      </c>
      <c r="W2891" s="2">
        <v>50.2</v>
      </c>
      <c r="X2891" s="2">
        <v>59.1</v>
      </c>
      <c r="Y2891" s="2" t="s">
        <v>118</v>
      </c>
      <c r="Z2891" s="2" t="s">
        <v>14879</v>
      </c>
      <c r="AA2891" s="2">
        <v>-1.52430704344461</v>
      </c>
      <c r="AB2891" s="2">
        <v>0.27705435412164903</v>
      </c>
      <c r="AC2891" s="2">
        <v>146231.82455614</v>
      </c>
      <c r="AD2891" s="2">
        <v>154480.63021865999</v>
      </c>
      <c r="AE2891" s="2">
        <v>139944.75889292301</v>
      </c>
      <c r="AF2891" s="2">
        <v>146556.57576950901</v>
      </c>
      <c r="AG2891" s="2">
        <v>144221.01053810399</v>
      </c>
      <c r="AH2891" s="2">
        <v>146891.75344257301</v>
      </c>
      <c r="AI2891" s="2">
        <v>148043.491869663</v>
      </c>
      <c r="AJ2891" s="2">
        <v>151733.35682406701</v>
      </c>
      <c r="AK2891" s="2">
        <v>152845.22843088201</v>
      </c>
      <c r="AL2891" s="2">
        <v>151415.86429510699</v>
      </c>
      <c r="AM2891" s="2">
        <v>148268.16569780401</v>
      </c>
      <c r="AN2891" s="2">
        <v>154993.03733823099</v>
      </c>
      <c r="AO2891" s="2">
        <v>150611.52452821599</v>
      </c>
      <c r="AP2891" s="2">
        <v>168749.96102172299</v>
      </c>
    </row>
    <row r="2892" spans="1:42" ht="14.5" x14ac:dyDescent="0.35">
      <c r="A2892" s="2" t="s">
        <v>19250</v>
      </c>
      <c r="B2892" s="2">
        <v>375.17872511523001</v>
      </c>
      <c r="C2892" s="2">
        <v>9.9109999999999996</v>
      </c>
      <c r="D2892" s="2" t="s">
        <v>70</v>
      </c>
      <c r="E2892" s="2" t="s">
        <v>19251</v>
      </c>
      <c r="F2892" s="2">
        <v>205903</v>
      </c>
      <c r="G2892" s="3" t="str">
        <f>HYPERLINK("http://funmeta.oebiotech.com/network/205903", "http://funmeta.oebiotech.com/network/205903")</f>
        <v>http://funmeta.oebiotech.com/network/205903</v>
      </c>
      <c r="H2892" s="2" t="s">
        <v>19252</v>
      </c>
      <c r="I2892" s="2"/>
      <c r="J2892" s="2"/>
      <c r="K2892" s="2"/>
      <c r="L2892" s="2"/>
      <c r="M2892" s="2"/>
      <c r="N2892" s="2"/>
      <c r="O2892" s="2">
        <v>14445457</v>
      </c>
      <c r="P2892" s="2"/>
      <c r="Q2892" s="2" t="s">
        <v>19253</v>
      </c>
      <c r="R2892" s="2" t="s">
        <v>19254</v>
      </c>
      <c r="S2892" s="2" t="s">
        <v>50</v>
      </c>
      <c r="T2892" s="2" t="s">
        <v>124</v>
      </c>
      <c r="U2892" s="2" t="s">
        <v>1136</v>
      </c>
      <c r="V2892" s="2" t="s">
        <v>59</v>
      </c>
      <c r="W2892" s="2">
        <v>40.4</v>
      </c>
      <c r="X2892" s="2">
        <v>11.1</v>
      </c>
      <c r="Y2892" s="2" t="s">
        <v>751</v>
      </c>
      <c r="Z2892" s="2" t="s">
        <v>19255</v>
      </c>
      <c r="AA2892" s="2">
        <v>2.53787489546936</v>
      </c>
      <c r="AB2892" s="2">
        <v>0.27685041823623902</v>
      </c>
      <c r="AC2892" s="2">
        <v>9882.8101674042591</v>
      </c>
      <c r="AD2892" s="2">
        <v>4796.2385184652803</v>
      </c>
      <c r="AE2892" s="2">
        <v>9923.2418765296698</v>
      </c>
      <c r="AF2892" s="2">
        <v>10441.432839249999</v>
      </c>
      <c r="AG2892" s="2">
        <v>9715.1490801565396</v>
      </c>
      <c r="AH2892" s="2">
        <v>10348.349697162401</v>
      </c>
      <c r="AI2892" s="2">
        <v>9417.6427560959892</v>
      </c>
      <c r="AJ2892" s="2">
        <v>9451.0447552309397</v>
      </c>
      <c r="AK2892" s="2">
        <v>4386.9887704461198</v>
      </c>
      <c r="AL2892" s="2">
        <v>5635.7003402463997</v>
      </c>
      <c r="AM2892" s="2">
        <v>5009.9422780098903</v>
      </c>
      <c r="AN2892" s="2">
        <v>4305.2198838571803</v>
      </c>
      <c r="AO2892" s="2">
        <v>4757.4965936958097</v>
      </c>
      <c r="AP2892" s="2">
        <v>4682.0832445362803</v>
      </c>
    </row>
    <row r="2893" spans="1:42" ht="14.5" x14ac:dyDescent="0.35">
      <c r="A2893" s="2" t="s">
        <v>19256</v>
      </c>
      <c r="B2893" s="2">
        <v>863.42486827721802</v>
      </c>
      <c r="C2893" s="2">
        <v>14.2800166666667</v>
      </c>
      <c r="D2893" s="2" t="s">
        <v>70</v>
      </c>
      <c r="E2893" s="2" t="s">
        <v>19257</v>
      </c>
      <c r="F2893" s="2">
        <v>211067</v>
      </c>
      <c r="G2893" s="3" t="str">
        <f>HYPERLINK("http://funmeta.oebiotech.com/network/211067", "http://funmeta.oebiotech.com/network/211067")</f>
        <v>http://funmeta.oebiotech.com/network/211067</v>
      </c>
      <c r="H2893" s="2" t="s">
        <v>19258</v>
      </c>
      <c r="I2893" s="2"/>
      <c r="J2893" s="2"/>
      <c r="K2893" s="2"/>
      <c r="L2893" s="2"/>
      <c r="M2893" s="2"/>
      <c r="N2893" s="2"/>
      <c r="O2893" s="2">
        <v>73801626</v>
      </c>
      <c r="P2893" s="2"/>
      <c r="Q2893" s="2" t="s">
        <v>19259</v>
      </c>
      <c r="R2893" s="2" t="s">
        <v>19260</v>
      </c>
      <c r="S2893" s="2" t="s">
        <v>50</v>
      </c>
      <c r="T2893" s="2" t="s">
        <v>124</v>
      </c>
      <c r="U2893" s="2" t="s">
        <v>523</v>
      </c>
      <c r="V2893" s="2" t="s">
        <v>59</v>
      </c>
      <c r="W2893" s="2">
        <v>37.6</v>
      </c>
      <c r="X2893" s="2">
        <v>0</v>
      </c>
      <c r="Y2893" s="2" t="s">
        <v>408</v>
      </c>
      <c r="Z2893" s="2" t="s">
        <v>19261</v>
      </c>
      <c r="AA2893" s="2">
        <v>-4.0751706550180398</v>
      </c>
      <c r="AB2893" s="2">
        <v>0.27643113708162698</v>
      </c>
      <c r="AC2893" s="2">
        <v>19221.777118158399</v>
      </c>
      <c r="AD2893" s="2">
        <v>13868.062040275399</v>
      </c>
      <c r="AE2893" s="2">
        <v>18540.710923851799</v>
      </c>
      <c r="AF2893" s="2">
        <v>20020.126277215699</v>
      </c>
      <c r="AG2893" s="2">
        <v>18814.682806195</v>
      </c>
      <c r="AH2893" s="2">
        <v>19854.056663151001</v>
      </c>
      <c r="AI2893" s="2">
        <v>18728.887443131302</v>
      </c>
      <c r="AJ2893" s="2">
        <v>19372.198595405302</v>
      </c>
      <c r="AK2893" s="2">
        <v>13816.9071722882</v>
      </c>
      <c r="AL2893" s="2">
        <v>11183.063782626699</v>
      </c>
      <c r="AM2893" s="2">
        <v>14683.009259189899</v>
      </c>
      <c r="AN2893" s="2">
        <v>13870.0406322493</v>
      </c>
      <c r="AO2893" s="2">
        <v>14986.6856254953</v>
      </c>
      <c r="AP2893" s="2">
        <v>14668.665769802899</v>
      </c>
    </row>
    <row r="2894" spans="1:42" ht="14.5" x14ac:dyDescent="0.35">
      <c r="A2894" s="2" t="s">
        <v>19262</v>
      </c>
      <c r="B2894" s="2">
        <v>596.15389890182598</v>
      </c>
      <c r="C2894" s="2">
        <v>3.9845333333333302</v>
      </c>
      <c r="D2894" s="2" t="s">
        <v>34</v>
      </c>
      <c r="E2894" s="2" t="s">
        <v>19263</v>
      </c>
      <c r="F2894" s="2">
        <v>61452</v>
      </c>
      <c r="G2894" s="3" t="str">
        <f>HYPERLINK("http://funmeta.oebiotech.com/network/61452", "http://funmeta.oebiotech.com/network/61452")</f>
        <v>http://funmeta.oebiotech.com/network/61452</v>
      </c>
      <c r="H2894" s="2" t="s">
        <v>19264</v>
      </c>
      <c r="I2894" s="2"/>
      <c r="J2894" s="2"/>
      <c r="K2894" s="2"/>
      <c r="L2894" s="2"/>
      <c r="M2894" s="2"/>
      <c r="N2894" s="2"/>
      <c r="O2894" s="2"/>
      <c r="P2894" s="2" t="s">
        <v>19265</v>
      </c>
      <c r="Q2894" s="2" t="s">
        <v>19266</v>
      </c>
      <c r="R2894" s="2" t="s">
        <v>19267</v>
      </c>
      <c r="S2894" s="2" t="s">
        <v>115</v>
      </c>
      <c r="T2894" s="2" t="s">
        <v>139</v>
      </c>
      <c r="U2894" s="2" t="s">
        <v>140</v>
      </c>
      <c r="V2894" s="2" t="s">
        <v>42</v>
      </c>
      <c r="W2894" s="2">
        <v>56</v>
      </c>
      <c r="X2894" s="2">
        <v>85.4</v>
      </c>
      <c r="Y2894" s="2" t="s">
        <v>394</v>
      </c>
      <c r="Z2894" s="2" t="s">
        <v>19268</v>
      </c>
      <c r="AA2894" s="2">
        <v>2.4473855102797502</v>
      </c>
      <c r="AB2894" s="2">
        <v>0.276416598629037</v>
      </c>
      <c r="AC2894" s="2">
        <v>49757.716290569202</v>
      </c>
      <c r="AD2894" s="2">
        <v>42842.663948537898</v>
      </c>
      <c r="AE2894" s="2">
        <v>43389.909287223199</v>
      </c>
      <c r="AF2894" s="2">
        <v>53343.065961156797</v>
      </c>
      <c r="AG2894" s="2">
        <v>55502.518743950597</v>
      </c>
      <c r="AH2894" s="2">
        <v>49167.492389385901</v>
      </c>
      <c r="AI2894" s="2">
        <v>46628.388669565298</v>
      </c>
      <c r="AJ2894" s="2">
        <v>50514.922692133303</v>
      </c>
      <c r="AK2894" s="2">
        <v>37860.133205440201</v>
      </c>
      <c r="AL2894" s="2">
        <v>46010.421994122102</v>
      </c>
      <c r="AM2894" s="2">
        <v>43392.317425341702</v>
      </c>
      <c r="AN2894" s="2">
        <v>42360.9022917283</v>
      </c>
      <c r="AO2894" s="2">
        <v>44141.187920837699</v>
      </c>
      <c r="AP2894" s="2">
        <v>43291.020853757102</v>
      </c>
    </row>
    <row r="2895" spans="1:42" ht="14.5" x14ac:dyDescent="0.35">
      <c r="A2895" s="2" t="s">
        <v>19269</v>
      </c>
      <c r="B2895" s="2">
        <v>690.324073180558</v>
      </c>
      <c r="C2895" s="2">
        <v>8.4520166666666707</v>
      </c>
      <c r="D2895" s="2" t="s">
        <v>34</v>
      </c>
      <c r="E2895" s="2" t="s">
        <v>19270</v>
      </c>
      <c r="F2895" s="2">
        <v>209429</v>
      </c>
      <c r="G2895" s="3" t="str">
        <f>HYPERLINK("http://funmeta.oebiotech.com/network/209429", "http://funmeta.oebiotech.com/network/209429")</f>
        <v>http://funmeta.oebiotech.com/network/209429</v>
      </c>
      <c r="H2895" s="2" t="s">
        <v>19271</v>
      </c>
      <c r="I2895" s="2"/>
      <c r="J2895" s="2"/>
      <c r="K2895" s="2"/>
      <c r="L2895" s="2"/>
      <c r="M2895" s="2"/>
      <c r="N2895" s="2"/>
      <c r="O2895" s="2">
        <v>75040638</v>
      </c>
      <c r="P2895" s="2"/>
      <c r="Q2895" s="2" t="s">
        <v>19272</v>
      </c>
      <c r="R2895" s="2" t="s">
        <v>19273</v>
      </c>
      <c r="S2895" s="2" t="s">
        <v>148</v>
      </c>
      <c r="T2895" s="2" t="s">
        <v>11004</v>
      </c>
      <c r="U2895" s="2" t="s">
        <v>41</v>
      </c>
      <c r="V2895" s="2" t="s">
        <v>59</v>
      </c>
      <c r="W2895" s="2">
        <v>38.4</v>
      </c>
      <c r="X2895" s="2">
        <v>0</v>
      </c>
      <c r="Y2895" s="2" t="s">
        <v>340</v>
      </c>
      <c r="Z2895" s="2" t="s">
        <v>19274</v>
      </c>
      <c r="AA2895" s="2">
        <v>-1.4529851493517201</v>
      </c>
      <c r="AB2895" s="2">
        <v>0.27631830906785598</v>
      </c>
      <c r="AC2895" s="2">
        <v>68894.491758691598</v>
      </c>
      <c r="AD2895" s="2">
        <v>61374.111718940403</v>
      </c>
      <c r="AE2895" s="2">
        <v>66153.423747442095</v>
      </c>
      <c r="AF2895" s="2">
        <v>72162.091112880997</v>
      </c>
      <c r="AG2895" s="2">
        <v>74258.580121894207</v>
      </c>
      <c r="AH2895" s="2">
        <v>66074.979741102594</v>
      </c>
      <c r="AI2895" s="2">
        <v>64198.294359845902</v>
      </c>
      <c r="AJ2895" s="2">
        <v>70519.581468983597</v>
      </c>
      <c r="AK2895" s="2">
        <v>65196.653300074002</v>
      </c>
      <c r="AL2895" s="2">
        <v>70120.259331929701</v>
      </c>
      <c r="AM2895" s="2">
        <v>57492.545734343897</v>
      </c>
      <c r="AN2895" s="2">
        <v>55035.626348485501</v>
      </c>
      <c r="AO2895" s="2">
        <v>60927.087221461901</v>
      </c>
      <c r="AP2895" s="2">
        <v>59472.498377347103</v>
      </c>
    </row>
    <row r="2896" spans="1:42" ht="14.5" x14ac:dyDescent="0.35">
      <c r="A2896" s="2" t="s">
        <v>19275</v>
      </c>
      <c r="B2896" s="2">
        <v>971.58314141579501</v>
      </c>
      <c r="C2896" s="2">
        <v>9.2929833333333303</v>
      </c>
      <c r="D2896" s="2" t="s">
        <v>34</v>
      </c>
      <c r="E2896" s="2" t="s">
        <v>19276</v>
      </c>
      <c r="F2896" s="2">
        <v>230107</v>
      </c>
      <c r="G2896" s="3" t="str">
        <f>HYPERLINK("http://funmeta.oebiotech.com/network/230107", "http://funmeta.oebiotech.com/network/230107")</f>
        <v>http://funmeta.oebiotech.com/network/230107</v>
      </c>
      <c r="H2896" s="2" t="s">
        <v>19277</v>
      </c>
      <c r="I2896" s="2"/>
      <c r="J2896" s="2"/>
      <c r="K2896" s="2"/>
      <c r="L2896" s="2"/>
      <c r="M2896" s="2"/>
      <c r="N2896" s="2"/>
      <c r="O2896" s="2"/>
      <c r="P2896" s="2"/>
      <c r="Q2896" s="2" t="s">
        <v>19278</v>
      </c>
      <c r="R2896" s="2" t="s">
        <v>19279</v>
      </c>
      <c r="S2896" s="2" t="s">
        <v>41</v>
      </c>
      <c r="T2896" s="2" t="s">
        <v>41</v>
      </c>
      <c r="U2896" s="2" t="s">
        <v>41</v>
      </c>
      <c r="V2896" s="2" t="s">
        <v>59</v>
      </c>
      <c r="W2896" s="2">
        <v>38.799999999999997</v>
      </c>
      <c r="X2896" s="2">
        <v>0</v>
      </c>
      <c r="Y2896" s="2" t="s">
        <v>323</v>
      </c>
      <c r="Z2896" s="2" t="s">
        <v>19280</v>
      </c>
      <c r="AA2896" s="2">
        <v>1.26062013655855E-2</v>
      </c>
      <c r="AB2896" s="2">
        <v>0.27630969368095998</v>
      </c>
      <c r="AC2896" s="2">
        <v>3667.0563736658401</v>
      </c>
      <c r="AD2896" s="2">
        <v>8761.1912929405298</v>
      </c>
      <c r="AE2896" s="2">
        <v>3650.5319356688201</v>
      </c>
      <c r="AF2896" s="2">
        <v>3424.4079286103702</v>
      </c>
      <c r="AG2896" s="2">
        <v>3456.6981826592901</v>
      </c>
      <c r="AH2896" s="2">
        <v>2801.6026867967398</v>
      </c>
      <c r="AI2896" s="2">
        <v>4384.3073022854396</v>
      </c>
      <c r="AJ2896" s="2">
        <v>4284.7902059743701</v>
      </c>
      <c r="AK2896" s="2">
        <v>9122.8362811404004</v>
      </c>
      <c r="AL2896" s="2">
        <v>9238.7782551411492</v>
      </c>
      <c r="AM2896" s="2">
        <v>9094.4628571592402</v>
      </c>
      <c r="AN2896" s="2">
        <v>8102.68211737006</v>
      </c>
      <c r="AO2896" s="2">
        <v>8429.8800236961197</v>
      </c>
      <c r="AP2896" s="2">
        <v>8578.5082231361903</v>
      </c>
    </row>
    <row r="2897" spans="1:42" ht="14.5" x14ac:dyDescent="0.35">
      <c r="A2897" s="2" t="s">
        <v>19281</v>
      </c>
      <c r="B2897" s="2">
        <v>443.26147447992003</v>
      </c>
      <c r="C2897" s="2">
        <v>7.2976999999999999</v>
      </c>
      <c r="D2897" s="2" t="s">
        <v>34</v>
      </c>
      <c r="E2897" s="2" t="s">
        <v>19282</v>
      </c>
      <c r="F2897" s="2">
        <v>206846</v>
      </c>
      <c r="G2897" s="3" t="str">
        <f>HYPERLINK("http://funmeta.oebiotech.com/network/206846", "http://funmeta.oebiotech.com/network/206846")</f>
        <v>http://funmeta.oebiotech.com/network/206846</v>
      </c>
      <c r="H2897" s="2" t="s">
        <v>19283</v>
      </c>
      <c r="I2897" s="2"/>
      <c r="J2897" s="2"/>
      <c r="K2897" s="2"/>
      <c r="L2897" s="2"/>
      <c r="M2897" s="2"/>
      <c r="N2897" s="2"/>
      <c r="O2897" s="2">
        <v>545237</v>
      </c>
      <c r="P2897" s="2"/>
      <c r="Q2897" s="2" t="s">
        <v>19284</v>
      </c>
      <c r="R2897" s="2" t="s">
        <v>19285</v>
      </c>
      <c r="S2897" s="2" t="s">
        <v>50</v>
      </c>
      <c r="T2897" s="2" t="s">
        <v>124</v>
      </c>
      <c r="U2897" s="2" t="s">
        <v>929</v>
      </c>
      <c r="V2897" s="2" t="s">
        <v>59</v>
      </c>
      <c r="W2897" s="2">
        <v>36.1</v>
      </c>
      <c r="X2897" s="2">
        <v>0</v>
      </c>
      <c r="Y2897" s="2" t="s">
        <v>141</v>
      </c>
      <c r="Z2897" s="2" t="s">
        <v>19286</v>
      </c>
      <c r="AA2897" s="2">
        <v>4.9107314139470004</v>
      </c>
      <c r="AB2897" s="2">
        <v>0.27604279807531201</v>
      </c>
      <c r="AC2897" s="2">
        <v>3013.98345333008</v>
      </c>
      <c r="AD2897" s="2">
        <v>8276.2997514652106</v>
      </c>
      <c r="AE2897" s="2">
        <v>4285.9177593795303</v>
      </c>
      <c r="AF2897" s="2">
        <v>2177.47487305001</v>
      </c>
      <c r="AG2897" s="2">
        <v>2959.3872960701501</v>
      </c>
      <c r="AH2897" s="2">
        <v>3673.9699314242098</v>
      </c>
      <c r="AI2897" s="2">
        <v>2822.8593903527799</v>
      </c>
      <c r="AJ2897" s="2">
        <v>2164.29146970378</v>
      </c>
      <c r="AK2897" s="2">
        <v>8725.3637424760891</v>
      </c>
      <c r="AL2897" s="2">
        <v>8023.8566922313803</v>
      </c>
      <c r="AM2897" s="2">
        <v>9997.9779067455293</v>
      </c>
      <c r="AN2897" s="2">
        <v>8113.2294863834604</v>
      </c>
      <c r="AO2897" s="2">
        <v>6828.0276612597199</v>
      </c>
      <c r="AP2897" s="2">
        <v>7969.3430196950603</v>
      </c>
    </row>
    <row r="2898" spans="1:42" ht="14.5" x14ac:dyDescent="0.35">
      <c r="A2898" s="2" t="s">
        <v>19287</v>
      </c>
      <c r="B2898" s="2">
        <v>1116.5524995340199</v>
      </c>
      <c r="C2898" s="2">
        <v>9.0893999999999995</v>
      </c>
      <c r="D2898" s="2" t="s">
        <v>70</v>
      </c>
      <c r="E2898" s="2" t="s">
        <v>19288</v>
      </c>
      <c r="F2898" s="2">
        <v>244794</v>
      </c>
      <c r="G2898" s="3" t="str">
        <f>HYPERLINK("http://funmeta.oebiotech.com/network/244794", "http://funmeta.oebiotech.com/network/244794")</f>
        <v>http://funmeta.oebiotech.com/network/244794</v>
      </c>
      <c r="H2898" s="2" t="s">
        <v>19289</v>
      </c>
      <c r="I2898" s="2"/>
      <c r="J2898" s="2"/>
      <c r="K2898" s="2"/>
      <c r="L2898" s="2"/>
      <c r="M2898" s="2"/>
      <c r="N2898" s="2"/>
      <c r="O2898" s="2"/>
      <c r="P2898" s="2"/>
      <c r="Q2898" s="2" t="s">
        <v>19290</v>
      </c>
      <c r="R2898" s="2" t="s">
        <v>19291</v>
      </c>
      <c r="S2898" s="2" t="s">
        <v>41</v>
      </c>
      <c r="T2898" s="2" t="s">
        <v>41</v>
      </c>
      <c r="U2898" s="2" t="s">
        <v>41</v>
      </c>
      <c r="V2898" s="2" t="s">
        <v>59</v>
      </c>
      <c r="W2898" s="2">
        <v>38.200000000000003</v>
      </c>
      <c r="X2898" s="2">
        <v>0</v>
      </c>
      <c r="Y2898" s="2" t="s">
        <v>408</v>
      </c>
      <c r="Z2898" s="2" t="s">
        <v>19292</v>
      </c>
      <c r="AA2898" s="2">
        <v>-1.7360858000610699</v>
      </c>
      <c r="AB2898" s="2">
        <v>0.27598862427092402</v>
      </c>
      <c r="AC2898" s="2">
        <v>7171.7560657306303</v>
      </c>
      <c r="AD2898" s="2">
        <v>1879.62622915733</v>
      </c>
      <c r="AE2898" s="2">
        <v>7262.4684805894203</v>
      </c>
      <c r="AF2898" s="2">
        <v>7039.71552758504</v>
      </c>
      <c r="AG2898" s="2">
        <v>8450.6795541945903</v>
      </c>
      <c r="AH2898" s="2">
        <v>7040.8786897507398</v>
      </c>
      <c r="AI2898" s="2">
        <v>7859.3508169769502</v>
      </c>
      <c r="AJ2898" s="2">
        <v>5377.4433252870504</v>
      </c>
      <c r="AK2898" s="2">
        <v>2312.1491112560102</v>
      </c>
      <c r="AL2898" s="2">
        <v>2558.8208041376802</v>
      </c>
      <c r="AM2898" s="2">
        <v>3249.8035050174999</v>
      </c>
      <c r="AN2898" s="2">
        <v>882.62943904693805</v>
      </c>
      <c r="AO2898" s="2">
        <v>1459.7578888872899</v>
      </c>
      <c r="AP2898" s="2">
        <v>814.59662659853905</v>
      </c>
    </row>
    <row r="2899" spans="1:42" ht="14.5" x14ac:dyDescent="0.35">
      <c r="A2899" s="2" t="s">
        <v>19293</v>
      </c>
      <c r="B2899" s="2">
        <v>439.17329265614501</v>
      </c>
      <c r="C2899" s="2">
        <v>4.09636666666667</v>
      </c>
      <c r="D2899" s="2" t="s">
        <v>70</v>
      </c>
      <c r="E2899" s="2" t="s">
        <v>19294</v>
      </c>
      <c r="F2899" s="2">
        <v>206895</v>
      </c>
      <c r="G2899" s="3" t="str">
        <f>HYPERLINK("http://funmeta.oebiotech.com/network/206895", "http://funmeta.oebiotech.com/network/206895")</f>
        <v>http://funmeta.oebiotech.com/network/206895</v>
      </c>
      <c r="H2899" s="2" t="s">
        <v>19295</v>
      </c>
      <c r="I2899" s="2">
        <v>45705</v>
      </c>
      <c r="J2899" s="2"/>
      <c r="K2899" s="2"/>
      <c r="L2899" s="2"/>
      <c r="M2899" s="2"/>
      <c r="N2899" s="2"/>
      <c r="O2899" s="2">
        <v>3391</v>
      </c>
      <c r="P2899" s="2"/>
      <c r="Q2899" s="2" t="s">
        <v>19296</v>
      </c>
      <c r="R2899" s="2" t="s">
        <v>19297</v>
      </c>
      <c r="S2899" s="2" t="s">
        <v>50</v>
      </c>
      <c r="T2899" s="2" t="s">
        <v>229</v>
      </c>
      <c r="U2899" s="2" t="s">
        <v>766</v>
      </c>
      <c r="V2899" s="2" t="s">
        <v>59</v>
      </c>
      <c r="W2899" s="2">
        <v>41.2</v>
      </c>
      <c r="X2899" s="2">
        <v>26.5</v>
      </c>
      <c r="Y2899" s="2" t="s">
        <v>751</v>
      </c>
      <c r="Z2899" s="2" t="s">
        <v>19298</v>
      </c>
      <c r="AA2899" s="2">
        <v>-1.0683985046692099</v>
      </c>
      <c r="AB2899" s="2">
        <v>0.27597064105717201</v>
      </c>
      <c r="AC2899" s="2">
        <v>23257.3648800472</v>
      </c>
      <c r="AD2899" s="2">
        <v>29085.462147455099</v>
      </c>
      <c r="AE2899" s="2">
        <v>24258.903999177001</v>
      </c>
      <c r="AF2899" s="2">
        <v>25028.3767187987</v>
      </c>
      <c r="AG2899" s="2">
        <v>23610.682293313301</v>
      </c>
      <c r="AH2899" s="2">
        <v>20419.351359448799</v>
      </c>
      <c r="AI2899" s="2">
        <v>24081.4013832253</v>
      </c>
      <c r="AJ2899" s="2">
        <v>22145.473526320198</v>
      </c>
      <c r="AK2899" s="2">
        <v>28869.987291381902</v>
      </c>
      <c r="AL2899" s="2">
        <v>30372.932867993499</v>
      </c>
      <c r="AM2899" s="2">
        <v>31581.0587506786</v>
      </c>
      <c r="AN2899" s="2">
        <v>25992.345717015702</v>
      </c>
      <c r="AO2899" s="2">
        <v>27434.142794960098</v>
      </c>
      <c r="AP2899" s="2">
        <v>30262.305462700799</v>
      </c>
    </row>
    <row r="2900" spans="1:42" ht="14.5" x14ac:dyDescent="0.35">
      <c r="A2900" s="2" t="s">
        <v>19299</v>
      </c>
      <c r="B2900" s="2">
        <v>491.14041659596597</v>
      </c>
      <c r="C2900" s="2">
        <v>4.0778333333333299</v>
      </c>
      <c r="D2900" s="2" t="s">
        <v>70</v>
      </c>
      <c r="E2900" s="2" t="s">
        <v>19300</v>
      </c>
      <c r="F2900" s="2">
        <v>255933</v>
      </c>
      <c r="G2900" s="3" t="str">
        <f>HYPERLINK("http://funmeta.oebiotech.com/network/255933", "http://funmeta.oebiotech.com/network/255933")</f>
        <v>http://funmeta.oebiotech.com/network/255933</v>
      </c>
      <c r="H2900" s="2" t="s">
        <v>19301</v>
      </c>
      <c r="I2900" s="2"/>
      <c r="J2900" s="2"/>
      <c r="K2900" s="2"/>
      <c r="L2900" s="2"/>
      <c r="M2900" s="2"/>
      <c r="N2900" s="2"/>
      <c r="O2900" s="2"/>
      <c r="P2900" s="2"/>
      <c r="Q2900" s="2" t="s">
        <v>19302</v>
      </c>
      <c r="R2900" s="2" t="s">
        <v>19303</v>
      </c>
      <c r="S2900" s="2" t="s">
        <v>79</v>
      </c>
      <c r="T2900" s="2" t="s">
        <v>80</v>
      </c>
      <c r="U2900" s="2" t="s">
        <v>81</v>
      </c>
      <c r="V2900" s="2" t="s">
        <v>59</v>
      </c>
      <c r="W2900" s="2">
        <v>45.4</v>
      </c>
      <c r="X2900" s="2">
        <v>32.5</v>
      </c>
      <c r="Y2900" s="2" t="s">
        <v>286</v>
      </c>
      <c r="Z2900" s="2" t="s">
        <v>19304</v>
      </c>
      <c r="AA2900" s="2">
        <v>-0.47640072136594802</v>
      </c>
      <c r="AB2900" s="2">
        <v>0.275957442075009</v>
      </c>
      <c r="AC2900" s="2">
        <v>121647.84559029</v>
      </c>
      <c r="AD2900" s="2">
        <v>129027.659741186</v>
      </c>
      <c r="AE2900" s="2">
        <v>119472.936649155</v>
      </c>
      <c r="AF2900" s="2">
        <v>114874.50814665</v>
      </c>
      <c r="AG2900" s="2">
        <v>129177.858492852</v>
      </c>
      <c r="AH2900" s="2">
        <v>121376.38674517001</v>
      </c>
      <c r="AI2900" s="2">
        <v>125616.939508638</v>
      </c>
      <c r="AJ2900" s="2">
        <v>119368.443999273</v>
      </c>
      <c r="AK2900" s="2">
        <v>123282.22416326001</v>
      </c>
      <c r="AL2900" s="2">
        <v>126085.688155576</v>
      </c>
      <c r="AM2900" s="2">
        <v>132178.44285442299</v>
      </c>
      <c r="AN2900" s="2">
        <v>132836.49637830199</v>
      </c>
      <c r="AO2900" s="2">
        <v>128143.647024951</v>
      </c>
      <c r="AP2900" s="2">
        <v>131639.459870602</v>
      </c>
    </row>
    <row r="2901" spans="1:42" ht="14.5" x14ac:dyDescent="0.35">
      <c r="A2901" s="2" t="s">
        <v>19305</v>
      </c>
      <c r="B2901" s="2">
        <v>271.09622048069701</v>
      </c>
      <c r="C2901" s="2">
        <v>5.1048166666666699</v>
      </c>
      <c r="D2901" s="2" t="s">
        <v>34</v>
      </c>
      <c r="E2901" s="2" t="s">
        <v>19306</v>
      </c>
      <c r="F2901" s="2">
        <v>200252</v>
      </c>
      <c r="G2901" s="3" t="str">
        <f>HYPERLINK("http://funmeta.oebiotech.com/network/200252", "http://funmeta.oebiotech.com/network/200252")</f>
        <v>http://funmeta.oebiotech.com/network/200252</v>
      </c>
      <c r="H2901" s="2" t="s">
        <v>19307</v>
      </c>
      <c r="I2901" s="2"/>
      <c r="J2901" s="2"/>
      <c r="K2901" s="2"/>
      <c r="L2901" s="2"/>
      <c r="M2901" s="2"/>
      <c r="N2901" s="2"/>
      <c r="O2901" s="2"/>
      <c r="P2901" s="2"/>
      <c r="Q2901" s="2" t="s">
        <v>19308</v>
      </c>
      <c r="R2901" s="2" t="s">
        <v>19309</v>
      </c>
      <c r="S2901" s="2" t="s">
        <v>41</v>
      </c>
      <c r="T2901" s="2" t="s">
        <v>41</v>
      </c>
      <c r="U2901" s="2" t="s">
        <v>41</v>
      </c>
      <c r="V2901" s="2" t="s">
        <v>59</v>
      </c>
      <c r="W2901" s="2">
        <v>38.299999999999997</v>
      </c>
      <c r="X2901" s="2">
        <v>0</v>
      </c>
      <c r="Y2901" s="2" t="s">
        <v>43</v>
      </c>
      <c r="Z2901" s="2" t="s">
        <v>19310</v>
      </c>
      <c r="AA2901" s="2">
        <v>1.5282716269627601</v>
      </c>
      <c r="AB2901" s="2">
        <v>0.27580710646954398</v>
      </c>
      <c r="AC2901" s="2">
        <v>37489.798167292902</v>
      </c>
      <c r="AD2901" s="2">
        <v>44286.504768429302</v>
      </c>
      <c r="AE2901" s="2">
        <v>37538.805986672203</v>
      </c>
      <c r="AF2901" s="2">
        <v>42260.654549343002</v>
      </c>
      <c r="AG2901" s="2">
        <v>33094.281022231196</v>
      </c>
      <c r="AH2901" s="2">
        <v>34388.490071156899</v>
      </c>
      <c r="AI2901" s="2">
        <v>39377.417239372196</v>
      </c>
      <c r="AJ2901" s="2">
        <v>38279.140134981899</v>
      </c>
      <c r="AK2901" s="2">
        <v>45864.418489017</v>
      </c>
      <c r="AL2901" s="2">
        <v>43811.912433998201</v>
      </c>
      <c r="AM2901" s="2">
        <v>43169.609076701599</v>
      </c>
      <c r="AN2901" s="2">
        <v>45632.686234855602</v>
      </c>
      <c r="AO2901" s="2">
        <v>38295.7035885722</v>
      </c>
      <c r="AP2901" s="2">
        <v>48944.698787431298</v>
      </c>
    </row>
    <row r="2902" spans="1:42" ht="14.5" x14ac:dyDescent="0.35">
      <c r="A2902" s="2" t="s">
        <v>19311</v>
      </c>
      <c r="B2902" s="2">
        <v>565.33714065188497</v>
      </c>
      <c r="C2902" s="2">
        <v>7.8083499999999999</v>
      </c>
      <c r="D2902" s="2" t="s">
        <v>34</v>
      </c>
      <c r="E2902" s="2" t="s">
        <v>19312</v>
      </c>
      <c r="F2902" s="2">
        <v>43776</v>
      </c>
      <c r="G2902" s="3" t="str">
        <f>HYPERLINK("http://funmeta.oebiotech.com/network/43776", "http://funmeta.oebiotech.com/network/43776")</f>
        <v>http://funmeta.oebiotech.com/network/43776</v>
      </c>
      <c r="H2902" s="2"/>
      <c r="I2902" s="2"/>
      <c r="J2902" s="2" t="s">
        <v>19313</v>
      </c>
      <c r="K2902" s="2"/>
      <c r="L2902" s="2"/>
      <c r="M2902" s="2"/>
      <c r="N2902" s="2"/>
      <c r="O2902" s="2"/>
      <c r="P2902" s="2"/>
      <c r="Q2902" s="2" t="s">
        <v>19314</v>
      </c>
      <c r="R2902" s="2" t="s">
        <v>19315</v>
      </c>
      <c r="S2902" s="2" t="s">
        <v>50</v>
      </c>
      <c r="T2902" s="2" t="s">
        <v>201</v>
      </c>
      <c r="U2902" s="2" t="s">
        <v>210</v>
      </c>
      <c r="V2902" s="2" t="s">
        <v>59</v>
      </c>
      <c r="W2902" s="2">
        <v>37.700000000000003</v>
      </c>
      <c r="X2902" s="2">
        <v>0</v>
      </c>
      <c r="Y2902" s="2" t="s">
        <v>394</v>
      </c>
      <c r="Z2902" s="2" t="s">
        <v>19316</v>
      </c>
      <c r="AA2902" s="2">
        <v>5.5117562676237901E-2</v>
      </c>
      <c r="AB2902" s="2">
        <v>0.27578364268043698</v>
      </c>
      <c r="AC2902" s="2">
        <v>8837.6746520241504</v>
      </c>
      <c r="AD2902" s="2">
        <v>3552.9804370880302</v>
      </c>
      <c r="AE2902" s="2">
        <v>8142.5732979898303</v>
      </c>
      <c r="AF2902" s="2">
        <v>9759.1091056118003</v>
      </c>
      <c r="AG2902" s="2">
        <v>9150.4305276074992</v>
      </c>
      <c r="AH2902" s="2">
        <v>10018.5539994789</v>
      </c>
      <c r="AI2902" s="2">
        <v>7742.71948542274</v>
      </c>
      <c r="AJ2902" s="2">
        <v>8212.6614960341503</v>
      </c>
      <c r="AK2902" s="2">
        <v>1856.1748752537601</v>
      </c>
      <c r="AL2902" s="2">
        <v>3663.7703835065499</v>
      </c>
      <c r="AM2902" s="2">
        <v>4251.1977203172801</v>
      </c>
      <c r="AN2902" s="2">
        <v>2650.5228471294499</v>
      </c>
      <c r="AO2902" s="2">
        <v>3933.8119574550501</v>
      </c>
      <c r="AP2902" s="2">
        <v>4962.4048388661004</v>
      </c>
    </row>
    <row r="2903" spans="1:42" ht="14.5" x14ac:dyDescent="0.35">
      <c r="A2903" s="2" t="s">
        <v>19317</v>
      </c>
      <c r="B2903" s="2">
        <v>477.06201139815698</v>
      </c>
      <c r="C2903" s="2">
        <v>1.93716666666667</v>
      </c>
      <c r="D2903" s="2" t="s">
        <v>70</v>
      </c>
      <c r="E2903" s="2" t="s">
        <v>19318</v>
      </c>
      <c r="F2903" s="2">
        <v>206302</v>
      </c>
      <c r="G2903" s="3" t="str">
        <f>HYPERLINK("http://funmeta.oebiotech.com/network/206302", "http://funmeta.oebiotech.com/network/206302")</f>
        <v>http://funmeta.oebiotech.com/network/206302</v>
      </c>
      <c r="H2903" s="2" t="s">
        <v>19319</v>
      </c>
      <c r="I2903" s="2"/>
      <c r="J2903" s="2"/>
      <c r="K2903" s="2"/>
      <c r="L2903" s="2"/>
      <c r="M2903" s="2"/>
      <c r="N2903" s="2"/>
      <c r="O2903" s="2">
        <v>129627714</v>
      </c>
      <c r="P2903" s="2"/>
      <c r="Q2903" s="2" t="s">
        <v>19320</v>
      </c>
      <c r="R2903" s="2" t="s">
        <v>19321</v>
      </c>
      <c r="S2903" s="2" t="s">
        <v>41</v>
      </c>
      <c r="T2903" s="2" t="s">
        <v>41</v>
      </c>
      <c r="U2903" s="2" t="s">
        <v>41</v>
      </c>
      <c r="V2903" s="2" t="s">
        <v>59</v>
      </c>
      <c r="W2903" s="2">
        <v>41</v>
      </c>
      <c r="X2903" s="2">
        <v>16.7</v>
      </c>
      <c r="Y2903" s="2" t="s">
        <v>118</v>
      </c>
      <c r="Z2903" s="2" t="s">
        <v>19322</v>
      </c>
      <c r="AA2903" s="2">
        <v>-2.9912940698240198</v>
      </c>
      <c r="AB2903" s="2">
        <v>0.27572956727623699</v>
      </c>
      <c r="AC2903" s="2">
        <v>47894.5666669204</v>
      </c>
      <c r="AD2903" s="2">
        <v>41410.584853282802</v>
      </c>
      <c r="AE2903" s="2">
        <v>51210.649959528302</v>
      </c>
      <c r="AF2903" s="2">
        <v>42059.5899192707</v>
      </c>
      <c r="AG2903" s="2">
        <v>51779.423345909097</v>
      </c>
      <c r="AH2903" s="2">
        <v>46061.613908105697</v>
      </c>
      <c r="AI2903" s="2">
        <v>46549.2227574067</v>
      </c>
      <c r="AJ2903" s="2">
        <v>49706.900111301999</v>
      </c>
      <c r="AK2903" s="2">
        <v>39296.098029449196</v>
      </c>
      <c r="AL2903" s="2">
        <v>39068.8604031586</v>
      </c>
      <c r="AM2903" s="2">
        <v>42139.145239286401</v>
      </c>
      <c r="AN2903" s="2">
        <v>43840.585399153701</v>
      </c>
      <c r="AO2903" s="2">
        <v>41461.124444054403</v>
      </c>
      <c r="AP2903" s="2">
        <v>42657.695604594497</v>
      </c>
    </row>
    <row r="2904" spans="1:42" ht="14.5" x14ac:dyDescent="0.35">
      <c r="A2904" s="2" t="s">
        <v>19323</v>
      </c>
      <c r="B2904" s="2">
        <v>333.15465156396698</v>
      </c>
      <c r="C2904" s="2">
        <v>4.5065833333333298</v>
      </c>
      <c r="D2904" s="2" t="s">
        <v>70</v>
      </c>
      <c r="E2904" s="2" t="s">
        <v>19324</v>
      </c>
      <c r="F2904" s="2">
        <v>209367</v>
      </c>
      <c r="G2904" s="3" t="str">
        <f>HYPERLINK("http://funmeta.oebiotech.com/network/209367", "http://funmeta.oebiotech.com/network/209367")</f>
        <v>http://funmeta.oebiotech.com/network/209367</v>
      </c>
      <c r="H2904" s="2" t="s">
        <v>19325</v>
      </c>
      <c r="I2904" s="2"/>
      <c r="J2904" s="2"/>
      <c r="K2904" s="2"/>
      <c r="L2904" s="2"/>
      <c r="M2904" s="2"/>
      <c r="N2904" s="2"/>
      <c r="O2904" s="2">
        <v>73188274</v>
      </c>
      <c r="P2904" s="2"/>
      <c r="Q2904" s="2" t="s">
        <v>19326</v>
      </c>
      <c r="R2904" s="2" t="s">
        <v>19327</v>
      </c>
      <c r="S2904" s="2" t="s">
        <v>41</v>
      </c>
      <c r="T2904" s="2" t="s">
        <v>41</v>
      </c>
      <c r="U2904" s="2" t="s">
        <v>41</v>
      </c>
      <c r="V2904" s="2" t="s">
        <v>59</v>
      </c>
      <c r="W2904" s="2">
        <v>45</v>
      </c>
      <c r="X2904" s="2">
        <v>29.5</v>
      </c>
      <c r="Y2904" s="2" t="s">
        <v>560</v>
      </c>
      <c r="Z2904" s="2" t="s">
        <v>19328</v>
      </c>
      <c r="AA2904" s="2">
        <v>1.5206171545171301</v>
      </c>
      <c r="AB2904" s="2">
        <v>0.27569693757246</v>
      </c>
      <c r="AC2904" s="2">
        <v>10542.6604710747</v>
      </c>
      <c r="AD2904" s="2">
        <v>15709.673356572799</v>
      </c>
      <c r="AE2904" s="2">
        <v>11151.578960910199</v>
      </c>
      <c r="AF2904" s="2">
        <v>9555.2710778626406</v>
      </c>
      <c r="AG2904" s="2">
        <v>10418.457820585099</v>
      </c>
      <c r="AH2904" s="2">
        <v>9731.2265549473395</v>
      </c>
      <c r="AI2904" s="2">
        <v>11185.8058145424</v>
      </c>
      <c r="AJ2904" s="2">
        <v>11213.622597600401</v>
      </c>
      <c r="AK2904" s="2">
        <v>14810.353483906099</v>
      </c>
      <c r="AL2904" s="2">
        <v>16723.269179845</v>
      </c>
      <c r="AM2904" s="2">
        <v>15472.1548812938</v>
      </c>
      <c r="AN2904" s="2">
        <v>16717.225781273999</v>
      </c>
      <c r="AO2904" s="2">
        <v>15433.611980015001</v>
      </c>
      <c r="AP2904" s="2">
        <v>15101.424833102899</v>
      </c>
    </row>
    <row r="2905" spans="1:42" ht="14.5" x14ac:dyDescent="0.35">
      <c r="A2905" s="2" t="s">
        <v>19329</v>
      </c>
      <c r="B2905" s="2">
        <v>351.07156713417402</v>
      </c>
      <c r="C2905" s="2">
        <v>3.9323666666666699</v>
      </c>
      <c r="D2905" s="2" t="s">
        <v>70</v>
      </c>
      <c r="E2905" s="2" t="s">
        <v>19330</v>
      </c>
      <c r="F2905" s="2">
        <v>206968</v>
      </c>
      <c r="G2905" s="3" t="str">
        <f>HYPERLINK("http://funmeta.oebiotech.com/network/206968", "http://funmeta.oebiotech.com/network/206968")</f>
        <v>http://funmeta.oebiotech.com/network/206968</v>
      </c>
      <c r="H2905" s="2" t="s">
        <v>19331</v>
      </c>
      <c r="I2905" s="2"/>
      <c r="J2905" s="2"/>
      <c r="K2905" s="2"/>
      <c r="L2905" s="2"/>
      <c r="M2905" s="2"/>
      <c r="N2905" s="2"/>
      <c r="O2905" s="2">
        <v>5909448</v>
      </c>
      <c r="P2905" s="2"/>
      <c r="Q2905" s="2" t="s">
        <v>19332</v>
      </c>
      <c r="R2905" s="2" t="s">
        <v>19333</v>
      </c>
      <c r="S2905" s="2" t="s">
        <v>115</v>
      </c>
      <c r="T2905" s="2" t="s">
        <v>758</v>
      </c>
      <c r="U2905" s="2" t="s">
        <v>759</v>
      </c>
      <c r="V2905" s="2" t="s">
        <v>59</v>
      </c>
      <c r="W2905" s="2">
        <v>37.9</v>
      </c>
      <c r="X2905" s="2">
        <v>0</v>
      </c>
      <c r="Y2905" s="2" t="s">
        <v>1395</v>
      </c>
      <c r="Z2905" s="2" t="s">
        <v>19334</v>
      </c>
      <c r="AA2905" s="2">
        <v>-1.5902042522514801</v>
      </c>
      <c r="AB2905" s="2">
        <v>0.27568277292945798</v>
      </c>
      <c r="AC2905" s="2">
        <v>4007.5126458197901</v>
      </c>
      <c r="AD2905" s="2">
        <v>9352.8116265020108</v>
      </c>
      <c r="AE2905" s="2">
        <v>4187.0325063011896</v>
      </c>
      <c r="AF2905" s="2">
        <v>2809.4122829196899</v>
      </c>
      <c r="AG2905" s="2">
        <v>5836.6576873555796</v>
      </c>
      <c r="AH2905" s="2">
        <v>2647.9094122902602</v>
      </c>
      <c r="AI2905" s="2">
        <v>4301.2079738021703</v>
      </c>
      <c r="AJ2905" s="2">
        <v>4262.8560122498402</v>
      </c>
      <c r="AK2905" s="2">
        <v>9649.7907839466498</v>
      </c>
      <c r="AL2905" s="2">
        <v>9090.6316423778007</v>
      </c>
      <c r="AM2905" s="2">
        <v>8694.8642159992505</v>
      </c>
      <c r="AN2905" s="2">
        <v>11479.027392264399</v>
      </c>
      <c r="AO2905" s="2">
        <v>8681.0945725555994</v>
      </c>
      <c r="AP2905" s="2">
        <v>8521.4611518683905</v>
      </c>
    </row>
    <row r="2906" spans="1:42" ht="14.5" x14ac:dyDescent="0.35">
      <c r="A2906" s="2" t="s">
        <v>19335</v>
      </c>
      <c r="B2906" s="2">
        <v>603.16909235672097</v>
      </c>
      <c r="C2906" s="2">
        <v>5.2079666666666702</v>
      </c>
      <c r="D2906" s="2" t="s">
        <v>70</v>
      </c>
      <c r="E2906" s="2" t="s">
        <v>19336</v>
      </c>
      <c r="F2906" s="2">
        <v>267052</v>
      </c>
      <c r="G2906" s="3" t="str">
        <f>HYPERLINK("http://funmeta.oebiotech.com/network/267052", "http://funmeta.oebiotech.com/network/267052")</f>
        <v>http://funmeta.oebiotech.com/network/267052</v>
      </c>
      <c r="H2906" s="2"/>
      <c r="I2906" s="2">
        <v>44623</v>
      </c>
      <c r="J2906" s="2"/>
      <c r="K2906" s="2"/>
      <c r="L2906" s="2"/>
      <c r="M2906" s="2"/>
      <c r="N2906" s="2"/>
      <c r="O2906" s="2">
        <v>3336566</v>
      </c>
      <c r="P2906" s="2" t="s">
        <v>19337</v>
      </c>
      <c r="Q2906" s="2" t="s">
        <v>19338</v>
      </c>
      <c r="R2906" s="2" t="s">
        <v>19339</v>
      </c>
      <c r="S2906" s="2" t="s">
        <v>115</v>
      </c>
      <c r="T2906" s="2" t="s">
        <v>139</v>
      </c>
      <c r="U2906" s="2" t="s">
        <v>957</v>
      </c>
      <c r="V2906" s="2" t="s">
        <v>59</v>
      </c>
      <c r="W2906" s="2">
        <v>36.1</v>
      </c>
      <c r="X2906" s="2">
        <v>0</v>
      </c>
      <c r="Y2906" s="2" t="s">
        <v>751</v>
      </c>
      <c r="Z2906" s="2" t="s">
        <v>19340</v>
      </c>
      <c r="AA2906" s="2">
        <v>4.8800990109280704</v>
      </c>
      <c r="AB2906" s="2">
        <v>0.27537765205190901</v>
      </c>
      <c r="AC2906" s="2">
        <v>13080.314296500401</v>
      </c>
      <c r="AD2906" s="2">
        <v>7560.3823616876198</v>
      </c>
      <c r="AE2906" s="2">
        <v>11619.2618533799</v>
      </c>
      <c r="AF2906" s="2">
        <v>13784.0974253858</v>
      </c>
      <c r="AG2906" s="2">
        <v>15090.360795180601</v>
      </c>
      <c r="AH2906" s="2">
        <v>11149.7551624549</v>
      </c>
      <c r="AI2906" s="2">
        <v>13182.3106049956</v>
      </c>
      <c r="AJ2906" s="2">
        <v>13656.099937605801</v>
      </c>
      <c r="AK2906" s="2">
        <v>7245.5443561859001</v>
      </c>
      <c r="AL2906" s="2">
        <v>9411.54741816557</v>
      </c>
      <c r="AM2906" s="2">
        <v>6159.4651124611</v>
      </c>
      <c r="AN2906" s="2">
        <v>6412.9086880127597</v>
      </c>
      <c r="AO2906" s="2">
        <v>6639.4337152340604</v>
      </c>
      <c r="AP2906" s="2">
        <v>9493.3948800663093</v>
      </c>
    </row>
    <row r="2907" spans="1:42" ht="14.5" x14ac:dyDescent="0.35">
      <c r="A2907" s="2" t="s">
        <v>19341</v>
      </c>
      <c r="B2907" s="2">
        <v>530.27035354645705</v>
      </c>
      <c r="C2907" s="2">
        <v>10.792766666666701</v>
      </c>
      <c r="D2907" s="2" t="s">
        <v>34</v>
      </c>
      <c r="E2907" s="2" t="s">
        <v>19342</v>
      </c>
      <c r="F2907" s="2">
        <v>266880</v>
      </c>
      <c r="G2907" s="3" t="str">
        <f>HYPERLINK("http://funmeta.oebiotech.com/network/266880", "http://funmeta.oebiotech.com/network/266880")</f>
        <v>http://funmeta.oebiotech.com/network/266880</v>
      </c>
      <c r="H2907" s="2"/>
      <c r="I2907" s="2">
        <v>44191</v>
      </c>
      <c r="J2907" s="2"/>
      <c r="K2907" s="2"/>
      <c r="L2907" s="2" t="s">
        <v>19343</v>
      </c>
      <c r="M2907" s="2"/>
      <c r="N2907" s="2"/>
      <c r="O2907" s="2">
        <v>441728</v>
      </c>
      <c r="P2907" s="2" t="s">
        <v>19344</v>
      </c>
      <c r="Q2907" s="2" t="s">
        <v>19345</v>
      </c>
      <c r="R2907" s="2" t="s">
        <v>19346</v>
      </c>
      <c r="S2907" s="2" t="s">
        <v>50</v>
      </c>
      <c r="T2907" s="2" t="s">
        <v>201</v>
      </c>
      <c r="U2907" s="2" t="s">
        <v>241</v>
      </c>
      <c r="V2907" s="2" t="s">
        <v>59</v>
      </c>
      <c r="W2907" s="2">
        <v>37.1</v>
      </c>
      <c r="X2907" s="2">
        <v>0</v>
      </c>
      <c r="Y2907" s="2" t="s">
        <v>323</v>
      </c>
      <c r="Z2907" s="2" t="s">
        <v>19347</v>
      </c>
      <c r="AA2907" s="2">
        <v>-4.1089663961359104</v>
      </c>
      <c r="AB2907" s="2">
        <v>0.27535233566322598</v>
      </c>
      <c r="AC2907" s="2">
        <v>7268.2605558716004</v>
      </c>
      <c r="AD2907" s="2">
        <v>2072.4615640972902</v>
      </c>
      <c r="AE2907" s="2">
        <v>7401.2702719413101</v>
      </c>
      <c r="AF2907" s="2">
        <v>7825.4692315949897</v>
      </c>
      <c r="AG2907" s="2">
        <v>6881.4365213137899</v>
      </c>
      <c r="AH2907" s="2">
        <v>6223.93254470179</v>
      </c>
      <c r="AI2907" s="2">
        <v>6018.1399941264699</v>
      </c>
      <c r="AJ2907" s="2">
        <v>9259.3147715512805</v>
      </c>
      <c r="AK2907" s="2">
        <v>2377.3312916629202</v>
      </c>
      <c r="AL2907" s="2">
        <v>2769.1684040602199</v>
      </c>
      <c r="AM2907" s="2">
        <v>2059.9930853815099</v>
      </c>
      <c r="AN2907" s="2">
        <v>1947.04884410975</v>
      </c>
      <c r="AO2907" s="2">
        <v>1648.3495420951599</v>
      </c>
      <c r="AP2907" s="2">
        <v>1632.8782172741901</v>
      </c>
    </row>
    <row r="2908" spans="1:42" ht="14.5" x14ac:dyDescent="0.35">
      <c r="A2908" s="2" t="s">
        <v>19348</v>
      </c>
      <c r="B2908" s="2">
        <v>622.28595632316899</v>
      </c>
      <c r="C2908" s="2">
        <v>6.7459499999999997</v>
      </c>
      <c r="D2908" s="2" t="s">
        <v>34</v>
      </c>
      <c r="E2908" s="2" t="s">
        <v>19349</v>
      </c>
      <c r="F2908" s="2">
        <v>61094</v>
      </c>
      <c r="G2908" s="3" t="str">
        <f>HYPERLINK("http://funmeta.oebiotech.com/network/61094", "http://funmeta.oebiotech.com/network/61094")</f>
        <v>http://funmeta.oebiotech.com/network/61094</v>
      </c>
      <c r="H2908" s="2" t="s">
        <v>19350</v>
      </c>
      <c r="I2908" s="2">
        <v>92413</v>
      </c>
      <c r="J2908" s="2"/>
      <c r="K2908" s="2">
        <v>18186</v>
      </c>
      <c r="L2908" s="2" t="s">
        <v>19351</v>
      </c>
      <c r="M2908" s="2"/>
      <c r="N2908" s="2"/>
      <c r="O2908" s="2">
        <v>1153</v>
      </c>
      <c r="P2908" s="2" t="s">
        <v>19352</v>
      </c>
      <c r="Q2908" s="2" t="s">
        <v>19353</v>
      </c>
      <c r="R2908" s="2" t="s">
        <v>19354</v>
      </c>
      <c r="S2908" s="2" t="s">
        <v>89</v>
      </c>
      <c r="T2908" s="2" t="s">
        <v>90</v>
      </c>
      <c r="U2908" s="2" t="s">
        <v>1248</v>
      </c>
      <c r="V2908" s="2" t="s">
        <v>59</v>
      </c>
      <c r="W2908" s="2">
        <v>38.1</v>
      </c>
      <c r="X2908" s="2">
        <v>0</v>
      </c>
      <c r="Y2908" s="2" t="s">
        <v>43</v>
      </c>
      <c r="Z2908" s="2" t="s">
        <v>19355</v>
      </c>
      <c r="AA2908" s="2">
        <v>0.254985758572082</v>
      </c>
      <c r="AB2908" s="2">
        <v>0.27515468260394199</v>
      </c>
      <c r="AC2908" s="2">
        <v>37114.359833025803</v>
      </c>
      <c r="AD2908" s="2">
        <v>44698.818285614798</v>
      </c>
      <c r="AE2908" s="2">
        <v>36898.928240489702</v>
      </c>
      <c r="AF2908" s="2">
        <v>44432.707062097099</v>
      </c>
      <c r="AG2908" s="2">
        <v>33806.494451220598</v>
      </c>
      <c r="AH2908" s="2">
        <v>31393.510012485</v>
      </c>
      <c r="AI2908" s="2">
        <v>41332.292634945101</v>
      </c>
      <c r="AJ2908" s="2">
        <v>34822.226596916997</v>
      </c>
      <c r="AK2908" s="2">
        <v>37761.207613507599</v>
      </c>
      <c r="AL2908" s="2">
        <v>48814.6966435656</v>
      </c>
      <c r="AM2908" s="2">
        <v>45010.106089801397</v>
      </c>
      <c r="AN2908" s="2">
        <v>43789.902303238203</v>
      </c>
      <c r="AO2908" s="2">
        <v>41978.186933418903</v>
      </c>
      <c r="AP2908" s="2">
        <v>50838.810130157202</v>
      </c>
    </row>
    <row r="2909" spans="1:42" ht="14.5" x14ac:dyDescent="0.35">
      <c r="A2909" s="2" t="s">
        <v>19356</v>
      </c>
      <c r="B2909" s="2">
        <v>501.35479110392902</v>
      </c>
      <c r="C2909" s="2">
        <v>12.1619166666667</v>
      </c>
      <c r="D2909" s="2" t="s">
        <v>34</v>
      </c>
      <c r="E2909" s="2" t="s">
        <v>19357</v>
      </c>
      <c r="F2909" s="2">
        <v>44179</v>
      </c>
      <c r="G2909" s="3" t="str">
        <f>HYPERLINK("http://funmeta.oebiotech.com/network/44179", "http://funmeta.oebiotech.com/network/44179")</f>
        <v>http://funmeta.oebiotech.com/network/44179</v>
      </c>
      <c r="H2909" s="2"/>
      <c r="I2909" s="2"/>
      <c r="J2909" s="2" t="s">
        <v>19358</v>
      </c>
      <c r="K2909" s="2"/>
      <c r="L2909" s="2"/>
      <c r="M2909" s="2"/>
      <c r="N2909" s="2"/>
      <c r="O2909" s="2">
        <v>21629552</v>
      </c>
      <c r="P2909" s="2"/>
      <c r="Q2909" s="2" t="s">
        <v>19359</v>
      </c>
      <c r="R2909" s="2" t="s">
        <v>19360</v>
      </c>
      <c r="S2909" s="2" t="s">
        <v>50</v>
      </c>
      <c r="T2909" s="2" t="s">
        <v>124</v>
      </c>
      <c r="U2909" s="2" t="s">
        <v>19361</v>
      </c>
      <c r="V2909" s="2" t="s">
        <v>59</v>
      </c>
      <c r="W2909" s="2">
        <v>36.4</v>
      </c>
      <c r="X2909" s="2">
        <v>0.93200000000000005</v>
      </c>
      <c r="Y2909" s="2" t="s">
        <v>323</v>
      </c>
      <c r="Z2909" s="2" t="s">
        <v>13831</v>
      </c>
      <c r="AA2909" s="2">
        <v>-0.53155421731437802</v>
      </c>
      <c r="AB2909" s="2">
        <v>0.27513294567304802</v>
      </c>
      <c r="AC2909" s="2">
        <v>42486.231791480699</v>
      </c>
      <c r="AD2909" s="2">
        <v>36099.199795702501</v>
      </c>
      <c r="AE2909" s="2">
        <v>46632.688020637601</v>
      </c>
      <c r="AF2909" s="2">
        <v>42314.028455683903</v>
      </c>
      <c r="AG2909" s="2">
        <v>43555.353758396399</v>
      </c>
      <c r="AH2909" s="2">
        <v>40487.0602711928</v>
      </c>
      <c r="AI2909" s="2">
        <v>38865.252619947598</v>
      </c>
      <c r="AJ2909" s="2">
        <v>43063.0076230259</v>
      </c>
      <c r="AK2909" s="2">
        <v>36992.049823774498</v>
      </c>
      <c r="AL2909" s="2">
        <v>33778.499958140499</v>
      </c>
      <c r="AM2909" s="2">
        <v>39513.968225605196</v>
      </c>
      <c r="AN2909" s="2">
        <v>38479.011893675197</v>
      </c>
      <c r="AO2909" s="2">
        <v>31321.313089937899</v>
      </c>
      <c r="AP2909" s="2">
        <v>36510.355783081701</v>
      </c>
    </row>
    <row r="2910" spans="1:42" ht="14.5" x14ac:dyDescent="0.35">
      <c r="A2910" s="2" t="s">
        <v>19362</v>
      </c>
      <c r="B2910" s="2">
        <v>181.122180206916</v>
      </c>
      <c r="C2910" s="2">
        <v>4.5315500000000002</v>
      </c>
      <c r="D2910" s="2" t="s">
        <v>34</v>
      </c>
      <c r="E2910" s="2" t="s">
        <v>19363</v>
      </c>
      <c r="F2910" s="2">
        <v>208044</v>
      </c>
      <c r="G2910" s="3" t="str">
        <f>HYPERLINK("http://funmeta.oebiotech.com/network/208044", "http://funmeta.oebiotech.com/network/208044")</f>
        <v>http://funmeta.oebiotech.com/network/208044</v>
      </c>
      <c r="H2910" s="2" t="s">
        <v>19364</v>
      </c>
      <c r="I2910" s="2"/>
      <c r="J2910" s="2"/>
      <c r="K2910" s="2"/>
      <c r="L2910" s="2"/>
      <c r="M2910" s="2"/>
      <c r="N2910" s="2"/>
      <c r="O2910" s="2">
        <v>6919096</v>
      </c>
      <c r="P2910" s="2"/>
      <c r="Q2910" s="2" t="s">
        <v>19365</v>
      </c>
      <c r="R2910" s="2" t="s">
        <v>19366</v>
      </c>
      <c r="S2910" s="2" t="s">
        <v>41</v>
      </c>
      <c r="T2910" s="2" t="s">
        <v>41</v>
      </c>
      <c r="U2910" s="2" t="s">
        <v>41</v>
      </c>
      <c r="V2910" s="2" t="s">
        <v>59</v>
      </c>
      <c r="W2910" s="2">
        <v>47</v>
      </c>
      <c r="X2910" s="2">
        <v>40.799999999999997</v>
      </c>
      <c r="Y2910" s="2" t="s">
        <v>19367</v>
      </c>
      <c r="Z2910" s="2" t="s">
        <v>6618</v>
      </c>
      <c r="AA2910" s="2">
        <v>-0.63585436281632202</v>
      </c>
      <c r="AB2910" s="2">
        <v>0.275082858685471</v>
      </c>
      <c r="AC2910" s="2">
        <v>34711.047979790303</v>
      </c>
      <c r="AD2910" s="2">
        <v>40054.758921460198</v>
      </c>
      <c r="AE2910" s="2">
        <v>33713.080508271698</v>
      </c>
      <c r="AF2910" s="2">
        <v>34738.614923326299</v>
      </c>
      <c r="AG2910" s="2">
        <v>36448.316012360199</v>
      </c>
      <c r="AH2910" s="2">
        <v>33956.484465071197</v>
      </c>
      <c r="AI2910" s="2">
        <v>34630.012172847099</v>
      </c>
      <c r="AJ2910" s="2">
        <v>34779.779796865201</v>
      </c>
      <c r="AK2910" s="2">
        <v>41832.336195627002</v>
      </c>
      <c r="AL2910" s="2">
        <v>41342.815708304901</v>
      </c>
      <c r="AM2910" s="2">
        <v>39159.507084634097</v>
      </c>
      <c r="AN2910" s="2">
        <v>38780.571182711399</v>
      </c>
      <c r="AO2910" s="2">
        <v>40117.747632900799</v>
      </c>
      <c r="AP2910" s="2">
        <v>39095.575724582901</v>
      </c>
    </row>
    <row r="2911" spans="1:42" ht="14.5" x14ac:dyDescent="0.35">
      <c r="A2911" s="2" t="s">
        <v>19368</v>
      </c>
      <c r="B2911" s="2">
        <v>271.13257712296303</v>
      </c>
      <c r="C2911" s="2">
        <v>5.1518499999999996</v>
      </c>
      <c r="D2911" s="2" t="s">
        <v>34</v>
      </c>
      <c r="E2911" s="2" t="s">
        <v>19369</v>
      </c>
      <c r="F2911" s="2">
        <v>266583</v>
      </c>
      <c r="G2911" s="3" t="str">
        <f>HYPERLINK("http://funmeta.oebiotech.com/network/266583", "http://funmeta.oebiotech.com/network/266583")</f>
        <v>http://funmeta.oebiotech.com/network/266583</v>
      </c>
      <c r="H2911" s="2"/>
      <c r="I2911" s="2">
        <v>43626</v>
      </c>
      <c r="J2911" s="2"/>
      <c r="K2911" s="2"/>
      <c r="L2911" s="2"/>
      <c r="M2911" s="2"/>
      <c r="N2911" s="2"/>
      <c r="O2911" s="2">
        <v>5458526</v>
      </c>
      <c r="P2911" s="2" t="s">
        <v>19370</v>
      </c>
      <c r="Q2911" s="2" t="s">
        <v>19371</v>
      </c>
      <c r="R2911" s="2" t="s">
        <v>19372</v>
      </c>
      <c r="S2911" s="2" t="s">
        <v>115</v>
      </c>
      <c r="T2911" s="2" t="s">
        <v>12600</v>
      </c>
      <c r="U2911" s="2" t="s">
        <v>19373</v>
      </c>
      <c r="V2911" s="2" t="s">
        <v>59</v>
      </c>
      <c r="W2911" s="2">
        <v>38.799999999999997</v>
      </c>
      <c r="X2911" s="2">
        <v>0</v>
      </c>
      <c r="Y2911" s="2" t="s">
        <v>266</v>
      </c>
      <c r="Z2911" s="2" t="s">
        <v>5199</v>
      </c>
      <c r="AA2911" s="2">
        <v>-1.08743852327344</v>
      </c>
      <c r="AB2911" s="2">
        <v>0.27501133527306398</v>
      </c>
      <c r="AC2911" s="2">
        <v>103551.25889544</v>
      </c>
      <c r="AD2911" s="2">
        <v>111602.354657042</v>
      </c>
      <c r="AE2911" s="2">
        <v>106899.83032617701</v>
      </c>
      <c r="AF2911" s="2">
        <v>107783.228594723</v>
      </c>
      <c r="AG2911" s="2">
        <v>105781.42441930799</v>
      </c>
      <c r="AH2911" s="2">
        <v>92725.144120031997</v>
      </c>
      <c r="AI2911" s="2">
        <v>99900.342266422798</v>
      </c>
      <c r="AJ2911" s="2">
        <v>108217.58364597701</v>
      </c>
      <c r="AK2911" s="2">
        <v>107887.54697634401</v>
      </c>
      <c r="AL2911" s="2">
        <v>118623.235295555</v>
      </c>
      <c r="AM2911" s="2">
        <v>116993.73056331799</v>
      </c>
      <c r="AN2911" s="2">
        <v>108778.063334208</v>
      </c>
      <c r="AO2911" s="2">
        <v>108497.11309704999</v>
      </c>
      <c r="AP2911" s="2">
        <v>108834.43867577901</v>
      </c>
    </row>
    <row r="2912" spans="1:42" ht="14.5" x14ac:dyDescent="0.35">
      <c r="A2912" s="2" t="s">
        <v>19374</v>
      </c>
      <c r="B2912" s="2">
        <v>262.06940149629099</v>
      </c>
      <c r="C2912" s="2">
        <v>1.77043333333333</v>
      </c>
      <c r="D2912" s="2" t="s">
        <v>70</v>
      </c>
      <c r="E2912" s="2" t="s">
        <v>19375</v>
      </c>
      <c r="F2912" s="2">
        <v>279705</v>
      </c>
      <c r="G2912" s="3" t="str">
        <f>HYPERLINK("http://funmeta.oebiotech.com/network/279705", "http://funmeta.oebiotech.com/network/279705")</f>
        <v>http://funmeta.oebiotech.com/network/279705</v>
      </c>
      <c r="H2912" s="2"/>
      <c r="I2912" s="2">
        <v>72453</v>
      </c>
      <c r="J2912" s="2"/>
      <c r="K2912" s="2"/>
      <c r="L2912" s="2" t="s">
        <v>19376</v>
      </c>
      <c r="M2912" s="2"/>
      <c r="N2912" s="2"/>
      <c r="O2912" s="2">
        <v>5372405</v>
      </c>
      <c r="P2912" s="2" t="s">
        <v>19377</v>
      </c>
      <c r="Q2912" s="2" t="s">
        <v>19378</v>
      </c>
      <c r="R2912" s="2" t="s">
        <v>19379</v>
      </c>
      <c r="S2912" s="2" t="s">
        <v>50</v>
      </c>
      <c r="T2912" s="2" t="s">
        <v>229</v>
      </c>
      <c r="U2912" s="2" t="s">
        <v>1914</v>
      </c>
      <c r="V2912" s="2" t="s">
        <v>59</v>
      </c>
      <c r="W2912" s="2">
        <v>36.799999999999997</v>
      </c>
      <c r="X2912" s="2">
        <v>0</v>
      </c>
      <c r="Y2912" s="2" t="s">
        <v>751</v>
      </c>
      <c r="Z2912" s="2" t="s">
        <v>19380</v>
      </c>
      <c r="AA2912" s="2">
        <v>7.7444948726035703</v>
      </c>
      <c r="AB2912" s="2">
        <v>0.27495087422777698</v>
      </c>
      <c r="AC2912" s="2">
        <v>17041.234695281299</v>
      </c>
      <c r="AD2912" s="2">
        <v>11970.061520957501</v>
      </c>
      <c r="AE2912" s="2">
        <v>16802.293264517699</v>
      </c>
      <c r="AF2912" s="2">
        <v>16369.240304233201</v>
      </c>
      <c r="AG2912" s="2">
        <v>17256.144175171401</v>
      </c>
      <c r="AH2912" s="2">
        <v>16885.5294254092</v>
      </c>
      <c r="AI2912" s="2">
        <v>16685.070374026</v>
      </c>
      <c r="AJ2912" s="2">
        <v>18249.1306283302</v>
      </c>
      <c r="AK2912" s="2">
        <v>11915.0312726048</v>
      </c>
      <c r="AL2912" s="2">
        <v>11553.007510134699</v>
      </c>
      <c r="AM2912" s="2">
        <v>12716.8709114054</v>
      </c>
      <c r="AN2912" s="2">
        <v>12358.683775658101</v>
      </c>
      <c r="AO2912" s="2">
        <v>11383.2685125768</v>
      </c>
      <c r="AP2912" s="2">
        <v>11893.507143365299</v>
      </c>
    </row>
    <row r="2913" spans="1:42" ht="14.5" x14ac:dyDescent="0.35">
      <c r="A2913" s="2" t="s">
        <v>19381</v>
      </c>
      <c r="B2913" s="2">
        <v>623.28760305166497</v>
      </c>
      <c r="C2913" s="2">
        <v>4.9873666666666701</v>
      </c>
      <c r="D2913" s="2" t="s">
        <v>70</v>
      </c>
      <c r="E2913" s="2" t="s">
        <v>19382</v>
      </c>
      <c r="F2913" s="2">
        <v>267460</v>
      </c>
      <c r="G2913" s="3" t="str">
        <f>HYPERLINK("http://funmeta.oebiotech.com/network/267460", "http://funmeta.oebiotech.com/network/267460")</f>
        <v>http://funmeta.oebiotech.com/network/267460</v>
      </c>
      <c r="H2913" s="2"/>
      <c r="I2913" s="2">
        <v>45513</v>
      </c>
      <c r="J2913" s="2"/>
      <c r="K2913" s="2"/>
      <c r="L2913" s="2"/>
      <c r="M2913" s="2"/>
      <c r="N2913" s="2"/>
      <c r="O2913" s="2">
        <v>6918848</v>
      </c>
      <c r="P2913" s="2" t="s">
        <v>19383</v>
      </c>
      <c r="Q2913" s="2" t="s">
        <v>19384</v>
      </c>
      <c r="R2913" s="2" t="s">
        <v>19385</v>
      </c>
      <c r="S2913" s="2" t="s">
        <v>148</v>
      </c>
      <c r="T2913" s="2" t="s">
        <v>149</v>
      </c>
      <c r="U2913" s="2" t="s">
        <v>1593</v>
      </c>
      <c r="V2913" s="2" t="s">
        <v>59</v>
      </c>
      <c r="W2913" s="2">
        <v>37.4</v>
      </c>
      <c r="X2913" s="2">
        <v>0</v>
      </c>
      <c r="Y2913" s="2" t="s">
        <v>560</v>
      </c>
      <c r="Z2913" s="2" t="s">
        <v>19386</v>
      </c>
      <c r="AA2913" s="2">
        <v>0.15131362107358201</v>
      </c>
      <c r="AB2913" s="2">
        <v>0.274926951309519</v>
      </c>
      <c r="AC2913" s="2">
        <v>83094.653314811396</v>
      </c>
      <c r="AD2913" s="2">
        <v>90311.507429150093</v>
      </c>
      <c r="AE2913" s="2">
        <v>83315.5067783142</v>
      </c>
      <c r="AF2913" s="2">
        <v>78854.697880224601</v>
      </c>
      <c r="AG2913" s="2">
        <v>83342.758862100105</v>
      </c>
      <c r="AH2913" s="2">
        <v>88290.530072249399</v>
      </c>
      <c r="AI2913" s="2">
        <v>77310.939805993999</v>
      </c>
      <c r="AJ2913" s="2">
        <v>87453.486489985997</v>
      </c>
      <c r="AK2913" s="2">
        <v>86834.239211277105</v>
      </c>
      <c r="AL2913" s="2">
        <v>95826.562149143007</v>
      </c>
      <c r="AM2913" s="2">
        <v>93778.540092579104</v>
      </c>
      <c r="AN2913" s="2">
        <v>86707.815247138904</v>
      </c>
      <c r="AO2913" s="2">
        <v>89855.692504630104</v>
      </c>
      <c r="AP2913" s="2">
        <v>88866.195370132205</v>
      </c>
    </row>
    <row r="2914" spans="1:42" ht="14.5" x14ac:dyDescent="0.35">
      <c r="A2914" s="2" t="s">
        <v>19387</v>
      </c>
      <c r="B2914" s="2">
        <v>525.34143499062304</v>
      </c>
      <c r="C2914" s="2">
        <v>6.9333</v>
      </c>
      <c r="D2914" s="2" t="s">
        <v>70</v>
      </c>
      <c r="E2914" s="5" t="s">
        <v>19388</v>
      </c>
      <c r="F2914" s="2">
        <v>44774</v>
      </c>
      <c r="G2914" s="3" t="str">
        <f>HYPERLINK("http://funmeta.oebiotech.com/network/44774", "http://funmeta.oebiotech.com/network/44774")</f>
        <v>http://funmeta.oebiotech.com/network/44774</v>
      </c>
      <c r="H2914" s="2" t="s">
        <v>19389</v>
      </c>
      <c r="I2914" s="2">
        <v>57802</v>
      </c>
      <c r="J2914" s="2" t="s">
        <v>19390</v>
      </c>
      <c r="K2914" s="2">
        <v>27722</v>
      </c>
      <c r="L2914" s="2" t="s">
        <v>19391</v>
      </c>
      <c r="M2914" s="2"/>
      <c r="N2914" s="2"/>
      <c r="O2914" s="2">
        <v>443055</v>
      </c>
      <c r="P2914" s="2" t="s">
        <v>19392</v>
      </c>
      <c r="Q2914" s="2" t="s">
        <v>19393</v>
      </c>
      <c r="R2914" s="2" t="s">
        <v>19394</v>
      </c>
      <c r="S2914" s="2" t="s">
        <v>50</v>
      </c>
      <c r="T2914" s="2" t="s">
        <v>124</v>
      </c>
      <c r="U2914" s="2" t="s">
        <v>567</v>
      </c>
      <c r="V2914" s="2" t="s">
        <v>59</v>
      </c>
      <c r="W2914" s="2">
        <v>43.1</v>
      </c>
      <c r="X2914" s="2">
        <v>24.7</v>
      </c>
      <c r="Y2914" s="2" t="s">
        <v>408</v>
      </c>
      <c r="Z2914" s="2" t="s">
        <v>19395</v>
      </c>
      <c r="AA2914" s="2">
        <v>-3.8662539470220398</v>
      </c>
      <c r="AB2914" s="2">
        <v>0.27476085803891398</v>
      </c>
      <c r="AC2914" s="2">
        <v>49790.147306190302</v>
      </c>
      <c r="AD2914" s="2">
        <v>43616.428126441198</v>
      </c>
      <c r="AE2914" s="2">
        <v>49815.073857402902</v>
      </c>
      <c r="AF2914" s="2">
        <v>51309.311929852804</v>
      </c>
      <c r="AG2914" s="2">
        <v>45596.712022808199</v>
      </c>
      <c r="AH2914" s="2">
        <v>52840.933784455301</v>
      </c>
      <c r="AI2914" s="2">
        <v>49696.193007487098</v>
      </c>
      <c r="AJ2914" s="2">
        <v>49482.659235135303</v>
      </c>
      <c r="AK2914" s="2">
        <v>40893.360512174397</v>
      </c>
      <c r="AL2914" s="2">
        <v>44721.989885235998</v>
      </c>
      <c r="AM2914" s="2">
        <v>43121.620388190699</v>
      </c>
      <c r="AN2914" s="2">
        <v>48041.796526531798</v>
      </c>
      <c r="AO2914" s="2">
        <v>43183.719553344199</v>
      </c>
      <c r="AP2914" s="2">
        <v>41736.0818931701</v>
      </c>
    </row>
    <row r="2915" spans="1:42" ht="14.5" x14ac:dyDescent="0.35">
      <c r="A2915" s="2" t="s">
        <v>19396</v>
      </c>
      <c r="B2915" s="2">
        <v>651.29208193027296</v>
      </c>
      <c r="C2915" s="2">
        <v>10.7203</v>
      </c>
      <c r="D2915" s="2" t="s">
        <v>70</v>
      </c>
      <c r="E2915" s="2" t="s">
        <v>19397</v>
      </c>
      <c r="F2915" s="2">
        <v>534669</v>
      </c>
      <c r="G2915" s="3" t="str">
        <f>HYPERLINK("http://funmeta.oebiotech.com/network/534669", "http://funmeta.oebiotech.com/network/534669")</f>
        <v>http://funmeta.oebiotech.com/network/534669</v>
      </c>
      <c r="H2915" s="2"/>
      <c r="I2915" s="2">
        <v>984968</v>
      </c>
      <c r="J2915" s="2"/>
      <c r="K2915" s="2"/>
      <c r="L2915" s="2"/>
      <c r="M2915" s="2"/>
      <c r="N2915" s="2"/>
      <c r="O2915" s="2">
        <v>51136421</v>
      </c>
      <c r="P2915" s="2"/>
      <c r="Q2915" s="2" t="s">
        <v>19398</v>
      </c>
      <c r="R2915" s="2" t="s">
        <v>19399</v>
      </c>
      <c r="S2915" s="2" t="s">
        <v>115</v>
      </c>
      <c r="T2915" s="2" t="s">
        <v>1371</v>
      </c>
      <c r="U2915" s="2" t="s">
        <v>3261</v>
      </c>
      <c r="V2915" s="2" t="s">
        <v>59</v>
      </c>
      <c r="W2915" s="2">
        <v>37.1</v>
      </c>
      <c r="X2915" s="2">
        <v>0</v>
      </c>
      <c r="Y2915" s="2" t="s">
        <v>560</v>
      </c>
      <c r="Z2915" s="2" t="s">
        <v>13570</v>
      </c>
      <c r="AA2915" s="2">
        <v>-6.5307092702734204</v>
      </c>
      <c r="AB2915" s="2">
        <v>0.27475993486648798</v>
      </c>
      <c r="AC2915" s="2">
        <v>2398.0402153066698</v>
      </c>
      <c r="AD2915" s="2">
        <v>7687.07760910244</v>
      </c>
      <c r="AE2915" s="2">
        <v>2432.4919147348501</v>
      </c>
      <c r="AF2915" s="2">
        <v>2798.50476969078</v>
      </c>
      <c r="AG2915" s="2">
        <v>2217.3890837848899</v>
      </c>
      <c r="AH2915" s="2">
        <v>2747.99195324939</v>
      </c>
      <c r="AI2915" s="2">
        <v>1745.2517005668001</v>
      </c>
      <c r="AJ2915" s="2">
        <v>2446.61186981328</v>
      </c>
      <c r="AK2915" s="2">
        <v>8462.1117063134498</v>
      </c>
      <c r="AL2915" s="2">
        <v>9437.8885036922693</v>
      </c>
      <c r="AM2915" s="2">
        <v>5621.9989860720998</v>
      </c>
      <c r="AN2915" s="2">
        <v>6902.9964043400496</v>
      </c>
      <c r="AO2915" s="2">
        <v>8724.2517980499906</v>
      </c>
      <c r="AP2915" s="2">
        <v>6973.2182561468098</v>
      </c>
    </row>
    <row r="2916" spans="1:42" ht="14.5" x14ac:dyDescent="0.35">
      <c r="A2916" s="2" t="s">
        <v>19400</v>
      </c>
      <c r="B2916" s="2">
        <v>505.22486773033597</v>
      </c>
      <c r="C2916" s="2">
        <v>4.3112000000000004</v>
      </c>
      <c r="D2916" s="2" t="s">
        <v>34</v>
      </c>
      <c r="E2916" s="2" t="s">
        <v>19401</v>
      </c>
      <c r="F2916" s="2">
        <v>207633</v>
      </c>
      <c r="G2916" s="3" t="str">
        <f>HYPERLINK("http://funmeta.oebiotech.com/network/207633", "http://funmeta.oebiotech.com/network/207633")</f>
        <v>http://funmeta.oebiotech.com/network/207633</v>
      </c>
      <c r="H2916" s="2" t="s">
        <v>19402</v>
      </c>
      <c r="I2916" s="2">
        <v>425504</v>
      </c>
      <c r="J2916" s="2"/>
      <c r="K2916" s="2"/>
      <c r="L2916" s="2"/>
      <c r="M2916" s="2"/>
      <c r="N2916" s="2"/>
      <c r="O2916" s="2">
        <v>4742795</v>
      </c>
      <c r="P2916" s="2"/>
      <c r="Q2916" s="2" t="s">
        <v>19403</v>
      </c>
      <c r="R2916" s="2" t="s">
        <v>19404</v>
      </c>
      <c r="S2916" s="2" t="s">
        <v>41</v>
      </c>
      <c r="T2916" s="2" t="s">
        <v>41</v>
      </c>
      <c r="U2916" s="2" t="s">
        <v>41</v>
      </c>
      <c r="V2916" s="2" t="s">
        <v>42</v>
      </c>
      <c r="W2916" s="2">
        <v>50.4</v>
      </c>
      <c r="X2916" s="2">
        <v>68.099999999999994</v>
      </c>
      <c r="Y2916" s="2" t="s">
        <v>394</v>
      </c>
      <c r="Z2916" s="2" t="s">
        <v>19405</v>
      </c>
      <c r="AA2916" s="2">
        <v>4.1691410550006003</v>
      </c>
      <c r="AB2916" s="2">
        <v>0.27451461928655102</v>
      </c>
      <c r="AC2916" s="2">
        <v>76436.774651678294</v>
      </c>
      <c r="AD2916" s="2">
        <v>83297.336995969104</v>
      </c>
      <c r="AE2916" s="2">
        <v>79066.080423493404</v>
      </c>
      <c r="AF2916" s="2">
        <v>71162.053577070707</v>
      </c>
      <c r="AG2916" s="2">
        <v>82837.062473329905</v>
      </c>
      <c r="AH2916" s="2">
        <v>71788.0720511244</v>
      </c>
      <c r="AI2916" s="2">
        <v>76493.5283663273</v>
      </c>
      <c r="AJ2916" s="2">
        <v>77273.851018724003</v>
      </c>
      <c r="AK2916" s="2">
        <v>82013.607489434697</v>
      </c>
      <c r="AL2916" s="2">
        <v>85920.682017827305</v>
      </c>
      <c r="AM2916" s="2">
        <v>82147.7623059217</v>
      </c>
      <c r="AN2916" s="2">
        <v>85264.191491104502</v>
      </c>
      <c r="AO2916" s="2">
        <v>79508.367796329199</v>
      </c>
      <c r="AP2916" s="2">
        <v>84929.410875197107</v>
      </c>
    </row>
    <row r="2917" spans="1:42" ht="14.5" x14ac:dyDescent="0.35">
      <c r="A2917" s="2" t="s">
        <v>19406</v>
      </c>
      <c r="B2917" s="2">
        <v>447.02684232189398</v>
      </c>
      <c r="C2917" s="2">
        <v>9.3529166666666708</v>
      </c>
      <c r="D2917" s="2" t="s">
        <v>70</v>
      </c>
      <c r="E2917" s="2" t="s">
        <v>19407</v>
      </c>
      <c r="F2917" s="2">
        <v>209407</v>
      </c>
      <c r="G2917" s="3" t="str">
        <f>HYPERLINK("http://funmeta.oebiotech.com/network/209407", "http://funmeta.oebiotech.com/network/209407")</f>
        <v>http://funmeta.oebiotech.com/network/209407</v>
      </c>
      <c r="H2917" s="2" t="s">
        <v>19408</v>
      </c>
      <c r="I2917" s="2"/>
      <c r="J2917" s="2"/>
      <c r="K2917" s="2"/>
      <c r="L2917" s="2"/>
      <c r="M2917" s="2"/>
      <c r="N2917" s="2"/>
      <c r="O2917" s="2">
        <v>76054794</v>
      </c>
      <c r="P2917" s="2"/>
      <c r="Q2917" s="2" t="s">
        <v>19409</v>
      </c>
      <c r="R2917" s="2" t="s">
        <v>19410</v>
      </c>
      <c r="S2917" s="2" t="s">
        <v>41</v>
      </c>
      <c r="T2917" s="2" t="s">
        <v>41</v>
      </c>
      <c r="U2917" s="2" t="s">
        <v>41</v>
      </c>
      <c r="V2917" s="2" t="s">
        <v>59</v>
      </c>
      <c r="W2917" s="2">
        <v>39.200000000000003</v>
      </c>
      <c r="X2917" s="2">
        <v>0</v>
      </c>
      <c r="Y2917" s="2" t="s">
        <v>560</v>
      </c>
      <c r="Z2917" s="2" t="s">
        <v>19411</v>
      </c>
      <c r="AA2917" s="2">
        <v>1.0157466528956001</v>
      </c>
      <c r="AB2917" s="2">
        <v>0.274486083069578</v>
      </c>
      <c r="AC2917" s="2">
        <v>71533.462717882998</v>
      </c>
      <c r="AD2917" s="2">
        <v>77816.704783180496</v>
      </c>
      <c r="AE2917" s="2">
        <v>70497.034157389993</v>
      </c>
      <c r="AF2917" s="2">
        <v>70014.241213212605</v>
      </c>
      <c r="AG2917" s="2">
        <v>73190.736486438895</v>
      </c>
      <c r="AH2917" s="2">
        <v>73335.720310096702</v>
      </c>
      <c r="AI2917" s="2">
        <v>72227.535620173105</v>
      </c>
      <c r="AJ2917" s="2">
        <v>69935.508519986499</v>
      </c>
      <c r="AK2917" s="2">
        <v>80253.817957226507</v>
      </c>
      <c r="AL2917" s="2">
        <v>79175.894472600994</v>
      </c>
      <c r="AM2917" s="2">
        <v>82823.559666988906</v>
      </c>
      <c r="AN2917" s="2">
        <v>74580.870460535094</v>
      </c>
      <c r="AO2917" s="2">
        <v>75929.556440057204</v>
      </c>
      <c r="AP2917" s="2">
        <v>74136.529701674503</v>
      </c>
    </row>
    <row r="2918" spans="1:42" ht="14.5" x14ac:dyDescent="0.35">
      <c r="A2918" s="2" t="s">
        <v>19412</v>
      </c>
      <c r="B2918" s="2">
        <v>357.070198644664</v>
      </c>
      <c r="C2918" s="2">
        <v>4.84418333333333</v>
      </c>
      <c r="D2918" s="2" t="s">
        <v>70</v>
      </c>
      <c r="E2918" s="2" t="s">
        <v>19413</v>
      </c>
      <c r="F2918" s="2">
        <v>202122</v>
      </c>
      <c r="G2918" s="3" t="str">
        <f>HYPERLINK("http://funmeta.oebiotech.com/network/202122", "http://funmeta.oebiotech.com/network/202122")</f>
        <v>http://funmeta.oebiotech.com/network/202122</v>
      </c>
      <c r="H2918" s="2" t="s">
        <v>19414</v>
      </c>
      <c r="I2918" s="2"/>
      <c r="J2918" s="2"/>
      <c r="K2918" s="2"/>
      <c r="L2918" s="2"/>
      <c r="M2918" s="2"/>
      <c r="N2918" s="2"/>
      <c r="O2918" s="2">
        <v>12978215</v>
      </c>
      <c r="P2918" s="2"/>
      <c r="Q2918" s="2" t="s">
        <v>19415</v>
      </c>
      <c r="R2918" s="2" t="s">
        <v>19416</v>
      </c>
      <c r="S2918" s="2" t="s">
        <v>148</v>
      </c>
      <c r="T2918" s="2" t="s">
        <v>149</v>
      </c>
      <c r="U2918" s="2" t="s">
        <v>10041</v>
      </c>
      <c r="V2918" s="2" t="s">
        <v>42</v>
      </c>
      <c r="W2918" s="2">
        <v>49.4</v>
      </c>
      <c r="X2918" s="2">
        <v>49.8</v>
      </c>
      <c r="Y2918" s="2" t="s">
        <v>408</v>
      </c>
      <c r="Z2918" s="2" t="s">
        <v>19417</v>
      </c>
      <c r="AA2918" s="2">
        <v>-0.58033493301711503</v>
      </c>
      <c r="AB2918" s="2">
        <v>0.27445304462452602</v>
      </c>
      <c r="AC2918" s="2">
        <v>50809.693169183098</v>
      </c>
      <c r="AD2918" s="2">
        <v>44832.7942164255</v>
      </c>
      <c r="AE2918" s="2">
        <v>52610.442450007999</v>
      </c>
      <c r="AF2918" s="2">
        <v>49996.272638584298</v>
      </c>
      <c r="AG2918" s="2">
        <v>49260.513772042999</v>
      </c>
      <c r="AH2918" s="2">
        <v>51817.101240457901</v>
      </c>
      <c r="AI2918" s="2">
        <v>54258.811215563903</v>
      </c>
      <c r="AJ2918" s="2">
        <v>46915.017698441799</v>
      </c>
      <c r="AK2918" s="2">
        <v>43818.626199401799</v>
      </c>
      <c r="AL2918" s="2">
        <v>46233.428497654997</v>
      </c>
      <c r="AM2918" s="2">
        <v>46865.249608859202</v>
      </c>
      <c r="AN2918" s="2">
        <v>42383.055814458399</v>
      </c>
      <c r="AO2918" s="2">
        <v>44549.889296526999</v>
      </c>
      <c r="AP2918" s="2">
        <v>45146.515881651801</v>
      </c>
    </row>
    <row r="2919" spans="1:42" ht="14.5" x14ac:dyDescent="0.35">
      <c r="A2919" s="2" t="s">
        <v>19418</v>
      </c>
      <c r="B2919" s="2">
        <v>608.23084692708096</v>
      </c>
      <c r="C2919" s="2">
        <v>1.97685</v>
      </c>
      <c r="D2919" s="2" t="s">
        <v>34</v>
      </c>
      <c r="E2919" s="2" t="s">
        <v>19419</v>
      </c>
      <c r="F2919" s="2">
        <v>29652</v>
      </c>
      <c r="G2919" s="3" t="str">
        <f>HYPERLINK("http://funmeta.oebiotech.com/network/29652", "http://funmeta.oebiotech.com/network/29652")</f>
        <v>http://funmeta.oebiotech.com/network/29652</v>
      </c>
      <c r="H2919" s="2"/>
      <c r="I2919" s="2"/>
      <c r="J2919" s="2" t="s">
        <v>19420</v>
      </c>
      <c r="K2919" s="2"/>
      <c r="L2919" s="2"/>
      <c r="M2919" s="2"/>
      <c r="N2919" s="2"/>
      <c r="O2919" s="2">
        <v>101427485</v>
      </c>
      <c r="P2919" s="2"/>
      <c r="Q2919" s="2" t="s">
        <v>19421</v>
      </c>
      <c r="R2919" s="2" t="s">
        <v>19422</v>
      </c>
      <c r="S2919" s="2" t="s">
        <v>115</v>
      </c>
      <c r="T2919" s="2" t="s">
        <v>1371</v>
      </c>
      <c r="U2919" s="2" t="s">
        <v>10759</v>
      </c>
      <c r="V2919" s="2" t="s">
        <v>59</v>
      </c>
      <c r="W2919" s="2">
        <v>36.4</v>
      </c>
      <c r="X2919" s="2">
        <v>0</v>
      </c>
      <c r="Y2919" s="2" t="s">
        <v>43</v>
      </c>
      <c r="Z2919" s="2" t="s">
        <v>5925</v>
      </c>
      <c r="AA2919" s="2">
        <v>-4.9470482369528899</v>
      </c>
      <c r="AB2919" s="2">
        <v>0.27418252384085401</v>
      </c>
      <c r="AC2919" s="2">
        <v>11688.0631555335</v>
      </c>
      <c r="AD2919" s="2">
        <v>6306.3927771898998</v>
      </c>
      <c r="AE2919" s="2">
        <v>10533.1365992008</v>
      </c>
      <c r="AF2919" s="2">
        <v>11417.094379222401</v>
      </c>
      <c r="AG2919" s="2">
        <v>11804.242575890599</v>
      </c>
      <c r="AH2919" s="2">
        <v>11195.650493470999</v>
      </c>
      <c r="AI2919" s="2">
        <v>11624.2465657432</v>
      </c>
      <c r="AJ2919" s="2">
        <v>13554.008319673099</v>
      </c>
      <c r="AK2919" s="2">
        <v>3870.6380052997101</v>
      </c>
      <c r="AL2919" s="2">
        <v>6600.5177764139198</v>
      </c>
      <c r="AM2919" s="2">
        <v>5455.9680603619699</v>
      </c>
      <c r="AN2919" s="2">
        <v>7489.7555253467499</v>
      </c>
      <c r="AO2919" s="2">
        <v>6390.8434845716401</v>
      </c>
      <c r="AP2919" s="2">
        <v>8030.6338111454297</v>
      </c>
    </row>
    <row r="2920" spans="1:42" ht="14.5" x14ac:dyDescent="0.35">
      <c r="A2920" s="2" t="s">
        <v>19423</v>
      </c>
      <c r="B2920" s="2">
        <v>543.24310567570103</v>
      </c>
      <c r="C2920" s="2">
        <v>4.0195333333333298</v>
      </c>
      <c r="D2920" s="2" t="s">
        <v>34</v>
      </c>
      <c r="E2920" s="2" t="s">
        <v>19424</v>
      </c>
      <c r="F2920" s="2">
        <v>205028</v>
      </c>
      <c r="G2920" s="3" t="str">
        <f>HYPERLINK("http://funmeta.oebiotech.com/network/205028", "http://funmeta.oebiotech.com/network/205028")</f>
        <v>http://funmeta.oebiotech.com/network/205028</v>
      </c>
      <c r="H2920" s="2" t="s">
        <v>19425</v>
      </c>
      <c r="I2920" s="2"/>
      <c r="J2920" s="2"/>
      <c r="K2920" s="2"/>
      <c r="L2920" s="2"/>
      <c r="M2920" s="2"/>
      <c r="N2920" s="2"/>
      <c r="O2920" s="2">
        <v>13629222</v>
      </c>
      <c r="P2920" s="2"/>
      <c r="Q2920" s="2" t="s">
        <v>19426</v>
      </c>
      <c r="R2920" s="2" t="s">
        <v>19427</v>
      </c>
      <c r="S2920" s="2" t="s">
        <v>41</v>
      </c>
      <c r="T2920" s="2" t="s">
        <v>41</v>
      </c>
      <c r="U2920" s="2" t="s">
        <v>41</v>
      </c>
      <c r="V2920" s="2" t="s">
        <v>59</v>
      </c>
      <c r="W2920" s="2">
        <v>37.5</v>
      </c>
      <c r="X2920" s="2">
        <v>0</v>
      </c>
      <c r="Y2920" s="2" t="s">
        <v>340</v>
      </c>
      <c r="Z2920" s="2" t="s">
        <v>19428</v>
      </c>
      <c r="AA2920" s="2">
        <v>-1.82179233958719</v>
      </c>
      <c r="AB2920" s="2">
        <v>0.273995860389946</v>
      </c>
      <c r="AC2920" s="2">
        <v>1753.9374856654399</v>
      </c>
      <c r="AD2920" s="2">
        <v>7255.7841278385004</v>
      </c>
      <c r="AE2920" s="2">
        <v>487.25053147229602</v>
      </c>
      <c r="AF2920" s="2">
        <v>1381.2165786932101</v>
      </c>
      <c r="AG2920" s="2">
        <v>1803.59906366684</v>
      </c>
      <c r="AH2920" s="2">
        <v>1505.5793259122299</v>
      </c>
      <c r="AI2920" s="2">
        <v>2978.6637866003898</v>
      </c>
      <c r="AJ2920" s="2">
        <v>2367.3156276476602</v>
      </c>
      <c r="AK2920" s="2">
        <v>4142.0063891601603</v>
      </c>
      <c r="AL2920" s="2">
        <v>9669.6300662277899</v>
      </c>
      <c r="AM2920" s="2">
        <v>7175.5567034411097</v>
      </c>
      <c r="AN2920" s="2">
        <v>9130.1222388292008</v>
      </c>
      <c r="AO2920" s="2">
        <v>6601.9294093840399</v>
      </c>
      <c r="AP2920" s="2">
        <v>6815.4599599886997</v>
      </c>
    </row>
    <row r="2921" spans="1:42" ht="14.5" x14ac:dyDescent="0.35">
      <c r="A2921" s="2" t="s">
        <v>19429</v>
      </c>
      <c r="B2921" s="2">
        <v>446.141801850501</v>
      </c>
      <c r="C2921" s="2">
        <v>5.1206500000000004</v>
      </c>
      <c r="D2921" s="2" t="s">
        <v>34</v>
      </c>
      <c r="E2921" s="2" t="s">
        <v>19430</v>
      </c>
      <c r="F2921" s="2">
        <v>8396</v>
      </c>
      <c r="G2921" s="3" t="str">
        <f>HYPERLINK("http://funmeta.oebiotech.com/network/8396", "http://funmeta.oebiotech.com/network/8396")</f>
        <v>http://funmeta.oebiotech.com/network/8396</v>
      </c>
      <c r="H2921" s="2"/>
      <c r="I2921" s="2">
        <v>75448</v>
      </c>
      <c r="J2921" s="2" t="s">
        <v>19431</v>
      </c>
      <c r="K2921" s="2"/>
      <c r="L2921" s="2"/>
      <c r="M2921" s="2"/>
      <c r="N2921" s="2"/>
      <c r="O2921" s="2">
        <v>3246940</v>
      </c>
      <c r="P2921" s="2"/>
      <c r="Q2921" s="2" t="s">
        <v>19432</v>
      </c>
      <c r="R2921" s="2" t="s">
        <v>19433</v>
      </c>
      <c r="S2921" s="2" t="s">
        <v>1444</v>
      </c>
      <c r="T2921" s="2" t="s">
        <v>4937</v>
      </c>
      <c r="U2921" s="2" t="s">
        <v>5723</v>
      </c>
      <c r="V2921" s="2" t="s">
        <v>59</v>
      </c>
      <c r="W2921" s="2">
        <v>38.6</v>
      </c>
      <c r="X2921" s="2">
        <v>0</v>
      </c>
      <c r="Y2921" s="2" t="s">
        <v>394</v>
      </c>
      <c r="Z2921" s="2" t="s">
        <v>19434</v>
      </c>
      <c r="AA2921" s="2">
        <v>-3.8728853503591498</v>
      </c>
      <c r="AB2921" s="2">
        <v>0.27390646291216397</v>
      </c>
      <c r="AC2921" s="2">
        <v>3073.1351005798401</v>
      </c>
      <c r="AD2921" s="2">
        <v>8367.8716692930593</v>
      </c>
      <c r="AE2921" s="2">
        <v>3302.7692924826902</v>
      </c>
      <c r="AF2921" s="2">
        <v>3448.1613189970099</v>
      </c>
      <c r="AG2921" s="2">
        <v>3758.53501760172</v>
      </c>
      <c r="AH2921" s="2">
        <v>3474.57551409079</v>
      </c>
      <c r="AI2921" s="2">
        <v>2858.3504113325198</v>
      </c>
      <c r="AJ2921" s="2">
        <v>1596.41904897428</v>
      </c>
      <c r="AK2921" s="2">
        <v>10294.603906285</v>
      </c>
      <c r="AL2921" s="2">
        <v>8362.2297104070094</v>
      </c>
      <c r="AM2921" s="2">
        <v>8453.2411613881795</v>
      </c>
      <c r="AN2921" s="2">
        <v>8154.0588225480196</v>
      </c>
      <c r="AO2921" s="2">
        <v>8967.6854747727393</v>
      </c>
      <c r="AP2921" s="2">
        <v>5975.4109403574203</v>
      </c>
    </row>
    <row r="2922" spans="1:42" ht="14.5" x14ac:dyDescent="0.35">
      <c r="A2922" s="2" t="s">
        <v>19435</v>
      </c>
      <c r="B2922" s="2">
        <v>602.36857536728996</v>
      </c>
      <c r="C2922" s="2">
        <v>5.9879833333333297</v>
      </c>
      <c r="D2922" s="2" t="s">
        <v>34</v>
      </c>
      <c r="E2922" s="2" t="s">
        <v>19436</v>
      </c>
      <c r="F2922" s="2">
        <v>24904</v>
      </c>
      <c r="G2922" s="3" t="str">
        <f>HYPERLINK("http://funmeta.oebiotech.com/network/24904", "http://funmeta.oebiotech.com/network/24904")</f>
        <v>http://funmeta.oebiotech.com/network/24904</v>
      </c>
      <c r="H2922" s="2"/>
      <c r="I2922" s="2"/>
      <c r="J2922" s="2" t="s">
        <v>19437</v>
      </c>
      <c r="K2922" s="2"/>
      <c r="L2922" s="2"/>
      <c r="M2922" s="2"/>
      <c r="N2922" s="2"/>
      <c r="O2922" s="2">
        <v>52928632</v>
      </c>
      <c r="P2922" s="2"/>
      <c r="Q2922" s="2" t="s">
        <v>19438</v>
      </c>
      <c r="R2922" s="2" t="s">
        <v>19439</v>
      </c>
      <c r="S2922" s="2" t="s">
        <v>50</v>
      </c>
      <c r="T2922" s="2" t="s">
        <v>51</v>
      </c>
      <c r="U2922" s="2" t="s">
        <v>52</v>
      </c>
      <c r="V2922" s="2" t="s">
        <v>59</v>
      </c>
      <c r="W2922" s="2">
        <v>38.200000000000003</v>
      </c>
      <c r="X2922" s="2">
        <v>0</v>
      </c>
      <c r="Y2922" s="2" t="s">
        <v>43</v>
      </c>
      <c r="Z2922" s="2" t="s">
        <v>19440</v>
      </c>
      <c r="AA2922" s="2">
        <v>3.7661643578238699</v>
      </c>
      <c r="AB2922" s="2">
        <v>0.273711448441329</v>
      </c>
      <c r="AC2922" s="2">
        <v>15207.532904219001</v>
      </c>
      <c r="AD2922" s="2">
        <v>21221.406268741899</v>
      </c>
      <c r="AE2922" s="2">
        <v>15733.1091529474</v>
      </c>
      <c r="AF2922" s="2">
        <v>15879.7086287943</v>
      </c>
      <c r="AG2922" s="2">
        <v>15404.507594095699</v>
      </c>
      <c r="AH2922" s="2">
        <v>15406.1242948497</v>
      </c>
      <c r="AI2922" s="2">
        <v>14539.550250042201</v>
      </c>
      <c r="AJ2922" s="2">
        <v>14282.197504584899</v>
      </c>
      <c r="AK2922" s="2">
        <v>17100.256271242699</v>
      </c>
      <c r="AL2922" s="2">
        <v>25811.499489081401</v>
      </c>
      <c r="AM2922" s="2">
        <v>22814.830337797201</v>
      </c>
      <c r="AN2922" s="2">
        <v>19394.242370155702</v>
      </c>
      <c r="AO2922" s="2">
        <v>19372.0461297314</v>
      </c>
      <c r="AP2922" s="2">
        <v>22835.563014443102</v>
      </c>
    </row>
    <row r="2923" spans="1:42" ht="14.5" x14ac:dyDescent="0.35">
      <c r="A2923" s="2" t="s">
        <v>19441</v>
      </c>
      <c r="B2923" s="2">
        <v>647.23123111734799</v>
      </c>
      <c r="C2923" s="2">
        <v>5.9542333333333302</v>
      </c>
      <c r="D2923" s="2" t="s">
        <v>70</v>
      </c>
      <c r="E2923" s="2" t="s">
        <v>19442</v>
      </c>
      <c r="F2923" s="2">
        <v>204169</v>
      </c>
      <c r="G2923" s="3" t="str">
        <f>HYPERLINK("http://funmeta.oebiotech.com/network/204169", "http://funmeta.oebiotech.com/network/204169")</f>
        <v>http://funmeta.oebiotech.com/network/204169</v>
      </c>
      <c r="H2923" s="2" t="s">
        <v>19443</v>
      </c>
      <c r="I2923" s="2">
        <v>320640</v>
      </c>
      <c r="J2923" s="2"/>
      <c r="K2923" s="2"/>
      <c r="L2923" s="2"/>
      <c r="M2923" s="2"/>
      <c r="N2923" s="2"/>
      <c r="O2923" s="2">
        <v>9845830</v>
      </c>
      <c r="P2923" s="2"/>
      <c r="Q2923" s="2" t="s">
        <v>19444</v>
      </c>
      <c r="R2923" s="2" t="s">
        <v>19445</v>
      </c>
      <c r="S2923" s="2" t="s">
        <v>89</v>
      </c>
      <c r="T2923" s="2" t="s">
        <v>90</v>
      </c>
      <c r="U2923" s="2" t="s">
        <v>99</v>
      </c>
      <c r="V2923" s="2" t="s">
        <v>59</v>
      </c>
      <c r="W2923" s="2">
        <v>36.1</v>
      </c>
      <c r="X2923" s="2">
        <v>0</v>
      </c>
      <c r="Y2923" s="2" t="s">
        <v>560</v>
      </c>
      <c r="Z2923" s="2" t="s">
        <v>19446</v>
      </c>
      <c r="AA2923" s="2">
        <v>4.6418844922230997</v>
      </c>
      <c r="AB2923" s="2">
        <v>0.27354617529214498</v>
      </c>
      <c r="AC2923" s="2">
        <v>7313.9323140679799</v>
      </c>
      <c r="AD2923" s="2">
        <v>1871.7757566185701</v>
      </c>
      <c r="AE2923" s="2">
        <v>9455.2585827113398</v>
      </c>
      <c r="AF2923" s="2">
        <v>4936.3027974819997</v>
      </c>
      <c r="AG2923" s="2">
        <v>5706.9631008610804</v>
      </c>
      <c r="AH2923" s="2">
        <v>8633.3935145949399</v>
      </c>
      <c r="AI2923" s="2">
        <v>6215.1507826095003</v>
      </c>
      <c r="AJ2923" s="2">
        <v>8936.5251061490198</v>
      </c>
      <c r="AK2923" s="2">
        <v>1372.17693359993</v>
      </c>
      <c r="AL2923" s="2">
        <v>2821.7940409569001</v>
      </c>
      <c r="AM2923" s="2">
        <v>2548.4657097720701</v>
      </c>
      <c r="AN2923" s="2">
        <v>1190.25595763765</v>
      </c>
      <c r="AO2923" s="2">
        <v>1449.54904618967</v>
      </c>
      <c r="AP2923" s="2">
        <v>1848.41285155521</v>
      </c>
    </row>
    <row r="2924" spans="1:42" ht="14.5" x14ac:dyDescent="0.35">
      <c r="A2924" s="2" t="s">
        <v>19447</v>
      </c>
      <c r="B2924" s="2">
        <v>323.05353963582201</v>
      </c>
      <c r="C2924" s="2">
        <v>1.1107833333333299</v>
      </c>
      <c r="D2924" s="2" t="s">
        <v>70</v>
      </c>
      <c r="E2924" s="2" t="s">
        <v>19448</v>
      </c>
      <c r="F2924" s="2">
        <v>256112</v>
      </c>
      <c r="G2924" s="3" t="str">
        <f>HYPERLINK("http://funmeta.oebiotech.com/network/256112", "http://funmeta.oebiotech.com/network/256112")</f>
        <v>http://funmeta.oebiotech.com/network/256112</v>
      </c>
      <c r="H2924" s="2" t="s">
        <v>19449</v>
      </c>
      <c r="I2924" s="2"/>
      <c r="J2924" s="2"/>
      <c r="K2924" s="2"/>
      <c r="L2924" s="2"/>
      <c r="M2924" s="2"/>
      <c r="N2924" s="2"/>
      <c r="O2924" s="2">
        <v>78122726</v>
      </c>
      <c r="P2924" s="2"/>
      <c r="Q2924" s="2" t="s">
        <v>19450</v>
      </c>
      <c r="R2924" s="2" t="s">
        <v>19451</v>
      </c>
      <c r="S2924" s="2" t="s">
        <v>115</v>
      </c>
      <c r="T2924" s="2" t="s">
        <v>139</v>
      </c>
      <c r="U2924" s="2" t="s">
        <v>1552</v>
      </c>
      <c r="V2924" s="2" t="s">
        <v>59</v>
      </c>
      <c r="W2924" s="2">
        <v>38.5</v>
      </c>
      <c r="X2924" s="2">
        <v>0</v>
      </c>
      <c r="Y2924" s="2" t="s">
        <v>118</v>
      </c>
      <c r="Z2924" s="2" t="s">
        <v>19452</v>
      </c>
      <c r="AA2924" s="2">
        <v>-0.513321125683882</v>
      </c>
      <c r="AB2924" s="2">
        <v>0.27353751783899799</v>
      </c>
      <c r="AC2924" s="2">
        <v>13414.0499450015</v>
      </c>
      <c r="AD2924" s="2">
        <v>8219.7780000780094</v>
      </c>
      <c r="AE2924" s="2">
        <v>15663.259547978399</v>
      </c>
      <c r="AF2924" s="2">
        <v>13159.5542160395</v>
      </c>
      <c r="AG2924" s="2">
        <v>12959.674708217201</v>
      </c>
      <c r="AH2924" s="2">
        <v>12606.8968155536</v>
      </c>
      <c r="AI2924" s="2">
        <v>12529.741973923699</v>
      </c>
      <c r="AJ2924" s="2">
        <v>13565.172408296399</v>
      </c>
      <c r="AK2924" s="2">
        <v>7439.3169980129896</v>
      </c>
      <c r="AL2924" s="2">
        <v>8567.6342108150402</v>
      </c>
      <c r="AM2924" s="2">
        <v>9206.5410059063506</v>
      </c>
      <c r="AN2924" s="2">
        <v>7298.3247259271102</v>
      </c>
      <c r="AO2924" s="2">
        <v>9017.8919487394905</v>
      </c>
      <c r="AP2924" s="2">
        <v>7788.9591110670999</v>
      </c>
    </row>
    <row r="2925" spans="1:42" ht="14.5" x14ac:dyDescent="0.35">
      <c r="A2925" s="2" t="s">
        <v>19453</v>
      </c>
      <c r="B2925" s="2">
        <v>583.41368948514196</v>
      </c>
      <c r="C2925" s="2">
        <v>12.2487833333333</v>
      </c>
      <c r="D2925" s="2" t="s">
        <v>34</v>
      </c>
      <c r="E2925" s="2" t="s">
        <v>19454</v>
      </c>
      <c r="F2925" s="2">
        <v>36450</v>
      </c>
      <c r="G2925" s="3" t="str">
        <f>HYPERLINK("http://funmeta.oebiotech.com/network/36450", "http://funmeta.oebiotech.com/network/36450")</f>
        <v>http://funmeta.oebiotech.com/network/36450</v>
      </c>
      <c r="H2925" s="2"/>
      <c r="I2925" s="2">
        <v>41332</v>
      </c>
      <c r="J2925" s="2" t="s">
        <v>19455</v>
      </c>
      <c r="K2925" s="2"/>
      <c r="L2925" s="2"/>
      <c r="M2925" s="2"/>
      <c r="N2925" s="2"/>
      <c r="O2925" s="2">
        <v>16061215</v>
      </c>
      <c r="P2925" s="2"/>
      <c r="Q2925" s="2" t="s">
        <v>19456</v>
      </c>
      <c r="R2925" s="2" t="s">
        <v>19457</v>
      </c>
      <c r="S2925" s="2" t="s">
        <v>50</v>
      </c>
      <c r="T2925" s="2" t="s">
        <v>201</v>
      </c>
      <c r="U2925" s="2" t="s">
        <v>210</v>
      </c>
      <c r="V2925" s="2" t="s">
        <v>42</v>
      </c>
      <c r="W2925" s="2">
        <v>48.5</v>
      </c>
      <c r="X2925" s="2">
        <v>49.8</v>
      </c>
      <c r="Y2925" s="2" t="s">
        <v>266</v>
      </c>
      <c r="Z2925" s="2" t="s">
        <v>19458</v>
      </c>
      <c r="AA2925" s="2">
        <v>-1.51532668774914</v>
      </c>
      <c r="AB2925" s="2">
        <v>0.27340820270532301</v>
      </c>
      <c r="AC2925" s="2">
        <v>49635.550073957602</v>
      </c>
      <c r="AD2925" s="2">
        <v>38852.763415082001</v>
      </c>
      <c r="AE2925" s="2">
        <v>37473.6835242538</v>
      </c>
      <c r="AF2925" s="2">
        <v>37171.633883237701</v>
      </c>
      <c r="AG2925" s="2">
        <v>37433.852838591403</v>
      </c>
      <c r="AH2925" s="2">
        <v>70052.703825420496</v>
      </c>
      <c r="AI2925" s="2">
        <v>57490.024746054703</v>
      </c>
      <c r="AJ2925" s="2">
        <v>58191.401626187297</v>
      </c>
      <c r="AK2925" s="2">
        <v>36877.131828464197</v>
      </c>
      <c r="AL2925" s="2">
        <v>28574.558767671198</v>
      </c>
      <c r="AM2925" s="2">
        <v>45329.115873589799</v>
      </c>
      <c r="AN2925" s="2">
        <v>33533.173708419497</v>
      </c>
      <c r="AO2925" s="2">
        <v>42014.259739083202</v>
      </c>
      <c r="AP2925" s="2">
        <v>46788.3405732639</v>
      </c>
    </row>
    <row r="2926" spans="1:42" ht="14.5" x14ac:dyDescent="0.35">
      <c r="A2926" s="2" t="s">
        <v>19459</v>
      </c>
      <c r="B2926" s="2">
        <v>331.11614801183299</v>
      </c>
      <c r="C2926" s="2">
        <v>5.9164500000000002</v>
      </c>
      <c r="D2926" s="2" t="s">
        <v>70</v>
      </c>
      <c r="E2926" s="2" t="s">
        <v>19460</v>
      </c>
      <c r="F2926" s="2">
        <v>62314</v>
      </c>
      <c r="G2926" s="3" t="str">
        <f>HYPERLINK("http://funmeta.oebiotech.com/network/62314", "http://funmeta.oebiotech.com/network/62314")</f>
        <v>http://funmeta.oebiotech.com/network/62314</v>
      </c>
      <c r="H2926" s="2" t="s">
        <v>19461</v>
      </c>
      <c r="I2926" s="2"/>
      <c r="J2926" s="2"/>
      <c r="K2926" s="2"/>
      <c r="L2926" s="2"/>
      <c r="M2926" s="2"/>
      <c r="N2926" s="2"/>
      <c r="O2926" s="2"/>
      <c r="P2926" s="2" t="s">
        <v>19462</v>
      </c>
      <c r="Q2926" s="2" t="s">
        <v>19463</v>
      </c>
      <c r="R2926" s="2" t="s">
        <v>19464</v>
      </c>
      <c r="S2926" s="2" t="s">
        <v>89</v>
      </c>
      <c r="T2926" s="2" t="s">
        <v>90</v>
      </c>
      <c r="U2926" s="2" t="s">
        <v>99</v>
      </c>
      <c r="V2926" s="2" t="s">
        <v>59</v>
      </c>
      <c r="W2926" s="2">
        <v>38.299999999999997</v>
      </c>
      <c r="X2926" s="2">
        <v>0</v>
      </c>
      <c r="Y2926" s="2" t="s">
        <v>118</v>
      </c>
      <c r="Z2926" s="2" t="s">
        <v>19465</v>
      </c>
      <c r="AA2926" s="2">
        <v>4.39247175347663</v>
      </c>
      <c r="AB2926" s="2">
        <v>0.27332214192355397</v>
      </c>
      <c r="AC2926" s="2">
        <v>1812.0832378488401</v>
      </c>
      <c r="AD2926" s="2">
        <v>6886.7493190878904</v>
      </c>
      <c r="AE2926" s="2">
        <v>1885.38333723598</v>
      </c>
      <c r="AF2926" s="2">
        <v>1709.8707967385501</v>
      </c>
      <c r="AG2926" s="2">
        <v>1863.79954920917</v>
      </c>
      <c r="AH2926" s="2">
        <v>1807.70588095841</v>
      </c>
      <c r="AI2926" s="2">
        <v>1391.85350232515</v>
      </c>
      <c r="AJ2926" s="2">
        <v>2213.8863606257901</v>
      </c>
      <c r="AK2926" s="2">
        <v>6445.8798654061202</v>
      </c>
      <c r="AL2926" s="2">
        <v>8721.7665166936295</v>
      </c>
      <c r="AM2926" s="2">
        <v>6910.1393294310801</v>
      </c>
      <c r="AN2926" s="2">
        <v>6108.2284667823196</v>
      </c>
      <c r="AO2926" s="2">
        <v>6965.3504491706499</v>
      </c>
      <c r="AP2926" s="2">
        <v>6169.1312870435304</v>
      </c>
    </row>
    <row r="2927" spans="1:42" ht="14.5" x14ac:dyDescent="0.35">
      <c r="A2927" s="2" t="s">
        <v>19466</v>
      </c>
      <c r="B2927" s="2">
        <v>147.080233192831</v>
      </c>
      <c r="C2927" s="2">
        <v>6.1988000000000003</v>
      </c>
      <c r="D2927" s="2" t="s">
        <v>34</v>
      </c>
      <c r="E2927" s="2" t="s">
        <v>19467</v>
      </c>
      <c r="F2927" s="2">
        <v>203365</v>
      </c>
      <c r="G2927" s="3" t="str">
        <f>HYPERLINK("http://funmeta.oebiotech.com/network/203365", "http://funmeta.oebiotech.com/network/203365")</f>
        <v>http://funmeta.oebiotech.com/network/203365</v>
      </c>
      <c r="H2927" s="2" t="s">
        <v>19468</v>
      </c>
      <c r="I2927" s="2"/>
      <c r="J2927" s="2"/>
      <c r="K2927" s="2"/>
      <c r="L2927" s="2"/>
      <c r="M2927" s="2"/>
      <c r="N2927" s="2"/>
      <c r="O2927" s="2">
        <v>10724</v>
      </c>
      <c r="P2927" s="2"/>
      <c r="Q2927" s="2" t="s">
        <v>19469</v>
      </c>
      <c r="R2927" s="2" t="s">
        <v>19470</v>
      </c>
      <c r="S2927" s="2" t="s">
        <v>148</v>
      </c>
      <c r="T2927" s="2" t="s">
        <v>19471</v>
      </c>
      <c r="U2927" s="2" t="s">
        <v>41</v>
      </c>
      <c r="V2927" s="2" t="s">
        <v>42</v>
      </c>
      <c r="W2927" s="2">
        <v>48.3</v>
      </c>
      <c r="X2927" s="2">
        <v>46.5</v>
      </c>
      <c r="Y2927" s="2" t="s">
        <v>266</v>
      </c>
      <c r="Z2927" s="2" t="s">
        <v>19472</v>
      </c>
      <c r="AA2927" s="2">
        <v>-1.42517230667554</v>
      </c>
      <c r="AB2927" s="2">
        <v>0.27324105076454003</v>
      </c>
      <c r="AC2927" s="2">
        <v>29517.608533439601</v>
      </c>
      <c r="AD2927" s="2">
        <v>24432.468705242001</v>
      </c>
      <c r="AE2927" s="2">
        <v>28893.956292175801</v>
      </c>
      <c r="AF2927" s="2">
        <v>28866.683721815101</v>
      </c>
      <c r="AG2927" s="2">
        <v>29089.549695010199</v>
      </c>
      <c r="AH2927" s="2">
        <v>29969.301287443999</v>
      </c>
      <c r="AI2927" s="2">
        <v>30096.761848988099</v>
      </c>
      <c r="AJ2927" s="2">
        <v>30189.398355204601</v>
      </c>
      <c r="AK2927" s="2">
        <v>23903.623823292401</v>
      </c>
      <c r="AL2927" s="2">
        <v>24153.465340219402</v>
      </c>
      <c r="AM2927" s="2">
        <v>24077.061734396601</v>
      </c>
      <c r="AN2927" s="2">
        <v>26081.966309234002</v>
      </c>
      <c r="AO2927" s="2">
        <v>24150.634135448599</v>
      </c>
      <c r="AP2927" s="2">
        <v>24228.060888861201</v>
      </c>
    </row>
    <row r="2928" spans="1:42" ht="14.5" x14ac:dyDescent="0.35">
      <c r="A2928" s="2" t="s">
        <v>19473</v>
      </c>
      <c r="B2928" s="2">
        <v>487.16632397087102</v>
      </c>
      <c r="C2928" s="2">
        <v>0.76995000000000002</v>
      </c>
      <c r="D2928" s="2" t="s">
        <v>70</v>
      </c>
      <c r="E2928" s="2" t="s">
        <v>19474</v>
      </c>
      <c r="F2928" s="2">
        <v>267473</v>
      </c>
      <c r="G2928" s="3" t="str">
        <f>HYPERLINK("http://funmeta.oebiotech.com/network/267473", "http://funmeta.oebiotech.com/network/267473")</f>
        <v>http://funmeta.oebiotech.com/network/267473</v>
      </c>
      <c r="H2928" s="2"/>
      <c r="I2928" s="2">
        <v>45535</v>
      </c>
      <c r="J2928" s="2"/>
      <c r="K2928" s="2"/>
      <c r="L2928" s="2"/>
      <c r="M2928" s="2"/>
      <c r="N2928" s="2"/>
      <c r="O2928" s="2">
        <v>11644425</v>
      </c>
      <c r="P2928" s="2" t="s">
        <v>19475</v>
      </c>
      <c r="Q2928" s="2" t="s">
        <v>19476</v>
      </c>
      <c r="R2928" s="2" t="s">
        <v>19477</v>
      </c>
      <c r="S2928" s="2" t="s">
        <v>491</v>
      </c>
      <c r="T2928" s="2" t="s">
        <v>19478</v>
      </c>
      <c r="U2928" s="2" t="s">
        <v>19479</v>
      </c>
      <c r="V2928" s="2" t="s">
        <v>59</v>
      </c>
      <c r="W2928" s="2">
        <v>39</v>
      </c>
      <c r="X2928" s="2">
        <v>0</v>
      </c>
      <c r="Y2928" s="2" t="s">
        <v>560</v>
      </c>
      <c r="Z2928" s="2" t="s">
        <v>19480</v>
      </c>
      <c r="AA2928" s="2">
        <v>-1.9351111175653699</v>
      </c>
      <c r="AB2928" s="2">
        <v>0.27316627518623599</v>
      </c>
      <c r="AC2928" s="2">
        <v>29388.803905472902</v>
      </c>
      <c r="AD2928" s="2">
        <v>38907.575154154802</v>
      </c>
      <c r="AE2928" s="2">
        <v>39898.114619240798</v>
      </c>
      <c r="AF2928" s="2">
        <v>25458.934062087701</v>
      </c>
      <c r="AG2928" s="2">
        <v>19363.532244337901</v>
      </c>
      <c r="AH2928" s="2">
        <v>23761.929603111101</v>
      </c>
      <c r="AI2928" s="2">
        <v>27122.895367424</v>
      </c>
      <c r="AJ2928" s="2">
        <v>40727.417536635701</v>
      </c>
      <c r="AK2928" s="2">
        <v>42380.607638467103</v>
      </c>
      <c r="AL2928" s="2">
        <v>30152.5525217375</v>
      </c>
      <c r="AM2928" s="2">
        <v>44274.797447371398</v>
      </c>
      <c r="AN2928" s="2">
        <v>33552.191299280399</v>
      </c>
      <c r="AO2928" s="2">
        <v>31476.494267517501</v>
      </c>
      <c r="AP2928" s="2">
        <v>51608.807750554603</v>
      </c>
    </row>
    <row r="2929" spans="1:42" ht="14.5" x14ac:dyDescent="0.35">
      <c r="A2929" s="2" t="s">
        <v>19481</v>
      </c>
      <c r="B2929" s="2">
        <v>133.10109200878199</v>
      </c>
      <c r="C2929" s="2">
        <v>4.4289500000000004</v>
      </c>
      <c r="D2929" s="2" t="s">
        <v>34</v>
      </c>
      <c r="E2929" s="2" t="s">
        <v>19482</v>
      </c>
      <c r="F2929" s="2">
        <v>213030</v>
      </c>
      <c r="G2929" s="3" t="str">
        <f>HYPERLINK("http://funmeta.oebiotech.com/network/213030", "http://funmeta.oebiotech.com/network/213030")</f>
        <v>http://funmeta.oebiotech.com/network/213030</v>
      </c>
      <c r="H2929" s="2" t="s">
        <v>19483</v>
      </c>
      <c r="I2929" s="2">
        <v>68005</v>
      </c>
      <c r="J2929" s="2"/>
      <c r="K2929" s="2">
        <v>78315</v>
      </c>
      <c r="L2929" s="2" t="s">
        <v>19484</v>
      </c>
      <c r="M2929" s="2"/>
      <c r="N2929" s="2"/>
      <c r="O2929" s="2">
        <v>29025</v>
      </c>
      <c r="P2929" s="2" t="s">
        <v>19485</v>
      </c>
      <c r="Q2929" s="2" t="s">
        <v>19486</v>
      </c>
      <c r="R2929" s="2" t="s">
        <v>19487</v>
      </c>
      <c r="S2929" s="2" t="s">
        <v>50</v>
      </c>
      <c r="T2929" s="2" t="s">
        <v>201</v>
      </c>
      <c r="U2929" s="2" t="s">
        <v>265</v>
      </c>
      <c r="V2929" s="2" t="s">
        <v>42</v>
      </c>
      <c r="W2929" s="2">
        <v>50.3</v>
      </c>
      <c r="X2929" s="2">
        <v>55</v>
      </c>
      <c r="Y2929" s="2" t="s">
        <v>266</v>
      </c>
      <c r="Z2929" s="2" t="s">
        <v>11678</v>
      </c>
      <c r="AA2929" s="2">
        <v>-0.56500489774057905</v>
      </c>
      <c r="AB2929" s="2">
        <v>0.27300333345637801</v>
      </c>
      <c r="AC2929" s="2">
        <v>85779.067719879793</v>
      </c>
      <c r="AD2929" s="2">
        <v>79601.9598328133</v>
      </c>
      <c r="AE2929" s="2">
        <v>83113.639494704694</v>
      </c>
      <c r="AF2929" s="2">
        <v>87422.396797939902</v>
      </c>
      <c r="AG2929" s="2">
        <v>88121.618992107105</v>
      </c>
      <c r="AH2929" s="2">
        <v>80525.791739646695</v>
      </c>
      <c r="AI2929" s="2">
        <v>86841.425785964195</v>
      </c>
      <c r="AJ2929" s="2">
        <v>88649.5335089164</v>
      </c>
      <c r="AK2929" s="2">
        <v>79904.329149550598</v>
      </c>
      <c r="AL2929" s="2">
        <v>79241.522902194498</v>
      </c>
      <c r="AM2929" s="2">
        <v>80971.149866363194</v>
      </c>
      <c r="AN2929" s="2">
        <v>77055.903309990506</v>
      </c>
      <c r="AO2929" s="2">
        <v>78332.910707787203</v>
      </c>
      <c r="AP2929" s="2">
        <v>82105.943060993901</v>
      </c>
    </row>
    <row r="2930" spans="1:42" ht="14.5" x14ac:dyDescent="0.35">
      <c r="A2930" s="2" t="s">
        <v>19488</v>
      </c>
      <c r="B2930" s="2">
        <v>151.03886254267999</v>
      </c>
      <c r="C2930" s="2">
        <v>4.0195333333333298</v>
      </c>
      <c r="D2930" s="2" t="s">
        <v>34</v>
      </c>
      <c r="E2930" s="2" t="s">
        <v>19489</v>
      </c>
      <c r="F2930" s="2">
        <v>197022</v>
      </c>
      <c r="G2930" s="3" t="str">
        <f>HYPERLINK("http://funmeta.oebiotech.com/network/197022", "http://funmeta.oebiotech.com/network/197022")</f>
        <v>http://funmeta.oebiotech.com/network/197022</v>
      </c>
      <c r="H2930" s="2" t="s">
        <v>19490</v>
      </c>
      <c r="I2930" s="2"/>
      <c r="J2930" s="2"/>
      <c r="K2930" s="2"/>
      <c r="L2930" s="2"/>
      <c r="M2930" s="2"/>
      <c r="N2930" s="2"/>
      <c r="O2930" s="2"/>
      <c r="P2930" s="2" t="s">
        <v>19491</v>
      </c>
      <c r="Q2930" s="2" t="s">
        <v>19492</v>
      </c>
      <c r="R2930" s="2" t="s">
        <v>19493</v>
      </c>
      <c r="S2930" s="2" t="s">
        <v>79</v>
      </c>
      <c r="T2930" s="2" t="s">
        <v>80</v>
      </c>
      <c r="U2930" s="2" t="s">
        <v>2021</v>
      </c>
      <c r="V2930" s="2" t="s">
        <v>59</v>
      </c>
      <c r="W2930" s="2">
        <v>44.7</v>
      </c>
      <c r="X2930" s="2">
        <v>26.7</v>
      </c>
      <c r="Y2930" s="2" t="s">
        <v>141</v>
      </c>
      <c r="Z2930" s="2" t="s">
        <v>5671</v>
      </c>
      <c r="AA2930" s="2">
        <v>-0.64235104435457302</v>
      </c>
      <c r="AB2930" s="2">
        <v>0.27290964555219999</v>
      </c>
      <c r="AC2930" s="2">
        <v>31231.870871607902</v>
      </c>
      <c r="AD2930" s="2">
        <v>25935.708182149599</v>
      </c>
      <c r="AE2930" s="2">
        <v>29159.9889450599</v>
      </c>
      <c r="AF2930" s="2">
        <v>31569.256345038899</v>
      </c>
      <c r="AG2930" s="2">
        <v>30985.885337220501</v>
      </c>
      <c r="AH2930" s="2">
        <v>31523.8585073514</v>
      </c>
      <c r="AI2930" s="2">
        <v>32672.0325999909</v>
      </c>
      <c r="AJ2930" s="2">
        <v>31480.203494985501</v>
      </c>
      <c r="AK2930" s="2">
        <v>25275.189911896901</v>
      </c>
      <c r="AL2930" s="2">
        <v>27431.7811661415</v>
      </c>
      <c r="AM2930" s="2">
        <v>26747.316687602899</v>
      </c>
      <c r="AN2930" s="2">
        <v>26660.255679838901</v>
      </c>
      <c r="AO2930" s="2">
        <v>25234.971520997002</v>
      </c>
      <c r="AP2930" s="2">
        <v>24264.734126420099</v>
      </c>
    </row>
    <row r="2931" spans="1:42" ht="14.5" x14ac:dyDescent="0.35">
      <c r="A2931" s="2" t="s">
        <v>19494</v>
      </c>
      <c r="B2931" s="2">
        <v>392.37294715452299</v>
      </c>
      <c r="C2931" s="2">
        <v>12.7361</v>
      </c>
      <c r="D2931" s="2" t="s">
        <v>34</v>
      </c>
      <c r="E2931" s="2" t="s">
        <v>19495</v>
      </c>
      <c r="F2931" s="2">
        <v>10493</v>
      </c>
      <c r="G2931" s="3" t="str">
        <f>HYPERLINK("http://funmeta.oebiotech.com/network/10493", "http://funmeta.oebiotech.com/network/10493")</f>
        <v>http://funmeta.oebiotech.com/network/10493</v>
      </c>
      <c r="H2931" s="2"/>
      <c r="I2931" s="2"/>
      <c r="J2931" s="2" t="s">
        <v>19496</v>
      </c>
      <c r="K2931" s="2"/>
      <c r="L2931" s="2"/>
      <c r="M2931" s="2"/>
      <c r="N2931" s="2"/>
      <c r="O2931" s="2">
        <v>137323866</v>
      </c>
      <c r="P2931" s="2"/>
      <c r="Q2931" s="2" t="s">
        <v>19497</v>
      </c>
      <c r="R2931" s="2" t="s">
        <v>19498</v>
      </c>
      <c r="S2931" s="2" t="s">
        <v>50</v>
      </c>
      <c r="T2931" s="2" t="s">
        <v>229</v>
      </c>
      <c r="U2931" s="2" t="s">
        <v>1283</v>
      </c>
      <c r="V2931" s="2" t="s">
        <v>59</v>
      </c>
      <c r="W2931" s="2">
        <v>38.4</v>
      </c>
      <c r="X2931" s="2">
        <v>0</v>
      </c>
      <c r="Y2931" s="2" t="s">
        <v>43</v>
      </c>
      <c r="Z2931" s="2" t="s">
        <v>19499</v>
      </c>
      <c r="AA2931" s="2">
        <v>-1.3045077897456501</v>
      </c>
      <c r="AB2931" s="2">
        <v>0.27288035754163598</v>
      </c>
      <c r="AC2931" s="2">
        <v>11423.3765387945</v>
      </c>
      <c r="AD2931" s="2">
        <v>6372.7892983353904</v>
      </c>
      <c r="AE2931" s="2">
        <v>10914.3458398771</v>
      </c>
      <c r="AF2931" s="2">
        <v>11006.6146752155</v>
      </c>
      <c r="AG2931" s="2">
        <v>12471.085123385201</v>
      </c>
      <c r="AH2931" s="2">
        <v>11825.732657259399</v>
      </c>
      <c r="AI2931" s="2">
        <v>11015.3323318779</v>
      </c>
      <c r="AJ2931" s="2">
        <v>11307.1486051519</v>
      </c>
      <c r="AK2931" s="2">
        <v>7955.8766079838197</v>
      </c>
      <c r="AL2931" s="2">
        <v>6431.0122395437102</v>
      </c>
      <c r="AM2931" s="2">
        <v>5774.0513287075501</v>
      </c>
      <c r="AN2931" s="2">
        <v>6247.96725290412</v>
      </c>
      <c r="AO2931" s="2">
        <v>6356.1874317613301</v>
      </c>
      <c r="AP2931" s="2">
        <v>5471.6409291117998</v>
      </c>
    </row>
    <row r="2932" spans="1:42" ht="14.5" x14ac:dyDescent="0.35">
      <c r="A2932" s="2" t="s">
        <v>19500</v>
      </c>
      <c r="B2932" s="2">
        <v>343.33175991751898</v>
      </c>
      <c r="C2932" s="2">
        <v>10.93595</v>
      </c>
      <c r="D2932" s="2" t="s">
        <v>34</v>
      </c>
      <c r="E2932" s="2" t="s">
        <v>19501</v>
      </c>
      <c r="F2932" s="2">
        <v>200466</v>
      </c>
      <c r="G2932" s="3" t="str">
        <f>HYPERLINK("http://funmeta.oebiotech.com/network/200466", "http://funmeta.oebiotech.com/network/200466")</f>
        <v>http://funmeta.oebiotech.com/network/200466</v>
      </c>
      <c r="H2932" s="2" t="s">
        <v>19502</v>
      </c>
      <c r="I2932" s="2"/>
      <c r="J2932" s="2"/>
      <c r="K2932" s="2"/>
      <c r="L2932" s="2"/>
      <c r="M2932" s="2"/>
      <c r="N2932" s="2"/>
      <c r="O2932" s="2">
        <v>91527</v>
      </c>
      <c r="P2932" s="2"/>
      <c r="Q2932" s="2" t="s">
        <v>19503</v>
      </c>
      <c r="R2932" s="2" t="s">
        <v>19504</v>
      </c>
      <c r="S2932" s="2" t="s">
        <v>41</v>
      </c>
      <c r="T2932" s="2" t="s">
        <v>41</v>
      </c>
      <c r="U2932" s="2" t="s">
        <v>41</v>
      </c>
      <c r="V2932" s="2" t="s">
        <v>59</v>
      </c>
      <c r="W2932" s="2">
        <v>42.4</v>
      </c>
      <c r="X2932" s="2">
        <v>16.100000000000001</v>
      </c>
      <c r="Y2932" s="2" t="s">
        <v>43</v>
      </c>
      <c r="Z2932" s="2" t="s">
        <v>19505</v>
      </c>
      <c r="AA2932" s="2">
        <v>-0.44607435468444401</v>
      </c>
      <c r="AB2932" s="2">
        <v>0.27266554614918098</v>
      </c>
      <c r="AC2932" s="2">
        <v>35287.763781620102</v>
      </c>
      <c r="AD2932" s="2">
        <v>26447.162904614899</v>
      </c>
      <c r="AE2932" s="2">
        <v>35885.158665376199</v>
      </c>
      <c r="AF2932" s="2">
        <v>27638.635294653101</v>
      </c>
      <c r="AG2932" s="2">
        <v>32633.421266438199</v>
      </c>
      <c r="AH2932" s="2">
        <v>41447.013665235398</v>
      </c>
      <c r="AI2932" s="2">
        <v>41662.032125554797</v>
      </c>
      <c r="AJ2932" s="2">
        <v>32460.321672462698</v>
      </c>
      <c r="AK2932" s="2">
        <v>23147.5376132727</v>
      </c>
      <c r="AL2932" s="2">
        <v>39351.224391747302</v>
      </c>
      <c r="AM2932" s="2">
        <v>24975.357214068299</v>
      </c>
      <c r="AN2932" s="2">
        <v>34208.301478740199</v>
      </c>
      <c r="AO2932" s="2">
        <v>19036.118259730301</v>
      </c>
      <c r="AP2932" s="2">
        <v>17964.438470130601</v>
      </c>
    </row>
    <row r="2933" spans="1:42" ht="14.5" x14ac:dyDescent="0.35">
      <c r="A2933" s="2" t="s">
        <v>19506</v>
      </c>
      <c r="B2933" s="2">
        <v>608.34329554448095</v>
      </c>
      <c r="C2933" s="2">
        <v>10.3798166666667</v>
      </c>
      <c r="D2933" s="2" t="s">
        <v>34</v>
      </c>
      <c r="E2933" s="2" t="s">
        <v>19507</v>
      </c>
      <c r="F2933" s="2">
        <v>47963</v>
      </c>
      <c r="G2933" s="3" t="str">
        <f>HYPERLINK("http://funmeta.oebiotech.com/network/47963", "http://funmeta.oebiotech.com/network/47963")</f>
        <v>http://funmeta.oebiotech.com/network/47963</v>
      </c>
      <c r="H2933" s="2" t="s">
        <v>19508</v>
      </c>
      <c r="I2933" s="2">
        <v>6715</v>
      </c>
      <c r="J2933" s="2"/>
      <c r="K2933" s="2"/>
      <c r="L2933" s="2" t="s">
        <v>1994</v>
      </c>
      <c r="M2933" s="2" t="s">
        <v>1995</v>
      </c>
      <c r="N2933" s="2" t="s">
        <v>1996</v>
      </c>
      <c r="O2933" s="2">
        <v>53477753</v>
      </c>
      <c r="P2933" s="2" t="s">
        <v>19509</v>
      </c>
      <c r="Q2933" s="2" t="s">
        <v>19510</v>
      </c>
      <c r="R2933" s="2" t="s">
        <v>19511</v>
      </c>
      <c r="S2933" s="2" t="s">
        <v>50</v>
      </c>
      <c r="T2933" s="2" t="s">
        <v>124</v>
      </c>
      <c r="U2933" s="2" t="s">
        <v>523</v>
      </c>
      <c r="V2933" s="2" t="s">
        <v>59</v>
      </c>
      <c r="W2933" s="2">
        <v>38.1</v>
      </c>
      <c r="X2933" s="2">
        <v>0</v>
      </c>
      <c r="Y2933" s="2" t="s">
        <v>141</v>
      </c>
      <c r="Z2933" s="2" t="s">
        <v>19512</v>
      </c>
      <c r="AA2933" s="2">
        <v>0.59541250019714498</v>
      </c>
      <c r="AB2933" s="2">
        <v>0.27257509122260498</v>
      </c>
      <c r="AC2933" s="2">
        <v>11489.7285541856</v>
      </c>
      <c r="AD2933" s="2">
        <v>6081.1661271483799</v>
      </c>
      <c r="AE2933" s="2">
        <v>10582.4679256337</v>
      </c>
      <c r="AF2933" s="2">
        <v>10576.669822821401</v>
      </c>
      <c r="AG2933" s="2">
        <v>13762.434859758099</v>
      </c>
      <c r="AH2933" s="2">
        <v>9819.3249108789096</v>
      </c>
      <c r="AI2933" s="2">
        <v>13354.983456733</v>
      </c>
      <c r="AJ2933" s="2">
        <v>10842.490349288501</v>
      </c>
      <c r="AK2933" s="2">
        <v>6327.9265247708499</v>
      </c>
      <c r="AL2933" s="2">
        <v>6946.6486666274204</v>
      </c>
      <c r="AM2933" s="2">
        <v>5317.2161317506498</v>
      </c>
      <c r="AN2933" s="2">
        <v>6835.6132922956103</v>
      </c>
      <c r="AO2933" s="2">
        <v>6840.3443582207901</v>
      </c>
      <c r="AP2933" s="2">
        <v>4219.2477892249699</v>
      </c>
    </row>
    <row r="2934" spans="1:42" ht="14.5" x14ac:dyDescent="0.35">
      <c r="A2934" s="2" t="s">
        <v>19513</v>
      </c>
      <c r="B2934" s="2">
        <v>975.47966479735203</v>
      </c>
      <c r="C2934" s="2">
        <v>8.8894000000000002</v>
      </c>
      <c r="D2934" s="2" t="s">
        <v>70</v>
      </c>
      <c r="E2934" s="2" t="s">
        <v>19514</v>
      </c>
      <c r="F2934" s="2">
        <v>46701</v>
      </c>
      <c r="G2934" s="3" t="str">
        <f>HYPERLINK("http://funmeta.oebiotech.com/network/46701", "http://funmeta.oebiotech.com/network/46701")</f>
        <v>http://funmeta.oebiotech.com/network/46701</v>
      </c>
      <c r="H2934" s="2" t="s">
        <v>19515</v>
      </c>
      <c r="I2934" s="2">
        <v>84745</v>
      </c>
      <c r="J2934" s="2" t="s">
        <v>19516</v>
      </c>
      <c r="K2934" s="2"/>
      <c r="L2934" s="2"/>
      <c r="M2934" s="2"/>
      <c r="N2934" s="2"/>
      <c r="O2934" s="2">
        <v>459070</v>
      </c>
      <c r="P2934" s="2" t="s">
        <v>19517</v>
      </c>
      <c r="Q2934" s="2" t="s">
        <v>19518</v>
      </c>
      <c r="R2934" s="2" t="s">
        <v>19519</v>
      </c>
      <c r="S2934" s="2" t="s">
        <v>50</v>
      </c>
      <c r="T2934" s="2" t="s">
        <v>124</v>
      </c>
      <c r="U2934" s="2" t="s">
        <v>125</v>
      </c>
      <c r="V2934" s="2" t="s">
        <v>59</v>
      </c>
      <c r="W2934" s="2">
        <v>37.200000000000003</v>
      </c>
      <c r="X2934" s="2">
        <v>0</v>
      </c>
      <c r="Y2934" s="2" t="s">
        <v>560</v>
      </c>
      <c r="Z2934" s="2" t="s">
        <v>19520</v>
      </c>
      <c r="AA2934" s="2">
        <v>-1.88148522405743</v>
      </c>
      <c r="AB2934" s="2">
        <v>0.27250109662127298</v>
      </c>
      <c r="AC2934" s="2">
        <v>6026.7726843139999</v>
      </c>
      <c r="AD2934" s="2">
        <v>1013.8136204170301</v>
      </c>
      <c r="AE2934" s="2">
        <v>5316.4755971082204</v>
      </c>
      <c r="AF2934" s="2">
        <v>5192.15433040885</v>
      </c>
      <c r="AG2934" s="2">
        <v>6170.7450665546603</v>
      </c>
      <c r="AH2934" s="2">
        <v>5898.1844251789198</v>
      </c>
      <c r="AI2934" s="2">
        <v>6102.8484110446898</v>
      </c>
      <c r="AJ2934" s="2">
        <v>7480.2282755886599</v>
      </c>
      <c r="AK2934" s="2">
        <v>1338.2804110663701</v>
      </c>
      <c r="AL2934" s="2">
        <v>1136.6111188185</v>
      </c>
      <c r="AM2934" s="2">
        <v>932.30337662342401</v>
      </c>
      <c r="AN2934" s="2">
        <v>1520.46240135943</v>
      </c>
      <c r="AO2934" s="2">
        <v>328.31060673224601</v>
      </c>
      <c r="AP2934" s="2">
        <v>826.91380790218705</v>
      </c>
    </row>
    <row r="2935" spans="1:42" ht="14.5" x14ac:dyDescent="0.35">
      <c r="A2935" s="2" t="s">
        <v>19521</v>
      </c>
      <c r="B2935" s="2">
        <v>347.22165173814898</v>
      </c>
      <c r="C2935" s="2">
        <v>9.2539333333333307</v>
      </c>
      <c r="D2935" s="2" t="s">
        <v>34</v>
      </c>
      <c r="E2935" s="2" t="s">
        <v>19522</v>
      </c>
      <c r="F2935" s="2">
        <v>45088</v>
      </c>
      <c r="G2935" s="3" t="str">
        <f>HYPERLINK("http://funmeta.oebiotech.com/network/45088", "http://funmeta.oebiotech.com/network/45088")</f>
        <v>http://funmeta.oebiotech.com/network/45088</v>
      </c>
      <c r="H2935" s="2"/>
      <c r="I2935" s="2"/>
      <c r="J2935" s="2" t="s">
        <v>19523</v>
      </c>
      <c r="K2935" s="2"/>
      <c r="L2935" s="2"/>
      <c r="M2935" s="2"/>
      <c r="N2935" s="2"/>
      <c r="O2935" s="2">
        <v>52931515</v>
      </c>
      <c r="P2935" s="2"/>
      <c r="Q2935" s="2" t="s">
        <v>19524</v>
      </c>
      <c r="R2935" s="2" t="s">
        <v>19525</v>
      </c>
      <c r="S2935" s="2" t="s">
        <v>50</v>
      </c>
      <c r="T2935" s="2" t="s">
        <v>124</v>
      </c>
      <c r="U2935" s="2" t="s">
        <v>1136</v>
      </c>
      <c r="V2935" s="2" t="s">
        <v>59</v>
      </c>
      <c r="W2935" s="2">
        <v>43.9</v>
      </c>
      <c r="X2935" s="2">
        <v>24.6</v>
      </c>
      <c r="Y2935" s="2" t="s">
        <v>141</v>
      </c>
      <c r="Z2935" s="2" t="s">
        <v>16582</v>
      </c>
      <c r="AA2935" s="2">
        <v>-9.3721995335866004E-2</v>
      </c>
      <c r="AB2935" s="2">
        <v>0.272494672382322</v>
      </c>
      <c r="AC2935" s="2">
        <v>6639.2054944971496</v>
      </c>
      <c r="AD2935" s="2">
        <v>452.04488722140798</v>
      </c>
      <c r="AE2935" s="2">
        <v>4419.63800610204</v>
      </c>
      <c r="AF2935" s="2">
        <v>12746.044987520399</v>
      </c>
      <c r="AG2935" s="2">
        <v>7165.7823331100199</v>
      </c>
      <c r="AH2935" s="2">
        <v>9103.5559383251803</v>
      </c>
      <c r="AI2935" s="2">
        <v>3922.3590447060901</v>
      </c>
      <c r="AJ2935" s="2">
        <v>2477.8526572191799</v>
      </c>
      <c r="AK2935" s="2">
        <v>369.56361417284398</v>
      </c>
      <c r="AL2935" s="2">
        <v>622.123922982826</v>
      </c>
      <c r="AM2935" s="2">
        <v>305.00749345989198</v>
      </c>
      <c r="AN2935" s="2">
        <v>554.58123237654604</v>
      </c>
      <c r="AO2935" s="2">
        <v>469.40932111348798</v>
      </c>
      <c r="AP2935" s="2">
        <v>391.58373922285398</v>
      </c>
    </row>
    <row r="2936" spans="1:42" ht="14.5" x14ac:dyDescent="0.35">
      <c r="A2936" s="2" t="s">
        <v>19526</v>
      </c>
      <c r="B2936" s="2">
        <v>483.186622697752</v>
      </c>
      <c r="C2936" s="2">
        <v>5.8600666666666701</v>
      </c>
      <c r="D2936" s="2" t="s">
        <v>70</v>
      </c>
      <c r="E2936" s="2" t="s">
        <v>19527</v>
      </c>
      <c r="F2936" s="2">
        <v>61933</v>
      </c>
      <c r="G2936" s="3" t="str">
        <f>HYPERLINK("http://funmeta.oebiotech.com/network/61933", "http://funmeta.oebiotech.com/network/61933")</f>
        <v>http://funmeta.oebiotech.com/network/61933</v>
      </c>
      <c r="H2936" s="2" t="s">
        <v>19528</v>
      </c>
      <c r="I2936" s="2"/>
      <c r="J2936" s="2"/>
      <c r="K2936" s="2"/>
      <c r="L2936" s="2"/>
      <c r="M2936" s="2"/>
      <c r="N2936" s="2"/>
      <c r="O2936" s="2">
        <v>167736</v>
      </c>
      <c r="P2936" s="2" t="s">
        <v>19529</v>
      </c>
      <c r="Q2936" s="2" t="s">
        <v>19530</v>
      </c>
      <c r="R2936" s="2" t="s">
        <v>19531</v>
      </c>
      <c r="S2936" s="2" t="s">
        <v>50</v>
      </c>
      <c r="T2936" s="2" t="s">
        <v>201</v>
      </c>
      <c r="U2936" s="2" t="s">
        <v>636</v>
      </c>
      <c r="V2936" s="2" t="s">
        <v>59</v>
      </c>
      <c r="W2936" s="2">
        <v>37.6</v>
      </c>
      <c r="X2936" s="2">
        <v>7.24</v>
      </c>
      <c r="Y2936" s="2" t="s">
        <v>408</v>
      </c>
      <c r="Z2936" s="2" t="s">
        <v>19532</v>
      </c>
      <c r="AA2936" s="2">
        <v>-1.28417283482813</v>
      </c>
      <c r="AB2936" s="2">
        <v>0.272233976027765</v>
      </c>
      <c r="AC2936" s="2">
        <v>22186.202437833301</v>
      </c>
      <c r="AD2936" s="2">
        <v>16304.426647128899</v>
      </c>
      <c r="AE2936" s="2">
        <v>20750.104362295799</v>
      </c>
      <c r="AF2936" s="2">
        <v>21013.700787077101</v>
      </c>
      <c r="AG2936" s="2">
        <v>24882.460084597598</v>
      </c>
      <c r="AH2936" s="2">
        <v>20798.306377621699</v>
      </c>
      <c r="AI2936" s="2">
        <v>22507.605360192501</v>
      </c>
      <c r="AJ2936" s="2">
        <v>23165.037655215001</v>
      </c>
      <c r="AK2936" s="2">
        <v>13594.486028514801</v>
      </c>
      <c r="AL2936" s="2">
        <v>20632.9795234501</v>
      </c>
      <c r="AM2936" s="2">
        <v>15837.370143800799</v>
      </c>
      <c r="AN2936" s="2">
        <v>15077.306586223</v>
      </c>
      <c r="AO2936" s="2">
        <v>18265.207312920898</v>
      </c>
      <c r="AP2936" s="2">
        <v>14419.2102878639</v>
      </c>
    </row>
    <row r="2937" spans="1:42" ht="14.5" x14ac:dyDescent="0.35">
      <c r="A2937" s="2" t="s">
        <v>19533</v>
      </c>
      <c r="B2937" s="2">
        <v>465.13958673520602</v>
      </c>
      <c r="C2937" s="2">
        <v>4.4359166666666701</v>
      </c>
      <c r="D2937" s="2" t="s">
        <v>70</v>
      </c>
      <c r="E2937" s="2" t="s">
        <v>19534</v>
      </c>
      <c r="F2937" s="2">
        <v>28849</v>
      </c>
      <c r="G2937" s="3" t="str">
        <f>HYPERLINK("http://funmeta.oebiotech.com/network/28849", "http://funmeta.oebiotech.com/network/28849")</f>
        <v>http://funmeta.oebiotech.com/network/28849</v>
      </c>
      <c r="H2937" s="2"/>
      <c r="I2937" s="2"/>
      <c r="J2937" s="2" t="s">
        <v>19535</v>
      </c>
      <c r="K2937" s="2"/>
      <c r="L2937" s="2"/>
      <c r="M2937" s="2"/>
      <c r="N2937" s="2"/>
      <c r="O2937" s="2">
        <v>44584170</v>
      </c>
      <c r="P2937" s="2"/>
      <c r="Q2937" s="2" t="s">
        <v>19536</v>
      </c>
      <c r="R2937" s="2" t="s">
        <v>19537</v>
      </c>
      <c r="S2937" s="2" t="s">
        <v>115</v>
      </c>
      <c r="T2937" s="2" t="s">
        <v>139</v>
      </c>
      <c r="U2937" s="2" t="s">
        <v>140</v>
      </c>
      <c r="V2937" s="2" t="s">
        <v>59</v>
      </c>
      <c r="W2937" s="2">
        <v>44.8</v>
      </c>
      <c r="X2937" s="2">
        <v>34.4</v>
      </c>
      <c r="Y2937" s="2" t="s">
        <v>408</v>
      </c>
      <c r="Z2937" s="2" t="s">
        <v>19538</v>
      </c>
      <c r="AA2937" s="2">
        <v>-1.5434792621595099</v>
      </c>
      <c r="AB2937" s="2">
        <v>0.27216728274902202</v>
      </c>
      <c r="AC2937" s="2">
        <v>58946.290099977203</v>
      </c>
      <c r="AD2937" s="2">
        <v>65779.810820648505</v>
      </c>
      <c r="AE2937" s="2">
        <v>58872.354093869501</v>
      </c>
      <c r="AF2937" s="2">
        <v>62092.262961115397</v>
      </c>
      <c r="AG2937" s="2">
        <v>59736.229657818403</v>
      </c>
      <c r="AH2937" s="2">
        <v>58235.703288100303</v>
      </c>
      <c r="AI2937" s="2">
        <v>53937.197055308003</v>
      </c>
      <c r="AJ2937" s="2">
        <v>60803.993543651501</v>
      </c>
      <c r="AK2937" s="2">
        <v>69384.671381101303</v>
      </c>
      <c r="AL2937" s="2">
        <v>68841.624973003403</v>
      </c>
      <c r="AM2937" s="2">
        <v>65574.8053179626</v>
      </c>
      <c r="AN2937" s="2">
        <v>69642.268286334496</v>
      </c>
      <c r="AO2937" s="2">
        <v>61011.565223136997</v>
      </c>
      <c r="AP2937" s="2">
        <v>60223.9297423522</v>
      </c>
    </row>
    <row r="2938" spans="1:42" ht="14.5" x14ac:dyDescent="0.35">
      <c r="A2938" s="2" t="s">
        <v>19539</v>
      </c>
      <c r="B2938" s="2">
        <v>208.06072946421199</v>
      </c>
      <c r="C2938" s="2">
        <v>3.8975</v>
      </c>
      <c r="D2938" s="2" t="s">
        <v>70</v>
      </c>
      <c r="E2938" s="2" t="s">
        <v>19540</v>
      </c>
      <c r="F2938" s="2">
        <v>202236</v>
      </c>
      <c r="G2938" s="3" t="str">
        <f>HYPERLINK("http://funmeta.oebiotech.com/network/202236", "http://funmeta.oebiotech.com/network/202236")</f>
        <v>http://funmeta.oebiotech.com/network/202236</v>
      </c>
      <c r="H2938" s="2" t="s">
        <v>19541</v>
      </c>
      <c r="I2938" s="2"/>
      <c r="J2938" s="2"/>
      <c r="K2938" s="2"/>
      <c r="L2938" s="2"/>
      <c r="M2938" s="2"/>
      <c r="N2938" s="2"/>
      <c r="O2938" s="2">
        <v>2774040</v>
      </c>
      <c r="P2938" s="2"/>
      <c r="Q2938" s="2" t="s">
        <v>19542</v>
      </c>
      <c r="R2938" s="2" t="s">
        <v>19543</v>
      </c>
      <c r="S2938" s="2" t="s">
        <v>491</v>
      </c>
      <c r="T2938" s="2" t="s">
        <v>1516</v>
      </c>
      <c r="U2938" s="2" t="s">
        <v>19544</v>
      </c>
      <c r="V2938" s="2" t="s">
        <v>42</v>
      </c>
      <c r="W2938" s="2">
        <v>52.9</v>
      </c>
      <c r="X2938" s="2">
        <v>71.2</v>
      </c>
      <c r="Y2938" s="2" t="s">
        <v>408</v>
      </c>
      <c r="Z2938" s="2" t="s">
        <v>19545</v>
      </c>
      <c r="AA2938" s="2">
        <v>-4.9179563883989301</v>
      </c>
      <c r="AB2938" s="2">
        <v>0.27216585786037401</v>
      </c>
      <c r="AC2938" s="2">
        <v>233103.56786314599</v>
      </c>
      <c r="AD2938" s="2">
        <v>241989.22006086801</v>
      </c>
      <c r="AE2938" s="2">
        <v>234167.61259522301</v>
      </c>
      <c r="AF2938" s="2">
        <v>221365.59459173301</v>
      </c>
      <c r="AG2938" s="2">
        <v>232804.18730841699</v>
      </c>
      <c r="AH2938" s="2">
        <v>228734.77222376101</v>
      </c>
      <c r="AI2938" s="2">
        <v>238546.56387947401</v>
      </c>
      <c r="AJ2938" s="2">
        <v>243002.676580267</v>
      </c>
      <c r="AK2938" s="2">
        <v>243520.08919774499</v>
      </c>
      <c r="AL2938" s="2">
        <v>242571.534098056</v>
      </c>
      <c r="AM2938" s="2">
        <v>243564.279655953</v>
      </c>
      <c r="AN2938" s="2">
        <v>242865.19909344401</v>
      </c>
      <c r="AO2938" s="2">
        <v>228156.71206589101</v>
      </c>
      <c r="AP2938" s="2">
        <v>251257.50625412</v>
      </c>
    </row>
    <row r="2939" spans="1:42" ht="14.5" x14ac:dyDescent="0.35">
      <c r="A2939" s="2" t="s">
        <v>19546</v>
      </c>
      <c r="B2939" s="2">
        <v>463.27007812495498</v>
      </c>
      <c r="C2939" s="2">
        <v>10.04975</v>
      </c>
      <c r="D2939" s="2" t="s">
        <v>70</v>
      </c>
      <c r="E2939" s="2" t="s">
        <v>19547</v>
      </c>
      <c r="F2939" s="2">
        <v>48446</v>
      </c>
      <c r="G2939" s="3" t="str">
        <f>HYPERLINK("http://funmeta.oebiotech.com/network/48446", "http://funmeta.oebiotech.com/network/48446")</f>
        <v>http://funmeta.oebiotech.com/network/48446</v>
      </c>
      <c r="H2939" s="2" t="s">
        <v>19548</v>
      </c>
      <c r="I2939" s="2">
        <v>2443</v>
      </c>
      <c r="J2939" s="2"/>
      <c r="K2939" s="2">
        <v>9150</v>
      </c>
      <c r="L2939" s="2" t="s">
        <v>19549</v>
      </c>
      <c r="M2939" s="2"/>
      <c r="N2939" s="2"/>
      <c r="O2939" s="2">
        <v>54454</v>
      </c>
      <c r="P2939" s="2" t="s">
        <v>19550</v>
      </c>
      <c r="Q2939" s="2" t="s">
        <v>19551</v>
      </c>
      <c r="R2939" s="2" t="s">
        <v>19552</v>
      </c>
      <c r="S2939" s="2" t="s">
        <v>491</v>
      </c>
      <c r="T2939" s="2" t="s">
        <v>5973</v>
      </c>
      <c r="U2939" s="2" t="s">
        <v>5974</v>
      </c>
      <c r="V2939" s="2" t="s">
        <v>59</v>
      </c>
      <c r="W2939" s="2">
        <v>38.299999999999997</v>
      </c>
      <c r="X2939" s="2">
        <v>0</v>
      </c>
      <c r="Y2939" s="2" t="s">
        <v>408</v>
      </c>
      <c r="Z2939" s="2" t="s">
        <v>19553</v>
      </c>
      <c r="AA2939" s="2">
        <v>-0.117295717106334</v>
      </c>
      <c r="AB2939" s="2">
        <v>0.272034880015534</v>
      </c>
      <c r="AC2939" s="2">
        <v>8942.5214531246002</v>
      </c>
      <c r="AD2939" s="2">
        <v>3919.9600290345402</v>
      </c>
      <c r="AE2939" s="2">
        <v>8525.5310997412707</v>
      </c>
      <c r="AF2939" s="2">
        <v>8356.0357936088694</v>
      </c>
      <c r="AG2939" s="2">
        <v>9348.7358815018397</v>
      </c>
      <c r="AH2939" s="2">
        <v>10685.936018156901</v>
      </c>
      <c r="AI2939" s="2">
        <v>8653.8761224262707</v>
      </c>
      <c r="AJ2939" s="2">
        <v>8085.0138033124704</v>
      </c>
      <c r="AK2939" s="2">
        <v>3614.5512503267701</v>
      </c>
      <c r="AL2939" s="2">
        <v>4332.8885725069604</v>
      </c>
      <c r="AM2939" s="2">
        <v>3653.4427743629999</v>
      </c>
      <c r="AN2939" s="2">
        <v>3808.1980275737501</v>
      </c>
      <c r="AO2939" s="2">
        <v>4522.1714100153504</v>
      </c>
      <c r="AP2939" s="2">
        <v>3588.5081394213998</v>
      </c>
    </row>
    <row r="2940" spans="1:42" ht="14.5" x14ac:dyDescent="0.35">
      <c r="A2940" s="2" t="s">
        <v>19554</v>
      </c>
      <c r="B2940" s="2">
        <v>883.395977202994</v>
      </c>
      <c r="C2940" s="2">
        <v>4.5776166666666702</v>
      </c>
      <c r="D2940" s="2" t="s">
        <v>70</v>
      </c>
      <c r="E2940" s="2" t="s">
        <v>19555</v>
      </c>
      <c r="F2940" s="2">
        <v>62603</v>
      </c>
      <c r="G2940" s="3" t="str">
        <f>HYPERLINK("http://funmeta.oebiotech.com/network/62603", "http://funmeta.oebiotech.com/network/62603")</f>
        <v>http://funmeta.oebiotech.com/network/62603</v>
      </c>
      <c r="H2940" s="2" t="s">
        <v>19556</v>
      </c>
      <c r="I2940" s="2"/>
      <c r="J2940" s="2"/>
      <c r="K2940" s="2"/>
      <c r="L2940" s="2"/>
      <c r="M2940" s="2"/>
      <c r="N2940" s="2"/>
      <c r="O2940" s="2">
        <v>73157181</v>
      </c>
      <c r="P2940" s="2"/>
      <c r="Q2940" s="2" t="s">
        <v>19557</v>
      </c>
      <c r="R2940" s="2" t="s">
        <v>19558</v>
      </c>
      <c r="S2940" s="2" t="s">
        <v>50</v>
      </c>
      <c r="T2940" s="2" t="s">
        <v>201</v>
      </c>
      <c r="U2940" s="2" t="s">
        <v>202</v>
      </c>
      <c r="V2940" s="2" t="s">
        <v>59</v>
      </c>
      <c r="W2940" s="2">
        <v>37.9</v>
      </c>
      <c r="X2940" s="2">
        <v>0</v>
      </c>
      <c r="Y2940" s="2" t="s">
        <v>408</v>
      </c>
      <c r="Z2940" s="2" t="s">
        <v>19559</v>
      </c>
      <c r="AA2940" s="2">
        <v>-1.1047105212914501</v>
      </c>
      <c r="AB2940" s="2">
        <v>0.27195864712847001</v>
      </c>
      <c r="AC2940" s="2">
        <v>8045.22812133156</v>
      </c>
      <c r="AD2940" s="2">
        <v>2502.33048216205</v>
      </c>
      <c r="AE2940" s="2">
        <v>10852.5171023243</v>
      </c>
      <c r="AF2940" s="2">
        <v>5676.3741719692298</v>
      </c>
      <c r="AG2940" s="2">
        <v>7643.80254350007</v>
      </c>
      <c r="AH2940" s="2">
        <v>8767.8511060508808</v>
      </c>
      <c r="AI2940" s="2">
        <v>6129.37714161452</v>
      </c>
      <c r="AJ2940" s="2">
        <v>9201.4466625303503</v>
      </c>
      <c r="AK2940" s="2">
        <v>3689.0264942631902</v>
      </c>
      <c r="AL2940" s="2">
        <v>3742.4718788764299</v>
      </c>
      <c r="AM2940" s="2">
        <v>1846.166604197</v>
      </c>
      <c r="AN2940" s="2">
        <v>2409.3773927602701</v>
      </c>
      <c r="AO2940" s="2">
        <v>2.7106294003980101E-5</v>
      </c>
      <c r="AP2940" s="2">
        <v>3326.9404957690999</v>
      </c>
    </row>
    <row r="2941" spans="1:42" ht="14.5" x14ac:dyDescent="0.35">
      <c r="A2941" s="2" t="s">
        <v>19560</v>
      </c>
      <c r="B2941" s="2">
        <v>395.26383323448198</v>
      </c>
      <c r="C2941" s="2">
        <v>4.5485499999999996</v>
      </c>
      <c r="D2941" s="2" t="s">
        <v>34</v>
      </c>
      <c r="E2941" s="2" t="s">
        <v>19561</v>
      </c>
      <c r="F2941" s="2">
        <v>210926</v>
      </c>
      <c r="G2941" s="3" t="str">
        <f>HYPERLINK("http://funmeta.oebiotech.com/network/210926", "http://funmeta.oebiotech.com/network/210926")</f>
        <v>http://funmeta.oebiotech.com/network/210926</v>
      </c>
      <c r="H2941" s="2" t="s">
        <v>19562</v>
      </c>
      <c r="I2941" s="2"/>
      <c r="J2941" s="2"/>
      <c r="K2941" s="2"/>
      <c r="L2941" s="2"/>
      <c r="M2941" s="2"/>
      <c r="N2941" s="2"/>
      <c r="O2941" s="2"/>
      <c r="P2941" s="2"/>
      <c r="Q2941" s="2" t="s">
        <v>19563</v>
      </c>
      <c r="R2941" s="2" t="s">
        <v>19564</v>
      </c>
      <c r="S2941" s="2" t="s">
        <v>89</v>
      </c>
      <c r="T2941" s="2" t="s">
        <v>17212</v>
      </c>
      <c r="U2941" s="2" t="s">
        <v>41</v>
      </c>
      <c r="V2941" s="2" t="s">
        <v>59</v>
      </c>
      <c r="W2941" s="2">
        <v>37.1</v>
      </c>
      <c r="X2941" s="2">
        <v>0</v>
      </c>
      <c r="Y2941" s="2" t="s">
        <v>266</v>
      </c>
      <c r="Z2941" s="2" t="s">
        <v>19565</v>
      </c>
      <c r="AA2941" s="2">
        <v>-3.6747138093304499</v>
      </c>
      <c r="AB2941" s="2">
        <v>0.27187500573527601</v>
      </c>
      <c r="AC2941" s="2">
        <v>9210.8223396396606</v>
      </c>
      <c r="AD2941" s="2">
        <v>14343.4915962945</v>
      </c>
      <c r="AE2941" s="2">
        <v>9925.0156733235308</v>
      </c>
      <c r="AF2941" s="2">
        <v>10217.503838815799</v>
      </c>
      <c r="AG2941" s="2">
        <v>8689.1226137174999</v>
      </c>
      <c r="AH2941" s="2">
        <v>9454.3971566930504</v>
      </c>
      <c r="AI2941" s="2">
        <v>9888.9197418476997</v>
      </c>
      <c r="AJ2941" s="2">
        <v>7089.9750134403503</v>
      </c>
      <c r="AK2941" s="2">
        <v>14763.725080566501</v>
      </c>
      <c r="AL2941" s="2">
        <v>14678.512093478899</v>
      </c>
      <c r="AM2941" s="2">
        <v>14185.466513966699</v>
      </c>
      <c r="AN2941" s="2">
        <v>15243.0779853775</v>
      </c>
      <c r="AO2941" s="2">
        <v>13046.944985456799</v>
      </c>
      <c r="AP2941" s="2">
        <v>14143.222918920899</v>
      </c>
    </row>
    <row r="2942" spans="1:42" ht="14.5" x14ac:dyDescent="0.35">
      <c r="A2942" s="2" t="s">
        <v>19566</v>
      </c>
      <c r="B2942" s="2">
        <v>797.43135558695599</v>
      </c>
      <c r="C2942" s="2">
        <v>10.7995</v>
      </c>
      <c r="D2942" s="2" t="s">
        <v>70</v>
      </c>
      <c r="E2942" s="2" t="s">
        <v>19567</v>
      </c>
      <c r="F2942" s="2">
        <v>210520</v>
      </c>
      <c r="G2942" s="3" t="str">
        <f>HYPERLINK("http://funmeta.oebiotech.com/network/210520", "http://funmeta.oebiotech.com/network/210520")</f>
        <v>http://funmeta.oebiotech.com/network/210520</v>
      </c>
      <c r="H2942" s="2" t="s">
        <v>19568</v>
      </c>
      <c r="I2942" s="2"/>
      <c r="J2942" s="2"/>
      <c r="K2942" s="2"/>
      <c r="L2942" s="2"/>
      <c r="M2942" s="2"/>
      <c r="N2942" s="2"/>
      <c r="O2942" s="2">
        <v>3578</v>
      </c>
      <c r="P2942" s="2"/>
      <c r="Q2942" s="2" t="s">
        <v>19569</v>
      </c>
      <c r="R2942" s="2" t="s">
        <v>19570</v>
      </c>
      <c r="S2942" s="2" t="s">
        <v>41</v>
      </c>
      <c r="T2942" s="2" t="s">
        <v>41</v>
      </c>
      <c r="U2942" s="2" t="s">
        <v>41</v>
      </c>
      <c r="V2942" s="2" t="s">
        <v>42</v>
      </c>
      <c r="W2942" s="2">
        <v>51.6</v>
      </c>
      <c r="X2942" s="2">
        <v>65</v>
      </c>
      <c r="Y2942" s="2" t="s">
        <v>118</v>
      </c>
      <c r="Z2942" s="2" t="s">
        <v>19571</v>
      </c>
      <c r="AA2942" s="2">
        <v>3.7528664839516201</v>
      </c>
      <c r="AB2942" s="2">
        <v>0.27180423845477902</v>
      </c>
      <c r="AC2942" s="2">
        <v>52129.112273905601</v>
      </c>
      <c r="AD2942" s="2">
        <v>44752.102024955799</v>
      </c>
      <c r="AE2942" s="2">
        <v>49822.891636276901</v>
      </c>
      <c r="AF2942" s="2">
        <v>44099.606897963997</v>
      </c>
      <c r="AG2942" s="2">
        <v>53571.031352351602</v>
      </c>
      <c r="AH2942" s="2">
        <v>57555.548356998297</v>
      </c>
      <c r="AI2942" s="2">
        <v>48257.716281537701</v>
      </c>
      <c r="AJ2942" s="2">
        <v>59467.879118304903</v>
      </c>
      <c r="AK2942" s="2">
        <v>40899.917679548897</v>
      </c>
      <c r="AL2942" s="2">
        <v>43734.7924073752</v>
      </c>
      <c r="AM2942" s="2">
        <v>49924.097354748803</v>
      </c>
      <c r="AN2942" s="2">
        <v>43565.144923497501</v>
      </c>
      <c r="AO2942" s="2">
        <v>45188.569035571803</v>
      </c>
      <c r="AP2942" s="2">
        <v>45200.090748992799</v>
      </c>
    </row>
    <row r="2943" spans="1:42" ht="14.5" x14ac:dyDescent="0.35">
      <c r="A2943" s="2" t="s">
        <v>19572</v>
      </c>
      <c r="B2943" s="2">
        <v>363.12041737788201</v>
      </c>
      <c r="C2943" s="2">
        <v>4.22216666666667</v>
      </c>
      <c r="D2943" s="2" t="s">
        <v>70</v>
      </c>
      <c r="E2943" s="2" t="s">
        <v>19573</v>
      </c>
      <c r="F2943" s="2">
        <v>204091</v>
      </c>
      <c r="G2943" s="3" t="str">
        <f>HYPERLINK("http://funmeta.oebiotech.com/network/204091", "http://funmeta.oebiotech.com/network/204091")</f>
        <v>http://funmeta.oebiotech.com/network/204091</v>
      </c>
      <c r="H2943" s="2" t="s">
        <v>19574</v>
      </c>
      <c r="I2943" s="2"/>
      <c r="J2943" s="2"/>
      <c r="K2943" s="2"/>
      <c r="L2943" s="2"/>
      <c r="M2943" s="2"/>
      <c r="N2943" s="2"/>
      <c r="O2943" s="2">
        <v>129213</v>
      </c>
      <c r="P2943" s="2"/>
      <c r="Q2943" s="2" t="s">
        <v>19575</v>
      </c>
      <c r="R2943" s="2" t="s">
        <v>19576</v>
      </c>
      <c r="S2943" s="2" t="s">
        <v>41</v>
      </c>
      <c r="T2943" s="2" t="s">
        <v>41</v>
      </c>
      <c r="U2943" s="2" t="s">
        <v>41</v>
      </c>
      <c r="V2943" s="2" t="s">
        <v>59</v>
      </c>
      <c r="W2943" s="2">
        <v>37.1</v>
      </c>
      <c r="X2943" s="2">
        <v>0</v>
      </c>
      <c r="Y2943" s="2" t="s">
        <v>751</v>
      </c>
      <c r="Z2943" s="2" t="s">
        <v>19577</v>
      </c>
      <c r="AA2943" s="2">
        <v>1.68218525477729</v>
      </c>
      <c r="AB2943" s="2">
        <v>0.27179876490284</v>
      </c>
      <c r="AC2943" s="2">
        <v>18112.753333274999</v>
      </c>
      <c r="AD2943" s="2">
        <v>23647.340664506399</v>
      </c>
      <c r="AE2943" s="2">
        <v>18615.576753509002</v>
      </c>
      <c r="AF2943" s="2">
        <v>17304.446120541699</v>
      </c>
      <c r="AG2943" s="2">
        <v>15797.898857464599</v>
      </c>
      <c r="AH2943" s="2">
        <v>18396.823587056198</v>
      </c>
      <c r="AI2943" s="2">
        <v>18403.773009573899</v>
      </c>
      <c r="AJ2943" s="2">
        <v>20158.0016715044</v>
      </c>
      <c r="AK2943" s="2">
        <v>23876.389419562202</v>
      </c>
      <c r="AL2943" s="2">
        <v>26506.5718658285</v>
      </c>
      <c r="AM2943" s="2">
        <v>24901.113394983098</v>
      </c>
      <c r="AN2943" s="2">
        <v>22744.9004855151</v>
      </c>
      <c r="AO2943" s="2">
        <v>22553.505547401801</v>
      </c>
      <c r="AP2943" s="2">
        <v>21301.563273747899</v>
      </c>
    </row>
    <row r="2944" spans="1:42" ht="14.5" x14ac:dyDescent="0.35">
      <c r="A2944" s="2" t="s">
        <v>19578</v>
      </c>
      <c r="B2944" s="2">
        <v>261.03665329128103</v>
      </c>
      <c r="C2944" s="2">
        <v>0.71894999999999998</v>
      </c>
      <c r="D2944" s="2" t="s">
        <v>34</v>
      </c>
      <c r="E2944" s="2" t="s">
        <v>19579</v>
      </c>
      <c r="F2944" s="2">
        <v>257707</v>
      </c>
      <c r="G2944" s="3" t="str">
        <f>HYPERLINK("http://funmeta.oebiotech.com/network/257707", "http://funmeta.oebiotech.com/network/257707")</f>
        <v>http://funmeta.oebiotech.com/network/257707</v>
      </c>
      <c r="H2944" s="2" t="s">
        <v>19580</v>
      </c>
      <c r="I2944" s="2">
        <v>145</v>
      </c>
      <c r="J2944" s="2"/>
      <c r="K2944" s="2"/>
      <c r="L2944" s="2" t="s">
        <v>19581</v>
      </c>
      <c r="M2944" s="2" t="s">
        <v>19582</v>
      </c>
      <c r="N2944" s="2" t="s">
        <v>19583</v>
      </c>
      <c r="O2944" s="2">
        <v>439958</v>
      </c>
      <c r="P2944" s="2" t="s">
        <v>19584</v>
      </c>
      <c r="Q2944" s="2" t="s">
        <v>19585</v>
      </c>
      <c r="R2944" s="2" t="s">
        <v>19586</v>
      </c>
      <c r="S2944" s="2" t="s">
        <v>79</v>
      </c>
      <c r="T2944" s="2" t="s">
        <v>80</v>
      </c>
      <c r="U2944" s="2" t="s">
        <v>81</v>
      </c>
      <c r="V2944" s="2" t="s">
        <v>59</v>
      </c>
      <c r="W2944" s="2">
        <v>38.1</v>
      </c>
      <c r="X2944" s="2">
        <v>0</v>
      </c>
      <c r="Y2944" s="2" t="s">
        <v>394</v>
      </c>
      <c r="Z2944" s="2" t="s">
        <v>12881</v>
      </c>
      <c r="AA2944" s="2">
        <v>-1.3143254198336201</v>
      </c>
      <c r="AB2944" s="2">
        <v>0.271783449217673</v>
      </c>
      <c r="AC2944" s="2">
        <v>16972.182353302702</v>
      </c>
      <c r="AD2944" s="2">
        <v>23928.9860463648</v>
      </c>
      <c r="AE2944" s="2">
        <v>19376.5269325718</v>
      </c>
      <c r="AF2944" s="2">
        <v>15086.4431506734</v>
      </c>
      <c r="AG2944" s="2">
        <v>19052.6408820334</v>
      </c>
      <c r="AH2944" s="2">
        <v>13678.5069963894</v>
      </c>
      <c r="AI2944" s="2">
        <v>19334.8764609073</v>
      </c>
      <c r="AJ2944" s="2">
        <v>15304.099697240599</v>
      </c>
      <c r="AK2944" s="2">
        <v>22758.5596249273</v>
      </c>
      <c r="AL2944" s="2">
        <v>20113.1334323339</v>
      </c>
      <c r="AM2944" s="2">
        <v>23389.212448794198</v>
      </c>
      <c r="AN2944" s="2">
        <v>21213.008131399602</v>
      </c>
      <c r="AO2944" s="2">
        <v>33832.157489089703</v>
      </c>
      <c r="AP2944" s="2">
        <v>22267.845151644298</v>
      </c>
    </row>
    <row r="2945" spans="1:42" ht="14.5" x14ac:dyDescent="0.35">
      <c r="A2945" s="2" t="s">
        <v>19587</v>
      </c>
      <c r="B2945" s="2">
        <v>437.12960332245598</v>
      </c>
      <c r="C2945" s="2">
        <v>3.6431833333333299</v>
      </c>
      <c r="D2945" s="2" t="s">
        <v>34</v>
      </c>
      <c r="E2945" s="2" t="s">
        <v>19588</v>
      </c>
      <c r="F2945" s="2">
        <v>61444</v>
      </c>
      <c r="G2945" s="3" t="str">
        <f>HYPERLINK("http://funmeta.oebiotech.com/network/61444", "http://funmeta.oebiotech.com/network/61444")</f>
        <v>http://funmeta.oebiotech.com/network/61444</v>
      </c>
      <c r="H2945" s="2" t="s">
        <v>19589</v>
      </c>
      <c r="I2945" s="2"/>
      <c r="J2945" s="2"/>
      <c r="K2945" s="2"/>
      <c r="L2945" s="2"/>
      <c r="M2945" s="2"/>
      <c r="N2945" s="2"/>
      <c r="O2945" s="2">
        <v>131752259</v>
      </c>
      <c r="P2945" s="2" t="s">
        <v>19590</v>
      </c>
      <c r="Q2945" s="2" t="s">
        <v>19591</v>
      </c>
      <c r="R2945" s="2" t="s">
        <v>19592</v>
      </c>
      <c r="S2945" s="2" t="s">
        <v>115</v>
      </c>
      <c r="T2945" s="2" t="s">
        <v>139</v>
      </c>
      <c r="U2945" s="2" t="s">
        <v>140</v>
      </c>
      <c r="V2945" s="2" t="s">
        <v>59</v>
      </c>
      <c r="W2945" s="2">
        <v>36.5</v>
      </c>
      <c r="X2945" s="2">
        <v>0</v>
      </c>
      <c r="Y2945" s="2" t="s">
        <v>330</v>
      </c>
      <c r="Z2945" s="2" t="s">
        <v>19593</v>
      </c>
      <c r="AA2945" s="2">
        <v>-4.87717274396344</v>
      </c>
      <c r="AB2945" s="2">
        <v>0.27174914714883203</v>
      </c>
      <c r="AC2945" s="2">
        <v>18140.6349984802</v>
      </c>
      <c r="AD2945" s="2">
        <v>23973.5395332306</v>
      </c>
      <c r="AE2945" s="2">
        <v>18470.083506791299</v>
      </c>
      <c r="AF2945" s="2">
        <v>16827.0906878469</v>
      </c>
      <c r="AG2945" s="2">
        <v>16426.433563523799</v>
      </c>
      <c r="AH2945" s="2">
        <v>19901.342466985599</v>
      </c>
      <c r="AI2945" s="2">
        <v>17398.148627585699</v>
      </c>
      <c r="AJ2945" s="2">
        <v>19820.711138148101</v>
      </c>
      <c r="AK2945" s="2">
        <v>26643.4771135148</v>
      </c>
      <c r="AL2945" s="2">
        <v>23200.910302240001</v>
      </c>
      <c r="AM2945" s="2">
        <v>27242.2343412878</v>
      </c>
      <c r="AN2945" s="2">
        <v>20917.304164603702</v>
      </c>
      <c r="AO2945" s="2">
        <v>21473.4899828583</v>
      </c>
      <c r="AP2945" s="2">
        <v>24363.821294878799</v>
      </c>
    </row>
    <row r="2946" spans="1:42" ht="14.5" x14ac:dyDescent="0.35">
      <c r="A2946" s="2" t="s">
        <v>19594</v>
      </c>
      <c r="B2946" s="2">
        <v>527.35869316400499</v>
      </c>
      <c r="C2946" s="2">
        <v>11.7374166666667</v>
      </c>
      <c r="D2946" s="2" t="s">
        <v>70</v>
      </c>
      <c r="E2946" s="2" t="s">
        <v>19595</v>
      </c>
      <c r="F2946" s="2">
        <v>212307</v>
      </c>
      <c r="G2946" s="3" t="str">
        <f>HYPERLINK("http://funmeta.oebiotech.com/network/212307", "http://funmeta.oebiotech.com/network/212307")</f>
        <v>http://funmeta.oebiotech.com/network/212307</v>
      </c>
      <c r="H2946" s="2" t="s">
        <v>19596</v>
      </c>
      <c r="I2946" s="2">
        <v>2807</v>
      </c>
      <c r="J2946" s="2"/>
      <c r="K2946" s="2">
        <v>9468</v>
      </c>
      <c r="L2946" s="2" t="s">
        <v>19597</v>
      </c>
      <c r="M2946" s="2"/>
      <c r="N2946" s="2"/>
      <c r="O2946" s="2">
        <v>5411</v>
      </c>
      <c r="P2946" s="2" t="s">
        <v>19598</v>
      </c>
      <c r="Q2946" s="2" t="s">
        <v>19599</v>
      </c>
      <c r="R2946" s="2" t="s">
        <v>19600</v>
      </c>
      <c r="S2946" s="2" t="s">
        <v>148</v>
      </c>
      <c r="T2946" s="2" t="s">
        <v>149</v>
      </c>
      <c r="U2946" s="2" t="s">
        <v>1593</v>
      </c>
      <c r="V2946" s="2" t="s">
        <v>59</v>
      </c>
      <c r="W2946" s="2">
        <v>38.4</v>
      </c>
      <c r="X2946" s="2">
        <v>0</v>
      </c>
      <c r="Y2946" s="2" t="s">
        <v>560</v>
      </c>
      <c r="Z2946" s="2" t="s">
        <v>19601</v>
      </c>
      <c r="AA2946" s="2">
        <v>-3.0025325680114898</v>
      </c>
      <c r="AB2946" s="2">
        <v>0.27168208247008202</v>
      </c>
      <c r="AC2946" s="2">
        <v>6144.9839514284704</v>
      </c>
      <c r="AD2946" s="2">
        <v>11111.4830597174</v>
      </c>
      <c r="AE2946" s="2">
        <v>6829.4449868296697</v>
      </c>
      <c r="AF2946" s="2">
        <v>5191.0546384786403</v>
      </c>
      <c r="AG2946" s="2">
        <v>6374.4486052750499</v>
      </c>
      <c r="AH2946" s="2">
        <v>5770.1133828366201</v>
      </c>
      <c r="AI2946" s="2">
        <v>6610.27933315066</v>
      </c>
      <c r="AJ2946" s="2">
        <v>6094.5627620002097</v>
      </c>
      <c r="AK2946" s="2">
        <v>11785.848203216199</v>
      </c>
      <c r="AL2946" s="2">
        <v>10738.812827826199</v>
      </c>
      <c r="AM2946" s="2">
        <v>11205.0991816076</v>
      </c>
      <c r="AN2946" s="2">
        <v>12041.6969042276</v>
      </c>
      <c r="AO2946" s="2">
        <v>10361.2142795789</v>
      </c>
      <c r="AP2946" s="2">
        <v>10536.226961848</v>
      </c>
    </row>
    <row r="2947" spans="1:42" ht="14.5" x14ac:dyDescent="0.35">
      <c r="A2947" s="2" t="s">
        <v>19602</v>
      </c>
      <c r="B2947" s="2">
        <v>458.18633622091698</v>
      </c>
      <c r="C2947" s="2">
        <v>0.73473333333333302</v>
      </c>
      <c r="D2947" s="2" t="s">
        <v>34</v>
      </c>
      <c r="E2947" s="2" t="s">
        <v>19603</v>
      </c>
      <c r="F2947" s="2">
        <v>63100</v>
      </c>
      <c r="G2947" s="3" t="str">
        <f>HYPERLINK("http://funmeta.oebiotech.com/network/63100", "http://funmeta.oebiotech.com/network/63100")</f>
        <v>http://funmeta.oebiotech.com/network/63100</v>
      </c>
      <c r="H2947" s="2" t="s">
        <v>19604</v>
      </c>
      <c r="I2947" s="2">
        <v>94406</v>
      </c>
      <c r="J2947" s="2"/>
      <c r="K2947" s="2"/>
      <c r="L2947" s="2"/>
      <c r="M2947" s="2"/>
      <c r="N2947" s="2"/>
      <c r="O2947" s="2">
        <v>131752735</v>
      </c>
      <c r="P2947" s="2"/>
      <c r="Q2947" s="2" t="s">
        <v>19605</v>
      </c>
      <c r="R2947" s="2" t="s">
        <v>19606</v>
      </c>
      <c r="S2947" s="2" t="s">
        <v>79</v>
      </c>
      <c r="T2947" s="2" t="s">
        <v>80</v>
      </c>
      <c r="U2947" s="2" t="s">
        <v>81</v>
      </c>
      <c r="V2947" s="2" t="s">
        <v>59</v>
      </c>
      <c r="W2947" s="2">
        <v>38.1</v>
      </c>
      <c r="X2947" s="2">
        <v>0</v>
      </c>
      <c r="Y2947" s="2" t="s">
        <v>43</v>
      </c>
      <c r="Z2947" s="2" t="s">
        <v>19607</v>
      </c>
      <c r="AA2947" s="2">
        <v>-1.09112361502125</v>
      </c>
      <c r="AB2947" s="2">
        <v>0.27150330628397401</v>
      </c>
      <c r="AC2947" s="2">
        <v>14525.4664054615</v>
      </c>
      <c r="AD2947" s="2">
        <v>7382.3568695021304</v>
      </c>
      <c r="AE2947" s="2">
        <v>10431.743206097701</v>
      </c>
      <c r="AF2947" s="2">
        <v>14361.776225175299</v>
      </c>
      <c r="AG2947" s="2">
        <v>13859.882165691401</v>
      </c>
      <c r="AH2947" s="2">
        <v>22005.273403216299</v>
      </c>
      <c r="AI2947" s="2">
        <v>14306.210768622899</v>
      </c>
      <c r="AJ2947" s="2">
        <v>12187.912663965601</v>
      </c>
      <c r="AK2947" s="2">
        <v>2.7106294003980101E-5</v>
      </c>
      <c r="AL2947" s="2">
        <v>8272.8322688724002</v>
      </c>
      <c r="AM2947" s="2">
        <v>11213.0377635687</v>
      </c>
      <c r="AN2947" s="2">
        <v>7674.1762357559901</v>
      </c>
      <c r="AO2947" s="2">
        <v>12123.998675942001</v>
      </c>
      <c r="AP2947" s="2">
        <v>5010.0962457674004</v>
      </c>
    </row>
    <row r="2948" spans="1:42" ht="14.5" x14ac:dyDescent="0.35">
      <c r="A2948" s="2" t="s">
        <v>19608</v>
      </c>
      <c r="B2948" s="2">
        <v>449.19530464176302</v>
      </c>
      <c r="C2948" s="2">
        <v>9.6898833333333307</v>
      </c>
      <c r="D2948" s="2" t="s">
        <v>34</v>
      </c>
      <c r="E2948" s="2" t="s">
        <v>19609</v>
      </c>
      <c r="F2948" s="2">
        <v>29063</v>
      </c>
      <c r="G2948" s="3" t="str">
        <f>HYPERLINK("http://funmeta.oebiotech.com/network/29063", "http://funmeta.oebiotech.com/network/29063")</f>
        <v>http://funmeta.oebiotech.com/network/29063</v>
      </c>
      <c r="H2948" s="2"/>
      <c r="I2948" s="2">
        <v>47459</v>
      </c>
      <c r="J2948" s="2" t="s">
        <v>19610</v>
      </c>
      <c r="K2948" s="2"/>
      <c r="L2948" s="2"/>
      <c r="M2948" s="2"/>
      <c r="N2948" s="2"/>
      <c r="O2948" s="2">
        <v>44257178</v>
      </c>
      <c r="P2948" s="2"/>
      <c r="Q2948" s="2" t="s">
        <v>19611</v>
      </c>
      <c r="R2948" s="2" t="s">
        <v>19612</v>
      </c>
      <c r="S2948" s="2" t="s">
        <v>115</v>
      </c>
      <c r="T2948" s="2" t="s">
        <v>139</v>
      </c>
      <c r="U2948" s="2" t="s">
        <v>1437</v>
      </c>
      <c r="V2948" s="2" t="s">
        <v>42</v>
      </c>
      <c r="W2948" s="2">
        <v>49.3</v>
      </c>
      <c r="X2948" s="2">
        <v>56.2</v>
      </c>
      <c r="Y2948" s="2" t="s">
        <v>323</v>
      </c>
      <c r="Z2948" s="2" t="s">
        <v>19613</v>
      </c>
      <c r="AA2948" s="2">
        <v>4.3295728555914899</v>
      </c>
      <c r="AB2948" s="2">
        <v>0.271311474563184</v>
      </c>
      <c r="AC2948" s="2">
        <v>17374.210180596401</v>
      </c>
      <c r="AD2948" s="2">
        <v>12096.1564197479</v>
      </c>
      <c r="AE2948" s="2">
        <v>18121.4989946118</v>
      </c>
      <c r="AF2948" s="2">
        <v>17941.369069918099</v>
      </c>
      <c r="AG2948" s="2">
        <v>16464.353883137799</v>
      </c>
      <c r="AH2948" s="2">
        <v>16331.976733411</v>
      </c>
      <c r="AI2948" s="2">
        <v>16176.1209876795</v>
      </c>
      <c r="AJ2948" s="2">
        <v>19209.941414820401</v>
      </c>
      <c r="AK2948" s="2">
        <v>11049.7825494106</v>
      </c>
      <c r="AL2948" s="2">
        <v>14558.242000521601</v>
      </c>
      <c r="AM2948" s="2">
        <v>12804.2201735542</v>
      </c>
      <c r="AN2948" s="2">
        <v>10797.028962132799</v>
      </c>
      <c r="AO2948" s="2">
        <v>11529.533752773599</v>
      </c>
      <c r="AP2948" s="2">
        <v>11838.131080094399</v>
      </c>
    </row>
    <row r="2949" spans="1:42" ht="14.5" x14ac:dyDescent="0.35">
      <c r="A2949" s="2" t="s">
        <v>19614</v>
      </c>
      <c r="B2949" s="2">
        <v>513.27044498904695</v>
      </c>
      <c r="C2949" s="2">
        <v>5.6725000000000003</v>
      </c>
      <c r="D2949" s="2" t="s">
        <v>70</v>
      </c>
      <c r="E2949" s="2" t="s">
        <v>19615</v>
      </c>
      <c r="F2949" s="2">
        <v>50889</v>
      </c>
      <c r="G2949" s="3" t="str">
        <f>HYPERLINK("http://funmeta.oebiotech.com/network/50889", "http://funmeta.oebiotech.com/network/50889")</f>
        <v>http://funmeta.oebiotech.com/network/50889</v>
      </c>
      <c r="H2949" s="2" t="s">
        <v>19616</v>
      </c>
      <c r="I2949" s="2">
        <v>57955</v>
      </c>
      <c r="J2949" s="2"/>
      <c r="K2949" s="2"/>
      <c r="L2949" s="2"/>
      <c r="M2949" s="2"/>
      <c r="N2949" s="2"/>
      <c r="O2949" s="2">
        <v>131281</v>
      </c>
      <c r="P2949" s="2"/>
      <c r="Q2949" s="2" t="s">
        <v>19617</v>
      </c>
      <c r="R2949" s="2" t="s">
        <v>19618</v>
      </c>
      <c r="S2949" s="2" t="s">
        <v>50</v>
      </c>
      <c r="T2949" s="2" t="s">
        <v>124</v>
      </c>
      <c r="U2949" s="2" t="s">
        <v>8787</v>
      </c>
      <c r="V2949" s="2" t="s">
        <v>59</v>
      </c>
      <c r="W2949" s="2">
        <v>38.4</v>
      </c>
      <c r="X2949" s="2">
        <v>0</v>
      </c>
      <c r="Y2949" s="2" t="s">
        <v>408</v>
      </c>
      <c r="Z2949" s="2" t="s">
        <v>19619</v>
      </c>
      <c r="AA2949" s="2">
        <v>-0.16255548271606299</v>
      </c>
      <c r="AB2949" s="2">
        <v>0.27127575668636</v>
      </c>
      <c r="AC2949" s="2">
        <v>73352.484907819497</v>
      </c>
      <c r="AD2949" s="2">
        <v>67179.670403526296</v>
      </c>
      <c r="AE2949" s="2">
        <v>74972.335841700595</v>
      </c>
      <c r="AF2949" s="2">
        <v>68356.024904131598</v>
      </c>
      <c r="AG2949" s="2">
        <v>74846.648235179804</v>
      </c>
      <c r="AH2949" s="2">
        <v>71828.856508556506</v>
      </c>
      <c r="AI2949" s="2">
        <v>73016.567181549894</v>
      </c>
      <c r="AJ2949" s="2">
        <v>77094.476775798306</v>
      </c>
      <c r="AK2949" s="2">
        <v>65143.511595631098</v>
      </c>
      <c r="AL2949" s="2">
        <v>66021.607696602397</v>
      </c>
      <c r="AM2949" s="2">
        <v>70806.812818357706</v>
      </c>
      <c r="AN2949" s="2">
        <v>68843.615613553804</v>
      </c>
      <c r="AO2949" s="2">
        <v>65404.6002288651</v>
      </c>
      <c r="AP2949" s="2">
        <v>66857.874468147696</v>
      </c>
    </row>
    <row r="2950" spans="1:42" ht="14.5" x14ac:dyDescent="0.35">
      <c r="A2950" s="2" t="s">
        <v>19620</v>
      </c>
      <c r="B2950" s="2">
        <v>309.148139883304</v>
      </c>
      <c r="C2950" s="2">
        <v>6.0954833333333296</v>
      </c>
      <c r="D2950" s="2" t="s">
        <v>34</v>
      </c>
      <c r="E2950" s="2" t="s">
        <v>19621</v>
      </c>
      <c r="F2950" s="2">
        <v>198393</v>
      </c>
      <c r="G2950" s="3" t="str">
        <f>HYPERLINK("http://funmeta.oebiotech.com/network/198393", "http://funmeta.oebiotech.com/network/198393")</f>
        <v>http://funmeta.oebiotech.com/network/198393</v>
      </c>
      <c r="H2950" s="2" t="s">
        <v>19622</v>
      </c>
      <c r="I2950" s="2"/>
      <c r="J2950" s="2"/>
      <c r="K2950" s="2"/>
      <c r="L2950" s="2"/>
      <c r="M2950" s="2"/>
      <c r="N2950" s="2"/>
      <c r="O2950" s="2"/>
      <c r="P2950" s="2"/>
      <c r="Q2950" s="2" t="s">
        <v>19623</v>
      </c>
      <c r="R2950" s="2" t="s">
        <v>19624</v>
      </c>
      <c r="S2950" s="2" t="s">
        <v>41</v>
      </c>
      <c r="T2950" s="2" t="s">
        <v>41</v>
      </c>
      <c r="U2950" s="2" t="s">
        <v>41</v>
      </c>
      <c r="V2950" s="2" t="s">
        <v>59</v>
      </c>
      <c r="W2950" s="2">
        <v>38.200000000000003</v>
      </c>
      <c r="X2950" s="2">
        <v>0</v>
      </c>
      <c r="Y2950" s="2" t="s">
        <v>43</v>
      </c>
      <c r="Z2950" s="2" t="s">
        <v>19625</v>
      </c>
      <c r="AA2950" s="2">
        <v>0.92945441620556202</v>
      </c>
      <c r="AB2950" s="2">
        <v>0.27105065640310999</v>
      </c>
      <c r="AC2950" s="2">
        <v>11541.555412760001</v>
      </c>
      <c r="AD2950" s="2">
        <v>6564.8652167953896</v>
      </c>
      <c r="AE2950" s="2">
        <v>11247.8123149316</v>
      </c>
      <c r="AF2950" s="2">
        <v>11537.0792956552</v>
      </c>
      <c r="AG2950" s="2">
        <v>10915.568242159399</v>
      </c>
      <c r="AH2950" s="2">
        <v>12827.3692649108</v>
      </c>
      <c r="AI2950" s="2">
        <v>10997.185924613501</v>
      </c>
      <c r="AJ2950" s="2">
        <v>11724.3174342895</v>
      </c>
      <c r="AK2950" s="2">
        <v>7061.6859612527996</v>
      </c>
      <c r="AL2950" s="2">
        <v>7073.5828669140601</v>
      </c>
      <c r="AM2950" s="2">
        <v>7229.6390564886897</v>
      </c>
      <c r="AN2950" s="2">
        <v>6516.6169766164403</v>
      </c>
      <c r="AO2950" s="2">
        <v>5342.9150593776903</v>
      </c>
      <c r="AP2950" s="2">
        <v>6164.7513801226596</v>
      </c>
    </row>
    <row r="2951" spans="1:42" ht="14.5" x14ac:dyDescent="0.35">
      <c r="A2951" s="2" t="s">
        <v>19626</v>
      </c>
      <c r="B2951" s="2">
        <v>226.01195864262999</v>
      </c>
      <c r="C2951" s="2">
        <v>10.1513166666667</v>
      </c>
      <c r="D2951" s="2" t="s">
        <v>34</v>
      </c>
      <c r="E2951" s="2" t="s">
        <v>19627</v>
      </c>
      <c r="F2951" s="2">
        <v>198795</v>
      </c>
      <c r="G2951" s="3" t="str">
        <f>HYPERLINK("http://funmeta.oebiotech.com/network/198795", "http://funmeta.oebiotech.com/network/198795")</f>
        <v>http://funmeta.oebiotech.com/network/198795</v>
      </c>
      <c r="H2951" s="2" t="s">
        <v>19628</v>
      </c>
      <c r="I2951" s="2"/>
      <c r="J2951" s="2"/>
      <c r="K2951" s="2"/>
      <c r="L2951" s="2"/>
      <c r="M2951" s="2"/>
      <c r="N2951" s="2"/>
      <c r="O2951" s="2">
        <v>10130273</v>
      </c>
      <c r="P2951" s="2"/>
      <c r="Q2951" s="2" t="s">
        <v>19629</v>
      </c>
      <c r="R2951" s="2" t="s">
        <v>19630</v>
      </c>
      <c r="S2951" s="2" t="s">
        <v>89</v>
      </c>
      <c r="T2951" s="2" t="s">
        <v>90</v>
      </c>
      <c r="U2951" s="2" t="s">
        <v>99</v>
      </c>
      <c r="V2951" s="2" t="s">
        <v>59</v>
      </c>
      <c r="W2951" s="2">
        <v>41.3</v>
      </c>
      <c r="X2951" s="2">
        <v>16.399999999999999</v>
      </c>
      <c r="Y2951" s="2" t="s">
        <v>340</v>
      </c>
      <c r="Z2951" s="2" t="s">
        <v>18070</v>
      </c>
      <c r="AA2951" s="2">
        <v>3.8929639376447698</v>
      </c>
      <c r="AB2951" s="2">
        <v>0.27099012649767401</v>
      </c>
      <c r="AC2951" s="2">
        <v>46923.2681436653</v>
      </c>
      <c r="AD2951" s="2">
        <v>52573.018898839298</v>
      </c>
      <c r="AE2951" s="2">
        <v>47985.782165392098</v>
      </c>
      <c r="AF2951" s="2">
        <v>48990.265192462401</v>
      </c>
      <c r="AG2951" s="2">
        <v>46733.030965815196</v>
      </c>
      <c r="AH2951" s="2">
        <v>44746.387494781098</v>
      </c>
      <c r="AI2951" s="2">
        <v>46384.180623042201</v>
      </c>
      <c r="AJ2951" s="2">
        <v>46699.962420498603</v>
      </c>
      <c r="AK2951" s="2">
        <v>52141.849713692602</v>
      </c>
      <c r="AL2951" s="2">
        <v>54905.487684359003</v>
      </c>
      <c r="AM2951" s="2">
        <v>52184.786904671797</v>
      </c>
      <c r="AN2951" s="2">
        <v>52583.867420878698</v>
      </c>
      <c r="AO2951" s="2">
        <v>54765.041798830003</v>
      </c>
      <c r="AP2951" s="2">
        <v>48857.079870603899</v>
      </c>
    </row>
    <row r="2952" spans="1:42" ht="14.5" x14ac:dyDescent="0.35">
      <c r="A2952" s="2" t="s">
        <v>19631</v>
      </c>
      <c r="B2952" s="2">
        <v>655.21314101996495</v>
      </c>
      <c r="C2952" s="2">
        <v>6.1981666666666699</v>
      </c>
      <c r="D2952" s="2" t="s">
        <v>70</v>
      </c>
      <c r="E2952" s="2" t="s">
        <v>19632</v>
      </c>
      <c r="F2952" s="2">
        <v>212712</v>
      </c>
      <c r="G2952" s="3" t="str">
        <f>HYPERLINK("http://funmeta.oebiotech.com/network/212712", "http://funmeta.oebiotech.com/network/212712")</f>
        <v>http://funmeta.oebiotech.com/network/212712</v>
      </c>
      <c r="H2952" s="2" t="s">
        <v>19633</v>
      </c>
      <c r="I2952" s="2"/>
      <c r="J2952" s="2"/>
      <c r="K2952" s="2"/>
      <c r="L2952" s="2"/>
      <c r="M2952" s="2"/>
      <c r="N2952" s="2"/>
      <c r="O2952" s="2">
        <v>10125800</v>
      </c>
      <c r="P2952" s="2"/>
      <c r="Q2952" s="2" t="s">
        <v>19634</v>
      </c>
      <c r="R2952" s="2" t="s">
        <v>19635</v>
      </c>
      <c r="S2952" s="2" t="s">
        <v>148</v>
      </c>
      <c r="T2952" s="2" t="s">
        <v>6068</v>
      </c>
      <c r="U2952" s="2" t="s">
        <v>41</v>
      </c>
      <c r="V2952" s="2" t="s">
        <v>59</v>
      </c>
      <c r="W2952" s="2">
        <v>39.200000000000003</v>
      </c>
      <c r="X2952" s="2">
        <v>0</v>
      </c>
      <c r="Y2952" s="2" t="s">
        <v>560</v>
      </c>
      <c r="Z2952" s="2" t="s">
        <v>19636</v>
      </c>
      <c r="AA2952" s="2">
        <v>0.80568781043072801</v>
      </c>
      <c r="AB2952" s="2">
        <v>0.27098238539500502</v>
      </c>
      <c r="AC2952" s="2">
        <v>25653.312233752102</v>
      </c>
      <c r="AD2952" s="2">
        <v>19469.372356836699</v>
      </c>
      <c r="AE2952" s="2">
        <v>26448.809359010502</v>
      </c>
      <c r="AF2952" s="2">
        <v>25275.7766710859</v>
      </c>
      <c r="AG2952" s="2">
        <v>25170.439278667702</v>
      </c>
      <c r="AH2952" s="2">
        <v>28599.693448982001</v>
      </c>
      <c r="AI2952" s="2">
        <v>25069.352533199599</v>
      </c>
      <c r="AJ2952" s="2">
        <v>23355.802111567202</v>
      </c>
      <c r="AK2952" s="2">
        <v>16705.086708121999</v>
      </c>
      <c r="AL2952" s="2">
        <v>20035.253248468998</v>
      </c>
      <c r="AM2952" s="2">
        <v>20893.053242616101</v>
      </c>
      <c r="AN2952" s="2">
        <v>15012.752567886</v>
      </c>
      <c r="AO2952" s="2">
        <v>24922.3802185809</v>
      </c>
      <c r="AP2952" s="2">
        <v>19247.708155346299</v>
      </c>
    </row>
    <row r="2953" spans="1:42" ht="14.5" x14ac:dyDescent="0.35">
      <c r="A2953" s="2" t="s">
        <v>19637</v>
      </c>
      <c r="B2953" s="2">
        <v>307.15359235877099</v>
      </c>
      <c r="C2953" s="2">
        <v>5.0879333333333303</v>
      </c>
      <c r="D2953" s="2" t="s">
        <v>34</v>
      </c>
      <c r="E2953" s="2" t="s">
        <v>19638</v>
      </c>
      <c r="F2953" s="2">
        <v>276317</v>
      </c>
      <c r="G2953" s="3" t="str">
        <f>HYPERLINK("http://funmeta.oebiotech.com/network/276317", "http://funmeta.oebiotech.com/network/276317")</f>
        <v>http://funmeta.oebiotech.com/network/276317</v>
      </c>
      <c r="H2953" s="2"/>
      <c r="I2953" s="2">
        <v>67785</v>
      </c>
      <c r="J2953" s="2"/>
      <c r="K2953" s="2"/>
      <c r="L2953" s="2" t="s">
        <v>19639</v>
      </c>
      <c r="M2953" s="2"/>
      <c r="N2953" s="2"/>
      <c r="O2953" s="2">
        <v>5281496</v>
      </c>
      <c r="P2953" s="2" t="s">
        <v>19640</v>
      </c>
      <c r="Q2953" s="2" t="s">
        <v>19641</v>
      </c>
      <c r="R2953" s="2" t="s">
        <v>19642</v>
      </c>
      <c r="S2953" s="2" t="s">
        <v>491</v>
      </c>
      <c r="T2953" s="2" t="s">
        <v>5973</v>
      </c>
      <c r="U2953" s="2" t="s">
        <v>6296</v>
      </c>
      <c r="V2953" s="2" t="s">
        <v>59</v>
      </c>
      <c r="W2953" s="2">
        <v>38.299999999999997</v>
      </c>
      <c r="X2953" s="2">
        <v>0</v>
      </c>
      <c r="Y2953" s="2" t="s">
        <v>394</v>
      </c>
      <c r="Z2953" s="2" t="s">
        <v>6297</v>
      </c>
      <c r="AA2953" s="2">
        <v>-1.33229114547939</v>
      </c>
      <c r="AB2953" s="2">
        <v>0.27076637048236402</v>
      </c>
      <c r="AC2953" s="2">
        <v>3062.2839400550001</v>
      </c>
      <c r="AD2953" s="2">
        <v>8041.5506314996301</v>
      </c>
      <c r="AE2953" s="2">
        <v>3049.9444858940601</v>
      </c>
      <c r="AF2953" s="2">
        <v>3045.6761674279301</v>
      </c>
      <c r="AG2953" s="2">
        <v>3549.9163435250498</v>
      </c>
      <c r="AH2953" s="2">
        <v>3212.84983989887</v>
      </c>
      <c r="AI2953" s="2">
        <v>2705.79041169517</v>
      </c>
      <c r="AJ2953" s="2">
        <v>2809.52639188893</v>
      </c>
      <c r="AK2953" s="2">
        <v>9321.9491880326696</v>
      </c>
      <c r="AL2953" s="2">
        <v>8604.6175238822907</v>
      </c>
      <c r="AM2953" s="2">
        <v>6647.5179570603404</v>
      </c>
      <c r="AN2953" s="2">
        <v>8431.0395621940206</v>
      </c>
      <c r="AO2953" s="2">
        <v>7477.25720310011</v>
      </c>
      <c r="AP2953" s="2">
        <v>7766.92235472837</v>
      </c>
    </row>
    <row r="2954" spans="1:42" ht="14.5" x14ac:dyDescent="0.35">
      <c r="A2954" s="2" t="s">
        <v>19643</v>
      </c>
      <c r="B2954" s="2">
        <v>227.20040462936001</v>
      </c>
      <c r="C2954" s="2">
        <v>9.8048666666666708</v>
      </c>
      <c r="D2954" s="2" t="s">
        <v>34</v>
      </c>
      <c r="E2954" s="2" t="s">
        <v>19644</v>
      </c>
      <c r="F2954" s="2">
        <v>560</v>
      </c>
      <c r="G2954" s="3" t="str">
        <f>HYPERLINK("http://funmeta.oebiotech.com/network/560", "http://funmeta.oebiotech.com/network/560")</f>
        <v>http://funmeta.oebiotech.com/network/560</v>
      </c>
      <c r="H2954" s="2" t="s">
        <v>19645</v>
      </c>
      <c r="I2954" s="2">
        <v>6424</v>
      </c>
      <c r="J2954" s="2" t="s">
        <v>19646</v>
      </c>
      <c r="K2954" s="2">
        <v>27781</v>
      </c>
      <c r="L2954" s="2" t="s">
        <v>19647</v>
      </c>
      <c r="M2954" s="2"/>
      <c r="N2954" s="2"/>
      <c r="O2954" s="2">
        <v>5281119</v>
      </c>
      <c r="P2954" s="2" t="s">
        <v>19648</v>
      </c>
      <c r="Q2954" s="2" t="s">
        <v>19649</v>
      </c>
      <c r="R2954" s="2" t="s">
        <v>19650</v>
      </c>
      <c r="S2954" s="2" t="s">
        <v>50</v>
      </c>
      <c r="T2954" s="2" t="s">
        <v>229</v>
      </c>
      <c r="U2954" s="2" t="s">
        <v>433</v>
      </c>
      <c r="V2954" s="2" t="s">
        <v>42</v>
      </c>
      <c r="W2954" s="2">
        <v>46.6</v>
      </c>
      <c r="X2954" s="2">
        <v>45.9</v>
      </c>
      <c r="Y2954" s="2" t="s">
        <v>394</v>
      </c>
      <c r="Z2954" s="2" t="s">
        <v>19651</v>
      </c>
      <c r="AA2954" s="2">
        <v>-0.67144161025494198</v>
      </c>
      <c r="AB2954" s="2">
        <v>0.27073810681601301</v>
      </c>
      <c r="AC2954" s="2">
        <v>19925.1985221992</v>
      </c>
      <c r="AD2954" s="2">
        <v>25528.231789323701</v>
      </c>
      <c r="AE2954" s="2">
        <v>19554.138418425599</v>
      </c>
      <c r="AF2954" s="2">
        <v>20893.773803519998</v>
      </c>
      <c r="AG2954" s="2">
        <v>20974.5665509889</v>
      </c>
      <c r="AH2954" s="2">
        <v>19638.092690080099</v>
      </c>
      <c r="AI2954" s="2">
        <v>19429.566059471501</v>
      </c>
      <c r="AJ2954" s="2">
        <v>19061.053610708899</v>
      </c>
      <c r="AK2954" s="2">
        <v>28199.5122005589</v>
      </c>
      <c r="AL2954" s="2">
        <v>25836.363571268001</v>
      </c>
      <c r="AM2954" s="2">
        <v>23606.137318345402</v>
      </c>
      <c r="AN2954" s="2">
        <v>24658.3328942882</v>
      </c>
      <c r="AO2954" s="2">
        <v>28413.147167876501</v>
      </c>
      <c r="AP2954" s="2">
        <v>22455.8975836055</v>
      </c>
    </row>
    <row r="2955" spans="1:42" ht="14.5" x14ac:dyDescent="0.35">
      <c r="A2955" s="2" t="s">
        <v>19652</v>
      </c>
      <c r="B2955" s="2">
        <v>735.287022768317</v>
      </c>
      <c r="C2955" s="2">
        <v>7.2989833333333296</v>
      </c>
      <c r="D2955" s="2" t="s">
        <v>70</v>
      </c>
      <c r="E2955" s="2" t="s">
        <v>19653</v>
      </c>
      <c r="F2955" s="2">
        <v>213199</v>
      </c>
      <c r="G2955" s="3" t="str">
        <f>HYPERLINK("http://funmeta.oebiotech.com/network/213199", "http://funmeta.oebiotech.com/network/213199")</f>
        <v>http://funmeta.oebiotech.com/network/213199</v>
      </c>
      <c r="H2955" s="2" t="s">
        <v>19654</v>
      </c>
      <c r="I2955" s="2"/>
      <c r="J2955" s="2"/>
      <c r="K2955" s="2"/>
      <c r="L2955" s="2"/>
      <c r="M2955" s="2"/>
      <c r="N2955" s="2"/>
      <c r="O2955" s="2">
        <v>53757375</v>
      </c>
      <c r="P2955" s="2"/>
      <c r="Q2955" s="2" t="s">
        <v>19655</v>
      </c>
      <c r="R2955" s="2" t="s">
        <v>19656</v>
      </c>
      <c r="S2955" s="2" t="s">
        <v>89</v>
      </c>
      <c r="T2955" s="2" t="s">
        <v>90</v>
      </c>
      <c r="U2955" s="2" t="s">
        <v>469</v>
      </c>
      <c r="V2955" s="2" t="s">
        <v>42</v>
      </c>
      <c r="W2955" s="2">
        <v>55.1</v>
      </c>
      <c r="X2955" s="2">
        <v>77.400000000000006</v>
      </c>
      <c r="Y2955" s="2" t="s">
        <v>408</v>
      </c>
      <c r="Z2955" s="2" t="s">
        <v>19657</v>
      </c>
      <c r="AA2955" s="2">
        <v>9.2351579145299498E-2</v>
      </c>
      <c r="AB2955" s="2">
        <v>0.27067035067432199</v>
      </c>
      <c r="AC2955" s="2">
        <v>43827.985152365101</v>
      </c>
      <c r="AD2955" s="2">
        <v>37966.3490461326</v>
      </c>
      <c r="AE2955" s="2">
        <v>41133.898437415097</v>
      </c>
      <c r="AF2955" s="2">
        <v>45691.615873959898</v>
      </c>
      <c r="AG2955" s="2">
        <v>46531.012350546203</v>
      </c>
      <c r="AH2955" s="2">
        <v>41844.111080307899</v>
      </c>
      <c r="AI2955" s="2">
        <v>46684.449447531901</v>
      </c>
      <c r="AJ2955" s="2">
        <v>41082.8237244298</v>
      </c>
      <c r="AK2955" s="2">
        <v>39309.485055835401</v>
      </c>
      <c r="AL2955" s="2">
        <v>39194.5909015383</v>
      </c>
      <c r="AM2955" s="2">
        <v>37501.784294291399</v>
      </c>
      <c r="AN2955" s="2">
        <v>39141.4581480583</v>
      </c>
      <c r="AO2955" s="2">
        <v>37072.336905457203</v>
      </c>
      <c r="AP2955" s="2">
        <v>35578.438971614902</v>
      </c>
    </row>
    <row r="2956" spans="1:42" ht="14.5" x14ac:dyDescent="0.35">
      <c r="A2956" s="2" t="s">
        <v>19658</v>
      </c>
      <c r="B2956" s="2">
        <v>333.02667040742102</v>
      </c>
      <c r="C2956" s="2">
        <v>1.5714333333333299</v>
      </c>
      <c r="D2956" s="2" t="s">
        <v>34</v>
      </c>
      <c r="E2956" s="2" t="s">
        <v>19659</v>
      </c>
      <c r="F2956" s="2">
        <v>211606</v>
      </c>
      <c r="G2956" s="3" t="str">
        <f>HYPERLINK("http://funmeta.oebiotech.com/network/211606", "http://funmeta.oebiotech.com/network/211606")</f>
        <v>http://funmeta.oebiotech.com/network/211606</v>
      </c>
      <c r="H2956" s="2" t="s">
        <v>19660</v>
      </c>
      <c r="I2956" s="2"/>
      <c r="J2956" s="2"/>
      <c r="K2956" s="2"/>
      <c r="L2956" s="2"/>
      <c r="M2956" s="2"/>
      <c r="N2956" s="2"/>
      <c r="O2956" s="2"/>
      <c r="P2956" s="2"/>
      <c r="Q2956" s="2" t="s">
        <v>19661</v>
      </c>
      <c r="R2956" s="2" t="s">
        <v>19662</v>
      </c>
      <c r="S2956" s="2" t="s">
        <v>41</v>
      </c>
      <c r="T2956" s="2" t="s">
        <v>41</v>
      </c>
      <c r="U2956" s="2" t="s">
        <v>41</v>
      </c>
      <c r="V2956" s="2" t="s">
        <v>59</v>
      </c>
      <c r="W2956" s="2">
        <v>42.1</v>
      </c>
      <c r="X2956" s="2">
        <v>21.7</v>
      </c>
      <c r="Y2956" s="2" t="s">
        <v>323</v>
      </c>
      <c r="Z2956" s="2" t="s">
        <v>19663</v>
      </c>
      <c r="AA2956" s="2">
        <v>2.6904759604953798</v>
      </c>
      <c r="AB2956" s="2">
        <v>0.27051998438779401</v>
      </c>
      <c r="AC2956" s="2">
        <v>18755.796394169301</v>
      </c>
      <c r="AD2956" s="2">
        <v>23757.992548219401</v>
      </c>
      <c r="AE2956" s="2">
        <v>19024.903735108001</v>
      </c>
      <c r="AF2956" s="2">
        <v>18507.007012337701</v>
      </c>
      <c r="AG2956" s="2">
        <v>18640.2252068579</v>
      </c>
      <c r="AH2956" s="2">
        <v>17763.320455436002</v>
      </c>
      <c r="AI2956" s="2">
        <v>18511.112864450599</v>
      </c>
      <c r="AJ2956" s="2">
        <v>20088.209090825501</v>
      </c>
      <c r="AK2956" s="2">
        <v>24191.017540869001</v>
      </c>
      <c r="AL2956" s="2">
        <v>22637.6095427275</v>
      </c>
      <c r="AM2956" s="2">
        <v>23247.248330576698</v>
      </c>
      <c r="AN2956" s="2">
        <v>24799.934596418101</v>
      </c>
      <c r="AO2956" s="2">
        <v>24478.1024900212</v>
      </c>
      <c r="AP2956" s="2">
        <v>23194.0427887039</v>
      </c>
    </row>
    <row r="2957" spans="1:42" ht="14.5" x14ac:dyDescent="0.35">
      <c r="A2957" s="2" t="s">
        <v>19664</v>
      </c>
      <c r="B2957" s="2">
        <v>721.27147702828302</v>
      </c>
      <c r="C2957" s="2">
        <v>5.7854333333333301</v>
      </c>
      <c r="D2957" s="2" t="s">
        <v>70</v>
      </c>
      <c r="E2957" s="2" t="s">
        <v>19665</v>
      </c>
      <c r="F2957" s="2">
        <v>257586</v>
      </c>
      <c r="G2957" s="3" t="str">
        <f>HYPERLINK("http://funmeta.oebiotech.com/network/257586", "http://funmeta.oebiotech.com/network/257586")</f>
        <v>http://funmeta.oebiotech.com/network/257586</v>
      </c>
      <c r="H2957" s="2" t="s">
        <v>19666</v>
      </c>
      <c r="I2957" s="2"/>
      <c r="J2957" s="2"/>
      <c r="K2957" s="2"/>
      <c r="L2957" s="2"/>
      <c r="M2957" s="2"/>
      <c r="N2957" s="2"/>
      <c r="O2957" s="2">
        <v>10153627</v>
      </c>
      <c r="P2957" s="2"/>
      <c r="Q2957" s="2" t="s">
        <v>19667</v>
      </c>
      <c r="R2957" s="2" t="s">
        <v>19668</v>
      </c>
      <c r="S2957" s="2" t="s">
        <v>89</v>
      </c>
      <c r="T2957" s="2" t="s">
        <v>90</v>
      </c>
      <c r="U2957" s="2" t="s">
        <v>99</v>
      </c>
      <c r="V2957" s="2" t="s">
        <v>59</v>
      </c>
      <c r="W2957" s="2">
        <v>43.8</v>
      </c>
      <c r="X2957" s="2">
        <v>38.4</v>
      </c>
      <c r="Y2957" s="2" t="s">
        <v>751</v>
      </c>
      <c r="Z2957" s="2" t="s">
        <v>19669</v>
      </c>
      <c r="AA2957" s="2">
        <v>-2.75346556242323</v>
      </c>
      <c r="AB2957" s="2">
        <v>0.27050702402429699</v>
      </c>
      <c r="AC2957" s="2">
        <v>54946.428054295502</v>
      </c>
      <c r="AD2957" s="2">
        <v>47769.585410321502</v>
      </c>
      <c r="AE2957" s="2">
        <v>60610.478652376303</v>
      </c>
      <c r="AF2957" s="2">
        <v>49925.135411511103</v>
      </c>
      <c r="AG2957" s="2">
        <v>54181.892571235301</v>
      </c>
      <c r="AH2957" s="2">
        <v>56527.015344427797</v>
      </c>
      <c r="AI2957" s="2">
        <v>53632.149347359999</v>
      </c>
      <c r="AJ2957" s="2">
        <v>54801.896998862401</v>
      </c>
      <c r="AK2957" s="2">
        <v>54129.169381347703</v>
      </c>
      <c r="AL2957" s="2">
        <v>43436.279410585499</v>
      </c>
      <c r="AM2957" s="2">
        <v>50511.584275492904</v>
      </c>
      <c r="AN2957" s="2">
        <v>51126.7705327738</v>
      </c>
      <c r="AO2957" s="2">
        <v>40864.472038170701</v>
      </c>
      <c r="AP2957" s="2">
        <v>46549.236823558502</v>
      </c>
    </row>
    <row r="2958" spans="1:42" ht="14.5" x14ac:dyDescent="0.35">
      <c r="A2958" s="2" t="s">
        <v>19670</v>
      </c>
      <c r="B2958" s="2">
        <v>495.259762018603</v>
      </c>
      <c r="C2958" s="2">
        <v>6.8011333333333299</v>
      </c>
      <c r="D2958" s="2" t="s">
        <v>70</v>
      </c>
      <c r="E2958" s="2" t="s">
        <v>19671</v>
      </c>
      <c r="F2958" s="2">
        <v>55487</v>
      </c>
      <c r="G2958" s="3" t="str">
        <f>HYPERLINK("http://funmeta.oebiotech.com/network/55487", "http://funmeta.oebiotech.com/network/55487")</f>
        <v>http://funmeta.oebiotech.com/network/55487</v>
      </c>
      <c r="H2958" s="2" t="s">
        <v>19672</v>
      </c>
      <c r="I2958" s="2">
        <v>87163</v>
      </c>
      <c r="J2958" s="2"/>
      <c r="K2958" s="2">
        <v>168483</v>
      </c>
      <c r="L2958" s="2"/>
      <c r="M2958" s="2"/>
      <c r="N2958" s="2"/>
      <c r="O2958" s="2">
        <v>14610543</v>
      </c>
      <c r="P2958" s="2" t="s">
        <v>19673</v>
      </c>
      <c r="Q2958" s="2" t="s">
        <v>19674</v>
      </c>
      <c r="R2958" s="2" t="s">
        <v>19675</v>
      </c>
      <c r="S2958" s="2" t="s">
        <v>50</v>
      </c>
      <c r="T2958" s="2" t="s">
        <v>201</v>
      </c>
      <c r="U2958" s="2" t="s">
        <v>202</v>
      </c>
      <c r="V2958" s="2" t="s">
        <v>42</v>
      </c>
      <c r="W2958" s="2">
        <v>47.6</v>
      </c>
      <c r="X2958" s="2">
        <v>49.5</v>
      </c>
      <c r="Y2958" s="2" t="s">
        <v>751</v>
      </c>
      <c r="Z2958" s="2" t="s">
        <v>1463</v>
      </c>
      <c r="AA2958" s="2">
        <v>-0.37801347479203101</v>
      </c>
      <c r="AB2958" s="2">
        <v>0.26996144998845101</v>
      </c>
      <c r="AC2958" s="2">
        <v>28116.765728537699</v>
      </c>
      <c r="AD2958" s="2">
        <v>22338.129445044899</v>
      </c>
      <c r="AE2958" s="2">
        <v>27399.8201695344</v>
      </c>
      <c r="AF2958" s="2">
        <v>27179.036066722299</v>
      </c>
      <c r="AG2958" s="2">
        <v>29060.123688033</v>
      </c>
      <c r="AH2958" s="2">
        <v>24630.0850070288</v>
      </c>
      <c r="AI2958" s="2">
        <v>30680.879700338999</v>
      </c>
      <c r="AJ2958" s="2">
        <v>29750.649739568798</v>
      </c>
      <c r="AK2958" s="2">
        <v>19153.209085994698</v>
      </c>
      <c r="AL2958" s="2">
        <v>24639.769598105599</v>
      </c>
      <c r="AM2958" s="2">
        <v>23899.627391497601</v>
      </c>
      <c r="AN2958" s="2">
        <v>23107.823214617001</v>
      </c>
      <c r="AO2958" s="2">
        <v>22375.5274430313</v>
      </c>
      <c r="AP2958" s="2">
        <v>20852.819937023101</v>
      </c>
    </row>
    <row r="2959" spans="1:42" ht="14.5" x14ac:dyDescent="0.35">
      <c r="A2959" s="2" t="s">
        <v>19676</v>
      </c>
      <c r="B2959" s="2">
        <v>471.18413017917999</v>
      </c>
      <c r="C2959" s="2">
        <v>4.2432666666666696</v>
      </c>
      <c r="D2959" s="2" t="s">
        <v>34</v>
      </c>
      <c r="E2959" s="2" t="s">
        <v>19677</v>
      </c>
      <c r="F2959" s="2">
        <v>25</v>
      </c>
      <c r="G2959" s="3" t="str">
        <f>HYPERLINK("http://funmeta.oebiotech.com/network/25", "http://funmeta.oebiotech.com/network/25")</f>
        <v>http://funmeta.oebiotech.com/network/25</v>
      </c>
      <c r="H2959" s="2"/>
      <c r="I2959" s="2"/>
      <c r="J2959" s="2" t="s">
        <v>19678</v>
      </c>
      <c r="K2959" s="2"/>
      <c r="L2959" s="2"/>
      <c r="M2959" s="2"/>
      <c r="N2959" s="2"/>
      <c r="O2959" s="2">
        <v>102203978</v>
      </c>
      <c r="P2959" s="2"/>
      <c r="Q2959" s="2" t="s">
        <v>19679</v>
      </c>
      <c r="R2959" s="2" t="s">
        <v>19680</v>
      </c>
      <c r="S2959" s="2" t="s">
        <v>50</v>
      </c>
      <c r="T2959" s="2" t="s">
        <v>229</v>
      </c>
      <c r="U2959" s="2" t="s">
        <v>433</v>
      </c>
      <c r="V2959" s="2" t="s">
        <v>59</v>
      </c>
      <c r="W2959" s="2">
        <v>38.700000000000003</v>
      </c>
      <c r="X2959" s="2">
        <v>0</v>
      </c>
      <c r="Y2959" s="2" t="s">
        <v>323</v>
      </c>
      <c r="Z2959" s="2" t="s">
        <v>19681</v>
      </c>
      <c r="AA2959" s="2">
        <v>-2.1353300240541402</v>
      </c>
      <c r="AB2959" s="2">
        <v>0.26989403306943999</v>
      </c>
      <c r="AC2959" s="2">
        <v>14274.8331610401</v>
      </c>
      <c r="AD2959" s="2">
        <v>19945.794770943699</v>
      </c>
      <c r="AE2959" s="2">
        <v>13793.0375741878</v>
      </c>
      <c r="AF2959" s="2">
        <v>14055.5065644939</v>
      </c>
      <c r="AG2959" s="2">
        <v>13560.0223487899</v>
      </c>
      <c r="AH2959" s="2">
        <v>13382.7999876553</v>
      </c>
      <c r="AI2959" s="2">
        <v>17036.102482978498</v>
      </c>
      <c r="AJ2959" s="2">
        <v>13821.5300081351</v>
      </c>
      <c r="AK2959" s="2">
        <v>17129.554260155499</v>
      </c>
      <c r="AL2959" s="2">
        <v>20451.043778269999</v>
      </c>
      <c r="AM2959" s="2">
        <v>18288.302973539001</v>
      </c>
      <c r="AN2959" s="2">
        <v>18106.236230951599</v>
      </c>
      <c r="AO2959" s="2">
        <v>23112.409661374801</v>
      </c>
      <c r="AP2959" s="2">
        <v>22587.221721371399</v>
      </c>
    </row>
    <row r="2960" spans="1:42" ht="14.5" x14ac:dyDescent="0.35">
      <c r="A2960" s="2" t="s">
        <v>19682</v>
      </c>
      <c r="B2960" s="2">
        <v>481.31647456071801</v>
      </c>
      <c r="C2960" s="2">
        <v>5.71</v>
      </c>
      <c r="D2960" s="2" t="s">
        <v>70</v>
      </c>
      <c r="E2960" s="2" t="s">
        <v>19683</v>
      </c>
      <c r="F2960" s="2">
        <v>47851</v>
      </c>
      <c r="G2960" s="3" t="str">
        <f>HYPERLINK("http://funmeta.oebiotech.com/network/47851", "http://funmeta.oebiotech.com/network/47851")</f>
        <v>http://funmeta.oebiotech.com/network/47851</v>
      </c>
      <c r="H2960" s="2" t="s">
        <v>19684</v>
      </c>
      <c r="I2960" s="2">
        <v>6538</v>
      </c>
      <c r="J2960" s="2"/>
      <c r="K2960" s="2"/>
      <c r="L2960" s="2"/>
      <c r="M2960" s="2"/>
      <c r="N2960" s="2"/>
      <c r="O2960" s="2">
        <v>22833587</v>
      </c>
      <c r="P2960" s="2" t="s">
        <v>19685</v>
      </c>
      <c r="Q2960" s="2" t="s">
        <v>19686</v>
      </c>
      <c r="R2960" s="2" t="s">
        <v>19687</v>
      </c>
      <c r="S2960" s="2" t="s">
        <v>50</v>
      </c>
      <c r="T2960" s="2" t="s">
        <v>124</v>
      </c>
      <c r="U2960" s="2" t="s">
        <v>125</v>
      </c>
      <c r="V2960" s="2" t="s">
        <v>59</v>
      </c>
      <c r="W2960" s="2">
        <v>38.799999999999997</v>
      </c>
      <c r="X2960" s="2">
        <v>0</v>
      </c>
      <c r="Y2960" s="2" t="s">
        <v>408</v>
      </c>
      <c r="Z2960" s="2" t="s">
        <v>19688</v>
      </c>
      <c r="AA2960" s="2">
        <v>-1.38160001181979</v>
      </c>
      <c r="AB2960" s="2">
        <v>0.269877908119319</v>
      </c>
      <c r="AC2960" s="2">
        <v>10387.354271471801</v>
      </c>
      <c r="AD2960" s="2">
        <v>15311.267975713399</v>
      </c>
      <c r="AE2960" s="2">
        <v>10601.9834354299</v>
      </c>
      <c r="AF2960" s="2">
        <v>10551.0280782757</v>
      </c>
      <c r="AG2960" s="2">
        <v>9320.8317224029506</v>
      </c>
      <c r="AH2960" s="2">
        <v>10397.192946704599</v>
      </c>
      <c r="AI2960" s="2">
        <v>11381.9084875177</v>
      </c>
      <c r="AJ2960" s="2">
        <v>10071.180958499999</v>
      </c>
      <c r="AK2960" s="2">
        <v>15991.0501865428</v>
      </c>
      <c r="AL2960" s="2">
        <v>15180.2102729701</v>
      </c>
      <c r="AM2960" s="2">
        <v>16243.6116735503</v>
      </c>
      <c r="AN2960" s="2">
        <v>15332.4064696646</v>
      </c>
      <c r="AO2960" s="2">
        <v>14906.340663225599</v>
      </c>
      <c r="AP2960" s="2">
        <v>14213.9885883272</v>
      </c>
    </row>
    <row r="2961" spans="1:42" ht="14.5" x14ac:dyDescent="0.35">
      <c r="A2961" s="2" t="s">
        <v>19689</v>
      </c>
      <c r="B2961" s="2">
        <v>309.17071253942498</v>
      </c>
      <c r="C2961" s="2">
        <v>9.1865500000000004</v>
      </c>
      <c r="D2961" s="2" t="s">
        <v>70</v>
      </c>
      <c r="E2961" s="2" t="s">
        <v>19690</v>
      </c>
      <c r="F2961" s="2">
        <v>1726</v>
      </c>
      <c r="G2961" s="3" t="str">
        <f>HYPERLINK("http://funmeta.oebiotech.com/network/1726", "http://funmeta.oebiotech.com/network/1726")</f>
        <v>http://funmeta.oebiotech.com/network/1726</v>
      </c>
      <c r="H2961" s="2"/>
      <c r="I2961" s="2">
        <v>74529</v>
      </c>
      <c r="J2961" s="2" t="s">
        <v>19691</v>
      </c>
      <c r="K2961" s="2">
        <v>143034</v>
      </c>
      <c r="L2961" s="2"/>
      <c r="M2961" s="2"/>
      <c r="N2961" s="2"/>
      <c r="O2961" s="2">
        <v>5282975</v>
      </c>
      <c r="P2961" s="2"/>
      <c r="Q2961" s="2" t="s">
        <v>19692</v>
      </c>
      <c r="R2961" s="2" t="s">
        <v>19693</v>
      </c>
      <c r="S2961" s="2" t="s">
        <v>50</v>
      </c>
      <c r="T2961" s="2" t="s">
        <v>229</v>
      </c>
      <c r="U2961" s="2" t="s">
        <v>1914</v>
      </c>
      <c r="V2961" s="2" t="s">
        <v>59</v>
      </c>
      <c r="W2961" s="2">
        <v>46.6</v>
      </c>
      <c r="X2961" s="2">
        <v>36.799999999999997</v>
      </c>
      <c r="Y2961" s="2" t="s">
        <v>118</v>
      </c>
      <c r="Z2961" s="2" t="s">
        <v>18330</v>
      </c>
      <c r="AA2961" s="2">
        <v>-0.112710097277684</v>
      </c>
      <c r="AB2961" s="2">
        <v>0.26986080926676398</v>
      </c>
      <c r="AC2961" s="2">
        <v>36440.681592398498</v>
      </c>
      <c r="AD2961" s="2">
        <v>41874.356613738899</v>
      </c>
      <c r="AE2961" s="2">
        <v>35059.942166970301</v>
      </c>
      <c r="AF2961" s="2">
        <v>37617.294334156701</v>
      </c>
      <c r="AG2961" s="2">
        <v>36951.746024737797</v>
      </c>
      <c r="AH2961" s="2">
        <v>38081.201501008203</v>
      </c>
      <c r="AI2961" s="2">
        <v>36910.873036396901</v>
      </c>
      <c r="AJ2961" s="2">
        <v>34023.032491121099</v>
      </c>
      <c r="AK2961" s="2">
        <v>41687.380389301397</v>
      </c>
      <c r="AL2961" s="2">
        <v>41951.1818003976</v>
      </c>
      <c r="AM2961" s="2">
        <v>45124.408263644502</v>
      </c>
      <c r="AN2961" s="2">
        <v>40712.195947506298</v>
      </c>
      <c r="AO2961" s="2">
        <v>40924.934491898697</v>
      </c>
      <c r="AP2961" s="2">
        <v>40846.038789685197</v>
      </c>
    </row>
    <row r="2962" spans="1:42" ht="14.5" x14ac:dyDescent="0.35">
      <c r="A2962" s="2" t="s">
        <v>19694</v>
      </c>
      <c r="B2962" s="2">
        <v>697.36461346952501</v>
      </c>
      <c r="C2962" s="2">
        <v>9.7462666666666706</v>
      </c>
      <c r="D2962" s="2" t="s">
        <v>70</v>
      </c>
      <c r="E2962" s="2" t="s">
        <v>19695</v>
      </c>
      <c r="F2962" s="2">
        <v>202943</v>
      </c>
      <c r="G2962" s="3" t="str">
        <f>HYPERLINK("http://funmeta.oebiotech.com/network/202943", "http://funmeta.oebiotech.com/network/202943")</f>
        <v>http://funmeta.oebiotech.com/network/202943</v>
      </c>
      <c r="H2962" s="2" t="s">
        <v>19696</v>
      </c>
      <c r="I2962" s="2"/>
      <c r="J2962" s="2"/>
      <c r="K2962" s="2"/>
      <c r="L2962" s="2"/>
      <c r="M2962" s="2"/>
      <c r="N2962" s="2"/>
      <c r="O2962" s="2">
        <v>462073</v>
      </c>
      <c r="P2962" s="2"/>
      <c r="Q2962" s="2" t="s">
        <v>19697</v>
      </c>
      <c r="R2962" s="2" t="s">
        <v>19698</v>
      </c>
      <c r="S2962" s="2" t="s">
        <v>41</v>
      </c>
      <c r="T2962" s="2" t="s">
        <v>41</v>
      </c>
      <c r="U2962" s="2" t="s">
        <v>41</v>
      </c>
      <c r="V2962" s="2" t="s">
        <v>42</v>
      </c>
      <c r="W2962" s="2">
        <v>47</v>
      </c>
      <c r="X2962" s="2">
        <v>48.3</v>
      </c>
      <c r="Y2962" s="2" t="s">
        <v>560</v>
      </c>
      <c r="Z2962" s="2" t="s">
        <v>19699</v>
      </c>
      <c r="AA2962" s="2">
        <v>-0.83817486438176203</v>
      </c>
      <c r="AB2962" s="2">
        <v>0.26976958346101798</v>
      </c>
      <c r="AC2962" s="2">
        <v>11223.105639810599</v>
      </c>
      <c r="AD2962" s="2">
        <v>6132.8296171796401</v>
      </c>
      <c r="AE2962" s="2">
        <v>10243.061449556</v>
      </c>
      <c r="AF2962" s="2">
        <v>10738.5190848153</v>
      </c>
      <c r="AG2962" s="2">
        <v>12199.2086972667</v>
      </c>
      <c r="AH2962" s="2">
        <v>13061.9384300454</v>
      </c>
      <c r="AI2962" s="2">
        <v>10315.430682496801</v>
      </c>
      <c r="AJ2962" s="2">
        <v>10780.4754946834</v>
      </c>
      <c r="AK2962" s="2">
        <v>6576.8799500496398</v>
      </c>
      <c r="AL2962" s="2">
        <v>6345.6401771747996</v>
      </c>
      <c r="AM2962" s="2">
        <v>4438.9358391898304</v>
      </c>
      <c r="AN2962" s="2">
        <v>7121.0072870470804</v>
      </c>
      <c r="AO2962" s="2">
        <v>6546.57301969727</v>
      </c>
      <c r="AP2962" s="2">
        <v>5767.9414299192003</v>
      </c>
    </row>
    <row r="2963" spans="1:42" ht="14.5" x14ac:dyDescent="0.35">
      <c r="A2963" s="2" t="s">
        <v>19700</v>
      </c>
      <c r="B2963" s="2">
        <v>299.09010915219602</v>
      </c>
      <c r="C2963" s="2">
        <v>1.5991</v>
      </c>
      <c r="D2963" s="2" t="s">
        <v>70</v>
      </c>
      <c r="E2963" s="2" t="s">
        <v>19701</v>
      </c>
      <c r="F2963" s="2">
        <v>201026</v>
      </c>
      <c r="G2963" s="3" t="str">
        <f>HYPERLINK("http://funmeta.oebiotech.com/network/201026", "http://funmeta.oebiotech.com/network/201026")</f>
        <v>http://funmeta.oebiotech.com/network/201026</v>
      </c>
      <c r="H2963" s="2" t="s">
        <v>19702</v>
      </c>
      <c r="I2963" s="2"/>
      <c r="J2963" s="2"/>
      <c r="K2963" s="2"/>
      <c r="L2963" s="2"/>
      <c r="M2963" s="2"/>
      <c r="N2963" s="2"/>
      <c r="O2963" s="2">
        <v>9837935</v>
      </c>
      <c r="P2963" s="2"/>
      <c r="Q2963" s="2" t="s">
        <v>19703</v>
      </c>
      <c r="R2963" s="2" t="s">
        <v>19704</v>
      </c>
      <c r="S2963" s="2" t="s">
        <v>89</v>
      </c>
      <c r="T2963" s="2" t="s">
        <v>894</v>
      </c>
      <c r="U2963" s="2" t="s">
        <v>895</v>
      </c>
      <c r="V2963" s="2" t="s">
        <v>59</v>
      </c>
      <c r="W2963" s="2">
        <v>38.6</v>
      </c>
      <c r="X2963" s="2">
        <v>0</v>
      </c>
      <c r="Y2963" s="2" t="s">
        <v>408</v>
      </c>
      <c r="Z2963" s="2" t="s">
        <v>19705</v>
      </c>
      <c r="AA2963" s="2">
        <v>-7.3495030328588298E-2</v>
      </c>
      <c r="AB2963" s="2">
        <v>0.269682978800725</v>
      </c>
      <c r="AC2963" s="2">
        <v>22342.038002216901</v>
      </c>
      <c r="AD2963" s="2">
        <v>27825.667125072701</v>
      </c>
      <c r="AE2963" s="2">
        <v>22949.431822912298</v>
      </c>
      <c r="AF2963" s="2">
        <v>21575.372100529199</v>
      </c>
      <c r="AG2963" s="2">
        <v>21987.9178464576</v>
      </c>
      <c r="AH2963" s="2">
        <v>21533.453521929699</v>
      </c>
      <c r="AI2963" s="2">
        <v>23728.366202297198</v>
      </c>
      <c r="AJ2963" s="2">
        <v>22277.686519175099</v>
      </c>
      <c r="AK2963" s="2">
        <v>27861.869783236001</v>
      </c>
      <c r="AL2963" s="2">
        <v>23973.728669887802</v>
      </c>
      <c r="AM2963" s="2">
        <v>27948.070945973101</v>
      </c>
      <c r="AN2963" s="2">
        <v>27553.751546437801</v>
      </c>
      <c r="AO2963" s="2">
        <v>28417.9313100564</v>
      </c>
      <c r="AP2963" s="2">
        <v>31198.650494845198</v>
      </c>
    </row>
    <row r="2964" spans="1:42" ht="14.5" x14ac:dyDescent="0.35">
      <c r="A2964" s="2" t="s">
        <v>19706</v>
      </c>
      <c r="B2964" s="2">
        <v>611.26997880875297</v>
      </c>
      <c r="C2964" s="2">
        <v>4.6832000000000003</v>
      </c>
      <c r="D2964" s="2" t="s">
        <v>34</v>
      </c>
      <c r="E2964" s="2" t="s">
        <v>19707</v>
      </c>
      <c r="F2964" s="2">
        <v>201058</v>
      </c>
      <c r="G2964" s="3" t="str">
        <f>HYPERLINK("http://funmeta.oebiotech.com/network/201058", "http://funmeta.oebiotech.com/network/201058")</f>
        <v>http://funmeta.oebiotech.com/network/201058</v>
      </c>
      <c r="H2964" s="2" t="s">
        <v>19708</v>
      </c>
      <c r="I2964" s="2"/>
      <c r="J2964" s="2"/>
      <c r="K2964" s="2"/>
      <c r="L2964" s="2"/>
      <c r="M2964" s="2"/>
      <c r="N2964" s="2"/>
      <c r="O2964" s="2">
        <v>4278577</v>
      </c>
      <c r="P2964" s="2"/>
      <c r="Q2964" s="2" t="s">
        <v>19709</v>
      </c>
      <c r="R2964" s="2" t="s">
        <v>19710</v>
      </c>
      <c r="S2964" s="2" t="s">
        <v>41</v>
      </c>
      <c r="T2964" s="2" t="s">
        <v>41</v>
      </c>
      <c r="U2964" s="2" t="s">
        <v>41</v>
      </c>
      <c r="V2964" s="2" t="s">
        <v>59</v>
      </c>
      <c r="W2964" s="2">
        <v>38.700000000000003</v>
      </c>
      <c r="X2964" s="2">
        <v>1.45</v>
      </c>
      <c r="Y2964" s="2" t="s">
        <v>340</v>
      </c>
      <c r="Z2964" s="2" t="s">
        <v>19711</v>
      </c>
      <c r="AA2964" s="2">
        <v>-0.454842890916132</v>
      </c>
      <c r="AB2964" s="2">
        <v>0.26965179457292598</v>
      </c>
      <c r="AC2964" s="2">
        <v>36609.690162962499</v>
      </c>
      <c r="AD2964" s="2">
        <v>42858.278938155803</v>
      </c>
      <c r="AE2964" s="2">
        <v>34013.390836780301</v>
      </c>
      <c r="AF2964" s="2">
        <v>36722.129206153797</v>
      </c>
      <c r="AG2964" s="2">
        <v>36120.831797858998</v>
      </c>
      <c r="AH2964" s="2">
        <v>33078.911914572003</v>
      </c>
      <c r="AI2964" s="2">
        <v>41876.013162767304</v>
      </c>
      <c r="AJ2964" s="2">
        <v>37846.864059642801</v>
      </c>
      <c r="AK2964" s="2">
        <v>38150.006638538398</v>
      </c>
      <c r="AL2964" s="2">
        <v>42251.935096589899</v>
      </c>
      <c r="AM2964" s="2">
        <v>45724.235679564001</v>
      </c>
      <c r="AN2964" s="2">
        <v>44590.853243849502</v>
      </c>
      <c r="AO2964" s="2">
        <v>41351.344919532101</v>
      </c>
      <c r="AP2964" s="2">
        <v>45081.2980508611</v>
      </c>
    </row>
    <row r="2965" spans="1:42" ht="14.5" x14ac:dyDescent="0.35">
      <c r="A2965" s="2" t="s">
        <v>19712</v>
      </c>
      <c r="B2965" s="2">
        <v>539.278146049832</v>
      </c>
      <c r="C2965" s="2">
        <v>6.3487499999999999</v>
      </c>
      <c r="D2965" s="2" t="s">
        <v>70</v>
      </c>
      <c r="E2965" s="2" t="s">
        <v>19713</v>
      </c>
      <c r="F2965" s="2">
        <v>32083</v>
      </c>
      <c r="G2965" s="3" t="str">
        <f>HYPERLINK("http://funmeta.oebiotech.com/network/32083", "http://funmeta.oebiotech.com/network/32083")</f>
        <v>http://funmeta.oebiotech.com/network/32083</v>
      </c>
      <c r="H2965" s="2"/>
      <c r="I2965" s="2">
        <v>50412</v>
      </c>
      <c r="J2965" s="2" t="s">
        <v>19714</v>
      </c>
      <c r="K2965" s="2"/>
      <c r="L2965" s="2"/>
      <c r="M2965" s="2"/>
      <c r="N2965" s="2"/>
      <c r="O2965" s="2">
        <v>10030667</v>
      </c>
      <c r="P2965" s="2"/>
      <c r="Q2965" s="2" t="s">
        <v>19715</v>
      </c>
      <c r="R2965" s="2" t="s">
        <v>19716</v>
      </c>
      <c r="S2965" s="2" t="s">
        <v>115</v>
      </c>
      <c r="T2965" s="2" t="s">
        <v>139</v>
      </c>
      <c r="U2965" s="2" t="s">
        <v>1806</v>
      </c>
      <c r="V2965" s="2" t="s">
        <v>59</v>
      </c>
      <c r="W2965" s="2">
        <v>39.9</v>
      </c>
      <c r="X2965" s="2">
        <v>16.600000000000001</v>
      </c>
      <c r="Y2965" s="2" t="s">
        <v>751</v>
      </c>
      <c r="Z2965" s="2" t="s">
        <v>19717</v>
      </c>
      <c r="AA2965" s="2">
        <v>-3.8543823046757502</v>
      </c>
      <c r="AB2965" s="2">
        <v>0.26949847266128901</v>
      </c>
      <c r="AC2965" s="2">
        <v>6784.4070103000204</v>
      </c>
      <c r="AD2965" s="2">
        <v>1959.04432115854</v>
      </c>
      <c r="AE2965" s="2">
        <v>7015.5495066694903</v>
      </c>
      <c r="AF2965" s="2">
        <v>6443.1429937147004</v>
      </c>
      <c r="AG2965" s="2">
        <v>6448.2965713867397</v>
      </c>
      <c r="AH2965" s="2">
        <v>6432.1479155962697</v>
      </c>
      <c r="AI2965" s="2">
        <v>7170.5257439425504</v>
      </c>
      <c r="AJ2965" s="2">
        <v>7196.7793304903598</v>
      </c>
      <c r="AK2965" s="2">
        <v>1635.68661840191</v>
      </c>
      <c r="AL2965" s="2">
        <v>2348.8347224916702</v>
      </c>
      <c r="AM2965" s="2">
        <v>1861.3406890635599</v>
      </c>
      <c r="AN2965" s="2">
        <v>2521.4589210181398</v>
      </c>
      <c r="AO2965" s="2">
        <v>1889.3957451976</v>
      </c>
      <c r="AP2965" s="2">
        <v>1497.54923077837</v>
      </c>
    </row>
    <row r="2966" spans="1:42" ht="14.5" x14ac:dyDescent="0.35">
      <c r="A2966" s="2" t="s">
        <v>19718</v>
      </c>
      <c r="B2966" s="2">
        <v>639.20714606511103</v>
      </c>
      <c r="C2966" s="2">
        <v>6.1607333333333303</v>
      </c>
      <c r="D2966" s="2" t="s">
        <v>70</v>
      </c>
      <c r="E2966" s="2" t="s">
        <v>19719</v>
      </c>
      <c r="F2966" s="2">
        <v>209548</v>
      </c>
      <c r="G2966" s="3" t="str">
        <f>HYPERLINK("http://funmeta.oebiotech.com/network/209548", "http://funmeta.oebiotech.com/network/209548")</f>
        <v>http://funmeta.oebiotech.com/network/209548</v>
      </c>
      <c r="H2966" s="2" t="s">
        <v>19720</v>
      </c>
      <c r="I2966" s="2">
        <v>321935</v>
      </c>
      <c r="J2966" s="2"/>
      <c r="K2966" s="2"/>
      <c r="L2966" s="2"/>
      <c r="M2966" s="2"/>
      <c r="N2966" s="2"/>
      <c r="O2966" s="2">
        <v>34081</v>
      </c>
      <c r="P2966" s="2"/>
      <c r="Q2966" s="2" t="s">
        <v>19721</v>
      </c>
      <c r="R2966" s="2" t="s">
        <v>19722</v>
      </c>
      <c r="S2966" s="2" t="s">
        <v>89</v>
      </c>
      <c r="T2966" s="2" t="s">
        <v>90</v>
      </c>
      <c r="U2966" s="2" t="s">
        <v>1248</v>
      </c>
      <c r="V2966" s="2" t="s">
        <v>59</v>
      </c>
      <c r="W2966" s="2">
        <v>37.299999999999997</v>
      </c>
      <c r="X2966" s="2">
        <v>0</v>
      </c>
      <c r="Y2966" s="2" t="s">
        <v>118</v>
      </c>
      <c r="Z2966" s="2" t="s">
        <v>19723</v>
      </c>
      <c r="AA2966" s="2">
        <v>-3.9144925048257702</v>
      </c>
      <c r="AB2966" s="2">
        <v>0.26946823456549002</v>
      </c>
      <c r="AC2966" s="2">
        <v>51097.666152687198</v>
      </c>
      <c r="AD2966" s="2">
        <v>44006.484466987502</v>
      </c>
      <c r="AE2966" s="2">
        <v>50397.808812817202</v>
      </c>
      <c r="AF2966" s="2">
        <v>53405.9416907462</v>
      </c>
      <c r="AG2966" s="2">
        <v>48761.628654567598</v>
      </c>
      <c r="AH2966" s="2">
        <v>53191.7206218664</v>
      </c>
      <c r="AI2966" s="2">
        <v>50397.033604762401</v>
      </c>
      <c r="AJ2966" s="2">
        <v>50431.863531363299</v>
      </c>
      <c r="AK2966" s="2">
        <v>49301.727891016497</v>
      </c>
      <c r="AL2966" s="2">
        <v>44125.689322103899</v>
      </c>
      <c r="AM2966" s="2">
        <v>43417.639239623699</v>
      </c>
      <c r="AN2966" s="2">
        <v>41569.493830567102</v>
      </c>
      <c r="AO2966" s="2">
        <v>34632.9604619116</v>
      </c>
      <c r="AP2966" s="2">
        <v>50991.396056702499</v>
      </c>
    </row>
    <row r="2967" spans="1:42" ht="14.5" x14ac:dyDescent="0.35">
      <c r="A2967" s="2" t="s">
        <v>19724</v>
      </c>
      <c r="B2967" s="2">
        <v>605.47704752442496</v>
      </c>
      <c r="C2967" s="2">
        <v>11.442033333333301</v>
      </c>
      <c r="D2967" s="2" t="s">
        <v>34</v>
      </c>
      <c r="E2967" s="2" t="s">
        <v>19725</v>
      </c>
      <c r="F2967" s="2">
        <v>208639</v>
      </c>
      <c r="G2967" s="3" t="str">
        <f>HYPERLINK("http://funmeta.oebiotech.com/network/208639", "http://funmeta.oebiotech.com/network/208639")</f>
        <v>http://funmeta.oebiotech.com/network/208639</v>
      </c>
      <c r="H2967" s="2" t="s">
        <v>19726</v>
      </c>
      <c r="I2967" s="2"/>
      <c r="J2967" s="2"/>
      <c r="K2967" s="2">
        <v>73339</v>
      </c>
      <c r="L2967" s="2"/>
      <c r="M2967" s="2"/>
      <c r="N2967" s="2"/>
      <c r="O2967" s="2">
        <v>4108</v>
      </c>
      <c r="P2967" s="2"/>
      <c r="Q2967" s="2" t="s">
        <v>19727</v>
      </c>
      <c r="R2967" s="2" t="s">
        <v>19728</v>
      </c>
      <c r="S2967" s="2" t="s">
        <v>148</v>
      </c>
      <c r="T2967" s="2" t="s">
        <v>149</v>
      </c>
      <c r="U2967" s="2" t="s">
        <v>7374</v>
      </c>
      <c r="V2967" s="2" t="s">
        <v>59</v>
      </c>
      <c r="W2967" s="2">
        <v>38.9</v>
      </c>
      <c r="X2967" s="2">
        <v>0</v>
      </c>
      <c r="Y2967" s="2" t="s">
        <v>323</v>
      </c>
      <c r="Z2967" s="2" t="s">
        <v>19729</v>
      </c>
      <c r="AA2967" s="2">
        <v>0.94353608481837703</v>
      </c>
      <c r="AB2967" s="2">
        <v>0.26934210519277402</v>
      </c>
      <c r="AC2967" s="2">
        <v>21979.170439766502</v>
      </c>
      <c r="AD2967" s="2">
        <v>16686.549551730801</v>
      </c>
      <c r="AE2967" s="2">
        <v>21498.103297503301</v>
      </c>
      <c r="AF2967" s="2">
        <v>19975.8619997735</v>
      </c>
      <c r="AG2967" s="2">
        <v>22908.874898633101</v>
      </c>
      <c r="AH2967" s="2">
        <v>23332.4372586032</v>
      </c>
      <c r="AI2967" s="2">
        <v>22116.694882525699</v>
      </c>
      <c r="AJ2967" s="2">
        <v>22043.050301560001</v>
      </c>
      <c r="AK2967" s="2">
        <v>14707.268619836301</v>
      </c>
      <c r="AL2967" s="2">
        <v>17545.355867623799</v>
      </c>
      <c r="AM2967" s="2">
        <v>14603.0608991102</v>
      </c>
      <c r="AN2967" s="2">
        <v>17737.023264667099</v>
      </c>
      <c r="AO2967" s="2">
        <v>18063.8206309044</v>
      </c>
      <c r="AP2967" s="2">
        <v>17462.768028243201</v>
      </c>
    </row>
    <row r="2968" spans="1:42" ht="14.5" x14ac:dyDescent="0.35">
      <c r="A2968" s="2" t="s">
        <v>19730</v>
      </c>
      <c r="B2968" s="2">
        <v>405.26196849316801</v>
      </c>
      <c r="C2968" s="2">
        <v>10.890933333333299</v>
      </c>
      <c r="D2968" s="2" t="s">
        <v>34</v>
      </c>
      <c r="E2968" s="2" t="s">
        <v>19731</v>
      </c>
      <c r="F2968" s="2">
        <v>3680</v>
      </c>
      <c r="G2968" s="3" t="str">
        <f>HYPERLINK("http://funmeta.oebiotech.com/network/3680", "http://funmeta.oebiotech.com/network/3680")</f>
        <v>http://funmeta.oebiotech.com/network/3680</v>
      </c>
      <c r="H2968" s="2"/>
      <c r="I2968" s="2">
        <v>36128</v>
      </c>
      <c r="J2968" s="2" t="s">
        <v>19732</v>
      </c>
      <c r="K2968" s="2"/>
      <c r="L2968" s="2"/>
      <c r="M2968" s="2"/>
      <c r="N2968" s="2"/>
      <c r="O2968" s="2">
        <v>5283058</v>
      </c>
      <c r="P2968" s="2" t="s">
        <v>19733</v>
      </c>
      <c r="Q2968" s="2" t="s">
        <v>19734</v>
      </c>
      <c r="R2968" s="2" t="s">
        <v>19735</v>
      </c>
      <c r="S2968" s="2" t="s">
        <v>50</v>
      </c>
      <c r="T2968" s="2" t="s">
        <v>229</v>
      </c>
      <c r="U2968" s="2" t="s">
        <v>766</v>
      </c>
      <c r="V2968" s="2" t="s">
        <v>59</v>
      </c>
      <c r="W2968" s="2">
        <v>39</v>
      </c>
      <c r="X2968" s="2">
        <v>0</v>
      </c>
      <c r="Y2968" s="2" t="s">
        <v>323</v>
      </c>
      <c r="Z2968" s="2" t="s">
        <v>12873</v>
      </c>
      <c r="AA2968" s="2">
        <v>2.1542170785019099</v>
      </c>
      <c r="AB2968" s="2">
        <v>0.269300358089546</v>
      </c>
      <c r="AC2968" s="2">
        <v>8985.0812252678206</v>
      </c>
      <c r="AD2968" s="2">
        <v>14347.048936114001</v>
      </c>
      <c r="AE2968" s="2">
        <v>9488.1660727442904</v>
      </c>
      <c r="AF2968" s="2">
        <v>7215.7193225535802</v>
      </c>
      <c r="AG2968" s="2">
        <v>9190.3312972497406</v>
      </c>
      <c r="AH2968" s="2">
        <v>10570.7601557582</v>
      </c>
      <c r="AI2968" s="2">
        <v>8900.4168899602191</v>
      </c>
      <c r="AJ2968" s="2">
        <v>8545.0936133408595</v>
      </c>
      <c r="AK2968" s="2">
        <v>11403.851166202599</v>
      </c>
      <c r="AL2968" s="2">
        <v>13009.6750602762</v>
      </c>
      <c r="AM2968" s="2">
        <v>15009.4198049798</v>
      </c>
      <c r="AN2968" s="2">
        <v>15943.738800757201</v>
      </c>
      <c r="AO2968" s="2">
        <v>16525.983636295899</v>
      </c>
      <c r="AP2968" s="2">
        <v>14189.625148172299</v>
      </c>
    </row>
    <row r="2969" spans="1:42" ht="14.5" x14ac:dyDescent="0.35">
      <c r="A2969" s="2" t="s">
        <v>19736</v>
      </c>
      <c r="B2969" s="2">
        <v>496.28274896787599</v>
      </c>
      <c r="C2969" s="2">
        <v>8.7125000000000004</v>
      </c>
      <c r="D2969" s="2" t="s">
        <v>70</v>
      </c>
      <c r="E2969" s="2" t="s">
        <v>19737</v>
      </c>
      <c r="F2969" s="2">
        <v>19879</v>
      </c>
      <c r="G2969" s="3" t="str">
        <f>HYPERLINK("http://funmeta.oebiotech.com/network/19879", "http://funmeta.oebiotech.com/network/19879")</f>
        <v>http://funmeta.oebiotech.com/network/19879</v>
      </c>
      <c r="H2969" s="2" t="s">
        <v>19738</v>
      </c>
      <c r="I2969" s="2">
        <v>61699</v>
      </c>
      <c r="J2969" s="2" t="s">
        <v>19739</v>
      </c>
      <c r="K2969" s="2">
        <v>88696</v>
      </c>
      <c r="L2969" s="2" t="s">
        <v>1451</v>
      </c>
      <c r="M2969" s="2" t="s">
        <v>1452</v>
      </c>
      <c r="N2969" s="2" t="s">
        <v>1453</v>
      </c>
      <c r="O2969" s="2">
        <v>52924047</v>
      </c>
      <c r="P2969" s="2"/>
      <c r="Q2969" s="2" t="s">
        <v>19740</v>
      </c>
      <c r="R2969" s="2" t="s">
        <v>19741</v>
      </c>
      <c r="S2969" s="2" t="s">
        <v>50</v>
      </c>
      <c r="T2969" s="2" t="s">
        <v>51</v>
      </c>
      <c r="U2969" s="2" t="s">
        <v>168</v>
      </c>
      <c r="V2969" s="2" t="s">
        <v>59</v>
      </c>
      <c r="W2969" s="2">
        <v>41.6</v>
      </c>
      <c r="X2969" s="2">
        <v>12.3</v>
      </c>
      <c r="Y2969" s="2" t="s">
        <v>751</v>
      </c>
      <c r="Z2969" s="2" t="s">
        <v>19742</v>
      </c>
      <c r="AA2969" s="2">
        <v>-1.1631237738788001</v>
      </c>
      <c r="AB2969" s="2">
        <v>0.26915686372478997</v>
      </c>
      <c r="AC2969" s="2">
        <v>179191.59080922301</v>
      </c>
      <c r="AD2969" s="2">
        <v>187686.229138806</v>
      </c>
      <c r="AE2969" s="2">
        <v>185443.285084503</v>
      </c>
      <c r="AF2969" s="2">
        <v>180959.65339783399</v>
      </c>
      <c r="AG2969" s="2">
        <v>181777.63552387201</v>
      </c>
      <c r="AH2969" s="2">
        <v>171989.13894263399</v>
      </c>
      <c r="AI2969" s="2">
        <v>182185.95882116901</v>
      </c>
      <c r="AJ2969" s="2">
        <v>172793.87308532401</v>
      </c>
      <c r="AK2969" s="2">
        <v>187048.106687936</v>
      </c>
      <c r="AL2969" s="2">
        <v>188761.933178545</v>
      </c>
      <c r="AM2969" s="2">
        <v>200363.99543856701</v>
      </c>
      <c r="AN2969" s="2">
        <v>177053.408483879</v>
      </c>
      <c r="AO2969" s="2">
        <v>191147.32099209199</v>
      </c>
      <c r="AP2969" s="2">
        <v>181742.610051814</v>
      </c>
    </row>
    <row r="2970" spans="1:42" ht="14.5" x14ac:dyDescent="0.35">
      <c r="A2970" s="2" t="s">
        <v>19743</v>
      </c>
      <c r="B2970" s="2">
        <v>993.46737621955003</v>
      </c>
      <c r="C2970" s="2">
        <v>4.5776166666666702</v>
      </c>
      <c r="D2970" s="2" t="s">
        <v>70</v>
      </c>
      <c r="E2970" s="2" t="s">
        <v>19744</v>
      </c>
      <c r="F2970" s="2">
        <v>61818</v>
      </c>
      <c r="G2970" s="3" t="str">
        <f>HYPERLINK("http://funmeta.oebiotech.com/network/61818", "http://funmeta.oebiotech.com/network/61818")</f>
        <v>http://funmeta.oebiotech.com/network/61818</v>
      </c>
      <c r="H2970" s="2" t="s">
        <v>19745</v>
      </c>
      <c r="I2970" s="2">
        <v>93122</v>
      </c>
      <c r="J2970" s="2"/>
      <c r="K2970" s="2"/>
      <c r="L2970" s="2"/>
      <c r="M2970" s="2"/>
      <c r="N2970" s="2"/>
      <c r="O2970" s="2">
        <v>131752373</v>
      </c>
      <c r="P2970" s="2" t="s">
        <v>19746</v>
      </c>
      <c r="Q2970" s="2" t="s">
        <v>19747</v>
      </c>
      <c r="R2970" s="2" t="s">
        <v>19748</v>
      </c>
      <c r="S2970" s="2" t="s">
        <v>50</v>
      </c>
      <c r="T2970" s="2" t="s">
        <v>201</v>
      </c>
      <c r="U2970" s="2" t="s">
        <v>202</v>
      </c>
      <c r="V2970" s="2" t="s">
        <v>59</v>
      </c>
      <c r="W2970" s="2">
        <v>38.1</v>
      </c>
      <c r="X2970" s="2">
        <v>0</v>
      </c>
      <c r="Y2970" s="2" t="s">
        <v>792</v>
      </c>
      <c r="Z2970" s="2" t="s">
        <v>19749</v>
      </c>
      <c r="AA2970" s="2">
        <v>-2.6589043719758099</v>
      </c>
      <c r="AB2970" s="2">
        <v>0.26877474641916099</v>
      </c>
      <c r="AC2970" s="2">
        <v>65636.022074027103</v>
      </c>
      <c r="AD2970" s="2">
        <v>56523.669979635401</v>
      </c>
      <c r="AE2970" s="2">
        <v>75885.751299886993</v>
      </c>
      <c r="AF2970" s="2">
        <v>65170.520803806401</v>
      </c>
      <c r="AG2970" s="2">
        <v>54088.182973384202</v>
      </c>
      <c r="AH2970" s="2">
        <v>56448.862339268999</v>
      </c>
      <c r="AI2970" s="2">
        <v>73121.998801016394</v>
      </c>
      <c r="AJ2970" s="2">
        <v>69100.816226799405</v>
      </c>
      <c r="AK2970" s="2">
        <v>54588.279791586698</v>
      </c>
      <c r="AL2970" s="2">
        <v>48720.8185275305</v>
      </c>
      <c r="AM2970" s="2">
        <v>54435.889272845903</v>
      </c>
      <c r="AN2970" s="2">
        <v>66382.472118635007</v>
      </c>
      <c r="AO2970" s="2">
        <v>51245.831471293699</v>
      </c>
      <c r="AP2970" s="2">
        <v>63768.728695920501</v>
      </c>
    </row>
    <row r="2971" spans="1:42" ht="14.5" x14ac:dyDescent="0.35">
      <c r="A2971" s="2" t="s">
        <v>19750</v>
      </c>
      <c r="B2971" s="2">
        <v>397.20966381139101</v>
      </c>
      <c r="C2971" s="2">
        <v>5.1048166666666699</v>
      </c>
      <c r="D2971" s="2" t="s">
        <v>34</v>
      </c>
      <c r="E2971" s="2" t="s">
        <v>19751</v>
      </c>
      <c r="F2971" s="2">
        <v>212798</v>
      </c>
      <c r="G2971" s="3" t="str">
        <f>HYPERLINK("http://funmeta.oebiotech.com/network/212798", "http://funmeta.oebiotech.com/network/212798")</f>
        <v>http://funmeta.oebiotech.com/network/212798</v>
      </c>
      <c r="H2971" s="2" t="s">
        <v>19752</v>
      </c>
      <c r="I2971" s="2"/>
      <c r="J2971" s="2"/>
      <c r="K2971" s="2"/>
      <c r="L2971" s="2"/>
      <c r="M2971" s="2"/>
      <c r="N2971" s="2"/>
      <c r="O2971" s="2"/>
      <c r="P2971" s="2"/>
      <c r="Q2971" s="2" t="s">
        <v>19753</v>
      </c>
      <c r="R2971" s="2" t="s">
        <v>19754</v>
      </c>
      <c r="S2971" s="2" t="s">
        <v>41</v>
      </c>
      <c r="T2971" s="2" t="s">
        <v>41</v>
      </c>
      <c r="U2971" s="2" t="s">
        <v>41</v>
      </c>
      <c r="V2971" s="2" t="s">
        <v>59</v>
      </c>
      <c r="W2971" s="2">
        <v>37.799999999999997</v>
      </c>
      <c r="X2971" s="2">
        <v>0</v>
      </c>
      <c r="Y2971" s="2" t="s">
        <v>43</v>
      </c>
      <c r="Z2971" s="2" t="s">
        <v>19755</v>
      </c>
      <c r="AA2971" s="2">
        <v>0.43603852495878398</v>
      </c>
      <c r="AB2971" s="2">
        <v>0.26869631250439902</v>
      </c>
      <c r="AC2971" s="2">
        <v>12007.614201161699</v>
      </c>
      <c r="AD2971" s="2">
        <v>6652.8556720897204</v>
      </c>
      <c r="AE2971" s="2">
        <v>13903.093979958699</v>
      </c>
      <c r="AF2971" s="2">
        <v>11735.201265829601</v>
      </c>
      <c r="AG2971" s="2">
        <v>12498.1478350451</v>
      </c>
      <c r="AH2971" s="2">
        <v>9074.1156474133895</v>
      </c>
      <c r="AI2971" s="2">
        <v>10591.283588173599</v>
      </c>
      <c r="AJ2971" s="2">
        <v>14243.8428905498</v>
      </c>
      <c r="AK2971" s="2">
        <v>6510.4915530264198</v>
      </c>
      <c r="AL2971" s="2">
        <v>8203.0612290682602</v>
      </c>
      <c r="AM2971" s="2">
        <v>7416.7735375558204</v>
      </c>
      <c r="AN2971" s="2">
        <v>5008.5915112656803</v>
      </c>
      <c r="AO2971" s="2">
        <v>6470.3227566472997</v>
      </c>
      <c r="AP2971" s="2">
        <v>6307.8934449748303</v>
      </c>
    </row>
    <row r="2972" spans="1:42" ht="14.5" x14ac:dyDescent="0.35">
      <c r="A2972" s="2" t="s">
        <v>19756</v>
      </c>
      <c r="B2972" s="2">
        <v>670.33812104590697</v>
      </c>
      <c r="C2972" s="2">
        <v>5.7736666666666698</v>
      </c>
      <c r="D2972" s="2" t="s">
        <v>34</v>
      </c>
      <c r="E2972" s="2" t="s">
        <v>19757</v>
      </c>
      <c r="F2972" s="2">
        <v>28118</v>
      </c>
      <c r="G2972" s="3" t="str">
        <f>HYPERLINK("http://funmeta.oebiotech.com/network/28118", "http://funmeta.oebiotech.com/network/28118")</f>
        <v>http://funmeta.oebiotech.com/network/28118</v>
      </c>
      <c r="H2972" s="2"/>
      <c r="I2972" s="2"/>
      <c r="J2972" s="2" t="s">
        <v>19758</v>
      </c>
      <c r="K2972" s="2"/>
      <c r="L2972" s="2"/>
      <c r="M2972" s="2"/>
      <c r="N2972" s="2"/>
      <c r="O2972" s="2"/>
      <c r="P2972" s="2"/>
      <c r="Q2972" s="2" t="s">
        <v>19759</v>
      </c>
      <c r="R2972" s="2" t="s">
        <v>19760</v>
      </c>
      <c r="S2972" s="2" t="s">
        <v>79</v>
      </c>
      <c r="T2972" s="2" t="s">
        <v>80</v>
      </c>
      <c r="U2972" s="2" t="s">
        <v>81</v>
      </c>
      <c r="V2972" s="2" t="s">
        <v>59</v>
      </c>
      <c r="W2972" s="2">
        <v>37.799999999999997</v>
      </c>
      <c r="X2972" s="2">
        <v>2.3400000000000001E-2</v>
      </c>
      <c r="Y2972" s="2" t="s">
        <v>141</v>
      </c>
      <c r="Z2972" s="2" t="s">
        <v>19761</v>
      </c>
      <c r="AA2972" s="2">
        <v>4.4323069571506402</v>
      </c>
      <c r="AB2972" s="2">
        <v>0.26868608635940899</v>
      </c>
      <c r="AC2972" s="2">
        <v>108719.320748407</v>
      </c>
      <c r="AD2972" s="2">
        <v>121969.60159017501</v>
      </c>
      <c r="AE2972" s="2">
        <v>105994.448659053</v>
      </c>
      <c r="AF2972" s="2">
        <v>131848.40883567001</v>
      </c>
      <c r="AG2972" s="2">
        <v>138648.23843130001</v>
      </c>
      <c r="AH2972" s="2">
        <v>78479.2288988652</v>
      </c>
      <c r="AI2972" s="2">
        <v>94056.055494174594</v>
      </c>
      <c r="AJ2972" s="2">
        <v>103289.54417138</v>
      </c>
      <c r="AK2972" s="2">
        <v>98507.157068393601</v>
      </c>
      <c r="AL2972" s="2">
        <v>118834.04387897201</v>
      </c>
      <c r="AM2972" s="2">
        <v>132960.35792094699</v>
      </c>
      <c r="AN2972" s="2">
        <v>134627.202976064</v>
      </c>
      <c r="AO2972" s="2">
        <v>125105.528296481</v>
      </c>
      <c r="AP2972" s="2">
        <v>121783.319400193</v>
      </c>
    </row>
    <row r="2973" spans="1:42" ht="14.5" x14ac:dyDescent="0.35">
      <c r="A2973" s="2" t="s">
        <v>19762</v>
      </c>
      <c r="B2973" s="2">
        <v>565.22748235806398</v>
      </c>
      <c r="C2973" s="2">
        <v>5.2266333333333304</v>
      </c>
      <c r="D2973" s="2" t="s">
        <v>70</v>
      </c>
      <c r="E2973" s="2" t="s">
        <v>19763</v>
      </c>
      <c r="F2973" s="2">
        <v>266670</v>
      </c>
      <c r="G2973" s="3" t="str">
        <f>HYPERLINK("http://funmeta.oebiotech.com/network/266670", "http://funmeta.oebiotech.com/network/266670")</f>
        <v>http://funmeta.oebiotech.com/network/266670</v>
      </c>
      <c r="H2973" s="2"/>
      <c r="I2973" s="2">
        <v>43753</v>
      </c>
      <c r="J2973" s="2"/>
      <c r="K2973" s="2"/>
      <c r="L2973" s="2"/>
      <c r="M2973" s="2"/>
      <c r="N2973" s="2"/>
      <c r="O2973" s="2">
        <v>6708640</v>
      </c>
      <c r="P2973" s="2"/>
      <c r="Q2973" s="2" t="s">
        <v>19764</v>
      </c>
      <c r="R2973" s="2" t="s">
        <v>19765</v>
      </c>
      <c r="S2973" s="2" t="s">
        <v>491</v>
      </c>
      <c r="T2973" s="2" t="s">
        <v>1341</v>
      </c>
      <c r="U2973" s="2" t="s">
        <v>41</v>
      </c>
      <c r="V2973" s="2" t="s">
        <v>59</v>
      </c>
      <c r="W2973" s="2">
        <v>37.299999999999997</v>
      </c>
      <c r="X2973" s="2">
        <v>0</v>
      </c>
      <c r="Y2973" s="2" t="s">
        <v>408</v>
      </c>
      <c r="Z2973" s="2" t="s">
        <v>19766</v>
      </c>
      <c r="AA2973" s="2">
        <v>-3.01378140796671</v>
      </c>
      <c r="AB2973" s="2">
        <v>0.26856329841410698</v>
      </c>
      <c r="AC2973" s="2">
        <v>15724.234288743</v>
      </c>
      <c r="AD2973" s="2">
        <v>9010.5001115528594</v>
      </c>
      <c r="AE2973" s="2">
        <v>19215.033728259099</v>
      </c>
      <c r="AF2973" s="2">
        <v>14754.7681241519</v>
      </c>
      <c r="AG2973" s="2">
        <v>10785.4697864681</v>
      </c>
      <c r="AH2973" s="2">
        <v>22662.171260123101</v>
      </c>
      <c r="AI2973" s="2">
        <v>10866.0881072706</v>
      </c>
      <c r="AJ2973" s="2">
        <v>16061.8747261851</v>
      </c>
      <c r="AK2973" s="2">
        <v>11499.924810876</v>
      </c>
      <c r="AL2973" s="2">
        <v>9205.0450943695596</v>
      </c>
      <c r="AM2973" s="2">
        <v>7369.90810176169</v>
      </c>
      <c r="AN2973" s="2">
        <v>12417.332886116001</v>
      </c>
      <c r="AO2973" s="2">
        <v>6695.5773475706001</v>
      </c>
      <c r="AP2973" s="2">
        <v>6875.2124286232902</v>
      </c>
    </row>
    <row r="2974" spans="1:42" ht="14.5" x14ac:dyDescent="0.35">
      <c r="A2974" s="2" t="s">
        <v>19767</v>
      </c>
      <c r="B2974" s="2">
        <v>339.28925948774298</v>
      </c>
      <c r="C2974" s="2">
        <v>11.102133333333301</v>
      </c>
      <c r="D2974" s="2" t="s">
        <v>34</v>
      </c>
      <c r="E2974" s="2" t="s">
        <v>19768</v>
      </c>
      <c r="F2974" s="2">
        <v>51381</v>
      </c>
      <c r="G2974" s="3" t="str">
        <f>HYPERLINK("http://funmeta.oebiotech.com/network/51381", "http://funmeta.oebiotech.com/network/51381")</f>
        <v>http://funmeta.oebiotech.com/network/51381</v>
      </c>
      <c r="H2974" s="2" t="s">
        <v>19769</v>
      </c>
      <c r="I2974" s="2">
        <v>62348</v>
      </c>
      <c r="J2974" s="2"/>
      <c r="K2974" s="2"/>
      <c r="L2974" s="2"/>
      <c r="M2974" s="2"/>
      <c r="N2974" s="2"/>
      <c r="O2974" s="2">
        <v>53480977</v>
      </c>
      <c r="P2974" s="2"/>
      <c r="Q2974" s="2" t="s">
        <v>19770</v>
      </c>
      <c r="R2974" s="2" t="s">
        <v>19771</v>
      </c>
      <c r="S2974" s="2" t="s">
        <v>50</v>
      </c>
      <c r="T2974" s="2" t="s">
        <v>448</v>
      </c>
      <c r="U2974" s="2" t="s">
        <v>7051</v>
      </c>
      <c r="V2974" s="2" t="s">
        <v>59</v>
      </c>
      <c r="W2974" s="2">
        <v>46</v>
      </c>
      <c r="X2974" s="2">
        <v>34.799999999999997</v>
      </c>
      <c r="Y2974" s="2" t="s">
        <v>141</v>
      </c>
      <c r="Z2974" s="2" t="s">
        <v>9884</v>
      </c>
      <c r="AA2974" s="2">
        <v>-0.31441371061349699</v>
      </c>
      <c r="AB2974" s="2">
        <v>0.26854913228432298</v>
      </c>
      <c r="AC2974" s="2">
        <v>30707.462009754101</v>
      </c>
      <c r="AD2974" s="2">
        <v>37078.214766421603</v>
      </c>
      <c r="AE2974" s="2">
        <v>35591.663308763702</v>
      </c>
      <c r="AF2974" s="2">
        <v>30958.6666591059</v>
      </c>
      <c r="AG2974" s="2">
        <v>32525.105750466901</v>
      </c>
      <c r="AH2974" s="2">
        <v>28885.798371461799</v>
      </c>
      <c r="AI2974" s="2">
        <v>27148.121693670801</v>
      </c>
      <c r="AJ2974" s="2">
        <v>29135.416275055701</v>
      </c>
      <c r="AK2974" s="2">
        <v>35133.977505579001</v>
      </c>
      <c r="AL2974" s="2">
        <v>40404.256914874</v>
      </c>
      <c r="AM2974" s="2">
        <v>37352.6400902815</v>
      </c>
      <c r="AN2974" s="2">
        <v>35781.769490209903</v>
      </c>
      <c r="AO2974" s="2">
        <v>40878.346201198197</v>
      </c>
      <c r="AP2974" s="2">
        <v>32918.298396387298</v>
      </c>
    </row>
    <row r="2975" spans="1:42" ht="14.5" x14ac:dyDescent="0.35">
      <c r="A2975" s="2" t="s">
        <v>19772</v>
      </c>
      <c r="B2975" s="2">
        <v>575.17312165323301</v>
      </c>
      <c r="C2975" s="2">
        <v>3.84351666666667</v>
      </c>
      <c r="D2975" s="2" t="s">
        <v>34</v>
      </c>
      <c r="E2975" s="2" t="s">
        <v>19773</v>
      </c>
      <c r="F2975" s="2">
        <v>207371</v>
      </c>
      <c r="G2975" s="3" t="str">
        <f>HYPERLINK("http://funmeta.oebiotech.com/network/207371", "http://funmeta.oebiotech.com/network/207371")</f>
        <v>http://funmeta.oebiotech.com/network/207371</v>
      </c>
      <c r="H2975" s="2" t="s">
        <v>19774</v>
      </c>
      <c r="I2975" s="2"/>
      <c r="J2975" s="2"/>
      <c r="K2975" s="2"/>
      <c r="L2975" s="2"/>
      <c r="M2975" s="2"/>
      <c r="N2975" s="2"/>
      <c r="O2975" s="2">
        <v>112499969</v>
      </c>
      <c r="P2975" s="2"/>
      <c r="Q2975" s="2" t="s">
        <v>19775</v>
      </c>
      <c r="R2975" s="2" t="s">
        <v>19776</v>
      </c>
      <c r="S2975" s="2" t="s">
        <v>1444</v>
      </c>
      <c r="T2975" s="2" t="s">
        <v>4937</v>
      </c>
      <c r="U2975" s="2" t="s">
        <v>4938</v>
      </c>
      <c r="V2975" s="2" t="s">
        <v>59</v>
      </c>
      <c r="W2975" s="2">
        <v>38.6</v>
      </c>
      <c r="X2975" s="2">
        <v>0</v>
      </c>
      <c r="Y2975" s="2" t="s">
        <v>43</v>
      </c>
      <c r="Z2975" s="2" t="s">
        <v>19777</v>
      </c>
      <c r="AA2975" s="2">
        <v>1.65396030016145</v>
      </c>
      <c r="AB2975" s="2">
        <v>0.26849436267185101</v>
      </c>
      <c r="AC2975" s="2">
        <v>2953.47138571285</v>
      </c>
      <c r="AD2975" s="2">
        <v>8349.2189934446706</v>
      </c>
      <c r="AE2975" s="2">
        <v>1726.3778060935199</v>
      </c>
      <c r="AF2975" s="2">
        <v>2928.2851915181</v>
      </c>
      <c r="AG2975" s="2">
        <v>4067.8778633377801</v>
      </c>
      <c r="AH2975" s="2">
        <v>3741.38646209017</v>
      </c>
      <c r="AI2975" s="2">
        <v>3651.2703235630702</v>
      </c>
      <c r="AJ2975" s="2">
        <v>1605.63066767447</v>
      </c>
      <c r="AK2975" s="2">
        <v>11534.9994259919</v>
      </c>
      <c r="AL2975" s="2">
        <v>6950.3618179798304</v>
      </c>
      <c r="AM2975" s="2">
        <v>8256.9170663710192</v>
      </c>
      <c r="AN2975" s="2">
        <v>6793.7722990697903</v>
      </c>
      <c r="AO2975" s="2">
        <v>6550.82191724729</v>
      </c>
      <c r="AP2975" s="2">
        <v>10008.4414340082</v>
      </c>
    </row>
    <row r="2976" spans="1:42" ht="14.5" x14ac:dyDescent="0.35">
      <c r="A2976" s="2" t="s">
        <v>19778</v>
      </c>
      <c r="B2976" s="2">
        <v>374.04888208118001</v>
      </c>
      <c r="C2976" s="2">
        <v>4.0250666666666701</v>
      </c>
      <c r="D2976" s="2" t="s">
        <v>70</v>
      </c>
      <c r="E2976" s="2" t="s">
        <v>19779</v>
      </c>
      <c r="F2976" s="2">
        <v>52723</v>
      </c>
      <c r="G2976" s="3" t="str">
        <f>HYPERLINK("http://funmeta.oebiotech.com/network/52723", "http://funmeta.oebiotech.com/network/52723")</f>
        <v>http://funmeta.oebiotech.com/network/52723</v>
      </c>
      <c r="H2976" s="2" t="s">
        <v>19780</v>
      </c>
      <c r="I2976" s="2">
        <v>85368</v>
      </c>
      <c r="J2976" s="2"/>
      <c r="K2976" s="2">
        <v>50378</v>
      </c>
      <c r="L2976" s="2"/>
      <c r="M2976" s="2"/>
      <c r="N2976" s="2"/>
      <c r="O2976" s="2">
        <v>115355</v>
      </c>
      <c r="P2976" s="2" t="s">
        <v>19781</v>
      </c>
      <c r="Q2976" s="2" t="s">
        <v>19782</v>
      </c>
      <c r="R2976" s="2" t="s">
        <v>19783</v>
      </c>
      <c r="S2976" s="2" t="s">
        <v>79</v>
      </c>
      <c r="T2976" s="2" t="s">
        <v>80</v>
      </c>
      <c r="U2976" s="2" t="s">
        <v>2820</v>
      </c>
      <c r="V2976" s="2" t="s">
        <v>59</v>
      </c>
      <c r="W2976" s="2">
        <v>39.299999999999997</v>
      </c>
      <c r="X2976" s="2">
        <v>2.78</v>
      </c>
      <c r="Y2976" s="2" t="s">
        <v>408</v>
      </c>
      <c r="Z2976" s="2" t="s">
        <v>19784</v>
      </c>
      <c r="AA2976" s="2">
        <v>-1.3003211670674399</v>
      </c>
      <c r="AB2976" s="2">
        <v>0.268332664634226</v>
      </c>
      <c r="AC2976" s="2">
        <v>39440.035479951403</v>
      </c>
      <c r="AD2976" s="2">
        <v>45974.144068344402</v>
      </c>
      <c r="AE2976" s="2">
        <v>42015.819929958197</v>
      </c>
      <c r="AF2976" s="2">
        <v>41753.352350834299</v>
      </c>
      <c r="AG2976" s="2">
        <v>39659.1199919828</v>
      </c>
      <c r="AH2976" s="2">
        <v>39807.410458428203</v>
      </c>
      <c r="AI2976" s="2">
        <v>35109.121235168801</v>
      </c>
      <c r="AJ2976" s="2">
        <v>38295.388913336203</v>
      </c>
      <c r="AK2976" s="2">
        <v>47656.462086915599</v>
      </c>
      <c r="AL2976" s="2">
        <v>51846.259920596502</v>
      </c>
      <c r="AM2976" s="2">
        <v>46290.030134715402</v>
      </c>
      <c r="AN2976" s="2">
        <v>39936.123111508001</v>
      </c>
      <c r="AO2976" s="2">
        <v>45218.868876425397</v>
      </c>
      <c r="AP2976" s="2">
        <v>44897.120279905503</v>
      </c>
    </row>
    <row r="2977" spans="1:42" ht="14.5" x14ac:dyDescent="0.35">
      <c r="A2977" s="2" t="s">
        <v>19785</v>
      </c>
      <c r="B2977" s="2">
        <v>473.32587549907998</v>
      </c>
      <c r="C2977" s="2">
        <v>6.3021166666666701</v>
      </c>
      <c r="D2977" s="2" t="s">
        <v>34</v>
      </c>
      <c r="E2977" s="2" t="s">
        <v>210</v>
      </c>
      <c r="F2977" s="2">
        <v>212680</v>
      </c>
      <c r="G2977" s="3" t="str">
        <f>HYPERLINK("http://funmeta.oebiotech.com/network/212680", "http://funmeta.oebiotech.com/network/212680")</f>
        <v>http://funmeta.oebiotech.com/network/212680</v>
      </c>
      <c r="H2977" s="2" t="s">
        <v>19786</v>
      </c>
      <c r="I2977" s="2"/>
      <c r="J2977" s="2"/>
      <c r="K2977" s="2"/>
      <c r="L2977" s="2"/>
      <c r="M2977" s="2"/>
      <c r="N2977" s="2"/>
      <c r="O2977" s="2"/>
      <c r="P2977" s="2"/>
      <c r="Q2977" s="2" t="s">
        <v>19787</v>
      </c>
      <c r="R2977" s="2" t="s">
        <v>19788</v>
      </c>
      <c r="S2977" s="2" t="s">
        <v>50</v>
      </c>
      <c r="T2977" s="2" t="s">
        <v>201</v>
      </c>
      <c r="U2977" s="2" t="s">
        <v>210</v>
      </c>
      <c r="V2977" s="2" t="s">
        <v>59</v>
      </c>
      <c r="W2977" s="2">
        <v>46.7</v>
      </c>
      <c r="X2977" s="2">
        <v>41.9</v>
      </c>
      <c r="Y2977" s="2" t="s">
        <v>266</v>
      </c>
      <c r="Z2977" s="2" t="s">
        <v>871</v>
      </c>
      <c r="AA2977" s="2">
        <v>-0.58316915821044002</v>
      </c>
      <c r="AB2977" s="2">
        <v>0.26828740918807498</v>
      </c>
      <c r="AC2977" s="2">
        <v>81367.376401262503</v>
      </c>
      <c r="AD2977" s="2">
        <v>72449.804512680697</v>
      </c>
      <c r="AE2977" s="2">
        <v>79397.605588783699</v>
      </c>
      <c r="AF2977" s="2">
        <v>82289.695926870103</v>
      </c>
      <c r="AG2977" s="2">
        <v>79125.975707227393</v>
      </c>
      <c r="AH2977" s="2">
        <v>93820.148220410294</v>
      </c>
      <c r="AI2977" s="2">
        <v>80675.574232971296</v>
      </c>
      <c r="AJ2977" s="2">
        <v>72895.258731312206</v>
      </c>
      <c r="AK2977" s="2">
        <v>68683.338080044196</v>
      </c>
      <c r="AL2977" s="2">
        <v>78199.235151996007</v>
      </c>
      <c r="AM2977" s="2">
        <v>61841.021960614402</v>
      </c>
      <c r="AN2977" s="2">
        <v>65077.449644328197</v>
      </c>
      <c r="AO2977" s="2">
        <v>75568.538478969203</v>
      </c>
      <c r="AP2977" s="2">
        <v>85329.243760131896</v>
      </c>
    </row>
    <row r="2978" spans="1:42" ht="14.5" x14ac:dyDescent="0.35">
      <c r="A2978" s="2" t="s">
        <v>19789</v>
      </c>
      <c r="B2978" s="2">
        <v>172.95641144134399</v>
      </c>
      <c r="C2978" s="2">
        <v>2.2961166666666699</v>
      </c>
      <c r="D2978" s="2" t="s">
        <v>34</v>
      </c>
      <c r="E2978" s="2" t="s">
        <v>19790</v>
      </c>
      <c r="F2978" s="2">
        <v>199623</v>
      </c>
      <c r="G2978" s="3" t="str">
        <f>HYPERLINK("http://funmeta.oebiotech.com/network/199623", "http://funmeta.oebiotech.com/network/199623")</f>
        <v>http://funmeta.oebiotech.com/network/199623</v>
      </c>
      <c r="H2978" s="2" t="s">
        <v>19791</v>
      </c>
      <c r="I2978" s="2"/>
      <c r="J2978" s="2"/>
      <c r="K2978" s="2"/>
      <c r="L2978" s="2"/>
      <c r="M2978" s="2"/>
      <c r="N2978" s="2"/>
      <c r="O2978" s="2">
        <v>8032</v>
      </c>
      <c r="P2978" s="2"/>
      <c r="Q2978" s="2" t="s">
        <v>19792</v>
      </c>
      <c r="R2978" s="2" t="s">
        <v>19793</v>
      </c>
      <c r="S2978" s="2" t="s">
        <v>89</v>
      </c>
      <c r="T2978" s="2" t="s">
        <v>19794</v>
      </c>
      <c r="U2978" s="2" t="s">
        <v>19795</v>
      </c>
      <c r="V2978" s="2" t="s">
        <v>59</v>
      </c>
      <c r="W2978" s="2">
        <v>37.299999999999997</v>
      </c>
      <c r="X2978" s="2">
        <v>0</v>
      </c>
      <c r="Y2978" s="2" t="s">
        <v>141</v>
      </c>
      <c r="Z2978" s="2" t="s">
        <v>19796</v>
      </c>
      <c r="AA2978" s="2">
        <v>-4.6336899824050599</v>
      </c>
      <c r="AB2978" s="2">
        <v>0.26824492743968797</v>
      </c>
      <c r="AC2978" s="2">
        <v>53419.569515650997</v>
      </c>
      <c r="AD2978" s="2">
        <v>58767.516398610802</v>
      </c>
      <c r="AE2978" s="2">
        <v>53082.2793046468</v>
      </c>
      <c r="AF2978" s="2">
        <v>54887.291450681798</v>
      </c>
      <c r="AG2978" s="2">
        <v>54040.754335466001</v>
      </c>
      <c r="AH2978" s="2">
        <v>52211.6428785885</v>
      </c>
      <c r="AI2978" s="2">
        <v>53035.004038900202</v>
      </c>
      <c r="AJ2978" s="2">
        <v>53260.445085622901</v>
      </c>
      <c r="AK2978" s="2">
        <v>61589.545418494097</v>
      </c>
      <c r="AL2978" s="2">
        <v>60658.978563465003</v>
      </c>
      <c r="AM2978" s="2">
        <v>58229.245896872199</v>
      </c>
      <c r="AN2978" s="2">
        <v>57327.167277606401</v>
      </c>
      <c r="AO2978" s="2">
        <v>58121.259389758801</v>
      </c>
      <c r="AP2978" s="2">
        <v>56678.901845468099</v>
      </c>
    </row>
    <row r="2979" spans="1:42" ht="14.5" x14ac:dyDescent="0.35">
      <c r="A2979" s="2" t="s">
        <v>19797</v>
      </c>
      <c r="B2979" s="2">
        <v>508.435783308125</v>
      </c>
      <c r="C2979" s="2">
        <v>14.6675</v>
      </c>
      <c r="D2979" s="2" t="s">
        <v>34</v>
      </c>
      <c r="E2979" s="2" t="s">
        <v>19798</v>
      </c>
      <c r="F2979" s="2">
        <v>35223</v>
      </c>
      <c r="G2979" s="3" t="str">
        <f>HYPERLINK("http://funmeta.oebiotech.com/network/35223", "http://funmeta.oebiotech.com/network/35223")</f>
        <v>http://funmeta.oebiotech.com/network/35223</v>
      </c>
      <c r="H2979" s="2"/>
      <c r="I2979" s="2"/>
      <c r="J2979" s="2" t="s">
        <v>19799</v>
      </c>
      <c r="K2979" s="2"/>
      <c r="L2979" s="2"/>
      <c r="M2979" s="2"/>
      <c r="N2979" s="2"/>
      <c r="O2979" s="2"/>
      <c r="P2979" s="2"/>
      <c r="Q2979" s="2" t="s">
        <v>19800</v>
      </c>
      <c r="R2979" s="2" t="s">
        <v>19801</v>
      </c>
      <c r="S2979" s="2" t="s">
        <v>41</v>
      </c>
      <c r="T2979" s="2" t="s">
        <v>41</v>
      </c>
      <c r="U2979" s="2" t="s">
        <v>41</v>
      </c>
      <c r="V2979" s="2" t="s">
        <v>59</v>
      </c>
      <c r="W2979" s="2">
        <v>39</v>
      </c>
      <c r="X2979" s="2">
        <v>0</v>
      </c>
      <c r="Y2979" s="2" t="s">
        <v>43</v>
      </c>
      <c r="Z2979" s="2" t="s">
        <v>4106</v>
      </c>
      <c r="AA2979" s="2">
        <v>-0.51474461191343701</v>
      </c>
      <c r="AB2979" s="2">
        <v>0.26804542916269097</v>
      </c>
      <c r="AC2979" s="2">
        <v>19248.147475788301</v>
      </c>
      <c r="AD2979" s="2">
        <v>24777.023934036199</v>
      </c>
      <c r="AE2979" s="2">
        <v>21170.1456226546</v>
      </c>
      <c r="AF2979" s="2">
        <v>20469.587810123001</v>
      </c>
      <c r="AG2979" s="2">
        <v>20308.777350235399</v>
      </c>
      <c r="AH2979" s="2">
        <v>17096.092637493799</v>
      </c>
      <c r="AI2979" s="2">
        <v>17418.656770519399</v>
      </c>
      <c r="AJ2979" s="2">
        <v>19025.6246637037</v>
      </c>
      <c r="AK2979" s="2">
        <v>28150.882685164899</v>
      </c>
      <c r="AL2979" s="2">
        <v>25242.380758903499</v>
      </c>
      <c r="AM2979" s="2">
        <v>24361.266280443899</v>
      </c>
      <c r="AN2979" s="2">
        <v>23052.456549701099</v>
      </c>
      <c r="AO2979" s="2">
        <v>23090.003285962299</v>
      </c>
      <c r="AP2979" s="2">
        <v>24765.154044041701</v>
      </c>
    </row>
    <row r="2980" spans="1:42" ht="14.5" x14ac:dyDescent="0.35">
      <c r="A2980" s="2" t="s">
        <v>19802</v>
      </c>
      <c r="B2980" s="2">
        <v>523.21895863911004</v>
      </c>
      <c r="C2980" s="2">
        <v>6.1797833333333303</v>
      </c>
      <c r="D2980" s="2" t="s">
        <v>70</v>
      </c>
      <c r="E2980" s="2" t="s">
        <v>19803</v>
      </c>
      <c r="F2980" s="2">
        <v>46628</v>
      </c>
      <c r="G2980" s="3" t="str">
        <f>HYPERLINK("http://funmeta.oebiotech.com/network/46628", "http://funmeta.oebiotech.com/network/46628")</f>
        <v>http://funmeta.oebiotech.com/network/46628</v>
      </c>
      <c r="H2980" s="2" t="s">
        <v>19804</v>
      </c>
      <c r="I2980" s="2"/>
      <c r="J2980" s="2" t="s">
        <v>19805</v>
      </c>
      <c r="K2980" s="2">
        <v>36491</v>
      </c>
      <c r="L2980" s="2" t="s">
        <v>19806</v>
      </c>
      <c r="M2980" s="2" t="s">
        <v>2454</v>
      </c>
      <c r="N2980" s="2" t="s">
        <v>2455</v>
      </c>
      <c r="O2980" s="2">
        <v>443076</v>
      </c>
      <c r="P2980" s="2"/>
      <c r="Q2980" s="2" t="s">
        <v>19807</v>
      </c>
      <c r="R2980" s="2" t="s">
        <v>19808</v>
      </c>
      <c r="S2980" s="2" t="s">
        <v>50</v>
      </c>
      <c r="T2980" s="2" t="s">
        <v>124</v>
      </c>
      <c r="U2980" s="2" t="s">
        <v>523</v>
      </c>
      <c r="V2980" s="2" t="s">
        <v>59</v>
      </c>
      <c r="W2980" s="2">
        <v>42.6</v>
      </c>
      <c r="X2980" s="2">
        <v>22.3</v>
      </c>
      <c r="Y2980" s="2" t="s">
        <v>408</v>
      </c>
      <c r="Z2980" s="2" t="s">
        <v>19809</v>
      </c>
      <c r="AA2980" s="2">
        <v>0.98929867098495905</v>
      </c>
      <c r="AB2980" s="2">
        <v>0.26786827387727502</v>
      </c>
      <c r="AC2980" s="2">
        <v>31618.604091491801</v>
      </c>
      <c r="AD2980" s="2">
        <v>25422.049605485801</v>
      </c>
      <c r="AE2980" s="2">
        <v>35633.165182348297</v>
      </c>
      <c r="AF2980" s="2">
        <v>31565.272285836301</v>
      </c>
      <c r="AG2980" s="2">
        <v>28334.566913613999</v>
      </c>
      <c r="AH2980" s="2">
        <v>29442.259084795001</v>
      </c>
      <c r="AI2980" s="2">
        <v>30515.6741292796</v>
      </c>
      <c r="AJ2980" s="2">
        <v>34220.6869530779</v>
      </c>
      <c r="AK2980" s="2">
        <v>23126.5097088775</v>
      </c>
      <c r="AL2980" s="2">
        <v>24612.7918061079</v>
      </c>
      <c r="AM2980" s="2">
        <v>28158.491177352898</v>
      </c>
      <c r="AN2980" s="2">
        <v>23179.693442780601</v>
      </c>
      <c r="AO2980" s="2">
        <v>23276.3703367042</v>
      </c>
      <c r="AP2980" s="2">
        <v>30178.4411610918</v>
      </c>
    </row>
    <row r="2981" spans="1:42" ht="14.5" x14ac:dyDescent="0.35">
      <c r="A2981" s="2" t="s">
        <v>19810</v>
      </c>
      <c r="B2981" s="2">
        <v>379.11438299983399</v>
      </c>
      <c r="C2981" s="2">
        <v>3.7870499999999998</v>
      </c>
      <c r="D2981" s="2" t="s">
        <v>70</v>
      </c>
      <c r="E2981" s="2" t="s">
        <v>19811</v>
      </c>
      <c r="F2981" s="2">
        <v>53694</v>
      </c>
      <c r="G2981" s="3" t="str">
        <f>HYPERLINK("http://funmeta.oebiotech.com/network/53694", "http://funmeta.oebiotech.com/network/53694")</f>
        <v>http://funmeta.oebiotech.com/network/53694</v>
      </c>
      <c r="H2981" s="2" t="s">
        <v>19812</v>
      </c>
      <c r="I2981" s="2">
        <v>44787</v>
      </c>
      <c r="J2981" s="2"/>
      <c r="K2981" s="2">
        <v>71028</v>
      </c>
      <c r="L2981" s="2" t="s">
        <v>19813</v>
      </c>
      <c r="M2981" s="2" t="s">
        <v>15688</v>
      </c>
      <c r="N2981" s="2" t="s">
        <v>15689</v>
      </c>
      <c r="O2981" s="2">
        <v>121396</v>
      </c>
      <c r="P2981" s="2" t="s">
        <v>19814</v>
      </c>
      <c r="Q2981" s="2" t="s">
        <v>19815</v>
      </c>
      <c r="R2981" s="2" t="s">
        <v>19816</v>
      </c>
      <c r="S2981" s="2" t="s">
        <v>89</v>
      </c>
      <c r="T2981" s="2" t="s">
        <v>90</v>
      </c>
      <c r="U2981" s="2" t="s">
        <v>99</v>
      </c>
      <c r="V2981" s="2" t="s">
        <v>59</v>
      </c>
      <c r="W2981" s="2">
        <v>36</v>
      </c>
      <c r="X2981" s="2">
        <v>0</v>
      </c>
      <c r="Y2981" s="2" t="s">
        <v>1654</v>
      </c>
      <c r="Z2981" s="2" t="s">
        <v>19817</v>
      </c>
      <c r="AA2981" s="2">
        <v>9.7774275162863304</v>
      </c>
      <c r="AB2981" s="2">
        <v>0.26783736095749999</v>
      </c>
      <c r="AC2981" s="2">
        <v>318402.329233166</v>
      </c>
      <c r="AD2981" s="2">
        <v>307751.567972138</v>
      </c>
      <c r="AE2981" s="2">
        <v>333601.040709491</v>
      </c>
      <c r="AF2981" s="2">
        <v>311336.65367993299</v>
      </c>
      <c r="AG2981" s="2">
        <v>307982.635841746</v>
      </c>
      <c r="AH2981" s="2">
        <v>324393.153115516</v>
      </c>
      <c r="AI2981" s="2">
        <v>312377.52321817598</v>
      </c>
      <c r="AJ2981" s="2">
        <v>320722.96883413201</v>
      </c>
      <c r="AK2981" s="2">
        <v>304067.28936391498</v>
      </c>
      <c r="AL2981" s="2">
        <v>292689.15127039002</v>
      </c>
      <c r="AM2981" s="2">
        <v>320768.46281945897</v>
      </c>
      <c r="AN2981" s="2">
        <v>308804.45540280902</v>
      </c>
      <c r="AO2981" s="2">
        <v>294245.60796768102</v>
      </c>
      <c r="AP2981" s="2">
        <v>325934.44100857602</v>
      </c>
    </row>
    <row r="2982" spans="1:42" ht="14.5" x14ac:dyDescent="0.35">
      <c r="A2982" s="2" t="s">
        <v>19818</v>
      </c>
      <c r="B2982" s="2">
        <v>437.12371300407602</v>
      </c>
      <c r="C2982" s="2">
        <v>4.6661999999999999</v>
      </c>
      <c r="D2982" s="2" t="s">
        <v>34</v>
      </c>
      <c r="E2982" s="2" t="s">
        <v>19819</v>
      </c>
      <c r="F2982" s="2">
        <v>209471</v>
      </c>
      <c r="G2982" s="3" t="str">
        <f>HYPERLINK("http://funmeta.oebiotech.com/network/209471", "http://funmeta.oebiotech.com/network/209471")</f>
        <v>http://funmeta.oebiotech.com/network/209471</v>
      </c>
      <c r="H2982" s="2" t="s">
        <v>19820</v>
      </c>
      <c r="I2982" s="2"/>
      <c r="J2982" s="2"/>
      <c r="K2982" s="2"/>
      <c r="L2982" s="2"/>
      <c r="M2982" s="2"/>
      <c r="N2982" s="2"/>
      <c r="O2982" s="2">
        <v>5129</v>
      </c>
      <c r="P2982" s="2"/>
      <c r="Q2982" s="2" t="s">
        <v>19821</v>
      </c>
      <c r="R2982" s="2" t="s">
        <v>19822</v>
      </c>
      <c r="S2982" s="2" t="s">
        <v>1444</v>
      </c>
      <c r="T2982" s="2" t="s">
        <v>3595</v>
      </c>
      <c r="U2982" s="2" t="s">
        <v>41</v>
      </c>
      <c r="V2982" s="2" t="s">
        <v>59</v>
      </c>
      <c r="W2982" s="2">
        <v>36.6</v>
      </c>
      <c r="X2982" s="2">
        <v>0</v>
      </c>
      <c r="Y2982" s="2" t="s">
        <v>43</v>
      </c>
      <c r="Z2982" s="2" t="s">
        <v>19823</v>
      </c>
      <c r="AA2982" s="2">
        <v>-0.159422751997258</v>
      </c>
      <c r="AB2982" s="2">
        <v>0.26762669425560698</v>
      </c>
      <c r="AC2982" s="2">
        <v>5714.4945217272898</v>
      </c>
      <c r="AD2982" s="2">
        <v>11036.168335050699</v>
      </c>
      <c r="AE2982" s="2">
        <v>7181.2143415395703</v>
      </c>
      <c r="AF2982" s="2">
        <v>4805.18152290339</v>
      </c>
      <c r="AG2982" s="2">
        <v>5984.1520738281297</v>
      </c>
      <c r="AH2982" s="2">
        <v>7314.9787680216996</v>
      </c>
      <c r="AI2982" s="2">
        <v>5296.7614267884601</v>
      </c>
      <c r="AJ2982" s="2">
        <v>3704.6789972824899</v>
      </c>
      <c r="AK2982" s="2">
        <v>10747.4833417299</v>
      </c>
      <c r="AL2982" s="2">
        <v>10071.1637045813</v>
      </c>
      <c r="AM2982" s="2">
        <v>12340.4129790839</v>
      </c>
      <c r="AN2982" s="2">
        <v>8776.9227332721803</v>
      </c>
      <c r="AO2982" s="2">
        <v>10823.233659488</v>
      </c>
      <c r="AP2982" s="2">
        <v>13457.793592149101</v>
      </c>
    </row>
    <row r="2983" spans="1:42" ht="14.5" x14ac:dyDescent="0.35">
      <c r="A2983" s="2" t="s">
        <v>19824</v>
      </c>
      <c r="B2983" s="2">
        <v>694.91325781885701</v>
      </c>
      <c r="C2983" s="2">
        <v>4.9145166666666702</v>
      </c>
      <c r="D2983" s="2" t="s">
        <v>34</v>
      </c>
      <c r="E2983" s="2" t="s">
        <v>19825</v>
      </c>
      <c r="F2983" s="2">
        <v>257281</v>
      </c>
      <c r="G2983" s="3" t="str">
        <f>HYPERLINK("http://funmeta.oebiotech.com/network/257281", "http://funmeta.oebiotech.com/network/257281")</f>
        <v>http://funmeta.oebiotech.com/network/257281</v>
      </c>
      <c r="H2983" s="2" t="s">
        <v>19826</v>
      </c>
      <c r="I2983" s="2"/>
      <c r="J2983" s="2"/>
      <c r="K2983" s="2"/>
      <c r="L2983" s="2"/>
      <c r="M2983" s="2"/>
      <c r="N2983" s="2"/>
      <c r="O2983" s="2"/>
      <c r="P2983" s="2"/>
      <c r="Q2983" s="2" t="s">
        <v>19827</v>
      </c>
      <c r="R2983" s="2" t="s">
        <v>19828</v>
      </c>
      <c r="S2983" s="2" t="s">
        <v>1444</v>
      </c>
      <c r="T2983" s="2" t="s">
        <v>4937</v>
      </c>
      <c r="U2983" s="2" t="s">
        <v>5723</v>
      </c>
      <c r="V2983" s="2" t="s">
        <v>59</v>
      </c>
      <c r="W2983" s="2">
        <v>37.700000000000003</v>
      </c>
      <c r="X2983" s="2">
        <v>0</v>
      </c>
      <c r="Y2983" s="2" t="s">
        <v>43</v>
      </c>
      <c r="Z2983" s="2" t="s">
        <v>19829</v>
      </c>
      <c r="AA2983" s="2">
        <v>4.5227444017048501</v>
      </c>
      <c r="AB2983" s="2">
        <v>0.267555520665825</v>
      </c>
      <c r="AC2983" s="2">
        <v>27448.563653097299</v>
      </c>
      <c r="AD2983" s="2">
        <v>20803.164259792498</v>
      </c>
      <c r="AE2983" s="2">
        <v>28412.539982488001</v>
      </c>
      <c r="AF2983" s="2">
        <v>31312.613088014801</v>
      </c>
      <c r="AG2983" s="2">
        <v>30119.947803150499</v>
      </c>
      <c r="AH2983" s="2">
        <v>25892.359445554601</v>
      </c>
      <c r="AI2983" s="2">
        <v>22240.191018658501</v>
      </c>
      <c r="AJ2983" s="2">
        <v>26713.7305807173</v>
      </c>
      <c r="AK2983" s="2">
        <v>16487.510696396999</v>
      </c>
      <c r="AL2983" s="2">
        <v>15285.982334303601</v>
      </c>
      <c r="AM2983" s="2">
        <v>21654.197099432</v>
      </c>
      <c r="AN2983" s="2">
        <v>21679.361289938101</v>
      </c>
      <c r="AO2983" s="2">
        <v>24462.284392064601</v>
      </c>
      <c r="AP2983" s="2">
        <v>25249.6497466199</v>
      </c>
    </row>
    <row r="2984" spans="1:42" ht="14.5" x14ac:dyDescent="0.35">
      <c r="A2984" s="2" t="s">
        <v>19830</v>
      </c>
      <c r="B2984" s="2">
        <v>339.10511138585701</v>
      </c>
      <c r="C2984" s="2">
        <v>2.5258333333333298</v>
      </c>
      <c r="D2984" s="2" t="s">
        <v>34</v>
      </c>
      <c r="E2984" s="2" t="s">
        <v>19831</v>
      </c>
      <c r="F2984" s="2">
        <v>56471</v>
      </c>
      <c r="G2984" s="3" t="str">
        <f>HYPERLINK("http://funmeta.oebiotech.com/network/56471", "http://funmeta.oebiotech.com/network/56471")</f>
        <v>http://funmeta.oebiotech.com/network/56471</v>
      </c>
      <c r="H2984" s="2" t="s">
        <v>19832</v>
      </c>
      <c r="I2984" s="2">
        <v>88117</v>
      </c>
      <c r="J2984" s="2"/>
      <c r="K2984" s="2"/>
      <c r="L2984" s="2"/>
      <c r="M2984" s="2"/>
      <c r="N2984" s="2"/>
      <c r="O2984" s="2">
        <v>44577222</v>
      </c>
      <c r="P2984" s="2" t="s">
        <v>19833</v>
      </c>
      <c r="Q2984" s="2" t="s">
        <v>19834</v>
      </c>
      <c r="R2984" s="2" t="s">
        <v>19835</v>
      </c>
      <c r="S2984" s="2" t="s">
        <v>79</v>
      </c>
      <c r="T2984" s="2" t="s">
        <v>80</v>
      </c>
      <c r="U2984" s="2" t="s">
        <v>81</v>
      </c>
      <c r="V2984" s="2" t="s">
        <v>59</v>
      </c>
      <c r="W2984" s="2">
        <v>41.4</v>
      </c>
      <c r="X2984" s="2">
        <v>9.89</v>
      </c>
      <c r="Y2984" s="2" t="s">
        <v>323</v>
      </c>
      <c r="Z2984" s="2" t="s">
        <v>9927</v>
      </c>
      <c r="AA2984" s="2">
        <v>0.231269594706599</v>
      </c>
      <c r="AB2984" s="2">
        <v>0.26747918135871401</v>
      </c>
      <c r="AC2984" s="2">
        <v>61206.0848067427</v>
      </c>
      <c r="AD2984" s="2">
        <v>68201.335411125605</v>
      </c>
      <c r="AE2984" s="2">
        <v>62085.7033809403</v>
      </c>
      <c r="AF2984" s="2">
        <v>63785.9672028485</v>
      </c>
      <c r="AG2984" s="2">
        <v>63735.4875778723</v>
      </c>
      <c r="AH2984" s="2">
        <v>52632.609368138001</v>
      </c>
      <c r="AI2984" s="2">
        <v>57315.7205607906</v>
      </c>
      <c r="AJ2984" s="2">
        <v>67681.0207498667</v>
      </c>
      <c r="AK2984" s="2">
        <v>64642.8063609909</v>
      </c>
      <c r="AL2984" s="2">
        <v>67091.587238898501</v>
      </c>
      <c r="AM2984" s="2">
        <v>69198.555394608105</v>
      </c>
      <c r="AN2984" s="2">
        <v>70436.474415182805</v>
      </c>
      <c r="AO2984" s="2">
        <v>66814.469919327603</v>
      </c>
      <c r="AP2984" s="2">
        <v>71024.119137745598</v>
      </c>
    </row>
    <row r="2985" spans="1:42" ht="14.5" x14ac:dyDescent="0.35">
      <c r="A2985" s="2" t="s">
        <v>19836</v>
      </c>
      <c r="B2985" s="2">
        <v>742.43753562538404</v>
      </c>
      <c r="C2985" s="2">
        <v>10.5277666666667</v>
      </c>
      <c r="D2985" s="2" t="s">
        <v>34</v>
      </c>
      <c r="E2985" s="2" t="s">
        <v>19837</v>
      </c>
      <c r="F2985" s="2">
        <v>55633</v>
      </c>
      <c r="G2985" s="3" t="str">
        <f>HYPERLINK("http://funmeta.oebiotech.com/network/55633", "http://funmeta.oebiotech.com/network/55633")</f>
        <v>http://funmeta.oebiotech.com/network/55633</v>
      </c>
      <c r="H2985" s="2" t="s">
        <v>19838</v>
      </c>
      <c r="I2985" s="2">
        <v>87282</v>
      </c>
      <c r="J2985" s="2"/>
      <c r="K2985" s="2"/>
      <c r="L2985" s="2"/>
      <c r="M2985" s="2"/>
      <c r="N2985" s="2"/>
      <c r="O2985" s="2">
        <v>4638509</v>
      </c>
      <c r="P2985" s="2" t="s">
        <v>19839</v>
      </c>
      <c r="Q2985" s="2" t="s">
        <v>19840</v>
      </c>
      <c r="R2985" s="2" t="s">
        <v>19841</v>
      </c>
      <c r="S2985" s="2" t="s">
        <v>50</v>
      </c>
      <c r="T2985" s="2" t="s">
        <v>124</v>
      </c>
      <c r="U2985" s="2" t="s">
        <v>523</v>
      </c>
      <c r="V2985" s="2" t="s">
        <v>59</v>
      </c>
      <c r="W2985" s="2">
        <v>38.1</v>
      </c>
      <c r="X2985" s="2">
        <v>0</v>
      </c>
      <c r="Y2985" s="2" t="s">
        <v>43</v>
      </c>
      <c r="Z2985" s="2" t="s">
        <v>19842</v>
      </c>
      <c r="AA2985" s="2">
        <v>0.43914331115889399</v>
      </c>
      <c r="AB2985" s="2">
        <v>0.267427449425515</v>
      </c>
      <c r="AC2985" s="2">
        <v>6564.9601632705699</v>
      </c>
      <c r="AD2985" s="2">
        <v>11683.4598157776</v>
      </c>
      <c r="AE2985" s="2">
        <v>4235.0629736804303</v>
      </c>
      <c r="AF2985" s="2">
        <v>6228.4741375611302</v>
      </c>
      <c r="AG2985" s="2">
        <v>7381.7625929202404</v>
      </c>
      <c r="AH2985" s="2">
        <v>6910.8771910888199</v>
      </c>
      <c r="AI2985" s="2">
        <v>6659.9223670075098</v>
      </c>
      <c r="AJ2985" s="2">
        <v>7973.6617173653003</v>
      </c>
      <c r="AK2985" s="2">
        <v>11084.2007420644</v>
      </c>
      <c r="AL2985" s="2">
        <v>11242.166982471699</v>
      </c>
      <c r="AM2985" s="2">
        <v>13259.587214381099</v>
      </c>
      <c r="AN2985" s="2">
        <v>10205.327471074501</v>
      </c>
      <c r="AO2985" s="2">
        <v>11430.4415355207</v>
      </c>
      <c r="AP2985" s="2">
        <v>12879.0349491529</v>
      </c>
    </row>
    <row r="2986" spans="1:42" ht="14.5" x14ac:dyDescent="0.35">
      <c r="A2986" s="2" t="s">
        <v>19843</v>
      </c>
      <c r="B2986" s="2">
        <v>723.43035041139399</v>
      </c>
      <c r="C2986" s="2">
        <v>10.5652666666667</v>
      </c>
      <c r="D2986" s="2" t="s">
        <v>34</v>
      </c>
      <c r="E2986" s="2" t="s">
        <v>19844</v>
      </c>
      <c r="F2986" s="2">
        <v>46793</v>
      </c>
      <c r="G2986" s="3" t="str">
        <f>HYPERLINK("http://funmeta.oebiotech.com/network/46793", "http://funmeta.oebiotech.com/network/46793")</f>
        <v>http://funmeta.oebiotech.com/network/46793</v>
      </c>
      <c r="H2986" s="2"/>
      <c r="I2986" s="2"/>
      <c r="J2986" s="2" t="s">
        <v>19845</v>
      </c>
      <c r="K2986" s="2"/>
      <c r="L2986" s="2"/>
      <c r="M2986" s="2"/>
      <c r="N2986" s="2"/>
      <c r="O2986" s="2"/>
      <c r="P2986" s="2"/>
      <c r="Q2986" s="2" t="s">
        <v>19846</v>
      </c>
      <c r="R2986" s="2" t="s">
        <v>19847</v>
      </c>
      <c r="S2986" s="2" t="s">
        <v>50</v>
      </c>
      <c r="T2986" s="2" t="s">
        <v>124</v>
      </c>
      <c r="U2986" s="2" t="s">
        <v>523</v>
      </c>
      <c r="V2986" s="2" t="s">
        <v>59</v>
      </c>
      <c r="W2986" s="2">
        <v>36.5</v>
      </c>
      <c r="X2986" s="2">
        <v>0</v>
      </c>
      <c r="Y2986" s="2" t="s">
        <v>323</v>
      </c>
      <c r="Z2986" s="2" t="s">
        <v>19848</v>
      </c>
      <c r="AA2986" s="2">
        <v>1.9305645370801301</v>
      </c>
      <c r="AB2986" s="2">
        <v>0.26740703952560801</v>
      </c>
      <c r="AC2986" s="2">
        <v>23755.878303802401</v>
      </c>
      <c r="AD2986" s="2">
        <v>29751.275103860498</v>
      </c>
      <c r="AE2986" s="2">
        <v>23898.352119851199</v>
      </c>
      <c r="AF2986" s="2">
        <v>23437.654076574501</v>
      </c>
      <c r="AG2986" s="2">
        <v>23468.6241366836</v>
      </c>
      <c r="AH2986" s="2">
        <v>22111.7361071544</v>
      </c>
      <c r="AI2986" s="2">
        <v>26251.679455213602</v>
      </c>
      <c r="AJ2986" s="2">
        <v>23367.2239273368</v>
      </c>
      <c r="AK2986" s="2">
        <v>27052.160551773199</v>
      </c>
      <c r="AL2986" s="2">
        <v>30486.150604035101</v>
      </c>
      <c r="AM2986" s="2">
        <v>24739.5033414108</v>
      </c>
      <c r="AN2986" s="2">
        <v>29424.404135887002</v>
      </c>
      <c r="AO2986" s="2">
        <v>32986.639262495599</v>
      </c>
      <c r="AP2986" s="2">
        <v>33818.7927275611</v>
      </c>
    </row>
    <row r="2987" spans="1:42" ht="14.5" x14ac:dyDescent="0.35">
      <c r="A2987" s="2" t="s">
        <v>19849</v>
      </c>
      <c r="B2987" s="2">
        <v>631.22071752131797</v>
      </c>
      <c r="C2987" s="2">
        <v>6.0864833333333301</v>
      </c>
      <c r="D2987" s="2" t="s">
        <v>70</v>
      </c>
      <c r="E2987" s="2" t="s">
        <v>19850</v>
      </c>
      <c r="F2987" s="2">
        <v>48808</v>
      </c>
      <c r="G2987" s="3" t="str">
        <f>HYPERLINK("http://funmeta.oebiotech.com/network/48808", "http://funmeta.oebiotech.com/network/48808")</f>
        <v>http://funmeta.oebiotech.com/network/48808</v>
      </c>
      <c r="H2987" s="2" t="s">
        <v>19851</v>
      </c>
      <c r="I2987" s="2">
        <v>58489</v>
      </c>
      <c r="J2987" s="2"/>
      <c r="K2987" s="2">
        <v>168850</v>
      </c>
      <c r="L2987" s="2"/>
      <c r="M2987" s="2"/>
      <c r="N2987" s="2"/>
      <c r="O2987" s="2">
        <v>53477870</v>
      </c>
      <c r="P2987" s="2" t="s">
        <v>19852</v>
      </c>
      <c r="Q2987" s="2" t="s">
        <v>19853</v>
      </c>
      <c r="R2987" s="2" t="s">
        <v>19854</v>
      </c>
      <c r="S2987" s="2" t="s">
        <v>79</v>
      </c>
      <c r="T2987" s="2" t="s">
        <v>80</v>
      </c>
      <c r="U2987" s="2" t="s">
        <v>81</v>
      </c>
      <c r="V2987" s="2" t="s">
        <v>59</v>
      </c>
      <c r="W2987" s="2">
        <v>40.6</v>
      </c>
      <c r="X2987" s="2">
        <v>23.9</v>
      </c>
      <c r="Y2987" s="2" t="s">
        <v>118</v>
      </c>
      <c r="Z2987" s="2" t="s">
        <v>19855</v>
      </c>
      <c r="AA2987" s="2">
        <v>0.60343589970154499</v>
      </c>
      <c r="AB2987" s="2">
        <v>0.26716513891911903</v>
      </c>
      <c r="AC2987" s="2">
        <v>9468.2212507838594</v>
      </c>
      <c r="AD2987" s="2">
        <v>3874.6243332419199</v>
      </c>
      <c r="AE2987" s="2">
        <v>9802.6870439132799</v>
      </c>
      <c r="AF2987" s="2">
        <v>4945.1416530597198</v>
      </c>
      <c r="AG2987" s="2">
        <v>11033.5330942604</v>
      </c>
      <c r="AH2987" s="2">
        <v>10251.0442994408</v>
      </c>
      <c r="AI2987" s="2">
        <v>11761.4855657361</v>
      </c>
      <c r="AJ2987" s="2">
        <v>9015.4358482928601</v>
      </c>
      <c r="AK2987" s="2">
        <v>2375.8263643953001</v>
      </c>
      <c r="AL2987" s="2">
        <v>4029.5549611162901</v>
      </c>
      <c r="AM2987" s="2">
        <v>3837.1901079921799</v>
      </c>
      <c r="AN2987" s="2">
        <v>3725.3935829298898</v>
      </c>
      <c r="AO2987" s="2">
        <v>2938.0367646796399</v>
      </c>
      <c r="AP2987" s="2">
        <v>6341.74421833825</v>
      </c>
    </row>
    <row r="2988" spans="1:42" ht="14.5" x14ac:dyDescent="0.35">
      <c r="A2988" s="2" t="s">
        <v>19856</v>
      </c>
      <c r="B2988" s="2">
        <v>345.13185442889102</v>
      </c>
      <c r="C2988" s="2">
        <v>5.71</v>
      </c>
      <c r="D2988" s="2" t="s">
        <v>70</v>
      </c>
      <c r="E2988" s="2" t="s">
        <v>19857</v>
      </c>
      <c r="F2988" s="2">
        <v>209098</v>
      </c>
      <c r="G2988" s="3" t="str">
        <f>HYPERLINK("http://funmeta.oebiotech.com/network/209098", "http://funmeta.oebiotech.com/network/209098")</f>
        <v>http://funmeta.oebiotech.com/network/209098</v>
      </c>
      <c r="H2988" s="2" t="s">
        <v>19858</v>
      </c>
      <c r="I2988" s="2"/>
      <c r="J2988" s="2"/>
      <c r="K2988" s="2"/>
      <c r="L2988" s="2"/>
      <c r="M2988" s="2"/>
      <c r="N2988" s="2"/>
      <c r="O2988" s="2"/>
      <c r="P2988" s="2"/>
      <c r="Q2988" s="2" t="s">
        <v>19859</v>
      </c>
      <c r="R2988" s="2" t="s">
        <v>19860</v>
      </c>
      <c r="S2988" s="2" t="s">
        <v>41</v>
      </c>
      <c r="T2988" s="2" t="s">
        <v>41</v>
      </c>
      <c r="U2988" s="2" t="s">
        <v>41</v>
      </c>
      <c r="V2988" s="2" t="s">
        <v>59</v>
      </c>
      <c r="W2988" s="2">
        <v>38.6</v>
      </c>
      <c r="X2988" s="2">
        <v>0.84</v>
      </c>
      <c r="Y2988" s="2" t="s">
        <v>751</v>
      </c>
      <c r="Z2988" s="2" t="s">
        <v>19861</v>
      </c>
      <c r="AA2988" s="2">
        <v>4.1609258350741802</v>
      </c>
      <c r="AB2988" s="2">
        <v>0.26714921110991202</v>
      </c>
      <c r="AC2988" s="2">
        <v>4242.4302757176001</v>
      </c>
      <c r="AD2988" s="2">
        <v>9119.7401902754591</v>
      </c>
      <c r="AE2988" s="2">
        <v>4129.7483199582102</v>
      </c>
      <c r="AF2988" s="2">
        <v>4107.7035427248802</v>
      </c>
      <c r="AG2988" s="2">
        <v>4223.58443100162</v>
      </c>
      <c r="AH2988" s="2">
        <v>3954.79771896895</v>
      </c>
      <c r="AI2988" s="2">
        <v>4465.2073230907199</v>
      </c>
      <c r="AJ2988" s="2">
        <v>4573.5403185612104</v>
      </c>
      <c r="AK2988" s="2">
        <v>10571.3565448563</v>
      </c>
      <c r="AL2988" s="2">
        <v>10007.008400842</v>
      </c>
      <c r="AM2988" s="2">
        <v>9085.4992161038299</v>
      </c>
      <c r="AN2988" s="2">
        <v>8532.5481727521292</v>
      </c>
      <c r="AO2988" s="2">
        <v>8935.3123917834891</v>
      </c>
      <c r="AP2988" s="2">
        <v>7586.7164153149997</v>
      </c>
    </row>
    <row r="2989" spans="1:42" ht="14.5" x14ac:dyDescent="0.35">
      <c r="A2989" s="2" t="s">
        <v>19862</v>
      </c>
      <c r="B2989" s="2">
        <v>377.19423412840399</v>
      </c>
      <c r="C2989" s="2">
        <v>10.3287</v>
      </c>
      <c r="D2989" s="2" t="s">
        <v>70</v>
      </c>
      <c r="E2989" s="2" t="s">
        <v>19863</v>
      </c>
      <c r="F2989" s="2">
        <v>48184</v>
      </c>
      <c r="G2989" s="3" t="str">
        <f>HYPERLINK("http://funmeta.oebiotech.com/network/48184", "http://funmeta.oebiotech.com/network/48184")</f>
        <v>http://funmeta.oebiotech.com/network/48184</v>
      </c>
      <c r="H2989" s="2" t="s">
        <v>19864</v>
      </c>
      <c r="I2989" s="2">
        <v>58186</v>
      </c>
      <c r="J2989" s="2"/>
      <c r="K2989" s="2">
        <v>59951</v>
      </c>
      <c r="L2989" s="2"/>
      <c r="M2989" s="2"/>
      <c r="N2989" s="2"/>
      <c r="O2989" s="2">
        <v>119593</v>
      </c>
      <c r="P2989" s="2" t="s">
        <v>19865</v>
      </c>
      <c r="Q2989" s="2" t="s">
        <v>19866</v>
      </c>
      <c r="R2989" s="2" t="s">
        <v>19867</v>
      </c>
      <c r="S2989" s="2" t="s">
        <v>89</v>
      </c>
      <c r="T2989" s="2" t="s">
        <v>90</v>
      </c>
      <c r="U2989" s="2" t="s">
        <v>99</v>
      </c>
      <c r="V2989" s="2" t="s">
        <v>59</v>
      </c>
      <c r="W2989" s="2">
        <v>43.2</v>
      </c>
      <c r="X2989" s="2">
        <v>22.4</v>
      </c>
      <c r="Y2989" s="2" t="s">
        <v>118</v>
      </c>
      <c r="Z2989" s="2" t="s">
        <v>19868</v>
      </c>
      <c r="AA2989" s="2">
        <v>-0.11311549567066401</v>
      </c>
      <c r="AB2989" s="2">
        <v>0.266961690982917</v>
      </c>
      <c r="AC2989" s="2">
        <v>7986.9814616560798</v>
      </c>
      <c r="AD2989" s="2">
        <v>3202.7152366107698</v>
      </c>
      <c r="AE2989" s="2">
        <v>8614.6732962080205</v>
      </c>
      <c r="AF2989" s="2">
        <v>8647.2348575928299</v>
      </c>
      <c r="AG2989" s="2">
        <v>7720.8859657860303</v>
      </c>
      <c r="AH2989" s="2">
        <v>7107.2016054799897</v>
      </c>
      <c r="AI2989" s="2">
        <v>7440.0024848838502</v>
      </c>
      <c r="AJ2989" s="2">
        <v>8391.8905599857299</v>
      </c>
      <c r="AK2989" s="2">
        <v>2636.45544176979</v>
      </c>
      <c r="AL2989" s="2">
        <v>3611.8333468648402</v>
      </c>
      <c r="AM2989" s="2">
        <v>3588.8730023633598</v>
      </c>
      <c r="AN2989" s="2">
        <v>3606.6714845249999</v>
      </c>
      <c r="AO2989" s="2">
        <v>3262.4242352309898</v>
      </c>
      <c r="AP2989" s="2">
        <v>2510.0339089106601</v>
      </c>
    </row>
    <row r="2990" spans="1:42" ht="14.5" x14ac:dyDescent="0.35">
      <c r="A2990" s="2" t="s">
        <v>19869</v>
      </c>
      <c r="B2990" s="2">
        <v>391.17464152744901</v>
      </c>
      <c r="C2990" s="2">
        <v>7.7732999999999999</v>
      </c>
      <c r="D2990" s="2" t="s">
        <v>34</v>
      </c>
      <c r="E2990" s="2" t="s">
        <v>19870</v>
      </c>
      <c r="F2990" s="2">
        <v>62395</v>
      </c>
      <c r="G2990" s="3" t="str">
        <f>HYPERLINK("http://funmeta.oebiotech.com/network/62395", "http://funmeta.oebiotech.com/network/62395")</f>
        <v>http://funmeta.oebiotech.com/network/62395</v>
      </c>
      <c r="H2990" s="2" t="s">
        <v>19871</v>
      </c>
      <c r="I2990" s="2"/>
      <c r="J2990" s="2"/>
      <c r="K2990" s="2"/>
      <c r="L2990" s="2"/>
      <c r="M2990" s="2"/>
      <c r="N2990" s="2"/>
      <c r="O2990" s="2">
        <v>131752540</v>
      </c>
      <c r="P2990" s="2"/>
      <c r="Q2990" s="2" t="s">
        <v>19872</v>
      </c>
      <c r="R2990" s="2" t="s">
        <v>19873</v>
      </c>
      <c r="S2990" s="2" t="s">
        <v>50</v>
      </c>
      <c r="T2990" s="2" t="s">
        <v>201</v>
      </c>
      <c r="U2990" s="2" t="s">
        <v>1217</v>
      </c>
      <c r="V2990" s="2" t="s">
        <v>59</v>
      </c>
      <c r="W2990" s="2">
        <v>45.9</v>
      </c>
      <c r="X2990" s="2">
        <v>40.799999999999997</v>
      </c>
      <c r="Y2990" s="2" t="s">
        <v>141</v>
      </c>
      <c r="Z2990" s="2" t="s">
        <v>19874</v>
      </c>
      <c r="AA2990" s="2">
        <v>-1.1957442387469801</v>
      </c>
      <c r="AB2990" s="2">
        <v>0.26693184225080702</v>
      </c>
      <c r="AC2990" s="2">
        <v>19245.0149817973</v>
      </c>
      <c r="AD2990" s="2">
        <v>13622.364609267101</v>
      </c>
      <c r="AE2990" s="2">
        <v>18557.566313197702</v>
      </c>
      <c r="AF2990" s="2">
        <v>17663.5679604541</v>
      </c>
      <c r="AG2990" s="2">
        <v>22579.005583206199</v>
      </c>
      <c r="AH2990" s="2">
        <v>16817.0649768613</v>
      </c>
      <c r="AI2990" s="2">
        <v>18072.328959001701</v>
      </c>
      <c r="AJ2990" s="2">
        <v>21780.556098062902</v>
      </c>
      <c r="AK2990" s="2">
        <v>13048.1010329742</v>
      </c>
      <c r="AL2990" s="2">
        <v>13448.870656949701</v>
      </c>
      <c r="AM2990" s="2">
        <v>16810.736877337102</v>
      </c>
      <c r="AN2990" s="2">
        <v>11491.600665288801</v>
      </c>
      <c r="AO2990" s="2">
        <v>13921.4269385147</v>
      </c>
      <c r="AP2990" s="2">
        <v>13013.4514845379</v>
      </c>
    </row>
    <row r="2991" spans="1:42" ht="14.5" x14ac:dyDescent="0.35">
      <c r="A2991" s="2" t="s">
        <v>19875</v>
      </c>
      <c r="B2991" s="2">
        <v>694.52142533357301</v>
      </c>
      <c r="C2991" s="2">
        <v>13.797366666666701</v>
      </c>
      <c r="D2991" s="2" t="s">
        <v>34</v>
      </c>
      <c r="E2991" s="2" t="s">
        <v>19876</v>
      </c>
      <c r="F2991" s="2">
        <v>51997</v>
      </c>
      <c r="G2991" s="3" t="str">
        <f>HYPERLINK("http://funmeta.oebiotech.com/network/51997", "http://funmeta.oebiotech.com/network/51997")</f>
        <v>http://funmeta.oebiotech.com/network/51997</v>
      </c>
      <c r="H2991" s="2" t="s">
        <v>19877</v>
      </c>
      <c r="I2991" s="2"/>
      <c r="J2991" s="2"/>
      <c r="K2991" s="2"/>
      <c r="L2991" s="2" t="s">
        <v>19878</v>
      </c>
      <c r="M2991" s="2" t="s">
        <v>688</v>
      </c>
      <c r="N2991" s="2" t="s">
        <v>689</v>
      </c>
      <c r="O2991" s="2">
        <v>53481406</v>
      </c>
      <c r="P2991" s="2" t="s">
        <v>19879</v>
      </c>
      <c r="Q2991" s="2" t="s">
        <v>19880</v>
      </c>
      <c r="R2991" s="2" t="s">
        <v>19881</v>
      </c>
      <c r="S2991" s="2" t="s">
        <v>50</v>
      </c>
      <c r="T2991" s="2" t="s">
        <v>693</v>
      </c>
      <c r="U2991" s="2" t="s">
        <v>694</v>
      </c>
      <c r="V2991" s="2" t="s">
        <v>59</v>
      </c>
      <c r="W2991" s="2">
        <v>37.799999999999997</v>
      </c>
      <c r="X2991" s="2">
        <v>0</v>
      </c>
      <c r="Y2991" s="2" t="s">
        <v>323</v>
      </c>
      <c r="Z2991" s="2" t="s">
        <v>19882</v>
      </c>
      <c r="AA2991" s="2">
        <v>-2.1051050583867101</v>
      </c>
      <c r="AB2991" s="2">
        <v>0.26675993794498398</v>
      </c>
      <c r="AC2991" s="2">
        <v>1945.77094610888</v>
      </c>
      <c r="AD2991" s="2">
        <v>7184.5032414647603</v>
      </c>
      <c r="AE2991" s="2">
        <v>1842.8495685763401</v>
      </c>
      <c r="AF2991" s="2">
        <v>1720.7860548784099</v>
      </c>
      <c r="AG2991" s="2">
        <v>1570.4449477267699</v>
      </c>
      <c r="AH2991" s="2">
        <v>2115.0841120129298</v>
      </c>
      <c r="AI2991" s="2">
        <v>1793.38744735874</v>
      </c>
      <c r="AJ2991" s="2">
        <v>2632.07354610008</v>
      </c>
      <c r="AK2991" s="2">
        <v>10749.272941437301</v>
      </c>
      <c r="AL2991" s="2">
        <v>6959.77399389946</v>
      </c>
      <c r="AM2991" s="2">
        <v>7538.1877570036504</v>
      </c>
      <c r="AN2991" s="2">
        <v>4888.8567647907103</v>
      </c>
      <c r="AO2991" s="2">
        <v>5841.75352600935</v>
      </c>
      <c r="AP2991" s="2">
        <v>7129.1744656480996</v>
      </c>
    </row>
    <row r="2992" spans="1:42" ht="14.5" x14ac:dyDescent="0.35">
      <c r="A2992" s="2" t="s">
        <v>19883</v>
      </c>
      <c r="B2992" s="2">
        <v>549.197675387647</v>
      </c>
      <c r="C2992" s="2">
        <v>5.2079666666666702</v>
      </c>
      <c r="D2992" s="2" t="s">
        <v>70</v>
      </c>
      <c r="E2992" s="2" t="s">
        <v>19884</v>
      </c>
      <c r="F2992" s="2">
        <v>56055</v>
      </c>
      <c r="G2992" s="3" t="str">
        <f>HYPERLINK("http://funmeta.oebiotech.com/network/56055", "http://funmeta.oebiotech.com/network/56055")</f>
        <v>http://funmeta.oebiotech.com/network/56055</v>
      </c>
      <c r="H2992" s="2" t="s">
        <v>19885</v>
      </c>
      <c r="I2992" s="2"/>
      <c r="J2992" s="2"/>
      <c r="K2992" s="2"/>
      <c r="L2992" s="2"/>
      <c r="M2992" s="2"/>
      <c r="N2992" s="2"/>
      <c r="O2992" s="2">
        <v>85261151</v>
      </c>
      <c r="P2992" s="2" t="s">
        <v>19886</v>
      </c>
      <c r="Q2992" s="2" t="s">
        <v>19887</v>
      </c>
      <c r="R2992" s="2" t="s">
        <v>19888</v>
      </c>
      <c r="S2992" s="2" t="s">
        <v>1184</v>
      </c>
      <c r="T2992" s="2" t="s">
        <v>1185</v>
      </c>
      <c r="U2992" s="2" t="s">
        <v>41</v>
      </c>
      <c r="V2992" s="2" t="s">
        <v>42</v>
      </c>
      <c r="W2992" s="2">
        <v>48</v>
      </c>
      <c r="X2992" s="2">
        <v>47.1</v>
      </c>
      <c r="Y2992" s="2" t="s">
        <v>408</v>
      </c>
      <c r="Z2992" s="2" t="s">
        <v>19889</v>
      </c>
      <c r="AA2992" s="2">
        <v>-0.14816394264850899</v>
      </c>
      <c r="AB2992" s="2">
        <v>0.266634628328145</v>
      </c>
      <c r="AC2992" s="2">
        <v>24656.417505670299</v>
      </c>
      <c r="AD2992" s="2">
        <v>19097.8124854296</v>
      </c>
      <c r="AE2992" s="2">
        <v>26663.5963035811</v>
      </c>
      <c r="AF2992" s="2">
        <v>22445.3433911434</v>
      </c>
      <c r="AG2992" s="2">
        <v>24021.465686419098</v>
      </c>
      <c r="AH2992" s="2">
        <v>24538.863833573301</v>
      </c>
      <c r="AI2992" s="2">
        <v>22131.952301728601</v>
      </c>
      <c r="AJ2992" s="2">
        <v>28137.283517576401</v>
      </c>
      <c r="AK2992" s="2">
        <v>19166.534410104799</v>
      </c>
      <c r="AL2992" s="2">
        <v>18854.846792761</v>
      </c>
      <c r="AM2992" s="2">
        <v>18446.624733874502</v>
      </c>
      <c r="AN2992" s="2">
        <v>22066.6150553507</v>
      </c>
      <c r="AO2992" s="2">
        <v>17764.861990530801</v>
      </c>
      <c r="AP2992" s="2">
        <v>18287.3919299558</v>
      </c>
    </row>
    <row r="2993" spans="1:42" ht="14.5" x14ac:dyDescent="0.35">
      <c r="A2993" s="2" t="s">
        <v>19890</v>
      </c>
      <c r="B2993" s="2">
        <v>519.14734005001299</v>
      </c>
      <c r="C2993" s="2">
        <v>4.5143500000000003</v>
      </c>
      <c r="D2993" s="2" t="s">
        <v>34</v>
      </c>
      <c r="E2993" s="2" t="s">
        <v>19891</v>
      </c>
      <c r="F2993" s="2">
        <v>62044</v>
      </c>
      <c r="G2993" s="3" t="str">
        <f>HYPERLINK("http://funmeta.oebiotech.com/network/62044", "http://funmeta.oebiotech.com/network/62044")</f>
        <v>http://funmeta.oebiotech.com/network/62044</v>
      </c>
      <c r="H2993" s="2" t="s">
        <v>19892</v>
      </c>
      <c r="I2993" s="2">
        <v>93335</v>
      </c>
      <c r="J2993" s="2"/>
      <c r="K2993" s="2">
        <v>169153</v>
      </c>
      <c r="L2993" s="2"/>
      <c r="M2993" s="2"/>
      <c r="N2993" s="2"/>
      <c r="O2993" s="2">
        <v>131752422</v>
      </c>
      <c r="P2993" s="2" t="s">
        <v>19893</v>
      </c>
      <c r="Q2993" s="2" t="s">
        <v>19894</v>
      </c>
      <c r="R2993" s="2" t="s">
        <v>19895</v>
      </c>
      <c r="S2993" s="2" t="s">
        <v>50</v>
      </c>
      <c r="T2993" s="2" t="s">
        <v>201</v>
      </c>
      <c r="U2993" s="2" t="s">
        <v>241</v>
      </c>
      <c r="V2993" s="2" t="s">
        <v>59</v>
      </c>
      <c r="W2993" s="2">
        <v>40</v>
      </c>
      <c r="X2993" s="2">
        <v>6.24</v>
      </c>
      <c r="Y2993" s="2" t="s">
        <v>323</v>
      </c>
      <c r="Z2993" s="2" t="s">
        <v>7990</v>
      </c>
      <c r="AA2993" s="2">
        <v>8.6741172267358696E-2</v>
      </c>
      <c r="AB2993" s="2">
        <v>0.26627288288912498</v>
      </c>
      <c r="AC2993" s="2">
        <v>79915.292107095607</v>
      </c>
      <c r="AD2993" s="2">
        <v>88440.446801106998</v>
      </c>
      <c r="AE2993" s="2">
        <v>82396.282106284707</v>
      </c>
      <c r="AF2993" s="2">
        <v>84238.407577731094</v>
      </c>
      <c r="AG2993" s="2">
        <v>74042.928673256101</v>
      </c>
      <c r="AH2993" s="2">
        <v>71054.600520506705</v>
      </c>
      <c r="AI2993" s="2">
        <v>78734.691727526399</v>
      </c>
      <c r="AJ2993" s="2">
        <v>89024.842037268696</v>
      </c>
      <c r="AK2993" s="2">
        <v>95939.687378843693</v>
      </c>
      <c r="AL2993" s="2">
        <v>88761.732609697399</v>
      </c>
      <c r="AM2993" s="2">
        <v>81803.874777962701</v>
      </c>
      <c r="AN2993" s="2">
        <v>81162.591307395604</v>
      </c>
      <c r="AO2993" s="2">
        <v>84296.614082203305</v>
      </c>
      <c r="AP2993" s="2">
        <v>98678.180650539507</v>
      </c>
    </row>
    <row r="2994" spans="1:42" ht="14.5" x14ac:dyDescent="0.35">
      <c r="A2994" s="2" t="s">
        <v>19896</v>
      </c>
      <c r="B2994" s="2">
        <v>212.97856073813199</v>
      </c>
      <c r="C2994" s="2">
        <v>14.09375</v>
      </c>
      <c r="D2994" s="2" t="s">
        <v>70</v>
      </c>
      <c r="E2994" s="2" t="s">
        <v>19897</v>
      </c>
      <c r="F2994" s="2">
        <v>207484</v>
      </c>
      <c r="G2994" s="3" t="str">
        <f>HYPERLINK("http://funmeta.oebiotech.com/network/207484", "http://funmeta.oebiotech.com/network/207484")</f>
        <v>http://funmeta.oebiotech.com/network/207484</v>
      </c>
      <c r="H2994" s="2" t="s">
        <v>19898</v>
      </c>
      <c r="I2994" s="2">
        <v>336951</v>
      </c>
      <c r="J2994" s="2"/>
      <c r="K2994" s="2">
        <v>39426</v>
      </c>
      <c r="L2994" s="2"/>
      <c r="M2994" s="2"/>
      <c r="N2994" s="2"/>
      <c r="O2994" s="2">
        <v>9777</v>
      </c>
      <c r="P2994" s="2"/>
      <c r="Q2994" s="2" t="s">
        <v>19899</v>
      </c>
      <c r="R2994" s="2" t="s">
        <v>19900</v>
      </c>
      <c r="S2994" s="2" t="s">
        <v>2811</v>
      </c>
      <c r="T2994" s="2" t="s">
        <v>2812</v>
      </c>
      <c r="U2994" s="2" t="s">
        <v>2813</v>
      </c>
      <c r="V2994" s="2" t="s">
        <v>59</v>
      </c>
      <c r="W2994" s="2">
        <v>42.9</v>
      </c>
      <c r="X2994" s="2">
        <v>20</v>
      </c>
      <c r="Y2994" s="2" t="s">
        <v>118</v>
      </c>
      <c r="Z2994" s="2" t="s">
        <v>19901</v>
      </c>
      <c r="AA2994" s="2">
        <v>-2.9891658009137001</v>
      </c>
      <c r="AB2994" s="2">
        <v>0.26626644037220798</v>
      </c>
      <c r="AC2994" s="2">
        <v>35572.376976891799</v>
      </c>
      <c r="AD2994" s="2">
        <v>41298.285700232002</v>
      </c>
      <c r="AE2994" s="2">
        <v>35900.728397194602</v>
      </c>
      <c r="AF2994" s="2">
        <v>34776.664826403103</v>
      </c>
      <c r="AG2994" s="2">
        <v>35824.954072698602</v>
      </c>
      <c r="AH2994" s="2">
        <v>36576.241093823803</v>
      </c>
      <c r="AI2994" s="2">
        <v>35516.4799384734</v>
      </c>
      <c r="AJ2994" s="2">
        <v>34839.193532757497</v>
      </c>
      <c r="AK2994" s="2">
        <v>46067.954263250598</v>
      </c>
      <c r="AL2994" s="2">
        <v>41327.979465153003</v>
      </c>
      <c r="AM2994" s="2">
        <v>43258.822292885103</v>
      </c>
      <c r="AN2994" s="2">
        <v>39674.287026874699</v>
      </c>
      <c r="AO2994" s="2">
        <v>40389.352614391297</v>
      </c>
      <c r="AP2994" s="2">
        <v>37071.318538837098</v>
      </c>
    </row>
    <row r="2995" spans="1:42" ht="14.5" x14ac:dyDescent="0.35">
      <c r="A2995" s="2" t="s">
        <v>19902</v>
      </c>
      <c r="B2995" s="2">
        <v>541.11581479926599</v>
      </c>
      <c r="C2995" s="2">
        <v>2.6128999999999998</v>
      </c>
      <c r="D2995" s="2" t="s">
        <v>70</v>
      </c>
      <c r="E2995" s="2" t="s">
        <v>19903</v>
      </c>
      <c r="F2995" s="2">
        <v>28380</v>
      </c>
      <c r="G2995" s="3" t="str">
        <f>HYPERLINK("http://funmeta.oebiotech.com/network/28380", "http://funmeta.oebiotech.com/network/28380")</f>
        <v>http://funmeta.oebiotech.com/network/28380</v>
      </c>
      <c r="H2995" s="2" t="s">
        <v>19904</v>
      </c>
      <c r="I2995" s="2">
        <v>3399</v>
      </c>
      <c r="J2995" s="2" t="s">
        <v>19905</v>
      </c>
      <c r="K2995" s="2">
        <v>25863</v>
      </c>
      <c r="L2995" s="2" t="s">
        <v>19906</v>
      </c>
      <c r="M2995" s="2" t="s">
        <v>19907</v>
      </c>
      <c r="N2995" s="2" t="s">
        <v>19908</v>
      </c>
      <c r="O2995" s="2">
        <v>440832</v>
      </c>
      <c r="P2995" s="2" t="s">
        <v>19909</v>
      </c>
      <c r="Q2995" s="2" t="s">
        <v>19910</v>
      </c>
      <c r="R2995" s="2" t="s">
        <v>19911</v>
      </c>
      <c r="S2995" s="2" t="s">
        <v>115</v>
      </c>
      <c r="T2995" s="2" t="s">
        <v>139</v>
      </c>
      <c r="U2995" s="2" t="s">
        <v>19912</v>
      </c>
      <c r="V2995" s="2" t="s">
        <v>59</v>
      </c>
      <c r="W2995" s="2">
        <v>38.299999999999997</v>
      </c>
      <c r="X2995" s="2">
        <v>0</v>
      </c>
      <c r="Y2995" s="2" t="s">
        <v>560</v>
      </c>
      <c r="Z2995" s="2" t="s">
        <v>19913</v>
      </c>
      <c r="AA2995" s="2">
        <v>3.30983146400412</v>
      </c>
      <c r="AB2995" s="2">
        <v>0.266226175171347</v>
      </c>
      <c r="AC2995" s="2">
        <v>20440.048213205599</v>
      </c>
      <c r="AD2995" s="2">
        <v>15475.0721626297</v>
      </c>
      <c r="AE2995" s="2">
        <v>20101.4566536825</v>
      </c>
      <c r="AF2995" s="2">
        <v>19923.0184293456</v>
      </c>
      <c r="AG2995" s="2">
        <v>21599.856444527199</v>
      </c>
      <c r="AH2995" s="2">
        <v>22205.867615372099</v>
      </c>
      <c r="AI2995" s="2">
        <v>19954.285821793201</v>
      </c>
      <c r="AJ2995" s="2">
        <v>18855.804314513101</v>
      </c>
      <c r="AK2995" s="2">
        <v>15113.9927056833</v>
      </c>
      <c r="AL2995" s="2">
        <v>14991.584297437999</v>
      </c>
      <c r="AM2995" s="2">
        <v>16590.430679503799</v>
      </c>
      <c r="AN2995" s="2">
        <v>15850.910142508001</v>
      </c>
      <c r="AO2995" s="2">
        <v>15751.508689906899</v>
      </c>
      <c r="AP2995" s="2">
        <v>14552.006460737901</v>
      </c>
    </row>
    <row r="2996" spans="1:42" ht="14.5" x14ac:dyDescent="0.35">
      <c r="A2996" s="2" t="s">
        <v>19914</v>
      </c>
      <c r="B2996" s="2">
        <v>507.02836621657201</v>
      </c>
      <c r="C2996" s="2">
        <v>9.1761499999999998</v>
      </c>
      <c r="D2996" s="2" t="s">
        <v>70</v>
      </c>
      <c r="E2996" s="2" t="s">
        <v>19915</v>
      </c>
      <c r="F2996" s="2">
        <v>207755</v>
      </c>
      <c r="G2996" s="3" t="str">
        <f>HYPERLINK("http://funmeta.oebiotech.com/network/207755", "http://funmeta.oebiotech.com/network/207755")</f>
        <v>http://funmeta.oebiotech.com/network/207755</v>
      </c>
      <c r="H2996" s="2" t="s">
        <v>19916</v>
      </c>
      <c r="I2996" s="2"/>
      <c r="J2996" s="2"/>
      <c r="K2996" s="2"/>
      <c r="L2996" s="2"/>
      <c r="M2996" s="2"/>
      <c r="N2996" s="2"/>
      <c r="O2996" s="2">
        <v>129668652</v>
      </c>
      <c r="P2996" s="2"/>
      <c r="Q2996" s="2" t="s">
        <v>19917</v>
      </c>
      <c r="R2996" s="2" t="s">
        <v>19918</v>
      </c>
      <c r="S2996" s="2" t="s">
        <v>41</v>
      </c>
      <c r="T2996" s="2" t="s">
        <v>41</v>
      </c>
      <c r="U2996" s="2" t="s">
        <v>41</v>
      </c>
      <c r="V2996" s="2" t="s">
        <v>59</v>
      </c>
      <c r="W2996" s="2">
        <v>38.299999999999997</v>
      </c>
      <c r="X2996" s="2">
        <v>0</v>
      </c>
      <c r="Y2996" s="2" t="s">
        <v>560</v>
      </c>
      <c r="Z2996" s="2" t="s">
        <v>19919</v>
      </c>
      <c r="AA2996" s="2">
        <v>1.2628474223692301</v>
      </c>
      <c r="AB2996" s="2">
        <v>0.26619916926453702</v>
      </c>
      <c r="AC2996" s="2">
        <v>39467.518600574003</v>
      </c>
      <c r="AD2996" s="2">
        <v>45197.115387196398</v>
      </c>
      <c r="AE2996" s="2">
        <v>39606.164536940101</v>
      </c>
      <c r="AF2996" s="2">
        <v>41168.885460414298</v>
      </c>
      <c r="AG2996" s="2">
        <v>40568.099486127801</v>
      </c>
      <c r="AH2996" s="2">
        <v>40741.915308767602</v>
      </c>
      <c r="AI2996" s="2">
        <v>37424.586105017399</v>
      </c>
      <c r="AJ2996" s="2">
        <v>37295.4607061766</v>
      </c>
      <c r="AK2996" s="2">
        <v>45233.8553544366</v>
      </c>
      <c r="AL2996" s="2">
        <v>45352.468186220998</v>
      </c>
      <c r="AM2996" s="2">
        <v>49397.464176210902</v>
      </c>
      <c r="AN2996" s="2">
        <v>41783.829626622399</v>
      </c>
      <c r="AO2996" s="2">
        <v>46239.287043344601</v>
      </c>
      <c r="AP2996" s="2">
        <v>43175.787936342902</v>
      </c>
    </row>
    <row r="2997" spans="1:42" ht="14.5" x14ac:dyDescent="0.35">
      <c r="A2997" s="2" t="s">
        <v>19920</v>
      </c>
      <c r="B2997" s="2">
        <v>245.14948387428601</v>
      </c>
      <c r="C2997" s="2">
        <v>1.34713333333333</v>
      </c>
      <c r="D2997" s="2" t="s">
        <v>34</v>
      </c>
      <c r="E2997" s="2" t="s">
        <v>19921</v>
      </c>
      <c r="F2997" s="2">
        <v>8995</v>
      </c>
      <c r="G2997" s="3" t="str">
        <f>HYPERLINK("http://funmeta.oebiotech.com/network/8995", "http://funmeta.oebiotech.com/network/8995")</f>
        <v>http://funmeta.oebiotech.com/network/8995</v>
      </c>
      <c r="H2997" s="2"/>
      <c r="I2997" s="2"/>
      <c r="J2997" s="2" t="s">
        <v>19922</v>
      </c>
      <c r="K2997" s="2"/>
      <c r="L2997" s="2"/>
      <c r="M2997" s="2"/>
      <c r="N2997" s="2"/>
      <c r="O2997" s="2">
        <v>10376441</v>
      </c>
      <c r="P2997" s="2"/>
      <c r="Q2997" s="2" t="s">
        <v>19923</v>
      </c>
      <c r="R2997" s="2" t="s">
        <v>19924</v>
      </c>
      <c r="S2997" s="2" t="s">
        <v>89</v>
      </c>
      <c r="T2997" s="2" t="s">
        <v>90</v>
      </c>
      <c r="U2997" s="2" t="s">
        <v>99</v>
      </c>
      <c r="V2997" s="2" t="s">
        <v>59</v>
      </c>
      <c r="W2997" s="2">
        <v>38.6</v>
      </c>
      <c r="X2997" s="2">
        <v>0</v>
      </c>
      <c r="Y2997" s="2" t="s">
        <v>43</v>
      </c>
      <c r="Z2997" s="2" t="s">
        <v>19925</v>
      </c>
      <c r="AA2997" s="2">
        <v>-0.43891249708615798</v>
      </c>
      <c r="AB2997" s="2">
        <v>0.26618506881352499</v>
      </c>
      <c r="AC2997" s="2">
        <v>8881.8384256024401</v>
      </c>
      <c r="AD2997" s="2">
        <v>3958.95968391925</v>
      </c>
      <c r="AE2997" s="2">
        <v>9748.2992076929204</v>
      </c>
      <c r="AF2997" s="2">
        <v>8611.2572847151005</v>
      </c>
      <c r="AG2997" s="2">
        <v>8461.6703131657105</v>
      </c>
      <c r="AH2997" s="2">
        <v>10905.620012801801</v>
      </c>
      <c r="AI2997" s="2">
        <v>6948.36437256306</v>
      </c>
      <c r="AJ2997" s="2">
        <v>8615.8193626760494</v>
      </c>
      <c r="AK2997" s="2">
        <v>3743.5016765688401</v>
      </c>
      <c r="AL2997" s="2">
        <v>4114.2989215994503</v>
      </c>
      <c r="AM2997" s="2">
        <v>4263.2451992319402</v>
      </c>
      <c r="AN2997" s="2">
        <v>4366.4604785670799</v>
      </c>
      <c r="AO2997" s="2">
        <v>3700.5896697585899</v>
      </c>
      <c r="AP2997" s="2">
        <v>3565.6621577895999</v>
      </c>
    </row>
    <row r="2998" spans="1:42" ht="14.5" x14ac:dyDescent="0.35">
      <c r="A2998" s="2" t="s">
        <v>19926</v>
      </c>
      <c r="B2998" s="2">
        <v>485.20246266294799</v>
      </c>
      <c r="C2998" s="2">
        <v>6.1423166666666704</v>
      </c>
      <c r="D2998" s="2" t="s">
        <v>70</v>
      </c>
      <c r="E2998" s="2" t="s">
        <v>19927</v>
      </c>
      <c r="F2998" s="2">
        <v>204052</v>
      </c>
      <c r="G2998" s="3" t="str">
        <f>HYPERLINK("http://funmeta.oebiotech.com/network/204052", "http://funmeta.oebiotech.com/network/204052")</f>
        <v>http://funmeta.oebiotech.com/network/204052</v>
      </c>
      <c r="H2998" s="2" t="s">
        <v>19928</v>
      </c>
      <c r="I2998" s="2"/>
      <c r="J2998" s="2"/>
      <c r="K2998" s="2"/>
      <c r="L2998" s="2"/>
      <c r="M2998" s="2"/>
      <c r="N2998" s="2"/>
      <c r="O2998" s="2">
        <v>129671953</v>
      </c>
      <c r="P2998" s="2"/>
      <c r="Q2998" s="2" t="s">
        <v>19929</v>
      </c>
      <c r="R2998" s="2" t="s">
        <v>19930</v>
      </c>
      <c r="S2998" s="2" t="s">
        <v>41</v>
      </c>
      <c r="T2998" s="2" t="s">
        <v>41</v>
      </c>
      <c r="U2998" s="2" t="s">
        <v>41</v>
      </c>
      <c r="V2998" s="2" t="s">
        <v>59</v>
      </c>
      <c r="W2998" s="2">
        <v>39</v>
      </c>
      <c r="X2998" s="2">
        <v>0</v>
      </c>
      <c r="Y2998" s="2" t="s">
        <v>560</v>
      </c>
      <c r="Z2998" s="2" t="s">
        <v>19931</v>
      </c>
      <c r="AA2998" s="2">
        <v>0.28845898573935203</v>
      </c>
      <c r="AB2998" s="2">
        <v>0.26613194830493397</v>
      </c>
      <c r="AC2998" s="2">
        <v>20155.541280314799</v>
      </c>
      <c r="AD2998" s="2">
        <v>14620.297933041</v>
      </c>
      <c r="AE2998" s="2">
        <v>23299.062646269998</v>
      </c>
      <c r="AF2998" s="2">
        <v>19277.9726395447</v>
      </c>
      <c r="AG2998" s="2">
        <v>18192.627184880799</v>
      </c>
      <c r="AH2998" s="2">
        <v>18742.691658485401</v>
      </c>
      <c r="AI2998" s="2">
        <v>19068.013662251698</v>
      </c>
      <c r="AJ2998" s="2">
        <v>22352.879890455999</v>
      </c>
      <c r="AK2998" s="2">
        <v>14147.7605780711</v>
      </c>
      <c r="AL2998" s="2">
        <v>15625.0943340051</v>
      </c>
      <c r="AM2998" s="2">
        <v>17568.764403351801</v>
      </c>
      <c r="AN2998" s="2">
        <v>13003.2819718868</v>
      </c>
      <c r="AO2998" s="2">
        <v>14758.232546556699</v>
      </c>
      <c r="AP2998" s="2">
        <v>12618.6537643747</v>
      </c>
    </row>
    <row r="2999" spans="1:42" ht="14.5" x14ac:dyDescent="0.35">
      <c r="A2999" s="2" t="s">
        <v>19932</v>
      </c>
      <c r="B2999" s="2">
        <v>628.79275981477201</v>
      </c>
      <c r="C2999" s="2">
        <v>6.7985833333333296</v>
      </c>
      <c r="D2999" s="2" t="s">
        <v>34</v>
      </c>
      <c r="E2999" s="2" t="s">
        <v>19933</v>
      </c>
      <c r="F2999" s="2">
        <v>207837</v>
      </c>
      <c r="G2999" s="3" t="str">
        <f>HYPERLINK("http://funmeta.oebiotech.com/network/207837", "http://funmeta.oebiotech.com/network/207837")</f>
        <v>http://funmeta.oebiotech.com/network/207837</v>
      </c>
      <c r="H2999" s="2" t="s">
        <v>19934</v>
      </c>
      <c r="I2999" s="2"/>
      <c r="J2999" s="2"/>
      <c r="K2999" s="2">
        <v>31703</v>
      </c>
      <c r="L2999" s="2"/>
      <c r="M2999" s="2"/>
      <c r="N2999" s="2"/>
      <c r="O2999" s="2">
        <v>3723</v>
      </c>
      <c r="P2999" s="2"/>
      <c r="Q2999" s="2" t="s">
        <v>19935</v>
      </c>
      <c r="R2999" s="2" t="s">
        <v>19936</v>
      </c>
      <c r="S2999" s="2" t="s">
        <v>148</v>
      </c>
      <c r="T2999" s="2" t="s">
        <v>149</v>
      </c>
      <c r="U2999" s="2" t="s">
        <v>1593</v>
      </c>
      <c r="V2999" s="2" t="s">
        <v>59</v>
      </c>
      <c r="W2999" s="2">
        <v>38.299999999999997</v>
      </c>
      <c r="X2999" s="2">
        <v>0</v>
      </c>
      <c r="Y2999" s="2" t="s">
        <v>394</v>
      </c>
      <c r="Z2999" s="2" t="s">
        <v>19937</v>
      </c>
      <c r="AA2999" s="2">
        <v>0.29077164018649998</v>
      </c>
      <c r="AB2999" s="2">
        <v>0.26560803078075301</v>
      </c>
      <c r="AC2999" s="2">
        <v>14348.219313756699</v>
      </c>
      <c r="AD2999" s="2">
        <v>20667.311080392799</v>
      </c>
      <c r="AE2999" s="2">
        <v>18341.720261104601</v>
      </c>
      <c r="AF2999" s="2">
        <v>13255.284803263899</v>
      </c>
      <c r="AG2999" s="2">
        <v>12479.317001826599</v>
      </c>
      <c r="AH2999" s="2">
        <v>9679.1706166468302</v>
      </c>
      <c r="AI2999" s="2">
        <v>17960.522917829301</v>
      </c>
      <c r="AJ2999" s="2">
        <v>14373.300281869</v>
      </c>
      <c r="AK2999" s="2">
        <v>21285.0213131079</v>
      </c>
      <c r="AL2999" s="2">
        <v>14568.1062200499</v>
      </c>
      <c r="AM2999" s="2">
        <v>22115.203083787699</v>
      </c>
      <c r="AN2999" s="2">
        <v>21238.7343956123</v>
      </c>
      <c r="AO2999" s="2">
        <v>20526.9472360133</v>
      </c>
      <c r="AP2999" s="2">
        <v>24269.8542337857</v>
      </c>
    </row>
    <row r="3000" spans="1:42" ht="14.5" x14ac:dyDescent="0.35">
      <c r="A3000" s="2" t="s">
        <v>19938</v>
      </c>
      <c r="B3000" s="2">
        <v>173.10345069203299</v>
      </c>
      <c r="C3000" s="2">
        <v>0.67131666666666701</v>
      </c>
      <c r="D3000" s="2" t="s">
        <v>70</v>
      </c>
      <c r="E3000" s="2" t="s">
        <v>19939</v>
      </c>
      <c r="F3000" s="2">
        <v>47071</v>
      </c>
      <c r="G3000" s="3" t="str">
        <f>HYPERLINK("http://funmeta.oebiotech.com/network/47071", "http://funmeta.oebiotech.com/network/47071")</f>
        <v>http://funmeta.oebiotech.com/network/47071</v>
      </c>
      <c r="H3000" s="2" t="s">
        <v>19940</v>
      </c>
      <c r="I3000" s="2">
        <v>13</v>
      </c>
      <c r="J3000" s="2"/>
      <c r="K3000" s="2">
        <v>16467</v>
      </c>
      <c r="L3000" s="2" t="s">
        <v>19941</v>
      </c>
      <c r="M3000" s="2" t="s">
        <v>19942</v>
      </c>
      <c r="N3000" s="2" t="s">
        <v>19943</v>
      </c>
      <c r="O3000" s="2">
        <v>6322</v>
      </c>
      <c r="P3000" s="2" t="s">
        <v>19944</v>
      </c>
      <c r="Q3000" s="2" t="s">
        <v>19945</v>
      </c>
      <c r="R3000" s="2" t="s">
        <v>19946</v>
      </c>
      <c r="S3000" s="2" t="s">
        <v>89</v>
      </c>
      <c r="T3000" s="2" t="s">
        <v>90</v>
      </c>
      <c r="U3000" s="2" t="s">
        <v>99</v>
      </c>
      <c r="V3000" s="2" t="s">
        <v>42</v>
      </c>
      <c r="W3000" s="2">
        <v>49.5</v>
      </c>
      <c r="X3000" s="2">
        <v>61.5</v>
      </c>
      <c r="Y3000" s="2" t="s">
        <v>118</v>
      </c>
      <c r="Z3000" s="2" t="s">
        <v>19947</v>
      </c>
      <c r="AA3000" s="2">
        <v>-5.4481312799190498</v>
      </c>
      <c r="AB3000" s="2">
        <v>0.26556255746285801</v>
      </c>
      <c r="AC3000" s="2">
        <v>5330.3065981360496</v>
      </c>
      <c r="AD3000" s="2">
        <v>239.83935967408999</v>
      </c>
      <c r="AE3000" s="2">
        <v>2775.03201091339</v>
      </c>
      <c r="AF3000" s="2">
        <v>6202.1394133127496</v>
      </c>
      <c r="AG3000" s="2">
        <v>5155.3169486090001</v>
      </c>
      <c r="AH3000" s="2">
        <v>6787.5552308696097</v>
      </c>
      <c r="AI3000" s="2">
        <v>3610.1690328521399</v>
      </c>
      <c r="AJ3000" s="2">
        <v>7451.6269522594002</v>
      </c>
      <c r="AK3000" s="2">
        <v>325.77954913322202</v>
      </c>
      <c r="AL3000" s="2">
        <v>181.96832938159301</v>
      </c>
      <c r="AM3000" s="2">
        <v>131.33474692813601</v>
      </c>
      <c r="AN3000" s="2">
        <v>325.66966303888103</v>
      </c>
      <c r="AO3000" s="2">
        <v>234.17173501964299</v>
      </c>
      <c r="AP3000" s="2">
        <v>240.112134543064</v>
      </c>
    </row>
    <row r="3001" spans="1:42" ht="14.5" x14ac:dyDescent="0.35">
      <c r="A3001" s="2" t="s">
        <v>19948</v>
      </c>
      <c r="B3001" s="2">
        <v>480.40453796572803</v>
      </c>
      <c r="C3001" s="2">
        <v>13.6442833333333</v>
      </c>
      <c r="D3001" s="2" t="s">
        <v>34</v>
      </c>
      <c r="E3001" s="2" t="s">
        <v>19949</v>
      </c>
      <c r="F3001" s="2">
        <v>62970</v>
      </c>
      <c r="G3001" s="3" t="str">
        <f>HYPERLINK("http://funmeta.oebiotech.com/network/62970", "http://funmeta.oebiotech.com/network/62970")</f>
        <v>http://funmeta.oebiotech.com/network/62970</v>
      </c>
      <c r="H3001" s="2" t="s">
        <v>19950</v>
      </c>
      <c r="I3001" s="2">
        <v>94268</v>
      </c>
      <c r="J3001" s="2"/>
      <c r="K3001" s="2"/>
      <c r="L3001" s="2"/>
      <c r="M3001" s="2"/>
      <c r="N3001" s="2"/>
      <c r="O3001" s="2">
        <v>73834440</v>
      </c>
      <c r="P3001" s="2" t="s">
        <v>19951</v>
      </c>
      <c r="Q3001" s="2" t="s">
        <v>19952</v>
      </c>
      <c r="R3001" s="2" t="s">
        <v>19953</v>
      </c>
      <c r="S3001" s="2" t="s">
        <v>50</v>
      </c>
      <c r="T3001" s="2" t="s">
        <v>124</v>
      </c>
      <c r="U3001" s="2" t="s">
        <v>5761</v>
      </c>
      <c r="V3001" s="2" t="s">
        <v>42</v>
      </c>
      <c r="W3001" s="2">
        <v>56.6</v>
      </c>
      <c r="X3001" s="2">
        <v>85.5</v>
      </c>
      <c r="Y3001" s="2" t="s">
        <v>43</v>
      </c>
      <c r="Z3001" s="2" t="s">
        <v>12464</v>
      </c>
      <c r="AA3001" s="2">
        <v>-0.42746203998318799</v>
      </c>
      <c r="AB3001" s="2">
        <v>0.26553650387463101</v>
      </c>
      <c r="AC3001" s="2">
        <v>22929.233865950599</v>
      </c>
      <c r="AD3001" s="2">
        <v>17412.105786455799</v>
      </c>
      <c r="AE3001" s="2">
        <v>21029.194488510799</v>
      </c>
      <c r="AF3001" s="2">
        <v>21709.3653023812</v>
      </c>
      <c r="AG3001" s="2">
        <v>24506.723021363701</v>
      </c>
      <c r="AH3001" s="2">
        <v>23356.5486366408</v>
      </c>
      <c r="AI3001" s="2">
        <v>21830.961488831501</v>
      </c>
      <c r="AJ3001" s="2">
        <v>25142.610257975699</v>
      </c>
      <c r="AK3001" s="2">
        <v>21238.812488878499</v>
      </c>
      <c r="AL3001" s="2">
        <v>18682.360599864998</v>
      </c>
      <c r="AM3001" s="2">
        <v>17608.985897320101</v>
      </c>
      <c r="AN3001" s="2">
        <v>15174.884753926999</v>
      </c>
      <c r="AO3001" s="2">
        <v>15515.9032527004</v>
      </c>
      <c r="AP3001" s="2">
        <v>16251.6877260439</v>
      </c>
    </row>
    <row r="3002" spans="1:42" ht="14.5" x14ac:dyDescent="0.35">
      <c r="A3002" s="2" t="s">
        <v>19954</v>
      </c>
      <c r="B3002" s="2">
        <v>447.24786792407502</v>
      </c>
      <c r="C3002" s="2">
        <v>13.37345</v>
      </c>
      <c r="D3002" s="2" t="s">
        <v>34</v>
      </c>
      <c r="E3002" s="2" t="s">
        <v>19955</v>
      </c>
      <c r="F3002" s="2">
        <v>26100</v>
      </c>
      <c r="G3002" s="3" t="str">
        <f>HYPERLINK("http://funmeta.oebiotech.com/network/26100", "http://funmeta.oebiotech.com/network/26100")</f>
        <v>http://funmeta.oebiotech.com/network/26100</v>
      </c>
      <c r="H3002" s="2" t="s">
        <v>19956</v>
      </c>
      <c r="I3002" s="2">
        <v>82355</v>
      </c>
      <c r="J3002" s="2" t="s">
        <v>19957</v>
      </c>
      <c r="K3002" s="2">
        <v>74840</v>
      </c>
      <c r="L3002" s="2"/>
      <c r="M3002" s="2"/>
      <c r="N3002" s="2"/>
      <c r="O3002" s="2">
        <v>44575057</v>
      </c>
      <c r="P3002" s="2"/>
      <c r="Q3002" s="2" t="s">
        <v>19958</v>
      </c>
      <c r="R3002" s="2" t="s">
        <v>19959</v>
      </c>
      <c r="S3002" s="2" t="s">
        <v>50</v>
      </c>
      <c r="T3002" s="2" t="s">
        <v>51</v>
      </c>
      <c r="U3002" s="2" t="s">
        <v>273</v>
      </c>
      <c r="V3002" s="2" t="s">
        <v>59</v>
      </c>
      <c r="W3002" s="2">
        <v>41.7</v>
      </c>
      <c r="X3002" s="2">
        <v>12.3</v>
      </c>
      <c r="Y3002" s="2" t="s">
        <v>194</v>
      </c>
      <c r="Z3002" s="2" t="s">
        <v>19960</v>
      </c>
      <c r="AA3002" s="2">
        <v>-0.80855732593370699</v>
      </c>
      <c r="AB3002" s="2">
        <v>0.26539785482494799</v>
      </c>
      <c r="AC3002" s="2">
        <v>368827.13864131097</v>
      </c>
      <c r="AD3002" s="2">
        <v>351801.25815274299</v>
      </c>
      <c r="AE3002" s="2">
        <v>357838.258537927</v>
      </c>
      <c r="AF3002" s="2">
        <v>352907.51064124599</v>
      </c>
      <c r="AG3002" s="2">
        <v>387163.48063924501</v>
      </c>
      <c r="AH3002" s="2">
        <v>410418.64570636</v>
      </c>
      <c r="AI3002" s="2">
        <v>338146.52390769002</v>
      </c>
      <c r="AJ3002" s="2">
        <v>366488.41241539997</v>
      </c>
      <c r="AK3002" s="2">
        <v>292031.67179542797</v>
      </c>
      <c r="AL3002" s="2">
        <v>374914.200609233</v>
      </c>
      <c r="AM3002" s="2">
        <v>343330.16997804103</v>
      </c>
      <c r="AN3002" s="2">
        <v>346480.93786957499</v>
      </c>
      <c r="AO3002" s="2">
        <v>412231.71658130002</v>
      </c>
      <c r="AP3002" s="2">
        <v>341818.85208288202</v>
      </c>
    </row>
    <row r="3003" spans="1:42" ht="14.5" x14ac:dyDescent="0.35">
      <c r="A3003" s="2" t="s">
        <v>19961</v>
      </c>
      <c r="B3003" s="2">
        <v>735.34105519396201</v>
      </c>
      <c r="C3003" s="2">
        <v>7.9924333333333299</v>
      </c>
      <c r="D3003" s="2" t="s">
        <v>70</v>
      </c>
      <c r="E3003" s="2" t="s">
        <v>19962</v>
      </c>
      <c r="F3003" s="2">
        <v>276088</v>
      </c>
      <c r="G3003" s="3" t="str">
        <f>HYPERLINK("http://funmeta.oebiotech.com/network/276088", "http://funmeta.oebiotech.com/network/276088")</f>
        <v>http://funmeta.oebiotech.com/network/276088</v>
      </c>
      <c r="H3003" s="2"/>
      <c r="I3003" s="2">
        <v>67534</v>
      </c>
      <c r="J3003" s="2"/>
      <c r="K3003" s="2"/>
      <c r="L3003" s="2" t="s">
        <v>19963</v>
      </c>
      <c r="M3003" s="2"/>
      <c r="N3003" s="2"/>
      <c r="O3003" s="2">
        <v>94160</v>
      </c>
      <c r="P3003" s="2" t="s">
        <v>19964</v>
      </c>
      <c r="Q3003" s="2" t="s">
        <v>19965</v>
      </c>
      <c r="R3003" s="2" t="s">
        <v>19966</v>
      </c>
      <c r="S3003" s="2" t="s">
        <v>491</v>
      </c>
      <c r="T3003" s="2" t="s">
        <v>19967</v>
      </c>
      <c r="U3003" s="2" t="s">
        <v>41</v>
      </c>
      <c r="V3003" s="2" t="s">
        <v>59</v>
      </c>
      <c r="W3003" s="2">
        <v>36.700000000000003</v>
      </c>
      <c r="X3003" s="2">
        <v>0</v>
      </c>
      <c r="Y3003" s="2" t="s">
        <v>560</v>
      </c>
      <c r="Z3003" s="2" t="s">
        <v>19968</v>
      </c>
      <c r="AA3003" s="2">
        <v>1.51709804843258</v>
      </c>
      <c r="AB3003" s="2">
        <v>0.265289149390528</v>
      </c>
      <c r="AC3003" s="2">
        <v>32645.146254429699</v>
      </c>
      <c r="AD3003" s="2">
        <v>27292.0986474075</v>
      </c>
      <c r="AE3003" s="2">
        <v>32103.247908591598</v>
      </c>
      <c r="AF3003" s="2">
        <v>30689.906966260802</v>
      </c>
      <c r="AG3003" s="2">
        <v>35707.885333969003</v>
      </c>
      <c r="AH3003" s="2">
        <v>32596.327408723999</v>
      </c>
      <c r="AI3003" s="2">
        <v>34283.274416106098</v>
      </c>
      <c r="AJ3003" s="2">
        <v>30490.235492926498</v>
      </c>
      <c r="AK3003" s="2">
        <v>28001.109238589699</v>
      </c>
      <c r="AL3003" s="2">
        <v>27701.578535735</v>
      </c>
      <c r="AM3003" s="2">
        <v>26989.9989033682</v>
      </c>
      <c r="AN3003" s="2">
        <v>25536.345486989001</v>
      </c>
      <c r="AO3003" s="2">
        <v>26285.835137477399</v>
      </c>
      <c r="AP3003" s="2">
        <v>29237.724582285799</v>
      </c>
    </row>
    <row r="3004" spans="1:42" ht="14.5" x14ac:dyDescent="0.35">
      <c r="A3004" s="2" t="s">
        <v>19969</v>
      </c>
      <c r="B3004" s="2">
        <v>554.18814351376</v>
      </c>
      <c r="C3004" s="2">
        <v>4.7931333333333299</v>
      </c>
      <c r="D3004" s="2" t="s">
        <v>70</v>
      </c>
      <c r="E3004" s="2" t="s">
        <v>19970</v>
      </c>
      <c r="F3004" s="2">
        <v>206758</v>
      </c>
      <c r="G3004" s="3" t="str">
        <f>HYPERLINK("http://funmeta.oebiotech.com/network/206758", "http://funmeta.oebiotech.com/network/206758")</f>
        <v>http://funmeta.oebiotech.com/network/206758</v>
      </c>
      <c r="H3004" s="2" t="s">
        <v>19971</v>
      </c>
      <c r="I3004" s="2"/>
      <c r="J3004" s="2"/>
      <c r="K3004" s="2"/>
      <c r="L3004" s="2"/>
      <c r="M3004" s="2"/>
      <c r="N3004" s="2"/>
      <c r="O3004" s="2">
        <v>18796887</v>
      </c>
      <c r="P3004" s="2"/>
      <c r="Q3004" s="2" t="s">
        <v>19972</v>
      </c>
      <c r="R3004" s="2" t="s">
        <v>19973</v>
      </c>
      <c r="S3004" s="2" t="s">
        <v>491</v>
      </c>
      <c r="T3004" s="2" t="s">
        <v>2251</v>
      </c>
      <c r="U3004" s="2" t="s">
        <v>2252</v>
      </c>
      <c r="V3004" s="2" t="s">
        <v>59</v>
      </c>
      <c r="W3004" s="2">
        <v>37.700000000000003</v>
      </c>
      <c r="X3004" s="2">
        <v>8.11</v>
      </c>
      <c r="Y3004" s="2" t="s">
        <v>118</v>
      </c>
      <c r="Z3004" s="2" t="s">
        <v>19974</v>
      </c>
      <c r="AA3004" s="2">
        <v>2.51175882031897</v>
      </c>
      <c r="AB3004" s="2">
        <v>0.26522434317560001</v>
      </c>
      <c r="AC3004" s="2">
        <v>39161.341108812703</v>
      </c>
      <c r="AD3004" s="2">
        <v>46222.731362011902</v>
      </c>
      <c r="AE3004" s="2">
        <v>41791.971783292203</v>
      </c>
      <c r="AF3004" s="2">
        <v>46417.449083704603</v>
      </c>
      <c r="AG3004" s="2">
        <v>39003.189879467602</v>
      </c>
      <c r="AH3004" s="2">
        <v>34451.784759613001</v>
      </c>
      <c r="AI3004" s="2">
        <v>36101.965748329298</v>
      </c>
      <c r="AJ3004" s="2">
        <v>37201.685398469403</v>
      </c>
      <c r="AK3004" s="2">
        <v>42007.3209208763</v>
      </c>
      <c r="AL3004" s="2">
        <v>47200.676252126599</v>
      </c>
      <c r="AM3004" s="2">
        <v>43766.144079216101</v>
      </c>
      <c r="AN3004" s="2">
        <v>53334.8088877993</v>
      </c>
      <c r="AO3004" s="2">
        <v>42025.943368497603</v>
      </c>
      <c r="AP3004" s="2">
        <v>49001.494663555502</v>
      </c>
    </row>
    <row r="3005" spans="1:42" ht="14.5" x14ac:dyDescent="0.35">
      <c r="A3005" s="2" t="s">
        <v>19975</v>
      </c>
      <c r="B3005" s="2">
        <v>671.40134228188799</v>
      </c>
      <c r="C3005" s="2">
        <v>6.4438333333333304</v>
      </c>
      <c r="D3005" s="2" t="s">
        <v>70</v>
      </c>
      <c r="E3005" s="2" t="s">
        <v>19976</v>
      </c>
      <c r="F3005" s="2">
        <v>53408</v>
      </c>
      <c r="G3005" s="3" t="str">
        <f>HYPERLINK("http://funmeta.oebiotech.com/network/53408", "http://funmeta.oebiotech.com/network/53408")</f>
        <v>http://funmeta.oebiotech.com/network/53408</v>
      </c>
      <c r="H3005" s="2" t="s">
        <v>19977</v>
      </c>
      <c r="I3005" s="2">
        <v>405</v>
      </c>
      <c r="J3005" s="2"/>
      <c r="K3005" s="2">
        <v>2379</v>
      </c>
      <c r="L3005" s="2" t="s">
        <v>19978</v>
      </c>
      <c r="M3005" s="2"/>
      <c r="N3005" s="2"/>
      <c r="O3005" s="2">
        <v>1978</v>
      </c>
      <c r="P3005" s="2" t="s">
        <v>19979</v>
      </c>
      <c r="Q3005" s="2" t="s">
        <v>19980</v>
      </c>
      <c r="R3005" s="2" t="s">
        <v>19981</v>
      </c>
      <c r="S3005" s="2" t="s">
        <v>79</v>
      </c>
      <c r="T3005" s="2" t="s">
        <v>80</v>
      </c>
      <c r="U3005" s="2" t="s">
        <v>2820</v>
      </c>
      <c r="V3005" s="2" t="s">
        <v>59</v>
      </c>
      <c r="W3005" s="2">
        <v>37.200000000000003</v>
      </c>
      <c r="X3005" s="2">
        <v>0</v>
      </c>
      <c r="Y3005" s="2" t="s">
        <v>560</v>
      </c>
      <c r="Z3005" s="2" t="s">
        <v>19982</v>
      </c>
      <c r="AA3005" s="2">
        <v>-1.7787630183557701</v>
      </c>
      <c r="AB3005" s="2">
        <v>0.26521419144206598</v>
      </c>
      <c r="AC3005" s="2">
        <v>5960.1423904387202</v>
      </c>
      <c r="AD3005" s="2">
        <v>1129.5658817060701</v>
      </c>
      <c r="AE3005" s="2">
        <v>7124.0510482751597</v>
      </c>
      <c r="AF3005" s="2">
        <v>5415.1861327363604</v>
      </c>
      <c r="AG3005" s="2">
        <v>4853.5514036804898</v>
      </c>
      <c r="AH3005" s="2">
        <v>5543.6693362718897</v>
      </c>
      <c r="AI3005" s="2">
        <v>5509.0462169272396</v>
      </c>
      <c r="AJ3005" s="2">
        <v>7315.3502047411803</v>
      </c>
      <c r="AK3005" s="2">
        <v>1688.4978785783201</v>
      </c>
      <c r="AL3005" s="2">
        <v>1153.18566352583</v>
      </c>
      <c r="AM3005" s="2">
        <v>1151.50807663305</v>
      </c>
      <c r="AN3005" s="2">
        <v>2.7106294003980101E-5</v>
      </c>
      <c r="AO3005" s="2">
        <v>1633.3020129255899</v>
      </c>
      <c r="AP3005" s="2">
        <v>1150.9016314673599</v>
      </c>
    </row>
    <row r="3006" spans="1:42" ht="14.5" x14ac:dyDescent="0.35">
      <c r="A3006" s="2" t="s">
        <v>19983</v>
      </c>
      <c r="B3006" s="2">
        <v>488.17703755718202</v>
      </c>
      <c r="C3006" s="2">
        <v>4.8624666666666698</v>
      </c>
      <c r="D3006" s="2" t="s">
        <v>70</v>
      </c>
      <c r="E3006" s="2" t="s">
        <v>19984</v>
      </c>
      <c r="F3006" s="2">
        <v>205566</v>
      </c>
      <c r="G3006" s="3" t="str">
        <f>HYPERLINK("http://funmeta.oebiotech.com/network/205566", "http://funmeta.oebiotech.com/network/205566")</f>
        <v>http://funmeta.oebiotech.com/network/205566</v>
      </c>
      <c r="H3006" s="2" t="s">
        <v>19985</v>
      </c>
      <c r="I3006" s="2"/>
      <c r="J3006" s="2"/>
      <c r="K3006" s="2"/>
      <c r="L3006" s="2"/>
      <c r="M3006" s="2"/>
      <c r="N3006" s="2"/>
      <c r="O3006" s="2">
        <v>1773</v>
      </c>
      <c r="P3006" s="2"/>
      <c r="Q3006" s="2" t="s">
        <v>19986</v>
      </c>
      <c r="R3006" s="2" t="s">
        <v>19987</v>
      </c>
      <c r="S3006" s="2" t="s">
        <v>89</v>
      </c>
      <c r="T3006" s="2" t="s">
        <v>90</v>
      </c>
      <c r="U3006" s="2" t="s">
        <v>99</v>
      </c>
      <c r="V3006" s="2" t="s">
        <v>59</v>
      </c>
      <c r="W3006" s="2">
        <v>44</v>
      </c>
      <c r="X3006" s="2">
        <v>25.7</v>
      </c>
      <c r="Y3006" s="2" t="s">
        <v>408</v>
      </c>
      <c r="Z3006" s="2" t="s">
        <v>19988</v>
      </c>
      <c r="AA3006" s="2">
        <v>-3.7205066305574901</v>
      </c>
      <c r="AB3006" s="2">
        <v>0.26500870002152799</v>
      </c>
      <c r="AC3006" s="2">
        <v>227614.88464940299</v>
      </c>
      <c r="AD3006" s="2">
        <v>238099.18081240999</v>
      </c>
      <c r="AE3006" s="2">
        <v>223421.976774118</v>
      </c>
      <c r="AF3006" s="2">
        <v>250459.70218609399</v>
      </c>
      <c r="AG3006" s="2">
        <v>217433.51669218999</v>
      </c>
      <c r="AH3006" s="2">
        <v>222672.244098544</v>
      </c>
      <c r="AI3006" s="2">
        <v>218429.22394227199</v>
      </c>
      <c r="AJ3006" s="2">
        <v>233272.64420320099</v>
      </c>
      <c r="AK3006" s="2">
        <v>225896.24280987601</v>
      </c>
      <c r="AL3006" s="2">
        <v>232524.710196175</v>
      </c>
      <c r="AM3006" s="2">
        <v>234747.78194636101</v>
      </c>
      <c r="AN3006" s="2">
        <v>245419.06470195099</v>
      </c>
      <c r="AO3006" s="2">
        <v>234469.77488838899</v>
      </c>
      <c r="AP3006" s="2">
        <v>255537.510331709</v>
      </c>
    </row>
    <row r="3007" spans="1:42" ht="14.5" x14ac:dyDescent="0.35">
      <c r="A3007" s="2" t="s">
        <v>19989</v>
      </c>
      <c r="B3007" s="2">
        <v>848.38319309026497</v>
      </c>
      <c r="C3007" s="2">
        <v>8.1195333333333295</v>
      </c>
      <c r="D3007" s="2" t="s">
        <v>34</v>
      </c>
      <c r="E3007" s="2" t="s">
        <v>19990</v>
      </c>
      <c r="F3007" s="2">
        <v>266841</v>
      </c>
      <c r="G3007" s="3" t="str">
        <f>HYPERLINK("http://funmeta.oebiotech.com/network/266841", "http://funmeta.oebiotech.com/network/266841")</f>
        <v>http://funmeta.oebiotech.com/network/266841</v>
      </c>
      <c r="H3007" s="2"/>
      <c r="I3007" s="2">
        <v>44082</v>
      </c>
      <c r="J3007" s="2"/>
      <c r="K3007" s="2"/>
      <c r="L3007" s="2" t="s">
        <v>19991</v>
      </c>
      <c r="M3007" s="2"/>
      <c r="N3007" s="2"/>
      <c r="O3007" s="2">
        <v>222158</v>
      </c>
      <c r="P3007" s="2" t="s">
        <v>19992</v>
      </c>
      <c r="Q3007" s="2" t="s">
        <v>19993</v>
      </c>
      <c r="R3007" s="2" t="s">
        <v>19994</v>
      </c>
      <c r="S3007" s="2" t="s">
        <v>50</v>
      </c>
      <c r="T3007" s="2" t="s">
        <v>124</v>
      </c>
      <c r="U3007" s="2" t="s">
        <v>9346</v>
      </c>
      <c r="V3007" s="2" t="s">
        <v>59</v>
      </c>
      <c r="W3007" s="2">
        <v>38.1</v>
      </c>
      <c r="X3007" s="2">
        <v>0</v>
      </c>
      <c r="Y3007" s="2" t="s">
        <v>340</v>
      </c>
      <c r="Z3007" s="2" t="s">
        <v>19995</v>
      </c>
      <c r="AA3007" s="2">
        <v>0.32701407255972698</v>
      </c>
      <c r="AB3007" s="2">
        <v>0.26492688802146802</v>
      </c>
      <c r="AC3007" s="2">
        <v>879575.12016513897</v>
      </c>
      <c r="AD3007" s="2">
        <v>859232.91145411006</v>
      </c>
      <c r="AE3007" s="2">
        <v>888477.396063803</v>
      </c>
      <c r="AF3007" s="2">
        <v>844043.64285056805</v>
      </c>
      <c r="AG3007" s="2">
        <v>935148.04386372794</v>
      </c>
      <c r="AH3007" s="2">
        <v>801515.22777751798</v>
      </c>
      <c r="AI3007" s="2">
        <v>881261.693532784</v>
      </c>
      <c r="AJ3007" s="2">
        <v>927004.71690243599</v>
      </c>
      <c r="AK3007" s="2">
        <v>797150.78183386999</v>
      </c>
      <c r="AL3007" s="2">
        <v>912400.20990411402</v>
      </c>
      <c r="AM3007" s="2">
        <v>880108.459153726</v>
      </c>
      <c r="AN3007" s="2">
        <v>897900.43859240995</v>
      </c>
      <c r="AO3007" s="2">
        <v>846986.75775635301</v>
      </c>
      <c r="AP3007" s="2">
        <v>820850.82148418506</v>
      </c>
    </row>
    <row r="3008" spans="1:42" ht="14.5" x14ac:dyDescent="0.35">
      <c r="A3008" s="2" t="s">
        <v>19996</v>
      </c>
      <c r="B3008" s="2">
        <v>529.19224427573999</v>
      </c>
      <c r="C3008" s="2">
        <v>5.3016333333333296</v>
      </c>
      <c r="D3008" s="2" t="s">
        <v>70</v>
      </c>
      <c r="E3008" s="2" t="s">
        <v>19997</v>
      </c>
      <c r="F3008" s="2">
        <v>256458</v>
      </c>
      <c r="G3008" s="3" t="str">
        <f>HYPERLINK("http://funmeta.oebiotech.com/network/256458", "http://funmeta.oebiotech.com/network/256458")</f>
        <v>http://funmeta.oebiotech.com/network/256458</v>
      </c>
      <c r="H3008" s="2" t="s">
        <v>19998</v>
      </c>
      <c r="I3008" s="2"/>
      <c r="J3008" s="2"/>
      <c r="K3008" s="2"/>
      <c r="L3008" s="2"/>
      <c r="M3008" s="2"/>
      <c r="N3008" s="2"/>
      <c r="O3008" s="2"/>
      <c r="P3008" s="2"/>
      <c r="Q3008" s="2" t="s">
        <v>19999</v>
      </c>
      <c r="R3008" s="2" t="s">
        <v>20000</v>
      </c>
      <c r="S3008" s="2" t="s">
        <v>491</v>
      </c>
      <c r="T3008" s="2" t="s">
        <v>2184</v>
      </c>
      <c r="U3008" s="2" t="s">
        <v>8546</v>
      </c>
      <c r="V3008" s="2" t="s">
        <v>59</v>
      </c>
      <c r="W3008" s="2">
        <v>42.4</v>
      </c>
      <c r="X3008" s="2">
        <v>28.9</v>
      </c>
      <c r="Y3008" s="2" t="s">
        <v>1395</v>
      </c>
      <c r="Z3008" s="2" t="s">
        <v>20001</v>
      </c>
      <c r="AA3008" s="2">
        <v>0.191300326195949</v>
      </c>
      <c r="AB3008" s="2">
        <v>0.26490746991875602</v>
      </c>
      <c r="AC3008" s="2">
        <v>6821.7932493598901</v>
      </c>
      <c r="AD3008" s="2">
        <v>1970.3781616224901</v>
      </c>
      <c r="AE3008" s="2">
        <v>7734.7350595608596</v>
      </c>
      <c r="AF3008" s="2">
        <v>7230.3788985758101</v>
      </c>
      <c r="AG3008" s="2">
        <v>5604.6079567549796</v>
      </c>
      <c r="AH3008" s="2">
        <v>6651.2285745355903</v>
      </c>
      <c r="AI3008" s="2">
        <v>5341.9546313314904</v>
      </c>
      <c r="AJ3008" s="2">
        <v>8367.8543754006005</v>
      </c>
      <c r="AK3008" s="2">
        <v>1554.8418836943799</v>
      </c>
      <c r="AL3008" s="2">
        <v>2633.6040425113401</v>
      </c>
      <c r="AM3008" s="2">
        <v>2452.49197632696</v>
      </c>
      <c r="AN3008" s="2">
        <v>1744.5325350027899</v>
      </c>
      <c r="AO3008" s="2">
        <v>2073.6306993467501</v>
      </c>
      <c r="AP3008" s="2">
        <v>1363.16783285274</v>
      </c>
    </row>
    <row r="3009" spans="1:42" ht="14.5" x14ac:dyDescent="0.35">
      <c r="A3009" s="2" t="s">
        <v>20002</v>
      </c>
      <c r="B3009" s="2">
        <v>334.11897478512401</v>
      </c>
      <c r="C3009" s="2">
        <v>5.6059000000000001</v>
      </c>
      <c r="D3009" s="2" t="s">
        <v>34</v>
      </c>
      <c r="E3009" s="2" t="s">
        <v>20003</v>
      </c>
      <c r="F3009" s="2">
        <v>202259</v>
      </c>
      <c r="G3009" s="3" t="str">
        <f>HYPERLINK("http://funmeta.oebiotech.com/network/202259", "http://funmeta.oebiotech.com/network/202259")</f>
        <v>http://funmeta.oebiotech.com/network/202259</v>
      </c>
      <c r="H3009" s="2" t="s">
        <v>20004</v>
      </c>
      <c r="I3009" s="2">
        <v>45062</v>
      </c>
      <c r="J3009" s="2"/>
      <c r="K3009" s="2"/>
      <c r="L3009" s="2"/>
      <c r="M3009" s="2"/>
      <c r="N3009" s="2"/>
      <c r="O3009" s="2">
        <v>10979337</v>
      </c>
      <c r="P3009" s="2" t="s">
        <v>20005</v>
      </c>
      <c r="Q3009" s="2" t="s">
        <v>20006</v>
      </c>
      <c r="R3009" s="2" t="s">
        <v>20007</v>
      </c>
      <c r="S3009" s="2" t="s">
        <v>148</v>
      </c>
      <c r="T3009" s="2" t="s">
        <v>149</v>
      </c>
      <c r="U3009" s="2" t="s">
        <v>5292</v>
      </c>
      <c r="V3009" s="2" t="s">
        <v>59</v>
      </c>
      <c r="W3009" s="2">
        <v>37.799999999999997</v>
      </c>
      <c r="X3009" s="2">
        <v>0</v>
      </c>
      <c r="Y3009" s="2" t="s">
        <v>568</v>
      </c>
      <c r="Z3009" s="2" t="s">
        <v>20008</v>
      </c>
      <c r="AA3009" s="2">
        <v>-4.7846101248628301</v>
      </c>
      <c r="AB3009" s="2">
        <v>0.264727750445376</v>
      </c>
      <c r="AC3009" s="2">
        <v>13072.667774749199</v>
      </c>
      <c r="AD3009" s="2">
        <v>18323.133204573402</v>
      </c>
      <c r="AE3009" s="2">
        <v>10397.082705454501</v>
      </c>
      <c r="AF3009" s="2">
        <v>13848.4825244115</v>
      </c>
      <c r="AG3009" s="2">
        <v>15658.442898089301</v>
      </c>
      <c r="AH3009" s="2">
        <v>13661.322277364199</v>
      </c>
      <c r="AI3009" s="2">
        <v>12923.3685941116</v>
      </c>
      <c r="AJ3009" s="2">
        <v>11947.3076490641</v>
      </c>
      <c r="AK3009" s="2">
        <v>19827.3199086559</v>
      </c>
      <c r="AL3009" s="2">
        <v>19525.551940558598</v>
      </c>
      <c r="AM3009" s="2">
        <v>18603.774396527999</v>
      </c>
      <c r="AN3009" s="2">
        <v>18216.6456227253</v>
      </c>
      <c r="AO3009" s="2">
        <v>16434.316437219801</v>
      </c>
      <c r="AP3009" s="2">
        <v>17331.190921753001</v>
      </c>
    </row>
    <row r="3010" spans="1:42" ht="14.5" x14ac:dyDescent="0.35">
      <c r="A3010" s="2" t="s">
        <v>20009</v>
      </c>
      <c r="B3010" s="2">
        <v>281.18953741954601</v>
      </c>
      <c r="C3010" s="2">
        <v>6.1811833333333297</v>
      </c>
      <c r="D3010" s="2" t="s">
        <v>34</v>
      </c>
      <c r="E3010" s="2" t="s">
        <v>20010</v>
      </c>
      <c r="F3010" s="2">
        <v>6429</v>
      </c>
      <c r="G3010" s="3" t="str">
        <f>HYPERLINK("http://funmeta.oebiotech.com/network/6429", "http://funmeta.oebiotech.com/network/6429")</f>
        <v>http://funmeta.oebiotech.com/network/6429</v>
      </c>
      <c r="H3010" s="2"/>
      <c r="I3010" s="2"/>
      <c r="J3010" s="2" t="s">
        <v>20011</v>
      </c>
      <c r="K3010" s="2"/>
      <c r="L3010" s="2"/>
      <c r="M3010" s="2"/>
      <c r="N3010" s="2"/>
      <c r="O3010" s="2">
        <v>86287599</v>
      </c>
      <c r="P3010" s="2"/>
      <c r="Q3010" s="2" t="s">
        <v>20012</v>
      </c>
      <c r="R3010" s="2" t="s">
        <v>20013</v>
      </c>
      <c r="S3010" s="2" t="s">
        <v>50</v>
      </c>
      <c r="T3010" s="2" t="s">
        <v>229</v>
      </c>
      <c r="U3010" s="2" t="s">
        <v>1283</v>
      </c>
      <c r="V3010" s="2" t="s">
        <v>59</v>
      </c>
      <c r="W3010" s="2">
        <v>45.2</v>
      </c>
      <c r="X3010" s="2">
        <v>34.700000000000003</v>
      </c>
      <c r="Y3010" s="2" t="s">
        <v>266</v>
      </c>
      <c r="Z3010" s="2" t="s">
        <v>20014</v>
      </c>
      <c r="AA3010" s="2">
        <v>-1.62180487527864</v>
      </c>
      <c r="AB3010" s="2">
        <v>0.26454416402914899</v>
      </c>
      <c r="AC3010" s="2">
        <v>173943.23582115499</v>
      </c>
      <c r="AD3010" s="2">
        <v>183577.582072889</v>
      </c>
      <c r="AE3010" s="2">
        <v>169530.105085043</v>
      </c>
      <c r="AF3010" s="2">
        <v>185153.752962564</v>
      </c>
      <c r="AG3010" s="2">
        <v>173824.43107766399</v>
      </c>
      <c r="AH3010" s="2">
        <v>165304.24542182099</v>
      </c>
      <c r="AI3010" s="2">
        <v>173953.23620559601</v>
      </c>
      <c r="AJ3010" s="2">
        <v>175893.644174243</v>
      </c>
      <c r="AK3010" s="2">
        <v>175937.661462955</v>
      </c>
      <c r="AL3010" s="2">
        <v>205226.14919620499</v>
      </c>
      <c r="AM3010" s="2">
        <v>179744.51647214001</v>
      </c>
      <c r="AN3010" s="2">
        <v>185124.01415494599</v>
      </c>
      <c r="AO3010" s="2">
        <v>184203.11248812301</v>
      </c>
      <c r="AP3010" s="2">
        <v>171230.038662962</v>
      </c>
    </row>
    <row r="3011" spans="1:42" ht="14.5" x14ac:dyDescent="0.35">
      <c r="A3011" s="2" t="s">
        <v>20015</v>
      </c>
      <c r="B3011" s="2">
        <v>553.22843480174402</v>
      </c>
      <c r="C3011" s="2">
        <v>7.1973833333333301</v>
      </c>
      <c r="D3011" s="2" t="s">
        <v>70</v>
      </c>
      <c r="E3011" s="2" t="s">
        <v>20016</v>
      </c>
      <c r="F3011" s="2">
        <v>47614</v>
      </c>
      <c r="G3011" s="3" t="str">
        <f>HYPERLINK("http://funmeta.oebiotech.com/network/47614", "http://funmeta.oebiotech.com/network/47614")</f>
        <v>http://funmeta.oebiotech.com/network/47614</v>
      </c>
      <c r="H3011" s="2" t="s">
        <v>20017</v>
      </c>
      <c r="I3011" s="2">
        <v>6279</v>
      </c>
      <c r="J3011" s="2"/>
      <c r="K3011" s="2">
        <v>17433</v>
      </c>
      <c r="L3011" s="2" t="s">
        <v>20018</v>
      </c>
      <c r="M3011" s="2"/>
      <c r="N3011" s="2"/>
      <c r="O3011" s="2">
        <v>53477731</v>
      </c>
      <c r="P3011" s="2" t="s">
        <v>20019</v>
      </c>
      <c r="Q3011" s="2" t="s">
        <v>20020</v>
      </c>
      <c r="R3011" s="2" t="s">
        <v>20021</v>
      </c>
      <c r="S3011" s="2" t="s">
        <v>491</v>
      </c>
      <c r="T3011" s="2" t="s">
        <v>20022</v>
      </c>
      <c r="U3011" s="2" t="s">
        <v>20023</v>
      </c>
      <c r="V3011" s="2" t="s">
        <v>59</v>
      </c>
      <c r="W3011" s="2">
        <v>40.4</v>
      </c>
      <c r="X3011" s="2">
        <v>18.3</v>
      </c>
      <c r="Y3011" s="2" t="s">
        <v>560</v>
      </c>
      <c r="Z3011" s="2" t="s">
        <v>20024</v>
      </c>
      <c r="AA3011" s="2">
        <v>1.3216529305329801</v>
      </c>
      <c r="AB3011" s="2">
        <v>0.26441344105582198</v>
      </c>
      <c r="AC3011" s="2">
        <v>16244.587933982401</v>
      </c>
      <c r="AD3011" s="2">
        <v>11246.1891758164</v>
      </c>
      <c r="AE3011" s="2">
        <v>16772.751140791501</v>
      </c>
      <c r="AF3011" s="2">
        <v>13811.4494433809</v>
      </c>
      <c r="AG3011" s="2">
        <v>15421.266904250801</v>
      </c>
      <c r="AH3011" s="2">
        <v>17094.294428133398</v>
      </c>
      <c r="AI3011" s="2">
        <v>16422.122403558598</v>
      </c>
      <c r="AJ3011" s="2">
        <v>17945.6432837795</v>
      </c>
      <c r="AK3011" s="2">
        <v>9989.9366356029004</v>
      </c>
      <c r="AL3011" s="2">
        <v>12115.623074172299</v>
      </c>
      <c r="AM3011" s="2">
        <v>11080.937718925699</v>
      </c>
      <c r="AN3011" s="2">
        <v>10744.894663085901</v>
      </c>
      <c r="AO3011" s="2">
        <v>11869.189551940201</v>
      </c>
      <c r="AP3011" s="2">
        <v>11676.5534111713</v>
      </c>
    </row>
    <row r="3012" spans="1:42" ht="14.5" x14ac:dyDescent="0.35">
      <c r="A3012" s="2" t="s">
        <v>20025</v>
      </c>
      <c r="B3012" s="2">
        <v>539.394030088676</v>
      </c>
      <c r="C3012" s="2">
        <v>11.18065</v>
      </c>
      <c r="D3012" s="2" t="s">
        <v>34</v>
      </c>
      <c r="E3012" s="2" t="s">
        <v>20026</v>
      </c>
      <c r="F3012" s="2">
        <v>10305</v>
      </c>
      <c r="G3012" s="3" t="str">
        <f>HYPERLINK("http://funmeta.oebiotech.com/network/10305", "http://funmeta.oebiotech.com/network/10305")</f>
        <v>http://funmeta.oebiotech.com/network/10305</v>
      </c>
      <c r="H3012" s="2"/>
      <c r="I3012" s="2"/>
      <c r="J3012" s="2" t="s">
        <v>20027</v>
      </c>
      <c r="K3012" s="2">
        <v>79241</v>
      </c>
      <c r="L3012" s="2"/>
      <c r="M3012" s="2"/>
      <c r="N3012" s="2"/>
      <c r="O3012" s="2">
        <v>86289830</v>
      </c>
      <c r="P3012" s="2"/>
      <c r="Q3012" s="2" t="s">
        <v>20028</v>
      </c>
      <c r="R3012" s="2" t="s">
        <v>20029</v>
      </c>
      <c r="S3012" s="2" t="s">
        <v>50</v>
      </c>
      <c r="T3012" s="2" t="s">
        <v>229</v>
      </c>
      <c r="U3012" s="2" t="s">
        <v>433</v>
      </c>
      <c r="V3012" s="2" t="s">
        <v>59</v>
      </c>
      <c r="W3012" s="2">
        <v>42.3</v>
      </c>
      <c r="X3012" s="2">
        <v>25.1</v>
      </c>
      <c r="Y3012" s="2" t="s">
        <v>323</v>
      </c>
      <c r="Z3012" s="2" t="s">
        <v>20030</v>
      </c>
      <c r="AA3012" s="2">
        <v>4.2704583942844696</v>
      </c>
      <c r="AB3012" s="2">
        <v>0.26434441707581002</v>
      </c>
      <c r="AC3012" s="2">
        <v>31862.006203115801</v>
      </c>
      <c r="AD3012" s="2">
        <v>36794.975324271101</v>
      </c>
      <c r="AE3012" s="2">
        <v>31682.958175365198</v>
      </c>
      <c r="AF3012" s="2">
        <v>33723.118131968396</v>
      </c>
      <c r="AG3012" s="2">
        <v>31425.117990906801</v>
      </c>
      <c r="AH3012" s="2">
        <v>31540.261405425401</v>
      </c>
      <c r="AI3012" s="2">
        <v>30664.625879198498</v>
      </c>
      <c r="AJ3012" s="2">
        <v>32135.9556358306</v>
      </c>
      <c r="AK3012" s="2">
        <v>37394.288700694997</v>
      </c>
      <c r="AL3012" s="2">
        <v>35954.10332681</v>
      </c>
      <c r="AM3012" s="2">
        <v>37761.075057585302</v>
      </c>
      <c r="AN3012" s="2">
        <v>35735.9513551036</v>
      </c>
      <c r="AO3012" s="2">
        <v>35890.977958524702</v>
      </c>
      <c r="AP3012" s="2">
        <v>38033.455546908001</v>
      </c>
    </row>
    <row r="3013" spans="1:42" ht="14.5" x14ac:dyDescent="0.35">
      <c r="A3013" s="2" t="s">
        <v>20031</v>
      </c>
      <c r="B3013" s="2">
        <v>895.28245267188402</v>
      </c>
      <c r="C3013" s="2">
        <v>5.4498833333333296</v>
      </c>
      <c r="D3013" s="2" t="s">
        <v>70</v>
      </c>
      <c r="E3013" s="2" t="s">
        <v>20032</v>
      </c>
      <c r="F3013" s="2">
        <v>209990</v>
      </c>
      <c r="G3013" s="3" t="str">
        <f>HYPERLINK("http://funmeta.oebiotech.com/network/209990", "http://funmeta.oebiotech.com/network/209990")</f>
        <v>http://funmeta.oebiotech.com/network/209990</v>
      </c>
      <c r="H3013" s="2" t="s">
        <v>20033</v>
      </c>
      <c r="I3013" s="2">
        <v>322213</v>
      </c>
      <c r="J3013" s="2"/>
      <c r="K3013" s="2"/>
      <c r="L3013" s="2"/>
      <c r="M3013" s="2"/>
      <c r="N3013" s="2"/>
      <c r="O3013" s="2">
        <v>65870</v>
      </c>
      <c r="P3013" s="2"/>
      <c r="Q3013" s="2" t="s">
        <v>20034</v>
      </c>
      <c r="R3013" s="2" t="s">
        <v>20035</v>
      </c>
      <c r="S3013" s="2" t="s">
        <v>89</v>
      </c>
      <c r="T3013" s="2" t="s">
        <v>90</v>
      </c>
      <c r="U3013" s="2" t="s">
        <v>99</v>
      </c>
      <c r="V3013" s="2" t="s">
        <v>59</v>
      </c>
      <c r="W3013" s="2">
        <v>38</v>
      </c>
      <c r="X3013" s="2">
        <v>0</v>
      </c>
      <c r="Y3013" s="2" t="s">
        <v>560</v>
      </c>
      <c r="Z3013" s="2" t="s">
        <v>20036</v>
      </c>
      <c r="AA3013" s="2">
        <v>-1.81571666833564</v>
      </c>
      <c r="AB3013" s="2">
        <v>0.264124872282826</v>
      </c>
      <c r="AC3013" s="2">
        <v>6595.1243944491798</v>
      </c>
      <c r="AD3013" s="2">
        <v>12071.985219340901</v>
      </c>
      <c r="AE3013" s="2">
        <v>5407.7552902015896</v>
      </c>
      <c r="AF3013" s="2">
        <v>6593.3210713114604</v>
      </c>
      <c r="AG3013" s="2">
        <v>6464.9056158262101</v>
      </c>
      <c r="AH3013" s="2">
        <v>8083.1338086403503</v>
      </c>
      <c r="AI3013" s="2">
        <v>5112.0802007330803</v>
      </c>
      <c r="AJ3013" s="2">
        <v>7909.55037998237</v>
      </c>
      <c r="AK3013" s="2">
        <v>10552.940513907901</v>
      </c>
      <c r="AL3013" s="2">
        <v>10854.8856024625</v>
      </c>
      <c r="AM3013" s="2">
        <v>17143.989913532499</v>
      </c>
      <c r="AN3013" s="2">
        <v>11289.823606832901</v>
      </c>
      <c r="AO3013" s="2">
        <v>11490.8161080592</v>
      </c>
      <c r="AP3013" s="2">
        <v>11099.455571250601</v>
      </c>
    </row>
    <row r="3014" spans="1:42" ht="14.5" x14ac:dyDescent="0.35">
      <c r="A3014" s="2" t="s">
        <v>20037</v>
      </c>
      <c r="B3014" s="2">
        <v>685.247273044694</v>
      </c>
      <c r="C3014" s="2">
        <v>6.5939500000000004</v>
      </c>
      <c r="D3014" s="2" t="s">
        <v>70</v>
      </c>
      <c r="E3014" s="2" t="s">
        <v>20038</v>
      </c>
      <c r="F3014" s="2">
        <v>34717</v>
      </c>
      <c r="G3014" s="3" t="str">
        <f>HYPERLINK("http://funmeta.oebiotech.com/network/34717", "http://funmeta.oebiotech.com/network/34717")</f>
        <v>http://funmeta.oebiotech.com/network/34717</v>
      </c>
      <c r="H3014" s="2"/>
      <c r="I3014" s="2"/>
      <c r="J3014" s="2" t="s">
        <v>20039</v>
      </c>
      <c r="K3014" s="2"/>
      <c r="L3014" s="2"/>
      <c r="M3014" s="2"/>
      <c r="N3014" s="2"/>
      <c r="O3014" s="2">
        <v>42608060</v>
      </c>
      <c r="P3014" s="2"/>
      <c r="Q3014" s="2" t="s">
        <v>20040</v>
      </c>
      <c r="R3014" s="2" t="s">
        <v>20041</v>
      </c>
      <c r="S3014" s="2" t="s">
        <v>115</v>
      </c>
      <c r="T3014" s="2" t="s">
        <v>139</v>
      </c>
      <c r="U3014" s="2" t="s">
        <v>8586</v>
      </c>
      <c r="V3014" s="2" t="s">
        <v>59</v>
      </c>
      <c r="W3014" s="2">
        <v>37.299999999999997</v>
      </c>
      <c r="X3014" s="2">
        <v>3.78</v>
      </c>
      <c r="Y3014" s="2" t="s">
        <v>286</v>
      </c>
      <c r="Z3014" s="2" t="s">
        <v>20042</v>
      </c>
      <c r="AA3014" s="2">
        <v>4.3230239013126903</v>
      </c>
      <c r="AB3014" s="2">
        <v>0.26395111748511302</v>
      </c>
      <c r="AC3014" s="2">
        <v>152296.377363198</v>
      </c>
      <c r="AD3014" s="2">
        <v>142787.689489854</v>
      </c>
      <c r="AE3014" s="2">
        <v>151216.08719095099</v>
      </c>
      <c r="AF3014" s="2">
        <v>142279.86617305299</v>
      </c>
      <c r="AG3014" s="2">
        <v>156806.375775419</v>
      </c>
      <c r="AH3014" s="2">
        <v>150850.09342411699</v>
      </c>
      <c r="AI3014" s="2">
        <v>147967.81020117301</v>
      </c>
      <c r="AJ3014" s="2">
        <v>164658.03141447599</v>
      </c>
      <c r="AK3014" s="2">
        <v>151950.310511155</v>
      </c>
      <c r="AL3014" s="2">
        <v>144069.67376716499</v>
      </c>
      <c r="AM3014" s="2">
        <v>159313.456505012</v>
      </c>
      <c r="AN3014" s="2">
        <v>129827.30111887799</v>
      </c>
      <c r="AO3014" s="2">
        <v>136238.68140556201</v>
      </c>
      <c r="AP3014" s="2">
        <v>135326.71363134999</v>
      </c>
    </row>
    <row r="3015" spans="1:42" ht="14.5" x14ac:dyDescent="0.35">
      <c r="A3015" s="2" t="s">
        <v>20043</v>
      </c>
      <c r="B3015" s="2">
        <v>365.18158343174099</v>
      </c>
      <c r="C3015" s="2">
        <v>4.2405333333333299</v>
      </c>
      <c r="D3015" s="2" t="s">
        <v>70</v>
      </c>
      <c r="E3015" s="2" t="s">
        <v>20044</v>
      </c>
      <c r="F3015" s="2">
        <v>10318</v>
      </c>
      <c r="G3015" s="3" t="str">
        <f>HYPERLINK("http://funmeta.oebiotech.com/network/10318", "http://funmeta.oebiotech.com/network/10318")</f>
        <v>http://funmeta.oebiotech.com/network/10318</v>
      </c>
      <c r="H3015" s="2"/>
      <c r="I3015" s="2"/>
      <c r="J3015" s="2" t="s">
        <v>20045</v>
      </c>
      <c r="K3015" s="2">
        <v>79223</v>
      </c>
      <c r="L3015" s="2"/>
      <c r="M3015" s="2"/>
      <c r="N3015" s="2"/>
      <c r="O3015" s="2">
        <v>86289814</v>
      </c>
      <c r="P3015" s="2"/>
      <c r="Q3015" s="2" t="s">
        <v>20046</v>
      </c>
      <c r="R3015" s="2" t="s">
        <v>20047</v>
      </c>
      <c r="S3015" s="2" t="s">
        <v>89</v>
      </c>
      <c r="T3015" s="2" t="s">
        <v>4218</v>
      </c>
      <c r="U3015" s="2" t="s">
        <v>5830</v>
      </c>
      <c r="V3015" s="2" t="s">
        <v>59</v>
      </c>
      <c r="W3015" s="2">
        <v>38.700000000000003</v>
      </c>
      <c r="X3015" s="2">
        <v>0</v>
      </c>
      <c r="Y3015" s="2" t="s">
        <v>408</v>
      </c>
      <c r="Z3015" s="2" t="s">
        <v>20048</v>
      </c>
      <c r="AA3015" s="2">
        <v>-0.383133851483965</v>
      </c>
      <c r="AB3015" s="2">
        <v>0.26381506388201598</v>
      </c>
      <c r="AC3015" s="2">
        <v>16837.710835865801</v>
      </c>
      <c r="AD3015" s="2">
        <v>11967.4616769271</v>
      </c>
      <c r="AE3015" s="2">
        <v>17551.927656780801</v>
      </c>
      <c r="AF3015" s="2">
        <v>14994.3598124526</v>
      </c>
      <c r="AG3015" s="2">
        <v>17073.083763054499</v>
      </c>
      <c r="AH3015" s="2">
        <v>16866.261722839401</v>
      </c>
      <c r="AI3015" s="2">
        <v>16914.402629698601</v>
      </c>
      <c r="AJ3015" s="2">
        <v>17626.229430368901</v>
      </c>
      <c r="AK3015" s="2">
        <v>13372.515944168101</v>
      </c>
      <c r="AL3015" s="2">
        <v>12191.8112619409</v>
      </c>
      <c r="AM3015" s="2">
        <v>12906.872401332401</v>
      </c>
      <c r="AN3015" s="2">
        <v>10856.478015512601</v>
      </c>
      <c r="AO3015" s="2">
        <v>11338.4027138689</v>
      </c>
      <c r="AP3015" s="2">
        <v>11138.689724739699</v>
      </c>
    </row>
    <row r="3016" spans="1:42" ht="14.5" x14ac:dyDescent="0.35">
      <c r="A3016" s="2" t="s">
        <v>20049</v>
      </c>
      <c r="B3016" s="2">
        <v>357.061335059665</v>
      </c>
      <c r="C3016" s="2">
        <v>6.9709833333333302</v>
      </c>
      <c r="D3016" s="2" t="s">
        <v>70</v>
      </c>
      <c r="E3016" s="2" t="s">
        <v>20050</v>
      </c>
      <c r="F3016" s="2">
        <v>266593</v>
      </c>
      <c r="G3016" s="3" t="str">
        <f>HYPERLINK("http://funmeta.oebiotech.com/network/266593", "http://funmeta.oebiotech.com/network/266593")</f>
        <v>http://funmeta.oebiotech.com/network/266593</v>
      </c>
      <c r="H3016" s="2"/>
      <c r="I3016" s="2">
        <v>43642</v>
      </c>
      <c r="J3016" s="2"/>
      <c r="K3016" s="2"/>
      <c r="L3016" s="2"/>
      <c r="M3016" s="2"/>
      <c r="N3016" s="2"/>
      <c r="O3016" s="2">
        <v>23725</v>
      </c>
      <c r="P3016" s="2" t="s">
        <v>20051</v>
      </c>
      <c r="Q3016" s="2" t="s">
        <v>20052</v>
      </c>
      <c r="R3016" s="2" t="s">
        <v>20053</v>
      </c>
      <c r="S3016" s="2" t="s">
        <v>115</v>
      </c>
      <c r="T3016" s="2" t="s">
        <v>2833</v>
      </c>
      <c r="U3016" s="2" t="s">
        <v>41</v>
      </c>
      <c r="V3016" s="2" t="s">
        <v>42</v>
      </c>
      <c r="W3016" s="2">
        <v>52.8</v>
      </c>
      <c r="X3016" s="2">
        <v>68.8</v>
      </c>
      <c r="Y3016" s="2" t="s">
        <v>118</v>
      </c>
      <c r="Z3016" s="2" t="s">
        <v>20054</v>
      </c>
      <c r="AA3016" s="2">
        <v>-0.71470551763761803</v>
      </c>
      <c r="AB3016" s="2">
        <v>0.26373675665381502</v>
      </c>
      <c r="AC3016" s="2">
        <v>47013.229651928501</v>
      </c>
      <c r="AD3016" s="2">
        <v>57281.035609285202</v>
      </c>
      <c r="AE3016" s="2">
        <v>56572.824805271499</v>
      </c>
      <c r="AF3016" s="2">
        <v>58696.312370527601</v>
      </c>
      <c r="AG3016" s="2">
        <v>56592.910160160704</v>
      </c>
      <c r="AH3016" s="2">
        <v>27311.689181209698</v>
      </c>
      <c r="AI3016" s="2">
        <v>27583.672087205199</v>
      </c>
      <c r="AJ3016" s="2">
        <v>55321.969307196101</v>
      </c>
      <c r="AK3016" s="2">
        <v>57787.388402718498</v>
      </c>
      <c r="AL3016" s="2">
        <v>59214.580635397098</v>
      </c>
      <c r="AM3016" s="2">
        <v>59170.088712835197</v>
      </c>
      <c r="AN3016" s="2">
        <v>54105.861460193897</v>
      </c>
      <c r="AO3016" s="2">
        <v>56202.202588767497</v>
      </c>
      <c r="AP3016" s="2">
        <v>57206.091855799103</v>
      </c>
    </row>
    <row r="3017" spans="1:42" ht="14.5" x14ac:dyDescent="0.35">
      <c r="A3017" s="2" t="s">
        <v>20055</v>
      </c>
      <c r="B3017" s="2">
        <v>407.17084835123399</v>
      </c>
      <c r="C3017" s="2">
        <v>7.1213833333333296</v>
      </c>
      <c r="D3017" s="2" t="s">
        <v>70</v>
      </c>
      <c r="E3017" s="2" t="s">
        <v>20056</v>
      </c>
      <c r="F3017" s="2">
        <v>276242</v>
      </c>
      <c r="G3017" s="3" t="str">
        <f>HYPERLINK("http://funmeta.oebiotech.com/network/276242", "http://funmeta.oebiotech.com/network/276242")</f>
        <v>http://funmeta.oebiotech.com/network/276242</v>
      </c>
      <c r="H3017" s="2"/>
      <c r="I3017" s="2">
        <v>67709</v>
      </c>
      <c r="J3017" s="2"/>
      <c r="K3017" s="2"/>
      <c r="L3017" s="2" t="s">
        <v>20057</v>
      </c>
      <c r="M3017" s="2"/>
      <c r="N3017" s="2"/>
      <c r="O3017" s="2">
        <v>442241</v>
      </c>
      <c r="P3017" s="2" t="s">
        <v>20058</v>
      </c>
      <c r="Q3017" s="2" t="s">
        <v>20059</v>
      </c>
      <c r="R3017" s="2" t="s">
        <v>20060</v>
      </c>
      <c r="S3017" s="2" t="s">
        <v>50</v>
      </c>
      <c r="T3017" s="2" t="s">
        <v>201</v>
      </c>
      <c r="U3017" s="2" t="s">
        <v>1217</v>
      </c>
      <c r="V3017" s="2" t="s">
        <v>59</v>
      </c>
      <c r="W3017" s="2">
        <v>38.4</v>
      </c>
      <c r="X3017" s="2">
        <v>0</v>
      </c>
      <c r="Y3017" s="2" t="s">
        <v>408</v>
      </c>
      <c r="Z3017" s="2" t="s">
        <v>4263</v>
      </c>
      <c r="AA3017" s="2">
        <v>-0.80919890803254502</v>
      </c>
      <c r="AB3017" s="2">
        <v>0.26371772404566002</v>
      </c>
      <c r="AC3017" s="2">
        <v>10478.462653353499</v>
      </c>
      <c r="AD3017" s="2">
        <v>5875.5728311399198</v>
      </c>
      <c r="AE3017" s="2">
        <v>10929.765752043801</v>
      </c>
      <c r="AF3017" s="2">
        <v>9872.2694565119491</v>
      </c>
      <c r="AG3017" s="2">
        <v>10557.3412273378</v>
      </c>
      <c r="AH3017" s="2">
        <v>10271.587523349899</v>
      </c>
      <c r="AI3017" s="2">
        <v>10733.1316500213</v>
      </c>
      <c r="AJ3017" s="2">
        <v>10506.6803108565</v>
      </c>
      <c r="AK3017" s="2">
        <v>6080.0344358113198</v>
      </c>
      <c r="AL3017" s="2">
        <v>6136.8451959752101</v>
      </c>
      <c r="AM3017" s="2">
        <v>6006.5815846273199</v>
      </c>
      <c r="AN3017" s="2">
        <v>5801.8701900466504</v>
      </c>
      <c r="AO3017" s="2">
        <v>5388.2179581659402</v>
      </c>
      <c r="AP3017" s="2">
        <v>5839.8876222130502</v>
      </c>
    </row>
    <row r="3018" spans="1:42" ht="14.5" x14ac:dyDescent="0.35">
      <c r="A3018" s="2" t="s">
        <v>20061</v>
      </c>
      <c r="B3018" s="2">
        <v>132.04440218261601</v>
      </c>
      <c r="C3018" s="2">
        <v>3.6614666666666702</v>
      </c>
      <c r="D3018" s="2" t="s">
        <v>34</v>
      </c>
      <c r="E3018" s="2" t="s">
        <v>20062</v>
      </c>
      <c r="F3018" s="2">
        <v>204064</v>
      </c>
      <c r="G3018" s="3" t="str">
        <f>HYPERLINK("http://funmeta.oebiotech.com/network/204064", "http://funmeta.oebiotech.com/network/204064")</f>
        <v>http://funmeta.oebiotech.com/network/204064</v>
      </c>
      <c r="H3018" s="2" t="s">
        <v>20063</v>
      </c>
      <c r="I3018" s="2"/>
      <c r="J3018" s="2"/>
      <c r="K3018" s="2"/>
      <c r="L3018" s="2"/>
      <c r="M3018" s="2"/>
      <c r="N3018" s="2"/>
      <c r="O3018" s="2">
        <v>19937448</v>
      </c>
      <c r="P3018" s="2"/>
      <c r="Q3018" s="2" t="s">
        <v>20064</v>
      </c>
      <c r="R3018" s="2" t="s">
        <v>20065</v>
      </c>
      <c r="S3018" s="2" t="s">
        <v>491</v>
      </c>
      <c r="T3018" s="2" t="s">
        <v>20066</v>
      </c>
      <c r="U3018" s="2" t="s">
        <v>41</v>
      </c>
      <c r="V3018" s="2" t="s">
        <v>59</v>
      </c>
      <c r="W3018" s="2">
        <v>40.9</v>
      </c>
      <c r="X3018" s="2">
        <v>6.57</v>
      </c>
      <c r="Y3018" s="2" t="s">
        <v>141</v>
      </c>
      <c r="Z3018" s="2" t="s">
        <v>20067</v>
      </c>
      <c r="AA3018" s="2">
        <v>8.0271000833343001E-2</v>
      </c>
      <c r="AB3018" s="2">
        <v>0.26366880833505602</v>
      </c>
      <c r="AC3018" s="2">
        <v>7373.2489834155804</v>
      </c>
      <c r="AD3018" s="2">
        <v>2680.7839248139098</v>
      </c>
      <c r="AE3018" s="2">
        <v>6639.2732140921498</v>
      </c>
      <c r="AF3018" s="2">
        <v>7904.5941515696504</v>
      </c>
      <c r="AG3018" s="2">
        <v>7485.8668314448196</v>
      </c>
      <c r="AH3018" s="2">
        <v>7488.9227684254602</v>
      </c>
      <c r="AI3018" s="2">
        <v>8449.6166895136103</v>
      </c>
      <c r="AJ3018" s="2">
        <v>6271.2202454477901</v>
      </c>
      <c r="AK3018" s="2">
        <v>3012.57362120465</v>
      </c>
      <c r="AL3018" s="2">
        <v>2431.47431513622</v>
      </c>
      <c r="AM3018" s="2">
        <v>2769.8140517627098</v>
      </c>
      <c r="AN3018" s="2">
        <v>2748.4631509947299</v>
      </c>
      <c r="AO3018" s="2">
        <v>2542.9153915399002</v>
      </c>
      <c r="AP3018" s="2">
        <v>2579.4630182452502</v>
      </c>
    </row>
    <row r="3019" spans="1:42" ht="14.5" x14ac:dyDescent="0.35">
      <c r="A3019" s="2" t="s">
        <v>20068</v>
      </c>
      <c r="B3019" s="2">
        <v>801.29849430538798</v>
      </c>
      <c r="C3019" s="2">
        <v>4.3459666666666701</v>
      </c>
      <c r="D3019" s="2" t="s">
        <v>70</v>
      </c>
      <c r="E3019" s="2" t="s">
        <v>20069</v>
      </c>
      <c r="F3019" s="2">
        <v>207897</v>
      </c>
      <c r="G3019" s="3" t="str">
        <f>HYPERLINK("http://funmeta.oebiotech.com/network/207897", "http://funmeta.oebiotech.com/network/207897")</f>
        <v>http://funmeta.oebiotech.com/network/207897</v>
      </c>
      <c r="H3019" s="2" t="s">
        <v>20070</v>
      </c>
      <c r="I3019" s="2"/>
      <c r="J3019" s="2"/>
      <c r="K3019" s="2"/>
      <c r="L3019" s="2"/>
      <c r="M3019" s="2"/>
      <c r="N3019" s="2"/>
      <c r="O3019" s="2">
        <v>56971</v>
      </c>
      <c r="P3019" s="2"/>
      <c r="Q3019" s="2" t="s">
        <v>20071</v>
      </c>
      <c r="R3019" s="2" t="s">
        <v>20072</v>
      </c>
      <c r="S3019" s="2" t="s">
        <v>491</v>
      </c>
      <c r="T3019" s="2" t="s">
        <v>5190</v>
      </c>
      <c r="U3019" s="2" t="s">
        <v>5191</v>
      </c>
      <c r="V3019" s="2" t="s">
        <v>59</v>
      </c>
      <c r="W3019" s="2">
        <v>38</v>
      </c>
      <c r="X3019" s="2">
        <v>0</v>
      </c>
      <c r="Y3019" s="2" t="s">
        <v>560</v>
      </c>
      <c r="Z3019" s="2" t="s">
        <v>20073</v>
      </c>
      <c r="AA3019" s="2">
        <v>1.8066670826851501</v>
      </c>
      <c r="AB3019" s="2">
        <v>0.26337101364227999</v>
      </c>
      <c r="AC3019" s="2">
        <v>8652.7046746946598</v>
      </c>
      <c r="AD3019" s="2">
        <v>15089.5151948046</v>
      </c>
      <c r="AE3019" s="2">
        <v>7852.2191950001998</v>
      </c>
      <c r="AF3019" s="2">
        <v>11056.9876808586</v>
      </c>
      <c r="AG3019" s="2">
        <v>5483.7710950190503</v>
      </c>
      <c r="AH3019" s="2">
        <v>8911.0867098719009</v>
      </c>
      <c r="AI3019" s="2">
        <v>9250.8283614151806</v>
      </c>
      <c r="AJ3019" s="2">
        <v>9361.3350060030407</v>
      </c>
      <c r="AK3019" s="2">
        <v>19801.2292917614</v>
      </c>
      <c r="AL3019" s="2">
        <v>16807.191244864502</v>
      </c>
      <c r="AM3019" s="2">
        <v>7878.3394542285596</v>
      </c>
      <c r="AN3019" s="2">
        <v>12387.7167999421</v>
      </c>
      <c r="AO3019" s="2">
        <v>14236.1849979087</v>
      </c>
      <c r="AP3019" s="2">
        <v>19426.429380122201</v>
      </c>
    </row>
    <row r="3020" spans="1:42" ht="14.5" x14ac:dyDescent="0.35">
      <c r="A3020" s="2" t="s">
        <v>20074</v>
      </c>
      <c r="B3020" s="2">
        <v>393.00330407399002</v>
      </c>
      <c r="C3020" s="2">
        <v>3.25416666666667</v>
      </c>
      <c r="D3020" s="2" t="s">
        <v>34</v>
      </c>
      <c r="E3020" s="2" t="s">
        <v>20075</v>
      </c>
      <c r="F3020" s="2">
        <v>82012</v>
      </c>
      <c r="G3020" s="3" t="str">
        <f>HYPERLINK("http://funmeta.oebiotech.com/network/82012", "http://funmeta.oebiotech.com/network/82012")</f>
        <v>http://funmeta.oebiotech.com/network/82012</v>
      </c>
      <c r="H3020" s="2" t="s">
        <v>20076</v>
      </c>
      <c r="I3020" s="2"/>
      <c r="J3020" s="2"/>
      <c r="K3020" s="2">
        <v>88749</v>
      </c>
      <c r="L3020" s="2"/>
      <c r="M3020" s="2"/>
      <c r="N3020" s="2"/>
      <c r="O3020" s="2">
        <v>122231132</v>
      </c>
      <c r="P3020" s="2"/>
      <c r="Q3020" s="2" t="s">
        <v>20077</v>
      </c>
      <c r="R3020" s="2" t="s">
        <v>20078</v>
      </c>
      <c r="S3020" s="2" t="s">
        <v>115</v>
      </c>
      <c r="T3020" s="2" t="s">
        <v>12600</v>
      </c>
      <c r="U3020" s="2" t="s">
        <v>12601</v>
      </c>
      <c r="V3020" s="2" t="s">
        <v>59</v>
      </c>
      <c r="W3020" s="2">
        <v>36.799999999999997</v>
      </c>
      <c r="X3020" s="2">
        <v>0</v>
      </c>
      <c r="Y3020" s="2" t="s">
        <v>340</v>
      </c>
      <c r="Z3020" s="2" t="s">
        <v>20079</v>
      </c>
      <c r="AA3020" s="2">
        <v>-2.2381916450444899</v>
      </c>
      <c r="AB3020" s="2">
        <v>0.26307411445483397</v>
      </c>
      <c r="AC3020" s="2">
        <v>11931.0232427424</v>
      </c>
      <c r="AD3020" s="2">
        <v>17174.002339935701</v>
      </c>
      <c r="AE3020" s="2">
        <v>12671.8601679604</v>
      </c>
      <c r="AF3020" s="2">
        <v>12187.625255471199</v>
      </c>
      <c r="AG3020" s="2">
        <v>11218.231078036501</v>
      </c>
      <c r="AH3020" s="2">
        <v>11650.390681824199</v>
      </c>
      <c r="AI3020" s="2">
        <v>11315.068577435801</v>
      </c>
      <c r="AJ3020" s="2">
        <v>12542.963695726199</v>
      </c>
      <c r="AK3020" s="2">
        <v>19464.5594523006</v>
      </c>
      <c r="AL3020" s="2">
        <v>19511.6294608272</v>
      </c>
      <c r="AM3020" s="2">
        <v>17313.5213537952</v>
      </c>
      <c r="AN3020" s="2">
        <v>16091.950249629401</v>
      </c>
      <c r="AO3020" s="2">
        <v>17039.003802074101</v>
      </c>
      <c r="AP3020" s="2">
        <v>13623.3497209876</v>
      </c>
    </row>
    <row r="3021" spans="1:42" ht="14.5" x14ac:dyDescent="0.35">
      <c r="A3021" s="2" t="s">
        <v>20080</v>
      </c>
      <c r="B3021" s="2">
        <v>615.32837824615001</v>
      </c>
      <c r="C3021" s="2">
        <v>7.7996333333333299</v>
      </c>
      <c r="D3021" s="2" t="s">
        <v>70</v>
      </c>
      <c r="E3021" s="2" t="s">
        <v>20081</v>
      </c>
      <c r="F3021" s="2">
        <v>215790</v>
      </c>
      <c r="G3021" s="3" t="str">
        <f>HYPERLINK("http://funmeta.oebiotech.com/network/215790", "http://funmeta.oebiotech.com/network/215790")</f>
        <v>http://funmeta.oebiotech.com/network/215790</v>
      </c>
      <c r="H3021" s="2" t="s">
        <v>20082</v>
      </c>
      <c r="I3021" s="2"/>
      <c r="J3021" s="2"/>
      <c r="K3021" s="2"/>
      <c r="L3021" s="2"/>
      <c r="M3021" s="2"/>
      <c r="N3021" s="2"/>
      <c r="O3021" s="2"/>
      <c r="P3021" s="2"/>
      <c r="Q3021" s="2" t="s">
        <v>20083</v>
      </c>
      <c r="R3021" s="2" t="s">
        <v>20084</v>
      </c>
      <c r="S3021" s="2" t="s">
        <v>41</v>
      </c>
      <c r="T3021" s="2" t="s">
        <v>41</v>
      </c>
      <c r="U3021" s="2" t="s">
        <v>41</v>
      </c>
      <c r="V3021" s="2" t="s">
        <v>59</v>
      </c>
      <c r="W3021" s="2">
        <v>39</v>
      </c>
      <c r="X3021" s="2">
        <v>1.94</v>
      </c>
      <c r="Y3021" s="2" t="s">
        <v>751</v>
      </c>
      <c r="Z3021" s="2" t="s">
        <v>20085</v>
      </c>
      <c r="AA3021" s="2">
        <v>-3.1210664148882001</v>
      </c>
      <c r="AB3021" s="2">
        <v>0.262950334843155</v>
      </c>
      <c r="AC3021" s="2">
        <v>3347.78008216338</v>
      </c>
      <c r="AD3021" s="2">
        <v>7917.27628601179</v>
      </c>
      <c r="AE3021" s="2">
        <v>3448.2247815904698</v>
      </c>
      <c r="AF3021" s="2">
        <v>3464.2461164019201</v>
      </c>
      <c r="AG3021" s="2">
        <v>3594.11776602092</v>
      </c>
      <c r="AH3021" s="2">
        <v>3477.7945361383299</v>
      </c>
      <c r="AI3021" s="2">
        <v>3035.1029132748199</v>
      </c>
      <c r="AJ3021" s="2">
        <v>3067.19437955381</v>
      </c>
      <c r="AK3021" s="2">
        <v>7939.4047343357097</v>
      </c>
      <c r="AL3021" s="2">
        <v>8066.5548281247102</v>
      </c>
      <c r="AM3021" s="2">
        <v>7522.3921096034501</v>
      </c>
      <c r="AN3021" s="2">
        <v>7955.54799773991</v>
      </c>
      <c r="AO3021" s="2">
        <v>7678.6175997303499</v>
      </c>
      <c r="AP3021" s="2">
        <v>8341.1404465366195</v>
      </c>
    </row>
    <row r="3022" spans="1:42" ht="14.5" x14ac:dyDescent="0.35">
      <c r="A3022" s="2" t="s">
        <v>20086</v>
      </c>
      <c r="B3022" s="2">
        <v>595.28770775904002</v>
      </c>
      <c r="C3022" s="2">
        <v>9.5986833333333301</v>
      </c>
      <c r="D3022" s="2" t="s">
        <v>34</v>
      </c>
      <c r="E3022" s="2" t="s">
        <v>20087</v>
      </c>
      <c r="F3022" s="2">
        <v>212730</v>
      </c>
      <c r="G3022" s="3" t="str">
        <f>HYPERLINK("http://funmeta.oebiotech.com/network/212730", "http://funmeta.oebiotech.com/network/212730")</f>
        <v>http://funmeta.oebiotech.com/network/212730</v>
      </c>
      <c r="H3022" s="2" t="s">
        <v>20088</v>
      </c>
      <c r="I3022" s="2"/>
      <c r="J3022" s="2"/>
      <c r="K3022" s="2"/>
      <c r="L3022" s="2"/>
      <c r="M3022" s="2"/>
      <c r="N3022" s="2"/>
      <c r="O3022" s="2">
        <v>19008583</v>
      </c>
      <c r="P3022" s="2"/>
      <c r="Q3022" s="2" t="s">
        <v>20089</v>
      </c>
      <c r="R3022" s="2" t="s">
        <v>20090</v>
      </c>
      <c r="S3022" s="2" t="s">
        <v>41</v>
      </c>
      <c r="T3022" s="2" t="s">
        <v>41</v>
      </c>
      <c r="U3022" s="2" t="s">
        <v>41</v>
      </c>
      <c r="V3022" s="2" t="s">
        <v>59</v>
      </c>
      <c r="W3022" s="2">
        <v>40.1</v>
      </c>
      <c r="X3022" s="2">
        <v>13.6</v>
      </c>
      <c r="Y3022" s="2" t="s">
        <v>67</v>
      </c>
      <c r="Z3022" s="2" t="s">
        <v>20091</v>
      </c>
      <c r="AA3022" s="2">
        <v>0.393320627386189</v>
      </c>
      <c r="AB3022" s="2">
        <v>0.26279211024126697</v>
      </c>
      <c r="AC3022" s="2">
        <v>7917.1846470501296</v>
      </c>
      <c r="AD3022" s="2">
        <v>2971.8476264936098</v>
      </c>
      <c r="AE3022" s="2">
        <v>8537.1945017504204</v>
      </c>
      <c r="AF3022" s="2">
        <v>8779.2944599452403</v>
      </c>
      <c r="AG3022" s="2">
        <v>8619.6476452336392</v>
      </c>
      <c r="AH3022" s="2">
        <v>8958.6084337151497</v>
      </c>
      <c r="AI3022" s="2">
        <v>5509.98065127678</v>
      </c>
      <c r="AJ3022" s="2">
        <v>7098.3821903795297</v>
      </c>
      <c r="AK3022" s="2">
        <v>2487.4247771503601</v>
      </c>
      <c r="AL3022" s="2">
        <v>2246.0380339051198</v>
      </c>
      <c r="AM3022" s="2">
        <v>4817.56789932634</v>
      </c>
      <c r="AN3022" s="2">
        <v>2086.5789575006502</v>
      </c>
      <c r="AO3022" s="2">
        <v>3770.52445782318</v>
      </c>
      <c r="AP3022" s="2">
        <v>2422.9516332559801</v>
      </c>
    </row>
    <row r="3023" spans="1:42" ht="14.5" x14ac:dyDescent="0.35">
      <c r="A3023" s="2" t="s">
        <v>20092</v>
      </c>
      <c r="B3023" s="2">
        <v>459.27379637729803</v>
      </c>
      <c r="C3023" s="2">
        <v>6.484</v>
      </c>
      <c r="D3023" s="2" t="s">
        <v>34</v>
      </c>
      <c r="E3023" s="2" t="s">
        <v>20093</v>
      </c>
      <c r="F3023" s="2">
        <v>61143</v>
      </c>
      <c r="G3023" s="3" t="str">
        <f>HYPERLINK("http://funmeta.oebiotech.com/network/61143", "http://funmeta.oebiotech.com/network/61143")</f>
        <v>http://funmeta.oebiotech.com/network/61143</v>
      </c>
      <c r="H3023" s="2" t="s">
        <v>20094</v>
      </c>
      <c r="I3023" s="2"/>
      <c r="J3023" s="2"/>
      <c r="K3023" s="2"/>
      <c r="L3023" s="2"/>
      <c r="M3023" s="2"/>
      <c r="N3023" s="2"/>
      <c r="O3023" s="2">
        <v>85288059</v>
      </c>
      <c r="P3023" s="2" t="s">
        <v>20095</v>
      </c>
      <c r="Q3023" s="2" t="s">
        <v>20096</v>
      </c>
      <c r="R3023" s="2" t="s">
        <v>20097</v>
      </c>
      <c r="S3023" s="2" t="s">
        <v>50</v>
      </c>
      <c r="T3023" s="2" t="s">
        <v>201</v>
      </c>
      <c r="U3023" s="2" t="s">
        <v>210</v>
      </c>
      <c r="V3023" s="2" t="s">
        <v>59</v>
      </c>
      <c r="W3023" s="2">
        <v>37.200000000000003</v>
      </c>
      <c r="X3023" s="2">
        <v>0</v>
      </c>
      <c r="Y3023" s="2" t="s">
        <v>394</v>
      </c>
      <c r="Z3023" s="2" t="s">
        <v>20098</v>
      </c>
      <c r="AA3023" s="2">
        <v>-0.69608074346238202</v>
      </c>
      <c r="AB3023" s="2">
        <v>0.26268431110585699</v>
      </c>
      <c r="AC3023" s="2">
        <v>5681.9925013101301</v>
      </c>
      <c r="AD3023" s="2">
        <v>11068.396982148801</v>
      </c>
      <c r="AE3023" s="2">
        <v>5564.3359745626904</v>
      </c>
      <c r="AF3023" s="2">
        <v>4539.5658002564796</v>
      </c>
      <c r="AG3023" s="2">
        <v>6716.3337585192003</v>
      </c>
      <c r="AH3023" s="2">
        <v>5273.6540619542202</v>
      </c>
      <c r="AI3023" s="2">
        <v>4499.7601023029001</v>
      </c>
      <c r="AJ3023" s="2">
        <v>7498.3053102653103</v>
      </c>
      <c r="AK3023" s="2">
        <v>12598.414784385701</v>
      </c>
      <c r="AL3023" s="2">
        <v>9702.0846417625398</v>
      </c>
      <c r="AM3023" s="2">
        <v>14278.648963679399</v>
      </c>
      <c r="AN3023" s="2">
        <v>7799.2385865289198</v>
      </c>
      <c r="AO3023" s="2">
        <v>12239.005236549399</v>
      </c>
      <c r="AP3023" s="2">
        <v>9792.9896799869002</v>
      </c>
    </row>
    <row r="3024" spans="1:42" ht="14.5" x14ac:dyDescent="0.35">
      <c r="A3024" s="2" t="s">
        <v>20099</v>
      </c>
      <c r="B3024" s="2">
        <v>993.483159471828</v>
      </c>
      <c r="C3024" s="2">
        <v>9.3124666666666691</v>
      </c>
      <c r="D3024" s="2" t="s">
        <v>34</v>
      </c>
      <c r="E3024" s="2" t="s">
        <v>20100</v>
      </c>
      <c r="F3024" s="2">
        <v>226359</v>
      </c>
      <c r="G3024" s="3" t="str">
        <f>HYPERLINK("http://funmeta.oebiotech.com/network/226359", "http://funmeta.oebiotech.com/network/226359")</f>
        <v>http://funmeta.oebiotech.com/network/226359</v>
      </c>
      <c r="H3024" s="2" t="s">
        <v>20101</v>
      </c>
      <c r="I3024" s="2"/>
      <c r="J3024" s="2"/>
      <c r="K3024" s="2"/>
      <c r="L3024" s="2"/>
      <c r="M3024" s="2"/>
      <c r="N3024" s="2"/>
      <c r="O3024" s="2"/>
      <c r="P3024" s="2"/>
      <c r="Q3024" s="2" t="s">
        <v>20102</v>
      </c>
      <c r="R3024" s="2" t="s">
        <v>20103</v>
      </c>
      <c r="S3024" s="2" t="s">
        <v>41</v>
      </c>
      <c r="T3024" s="2" t="s">
        <v>41</v>
      </c>
      <c r="U3024" s="2" t="s">
        <v>41</v>
      </c>
      <c r="V3024" s="2" t="s">
        <v>59</v>
      </c>
      <c r="W3024" s="2">
        <v>37.6</v>
      </c>
      <c r="X3024" s="2">
        <v>0</v>
      </c>
      <c r="Y3024" s="2" t="s">
        <v>340</v>
      </c>
      <c r="Z3024" s="2" t="s">
        <v>20104</v>
      </c>
      <c r="AA3024" s="2">
        <v>-3.6232477849006601</v>
      </c>
      <c r="AB3024" s="2">
        <v>0.26245799160769701</v>
      </c>
      <c r="AC3024" s="2">
        <v>7256.9598074231499</v>
      </c>
      <c r="AD3024" s="2">
        <v>2583.53702170722</v>
      </c>
      <c r="AE3024" s="2">
        <v>8422.7784561072094</v>
      </c>
      <c r="AF3024" s="2">
        <v>6590.8557350081401</v>
      </c>
      <c r="AG3024" s="2">
        <v>6498.1856210148098</v>
      </c>
      <c r="AH3024" s="2">
        <v>7796.0851548722303</v>
      </c>
      <c r="AI3024" s="2">
        <v>7507.3282548991101</v>
      </c>
      <c r="AJ3024" s="2">
        <v>6726.5256226373704</v>
      </c>
      <c r="AK3024" s="2">
        <v>3107.4621805191</v>
      </c>
      <c r="AL3024" s="2">
        <v>3356.7234689704301</v>
      </c>
      <c r="AM3024" s="2">
        <v>1847.75214509843</v>
      </c>
      <c r="AN3024" s="2">
        <v>2266.3428947806001</v>
      </c>
      <c r="AO3024" s="2">
        <v>2339.9439961821099</v>
      </c>
      <c r="AP3024" s="2">
        <v>2582.9974446926799</v>
      </c>
    </row>
    <row r="3025" spans="1:42" ht="14.5" x14ac:dyDescent="0.35">
      <c r="A3025" s="2" t="s">
        <v>20105</v>
      </c>
      <c r="B3025" s="2">
        <v>431.05918589078902</v>
      </c>
      <c r="C3025" s="2">
        <v>3.3893833333333299</v>
      </c>
      <c r="D3025" s="2" t="s">
        <v>70</v>
      </c>
      <c r="E3025" s="2" t="s">
        <v>20106</v>
      </c>
      <c r="F3025" s="2">
        <v>209138</v>
      </c>
      <c r="G3025" s="3" t="str">
        <f>HYPERLINK("http://funmeta.oebiotech.com/network/209138", "http://funmeta.oebiotech.com/network/209138")</f>
        <v>http://funmeta.oebiotech.com/network/209138</v>
      </c>
      <c r="H3025" s="2" t="s">
        <v>20107</v>
      </c>
      <c r="I3025" s="2"/>
      <c r="J3025" s="2"/>
      <c r="K3025" s="2">
        <v>68538</v>
      </c>
      <c r="L3025" s="2"/>
      <c r="M3025" s="2"/>
      <c r="N3025" s="2"/>
      <c r="O3025" s="2"/>
      <c r="P3025" s="2"/>
      <c r="Q3025" s="2" t="s">
        <v>20108</v>
      </c>
      <c r="R3025" s="2" t="s">
        <v>20109</v>
      </c>
      <c r="S3025" s="2" t="s">
        <v>491</v>
      </c>
      <c r="T3025" s="2" t="s">
        <v>3479</v>
      </c>
      <c r="U3025" s="2" t="s">
        <v>13711</v>
      </c>
      <c r="V3025" s="2" t="s">
        <v>59</v>
      </c>
      <c r="W3025" s="2">
        <v>44.2</v>
      </c>
      <c r="X3025" s="2">
        <v>40.200000000000003</v>
      </c>
      <c r="Y3025" s="2" t="s">
        <v>751</v>
      </c>
      <c r="Z3025" s="2" t="s">
        <v>20110</v>
      </c>
      <c r="AA3025" s="2">
        <v>-0.73893188309229596</v>
      </c>
      <c r="AB3025" s="2">
        <v>0.26245663036533601</v>
      </c>
      <c r="AC3025" s="2">
        <v>65916.707003903706</v>
      </c>
      <c r="AD3025" s="2">
        <v>60074.950182853201</v>
      </c>
      <c r="AE3025" s="2">
        <v>66376.132990101105</v>
      </c>
      <c r="AF3025" s="2">
        <v>63456.4687405925</v>
      </c>
      <c r="AG3025" s="2">
        <v>64285.591589621697</v>
      </c>
      <c r="AH3025" s="2">
        <v>66687.190449671805</v>
      </c>
      <c r="AI3025" s="2">
        <v>70200.541927526996</v>
      </c>
      <c r="AJ3025" s="2">
        <v>64494.316325908301</v>
      </c>
      <c r="AK3025" s="2">
        <v>58227.796057422303</v>
      </c>
      <c r="AL3025" s="2">
        <v>57900.677683012596</v>
      </c>
      <c r="AM3025" s="2">
        <v>60529.554787963702</v>
      </c>
      <c r="AN3025" s="2">
        <v>63953.660439296698</v>
      </c>
      <c r="AO3025" s="2">
        <v>62086.614504315701</v>
      </c>
      <c r="AP3025" s="2">
        <v>57751.3976251083</v>
      </c>
    </row>
    <row r="3026" spans="1:42" ht="14.5" x14ac:dyDescent="0.35">
      <c r="A3026" s="2" t="s">
        <v>20111</v>
      </c>
      <c r="B3026" s="2">
        <v>977.24961876906195</v>
      </c>
      <c r="C3026" s="2">
        <v>4.4886999999999997</v>
      </c>
      <c r="D3026" s="2" t="s">
        <v>70</v>
      </c>
      <c r="E3026" s="2" t="s">
        <v>20112</v>
      </c>
      <c r="F3026" s="2">
        <v>61000</v>
      </c>
      <c r="G3026" s="3" t="str">
        <f>HYPERLINK("http://funmeta.oebiotech.com/network/61000", "http://funmeta.oebiotech.com/network/61000")</f>
        <v>http://funmeta.oebiotech.com/network/61000</v>
      </c>
      <c r="H3026" s="2" t="s">
        <v>20113</v>
      </c>
      <c r="I3026" s="2">
        <v>92343</v>
      </c>
      <c r="J3026" s="2"/>
      <c r="K3026" s="2"/>
      <c r="L3026" s="2"/>
      <c r="M3026" s="2"/>
      <c r="N3026" s="2"/>
      <c r="O3026" s="2">
        <v>131752189</v>
      </c>
      <c r="P3026" s="2" t="s">
        <v>20114</v>
      </c>
      <c r="Q3026" s="2" t="s">
        <v>20115</v>
      </c>
      <c r="R3026" s="2" t="s">
        <v>20116</v>
      </c>
      <c r="S3026" s="2" t="s">
        <v>115</v>
      </c>
      <c r="T3026" s="2" t="s">
        <v>139</v>
      </c>
      <c r="U3026" s="2" t="s">
        <v>140</v>
      </c>
      <c r="V3026" s="2" t="s">
        <v>59</v>
      </c>
      <c r="W3026" s="2">
        <v>36.799999999999997</v>
      </c>
      <c r="X3026" s="2">
        <v>0</v>
      </c>
      <c r="Y3026" s="2" t="s">
        <v>118</v>
      </c>
      <c r="Z3026" s="2" t="s">
        <v>20117</v>
      </c>
      <c r="AA3026" s="2">
        <v>-7.3823534062031699</v>
      </c>
      <c r="AB3026" s="2">
        <v>0.262367716494668</v>
      </c>
      <c r="AC3026" s="2">
        <v>20256.837842854999</v>
      </c>
      <c r="AD3026" s="2">
        <v>13727.5871432774</v>
      </c>
      <c r="AE3026" s="2">
        <v>18717.702014358001</v>
      </c>
      <c r="AF3026" s="2">
        <v>21022.358106760101</v>
      </c>
      <c r="AG3026" s="2">
        <v>17288.932052300901</v>
      </c>
      <c r="AH3026" s="2">
        <v>20133.011335316802</v>
      </c>
      <c r="AI3026" s="2">
        <v>28336.5704033371</v>
      </c>
      <c r="AJ3026" s="2">
        <v>16042.453145057099</v>
      </c>
      <c r="AK3026" s="2">
        <v>10481.114492946001</v>
      </c>
      <c r="AL3026" s="2">
        <v>13998.3444871711</v>
      </c>
      <c r="AM3026" s="2">
        <v>16793.7544169916</v>
      </c>
      <c r="AN3026" s="2">
        <v>16343.632463226701</v>
      </c>
      <c r="AO3026" s="2">
        <v>13605.386203184</v>
      </c>
      <c r="AP3026" s="2">
        <v>11143.2907961449</v>
      </c>
    </row>
    <row r="3027" spans="1:42" ht="14.5" x14ac:dyDescent="0.35">
      <c r="A3027" s="2" t="s">
        <v>20118</v>
      </c>
      <c r="B3027" s="2">
        <v>192.15941850124301</v>
      </c>
      <c r="C3027" s="2">
        <v>1.06171666666667</v>
      </c>
      <c r="D3027" s="2" t="s">
        <v>34</v>
      </c>
      <c r="E3027" s="2" t="s">
        <v>20119</v>
      </c>
      <c r="F3027" s="2">
        <v>302969</v>
      </c>
      <c r="G3027" s="3" t="str">
        <f>HYPERLINK("http://funmeta.oebiotech.com/network/302969", "http://funmeta.oebiotech.com/network/302969")</f>
        <v>http://funmeta.oebiotech.com/network/302969</v>
      </c>
      <c r="H3027" s="2"/>
      <c r="I3027" s="2">
        <v>328845</v>
      </c>
      <c r="J3027" s="2"/>
      <c r="K3027" s="2"/>
      <c r="L3027" s="2"/>
      <c r="M3027" s="2"/>
      <c r="N3027" s="2"/>
      <c r="O3027" s="2">
        <v>12683</v>
      </c>
      <c r="P3027" s="2"/>
      <c r="Q3027" s="2" t="s">
        <v>20120</v>
      </c>
      <c r="R3027" s="2" t="s">
        <v>20121</v>
      </c>
      <c r="S3027" s="2" t="s">
        <v>79</v>
      </c>
      <c r="T3027" s="2" t="s">
        <v>80</v>
      </c>
      <c r="U3027" s="2" t="s">
        <v>249</v>
      </c>
      <c r="V3027" s="2" t="s">
        <v>59</v>
      </c>
      <c r="W3027" s="2">
        <v>39.6</v>
      </c>
      <c r="X3027" s="2">
        <v>0</v>
      </c>
      <c r="Y3027" s="2" t="s">
        <v>470</v>
      </c>
      <c r="Z3027" s="2" t="s">
        <v>20122</v>
      </c>
      <c r="AA3027" s="2">
        <v>-8.4117284718758407E-3</v>
      </c>
      <c r="AB3027" s="2">
        <v>0.26226940398815302</v>
      </c>
      <c r="AC3027" s="2">
        <v>25533.3585868234</v>
      </c>
      <c r="AD3027" s="2">
        <v>30853.621960312299</v>
      </c>
      <c r="AE3027" s="2">
        <v>28533.1822526334</v>
      </c>
      <c r="AF3027" s="2">
        <v>26751.772610714601</v>
      </c>
      <c r="AG3027" s="2">
        <v>24177.0659546149</v>
      </c>
      <c r="AH3027" s="2">
        <v>23558.281490109199</v>
      </c>
      <c r="AI3027" s="2">
        <v>23500.0438287539</v>
      </c>
      <c r="AJ3027" s="2">
        <v>26679.805384114399</v>
      </c>
      <c r="AK3027" s="2">
        <v>30165.593755099198</v>
      </c>
      <c r="AL3027" s="2">
        <v>29984.2701896326</v>
      </c>
      <c r="AM3027" s="2">
        <v>28764.6010975063</v>
      </c>
      <c r="AN3027" s="2">
        <v>32499.448287868901</v>
      </c>
      <c r="AO3027" s="2">
        <v>31974.082862105399</v>
      </c>
      <c r="AP3027" s="2">
        <v>31733.735569661199</v>
      </c>
    </row>
    <row r="3028" spans="1:42" ht="14.5" x14ac:dyDescent="0.35">
      <c r="A3028" s="2" t="s">
        <v>20123</v>
      </c>
      <c r="B3028" s="2">
        <v>711.24232600452297</v>
      </c>
      <c r="C3028" s="2">
        <v>8.2186333333333295</v>
      </c>
      <c r="D3028" s="2" t="s">
        <v>70</v>
      </c>
      <c r="E3028" s="2" t="s">
        <v>20124</v>
      </c>
      <c r="F3028" s="2">
        <v>54413</v>
      </c>
      <c r="G3028" s="3" t="str">
        <f>HYPERLINK("http://funmeta.oebiotech.com/network/54413", "http://funmeta.oebiotech.com/network/54413")</f>
        <v>http://funmeta.oebiotech.com/network/54413</v>
      </c>
      <c r="H3028" s="2" t="s">
        <v>20125</v>
      </c>
      <c r="I3028" s="2">
        <v>86284</v>
      </c>
      <c r="J3028" s="2"/>
      <c r="K3028" s="2">
        <v>172581</v>
      </c>
      <c r="L3028" s="2"/>
      <c r="M3028" s="2"/>
      <c r="N3028" s="2"/>
      <c r="O3028" s="2">
        <v>130679</v>
      </c>
      <c r="P3028" s="2" t="s">
        <v>20126</v>
      </c>
      <c r="Q3028" s="2" t="s">
        <v>20127</v>
      </c>
      <c r="R3028" s="2" t="s">
        <v>20128</v>
      </c>
      <c r="S3028" s="2" t="s">
        <v>1184</v>
      </c>
      <c r="T3028" s="2" t="s">
        <v>3333</v>
      </c>
      <c r="U3028" s="2" t="s">
        <v>41</v>
      </c>
      <c r="V3028" s="2" t="s">
        <v>42</v>
      </c>
      <c r="W3028" s="2">
        <v>52.1</v>
      </c>
      <c r="X3028" s="2">
        <v>84.2</v>
      </c>
      <c r="Y3028" s="2" t="s">
        <v>560</v>
      </c>
      <c r="Z3028" s="2" t="s">
        <v>1951</v>
      </c>
      <c r="AA3028" s="2">
        <v>-3.3334846014200998</v>
      </c>
      <c r="AB3028" s="2">
        <v>0.262213116074621</v>
      </c>
      <c r="AC3028" s="2">
        <v>17534.802403854599</v>
      </c>
      <c r="AD3028" s="2">
        <v>22698.737878182201</v>
      </c>
      <c r="AE3028" s="2">
        <v>17860.1941504606</v>
      </c>
      <c r="AF3028" s="2">
        <v>14774.987560519499</v>
      </c>
      <c r="AG3028" s="2">
        <v>16811.567475381798</v>
      </c>
      <c r="AH3028" s="2">
        <v>17890.1648045658</v>
      </c>
      <c r="AI3028" s="2">
        <v>19363.5682729238</v>
      </c>
      <c r="AJ3028" s="2">
        <v>18508.332159276299</v>
      </c>
      <c r="AK3028" s="2">
        <v>22004.255465722999</v>
      </c>
      <c r="AL3028" s="2">
        <v>22977.807728483702</v>
      </c>
      <c r="AM3028" s="2">
        <v>21110.6243965797</v>
      </c>
      <c r="AN3028" s="2">
        <v>21096.553752408301</v>
      </c>
      <c r="AO3028" s="2">
        <v>25210.217255708401</v>
      </c>
      <c r="AP3028" s="2">
        <v>23792.968670189901</v>
      </c>
    </row>
    <row r="3029" spans="1:42" ht="14.5" x14ac:dyDescent="0.35">
      <c r="A3029" s="2" t="s">
        <v>20129</v>
      </c>
      <c r="B3029" s="2">
        <v>647.33933571766897</v>
      </c>
      <c r="C3029" s="2">
        <v>10.189349999999999</v>
      </c>
      <c r="D3029" s="2" t="s">
        <v>34</v>
      </c>
      <c r="E3029" s="2" t="s">
        <v>20130</v>
      </c>
      <c r="F3029" s="2">
        <v>10265</v>
      </c>
      <c r="G3029" s="3" t="str">
        <f>HYPERLINK("http://funmeta.oebiotech.com/network/10265", "http://funmeta.oebiotech.com/network/10265")</f>
        <v>http://funmeta.oebiotech.com/network/10265</v>
      </c>
      <c r="H3029" s="2"/>
      <c r="I3029" s="2"/>
      <c r="J3029" s="2" t="s">
        <v>20131</v>
      </c>
      <c r="K3029" s="2"/>
      <c r="L3029" s="2"/>
      <c r="M3029" s="2"/>
      <c r="N3029" s="2"/>
      <c r="O3029" s="2">
        <v>146682924</v>
      </c>
      <c r="P3029" s="2"/>
      <c r="Q3029" s="2" t="s">
        <v>20132</v>
      </c>
      <c r="R3029" s="2" t="s">
        <v>20133</v>
      </c>
      <c r="S3029" s="2" t="s">
        <v>50</v>
      </c>
      <c r="T3029" s="2" t="s">
        <v>229</v>
      </c>
      <c r="U3029" s="2" t="s">
        <v>230</v>
      </c>
      <c r="V3029" s="2" t="s">
        <v>59</v>
      </c>
      <c r="W3029" s="2">
        <v>38.6</v>
      </c>
      <c r="X3029" s="2">
        <v>0</v>
      </c>
      <c r="Y3029" s="2" t="s">
        <v>340</v>
      </c>
      <c r="Z3029" s="2" t="s">
        <v>20134</v>
      </c>
      <c r="AA3029" s="2">
        <v>-1.6430481090356299</v>
      </c>
      <c r="AB3029" s="2">
        <v>0.26197660949896401</v>
      </c>
      <c r="AC3029" s="2">
        <v>23190.291325612601</v>
      </c>
      <c r="AD3029" s="2">
        <v>28732.1924419354</v>
      </c>
      <c r="AE3029" s="2">
        <v>22177.287116163101</v>
      </c>
      <c r="AF3029" s="2">
        <v>22467.651993151801</v>
      </c>
      <c r="AG3029" s="2">
        <v>24803.7514821162</v>
      </c>
      <c r="AH3029" s="2">
        <v>20681.350755059098</v>
      </c>
      <c r="AI3029" s="2">
        <v>23910.632361073302</v>
      </c>
      <c r="AJ3029" s="2">
        <v>25101.074246112399</v>
      </c>
      <c r="AK3029" s="2">
        <v>30285.8566649243</v>
      </c>
      <c r="AL3029" s="2">
        <v>28867.466004717</v>
      </c>
      <c r="AM3029" s="2">
        <v>29928.195307207199</v>
      </c>
      <c r="AN3029" s="2">
        <v>29311.3573228573</v>
      </c>
      <c r="AO3029" s="2">
        <v>23638.670003822699</v>
      </c>
      <c r="AP3029" s="2">
        <v>30361.609348083999</v>
      </c>
    </row>
    <row r="3030" spans="1:42" ht="14.5" x14ac:dyDescent="0.35">
      <c r="A3030" s="2" t="s">
        <v>20135</v>
      </c>
      <c r="B3030" s="2">
        <v>481.18560106134498</v>
      </c>
      <c r="C3030" s="2">
        <v>5.0258500000000002</v>
      </c>
      <c r="D3030" s="2" t="s">
        <v>34</v>
      </c>
      <c r="E3030" s="2" t="s">
        <v>20136</v>
      </c>
      <c r="F3030" s="2">
        <v>212734</v>
      </c>
      <c r="G3030" s="3" t="str">
        <f>HYPERLINK("http://funmeta.oebiotech.com/network/212734", "http://funmeta.oebiotech.com/network/212734")</f>
        <v>http://funmeta.oebiotech.com/network/212734</v>
      </c>
      <c r="H3030" s="2" t="s">
        <v>20137</v>
      </c>
      <c r="I3030" s="2"/>
      <c r="J3030" s="2"/>
      <c r="K3030" s="2"/>
      <c r="L3030" s="2"/>
      <c r="M3030" s="2"/>
      <c r="N3030" s="2"/>
      <c r="O3030" s="2"/>
      <c r="P3030" s="2"/>
      <c r="Q3030" s="2" t="s">
        <v>20138</v>
      </c>
      <c r="R3030" s="2" t="s">
        <v>20139</v>
      </c>
      <c r="S3030" s="2" t="s">
        <v>41</v>
      </c>
      <c r="T3030" s="2" t="s">
        <v>41</v>
      </c>
      <c r="U3030" s="2" t="s">
        <v>41</v>
      </c>
      <c r="V3030" s="2" t="s">
        <v>59</v>
      </c>
      <c r="W3030" s="2">
        <v>38.6</v>
      </c>
      <c r="X3030" s="2">
        <v>11.7</v>
      </c>
      <c r="Y3030" s="2" t="s">
        <v>20140</v>
      </c>
      <c r="Z3030" s="2" t="s">
        <v>20141</v>
      </c>
      <c r="AA3030" s="2">
        <v>1.53006668298508</v>
      </c>
      <c r="AB3030" s="2">
        <v>0.26178455980272503</v>
      </c>
      <c r="AC3030" s="2">
        <v>262222.57336897898</v>
      </c>
      <c r="AD3030" s="2">
        <v>275082.85734639497</v>
      </c>
      <c r="AE3030" s="2">
        <v>263417.381983926</v>
      </c>
      <c r="AF3030" s="2">
        <v>270557.44982904801</v>
      </c>
      <c r="AG3030" s="2">
        <v>254626.264231851</v>
      </c>
      <c r="AH3030" s="2">
        <v>239232.61865867799</v>
      </c>
      <c r="AI3030" s="2">
        <v>278267.76910943002</v>
      </c>
      <c r="AJ3030" s="2">
        <v>267233.95640093798</v>
      </c>
      <c r="AK3030" s="2">
        <v>284818.45314037497</v>
      </c>
      <c r="AL3030" s="2">
        <v>266091.22528129001</v>
      </c>
      <c r="AM3030" s="2">
        <v>261294.369350022</v>
      </c>
      <c r="AN3030" s="2">
        <v>285339.30058767699</v>
      </c>
      <c r="AO3030" s="2">
        <v>243035.63738723201</v>
      </c>
      <c r="AP3030" s="2">
        <v>309918.15833177097</v>
      </c>
    </row>
    <row r="3031" spans="1:42" ht="14.5" x14ac:dyDescent="0.35">
      <c r="A3031" s="2" t="s">
        <v>20142</v>
      </c>
      <c r="B3031" s="2">
        <v>480.95624320017799</v>
      </c>
      <c r="C3031" s="2">
        <v>2.6128999999999998</v>
      </c>
      <c r="D3031" s="2" t="s">
        <v>70</v>
      </c>
      <c r="E3031" s="2" t="s">
        <v>20143</v>
      </c>
      <c r="F3031" s="2">
        <v>197215</v>
      </c>
      <c r="G3031" s="3" t="str">
        <f>HYPERLINK("http://funmeta.oebiotech.com/network/197215", "http://funmeta.oebiotech.com/network/197215")</f>
        <v>http://funmeta.oebiotech.com/network/197215</v>
      </c>
      <c r="H3031" s="2" t="s">
        <v>20144</v>
      </c>
      <c r="I3031" s="2"/>
      <c r="J3031" s="2"/>
      <c r="K3031" s="2">
        <v>133567</v>
      </c>
      <c r="L3031" s="2"/>
      <c r="M3031" s="2"/>
      <c r="N3031" s="2"/>
      <c r="O3031" s="2">
        <v>17757236</v>
      </c>
      <c r="P3031" s="2"/>
      <c r="Q3031" s="2" t="s">
        <v>20145</v>
      </c>
      <c r="R3031" s="2" t="s">
        <v>20146</v>
      </c>
      <c r="S3031" s="2" t="s">
        <v>115</v>
      </c>
      <c r="T3031" s="2" t="s">
        <v>758</v>
      </c>
      <c r="U3031" s="2" t="s">
        <v>41</v>
      </c>
      <c r="V3031" s="2" t="s">
        <v>59</v>
      </c>
      <c r="W3031" s="2">
        <v>42.8</v>
      </c>
      <c r="X3031" s="2">
        <v>24.8</v>
      </c>
      <c r="Y3031" s="2" t="s">
        <v>560</v>
      </c>
      <c r="Z3031" s="2" t="s">
        <v>20147</v>
      </c>
      <c r="AA3031" s="2">
        <v>4.46483245695</v>
      </c>
      <c r="AB3031" s="2">
        <v>0.26164769594893</v>
      </c>
      <c r="AC3031" s="2">
        <v>41870.5734248105</v>
      </c>
      <c r="AD3031" s="2">
        <v>47041.511681791497</v>
      </c>
      <c r="AE3031" s="2">
        <v>41601.827398459398</v>
      </c>
      <c r="AF3031" s="2">
        <v>39062.9311095636</v>
      </c>
      <c r="AG3031" s="2">
        <v>42319.492683196302</v>
      </c>
      <c r="AH3031" s="2">
        <v>43393.726641120396</v>
      </c>
      <c r="AI3031" s="2">
        <v>42114.465361576898</v>
      </c>
      <c r="AJ3031" s="2">
        <v>42730.997354946201</v>
      </c>
      <c r="AK3031" s="2">
        <v>49431.667204091304</v>
      </c>
      <c r="AL3031" s="2">
        <v>44855.972093942801</v>
      </c>
      <c r="AM3031" s="2">
        <v>46777.905949810702</v>
      </c>
      <c r="AN3031" s="2">
        <v>47993.490477293897</v>
      </c>
      <c r="AO3031" s="2">
        <v>48001.016053436302</v>
      </c>
      <c r="AP3031" s="2">
        <v>45189.018312173903</v>
      </c>
    </row>
    <row r="3032" spans="1:42" ht="14.5" x14ac:dyDescent="0.35">
      <c r="A3032" s="2" t="s">
        <v>20148</v>
      </c>
      <c r="B3032" s="2">
        <v>642.27509474963495</v>
      </c>
      <c r="C3032" s="2">
        <v>4.3961833333333296</v>
      </c>
      <c r="D3032" s="2" t="s">
        <v>34</v>
      </c>
      <c r="E3032" s="2" t="s">
        <v>20149</v>
      </c>
      <c r="F3032" s="2">
        <v>207263</v>
      </c>
      <c r="G3032" s="3" t="str">
        <f>HYPERLINK("http://funmeta.oebiotech.com/network/207263", "http://funmeta.oebiotech.com/network/207263")</f>
        <v>http://funmeta.oebiotech.com/network/207263</v>
      </c>
      <c r="H3032" s="2" t="s">
        <v>20150</v>
      </c>
      <c r="I3032" s="2"/>
      <c r="J3032" s="2"/>
      <c r="K3032" s="2"/>
      <c r="L3032" s="2"/>
      <c r="M3032" s="2"/>
      <c r="N3032" s="2"/>
      <c r="O3032" s="2">
        <v>71340896</v>
      </c>
      <c r="P3032" s="2"/>
      <c r="Q3032" s="2" t="s">
        <v>20151</v>
      </c>
      <c r="R3032" s="2" t="s">
        <v>20152</v>
      </c>
      <c r="S3032" s="2" t="s">
        <v>41</v>
      </c>
      <c r="T3032" s="2" t="s">
        <v>41</v>
      </c>
      <c r="U3032" s="2" t="s">
        <v>41</v>
      </c>
      <c r="V3032" s="2" t="s">
        <v>59</v>
      </c>
      <c r="W3032" s="2">
        <v>36.5</v>
      </c>
      <c r="X3032" s="2">
        <v>0</v>
      </c>
      <c r="Y3032" s="2" t="s">
        <v>340</v>
      </c>
      <c r="Z3032" s="2" t="s">
        <v>20153</v>
      </c>
      <c r="AA3032" s="2">
        <v>-1.5879411215285999</v>
      </c>
      <c r="AB3032" s="2">
        <v>0.26141754266338002</v>
      </c>
      <c r="AC3032" s="2">
        <v>4553.0423284588796</v>
      </c>
      <c r="AD3032" s="2">
        <v>10143.235540203799</v>
      </c>
      <c r="AE3032" s="2">
        <v>4890.1879329640597</v>
      </c>
      <c r="AF3032" s="2">
        <v>4478.9979937846301</v>
      </c>
      <c r="AG3032" s="2">
        <v>3988.3485995093602</v>
      </c>
      <c r="AH3032" s="2">
        <v>3469.0667018242002</v>
      </c>
      <c r="AI3032" s="2">
        <v>5523.2889175492801</v>
      </c>
      <c r="AJ3032" s="2">
        <v>4968.3638251217399</v>
      </c>
      <c r="AK3032" s="2">
        <v>6745.6002735006696</v>
      </c>
      <c r="AL3032" s="2">
        <v>12163.369278477299</v>
      </c>
      <c r="AM3032" s="2">
        <v>12232.0250829095</v>
      </c>
      <c r="AN3032" s="2">
        <v>14379.822858403</v>
      </c>
      <c r="AO3032" s="2">
        <v>8322.2274444125906</v>
      </c>
      <c r="AP3032" s="2">
        <v>7016.3683035194599</v>
      </c>
    </row>
    <row r="3033" spans="1:42" ht="14.5" x14ac:dyDescent="0.35">
      <c r="A3033" s="2" t="s">
        <v>20154</v>
      </c>
      <c r="B3033" s="2">
        <v>592.32678302164697</v>
      </c>
      <c r="C3033" s="2">
        <v>9.3710500000000003</v>
      </c>
      <c r="D3033" s="2" t="s">
        <v>34</v>
      </c>
      <c r="E3033" s="2" t="s">
        <v>20155</v>
      </c>
      <c r="F3033" s="2">
        <v>27868</v>
      </c>
      <c r="G3033" s="3" t="str">
        <f>HYPERLINK("http://funmeta.oebiotech.com/network/27868", "http://funmeta.oebiotech.com/network/27868")</f>
        <v>http://funmeta.oebiotech.com/network/27868</v>
      </c>
      <c r="H3033" s="2"/>
      <c r="I3033" s="2"/>
      <c r="J3033" s="2" t="s">
        <v>20156</v>
      </c>
      <c r="K3033" s="2">
        <v>137585</v>
      </c>
      <c r="L3033" s="2"/>
      <c r="M3033" s="2"/>
      <c r="N3033" s="2"/>
      <c r="O3033" s="2">
        <v>129626807</v>
      </c>
      <c r="P3033" s="2"/>
      <c r="Q3033" s="2" t="s">
        <v>20157</v>
      </c>
      <c r="R3033" s="2" t="s">
        <v>20158</v>
      </c>
      <c r="S3033" s="2" t="s">
        <v>50</v>
      </c>
      <c r="T3033" s="2" t="s">
        <v>229</v>
      </c>
      <c r="U3033" s="2" t="s">
        <v>766</v>
      </c>
      <c r="V3033" s="2" t="s">
        <v>59</v>
      </c>
      <c r="W3033" s="2">
        <v>39.799999999999997</v>
      </c>
      <c r="X3033" s="2">
        <v>37.6</v>
      </c>
      <c r="Y3033" s="2" t="s">
        <v>67</v>
      </c>
      <c r="Z3033" s="2" t="s">
        <v>20159</v>
      </c>
      <c r="AA3033" s="2">
        <v>3.8442237410781801</v>
      </c>
      <c r="AB3033" s="2">
        <v>0.26141314976194902</v>
      </c>
      <c r="AC3033" s="2">
        <v>25343.012853779401</v>
      </c>
      <c r="AD3033" s="2">
        <v>19862.938302900999</v>
      </c>
      <c r="AE3033" s="2">
        <v>29287.879669435701</v>
      </c>
      <c r="AF3033" s="2">
        <v>27576.882590241399</v>
      </c>
      <c r="AG3033" s="2">
        <v>24450.193384953898</v>
      </c>
      <c r="AH3033" s="2">
        <v>22840.053140509099</v>
      </c>
      <c r="AI3033" s="2">
        <v>23448.477216069201</v>
      </c>
      <c r="AJ3033" s="2">
        <v>24454.591121467201</v>
      </c>
      <c r="AK3033" s="2">
        <v>22439.489676274599</v>
      </c>
      <c r="AL3033" s="2">
        <v>21436.924996636801</v>
      </c>
      <c r="AM3033" s="2">
        <v>18007.659642713399</v>
      </c>
      <c r="AN3033" s="2">
        <v>19627.850515951301</v>
      </c>
      <c r="AO3033" s="2">
        <v>18314.111857200402</v>
      </c>
      <c r="AP3033" s="2">
        <v>19351.5931286296</v>
      </c>
    </row>
    <row r="3034" spans="1:42" ht="14.5" x14ac:dyDescent="0.35">
      <c r="A3034" s="2" t="s">
        <v>20160</v>
      </c>
      <c r="B3034" s="2">
        <v>572.35748452278494</v>
      </c>
      <c r="C3034" s="2">
        <v>6.6940999999999997</v>
      </c>
      <c r="D3034" s="2" t="s">
        <v>34</v>
      </c>
      <c r="E3034" s="2" t="s">
        <v>20161</v>
      </c>
      <c r="F3034" s="2">
        <v>22512</v>
      </c>
      <c r="G3034" s="3" t="str">
        <f>HYPERLINK("http://funmeta.oebiotech.com/network/22512", "http://funmeta.oebiotech.com/network/22512")</f>
        <v>http://funmeta.oebiotech.com/network/22512</v>
      </c>
      <c r="H3034" s="2"/>
      <c r="I3034" s="2">
        <v>40863</v>
      </c>
      <c r="J3034" s="2" t="s">
        <v>20162</v>
      </c>
      <c r="K3034" s="2"/>
      <c r="L3034" s="2"/>
      <c r="M3034" s="2"/>
      <c r="N3034" s="2"/>
      <c r="O3034" s="2">
        <v>9547126</v>
      </c>
      <c r="P3034" s="2"/>
      <c r="Q3034" s="2" t="s">
        <v>20163</v>
      </c>
      <c r="R3034" s="2" t="s">
        <v>20164</v>
      </c>
      <c r="S3034" s="2" t="s">
        <v>50</v>
      </c>
      <c r="T3034" s="2" t="s">
        <v>51</v>
      </c>
      <c r="U3034" s="2" t="s">
        <v>738</v>
      </c>
      <c r="V3034" s="2" t="s">
        <v>59</v>
      </c>
      <c r="W3034" s="2">
        <v>44.3</v>
      </c>
      <c r="X3034" s="2">
        <v>30.8</v>
      </c>
      <c r="Y3034" s="2" t="s">
        <v>43</v>
      </c>
      <c r="Z3034" s="2" t="s">
        <v>20165</v>
      </c>
      <c r="AA3034" s="2">
        <v>3.0208645188318202</v>
      </c>
      <c r="AB3034" s="2">
        <v>0.26108890753220698</v>
      </c>
      <c r="AC3034" s="2">
        <v>2120.7351936946802</v>
      </c>
      <c r="AD3034" s="2">
        <v>8810.8911802685398</v>
      </c>
      <c r="AE3034" s="2">
        <v>2.7106294003980101E-5</v>
      </c>
      <c r="AF3034" s="2">
        <v>2624.5241718819202</v>
      </c>
      <c r="AG3034" s="2">
        <v>2.7106294003980101E-5</v>
      </c>
      <c r="AH3034" s="2">
        <v>4364.1456106524702</v>
      </c>
      <c r="AI3034" s="2">
        <v>2944.79128704394</v>
      </c>
      <c r="AJ3034" s="2">
        <v>2790.9500383771501</v>
      </c>
      <c r="AK3034" s="2">
        <v>5349.72751647512</v>
      </c>
      <c r="AL3034" s="2">
        <v>8735.0912298748408</v>
      </c>
      <c r="AM3034" s="2">
        <v>2591.6164966115298</v>
      </c>
      <c r="AN3034" s="2">
        <v>17238.311875987802</v>
      </c>
      <c r="AO3034" s="2">
        <v>13576.640119293201</v>
      </c>
      <c r="AP3034" s="2">
        <v>5373.9598433687697</v>
      </c>
    </row>
    <row r="3035" spans="1:42" ht="14.5" x14ac:dyDescent="0.35">
      <c r="A3035" s="2" t="s">
        <v>20166</v>
      </c>
      <c r="B3035" s="2">
        <v>179.03398466332999</v>
      </c>
      <c r="C3035" s="2">
        <v>4.3823499999999997</v>
      </c>
      <c r="D3035" s="2" t="s">
        <v>70</v>
      </c>
      <c r="E3035" s="2" t="s">
        <v>20167</v>
      </c>
      <c r="F3035" s="2">
        <v>47741</v>
      </c>
      <c r="G3035" s="3" t="str">
        <f>HYPERLINK("http://funmeta.oebiotech.com/network/47741", "http://funmeta.oebiotech.com/network/47741")</f>
        <v>http://funmeta.oebiotech.com/network/47741</v>
      </c>
      <c r="H3035" s="2" t="s">
        <v>20168</v>
      </c>
      <c r="I3035" s="2">
        <v>3316</v>
      </c>
      <c r="J3035" s="2"/>
      <c r="K3035" s="2">
        <v>16433</v>
      </c>
      <c r="L3035" s="2" t="s">
        <v>20169</v>
      </c>
      <c r="M3035" s="2"/>
      <c r="N3035" s="2"/>
      <c r="O3035" s="2">
        <v>689043</v>
      </c>
      <c r="P3035" s="2" t="s">
        <v>20170</v>
      </c>
      <c r="Q3035" s="2" t="s">
        <v>20171</v>
      </c>
      <c r="R3035" s="2" t="s">
        <v>20172</v>
      </c>
      <c r="S3035" s="2" t="s">
        <v>115</v>
      </c>
      <c r="T3035" s="2" t="s">
        <v>116</v>
      </c>
      <c r="U3035" s="2" t="s">
        <v>117</v>
      </c>
      <c r="V3035" s="2" t="s">
        <v>42</v>
      </c>
      <c r="W3035" s="2">
        <v>54.5</v>
      </c>
      <c r="X3035" s="2">
        <v>82.7</v>
      </c>
      <c r="Y3035" s="2" t="s">
        <v>118</v>
      </c>
      <c r="Z3035" s="2" t="s">
        <v>20173</v>
      </c>
      <c r="AA3035" s="2">
        <v>-5.5411406032206196</v>
      </c>
      <c r="AB3035" s="2">
        <v>0.26081168757158502</v>
      </c>
      <c r="AC3035" s="2">
        <v>8974.8557245798092</v>
      </c>
      <c r="AD3035" s="2">
        <v>4378.9938073355397</v>
      </c>
      <c r="AE3035" s="2">
        <v>8655.3483563174996</v>
      </c>
      <c r="AF3035" s="2">
        <v>8947.4662714983897</v>
      </c>
      <c r="AG3035" s="2">
        <v>9349.5054744130794</v>
      </c>
      <c r="AH3035" s="2">
        <v>8807.2314733836101</v>
      </c>
      <c r="AI3035" s="2">
        <v>8544.1082750295209</v>
      </c>
      <c r="AJ3035" s="2">
        <v>9545.4744968367304</v>
      </c>
      <c r="AK3035" s="2">
        <v>3815.3715998913699</v>
      </c>
      <c r="AL3035" s="2">
        <v>5190.0052223675202</v>
      </c>
      <c r="AM3035" s="2">
        <v>5525.6297789230302</v>
      </c>
      <c r="AN3035" s="2">
        <v>4341.3499139324003</v>
      </c>
      <c r="AO3035" s="2">
        <v>3694.6659644820702</v>
      </c>
      <c r="AP3035" s="2">
        <v>3706.9403644168301</v>
      </c>
    </row>
    <row r="3036" spans="1:42" ht="14.5" x14ac:dyDescent="0.35">
      <c r="A3036" s="2" t="s">
        <v>20174</v>
      </c>
      <c r="B3036" s="2">
        <v>479.24263238520803</v>
      </c>
      <c r="C3036" s="2">
        <v>7.8457166666666698</v>
      </c>
      <c r="D3036" s="2" t="s">
        <v>34</v>
      </c>
      <c r="E3036" s="2" t="s">
        <v>20175</v>
      </c>
      <c r="F3036" s="2">
        <v>207311</v>
      </c>
      <c r="G3036" s="3" t="str">
        <f>HYPERLINK("http://funmeta.oebiotech.com/network/207311", "http://funmeta.oebiotech.com/network/207311")</f>
        <v>http://funmeta.oebiotech.com/network/207311</v>
      </c>
      <c r="H3036" s="2" t="s">
        <v>20176</v>
      </c>
      <c r="I3036" s="2"/>
      <c r="J3036" s="2"/>
      <c r="K3036" s="2"/>
      <c r="L3036" s="2"/>
      <c r="M3036" s="2"/>
      <c r="N3036" s="2"/>
      <c r="O3036" s="2">
        <v>5557</v>
      </c>
      <c r="P3036" s="2"/>
      <c r="Q3036" s="2" t="s">
        <v>20177</v>
      </c>
      <c r="R3036" s="2" t="s">
        <v>20178</v>
      </c>
      <c r="S3036" s="2" t="s">
        <v>79</v>
      </c>
      <c r="T3036" s="2" t="s">
        <v>80</v>
      </c>
      <c r="U3036" s="2" t="s">
        <v>81</v>
      </c>
      <c r="V3036" s="2" t="s">
        <v>59</v>
      </c>
      <c r="W3036" s="2">
        <v>37.700000000000003</v>
      </c>
      <c r="X3036" s="2">
        <v>0</v>
      </c>
      <c r="Y3036" s="2" t="s">
        <v>394</v>
      </c>
      <c r="Z3036" s="2" t="s">
        <v>20179</v>
      </c>
      <c r="AA3036" s="2">
        <v>-0.38235245394945599</v>
      </c>
      <c r="AB3036" s="2">
        <v>0.26075151438559102</v>
      </c>
      <c r="AC3036" s="2">
        <v>17625.128252300099</v>
      </c>
      <c r="AD3036" s="2">
        <v>12490.8551579383</v>
      </c>
      <c r="AE3036" s="2">
        <v>16517.896313045301</v>
      </c>
      <c r="AF3036" s="2">
        <v>18176.359752837499</v>
      </c>
      <c r="AG3036" s="2">
        <v>16552.718513211101</v>
      </c>
      <c r="AH3036" s="2">
        <v>20425.257524483401</v>
      </c>
      <c r="AI3036" s="2">
        <v>17264.433702699102</v>
      </c>
      <c r="AJ3036" s="2">
        <v>16814.103707524198</v>
      </c>
      <c r="AK3036" s="2">
        <v>13810.688713841701</v>
      </c>
      <c r="AL3036" s="2">
        <v>12972.264151659399</v>
      </c>
      <c r="AM3036" s="2">
        <v>13163.729661208599</v>
      </c>
      <c r="AN3036" s="2">
        <v>14198.5937779618</v>
      </c>
      <c r="AO3036" s="2">
        <v>10409.4880201007</v>
      </c>
      <c r="AP3036" s="2">
        <v>10390.3666228577</v>
      </c>
    </row>
    <row r="3037" spans="1:42" ht="14.5" x14ac:dyDescent="0.35">
      <c r="A3037" s="2" t="s">
        <v>20180</v>
      </c>
      <c r="B3037" s="2">
        <v>883.18584060584703</v>
      </c>
      <c r="C3037" s="2">
        <v>3.5591666666666701</v>
      </c>
      <c r="D3037" s="2" t="s">
        <v>70</v>
      </c>
      <c r="E3037" s="2" t="s">
        <v>20181</v>
      </c>
      <c r="F3037" s="2">
        <v>207786</v>
      </c>
      <c r="G3037" s="3" t="str">
        <f>HYPERLINK("http://funmeta.oebiotech.com/network/207786", "http://funmeta.oebiotech.com/network/207786")</f>
        <v>http://funmeta.oebiotech.com/network/207786</v>
      </c>
      <c r="H3037" s="2" t="s">
        <v>20182</v>
      </c>
      <c r="I3037" s="2"/>
      <c r="J3037" s="2"/>
      <c r="K3037" s="2"/>
      <c r="L3037" s="2"/>
      <c r="M3037" s="2"/>
      <c r="N3037" s="2"/>
      <c r="O3037" s="2">
        <v>6690</v>
      </c>
      <c r="P3037" s="2"/>
      <c r="Q3037" s="2" t="s">
        <v>20183</v>
      </c>
      <c r="R3037" s="2" t="s">
        <v>20184</v>
      </c>
      <c r="S3037" s="2" t="s">
        <v>491</v>
      </c>
      <c r="T3037" s="2" t="s">
        <v>3019</v>
      </c>
      <c r="U3037" s="2" t="s">
        <v>3020</v>
      </c>
      <c r="V3037" s="2" t="s">
        <v>59</v>
      </c>
      <c r="W3037" s="2">
        <v>38.9</v>
      </c>
      <c r="X3037" s="2">
        <v>0</v>
      </c>
      <c r="Y3037" s="2" t="s">
        <v>560</v>
      </c>
      <c r="Z3037" s="2" t="s">
        <v>20185</v>
      </c>
      <c r="AA3037" s="2">
        <v>2.7179251821572499</v>
      </c>
      <c r="AB3037" s="2">
        <v>0.26064838841492599</v>
      </c>
      <c r="AC3037" s="2">
        <v>5558.2852898132596</v>
      </c>
      <c r="AD3037" s="2">
        <v>1075.36118233448</v>
      </c>
      <c r="AE3037" s="2">
        <v>5248.0811309338396</v>
      </c>
      <c r="AF3037" s="2">
        <v>5501.1628001565396</v>
      </c>
      <c r="AG3037" s="2">
        <v>5406.95544546157</v>
      </c>
      <c r="AH3037" s="2">
        <v>6204.6713124287799</v>
      </c>
      <c r="AI3037" s="2">
        <v>5479.10171942133</v>
      </c>
      <c r="AJ3037" s="2">
        <v>5509.7393304774696</v>
      </c>
      <c r="AK3037" s="2">
        <v>1287.9411055881999</v>
      </c>
      <c r="AL3037" s="2">
        <v>1295.9737464790201</v>
      </c>
      <c r="AM3037" s="2">
        <v>839.25371104735098</v>
      </c>
      <c r="AN3037" s="2">
        <v>1024.6440554134599</v>
      </c>
      <c r="AO3037" s="2">
        <v>1023.3031405130901</v>
      </c>
      <c r="AP3037" s="2">
        <v>981.05133496578003</v>
      </c>
    </row>
    <row r="3038" spans="1:42" ht="14.5" x14ac:dyDescent="0.35">
      <c r="A3038" s="2" t="s">
        <v>20186</v>
      </c>
      <c r="B3038" s="2">
        <v>477.32086178354598</v>
      </c>
      <c r="C3038" s="2">
        <v>5.7384500000000003</v>
      </c>
      <c r="D3038" s="2" t="s">
        <v>34</v>
      </c>
      <c r="E3038" s="2" t="s">
        <v>20187</v>
      </c>
      <c r="F3038" s="2">
        <v>198472</v>
      </c>
      <c r="G3038" s="3" t="str">
        <f>HYPERLINK("http://funmeta.oebiotech.com/network/198472", "http://funmeta.oebiotech.com/network/198472")</f>
        <v>http://funmeta.oebiotech.com/network/198472</v>
      </c>
      <c r="H3038" s="2" t="s">
        <v>20188</v>
      </c>
      <c r="I3038" s="2"/>
      <c r="J3038" s="2"/>
      <c r="K3038" s="2"/>
      <c r="L3038" s="2"/>
      <c r="M3038" s="2"/>
      <c r="N3038" s="2"/>
      <c r="O3038" s="2">
        <v>76413909</v>
      </c>
      <c r="P3038" s="2"/>
      <c r="Q3038" s="2" t="s">
        <v>20189</v>
      </c>
      <c r="R3038" s="2" t="s">
        <v>20190</v>
      </c>
      <c r="S3038" s="2" t="s">
        <v>41</v>
      </c>
      <c r="T3038" s="2" t="s">
        <v>41</v>
      </c>
      <c r="U3038" s="2" t="s">
        <v>41</v>
      </c>
      <c r="V3038" s="2" t="s">
        <v>59</v>
      </c>
      <c r="W3038" s="2">
        <v>37.5</v>
      </c>
      <c r="X3038" s="2">
        <v>0</v>
      </c>
      <c r="Y3038" s="2" t="s">
        <v>340</v>
      </c>
      <c r="Z3038" s="2" t="s">
        <v>20191</v>
      </c>
      <c r="AA3038" s="2">
        <v>1.62504638965593</v>
      </c>
      <c r="AB3038" s="2">
        <v>0.26063200324629399</v>
      </c>
      <c r="AC3038" s="2">
        <v>4570.6362929619099</v>
      </c>
      <c r="AD3038" s="2">
        <v>9247.2603507682907</v>
      </c>
      <c r="AE3038" s="2">
        <v>4336.8440567809603</v>
      </c>
      <c r="AF3038" s="2">
        <v>4398.6116353097696</v>
      </c>
      <c r="AG3038" s="2">
        <v>3902.8235131164101</v>
      </c>
      <c r="AH3038" s="2">
        <v>5625.8428786354398</v>
      </c>
      <c r="AI3038" s="2">
        <v>4635.8803905362302</v>
      </c>
      <c r="AJ3038" s="2">
        <v>4523.8152833926697</v>
      </c>
      <c r="AK3038" s="2">
        <v>9413.5451374041404</v>
      </c>
      <c r="AL3038" s="2">
        <v>10028.4026815545</v>
      </c>
      <c r="AM3038" s="2">
        <v>7728.4694047533303</v>
      </c>
      <c r="AN3038" s="2">
        <v>9165.1354119889493</v>
      </c>
      <c r="AO3038" s="2">
        <v>8664.1329778601394</v>
      </c>
      <c r="AP3038" s="2">
        <v>10483.876491048701</v>
      </c>
    </row>
    <row r="3039" spans="1:42" ht="14.5" x14ac:dyDescent="0.35">
      <c r="A3039" s="2" t="s">
        <v>20192</v>
      </c>
      <c r="B3039" s="2">
        <v>665.35415167528095</v>
      </c>
      <c r="C3039" s="2">
        <v>9.9543833333333307</v>
      </c>
      <c r="D3039" s="2" t="s">
        <v>70</v>
      </c>
      <c r="E3039" s="2" t="s">
        <v>20193</v>
      </c>
      <c r="F3039" s="2">
        <v>54869</v>
      </c>
      <c r="G3039" s="3" t="str">
        <f>HYPERLINK("http://funmeta.oebiotech.com/network/54869", "http://funmeta.oebiotech.com/network/54869")</f>
        <v>http://funmeta.oebiotech.com/network/54869</v>
      </c>
      <c r="H3039" s="2" t="s">
        <v>20194</v>
      </c>
      <c r="I3039" s="2">
        <v>86662</v>
      </c>
      <c r="J3039" s="2"/>
      <c r="K3039" s="2"/>
      <c r="L3039" s="2"/>
      <c r="M3039" s="2"/>
      <c r="N3039" s="2"/>
      <c r="O3039" s="2">
        <v>5317377</v>
      </c>
      <c r="P3039" s="2" t="s">
        <v>20195</v>
      </c>
      <c r="Q3039" s="2" t="s">
        <v>20196</v>
      </c>
      <c r="R3039" s="2" t="s">
        <v>20197</v>
      </c>
      <c r="S3039" s="2" t="s">
        <v>50</v>
      </c>
      <c r="T3039" s="2" t="s">
        <v>124</v>
      </c>
      <c r="U3039" s="2" t="s">
        <v>567</v>
      </c>
      <c r="V3039" s="2" t="s">
        <v>59</v>
      </c>
      <c r="W3039" s="2">
        <v>38.299999999999997</v>
      </c>
      <c r="X3039" s="2">
        <v>0</v>
      </c>
      <c r="Y3039" s="2" t="s">
        <v>408</v>
      </c>
      <c r="Z3039" s="2" t="s">
        <v>20198</v>
      </c>
      <c r="AA3039" s="2">
        <v>-0.159679202709646</v>
      </c>
      <c r="AB3039" s="2">
        <v>0.26048424505441498</v>
      </c>
      <c r="AC3039" s="2">
        <v>10561.5175801756</v>
      </c>
      <c r="AD3039" s="2">
        <v>5912.4094551890903</v>
      </c>
      <c r="AE3039" s="2">
        <v>10070.404471521801</v>
      </c>
      <c r="AF3039" s="2">
        <v>10357.391030655899</v>
      </c>
      <c r="AG3039" s="2">
        <v>9345.6819707074701</v>
      </c>
      <c r="AH3039" s="2">
        <v>12142.016858478601</v>
      </c>
      <c r="AI3039" s="2">
        <v>10093.7884376197</v>
      </c>
      <c r="AJ3039" s="2">
        <v>11359.8227120703</v>
      </c>
      <c r="AK3039" s="2">
        <v>6029.5449738998104</v>
      </c>
      <c r="AL3039" s="2">
        <v>5461.3502961730801</v>
      </c>
      <c r="AM3039" s="2">
        <v>6400.3899863517399</v>
      </c>
      <c r="AN3039" s="2">
        <v>6136.1582034232097</v>
      </c>
      <c r="AO3039" s="2">
        <v>5692.0260295369899</v>
      </c>
      <c r="AP3039" s="2">
        <v>5754.9872417497199</v>
      </c>
    </row>
    <row r="3040" spans="1:42" ht="14.5" x14ac:dyDescent="0.35">
      <c r="A3040" s="2" t="s">
        <v>20199</v>
      </c>
      <c r="B3040" s="2">
        <v>177.054716875428</v>
      </c>
      <c r="C3040" s="2">
        <v>6.3111666666666704</v>
      </c>
      <c r="D3040" s="2" t="s">
        <v>70</v>
      </c>
      <c r="E3040" s="2" t="s">
        <v>20200</v>
      </c>
      <c r="F3040" s="2">
        <v>255464</v>
      </c>
      <c r="G3040" s="3" t="str">
        <f>HYPERLINK("http://funmeta.oebiotech.com/network/255464", "http://funmeta.oebiotech.com/network/255464")</f>
        <v>http://funmeta.oebiotech.com/network/255464</v>
      </c>
      <c r="H3040" s="2" t="s">
        <v>20201</v>
      </c>
      <c r="I3040" s="2">
        <v>43849</v>
      </c>
      <c r="J3040" s="2"/>
      <c r="K3040" s="2">
        <v>136676</v>
      </c>
      <c r="L3040" s="2"/>
      <c r="M3040" s="2"/>
      <c r="N3040" s="2"/>
      <c r="O3040" s="2">
        <v>734154</v>
      </c>
      <c r="P3040" s="2"/>
      <c r="Q3040" s="2" t="s">
        <v>20202</v>
      </c>
      <c r="R3040" s="2" t="s">
        <v>20203</v>
      </c>
      <c r="S3040" s="2" t="s">
        <v>115</v>
      </c>
      <c r="T3040" s="2" t="s">
        <v>116</v>
      </c>
      <c r="U3040" s="2" t="s">
        <v>117</v>
      </c>
      <c r="V3040" s="2" t="s">
        <v>42</v>
      </c>
      <c r="W3040" s="2">
        <v>49.6</v>
      </c>
      <c r="X3040" s="2">
        <v>57</v>
      </c>
      <c r="Y3040" s="2" t="s">
        <v>118</v>
      </c>
      <c r="Z3040" s="2" t="s">
        <v>18803</v>
      </c>
      <c r="AA3040" s="2">
        <v>-5.6208869014616001</v>
      </c>
      <c r="AB3040" s="2">
        <v>0.26037434808882598</v>
      </c>
      <c r="AC3040" s="2">
        <v>10612.043778367601</v>
      </c>
      <c r="AD3040" s="2">
        <v>5630.3320025843004</v>
      </c>
      <c r="AE3040" s="2">
        <v>11411.834634328499</v>
      </c>
      <c r="AF3040" s="2">
        <v>10028.644154465601</v>
      </c>
      <c r="AG3040" s="2">
        <v>8257.9050374024191</v>
      </c>
      <c r="AH3040" s="2">
        <v>10055.8853477144</v>
      </c>
      <c r="AI3040" s="2">
        <v>9987.3542843080704</v>
      </c>
      <c r="AJ3040" s="2">
        <v>13930.6392119869</v>
      </c>
      <c r="AK3040" s="2">
        <v>5265.9286750810197</v>
      </c>
      <c r="AL3040" s="2">
        <v>5790.1959463102003</v>
      </c>
      <c r="AM3040" s="2">
        <v>6034.2691806679804</v>
      </c>
      <c r="AN3040" s="2">
        <v>5954.6774797853705</v>
      </c>
      <c r="AO3040" s="2">
        <v>5367.2669052556503</v>
      </c>
      <c r="AP3040" s="2">
        <v>5369.6538284055996</v>
      </c>
    </row>
    <row r="3041" spans="1:42" ht="14.5" x14ac:dyDescent="0.35">
      <c r="A3041" s="2" t="s">
        <v>20204</v>
      </c>
      <c r="B3041" s="2">
        <v>790.31897551830605</v>
      </c>
      <c r="C3041" s="2">
        <v>9.8631833333333301</v>
      </c>
      <c r="D3041" s="2" t="s">
        <v>34</v>
      </c>
      <c r="E3041" s="2" t="s">
        <v>20205</v>
      </c>
      <c r="F3041" s="2">
        <v>52589</v>
      </c>
      <c r="G3041" s="3" t="str">
        <f>HYPERLINK("http://funmeta.oebiotech.com/network/52589", "http://funmeta.oebiotech.com/network/52589")</f>
        <v>http://funmeta.oebiotech.com/network/52589</v>
      </c>
      <c r="H3041" s="2" t="s">
        <v>20206</v>
      </c>
      <c r="I3041" s="2">
        <v>85340</v>
      </c>
      <c r="J3041" s="2"/>
      <c r="K3041" s="2"/>
      <c r="L3041" s="2"/>
      <c r="M3041" s="2"/>
      <c r="N3041" s="2"/>
      <c r="O3041" s="2">
        <v>444007</v>
      </c>
      <c r="P3041" s="2" t="s">
        <v>20207</v>
      </c>
      <c r="Q3041" s="2" t="s">
        <v>20208</v>
      </c>
      <c r="R3041" s="2" t="s">
        <v>20209</v>
      </c>
      <c r="S3041" s="2" t="s">
        <v>89</v>
      </c>
      <c r="T3041" s="2" t="s">
        <v>1600</v>
      </c>
      <c r="U3041" s="2" t="s">
        <v>3890</v>
      </c>
      <c r="V3041" s="2" t="s">
        <v>59</v>
      </c>
      <c r="W3041" s="2">
        <v>41.4</v>
      </c>
      <c r="X3041" s="2">
        <v>17.100000000000001</v>
      </c>
      <c r="Y3041" s="2" t="s">
        <v>1115</v>
      </c>
      <c r="Z3041" s="2" t="s">
        <v>20210</v>
      </c>
      <c r="AA3041" s="2">
        <v>-1.9448481595792899</v>
      </c>
      <c r="AB3041" s="2">
        <v>0.260304440779767</v>
      </c>
      <c r="AC3041" s="2">
        <v>44558.744021017497</v>
      </c>
      <c r="AD3041" s="2">
        <v>50435.3635998643</v>
      </c>
      <c r="AE3041" s="2">
        <v>42591.535860140997</v>
      </c>
      <c r="AF3041" s="2">
        <v>43435.704322867197</v>
      </c>
      <c r="AG3041" s="2">
        <v>44915.959331665297</v>
      </c>
      <c r="AH3041" s="2">
        <v>45266.172214952901</v>
      </c>
      <c r="AI3041" s="2">
        <v>44579.491246033998</v>
      </c>
      <c r="AJ3041" s="2">
        <v>46563.601150444403</v>
      </c>
      <c r="AK3041" s="2">
        <v>48658.8901052336</v>
      </c>
      <c r="AL3041" s="2">
        <v>48717.432526143297</v>
      </c>
      <c r="AM3041" s="2">
        <v>49671.460518223001</v>
      </c>
      <c r="AN3041" s="2">
        <v>47076.321233958399</v>
      </c>
      <c r="AO3041" s="2">
        <v>51054.1831577064</v>
      </c>
      <c r="AP3041" s="2">
        <v>57433.894057920901</v>
      </c>
    </row>
    <row r="3042" spans="1:42" ht="14.5" x14ac:dyDescent="0.35">
      <c r="A3042" s="2" t="s">
        <v>20211</v>
      </c>
      <c r="B3042" s="2">
        <v>592.36171852336201</v>
      </c>
      <c r="C3042" s="2">
        <v>11.0078333333333</v>
      </c>
      <c r="D3042" s="2" t="s">
        <v>70</v>
      </c>
      <c r="E3042" s="2" t="s">
        <v>20212</v>
      </c>
      <c r="F3042" s="2">
        <v>19882</v>
      </c>
      <c r="G3042" s="3" t="str">
        <f>HYPERLINK("http://funmeta.oebiotech.com/network/19882", "http://funmeta.oebiotech.com/network/19882")</f>
        <v>http://funmeta.oebiotech.com/network/19882</v>
      </c>
      <c r="H3042" s="2" t="s">
        <v>20213</v>
      </c>
      <c r="I3042" s="2">
        <v>61702</v>
      </c>
      <c r="J3042" s="2" t="s">
        <v>20214</v>
      </c>
      <c r="K3042" s="2">
        <v>83055</v>
      </c>
      <c r="L3042" s="2" t="s">
        <v>1451</v>
      </c>
      <c r="M3042" s="2" t="s">
        <v>1452</v>
      </c>
      <c r="N3042" s="2" t="s">
        <v>1453</v>
      </c>
      <c r="O3042" s="2">
        <v>52924053</v>
      </c>
      <c r="P3042" s="2"/>
      <c r="Q3042" s="2" t="s">
        <v>20215</v>
      </c>
      <c r="R3042" s="2" t="s">
        <v>20216</v>
      </c>
      <c r="S3042" s="2" t="s">
        <v>50</v>
      </c>
      <c r="T3042" s="2" t="s">
        <v>51</v>
      </c>
      <c r="U3042" s="2" t="s">
        <v>168</v>
      </c>
      <c r="V3042" s="2" t="s">
        <v>42</v>
      </c>
      <c r="W3042" s="2">
        <v>54</v>
      </c>
      <c r="X3042" s="2">
        <v>73.7</v>
      </c>
      <c r="Y3042" s="2" t="s">
        <v>408</v>
      </c>
      <c r="Z3042" s="2" t="s">
        <v>20217</v>
      </c>
      <c r="AA3042" s="2">
        <v>-0.50067275768145403</v>
      </c>
      <c r="AB3042" s="2">
        <v>0.260293022585461</v>
      </c>
      <c r="AC3042" s="2">
        <v>5823.0290055792602</v>
      </c>
      <c r="AD3042" s="2">
        <v>10638.709680948899</v>
      </c>
      <c r="AE3042" s="2">
        <v>6444.8738218914496</v>
      </c>
      <c r="AF3042" s="2">
        <v>6818.72358737166</v>
      </c>
      <c r="AG3042" s="2">
        <v>5279.39244780233</v>
      </c>
      <c r="AH3042" s="2">
        <v>5612.58911256181</v>
      </c>
      <c r="AI3042" s="2">
        <v>6132.4909522726402</v>
      </c>
      <c r="AJ3042" s="2">
        <v>4650.1041115756698</v>
      </c>
      <c r="AK3042" s="2">
        <v>9074.2605954559494</v>
      </c>
      <c r="AL3042" s="2">
        <v>10012.8224300738</v>
      </c>
      <c r="AM3042" s="2">
        <v>9543.8841273501694</v>
      </c>
      <c r="AN3042" s="2">
        <v>11067.550208442301</v>
      </c>
      <c r="AO3042" s="2">
        <v>11463.6376599129</v>
      </c>
      <c r="AP3042" s="2">
        <v>12670.103064458101</v>
      </c>
    </row>
    <row r="3043" spans="1:42" ht="14.5" x14ac:dyDescent="0.35">
      <c r="A3043" s="2" t="s">
        <v>20218</v>
      </c>
      <c r="B3043" s="2">
        <v>417.136967309971</v>
      </c>
      <c r="C3043" s="2">
        <v>3.9663166666666698</v>
      </c>
      <c r="D3043" s="2" t="s">
        <v>34</v>
      </c>
      <c r="E3043" s="2" t="s">
        <v>20219</v>
      </c>
      <c r="F3043" s="2">
        <v>63187</v>
      </c>
      <c r="G3043" s="3" t="str">
        <f>HYPERLINK("http://funmeta.oebiotech.com/network/63187", "http://funmeta.oebiotech.com/network/63187")</f>
        <v>http://funmeta.oebiotech.com/network/63187</v>
      </c>
      <c r="H3043" s="2" t="s">
        <v>20220</v>
      </c>
      <c r="I3043" s="2">
        <v>94494</v>
      </c>
      <c r="J3043" s="2"/>
      <c r="K3043" s="2">
        <v>169299</v>
      </c>
      <c r="L3043" s="2"/>
      <c r="M3043" s="2"/>
      <c r="N3043" s="2"/>
      <c r="O3043" s="2">
        <v>74029762</v>
      </c>
      <c r="P3043" s="2" t="s">
        <v>20221</v>
      </c>
      <c r="Q3043" s="2" t="s">
        <v>20222</v>
      </c>
      <c r="R3043" s="2" t="s">
        <v>20223</v>
      </c>
      <c r="S3043" s="2" t="s">
        <v>50</v>
      </c>
      <c r="T3043" s="2" t="s">
        <v>229</v>
      </c>
      <c r="U3043" s="2" t="s">
        <v>230</v>
      </c>
      <c r="V3043" s="2" t="s">
        <v>59</v>
      </c>
      <c r="W3043" s="2">
        <v>38.5</v>
      </c>
      <c r="X3043" s="2">
        <v>6.45</v>
      </c>
      <c r="Y3043" s="2" t="s">
        <v>470</v>
      </c>
      <c r="Z3043" s="2" t="s">
        <v>20224</v>
      </c>
      <c r="AA3043" s="2">
        <v>0.59617524960354096</v>
      </c>
      <c r="AB3043" s="2">
        <v>0.26027827584423002</v>
      </c>
      <c r="AC3043" s="2">
        <v>18480.694113126199</v>
      </c>
      <c r="AD3043" s="2">
        <v>23623.7236989595</v>
      </c>
      <c r="AE3043" s="2">
        <v>19311.988525553101</v>
      </c>
      <c r="AF3043" s="2">
        <v>18178.463368165601</v>
      </c>
      <c r="AG3043" s="2">
        <v>19822.824379926202</v>
      </c>
      <c r="AH3043" s="2">
        <v>16887.316625568401</v>
      </c>
      <c r="AI3043" s="2">
        <v>17391.607580300999</v>
      </c>
      <c r="AJ3043" s="2">
        <v>19291.964199242801</v>
      </c>
      <c r="AK3043" s="2">
        <v>22708.305702173999</v>
      </c>
      <c r="AL3043" s="2">
        <v>22691.911067810699</v>
      </c>
      <c r="AM3043" s="2">
        <v>26021.490954084999</v>
      </c>
      <c r="AN3043" s="2">
        <v>21396.671170695801</v>
      </c>
      <c r="AO3043" s="2">
        <v>22852.7073282569</v>
      </c>
      <c r="AP3043" s="2">
        <v>26071.255970734601</v>
      </c>
    </row>
    <row r="3044" spans="1:42" ht="14.5" x14ac:dyDescent="0.35">
      <c r="A3044" s="2" t="s">
        <v>20225</v>
      </c>
      <c r="B3044" s="2">
        <v>851.18134199710403</v>
      </c>
      <c r="C3044" s="2">
        <v>4.3459666666666701</v>
      </c>
      <c r="D3044" s="2" t="s">
        <v>70</v>
      </c>
      <c r="E3044" s="2" t="s">
        <v>20226</v>
      </c>
      <c r="F3044" s="2">
        <v>255882</v>
      </c>
      <c r="G3044" s="3" t="str">
        <f>HYPERLINK("http://funmeta.oebiotech.com/network/255882", "http://funmeta.oebiotech.com/network/255882")</f>
        <v>http://funmeta.oebiotech.com/network/255882</v>
      </c>
      <c r="H3044" s="2" t="s">
        <v>20227</v>
      </c>
      <c r="I3044" s="2"/>
      <c r="J3044" s="2"/>
      <c r="K3044" s="2"/>
      <c r="L3044" s="2"/>
      <c r="M3044" s="2"/>
      <c r="N3044" s="2"/>
      <c r="O3044" s="2">
        <v>25245594</v>
      </c>
      <c r="P3044" s="2"/>
      <c r="Q3044" s="2" t="s">
        <v>20228</v>
      </c>
      <c r="R3044" s="2" t="s">
        <v>20229</v>
      </c>
      <c r="S3044" s="2" t="s">
        <v>39</v>
      </c>
      <c r="T3044" s="2" t="s">
        <v>3643</v>
      </c>
      <c r="U3044" s="2" t="s">
        <v>3644</v>
      </c>
      <c r="V3044" s="2" t="s">
        <v>59</v>
      </c>
      <c r="W3044" s="2">
        <v>38.1</v>
      </c>
      <c r="X3044" s="2">
        <v>0</v>
      </c>
      <c r="Y3044" s="2" t="s">
        <v>751</v>
      </c>
      <c r="Z3044" s="2" t="s">
        <v>20230</v>
      </c>
      <c r="AA3044" s="2">
        <v>2.8463427481650498</v>
      </c>
      <c r="AB3044" s="2">
        <v>0.26025479192879503</v>
      </c>
      <c r="AC3044" s="2">
        <v>13092.446730084701</v>
      </c>
      <c r="AD3044" s="2">
        <v>4137.7284964342298</v>
      </c>
      <c r="AE3044" s="2">
        <v>9943.4965898015707</v>
      </c>
      <c r="AF3044" s="2">
        <v>6403.0767250672798</v>
      </c>
      <c r="AG3044" s="2">
        <v>5961.5277325746702</v>
      </c>
      <c r="AH3044" s="2">
        <v>36390.912779757899</v>
      </c>
      <c r="AI3044" s="2">
        <v>12693.442611758999</v>
      </c>
      <c r="AJ3044" s="2">
        <v>7162.2239415477698</v>
      </c>
      <c r="AK3044" s="2">
        <v>2907.2006577915599</v>
      </c>
      <c r="AL3044" s="2">
        <v>3336.49447212316</v>
      </c>
      <c r="AM3044" s="2">
        <v>1081.4190987325001</v>
      </c>
      <c r="AN3044" s="2">
        <v>6440.80295103149</v>
      </c>
      <c r="AO3044" s="2">
        <v>8186.4665150736901</v>
      </c>
      <c r="AP3044" s="2">
        <v>2873.98728385297</v>
      </c>
    </row>
    <row r="3045" spans="1:42" ht="14.5" x14ac:dyDescent="0.35">
      <c r="A3045" s="2" t="s">
        <v>20231</v>
      </c>
      <c r="B3045" s="2">
        <v>206.08114070149901</v>
      </c>
      <c r="C3045" s="2">
        <v>4.6661999999999999</v>
      </c>
      <c r="D3045" s="2" t="s">
        <v>34</v>
      </c>
      <c r="E3045" s="2" t="s">
        <v>20232</v>
      </c>
      <c r="F3045" s="2">
        <v>257697</v>
      </c>
      <c r="G3045" s="3" t="str">
        <f>HYPERLINK("http://funmeta.oebiotech.com/network/257697", "http://funmeta.oebiotech.com/network/257697")</f>
        <v>http://funmeta.oebiotech.com/network/257697</v>
      </c>
      <c r="H3045" s="2" t="s">
        <v>20233</v>
      </c>
      <c r="I3045" s="2">
        <v>71</v>
      </c>
      <c r="J3045" s="2"/>
      <c r="K3045" s="2"/>
      <c r="L3045" s="2" t="s">
        <v>20234</v>
      </c>
      <c r="M3045" s="2"/>
      <c r="N3045" s="2"/>
      <c r="O3045" s="2">
        <v>92904</v>
      </c>
      <c r="P3045" s="2" t="s">
        <v>20235</v>
      </c>
      <c r="Q3045" s="2" t="s">
        <v>20236</v>
      </c>
      <c r="R3045" s="2" t="s">
        <v>20237</v>
      </c>
      <c r="S3045" s="2" t="s">
        <v>491</v>
      </c>
      <c r="T3045" s="2" t="s">
        <v>2184</v>
      </c>
      <c r="U3045" s="2" t="s">
        <v>8858</v>
      </c>
      <c r="V3045" s="2" t="s">
        <v>59</v>
      </c>
      <c r="W3045" s="2">
        <v>42.7</v>
      </c>
      <c r="X3045" s="2">
        <v>17</v>
      </c>
      <c r="Y3045" s="2" t="s">
        <v>266</v>
      </c>
      <c r="Z3045" s="2" t="s">
        <v>20238</v>
      </c>
      <c r="AA3045" s="2">
        <v>-0.14115278548295801</v>
      </c>
      <c r="AB3045" s="2">
        <v>0.26009300154822701</v>
      </c>
      <c r="AC3045" s="2">
        <v>29851.6335111999</v>
      </c>
      <c r="AD3045" s="2">
        <v>25247.6196079853</v>
      </c>
      <c r="AE3045" s="2">
        <v>29438.6531365464</v>
      </c>
      <c r="AF3045" s="2">
        <v>30517.292562401799</v>
      </c>
      <c r="AG3045" s="2">
        <v>30920.657972552199</v>
      </c>
      <c r="AH3045" s="2">
        <v>29511.830981822401</v>
      </c>
      <c r="AI3045" s="2">
        <v>29015.625884672801</v>
      </c>
      <c r="AJ3045" s="2">
        <v>29705.7405292037</v>
      </c>
      <c r="AK3045" s="2">
        <v>25416.849389868101</v>
      </c>
      <c r="AL3045" s="2">
        <v>26323.636910798301</v>
      </c>
      <c r="AM3045" s="2">
        <v>25818.096858555498</v>
      </c>
      <c r="AN3045" s="2">
        <v>24296.231011502601</v>
      </c>
      <c r="AO3045" s="2">
        <v>24529.038871078999</v>
      </c>
      <c r="AP3045" s="2">
        <v>25101.864606108102</v>
      </c>
    </row>
    <row r="3046" spans="1:42" ht="14.5" x14ac:dyDescent="0.35">
      <c r="A3046" s="2" t="s">
        <v>20239</v>
      </c>
      <c r="B3046" s="2">
        <v>485.18765841127401</v>
      </c>
      <c r="C3046" s="2">
        <v>3.6738166666666698</v>
      </c>
      <c r="D3046" s="2" t="s">
        <v>70</v>
      </c>
      <c r="E3046" s="2" t="s">
        <v>20240</v>
      </c>
      <c r="F3046" s="2">
        <v>204429</v>
      </c>
      <c r="G3046" s="3" t="str">
        <f>HYPERLINK("http://funmeta.oebiotech.com/network/204429", "http://funmeta.oebiotech.com/network/204429")</f>
        <v>http://funmeta.oebiotech.com/network/204429</v>
      </c>
      <c r="H3046" s="2" t="s">
        <v>20241</v>
      </c>
      <c r="I3046" s="2"/>
      <c r="J3046" s="2"/>
      <c r="K3046" s="2"/>
      <c r="L3046" s="2"/>
      <c r="M3046" s="2"/>
      <c r="N3046" s="2"/>
      <c r="O3046" s="2"/>
      <c r="P3046" s="2"/>
      <c r="Q3046" s="2" t="s">
        <v>20242</v>
      </c>
      <c r="R3046" s="2" t="s">
        <v>20243</v>
      </c>
      <c r="S3046" s="2" t="s">
        <v>41</v>
      </c>
      <c r="T3046" s="2" t="s">
        <v>41</v>
      </c>
      <c r="U3046" s="2" t="s">
        <v>41</v>
      </c>
      <c r="V3046" s="2" t="s">
        <v>59</v>
      </c>
      <c r="W3046" s="2">
        <v>38.200000000000003</v>
      </c>
      <c r="X3046" s="2">
        <v>0</v>
      </c>
      <c r="Y3046" s="2" t="s">
        <v>560</v>
      </c>
      <c r="Z3046" s="2" t="s">
        <v>20244</v>
      </c>
      <c r="AA3046" s="2">
        <v>-3.55674017113911</v>
      </c>
      <c r="AB3046" s="2">
        <v>0.25995904202391301</v>
      </c>
      <c r="AC3046" s="2">
        <v>14257.352794205701</v>
      </c>
      <c r="AD3046" s="2">
        <v>19020.7251526359</v>
      </c>
      <c r="AE3046" s="2">
        <v>14589.6219897913</v>
      </c>
      <c r="AF3046" s="2">
        <v>13288.0809877011</v>
      </c>
      <c r="AG3046" s="2">
        <v>12896.220290798699</v>
      </c>
      <c r="AH3046" s="2">
        <v>14327.937931542399</v>
      </c>
      <c r="AI3046" s="2">
        <v>15036.2626515664</v>
      </c>
      <c r="AJ3046" s="2">
        <v>15405.992913834099</v>
      </c>
      <c r="AK3046" s="2">
        <v>18684.1677934076</v>
      </c>
      <c r="AL3046" s="2">
        <v>18604.755553589599</v>
      </c>
      <c r="AM3046" s="2">
        <v>18034.281743265001</v>
      </c>
      <c r="AN3046" s="2">
        <v>19589.024211125401</v>
      </c>
      <c r="AO3046" s="2">
        <v>18204.189099128002</v>
      </c>
      <c r="AP3046" s="2">
        <v>21007.932515299599</v>
      </c>
    </row>
    <row r="3047" spans="1:42" ht="14.5" x14ac:dyDescent="0.35">
      <c r="A3047" s="2" t="s">
        <v>20245</v>
      </c>
      <c r="B3047" s="2">
        <v>275.15466445714202</v>
      </c>
      <c r="C3047" s="2">
        <v>5.6059000000000001</v>
      </c>
      <c r="D3047" s="2" t="s">
        <v>34</v>
      </c>
      <c r="E3047" s="2" t="s">
        <v>20246</v>
      </c>
      <c r="F3047" s="2">
        <v>205676</v>
      </c>
      <c r="G3047" s="3" t="str">
        <f>HYPERLINK("http://funmeta.oebiotech.com/network/205676", "http://funmeta.oebiotech.com/network/205676")</f>
        <v>http://funmeta.oebiotech.com/network/205676</v>
      </c>
      <c r="H3047" s="2" t="s">
        <v>20247</v>
      </c>
      <c r="I3047" s="2"/>
      <c r="J3047" s="2"/>
      <c r="K3047" s="2"/>
      <c r="L3047" s="2"/>
      <c r="M3047" s="2"/>
      <c r="N3047" s="2"/>
      <c r="O3047" s="2">
        <v>53626</v>
      </c>
      <c r="P3047" s="2"/>
      <c r="Q3047" s="2" t="s">
        <v>20248</v>
      </c>
      <c r="R3047" s="2" t="s">
        <v>20249</v>
      </c>
      <c r="S3047" s="2" t="s">
        <v>41</v>
      </c>
      <c r="T3047" s="2" t="s">
        <v>41</v>
      </c>
      <c r="U3047" s="2" t="s">
        <v>41</v>
      </c>
      <c r="V3047" s="2" t="s">
        <v>59</v>
      </c>
      <c r="W3047" s="2">
        <v>36.1</v>
      </c>
      <c r="X3047" s="2">
        <v>0</v>
      </c>
      <c r="Y3047" s="2" t="s">
        <v>141</v>
      </c>
      <c r="Z3047" s="2" t="s">
        <v>20250</v>
      </c>
      <c r="AA3047" s="2">
        <v>1.33296765517452</v>
      </c>
      <c r="AB3047" s="2">
        <v>0.25959650050140198</v>
      </c>
      <c r="AC3047" s="2">
        <v>14530.4844831516</v>
      </c>
      <c r="AD3047" s="2">
        <v>19365.546357061099</v>
      </c>
      <c r="AE3047" s="2">
        <v>14642.0695024694</v>
      </c>
      <c r="AF3047" s="2">
        <v>13532.344156748401</v>
      </c>
      <c r="AG3047" s="2">
        <v>15255.328549457399</v>
      </c>
      <c r="AH3047" s="2">
        <v>14377.232214899401</v>
      </c>
      <c r="AI3047" s="2">
        <v>13966.0876946832</v>
      </c>
      <c r="AJ3047" s="2">
        <v>15409.8447806518</v>
      </c>
      <c r="AK3047" s="2">
        <v>19290.042284012499</v>
      </c>
      <c r="AL3047" s="2">
        <v>19254.398745013001</v>
      </c>
      <c r="AM3047" s="2">
        <v>21688.3978664815</v>
      </c>
      <c r="AN3047" s="2">
        <v>20296.611461801302</v>
      </c>
      <c r="AO3047" s="2">
        <v>18171.906642906699</v>
      </c>
      <c r="AP3047" s="2">
        <v>17491.921142151801</v>
      </c>
    </row>
    <row r="3048" spans="1:42" ht="14.5" x14ac:dyDescent="0.35">
      <c r="A3048" s="2" t="s">
        <v>20251</v>
      </c>
      <c r="B3048" s="2">
        <v>487.08498705545298</v>
      </c>
      <c r="C3048" s="2">
        <v>3.5301</v>
      </c>
      <c r="D3048" s="2" t="s">
        <v>34</v>
      </c>
      <c r="E3048" s="2" t="s">
        <v>20252</v>
      </c>
      <c r="F3048" s="2">
        <v>32521</v>
      </c>
      <c r="G3048" s="3" t="str">
        <f>HYPERLINK("http://funmeta.oebiotech.com/network/32521", "http://funmeta.oebiotech.com/network/32521")</f>
        <v>http://funmeta.oebiotech.com/network/32521</v>
      </c>
      <c r="H3048" s="2"/>
      <c r="I3048" s="2">
        <v>50852</v>
      </c>
      <c r="J3048" s="2" t="s">
        <v>20253</v>
      </c>
      <c r="K3048" s="2">
        <v>70082</v>
      </c>
      <c r="L3048" s="2" t="s">
        <v>20254</v>
      </c>
      <c r="M3048" s="2"/>
      <c r="N3048" s="2"/>
      <c r="O3048" s="2">
        <v>5281673</v>
      </c>
      <c r="P3048" s="2"/>
      <c r="Q3048" s="2" t="s">
        <v>20255</v>
      </c>
      <c r="R3048" s="2" t="s">
        <v>20256</v>
      </c>
      <c r="S3048" s="2" t="s">
        <v>115</v>
      </c>
      <c r="T3048" s="2" t="s">
        <v>139</v>
      </c>
      <c r="U3048" s="2" t="s">
        <v>140</v>
      </c>
      <c r="V3048" s="2" t="s">
        <v>59</v>
      </c>
      <c r="W3048" s="2">
        <v>38.4</v>
      </c>
      <c r="X3048" s="2">
        <v>0</v>
      </c>
      <c r="Y3048" s="2" t="s">
        <v>470</v>
      </c>
      <c r="Z3048" s="2" t="s">
        <v>20257</v>
      </c>
      <c r="AA3048" s="2">
        <v>0.62551640239293704</v>
      </c>
      <c r="AB3048" s="2">
        <v>0.25949055385807102</v>
      </c>
      <c r="AC3048" s="2">
        <v>16052.6201269092</v>
      </c>
      <c r="AD3048" s="2">
        <v>11352.703439882</v>
      </c>
      <c r="AE3048" s="2">
        <v>16246.2558536406</v>
      </c>
      <c r="AF3048" s="2">
        <v>17790.618646896401</v>
      </c>
      <c r="AG3048" s="2">
        <v>15751.628996670999</v>
      </c>
      <c r="AH3048" s="2">
        <v>15053.1968530015</v>
      </c>
      <c r="AI3048" s="2">
        <v>15451.8877150675</v>
      </c>
      <c r="AJ3048" s="2">
        <v>16022.1326961784</v>
      </c>
      <c r="AK3048" s="2">
        <v>11012.317889636301</v>
      </c>
      <c r="AL3048" s="2">
        <v>9957.3698443633893</v>
      </c>
      <c r="AM3048" s="2">
        <v>10891.416515601601</v>
      </c>
      <c r="AN3048" s="2">
        <v>12327.9258980212</v>
      </c>
      <c r="AO3048" s="2">
        <v>11541.148878125399</v>
      </c>
      <c r="AP3048" s="2">
        <v>12386.041613544399</v>
      </c>
    </row>
    <row r="3049" spans="1:42" ht="14.5" x14ac:dyDescent="0.35">
      <c r="A3049" s="2" t="s">
        <v>20258</v>
      </c>
      <c r="B3049" s="2">
        <v>528.27996201552003</v>
      </c>
      <c r="C3049" s="2">
        <v>5.7736666666666698</v>
      </c>
      <c r="D3049" s="2" t="s">
        <v>34</v>
      </c>
      <c r="E3049" s="2" t="s">
        <v>20259</v>
      </c>
      <c r="F3049" s="2">
        <v>199116</v>
      </c>
      <c r="G3049" s="3" t="str">
        <f>HYPERLINK("http://funmeta.oebiotech.com/network/199116", "http://funmeta.oebiotech.com/network/199116")</f>
        <v>http://funmeta.oebiotech.com/network/199116</v>
      </c>
      <c r="H3049" s="2" t="s">
        <v>20260</v>
      </c>
      <c r="I3049" s="2"/>
      <c r="J3049" s="2"/>
      <c r="K3049" s="2"/>
      <c r="L3049" s="2"/>
      <c r="M3049" s="2"/>
      <c r="N3049" s="2"/>
      <c r="O3049" s="2">
        <v>72822913</v>
      </c>
      <c r="P3049" s="2"/>
      <c r="Q3049" s="2" t="s">
        <v>20261</v>
      </c>
      <c r="R3049" s="2" t="s">
        <v>20262</v>
      </c>
      <c r="S3049" s="2" t="s">
        <v>79</v>
      </c>
      <c r="T3049" s="2" t="s">
        <v>80</v>
      </c>
      <c r="U3049" s="2" t="s">
        <v>81</v>
      </c>
      <c r="V3049" s="2" t="s">
        <v>59</v>
      </c>
      <c r="W3049" s="2">
        <v>37.700000000000003</v>
      </c>
      <c r="X3049" s="2">
        <v>0</v>
      </c>
      <c r="Y3049" s="2" t="s">
        <v>340</v>
      </c>
      <c r="Z3049" s="2" t="s">
        <v>20263</v>
      </c>
      <c r="AA3049" s="2">
        <v>1.1346355076002199</v>
      </c>
      <c r="AB3049" s="2">
        <v>0.25912425773507097</v>
      </c>
      <c r="AC3049" s="2">
        <v>71883.715703969705</v>
      </c>
      <c r="AD3049" s="2">
        <v>63751.693483724397</v>
      </c>
      <c r="AE3049" s="2">
        <v>73753.413530462902</v>
      </c>
      <c r="AF3049" s="2">
        <v>65429.329398112102</v>
      </c>
      <c r="AG3049" s="2">
        <v>75360.844215696095</v>
      </c>
      <c r="AH3049" s="2">
        <v>68353.6834338716</v>
      </c>
      <c r="AI3049" s="2">
        <v>67473.362834546904</v>
      </c>
      <c r="AJ3049" s="2">
        <v>80931.660811128793</v>
      </c>
      <c r="AK3049" s="2">
        <v>57543.182122830003</v>
      </c>
      <c r="AL3049" s="2">
        <v>78087.306898937895</v>
      </c>
      <c r="AM3049" s="2">
        <v>64187.464349751099</v>
      </c>
      <c r="AN3049" s="2">
        <v>55623.634580092701</v>
      </c>
      <c r="AO3049" s="2">
        <v>66566.919744764105</v>
      </c>
      <c r="AP3049" s="2">
        <v>60501.653205970397</v>
      </c>
    </row>
    <row r="3050" spans="1:42" ht="14.5" x14ac:dyDescent="0.35">
      <c r="A3050" s="2" t="s">
        <v>20264</v>
      </c>
      <c r="B3050" s="2">
        <v>445.04151744942601</v>
      </c>
      <c r="C3050" s="2">
        <v>3.1090666666666702</v>
      </c>
      <c r="D3050" s="2" t="s">
        <v>70</v>
      </c>
      <c r="E3050" s="2" t="s">
        <v>20265</v>
      </c>
      <c r="F3050" s="2">
        <v>254787</v>
      </c>
      <c r="G3050" s="3" t="str">
        <f>HYPERLINK("http://funmeta.oebiotech.com/network/254787", "http://funmeta.oebiotech.com/network/254787")</f>
        <v>http://funmeta.oebiotech.com/network/254787</v>
      </c>
      <c r="H3050" s="2" t="s">
        <v>20266</v>
      </c>
      <c r="I3050" s="2"/>
      <c r="J3050" s="2"/>
      <c r="K3050" s="2"/>
      <c r="L3050" s="2"/>
      <c r="M3050" s="2"/>
      <c r="N3050" s="2"/>
      <c r="O3050" s="2">
        <v>91072206</v>
      </c>
      <c r="P3050" s="2"/>
      <c r="Q3050" s="2" t="s">
        <v>20267</v>
      </c>
      <c r="R3050" s="2" t="s">
        <v>20268</v>
      </c>
      <c r="S3050" s="2" t="s">
        <v>115</v>
      </c>
      <c r="T3050" s="2" t="s">
        <v>9908</v>
      </c>
      <c r="U3050" s="2" t="s">
        <v>9909</v>
      </c>
      <c r="V3050" s="2" t="s">
        <v>59</v>
      </c>
      <c r="W3050" s="2">
        <v>36.4</v>
      </c>
      <c r="X3050" s="2">
        <v>0</v>
      </c>
      <c r="Y3050" s="2" t="s">
        <v>751</v>
      </c>
      <c r="Z3050" s="2" t="s">
        <v>20269</v>
      </c>
      <c r="AA3050" s="2">
        <v>0.57751702570187902</v>
      </c>
      <c r="AB3050" s="2">
        <v>0.25906488208130601</v>
      </c>
      <c r="AC3050" s="2">
        <v>4686.1821017143102</v>
      </c>
      <c r="AD3050" s="2">
        <v>10058.7192439876</v>
      </c>
      <c r="AE3050" s="2">
        <v>3515.4761915550298</v>
      </c>
      <c r="AF3050" s="2">
        <v>4122.8039942364003</v>
      </c>
      <c r="AG3050" s="2">
        <v>4319.5041097488302</v>
      </c>
      <c r="AH3050" s="2">
        <v>1682.8378377506201</v>
      </c>
      <c r="AI3050" s="2">
        <v>7012.0239911888602</v>
      </c>
      <c r="AJ3050" s="2">
        <v>7464.4464858061301</v>
      </c>
      <c r="AK3050" s="2">
        <v>6877.2942870189099</v>
      </c>
      <c r="AL3050" s="2">
        <v>11366.663533646601</v>
      </c>
      <c r="AM3050" s="2">
        <v>9004.3408179132894</v>
      </c>
      <c r="AN3050" s="2">
        <v>9442.1877516081804</v>
      </c>
      <c r="AO3050" s="2">
        <v>11962.286988067301</v>
      </c>
      <c r="AP3050" s="2">
        <v>11699.542085671501</v>
      </c>
    </row>
    <row r="3051" spans="1:42" ht="14.5" x14ac:dyDescent="0.35">
      <c r="A3051" s="2" t="s">
        <v>20270</v>
      </c>
      <c r="B3051" s="2">
        <v>272.25798242723698</v>
      </c>
      <c r="C3051" s="2">
        <v>8.5628333333333302</v>
      </c>
      <c r="D3051" s="2" t="s">
        <v>34</v>
      </c>
      <c r="E3051" s="2" t="s">
        <v>20271</v>
      </c>
      <c r="F3051" s="2">
        <v>564</v>
      </c>
      <c r="G3051" s="3" t="str">
        <f>HYPERLINK("http://funmeta.oebiotech.com/network/564", "http://funmeta.oebiotech.com/network/564")</f>
        <v>http://funmeta.oebiotech.com/network/564</v>
      </c>
      <c r="H3051" s="2" t="s">
        <v>20272</v>
      </c>
      <c r="I3051" s="2">
        <v>45058</v>
      </c>
      <c r="J3051" s="2" t="s">
        <v>20273</v>
      </c>
      <c r="K3051" s="2">
        <v>35465</v>
      </c>
      <c r="L3051" s="2"/>
      <c r="M3051" s="2"/>
      <c r="N3051" s="2"/>
      <c r="O3051" s="2">
        <v>5318393</v>
      </c>
      <c r="P3051" s="2" t="s">
        <v>20274</v>
      </c>
      <c r="Q3051" s="2" t="s">
        <v>20275</v>
      </c>
      <c r="R3051" s="2" t="s">
        <v>20276</v>
      </c>
      <c r="S3051" s="2" t="s">
        <v>50</v>
      </c>
      <c r="T3051" s="2" t="s">
        <v>229</v>
      </c>
      <c r="U3051" s="2" t="s">
        <v>433</v>
      </c>
      <c r="V3051" s="2" t="s">
        <v>42</v>
      </c>
      <c r="W3051" s="2">
        <v>56.2</v>
      </c>
      <c r="X3051" s="2">
        <v>88</v>
      </c>
      <c r="Y3051" s="2" t="s">
        <v>43</v>
      </c>
      <c r="Z3051" s="2" t="s">
        <v>20277</v>
      </c>
      <c r="AA3051" s="2">
        <v>-1.6650788931567899</v>
      </c>
      <c r="AB3051" s="2">
        <v>0.25889041421502801</v>
      </c>
      <c r="AC3051" s="2">
        <v>25296.120653788501</v>
      </c>
      <c r="AD3051" s="2">
        <v>31201.780624197301</v>
      </c>
      <c r="AE3051" s="2">
        <v>27896.193004925601</v>
      </c>
      <c r="AF3051" s="2">
        <v>25089.152899087901</v>
      </c>
      <c r="AG3051" s="2">
        <v>27384.2664146971</v>
      </c>
      <c r="AH3051" s="2">
        <v>20239.185696433698</v>
      </c>
      <c r="AI3051" s="2">
        <v>22364.6207541039</v>
      </c>
      <c r="AJ3051" s="2">
        <v>28803.305153483001</v>
      </c>
      <c r="AK3051" s="2">
        <v>33573.975205007497</v>
      </c>
      <c r="AL3051" s="2">
        <v>32640.8741179891</v>
      </c>
      <c r="AM3051" s="2">
        <v>31329.690002886498</v>
      </c>
      <c r="AN3051" s="2">
        <v>32419.686167363801</v>
      </c>
      <c r="AO3051" s="2">
        <v>29033.8034527085</v>
      </c>
      <c r="AP3051" s="2">
        <v>28212.654799228301</v>
      </c>
    </row>
    <row r="3052" spans="1:42" ht="14.5" x14ac:dyDescent="0.35">
      <c r="A3052" s="2" t="s">
        <v>20278</v>
      </c>
      <c r="B3052" s="2">
        <v>163.075210566995</v>
      </c>
      <c r="C3052" s="2">
        <v>4.5826500000000001</v>
      </c>
      <c r="D3052" s="2" t="s">
        <v>34</v>
      </c>
      <c r="E3052" s="2" t="s">
        <v>20279</v>
      </c>
      <c r="F3052" s="2">
        <v>256746</v>
      </c>
      <c r="G3052" s="3" t="str">
        <f>HYPERLINK("http://funmeta.oebiotech.com/network/256746", "http://funmeta.oebiotech.com/network/256746")</f>
        <v>http://funmeta.oebiotech.com/network/256746</v>
      </c>
      <c r="H3052" s="2" t="s">
        <v>20280</v>
      </c>
      <c r="I3052" s="2">
        <v>66385</v>
      </c>
      <c r="J3052" s="2"/>
      <c r="K3052" s="2"/>
      <c r="L3052" s="2" t="s">
        <v>20281</v>
      </c>
      <c r="M3052" s="2"/>
      <c r="N3052" s="2"/>
      <c r="O3052" s="2">
        <v>637520</v>
      </c>
      <c r="P3052" s="2" t="s">
        <v>20282</v>
      </c>
      <c r="Q3052" s="2" t="s">
        <v>20283</v>
      </c>
      <c r="R3052" s="2" t="s">
        <v>20284</v>
      </c>
      <c r="S3052" s="2" t="s">
        <v>115</v>
      </c>
      <c r="T3052" s="2" t="s">
        <v>116</v>
      </c>
      <c r="U3052" s="2" t="s">
        <v>7178</v>
      </c>
      <c r="V3052" s="2" t="s">
        <v>42</v>
      </c>
      <c r="W3052" s="2">
        <v>56.1</v>
      </c>
      <c r="X3052" s="2">
        <v>83.3</v>
      </c>
      <c r="Y3052" s="2" t="s">
        <v>394</v>
      </c>
      <c r="Z3052" s="2" t="s">
        <v>14854</v>
      </c>
      <c r="AA3052" s="2">
        <v>-0.89730701603844698</v>
      </c>
      <c r="AB3052" s="2">
        <v>0.258827046896905</v>
      </c>
      <c r="AC3052" s="2">
        <v>194842.56988050399</v>
      </c>
      <c r="AD3052" s="2">
        <v>203794.718486736</v>
      </c>
      <c r="AE3052" s="2">
        <v>187921.19522125801</v>
      </c>
      <c r="AF3052" s="2">
        <v>207865.515543038</v>
      </c>
      <c r="AG3052" s="2">
        <v>196290.58546811499</v>
      </c>
      <c r="AH3052" s="2">
        <v>183313.99834841301</v>
      </c>
      <c r="AI3052" s="2">
        <v>194786.36316952101</v>
      </c>
      <c r="AJ3052" s="2">
        <v>198877.76153267999</v>
      </c>
      <c r="AK3052" s="2">
        <v>209672.06699516199</v>
      </c>
      <c r="AL3052" s="2">
        <v>210140.62643536701</v>
      </c>
      <c r="AM3052" s="2">
        <v>200453.59925025699</v>
      </c>
      <c r="AN3052" s="2">
        <v>211639.462019942</v>
      </c>
      <c r="AO3052" s="2">
        <v>188908.02258092701</v>
      </c>
      <c r="AP3052" s="2">
        <v>201954.533638764</v>
      </c>
    </row>
    <row r="3053" spans="1:42" ht="14.5" x14ac:dyDescent="0.35">
      <c r="A3053" s="2" t="s">
        <v>20285</v>
      </c>
      <c r="B3053" s="2">
        <v>553.26864447297396</v>
      </c>
      <c r="C3053" s="2">
        <v>10.3723666666667</v>
      </c>
      <c r="D3053" s="2" t="s">
        <v>70</v>
      </c>
      <c r="E3053" s="2" t="s">
        <v>20286</v>
      </c>
      <c r="F3053" s="2">
        <v>18013</v>
      </c>
      <c r="G3053" s="3" t="str">
        <f>HYPERLINK("http://funmeta.oebiotech.com/network/18013", "http://funmeta.oebiotech.com/network/18013")</f>
        <v>http://funmeta.oebiotech.com/network/18013</v>
      </c>
      <c r="H3053" s="2"/>
      <c r="I3053" s="2"/>
      <c r="J3053" s="2" t="s">
        <v>20287</v>
      </c>
      <c r="K3053" s="2"/>
      <c r="L3053" s="2"/>
      <c r="M3053" s="2"/>
      <c r="N3053" s="2"/>
      <c r="O3053" s="2">
        <v>42607385</v>
      </c>
      <c r="P3053" s="2"/>
      <c r="Q3053" s="2" t="s">
        <v>20288</v>
      </c>
      <c r="R3053" s="2" t="s">
        <v>20289</v>
      </c>
      <c r="S3053" s="2" t="s">
        <v>50</v>
      </c>
      <c r="T3053" s="2" t="s">
        <v>448</v>
      </c>
      <c r="U3053" s="2" t="s">
        <v>449</v>
      </c>
      <c r="V3053" s="2" t="s">
        <v>59</v>
      </c>
      <c r="W3053" s="2">
        <v>40.799999999999997</v>
      </c>
      <c r="X3053" s="2">
        <v>13.5</v>
      </c>
      <c r="Y3053" s="2" t="s">
        <v>118</v>
      </c>
      <c r="Z3053" s="2" t="s">
        <v>20290</v>
      </c>
      <c r="AA3053" s="2">
        <v>-0.29296845250784398</v>
      </c>
      <c r="AB3053" s="2">
        <v>0.258811324473952</v>
      </c>
      <c r="AC3053" s="2">
        <v>126.81663366998301</v>
      </c>
      <c r="AD3053" s="2">
        <v>4607.3000236544704</v>
      </c>
      <c r="AE3053" s="2">
        <v>118.576040284519</v>
      </c>
      <c r="AF3053" s="2">
        <v>105.586581223745</v>
      </c>
      <c r="AG3053" s="2">
        <v>2.7106294003980101E-5</v>
      </c>
      <c r="AH3053" s="2">
        <v>135.694111867327</v>
      </c>
      <c r="AI3053" s="2">
        <v>288.96649817799499</v>
      </c>
      <c r="AJ3053" s="2">
        <v>112.076543360016</v>
      </c>
      <c r="AK3053" s="2">
        <v>4663.0369057377102</v>
      </c>
      <c r="AL3053" s="2">
        <v>3848.9832961392599</v>
      </c>
      <c r="AM3053" s="2">
        <v>4976.9512657283003</v>
      </c>
      <c r="AN3053" s="2">
        <v>4590.8979502949496</v>
      </c>
      <c r="AO3053" s="2">
        <v>5726.4780173061499</v>
      </c>
      <c r="AP3053" s="2">
        <v>3837.4527067204599</v>
      </c>
    </row>
    <row r="3054" spans="1:42" ht="14.5" x14ac:dyDescent="0.35">
      <c r="A3054" s="2" t="s">
        <v>20291</v>
      </c>
      <c r="B3054" s="2">
        <v>349.22313579575098</v>
      </c>
      <c r="C3054" s="2">
        <v>5.7914500000000002</v>
      </c>
      <c r="D3054" s="2" t="s">
        <v>34</v>
      </c>
      <c r="E3054" s="2" t="s">
        <v>20292</v>
      </c>
      <c r="F3054" s="2">
        <v>82924</v>
      </c>
      <c r="G3054" s="3" t="str">
        <f>HYPERLINK("http://funmeta.oebiotech.com/network/82924", "http://funmeta.oebiotech.com/network/82924")</f>
        <v>http://funmeta.oebiotech.com/network/82924</v>
      </c>
      <c r="H3054" s="2" t="s">
        <v>20293</v>
      </c>
      <c r="I3054" s="2"/>
      <c r="J3054" s="2"/>
      <c r="K3054" s="2"/>
      <c r="L3054" s="2"/>
      <c r="M3054" s="2"/>
      <c r="N3054" s="2"/>
      <c r="O3054" s="2">
        <v>131770027</v>
      </c>
      <c r="P3054" s="2"/>
      <c r="Q3054" s="2" t="s">
        <v>20294</v>
      </c>
      <c r="R3054" s="2" t="s">
        <v>20295</v>
      </c>
      <c r="S3054" s="2" t="s">
        <v>89</v>
      </c>
      <c r="T3054" s="2" t="s">
        <v>90</v>
      </c>
      <c r="U3054" s="2" t="s">
        <v>99</v>
      </c>
      <c r="V3054" s="2" t="s">
        <v>59</v>
      </c>
      <c r="W3054" s="2">
        <v>38</v>
      </c>
      <c r="X3054" s="2">
        <v>0</v>
      </c>
      <c r="Y3054" s="2" t="s">
        <v>43</v>
      </c>
      <c r="Z3054" s="2" t="s">
        <v>20296</v>
      </c>
      <c r="AA3054" s="2">
        <v>-0.84969179758421398</v>
      </c>
      <c r="AB3054" s="2">
        <v>0.25849967656081702</v>
      </c>
      <c r="AC3054" s="2">
        <v>4597.7031290650802</v>
      </c>
      <c r="AD3054" s="2">
        <v>2.7106294003980101E-5</v>
      </c>
      <c r="AE3054" s="2">
        <v>2948.4405368449602</v>
      </c>
      <c r="AF3054" s="2">
        <v>6024.7785849632201</v>
      </c>
      <c r="AG3054" s="2">
        <v>3758.3159903809001</v>
      </c>
      <c r="AH3054" s="2">
        <v>4878.5343652112597</v>
      </c>
      <c r="AI3054" s="2">
        <v>4526.1595488536204</v>
      </c>
      <c r="AJ3054" s="2">
        <v>5449.9897481364997</v>
      </c>
      <c r="AK3054" s="2">
        <v>2.7106294003980101E-5</v>
      </c>
      <c r="AL3054" s="2">
        <v>2.7106294003980101E-5</v>
      </c>
      <c r="AM3054" s="2">
        <v>2.7106294003980101E-5</v>
      </c>
      <c r="AN3054" s="2">
        <v>2.7106294003980101E-5</v>
      </c>
      <c r="AO3054" s="2">
        <v>2.7106294003980101E-5</v>
      </c>
      <c r="AP3054" s="2">
        <v>2.7106294003980101E-5</v>
      </c>
    </row>
    <row r="3055" spans="1:42" ht="14.5" x14ac:dyDescent="0.35">
      <c r="A3055" s="2" t="s">
        <v>20297</v>
      </c>
      <c r="B3055" s="2">
        <v>269.25850545685699</v>
      </c>
      <c r="C3055" s="2">
        <v>11.141500000000001</v>
      </c>
      <c r="D3055" s="2" t="s">
        <v>34</v>
      </c>
      <c r="E3055" s="2" t="s">
        <v>20298</v>
      </c>
      <c r="F3055" s="2">
        <v>8756</v>
      </c>
      <c r="G3055" s="3" t="str">
        <f>HYPERLINK("http://funmeta.oebiotech.com/network/8756", "http://funmeta.oebiotech.com/network/8756")</f>
        <v>http://funmeta.oebiotech.com/network/8756</v>
      </c>
      <c r="H3055" s="2" t="s">
        <v>20299</v>
      </c>
      <c r="I3055" s="2">
        <v>86852</v>
      </c>
      <c r="J3055" s="2" t="s">
        <v>20300</v>
      </c>
      <c r="K3055" s="2"/>
      <c r="L3055" s="2"/>
      <c r="M3055" s="2"/>
      <c r="N3055" s="2"/>
      <c r="O3055" s="2">
        <v>5318023</v>
      </c>
      <c r="P3055" s="2"/>
      <c r="Q3055" s="2" t="s">
        <v>20301</v>
      </c>
      <c r="R3055" s="2" t="s">
        <v>20302</v>
      </c>
      <c r="S3055" s="2" t="s">
        <v>50</v>
      </c>
      <c r="T3055" s="2" t="s">
        <v>229</v>
      </c>
      <c r="U3055" s="2" t="s">
        <v>645</v>
      </c>
      <c r="V3055" s="2" t="s">
        <v>59</v>
      </c>
      <c r="W3055" s="2">
        <v>39.5</v>
      </c>
      <c r="X3055" s="2">
        <v>1.2</v>
      </c>
      <c r="Y3055" s="2" t="s">
        <v>43</v>
      </c>
      <c r="Z3055" s="2" t="s">
        <v>20303</v>
      </c>
      <c r="AA3055" s="2">
        <v>-0.93393417325803596</v>
      </c>
      <c r="AB3055" s="2">
        <v>0.258236648091135</v>
      </c>
      <c r="AC3055" s="2">
        <v>3707.1814790630401</v>
      </c>
      <c r="AD3055" s="2">
        <v>8945.6662445841703</v>
      </c>
      <c r="AE3055" s="2">
        <v>4386.3714856728902</v>
      </c>
      <c r="AF3055" s="2">
        <v>2900.65372971031</v>
      </c>
      <c r="AG3055" s="2">
        <v>3503.9835431617598</v>
      </c>
      <c r="AH3055" s="2">
        <v>4234.2545596631398</v>
      </c>
      <c r="AI3055" s="2">
        <v>4065.0316813639402</v>
      </c>
      <c r="AJ3055" s="2">
        <v>3152.7938748062202</v>
      </c>
      <c r="AK3055" s="2">
        <v>6200.1797236771299</v>
      </c>
      <c r="AL3055" s="2">
        <v>12608.653584312</v>
      </c>
      <c r="AM3055" s="2">
        <v>10185.6506898889</v>
      </c>
      <c r="AN3055" s="2">
        <v>10753.7356116152</v>
      </c>
      <c r="AO3055" s="2">
        <v>6523.7121896736699</v>
      </c>
      <c r="AP3055" s="2">
        <v>7402.0656683381403</v>
      </c>
    </row>
    <row r="3056" spans="1:42" ht="14.5" x14ac:dyDescent="0.35">
      <c r="A3056" s="2" t="s">
        <v>20304</v>
      </c>
      <c r="B3056" s="2">
        <v>480.30849979126799</v>
      </c>
      <c r="C3056" s="2">
        <v>10.5845</v>
      </c>
      <c r="D3056" s="2" t="s">
        <v>34</v>
      </c>
      <c r="E3056" s="2" t="s">
        <v>20305</v>
      </c>
      <c r="F3056" s="2">
        <v>21166</v>
      </c>
      <c r="G3056" s="3" t="str">
        <f>HYPERLINK("http://funmeta.oebiotech.com/network/21166", "http://funmeta.oebiotech.com/network/21166")</f>
        <v>http://funmeta.oebiotech.com/network/21166</v>
      </c>
      <c r="H3056" s="2" t="s">
        <v>20306</v>
      </c>
      <c r="I3056" s="2">
        <v>40778</v>
      </c>
      <c r="J3056" s="2" t="s">
        <v>20307</v>
      </c>
      <c r="K3056" s="2">
        <v>74971</v>
      </c>
      <c r="L3056" s="2"/>
      <c r="M3056" s="2"/>
      <c r="N3056" s="2"/>
      <c r="O3056" s="2">
        <v>9547071</v>
      </c>
      <c r="P3056" s="2" t="s">
        <v>20308</v>
      </c>
      <c r="Q3056" s="2" t="s">
        <v>20309</v>
      </c>
      <c r="R3056" s="2" t="s">
        <v>20310</v>
      </c>
      <c r="S3056" s="2" t="s">
        <v>50</v>
      </c>
      <c r="T3056" s="2" t="s">
        <v>51</v>
      </c>
      <c r="U3056" s="2" t="s">
        <v>257</v>
      </c>
      <c r="V3056" s="2" t="s">
        <v>42</v>
      </c>
      <c r="W3056" s="2">
        <v>56.9</v>
      </c>
      <c r="X3056" s="2">
        <v>87.8</v>
      </c>
      <c r="Y3056" s="2" t="s">
        <v>394</v>
      </c>
      <c r="Z3056" s="2" t="s">
        <v>20311</v>
      </c>
      <c r="AA3056" s="2">
        <v>7.0753689951044002E-2</v>
      </c>
      <c r="AB3056" s="2">
        <v>0.258026806913284</v>
      </c>
      <c r="AC3056" s="2">
        <v>10751.706898775799</v>
      </c>
      <c r="AD3056" s="2">
        <v>15742.0349635613</v>
      </c>
      <c r="AE3056" s="2">
        <v>9913.5551281714106</v>
      </c>
      <c r="AF3056" s="2">
        <v>11288.822840646901</v>
      </c>
      <c r="AG3056" s="2">
        <v>12576.705160653</v>
      </c>
      <c r="AH3056" s="2">
        <v>10425.788438113799</v>
      </c>
      <c r="AI3056" s="2">
        <v>10013.1514971461</v>
      </c>
      <c r="AJ3056" s="2">
        <v>10292.2183279238</v>
      </c>
      <c r="AK3056" s="2">
        <v>18036.105901875999</v>
      </c>
      <c r="AL3056" s="2">
        <v>16989.9071115279</v>
      </c>
      <c r="AM3056" s="2">
        <v>14407.836054543901</v>
      </c>
      <c r="AN3056" s="2">
        <v>13477.7296167804</v>
      </c>
      <c r="AO3056" s="2">
        <v>16877.035567249</v>
      </c>
      <c r="AP3056" s="2">
        <v>14663.595529390401</v>
      </c>
    </row>
    <row r="3057" spans="1:42" ht="14.5" x14ac:dyDescent="0.35">
      <c r="A3057" s="2" t="s">
        <v>20312</v>
      </c>
      <c r="B3057" s="2">
        <v>200.02900466769199</v>
      </c>
      <c r="C3057" s="2">
        <v>3.7303666666666699</v>
      </c>
      <c r="D3057" s="2" t="s">
        <v>70</v>
      </c>
      <c r="E3057" s="2" t="s">
        <v>20313</v>
      </c>
      <c r="F3057" s="2">
        <v>53028</v>
      </c>
      <c r="G3057" s="3" t="str">
        <f>HYPERLINK("http://funmeta.oebiotech.com/network/53028", "http://funmeta.oebiotech.com/network/53028")</f>
        <v>http://funmeta.oebiotech.com/network/53028</v>
      </c>
      <c r="H3057" s="2" t="s">
        <v>20314</v>
      </c>
      <c r="I3057" s="2">
        <v>2823</v>
      </c>
      <c r="J3057" s="2"/>
      <c r="K3057" s="2">
        <v>45979</v>
      </c>
      <c r="L3057" s="2" t="s">
        <v>20315</v>
      </c>
      <c r="M3057" s="2"/>
      <c r="N3057" s="2"/>
      <c r="O3057" s="2">
        <v>5430</v>
      </c>
      <c r="P3057" s="2" t="s">
        <v>20316</v>
      </c>
      <c r="Q3057" s="2" t="s">
        <v>20317</v>
      </c>
      <c r="R3057" s="2" t="s">
        <v>20318</v>
      </c>
      <c r="S3057" s="2" t="s">
        <v>491</v>
      </c>
      <c r="T3057" s="2" t="s">
        <v>15878</v>
      </c>
      <c r="U3057" s="2" t="s">
        <v>41</v>
      </c>
      <c r="V3057" s="2" t="s">
        <v>59</v>
      </c>
      <c r="W3057" s="2">
        <v>38.1</v>
      </c>
      <c r="X3057" s="2">
        <v>0</v>
      </c>
      <c r="Y3057" s="2" t="s">
        <v>118</v>
      </c>
      <c r="Z3057" s="2" t="s">
        <v>20319</v>
      </c>
      <c r="AA3057" s="2">
        <v>1.0588189680886499</v>
      </c>
      <c r="AB3057" s="2">
        <v>0.25792995500183402</v>
      </c>
      <c r="AC3057" s="2">
        <v>22908.5004901375</v>
      </c>
      <c r="AD3057" s="2">
        <v>27663.8492243744</v>
      </c>
      <c r="AE3057" s="2">
        <v>23410.571630865801</v>
      </c>
      <c r="AF3057" s="2">
        <v>22623.041322436799</v>
      </c>
      <c r="AG3057" s="2">
        <v>21964.538158028401</v>
      </c>
      <c r="AH3057" s="2">
        <v>23995.952264532101</v>
      </c>
      <c r="AI3057" s="2">
        <v>24377.6664745011</v>
      </c>
      <c r="AJ3057" s="2">
        <v>21079.233090460599</v>
      </c>
      <c r="AK3057" s="2">
        <v>27820.662360975901</v>
      </c>
      <c r="AL3057" s="2">
        <v>29411.559533607699</v>
      </c>
      <c r="AM3057" s="2">
        <v>27700.048386187798</v>
      </c>
      <c r="AN3057" s="2">
        <v>26543.860063068001</v>
      </c>
      <c r="AO3057" s="2">
        <v>26839.0159215735</v>
      </c>
      <c r="AP3057" s="2">
        <v>27667.949080833601</v>
      </c>
    </row>
    <row r="3058" spans="1:42" ht="14.5" x14ac:dyDescent="0.35">
      <c r="A3058" s="2" t="s">
        <v>20320</v>
      </c>
      <c r="B3058" s="2">
        <v>455.22767328883901</v>
      </c>
      <c r="C3058" s="2">
        <v>4.7765333333333304</v>
      </c>
      <c r="D3058" s="2" t="s">
        <v>70</v>
      </c>
      <c r="E3058" s="2" t="s">
        <v>20321</v>
      </c>
      <c r="F3058" s="2">
        <v>60955</v>
      </c>
      <c r="G3058" s="3" t="str">
        <f>HYPERLINK("http://funmeta.oebiotech.com/network/60955", "http://funmeta.oebiotech.com/network/60955")</f>
        <v>http://funmeta.oebiotech.com/network/60955</v>
      </c>
      <c r="H3058" s="2" t="s">
        <v>20322</v>
      </c>
      <c r="I3058" s="2">
        <v>428832</v>
      </c>
      <c r="J3058" s="2"/>
      <c r="K3058" s="2"/>
      <c r="L3058" s="2"/>
      <c r="M3058" s="2"/>
      <c r="N3058" s="2"/>
      <c r="O3058" s="2">
        <v>92649</v>
      </c>
      <c r="P3058" s="2" t="s">
        <v>20323</v>
      </c>
      <c r="Q3058" s="2" t="s">
        <v>20324</v>
      </c>
      <c r="R3058" s="2" t="s">
        <v>20325</v>
      </c>
      <c r="S3058" s="2" t="s">
        <v>50</v>
      </c>
      <c r="T3058" s="2" t="s">
        <v>201</v>
      </c>
      <c r="U3058" s="2" t="s">
        <v>265</v>
      </c>
      <c r="V3058" s="2" t="s">
        <v>59</v>
      </c>
      <c r="W3058" s="2">
        <v>37.700000000000003</v>
      </c>
      <c r="X3058" s="2">
        <v>0</v>
      </c>
      <c r="Y3058" s="2" t="s">
        <v>560</v>
      </c>
      <c r="Z3058" s="2" t="s">
        <v>20326</v>
      </c>
      <c r="AA3058" s="2">
        <v>-4.0593836215507597</v>
      </c>
      <c r="AB3058" s="2">
        <v>0.25787245742939702</v>
      </c>
      <c r="AC3058" s="2">
        <v>24601.369678894</v>
      </c>
      <c r="AD3058" s="2">
        <v>30332.108671477599</v>
      </c>
      <c r="AE3058" s="2">
        <v>23574.938554392698</v>
      </c>
      <c r="AF3058" s="2">
        <v>24126.000408830801</v>
      </c>
      <c r="AG3058" s="2">
        <v>27079.505103321098</v>
      </c>
      <c r="AH3058" s="2">
        <v>24711.894495091699</v>
      </c>
      <c r="AI3058" s="2">
        <v>25419.531167695899</v>
      </c>
      <c r="AJ3058" s="2">
        <v>22696.3483440319</v>
      </c>
      <c r="AK3058" s="2">
        <v>27563.039942137199</v>
      </c>
      <c r="AL3058" s="2">
        <v>35423.098561208702</v>
      </c>
      <c r="AM3058" s="2">
        <v>32205.079383816999</v>
      </c>
      <c r="AN3058" s="2">
        <v>27039.9813546037</v>
      </c>
      <c r="AO3058" s="2">
        <v>32145.707764405899</v>
      </c>
      <c r="AP3058" s="2">
        <v>27615.7450226929</v>
      </c>
    </row>
    <row r="3059" spans="1:42" ht="14.5" x14ac:dyDescent="0.35">
      <c r="A3059" s="2" t="s">
        <v>20327</v>
      </c>
      <c r="B3059" s="2">
        <v>379.139890013073</v>
      </c>
      <c r="C3059" s="2">
        <v>3.6738166666666698</v>
      </c>
      <c r="D3059" s="2" t="s">
        <v>70</v>
      </c>
      <c r="E3059" s="2" t="s">
        <v>20328</v>
      </c>
      <c r="F3059" s="2">
        <v>61726</v>
      </c>
      <c r="G3059" s="3" t="str">
        <f>HYPERLINK("http://funmeta.oebiotech.com/network/61726", "http://funmeta.oebiotech.com/network/61726")</f>
        <v>http://funmeta.oebiotech.com/network/61726</v>
      </c>
      <c r="H3059" s="2" t="s">
        <v>20329</v>
      </c>
      <c r="I3059" s="2">
        <v>93049</v>
      </c>
      <c r="J3059" s="2"/>
      <c r="K3059" s="2">
        <v>168360</v>
      </c>
      <c r="L3059" s="2"/>
      <c r="M3059" s="2"/>
      <c r="N3059" s="2"/>
      <c r="O3059" s="2">
        <v>85391088</v>
      </c>
      <c r="P3059" s="2"/>
      <c r="Q3059" s="2" t="s">
        <v>20330</v>
      </c>
      <c r="R3059" s="2" t="s">
        <v>20331</v>
      </c>
      <c r="S3059" s="2" t="s">
        <v>79</v>
      </c>
      <c r="T3059" s="2" t="s">
        <v>80</v>
      </c>
      <c r="U3059" s="2" t="s">
        <v>81</v>
      </c>
      <c r="V3059" s="2" t="s">
        <v>42</v>
      </c>
      <c r="W3059" s="2">
        <v>46.9</v>
      </c>
      <c r="X3059" s="2">
        <v>46.2</v>
      </c>
      <c r="Y3059" s="2" t="s">
        <v>118</v>
      </c>
      <c r="Z3059" s="2" t="s">
        <v>20332</v>
      </c>
      <c r="AA3059" s="2">
        <v>0.12815804909935999</v>
      </c>
      <c r="AB3059" s="2">
        <v>0.257829654127466</v>
      </c>
      <c r="AC3059" s="2">
        <v>39255.031211237001</v>
      </c>
      <c r="AD3059" s="2">
        <v>44737.353264884303</v>
      </c>
      <c r="AE3059" s="2">
        <v>37724.256235182198</v>
      </c>
      <c r="AF3059" s="2">
        <v>40654.084951087898</v>
      </c>
      <c r="AG3059" s="2">
        <v>35903.615803403198</v>
      </c>
      <c r="AH3059" s="2">
        <v>39188.371201736198</v>
      </c>
      <c r="AI3059" s="2">
        <v>42951.093355329198</v>
      </c>
      <c r="AJ3059" s="2">
        <v>39108.765720683099</v>
      </c>
      <c r="AK3059" s="2">
        <v>42798.903194524399</v>
      </c>
      <c r="AL3059" s="2">
        <v>42137.264665076502</v>
      </c>
      <c r="AM3059" s="2">
        <v>45866.428925702297</v>
      </c>
      <c r="AN3059" s="2">
        <v>46390.914889889202</v>
      </c>
      <c r="AO3059" s="2">
        <v>43271.996649087698</v>
      </c>
      <c r="AP3059" s="2">
        <v>47958.611265025698</v>
      </c>
    </row>
    <row r="3060" spans="1:42" ht="14.5" x14ac:dyDescent="0.35">
      <c r="A3060" s="2" t="s">
        <v>20333</v>
      </c>
      <c r="B3060" s="2">
        <v>495.24786569067697</v>
      </c>
      <c r="C3060" s="2">
        <v>11.9917833333333</v>
      </c>
      <c r="D3060" s="2" t="s">
        <v>34</v>
      </c>
      <c r="E3060" s="2" t="s">
        <v>20334</v>
      </c>
      <c r="F3060" s="2">
        <v>26071</v>
      </c>
      <c r="G3060" s="3" t="str">
        <f>HYPERLINK("http://funmeta.oebiotech.com/network/26071", "http://funmeta.oebiotech.com/network/26071")</f>
        <v>http://funmeta.oebiotech.com/network/26071</v>
      </c>
      <c r="H3060" s="2"/>
      <c r="I3060" s="2"/>
      <c r="J3060" s="2" t="s">
        <v>20335</v>
      </c>
      <c r="K3060" s="2"/>
      <c r="L3060" s="2"/>
      <c r="M3060" s="2"/>
      <c r="N3060" s="2"/>
      <c r="O3060" s="2">
        <v>5283535</v>
      </c>
      <c r="P3060" s="2"/>
      <c r="Q3060" s="2" t="s">
        <v>20336</v>
      </c>
      <c r="R3060" s="2" t="s">
        <v>20337</v>
      </c>
      <c r="S3060" s="2" t="s">
        <v>50</v>
      </c>
      <c r="T3060" s="2" t="s">
        <v>51</v>
      </c>
      <c r="U3060" s="2" t="s">
        <v>273</v>
      </c>
      <c r="V3060" s="2" t="s">
        <v>59</v>
      </c>
      <c r="W3060" s="2">
        <v>41.2</v>
      </c>
      <c r="X3060" s="2">
        <v>12.5</v>
      </c>
      <c r="Y3060" s="2" t="s">
        <v>323</v>
      </c>
      <c r="Z3060" s="2" t="s">
        <v>20338</v>
      </c>
      <c r="AA3060" s="2">
        <v>-0.73110543253914495</v>
      </c>
      <c r="AB3060" s="2">
        <v>0.257646863865999</v>
      </c>
      <c r="AC3060" s="2">
        <v>4919.6295390772502</v>
      </c>
      <c r="AD3060" s="2">
        <v>467.34469905562497</v>
      </c>
      <c r="AE3060" s="2">
        <v>5535.4652919828904</v>
      </c>
      <c r="AF3060" s="2">
        <v>5216.7550984075096</v>
      </c>
      <c r="AG3060" s="2">
        <v>4712.2234950787297</v>
      </c>
      <c r="AH3060" s="2">
        <v>4524.9828349748796</v>
      </c>
      <c r="AI3060" s="2">
        <v>3843.79843767596</v>
      </c>
      <c r="AJ3060" s="2">
        <v>5684.5520763435097</v>
      </c>
      <c r="AK3060" s="2">
        <v>246.92972742639</v>
      </c>
      <c r="AL3060" s="2">
        <v>807.54854689128797</v>
      </c>
      <c r="AM3060" s="2">
        <v>629.390735218533</v>
      </c>
      <c r="AN3060" s="2">
        <v>188.53038163468801</v>
      </c>
      <c r="AO3060" s="2">
        <v>931.66877605655702</v>
      </c>
      <c r="AP3060" s="2">
        <v>2.7106294003980101E-5</v>
      </c>
    </row>
    <row r="3061" spans="1:42" ht="14.5" x14ac:dyDescent="0.35">
      <c r="A3061" s="2" t="s">
        <v>20339</v>
      </c>
      <c r="B3061" s="2">
        <v>152.056628337756</v>
      </c>
      <c r="C3061" s="2">
        <v>1.3109999999999999</v>
      </c>
      <c r="D3061" s="2" t="s">
        <v>34</v>
      </c>
      <c r="E3061" s="2" t="s">
        <v>20340</v>
      </c>
      <c r="F3061" s="2">
        <v>46889</v>
      </c>
      <c r="G3061" s="3" t="str">
        <f>HYPERLINK("http://funmeta.oebiotech.com/network/46889", "http://funmeta.oebiotech.com/network/46889")</f>
        <v>http://funmeta.oebiotech.com/network/46889</v>
      </c>
      <c r="H3061" s="2" t="s">
        <v>20341</v>
      </c>
      <c r="I3061" s="2">
        <v>315</v>
      </c>
      <c r="J3061" s="2"/>
      <c r="K3061" s="2">
        <v>16235</v>
      </c>
      <c r="L3061" s="2" t="s">
        <v>20342</v>
      </c>
      <c r="M3061" s="2" t="s">
        <v>4932</v>
      </c>
      <c r="N3061" s="2" t="s">
        <v>4933</v>
      </c>
      <c r="O3061" s="2">
        <v>764</v>
      </c>
      <c r="P3061" s="2" t="s">
        <v>20343</v>
      </c>
      <c r="Q3061" s="2" t="s">
        <v>20344</v>
      </c>
      <c r="R3061" s="2" t="s">
        <v>20345</v>
      </c>
      <c r="S3061" s="2" t="s">
        <v>491</v>
      </c>
      <c r="T3061" s="2" t="s">
        <v>7431</v>
      </c>
      <c r="U3061" s="2" t="s">
        <v>7432</v>
      </c>
      <c r="V3061" s="2" t="s">
        <v>59</v>
      </c>
      <c r="W3061" s="2">
        <v>46.3</v>
      </c>
      <c r="X3061" s="2">
        <v>37.6</v>
      </c>
      <c r="Y3061" s="2" t="s">
        <v>394</v>
      </c>
      <c r="Z3061" s="2" t="s">
        <v>20346</v>
      </c>
      <c r="AA3061" s="2">
        <v>-0.38330605973243798</v>
      </c>
      <c r="AB3061" s="2">
        <v>0.257430736923071</v>
      </c>
      <c r="AC3061" s="2">
        <v>27155.000652189301</v>
      </c>
      <c r="AD3061" s="2">
        <v>22327.048476983498</v>
      </c>
      <c r="AE3061" s="2">
        <v>27848.954097487</v>
      </c>
      <c r="AF3061" s="2">
        <v>26150.652900686498</v>
      </c>
      <c r="AG3061" s="2">
        <v>25653.020359776099</v>
      </c>
      <c r="AH3061" s="2">
        <v>28530.175134341702</v>
      </c>
      <c r="AI3061" s="2">
        <v>27571.384668391402</v>
      </c>
      <c r="AJ3061" s="2">
        <v>27175.816752453102</v>
      </c>
      <c r="AK3061" s="2">
        <v>22410.997081785001</v>
      </c>
      <c r="AL3061" s="2">
        <v>21033.6256030892</v>
      </c>
      <c r="AM3061" s="2">
        <v>20394.237583189999</v>
      </c>
      <c r="AN3061" s="2">
        <v>23221.822452597899</v>
      </c>
      <c r="AO3061" s="2">
        <v>22704.304329132199</v>
      </c>
      <c r="AP3061" s="2">
        <v>24197.303812106999</v>
      </c>
    </row>
    <row r="3062" spans="1:42" ht="14.5" x14ac:dyDescent="0.35">
      <c r="A3062" s="2" t="s">
        <v>20347</v>
      </c>
      <c r="B3062" s="2">
        <v>413.340717107785</v>
      </c>
      <c r="C3062" s="2">
        <v>12.083883333333301</v>
      </c>
      <c r="D3062" s="2" t="s">
        <v>34</v>
      </c>
      <c r="E3062" s="2" t="s">
        <v>20348</v>
      </c>
      <c r="F3062" s="2">
        <v>45135</v>
      </c>
      <c r="G3062" s="3" t="str">
        <f>HYPERLINK("http://funmeta.oebiotech.com/network/45135", "http://funmeta.oebiotech.com/network/45135")</f>
        <v>http://funmeta.oebiotech.com/network/45135</v>
      </c>
      <c r="H3062" s="2" t="s">
        <v>20349</v>
      </c>
      <c r="I3062" s="2">
        <v>217</v>
      </c>
      <c r="J3062" s="2" t="s">
        <v>20350</v>
      </c>
      <c r="K3062" s="2">
        <v>86319</v>
      </c>
      <c r="L3062" s="2"/>
      <c r="M3062" s="2"/>
      <c r="N3062" s="2"/>
      <c r="O3062" s="2">
        <v>5710148</v>
      </c>
      <c r="P3062" s="2" t="s">
        <v>20351</v>
      </c>
      <c r="Q3062" s="2" t="s">
        <v>20352</v>
      </c>
      <c r="R3062" s="2" t="s">
        <v>20353</v>
      </c>
      <c r="S3062" s="2" t="s">
        <v>50</v>
      </c>
      <c r="T3062" s="2" t="s">
        <v>124</v>
      </c>
      <c r="U3062" s="2" t="s">
        <v>982</v>
      </c>
      <c r="V3062" s="2" t="s">
        <v>59</v>
      </c>
      <c r="W3062" s="2">
        <v>37.9</v>
      </c>
      <c r="X3062" s="2">
        <v>0</v>
      </c>
      <c r="Y3062" s="2" t="s">
        <v>394</v>
      </c>
      <c r="Z3062" s="2" t="s">
        <v>20354</v>
      </c>
      <c r="AA3062" s="2">
        <v>-1.67333811064898</v>
      </c>
      <c r="AB3062" s="2">
        <v>0.25712176328302599</v>
      </c>
      <c r="AC3062" s="2">
        <v>10903.8209952343</v>
      </c>
      <c r="AD3062" s="2">
        <v>5996.4785191977699</v>
      </c>
      <c r="AE3062" s="2">
        <v>12012.3881611747</v>
      </c>
      <c r="AF3062" s="2">
        <v>12571.1485194996</v>
      </c>
      <c r="AG3062" s="2">
        <v>10858.909533800101</v>
      </c>
      <c r="AH3062" s="2">
        <v>9710.8049505727195</v>
      </c>
      <c r="AI3062" s="2">
        <v>10296.4252445286</v>
      </c>
      <c r="AJ3062" s="2">
        <v>9973.2495618298399</v>
      </c>
      <c r="AK3062" s="2">
        <v>8302.3377152762896</v>
      </c>
      <c r="AL3062" s="2">
        <v>5640.3255232725296</v>
      </c>
      <c r="AM3062" s="2">
        <v>6492.9979528035101</v>
      </c>
      <c r="AN3062" s="2">
        <v>3345.0812225759901</v>
      </c>
      <c r="AO3062" s="2">
        <v>7055.0861365780002</v>
      </c>
      <c r="AP3062" s="2">
        <v>5143.0425646802896</v>
      </c>
    </row>
    <row r="3063" spans="1:42" ht="14.5" x14ac:dyDescent="0.35">
      <c r="A3063" s="2" t="s">
        <v>20355</v>
      </c>
      <c r="B3063" s="2">
        <v>358.07774140238701</v>
      </c>
      <c r="C3063" s="2">
        <v>3.7870499999999998</v>
      </c>
      <c r="D3063" s="2" t="s">
        <v>70</v>
      </c>
      <c r="E3063" s="2" t="s">
        <v>20356</v>
      </c>
      <c r="F3063" s="2">
        <v>211138</v>
      </c>
      <c r="G3063" s="3" t="str">
        <f>HYPERLINK("http://funmeta.oebiotech.com/network/211138", "http://funmeta.oebiotech.com/network/211138")</f>
        <v>http://funmeta.oebiotech.com/network/211138</v>
      </c>
      <c r="H3063" s="2" t="s">
        <v>20357</v>
      </c>
      <c r="I3063" s="2"/>
      <c r="J3063" s="2"/>
      <c r="K3063" s="2"/>
      <c r="L3063" s="2"/>
      <c r="M3063" s="2"/>
      <c r="N3063" s="2"/>
      <c r="O3063" s="2"/>
      <c r="P3063" s="2"/>
      <c r="Q3063" s="2" t="s">
        <v>20358</v>
      </c>
      <c r="R3063" s="2" t="s">
        <v>20359</v>
      </c>
      <c r="S3063" s="2" t="s">
        <v>79</v>
      </c>
      <c r="T3063" s="2" t="s">
        <v>80</v>
      </c>
      <c r="U3063" s="2" t="s">
        <v>81</v>
      </c>
      <c r="V3063" s="2" t="s">
        <v>59</v>
      </c>
      <c r="W3063" s="2">
        <v>43.5</v>
      </c>
      <c r="X3063" s="2">
        <v>23.2</v>
      </c>
      <c r="Y3063" s="2" t="s">
        <v>408</v>
      </c>
      <c r="Z3063" s="2" t="s">
        <v>20360</v>
      </c>
      <c r="AA3063" s="2">
        <v>-0.72796126526249505</v>
      </c>
      <c r="AB3063" s="2">
        <v>0.25700585879794302</v>
      </c>
      <c r="AC3063" s="2">
        <v>20657.9536435929</v>
      </c>
      <c r="AD3063" s="2">
        <v>16167.932821455701</v>
      </c>
      <c r="AE3063" s="2">
        <v>21179.3083258972</v>
      </c>
      <c r="AF3063" s="2">
        <v>20136.341095988901</v>
      </c>
      <c r="AG3063" s="2">
        <v>20387.268296962899</v>
      </c>
      <c r="AH3063" s="2">
        <v>20784.445458615199</v>
      </c>
      <c r="AI3063" s="2">
        <v>20151.168743233098</v>
      </c>
      <c r="AJ3063" s="2">
        <v>21309.18994086</v>
      </c>
      <c r="AK3063" s="2">
        <v>15681.814887734399</v>
      </c>
      <c r="AL3063" s="2">
        <v>16303.647555335299</v>
      </c>
      <c r="AM3063" s="2">
        <v>17190.496757548801</v>
      </c>
      <c r="AN3063" s="2">
        <v>16403.4951016007</v>
      </c>
      <c r="AO3063" s="2">
        <v>14869.9895356869</v>
      </c>
      <c r="AP3063" s="2">
        <v>16558.153090828098</v>
      </c>
    </row>
    <row r="3064" spans="1:42" ht="14.5" x14ac:dyDescent="0.35">
      <c r="A3064" s="2" t="s">
        <v>20361</v>
      </c>
      <c r="B3064" s="2">
        <v>358.99331710216899</v>
      </c>
      <c r="C3064" s="2">
        <v>0.97008333333333296</v>
      </c>
      <c r="D3064" s="2" t="s">
        <v>34</v>
      </c>
      <c r="E3064" s="2" t="s">
        <v>20362</v>
      </c>
      <c r="F3064" s="2">
        <v>210280</v>
      </c>
      <c r="G3064" s="3" t="str">
        <f>HYPERLINK("http://funmeta.oebiotech.com/network/210280", "http://funmeta.oebiotech.com/network/210280")</f>
        <v>http://funmeta.oebiotech.com/network/210280</v>
      </c>
      <c r="H3064" s="2" t="s">
        <v>20363</v>
      </c>
      <c r="I3064" s="2">
        <v>70055</v>
      </c>
      <c r="J3064" s="2"/>
      <c r="K3064" s="2">
        <v>34917</v>
      </c>
      <c r="L3064" s="2" t="s">
        <v>20364</v>
      </c>
      <c r="M3064" s="2"/>
      <c r="N3064" s="2"/>
      <c r="O3064" s="2">
        <v>17435</v>
      </c>
      <c r="P3064" s="2" t="s">
        <v>20365</v>
      </c>
      <c r="Q3064" s="2" t="s">
        <v>20366</v>
      </c>
      <c r="R3064" s="2" t="s">
        <v>20367</v>
      </c>
      <c r="S3064" s="2" t="s">
        <v>148</v>
      </c>
      <c r="T3064" s="2" t="s">
        <v>149</v>
      </c>
      <c r="U3064" s="2" t="s">
        <v>41</v>
      </c>
      <c r="V3064" s="2" t="s">
        <v>59</v>
      </c>
      <c r="W3064" s="2">
        <v>36.700000000000003</v>
      </c>
      <c r="X3064" s="2">
        <v>0</v>
      </c>
      <c r="Y3064" s="2" t="s">
        <v>340</v>
      </c>
      <c r="Z3064" s="2" t="s">
        <v>20368</v>
      </c>
      <c r="AA3064" s="2">
        <v>-1.33934466729581</v>
      </c>
      <c r="AB3064" s="2">
        <v>0.25690217214890498</v>
      </c>
      <c r="AC3064" s="2">
        <v>16180.210171692201</v>
      </c>
      <c r="AD3064" s="2">
        <v>20830.179050090199</v>
      </c>
      <c r="AE3064" s="2">
        <v>17199.317582739601</v>
      </c>
      <c r="AF3064" s="2">
        <v>16170.5715935314</v>
      </c>
      <c r="AG3064" s="2">
        <v>16510.038644396202</v>
      </c>
      <c r="AH3064" s="2">
        <v>15870.8190785398</v>
      </c>
      <c r="AI3064" s="2">
        <v>16236.497515773</v>
      </c>
      <c r="AJ3064" s="2">
        <v>15094.016615173001</v>
      </c>
      <c r="AK3064" s="2">
        <v>22595.946006739901</v>
      </c>
      <c r="AL3064" s="2">
        <v>19374.270735157599</v>
      </c>
      <c r="AM3064" s="2">
        <v>19697.131995378</v>
      </c>
      <c r="AN3064" s="2">
        <v>21055.9440002023</v>
      </c>
      <c r="AO3064" s="2">
        <v>21738.6016493678</v>
      </c>
      <c r="AP3064" s="2">
        <v>20519.1799136958</v>
      </c>
    </row>
    <row r="3065" spans="1:42" ht="14.5" x14ac:dyDescent="0.35">
      <c r="A3065" s="2" t="s">
        <v>20369</v>
      </c>
      <c r="B3065" s="2">
        <v>1018.59385719983</v>
      </c>
      <c r="C3065" s="2">
        <v>10.93595</v>
      </c>
      <c r="D3065" s="2" t="s">
        <v>34</v>
      </c>
      <c r="E3065" s="2" t="s">
        <v>20370</v>
      </c>
      <c r="F3065" s="2">
        <v>27471</v>
      </c>
      <c r="G3065" s="3" t="str">
        <f>HYPERLINK("http://funmeta.oebiotech.com/network/27471", "http://funmeta.oebiotech.com/network/27471")</f>
        <v>http://funmeta.oebiotech.com/network/27471</v>
      </c>
      <c r="H3065" s="2"/>
      <c r="I3065" s="2"/>
      <c r="J3065" s="2" t="s">
        <v>20371</v>
      </c>
      <c r="K3065" s="2"/>
      <c r="L3065" s="2"/>
      <c r="M3065" s="2"/>
      <c r="N3065" s="2"/>
      <c r="O3065" s="2"/>
      <c r="P3065" s="2"/>
      <c r="Q3065" s="2" t="s">
        <v>20372</v>
      </c>
      <c r="R3065" s="2" t="s">
        <v>20373</v>
      </c>
      <c r="S3065" s="2" t="s">
        <v>79</v>
      </c>
      <c r="T3065" s="2" t="s">
        <v>80</v>
      </c>
      <c r="U3065" s="2" t="s">
        <v>81</v>
      </c>
      <c r="V3065" s="2" t="s">
        <v>59</v>
      </c>
      <c r="W3065" s="2">
        <v>38.6</v>
      </c>
      <c r="X3065" s="2">
        <v>0</v>
      </c>
      <c r="Y3065" s="2" t="s">
        <v>43</v>
      </c>
      <c r="Z3065" s="2" t="s">
        <v>20374</v>
      </c>
      <c r="AA3065" s="2">
        <v>0.31567472316505202</v>
      </c>
      <c r="AB3065" s="2">
        <v>0.25688661763806298</v>
      </c>
      <c r="AC3065" s="2">
        <v>25155.615047838601</v>
      </c>
      <c r="AD3065" s="2">
        <v>19705.084362612299</v>
      </c>
      <c r="AE3065" s="2">
        <v>23953.2064825448</v>
      </c>
      <c r="AF3065" s="2">
        <v>27261.7225357936</v>
      </c>
      <c r="AG3065" s="2">
        <v>24546.461759792099</v>
      </c>
      <c r="AH3065" s="2">
        <v>24308.9874288297</v>
      </c>
      <c r="AI3065" s="2">
        <v>23777.1009939424</v>
      </c>
      <c r="AJ3065" s="2">
        <v>27086.211086129199</v>
      </c>
      <c r="AK3065" s="2">
        <v>15860.2650167796</v>
      </c>
      <c r="AL3065" s="2">
        <v>17053.761636994899</v>
      </c>
      <c r="AM3065" s="2">
        <v>22282.801600676201</v>
      </c>
      <c r="AN3065" s="2">
        <v>22672.662317740102</v>
      </c>
      <c r="AO3065" s="2">
        <v>19516.5231399779</v>
      </c>
      <c r="AP3065" s="2">
        <v>20844.492463504899</v>
      </c>
    </row>
    <row r="3066" spans="1:42" ht="14.5" x14ac:dyDescent="0.35">
      <c r="A3066" s="2" t="s">
        <v>20375</v>
      </c>
      <c r="B3066" s="2">
        <v>524.37102370019102</v>
      </c>
      <c r="C3066" s="2">
        <v>11.4614333333333</v>
      </c>
      <c r="D3066" s="2" t="s">
        <v>34</v>
      </c>
      <c r="E3066" s="2" t="s">
        <v>20376</v>
      </c>
      <c r="F3066" s="2">
        <v>19534</v>
      </c>
      <c r="G3066" s="3" t="str">
        <f>HYPERLINK("http://funmeta.oebiotech.com/network/19534", "http://funmeta.oebiotech.com/network/19534")</f>
        <v>http://funmeta.oebiotech.com/network/19534</v>
      </c>
      <c r="H3066" s="2" t="s">
        <v>20377</v>
      </c>
      <c r="I3066" s="2">
        <v>34488</v>
      </c>
      <c r="J3066" s="2" t="s">
        <v>20378</v>
      </c>
      <c r="K3066" s="2">
        <v>44811</v>
      </c>
      <c r="L3066" s="2"/>
      <c r="M3066" s="2"/>
      <c r="N3066" s="2"/>
      <c r="O3066" s="2">
        <v>108156</v>
      </c>
      <c r="P3066" s="2" t="s">
        <v>20379</v>
      </c>
      <c r="Q3066" s="2" t="s">
        <v>20380</v>
      </c>
      <c r="R3066" s="2" t="s">
        <v>20381</v>
      </c>
      <c r="S3066" s="2" t="s">
        <v>50</v>
      </c>
      <c r="T3066" s="2" t="s">
        <v>51</v>
      </c>
      <c r="U3066" s="2" t="s">
        <v>168</v>
      </c>
      <c r="V3066" s="2" t="s">
        <v>59</v>
      </c>
      <c r="W3066" s="2">
        <v>39.299999999999997</v>
      </c>
      <c r="X3066" s="2">
        <v>0</v>
      </c>
      <c r="Y3066" s="2" t="s">
        <v>394</v>
      </c>
      <c r="Z3066" s="2" t="s">
        <v>20382</v>
      </c>
      <c r="AA3066" s="2">
        <v>-8.1081858693357697E-2</v>
      </c>
      <c r="AB3066" s="2">
        <v>0.25686785076341001</v>
      </c>
      <c r="AC3066" s="2">
        <v>9970.2586293610402</v>
      </c>
      <c r="AD3066" s="2">
        <v>15507.6785507473</v>
      </c>
      <c r="AE3066" s="2">
        <v>10662.326238424501</v>
      </c>
      <c r="AF3066" s="2">
        <v>10451.095066575001</v>
      </c>
      <c r="AG3066" s="2">
        <v>9716.5931862856796</v>
      </c>
      <c r="AH3066" s="2">
        <v>9256.0294907615898</v>
      </c>
      <c r="AI3066" s="2">
        <v>9941.3021062236003</v>
      </c>
      <c r="AJ3066" s="2">
        <v>9794.2056878958592</v>
      </c>
      <c r="AK3066" s="2">
        <v>22084.802486070501</v>
      </c>
      <c r="AL3066" s="2">
        <v>13760.899524508601</v>
      </c>
      <c r="AM3066" s="2">
        <v>15369.675346963801</v>
      </c>
      <c r="AN3066" s="2">
        <v>13351.307406584699</v>
      </c>
      <c r="AO3066" s="2">
        <v>13257.0515581626</v>
      </c>
      <c r="AP3066" s="2">
        <v>15222.334982193601</v>
      </c>
    </row>
    <row r="3067" spans="1:42" ht="14.5" x14ac:dyDescent="0.35">
      <c r="A3067" s="2" t="s">
        <v>20383</v>
      </c>
      <c r="B3067" s="2">
        <v>265.14324284322697</v>
      </c>
      <c r="C3067" s="2">
        <v>3.9315333333333302</v>
      </c>
      <c r="D3067" s="2" t="s">
        <v>34</v>
      </c>
      <c r="E3067" s="2" t="s">
        <v>20384</v>
      </c>
      <c r="F3067" s="2">
        <v>59568</v>
      </c>
      <c r="G3067" s="3" t="str">
        <f>HYPERLINK("http://funmeta.oebiotech.com/network/59568", "http://funmeta.oebiotech.com/network/59568")</f>
        <v>http://funmeta.oebiotech.com/network/59568</v>
      </c>
      <c r="H3067" s="2" t="s">
        <v>20385</v>
      </c>
      <c r="I3067" s="2"/>
      <c r="J3067" s="2"/>
      <c r="K3067" s="2"/>
      <c r="L3067" s="2"/>
      <c r="M3067" s="2"/>
      <c r="N3067" s="2"/>
      <c r="O3067" s="2">
        <v>73656854</v>
      </c>
      <c r="P3067" s="2" t="s">
        <v>20386</v>
      </c>
      <c r="Q3067" s="2" t="s">
        <v>20387</v>
      </c>
      <c r="R3067" s="2" t="s">
        <v>20388</v>
      </c>
      <c r="S3067" s="2" t="s">
        <v>50</v>
      </c>
      <c r="T3067" s="2" t="s">
        <v>201</v>
      </c>
      <c r="U3067" s="2" t="s">
        <v>1217</v>
      </c>
      <c r="V3067" s="2" t="s">
        <v>42</v>
      </c>
      <c r="W3067" s="2">
        <v>52.5</v>
      </c>
      <c r="X3067" s="2">
        <v>66.3</v>
      </c>
      <c r="Y3067" s="2" t="s">
        <v>266</v>
      </c>
      <c r="Z3067" s="2" t="s">
        <v>9920</v>
      </c>
      <c r="AA3067" s="2">
        <v>-0.72957982707378299</v>
      </c>
      <c r="AB3067" s="2">
        <v>0.25679764922536802</v>
      </c>
      <c r="AC3067" s="2">
        <v>244797.705703471</v>
      </c>
      <c r="AD3067" s="2">
        <v>255285.35191527</v>
      </c>
      <c r="AE3067" s="2">
        <v>236684.606127584</v>
      </c>
      <c r="AF3067" s="2">
        <v>250273.38358435399</v>
      </c>
      <c r="AG3067" s="2">
        <v>256318.05661964801</v>
      </c>
      <c r="AH3067" s="2">
        <v>222347.84233822601</v>
      </c>
      <c r="AI3067" s="2">
        <v>245854.06423984101</v>
      </c>
      <c r="AJ3067" s="2">
        <v>257308.281311172</v>
      </c>
      <c r="AK3067" s="2">
        <v>237905.33802032599</v>
      </c>
      <c r="AL3067" s="2">
        <v>271022.20664803201</v>
      </c>
      <c r="AM3067" s="2">
        <v>247444.39036965801</v>
      </c>
      <c r="AN3067" s="2">
        <v>255692.82906032901</v>
      </c>
      <c r="AO3067" s="2">
        <v>256196.139074195</v>
      </c>
      <c r="AP3067" s="2">
        <v>263451.20831908297</v>
      </c>
    </row>
    <row r="3068" spans="1:42" ht="14.5" x14ac:dyDescent="0.35">
      <c r="A3068" s="2" t="s">
        <v>20389</v>
      </c>
      <c r="B3068" s="2">
        <v>607.20069881095003</v>
      </c>
      <c r="C3068" s="2">
        <v>4.4526833333333302</v>
      </c>
      <c r="D3068" s="2" t="s">
        <v>70</v>
      </c>
      <c r="E3068" s="2" t="s">
        <v>20390</v>
      </c>
      <c r="F3068" s="2">
        <v>58764</v>
      </c>
      <c r="G3068" s="3" t="str">
        <f>HYPERLINK("http://funmeta.oebiotech.com/network/58764", "http://funmeta.oebiotech.com/network/58764")</f>
        <v>http://funmeta.oebiotech.com/network/58764</v>
      </c>
      <c r="H3068" s="2" t="s">
        <v>20391</v>
      </c>
      <c r="I3068" s="2">
        <v>90216</v>
      </c>
      <c r="J3068" s="2"/>
      <c r="K3068" s="2">
        <v>168358</v>
      </c>
      <c r="L3068" s="2"/>
      <c r="M3068" s="2"/>
      <c r="N3068" s="2"/>
      <c r="O3068" s="2">
        <v>10793018</v>
      </c>
      <c r="P3068" s="2"/>
      <c r="Q3068" s="2" t="s">
        <v>20392</v>
      </c>
      <c r="R3068" s="2" t="s">
        <v>20393</v>
      </c>
      <c r="S3068" s="2" t="s">
        <v>115</v>
      </c>
      <c r="T3068" s="2" t="s">
        <v>1371</v>
      </c>
      <c r="U3068" s="2" t="s">
        <v>1372</v>
      </c>
      <c r="V3068" s="2" t="s">
        <v>59</v>
      </c>
      <c r="W3068" s="2">
        <v>44.7</v>
      </c>
      <c r="X3068" s="2">
        <v>30.5</v>
      </c>
      <c r="Y3068" s="2" t="s">
        <v>408</v>
      </c>
      <c r="Z3068" s="2" t="s">
        <v>20394</v>
      </c>
      <c r="AA3068" s="2">
        <v>-4.5011766719287802</v>
      </c>
      <c r="AB3068" s="2">
        <v>0.25677842303854997</v>
      </c>
      <c r="AC3068" s="2">
        <v>1080245.5714598</v>
      </c>
      <c r="AD3068" s="2">
        <v>1053956.1433301801</v>
      </c>
      <c r="AE3068" s="2">
        <v>1042262.7720639</v>
      </c>
      <c r="AF3068" s="2">
        <v>1259610.68051943</v>
      </c>
      <c r="AG3068" s="2">
        <v>1043402.57768039</v>
      </c>
      <c r="AH3068" s="2">
        <v>993882.88903674996</v>
      </c>
      <c r="AI3068" s="2">
        <v>1154996.1836319801</v>
      </c>
      <c r="AJ3068" s="2">
        <v>987318.325826352</v>
      </c>
      <c r="AK3068" s="2">
        <v>1067933.71559937</v>
      </c>
      <c r="AL3068" s="2">
        <v>1024898.4349597601</v>
      </c>
      <c r="AM3068" s="2">
        <v>1037584.60192333</v>
      </c>
      <c r="AN3068" s="2">
        <v>1131295.4197025099</v>
      </c>
      <c r="AO3068" s="2">
        <v>980294.75669205806</v>
      </c>
      <c r="AP3068" s="2">
        <v>1081729.93110404</v>
      </c>
    </row>
    <row r="3069" spans="1:42" ht="14.5" x14ac:dyDescent="0.35">
      <c r="A3069" s="2" t="s">
        <v>20395</v>
      </c>
      <c r="B3069" s="2">
        <v>405.231249916259</v>
      </c>
      <c r="C3069" s="2">
        <v>10.008749999999999</v>
      </c>
      <c r="D3069" s="2" t="s">
        <v>70</v>
      </c>
      <c r="E3069" s="2" t="s">
        <v>20396</v>
      </c>
      <c r="F3069" s="2">
        <v>55103</v>
      </c>
      <c r="G3069" s="3" t="str">
        <f>HYPERLINK("http://funmeta.oebiotech.com/network/55103", "http://funmeta.oebiotech.com/network/55103")</f>
        <v>http://funmeta.oebiotech.com/network/55103</v>
      </c>
      <c r="H3069" s="2" t="s">
        <v>20397</v>
      </c>
      <c r="I3069" s="2"/>
      <c r="J3069" s="2"/>
      <c r="K3069" s="2">
        <v>38970</v>
      </c>
      <c r="L3069" s="2" t="s">
        <v>20398</v>
      </c>
      <c r="M3069" s="2"/>
      <c r="N3069" s="2"/>
      <c r="O3069" s="2">
        <v>599113</v>
      </c>
      <c r="P3069" s="2" t="s">
        <v>20399</v>
      </c>
      <c r="Q3069" s="2" t="s">
        <v>20400</v>
      </c>
      <c r="R3069" s="2" t="s">
        <v>20401</v>
      </c>
      <c r="S3069" s="2" t="s">
        <v>491</v>
      </c>
      <c r="T3069" s="2" t="s">
        <v>2184</v>
      </c>
      <c r="U3069" s="2" t="s">
        <v>20402</v>
      </c>
      <c r="V3069" s="2" t="s">
        <v>59</v>
      </c>
      <c r="W3069" s="2">
        <v>36.200000000000003</v>
      </c>
      <c r="X3069" s="2">
        <v>0</v>
      </c>
      <c r="Y3069" s="2" t="s">
        <v>408</v>
      </c>
      <c r="Z3069" s="2" t="s">
        <v>20403</v>
      </c>
      <c r="AA3069" s="2">
        <v>4.5807475781585998</v>
      </c>
      <c r="AB3069" s="2">
        <v>0.25642027359629999</v>
      </c>
      <c r="AC3069" s="2">
        <v>21630.565901160298</v>
      </c>
      <c r="AD3069" s="2">
        <v>26269.155826526101</v>
      </c>
      <c r="AE3069" s="2">
        <v>22607.431371602899</v>
      </c>
      <c r="AF3069" s="2">
        <v>22126.163416984</v>
      </c>
      <c r="AG3069" s="2">
        <v>21782.634243461802</v>
      </c>
      <c r="AH3069" s="2">
        <v>21111.570950364701</v>
      </c>
      <c r="AI3069" s="2">
        <v>22287.209340593399</v>
      </c>
      <c r="AJ3069" s="2">
        <v>19868.386083954701</v>
      </c>
      <c r="AK3069" s="2">
        <v>27473.249108883301</v>
      </c>
      <c r="AL3069" s="2">
        <v>26850.755181790199</v>
      </c>
      <c r="AM3069" s="2">
        <v>26856.851806889299</v>
      </c>
      <c r="AN3069" s="2">
        <v>24884.9633147559</v>
      </c>
      <c r="AO3069" s="2">
        <v>26172.425470900202</v>
      </c>
      <c r="AP3069" s="2">
        <v>25376.690075937498</v>
      </c>
    </row>
    <row r="3070" spans="1:42" ht="14.5" x14ac:dyDescent="0.35">
      <c r="A3070" s="2" t="s">
        <v>20404</v>
      </c>
      <c r="B3070" s="2">
        <v>323.07378215863702</v>
      </c>
      <c r="C3070" s="2">
        <v>3.7155666666666698</v>
      </c>
      <c r="D3070" s="2" t="s">
        <v>34</v>
      </c>
      <c r="E3070" s="2" t="s">
        <v>20405</v>
      </c>
      <c r="F3070" s="2">
        <v>209323</v>
      </c>
      <c r="G3070" s="3" t="str">
        <f>HYPERLINK("http://funmeta.oebiotech.com/network/209323", "http://funmeta.oebiotech.com/network/209323")</f>
        <v>http://funmeta.oebiotech.com/network/209323</v>
      </c>
      <c r="H3070" s="2" t="s">
        <v>20406</v>
      </c>
      <c r="I3070" s="2"/>
      <c r="J3070" s="2"/>
      <c r="K3070" s="2"/>
      <c r="L3070" s="2"/>
      <c r="M3070" s="2"/>
      <c r="N3070" s="2"/>
      <c r="O3070" s="2">
        <v>76085830</v>
      </c>
      <c r="P3070" s="2"/>
      <c r="Q3070" s="2" t="s">
        <v>20407</v>
      </c>
      <c r="R3070" s="2" t="s">
        <v>20408</v>
      </c>
      <c r="S3070" s="2" t="s">
        <v>50</v>
      </c>
      <c r="T3070" s="2" t="s">
        <v>229</v>
      </c>
      <c r="U3070" s="2" t="s">
        <v>1283</v>
      </c>
      <c r="V3070" s="2" t="s">
        <v>59</v>
      </c>
      <c r="W3070" s="2">
        <v>39</v>
      </c>
      <c r="X3070" s="2">
        <v>0</v>
      </c>
      <c r="Y3070" s="2" t="s">
        <v>340</v>
      </c>
      <c r="Z3070" s="2" t="s">
        <v>20409</v>
      </c>
      <c r="AA3070" s="2">
        <v>-0.38062202714295601</v>
      </c>
      <c r="AB3070" s="2">
        <v>0.256379433308558</v>
      </c>
      <c r="AC3070" s="2">
        <v>4740.8859438044401</v>
      </c>
      <c r="AD3070" s="2">
        <v>9102.2259465163297</v>
      </c>
      <c r="AE3070" s="2">
        <v>5152.7853445235596</v>
      </c>
      <c r="AF3070" s="2">
        <v>5209.4767080459997</v>
      </c>
      <c r="AG3070" s="2">
        <v>4533.9339068189001</v>
      </c>
      <c r="AH3070" s="2">
        <v>4630.1865961643698</v>
      </c>
      <c r="AI3070" s="2">
        <v>4696.2808505188204</v>
      </c>
      <c r="AJ3070" s="2">
        <v>4222.65225675497</v>
      </c>
      <c r="AK3070" s="2">
        <v>9115.0797359492499</v>
      </c>
      <c r="AL3070" s="2">
        <v>9291.3486169622793</v>
      </c>
      <c r="AM3070" s="2">
        <v>8975.9450776156391</v>
      </c>
      <c r="AN3070" s="2">
        <v>8745.4025007989694</v>
      </c>
      <c r="AO3070" s="2">
        <v>9584.87327379823</v>
      </c>
      <c r="AP3070" s="2">
        <v>8900.7064739736106</v>
      </c>
    </row>
    <row r="3071" spans="1:42" ht="14.5" x14ac:dyDescent="0.35">
      <c r="A3071" s="2" t="s">
        <v>20410</v>
      </c>
      <c r="B3071" s="2">
        <v>383.14458186724602</v>
      </c>
      <c r="C3071" s="2">
        <v>1.51528333333333</v>
      </c>
      <c r="D3071" s="2" t="s">
        <v>34</v>
      </c>
      <c r="E3071" s="2" t="s">
        <v>20411</v>
      </c>
      <c r="F3071" s="2">
        <v>2326</v>
      </c>
      <c r="G3071" s="3" t="str">
        <f>HYPERLINK("http://funmeta.oebiotech.com/network/2326", "http://funmeta.oebiotech.com/network/2326")</f>
        <v>http://funmeta.oebiotech.com/network/2326</v>
      </c>
      <c r="H3071" s="2"/>
      <c r="I3071" s="2">
        <v>35913</v>
      </c>
      <c r="J3071" s="2" t="s">
        <v>20412</v>
      </c>
      <c r="K3071" s="2"/>
      <c r="L3071" s="2"/>
      <c r="M3071" s="2"/>
      <c r="N3071" s="2"/>
      <c r="O3071" s="2">
        <v>5312957</v>
      </c>
      <c r="P3071" s="2"/>
      <c r="Q3071" s="2" t="s">
        <v>20413</v>
      </c>
      <c r="R3071" s="2" t="s">
        <v>20414</v>
      </c>
      <c r="S3071" s="2" t="s">
        <v>50</v>
      </c>
      <c r="T3071" s="2" t="s">
        <v>229</v>
      </c>
      <c r="U3071" s="2" t="s">
        <v>433</v>
      </c>
      <c r="V3071" s="2" t="s">
        <v>59</v>
      </c>
      <c r="W3071" s="2">
        <v>38.5</v>
      </c>
      <c r="X3071" s="2">
        <v>0</v>
      </c>
      <c r="Y3071" s="2" t="s">
        <v>394</v>
      </c>
      <c r="Z3071" s="2" t="s">
        <v>20415</v>
      </c>
      <c r="AA3071" s="2">
        <v>1.1179291510243501</v>
      </c>
      <c r="AB3071" s="2">
        <v>0.25635494915013801</v>
      </c>
      <c r="AC3071" s="2">
        <v>9972.2330340618591</v>
      </c>
      <c r="AD3071" s="2">
        <v>5371.8190952601499</v>
      </c>
      <c r="AE3071" s="2">
        <v>8606.1664775057106</v>
      </c>
      <c r="AF3071" s="2">
        <v>10456.5685857482</v>
      </c>
      <c r="AG3071" s="2">
        <v>10427.9964702773</v>
      </c>
      <c r="AH3071" s="2">
        <v>9366.1443104951195</v>
      </c>
      <c r="AI3071" s="2">
        <v>10289.8021265223</v>
      </c>
      <c r="AJ3071" s="2">
        <v>10686.7202338225</v>
      </c>
      <c r="AK3071" s="2">
        <v>5666.8014047945899</v>
      </c>
      <c r="AL3071" s="2">
        <v>4637.1544322461796</v>
      </c>
      <c r="AM3071" s="2">
        <v>4202.14372708882</v>
      </c>
      <c r="AN3071" s="2">
        <v>4606.0152897344597</v>
      </c>
      <c r="AO3071" s="2">
        <v>6344.0383140082304</v>
      </c>
      <c r="AP3071" s="2">
        <v>6774.7614036886098</v>
      </c>
    </row>
    <row r="3072" spans="1:42" ht="14.5" x14ac:dyDescent="0.35">
      <c r="A3072" s="2" t="s">
        <v>20416</v>
      </c>
      <c r="B3072" s="2">
        <v>446.36324269025403</v>
      </c>
      <c r="C3072" s="2">
        <v>12.804</v>
      </c>
      <c r="D3072" s="2" t="s">
        <v>34</v>
      </c>
      <c r="E3072" s="2" t="s">
        <v>20417</v>
      </c>
      <c r="F3072" s="2">
        <v>45145</v>
      </c>
      <c r="G3072" s="3" t="str">
        <f>HYPERLINK("http://funmeta.oebiotech.com/network/45145", "http://funmeta.oebiotech.com/network/45145")</f>
        <v>http://funmeta.oebiotech.com/network/45145</v>
      </c>
      <c r="H3072" s="2" t="s">
        <v>20418</v>
      </c>
      <c r="I3072" s="2">
        <v>41917</v>
      </c>
      <c r="J3072" s="2" t="s">
        <v>20419</v>
      </c>
      <c r="K3072" s="2">
        <v>86320</v>
      </c>
      <c r="L3072" s="2"/>
      <c r="M3072" s="2"/>
      <c r="N3072" s="2"/>
      <c r="O3072" s="2">
        <v>9547243</v>
      </c>
      <c r="P3072" s="2" t="s">
        <v>20420</v>
      </c>
      <c r="Q3072" s="2" t="s">
        <v>20421</v>
      </c>
      <c r="R3072" s="2" t="s">
        <v>20422</v>
      </c>
      <c r="S3072" s="2" t="s">
        <v>50</v>
      </c>
      <c r="T3072" s="2" t="s">
        <v>124</v>
      </c>
      <c r="U3072" s="2" t="s">
        <v>982</v>
      </c>
      <c r="V3072" s="2" t="s">
        <v>59</v>
      </c>
      <c r="W3072" s="2">
        <v>38.700000000000003</v>
      </c>
      <c r="X3072" s="2">
        <v>0</v>
      </c>
      <c r="Y3072" s="2" t="s">
        <v>43</v>
      </c>
      <c r="Z3072" s="2" t="s">
        <v>20423</v>
      </c>
      <c r="AA3072" s="2">
        <v>0.86823552650354496</v>
      </c>
      <c r="AB3072" s="2">
        <v>0.256229751417477</v>
      </c>
      <c r="AC3072" s="2">
        <v>21282.8574596951</v>
      </c>
      <c r="AD3072" s="2">
        <v>16106.1795954507</v>
      </c>
      <c r="AE3072" s="2">
        <v>20727.3722581945</v>
      </c>
      <c r="AF3072" s="2">
        <v>21450.487081390002</v>
      </c>
      <c r="AG3072" s="2">
        <v>22436.6871300516</v>
      </c>
      <c r="AH3072" s="2">
        <v>21726.660163915902</v>
      </c>
      <c r="AI3072" s="2">
        <v>21206.2173305012</v>
      </c>
      <c r="AJ3072" s="2">
        <v>20149.7207941173</v>
      </c>
      <c r="AK3072" s="2">
        <v>17825.204809460502</v>
      </c>
      <c r="AL3072" s="2">
        <v>16917.990740216701</v>
      </c>
      <c r="AM3072" s="2">
        <v>11918.592362498601</v>
      </c>
      <c r="AN3072" s="2">
        <v>14129.490396164099</v>
      </c>
      <c r="AO3072" s="2">
        <v>16848.850639242301</v>
      </c>
      <c r="AP3072" s="2">
        <v>18996.9486251218</v>
      </c>
    </row>
    <row r="3073" spans="1:42" ht="14.5" x14ac:dyDescent="0.35">
      <c r="A3073" s="2" t="s">
        <v>20424</v>
      </c>
      <c r="B3073" s="2">
        <v>459.273890162263</v>
      </c>
      <c r="C3073" s="2">
        <v>9.3516666666666701</v>
      </c>
      <c r="D3073" s="2" t="s">
        <v>34</v>
      </c>
      <c r="E3073" s="2" t="s">
        <v>20425</v>
      </c>
      <c r="F3073" s="2">
        <v>250122</v>
      </c>
      <c r="G3073" s="3" t="str">
        <f>HYPERLINK("http://funmeta.oebiotech.com/network/250122", "http://funmeta.oebiotech.com/network/250122")</f>
        <v>http://funmeta.oebiotech.com/network/250122</v>
      </c>
      <c r="H3073" s="2" t="s">
        <v>20426</v>
      </c>
      <c r="I3073" s="2"/>
      <c r="J3073" s="2"/>
      <c r="K3073" s="2"/>
      <c r="L3073" s="2"/>
      <c r="M3073" s="2"/>
      <c r="N3073" s="2"/>
      <c r="O3073" s="2"/>
      <c r="P3073" s="2"/>
      <c r="Q3073" s="2" t="s">
        <v>20427</v>
      </c>
      <c r="R3073" s="2" t="s">
        <v>20428</v>
      </c>
      <c r="S3073" s="2" t="s">
        <v>41</v>
      </c>
      <c r="T3073" s="2" t="s">
        <v>41</v>
      </c>
      <c r="U3073" s="2" t="s">
        <v>41</v>
      </c>
      <c r="V3073" s="2" t="s">
        <v>59</v>
      </c>
      <c r="W3073" s="2">
        <v>42.9</v>
      </c>
      <c r="X3073" s="2">
        <v>22.3</v>
      </c>
      <c r="Y3073" s="2" t="s">
        <v>141</v>
      </c>
      <c r="Z3073" s="2" t="s">
        <v>8640</v>
      </c>
      <c r="AA3073" s="2">
        <v>-0.472849342170784</v>
      </c>
      <c r="AB3073" s="2">
        <v>0.25602353259900501</v>
      </c>
      <c r="AC3073" s="2">
        <v>66652.493730788905</v>
      </c>
      <c r="AD3073" s="2">
        <v>71934.552874586603</v>
      </c>
      <c r="AE3073" s="2">
        <v>66337.625273139405</v>
      </c>
      <c r="AF3073" s="2">
        <v>67643.379367471993</v>
      </c>
      <c r="AG3073" s="2">
        <v>67861.723466326206</v>
      </c>
      <c r="AH3073" s="2">
        <v>66726.667315397193</v>
      </c>
      <c r="AI3073" s="2">
        <v>64176.795168809404</v>
      </c>
      <c r="AJ3073" s="2">
        <v>67168.771793588996</v>
      </c>
      <c r="AK3073" s="2">
        <v>71236.015399515396</v>
      </c>
      <c r="AL3073" s="2">
        <v>72752.468946241803</v>
      </c>
      <c r="AM3073" s="2">
        <v>72752.294771019297</v>
      </c>
      <c r="AN3073" s="2">
        <v>68192.405874891396</v>
      </c>
      <c r="AO3073" s="2">
        <v>70990.281648012999</v>
      </c>
      <c r="AP3073" s="2">
        <v>75683.8506078387</v>
      </c>
    </row>
    <row r="3074" spans="1:42" ht="14.5" x14ac:dyDescent="0.35">
      <c r="A3074" s="2" t="s">
        <v>20429</v>
      </c>
      <c r="B3074" s="2">
        <v>626.29622546430005</v>
      </c>
      <c r="C3074" s="2">
        <v>6.1423166666666704</v>
      </c>
      <c r="D3074" s="2" t="s">
        <v>70</v>
      </c>
      <c r="E3074" s="2" t="s">
        <v>20430</v>
      </c>
      <c r="F3074" s="2">
        <v>27951</v>
      </c>
      <c r="G3074" s="3" t="str">
        <f>HYPERLINK("http://funmeta.oebiotech.com/network/27951", "http://funmeta.oebiotech.com/network/27951")</f>
        <v>http://funmeta.oebiotech.com/network/27951</v>
      </c>
      <c r="H3074" s="2"/>
      <c r="I3074" s="2"/>
      <c r="J3074" s="2" t="s">
        <v>20431</v>
      </c>
      <c r="K3074" s="2"/>
      <c r="L3074" s="2"/>
      <c r="M3074" s="2"/>
      <c r="N3074" s="2"/>
      <c r="O3074" s="2">
        <v>134812398</v>
      </c>
      <c r="P3074" s="2"/>
      <c r="Q3074" s="2" t="s">
        <v>20432</v>
      </c>
      <c r="R3074" s="2" t="s">
        <v>20433</v>
      </c>
      <c r="S3074" s="2" t="s">
        <v>50</v>
      </c>
      <c r="T3074" s="2" t="s">
        <v>51</v>
      </c>
      <c r="U3074" s="2" t="s">
        <v>66</v>
      </c>
      <c r="V3074" s="2" t="s">
        <v>59</v>
      </c>
      <c r="W3074" s="2">
        <v>41.7</v>
      </c>
      <c r="X3074" s="2">
        <v>39.200000000000003</v>
      </c>
      <c r="Y3074" s="2" t="s">
        <v>408</v>
      </c>
      <c r="Z3074" s="2" t="s">
        <v>20434</v>
      </c>
      <c r="AA3074" s="2">
        <v>2.6227664969998199</v>
      </c>
      <c r="AB3074" s="2">
        <v>0.25601583431076602</v>
      </c>
      <c r="AC3074" s="2">
        <v>129944.06885372799</v>
      </c>
      <c r="AD3074" s="2">
        <v>121745.35794219701</v>
      </c>
      <c r="AE3074" s="2">
        <v>145480.415407983</v>
      </c>
      <c r="AF3074" s="2">
        <v>128528.90253317</v>
      </c>
      <c r="AG3074" s="2">
        <v>127767.979073184</v>
      </c>
      <c r="AH3074" s="2">
        <v>130103.84306922401</v>
      </c>
      <c r="AI3074" s="2">
        <v>117336.63289621699</v>
      </c>
      <c r="AJ3074" s="2">
        <v>130446.64014259</v>
      </c>
      <c r="AK3074" s="2">
        <v>124423.856507085</v>
      </c>
      <c r="AL3074" s="2">
        <v>116089.874761085</v>
      </c>
      <c r="AM3074" s="2">
        <v>123494.69176476799</v>
      </c>
      <c r="AN3074" s="2">
        <v>129086.847801186</v>
      </c>
      <c r="AO3074" s="2">
        <v>114676.182327444</v>
      </c>
      <c r="AP3074" s="2">
        <v>122700.694491616</v>
      </c>
    </row>
    <row r="3075" spans="1:42" ht="14.5" x14ac:dyDescent="0.35">
      <c r="A3075" s="2" t="s">
        <v>20435</v>
      </c>
      <c r="B3075" s="2">
        <v>495.12755033137802</v>
      </c>
      <c r="C3075" s="2">
        <v>5.3579833333333298</v>
      </c>
      <c r="D3075" s="2" t="s">
        <v>70</v>
      </c>
      <c r="E3075" s="2" t="s">
        <v>20436</v>
      </c>
      <c r="F3075" s="2">
        <v>209740</v>
      </c>
      <c r="G3075" s="3" t="str">
        <f>HYPERLINK("http://funmeta.oebiotech.com/network/209740", "http://funmeta.oebiotech.com/network/209740")</f>
        <v>http://funmeta.oebiotech.com/network/209740</v>
      </c>
      <c r="H3075" s="2" t="s">
        <v>20437</v>
      </c>
      <c r="I3075" s="2"/>
      <c r="J3075" s="2"/>
      <c r="K3075" s="2"/>
      <c r="L3075" s="2"/>
      <c r="M3075" s="2"/>
      <c r="N3075" s="2"/>
      <c r="O3075" s="2">
        <v>384189</v>
      </c>
      <c r="P3075" s="2"/>
      <c r="Q3075" s="2" t="s">
        <v>20438</v>
      </c>
      <c r="R3075" s="2" t="s">
        <v>20439</v>
      </c>
      <c r="S3075" s="2" t="s">
        <v>41</v>
      </c>
      <c r="T3075" s="2" t="s">
        <v>41</v>
      </c>
      <c r="U3075" s="2" t="s">
        <v>41</v>
      </c>
      <c r="V3075" s="2" t="s">
        <v>59</v>
      </c>
      <c r="W3075" s="2">
        <v>36.799999999999997</v>
      </c>
      <c r="X3075" s="2">
        <v>0</v>
      </c>
      <c r="Y3075" s="2" t="s">
        <v>560</v>
      </c>
      <c r="Z3075" s="2" t="s">
        <v>20440</v>
      </c>
      <c r="AA3075" s="2">
        <v>-0.82482793362101303</v>
      </c>
      <c r="AB3075" s="2">
        <v>0.255981509325727</v>
      </c>
      <c r="AC3075" s="2">
        <v>8441.5482498034908</v>
      </c>
      <c r="AD3075" s="2">
        <v>13183.7301582124</v>
      </c>
      <c r="AE3075" s="2">
        <v>8410.5381945326699</v>
      </c>
      <c r="AF3075" s="2">
        <v>8298.5100818035207</v>
      </c>
      <c r="AG3075" s="2">
        <v>8186.8019660278696</v>
      </c>
      <c r="AH3075" s="2">
        <v>7440.7217118742801</v>
      </c>
      <c r="AI3075" s="2">
        <v>10287.732737284599</v>
      </c>
      <c r="AJ3075" s="2">
        <v>8024.9848072979903</v>
      </c>
      <c r="AK3075" s="2">
        <v>14553.2147665628</v>
      </c>
      <c r="AL3075" s="2">
        <v>13609.7541086275</v>
      </c>
      <c r="AM3075" s="2">
        <v>13433.0640750845</v>
      </c>
      <c r="AN3075" s="2">
        <v>13096.264980382901</v>
      </c>
      <c r="AO3075" s="2">
        <v>10414.5489351949</v>
      </c>
      <c r="AP3075" s="2">
        <v>13995.5340834216</v>
      </c>
    </row>
    <row r="3076" spans="1:42" ht="14.5" x14ac:dyDescent="0.35">
      <c r="A3076" s="2" t="s">
        <v>20441</v>
      </c>
      <c r="B3076" s="2">
        <v>803.27686597945001</v>
      </c>
      <c r="C3076" s="2">
        <v>4.7931333333333299</v>
      </c>
      <c r="D3076" s="2" t="s">
        <v>70</v>
      </c>
      <c r="E3076" s="2" t="s">
        <v>20442</v>
      </c>
      <c r="F3076" s="2">
        <v>203895</v>
      </c>
      <c r="G3076" s="3" t="str">
        <f>HYPERLINK("http://funmeta.oebiotech.com/network/203895", "http://funmeta.oebiotech.com/network/203895")</f>
        <v>http://funmeta.oebiotech.com/network/203895</v>
      </c>
      <c r="H3076" s="2" t="s">
        <v>20443</v>
      </c>
      <c r="I3076" s="2"/>
      <c r="J3076" s="2"/>
      <c r="K3076" s="2"/>
      <c r="L3076" s="2"/>
      <c r="M3076" s="2"/>
      <c r="N3076" s="2"/>
      <c r="O3076" s="2">
        <v>13916066</v>
      </c>
      <c r="P3076" s="2"/>
      <c r="Q3076" s="2" t="s">
        <v>20444</v>
      </c>
      <c r="R3076" s="2" t="s">
        <v>20445</v>
      </c>
      <c r="S3076" s="2" t="s">
        <v>115</v>
      </c>
      <c r="T3076" s="2" t="s">
        <v>139</v>
      </c>
      <c r="U3076" s="2" t="s">
        <v>140</v>
      </c>
      <c r="V3076" s="2" t="s">
        <v>59</v>
      </c>
      <c r="W3076" s="2">
        <v>40</v>
      </c>
      <c r="X3076" s="2">
        <v>3.84</v>
      </c>
      <c r="Y3076" s="2" t="s">
        <v>751</v>
      </c>
      <c r="Z3076" s="2" t="s">
        <v>20446</v>
      </c>
      <c r="AA3076" s="2">
        <v>9.45212429895253E-2</v>
      </c>
      <c r="AB3076" s="2">
        <v>0.25591200580155099</v>
      </c>
      <c r="AC3076" s="2">
        <v>164193.90851151801</v>
      </c>
      <c r="AD3076" s="2">
        <v>176623.68978672099</v>
      </c>
      <c r="AE3076" s="2">
        <v>191986.394199045</v>
      </c>
      <c r="AF3076" s="2">
        <v>150922.15323050399</v>
      </c>
      <c r="AG3076" s="2">
        <v>148667.20925970099</v>
      </c>
      <c r="AH3076" s="2">
        <v>166375.36211526699</v>
      </c>
      <c r="AI3076" s="2">
        <v>146614.150474895</v>
      </c>
      <c r="AJ3076" s="2">
        <v>180598.18178969601</v>
      </c>
      <c r="AK3076" s="2">
        <v>163093.66221040601</v>
      </c>
      <c r="AL3076" s="2">
        <v>173360.31413995801</v>
      </c>
      <c r="AM3076" s="2">
        <v>160570.10365299901</v>
      </c>
      <c r="AN3076" s="2">
        <v>209673.135828731</v>
      </c>
      <c r="AO3076" s="2">
        <v>170455.93127441601</v>
      </c>
      <c r="AP3076" s="2">
        <v>182588.991613814</v>
      </c>
    </row>
    <row r="3077" spans="1:42" ht="14.5" x14ac:dyDescent="0.35">
      <c r="A3077" s="2" t="s">
        <v>20447</v>
      </c>
      <c r="B3077" s="2">
        <v>429.21265042005302</v>
      </c>
      <c r="C3077" s="2">
        <v>3.9884499999999998</v>
      </c>
      <c r="D3077" s="2" t="s">
        <v>70</v>
      </c>
      <c r="E3077" s="2" t="s">
        <v>20448</v>
      </c>
      <c r="F3077" s="2">
        <v>3892</v>
      </c>
      <c r="G3077" s="3" t="str">
        <f>HYPERLINK("http://funmeta.oebiotech.com/network/3892", "http://funmeta.oebiotech.com/network/3892")</f>
        <v>http://funmeta.oebiotech.com/network/3892</v>
      </c>
      <c r="H3077" s="2" t="s">
        <v>20449</v>
      </c>
      <c r="I3077" s="2"/>
      <c r="J3077" s="2" t="s">
        <v>20450</v>
      </c>
      <c r="K3077" s="2"/>
      <c r="L3077" s="2"/>
      <c r="M3077" s="2"/>
      <c r="N3077" s="2"/>
      <c r="O3077" s="2">
        <v>53481513</v>
      </c>
      <c r="P3077" s="2"/>
      <c r="Q3077" s="2" t="s">
        <v>20451</v>
      </c>
      <c r="R3077" s="2" t="s">
        <v>20452</v>
      </c>
      <c r="S3077" s="2" t="s">
        <v>50</v>
      </c>
      <c r="T3077" s="2" t="s">
        <v>229</v>
      </c>
      <c r="U3077" s="2" t="s">
        <v>766</v>
      </c>
      <c r="V3077" s="2" t="s">
        <v>42</v>
      </c>
      <c r="W3077" s="2">
        <v>51.3</v>
      </c>
      <c r="X3077" s="2">
        <v>63.1</v>
      </c>
      <c r="Y3077" s="2" t="s">
        <v>1395</v>
      </c>
      <c r="Z3077" s="2" t="s">
        <v>20453</v>
      </c>
      <c r="AA3077" s="2">
        <v>-0.92607860016777599</v>
      </c>
      <c r="AB3077" s="2">
        <v>0.25566807916973699</v>
      </c>
      <c r="AC3077" s="2">
        <v>18836.541531433599</v>
      </c>
      <c r="AD3077" s="2">
        <v>14185.0399063245</v>
      </c>
      <c r="AE3077" s="2">
        <v>19455.870268725899</v>
      </c>
      <c r="AF3077" s="2">
        <v>18540.080820001302</v>
      </c>
      <c r="AG3077" s="2">
        <v>17428.308933846201</v>
      </c>
      <c r="AH3077" s="2">
        <v>18722.7100613527</v>
      </c>
      <c r="AI3077" s="2">
        <v>18572.198829587502</v>
      </c>
      <c r="AJ3077" s="2">
        <v>20300.080275087799</v>
      </c>
      <c r="AK3077" s="2">
        <v>12951.991258910301</v>
      </c>
      <c r="AL3077" s="2">
        <v>13645.0920834808</v>
      </c>
      <c r="AM3077" s="2">
        <v>15303.3168195258</v>
      </c>
      <c r="AN3077" s="2">
        <v>13632.0797604299</v>
      </c>
      <c r="AO3077" s="2">
        <v>15876.293249607599</v>
      </c>
      <c r="AP3077" s="2">
        <v>13701.4662659925</v>
      </c>
    </row>
    <row r="3078" spans="1:42" ht="14.5" x14ac:dyDescent="0.35">
      <c r="A3078" s="2" t="s">
        <v>20454</v>
      </c>
      <c r="B3078" s="2">
        <v>244.26317207249201</v>
      </c>
      <c r="C3078" s="2">
        <v>8.5446666666666697</v>
      </c>
      <c r="D3078" s="2" t="s">
        <v>34</v>
      </c>
      <c r="E3078" s="2" t="s">
        <v>20455</v>
      </c>
      <c r="F3078" s="2">
        <v>6030</v>
      </c>
      <c r="G3078" s="3" t="str">
        <f>HYPERLINK("http://funmeta.oebiotech.com/network/6030", "http://funmeta.oebiotech.com/network/6030")</f>
        <v>http://funmeta.oebiotech.com/network/6030</v>
      </c>
      <c r="H3078" s="2"/>
      <c r="I3078" s="2">
        <v>36507</v>
      </c>
      <c r="J3078" s="2" t="s">
        <v>20456</v>
      </c>
      <c r="K3078" s="2"/>
      <c r="L3078" s="2"/>
      <c r="M3078" s="2"/>
      <c r="N3078" s="2"/>
      <c r="O3078" s="2">
        <v>5283299</v>
      </c>
      <c r="P3078" s="2"/>
      <c r="Q3078" s="2" t="s">
        <v>20457</v>
      </c>
      <c r="R3078" s="2" t="s">
        <v>20458</v>
      </c>
      <c r="S3078" s="2" t="s">
        <v>50</v>
      </c>
      <c r="T3078" s="2" t="s">
        <v>229</v>
      </c>
      <c r="U3078" s="2" t="s">
        <v>1283</v>
      </c>
      <c r="V3078" s="2" t="s">
        <v>59</v>
      </c>
      <c r="W3078" s="2">
        <v>44.7</v>
      </c>
      <c r="X3078" s="2">
        <v>29.5</v>
      </c>
      <c r="Y3078" s="2" t="s">
        <v>43</v>
      </c>
      <c r="Z3078" s="2" t="s">
        <v>20459</v>
      </c>
      <c r="AA3078" s="2">
        <v>-1.41024461761949</v>
      </c>
      <c r="AB3078" s="2">
        <v>0.255664259708551</v>
      </c>
      <c r="AC3078" s="2">
        <v>26886.810209659601</v>
      </c>
      <c r="AD3078" s="2">
        <v>33814.321827086504</v>
      </c>
      <c r="AE3078" s="2">
        <v>32488.149199376301</v>
      </c>
      <c r="AF3078" s="2">
        <v>20871.741594953</v>
      </c>
      <c r="AG3078" s="2">
        <v>23082.493178541801</v>
      </c>
      <c r="AH3078" s="2">
        <v>20838.638792916001</v>
      </c>
      <c r="AI3078" s="2">
        <v>32756.050284569399</v>
      </c>
      <c r="AJ3078" s="2">
        <v>31283.788207600901</v>
      </c>
      <c r="AK3078" s="2">
        <v>35585.594747458199</v>
      </c>
      <c r="AL3078" s="2">
        <v>39626.306640472001</v>
      </c>
      <c r="AM3078" s="2">
        <v>29605.623948990298</v>
      </c>
      <c r="AN3078" s="2">
        <v>33656.071576891904</v>
      </c>
      <c r="AO3078" s="2">
        <v>33808.974482270001</v>
      </c>
      <c r="AP3078" s="2">
        <v>30603.359566436899</v>
      </c>
    </row>
    <row r="3079" spans="1:42" ht="14.5" x14ac:dyDescent="0.35">
      <c r="A3079" s="2" t="s">
        <v>20460</v>
      </c>
      <c r="B3079" s="2">
        <v>479.26469117428701</v>
      </c>
      <c r="C3079" s="2">
        <v>5.7290666666666699</v>
      </c>
      <c r="D3079" s="2" t="s">
        <v>70</v>
      </c>
      <c r="E3079" s="2" t="s">
        <v>20461</v>
      </c>
      <c r="F3079" s="2">
        <v>57292</v>
      </c>
      <c r="G3079" s="3" t="str">
        <f>HYPERLINK("http://funmeta.oebiotech.com/network/57292", "http://funmeta.oebiotech.com/network/57292")</f>
        <v>http://funmeta.oebiotech.com/network/57292</v>
      </c>
      <c r="H3079" s="2" t="s">
        <v>20462</v>
      </c>
      <c r="I3079" s="2">
        <v>88922</v>
      </c>
      <c r="J3079" s="2"/>
      <c r="K3079" s="2"/>
      <c r="L3079" s="2"/>
      <c r="M3079" s="2"/>
      <c r="N3079" s="2"/>
      <c r="O3079" s="2">
        <v>85200143</v>
      </c>
      <c r="P3079" s="2"/>
      <c r="Q3079" s="2" t="s">
        <v>20463</v>
      </c>
      <c r="R3079" s="2" t="s">
        <v>20464</v>
      </c>
      <c r="S3079" s="2" t="s">
        <v>50</v>
      </c>
      <c r="T3079" s="2" t="s">
        <v>201</v>
      </c>
      <c r="U3079" s="2" t="s">
        <v>241</v>
      </c>
      <c r="V3079" s="2" t="s">
        <v>59</v>
      </c>
      <c r="W3079" s="2">
        <v>38.9</v>
      </c>
      <c r="X3079" s="2">
        <v>0</v>
      </c>
      <c r="Y3079" s="2" t="s">
        <v>408</v>
      </c>
      <c r="Z3079" s="2" t="s">
        <v>20465</v>
      </c>
      <c r="AA3079" s="2">
        <v>-0.80741079306874197</v>
      </c>
      <c r="AB3079" s="2">
        <v>0.25555669272903198</v>
      </c>
      <c r="AC3079" s="2">
        <v>15488.731204457599</v>
      </c>
      <c r="AD3079" s="2">
        <v>20096.173617625402</v>
      </c>
      <c r="AE3079" s="2">
        <v>14804.0307198341</v>
      </c>
      <c r="AF3079" s="2">
        <v>16066.540674022801</v>
      </c>
      <c r="AG3079" s="2">
        <v>15080.348148053101</v>
      </c>
      <c r="AH3079" s="2">
        <v>14451.0301167302</v>
      </c>
      <c r="AI3079" s="2">
        <v>16168.4654076344</v>
      </c>
      <c r="AJ3079" s="2">
        <v>16361.972160470699</v>
      </c>
      <c r="AK3079" s="2">
        <v>18427.883096592301</v>
      </c>
      <c r="AL3079" s="2">
        <v>21207.811394466698</v>
      </c>
      <c r="AM3079" s="2">
        <v>20592.695921571802</v>
      </c>
      <c r="AN3079" s="2">
        <v>20061.054772929299</v>
      </c>
      <c r="AO3079" s="2">
        <v>19013.047522898902</v>
      </c>
      <c r="AP3079" s="2">
        <v>21274.548997293099</v>
      </c>
    </row>
    <row r="3080" spans="1:42" ht="14.5" x14ac:dyDescent="0.35">
      <c r="A3080" s="2" t="s">
        <v>20466</v>
      </c>
      <c r="B3080" s="2">
        <v>287.23650234103701</v>
      </c>
      <c r="C3080" s="2">
        <v>6.0424333333333298</v>
      </c>
      <c r="D3080" s="2" t="s">
        <v>34</v>
      </c>
      <c r="E3080" s="2" t="s">
        <v>20467</v>
      </c>
      <c r="F3080" s="2">
        <v>37368</v>
      </c>
      <c r="G3080" s="3" t="str">
        <f>HYPERLINK("http://funmeta.oebiotech.com/network/37368", "http://funmeta.oebiotech.com/network/37368")</f>
        <v>http://funmeta.oebiotech.com/network/37368</v>
      </c>
      <c r="H3080" s="2" t="s">
        <v>20468</v>
      </c>
      <c r="I3080" s="2"/>
      <c r="J3080" s="2" t="s">
        <v>20469</v>
      </c>
      <c r="K3080" s="2">
        <v>17336</v>
      </c>
      <c r="L3080" s="2" t="s">
        <v>20470</v>
      </c>
      <c r="M3080" s="2" t="s">
        <v>20471</v>
      </c>
      <c r="N3080" s="2" t="s">
        <v>20472</v>
      </c>
      <c r="O3080" s="2">
        <v>445354</v>
      </c>
      <c r="P3080" s="2" t="s">
        <v>20473</v>
      </c>
      <c r="Q3080" s="2" t="s">
        <v>20474</v>
      </c>
      <c r="R3080" s="2" t="s">
        <v>20475</v>
      </c>
      <c r="S3080" s="2" t="s">
        <v>50</v>
      </c>
      <c r="T3080" s="2" t="s">
        <v>201</v>
      </c>
      <c r="U3080" s="2" t="s">
        <v>2195</v>
      </c>
      <c r="V3080" s="2" t="s">
        <v>42</v>
      </c>
      <c r="W3080" s="2">
        <v>48.3</v>
      </c>
      <c r="X3080" s="2">
        <v>51.8</v>
      </c>
      <c r="Y3080" s="2" t="s">
        <v>266</v>
      </c>
      <c r="Z3080" s="2" t="s">
        <v>20476</v>
      </c>
      <c r="AA3080" s="2">
        <v>-1.53608334809619</v>
      </c>
      <c r="AB3080" s="2">
        <v>0.25514578644034203</v>
      </c>
      <c r="AC3080" s="2">
        <v>140296.48819958299</v>
      </c>
      <c r="AD3080" s="2">
        <v>133764.69582861601</v>
      </c>
      <c r="AE3080" s="2">
        <v>140376.97181038701</v>
      </c>
      <c r="AF3080" s="2">
        <v>142010.32572674</v>
      </c>
      <c r="AG3080" s="2">
        <v>141853.258861979</v>
      </c>
      <c r="AH3080" s="2">
        <v>142459.54593888501</v>
      </c>
      <c r="AI3080" s="2">
        <v>132589.90487839401</v>
      </c>
      <c r="AJ3080" s="2">
        <v>142488.92198111099</v>
      </c>
      <c r="AK3080" s="2">
        <v>132381.05372554899</v>
      </c>
      <c r="AL3080" s="2">
        <v>141699.116969208</v>
      </c>
      <c r="AM3080" s="2">
        <v>135675.88471000001</v>
      </c>
      <c r="AN3080" s="2">
        <v>133542.34465973999</v>
      </c>
      <c r="AO3080" s="2">
        <v>127715.408802693</v>
      </c>
      <c r="AP3080" s="2">
        <v>131574.36610450799</v>
      </c>
    </row>
    <row r="3081" spans="1:42" ht="14.5" x14ac:dyDescent="0.35">
      <c r="A3081" s="2" t="s">
        <v>20477</v>
      </c>
      <c r="B3081" s="2">
        <v>935.34059471386399</v>
      </c>
      <c r="C3081" s="2">
        <v>7.6999166666666703</v>
      </c>
      <c r="D3081" s="2" t="s">
        <v>34</v>
      </c>
      <c r="E3081" s="2" t="s">
        <v>20478</v>
      </c>
      <c r="F3081" s="2">
        <v>62037</v>
      </c>
      <c r="G3081" s="3" t="str">
        <f>HYPERLINK("http://funmeta.oebiotech.com/network/62037", "http://funmeta.oebiotech.com/network/62037")</f>
        <v>http://funmeta.oebiotech.com/network/62037</v>
      </c>
      <c r="H3081" s="2" t="s">
        <v>20479</v>
      </c>
      <c r="I3081" s="2">
        <v>93328</v>
      </c>
      <c r="J3081" s="2"/>
      <c r="K3081" s="2"/>
      <c r="L3081" s="2"/>
      <c r="M3081" s="2"/>
      <c r="N3081" s="2"/>
      <c r="O3081" s="2">
        <v>14430292</v>
      </c>
      <c r="P3081" s="2" t="s">
        <v>20480</v>
      </c>
      <c r="Q3081" s="2" t="s">
        <v>20481</v>
      </c>
      <c r="R3081" s="2" t="s">
        <v>20482</v>
      </c>
      <c r="S3081" s="2" t="s">
        <v>89</v>
      </c>
      <c r="T3081" s="2" t="s">
        <v>90</v>
      </c>
      <c r="U3081" s="2" t="s">
        <v>99</v>
      </c>
      <c r="V3081" s="2" t="s">
        <v>42</v>
      </c>
      <c r="W3081" s="2">
        <v>44.4</v>
      </c>
      <c r="X3081" s="2">
        <v>54.4</v>
      </c>
      <c r="Y3081" s="2" t="s">
        <v>340</v>
      </c>
      <c r="Z3081" s="2" t="s">
        <v>20483</v>
      </c>
      <c r="AA3081" s="2">
        <v>-4.7590183102244303</v>
      </c>
      <c r="AB3081" s="2">
        <v>0.25514559710030599</v>
      </c>
      <c r="AC3081" s="2">
        <v>147275.612662361</v>
      </c>
      <c r="AD3081" s="2">
        <v>159946.33952246301</v>
      </c>
      <c r="AE3081" s="2">
        <v>128903.128711579</v>
      </c>
      <c r="AF3081" s="2">
        <v>138147.40362380401</v>
      </c>
      <c r="AG3081" s="2">
        <v>172861.59468435901</v>
      </c>
      <c r="AH3081" s="2">
        <v>135774.54409324101</v>
      </c>
      <c r="AI3081" s="2">
        <v>165925.36157809201</v>
      </c>
      <c r="AJ3081" s="2">
        <v>142041.64328308901</v>
      </c>
      <c r="AK3081" s="2">
        <v>150405.32050755399</v>
      </c>
      <c r="AL3081" s="2">
        <v>176579.507128889</v>
      </c>
      <c r="AM3081" s="2">
        <v>176569.18091501301</v>
      </c>
      <c r="AN3081" s="2">
        <v>159334.65042161301</v>
      </c>
      <c r="AO3081" s="2">
        <v>175050.92718130699</v>
      </c>
      <c r="AP3081" s="2">
        <v>121738.45098039899</v>
      </c>
    </row>
    <row r="3082" spans="1:42" ht="14.5" x14ac:dyDescent="0.35">
      <c r="A3082" s="2" t="s">
        <v>20484</v>
      </c>
      <c r="B3082" s="2">
        <v>113.016594152613</v>
      </c>
      <c r="C3082" s="2">
        <v>0.53741666666666699</v>
      </c>
      <c r="D3082" s="2" t="s">
        <v>34</v>
      </c>
      <c r="E3082" s="2" t="s">
        <v>20485</v>
      </c>
      <c r="F3082" s="2">
        <v>202470</v>
      </c>
      <c r="G3082" s="3" t="str">
        <f>HYPERLINK("http://funmeta.oebiotech.com/network/202470", "http://funmeta.oebiotech.com/network/202470")</f>
        <v>http://funmeta.oebiotech.com/network/202470</v>
      </c>
      <c r="H3082" s="2" t="s">
        <v>20486</v>
      </c>
      <c r="I3082" s="2">
        <v>1188</v>
      </c>
      <c r="J3082" s="2"/>
      <c r="K3082" s="2"/>
      <c r="L3082" s="2"/>
      <c r="M3082" s="2"/>
      <c r="N3082" s="2"/>
      <c r="O3082" s="2">
        <v>188309</v>
      </c>
      <c r="P3082" s="2" t="s">
        <v>20487</v>
      </c>
      <c r="Q3082" s="2" t="s">
        <v>20488</v>
      </c>
      <c r="R3082" s="2" t="s">
        <v>20489</v>
      </c>
      <c r="S3082" s="2" t="s">
        <v>89</v>
      </c>
      <c r="T3082" s="2" t="s">
        <v>90</v>
      </c>
      <c r="U3082" s="2" t="s">
        <v>99</v>
      </c>
      <c r="V3082" s="2" t="s">
        <v>59</v>
      </c>
      <c r="W3082" s="2">
        <v>39.299999999999997</v>
      </c>
      <c r="X3082" s="2">
        <v>8.42</v>
      </c>
      <c r="Y3082" s="2" t="s">
        <v>141</v>
      </c>
      <c r="Z3082" s="2" t="s">
        <v>20490</v>
      </c>
      <c r="AA3082" s="2">
        <v>-1.54913733900172</v>
      </c>
      <c r="AB3082" s="2">
        <v>0.25511847497624801</v>
      </c>
      <c r="AC3082" s="2">
        <v>7565.4389934184001</v>
      </c>
      <c r="AD3082" s="2">
        <v>3206.8062556458699</v>
      </c>
      <c r="AE3082" s="2">
        <v>7494.95161963182</v>
      </c>
      <c r="AF3082" s="2">
        <v>7264.8873168454902</v>
      </c>
      <c r="AG3082" s="2">
        <v>8396.1558057569091</v>
      </c>
      <c r="AH3082" s="2">
        <v>7043.2348997105601</v>
      </c>
      <c r="AI3082" s="2">
        <v>7588.6703940314301</v>
      </c>
      <c r="AJ3082" s="2">
        <v>7604.73392453418</v>
      </c>
      <c r="AK3082" s="2">
        <v>3175.97497929158</v>
      </c>
      <c r="AL3082" s="2">
        <v>4144.3090834397699</v>
      </c>
      <c r="AM3082" s="2">
        <v>2984.9300139879401</v>
      </c>
      <c r="AN3082" s="2">
        <v>2556.9017801884502</v>
      </c>
      <c r="AO3082" s="2">
        <v>2844.0906008674801</v>
      </c>
      <c r="AP3082" s="2">
        <v>3534.63107609998</v>
      </c>
    </row>
    <row r="3083" spans="1:42" ht="14.5" x14ac:dyDescent="0.35">
      <c r="A3083" s="2" t="s">
        <v>20491</v>
      </c>
      <c r="B3083" s="2">
        <v>371.08576021559202</v>
      </c>
      <c r="C3083" s="2">
        <v>5.6176666666666701</v>
      </c>
      <c r="D3083" s="2" t="s">
        <v>70</v>
      </c>
      <c r="E3083" s="2" t="s">
        <v>20492</v>
      </c>
      <c r="F3083" s="2">
        <v>208443</v>
      </c>
      <c r="G3083" s="3" t="str">
        <f>HYPERLINK("http://funmeta.oebiotech.com/network/208443", "http://funmeta.oebiotech.com/network/208443")</f>
        <v>http://funmeta.oebiotech.com/network/208443</v>
      </c>
      <c r="H3083" s="2" t="s">
        <v>20493</v>
      </c>
      <c r="I3083" s="2">
        <v>43232</v>
      </c>
      <c r="J3083" s="2"/>
      <c r="K3083" s="2"/>
      <c r="L3083" s="2" t="s">
        <v>20494</v>
      </c>
      <c r="M3083" s="2"/>
      <c r="N3083" s="2"/>
      <c r="O3083" s="2">
        <v>3998</v>
      </c>
      <c r="P3083" s="2" t="s">
        <v>20495</v>
      </c>
      <c r="Q3083" s="2" t="s">
        <v>20496</v>
      </c>
      <c r="R3083" s="2" t="s">
        <v>20497</v>
      </c>
      <c r="S3083" s="2" t="s">
        <v>148</v>
      </c>
      <c r="T3083" s="2" t="s">
        <v>149</v>
      </c>
      <c r="U3083" s="2" t="s">
        <v>4282</v>
      </c>
      <c r="V3083" s="2" t="s">
        <v>59</v>
      </c>
      <c r="W3083" s="2">
        <v>38</v>
      </c>
      <c r="X3083" s="2">
        <v>0</v>
      </c>
      <c r="Y3083" s="2" t="s">
        <v>560</v>
      </c>
      <c r="Z3083" s="2" t="s">
        <v>20498</v>
      </c>
      <c r="AA3083" s="2">
        <v>1.18118112286134</v>
      </c>
      <c r="AB3083" s="2">
        <v>0.25510850536471802</v>
      </c>
      <c r="AC3083" s="2">
        <v>8852.2504737370291</v>
      </c>
      <c r="AD3083" s="2">
        <v>4353.5282526619703</v>
      </c>
      <c r="AE3083" s="2">
        <v>10338.8535328545</v>
      </c>
      <c r="AF3083" s="2">
        <v>8643.5759499982905</v>
      </c>
      <c r="AG3083" s="2">
        <v>9562.7486369980397</v>
      </c>
      <c r="AH3083" s="2">
        <v>8273.3593959643404</v>
      </c>
      <c r="AI3083" s="2">
        <v>7733.5799255635502</v>
      </c>
      <c r="AJ3083" s="2">
        <v>8561.3854010434497</v>
      </c>
      <c r="AK3083" s="2">
        <v>4098.2820011703197</v>
      </c>
      <c r="AL3083" s="2">
        <v>4396.1200140806804</v>
      </c>
      <c r="AM3083" s="2">
        <v>5253.6464181764704</v>
      </c>
      <c r="AN3083" s="2">
        <v>4972.1919799254401</v>
      </c>
      <c r="AO3083" s="2">
        <v>4209.6486848866498</v>
      </c>
      <c r="AP3083" s="2">
        <v>3191.2804177322701</v>
      </c>
    </row>
    <row r="3084" spans="1:42" ht="14.5" x14ac:dyDescent="0.35">
      <c r="A3084" s="2" t="s">
        <v>20499</v>
      </c>
      <c r="B3084" s="2">
        <v>589.44335028286901</v>
      </c>
      <c r="C3084" s="2">
        <v>13.069366666666699</v>
      </c>
      <c r="D3084" s="2" t="s">
        <v>34</v>
      </c>
      <c r="E3084" s="2" t="s">
        <v>20500</v>
      </c>
      <c r="F3084" s="2">
        <v>212189</v>
      </c>
      <c r="G3084" s="3" t="str">
        <f>HYPERLINK("http://funmeta.oebiotech.com/network/212189", "http://funmeta.oebiotech.com/network/212189")</f>
        <v>http://funmeta.oebiotech.com/network/212189</v>
      </c>
      <c r="H3084" s="2" t="s">
        <v>20501</v>
      </c>
      <c r="I3084" s="2"/>
      <c r="J3084" s="2"/>
      <c r="K3084" s="2"/>
      <c r="L3084" s="2"/>
      <c r="M3084" s="2"/>
      <c r="N3084" s="2"/>
      <c r="O3084" s="2">
        <v>21912855</v>
      </c>
      <c r="P3084" s="2"/>
      <c r="Q3084" s="2" t="s">
        <v>20502</v>
      </c>
      <c r="R3084" s="2" t="s">
        <v>20503</v>
      </c>
      <c r="S3084" s="2" t="s">
        <v>89</v>
      </c>
      <c r="T3084" s="2" t="s">
        <v>1600</v>
      </c>
      <c r="U3084" s="2" t="s">
        <v>3890</v>
      </c>
      <c r="V3084" s="2" t="s">
        <v>59</v>
      </c>
      <c r="W3084" s="2">
        <v>38.200000000000003</v>
      </c>
      <c r="X3084" s="2">
        <v>0</v>
      </c>
      <c r="Y3084" s="2" t="s">
        <v>141</v>
      </c>
      <c r="Z3084" s="2" t="s">
        <v>20504</v>
      </c>
      <c r="AA3084" s="2">
        <v>-0.38000656393252802</v>
      </c>
      <c r="AB3084" s="2">
        <v>0.25504471555887998</v>
      </c>
      <c r="AC3084" s="2">
        <v>5328.5042133050301</v>
      </c>
      <c r="AD3084" s="2">
        <v>949.891095664114</v>
      </c>
      <c r="AE3084" s="2">
        <v>5255.3996299482396</v>
      </c>
      <c r="AF3084" s="2">
        <v>4422.7944290294599</v>
      </c>
      <c r="AG3084" s="2">
        <v>5619.2078534781003</v>
      </c>
      <c r="AH3084" s="2">
        <v>5400.1584050705296</v>
      </c>
      <c r="AI3084" s="2">
        <v>5085.0194092602796</v>
      </c>
      <c r="AJ3084" s="2">
        <v>6188.4455530435898</v>
      </c>
      <c r="AK3084" s="2">
        <v>1601.0031796738799</v>
      </c>
      <c r="AL3084" s="2">
        <v>1165.9313980888001</v>
      </c>
      <c r="AM3084" s="2">
        <v>1252.9381623239101</v>
      </c>
      <c r="AN3084" s="2">
        <v>1022.21919396206</v>
      </c>
      <c r="AO3084" s="2">
        <v>392.881444308178</v>
      </c>
      <c r="AP3084" s="2">
        <v>264.37319562785399</v>
      </c>
    </row>
    <row r="3085" spans="1:42" ht="14.5" x14ac:dyDescent="0.35">
      <c r="A3085" s="2" t="s">
        <v>20505</v>
      </c>
      <c r="B3085" s="2">
        <v>242.11730499313299</v>
      </c>
      <c r="C3085" s="2">
        <v>5.1837999999999997</v>
      </c>
      <c r="D3085" s="2" t="s">
        <v>34</v>
      </c>
      <c r="E3085" s="2" t="s">
        <v>20506</v>
      </c>
      <c r="F3085" s="2">
        <v>205817</v>
      </c>
      <c r="G3085" s="3" t="str">
        <f>HYPERLINK("http://funmeta.oebiotech.com/network/205817", "http://funmeta.oebiotech.com/network/205817")</f>
        <v>http://funmeta.oebiotech.com/network/205817</v>
      </c>
      <c r="H3085" s="2" t="s">
        <v>20507</v>
      </c>
      <c r="I3085" s="2">
        <v>43559</v>
      </c>
      <c r="J3085" s="2"/>
      <c r="K3085" s="2">
        <v>75417</v>
      </c>
      <c r="L3085" s="2"/>
      <c r="M3085" s="2"/>
      <c r="N3085" s="2"/>
      <c r="O3085" s="2">
        <v>8433</v>
      </c>
      <c r="P3085" s="2" t="s">
        <v>20508</v>
      </c>
      <c r="Q3085" s="2" t="s">
        <v>20509</v>
      </c>
      <c r="R3085" s="2" t="s">
        <v>20510</v>
      </c>
      <c r="S3085" s="2" t="s">
        <v>115</v>
      </c>
      <c r="T3085" s="2" t="s">
        <v>12600</v>
      </c>
      <c r="U3085" s="2" t="s">
        <v>12601</v>
      </c>
      <c r="V3085" s="2" t="s">
        <v>59</v>
      </c>
      <c r="W3085" s="2">
        <v>39.200000000000003</v>
      </c>
      <c r="X3085" s="2">
        <v>0</v>
      </c>
      <c r="Y3085" s="2" t="s">
        <v>43</v>
      </c>
      <c r="Z3085" s="2" t="s">
        <v>20511</v>
      </c>
      <c r="AA3085" s="2">
        <v>-1.1163721162101099</v>
      </c>
      <c r="AB3085" s="2">
        <v>0.25498073263839699</v>
      </c>
      <c r="AC3085" s="2">
        <v>10456.426794151999</v>
      </c>
      <c r="AD3085" s="2">
        <v>14829.726656905101</v>
      </c>
      <c r="AE3085" s="2">
        <v>9980.9190442422405</v>
      </c>
      <c r="AF3085" s="2">
        <v>11410.307498595001</v>
      </c>
      <c r="AG3085" s="2">
        <v>9677.2963571806504</v>
      </c>
      <c r="AH3085" s="2">
        <v>10481.260904894199</v>
      </c>
      <c r="AI3085" s="2">
        <v>10845.9159278197</v>
      </c>
      <c r="AJ3085" s="2">
        <v>10342.861032180401</v>
      </c>
      <c r="AK3085" s="2">
        <v>13982.176232289299</v>
      </c>
      <c r="AL3085" s="2">
        <v>15391.841033468099</v>
      </c>
      <c r="AM3085" s="2">
        <v>14770.836874542199</v>
      </c>
      <c r="AN3085" s="2">
        <v>15200.7483001827</v>
      </c>
      <c r="AO3085" s="2">
        <v>14846.028199598</v>
      </c>
      <c r="AP3085" s="2">
        <v>14786.7293013505</v>
      </c>
    </row>
    <row r="3086" spans="1:42" ht="14.5" x14ac:dyDescent="0.35">
      <c r="A3086" s="2" t="s">
        <v>20512</v>
      </c>
      <c r="B3086" s="2">
        <v>405.17349710399299</v>
      </c>
      <c r="C3086" s="2">
        <v>12.826266666666699</v>
      </c>
      <c r="D3086" s="2" t="s">
        <v>70</v>
      </c>
      <c r="E3086" s="2" t="s">
        <v>20513</v>
      </c>
      <c r="F3086" s="2">
        <v>53723</v>
      </c>
      <c r="G3086" s="3" t="str">
        <f>HYPERLINK("http://funmeta.oebiotech.com/network/53723", "http://funmeta.oebiotech.com/network/53723")</f>
        <v>http://funmeta.oebiotech.com/network/53723</v>
      </c>
      <c r="H3086" s="2" t="s">
        <v>20514</v>
      </c>
      <c r="I3086" s="2">
        <v>23728</v>
      </c>
      <c r="J3086" s="2"/>
      <c r="K3086" s="2">
        <v>73330</v>
      </c>
      <c r="L3086" s="2"/>
      <c r="M3086" s="2"/>
      <c r="N3086" s="2"/>
      <c r="O3086" s="2">
        <v>1549440</v>
      </c>
      <c r="P3086" s="2" t="s">
        <v>20515</v>
      </c>
      <c r="Q3086" s="2" t="s">
        <v>20516</v>
      </c>
      <c r="R3086" s="2" t="s">
        <v>20517</v>
      </c>
      <c r="S3086" s="2" t="s">
        <v>89</v>
      </c>
      <c r="T3086" s="2" t="s">
        <v>90</v>
      </c>
      <c r="U3086" s="2" t="s">
        <v>99</v>
      </c>
      <c r="V3086" s="2" t="s">
        <v>59</v>
      </c>
      <c r="W3086" s="2">
        <v>38</v>
      </c>
      <c r="X3086" s="2">
        <v>0</v>
      </c>
      <c r="Y3086" s="2" t="s">
        <v>560</v>
      </c>
      <c r="Z3086" s="2" t="s">
        <v>20518</v>
      </c>
      <c r="AA3086" s="2">
        <v>-1.0790334323466599</v>
      </c>
      <c r="AB3086" s="2">
        <v>0.25483244260723897</v>
      </c>
      <c r="AC3086" s="2">
        <v>4447.9468850036201</v>
      </c>
      <c r="AD3086" s="2">
        <v>146.33248112265301</v>
      </c>
      <c r="AE3086" s="2">
        <v>4508.1334063391896</v>
      </c>
      <c r="AF3086" s="2">
        <v>3829.6910193099002</v>
      </c>
      <c r="AG3086" s="2">
        <v>4865.1128392997998</v>
      </c>
      <c r="AH3086" s="2">
        <v>4062.4789436965498</v>
      </c>
      <c r="AI3086" s="2">
        <v>4400.4823411499101</v>
      </c>
      <c r="AJ3086" s="2">
        <v>5021.7827602263797</v>
      </c>
      <c r="AK3086" s="2">
        <v>2.7106294003980101E-5</v>
      </c>
      <c r="AL3086" s="2">
        <v>285.156674105234</v>
      </c>
      <c r="AM3086" s="2">
        <v>125.37206054581</v>
      </c>
      <c r="AN3086" s="2">
        <v>113.177651965058</v>
      </c>
      <c r="AO3086" s="2">
        <v>157.16097478346299</v>
      </c>
      <c r="AP3086" s="2">
        <v>197.12749823005899</v>
      </c>
    </row>
    <row r="3087" spans="1:42" ht="14.5" x14ac:dyDescent="0.35">
      <c r="A3087" s="2" t="s">
        <v>20519</v>
      </c>
      <c r="B3087" s="2">
        <v>301.07150718338198</v>
      </c>
      <c r="C3087" s="2">
        <v>5.6176666666666701</v>
      </c>
      <c r="D3087" s="2" t="s">
        <v>70</v>
      </c>
      <c r="E3087" s="2" t="s">
        <v>20520</v>
      </c>
      <c r="F3087" s="2">
        <v>34243</v>
      </c>
      <c r="G3087" s="3" t="str">
        <f>HYPERLINK("http://funmeta.oebiotech.com/network/34243", "http://funmeta.oebiotech.com/network/34243")</f>
        <v>http://funmeta.oebiotech.com/network/34243</v>
      </c>
      <c r="H3087" s="2" t="s">
        <v>20521</v>
      </c>
      <c r="I3087" s="2">
        <v>52551</v>
      </c>
      <c r="J3087" s="2" t="s">
        <v>20522</v>
      </c>
      <c r="K3087" s="2">
        <v>28777</v>
      </c>
      <c r="L3087" s="2" t="s">
        <v>20523</v>
      </c>
      <c r="M3087" s="2" t="s">
        <v>6234</v>
      </c>
      <c r="N3087" s="2" t="s">
        <v>6235</v>
      </c>
      <c r="O3087" s="2">
        <v>114829</v>
      </c>
      <c r="P3087" s="2" t="s">
        <v>20524</v>
      </c>
      <c r="Q3087" s="2" t="s">
        <v>20525</v>
      </c>
      <c r="R3087" s="2" t="s">
        <v>20526</v>
      </c>
      <c r="S3087" s="2" t="s">
        <v>115</v>
      </c>
      <c r="T3087" s="2" t="s">
        <v>139</v>
      </c>
      <c r="U3087" s="2" t="s">
        <v>1437</v>
      </c>
      <c r="V3087" s="2" t="s">
        <v>59</v>
      </c>
      <c r="W3087" s="2">
        <v>39</v>
      </c>
      <c r="X3087" s="2">
        <v>0</v>
      </c>
      <c r="Y3087" s="2" t="s">
        <v>408</v>
      </c>
      <c r="Z3087" s="2" t="s">
        <v>20527</v>
      </c>
      <c r="AA3087" s="2">
        <v>-0.99404912736497997</v>
      </c>
      <c r="AB3087" s="2">
        <v>0.25480855115713902</v>
      </c>
      <c r="AC3087" s="2">
        <v>3258.6816450067699</v>
      </c>
      <c r="AD3087" s="2">
        <v>7631.5393716424396</v>
      </c>
      <c r="AE3087" s="2">
        <v>2766.37040167756</v>
      </c>
      <c r="AF3087" s="2">
        <v>3213.0025768057299</v>
      </c>
      <c r="AG3087" s="2">
        <v>3555.67058532798</v>
      </c>
      <c r="AH3087" s="2">
        <v>3057.5996516497898</v>
      </c>
      <c r="AI3087" s="2">
        <v>3367.4963886826599</v>
      </c>
      <c r="AJ3087" s="2">
        <v>3591.95026589689</v>
      </c>
      <c r="AK3087" s="2">
        <v>7118.2491207373896</v>
      </c>
      <c r="AL3087" s="2">
        <v>8672.2116832828196</v>
      </c>
      <c r="AM3087" s="2">
        <v>6973.1086098955402</v>
      </c>
      <c r="AN3087" s="2">
        <v>7240.7395849070099</v>
      </c>
      <c r="AO3087" s="2">
        <v>7489.4053355022597</v>
      </c>
      <c r="AP3087" s="2">
        <v>8295.5218955295895</v>
      </c>
    </row>
    <row r="3088" spans="1:42" ht="14.5" x14ac:dyDescent="0.35">
      <c r="A3088" s="2" t="s">
        <v>20528</v>
      </c>
      <c r="B3088" s="2">
        <v>323.04258344802201</v>
      </c>
      <c r="C3088" s="2">
        <v>1.7403833333333301</v>
      </c>
      <c r="D3088" s="2" t="s">
        <v>34</v>
      </c>
      <c r="E3088" s="2" t="s">
        <v>20529</v>
      </c>
      <c r="F3088" s="2">
        <v>82722</v>
      </c>
      <c r="G3088" s="3" t="str">
        <f>HYPERLINK("http://funmeta.oebiotech.com/network/82722", "http://funmeta.oebiotech.com/network/82722")</f>
        <v>http://funmeta.oebiotech.com/network/82722</v>
      </c>
      <c r="H3088" s="2" t="s">
        <v>20530</v>
      </c>
      <c r="I3088" s="2">
        <v>1855</v>
      </c>
      <c r="J3088" s="2"/>
      <c r="K3088" s="2"/>
      <c r="L3088" s="2"/>
      <c r="M3088" s="2"/>
      <c r="N3088" s="2"/>
      <c r="O3088" s="2">
        <v>169703</v>
      </c>
      <c r="P3088" s="2" t="s">
        <v>20531</v>
      </c>
      <c r="Q3088" s="2" t="s">
        <v>20532</v>
      </c>
      <c r="R3088" s="2" t="s">
        <v>20533</v>
      </c>
      <c r="S3088" s="2" t="s">
        <v>491</v>
      </c>
      <c r="T3088" s="2" t="s">
        <v>3479</v>
      </c>
      <c r="U3088" s="2" t="s">
        <v>13711</v>
      </c>
      <c r="V3088" s="2" t="s">
        <v>59</v>
      </c>
      <c r="W3088" s="2">
        <v>37.9</v>
      </c>
      <c r="X3088" s="2">
        <v>0</v>
      </c>
      <c r="Y3088" s="2" t="s">
        <v>340</v>
      </c>
      <c r="Z3088" s="2" t="s">
        <v>20534</v>
      </c>
      <c r="AA3088" s="2">
        <v>-0.990935471956926</v>
      </c>
      <c r="AB3088" s="2">
        <v>0.25451731091488899</v>
      </c>
      <c r="AC3088" s="2">
        <v>6357.4223973037797</v>
      </c>
      <c r="AD3088" s="2">
        <v>1998.4947870571</v>
      </c>
      <c r="AE3088" s="2">
        <v>6283.0267538163098</v>
      </c>
      <c r="AF3088" s="2">
        <v>5943.4983673051702</v>
      </c>
      <c r="AG3088" s="2">
        <v>7717.2753841161002</v>
      </c>
      <c r="AH3088" s="2">
        <v>6323.6145545539403</v>
      </c>
      <c r="AI3088" s="2">
        <v>6080.8133980761204</v>
      </c>
      <c r="AJ3088" s="2">
        <v>5796.30592595502</v>
      </c>
      <c r="AK3088" s="2">
        <v>2670.7264832648102</v>
      </c>
      <c r="AL3088" s="2">
        <v>2180.64298529916</v>
      </c>
      <c r="AM3088" s="2">
        <v>1655.90026559324</v>
      </c>
      <c r="AN3088" s="2">
        <v>1980.4043186865899</v>
      </c>
      <c r="AO3088" s="2">
        <v>1921.2581580030601</v>
      </c>
      <c r="AP3088" s="2">
        <v>1582.0365114957599</v>
      </c>
    </row>
    <row r="3089" spans="1:42" ht="14.5" x14ac:dyDescent="0.35">
      <c r="A3089" s="2" t="s">
        <v>20535</v>
      </c>
      <c r="B3089" s="2">
        <v>158.08122707855199</v>
      </c>
      <c r="C3089" s="2">
        <v>2.6402666666666699</v>
      </c>
      <c r="D3089" s="2" t="s">
        <v>34</v>
      </c>
      <c r="E3089" s="2" t="s">
        <v>20536</v>
      </c>
      <c r="F3089" s="2">
        <v>115455</v>
      </c>
      <c r="G3089" s="3" t="str">
        <f>HYPERLINK("http://funmeta.oebiotech.com/network/115455", "http://funmeta.oebiotech.com/network/115455")</f>
        <v>http://funmeta.oebiotech.com/network/115455</v>
      </c>
      <c r="H3089" s="2" t="s">
        <v>20537</v>
      </c>
      <c r="I3089" s="2">
        <v>43543</v>
      </c>
      <c r="J3089" s="2"/>
      <c r="K3089" s="2">
        <v>21560</v>
      </c>
      <c r="L3089" s="2"/>
      <c r="M3089" s="2"/>
      <c r="N3089" s="2"/>
      <c r="O3089" s="2">
        <v>66141</v>
      </c>
      <c r="P3089" s="2" t="s">
        <v>20538</v>
      </c>
      <c r="Q3089" s="2" t="s">
        <v>20539</v>
      </c>
      <c r="R3089" s="2" t="s">
        <v>20540</v>
      </c>
      <c r="S3089" s="2" t="s">
        <v>89</v>
      </c>
      <c r="T3089" s="2" t="s">
        <v>90</v>
      </c>
      <c r="U3089" s="2" t="s">
        <v>99</v>
      </c>
      <c r="V3089" s="2" t="s">
        <v>59</v>
      </c>
      <c r="W3089" s="2">
        <v>40.799999999999997</v>
      </c>
      <c r="X3089" s="2">
        <v>8.3000000000000007</v>
      </c>
      <c r="Y3089" s="2" t="s">
        <v>67</v>
      </c>
      <c r="Z3089" s="2" t="s">
        <v>20541</v>
      </c>
      <c r="AA3089" s="2">
        <v>0.36562601663269101</v>
      </c>
      <c r="AB3089" s="2">
        <v>0.25449642396435801</v>
      </c>
      <c r="AC3089" s="2">
        <v>40560.651579964302</v>
      </c>
      <c r="AD3089" s="2">
        <v>46428.0506468862</v>
      </c>
      <c r="AE3089" s="2">
        <v>39282.838633209998</v>
      </c>
      <c r="AF3089" s="2">
        <v>44950.301031858202</v>
      </c>
      <c r="AG3089" s="2">
        <v>42011.051637888901</v>
      </c>
      <c r="AH3089" s="2">
        <v>37671.2201602282</v>
      </c>
      <c r="AI3089" s="2">
        <v>40169.508298976398</v>
      </c>
      <c r="AJ3089" s="2">
        <v>39278.989717624099</v>
      </c>
      <c r="AK3089" s="2">
        <v>45093.8332196298</v>
      </c>
      <c r="AL3089" s="2">
        <v>53064.640409221502</v>
      </c>
      <c r="AM3089" s="2">
        <v>44988.559259289403</v>
      </c>
      <c r="AN3089" s="2">
        <v>45842.554719651802</v>
      </c>
      <c r="AO3089" s="2">
        <v>46044.039755616097</v>
      </c>
      <c r="AP3089" s="2">
        <v>43534.676517908701</v>
      </c>
    </row>
    <row r="3090" spans="1:42" ht="14.5" x14ac:dyDescent="0.35">
      <c r="A3090" s="2" t="s">
        <v>20542</v>
      </c>
      <c r="B3090" s="2">
        <v>563.15493113800403</v>
      </c>
      <c r="C3090" s="2">
        <v>4.3632666666666697</v>
      </c>
      <c r="D3090" s="2" t="s">
        <v>34</v>
      </c>
      <c r="E3090" s="2" t="s">
        <v>20543</v>
      </c>
      <c r="F3090" s="2">
        <v>61754</v>
      </c>
      <c r="G3090" s="3" t="str">
        <f>HYPERLINK("http://funmeta.oebiotech.com/network/61754", "http://funmeta.oebiotech.com/network/61754")</f>
        <v>http://funmeta.oebiotech.com/network/61754</v>
      </c>
      <c r="H3090" s="2" t="s">
        <v>20544</v>
      </c>
      <c r="I3090" s="2"/>
      <c r="J3090" s="2"/>
      <c r="K3090" s="2"/>
      <c r="L3090" s="2"/>
      <c r="M3090" s="2"/>
      <c r="N3090" s="2"/>
      <c r="O3090" s="2">
        <v>56961712</v>
      </c>
      <c r="P3090" s="2" t="s">
        <v>20545</v>
      </c>
      <c r="Q3090" s="2" t="s">
        <v>20546</v>
      </c>
      <c r="R3090" s="2" t="s">
        <v>20547</v>
      </c>
      <c r="S3090" s="2" t="s">
        <v>115</v>
      </c>
      <c r="T3090" s="2" t="s">
        <v>139</v>
      </c>
      <c r="U3090" s="2" t="s">
        <v>1437</v>
      </c>
      <c r="V3090" s="2" t="s">
        <v>42</v>
      </c>
      <c r="W3090" s="2">
        <v>52.6</v>
      </c>
      <c r="X3090" s="2">
        <v>70</v>
      </c>
      <c r="Y3090" s="2" t="s">
        <v>141</v>
      </c>
      <c r="Z3090" s="2" t="s">
        <v>20548</v>
      </c>
      <c r="AA3090" s="2">
        <v>0.24657990549320899</v>
      </c>
      <c r="AB3090" s="2">
        <v>0.25449264041640102</v>
      </c>
      <c r="AC3090" s="2">
        <v>329223.59157624398</v>
      </c>
      <c r="AD3090" s="2">
        <v>318305.73413579899</v>
      </c>
      <c r="AE3090" s="2">
        <v>313140.10130250698</v>
      </c>
      <c r="AF3090" s="2">
        <v>306559.741334519</v>
      </c>
      <c r="AG3090" s="2">
        <v>336452.61893137801</v>
      </c>
      <c r="AH3090" s="2">
        <v>347777.40869072598</v>
      </c>
      <c r="AI3090" s="2">
        <v>326983.35297136399</v>
      </c>
      <c r="AJ3090" s="2">
        <v>344428.32622696803</v>
      </c>
      <c r="AK3090" s="2">
        <v>302987.98667337</v>
      </c>
      <c r="AL3090" s="2">
        <v>320240.420267454</v>
      </c>
      <c r="AM3090" s="2">
        <v>331801.99334684602</v>
      </c>
      <c r="AN3090" s="2">
        <v>309626.18811824301</v>
      </c>
      <c r="AO3090" s="2">
        <v>318578.91400228202</v>
      </c>
      <c r="AP3090" s="2">
        <v>326598.902406601</v>
      </c>
    </row>
    <row r="3091" spans="1:42" ht="14.5" x14ac:dyDescent="0.35">
      <c r="A3091" s="2" t="s">
        <v>20549</v>
      </c>
      <c r="B3091" s="2">
        <v>861.48509918114598</v>
      </c>
      <c r="C3091" s="2">
        <v>11.08745</v>
      </c>
      <c r="D3091" s="2" t="s">
        <v>70</v>
      </c>
      <c r="E3091" s="2" t="s">
        <v>20550</v>
      </c>
      <c r="F3091" s="2">
        <v>57205</v>
      </c>
      <c r="G3091" s="3" t="str">
        <f>HYPERLINK("http://funmeta.oebiotech.com/network/57205", "http://funmeta.oebiotech.com/network/57205")</f>
        <v>http://funmeta.oebiotech.com/network/57205</v>
      </c>
      <c r="H3091" s="2" t="s">
        <v>20551</v>
      </c>
      <c r="I3091" s="2"/>
      <c r="J3091" s="2"/>
      <c r="K3091" s="2"/>
      <c r="L3091" s="2"/>
      <c r="M3091" s="2"/>
      <c r="N3091" s="2"/>
      <c r="O3091" s="2">
        <v>73744219</v>
      </c>
      <c r="P3091" s="2" t="s">
        <v>20552</v>
      </c>
      <c r="Q3091" s="2" t="s">
        <v>20553</v>
      </c>
      <c r="R3091" s="2" t="s">
        <v>20554</v>
      </c>
      <c r="S3091" s="2" t="s">
        <v>50</v>
      </c>
      <c r="T3091" s="2" t="s">
        <v>124</v>
      </c>
      <c r="U3091" s="2" t="s">
        <v>523</v>
      </c>
      <c r="V3091" s="2" t="s">
        <v>59</v>
      </c>
      <c r="W3091" s="2">
        <v>37.6</v>
      </c>
      <c r="X3091" s="2">
        <v>0</v>
      </c>
      <c r="Y3091" s="2" t="s">
        <v>408</v>
      </c>
      <c r="Z3091" s="2" t="s">
        <v>20555</v>
      </c>
      <c r="AA3091" s="2">
        <v>-0.27592755329330598</v>
      </c>
      <c r="AB3091" s="2">
        <v>0.25440726073682102</v>
      </c>
      <c r="AC3091" s="2">
        <v>45483.185971934399</v>
      </c>
      <c r="AD3091" s="2">
        <v>39786.590447599498</v>
      </c>
      <c r="AE3091" s="2">
        <v>47191.559280397203</v>
      </c>
      <c r="AF3091" s="2">
        <v>49389.2530523643</v>
      </c>
      <c r="AG3091" s="2">
        <v>42073.20416424</v>
      </c>
      <c r="AH3091" s="2">
        <v>47781.511474724</v>
      </c>
      <c r="AI3091" s="2">
        <v>41025.113018661898</v>
      </c>
      <c r="AJ3091" s="2">
        <v>45438.474841219002</v>
      </c>
      <c r="AK3091" s="2">
        <v>37401.797796848703</v>
      </c>
      <c r="AL3091" s="2">
        <v>37638.6578028105</v>
      </c>
      <c r="AM3091" s="2">
        <v>40329.101408311901</v>
      </c>
      <c r="AN3091" s="2">
        <v>40251.072895856902</v>
      </c>
      <c r="AO3091" s="2">
        <v>43550.981462133903</v>
      </c>
      <c r="AP3091" s="2">
        <v>39547.931319635398</v>
      </c>
    </row>
    <row r="3092" spans="1:42" ht="14.5" x14ac:dyDescent="0.35">
      <c r="A3092" s="2" t="s">
        <v>20556</v>
      </c>
      <c r="B3092" s="2">
        <v>543.16405082339804</v>
      </c>
      <c r="C3092" s="2">
        <v>4.4359166666666701</v>
      </c>
      <c r="D3092" s="2" t="s">
        <v>70</v>
      </c>
      <c r="E3092" s="2" t="s">
        <v>20557</v>
      </c>
      <c r="F3092" s="2">
        <v>213045</v>
      </c>
      <c r="G3092" s="3" t="str">
        <f>HYPERLINK("http://funmeta.oebiotech.com/network/213045", "http://funmeta.oebiotech.com/network/213045")</f>
        <v>http://funmeta.oebiotech.com/network/213045</v>
      </c>
      <c r="H3092" s="2" t="s">
        <v>20558</v>
      </c>
      <c r="I3092" s="2"/>
      <c r="J3092" s="2"/>
      <c r="K3092" s="2"/>
      <c r="L3092" s="2"/>
      <c r="M3092" s="2"/>
      <c r="N3092" s="2"/>
      <c r="O3092" s="2">
        <v>75580624</v>
      </c>
      <c r="P3092" s="2"/>
      <c r="Q3092" s="2" t="s">
        <v>20559</v>
      </c>
      <c r="R3092" s="2" t="s">
        <v>20560</v>
      </c>
      <c r="S3092" s="2" t="s">
        <v>50</v>
      </c>
      <c r="T3092" s="2" t="s">
        <v>124</v>
      </c>
      <c r="U3092" s="2" t="s">
        <v>5245</v>
      </c>
      <c r="V3092" s="2" t="s">
        <v>59</v>
      </c>
      <c r="W3092" s="2">
        <v>37.200000000000003</v>
      </c>
      <c r="X3092" s="2">
        <v>0</v>
      </c>
      <c r="Y3092" s="2" t="s">
        <v>118</v>
      </c>
      <c r="Z3092" s="2" t="s">
        <v>20561</v>
      </c>
      <c r="AA3092" s="2">
        <v>1.2050394526108801</v>
      </c>
      <c r="AB3092" s="2">
        <v>0.254371345866161</v>
      </c>
      <c r="AC3092" s="2">
        <v>40863.1977608167</v>
      </c>
      <c r="AD3092" s="2">
        <v>34708.774033523099</v>
      </c>
      <c r="AE3092" s="2">
        <v>38052.593819654103</v>
      </c>
      <c r="AF3092" s="2">
        <v>47615.433802936903</v>
      </c>
      <c r="AG3092" s="2">
        <v>41675.216177269896</v>
      </c>
      <c r="AH3092" s="2">
        <v>37375.116365720904</v>
      </c>
      <c r="AI3092" s="2">
        <v>42190.564385434598</v>
      </c>
      <c r="AJ3092" s="2">
        <v>38270.262013883803</v>
      </c>
      <c r="AK3092" s="2">
        <v>36336.543450325698</v>
      </c>
      <c r="AL3092" s="2">
        <v>34224.295307264503</v>
      </c>
      <c r="AM3092" s="2">
        <v>34139.203964808599</v>
      </c>
      <c r="AN3092" s="2">
        <v>38654.874985422197</v>
      </c>
      <c r="AO3092" s="2">
        <v>29196.947546323499</v>
      </c>
      <c r="AP3092" s="2">
        <v>35700.7789469942</v>
      </c>
    </row>
    <row r="3093" spans="1:42" ht="14.5" x14ac:dyDescent="0.35">
      <c r="A3093" s="2" t="s">
        <v>20562</v>
      </c>
      <c r="B3093" s="2">
        <v>751.42537618870699</v>
      </c>
      <c r="C3093" s="2">
        <v>10.271599999999999</v>
      </c>
      <c r="D3093" s="2" t="s">
        <v>70</v>
      </c>
      <c r="E3093" s="2" t="s">
        <v>20563</v>
      </c>
      <c r="F3093" s="2">
        <v>286460</v>
      </c>
      <c r="G3093" s="3" t="str">
        <f>HYPERLINK("http://funmeta.oebiotech.com/network/286460", "http://funmeta.oebiotech.com/network/286460")</f>
        <v>http://funmeta.oebiotech.com/network/286460</v>
      </c>
      <c r="H3093" s="2"/>
      <c r="I3093" s="2">
        <v>831095</v>
      </c>
      <c r="J3093" s="2"/>
      <c r="K3093" s="2"/>
      <c r="L3093" s="2"/>
      <c r="M3093" s="2"/>
      <c r="N3093" s="2"/>
      <c r="O3093" s="2">
        <v>53494930</v>
      </c>
      <c r="P3093" s="2"/>
      <c r="Q3093" s="2" t="s">
        <v>20564</v>
      </c>
      <c r="R3093" s="2" t="s">
        <v>20565</v>
      </c>
      <c r="S3093" s="2" t="s">
        <v>491</v>
      </c>
      <c r="T3093" s="2" t="s">
        <v>2184</v>
      </c>
      <c r="U3093" s="2" t="s">
        <v>20566</v>
      </c>
      <c r="V3093" s="2" t="s">
        <v>59</v>
      </c>
      <c r="W3093" s="2">
        <v>38.200000000000003</v>
      </c>
      <c r="X3093" s="2">
        <v>0</v>
      </c>
      <c r="Y3093" s="2" t="s">
        <v>560</v>
      </c>
      <c r="Z3093" s="2" t="s">
        <v>20567</v>
      </c>
      <c r="AA3093" s="2">
        <v>3.3176864668203101</v>
      </c>
      <c r="AB3093" s="2">
        <v>0.25436177770551599</v>
      </c>
      <c r="AC3093" s="2">
        <v>15961.3098138273</v>
      </c>
      <c r="AD3093" s="2">
        <v>10832.066205904999</v>
      </c>
      <c r="AE3093" s="2">
        <v>12904.517005092401</v>
      </c>
      <c r="AF3093" s="2">
        <v>13739.337332430699</v>
      </c>
      <c r="AG3093" s="2">
        <v>15706.578571944299</v>
      </c>
      <c r="AH3093" s="2">
        <v>17231.070234535098</v>
      </c>
      <c r="AI3093" s="2">
        <v>19230.478957745101</v>
      </c>
      <c r="AJ3093" s="2">
        <v>16955.876781216299</v>
      </c>
      <c r="AK3093" s="2">
        <v>10317.728020233801</v>
      </c>
      <c r="AL3093" s="2">
        <v>9977.9892181791402</v>
      </c>
      <c r="AM3093" s="2">
        <v>11247.406023784</v>
      </c>
      <c r="AN3093" s="2">
        <v>11703.376777519699</v>
      </c>
      <c r="AO3093" s="2">
        <v>9471.7946740966599</v>
      </c>
      <c r="AP3093" s="2">
        <v>12274.1025216165</v>
      </c>
    </row>
    <row r="3094" spans="1:42" ht="14.5" x14ac:dyDescent="0.35">
      <c r="A3094" s="2" t="s">
        <v>20568</v>
      </c>
      <c r="B3094" s="2">
        <v>451.01762068712799</v>
      </c>
      <c r="C3094" s="2">
        <v>0.71055000000000001</v>
      </c>
      <c r="D3094" s="2" t="s">
        <v>70</v>
      </c>
      <c r="E3094" s="2" t="s">
        <v>20569</v>
      </c>
      <c r="F3094" s="2">
        <v>54850</v>
      </c>
      <c r="G3094" s="3" t="str">
        <f>HYPERLINK("http://funmeta.oebiotech.com/network/54850", "http://funmeta.oebiotech.com/network/54850")</f>
        <v>http://funmeta.oebiotech.com/network/54850</v>
      </c>
      <c r="H3094" s="2" t="s">
        <v>20570</v>
      </c>
      <c r="I3094" s="2">
        <v>86642</v>
      </c>
      <c r="J3094" s="2"/>
      <c r="K3094" s="2">
        <v>855724</v>
      </c>
      <c r="L3094" s="2"/>
      <c r="M3094" s="2"/>
      <c r="N3094" s="2"/>
      <c r="O3094" s="2">
        <v>20499</v>
      </c>
      <c r="P3094" s="2" t="s">
        <v>20571</v>
      </c>
      <c r="Q3094" s="2" t="s">
        <v>20572</v>
      </c>
      <c r="R3094" s="2" t="s">
        <v>20573</v>
      </c>
      <c r="S3094" s="2" t="s">
        <v>491</v>
      </c>
      <c r="T3094" s="2" t="s">
        <v>2621</v>
      </c>
      <c r="U3094" s="2" t="s">
        <v>41</v>
      </c>
      <c r="V3094" s="2" t="s">
        <v>59</v>
      </c>
      <c r="W3094" s="2">
        <v>36.4</v>
      </c>
      <c r="X3094" s="2">
        <v>0</v>
      </c>
      <c r="Y3094" s="2" t="s">
        <v>560</v>
      </c>
      <c r="Z3094" s="2" t="s">
        <v>20574</v>
      </c>
      <c r="AA3094" s="2">
        <v>1.0043693321660401</v>
      </c>
      <c r="AB3094" s="2">
        <v>0.25435432357455601</v>
      </c>
      <c r="AC3094" s="2">
        <v>29520.623651345999</v>
      </c>
      <c r="AD3094" s="2">
        <v>37553.168013955801</v>
      </c>
      <c r="AE3094" s="2">
        <v>21812.332068403801</v>
      </c>
      <c r="AF3094" s="2">
        <v>42649.599164788197</v>
      </c>
      <c r="AG3094" s="2">
        <v>20030.671306796499</v>
      </c>
      <c r="AH3094" s="2">
        <v>34308.858192297797</v>
      </c>
      <c r="AI3094" s="2">
        <v>34223.879094654301</v>
      </c>
      <c r="AJ3094" s="2">
        <v>24098.402081135198</v>
      </c>
      <c r="AK3094" s="2">
        <v>32479.734016242299</v>
      </c>
      <c r="AL3094" s="2">
        <v>36498.855400337401</v>
      </c>
      <c r="AM3094" s="2">
        <v>36528.163256350701</v>
      </c>
      <c r="AN3094" s="2">
        <v>44752.744144142198</v>
      </c>
      <c r="AO3094" s="2">
        <v>42257.788362879903</v>
      </c>
      <c r="AP3094" s="2">
        <v>32801.722903782502</v>
      </c>
    </row>
    <row r="3095" spans="1:42" ht="14.5" x14ac:dyDescent="0.35">
      <c r="A3095" s="2" t="s">
        <v>20575</v>
      </c>
      <c r="B3095" s="2">
        <v>662.11277075826104</v>
      </c>
      <c r="C3095" s="2">
        <v>4.1337999999999999</v>
      </c>
      <c r="D3095" s="2" t="s">
        <v>70</v>
      </c>
      <c r="E3095" s="2" t="s">
        <v>20576</v>
      </c>
      <c r="F3095" s="2">
        <v>28635</v>
      </c>
      <c r="G3095" s="3" t="str">
        <f>HYPERLINK("http://funmeta.oebiotech.com/network/28635", "http://funmeta.oebiotech.com/network/28635")</f>
        <v>http://funmeta.oebiotech.com/network/28635</v>
      </c>
      <c r="H3095" s="2"/>
      <c r="I3095" s="2"/>
      <c r="J3095" s="2" t="s">
        <v>20577</v>
      </c>
      <c r="K3095" s="2"/>
      <c r="L3095" s="2"/>
      <c r="M3095" s="2"/>
      <c r="N3095" s="2"/>
      <c r="O3095" s="2">
        <v>44256870</v>
      </c>
      <c r="P3095" s="2"/>
      <c r="Q3095" s="2" t="s">
        <v>20578</v>
      </c>
      <c r="R3095" s="2" t="s">
        <v>20579</v>
      </c>
      <c r="S3095" s="2" t="s">
        <v>115</v>
      </c>
      <c r="T3095" s="2" t="s">
        <v>139</v>
      </c>
      <c r="U3095" s="2" t="s">
        <v>140</v>
      </c>
      <c r="V3095" s="2" t="s">
        <v>59</v>
      </c>
      <c r="W3095" s="2">
        <v>37.6</v>
      </c>
      <c r="X3095" s="2">
        <v>0</v>
      </c>
      <c r="Y3095" s="2" t="s">
        <v>408</v>
      </c>
      <c r="Z3095" s="2" t="s">
        <v>20580</v>
      </c>
      <c r="AA3095" s="2">
        <v>0.499378431643898</v>
      </c>
      <c r="AB3095" s="2">
        <v>0.254311065728415</v>
      </c>
      <c r="AC3095" s="2">
        <v>11663.0238646864</v>
      </c>
      <c r="AD3095" s="2">
        <v>16463.776147848901</v>
      </c>
      <c r="AE3095" s="2">
        <v>10243.100360483601</v>
      </c>
      <c r="AF3095" s="2">
        <v>13112.4169115691</v>
      </c>
      <c r="AG3095" s="2">
        <v>13194.4025467546</v>
      </c>
      <c r="AH3095" s="2">
        <v>11469.5229489294</v>
      </c>
      <c r="AI3095" s="2">
        <v>11715.367320441301</v>
      </c>
      <c r="AJ3095" s="2">
        <v>10243.333099940301</v>
      </c>
      <c r="AK3095" s="2">
        <v>16483.562009892699</v>
      </c>
      <c r="AL3095" s="2">
        <v>14264.345781575101</v>
      </c>
      <c r="AM3095" s="2">
        <v>16727.557514960601</v>
      </c>
      <c r="AN3095" s="2">
        <v>15600.854461238599</v>
      </c>
      <c r="AO3095" s="2">
        <v>18684.098396433699</v>
      </c>
      <c r="AP3095" s="2">
        <v>17022.238722992799</v>
      </c>
    </row>
    <row r="3096" spans="1:42" ht="14.5" x14ac:dyDescent="0.35">
      <c r="A3096" s="2" t="s">
        <v>20581</v>
      </c>
      <c r="B3096" s="2">
        <v>462.14311686851897</v>
      </c>
      <c r="C3096" s="2">
        <v>1.6651</v>
      </c>
      <c r="D3096" s="2" t="s">
        <v>34</v>
      </c>
      <c r="E3096" s="2" t="s">
        <v>20582</v>
      </c>
      <c r="F3096" s="2">
        <v>208241</v>
      </c>
      <c r="G3096" s="3" t="str">
        <f>HYPERLINK("http://funmeta.oebiotech.com/network/208241", "http://funmeta.oebiotech.com/network/208241")</f>
        <v>http://funmeta.oebiotech.com/network/208241</v>
      </c>
      <c r="H3096" s="2" t="s">
        <v>20583</v>
      </c>
      <c r="I3096" s="2"/>
      <c r="J3096" s="2"/>
      <c r="K3096" s="2"/>
      <c r="L3096" s="2"/>
      <c r="M3096" s="2"/>
      <c r="N3096" s="2"/>
      <c r="O3096" s="2">
        <v>9867822</v>
      </c>
      <c r="P3096" s="2"/>
      <c r="Q3096" s="2" t="s">
        <v>20584</v>
      </c>
      <c r="R3096" s="2" t="s">
        <v>20585</v>
      </c>
      <c r="S3096" s="2" t="s">
        <v>491</v>
      </c>
      <c r="T3096" s="2" t="s">
        <v>2184</v>
      </c>
      <c r="U3096" s="2" t="s">
        <v>8546</v>
      </c>
      <c r="V3096" s="2" t="s">
        <v>59</v>
      </c>
      <c r="W3096" s="2">
        <v>38</v>
      </c>
      <c r="X3096" s="2">
        <v>0</v>
      </c>
      <c r="Y3096" s="2" t="s">
        <v>323</v>
      </c>
      <c r="Z3096" s="2" t="s">
        <v>20586</v>
      </c>
      <c r="AA3096" s="2">
        <v>1.57125668087657</v>
      </c>
      <c r="AB3096" s="2">
        <v>0.25415404268210001</v>
      </c>
      <c r="AC3096" s="2">
        <v>19860.910696816802</v>
      </c>
      <c r="AD3096" s="2">
        <v>24596.007409473401</v>
      </c>
      <c r="AE3096" s="2">
        <v>19773.058502599</v>
      </c>
      <c r="AF3096" s="2">
        <v>19175.3513068219</v>
      </c>
      <c r="AG3096" s="2">
        <v>19893.8622347725</v>
      </c>
      <c r="AH3096" s="2">
        <v>18590.930459731801</v>
      </c>
      <c r="AI3096" s="2">
        <v>20504.125298538202</v>
      </c>
      <c r="AJ3096" s="2">
        <v>21228.136378437299</v>
      </c>
      <c r="AK3096" s="2">
        <v>22202.378610395899</v>
      </c>
      <c r="AL3096" s="2">
        <v>23595.3933193747</v>
      </c>
      <c r="AM3096" s="2">
        <v>24131.783463482701</v>
      </c>
      <c r="AN3096" s="2">
        <v>25498.0585063982</v>
      </c>
      <c r="AO3096" s="2">
        <v>26780.777396859499</v>
      </c>
      <c r="AP3096" s="2">
        <v>25367.653160329501</v>
      </c>
    </row>
    <row r="3097" spans="1:42" ht="14.5" x14ac:dyDescent="0.35">
      <c r="A3097" s="2" t="s">
        <v>20587</v>
      </c>
      <c r="B3097" s="2">
        <v>314.34155042277803</v>
      </c>
      <c r="C3097" s="2">
        <v>10.132666666666699</v>
      </c>
      <c r="D3097" s="2" t="s">
        <v>34</v>
      </c>
      <c r="E3097" s="2" t="s">
        <v>20588</v>
      </c>
      <c r="F3097" s="2">
        <v>256012</v>
      </c>
      <c r="G3097" s="3" t="str">
        <f>HYPERLINK("http://funmeta.oebiotech.com/network/256012", "http://funmeta.oebiotech.com/network/256012")</f>
        <v>http://funmeta.oebiotech.com/network/256012</v>
      </c>
      <c r="H3097" s="2" t="s">
        <v>20589</v>
      </c>
      <c r="I3097" s="2"/>
      <c r="J3097" s="2"/>
      <c r="K3097" s="2"/>
      <c r="L3097" s="2"/>
      <c r="M3097" s="2"/>
      <c r="N3097" s="2"/>
      <c r="O3097" s="2">
        <v>6365348</v>
      </c>
      <c r="P3097" s="2"/>
      <c r="Q3097" s="2" t="s">
        <v>20590</v>
      </c>
      <c r="R3097" s="2" t="s">
        <v>20591</v>
      </c>
      <c r="S3097" s="2" t="s">
        <v>79</v>
      </c>
      <c r="T3097" s="2" t="s">
        <v>80</v>
      </c>
      <c r="U3097" s="2" t="s">
        <v>20592</v>
      </c>
      <c r="V3097" s="2" t="s">
        <v>59</v>
      </c>
      <c r="W3097" s="2">
        <v>43.2</v>
      </c>
      <c r="X3097" s="2">
        <v>20.6</v>
      </c>
      <c r="Y3097" s="2" t="s">
        <v>43</v>
      </c>
      <c r="Z3097" s="2" t="s">
        <v>20593</v>
      </c>
      <c r="AA3097" s="2">
        <v>-0.64463205832650605</v>
      </c>
      <c r="AB3097" s="2">
        <v>0.25403359298584799</v>
      </c>
      <c r="AC3097" s="2">
        <v>8976.7757944004697</v>
      </c>
      <c r="AD3097" s="2">
        <v>14173.5642036054</v>
      </c>
      <c r="AE3097" s="2">
        <v>8914.2185273939594</v>
      </c>
      <c r="AF3097" s="2">
        <v>7257.7494443376099</v>
      </c>
      <c r="AG3097" s="2">
        <v>9165.4536744616798</v>
      </c>
      <c r="AH3097" s="2">
        <v>6182.3460626275501</v>
      </c>
      <c r="AI3097" s="2">
        <v>10002.6846764244</v>
      </c>
      <c r="AJ3097" s="2">
        <v>12338.2023811576</v>
      </c>
      <c r="AK3097" s="2">
        <v>13540.448798130899</v>
      </c>
      <c r="AL3097" s="2">
        <v>17038.247227636701</v>
      </c>
      <c r="AM3097" s="2">
        <v>11204.6428502088</v>
      </c>
      <c r="AN3097" s="2">
        <v>14780.097870367401</v>
      </c>
      <c r="AO3097" s="2">
        <v>14096.2088659249</v>
      </c>
      <c r="AP3097" s="2">
        <v>14381.7396093635</v>
      </c>
    </row>
    <row r="3098" spans="1:42" ht="14.5" x14ac:dyDescent="0.35">
      <c r="A3098" s="2" t="s">
        <v>20594</v>
      </c>
      <c r="B3098" s="2">
        <v>277.17731643969802</v>
      </c>
      <c r="C3098" s="2">
        <v>8.91496666666667</v>
      </c>
      <c r="D3098" s="2" t="s">
        <v>34</v>
      </c>
      <c r="E3098" s="2" t="s">
        <v>20595</v>
      </c>
      <c r="F3098" s="2">
        <v>54518</v>
      </c>
      <c r="G3098" s="3" t="str">
        <f>HYPERLINK("http://funmeta.oebiotech.com/network/54518", "http://funmeta.oebiotech.com/network/54518")</f>
        <v>http://funmeta.oebiotech.com/network/54518</v>
      </c>
      <c r="H3098" s="2" t="s">
        <v>20596</v>
      </c>
      <c r="I3098" s="2"/>
      <c r="J3098" s="2"/>
      <c r="K3098" s="2"/>
      <c r="L3098" s="2"/>
      <c r="M3098" s="2"/>
      <c r="N3098" s="2"/>
      <c r="O3098" s="2">
        <v>74427786</v>
      </c>
      <c r="P3098" s="2" t="s">
        <v>20597</v>
      </c>
      <c r="Q3098" s="2" t="s">
        <v>20598</v>
      </c>
      <c r="R3098" s="2" t="s">
        <v>20599</v>
      </c>
      <c r="S3098" s="2" t="s">
        <v>50</v>
      </c>
      <c r="T3098" s="2" t="s">
        <v>201</v>
      </c>
      <c r="U3098" s="2" t="s">
        <v>636</v>
      </c>
      <c r="V3098" s="2" t="s">
        <v>59</v>
      </c>
      <c r="W3098" s="2">
        <v>39.200000000000003</v>
      </c>
      <c r="X3098" s="2">
        <v>0</v>
      </c>
      <c r="Y3098" s="2" t="s">
        <v>323</v>
      </c>
      <c r="Z3098" s="2" t="s">
        <v>20600</v>
      </c>
      <c r="AA3098" s="2">
        <v>-0.38921084601165301</v>
      </c>
      <c r="AB3098" s="2">
        <v>0.25402165558663098</v>
      </c>
      <c r="AC3098" s="2">
        <v>15155.377547709601</v>
      </c>
      <c r="AD3098" s="2">
        <v>19866.335146476002</v>
      </c>
      <c r="AE3098" s="2">
        <v>14908.1990110277</v>
      </c>
      <c r="AF3098" s="2">
        <v>15884.798812635199</v>
      </c>
      <c r="AG3098" s="2">
        <v>16578.0427209595</v>
      </c>
      <c r="AH3098" s="2">
        <v>14295.4194205687</v>
      </c>
      <c r="AI3098" s="2">
        <v>14743.555748832499</v>
      </c>
      <c r="AJ3098" s="2">
        <v>14522.249572234299</v>
      </c>
      <c r="AK3098" s="2">
        <v>22350.270292962199</v>
      </c>
      <c r="AL3098" s="2">
        <v>20032.3391490168</v>
      </c>
      <c r="AM3098" s="2">
        <v>19662.801989470201</v>
      </c>
      <c r="AN3098" s="2">
        <v>20015.0328063122</v>
      </c>
      <c r="AO3098" s="2">
        <v>19499.2587397467</v>
      </c>
      <c r="AP3098" s="2">
        <v>17638.3079013477</v>
      </c>
    </row>
    <row r="3099" spans="1:42" ht="14.5" x14ac:dyDescent="0.35">
      <c r="A3099" s="2" t="s">
        <v>20601</v>
      </c>
      <c r="B3099" s="2">
        <v>513.15387195135395</v>
      </c>
      <c r="C3099" s="2">
        <v>4.6304499999999997</v>
      </c>
      <c r="D3099" s="2" t="s">
        <v>70</v>
      </c>
      <c r="E3099" s="2" t="s">
        <v>20602</v>
      </c>
      <c r="F3099" s="2">
        <v>208520</v>
      </c>
      <c r="G3099" s="3" t="str">
        <f>HYPERLINK("http://funmeta.oebiotech.com/network/208520", "http://funmeta.oebiotech.com/network/208520")</f>
        <v>http://funmeta.oebiotech.com/network/208520</v>
      </c>
      <c r="H3099" s="2" t="s">
        <v>20603</v>
      </c>
      <c r="I3099" s="2">
        <v>43853</v>
      </c>
      <c r="J3099" s="2"/>
      <c r="K3099" s="2"/>
      <c r="L3099" s="2" t="s">
        <v>20604</v>
      </c>
      <c r="M3099" s="2"/>
      <c r="N3099" s="2"/>
      <c r="O3099" s="2">
        <v>4039</v>
      </c>
      <c r="P3099" s="2" t="s">
        <v>20605</v>
      </c>
      <c r="Q3099" s="2" t="s">
        <v>20606</v>
      </c>
      <c r="R3099" s="2" t="s">
        <v>20607</v>
      </c>
      <c r="S3099" s="2" t="s">
        <v>148</v>
      </c>
      <c r="T3099" s="2" t="s">
        <v>149</v>
      </c>
      <c r="U3099" s="2" t="s">
        <v>4966</v>
      </c>
      <c r="V3099" s="2" t="s">
        <v>59</v>
      </c>
      <c r="W3099" s="2">
        <v>36.299999999999997</v>
      </c>
      <c r="X3099" s="2">
        <v>0</v>
      </c>
      <c r="Y3099" s="2" t="s">
        <v>560</v>
      </c>
      <c r="Z3099" s="2" t="s">
        <v>20608</v>
      </c>
      <c r="AA3099" s="2">
        <v>-5.0446377939215798</v>
      </c>
      <c r="AB3099" s="2">
        <v>0.253796767719486</v>
      </c>
      <c r="AC3099" s="2">
        <v>110618.050244392</v>
      </c>
      <c r="AD3099" s="2">
        <v>103641.615349696</v>
      </c>
      <c r="AE3099" s="2">
        <v>105536.229806061</v>
      </c>
      <c r="AF3099" s="2">
        <v>117728.32159905</v>
      </c>
      <c r="AG3099" s="2">
        <v>109100.35154408299</v>
      </c>
      <c r="AH3099" s="2">
        <v>108953.03104076799</v>
      </c>
      <c r="AI3099" s="2">
        <v>107922.77451119899</v>
      </c>
      <c r="AJ3099" s="2">
        <v>114467.592965192</v>
      </c>
      <c r="AK3099" s="2">
        <v>100067.61574475501</v>
      </c>
      <c r="AL3099" s="2">
        <v>106864.218823517</v>
      </c>
      <c r="AM3099" s="2">
        <v>102562.601305302</v>
      </c>
      <c r="AN3099" s="2">
        <v>112384.88663422001</v>
      </c>
      <c r="AO3099" s="2">
        <v>96586.206088566105</v>
      </c>
      <c r="AP3099" s="2">
        <v>103384.16350181701</v>
      </c>
    </row>
    <row r="3100" spans="1:42" ht="14.5" x14ac:dyDescent="0.35">
      <c r="A3100" s="2" t="s">
        <v>20609</v>
      </c>
      <c r="B3100" s="2">
        <v>107.049083232399</v>
      </c>
      <c r="C3100" s="2">
        <v>2.0508333333333302</v>
      </c>
      <c r="D3100" s="2" t="s">
        <v>34</v>
      </c>
      <c r="E3100" s="2" t="s">
        <v>20610</v>
      </c>
      <c r="F3100" s="2">
        <v>48673</v>
      </c>
      <c r="G3100" s="3" t="str">
        <f>HYPERLINK("http://funmeta.oebiotech.com/network/48673", "http://funmeta.oebiotech.com/network/48673")</f>
        <v>http://funmeta.oebiotech.com/network/48673</v>
      </c>
      <c r="H3100" s="2" t="s">
        <v>20611</v>
      </c>
      <c r="I3100" s="2">
        <v>58358</v>
      </c>
      <c r="J3100" s="2"/>
      <c r="K3100" s="2">
        <v>17169</v>
      </c>
      <c r="L3100" s="2" t="s">
        <v>20612</v>
      </c>
      <c r="M3100" s="2" t="s">
        <v>20613</v>
      </c>
      <c r="N3100" s="2" t="s">
        <v>20614</v>
      </c>
      <c r="O3100" s="2">
        <v>240</v>
      </c>
      <c r="P3100" s="2" t="s">
        <v>20615</v>
      </c>
      <c r="Q3100" s="2" t="s">
        <v>20616</v>
      </c>
      <c r="R3100" s="2" t="s">
        <v>20617</v>
      </c>
      <c r="S3100" s="2" t="s">
        <v>148</v>
      </c>
      <c r="T3100" s="2" t="s">
        <v>149</v>
      </c>
      <c r="U3100" s="2" t="s">
        <v>20618</v>
      </c>
      <c r="V3100" s="2" t="s">
        <v>42</v>
      </c>
      <c r="W3100" s="2">
        <v>50</v>
      </c>
      <c r="X3100" s="2">
        <v>52.3</v>
      </c>
      <c r="Y3100" s="2" t="s">
        <v>394</v>
      </c>
      <c r="Z3100" s="2" t="s">
        <v>20619</v>
      </c>
      <c r="AA3100" s="2">
        <v>-0.547062999746594</v>
      </c>
      <c r="AB3100" s="2">
        <v>0.25372286722354598</v>
      </c>
      <c r="AC3100" s="2">
        <v>16493.100100074898</v>
      </c>
      <c r="AD3100" s="2">
        <v>20814.468248104498</v>
      </c>
      <c r="AE3100" s="2">
        <v>15708.5323411265</v>
      </c>
      <c r="AF3100" s="2">
        <v>16712.185221898701</v>
      </c>
      <c r="AG3100" s="2">
        <v>17332.086750244802</v>
      </c>
      <c r="AH3100" s="2">
        <v>15818.8753751448</v>
      </c>
      <c r="AI3100" s="2">
        <v>16387.255240710099</v>
      </c>
      <c r="AJ3100" s="2">
        <v>16999.665671324499</v>
      </c>
      <c r="AK3100" s="2">
        <v>20760.260309719601</v>
      </c>
      <c r="AL3100" s="2">
        <v>20736.9181550004</v>
      </c>
      <c r="AM3100" s="2">
        <v>21127.924540128701</v>
      </c>
      <c r="AN3100" s="2">
        <v>21226.8548354421</v>
      </c>
      <c r="AO3100" s="2">
        <v>20682.879030206299</v>
      </c>
      <c r="AP3100" s="2">
        <v>20351.972618129901</v>
      </c>
    </row>
    <row r="3101" spans="1:42" ht="14.5" x14ac:dyDescent="0.35">
      <c r="A3101" s="2" t="s">
        <v>20620</v>
      </c>
      <c r="B3101" s="2">
        <v>580.16493931367097</v>
      </c>
      <c r="C3101" s="2">
        <v>4.5776166666666702</v>
      </c>
      <c r="D3101" s="2" t="s">
        <v>70</v>
      </c>
      <c r="E3101" s="2" t="s">
        <v>20621</v>
      </c>
      <c r="F3101" s="2">
        <v>213150</v>
      </c>
      <c r="G3101" s="3" t="str">
        <f>HYPERLINK("http://funmeta.oebiotech.com/network/213150", "http://funmeta.oebiotech.com/network/213150")</f>
        <v>http://funmeta.oebiotech.com/network/213150</v>
      </c>
      <c r="H3101" s="2" t="s">
        <v>20622</v>
      </c>
      <c r="I3101" s="2"/>
      <c r="J3101" s="2"/>
      <c r="K3101" s="2">
        <v>71958</v>
      </c>
      <c r="L3101" s="2"/>
      <c r="M3101" s="2"/>
      <c r="N3101" s="2"/>
      <c r="O3101" s="2"/>
      <c r="P3101" s="2"/>
      <c r="Q3101" s="2" t="s">
        <v>20623</v>
      </c>
      <c r="R3101" s="2" t="s">
        <v>20624</v>
      </c>
      <c r="S3101" s="2" t="s">
        <v>148</v>
      </c>
      <c r="T3101" s="2" t="s">
        <v>149</v>
      </c>
      <c r="U3101" s="2" t="s">
        <v>4630</v>
      </c>
      <c r="V3101" s="2" t="s">
        <v>59</v>
      </c>
      <c r="W3101" s="2">
        <v>37.6</v>
      </c>
      <c r="X3101" s="2">
        <v>0</v>
      </c>
      <c r="Y3101" s="2" t="s">
        <v>751</v>
      </c>
      <c r="Z3101" s="2" t="s">
        <v>20625</v>
      </c>
      <c r="AA3101" s="2">
        <v>-1.79283488854586</v>
      </c>
      <c r="AB3101" s="2">
        <v>0.25361564586013802</v>
      </c>
      <c r="AC3101" s="2">
        <v>26748.253351327901</v>
      </c>
      <c r="AD3101" s="2">
        <v>32688.844669669201</v>
      </c>
      <c r="AE3101" s="2">
        <v>29204.840731912202</v>
      </c>
      <c r="AF3101" s="2">
        <v>32048.465798388799</v>
      </c>
      <c r="AG3101" s="2">
        <v>22520.5117410577</v>
      </c>
      <c r="AH3101" s="2">
        <v>24868.6730683225</v>
      </c>
      <c r="AI3101" s="2">
        <v>27097.227680568401</v>
      </c>
      <c r="AJ3101" s="2">
        <v>24749.8010877179</v>
      </c>
      <c r="AK3101" s="2">
        <v>35087.493530431399</v>
      </c>
      <c r="AL3101" s="2">
        <v>32066.797256957001</v>
      </c>
      <c r="AM3101" s="2">
        <v>34325.894815897198</v>
      </c>
      <c r="AN3101" s="2">
        <v>33799.8861407527</v>
      </c>
      <c r="AO3101" s="2">
        <v>26996.347441331</v>
      </c>
      <c r="AP3101" s="2">
        <v>33856.648832646097</v>
      </c>
    </row>
    <row r="3102" spans="1:42" ht="14.5" x14ac:dyDescent="0.35">
      <c r="A3102" s="2" t="s">
        <v>20626</v>
      </c>
      <c r="B3102" s="2">
        <v>425.162716125705</v>
      </c>
      <c r="C3102" s="2">
        <v>1.11073333333333</v>
      </c>
      <c r="D3102" s="2" t="s">
        <v>34</v>
      </c>
      <c r="E3102" s="2" t="s">
        <v>20627</v>
      </c>
      <c r="F3102" s="2">
        <v>204427</v>
      </c>
      <c r="G3102" s="3" t="str">
        <f>HYPERLINK("http://funmeta.oebiotech.com/network/204427", "http://funmeta.oebiotech.com/network/204427")</f>
        <v>http://funmeta.oebiotech.com/network/204427</v>
      </c>
      <c r="H3102" s="2" t="s">
        <v>20628</v>
      </c>
      <c r="I3102" s="2"/>
      <c r="J3102" s="2"/>
      <c r="K3102" s="2"/>
      <c r="L3102" s="2"/>
      <c r="M3102" s="2"/>
      <c r="N3102" s="2"/>
      <c r="O3102" s="2"/>
      <c r="P3102" s="2"/>
      <c r="Q3102" s="2" t="s">
        <v>20629</v>
      </c>
      <c r="R3102" s="2" t="s">
        <v>20630</v>
      </c>
      <c r="S3102" s="2" t="s">
        <v>41</v>
      </c>
      <c r="T3102" s="2" t="s">
        <v>41</v>
      </c>
      <c r="U3102" s="2" t="s">
        <v>41</v>
      </c>
      <c r="V3102" s="2" t="s">
        <v>59</v>
      </c>
      <c r="W3102" s="2">
        <v>36.799999999999997</v>
      </c>
      <c r="X3102" s="2">
        <v>0</v>
      </c>
      <c r="Y3102" s="2" t="s">
        <v>340</v>
      </c>
      <c r="Z3102" s="2" t="s">
        <v>20631</v>
      </c>
      <c r="AA3102" s="2">
        <v>2.0237924417333999</v>
      </c>
      <c r="AB3102" s="2">
        <v>0.25316793384331698</v>
      </c>
      <c r="AC3102" s="2">
        <v>8299.4216081763207</v>
      </c>
      <c r="AD3102" s="2">
        <v>12650.2155845404</v>
      </c>
      <c r="AE3102" s="2">
        <v>8281.2297954916594</v>
      </c>
      <c r="AF3102" s="2">
        <v>9070.6105476791708</v>
      </c>
      <c r="AG3102" s="2">
        <v>8015.1663251346299</v>
      </c>
      <c r="AH3102" s="2">
        <v>8069.5551332585101</v>
      </c>
      <c r="AI3102" s="2">
        <v>8797.9981954899504</v>
      </c>
      <c r="AJ3102" s="2">
        <v>7561.9696520039897</v>
      </c>
      <c r="AK3102" s="2">
        <v>12821.033042578199</v>
      </c>
      <c r="AL3102" s="2">
        <v>11423.2905972182</v>
      </c>
      <c r="AM3102" s="2">
        <v>12270.659358410299</v>
      </c>
      <c r="AN3102" s="2">
        <v>13608.734135331801</v>
      </c>
      <c r="AO3102" s="2">
        <v>12660.063019151799</v>
      </c>
      <c r="AP3102" s="2">
        <v>13117.5133545519</v>
      </c>
    </row>
    <row r="3103" spans="1:42" ht="14.5" x14ac:dyDescent="0.35">
      <c r="A3103" s="2" t="s">
        <v>20632</v>
      </c>
      <c r="B3103" s="2">
        <v>621.29675816322799</v>
      </c>
      <c r="C3103" s="2">
        <v>4.22216666666667</v>
      </c>
      <c r="D3103" s="2" t="s">
        <v>70</v>
      </c>
      <c r="E3103" s="2" t="s">
        <v>20633</v>
      </c>
      <c r="F3103" s="2">
        <v>54341</v>
      </c>
      <c r="G3103" s="3" t="str">
        <f>HYPERLINK("http://funmeta.oebiotech.com/network/54341", "http://funmeta.oebiotech.com/network/54341")</f>
        <v>http://funmeta.oebiotech.com/network/54341</v>
      </c>
      <c r="H3103" s="2" t="s">
        <v>20634</v>
      </c>
      <c r="I3103" s="2">
        <v>86230</v>
      </c>
      <c r="J3103" s="2"/>
      <c r="K3103" s="2"/>
      <c r="L3103" s="2"/>
      <c r="M3103" s="2"/>
      <c r="N3103" s="2"/>
      <c r="O3103" s="2">
        <v>408120</v>
      </c>
      <c r="P3103" s="2"/>
      <c r="Q3103" s="2" t="s">
        <v>20635</v>
      </c>
      <c r="R3103" s="2" t="s">
        <v>20636</v>
      </c>
      <c r="S3103" s="2" t="s">
        <v>39</v>
      </c>
      <c r="T3103" s="2" t="s">
        <v>3915</v>
      </c>
      <c r="U3103" s="2" t="s">
        <v>41</v>
      </c>
      <c r="V3103" s="2" t="s">
        <v>59</v>
      </c>
      <c r="W3103" s="2">
        <v>39.799999999999997</v>
      </c>
      <c r="X3103" s="2">
        <v>0</v>
      </c>
      <c r="Y3103" s="2" t="s">
        <v>560</v>
      </c>
      <c r="Z3103" s="2" t="s">
        <v>20637</v>
      </c>
      <c r="AA3103" s="2">
        <v>-0.405715784083299</v>
      </c>
      <c r="AB3103" s="2">
        <v>0.25300250148318898</v>
      </c>
      <c r="AC3103" s="2">
        <v>3335.9825743356801</v>
      </c>
      <c r="AD3103" s="2">
        <v>7980.5581303736299</v>
      </c>
      <c r="AE3103" s="2">
        <v>4032.1698115098998</v>
      </c>
      <c r="AF3103" s="2">
        <v>4418.2582215654202</v>
      </c>
      <c r="AG3103" s="2">
        <v>4645.2828063197603</v>
      </c>
      <c r="AH3103" s="2">
        <v>1578.51513403382</v>
      </c>
      <c r="AI3103" s="2">
        <v>2360.75012374278</v>
      </c>
      <c r="AJ3103" s="2">
        <v>2980.9193488423898</v>
      </c>
      <c r="AK3103" s="2">
        <v>8116.3751891062902</v>
      </c>
      <c r="AL3103" s="2">
        <v>9741.1114981880892</v>
      </c>
      <c r="AM3103" s="2">
        <v>6933.53882519734</v>
      </c>
      <c r="AN3103" s="2">
        <v>8629.5396362334395</v>
      </c>
      <c r="AO3103" s="2">
        <v>7056.0373234604904</v>
      </c>
      <c r="AP3103" s="2">
        <v>7406.7463100561199</v>
      </c>
    </row>
    <row r="3104" spans="1:42" ht="14.5" x14ac:dyDescent="0.35">
      <c r="A3104" s="2" t="s">
        <v>20638</v>
      </c>
      <c r="B3104" s="2">
        <v>391.22376835531799</v>
      </c>
      <c r="C3104" s="2">
        <v>4.6661999999999999</v>
      </c>
      <c r="D3104" s="2" t="s">
        <v>34</v>
      </c>
      <c r="E3104" s="2" t="s">
        <v>20639</v>
      </c>
      <c r="F3104" s="2">
        <v>18150</v>
      </c>
      <c r="G3104" s="3" t="str">
        <f>HYPERLINK("http://funmeta.oebiotech.com/network/18150", "http://funmeta.oebiotech.com/network/18150")</f>
        <v>http://funmeta.oebiotech.com/network/18150</v>
      </c>
      <c r="H3104" s="2" t="s">
        <v>20640</v>
      </c>
      <c r="I3104" s="2">
        <v>65568</v>
      </c>
      <c r="J3104" s="2" t="s">
        <v>20641</v>
      </c>
      <c r="K3104" s="2">
        <v>17868</v>
      </c>
      <c r="L3104" s="2" t="s">
        <v>20642</v>
      </c>
      <c r="M3104" s="2"/>
      <c r="N3104" s="2"/>
      <c r="O3104" s="2">
        <v>167650</v>
      </c>
      <c r="P3104" s="2" t="s">
        <v>20643</v>
      </c>
      <c r="Q3104" s="2" t="s">
        <v>20644</v>
      </c>
      <c r="R3104" s="2" t="s">
        <v>20645</v>
      </c>
      <c r="S3104" s="2" t="s">
        <v>79</v>
      </c>
      <c r="T3104" s="2" t="s">
        <v>80</v>
      </c>
      <c r="U3104" s="2" t="s">
        <v>2820</v>
      </c>
      <c r="V3104" s="2" t="s">
        <v>59</v>
      </c>
      <c r="W3104" s="2">
        <v>36.4</v>
      </c>
      <c r="X3104" s="2">
        <v>0</v>
      </c>
      <c r="Y3104" s="2" t="s">
        <v>4572</v>
      </c>
      <c r="Z3104" s="2" t="s">
        <v>20646</v>
      </c>
      <c r="AA3104" s="2">
        <v>-1.55194810958312</v>
      </c>
      <c r="AB3104" s="2">
        <v>0.25299784589478302</v>
      </c>
      <c r="AC3104" s="2">
        <v>43435.850574844</v>
      </c>
      <c r="AD3104" s="2">
        <v>50390.762706720903</v>
      </c>
      <c r="AE3104" s="2">
        <v>40565.3675005435</v>
      </c>
      <c r="AF3104" s="2">
        <v>41863.8094754302</v>
      </c>
      <c r="AG3104" s="2">
        <v>41694.154735561096</v>
      </c>
      <c r="AH3104" s="2">
        <v>49487.253616014001</v>
      </c>
      <c r="AI3104" s="2">
        <v>49584.689997477697</v>
      </c>
      <c r="AJ3104" s="2">
        <v>37419.8281240375</v>
      </c>
      <c r="AK3104" s="2">
        <v>48215.341457176401</v>
      </c>
      <c r="AL3104" s="2">
        <v>49669.4660226911</v>
      </c>
      <c r="AM3104" s="2">
        <v>56440.003001195902</v>
      </c>
      <c r="AN3104" s="2">
        <v>41490.509130477498</v>
      </c>
      <c r="AO3104" s="2">
        <v>53252.989132029099</v>
      </c>
      <c r="AP3104" s="2">
        <v>53276.267496755099</v>
      </c>
    </row>
    <row r="3105" spans="1:42" ht="14.5" x14ac:dyDescent="0.35">
      <c r="A3105" s="2" t="s">
        <v>20647</v>
      </c>
      <c r="B3105" s="2">
        <v>723.17460112927199</v>
      </c>
      <c r="C3105" s="2">
        <v>3.07236666666667</v>
      </c>
      <c r="D3105" s="2" t="s">
        <v>70</v>
      </c>
      <c r="E3105" s="2" t="s">
        <v>20648</v>
      </c>
      <c r="F3105" s="2">
        <v>30481</v>
      </c>
      <c r="G3105" s="3" t="str">
        <f>HYPERLINK("http://funmeta.oebiotech.com/network/30481", "http://funmeta.oebiotech.com/network/30481")</f>
        <v>http://funmeta.oebiotech.com/network/30481</v>
      </c>
      <c r="H3105" s="2"/>
      <c r="I3105" s="2"/>
      <c r="J3105" s="2" t="s">
        <v>20649</v>
      </c>
      <c r="K3105" s="2"/>
      <c r="L3105" s="2"/>
      <c r="M3105" s="2"/>
      <c r="N3105" s="2"/>
      <c r="O3105" s="2">
        <v>21721987</v>
      </c>
      <c r="P3105" s="2"/>
      <c r="Q3105" s="2" t="s">
        <v>20650</v>
      </c>
      <c r="R3105" s="2" t="s">
        <v>20651</v>
      </c>
      <c r="S3105" s="2" t="s">
        <v>115</v>
      </c>
      <c r="T3105" s="2" t="s">
        <v>139</v>
      </c>
      <c r="U3105" s="2" t="s">
        <v>140</v>
      </c>
      <c r="V3105" s="2" t="s">
        <v>42</v>
      </c>
      <c r="W3105" s="2">
        <v>55</v>
      </c>
      <c r="X3105" s="2">
        <v>90.3</v>
      </c>
      <c r="Y3105" s="2" t="s">
        <v>408</v>
      </c>
      <c r="Z3105" s="2" t="s">
        <v>20652</v>
      </c>
      <c r="AA3105" s="2">
        <v>-4.72052481231652</v>
      </c>
      <c r="AB3105" s="2">
        <v>0.25280077808130302</v>
      </c>
      <c r="AC3105" s="2">
        <v>47557.240798578903</v>
      </c>
      <c r="AD3105" s="2">
        <v>40640.262314631102</v>
      </c>
      <c r="AE3105" s="2">
        <v>46755.118106711401</v>
      </c>
      <c r="AF3105" s="2">
        <v>41285.773839010901</v>
      </c>
      <c r="AG3105" s="2">
        <v>51729.887972037701</v>
      </c>
      <c r="AH3105" s="2">
        <v>44695.998375174597</v>
      </c>
      <c r="AI3105" s="2">
        <v>49085.090596048598</v>
      </c>
      <c r="AJ3105" s="2">
        <v>51791.575902490098</v>
      </c>
      <c r="AK3105" s="2">
        <v>31551.573226129502</v>
      </c>
      <c r="AL3105" s="2">
        <v>37585.427578661103</v>
      </c>
      <c r="AM3105" s="2">
        <v>45333.951590005003</v>
      </c>
      <c r="AN3105" s="2">
        <v>46427.670001289698</v>
      </c>
      <c r="AO3105" s="2">
        <v>42420.614204531499</v>
      </c>
      <c r="AP3105" s="2">
        <v>40522.337287169597</v>
      </c>
    </row>
    <row r="3106" spans="1:42" ht="14.5" x14ac:dyDescent="0.35">
      <c r="A3106" s="2" t="s">
        <v>20653</v>
      </c>
      <c r="B3106" s="2">
        <v>359.06428427737399</v>
      </c>
      <c r="C3106" s="2">
        <v>4.3103166666666697</v>
      </c>
      <c r="D3106" s="2" t="s">
        <v>70</v>
      </c>
      <c r="E3106" s="2" t="s">
        <v>20654</v>
      </c>
      <c r="F3106" s="2">
        <v>302555</v>
      </c>
      <c r="G3106" s="3" t="str">
        <f>HYPERLINK("http://funmeta.oebiotech.com/network/302555", "http://funmeta.oebiotech.com/network/302555")</f>
        <v>http://funmeta.oebiotech.com/network/302555</v>
      </c>
      <c r="H3106" s="2"/>
      <c r="I3106" s="2">
        <v>328219</v>
      </c>
      <c r="J3106" s="2"/>
      <c r="K3106" s="2"/>
      <c r="L3106" s="2"/>
      <c r="M3106" s="2"/>
      <c r="N3106" s="2"/>
      <c r="O3106" s="2">
        <v>2735473</v>
      </c>
      <c r="P3106" s="2"/>
      <c r="Q3106" s="2" t="s">
        <v>20655</v>
      </c>
      <c r="R3106" s="2" t="s">
        <v>20656</v>
      </c>
      <c r="S3106" s="2" t="s">
        <v>148</v>
      </c>
      <c r="T3106" s="2" t="s">
        <v>149</v>
      </c>
      <c r="U3106" s="2" t="s">
        <v>1593</v>
      </c>
      <c r="V3106" s="2" t="s">
        <v>59</v>
      </c>
      <c r="W3106" s="2">
        <v>38.700000000000003</v>
      </c>
      <c r="X3106" s="2">
        <v>0</v>
      </c>
      <c r="Y3106" s="2" t="s">
        <v>560</v>
      </c>
      <c r="Z3106" s="2" t="s">
        <v>20657</v>
      </c>
      <c r="AA3106" s="2">
        <v>0.25810968893081898</v>
      </c>
      <c r="AB3106" s="2">
        <v>0.25242450939345501</v>
      </c>
      <c r="AC3106" s="2">
        <v>16641.818580512601</v>
      </c>
      <c r="AD3106" s="2">
        <v>21543.6800173995</v>
      </c>
      <c r="AE3106" s="2">
        <v>16052.7998190451</v>
      </c>
      <c r="AF3106" s="2">
        <v>15234.567135954099</v>
      </c>
      <c r="AG3106" s="2">
        <v>17666.547080129701</v>
      </c>
      <c r="AH3106" s="2">
        <v>17817.1134696195</v>
      </c>
      <c r="AI3106" s="2">
        <v>16383.228217887099</v>
      </c>
      <c r="AJ3106" s="2">
        <v>16696.655760440299</v>
      </c>
      <c r="AK3106" s="2">
        <v>19782.059556472999</v>
      </c>
      <c r="AL3106" s="2">
        <v>22060.7275185492</v>
      </c>
      <c r="AM3106" s="2">
        <v>25377.619954454702</v>
      </c>
      <c r="AN3106" s="2">
        <v>19747.0189634983</v>
      </c>
      <c r="AO3106" s="2">
        <v>21732.277711622999</v>
      </c>
      <c r="AP3106" s="2">
        <v>20562.376399798701</v>
      </c>
    </row>
    <row r="3107" spans="1:42" ht="14.5" x14ac:dyDescent="0.35">
      <c r="A3107" s="2" t="s">
        <v>20658</v>
      </c>
      <c r="B3107" s="2">
        <v>240.101548153935</v>
      </c>
      <c r="C3107" s="2">
        <v>8.4891833333333295</v>
      </c>
      <c r="D3107" s="2" t="s">
        <v>34</v>
      </c>
      <c r="E3107" s="2" t="s">
        <v>20659</v>
      </c>
      <c r="F3107" s="2">
        <v>30190</v>
      </c>
      <c r="G3107" s="3" t="str">
        <f>HYPERLINK("http://funmeta.oebiotech.com/network/30190", "http://funmeta.oebiotech.com/network/30190")</f>
        <v>http://funmeta.oebiotech.com/network/30190</v>
      </c>
      <c r="H3107" s="2" t="s">
        <v>20660</v>
      </c>
      <c r="I3107" s="2">
        <v>3359</v>
      </c>
      <c r="J3107" s="2" t="s">
        <v>20661</v>
      </c>
      <c r="K3107" s="2">
        <v>42491</v>
      </c>
      <c r="L3107" s="2" t="s">
        <v>20662</v>
      </c>
      <c r="M3107" s="2"/>
      <c r="N3107" s="2"/>
      <c r="O3107" s="2">
        <v>10680</v>
      </c>
      <c r="P3107" s="2" t="s">
        <v>20663</v>
      </c>
      <c r="Q3107" s="2" t="s">
        <v>20664</v>
      </c>
      <c r="R3107" s="2" t="s">
        <v>20665</v>
      </c>
      <c r="S3107" s="2" t="s">
        <v>115</v>
      </c>
      <c r="T3107" s="2" t="s">
        <v>139</v>
      </c>
      <c r="U3107" s="2" t="s">
        <v>1806</v>
      </c>
      <c r="V3107" s="2" t="s">
        <v>59</v>
      </c>
      <c r="W3107" s="2">
        <v>44.7</v>
      </c>
      <c r="X3107" s="2">
        <v>27.8</v>
      </c>
      <c r="Y3107" s="2" t="s">
        <v>43</v>
      </c>
      <c r="Z3107" s="2" t="s">
        <v>20666</v>
      </c>
      <c r="AA3107" s="2">
        <v>-1.60732639300874</v>
      </c>
      <c r="AB3107" s="2">
        <v>0.25234175693969702</v>
      </c>
      <c r="AC3107" s="2">
        <v>160846.290497754</v>
      </c>
      <c r="AD3107" s="2">
        <v>167274.54365229601</v>
      </c>
      <c r="AE3107" s="2">
        <v>160951.82863973899</v>
      </c>
      <c r="AF3107" s="2">
        <v>160545.577369206</v>
      </c>
      <c r="AG3107" s="2">
        <v>165348.50275918501</v>
      </c>
      <c r="AH3107" s="2">
        <v>158219.34275983</v>
      </c>
      <c r="AI3107" s="2">
        <v>153004.312033325</v>
      </c>
      <c r="AJ3107" s="2">
        <v>167008.17942523901</v>
      </c>
      <c r="AK3107" s="2">
        <v>169118.28566856601</v>
      </c>
      <c r="AL3107" s="2">
        <v>168677.84040601799</v>
      </c>
      <c r="AM3107" s="2">
        <v>162979.734488146</v>
      </c>
      <c r="AN3107" s="2">
        <v>168241.127603803</v>
      </c>
      <c r="AO3107" s="2">
        <v>165570.55840978699</v>
      </c>
      <c r="AP3107" s="2">
        <v>169059.71533745699</v>
      </c>
    </row>
    <row r="3108" spans="1:42" ht="14.5" x14ac:dyDescent="0.35">
      <c r="A3108" s="2" t="s">
        <v>20667</v>
      </c>
      <c r="B3108" s="2">
        <v>425.160440204216</v>
      </c>
      <c r="C3108" s="2">
        <v>6.0864833333333301</v>
      </c>
      <c r="D3108" s="2" t="s">
        <v>70</v>
      </c>
      <c r="E3108" s="2" t="s">
        <v>20668</v>
      </c>
      <c r="F3108" s="2">
        <v>61924</v>
      </c>
      <c r="G3108" s="3" t="str">
        <f>HYPERLINK("http://funmeta.oebiotech.com/network/61924", "http://funmeta.oebiotech.com/network/61924")</f>
        <v>http://funmeta.oebiotech.com/network/61924</v>
      </c>
      <c r="H3108" s="2" t="s">
        <v>20669</v>
      </c>
      <c r="I3108" s="2">
        <v>706262</v>
      </c>
      <c r="J3108" s="2"/>
      <c r="K3108" s="2"/>
      <c r="L3108" s="2"/>
      <c r="M3108" s="2"/>
      <c r="N3108" s="2"/>
      <c r="O3108" s="2">
        <v>13873657</v>
      </c>
      <c r="P3108" s="2" t="s">
        <v>20670</v>
      </c>
      <c r="Q3108" s="2" t="s">
        <v>20671</v>
      </c>
      <c r="R3108" s="2" t="s">
        <v>20672</v>
      </c>
      <c r="S3108" s="2" t="s">
        <v>491</v>
      </c>
      <c r="T3108" s="2" t="s">
        <v>2251</v>
      </c>
      <c r="U3108" s="2" t="s">
        <v>2252</v>
      </c>
      <c r="V3108" s="2" t="s">
        <v>59</v>
      </c>
      <c r="W3108" s="2">
        <v>36.1</v>
      </c>
      <c r="X3108" s="2">
        <v>0</v>
      </c>
      <c r="Y3108" s="2" t="s">
        <v>408</v>
      </c>
      <c r="Z3108" s="2" t="s">
        <v>20673</v>
      </c>
      <c r="AA3108" s="2">
        <v>-0.35914460176124202</v>
      </c>
      <c r="AB3108" s="2">
        <v>0.25225488406179197</v>
      </c>
      <c r="AC3108" s="2">
        <v>6573.89591774163</v>
      </c>
      <c r="AD3108" s="2">
        <v>2224.9890083949599</v>
      </c>
      <c r="AE3108" s="2">
        <v>6394.2827534272201</v>
      </c>
      <c r="AF3108" s="2">
        <v>6433.2987270640297</v>
      </c>
      <c r="AG3108" s="2">
        <v>6768.04260365961</v>
      </c>
      <c r="AH3108" s="2">
        <v>6005.8568100917701</v>
      </c>
      <c r="AI3108" s="2">
        <v>7572.8714129967602</v>
      </c>
      <c r="AJ3108" s="2">
        <v>6269.02319921036</v>
      </c>
      <c r="AK3108" s="2">
        <v>2217.9168790444601</v>
      </c>
      <c r="AL3108" s="2">
        <v>1067.0852937064601</v>
      </c>
      <c r="AM3108" s="2">
        <v>3018.11461894169</v>
      </c>
      <c r="AN3108" s="2">
        <v>1660.7514038582201</v>
      </c>
      <c r="AO3108" s="2">
        <v>2438.03139915376</v>
      </c>
      <c r="AP3108" s="2">
        <v>2948.0344556651899</v>
      </c>
    </row>
    <row r="3109" spans="1:42" ht="14.5" x14ac:dyDescent="0.35">
      <c r="A3109" s="2" t="s">
        <v>20674</v>
      </c>
      <c r="B3109" s="2">
        <v>925.47531274401103</v>
      </c>
      <c r="C3109" s="2">
        <v>10.5463666666667</v>
      </c>
      <c r="D3109" s="2" t="s">
        <v>34</v>
      </c>
      <c r="E3109" s="2" t="s">
        <v>20675</v>
      </c>
      <c r="F3109" s="2">
        <v>63940</v>
      </c>
      <c r="G3109" s="3" t="str">
        <f>HYPERLINK("http://funmeta.oebiotech.com/network/63940", "http://funmeta.oebiotech.com/network/63940")</f>
        <v>http://funmeta.oebiotech.com/network/63940</v>
      </c>
      <c r="H3109" s="2" t="s">
        <v>20676</v>
      </c>
      <c r="I3109" s="2">
        <v>95273</v>
      </c>
      <c r="J3109" s="2"/>
      <c r="K3109" s="2"/>
      <c r="L3109" s="2"/>
      <c r="M3109" s="2"/>
      <c r="N3109" s="2"/>
      <c r="O3109" s="2">
        <v>131752946</v>
      </c>
      <c r="P3109" s="2" t="s">
        <v>20677</v>
      </c>
      <c r="Q3109" s="2" t="s">
        <v>20678</v>
      </c>
      <c r="R3109" s="2" t="s">
        <v>20679</v>
      </c>
      <c r="S3109" s="2" t="s">
        <v>50</v>
      </c>
      <c r="T3109" s="2" t="s">
        <v>201</v>
      </c>
      <c r="U3109" s="2" t="s">
        <v>210</v>
      </c>
      <c r="V3109" s="2" t="s">
        <v>59</v>
      </c>
      <c r="W3109" s="2">
        <v>44</v>
      </c>
      <c r="X3109" s="2">
        <v>40.799999999999997</v>
      </c>
      <c r="Y3109" s="2" t="s">
        <v>141</v>
      </c>
      <c r="Z3109" s="2" t="s">
        <v>20680</v>
      </c>
      <c r="AA3109" s="2">
        <v>-4.0628352173046496</v>
      </c>
      <c r="AB3109" s="2">
        <v>0.25196144254168701</v>
      </c>
      <c r="AC3109" s="2">
        <v>235036.934149087</v>
      </c>
      <c r="AD3109" s="2">
        <v>226522.142621192</v>
      </c>
      <c r="AE3109" s="2">
        <v>233153.87423976199</v>
      </c>
      <c r="AF3109" s="2">
        <v>245292.55851085801</v>
      </c>
      <c r="AG3109" s="2">
        <v>235122.26146101</v>
      </c>
      <c r="AH3109" s="2">
        <v>217794.97829289301</v>
      </c>
      <c r="AI3109" s="2">
        <v>231074.45485256799</v>
      </c>
      <c r="AJ3109" s="2">
        <v>247783.47753743001</v>
      </c>
      <c r="AK3109" s="2">
        <v>221999.549074546</v>
      </c>
      <c r="AL3109" s="2">
        <v>226441.07917584199</v>
      </c>
      <c r="AM3109" s="2">
        <v>225482.13008573899</v>
      </c>
      <c r="AN3109" s="2">
        <v>228868.80215118101</v>
      </c>
      <c r="AO3109" s="2">
        <v>234772.36329972799</v>
      </c>
      <c r="AP3109" s="2">
        <v>221568.93194011899</v>
      </c>
    </row>
    <row r="3110" spans="1:42" ht="14.5" x14ac:dyDescent="0.35">
      <c r="A3110" s="2" t="s">
        <v>20681</v>
      </c>
      <c r="B3110" s="2">
        <v>226.134010058667</v>
      </c>
      <c r="C3110" s="2">
        <v>3.84351666666667</v>
      </c>
      <c r="D3110" s="2" t="s">
        <v>34</v>
      </c>
      <c r="E3110" s="2" t="s">
        <v>20682</v>
      </c>
      <c r="F3110" s="2">
        <v>209765</v>
      </c>
      <c r="G3110" s="3" t="str">
        <f>HYPERLINK("http://funmeta.oebiotech.com/network/209765", "http://funmeta.oebiotech.com/network/209765")</f>
        <v>http://funmeta.oebiotech.com/network/209765</v>
      </c>
      <c r="H3110" s="2" t="s">
        <v>20683</v>
      </c>
      <c r="I3110" s="2">
        <v>72917</v>
      </c>
      <c r="J3110" s="2"/>
      <c r="K3110" s="2"/>
      <c r="L3110" s="2" t="s">
        <v>20684</v>
      </c>
      <c r="M3110" s="2"/>
      <c r="N3110" s="2"/>
      <c r="O3110" s="2">
        <v>7340</v>
      </c>
      <c r="P3110" s="2" t="s">
        <v>20685</v>
      </c>
      <c r="Q3110" s="2" t="s">
        <v>20686</v>
      </c>
      <c r="R3110" s="2" t="s">
        <v>20687</v>
      </c>
      <c r="S3110" s="2" t="s">
        <v>491</v>
      </c>
      <c r="T3110" s="2" t="s">
        <v>13250</v>
      </c>
      <c r="U3110" s="2" t="s">
        <v>41</v>
      </c>
      <c r="V3110" s="2" t="s">
        <v>59</v>
      </c>
      <c r="W3110" s="2">
        <v>39.4</v>
      </c>
      <c r="X3110" s="2">
        <v>6.27</v>
      </c>
      <c r="Y3110" s="2" t="s">
        <v>394</v>
      </c>
      <c r="Z3110" s="2" t="s">
        <v>20688</v>
      </c>
      <c r="AA3110" s="2">
        <v>0.60468740218661399</v>
      </c>
      <c r="AB3110" s="2">
        <v>0.25191028471258398</v>
      </c>
      <c r="AC3110" s="2">
        <v>75388.1834802714</v>
      </c>
      <c r="AD3110" s="2">
        <v>81083.764640034598</v>
      </c>
      <c r="AE3110" s="2">
        <v>71253.335434569395</v>
      </c>
      <c r="AF3110" s="2">
        <v>76559.471005253203</v>
      </c>
      <c r="AG3110" s="2">
        <v>74020.642713619003</v>
      </c>
      <c r="AH3110" s="2">
        <v>76445.136836296297</v>
      </c>
      <c r="AI3110" s="2">
        <v>78323.036539967201</v>
      </c>
      <c r="AJ3110" s="2">
        <v>75727.478351923404</v>
      </c>
      <c r="AK3110" s="2">
        <v>74825.461111438402</v>
      </c>
      <c r="AL3110" s="2">
        <v>81147.854540833898</v>
      </c>
      <c r="AM3110" s="2">
        <v>82671.331244546207</v>
      </c>
      <c r="AN3110" s="2">
        <v>83824.987403581996</v>
      </c>
      <c r="AO3110" s="2">
        <v>80001.805494547996</v>
      </c>
      <c r="AP3110" s="2">
        <v>84031.148045259295</v>
      </c>
    </row>
    <row r="3111" spans="1:42" ht="14.5" x14ac:dyDescent="0.35">
      <c r="A3111" s="2" t="s">
        <v>20689</v>
      </c>
      <c r="B3111" s="2">
        <v>497.164784042674</v>
      </c>
      <c r="C3111" s="2">
        <v>5.3939333333333304</v>
      </c>
      <c r="D3111" s="2" t="s">
        <v>70</v>
      </c>
      <c r="E3111" s="2" t="s">
        <v>20690</v>
      </c>
      <c r="F3111" s="2">
        <v>60417</v>
      </c>
      <c r="G3111" s="3" t="str">
        <f>HYPERLINK("http://funmeta.oebiotech.com/network/60417", "http://funmeta.oebiotech.com/network/60417")</f>
        <v>http://funmeta.oebiotech.com/network/60417</v>
      </c>
      <c r="H3111" s="2" t="s">
        <v>20691</v>
      </c>
      <c r="I3111" s="2">
        <v>91769</v>
      </c>
      <c r="J3111" s="2"/>
      <c r="K3111" s="2"/>
      <c r="L3111" s="2"/>
      <c r="M3111" s="2"/>
      <c r="N3111" s="2"/>
      <c r="O3111" s="2">
        <v>85173339</v>
      </c>
      <c r="P3111" s="2" t="s">
        <v>20692</v>
      </c>
      <c r="Q3111" s="2" t="s">
        <v>20693</v>
      </c>
      <c r="R3111" s="2" t="s">
        <v>20694</v>
      </c>
      <c r="S3111" s="2" t="s">
        <v>50</v>
      </c>
      <c r="T3111" s="2" t="s">
        <v>106</v>
      </c>
      <c r="U3111" s="2" t="s">
        <v>41</v>
      </c>
      <c r="V3111" s="2" t="s">
        <v>59</v>
      </c>
      <c r="W3111" s="2">
        <v>37.5</v>
      </c>
      <c r="X3111" s="2">
        <v>0</v>
      </c>
      <c r="Y3111" s="2" t="s">
        <v>118</v>
      </c>
      <c r="Z3111" s="2" t="s">
        <v>12748</v>
      </c>
      <c r="AA3111" s="2">
        <v>-3.3440586245617601</v>
      </c>
      <c r="AB3111" s="2">
        <v>0.251602782690725</v>
      </c>
      <c r="AC3111" s="2">
        <v>8288.9198663734296</v>
      </c>
      <c r="AD3111" s="2">
        <v>4035.91596200204</v>
      </c>
      <c r="AE3111" s="2">
        <v>8220.0165050461092</v>
      </c>
      <c r="AF3111" s="2">
        <v>8717.8921494779606</v>
      </c>
      <c r="AG3111" s="2">
        <v>7961.6976975708003</v>
      </c>
      <c r="AH3111" s="2">
        <v>8497.6799331858092</v>
      </c>
      <c r="AI3111" s="2">
        <v>7655.0914145447596</v>
      </c>
      <c r="AJ3111" s="2">
        <v>8681.1414984151506</v>
      </c>
      <c r="AK3111" s="2">
        <v>3480.8776767990198</v>
      </c>
      <c r="AL3111" s="2">
        <v>3390.0240900753802</v>
      </c>
      <c r="AM3111" s="2">
        <v>4008.2175705847999</v>
      </c>
      <c r="AN3111" s="2">
        <v>5013.5470353293304</v>
      </c>
      <c r="AO3111" s="2">
        <v>4150.6974487486304</v>
      </c>
      <c r="AP3111" s="2">
        <v>4172.13195047507</v>
      </c>
    </row>
    <row r="3112" spans="1:42" ht="14.5" x14ac:dyDescent="0.35">
      <c r="A3112" s="2" t="s">
        <v>20695</v>
      </c>
      <c r="B3112" s="2">
        <v>390.35738621609102</v>
      </c>
      <c r="C3112" s="2">
        <v>9.5614333333333299</v>
      </c>
      <c r="D3112" s="2" t="s">
        <v>34</v>
      </c>
      <c r="E3112" s="2" t="s">
        <v>20696</v>
      </c>
      <c r="F3112" s="2">
        <v>10471</v>
      </c>
      <c r="G3112" s="3" t="str">
        <f>HYPERLINK("http://funmeta.oebiotech.com/network/10471", "http://funmeta.oebiotech.com/network/10471")</f>
        <v>http://funmeta.oebiotech.com/network/10471</v>
      </c>
      <c r="H3112" s="2"/>
      <c r="I3112" s="2"/>
      <c r="J3112" s="2" t="s">
        <v>20697</v>
      </c>
      <c r="K3112" s="2"/>
      <c r="L3112" s="2"/>
      <c r="M3112" s="2"/>
      <c r="N3112" s="2"/>
      <c r="O3112" s="2">
        <v>137323844</v>
      </c>
      <c r="P3112" s="2"/>
      <c r="Q3112" s="2" t="s">
        <v>20698</v>
      </c>
      <c r="R3112" s="2" t="s">
        <v>20699</v>
      </c>
      <c r="S3112" s="2" t="s">
        <v>50</v>
      </c>
      <c r="T3112" s="2" t="s">
        <v>448</v>
      </c>
      <c r="U3112" s="2" t="s">
        <v>7051</v>
      </c>
      <c r="V3112" s="2" t="s">
        <v>42</v>
      </c>
      <c r="W3112" s="2">
        <v>48.4</v>
      </c>
      <c r="X3112" s="2">
        <v>48.7</v>
      </c>
      <c r="Y3112" s="2" t="s">
        <v>43</v>
      </c>
      <c r="Z3112" s="2" t="s">
        <v>11716</v>
      </c>
      <c r="AA3112" s="2">
        <v>-1.0721932303181001</v>
      </c>
      <c r="AB3112" s="2">
        <v>0.25149119515272</v>
      </c>
      <c r="AC3112" s="2">
        <v>12931.970528674099</v>
      </c>
      <c r="AD3112" s="2">
        <v>21317.8522569903</v>
      </c>
      <c r="AE3112" s="2">
        <v>13809.5746262499</v>
      </c>
      <c r="AF3112" s="2">
        <v>7553.7870834346204</v>
      </c>
      <c r="AG3112" s="2">
        <v>14190.773628491001</v>
      </c>
      <c r="AH3112" s="2">
        <v>5077.7270098848603</v>
      </c>
      <c r="AI3112" s="2">
        <v>14620.2144069224</v>
      </c>
      <c r="AJ3112" s="2">
        <v>22339.746417061699</v>
      </c>
      <c r="AK3112" s="2">
        <v>19657.156940766301</v>
      </c>
      <c r="AL3112" s="2">
        <v>40074.241728800203</v>
      </c>
      <c r="AM3112" s="2">
        <v>15899.2514387472</v>
      </c>
      <c r="AN3112" s="2">
        <v>19729.0176284806</v>
      </c>
      <c r="AO3112" s="2">
        <v>13787.5397411426</v>
      </c>
      <c r="AP3112" s="2">
        <v>18759.906064004699</v>
      </c>
    </row>
    <row r="3113" spans="1:42" ht="14.5" x14ac:dyDescent="0.35">
      <c r="A3113" s="2" t="s">
        <v>20700</v>
      </c>
      <c r="B3113" s="2">
        <v>621.327009465483</v>
      </c>
      <c r="C3113" s="2">
        <v>9.3710500000000003</v>
      </c>
      <c r="D3113" s="2" t="s">
        <v>34</v>
      </c>
      <c r="E3113" s="2" t="s">
        <v>20701</v>
      </c>
      <c r="F3113" s="2">
        <v>204213</v>
      </c>
      <c r="G3113" s="3" t="str">
        <f>HYPERLINK("http://funmeta.oebiotech.com/network/204213", "http://funmeta.oebiotech.com/network/204213")</f>
        <v>http://funmeta.oebiotech.com/network/204213</v>
      </c>
      <c r="H3113" s="2" t="s">
        <v>20702</v>
      </c>
      <c r="I3113" s="2"/>
      <c r="J3113" s="2"/>
      <c r="K3113" s="2"/>
      <c r="L3113" s="2"/>
      <c r="M3113" s="2"/>
      <c r="N3113" s="2"/>
      <c r="O3113" s="2">
        <v>406509</v>
      </c>
      <c r="P3113" s="2"/>
      <c r="Q3113" s="2" t="s">
        <v>20703</v>
      </c>
      <c r="R3113" s="2" t="s">
        <v>20704</v>
      </c>
      <c r="S3113" s="2" t="s">
        <v>89</v>
      </c>
      <c r="T3113" s="2" t="s">
        <v>90</v>
      </c>
      <c r="U3113" s="2" t="s">
        <v>99</v>
      </c>
      <c r="V3113" s="2" t="s">
        <v>59</v>
      </c>
      <c r="W3113" s="2">
        <v>37.4</v>
      </c>
      <c r="X3113" s="2">
        <v>0</v>
      </c>
      <c r="Y3113" s="2" t="s">
        <v>43</v>
      </c>
      <c r="Z3113" s="2" t="s">
        <v>20705</v>
      </c>
      <c r="AA3113" s="2">
        <v>-2.09968897507648</v>
      </c>
      <c r="AB3113" s="2">
        <v>0.25141762546562701</v>
      </c>
      <c r="AC3113" s="2">
        <v>19682.259862644201</v>
      </c>
      <c r="AD3113" s="2">
        <v>15275.789248582199</v>
      </c>
      <c r="AE3113" s="2">
        <v>18709.577581444399</v>
      </c>
      <c r="AF3113" s="2">
        <v>18929.897107903402</v>
      </c>
      <c r="AG3113" s="2">
        <v>20050.233169641</v>
      </c>
      <c r="AH3113" s="2">
        <v>20203.840496393801</v>
      </c>
      <c r="AI3113" s="2">
        <v>19257.355291421201</v>
      </c>
      <c r="AJ3113" s="2">
        <v>20942.655529061201</v>
      </c>
      <c r="AK3113" s="2">
        <v>15538.5030175463</v>
      </c>
      <c r="AL3113" s="2">
        <v>16449.176783693099</v>
      </c>
      <c r="AM3113" s="2">
        <v>13998.037563211999</v>
      </c>
      <c r="AN3113" s="2">
        <v>15333.171572204301</v>
      </c>
      <c r="AO3113" s="2">
        <v>14445.022735140201</v>
      </c>
      <c r="AP3113" s="2">
        <v>15890.8238196974</v>
      </c>
    </row>
    <row r="3114" spans="1:42" ht="14.5" x14ac:dyDescent="0.35">
      <c r="A3114" s="2" t="s">
        <v>20706</v>
      </c>
      <c r="B3114" s="2">
        <v>211.11144464286301</v>
      </c>
      <c r="C3114" s="2">
        <v>6.7814333333333296</v>
      </c>
      <c r="D3114" s="2" t="s">
        <v>34</v>
      </c>
      <c r="E3114" s="2" t="s">
        <v>20707</v>
      </c>
      <c r="F3114" s="2">
        <v>204754</v>
      </c>
      <c r="G3114" s="3" t="str">
        <f>HYPERLINK("http://funmeta.oebiotech.com/network/204754", "http://funmeta.oebiotech.com/network/204754")</f>
        <v>http://funmeta.oebiotech.com/network/204754</v>
      </c>
      <c r="H3114" s="2" t="s">
        <v>20708</v>
      </c>
      <c r="I3114" s="2"/>
      <c r="J3114" s="2"/>
      <c r="K3114" s="2"/>
      <c r="L3114" s="2"/>
      <c r="M3114" s="2"/>
      <c r="N3114" s="2"/>
      <c r="O3114" s="2">
        <v>9964600</v>
      </c>
      <c r="P3114" s="2"/>
      <c r="Q3114" s="2" t="s">
        <v>20709</v>
      </c>
      <c r="R3114" s="2" t="s">
        <v>20710</v>
      </c>
      <c r="S3114" s="2" t="s">
        <v>50</v>
      </c>
      <c r="T3114" s="2" t="s">
        <v>201</v>
      </c>
      <c r="U3114" s="2" t="s">
        <v>636</v>
      </c>
      <c r="V3114" s="2" t="s">
        <v>59</v>
      </c>
      <c r="W3114" s="2">
        <v>45.9</v>
      </c>
      <c r="X3114" s="2">
        <v>44.2</v>
      </c>
      <c r="Y3114" s="2" t="s">
        <v>141</v>
      </c>
      <c r="Z3114" s="2" t="s">
        <v>20711</v>
      </c>
      <c r="AA3114" s="2">
        <v>-1.3013582550678799</v>
      </c>
      <c r="AB3114" s="2">
        <v>0.25123472234694999</v>
      </c>
      <c r="AC3114" s="2">
        <v>17100.936323703201</v>
      </c>
      <c r="AD3114" s="2">
        <v>12302.096605315999</v>
      </c>
      <c r="AE3114" s="2">
        <v>16838.553843311402</v>
      </c>
      <c r="AF3114" s="2">
        <v>14796.3578164966</v>
      </c>
      <c r="AG3114" s="2">
        <v>17787.2771686858</v>
      </c>
      <c r="AH3114" s="2">
        <v>15842.9468808697</v>
      </c>
      <c r="AI3114" s="2">
        <v>17989.269086722401</v>
      </c>
      <c r="AJ3114" s="2">
        <v>19351.213146133399</v>
      </c>
      <c r="AK3114" s="2">
        <v>12867.8158749835</v>
      </c>
      <c r="AL3114" s="2">
        <v>13338.3759821601</v>
      </c>
      <c r="AM3114" s="2">
        <v>11786.922046977999</v>
      </c>
      <c r="AN3114" s="2">
        <v>14199.111067138399</v>
      </c>
      <c r="AO3114" s="2">
        <v>10808.020630103099</v>
      </c>
      <c r="AP3114" s="2">
        <v>10812.3340305328</v>
      </c>
    </row>
    <row r="3115" spans="1:42" ht="14.5" x14ac:dyDescent="0.35">
      <c r="A3115" s="2" t="s">
        <v>20712</v>
      </c>
      <c r="B3115" s="2">
        <v>423.27494907274399</v>
      </c>
      <c r="C3115" s="2">
        <v>11.60595</v>
      </c>
      <c r="D3115" s="2" t="s">
        <v>70</v>
      </c>
      <c r="E3115" s="2" t="s">
        <v>20713</v>
      </c>
      <c r="F3115" s="2">
        <v>60117</v>
      </c>
      <c r="G3115" s="3" t="str">
        <f>HYPERLINK("http://funmeta.oebiotech.com/network/60117", "http://funmeta.oebiotech.com/network/60117")</f>
        <v>http://funmeta.oebiotech.com/network/60117</v>
      </c>
      <c r="H3115" s="2" t="s">
        <v>20714</v>
      </c>
      <c r="I3115" s="2">
        <v>91500</v>
      </c>
      <c r="J3115" s="2"/>
      <c r="K3115" s="2"/>
      <c r="L3115" s="2"/>
      <c r="M3115" s="2"/>
      <c r="N3115" s="2"/>
      <c r="O3115" s="2">
        <v>5317599</v>
      </c>
      <c r="P3115" s="2" t="s">
        <v>20715</v>
      </c>
      <c r="Q3115" s="2" t="s">
        <v>20716</v>
      </c>
      <c r="R3115" s="2" t="s">
        <v>20717</v>
      </c>
      <c r="S3115" s="2" t="s">
        <v>148</v>
      </c>
      <c r="T3115" s="2" t="s">
        <v>392</v>
      </c>
      <c r="U3115" s="2" t="s">
        <v>3450</v>
      </c>
      <c r="V3115" s="2" t="s">
        <v>59</v>
      </c>
      <c r="W3115" s="2">
        <v>41.1</v>
      </c>
      <c r="X3115" s="2">
        <v>10.8</v>
      </c>
      <c r="Y3115" s="2" t="s">
        <v>408</v>
      </c>
      <c r="Z3115" s="2" t="s">
        <v>18202</v>
      </c>
      <c r="AA3115" s="2">
        <v>-0.69656402369280401</v>
      </c>
      <c r="AB3115" s="2">
        <v>0.251231772133724</v>
      </c>
      <c r="AC3115" s="2">
        <v>4351.4477700260904</v>
      </c>
      <c r="AD3115" s="2">
        <v>131.010279535297</v>
      </c>
      <c r="AE3115" s="2">
        <v>4885.6027530820402</v>
      </c>
      <c r="AF3115" s="2">
        <v>3981.7979030944598</v>
      </c>
      <c r="AG3115" s="2">
        <v>4618.5197884168001</v>
      </c>
      <c r="AH3115" s="2">
        <v>3475.9021553714201</v>
      </c>
      <c r="AI3115" s="2">
        <v>4975.7935851553502</v>
      </c>
      <c r="AJ3115" s="2">
        <v>4171.0704350365004</v>
      </c>
      <c r="AK3115" s="2">
        <v>2.7106294003980101E-5</v>
      </c>
      <c r="AL3115" s="2">
        <v>160.621501916477</v>
      </c>
      <c r="AM3115" s="2">
        <v>2.7106294003980101E-5</v>
      </c>
      <c r="AN3115" s="2">
        <v>487.70928746140902</v>
      </c>
      <c r="AO3115" s="2">
        <v>2.7106294003980101E-5</v>
      </c>
      <c r="AP3115" s="2">
        <v>137.73080651501201</v>
      </c>
    </row>
    <row r="3116" spans="1:42" ht="14.5" x14ac:dyDescent="0.35">
      <c r="A3116" s="2" t="s">
        <v>20718</v>
      </c>
      <c r="B3116" s="2">
        <v>433.25630304560798</v>
      </c>
      <c r="C3116" s="2">
        <v>10.1704166666667</v>
      </c>
      <c r="D3116" s="2" t="s">
        <v>34</v>
      </c>
      <c r="E3116" s="2" t="s">
        <v>20719</v>
      </c>
      <c r="F3116" s="2">
        <v>209206</v>
      </c>
      <c r="G3116" s="3" t="str">
        <f>HYPERLINK("http://funmeta.oebiotech.com/network/209206", "http://funmeta.oebiotech.com/network/209206")</f>
        <v>http://funmeta.oebiotech.com/network/209206</v>
      </c>
      <c r="H3116" s="2" t="s">
        <v>20720</v>
      </c>
      <c r="I3116" s="2"/>
      <c r="J3116" s="2"/>
      <c r="K3116" s="2"/>
      <c r="L3116" s="2"/>
      <c r="M3116" s="2"/>
      <c r="N3116" s="2"/>
      <c r="O3116" s="2">
        <v>21121697</v>
      </c>
      <c r="P3116" s="2"/>
      <c r="Q3116" s="2" t="s">
        <v>20721</v>
      </c>
      <c r="R3116" s="2" t="s">
        <v>20722</v>
      </c>
      <c r="S3116" s="2" t="s">
        <v>41</v>
      </c>
      <c r="T3116" s="2" t="s">
        <v>41</v>
      </c>
      <c r="U3116" s="2" t="s">
        <v>41</v>
      </c>
      <c r="V3116" s="2" t="s">
        <v>59</v>
      </c>
      <c r="W3116" s="2">
        <v>38.299999999999997</v>
      </c>
      <c r="X3116" s="2">
        <v>0</v>
      </c>
      <c r="Y3116" s="2" t="s">
        <v>394</v>
      </c>
      <c r="Z3116" s="2" t="s">
        <v>20723</v>
      </c>
      <c r="AA3116" s="2">
        <v>1.21013797371585</v>
      </c>
      <c r="AB3116" s="2">
        <v>0.25108456185723599</v>
      </c>
      <c r="AC3116" s="2">
        <v>6047.8274726948102</v>
      </c>
      <c r="AD3116" s="2">
        <v>1855.03838494095</v>
      </c>
      <c r="AE3116" s="2">
        <v>6562.8532272480097</v>
      </c>
      <c r="AF3116" s="2">
        <v>5461.0867062501702</v>
      </c>
      <c r="AG3116" s="2">
        <v>5633.5317007673502</v>
      </c>
      <c r="AH3116" s="2">
        <v>6087.0412980341498</v>
      </c>
      <c r="AI3116" s="2">
        <v>6072.1941947233499</v>
      </c>
      <c r="AJ3116" s="2">
        <v>6470.2577091458397</v>
      </c>
      <c r="AK3116" s="2">
        <v>1844.82169487745</v>
      </c>
      <c r="AL3116" s="2">
        <v>1640.6033318866901</v>
      </c>
      <c r="AM3116" s="2">
        <v>1752.8192539532699</v>
      </c>
      <c r="AN3116" s="2">
        <v>1524.8369820442699</v>
      </c>
      <c r="AO3116" s="2">
        <v>2019.8596089759501</v>
      </c>
      <c r="AP3116" s="2">
        <v>2347.2894379080899</v>
      </c>
    </row>
    <row r="3117" spans="1:42" ht="14.5" x14ac:dyDescent="0.35">
      <c r="A3117" s="2" t="s">
        <v>20724</v>
      </c>
      <c r="B3117" s="2">
        <v>595.14537226032905</v>
      </c>
      <c r="C3117" s="2">
        <v>4.2405333333333299</v>
      </c>
      <c r="D3117" s="2" t="s">
        <v>70</v>
      </c>
      <c r="E3117" s="2" t="s">
        <v>20725</v>
      </c>
      <c r="F3117" s="2">
        <v>208531</v>
      </c>
      <c r="G3117" s="3" t="str">
        <f>HYPERLINK("http://funmeta.oebiotech.com/network/208531", "http://funmeta.oebiotech.com/network/208531")</f>
        <v>http://funmeta.oebiotech.com/network/208531</v>
      </c>
      <c r="H3117" s="2" t="s">
        <v>20726</v>
      </c>
      <c r="I3117" s="2">
        <v>70126</v>
      </c>
      <c r="J3117" s="2"/>
      <c r="K3117" s="2"/>
      <c r="L3117" s="2" t="s">
        <v>20727</v>
      </c>
      <c r="M3117" s="2"/>
      <c r="N3117" s="2"/>
      <c r="O3117" s="2">
        <v>91716</v>
      </c>
      <c r="P3117" s="2" t="s">
        <v>20728</v>
      </c>
      <c r="Q3117" s="2" t="s">
        <v>20729</v>
      </c>
      <c r="R3117" s="2" t="s">
        <v>20730</v>
      </c>
      <c r="S3117" s="2" t="s">
        <v>491</v>
      </c>
      <c r="T3117" s="2" t="s">
        <v>20731</v>
      </c>
      <c r="U3117" s="2" t="s">
        <v>41</v>
      </c>
      <c r="V3117" s="2" t="s">
        <v>59</v>
      </c>
      <c r="W3117" s="2">
        <v>37.700000000000003</v>
      </c>
      <c r="X3117" s="2">
        <v>0</v>
      </c>
      <c r="Y3117" s="2" t="s">
        <v>560</v>
      </c>
      <c r="Z3117" s="2" t="s">
        <v>20732</v>
      </c>
      <c r="AA3117" s="2">
        <v>-4.2752341701238299</v>
      </c>
      <c r="AB3117" s="2">
        <v>0.25096559268657398</v>
      </c>
      <c r="AC3117" s="2">
        <v>1485.39031460038</v>
      </c>
      <c r="AD3117" s="2">
        <v>6330.4641331131297</v>
      </c>
      <c r="AE3117" s="2">
        <v>2308.92059463244</v>
      </c>
      <c r="AF3117" s="2">
        <v>632.78305041200497</v>
      </c>
      <c r="AG3117" s="2">
        <v>1397.7812075691299</v>
      </c>
      <c r="AH3117" s="2">
        <v>1678.83064022184</v>
      </c>
      <c r="AI3117" s="2">
        <v>2.7106294003980101E-5</v>
      </c>
      <c r="AJ3117" s="2">
        <v>2894.02636766055</v>
      </c>
      <c r="AK3117" s="2">
        <v>3034.3080166852301</v>
      </c>
      <c r="AL3117" s="2">
        <v>8342.5369827464892</v>
      </c>
      <c r="AM3117" s="2">
        <v>7980.4628023960004</v>
      </c>
      <c r="AN3117" s="2">
        <v>6676.7030027629198</v>
      </c>
      <c r="AO3117" s="2">
        <v>4960.9795100963102</v>
      </c>
      <c r="AP3117" s="2">
        <v>6987.79448399185</v>
      </c>
    </row>
    <row r="3118" spans="1:42" ht="14.5" x14ac:dyDescent="0.35">
      <c r="A3118" s="2" t="s">
        <v>20733</v>
      </c>
      <c r="B3118" s="2">
        <v>647.11676751361597</v>
      </c>
      <c r="C3118" s="2">
        <v>10.476283333333299</v>
      </c>
      <c r="D3118" s="2" t="s">
        <v>70</v>
      </c>
      <c r="E3118" s="2" t="s">
        <v>20734</v>
      </c>
      <c r="F3118" s="2">
        <v>55374</v>
      </c>
      <c r="G3118" s="3" t="str">
        <f>HYPERLINK("http://funmeta.oebiotech.com/network/55374", "http://funmeta.oebiotech.com/network/55374")</f>
        <v>http://funmeta.oebiotech.com/network/55374</v>
      </c>
      <c r="H3118" s="2" t="s">
        <v>20735</v>
      </c>
      <c r="I3118" s="2"/>
      <c r="J3118" s="2"/>
      <c r="K3118" s="2">
        <v>18227</v>
      </c>
      <c r="L3118" s="2" t="s">
        <v>20736</v>
      </c>
      <c r="M3118" s="2" t="s">
        <v>20737</v>
      </c>
      <c r="N3118" s="2" t="s">
        <v>20738</v>
      </c>
      <c r="O3118" s="2">
        <v>5284457</v>
      </c>
      <c r="P3118" s="2" t="s">
        <v>20739</v>
      </c>
      <c r="Q3118" s="2" t="s">
        <v>20740</v>
      </c>
      <c r="R3118" s="2" t="s">
        <v>20741</v>
      </c>
      <c r="S3118" s="2" t="s">
        <v>115</v>
      </c>
      <c r="T3118" s="2" t="s">
        <v>20742</v>
      </c>
      <c r="U3118" s="2" t="s">
        <v>41</v>
      </c>
      <c r="V3118" s="2" t="s">
        <v>59</v>
      </c>
      <c r="W3118" s="2">
        <v>39</v>
      </c>
      <c r="X3118" s="2">
        <v>15.2</v>
      </c>
      <c r="Y3118" s="2" t="s">
        <v>560</v>
      </c>
      <c r="Z3118" s="2" t="s">
        <v>20743</v>
      </c>
      <c r="AA3118" s="2">
        <v>-4.2156239860898399</v>
      </c>
      <c r="AB3118" s="2">
        <v>0.25085434307961202</v>
      </c>
      <c r="AC3118" s="2">
        <v>368195.90744957502</v>
      </c>
      <c r="AD3118" s="2">
        <v>350182.83388404298</v>
      </c>
      <c r="AE3118" s="2">
        <v>346257.376711733</v>
      </c>
      <c r="AF3118" s="2">
        <v>290763.59882039699</v>
      </c>
      <c r="AG3118" s="2">
        <v>359902.72442168702</v>
      </c>
      <c r="AH3118" s="2">
        <v>399288.939896269</v>
      </c>
      <c r="AI3118" s="2">
        <v>430902.69686180598</v>
      </c>
      <c r="AJ3118" s="2">
        <v>382060.10798555601</v>
      </c>
      <c r="AK3118" s="2">
        <v>344125.824145436</v>
      </c>
      <c r="AL3118" s="2">
        <v>341562.38400660601</v>
      </c>
      <c r="AM3118" s="2">
        <v>313090.98507779202</v>
      </c>
      <c r="AN3118" s="2">
        <v>336845.71334186802</v>
      </c>
      <c r="AO3118" s="2">
        <v>374959.85919074499</v>
      </c>
      <c r="AP3118" s="2">
        <v>390512.23754181102</v>
      </c>
    </row>
    <row r="3119" spans="1:42" ht="14.5" x14ac:dyDescent="0.35">
      <c r="A3119" s="2" t="s">
        <v>20744</v>
      </c>
      <c r="B3119" s="2">
        <v>587.466501631916</v>
      </c>
      <c r="C3119" s="2">
        <v>14.7756833333333</v>
      </c>
      <c r="D3119" s="2" t="s">
        <v>34</v>
      </c>
      <c r="E3119" s="2" t="s">
        <v>20745</v>
      </c>
      <c r="F3119" s="2">
        <v>248120</v>
      </c>
      <c r="G3119" s="3" t="str">
        <f>HYPERLINK("http://funmeta.oebiotech.com/network/248120", "http://funmeta.oebiotech.com/network/248120")</f>
        <v>http://funmeta.oebiotech.com/network/248120</v>
      </c>
      <c r="H3119" s="2" t="s">
        <v>20746</v>
      </c>
      <c r="I3119" s="2"/>
      <c r="J3119" s="2"/>
      <c r="K3119" s="2"/>
      <c r="L3119" s="2"/>
      <c r="M3119" s="2"/>
      <c r="N3119" s="2"/>
      <c r="O3119" s="2"/>
      <c r="P3119" s="2"/>
      <c r="Q3119" s="2" t="s">
        <v>20747</v>
      </c>
      <c r="R3119" s="2" t="s">
        <v>20748</v>
      </c>
      <c r="S3119" s="2" t="s">
        <v>41</v>
      </c>
      <c r="T3119" s="2" t="s">
        <v>41</v>
      </c>
      <c r="U3119" s="2" t="s">
        <v>41</v>
      </c>
      <c r="V3119" s="2" t="s">
        <v>59</v>
      </c>
      <c r="W3119" s="2">
        <v>38.4</v>
      </c>
      <c r="X3119" s="2">
        <v>0</v>
      </c>
      <c r="Y3119" s="2" t="s">
        <v>141</v>
      </c>
      <c r="Z3119" s="2" t="s">
        <v>20749</v>
      </c>
      <c r="AA3119" s="2">
        <v>-0.82698510081421905</v>
      </c>
      <c r="AB3119" s="2">
        <v>0.25072781333174499</v>
      </c>
      <c r="AC3119" s="2">
        <v>6262.8684878681897</v>
      </c>
      <c r="AD3119" s="2">
        <v>10894.048552808499</v>
      </c>
      <c r="AE3119" s="2">
        <v>5679.0228935110399</v>
      </c>
      <c r="AF3119" s="2">
        <v>5697.9688197044998</v>
      </c>
      <c r="AG3119" s="2">
        <v>5864.7131972351799</v>
      </c>
      <c r="AH3119" s="2">
        <v>7344.8932289221702</v>
      </c>
      <c r="AI3119" s="2">
        <v>5866.1924822215797</v>
      </c>
      <c r="AJ3119" s="2">
        <v>7124.4203056146398</v>
      </c>
      <c r="AK3119" s="2">
        <v>11097.388692500699</v>
      </c>
      <c r="AL3119" s="2">
        <v>8482.9445206472192</v>
      </c>
      <c r="AM3119" s="2">
        <v>9658.2291777029004</v>
      </c>
      <c r="AN3119" s="2">
        <v>10769.1721935449</v>
      </c>
      <c r="AO3119" s="2">
        <v>12258.871690649299</v>
      </c>
      <c r="AP3119" s="2">
        <v>13097.6850418057</v>
      </c>
    </row>
    <row r="3120" spans="1:42" ht="14.5" x14ac:dyDescent="0.35">
      <c r="A3120" s="2" t="s">
        <v>20750</v>
      </c>
      <c r="B3120" s="2">
        <v>779.41805617089801</v>
      </c>
      <c r="C3120" s="2">
        <v>9.48586666666667</v>
      </c>
      <c r="D3120" s="2" t="s">
        <v>34</v>
      </c>
      <c r="E3120" s="2" t="s">
        <v>20751</v>
      </c>
      <c r="F3120" s="2">
        <v>43</v>
      </c>
      <c r="G3120" s="3" t="str">
        <f>HYPERLINK("http://funmeta.oebiotech.com/network/43", "http://funmeta.oebiotech.com/network/43")</f>
        <v>http://funmeta.oebiotech.com/network/43</v>
      </c>
      <c r="H3120" s="2"/>
      <c r="I3120" s="2"/>
      <c r="J3120" s="2" t="s">
        <v>20752</v>
      </c>
      <c r="K3120" s="2"/>
      <c r="L3120" s="2"/>
      <c r="M3120" s="2"/>
      <c r="N3120" s="2"/>
      <c r="O3120" s="2">
        <v>102203992</v>
      </c>
      <c r="P3120" s="2"/>
      <c r="Q3120" s="2" t="s">
        <v>20753</v>
      </c>
      <c r="R3120" s="2" t="s">
        <v>20754</v>
      </c>
      <c r="S3120" s="2" t="s">
        <v>89</v>
      </c>
      <c r="T3120" s="2" t="s">
        <v>90</v>
      </c>
      <c r="U3120" s="2" t="s">
        <v>91</v>
      </c>
      <c r="V3120" s="2" t="s">
        <v>59</v>
      </c>
      <c r="W3120" s="2">
        <v>38.1</v>
      </c>
      <c r="X3120" s="2">
        <v>0</v>
      </c>
      <c r="Y3120" s="2" t="s">
        <v>340</v>
      </c>
      <c r="Z3120" s="2" t="s">
        <v>20755</v>
      </c>
      <c r="AA3120" s="2">
        <v>-1.24704706857568</v>
      </c>
      <c r="AB3120" s="2">
        <v>0.250380422979114</v>
      </c>
      <c r="AC3120" s="2">
        <v>75040.542299658002</v>
      </c>
      <c r="AD3120" s="2">
        <v>81615.583825179594</v>
      </c>
      <c r="AE3120" s="2">
        <v>70806.805871553195</v>
      </c>
      <c r="AF3120" s="2">
        <v>70774.419810010804</v>
      </c>
      <c r="AG3120" s="2">
        <v>76403.243335686901</v>
      </c>
      <c r="AH3120" s="2">
        <v>73142.232741751897</v>
      </c>
      <c r="AI3120" s="2">
        <v>75410.176591281401</v>
      </c>
      <c r="AJ3120" s="2">
        <v>83706.375447663697</v>
      </c>
      <c r="AK3120" s="2">
        <v>81972.700469603296</v>
      </c>
      <c r="AL3120" s="2">
        <v>88720.900594878607</v>
      </c>
      <c r="AM3120" s="2">
        <v>76411.817243074096</v>
      </c>
      <c r="AN3120" s="2">
        <v>81606.811516902497</v>
      </c>
      <c r="AO3120" s="2">
        <v>79461.396378674894</v>
      </c>
      <c r="AP3120" s="2">
        <v>81519.876747943897</v>
      </c>
    </row>
    <row r="3121" spans="1:42" ht="14.5" x14ac:dyDescent="0.35">
      <c r="A3121" s="2" t="s">
        <v>20756</v>
      </c>
      <c r="B3121" s="2">
        <v>241.032531366623</v>
      </c>
      <c r="C3121" s="2">
        <v>1.5611666666666699</v>
      </c>
      <c r="D3121" s="2" t="s">
        <v>70</v>
      </c>
      <c r="E3121" s="2" t="s">
        <v>20757</v>
      </c>
      <c r="F3121" s="2">
        <v>202684</v>
      </c>
      <c r="G3121" s="3" t="str">
        <f>HYPERLINK("http://funmeta.oebiotech.com/network/202684", "http://funmeta.oebiotech.com/network/202684")</f>
        <v>http://funmeta.oebiotech.com/network/202684</v>
      </c>
      <c r="H3121" s="2" t="s">
        <v>20758</v>
      </c>
      <c r="I3121" s="2"/>
      <c r="J3121" s="2"/>
      <c r="K3121" s="2"/>
      <c r="L3121" s="2"/>
      <c r="M3121" s="2"/>
      <c r="N3121" s="2"/>
      <c r="O3121" s="2">
        <v>4112249</v>
      </c>
      <c r="P3121" s="2"/>
      <c r="Q3121" s="2" t="s">
        <v>20759</v>
      </c>
      <c r="R3121" s="2" t="s">
        <v>20760</v>
      </c>
      <c r="S3121" s="2" t="s">
        <v>41</v>
      </c>
      <c r="T3121" s="2" t="s">
        <v>41</v>
      </c>
      <c r="U3121" s="2" t="s">
        <v>41</v>
      </c>
      <c r="V3121" s="2" t="s">
        <v>59</v>
      </c>
      <c r="W3121" s="2">
        <v>43.9</v>
      </c>
      <c r="X3121" s="2">
        <v>21.2</v>
      </c>
      <c r="Y3121" s="2" t="s">
        <v>408</v>
      </c>
      <c r="Z3121" s="2" t="s">
        <v>20761</v>
      </c>
      <c r="AA3121" s="2">
        <v>-0.81372996470631898</v>
      </c>
      <c r="AB3121" s="2">
        <v>0.250312467267367</v>
      </c>
      <c r="AC3121" s="2">
        <v>21424.003268162101</v>
      </c>
      <c r="AD3121" s="2">
        <v>26022.579745394101</v>
      </c>
      <c r="AE3121" s="2">
        <v>21104.973577966801</v>
      </c>
      <c r="AF3121" s="2">
        <v>21335.909545722701</v>
      </c>
      <c r="AG3121" s="2">
        <v>22001.517273987101</v>
      </c>
      <c r="AH3121" s="2">
        <v>20411.4395009076</v>
      </c>
      <c r="AI3121" s="2">
        <v>21905.244069366101</v>
      </c>
      <c r="AJ3121" s="2">
        <v>21784.935641022101</v>
      </c>
      <c r="AK3121" s="2">
        <v>23974.8794473497</v>
      </c>
      <c r="AL3121" s="2">
        <v>27959.838308655799</v>
      </c>
      <c r="AM3121" s="2">
        <v>24421.5253797066</v>
      </c>
      <c r="AN3121" s="2">
        <v>26000.984179032799</v>
      </c>
      <c r="AO3121" s="2">
        <v>27889.419864335501</v>
      </c>
      <c r="AP3121" s="2">
        <v>25888.831293284198</v>
      </c>
    </row>
    <row r="3122" spans="1:42" ht="14.5" x14ac:dyDescent="0.35">
      <c r="A3122" s="2" t="s">
        <v>20762</v>
      </c>
      <c r="B3122" s="2">
        <v>291.12246788062902</v>
      </c>
      <c r="C3122" s="2">
        <v>4.4450666666666701</v>
      </c>
      <c r="D3122" s="2" t="s">
        <v>34</v>
      </c>
      <c r="E3122" s="2" t="s">
        <v>20763</v>
      </c>
      <c r="F3122" s="2">
        <v>61267</v>
      </c>
      <c r="G3122" s="3" t="str">
        <f>HYPERLINK("http://funmeta.oebiotech.com/network/61267", "http://funmeta.oebiotech.com/network/61267")</f>
        <v>http://funmeta.oebiotech.com/network/61267</v>
      </c>
      <c r="H3122" s="2" t="s">
        <v>20764</v>
      </c>
      <c r="I3122" s="2">
        <v>92587</v>
      </c>
      <c r="J3122" s="2"/>
      <c r="K3122" s="2"/>
      <c r="L3122" s="2"/>
      <c r="M3122" s="2"/>
      <c r="N3122" s="2"/>
      <c r="O3122" s="2">
        <v>131752229</v>
      </c>
      <c r="P3122" s="2" t="s">
        <v>20765</v>
      </c>
      <c r="Q3122" s="2" t="s">
        <v>20766</v>
      </c>
      <c r="R3122" s="2" t="s">
        <v>20767</v>
      </c>
      <c r="S3122" s="2" t="s">
        <v>491</v>
      </c>
      <c r="T3122" s="2" t="s">
        <v>20768</v>
      </c>
      <c r="U3122" s="2" t="s">
        <v>41</v>
      </c>
      <c r="V3122" s="2" t="s">
        <v>59</v>
      </c>
      <c r="W3122" s="2">
        <v>38.700000000000003</v>
      </c>
      <c r="X3122" s="2">
        <v>0</v>
      </c>
      <c r="Y3122" s="2" t="s">
        <v>266</v>
      </c>
      <c r="Z3122" s="2" t="s">
        <v>20769</v>
      </c>
      <c r="AA3122" s="2">
        <v>-0.753679141980929</v>
      </c>
      <c r="AB3122" s="2">
        <v>0.25031237206261597</v>
      </c>
      <c r="AC3122" s="2">
        <v>70939.975738347595</v>
      </c>
      <c r="AD3122" s="2">
        <v>78013.267410075205</v>
      </c>
      <c r="AE3122" s="2">
        <v>69604.796562550095</v>
      </c>
      <c r="AF3122" s="2">
        <v>81933.397881975499</v>
      </c>
      <c r="AG3122" s="2">
        <v>68333.054069438906</v>
      </c>
      <c r="AH3122" s="2">
        <v>66779.979636783595</v>
      </c>
      <c r="AI3122" s="2">
        <v>71835.391218967299</v>
      </c>
      <c r="AJ3122" s="2">
        <v>67153.235060370396</v>
      </c>
      <c r="AK3122" s="2">
        <v>79715.941872482595</v>
      </c>
      <c r="AL3122" s="2">
        <v>80414.810345203106</v>
      </c>
      <c r="AM3122" s="2">
        <v>72804.212210821701</v>
      </c>
      <c r="AN3122" s="2">
        <v>85342.591634810495</v>
      </c>
      <c r="AO3122" s="2">
        <v>71648.059481595104</v>
      </c>
      <c r="AP3122" s="2">
        <v>78153.988915538401</v>
      </c>
    </row>
    <row r="3123" spans="1:42" ht="14.5" x14ac:dyDescent="0.35">
      <c r="A3123" s="2" t="s">
        <v>20770</v>
      </c>
      <c r="B3123" s="2">
        <v>503.179845110114</v>
      </c>
      <c r="C3123" s="2">
        <v>4.0516166666666704</v>
      </c>
      <c r="D3123" s="2" t="s">
        <v>34</v>
      </c>
      <c r="E3123" s="2" t="s">
        <v>20771</v>
      </c>
      <c r="F3123" s="2">
        <v>62776</v>
      </c>
      <c r="G3123" s="3" t="str">
        <f>HYPERLINK("http://funmeta.oebiotech.com/network/62776", "http://funmeta.oebiotech.com/network/62776")</f>
        <v>http://funmeta.oebiotech.com/network/62776</v>
      </c>
      <c r="H3123" s="2" t="s">
        <v>20772</v>
      </c>
      <c r="I3123" s="2">
        <v>94070</v>
      </c>
      <c r="J3123" s="2"/>
      <c r="K3123" s="2">
        <v>171793</v>
      </c>
      <c r="L3123" s="2"/>
      <c r="M3123" s="2"/>
      <c r="N3123" s="2"/>
      <c r="O3123" s="2">
        <v>131752663</v>
      </c>
      <c r="P3123" s="2" t="s">
        <v>20773</v>
      </c>
      <c r="Q3123" s="2" t="s">
        <v>20774</v>
      </c>
      <c r="R3123" s="2" t="s">
        <v>20775</v>
      </c>
      <c r="S3123" s="2" t="s">
        <v>89</v>
      </c>
      <c r="T3123" s="2" t="s">
        <v>90</v>
      </c>
      <c r="U3123" s="2" t="s">
        <v>99</v>
      </c>
      <c r="V3123" s="2" t="s">
        <v>59</v>
      </c>
      <c r="W3123" s="2">
        <v>37.4</v>
      </c>
      <c r="X3123" s="2">
        <v>0</v>
      </c>
      <c r="Y3123" s="2" t="s">
        <v>340</v>
      </c>
      <c r="Z3123" s="2" t="s">
        <v>20776</v>
      </c>
      <c r="AA3123" s="2">
        <v>1.76865517446795</v>
      </c>
      <c r="AB3123" s="2">
        <v>0.25027462864035799</v>
      </c>
      <c r="AC3123" s="2">
        <v>13286.665048425601</v>
      </c>
      <c r="AD3123" s="2">
        <v>8202.2332447037697</v>
      </c>
      <c r="AE3123" s="2">
        <v>12245.3940470368</v>
      </c>
      <c r="AF3123" s="2">
        <v>9971.8484858164302</v>
      </c>
      <c r="AG3123" s="2">
        <v>15247.5131311492</v>
      </c>
      <c r="AH3123" s="2">
        <v>12236.8498901688</v>
      </c>
      <c r="AI3123" s="2">
        <v>14551.176216448201</v>
      </c>
      <c r="AJ3123" s="2">
        <v>15467.2085199339</v>
      </c>
      <c r="AK3123" s="2">
        <v>8166.7889442121104</v>
      </c>
      <c r="AL3123" s="2">
        <v>7891.2679144390504</v>
      </c>
      <c r="AM3123" s="2">
        <v>8701.96169429373</v>
      </c>
      <c r="AN3123" s="2">
        <v>7324.0493211409002</v>
      </c>
      <c r="AO3123" s="2">
        <v>11317.795089146101</v>
      </c>
      <c r="AP3123" s="2">
        <v>5811.5365049907095</v>
      </c>
    </row>
    <row r="3124" spans="1:42" ht="14.5" x14ac:dyDescent="0.35">
      <c r="A3124" s="2" t="s">
        <v>20777</v>
      </c>
      <c r="B3124" s="2">
        <v>614.33308318997103</v>
      </c>
      <c r="C3124" s="2">
        <v>5.65513333333333</v>
      </c>
      <c r="D3124" s="2" t="s">
        <v>34</v>
      </c>
      <c r="E3124" s="2" t="s">
        <v>20778</v>
      </c>
      <c r="F3124" s="2">
        <v>273727</v>
      </c>
      <c r="G3124" s="3" t="str">
        <f>HYPERLINK("http://funmeta.oebiotech.com/network/273727", "http://funmeta.oebiotech.com/network/273727")</f>
        <v>http://funmeta.oebiotech.com/network/273727</v>
      </c>
      <c r="H3124" s="2"/>
      <c r="I3124" s="2">
        <v>63013</v>
      </c>
      <c r="J3124" s="2"/>
      <c r="K3124" s="2"/>
      <c r="L3124" s="2"/>
      <c r="M3124" s="2"/>
      <c r="N3124" s="2"/>
      <c r="O3124" s="2">
        <v>6379314</v>
      </c>
      <c r="P3124" s="2" t="s">
        <v>20779</v>
      </c>
      <c r="Q3124" s="2" t="s">
        <v>20780</v>
      </c>
      <c r="R3124" s="2" t="s">
        <v>20781</v>
      </c>
      <c r="S3124" s="2" t="s">
        <v>50</v>
      </c>
      <c r="T3124" s="2" t="s">
        <v>693</v>
      </c>
      <c r="U3124" s="2" t="s">
        <v>16309</v>
      </c>
      <c r="V3124" s="2" t="s">
        <v>59</v>
      </c>
      <c r="W3124" s="2">
        <v>38.700000000000003</v>
      </c>
      <c r="X3124" s="2">
        <v>0</v>
      </c>
      <c r="Y3124" s="2" t="s">
        <v>340</v>
      </c>
      <c r="Z3124" s="2" t="s">
        <v>20782</v>
      </c>
      <c r="AA3124" s="2">
        <v>2.8517337957553401</v>
      </c>
      <c r="AB3124" s="2">
        <v>0.25003174382920901</v>
      </c>
      <c r="AC3124" s="2">
        <v>54969.896130392903</v>
      </c>
      <c r="AD3124" s="2">
        <v>47727.829828174297</v>
      </c>
      <c r="AE3124" s="2">
        <v>56177.521864825299</v>
      </c>
      <c r="AF3124" s="2">
        <v>48402.133783790799</v>
      </c>
      <c r="AG3124" s="2">
        <v>60012.071745372399</v>
      </c>
      <c r="AH3124" s="2">
        <v>49666.459635184598</v>
      </c>
      <c r="AI3124" s="2">
        <v>53850.841218131303</v>
      </c>
      <c r="AJ3124" s="2">
        <v>61710.348535052697</v>
      </c>
      <c r="AK3124" s="2">
        <v>42710.210228889096</v>
      </c>
      <c r="AL3124" s="2">
        <v>42512.920942962301</v>
      </c>
      <c r="AM3124" s="2">
        <v>56636.768031146697</v>
      </c>
      <c r="AN3124" s="2">
        <v>53383.655057530901</v>
      </c>
      <c r="AO3124" s="2">
        <v>43657.423819197</v>
      </c>
      <c r="AP3124" s="2">
        <v>47466.000889319599</v>
      </c>
    </row>
    <row r="3125" spans="1:42" ht="14.5" x14ac:dyDescent="0.35">
      <c r="A3125" s="2" t="s">
        <v>20783</v>
      </c>
      <c r="B3125" s="2">
        <v>233.20095403274601</v>
      </c>
      <c r="C3125" s="2">
        <v>6.0772000000000004</v>
      </c>
      <c r="D3125" s="2" t="s">
        <v>34</v>
      </c>
      <c r="E3125" s="2" t="s">
        <v>20784</v>
      </c>
      <c r="F3125" s="2">
        <v>53559</v>
      </c>
      <c r="G3125" s="3" t="str">
        <f>HYPERLINK("http://funmeta.oebiotech.com/network/53559", "http://funmeta.oebiotech.com/network/53559")</f>
        <v>http://funmeta.oebiotech.com/network/53559</v>
      </c>
      <c r="H3125" s="2" t="s">
        <v>20785</v>
      </c>
      <c r="I3125" s="2">
        <v>85519</v>
      </c>
      <c r="J3125" s="2"/>
      <c r="K3125" s="2">
        <v>101009</v>
      </c>
      <c r="L3125" s="2"/>
      <c r="M3125" s="2"/>
      <c r="N3125" s="2"/>
      <c r="O3125" s="2">
        <v>14584</v>
      </c>
      <c r="P3125" s="2" t="s">
        <v>20786</v>
      </c>
      <c r="Q3125" s="2" t="s">
        <v>20787</v>
      </c>
      <c r="R3125" s="2" t="s">
        <v>20788</v>
      </c>
      <c r="S3125" s="2" t="s">
        <v>50</v>
      </c>
      <c r="T3125" s="2" t="s">
        <v>201</v>
      </c>
      <c r="U3125" s="2" t="s">
        <v>265</v>
      </c>
      <c r="V3125" s="2" t="s">
        <v>42</v>
      </c>
      <c r="W3125" s="2">
        <v>46.4</v>
      </c>
      <c r="X3125" s="2">
        <v>54.7</v>
      </c>
      <c r="Y3125" s="2" t="s">
        <v>43</v>
      </c>
      <c r="Z3125" s="2" t="s">
        <v>20789</v>
      </c>
      <c r="AA3125" s="2">
        <v>-1.26030023445446</v>
      </c>
      <c r="AB3125" s="2">
        <v>0.24981391295241101</v>
      </c>
      <c r="AC3125" s="2">
        <v>18193.449132590798</v>
      </c>
      <c r="AD3125" s="2">
        <v>12783.508969537501</v>
      </c>
      <c r="AE3125" s="2">
        <v>15301.754999307799</v>
      </c>
      <c r="AF3125" s="2">
        <v>15118.4178898515</v>
      </c>
      <c r="AG3125" s="2">
        <v>17665.107902219399</v>
      </c>
      <c r="AH3125" s="2">
        <v>21538.5042687239</v>
      </c>
      <c r="AI3125" s="2">
        <v>19935.6377809101</v>
      </c>
      <c r="AJ3125" s="2">
        <v>19601.2719545322</v>
      </c>
      <c r="AK3125" s="2">
        <v>10520.6269379323</v>
      </c>
      <c r="AL3125" s="2">
        <v>10969.579844832901</v>
      </c>
      <c r="AM3125" s="2">
        <v>11847.4782547299</v>
      </c>
      <c r="AN3125" s="2">
        <v>12504.4136377096</v>
      </c>
      <c r="AO3125" s="2">
        <v>13838.1819983327</v>
      </c>
      <c r="AP3125" s="2">
        <v>17020.7731436877</v>
      </c>
    </row>
    <row r="3126" spans="1:42" ht="14.5" x14ac:dyDescent="0.35">
      <c r="A3126" s="2" t="s">
        <v>20790</v>
      </c>
      <c r="B3126" s="2">
        <v>474.30064944511099</v>
      </c>
      <c r="C3126" s="2">
        <v>8.7125000000000004</v>
      </c>
      <c r="D3126" s="2" t="s">
        <v>70</v>
      </c>
      <c r="E3126" s="2" t="s">
        <v>20791</v>
      </c>
      <c r="F3126" s="2">
        <v>21180</v>
      </c>
      <c r="G3126" s="3" t="str">
        <f>HYPERLINK("http://funmeta.oebiotech.com/network/21180", "http://funmeta.oebiotech.com/network/21180")</f>
        <v>http://funmeta.oebiotech.com/network/21180</v>
      </c>
      <c r="H3126" s="2"/>
      <c r="I3126" s="2">
        <v>77685</v>
      </c>
      <c r="J3126" s="2" t="s">
        <v>20792</v>
      </c>
      <c r="K3126" s="2">
        <v>138539</v>
      </c>
      <c r="L3126" s="2"/>
      <c r="M3126" s="2"/>
      <c r="N3126" s="2"/>
      <c r="O3126" s="2">
        <v>52925138</v>
      </c>
      <c r="P3126" s="2"/>
      <c r="Q3126" s="2" t="s">
        <v>20793</v>
      </c>
      <c r="R3126" s="2" t="s">
        <v>20794</v>
      </c>
      <c r="S3126" s="2" t="s">
        <v>50</v>
      </c>
      <c r="T3126" s="2" t="s">
        <v>51</v>
      </c>
      <c r="U3126" s="2" t="s">
        <v>257</v>
      </c>
      <c r="V3126" s="2" t="s">
        <v>59</v>
      </c>
      <c r="W3126" s="2">
        <v>38.700000000000003</v>
      </c>
      <c r="X3126" s="2">
        <v>0</v>
      </c>
      <c r="Y3126" s="2" t="s">
        <v>751</v>
      </c>
      <c r="Z3126" s="2" t="s">
        <v>20795</v>
      </c>
      <c r="AA3126" s="2">
        <v>3.34684304060062</v>
      </c>
      <c r="AB3126" s="2">
        <v>0.24974121874172001</v>
      </c>
      <c r="AC3126" s="2">
        <v>85300.703985107699</v>
      </c>
      <c r="AD3126" s="2">
        <v>91364.982822853897</v>
      </c>
      <c r="AE3126" s="2">
        <v>85838.328236112502</v>
      </c>
      <c r="AF3126" s="2">
        <v>88801.466856324594</v>
      </c>
      <c r="AG3126" s="2">
        <v>85618.667896047104</v>
      </c>
      <c r="AH3126" s="2">
        <v>80944.151124197</v>
      </c>
      <c r="AI3126" s="2">
        <v>89390.601448876099</v>
      </c>
      <c r="AJ3126" s="2">
        <v>81211.008349089199</v>
      </c>
      <c r="AK3126" s="2">
        <v>90362.851659746797</v>
      </c>
      <c r="AL3126" s="2">
        <v>91324.310096651694</v>
      </c>
      <c r="AM3126" s="2">
        <v>96092.295248495095</v>
      </c>
      <c r="AN3126" s="2">
        <v>85418.532168093094</v>
      </c>
      <c r="AO3126" s="2">
        <v>94427.995152286501</v>
      </c>
      <c r="AP3126" s="2">
        <v>90563.912611850494</v>
      </c>
    </row>
    <row r="3127" spans="1:42" ht="14.5" x14ac:dyDescent="0.35">
      <c r="A3127" s="2" t="s">
        <v>20796</v>
      </c>
      <c r="B3127" s="2">
        <v>395.24034445437502</v>
      </c>
      <c r="C3127" s="2">
        <v>4.2432666666666696</v>
      </c>
      <c r="D3127" s="2" t="s">
        <v>34</v>
      </c>
      <c r="E3127" s="2" t="s">
        <v>20797</v>
      </c>
      <c r="F3127" s="2">
        <v>28263</v>
      </c>
      <c r="G3127" s="3" t="str">
        <f>HYPERLINK("http://funmeta.oebiotech.com/network/28263", "http://funmeta.oebiotech.com/network/28263")</f>
        <v>http://funmeta.oebiotech.com/network/28263</v>
      </c>
      <c r="H3127" s="2"/>
      <c r="I3127" s="2">
        <v>40994</v>
      </c>
      <c r="J3127" s="2" t="s">
        <v>20798</v>
      </c>
      <c r="K3127" s="2">
        <v>29504</v>
      </c>
      <c r="L3127" s="2" t="s">
        <v>20799</v>
      </c>
      <c r="M3127" s="2" t="s">
        <v>2604</v>
      </c>
      <c r="N3127" s="2" t="s">
        <v>2605</v>
      </c>
      <c r="O3127" s="2">
        <v>193898</v>
      </c>
      <c r="P3127" s="2"/>
      <c r="Q3127" s="2" t="s">
        <v>20800</v>
      </c>
      <c r="R3127" s="2" t="s">
        <v>20801</v>
      </c>
      <c r="S3127" s="2" t="s">
        <v>115</v>
      </c>
      <c r="T3127" s="2" t="s">
        <v>1384</v>
      </c>
      <c r="U3127" s="2" t="s">
        <v>41</v>
      </c>
      <c r="V3127" s="2" t="s">
        <v>59</v>
      </c>
      <c r="W3127" s="2">
        <v>43.1</v>
      </c>
      <c r="X3127" s="2">
        <v>19.2</v>
      </c>
      <c r="Y3127" s="2" t="s">
        <v>323</v>
      </c>
      <c r="Z3127" s="2" t="s">
        <v>20802</v>
      </c>
      <c r="AA3127" s="2">
        <v>-0.174875211078239</v>
      </c>
      <c r="AB3127" s="2">
        <v>0.24973789605338501</v>
      </c>
      <c r="AC3127" s="2">
        <v>54423.129156373499</v>
      </c>
      <c r="AD3127" s="2">
        <v>59462.890921447099</v>
      </c>
      <c r="AE3127" s="2">
        <v>54044.565275139801</v>
      </c>
      <c r="AF3127" s="2">
        <v>51335.978720268002</v>
      </c>
      <c r="AG3127" s="2">
        <v>55974.251176980601</v>
      </c>
      <c r="AH3127" s="2">
        <v>54628.216931739902</v>
      </c>
      <c r="AI3127" s="2">
        <v>55796.2459526073</v>
      </c>
      <c r="AJ3127" s="2">
        <v>54759.5168815055</v>
      </c>
      <c r="AK3127" s="2">
        <v>56606.709259129697</v>
      </c>
      <c r="AL3127" s="2">
        <v>61687.009088054598</v>
      </c>
      <c r="AM3127" s="2">
        <v>58294.154419765902</v>
      </c>
      <c r="AN3127" s="2">
        <v>57724.340137518499</v>
      </c>
      <c r="AO3127" s="2">
        <v>62212.514983837696</v>
      </c>
      <c r="AP3127" s="2">
        <v>60252.617640376397</v>
      </c>
    </row>
    <row r="3128" spans="1:42" ht="14.5" x14ac:dyDescent="0.35">
      <c r="A3128" s="2" t="s">
        <v>20803</v>
      </c>
      <c r="B3128" s="2">
        <v>551.43052040554403</v>
      </c>
      <c r="C3128" s="2">
        <v>12.035299999999999</v>
      </c>
      <c r="D3128" s="2" t="s">
        <v>34</v>
      </c>
      <c r="E3128" s="2" t="s">
        <v>20804</v>
      </c>
      <c r="F3128" s="2">
        <v>60629</v>
      </c>
      <c r="G3128" s="3" t="str">
        <f>HYPERLINK("http://funmeta.oebiotech.com/network/60629", "http://funmeta.oebiotech.com/network/60629")</f>
        <v>http://funmeta.oebiotech.com/network/60629</v>
      </c>
      <c r="H3128" s="2" t="s">
        <v>20805</v>
      </c>
      <c r="I3128" s="2"/>
      <c r="J3128" s="2"/>
      <c r="K3128" s="2"/>
      <c r="L3128" s="2"/>
      <c r="M3128" s="2"/>
      <c r="N3128" s="2"/>
      <c r="O3128" s="2">
        <v>85396308</v>
      </c>
      <c r="P3128" s="2"/>
      <c r="Q3128" s="2" t="s">
        <v>20806</v>
      </c>
      <c r="R3128" s="2" t="s">
        <v>20807</v>
      </c>
      <c r="S3128" s="2" t="s">
        <v>50</v>
      </c>
      <c r="T3128" s="2" t="s">
        <v>229</v>
      </c>
      <c r="U3128" s="2" t="s">
        <v>1283</v>
      </c>
      <c r="V3128" s="2" t="s">
        <v>59</v>
      </c>
      <c r="W3128" s="2">
        <v>38.299999999999997</v>
      </c>
      <c r="X3128" s="2">
        <v>0</v>
      </c>
      <c r="Y3128" s="2" t="s">
        <v>141</v>
      </c>
      <c r="Z3128" s="2" t="s">
        <v>20808</v>
      </c>
      <c r="AA3128" s="2">
        <v>-0.16819119293402199</v>
      </c>
      <c r="AB3128" s="2">
        <v>0.24968764837256999</v>
      </c>
      <c r="AC3128" s="2">
        <v>5440.9330754927596</v>
      </c>
      <c r="AD3128" s="2">
        <v>1183.45549512004</v>
      </c>
      <c r="AE3128" s="2">
        <v>6086.2632407374103</v>
      </c>
      <c r="AF3128" s="2">
        <v>5385.7524490086998</v>
      </c>
      <c r="AG3128" s="2">
        <v>4908.8497704418396</v>
      </c>
      <c r="AH3128" s="2">
        <v>4517.6166055896001</v>
      </c>
      <c r="AI3128" s="2">
        <v>6063.8858171369702</v>
      </c>
      <c r="AJ3128" s="2">
        <v>5683.2305700420502</v>
      </c>
      <c r="AK3128" s="2">
        <v>1711.5547536583199</v>
      </c>
      <c r="AL3128" s="2">
        <v>490.924612375317</v>
      </c>
      <c r="AM3128" s="2">
        <v>905.63887538921495</v>
      </c>
      <c r="AN3128" s="2">
        <v>584.44446485477499</v>
      </c>
      <c r="AO3128" s="2">
        <v>1141.0796378723401</v>
      </c>
      <c r="AP3128" s="2">
        <v>2267.0906265702502</v>
      </c>
    </row>
    <row r="3129" spans="1:42" ht="14.5" x14ac:dyDescent="0.35">
      <c r="A3129" s="2" t="s">
        <v>20809</v>
      </c>
      <c r="B3129" s="2">
        <v>742.43638876807199</v>
      </c>
      <c r="C3129" s="2">
        <v>9.8048666666666708</v>
      </c>
      <c r="D3129" s="2" t="s">
        <v>34</v>
      </c>
      <c r="E3129" s="2" t="s">
        <v>20810</v>
      </c>
      <c r="F3129" s="2">
        <v>198962</v>
      </c>
      <c r="G3129" s="3" t="str">
        <f>HYPERLINK("http://funmeta.oebiotech.com/network/198962", "http://funmeta.oebiotech.com/network/198962")</f>
        <v>http://funmeta.oebiotech.com/network/198962</v>
      </c>
      <c r="H3129" s="2" t="s">
        <v>20811</v>
      </c>
      <c r="I3129" s="2"/>
      <c r="J3129" s="2"/>
      <c r="K3129" s="2"/>
      <c r="L3129" s="2"/>
      <c r="M3129" s="2"/>
      <c r="N3129" s="2"/>
      <c r="O3129" s="2">
        <v>13132014</v>
      </c>
      <c r="P3129" s="2"/>
      <c r="Q3129" s="2" t="s">
        <v>20812</v>
      </c>
      <c r="R3129" s="2" t="s">
        <v>20813</v>
      </c>
      <c r="S3129" s="2" t="s">
        <v>79</v>
      </c>
      <c r="T3129" s="2" t="s">
        <v>80</v>
      </c>
      <c r="U3129" s="2" t="s">
        <v>81</v>
      </c>
      <c r="V3129" s="2" t="s">
        <v>59</v>
      </c>
      <c r="W3129" s="2">
        <v>37.4</v>
      </c>
      <c r="X3129" s="2">
        <v>0</v>
      </c>
      <c r="Y3129" s="2" t="s">
        <v>141</v>
      </c>
      <c r="Z3129" s="2" t="s">
        <v>20814</v>
      </c>
      <c r="AA3129" s="2">
        <v>-1.0912574607746099</v>
      </c>
      <c r="AB3129" s="2">
        <v>0.249576714426262</v>
      </c>
      <c r="AC3129" s="2">
        <v>8886.3434335623606</v>
      </c>
      <c r="AD3129" s="2">
        <v>4656.8347248923101</v>
      </c>
      <c r="AE3129" s="2">
        <v>8300.7224074612495</v>
      </c>
      <c r="AF3129" s="2">
        <v>9283.6539773965706</v>
      </c>
      <c r="AG3129" s="2">
        <v>9036.7542900649896</v>
      </c>
      <c r="AH3129" s="2">
        <v>8514.8251553411701</v>
      </c>
      <c r="AI3129" s="2">
        <v>9556.1671104023299</v>
      </c>
      <c r="AJ3129" s="2">
        <v>8625.9376607078793</v>
      </c>
      <c r="AK3129" s="2">
        <v>4012.31692598163</v>
      </c>
      <c r="AL3129" s="2">
        <v>3740.2500192713701</v>
      </c>
      <c r="AM3129" s="2">
        <v>5084.52080460663</v>
      </c>
      <c r="AN3129" s="2">
        <v>4781.6037049692204</v>
      </c>
      <c r="AO3129" s="2">
        <v>4775.7417994482003</v>
      </c>
      <c r="AP3129" s="2">
        <v>5546.5750950767997</v>
      </c>
    </row>
    <row r="3130" spans="1:42" ht="14.5" x14ac:dyDescent="0.35">
      <c r="A3130" s="2" t="s">
        <v>20815</v>
      </c>
      <c r="B3130" s="2">
        <v>317.13816135940698</v>
      </c>
      <c r="C3130" s="2">
        <v>4.4450666666666701</v>
      </c>
      <c r="D3130" s="2" t="s">
        <v>34</v>
      </c>
      <c r="E3130" s="2" t="s">
        <v>20816</v>
      </c>
      <c r="F3130" s="2">
        <v>28993</v>
      </c>
      <c r="G3130" s="3" t="str">
        <f>HYPERLINK("http://funmeta.oebiotech.com/network/28993", "http://funmeta.oebiotech.com/network/28993")</f>
        <v>http://funmeta.oebiotech.com/network/28993</v>
      </c>
      <c r="H3130" s="2"/>
      <c r="I3130" s="2">
        <v>47389</v>
      </c>
      <c r="J3130" s="2" t="s">
        <v>20817</v>
      </c>
      <c r="K3130" s="2"/>
      <c r="L3130" s="2"/>
      <c r="M3130" s="2"/>
      <c r="N3130" s="2"/>
      <c r="O3130" s="2">
        <v>584467</v>
      </c>
      <c r="P3130" s="2"/>
      <c r="Q3130" s="2" t="s">
        <v>20818</v>
      </c>
      <c r="R3130" s="2" t="s">
        <v>20819</v>
      </c>
      <c r="S3130" s="2" t="s">
        <v>115</v>
      </c>
      <c r="T3130" s="2" t="s">
        <v>139</v>
      </c>
      <c r="U3130" s="2" t="s">
        <v>1552</v>
      </c>
      <c r="V3130" s="2" t="s">
        <v>59</v>
      </c>
      <c r="W3130" s="2">
        <v>47.2</v>
      </c>
      <c r="X3130" s="2">
        <v>40.4</v>
      </c>
      <c r="Y3130" s="2" t="s">
        <v>394</v>
      </c>
      <c r="Z3130" s="2" t="s">
        <v>20820</v>
      </c>
      <c r="AA3130" s="2">
        <v>-0.59725793601421395</v>
      </c>
      <c r="AB3130" s="2">
        <v>0.249575767059764</v>
      </c>
      <c r="AC3130" s="2">
        <v>495202.87883979199</v>
      </c>
      <c r="AD3130" s="2">
        <v>476063.83772274503</v>
      </c>
      <c r="AE3130" s="2">
        <v>458915.12137155997</v>
      </c>
      <c r="AF3130" s="2">
        <v>558668.30397098698</v>
      </c>
      <c r="AG3130" s="2">
        <v>527440.23324507498</v>
      </c>
      <c r="AH3130" s="2">
        <v>435480.54790118302</v>
      </c>
      <c r="AI3130" s="2">
        <v>513235.538528512</v>
      </c>
      <c r="AJ3130" s="2">
        <v>477477.52802143502</v>
      </c>
      <c r="AK3130" s="2">
        <v>549451.13074668997</v>
      </c>
      <c r="AL3130" s="2">
        <v>456589.55714496301</v>
      </c>
      <c r="AM3130" s="2">
        <v>455196.08462863602</v>
      </c>
      <c r="AN3130" s="2">
        <v>480303.71697554499</v>
      </c>
      <c r="AO3130" s="2">
        <v>401828.79784374102</v>
      </c>
      <c r="AP3130" s="2">
        <v>513013.73899689299</v>
      </c>
    </row>
    <row r="3131" spans="1:42" ht="14.5" x14ac:dyDescent="0.35">
      <c r="A3131" s="2" t="s">
        <v>20821</v>
      </c>
      <c r="B3131" s="2">
        <v>841.40313481628698</v>
      </c>
      <c r="C3131" s="2">
        <v>13.4092</v>
      </c>
      <c r="D3131" s="2" t="s">
        <v>70</v>
      </c>
      <c r="E3131" s="2" t="s">
        <v>20822</v>
      </c>
      <c r="F3131" s="2">
        <v>27974</v>
      </c>
      <c r="G3131" s="3" t="str">
        <f>HYPERLINK("http://funmeta.oebiotech.com/network/27974", "http://funmeta.oebiotech.com/network/27974")</f>
        <v>http://funmeta.oebiotech.com/network/27974</v>
      </c>
      <c r="H3131" s="2"/>
      <c r="I3131" s="2"/>
      <c r="J3131" s="2" t="s">
        <v>20823</v>
      </c>
      <c r="K3131" s="2"/>
      <c r="L3131" s="2"/>
      <c r="M3131" s="2"/>
      <c r="N3131" s="2"/>
      <c r="O3131" s="2">
        <v>134812421</v>
      </c>
      <c r="P3131" s="2"/>
      <c r="Q3131" s="2" t="s">
        <v>20824</v>
      </c>
      <c r="R3131" s="2" t="s">
        <v>20825</v>
      </c>
      <c r="S3131" s="2" t="s">
        <v>50</v>
      </c>
      <c r="T3131" s="2" t="s">
        <v>51</v>
      </c>
      <c r="U3131" s="2" t="s">
        <v>52</v>
      </c>
      <c r="V3131" s="2" t="s">
        <v>59</v>
      </c>
      <c r="W3131" s="2">
        <v>37.4</v>
      </c>
      <c r="X3131" s="2">
        <v>0</v>
      </c>
      <c r="Y3131" s="2" t="s">
        <v>408</v>
      </c>
      <c r="Z3131" s="2" t="s">
        <v>20826</v>
      </c>
      <c r="AA3131" s="2">
        <v>4.9087314886265201</v>
      </c>
      <c r="AB3131" s="2">
        <v>0.24932526018905299</v>
      </c>
      <c r="AC3131" s="2">
        <v>29459.452939093699</v>
      </c>
      <c r="AD3131" s="2">
        <v>34908.2666383834</v>
      </c>
      <c r="AE3131" s="2">
        <v>29028.265373748902</v>
      </c>
      <c r="AF3131" s="2">
        <v>26260.209849220399</v>
      </c>
      <c r="AG3131" s="2">
        <v>29851.380845069802</v>
      </c>
      <c r="AH3131" s="2">
        <v>32354.987693105501</v>
      </c>
      <c r="AI3131" s="2">
        <v>25713.4774592096</v>
      </c>
      <c r="AJ3131" s="2">
        <v>33548.396414207797</v>
      </c>
      <c r="AK3131" s="2">
        <v>37047.644956717602</v>
      </c>
      <c r="AL3131" s="2">
        <v>35209.813867514902</v>
      </c>
      <c r="AM3131" s="2">
        <v>34030.197300884203</v>
      </c>
      <c r="AN3131" s="2">
        <v>32065.841685020801</v>
      </c>
      <c r="AO3131" s="2">
        <v>36751.855951969701</v>
      </c>
      <c r="AP3131" s="2">
        <v>34344.246068193301</v>
      </c>
    </row>
    <row r="3132" spans="1:42" ht="14.5" x14ac:dyDescent="0.35">
      <c r="A3132" s="2" t="s">
        <v>20827</v>
      </c>
      <c r="B3132" s="2">
        <v>509.30805997147701</v>
      </c>
      <c r="C3132" s="2">
        <v>7.2243833333333303</v>
      </c>
      <c r="D3132" s="2" t="s">
        <v>34</v>
      </c>
      <c r="E3132" s="2" t="s">
        <v>20828</v>
      </c>
      <c r="F3132" s="2">
        <v>208285</v>
      </c>
      <c r="G3132" s="3" t="str">
        <f>HYPERLINK("http://funmeta.oebiotech.com/network/208285", "http://funmeta.oebiotech.com/network/208285")</f>
        <v>http://funmeta.oebiotech.com/network/208285</v>
      </c>
      <c r="H3132" s="2" t="s">
        <v>20829</v>
      </c>
      <c r="I3132" s="2"/>
      <c r="J3132" s="2"/>
      <c r="K3132" s="2"/>
      <c r="L3132" s="2"/>
      <c r="M3132" s="2"/>
      <c r="N3132" s="2"/>
      <c r="O3132" s="2">
        <v>3926</v>
      </c>
      <c r="P3132" s="2"/>
      <c r="Q3132" s="2" t="s">
        <v>20830</v>
      </c>
      <c r="R3132" s="2" t="s">
        <v>20831</v>
      </c>
      <c r="S3132" s="2" t="s">
        <v>148</v>
      </c>
      <c r="T3132" s="2" t="s">
        <v>149</v>
      </c>
      <c r="U3132" s="2" t="s">
        <v>3473</v>
      </c>
      <c r="V3132" s="2" t="s">
        <v>59</v>
      </c>
      <c r="W3132" s="2">
        <v>36</v>
      </c>
      <c r="X3132" s="2">
        <v>0</v>
      </c>
      <c r="Y3132" s="2" t="s">
        <v>43</v>
      </c>
      <c r="Z3132" s="2" t="s">
        <v>20832</v>
      </c>
      <c r="AA3132" s="2">
        <v>-1.19028069398683</v>
      </c>
      <c r="AB3132" s="2">
        <v>0.249303282362938</v>
      </c>
      <c r="AC3132" s="2">
        <v>13259.161178697899</v>
      </c>
      <c r="AD3132" s="2">
        <v>8375.4522315378308</v>
      </c>
      <c r="AE3132" s="2">
        <v>13098.124895364301</v>
      </c>
      <c r="AF3132" s="2">
        <v>14175.8949567458</v>
      </c>
      <c r="AG3132" s="2">
        <v>13599.8562283668</v>
      </c>
      <c r="AH3132" s="2">
        <v>11036.140590675501</v>
      </c>
      <c r="AI3132" s="2">
        <v>15885.7037586936</v>
      </c>
      <c r="AJ3132" s="2">
        <v>11759.246642341301</v>
      </c>
      <c r="AK3132" s="2">
        <v>8210.3401894286199</v>
      </c>
      <c r="AL3132" s="2">
        <v>9043.2932318880103</v>
      </c>
      <c r="AM3132" s="2">
        <v>8981.5804751068608</v>
      </c>
      <c r="AN3132" s="2">
        <v>6706.9424317038702</v>
      </c>
      <c r="AO3132" s="2">
        <v>11025.172213740299</v>
      </c>
      <c r="AP3132" s="2">
        <v>6285.3848473593498</v>
      </c>
    </row>
    <row r="3133" spans="1:42" ht="14.5" x14ac:dyDescent="0.35">
      <c r="A3133" s="2" t="s">
        <v>20833</v>
      </c>
      <c r="B3133" s="2">
        <v>362.14968804265197</v>
      </c>
      <c r="C3133" s="2">
        <v>4.0195333333333298</v>
      </c>
      <c r="D3133" s="2" t="s">
        <v>34</v>
      </c>
      <c r="E3133" s="2" t="s">
        <v>20834</v>
      </c>
      <c r="F3133" s="2">
        <v>200276</v>
      </c>
      <c r="G3133" s="3" t="str">
        <f>HYPERLINK("http://funmeta.oebiotech.com/network/200276", "http://funmeta.oebiotech.com/network/200276")</f>
        <v>http://funmeta.oebiotech.com/network/200276</v>
      </c>
      <c r="H3133" s="2" t="s">
        <v>20835</v>
      </c>
      <c r="I3133" s="2"/>
      <c r="J3133" s="2"/>
      <c r="K3133" s="2"/>
      <c r="L3133" s="2"/>
      <c r="M3133" s="2"/>
      <c r="N3133" s="2"/>
      <c r="O3133" s="2">
        <v>10317566</v>
      </c>
      <c r="P3133" s="2"/>
      <c r="Q3133" s="2" t="s">
        <v>20836</v>
      </c>
      <c r="R3133" s="2" t="s">
        <v>20837</v>
      </c>
      <c r="S3133" s="2" t="s">
        <v>491</v>
      </c>
      <c r="T3133" s="2" t="s">
        <v>3019</v>
      </c>
      <c r="U3133" s="2" t="s">
        <v>3020</v>
      </c>
      <c r="V3133" s="2" t="s">
        <v>59</v>
      </c>
      <c r="W3133" s="2">
        <v>36</v>
      </c>
      <c r="X3133" s="2">
        <v>0</v>
      </c>
      <c r="Y3133" s="2" t="s">
        <v>141</v>
      </c>
      <c r="Z3133" s="2" t="s">
        <v>20838</v>
      </c>
      <c r="AA3133" s="2">
        <v>-0.60628119214585596</v>
      </c>
      <c r="AB3133" s="2">
        <v>0.249106860077841</v>
      </c>
      <c r="AC3133" s="2">
        <v>15241.154425892501</v>
      </c>
      <c r="AD3133" s="2">
        <v>10688.4270219224</v>
      </c>
      <c r="AE3133" s="2">
        <v>13414.485387459999</v>
      </c>
      <c r="AF3133" s="2">
        <v>15573.625932019901</v>
      </c>
      <c r="AG3133" s="2">
        <v>15881.992769367</v>
      </c>
      <c r="AH3133" s="2">
        <v>15858.2152019634</v>
      </c>
      <c r="AI3133" s="2">
        <v>15851.715276385699</v>
      </c>
      <c r="AJ3133" s="2">
        <v>14866.891988159099</v>
      </c>
      <c r="AK3133" s="2">
        <v>8473.1198392332608</v>
      </c>
      <c r="AL3133" s="2">
        <v>9934.1828954184693</v>
      </c>
      <c r="AM3133" s="2">
        <v>10589.4703850809</v>
      </c>
      <c r="AN3133" s="2">
        <v>10930.237086405201</v>
      </c>
      <c r="AO3133" s="2">
        <v>11497.1184780238</v>
      </c>
      <c r="AP3133" s="2">
        <v>12706.433447372799</v>
      </c>
    </row>
    <row r="3134" spans="1:42" ht="14.5" x14ac:dyDescent="0.35">
      <c r="A3134" s="2" t="s">
        <v>20839</v>
      </c>
      <c r="B3134" s="2">
        <v>685.38027619319303</v>
      </c>
      <c r="C3134" s="2">
        <v>6.2355666666666698</v>
      </c>
      <c r="D3134" s="2" t="s">
        <v>70</v>
      </c>
      <c r="E3134" s="2" t="s">
        <v>20840</v>
      </c>
      <c r="F3134" s="2">
        <v>82914</v>
      </c>
      <c r="G3134" s="3" t="str">
        <f>HYPERLINK("http://funmeta.oebiotech.com/network/82914", "http://funmeta.oebiotech.com/network/82914")</f>
        <v>http://funmeta.oebiotech.com/network/82914</v>
      </c>
      <c r="H3134" s="2" t="s">
        <v>20841</v>
      </c>
      <c r="I3134" s="2">
        <v>71234</v>
      </c>
      <c r="J3134" s="2"/>
      <c r="K3134" s="2">
        <v>80556</v>
      </c>
      <c r="L3134" s="2" t="s">
        <v>20842</v>
      </c>
      <c r="M3134" s="2" t="s">
        <v>11721</v>
      </c>
      <c r="N3134" s="2" t="s">
        <v>11722</v>
      </c>
      <c r="O3134" s="2">
        <v>3036172</v>
      </c>
      <c r="P3134" s="2" t="s">
        <v>20843</v>
      </c>
      <c r="Q3134" s="2" t="s">
        <v>20844</v>
      </c>
      <c r="R3134" s="2" t="s">
        <v>20845</v>
      </c>
      <c r="S3134" s="2" t="s">
        <v>115</v>
      </c>
      <c r="T3134" s="2" t="s">
        <v>4730</v>
      </c>
      <c r="U3134" s="2" t="s">
        <v>41</v>
      </c>
      <c r="V3134" s="2" t="s">
        <v>59</v>
      </c>
      <c r="W3134" s="2">
        <v>39.6</v>
      </c>
      <c r="X3134" s="2">
        <v>0</v>
      </c>
      <c r="Y3134" s="2" t="s">
        <v>560</v>
      </c>
      <c r="Z3134" s="2" t="s">
        <v>20846</v>
      </c>
      <c r="AA3134" s="2">
        <v>0.47170599835986599</v>
      </c>
      <c r="AB3134" s="2">
        <v>0.24900323137597299</v>
      </c>
      <c r="AC3134" s="2">
        <v>16427.034229116402</v>
      </c>
      <c r="AD3134" s="2">
        <v>21529.857452303298</v>
      </c>
      <c r="AE3134" s="2">
        <v>16353.196964910399</v>
      </c>
      <c r="AF3134" s="2">
        <v>17664.3595414296</v>
      </c>
      <c r="AG3134" s="2">
        <v>13754.765737539399</v>
      </c>
      <c r="AH3134" s="2">
        <v>17122.454035377901</v>
      </c>
      <c r="AI3134" s="2">
        <v>16984.5406736271</v>
      </c>
      <c r="AJ3134" s="2">
        <v>16682.888421814099</v>
      </c>
      <c r="AK3134" s="2">
        <v>21760.120953729798</v>
      </c>
      <c r="AL3134" s="2">
        <v>21453.232500727401</v>
      </c>
      <c r="AM3134" s="2">
        <v>16370.2397464681</v>
      </c>
      <c r="AN3134" s="2">
        <v>23352.349403367502</v>
      </c>
      <c r="AO3134" s="2">
        <v>22598.054596386701</v>
      </c>
      <c r="AP3134" s="2">
        <v>23645.1475131406</v>
      </c>
    </row>
    <row r="3135" spans="1:42" ht="14.5" x14ac:dyDescent="0.35">
      <c r="A3135" s="2" t="s">
        <v>20847</v>
      </c>
      <c r="B3135" s="2">
        <v>505.1563138615</v>
      </c>
      <c r="C3135" s="2">
        <v>4.5612000000000004</v>
      </c>
      <c r="D3135" s="2" t="s">
        <v>70</v>
      </c>
      <c r="E3135" s="2" t="s">
        <v>20848</v>
      </c>
      <c r="F3135" s="2">
        <v>57398</v>
      </c>
      <c r="G3135" s="3" t="str">
        <f>HYPERLINK("http://funmeta.oebiotech.com/network/57398", "http://funmeta.oebiotech.com/network/57398")</f>
        <v>http://funmeta.oebiotech.com/network/57398</v>
      </c>
      <c r="H3135" s="2" t="s">
        <v>20849</v>
      </c>
      <c r="I3135" s="2">
        <v>89024</v>
      </c>
      <c r="J3135" s="2"/>
      <c r="K3135" s="2">
        <v>168141</v>
      </c>
      <c r="L3135" s="2"/>
      <c r="M3135" s="2"/>
      <c r="N3135" s="2"/>
      <c r="O3135" s="2">
        <v>131751380</v>
      </c>
      <c r="P3135" s="2"/>
      <c r="Q3135" s="2" t="s">
        <v>20850</v>
      </c>
      <c r="R3135" s="2" t="s">
        <v>20851</v>
      </c>
      <c r="S3135" s="2" t="s">
        <v>79</v>
      </c>
      <c r="T3135" s="2" t="s">
        <v>80</v>
      </c>
      <c r="U3135" s="2" t="s">
        <v>81</v>
      </c>
      <c r="V3135" s="2" t="s">
        <v>42</v>
      </c>
      <c r="W3135" s="2">
        <v>47.1</v>
      </c>
      <c r="X3135" s="2">
        <v>57.3</v>
      </c>
      <c r="Y3135" s="2" t="s">
        <v>408</v>
      </c>
      <c r="Z3135" s="2" t="s">
        <v>20852</v>
      </c>
      <c r="AA3135" s="2">
        <v>7.5319377120247E-2</v>
      </c>
      <c r="AB3135" s="2">
        <v>0.24895029588720999</v>
      </c>
      <c r="AC3135" s="2">
        <v>75004.752669626105</v>
      </c>
      <c r="AD3135" s="2">
        <v>69010.662568056607</v>
      </c>
      <c r="AE3135" s="2">
        <v>81222.863281871105</v>
      </c>
      <c r="AF3135" s="2">
        <v>73767.579929391097</v>
      </c>
      <c r="AG3135" s="2">
        <v>73782.559975675395</v>
      </c>
      <c r="AH3135" s="2">
        <v>72145.056851204994</v>
      </c>
      <c r="AI3135" s="2">
        <v>76655.966089466994</v>
      </c>
      <c r="AJ3135" s="2">
        <v>72454.489890147306</v>
      </c>
      <c r="AK3135" s="2">
        <v>72170.499954811094</v>
      </c>
      <c r="AL3135" s="2">
        <v>63204.327804344699</v>
      </c>
      <c r="AM3135" s="2">
        <v>69235.492013393407</v>
      </c>
      <c r="AN3135" s="2">
        <v>71273.752622009706</v>
      </c>
      <c r="AO3135" s="2">
        <v>66308.812827927904</v>
      </c>
      <c r="AP3135" s="2">
        <v>71871.090185852707</v>
      </c>
    </row>
    <row r="3136" spans="1:42" ht="14.5" x14ac:dyDescent="0.35">
      <c r="A3136" s="2" t="s">
        <v>20853</v>
      </c>
      <c r="B3136" s="2">
        <v>338.18082104677399</v>
      </c>
      <c r="C3136" s="2">
        <v>1.06171666666667</v>
      </c>
      <c r="D3136" s="2" t="s">
        <v>34</v>
      </c>
      <c r="E3136" s="2" t="s">
        <v>20854</v>
      </c>
      <c r="F3136" s="2">
        <v>47287</v>
      </c>
      <c r="G3136" s="3" t="str">
        <f>HYPERLINK("http://funmeta.oebiotech.com/network/47287", "http://funmeta.oebiotech.com/network/47287")</f>
        <v>http://funmeta.oebiotech.com/network/47287</v>
      </c>
      <c r="H3136" s="2" t="s">
        <v>20855</v>
      </c>
      <c r="I3136" s="2">
        <v>2991</v>
      </c>
      <c r="J3136" s="2"/>
      <c r="K3136" s="2"/>
      <c r="L3136" s="2"/>
      <c r="M3136" s="2"/>
      <c r="N3136" s="2"/>
      <c r="O3136" s="2">
        <v>88111</v>
      </c>
      <c r="P3136" s="2" t="s">
        <v>20856</v>
      </c>
      <c r="Q3136" s="2" t="s">
        <v>20857</v>
      </c>
      <c r="R3136" s="2" t="s">
        <v>20858</v>
      </c>
      <c r="S3136" s="2" t="s">
        <v>79</v>
      </c>
      <c r="T3136" s="2" t="s">
        <v>80</v>
      </c>
      <c r="U3136" s="2" t="s">
        <v>81</v>
      </c>
      <c r="V3136" s="2" t="s">
        <v>59</v>
      </c>
      <c r="W3136" s="2">
        <v>38.700000000000003</v>
      </c>
      <c r="X3136" s="2">
        <v>0</v>
      </c>
      <c r="Y3136" s="2" t="s">
        <v>43</v>
      </c>
      <c r="Z3136" s="2" t="s">
        <v>20859</v>
      </c>
      <c r="AA3136" s="2">
        <v>-0.38172883486146197</v>
      </c>
      <c r="AB3136" s="2">
        <v>0.24884024448488701</v>
      </c>
      <c r="AC3136" s="2">
        <v>8530.0324123133996</v>
      </c>
      <c r="AD3136" s="2">
        <v>12921.5536178129</v>
      </c>
      <c r="AE3136" s="2">
        <v>7909.5169036683101</v>
      </c>
      <c r="AF3136" s="2">
        <v>9975.0469574816198</v>
      </c>
      <c r="AG3136" s="2">
        <v>7690.71638460138</v>
      </c>
      <c r="AH3136" s="2">
        <v>8854.9214588546893</v>
      </c>
      <c r="AI3136" s="2">
        <v>8547.3792731580197</v>
      </c>
      <c r="AJ3136" s="2">
        <v>8202.6134961163807</v>
      </c>
      <c r="AK3136" s="2">
        <v>12596.2033159128</v>
      </c>
      <c r="AL3136" s="2">
        <v>12012.7565499341</v>
      </c>
      <c r="AM3136" s="2">
        <v>11344.6953451303</v>
      </c>
      <c r="AN3136" s="2">
        <v>13359.974964179801</v>
      </c>
      <c r="AO3136" s="2">
        <v>14197.8312265821</v>
      </c>
      <c r="AP3136" s="2">
        <v>14017.8603051382</v>
      </c>
    </row>
    <row r="3137" spans="1:42" ht="14.5" x14ac:dyDescent="0.35">
      <c r="A3137" s="2" t="s">
        <v>20860</v>
      </c>
      <c r="B3137" s="2">
        <v>787.44706066361596</v>
      </c>
      <c r="C3137" s="2">
        <v>10.6826833333333</v>
      </c>
      <c r="D3137" s="2" t="s">
        <v>70</v>
      </c>
      <c r="E3137" s="2" t="s">
        <v>20861</v>
      </c>
      <c r="F3137" s="2">
        <v>205022</v>
      </c>
      <c r="G3137" s="3" t="str">
        <f>HYPERLINK("http://funmeta.oebiotech.com/network/205022", "http://funmeta.oebiotech.com/network/205022")</f>
        <v>http://funmeta.oebiotech.com/network/205022</v>
      </c>
      <c r="H3137" s="2" t="s">
        <v>20862</v>
      </c>
      <c r="I3137" s="2">
        <v>72321</v>
      </c>
      <c r="J3137" s="2"/>
      <c r="K3137" s="2">
        <v>38450</v>
      </c>
      <c r="L3137" s="2" t="s">
        <v>20863</v>
      </c>
      <c r="M3137" s="2"/>
      <c r="N3137" s="2"/>
      <c r="O3137" s="2">
        <v>10157484</v>
      </c>
      <c r="P3137" s="2" t="s">
        <v>20864</v>
      </c>
      <c r="Q3137" s="2" t="s">
        <v>20865</v>
      </c>
      <c r="R3137" s="2" t="s">
        <v>20866</v>
      </c>
      <c r="S3137" s="2" t="s">
        <v>491</v>
      </c>
      <c r="T3137" s="2" t="s">
        <v>2251</v>
      </c>
      <c r="U3137" s="2" t="s">
        <v>2252</v>
      </c>
      <c r="V3137" s="2" t="s">
        <v>59</v>
      </c>
      <c r="W3137" s="2">
        <v>38.1</v>
      </c>
      <c r="X3137" s="2">
        <v>0</v>
      </c>
      <c r="Y3137" s="2" t="s">
        <v>560</v>
      </c>
      <c r="Z3137" s="2" t="s">
        <v>20867</v>
      </c>
      <c r="AA3137" s="2">
        <v>3.8701628257844698</v>
      </c>
      <c r="AB3137" s="2">
        <v>0.24875047885173501</v>
      </c>
      <c r="AC3137" s="2">
        <v>25332.9216633615</v>
      </c>
      <c r="AD3137" s="2">
        <v>30628.042896219398</v>
      </c>
      <c r="AE3137" s="2">
        <v>27759.9911092396</v>
      </c>
      <c r="AF3137" s="2">
        <v>27145.404571135499</v>
      </c>
      <c r="AG3137" s="2">
        <v>23697.340851535198</v>
      </c>
      <c r="AH3137" s="2">
        <v>22885.135513383</v>
      </c>
      <c r="AI3137" s="2">
        <v>26070.4940560984</v>
      </c>
      <c r="AJ3137" s="2">
        <v>24439.163878777501</v>
      </c>
      <c r="AK3137" s="2">
        <v>31341.354529003202</v>
      </c>
      <c r="AL3137" s="2">
        <v>26873.199762071701</v>
      </c>
      <c r="AM3137" s="2">
        <v>31360.695044956199</v>
      </c>
      <c r="AN3137" s="2">
        <v>29833.7671117383</v>
      </c>
      <c r="AO3137" s="2">
        <v>29044.828616443101</v>
      </c>
      <c r="AP3137" s="2">
        <v>35314.4123131042</v>
      </c>
    </row>
    <row r="3138" spans="1:42" ht="14.5" x14ac:dyDescent="0.35">
      <c r="A3138" s="2" t="s">
        <v>20868</v>
      </c>
      <c r="B3138" s="2">
        <v>289.07038457462397</v>
      </c>
      <c r="C3138" s="2">
        <v>3.01393333333333</v>
      </c>
      <c r="D3138" s="2" t="s">
        <v>34</v>
      </c>
      <c r="E3138" s="2" t="s">
        <v>20869</v>
      </c>
      <c r="F3138" s="2">
        <v>63504</v>
      </c>
      <c r="G3138" s="3" t="str">
        <f>HYPERLINK("http://funmeta.oebiotech.com/network/63504", "http://funmeta.oebiotech.com/network/63504")</f>
        <v>http://funmeta.oebiotech.com/network/63504</v>
      </c>
      <c r="H3138" s="2" t="s">
        <v>20870</v>
      </c>
      <c r="I3138" s="2">
        <v>94835</v>
      </c>
      <c r="J3138" s="2"/>
      <c r="K3138" s="2">
        <v>142230</v>
      </c>
      <c r="L3138" s="2"/>
      <c r="M3138" s="2"/>
      <c r="N3138" s="2"/>
      <c r="O3138" s="2">
        <v>21932272</v>
      </c>
      <c r="P3138" s="2" t="s">
        <v>20871</v>
      </c>
      <c r="Q3138" s="2" t="s">
        <v>20872</v>
      </c>
      <c r="R3138" s="2" t="s">
        <v>20873</v>
      </c>
      <c r="S3138" s="2" t="s">
        <v>115</v>
      </c>
      <c r="T3138" s="2" t="s">
        <v>139</v>
      </c>
      <c r="U3138" s="2" t="s">
        <v>19912</v>
      </c>
      <c r="V3138" s="2" t="s">
        <v>42</v>
      </c>
      <c r="W3138" s="2">
        <v>50.2</v>
      </c>
      <c r="X3138" s="2">
        <v>57.5</v>
      </c>
      <c r="Y3138" s="2" t="s">
        <v>394</v>
      </c>
      <c r="Z3138" s="2" t="s">
        <v>1438</v>
      </c>
      <c r="AA3138" s="2">
        <v>-0.97186795534708803</v>
      </c>
      <c r="AB3138" s="2">
        <v>0.24870494846974001</v>
      </c>
      <c r="AC3138" s="2">
        <v>16005.3982771147</v>
      </c>
      <c r="AD3138" s="2">
        <v>10766.4803945392</v>
      </c>
      <c r="AE3138" s="2">
        <v>13219.921495145099</v>
      </c>
      <c r="AF3138" s="2">
        <v>14701.8029587079</v>
      </c>
      <c r="AG3138" s="2">
        <v>20571.632621679801</v>
      </c>
      <c r="AH3138" s="2">
        <v>14087.366065918401</v>
      </c>
      <c r="AI3138" s="2">
        <v>15671.588727729501</v>
      </c>
      <c r="AJ3138" s="2">
        <v>17780.0777935072</v>
      </c>
      <c r="AK3138" s="2">
        <v>8490.8446671716501</v>
      </c>
      <c r="AL3138" s="2">
        <v>13455.3820336395</v>
      </c>
      <c r="AM3138" s="2">
        <v>10638.748961921799</v>
      </c>
      <c r="AN3138" s="2">
        <v>10097.496735298901</v>
      </c>
      <c r="AO3138" s="2">
        <v>12637.5964805001</v>
      </c>
      <c r="AP3138" s="2">
        <v>9278.8134887030992</v>
      </c>
    </row>
    <row r="3139" spans="1:42" ht="14.5" x14ac:dyDescent="0.35">
      <c r="A3139" s="2" t="s">
        <v>20874</v>
      </c>
      <c r="B3139" s="2">
        <v>506.937998872619</v>
      </c>
      <c r="C3139" s="2">
        <v>5.4227666666666696</v>
      </c>
      <c r="D3139" s="2" t="s">
        <v>34</v>
      </c>
      <c r="E3139" s="2" t="s">
        <v>20875</v>
      </c>
      <c r="F3139" s="2">
        <v>47443</v>
      </c>
      <c r="G3139" s="3" t="str">
        <f>HYPERLINK("http://funmeta.oebiotech.com/network/47443", "http://funmeta.oebiotech.com/network/47443")</f>
        <v>http://funmeta.oebiotech.com/network/47443</v>
      </c>
      <c r="H3139" s="2" t="s">
        <v>20876</v>
      </c>
      <c r="I3139" s="2">
        <v>6069</v>
      </c>
      <c r="J3139" s="2"/>
      <c r="K3139" s="2">
        <v>17625</v>
      </c>
      <c r="L3139" s="2" t="s">
        <v>20877</v>
      </c>
      <c r="M3139" s="2" t="s">
        <v>15342</v>
      </c>
      <c r="N3139" s="2" t="s">
        <v>15343</v>
      </c>
      <c r="O3139" s="2">
        <v>65070</v>
      </c>
      <c r="P3139" s="2" t="s">
        <v>20878</v>
      </c>
      <c r="Q3139" s="2" t="s">
        <v>20879</v>
      </c>
      <c r="R3139" s="2" t="s">
        <v>20880</v>
      </c>
      <c r="S3139" s="2" t="s">
        <v>1444</v>
      </c>
      <c r="T3139" s="2" t="s">
        <v>4040</v>
      </c>
      <c r="U3139" s="2" t="s">
        <v>15347</v>
      </c>
      <c r="V3139" s="2" t="s">
        <v>59</v>
      </c>
      <c r="W3139" s="2">
        <v>37.200000000000003</v>
      </c>
      <c r="X3139" s="2">
        <v>0</v>
      </c>
      <c r="Y3139" s="2" t="s">
        <v>340</v>
      </c>
      <c r="Z3139" s="2" t="s">
        <v>20881</v>
      </c>
      <c r="AA3139" s="2">
        <v>2.6235199911083602</v>
      </c>
      <c r="AB3139" s="2">
        <v>0.248692559801025</v>
      </c>
      <c r="AC3139" s="2">
        <v>24718.521972285202</v>
      </c>
      <c r="AD3139" s="2">
        <v>19250.541509687799</v>
      </c>
      <c r="AE3139" s="2">
        <v>23900.660799831199</v>
      </c>
      <c r="AF3139" s="2">
        <v>24970.8208120983</v>
      </c>
      <c r="AG3139" s="2">
        <v>25289.0425591573</v>
      </c>
      <c r="AH3139" s="2">
        <v>29315.940842020598</v>
      </c>
      <c r="AI3139" s="2">
        <v>24118.655834607202</v>
      </c>
      <c r="AJ3139" s="2">
        <v>20716.010985996902</v>
      </c>
      <c r="AK3139" s="2">
        <v>18296.297748736299</v>
      </c>
      <c r="AL3139" s="2">
        <v>17556.763906118598</v>
      </c>
      <c r="AM3139" s="2">
        <v>15316.2561332281</v>
      </c>
      <c r="AN3139" s="2">
        <v>20812.0783525722</v>
      </c>
      <c r="AO3139" s="2">
        <v>21451.663083502201</v>
      </c>
      <c r="AP3139" s="2">
        <v>22070.1898339697</v>
      </c>
    </row>
    <row r="3140" spans="1:42" ht="14.5" x14ac:dyDescent="0.35">
      <c r="A3140" s="2" t="s">
        <v>20882</v>
      </c>
      <c r="B3140" s="2">
        <v>526.315906199952</v>
      </c>
      <c r="C3140" s="2">
        <v>6.484</v>
      </c>
      <c r="D3140" s="2" t="s">
        <v>34</v>
      </c>
      <c r="E3140" s="2" t="s">
        <v>20883</v>
      </c>
      <c r="F3140" s="2">
        <v>198149</v>
      </c>
      <c r="G3140" s="3" t="str">
        <f>HYPERLINK("http://funmeta.oebiotech.com/network/198149", "http://funmeta.oebiotech.com/network/198149")</f>
        <v>http://funmeta.oebiotech.com/network/198149</v>
      </c>
      <c r="H3140" s="2" t="s">
        <v>20884</v>
      </c>
      <c r="I3140" s="2"/>
      <c r="J3140" s="2"/>
      <c r="K3140" s="2"/>
      <c r="L3140" s="2"/>
      <c r="M3140" s="2"/>
      <c r="N3140" s="2"/>
      <c r="O3140" s="2"/>
      <c r="P3140" s="2"/>
      <c r="Q3140" s="2" t="s">
        <v>20885</v>
      </c>
      <c r="R3140" s="2" t="s">
        <v>20886</v>
      </c>
      <c r="S3140" s="2" t="s">
        <v>41</v>
      </c>
      <c r="T3140" s="2" t="s">
        <v>41</v>
      </c>
      <c r="U3140" s="2" t="s">
        <v>41</v>
      </c>
      <c r="V3140" s="2" t="s">
        <v>42</v>
      </c>
      <c r="W3140" s="2">
        <v>48.1</v>
      </c>
      <c r="X3140" s="2">
        <v>50.5</v>
      </c>
      <c r="Y3140" s="2" t="s">
        <v>323</v>
      </c>
      <c r="Z3140" s="2" t="s">
        <v>20887</v>
      </c>
      <c r="AA3140" s="2">
        <v>3.9683224139880098</v>
      </c>
      <c r="AB3140" s="2">
        <v>0.24868523731088399</v>
      </c>
      <c r="AC3140" s="2">
        <v>173744.52903544699</v>
      </c>
      <c r="AD3140" s="2">
        <v>164376.22899407201</v>
      </c>
      <c r="AE3140" s="2">
        <v>174917.174422515</v>
      </c>
      <c r="AF3140" s="2">
        <v>182498.763379871</v>
      </c>
      <c r="AG3140" s="2">
        <v>181629.23442653901</v>
      </c>
      <c r="AH3140" s="2">
        <v>167988.06596264199</v>
      </c>
      <c r="AI3140" s="2">
        <v>155795.37217148099</v>
      </c>
      <c r="AJ3140" s="2">
        <v>179638.56384963301</v>
      </c>
      <c r="AK3140" s="2">
        <v>153310.380044221</v>
      </c>
      <c r="AL3140" s="2">
        <v>176825.45432365601</v>
      </c>
      <c r="AM3140" s="2">
        <v>163871.71844671201</v>
      </c>
      <c r="AN3140" s="2">
        <v>180570.63474425999</v>
      </c>
      <c r="AO3140" s="2">
        <v>156212.913337159</v>
      </c>
      <c r="AP3140" s="2">
        <v>155466.273068426</v>
      </c>
    </row>
    <row r="3141" spans="1:42" ht="14.5" x14ac:dyDescent="0.35">
      <c r="A3141" s="2" t="s">
        <v>20888</v>
      </c>
      <c r="B3141" s="2">
        <v>343.22649740074303</v>
      </c>
      <c r="C3141" s="2">
        <v>4.7541500000000001</v>
      </c>
      <c r="D3141" s="2" t="s">
        <v>34</v>
      </c>
      <c r="E3141" s="2" t="s">
        <v>20889</v>
      </c>
      <c r="F3141" s="2">
        <v>273718</v>
      </c>
      <c r="G3141" s="3" t="str">
        <f>HYPERLINK("http://funmeta.oebiotech.com/network/273718", "http://funmeta.oebiotech.com/network/273718")</f>
        <v>http://funmeta.oebiotech.com/network/273718</v>
      </c>
      <c r="H3141" s="2"/>
      <c r="I3141" s="2">
        <v>62998</v>
      </c>
      <c r="J3141" s="2"/>
      <c r="K3141" s="2"/>
      <c r="L3141" s="2"/>
      <c r="M3141" s="2"/>
      <c r="N3141" s="2"/>
      <c r="O3141" s="2">
        <v>52195784</v>
      </c>
      <c r="P3141" s="2"/>
      <c r="Q3141" s="2" t="s">
        <v>20890</v>
      </c>
      <c r="R3141" s="2" t="s">
        <v>20891</v>
      </c>
      <c r="S3141" s="2" t="s">
        <v>50</v>
      </c>
      <c r="T3141" s="2" t="s">
        <v>229</v>
      </c>
      <c r="U3141" s="2" t="s">
        <v>433</v>
      </c>
      <c r="V3141" s="2" t="s">
        <v>59</v>
      </c>
      <c r="W3141" s="2">
        <v>38.9</v>
      </c>
      <c r="X3141" s="2">
        <v>0</v>
      </c>
      <c r="Y3141" s="2" t="s">
        <v>394</v>
      </c>
      <c r="Z3141" s="2" t="s">
        <v>2374</v>
      </c>
      <c r="AA3141" s="2">
        <v>-0.80022336999565202</v>
      </c>
      <c r="AB3141" s="2">
        <v>0.248344228798592</v>
      </c>
      <c r="AC3141" s="2">
        <v>27022.603381725501</v>
      </c>
      <c r="AD3141" s="2">
        <v>31833.298235178801</v>
      </c>
      <c r="AE3141" s="2">
        <v>25788.821996549799</v>
      </c>
      <c r="AF3141" s="2">
        <v>27828.036496361801</v>
      </c>
      <c r="AG3141" s="2">
        <v>28311.368661442299</v>
      </c>
      <c r="AH3141" s="2">
        <v>26885.460887228401</v>
      </c>
      <c r="AI3141" s="2">
        <v>25207.944377141499</v>
      </c>
      <c r="AJ3141" s="2">
        <v>28113.987871629299</v>
      </c>
      <c r="AK3141" s="2">
        <v>29132.765277177499</v>
      </c>
      <c r="AL3141" s="2">
        <v>33664.998149323401</v>
      </c>
      <c r="AM3141" s="2">
        <v>33956.224499768898</v>
      </c>
      <c r="AN3141" s="2">
        <v>30618.002513501699</v>
      </c>
      <c r="AO3141" s="2">
        <v>30725.0479006282</v>
      </c>
      <c r="AP3141" s="2">
        <v>32902.751070673301</v>
      </c>
    </row>
    <row r="3142" spans="1:42" ht="14.5" x14ac:dyDescent="0.35">
      <c r="A3142" s="2" t="s">
        <v>20892</v>
      </c>
      <c r="B3142" s="2">
        <v>365.19556018552697</v>
      </c>
      <c r="C3142" s="2">
        <v>4.4609500000000004</v>
      </c>
      <c r="D3142" s="2" t="s">
        <v>34</v>
      </c>
      <c r="E3142" s="2" t="s">
        <v>20893</v>
      </c>
      <c r="F3142" s="2">
        <v>467782</v>
      </c>
      <c r="G3142" s="3" t="str">
        <f>HYPERLINK("http://funmeta.oebiotech.com/network/467782", "http://funmeta.oebiotech.com/network/467782")</f>
        <v>http://funmeta.oebiotech.com/network/467782</v>
      </c>
      <c r="H3142" s="2"/>
      <c r="I3142" s="2">
        <v>85118</v>
      </c>
      <c r="J3142" s="2"/>
      <c r="K3142" s="2"/>
      <c r="L3142" s="2"/>
      <c r="M3142" s="2"/>
      <c r="N3142" s="2"/>
      <c r="O3142" s="2">
        <v>317610</v>
      </c>
      <c r="P3142" s="2"/>
      <c r="Q3142" s="2" t="s">
        <v>20894</v>
      </c>
      <c r="R3142" s="2" t="s">
        <v>20895</v>
      </c>
      <c r="S3142" s="2" t="s">
        <v>491</v>
      </c>
      <c r="T3142" s="2" t="s">
        <v>5973</v>
      </c>
      <c r="U3142" s="2" t="s">
        <v>5974</v>
      </c>
      <c r="V3142" s="2" t="s">
        <v>59</v>
      </c>
      <c r="W3142" s="2">
        <v>44.6</v>
      </c>
      <c r="X3142" s="2">
        <v>31.6</v>
      </c>
      <c r="Y3142" s="2" t="s">
        <v>394</v>
      </c>
      <c r="Z3142" s="2" t="s">
        <v>1309</v>
      </c>
      <c r="AA3142" s="2">
        <v>-0.83709869806882098</v>
      </c>
      <c r="AB3142" s="2">
        <v>0.248068377982746</v>
      </c>
      <c r="AC3142" s="2">
        <v>52592.3749883173</v>
      </c>
      <c r="AD3142" s="2">
        <v>47044.551861951302</v>
      </c>
      <c r="AE3142" s="2">
        <v>55018.133326911797</v>
      </c>
      <c r="AF3142" s="2">
        <v>51629.316187153199</v>
      </c>
      <c r="AG3142" s="2">
        <v>50508.975608978297</v>
      </c>
      <c r="AH3142" s="2">
        <v>50338.872833602902</v>
      </c>
      <c r="AI3142" s="2">
        <v>55910.489095544799</v>
      </c>
      <c r="AJ3142" s="2">
        <v>52148.462877712998</v>
      </c>
      <c r="AK3142" s="2">
        <v>45895.574580374298</v>
      </c>
      <c r="AL3142" s="2">
        <v>50040.208694485998</v>
      </c>
      <c r="AM3142" s="2">
        <v>46965.679260353601</v>
      </c>
      <c r="AN3142" s="2">
        <v>43946.655006293702</v>
      </c>
      <c r="AO3142" s="2">
        <v>43640.7392308817</v>
      </c>
      <c r="AP3142" s="2">
        <v>51778.454399318201</v>
      </c>
    </row>
    <row r="3143" spans="1:42" ht="14.5" x14ac:dyDescent="0.35">
      <c r="A3143" s="2" t="s">
        <v>20896</v>
      </c>
      <c r="B3143" s="2">
        <v>333.20356210897899</v>
      </c>
      <c r="C3143" s="2">
        <v>8.2503333333333302</v>
      </c>
      <c r="D3143" s="2" t="s">
        <v>34</v>
      </c>
      <c r="E3143" s="2" t="s">
        <v>20897</v>
      </c>
      <c r="F3143" s="2">
        <v>53549</v>
      </c>
      <c r="G3143" s="3" t="str">
        <f>HYPERLINK("http://funmeta.oebiotech.com/network/53549", "http://funmeta.oebiotech.com/network/53549")</f>
        <v>http://funmeta.oebiotech.com/network/53549</v>
      </c>
      <c r="H3143" s="2" t="s">
        <v>20898</v>
      </c>
      <c r="I3143" s="2">
        <v>85516</v>
      </c>
      <c r="J3143" s="2"/>
      <c r="K3143" s="2">
        <v>157186</v>
      </c>
      <c r="L3143" s="2"/>
      <c r="M3143" s="2"/>
      <c r="N3143" s="2"/>
      <c r="O3143" s="2">
        <v>43008</v>
      </c>
      <c r="P3143" s="2" t="s">
        <v>20899</v>
      </c>
      <c r="Q3143" s="2" t="s">
        <v>20900</v>
      </c>
      <c r="R3143" s="2" t="s">
        <v>20901</v>
      </c>
      <c r="S3143" s="2" t="s">
        <v>491</v>
      </c>
      <c r="T3143" s="2" t="s">
        <v>20902</v>
      </c>
      <c r="U3143" s="2" t="s">
        <v>41</v>
      </c>
      <c r="V3143" s="2" t="s">
        <v>59</v>
      </c>
      <c r="W3143" s="2">
        <v>38.299999999999997</v>
      </c>
      <c r="X3143" s="2">
        <v>0</v>
      </c>
      <c r="Y3143" s="2" t="s">
        <v>43</v>
      </c>
      <c r="Z3143" s="2" t="s">
        <v>20903</v>
      </c>
      <c r="AA3143" s="2">
        <v>0.67151920570242196</v>
      </c>
      <c r="AB3143" s="2">
        <v>0.24782536477511</v>
      </c>
      <c r="AC3143" s="2">
        <v>27254.056083318199</v>
      </c>
      <c r="AD3143" s="2">
        <v>32814.429355628803</v>
      </c>
      <c r="AE3143" s="2">
        <v>25651.458528131901</v>
      </c>
      <c r="AF3143" s="2">
        <v>29909.481093543</v>
      </c>
      <c r="AG3143" s="2">
        <v>27285.550430197702</v>
      </c>
      <c r="AH3143" s="2">
        <v>28171.008803326498</v>
      </c>
      <c r="AI3143" s="2">
        <v>27010.241605478801</v>
      </c>
      <c r="AJ3143" s="2">
        <v>25496.596039231601</v>
      </c>
      <c r="AK3143" s="2">
        <v>38586.847062078203</v>
      </c>
      <c r="AL3143" s="2">
        <v>33988.559970736504</v>
      </c>
      <c r="AM3143" s="2">
        <v>34119.784880771898</v>
      </c>
      <c r="AN3143" s="2">
        <v>32598.209444490101</v>
      </c>
      <c r="AO3143" s="2">
        <v>28635.543285095599</v>
      </c>
      <c r="AP3143" s="2">
        <v>28957.631490600401</v>
      </c>
    </row>
    <row r="3144" spans="1:42" ht="14.5" x14ac:dyDescent="0.35">
      <c r="A3144" s="2" t="s">
        <v>20904</v>
      </c>
      <c r="B3144" s="2">
        <v>631.33230396003205</v>
      </c>
      <c r="C3144" s="2">
        <v>6.8957833333333296</v>
      </c>
      <c r="D3144" s="2" t="s">
        <v>70</v>
      </c>
      <c r="E3144" s="2" t="s">
        <v>20905</v>
      </c>
      <c r="F3144" s="2">
        <v>210522</v>
      </c>
      <c r="G3144" s="3" t="str">
        <f>HYPERLINK("http://funmeta.oebiotech.com/network/210522", "http://funmeta.oebiotech.com/network/210522")</f>
        <v>http://funmeta.oebiotech.com/network/210522</v>
      </c>
      <c r="H3144" s="2" t="s">
        <v>20906</v>
      </c>
      <c r="I3144" s="2"/>
      <c r="J3144" s="2"/>
      <c r="K3144" s="2">
        <v>26213</v>
      </c>
      <c r="L3144" s="2"/>
      <c r="M3144" s="2"/>
      <c r="N3144" s="2"/>
      <c r="O3144" s="2">
        <v>9548659</v>
      </c>
      <c r="P3144" s="2"/>
      <c r="Q3144" s="2" t="s">
        <v>20907</v>
      </c>
      <c r="R3144" s="2" t="s">
        <v>20908</v>
      </c>
      <c r="S3144" s="2" t="s">
        <v>491</v>
      </c>
      <c r="T3144" s="2" t="s">
        <v>492</v>
      </c>
      <c r="U3144" s="2" t="s">
        <v>6398</v>
      </c>
      <c r="V3144" s="2" t="s">
        <v>59</v>
      </c>
      <c r="W3144" s="2">
        <v>38.700000000000003</v>
      </c>
      <c r="X3144" s="2">
        <v>0</v>
      </c>
      <c r="Y3144" s="2" t="s">
        <v>560</v>
      </c>
      <c r="Z3144" s="2" t="s">
        <v>20909</v>
      </c>
      <c r="AA3144" s="2">
        <v>3.1424208407785299</v>
      </c>
      <c r="AB3144" s="2">
        <v>0.24759900912001301</v>
      </c>
      <c r="AC3144" s="2">
        <v>3149.3229736718299</v>
      </c>
      <c r="AD3144" s="2">
        <v>7439.6777850312801</v>
      </c>
      <c r="AE3144" s="2">
        <v>3229.3387201898299</v>
      </c>
      <c r="AF3144" s="2">
        <v>2724.2399392017701</v>
      </c>
      <c r="AG3144" s="2">
        <v>2042.97421043599</v>
      </c>
      <c r="AH3144" s="2">
        <v>3079.6146443163698</v>
      </c>
      <c r="AI3144" s="2">
        <v>4223.00697132395</v>
      </c>
      <c r="AJ3144" s="2">
        <v>3596.7633565630599</v>
      </c>
      <c r="AK3144" s="2">
        <v>8296.0787327711005</v>
      </c>
      <c r="AL3144" s="2">
        <v>6742.9410406479401</v>
      </c>
      <c r="AM3144" s="2">
        <v>7600.9592051621503</v>
      </c>
      <c r="AN3144" s="2">
        <v>5909.2376679159597</v>
      </c>
      <c r="AO3144" s="2">
        <v>7387.2856764496401</v>
      </c>
      <c r="AP3144" s="2">
        <v>8701.56438724092</v>
      </c>
    </row>
    <row r="3145" spans="1:42" ht="14.5" x14ac:dyDescent="0.35">
      <c r="A3145" s="2" t="s">
        <v>20910</v>
      </c>
      <c r="B3145" s="2">
        <v>275.20035820139998</v>
      </c>
      <c r="C3145" s="2">
        <v>9.1395166666666707</v>
      </c>
      <c r="D3145" s="2" t="s">
        <v>34</v>
      </c>
      <c r="E3145" s="2" t="s">
        <v>20911</v>
      </c>
      <c r="F3145" s="2">
        <v>3303</v>
      </c>
      <c r="G3145" s="3" t="str">
        <f>HYPERLINK("http://funmeta.oebiotech.com/network/3303", "http://funmeta.oebiotech.com/network/3303")</f>
        <v>http://funmeta.oebiotech.com/network/3303</v>
      </c>
      <c r="H3145" s="2"/>
      <c r="I3145" s="2"/>
      <c r="J3145" s="2" t="s">
        <v>20912</v>
      </c>
      <c r="K3145" s="2"/>
      <c r="L3145" s="2"/>
      <c r="M3145" s="2"/>
      <c r="N3145" s="2"/>
      <c r="O3145" s="2"/>
      <c r="P3145" s="2"/>
      <c r="Q3145" s="2" t="s">
        <v>20913</v>
      </c>
      <c r="R3145" s="2" t="s">
        <v>20914</v>
      </c>
      <c r="S3145" s="2" t="s">
        <v>50</v>
      </c>
      <c r="T3145" s="2" t="s">
        <v>229</v>
      </c>
      <c r="U3145" s="2" t="s">
        <v>1360</v>
      </c>
      <c r="V3145" s="2" t="s">
        <v>42</v>
      </c>
      <c r="W3145" s="2">
        <v>51.1</v>
      </c>
      <c r="X3145" s="2">
        <v>60.1</v>
      </c>
      <c r="Y3145" s="2" t="s">
        <v>266</v>
      </c>
      <c r="Z3145" s="2" t="s">
        <v>20915</v>
      </c>
      <c r="AA3145" s="2">
        <v>-0.72322538468137598</v>
      </c>
      <c r="AB3145" s="2">
        <v>0.247463943346305</v>
      </c>
      <c r="AC3145" s="2">
        <v>37833.127251465201</v>
      </c>
      <c r="AD3145" s="2">
        <v>42278.700651034502</v>
      </c>
      <c r="AE3145" s="2">
        <v>37440.001705745999</v>
      </c>
      <c r="AF3145" s="2">
        <v>37052.670865605498</v>
      </c>
      <c r="AG3145" s="2">
        <v>37922.269250734098</v>
      </c>
      <c r="AH3145" s="2">
        <v>39488.127183335397</v>
      </c>
      <c r="AI3145" s="2">
        <v>37129.391060779402</v>
      </c>
      <c r="AJ3145" s="2">
        <v>37966.303442590601</v>
      </c>
      <c r="AK3145" s="2">
        <v>42141.237410906899</v>
      </c>
      <c r="AL3145" s="2">
        <v>42508.004615840196</v>
      </c>
      <c r="AM3145" s="2">
        <v>40511.139950701101</v>
      </c>
      <c r="AN3145" s="2">
        <v>41676.128212036499</v>
      </c>
      <c r="AO3145" s="2">
        <v>42269.748324173903</v>
      </c>
      <c r="AP3145" s="2">
        <v>44565.945392548201</v>
      </c>
    </row>
    <row r="3146" spans="1:42" ht="14.5" x14ac:dyDescent="0.35">
      <c r="A3146" s="2" t="s">
        <v>20916</v>
      </c>
      <c r="B3146" s="2">
        <v>459.11074298571998</v>
      </c>
      <c r="C3146" s="2">
        <v>1.3655666666666699</v>
      </c>
      <c r="D3146" s="2" t="s">
        <v>34</v>
      </c>
      <c r="E3146" s="2" t="s">
        <v>20917</v>
      </c>
      <c r="F3146" s="2">
        <v>63920</v>
      </c>
      <c r="G3146" s="3" t="str">
        <f>HYPERLINK("http://funmeta.oebiotech.com/network/63920", "http://funmeta.oebiotech.com/network/63920")</f>
        <v>http://funmeta.oebiotech.com/network/63920</v>
      </c>
      <c r="H3146" s="2" t="s">
        <v>20918</v>
      </c>
      <c r="I3146" s="2">
        <v>95254</v>
      </c>
      <c r="J3146" s="2"/>
      <c r="K3146" s="2"/>
      <c r="L3146" s="2"/>
      <c r="M3146" s="2"/>
      <c r="N3146" s="2"/>
      <c r="O3146" s="2">
        <v>10432264</v>
      </c>
      <c r="P3146" s="2" t="s">
        <v>20919</v>
      </c>
      <c r="Q3146" s="2" t="s">
        <v>20920</v>
      </c>
      <c r="R3146" s="2" t="s">
        <v>20921</v>
      </c>
      <c r="S3146" s="2" t="s">
        <v>491</v>
      </c>
      <c r="T3146" s="2" t="s">
        <v>2184</v>
      </c>
      <c r="U3146" s="2" t="s">
        <v>8546</v>
      </c>
      <c r="V3146" s="2" t="s">
        <v>59</v>
      </c>
      <c r="W3146" s="2">
        <v>40.5</v>
      </c>
      <c r="X3146" s="2">
        <v>16.399999999999999</v>
      </c>
      <c r="Y3146" s="2" t="s">
        <v>340</v>
      </c>
      <c r="Z3146" s="2" t="s">
        <v>20922</v>
      </c>
      <c r="AA3146" s="2">
        <v>0.45792510766335198</v>
      </c>
      <c r="AB3146" s="2">
        <v>0.247449873835446</v>
      </c>
      <c r="AC3146" s="2">
        <v>59319.486710228302</v>
      </c>
      <c r="AD3146" s="2">
        <v>67733.540107519206</v>
      </c>
      <c r="AE3146" s="2">
        <v>65233.117795642996</v>
      </c>
      <c r="AF3146" s="2">
        <v>52217.1431523188</v>
      </c>
      <c r="AG3146" s="2">
        <v>57130.181237863602</v>
      </c>
      <c r="AH3146" s="2">
        <v>54040.393996845203</v>
      </c>
      <c r="AI3146" s="2">
        <v>50275.355238024997</v>
      </c>
      <c r="AJ3146" s="2">
        <v>77020.728840673895</v>
      </c>
      <c r="AK3146" s="2">
        <v>63552.751421660098</v>
      </c>
      <c r="AL3146" s="2">
        <v>70903.808920133102</v>
      </c>
      <c r="AM3146" s="2">
        <v>73015.022791690601</v>
      </c>
      <c r="AN3146" s="2">
        <v>60929.2615088452</v>
      </c>
      <c r="AO3146" s="2">
        <v>63000.5408124893</v>
      </c>
      <c r="AP3146" s="2">
        <v>74999.855190297007</v>
      </c>
    </row>
    <row r="3147" spans="1:42" ht="14.5" x14ac:dyDescent="0.35">
      <c r="A3147" s="2" t="s">
        <v>20923</v>
      </c>
      <c r="B3147" s="2">
        <v>210.19642857503001</v>
      </c>
      <c r="C3147" s="2">
        <v>12.904949999999999</v>
      </c>
      <c r="D3147" s="2" t="s">
        <v>34</v>
      </c>
      <c r="E3147" s="2" t="s">
        <v>20924</v>
      </c>
      <c r="F3147" s="2">
        <v>203411</v>
      </c>
      <c r="G3147" s="3" t="str">
        <f>HYPERLINK("http://funmeta.oebiotech.com/network/203411", "http://funmeta.oebiotech.com/network/203411")</f>
        <v>http://funmeta.oebiotech.com/network/203411</v>
      </c>
      <c r="H3147" s="2" t="s">
        <v>20925</v>
      </c>
      <c r="I3147" s="2"/>
      <c r="J3147" s="2"/>
      <c r="K3147" s="2"/>
      <c r="L3147" s="2"/>
      <c r="M3147" s="2"/>
      <c r="N3147" s="2"/>
      <c r="O3147" s="2">
        <v>3043606</v>
      </c>
      <c r="P3147" s="2"/>
      <c r="Q3147" s="2" t="s">
        <v>20926</v>
      </c>
      <c r="R3147" s="2" t="s">
        <v>20927</v>
      </c>
      <c r="S3147" s="2" t="s">
        <v>148</v>
      </c>
      <c r="T3147" s="2" t="s">
        <v>149</v>
      </c>
      <c r="U3147" s="2" t="s">
        <v>13117</v>
      </c>
      <c r="V3147" s="2" t="s">
        <v>59</v>
      </c>
      <c r="W3147" s="2">
        <v>39.200000000000003</v>
      </c>
      <c r="X3147" s="2">
        <v>0</v>
      </c>
      <c r="Y3147" s="2" t="s">
        <v>43</v>
      </c>
      <c r="Z3147" s="2" t="s">
        <v>20928</v>
      </c>
      <c r="AA3147" s="2">
        <v>-0.23733004680890499</v>
      </c>
      <c r="AB3147" s="2">
        <v>0.24731123136243899</v>
      </c>
      <c r="AC3147" s="2">
        <v>8554.1872084101797</v>
      </c>
      <c r="AD3147" s="2">
        <v>4469.3180646477604</v>
      </c>
      <c r="AE3147" s="2">
        <v>8747.4299141548599</v>
      </c>
      <c r="AF3147" s="2">
        <v>9432.3379416210701</v>
      </c>
      <c r="AG3147" s="2">
        <v>8783.9058837744196</v>
      </c>
      <c r="AH3147" s="2">
        <v>8292.8694345475305</v>
      </c>
      <c r="AI3147" s="2">
        <v>7991.4877560516898</v>
      </c>
      <c r="AJ3147" s="2">
        <v>8077.0923203114999</v>
      </c>
      <c r="AK3147" s="2">
        <v>4610.6177051590503</v>
      </c>
      <c r="AL3147" s="2">
        <v>4570.8273222682701</v>
      </c>
      <c r="AM3147" s="2">
        <v>3948.6279961550899</v>
      </c>
      <c r="AN3147" s="2">
        <v>4985.3807961026596</v>
      </c>
      <c r="AO3147" s="2">
        <v>4407.2688568902504</v>
      </c>
      <c r="AP3147" s="2">
        <v>4293.1857113112201</v>
      </c>
    </row>
    <row r="3148" spans="1:42" ht="14.5" x14ac:dyDescent="0.35">
      <c r="A3148" s="2" t="s">
        <v>20929</v>
      </c>
      <c r="B3148" s="2">
        <v>347.17095115241602</v>
      </c>
      <c r="C3148" s="2">
        <v>4.8264500000000004</v>
      </c>
      <c r="D3148" s="2" t="s">
        <v>70</v>
      </c>
      <c r="E3148" s="2" t="s">
        <v>20930</v>
      </c>
      <c r="F3148" s="2">
        <v>2816</v>
      </c>
      <c r="G3148" s="3" t="str">
        <f>HYPERLINK("http://funmeta.oebiotech.com/network/2816", "http://funmeta.oebiotech.com/network/2816")</f>
        <v>http://funmeta.oebiotech.com/network/2816</v>
      </c>
      <c r="H3148" s="2" t="s">
        <v>20931</v>
      </c>
      <c r="I3148" s="2">
        <v>4243</v>
      </c>
      <c r="J3148" s="2" t="s">
        <v>20932</v>
      </c>
      <c r="K3148" s="2">
        <v>9300</v>
      </c>
      <c r="L3148" s="2" t="s">
        <v>20933</v>
      </c>
      <c r="M3148" s="2"/>
      <c r="N3148" s="2"/>
      <c r="O3148" s="2">
        <v>10457</v>
      </c>
      <c r="P3148" s="2" t="s">
        <v>20934</v>
      </c>
      <c r="Q3148" s="2" t="s">
        <v>20935</v>
      </c>
      <c r="R3148" s="2" t="s">
        <v>20936</v>
      </c>
      <c r="S3148" s="2" t="s">
        <v>50</v>
      </c>
      <c r="T3148" s="2" t="s">
        <v>229</v>
      </c>
      <c r="U3148" s="2" t="s">
        <v>433</v>
      </c>
      <c r="V3148" s="2" t="s">
        <v>59</v>
      </c>
      <c r="W3148" s="2">
        <v>39.4</v>
      </c>
      <c r="X3148" s="2">
        <v>0</v>
      </c>
      <c r="Y3148" s="2" t="s">
        <v>560</v>
      </c>
      <c r="Z3148" s="2" t="s">
        <v>20937</v>
      </c>
      <c r="AA3148" s="2">
        <v>-0.546472768210569</v>
      </c>
      <c r="AB3148" s="2">
        <v>0.247180140960681</v>
      </c>
      <c r="AC3148" s="2">
        <v>10035.5942060495</v>
      </c>
      <c r="AD3148" s="2">
        <v>14373.136047639</v>
      </c>
      <c r="AE3148" s="2">
        <v>10681.6648418772</v>
      </c>
      <c r="AF3148" s="2">
        <v>10768.372013145099</v>
      </c>
      <c r="AG3148" s="2">
        <v>9536.4895238413792</v>
      </c>
      <c r="AH3148" s="2">
        <v>10537.867891297899</v>
      </c>
      <c r="AI3148" s="2">
        <v>9383.5715866763003</v>
      </c>
      <c r="AJ3148" s="2">
        <v>9305.5993794590504</v>
      </c>
      <c r="AK3148" s="2">
        <v>14250.647400899201</v>
      </c>
      <c r="AL3148" s="2">
        <v>15578.795184459899</v>
      </c>
      <c r="AM3148" s="2">
        <v>13848.6304265499</v>
      </c>
      <c r="AN3148" s="2">
        <v>15916.3380534189</v>
      </c>
      <c r="AO3148" s="2">
        <v>13882.235565303999</v>
      </c>
      <c r="AP3148" s="2">
        <v>12762.1696552023</v>
      </c>
    </row>
    <row r="3149" spans="1:42" ht="14.5" x14ac:dyDescent="0.35">
      <c r="A3149" s="2" t="s">
        <v>20938</v>
      </c>
      <c r="B3149" s="2">
        <v>330.00299357376099</v>
      </c>
      <c r="C3149" s="2">
        <v>1.58995</v>
      </c>
      <c r="D3149" s="2" t="s">
        <v>34</v>
      </c>
      <c r="E3149" s="2" t="s">
        <v>20939</v>
      </c>
      <c r="F3149" s="2">
        <v>211437</v>
      </c>
      <c r="G3149" s="3" t="str">
        <f>HYPERLINK("http://funmeta.oebiotech.com/network/211437", "http://funmeta.oebiotech.com/network/211437")</f>
        <v>http://funmeta.oebiotech.com/network/211437</v>
      </c>
      <c r="H3149" s="2" t="s">
        <v>20940</v>
      </c>
      <c r="I3149" s="2"/>
      <c r="J3149" s="2"/>
      <c r="K3149" s="2"/>
      <c r="L3149" s="2"/>
      <c r="M3149" s="2"/>
      <c r="N3149" s="2"/>
      <c r="O3149" s="2">
        <v>53657791</v>
      </c>
      <c r="P3149" s="2"/>
      <c r="Q3149" s="2" t="s">
        <v>20941</v>
      </c>
      <c r="R3149" s="2" t="s">
        <v>20942</v>
      </c>
      <c r="S3149" s="2" t="s">
        <v>41</v>
      </c>
      <c r="T3149" s="2" t="s">
        <v>41</v>
      </c>
      <c r="U3149" s="2" t="s">
        <v>41</v>
      </c>
      <c r="V3149" s="2" t="s">
        <v>59</v>
      </c>
      <c r="W3149" s="2">
        <v>36</v>
      </c>
      <c r="X3149" s="2">
        <v>0</v>
      </c>
      <c r="Y3149" s="2" t="s">
        <v>43</v>
      </c>
      <c r="Z3149" s="2" t="s">
        <v>20943</v>
      </c>
      <c r="AA3149" s="2">
        <v>-4.2358202246769698</v>
      </c>
      <c r="AB3149" s="2">
        <v>0.24712633756464999</v>
      </c>
      <c r="AC3149" s="2">
        <v>3038.8056693931899</v>
      </c>
      <c r="AD3149" s="2">
        <v>7098.2861135904104</v>
      </c>
      <c r="AE3149" s="2">
        <v>3053.7393266941599</v>
      </c>
      <c r="AF3149" s="2">
        <v>2922.3287599807099</v>
      </c>
      <c r="AG3149" s="2">
        <v>2936.8709438754099</v>
      </c>
      <c r="AH3149" s="2">
        <v>2898.3712998609499</v>
      </c>
      <c r="AI3149" s="2">
        <v>3172.7570399903502</v>
      </c>
      <c r="AJ3149" s="2">
        <v>3248.7666459575498</v>
      </c>
      <c r="AK3149" s="2">
        <v>6949.1081114058397</v>
      </c>
      <c r="AL3149" s="2">
        <v>6445.5656048521196</v>
      </c>
      <c r="AM3149" s="2">
        <v>6923.13184684115</v>
      </c>
      <c r="AN3149" s="2">
        <v>6877.1640494266403</v>
      </c>
      <c r="AO3149" s="2">
        <v>7555.3949213123096</v>
      </c>
      <c r="AP3149" s="2">
        <v>7839.3521477043996</v>
      </c>
    </row>
    <row r="3150" spans="1:42" ht="14.5" x14ac:dyDescent="0.35">
      <c r="A3150" s="2" t="s">
        <v>20944</v>
      </c>
      <c r="B3150" s="2">
        <v>690.34197513307402</v>
      </c>
      <c r="C3150" s="2">
        <v>7.0835499999999998</v>
      </c>
      <c r="D3150" s="2" t="s">
        <v>70</v>
      </c>
      <c r="E3150" s="2" t="s">
        <v>20945</v>
      </c>
      <c r="F3150" s="2">
        <v>255007</v>
      </c>
      <c r="G3150" s="3" t="str">
        <f>HYPERLINK("http://funmeta.oebiotech.com/network/255007", "http://funmeta.oebiotech.com/network/255007")</f>
        <v>http://funmeta.oebiotech.com/network/255007</v>
      </c>
      <c r="H3150" s="2" t="s">
        <v>20946</v>
      </c>
      <c r="I3150" s="2"/>
      <c r="J3150" s="2"/>
      <c r="K3150" s="2"/>
      <c r="L3150" s="2"/>
      <c r="M3150" s="2"/>
      <c r="N3150" s="2"/>
      <c r="O3150" s="2">
        <v>382711</v>
      </c>
      <c r="P3150" s="2"/>
      <c r="Q3150" s="2" t="s">
        <v>20947</v>
      </c>
      <c r="R3150" s="2" t="s">
        <v>20948</v>
      </c>
      <c r="S3150" s="2" t="s">
        <v>89</v>
      </c>
      <c r="T3150" s="2" t="s">
        <v>90</v>
      </c>
      <c r="U3150" s="2" t="s">
        <v>99</v>
      </c>
      <c r="V3150" s="2" t="s">
        <v>59</v>
      </c>
      <c r="W3150" s="2">
        <v>37.1</v>
      </c>
      <c r="X3150" s="2">
        <v>0</v>
      </c>
      <c r="Y3150" s="2" t="s">
        <v>408</v>
      </c>
      <c r="Z3150" s="2" t="s">
        <v>20949</v>
      </c>
      <c r="AA3150" s="2">
        <v>3.6746510627436599</v>
      </c>
      <c r="AB3150" s="2">
        <v>0.247076646574237</v>
      </c>
      <c r="AC3150" s="2">
        <v>8960.8804602871896</v>
      </c>
      <c r="AD3150" s="2">
        <v>13821.1383296243</v>
      </c>
      <c r="AE3150" s="2">
        <v>13083.864677276501</v>
      </c>
      <c r="AF3150" s="2">
        <v>7707.0314224730901</v>
      </c>
      <c r="AG3150" s="2">
        <v>8694.6658927566696</v>
      </c>
      <c r="AH3150" s="2">
        <v>7696.83342429188</v>
      </c>
      <c r="AI3150" s="2">
        <v>9450.9478558057108</v>
      </c>
      <c r="AJ3150" s="2">
        <v>7131.9394891192696</v>
      </c>
      <c r="AK3150" s="2">
        <v>11767.8148988823</v>
      </c>
      <c r="AL3150" s="2">
        <v>13537.7650702101</v>
      </c>
      <c r="AM3150" s="2">
        <v>14961.3188820428</v>
      </c>
      <c r="AN3150" s="2">
        <v>15076.753437617101</v>
      </c>
      <c r="AO3150" s="2">
        <v>15054.686087887199</v>
      </c>
      <c r="AP3150" s="2">
        <v>12528.4916011061</v>
      </c>
    </row>
    <row r="3151" spans="1:42" ht="14.5" x14ac:dyDescent="0.35">
      <c r="A3151" s="2" t="s">
        <v>20950</v>
      </c>
      <c r="B3151" s="2">
        <v>468.18699854828799</v>
      </c>
      <c r="C3151" s="2">
        <v>4.7931333333333299</v>
      </c>
      <c r="D3151" s="2" t="s">
        <v>70</v>
      </c>
      <c r="E3151" s="2" t="s">
        <v>20951</v>
      </c>
      <c r="F3151" s="2">
        <v>55148</v>
      </c>
      <c r="G3151" s="3" t="str">
        <f>HYPERLINK("http://funmeta.oebiotech.com/network/55148", "http://funmeta.oebiotech.com/network/55148")</f>
        <v>http://funmeta.oebiotech.com/network/55148</v>
      </c>
      <c r="H3151" s="2" t="s">
        <v>20952</v>
      </c>
      <c r="I3151" s="2"/>
      <c r="J3151" s="2"/>
      <c r="K3151" s="2">
        <v>168828</v>
      </c>
      <c r="L3151" s="2"/>
      <c r="M3151" s="2"/>
      <c r="N3151" s="2"/>
      <c r="O3151" s="2">
        <v>6440206</v>
      </c>
      <c r="P3151" s="2" t="s">
        <v>20953</v>
      </c>
      <c r="Q3151" s="2" t="s">
        <v>20954</v>
      </c>
      <c r="R3151" s="2" t="s">
        <v>20955</v>
      </c>
      <c r="S3151" s="2" t="s">
        <v>491</v>
      </c>
      <c r="T3151" s="2" t="s">
        <v>20956</v>
      </c>
      <c r="U3151" s="2" t="s">
        <v>41</v>
      </c>
      <c r="V3151" s="2" t="s">
        <v>59</v>
      </c>
      <c r="W3151" s="2">
        <v>38.6</v>
      </c>
      <c r="X3151" s="2">
        <v>0</v>
      </c>
      <c r="Y3151" s="2" t="s">
        <v>408</v>
      </c>
      <c r="Z3151" s="2" t="s">
        <v>20957</v>
      </c>
      <c r="AA3151" s="2">
        <v>-1.2316308597080601</v>
      </c>
      <c r="AB3151" s="2">
        <v>0.24690799896499999</v>
      </c>
      <c r="AC3151" s="2">
        <v>8166.1808127388904</v>
      </c>
      <c r="AD3151" s="2">
        <v>3763.9153380973398</v>
      </c>
      <c r="AE3151" s="2">
        <v>9074.7943279894407</v>
      </c>
      <c r="AF3151" s="2">
        <v>5940.03404183775</v>
      </c>
      <c r="AG3151" s="2">
        <v>9721.7369030850405</v>
      </c>
      <c r="AH3151" s="2">
        <v>8514.4039207884507</v>
      </c>
      <c r="AI3151" s="2">
        <v>7278.7420714530499</v>
      </c>
      <c r="AJ3151" s="2">
        <v>8467.3736112795905</v>
      </c>
      <c r="AK3151" s="2">
        <v>3888.3850895559099</v>
      </c>
      <c r="AL3151" s="2">
        <v>3280.3108448620401</v>
      </c>
      <c r="AM3151" s="2">
        <v>4390.1397992287903</v>
      </c>
      <c r="AN3151" s="2">
        <v>3275.69440952368</v>
      </c>
      <c r="AO3151" s="2">
        <v>4968.8986220534398</v>
      </c>
      <c r="AP3151" s="2">
        <v>2780.0632633601999</v>
      </c>
    </row>
    <row r="3152" spans="1:42" ht="14.5" x14ac:dyDescent="0.35">
      <c r="A3152" s="2" t="s">
        <v>20958</v>
      </c>
      <c r="B3152" s="2">
        <v>419.35154573168001</v>
      </c>
      <c r="C3152" s="2">
        <v>12.78355</v>
      </c>
      <c r="D3152" s="2" t="s">
        <v>34</v>
      </c>
      <c r="E3152" s="2" t="s">
        <v>20959</v>
      </c>
      <c r="F3152" s="2">
        <v>202510</v>
      </c>
      <c r="G3152" s="3" t="str">
        <f>HYPERLINK("http://funmeta.oebiotech.com/network/202510", "http://funmeta.oebiotech.com/network/202510")</f>
        <v>http://funmeta.oebiotech.com/network/202510</v>
      </c>
      <c r="H3152" s="2" t="s">
        <v>20960</v>
      </c>
      <c r="I3152" s="2"/>
      <c r="J3152" s="2"/>
      <c r="K3152" s="2"/>
      <c r="L3152" s="2"/>
      <c r="M3152" s="2"/>
      <c r="N3152" s="2"/>
      <c r="O3152" s="2"/>
      <c r="P3152" s="2"/>
      <c r="Q3152" s="2" t="s">
        <v>20961</v>
      </c>
      <c r="R3152" s="2" t="s">
        <v>20962</v>
      </c>
      <c r="S3152" s="2" t="s">
        <v>50</v>
      </c>
      <c r="T3152" s="2" t="s">
        <v>124</v>
      </c>
      <c r="U3152" s="2" t="s">
        <v>2789</v>
      </c>
      <c r="V3152" s="2" t="s">
        <v>42</v>
      </c>
      <c r="W3152" s="2">
        <v>52.9</v>
      </c>
      <c r="X3152" s="2">
        <v>72.099999999999994</v>
      </c>
      <c r="Y3152" s="2" t="s">
        <v>394</v>
      </c>
      <c r="Z3152" s="2" t="s">
        <v>20963</v>
      </c>
      <c r="AA3152" s="2">
        <v>-1.01838083592384</v>
      </c>
      <c r="AB3152" s="2">
        <v>0.24671820356474</v>
      </c>
      <c r="AC3152" s="2">
        <v>15389.8848848095</v>
      </c>
      <c r="AD3152" s="2">
        <v>10952.7157845773</v>
      </c>
      <c r="AE3152" s="2">
        <v>14273.006620691</v>
      </c>
      <c r="AF3152" s="2">
        <v>14097.4451763835</v>
      </c>
      <c r="AG3152" s="2">
        <v>15812.063594973401</v>
      </c>
      <c r="AH3152" s="2">
        <v>16579.1025615488</v>
      </c>
      <c r="AI3152" s="2">
        <v>15789.9561856702</v>
      </c>
      <c r="AJ3152" s="2">
        <v>15787.7351695904</v>
      </c>
      <c r="AK3152" s="2">
        <v>12082.2805597612</v>
      </c>
      <c r="AL3152" s="2">
        <v>11474.117337748001</v>
      </c>
      <c r="AM3152" s="2">
        <v>8434.6974674343401</v>
      </c>
      <c r="AN3152" s="2">
        <v>11090.2294641475</v>
      </c>
      <c r="AO3152" s="2">
        <v>11925.4770380646</v>
      </c>
      <c r="AP3152" s="2">
        <v>10709.492840308299</v>
      </c>
    </row>
    <row r="3153" spans="1:42" ht="14.5" x14ac:dyDescent="0.35">
      <c r="A3153" s="2" t="s">
        <v>20964</v>
      </c>
      <c r="B3153" s="2">
        <v>733.24514028428405</v>
      </c>
      <c r="C3153" s="2">
        <v>4.9343500000000002</v>
      </c>
      <c r="D3153" s="2" t="s">
        <v>70</v>
      </c>
      <c r="E3153" s="2" t="s">
        <v>20965</v>
      </c>
      <c r="F3153" s="2">
        <v>208067</v>
      </c>
      <c r="G3153" s="3" t="str">
        <f>HYPERLINK("http://funmeta.oebiotech.com/network/208067", "http://funmeta.oebiotech.com/network/208067")</f>
        <v>http://funmeta.oebiotech.com/network/208067</v>
      </c>
      <c r="H3153" s="2" t="s">
        <v>20966</v>
      </c>
      <c r="I3153" s="2"/>
      <c r="J3153" s="2"/>
      <c r="K3153" s="2"/>
      <c r="L3153" s="2"/>
      <c r="M3153" s="2"/>
      <c r="N3153" s="2"/>
      <c r="O3153" s="2">
        <v>25211910</v>
      </c>
      <c r="P3153" s="2"/>
      <c r="Q3153" s="2" t="s">
        <v>20967</v>
      </c>
      <c r="R3153" s="2" t="s">
        <v>20968</v>
      </c>
      <c r="S3153" s="2" t="s">
        <v>41</v>
      </c>
      <c r="T3153" s="2" t="s">
        <v>41</v>
      </c>
      <c r="U3153" s="2" t="s">
        <v>41</v>
      </c>
      <c r="V3153" s="2" t="s">
        <v>59</v>
      </c>
      <c r="W3153" s="2">
        <v>36.700000000000003</v>
      </c>
      <c r="X3153" s="2">
        <v>0</v>
      </c>
      <c r="Y3153" s="2" t="s">
        <v>560</v>
      </c>
      <c r="Z3153" s="2" t="s">
        <v>20969</v>
      </c>
      <c r="AA3153" s="2">
        <v>4.7444223705587598</v>
      </c>
      <c r="AB3153" s="2">
        <v>0.24633886671851901</v>
      </c>
      <c r="AC3153" s="2">
        <v>7375.6933240749004</v>
      </c>
      <c r="AD3153" s="2">
        <v>2883.1582593241101</v>
      </c>
      <c r="AE3153" s="2">
        <v>9195.3234138200605</v>
      </c>
      <c r="AF3153" s="2">
        <v>5376.5776676878804</v>
      </c>
      <c r="AG3153" s="2">
        <v>7535.7546402873804</v>
      </c>
      <c r="AH3153" s="2">
        <v>8547.3068588391106</v>
      </c>
      <c r="AI3153" s="2">
        <v>5112.6149336570497</v>
      </c>
      <c r="AJ3153" s="2">
        <v>8486.5824301579196</v>
      </c>
      <c r="AK3153" s="2">
        <v>2495.4530920632501</v>
      </c>
      <c r="AL3153" s="2">
        <v>3146.62584082783</v>
      </c>
      <c r="AM3153" s="2">
        <v>3223.3615875135301</v>
      </c>
      <c r="AN3153" s="2">
        <v>3496.3526322217399</v>
      </c>
      <c r="AO3153" s="2">
        <v>1687.38931089932</v>
      </c>
      <c r="AP3153" s="2">
        <v>3249.7670924190002</v>
      </c>
    </row>
    <row r="3154" spans="1:42" ht="14.5" x14ac:dyDescent="0.35">
      <c r="A3154" s="2" t="s">
        <v>20970</v>
      </c>
      <c r="B3154" s="2">
        <v>282.11820772052499</v>
      </c>
      <c r="C3154" s="2">
        <v>1.2567999999999999</v>
      </c>
      <c r="D3154" s="2" t="s">
        <v>34</v>
      </c>
      <c r="E3154" s="2" t="s">
        <v>20971</v>
      </c>
      <c r="F3154" s="2">
        <v>58671</v>
      </c>
      <c r="G3154" s="3" t="str">
        <f>HYPERLINK("http://funmeta.oebiotech.com/network/58671", "http://funmeta.oebiotech.com/network/58671")</f>
        <v>http://funmeta.oebiotech.com/network/58671</v>
      </c>
      <c r="H3154" s="2" t="s">
        <v>20972</v>
      </c>
      <c r="I3154" s="2">
        <v>90132</v>
      </c>
      <c r="J3154" s="2"/>
      <c r="K3154" s="2">
        <v>174468</v>
      </c>
      <c r="L3154" s="2"/>
      <c r="M3154" s="2"/>
      <c r="N3154" s="2"/>
      <c r="O3154" s="2">
        <v>72569818</v>
      </c>
      <c r="P3154" s="2" t="s">
        <v>20973</v>
      </c>
      <c r="Q3154" s="2" t="s">
        <v>20974</v>
      </c>
      <c r="R3154" s="2" t="s">
        <v>20975</v>
      </c>
      <c r="S3154" s="2" t="s">
        <v>79</v>
      </c>
      <c r="T3154" s="2" t="s">
        <v>80</v>
      </c>
      <c r="U3154" s="2" t="s">
        <v>81</v>
      </c>
      <c r="V3154" s="2" t="s">
        <v>59</v>
      </c>
      <c r="W3154" s="2">
        <v>40.200000000000003</v>
      </c>
      <c r="X3154" s="2">
        <v>5.95</v>
      </c>
      <c r="Y3154" s="2" t="s">
        <v>43</v>
      </c>
      <c r="Z3154" s="2" t="s">
        <v>20976</v>
      </c>
      <c r="AA3154" s="2">
        <v>-0.51225674370547403</v>
      </c>
      <c r="AB3154" s="2">
        <v>0.24627285499437801</v>
      </c>
      <c r="AC3154" s="2">
        <v>41039.986921708602</v>
      </c>
      <c r="AD3154" s="2">
        <v>46006.006507616301</v>
      </c>
      <c r="AE3154" s="2">
        <v>38781.578876936699</v>
      </c>
      <c r="AF3154" s="2">
        <v>39378.165583463597</v>
      </c>
      <c r="AG3154" s="2">
        <v>41033.554794324104</v>
      </c>
      <c r="AH3154" s="2">
        <v>42693.854223232003</v>
      </c>
      <c r="AI3154" s="2">
        <v>41531.303708776199</v>
      </c>
      <c r="AJ3154" s="2">
        <v>42821.464343519103</v>
      </c>
      <c r="AK3154" s="2">
        <v>42650.615319780503</v>
      </c>
      <c r="AL3154" s="2">
        <v>45772.298234344897</v>
      </c>
      <c r="AM3154" s="2">
        <v>45344.127533147403</v>
      </c>
      <c r="AN3154" s="2">
        <v>48484.747426375201</v>
      </c>
      <c r="AO3154" s="2">
        <v>44755.238920130098</v>
      </c>
      <c r="AP3154" s="2">
        <v>49029.011611919697</v>
      </c>
    </row>
    <row r="3155" spans="1:42" ht="14.5" x14ac:dyDescent="0.35">
      <c r="A3155" s="2" t="s">
        <v>20977</v>
      </c>
      <c r="B3155" s="2">
        <v>327.04505540096699</v>
      </c>
      <c r="C3155" s="2">
        <v>4.0250666666666701</v>
      </c>
      <c r="D3155" s="2" t="s">
        <v>70</v>
      </c>
      <c r="E3155" s="2" t="s">
        <v>20978</v>
      </c>
      <c r="F3155" s="2">
        <v>57152</v>
      </c>
      <c r="G3155" s="3" t="str">
        <f>HYPERLINK("http://funmeta.oebiotech.com/network/57152", "http://funmeta.oebiotech.com/network/57152")</f>
        <v>http://funmeta.oebiotech.com/network/57152</v>
      </c>
      <c r="H3155" s="2" t="s">
        <v>20979</v>
      </c>
      <c r="I3155" s="2"/>
      <c r="J3155" s="2"/>
      <c r="K3155" s="2"/>
      <c r="L3155" s="2"/>
      <c r="M3155" s="2"/>
      <c r="N3155" s="2"/>
      <c r="O3155" s="2"/>
      <c r="P3155" s="2" t="s">
        <v>20980</v>
      </c>
      <c r="Q3155" s="2" t="s">
        <v>20981</v>
      </c>
      <c r="R3155" s="2" t="s">
        <v>20982</v>
      </c>
      <c r="S3155" s="2" t="s">
        <v>148</v>
      </c>
      <c r="T3155" s="2" t="s">
        <v>6221</v>
      </c>
      <c r="U3155" s="2" t="s">
        <v>20983</v>
      </c>
      <c r="V3155" s="2" t="s">
        <v>59</v>
      </c>
      <c r="W3155" s="2">
        <v>37.700000000000003</v>
      </c>
      <c r="X3155" s="2">
        <v>0</v>
      </c>
      <c r="Y3155" s="2" t="s">
        <v>118</v>
      </c>
      <c r="Z3155" s="2" t="s">
        <v>20984</v>
      </c>
      <c r="AA3155" s="2">
        <v>1.6886367470469901</v>
      </c>
      <c r="AB3155" s="2">
        <v>0.24622039719181801</v>
      </c>
      <c r="AC3155" s="2">
        <v>71329.942805819199</v>
      </c>
      <c r="AD3155" s="2">
        <v>65389.564481464498</v>
      </c>
      <c r="AE3155" s="2">
        <v>66958.020451568605</v>
      </c>
      <c r="AF3155" s="2">
        <v>68641.899225619403</v>
      </c>
      <c r="AG3155" s="2">
        <v>73115.678054436896</v>
      </c>
      <c r="AH3155" s="2">
        <v>77113.623753247404</v>
      </c>
      <c r="AI3155" s="2">
        <v>67874.561908039701</v>
      </c>
      <c r="AJ3155" s="2">
        <v>74275.873442002994</v>
      </c>
      <c r="AK3155" s="2">
        <v>61837.003352893298</v>
      </c>
      <c r="AL3155" s="2">
        <v>66638.368938245694</v>
      </c>
      <c r="AM3155" s="2">
        <v>70186.205364395006</v>
      </c>
      <c r="AN3155" s="2">
        <v>63026.467567374202</v>
      </c>
      <c r="AO3155" s="2">
        <v>63583.117652196102</v>
      </c>
      <c r="AP3155" s="2">
        <v>67066.224013682906</v>
      </c>
    </row>
    <row r="3156" spans="1:42" ht="14.5" x14ac:dyDescent="0.35">
      <c r="A3156" s="2" t="s">
        <v>20985</v>
      </c>
      <c r="B3156" s="2">
        <v>565.40133262657798</v>
      </c>
      <c r="C3156" s="2">
        <v>13.611383333333301</v>
      </c>
      <c r="D3156" s="2" t="s">
        <v>34</v>
      </c>
      <c r="E3156" s="2" t="s">
        <v>20986</v>
      </c>
      <c r="F3156" s="2">
        <v>37538</v>
      </c>
      <c r="G3156" s="3" t="str">
        <f>HYPERLINK("http://funmeta.oebiotech.com/network/37538", "http://funmeta.oebiotech.com/network/37538")</f>
        <v>http://funmeta.oebiotech.com/network/37538</v>
      </c>
      <c r="H3156" s="2"/>
      <c r="I3156" s="2">
        <v>53883</v>
      </c>
      <c r="J3156" s="2" t="s">
        <v>20987</v>
      </c>
      <c r="K3156" s="2"/>
      <c r="L3156" s="2"/>
      <c r="M3156" s="2"/>
      <c r="N3156" s="2"/>
      <c r="O3156" s="2">
        <v>42608330</v>
      </c>
      <c r="P3156" s="2"/>
      <c r="Q3156" s="2" t="s">
        <v>20988</v>
      </c>
      <c r="R3156" s="2" t="s">
        <v>20989</v>
      </c>
      <c r="S3156" s="2" t="s">
        <v>50</v>
      </c>
      <c r="T3156" s="2" t="s">
        <v>201</v>
      </c>
      <c r="U3156" s="2" t="s">
        <v>6214</v>
      </c>
      <c r="V3156" s="2" t="s">
        <v>59</v>
      </c>
      <c r="W3156" s="2">
        <v>36.299999999999997</v>
      </c>
      <c r="X3156" s="2">
        <v>0</v>
      </c>
      <c r="Y3156" s="2" t="s">
        <v>340</v>
      </c>
      <c r="Z3156" s="2" t="s">
        <v>20990</v>
      </c>
      <c r="AA3156" s="2">
        <v>-0.80004043237298805</v>
      </c>
      <c r="AB3156" s="2">
        <v>0.24621644992979899</v>
      </c>
      <c r="AC3156" s="2">
        <v>11170.2815828781</v>
      </c>
      <c r="AD3156" s="2">
        <v>15706.8575778293</v>
      </c>
      <c r="AE3156" s="2">
        <v>9985.5062797589308</v>
      </c>
      <c r="AF3156" s="2">
        <v>10227.1028943323</v>
      </c>
      <c r="AG3156" s="2">
        <v>11899.5410456563</v>
      </c>
      <c r="AH3156" s="2">
        <v>12582.2734807902</v>
      </c>
      <c r="AI3156" s="2">
        <v>10155.574510676901</v>
      </c>
      <c r="AJ3156" s="2">
        <v>12171.6912860537</v>
      </c>
      <c r="AK3156" s="2">
        <v>17904.471511571701</v>
      </c>
      <c r="AL3156" s="2">
        <v>14739.580114415799</v>
      </c>
      <c r="AM3156" s="2">
        <v>16934.086343961899</v>
      </c>
      <c r="AN3156" s="2">
        <v>13938.0580250815</v>
      </c>
      <c r="AO3156" s="2">
        <v>14824.6758399594</v>
      </c>
      <c r="AP3156" s="2">
        <v>15900.273631985699</v>
      </c>
    </row>
    <row r="3157" spans="1:42" ht="14.5" x14ac:dyDescent="0.35">
      <c r="A3157" s="2" t="s">
        <v>20991</v>
      </c>
      <c r="B3157" s="2">
        <v>605.20405146977703</v>
      </c>
      <c r="C3157" s="2">
        <v>5.6357333333333299</v>
      </c>
      <c r="D3157" s="2" t="s">
        <v>70</v>
      </c>
      <c r="E3157" s="2" t="s">
        <v>20992</v>
      </c>
      <c r="F3157" s="2">
        <v>56258</v>
      </c>
      <c r="G3157" s="3" t="str">
        <f>HYPERLINK("http://funmeta.oebiotech.com/network/56258", "http://funmeta.oebiotech.com/network/56258")</f>
        <v>http://funmeta.oebiotech.com/network/56258</v>
      </c>
      <c r="H3157" s="2" t="s">
        <v>20993</v>
      </c>
      <c r="I3157" s="2">
        <v>72445</v>
      </c>
      <c r="J3157" s="2"/>
      <c r="K3157" s="2">
        <v>38680</v>
      </c>
      <c r="L3157" s="2" t="s">
        <v>20994</v>
      </c>
      <c r="M3157" s="2"/>
      <c r="N3157" s="2"/>
      <c r="O3157" s="2">
        <v>31070</v>
      </c>
      <c r="P3157" s="2" t="s">
        <v>20995</v>
      </c>
      <c r="Q3157" s="2" t="s">
        <v>20996</v>
      </c>
      <c r="R3157" s="2" t="s">
        <v>20997</v>
      </c>
      <c r="S3157" s="2" t="s">
        <v>148</v>
      </c>
      <c r="T3157" s="2" t="s">
        <v>149</v>
      </c>
      <c r="U3157" s="2" t="s">
        <v>7575</v>
      </c>
      <c r="V3157" s="2" t="s">
        <v>59</v>
      </c>
      <c r="W3157" s="2">
        <v>38</v>
      </c>
      <c r="X3157" s="2">
        <v>0</v>
      </c>
      <c r="Y3157" s="2" t="s">
        <v>560</v>
      </c>
      <c r="Z3157" s="2" t="s">
        <v>20998</v>
      </c>
      <c r="AA3157" s="2">
        <v>-0.45280602089233601</v>
      </c>
      <c r="AB3157" s="2">
        <v>0.24615949268401799</v>
      </c>
      <c r="AC3157" s="2">
        <v>22116.140167988899</v>
      </c>
      <c r="AD3157" s="2">
        <v>17275.155933657701</v>
      </c>
      <c r="AE3157" s="2">
        <v>20911.017504875701</v>
      </c>
      <c r="AF3157" s="2">
        <v>21855.223205595601</v>
      </c>
      <c r="AG3157" s="2">
        <v>23220.857392793001</v>
      </c>
      <c r="AH3157" s="2">
        <v>22472.934550301099</v>
      </c>
      <c r="AI3157" s="2">
        <v>23677.594415763699</v>
      </c>
      <c r="AJ3157" s="2">
        <v>20559.213938604498</v>
      </c>
      <c r="AK3157" s="2">
        <v>15386.511291463799</v>
      </c>
      <c r="AL3157" s="2">
        <v>17631.360504172299</v>
      </c>
      <c r="AM3157" s="2">
        <v>17898.757814801</v>
      </c>
      <c r="AN3157" s="2">
        <v>13814.973651890599</v>
      </c>
      <c r="AO3157" s="2">
        <v>19813.485587098799</v>
      </c>
      <c r="AP3157" s="2">
        <v>19105.846752519599</v>
      </c>
    </row>
    <row r="3158" spans="1:42" ht="14.5" x14ac:dyDescent="0.35">
      <c r="A3158" s="2" t="s">
        <v>20999</v>
      </c>
      <c r="B3158" s="2">
        <v>445.17474370531602</v>
      </c>
      <c r="C3158" s="2">
        <v>4.1233166666666703</v>
      </c>
      <c r="D3158" s="2" t="s">
        <v>34</v>
      </c>
      <c r="E3158" s="2" t="s">
        <v>21000</v>
      </c>
      <c r="F3158" s="2">
        <v>37475</v>
      </c>
      <c r="G3158" s="3" t="str">
        <f>HYPERLINK("http://funmeta.oebiotech.com/network/37475", "http://funmeta.oebiotech.com/network/37475")</f>
        <v>http://funmeta.oebiotech.com/network/37475</v>
      </c>
      <c r="H3158" s="2"/>
      <c r="I3158" s="2"/>
      <c r="J3158" s="2" t="s">
        <v>21001</v>
      </c>
      <c r="K3158" s="2"/>
      <c r="L3158" s="2"/>
      <c r="M3158" s="2"/>
      <c r="N3158" s="2"/>
      <c r="O3158" s="2"/>
      <c r="P3158" s="2"/>
      <c r="Q3158" s="2" t="s">
        <v>21002</v>
      </c>
      <c r="R3158" s="2" t="s">
        <v>21003</v>
      </c>
      <c r="S3158" s="2" t="s">
        <v>89</v>
      </c>
      <c r="T3158" s="2" t="s">
        <v>90</v>
      </c>
      <c r="U3158" s="2" t="s">
        <v>99</v>
      </c>
      <c r="V3158" s="2" t="s">
        <v>59</v>
      </c>
      <c r="W3158" s="2">
        <v>44.8</v>
      </c>
      <c r="X3158" s="2">
        <v>32.299999999999997</v>
      </c>
      <c r="Y3158" s="2" t="s">
        <v>340</v>
      </c>
      <c r="Z3158" s="2" t="s">
        <v>21004</v>
      </c>
      <c r="AA3158" s="2">
        <v>2.9515155092816099</v>
      </c>
      <c r="AB3158" s="2">
        <v>0.24604432313748101</v>
      </c>
      <c r="AC3158" s="2">
        <v>124319.446815274</v>
      </c>
      <c r="AD3158" s="2">
        <v>117201.148774741</v>
      </c>
      <c r="AE3158" s="2">
        <v>120171.414905447</v>
      </c>
      <c r="AF3158" s="2">
        <v>125729.850033215</v>
      </c>
      <c r="AG3158" s="2">
        <v>132336.85750627299</v>
      </c>
      <c r="AH3158" s="2">
        <v>113814.663214179</v>
      </c>
      <c r="AI3158" s="2">
        <v>123963.727203487</v>
      </c>
      <c r="AJ3158" s="2">
        <v>129900.16802904299</v>
      </c>
      <c r="AK3158" s="2">
        <v>112535.656632404</v>
      </c>
      <c r="AL3158" s="2">
        <v>121836.684572281</v>
      </c>
      <c r="AM3158" s="2">
        <v>119556.612443413</v>
      </c>
      <c r="AN3158" s="2">
        <v>118983.641942178</v>
      </c>
      <c r="AO3158" s="2">
        <v>120335.948448501</v>
      </c>
      <c r="AP3158" s="2">
        <v>109958.34860966699</v>
      </c>
    </row>
    <row r="3159" spans="1:42" ht="14.5" x14ac:dyDescent="0.35">
      <c r="A3159" s="2" t="s">
        <v>21005</v>
      </c>
      <c r="B3159" s="2">
        <v>1008.38651014841</v>
      </c>
      <c r="C3159" s="2">
        <v>8.8417166666666702</v>
      </c>
      <c r="D3159" s="2" t="s">
        <v>70</v>
      </c>
      <c r="E3159" s="2" t="s">
        <v>21006</v>
      </c>
      <c r="F3159" s="2">
        <v>52096</v>
      </c>
      <c r="G3159" s="3" t="str">
        <f>HYPERLINK("http://funmeta.oebiotech.com/network/52096", "http://funmeta.oebiotech.com/network/52096")</f>
        <v>http://funmeta.oebiotech.com/network/52096</v>
      </c>
      <c r="H3159" s="2" t="s">
        <v>21007</v>
      </c>
      <c r="I3159" s="2"/>
      <c r="J3159" s="2"/>
      <c r="K3159" s="2">
        <v>89492</v>
      </c>
      <c r="L3159" s="2"/>
      <c r="M3159" s="2"/>
      <c r="N3159" s="2"/>
      <c r="O3159" s="2">
        <v>53481539</v>
      </c>
      <c r="P3159" s="2" t="s">
        <v>21008</v>
      </c>
      <c r="Q3159" s="2" t="s">
        <v>21009</v>
      </c>
      <c r="R3159" s="2" t="s">
        <v>21010</v>
      </c>
      <c r="S3159" s="2" t="s">
        <v>89</v>
      </c>
      <c r="T3159" s="2" t="s">
        <v>90</v>
      </c>
      <c r="U3159" s="2" t="s">
        <v>99</v>
      </c>
      <c r="V3159" s="2" t="s">
        <v>42</v>
      </c>
      <c r="W3159" s="2">
        <v>50.6</v>
      </c>
      <c r="X3159" s="2">
        <v>62.9</v>
      </c>
      <c r="Y3159" s="2" t="s">
        <v>751</v>
      </c>
      <c r="Z3159" s="2" t="s">
        <v>21011</v>
      </c>
      <c r="AA3159" s="2">
        <v>3.8396081902670001</v>
      </c>
      <c r="AB3159" s="2">
        <v>0.246015612655336</v>
      </c>
      <c r="AC3159" s="2">
        <v>105418.45216399099</v>
      </c>
      <c r="AD3159" s="2">
        <v>96995.216836419902</v>
      </c>
      <c r="AE3159" s="2">
        <v>103839.550593102</v>
      </c>
      <c r="AF3159" s="2">
        <v>109177.816296328</v>
      </c>
      <c r="AG3159" s="2">
        <v>99205.787502119099</v>
      </c>
      <c r="AH3159" s="2">
        <v>112162.390750288</v>
      </c>
      <c r="AI3159" s="2">
        <v>110138.593865266</v>
      </c>
      <c r="AJ3159" s="2">
        <v>97986.5739768403</v>
      </c>
      <c r="AK3159" s="2">
        <v>103706.40227669499</v>
      </c>
      <c r="AL3159" s="2">
        <v>97146.964123201702</v>
      </c>
      <c r="AM3159" s="2">
        <v>88089.490840703103</v>
      </c>
      <c r="AN3159" s="2">
        <v>96671.646803316296</v>
      </c>
      <c r="AO3159" s="2">
        <v>83389.313026549498</v>
      </c>
      <c r="AP3159" s="2">
        <v>112967.483948054</v>
      </c>
    </row>
    <row r="3160" spans="1:42" ht="14.5" x14ac:dyDescent="0.35">
      <c r="A3160" s="2" t="s">
        <v>21012</v>
      </c>
      <c r="B3160" s="2">
        <v>881.41501138133799</v>
      </c>
      <c r="C3160" s="2">
        <v>10.3287</v>
      </c>
      <c r="D3160" s="2" t="s">
        <v>70</v>
      </c>
      <c r="E3160" s="2" t="s">
        <v>21013</v>
      </c>
      <c r="F3160" s="2">
        <v>203645</v>
      </c>
      <c r="G3160" s="3" t="str">
        <f>HYPERLINK("http://funmeta.oebiotech.com/network/203645", "http://funmeta.oebiotech.com/network/203645")</f>
        <v>http://funmeta.oebiotech.com/network/203645</v>
      </c>
      <c r="H3160" s="2" t="s">
        <v>21014</v>
      </c>
      <c r="I3160" s="2"/>
      <c r="J3160" s="2"/>
      <c r="K3160" s="2"/>
      <c r="L3160" s="2"/>
      <c r="M3160" s="2"/>
      <c r="N3160" s="2"/>
      <c r="O3160" s="2">
        <v>19991430</v>
      </c>
      <c r="P3160" s="2"/>
      <c r="Q3160" s="2" t="s">
        <v>21015</v>
      </c>
      <c r="R3160" s="2" t="s">
        <v>21016</v>
      </c>
      <c r="S3160" s="2" t="s">
        <v>41</v>
      </c>
      <c r="T3160" s="2" t="s">
        <v>41</v>
      </c>
      <c r="U3160" s="2" t="s">
        <v>41</v>
      </c>
      <c r="V3160" s="2" t="s">
        <v>59</v>
      </c>
      <c r="W3160" s="2">
        <v>38</v>
      </c>
      <c r="X3160" s="2">
        <v>0</v>
      </c>
      <c r="Y3160" s="2" t="s">
        <v>751</v>
      </c>
      <c r="Z3160" s="2" t="s">
        <v>21017</v>
      </c>
      <c r="AA3160" s="2">
        <v>-2.9063024613642501</v>
      </c>
      <c r="AB3160" s="2">
        <v>0.24573073268939499</v>
      </c>
      <c r="AC3160" s="2">
        <v>18691.8239813488</v>
      </c>
      <c r="AD3160" s="2">
        <v>14406.654858697701</v>
      </c>
      <c r="AE3160" s="2">
        <v>19828.589293465098</v>
      </c>
      <c r="AF3160" s="2">
        <v>18986.9195370575</v>
      </c>
      <c r="AG3160" s="2">
        <v>18371.605126571001</v>
      </c>
      <c r="AH3160" s="2">
        <v>16632.659972343001</v>
      </c>
      <c r="AI3160" s="2">
        <v>19149.331077936899</v>
      </c>
      <c r="AJ3160" s="2">
        <v>19181.8388807191</v>
      </c>
      <c r="AK3160" s="2">
        <v>13422.542559286499</v>
      </c>
      <c r="AL3160" s="2">
        <v>14044.4364752689</v>
      </c>
      <c r="AM3160" s="2">
        <v>13753.606532231301</v>
      </c>
      <c r="AN3160" s="2">
        <v>15183.2051624287</v>
      </c>
      <c r="AO3160" s="2">
        <v>14799.8984904185</v>
      </c>
      <c r="AP3160" s="2">
        <v>15236.2399325523</v>
      </c>
    </row>
    <row r="3161" spans="1:42" ht="14.5" x14ac:dyDescent="0.35">
      <c r="A3161" s="2" t="s">
        <v>21018</v>
      </c>
      <c r="B3161" s="2">
        <v>371.204862937364</v>
      </c>
      <c r="C3161" s="2">
        <v>5.7290666666666699</v>
      </c>
      <c r="D3161" s="2" t="s">
        <v>70</v>
      </c>
      <c r="E3161" s="2" t="s">
        <v>21019</v>
      </c>
      <c r="F3161" s="2">
        <v>277685</v>
      </c>
      <c r="G3161" s="3" t="str">
        <f>HYPERLINK("http://funmeta.oebiotech.com/network/277685", "http://funmeta.oebiotech.com/network/277685")</f>
        <v>http://funmeta.oebiotech.com/network/277685</v>
      </c>
      <c r="H3161" s="2"/>
      <c r="I3161" s="2">
        <v>69649</v>
      </c>
      <c r="J3161" s="2"/>
      <c r="K3161" s="2"/>
      <c r="L3161" s="2" t="s">
        <v>21020</v>
      </c>
      <c r="M3161" s="2"/>
      <c r="N3161" s="2"/>
      <c r="O3161" s="2">
        <v>157920</v>
      </c>
      <c r="P3161" s="2" t="s">
        <v>21021</v>
      </c>
      <c r="Q3161" s="2" t="s">
        <v>21022</v>
      </c>
      <c r="R3161" s="2" t="s">
        <v>21023</v>
      </c>
      <c r="S3161" s="2" t="s">
        <v>50</v>
      </c>
      <c r="T3161" s="2" t="s">
        <v>229</v>
      </c>
      <c r="U3161" s="2" t="s">
        <v>766</v>
      </c>
      <c r="V3161" s="2" t="s">
        <v>59</v>
      </c>
      <c r="W3161" s="2">
        <v>37.6</v>
      </c>
      <c r="X3161" s="2">
        <v>0</v>
      </c>
      <c r="Y3161" s="2" t="s">
        <v>751</v>
      </c>
      <c r="Z3161" s="2" t="s">
        <v>21024</v>
      </c>
      <c r="AA3161" s="2">
        <v>2.3665857977436802</v>
      </c>
      <c r="AB3161" s="2">
        <v>0.245726771784498</v>
      </c>
      <c r="AC3161" s="2">
        <v>7614.5600723165799</v>
      </c>
      <c r="AD3161" s="2">
        <v>11682.4828303262</v>
      </c>
      <c r="AE3161" s="2">
        <v>7619.36651339543</v>
      </c>
      <c r="AF3161" s="2">
        <v>7427.6050259069998</v>
      </c>
      <c r="AG3161" s="2">
        <v>8799.0127764638601</v>
      </c>
      <c r="AH3161" s="2">
        <v>7143.1976375612803</v>
      </c>
      <c r="AI3161" s="2">
        <v>7341.8504145718898</v>
      </c>
      <c r="AJ3161" s="2">
        <v>7356.328066</v>
      </c>
      <c r="AK3161" s="2">
        <v>11295.885380797101</v>
      </c>
      <c r="AL3161" s="2">
        <v>11978.336792148601</v>
      </c>
      <c r="AM3161" s="2">
        <v>11881.8757968013</v>
      </c>
      <c r="AN3161" s="2">
        <v>11572.267901093301</v>
      </c>
      <c r="AO3161" s="2">
        <v>12140.4030963403</v>
      </c>
      <c r="AP3161" s="2">
        <v>11226.128014776699</v>
      </c>
    </row>
    <row r="3162" spans="1:42" ht="14.5" x14ac:dyDescent="0.35">
      <c r="A3162" s="2" t="s">
        <v>21025</v>
      </c>
      <c r="B3162" s="2">
        <v>279.23167794436301</v>
      </c>
      <c r="C3162" s="2">
        <v>11.85</v>
      </c>
      <c r="D3162" s="2" t="s">
        <v>34</v>
      </c>
      <c r="E3162" s="2" t="s">
        <v>21026</v>
      </c>
      <c r="F3162" s="2">
        <v>3270</v>
      </c>
      <c r="G3162" s="3" t="str">
        <f>HYPERLINK("http://funmeta.oebiotech.com/network/3270", "http://funmeta.oebiotech.com/network/3270")</f>
        <v>http://funmeta.oebiotech.com/network/3270</v>
      </c>
      <c r="H3162" s="2" t="s">
        <v>21027</v>
      </c>
      <c r="I3162" s="2"/>
      <c r="J3162" s="2" t="s">
        <v>21028</v>
      </c>
      <c r="K3162" s="2"/>
      <c r="L3162" s="2"/>
      <c r="M3162" s="2"/>
      <c r="N3162" s="2"/>
      <c r="O3162" s="2">
        <v>75536015</v>
      </c>
      <c r="P3162" s="2" t="s">
        <v>21029</v>
      </c>
      <c r="Q3162" s="2" t="s">
        <v>21030</v>
      </c>
      <c r="R3162" s="2" t="s">
        <v>21031</v>
      </c>
      <c r="S3162" s="2" t="s">
        <v>50</v>
      </c>
      <c r="T3162" s="2" t="s">
        <v>229</v>
      </c>
      <c r="U3162" s="2" t="s">
        <v>1360</v>
      </c>
      <c r="V3162" s="2" t="s">
        <v>42</v>
      </c>
      <c r="W3162" s="2">
        <v>48.9</v>
      </c>
      <c r="X3162" s="2">
        <v>51.8</v>
      </c>
      <c r="Y3162" s="2" t="s">
        <v>141</v>
      </c>
      <c r="Z3162" s="2" t="s">
        <v>1361</v>
      </c>
      <c r="AA3162" s="2">
        <v>-0.60320512275984794</v>
      </c>
      <c r="AB3162" s="2">
        <v>0.24566302895877201</v>
      </c>
      <c r="AC3162" s="2">
        <v>9604.4637216793508</v>
      </c>
      <c r="AD3162" s="2">
        <v>5382.0008819172199</v>
      </c>
      <c r="AE3162" s="2">
        <v>10398.671737270401</v>
      </c>
      <c r="AF3162" s="2">
        <v>9260.4821806198597</v>
      </c>
      <c r="AG3162" s="2">
        <v>10999.6401421842</v>
      </c>
      <c r="AH3162" s="2">
        <v>8054.0047331441101</v>
      </c>
      <c r="AI3162" s="2">
        <v>10053.145869440101</v>
      </c>
      <c r="AJ3162" s="2">
        <v>8860.8376674174506</v>
      </c>
      <c r="AK3162" s="2">
        <v>4905.4749459839204</v>
      </c>
      <c r="AL3162" s="2">
        <v>5645.1166108524503</v>
      </c>
      <c r="AM3162" s="2">
        <v>6333.5262122903196</v>
      </c>
      <c r="AN3162" s="2">
        <v>4891.48382752408</v>
      </c>
      <c r="AO3162" s="2">
        <v>5093.7674934515799</v>
      </c>
      <c r="AP3162" s="2">
        <v>5422.6362014009601</v>
      </c>
    </row>
    <row r="3163" spans="1:42" ht="14.5" x14ac:dyDescent="0.35">
      <c r="A3163" s="2" t="s">
        <v>21032</v>
      </c>
      <c r="B3163" s="2">
        <v>178.026187233587</v>
      </c>
      <c r="C3163" s="2">
        <v>4.84418333333333</v>
      </c>
      <c r="D3163" s="2" t="s">
        <v>70</v>
      </c>
      <c r="E3163" s="2" t="s">
        <v>21033</v>
      </c>
      <c r="F3163" s="2">
        <v>200658</v>
      </c>
      <c r="G3163" s="3" t="str">
        <f>HYPERLINK("http://funmeta.oebiotech.com/network/200658", "http://funmeta.oebiotech.com/network/200658")</f>
        <v>http://funmeta.oebiotech.com/network/200658</v>
      </c>
      <c r="H3163" s="2" t="s">
        <v>21034</v>
      </c>
      <c r="I3163" s="2">
        <v>71183</v>
      </c>
      <c r="J3163" s="2"/>
      <c r="K3163" s="2">
        <v>19452</v>
      </c>
      <c r="L3163" s="2" t="s">
        <v>21035</v>
      </c>
      <c r="M3163" s="2" t="s">
        <v>21036</v>
      </c>
      <c r="N3163" s="2" t="s">
        <v>21037</v>
      </c>
      <c r="O3163" s="2">
        <v>37182</v>
      </c>
      <c r="P3163" s="2" t="s">
        <v>21038</v>
      </c>
      <c r="Q3163" s="2" t="s">
        <v>21039</v>
      </c>
      <c r="R3163" s="2" t="s">
        <v>21040</v>
      </c>
      <c r="S3163" s="2" t="s">
        <v>148</v>
      </c>
      <c r="T3163" s="2" t="s">
        <v>149</v>
      </c>
      <c r="U3163" s="2" t="s">
        <v>21041</v>
      </c>
      <c r="V3163" s="2" t="s">
        <v>59</v>
      </c>
      <c r="W3163" s="2">
        <v>39.1</v>
      </c>
      <c r="X3163" s="2">
        <v>0</v>
      </c>
      <c r="Y3163" s="2" t="s">
        <v>751</v>
      </c>
      <c r="Z3163" s="2" t="s">
        <v>21042</v>
      </c>
      <c r="AA3163" s="2">
        <v>1.8911365383308101</v>
      </c>
      <c r="AB3163" s="2">
        <v>0.245634778043296</v>
      </c>
      <c r="AC3163" s="2">
        <v>13051.6244564388</v>
      </c>
      <c r="AD3163" s="2">
        <v>8877.9334591532406</v>
      </c>
      <c r="AE3163" s="2">
        <v>14137.140206386901</v>
      </c>
      <c r="AF3163" s="2">
        <v>12502.6458922685</v>
      </c>
      <c r="AG3163" s="2">
        <v>12532.979572459</v>
      </c>
      <c r="AH3163" s="2">
        <v>12625.8605226003</v>
      </c>
      <c r="AI3163" s="2">
        <v>12186.086159464799</v>
      </c>
      <c r="AJ3163" s="2">
        <v>14325.034385453</v>
      </c>
      <c r="AK3163" s="2">
        <v>9204.0936963232798</v>
      </c>
      <c r="AL3163" s="2">
        <v>7892.8757848448604</v>
      </c>
      <c r="AM3163" s="2">
        <v>9535.9566667020899</v>
      </c>
      <c r="AN3163" s="2">
        <v>8669.1330549843897</v>
      </c>
      <c r="AO3163" s="2">
        <v>9170.4915901815493</v>
      </c>
      <c r="AP3163" s="2">
        <v>8795.04996188324</v>
      </c>
    </row>
    <row r="3164" spans="1:42" ht="14.5" x14ac:dyDescent="0.35">
      <c r="A3164" s="2" t="s">
        <v>21043</v>
      </c>
      <c r="B3164" s="2">
        <v>262.18000916544997</v>
      </c>
      <c r="C3164" s="2">
        <v>5.3519166666666704</v>
      </c>
      <c r="D3164" s="2" t="s">
        <v>34</v>
      </c>
      <c r="E3164" s="2" t="s">
        <v>21044</v>
      </c>
      <c r="F3164" s="2">
        <v>1131</v>
      </c>
      <c r="G3164" s="3" t="str">
        <f>HYPERLINK("http://funmeta.oebiotech.com/network/1131", "http://funmeta.oebiotech.com/network/1131")</f>
        <v>http://funmeta.oebiotech.com/network/1131</v>
      </c>
      <c r="H3164" s="2"/>
      <c r="I3164" s="2">
        <v>35301</v>
      </c>
      <c r="J3164" s="2" t="s">
        <v>21045</v>
      </c>
      <c r="K3164" s="2"/>
      <c r="L3164" s="2"/>
      <c r="M3164" s="2"/>
      <c r="N3164" s="2"/>
      <c r="O3164" s="2">
        <v>9543612</v>
      </c>
      <c r="P3164" s="2"/>
      <c r="Q3164" s="2" t="s">
        <v>21046</v>
      </c>
      <c r="R3164" s="2" t="s">
        <v>21047</v>
      </c>
      <c r="S3164" s="2" t="s">
        <v>50</v>
      </c>
      <c r="T3164" s="2" t="s">
        <v>229</v>
      </c>
      <c r="U3164" s="2" t="s">
        <v>433</v>
      </c>
      <c r="V3164" s="2" t="s">
        <v>59</v>
      </c>
      <c r="W3164" s="2">
        <v>38.6</v>
      </c>
      <c r="X3164" s="2">
        <v>0</v>
      </c>
      <c r="Y3164" s="2" t="s">
        <v>43</v>
      </c>
      <c r="Z3164" s="2" t="s">
        <v>21048</v>
      </c>
      <c r="AA3164" s="2">
        <v>-0.59900581009838005</v>
      </c>
      <c r="AB3164" s="2">
        <v>0.24558998486344499</v>
      </c>
      <c r="AC3164" s="2">
        <v>13030.018199742701</v>
      </c>
      <c r="AD3164" s="2">
        <v>17938.3990188137</v>
      </c>
      <c r="AE3164" s="2">
        <v>14299.4983029907</v>
      </c>
      <c r="AF3164" s="2">
        <v>11685.0978994537</v>
      </c>
      <c r="AG3164" s="2">
        <v>12477.9519943045</v>
      </c>
      <c r="AH3164" s="2">
        <v>13069.9649454759</v>
      </c>
      <c r="AI3164" s="2">
        <v>11591.5199886061</v>
      </c>
      <c r="AJ3164" s="2">
        <v>15056.076067625499</v>
      </c>
      <c r="AK3164" s="2">
        <v>18622.363002074198</v>
      </c>
      <c r="AL3164" s="2">
        <v>21856.189015297899</v>
      </c>
      <c r="AM3164" s="2">
        <v>17640.150643493998</v>
      </c>
      <c r="AN3164" s="2">
        <v>17939.212901917599</v>
      </c>
      <c r="AO3164" s="2">
        <v>16885.138877182901</v>
      </c>
      <c r="AP3164" s="2">
        <v>14687.339672915699</v>
      </c>
    </row>
    <row r="3165" spans="1:42" ht="14.5" x14ac:dyDescent="0.35">
      <c r="A3165" s="2" t="s">
        <v>21049</v>
      </c>
      <c r="B3165" s="2">
        <v>379.11606064582497</v>
      </c>
      <c r="C3165" s="2">
        <v>4.2764166666666696</v>
      </c>
      <c r="D3165" s="2" t="s">
        <v>70</v>
      </c>
      <c r="E3165" s="2" t="s">
        <v>21050</v>
      </c>
      <c r="F3165" s="2">
        <v>58865</v>
      </c>
      <c r="G3165" s="3" t="str">
        <f>HYPERLINK("http://funmeta.oebiotech.com/network/58865", "http://funmeta.oebiotech.com/network/58865")</f>
        <v>http://funmeta.oebiotech.com/network/58865</v>
      </c>
      <c r="H3165" s="2" t="s">
        <v>21051</v>
      </c>
      <c r="I3165" s="2"/>
      <c r="J3165" s="2"/>
      <c r="K3165" s="2"/>
      <c r="L3165" s="2"/>
      <c r="M3165" s="2"/>
      <c r="N3165" s="2"/>
      <c r="O3165" s="2">
        <v>72761836</v>
      </c>
      <c r="P3165" s="2" t="s">
        <v>21052</v>
      </c>
      <c r="Q3165" s="2" t="s">
        <v>21053</v>
      </c>
      <c r="R3165" s="2" t="s">
        <v>21054</v>
      </c>
      <c r="S3165" s="2" t="s">
        <v>79</v>
      </c>
      <c r="T3165" s="2" t="s">
        <v>80</v>
      </c>
      <c r="U3165" s="2" t="s">
        <v>81</v>
      </c>
      <c r="V3165" s="2" t="s">
        <v>59</v>
      </c>
      <c r="W3165" s="2">
        <v>38.4</v>
      </c>
      <c r="X3165" s="2">
        <v>0.35799999999999998</v>
      </c>
      <c r="Y3165" s="2" t="s">
        <v>408</v>
      </c>
      <c r="Z3165" s="2" t="s">
        <v>21055</v>
      </c>
      <c r="AA3165" s="2">
        <v>4.10477082429653</v>
      </c>
      <c r="AB3165" s="2">
        <v>0.245499032708066</v>
      </c>
      <c r="AC3165" s="2">
        <v>506574.11992559501</v>
      </c>
      <c r="AD3165" s="2">
        <v>494686.07922755397</v>
      </c>
      <c r="AE3165" s="2">
        <v>498903.60402512201</v>
      </c>
      <c r="AF3165" s="2">
        <v>486526.33107674198</v>
      </c>
      <c r="AG3165" s="2">
        <v>506138.61201738298</v>
      </c>
      <c r="AH3165" s="2">
        <v>526246.05455689796</v>
      </c>
      <c r="AI3165" s="2">
        <v>513140.08775698498</v>
      </c>
      <c r="AJ3165" s="2">
        <v>508490.03012043802</v>
      </c>
      <c r="AK3165" s="2">
        <v>473166.48498266097</v>
      </c>
      <c r="AL3165" s="2">
        <v>506395.86315835</v>
      </c>
      <c r="AM3165" s="2">
        <v>521593.99838822102</v>
      </c>
      <c r="AN3165" s="2">
        <v>483100.59219482698</v>
      </c>
      <c r="AO3165" s="2">
        <v>513099.86468723399</v>
      </c>
      <c r="AP3165" s="2">
        <v>470759.67195402802</v>
      </c>
    </row>
    <row r="3166" spans="1:42" ht="14.5" x14ac:dyDescent="0.35">
      <c r="A3166" s="2" t="s">
        <v>21056</v>
      </c>
      <c r="B3166" s="2">
        <v>265.03260680762702</v>
      </c>
      <c r="C3166" s="2">
        <v>2.24525</v>
      </c>
      <c r="D3166" s="2" t="s">
        <v>70</v>
      </c>
      <c r="E3166" s="2" t="s">
        <v>21057</v>
      </c>
      <c r="F3166" s="2">
        <v>83443</v>
      </c>
      <c r="G3166" s="3" t="str">
        <f>HYPERLINK("http://funmeta.oebiotech.com/network/83443", "http://funmeta.oebiotech.com/network/83443")</f>
        <v>http://funmeta.oebiotech.com/network/83443</v>
      </c>
      <c r="H3166" s="2" t="s">
        <v>21058</v>
      </c>
      <c r="I3166" s="2">
        <v>315319</v>
      </c>
      <c r="J3166" s="2"/>
      <c r="K3166" s="2">
        <v>45171</v>
      </c>
      <c r="L3166" s="2"/>
      <c r="M3166" s="2"/>
      <c r="N3166" s="2"/>
      <c r="O3166" s="2">
        <v>93176</v>
      </c>
      <c r="P3166" s="2" t="s">
        <v>21059</v>
      </c>
      <c r="Q3166" s="2" t="s">
        <v>21060</v>
      </c>
      <c r="R3166" s="2" t="s">
        <v>21061</v>
      </c>
      <c r="S3166" s="2" t="s">
        <v>89</v>
      </c>
      <c r="T3166" s="2" t="s">
        <v>90</v>
      </c>
      <c r="U3166" s="2" t="s">
        <v>99</v>
      </c>
      <c r="V3166" s="2" t="s">
        <v>59</v>
      </c>
      <c r="W3166" s="2">
        <v>41.8</v>
      </c>
      <c r="X3166" s="2">
        <v>18.600000000000001</v>
      </c>
      <c r="Y3166" s="2" t="s">
        <v>560</v>
      </c>
      <c r="Z3166" s="2" t="s">
        <v>21062</v>
      </c>
      <c r="AA3166" s="2">
        <v>1.4445328912819499</v>
      </c>
      <c r="AB3166" s="2">
        <v>0.24548419474011901</v>
      </c>
      <c r="AC3166" s="2">
        <v>16430.610621089701</v>
      </c>
      <c r="AD3166" s="2">
        <v>12195.3652009176</v>
      </c>
      <c r="AE3166" s="2">
        <v>16457.181903036701</v>
      </c>
      <c r="AF3166" s="2">
        <v>15383.0970095914</v>
      </c>
      <c r="AG3166" s="2">
        <v>17270.254833017101</v>
      </c>
      <c r="AH3166" s="2">
        <v>16648.422775751002</v>
      </c>
      <c r="AI3166" s="2">
        <v>14998.4733502784</v>
      </c>
      <c r="AJ3166" s="2">
        <v>17826.2338548634</v>
      </c>
      <c r="AK3166" s="2">
        <v>11646.7447844615</v>
      </c>
      <c r="AL3166" s="2">
        <v>12519.016442935999</v>
      </c>
      <c r="AM3166" s="2">
        <v>12927.799946466101</v>
      </c>
      <c r="AN3166" s="2">
        <v>12961.8099362186</v>
      </c>
      <c r="AO3166" s="2">
        <v>11753.0086350294</v>
      </c>
      <c r="AP3166" s="2">
        <v>11363.8114603943</v>
      </c>
    </row>
    <row r="3167" spans="1:42" ht="14.5" x14ac:dyDescent="0.35">
      <c r="A3167" s="2" t="s">
        <v>21063</v>
      </c>
      <c r="B3167" s="2">
        <v>387.12936030819998</v>
      </c>
      <c r="C3167" s="2">
        <v>3.91611666666667</v>
      </c>
      <c r="D3167" s="2" t="s">
        <v>70</v>
      </c>
      <c r="E3167" s="2" t="s">
        <v>21064</v>
      </c>
      <c r="F3167" s="2">
        <v>35321</v>
      </c>
      <c r="G3167" s="3" t="str">
        <f>HYPERLINK("http://funmeta.oebiotech.com/network/35321", "http://funmeta.oebiotech.com/network/35321")</f>
        <v>http://funmeta.oebiotech.com/network/35321</v>
      </c>
      <c r="H3167" s="2"/>
      <c r="I3167" s="2">
        <v>41173</v>
      </c>
      <c r="J3167" s="2" t="s">
        <v>21065</v>
      </c>
      <c r="K3167" s="2">
        <v>705</v>
      </c>
      <c r="L3167" s="2" t="s">
        <v>21066</v>
      </c>
      <c r="M3167" s="2"/>
      <c r="N3167" s="2"/>
      <c r="O3167" s="2">
        <v>443340</v>
      </c>
      <c r="P3167" s="2"/>
      <c r="Q3167" s="2" t="s">
        <v>21067</v>
      </c>
      <c r="R3167" s="2" t="s">
        <v>21068</v>
      </c>
      <c r="S3167" s="2" t="s">
        <v>50</v>
      </c>
      <c r="T3167" s="2" t="s">
        <v>201</v>
      </c>
      <c r="U3167" s="2" t="s">
        <v>202</v>
      </c>
      <c r="V3167" s="2" t="s">
        <v>59</v>
      </c>
      <c r="W3167" s="2">
        <v>47.7</v>
      </c>
      <c r="X3167" s="2">
        <v>44.7</v>
      </c>
      <c r="Y3167" s="2" t="s">
        <v>751</v>
      </c>
      <c r="Z3167" s="2" t="s">
        <v>8216</v>
      </c>
      <c r="AA3167" s="2">
        <v>-0.76381307560646206</v>
      </c>
      <c r="AB3167" s="2">
        <v>0.245458073743272</v>
      </c>
      <c r="AC3167" s="2">
        <v>113971.26246485799</v>
      </c>
      <c r="AD3167" s="2">
        <v>106605.528196375</v>
      </c>
      <c r="AE3167" s="2">
        <v>120558.903081717</v>
      </c>
      <c r="AF3167" s="2">
        <v>116430.13009614599</v>
      </c>
      <c r="AG3167" s="2">
        <v>112670.642394728</v>
      </c>
      <c r="AH3167" s="2">
        <v>115053.429730185</v>
      </c>
      <c r="AI3167" s="2">
        <v>107770.77337091501</v>
      </c>
      <c r="AJ3167" s="2">
        <v>111343.69611545499</v>
      </c>
      <c r="AK3167" s="2">
        <v>115193.254876205</v>
      </c>
      <c r="AL3167" s="2">
        <v>117448.71434480901</v>
      </c>
      <c r="AM3167" s="2">
        <v>102484.64136178599</v>
      </c>
      <c r="AN3167" s="2">
        <v>102729.314042678</v>
      </c>
      <c r="AO3167" s="2">
        <v>96060.298731620307</v>
      </c>
      <c r="AP3167" s="2">
        <v>105716.945821149</v>
      </c>
    </row>
    <row r="3168" spans="1:42" ht="14.5" x14ac:dyDescent="0.35">
      <c r="A3168" s="2" t="s">
        <v>21069</v>
      </c>
      <c r="B3168" s="2">
        <v>354.29993281562099</v>
      </c>
      <c r="C3168" s="2">
        <v>11.86835</v>
      </c>
      <c r="D3168" s="2" t="s">
        <v>34</v>
      </c>
      <c r="E3168" s="2" t="s">
        <v>21070</v>
      </c>
      <c r="F3168" s="2">
        <v>2626</v>
      </c>
      <c r="G3168" s="3" t="str">
        <f>HYPERLINK("http://funmeta.oebiotech.com/network/2626", "http://funmeta.oebiotech.com/network/2626")</f>
        <v>http://funmeta.oebiotech.com/network/2626</v>
      </c>
      <c r="H3168" s="2" t="s">
        <v>21071</v>
      </c>
      <c r="I3168" s="2">
        <v>87343</v>
      </c>
      <c r="J3168" s="2" t="s">
        <v>21072</v>
      </c>
      <c r="K3168" s="2"/>
      <c r="L3168" s="2"/>
      <c r="M3168" s="2"/>
      <c r="N3168" s="2"/>
      <c r="O3168" s="2">
        <v>11056824</v>
      </c>
      <c r="P3168" s="2" t="s">
        <v>21073</v>
      </c>
      <c r="Q3168" s="2" t="s">
        <v>21074</v>
      </c>
      <c r="R3168" s="2" t="s">
        <v>21075</v>
      </c>
      <c r="S3168" s="2" t="s">
        <v>50</v>
      </c>
      <c r="T3168" s="2" t="s">
        <v>229</v>
      </c>
      <c r="U3168" s="2" t="s">
        <v>433</v>
      </c>
      <c r="V3168" s="2" t="s">
        <v>59</v>
      </c>
      <c r="W3168" s="2">
        <v>45.1</v>
      </c>
      <c r="X3168" s="2">
        <v>31</v>
      </c>
      <c r="Y3168" s="2" t="s">
        <v>43</v>
      </c>
      <c r="Z3168" s="2" t="s">
        <v>21076</v>
      </c>
      <c r="AA3168" s="2">
        <v>-1.00434516854355</v>
      </c>
      <c r="AB3168" s="2">
        <v>0.24523578204635901</v>
      </c>
      <c r="AC3168" s="2">
        <v>4042.06757035804</v>
      </c>
      <c r="AD3168" s="2">
        <v>50.088107526011001</v>
      </c>
      <c r="AE3168" s="2">
        <v>4552.8442261891096</v>
      </c>
      <c r="AF3168" s="2">
        <v>3301.2443829418698</v>
      </c>
      <c r="AG3168" s="2">
        <v>3780.2014967006198</v>
      </c>
      <c r="AH3168" s="2">
        <v>4148.2144633002099</v>
      </c>
      <c r="AI3168" s="2">
        <v>4114.9514979854403</v>
      </c>
      <c r="AJ3168" s="2">
        <v>4354.9493550309799</v>
      </c>
      <c r="AK3168" s="2">
        <v>2.7106294003980101E-5</v>
      </c>
      <c r="AL3168" s="2">
        <v>300.52850962459598</v>
      </c>
      <c r="AM3168" s="2">
        <v>2.7106294003980101E-5</v>
      </c>
      <c r="AN3168" s="2">
        <v>2.7106294003980101E-5</v>
      </c>
      <c r="AO3168" s="2">
        <v>2.7106294003980101E-5</v>
      </c>
      <c r="AP3168" s="2">
        <v>2.7106294003980101E-5</v>
      </c>
    </row>
    <row r="3169" spans="1:42" ht="14.5" x14ac:dyDescent="0.35">
      <c r="A3169" s="2" t="s">
        <v>21077</v>
      </c>
      <c r="B3169" s="2">
        <v>229.03186762046701</v>
      </c>
      <c r="C3169" s="2">
        <v>1.3287</v>
      </c>
      <c r="D3169" s="2" t="s">
        <v>34</v>
      </c>
      <c r="E3169" s="2" t="s">
        <v>21078</v>
      </c>
      <c r="F3169" s="2">
        <v>48733</v>
      </c>
      <c r="G3169" s="3" t="str">
        <f>HYPERLINK("http://funmeta.oebiotech.com/network/48733", "http://funmeta.oebiotech.com/network/48733")</f>
        <v>http://funmeta.oebiotech.com/network/48733</v>
      </c>
      <c r="H3169" s="2" t="s">
        <v>21079</v>
      </c>
      <c r="I3169" s="2"/>
      <c r="J3169" s="2"/>
      <c r="K3169" s="2">
        <v>142525</v>
      </c>
      <c r="L3169" s="2" t="s">
        <v>21080</v>
      </c>
      <c r="M3169" s="2" t="s">
        <v>21081</v>
      </c>
      <c r="N3169" s="2" t="s">
        <v>21082</v>
      </c>
      <c r="O3169" s="2">
        <v>513</v>
      </c>
      <c r="P3169" s="2"/>
      <c r="Q3169" s="2" t="s">
        <v>21083</v>
      </c>
      <c r="R3169" s="2" t="s">
        <v>21084</v>
      </c>
      <c r="S3169" s="2" t="s">
        <v>89</v>
      </c>
      <c r="T3169" s="2" t="s">
        <v>90</v>
      </c>
      <c r="U3169" s="2" t="s">
        <v>91</v>
      </c>
      <c r="V3169" s="2" t="s">
        <v>59</v>
      </c>
      <c r="W3169" s="2">
        <v>39.4</v>
      </c>
      <c r="X3169" s="2">
        <v>0.44</v>
      </c>
      <c r="Y3169" s="2" t="s">
        <v>323</v>
      </c>
      <c r="Z3169" s="2" t="s">
        <v>12804</v>
      </c>
      <c r="AA3169" s="2">
        <v>-2.77474255172915E-2</v>
      </c>
      <c r="AB3169" s="2">
        <v>0.24523415814179</v>
      </c>
      <c r="AC3169" s="2">
        <v>22365.0064201407</v>
      </c>
      <c r="AD3169" s="2">
        <v>26662.0897008914</v>
      </c>
      <c r="AE3169" s="2">
        <v>23720.089959843499</v>
      </c>
      <c r="AF3169" s="2">
        <v>21403.711830480399</v>
      </c>
      <c r="AG3169" s="2">
        <v>22822.044767616699</v>
      </c>
      <c r="AH3169" s="2">
        <v>22021.4016859687</v>
      </c>
      <c r="AI3169" s="2">
        <v>21812.525850142501</v>
      </c>
      <c r="AJ3169" s="2">
        <v>22410.264426792601</v>
      </c>
      <c r="AK3169" s="2">
        <v>25597.4365613339</v>
      </c>
      <c r="AL3169" s="2">
        <v>24979.018254693299</v>
      </c>
      <c r="AM3169" s="2">
        <v>27905.7240248485</v>
      </c>
      <c r="AN3169" s="2">
        <v>27369.950508061102</v>
      </c>
      <c r="AO3169" s="2">
        <v>26450.908949844801</v>
      </c>
      <c r="AP3169" s="2">
        <v>27669.499906566802</v>
      </c>
    </row>
    <row r="3170" spans="1:42" ht="14.5" x14ac:dyDescent="0.35">
      <c r="A3170" s="2" t="s">
        <v>21085</v>
      </c>
      <c r="B3170" s="2">
        <v>315.25381566864399</v>
      </c>
      <c r="C3170" s="2">
        <v>10.1977666666667</v>
      </c>
      <c r="D3170" s="2" t="s">
        <v>70</v>
      </c>
      <c r="E3170" s="2" t="s">
        <v>21086</v>
      </c>
      <c r="F3170" s="2">
        <v>7634</v>
      </c>
      <c r="G3170" s="3" t="str">
        <f>HYPERLINK("http://funmeta.oebiotech.com/network/7634", "http://funmeta.oebiotech.com/network/7634")</f>
        <v>http://funmeta.oebiotech.com/network/7634</v>
      </c>
      <c r="H3170" s="2" t="s">
        <v>21087</v>
      </c>
      <c r="I3170" s="2">
        <v>5763</v>
      </c>
      <c r="J3170" s="2" t="s">
        <v>21088</v>
      </c>
      <c r="K3170" s="2">
        <v>86618</v>
      </c>
      <c r="L3170" s="2"/>
      <c r="M3170" s="2"/>
      <c r="N3170" s="2"/>
      <c r="O3170" s="2">
        <v>7797</v>
      </c>
      <c r="P3170" s="2" t="s">
        <v>21089</v>
      </c>
      <c r="Q3170" s="2" t="s">
        <v>21090</v>
      </c>
      <c r="R3170" s="2" t="s">
        <v>21091</v>
      </c>
      <c r="S3170" s="2" t="s">
        <v>50</v>
      </c>
      <c r="T3170" s="2" t="s">
        <v>229</v>
      </c>
      <c r="U3170" s="2" t="s">
        <v>1914</v>
      </c>
      <c r="V3170" s="2" t="s">
        <v>59</v>
      </c>
      <c r="W3170" s="2">
        <v>39.200000000000003</v>
      </c>
      <c r="X3170" s="2">
        <v>0</v>
      </c>
      <c r="Y3170" s="2" t="s">
        <v>560</v>
      </c>
      <c r="Z3170" s="2" t="s">
        <v>21092</v>
      </c>
      <c r="AA3170" s="2">
        <v>-0.84592096828623897</v>
      </c>
      <c r="AB3170" s="2">
        <v>0.24518519513721199</v>
      </c>
      <c r="AC3170" s="2">
        <v>6021.9919539082302</v>
      </c>
      <c r="AD3170" s="2">
        <v>10201.526980520401</v>
      </c>
      <c r="AE3170" s="2">
        <v>5832.6737680095903</v>
      </c>
      <c r="AF3170" s="2">
        <v>5684.6614600441999</v>
      </c>
      <c r="AG3170" s="2">
        <v>5562.7994029220499</v>
      </c>
      <c r="AH3170" s="2">
        <v>8032.4825319471101</v>
      </c>
      <c r="AI3170" s="2">
        <v>5366.0239946027004</v>
      </c>
      <c r="AJ3170" s="2">
        <v>5653.3105659237499</v>
      </c>
      <c r="AK3170" s="2">
        <v>10106.337625072299</v>
      </c>
      <c r="AL3170" s="2">
        <v>10577.607224969301</v>
      </c>
      <c r="AM3170" s="2">
        <v>10125.465532373501</v>
      </c>
      <c r="AN3170" s="2">
        <v>10443.0788588818</v>
      </c>
      <c r="AO3170" s="2">
        <v>10711.183513358499</v>
      </c>
      <c r="AP3170" s="2">
        <v>9245.4891284672794</v>
      </c>
    </row>
    <row r="3171" spans="1:42" ht="14.5" x14ac:dyDescent="0.35">
      <c r="A3171" s="2" t="s">
        <v>21093</v>
      </c>
      <c r="B3171" s="2">
        <v>1071.4025956114001</v>
      </c>
      <c r="C3171" s="2">
        <v>4.4450666666666701</v>
      </c>
      <c r="D3171" s="2" t="s">
        <v>34</v>
      </c>
      <c r="E3171" s="2" t="s">
        <v>21094</v>
      </c>
      <c r="F3171" s="2">
        <v>50785</v>
      </c>
      <c r="G3171" s="3" t="str">
        <f>HYPERLINK("http://funmeta.oebiotech.com/network/50785", "http://funmeta.oebiotech.com/network/50785")</f>
        <v>http://funmeta.oebiotech.com/network/50785</v>
      </c>
      <c r="H3171" s="2" t="s">
        <v>21095</v>
      </c>
      <c r="I3171" s="2"/>
      <c r="J3171" s="2"/>
      <c r="K3171" s="2"/>
      <c r="L3171" s="2"/>
      <c r="M3171" s="2"/>
      <c r="N3171" s="2"/>
      <c r="O3171" s="2"/>
      <c r="P3171" s="2"/>
      <c r="Q3171" s="2" t="s">
        <v>21096</v>
      </c>
      <c r="R3171" s="2" t="s">
        <v>21097</v>
      </c>
      <c r="S3171" s="2" t="s">
        <v>50</v>
      </c>
      <c r="T3171" s="2" t="s">
        <v>51</v>
      </c>
      <c r="U3171" s="2" t="s">
        <v>5754</v>
      </c>
      <c r="V3171" s="2" t="s">
        <v>59</v>
      </c>
      <c r="W3171" s="2">
        <v>36.9</v>
      </c>
      <c r="X3171" s="2">
        <v>0</v>
      </c>
      <c r="Y3171" s="2" t="s">
        <v>323</v>
      </c>
      <c r="Z3171" s="2" t="s">
        <v>21098</v>
      </c>
      <c r="AA3171" s="2">
        <v>4.0100903297436599</v>
      </c>
      <c r="AB3171" s="2">
        <v>0.24514181930206</v>
      </c>
      <c r="AC3171" s="2">
        <v>53915.001004752899</v>
      </c>
      <c r="AD3171" s="2">
        <v>47188.815441792598</v>
      </c>
      <c r="AE3171" s="2">
        <v>54319.314027573098</v>
      </c>
      <c r="AF3171" s="2">
        <v>59846.225163586503</v>
      </c>
      <c r="AG3171" s="2">
        <v>46488.744936195799</v>
      </c>
      <c r="AH3171" s="2">
        <v>48205.950332763401</v>
      </c>
      <c r="AI3171" s="2">
        <v>54152.081004073101</v>
      </c>
      <c r="AJ3171" s="2">
        <v>60477.690564325399</v>
      </c>
      <c r="AK3171" s="2">
        <v>51287.708598551799</v>
      </c>
      <c r="AL3171" s="2">
        <v>47515.482976290099</v>
      </c>
      <c r="AM3171" s="2">
        <v>39641.809594860199</v>
      </c>
      <c r="AN3171" s="2">
        <v>45252.442405133297</v>
      </c>
      <c r="AO3171" s="2">
        <v>47915.339750295898</v>
      </c>
      <c r="AP3171" s="2">
        <v>51520.1093256241</v>
      </c>
    </row>
    <row r="3172" spans="1:42" ht="14.5" x14ac:dyDescent="0.35">
      <c r="A3172" s="2" t="s">
        <v>21099</v>
      </c>
      <c r="B3172" s="2">
        <v>551.13551836480895</v>
      </c>
      <c r="C3172" s="2">
        <v>4.5423999999999998</v>
      </c>
      <c r="D3172" s="2" t="s">
        <v>70</v>
      </c>
      <c r="E3172" s="2" t="s">
        <v>21100</v>
      </c>
      <c r="F3172" s="2">
        <v>52846</v>
      </c>
      <c r="G3172" s="3" t="str">
        <f>HYPERLINK("http://funmeta.oebiotech.com/network/52846", "http://funmeta.oebiotech.com/network/52846")</f>
        <v>http://funmeta.oebiotech.com/network/52846</v>
      </c>
      <c r="H3172" s="2" t="s">
        <v>21101</v>
      </c>
      <c r="I3172" s="2">
        <v>553</v>
      </c>
      <c r="J3172" s="2"/>
      <c r="K3172" s="2">
        <v>5132</v>
      </c>
      <c r="L3172" s="2" t="s">
        <v>21102</v>
      </c>
      <c r="M3172" s="2" t="s">
        <v>21103</v>
      </c>
      <c r="N3172" s="2" t="s">
        <v>21104</v>
      </c>
      <c r="O3172" s="2">
        <v>3397</v>
      </c>
      <c r="P3172" s="2" t="s">
        <v>21105</v>
      </c>
      <c r="Q3172" s="2" t="s">
        <v>21106</v>
      </c>
      <c r="R3172" s="2" t="s">
        <v>21107</v>
      </c>
      <c r="S3172" s="2" t="s">
        <v>148</v>
      </c>
      <c r="T3172" s="2" t="s">
        <v>149</v>
      </c>
      <c r="U3172" s="2" t="s">
        <v>10041</v>
      </c>
      <c r="V3172" s="2" t="s">
        <v>59</v>
      </c>
      <c r="W3172" s="2">
        <v>38.9</v>
      </c>
      <c r="X3172" s="2">
        <v>0</v>
      </c>
      <c r="Y3172" s="2" t="s">
        <v>560</v>
      </c>
      <c r="Z3172" s="2" t="s">
        <v>21108</v>
      </c>
      <c r="AA3172" s="2">
        <v>-2.82347411655882</v>
      </c>
      <c r="AB3172" s="2">
        <v>0.245124299672135</v>
      </c>
      <c r="AC3172" s="2">
        <v>5867.1575912837498</v>
      </c>
      <c r="AD3172" s="2">
        <v>10293.7318372594</v>
      </c>
      <c r="AE3172" s="2">
        <v>7453.0150145647103</v>
      </c>
      <c r="AF3172" s="2">
        <v>4298.2684343112996</v>
      </c>
      <c r="AG3172" s="2">
        <v>5945.1545397597001</v>
      </c>
      <c r="AH3172" s="2">
        <v>6370.4918769433198</v>
      </c>
      <c r="AI3172" s="2">
        <v>5192.9899337477</v>
      </c>
      <c r="AJ3172" s="2">
        <v>5943.0257483757696</v>
      </c>
      <c r="AK3172" s="2">
        <v>9390.9670525547499</v>
      </c>
      <c r="AL3172" s="2">
        <v>10500.432724980399</v>
      </c>
      <c r="AM3172" s="2">
        <v>12269.3814089769</v>
      </c>
      <c r="AN3172" s="2">
        <v>9388.15700978122</v>
      </c>
      <c r="AO3172" s="2">
        <v>8747.4785554889404</v>
      </c>
      <c r="AP3172" s="2">
        <v>11465.974271774099</v>
      </c>
    </row>
    <row r="3173" spans="1:42" ht="14.5" x14ac:dyDescent="0.35">
      <c r="A3173" s="2" t="s">
        <v>21109</v>
      </c>
      <c r="B3173" s="2">
        <v>403.28159457564101</v>
      </c>
      <c r="C3173" s="2">
        <v>12.6191333333333</v>
      </c>
      <c r="D3173" s="2" t="s">
        <v>34</v>
      </c>
      <c r="E3173" s="2" t="s">
        <v>21110</v>
      </c>
      <c r="F3173" s="2">
        <v>51365</v>
      </c>
      <c r="G3173" s="3" t="str">
        <f>HYPERLINK("http://funmeta.oebiotech.com/network/51365", "http://funmeta.oebiotech.com/network/51365")</f>
        <v>http://funmeta.oebiotech.com/network/51365</v>
      </c>
      <c r="H3173" s="2" t="s">
        <v>21111</v>
      </c>
      <c r="I3173" s="2">
        <v>62329</v>
      </c>
      <c r="J3173" s="2"/>
      <c r="K3173" s="2"/>
      <c r="L3173" s="2"/>
      <c r="M3173" s="2"/>
      <c r="N3173" s="2"/>
      <c r="O3173" s="2">
        <v>53480965</v>
      </c>
      <c r="P3173" s="2"/>
      <c r="Q3173" s="2" t="s">
        <v>21112</v>
      </c>
      <c r="R3173" s="2" t="s">
        <v>21113</v>
      </c>
      <c r="S3173" s="2" t="s">
        <v>50</v>
      </c>
      <c r="T3173" s="2" t="s">
        <v>18921</v>
      </c>
      <c r="U3173" s="2" t="s">
        <v>41</v>
      </c>
      <c r="V3173" s="2" t="s">
        <v>42</v>
      </c>
      <c r="W3173" s="2">
        <v>48.1</v>
      </c>
      <c r="X3173" s="2">
        <v>46.1</v>
      </c>
      <c r="Y3173" s="2" t="s">
        <v>323</v>
      </c>
      <c r="Z3173" s="2" t="s">
        <v>9634</v>
      </c>
      <c r="AA3173" s="2">
        <v>-0.75169844098965199</v>
      </c>
      <c r="AB3173" s="2">
        <v>0.24506436300626799</v>
      </c>
      <c r="AC3173" s="2">
        <v>5543.13847765637</v>
      </c>
      <c r="AD3173" s="2">
        <v>1494.12020533244</v>
      </c>
      <c r="AE3173" s="2">
        <v>6693.7308649627803</v>
      </c>
      <c r="AF3173" s="2">
        <v>4883.16718353737</v>
      </c>
      <c r="AG3173" s="2">
        <v>6161.91601306138</v>
      </c>
      <c r="AH3173" s="2">
        <v>5615.7370470265796</v>
      </c>
      <c r="AI3173" s="2">
        <v>4734.3047640353398</v>
      </c>
      <c r="AJ3173" s="2">
        <v>5169.9749933147596</v>
      </c>
      <c r="AK3173" s="2">
        <v>1506.27170041312</v>
      </c>
      <c r="AL3173" s="2">
        <v>1337.07197327724</v>
      </c>
      <c r="AM3173" s="2">
        <v>1528.5679927316301</v>
      </c>
      <c r="AN3173" s="2">
        <v>1625.8347408048901</v>
      </c>
      <c r="AO3173" s="2">
        <v>1613.58643661204</v>
      </c>
      <c r="AP3173" s="2">
        <v>1353.3883881556901</v>
      </c>
    </row>
    <row r="3174" spans="1:42" ht="14.5" x14ac:dyDescent="0.35">
      <c r="A3174" s="2" t="s">
        <v>21114</v>
      </c>
      <c r="B3174" s="2">
        <v>514.42499265334197</v>
      </c>
      <c r="C3174" s="2">
        <v>14.1648666666667</v>
      </c>
      <c r="D3174" s="2" t="s">
        <v>34</v>
      </c>
      <c r="E3174" s="2" t="s">
        <v>21115</v>
      </c>
      <c r="F3174" s="2">
        <v>198603</v>
      </c>
      <c r="G3174" s="3" t="str">
        <f>HYPERLINK("http://funmeta.oebiotech.com/network/198603", "http://funmeta.oebiotech.com/network/198603")</f>
        <v>http://funmeta.oebiotech.com/network/198603</v>
      </c>
      <c r="H3174" s="2" t="s">
        <v>21116</v>
      </c>
      <c r="I3174" s="2"/>
      <c r="J3174" s="2"/>
      <c r="K3174" s="2"/>
      <c r="L3174" s="2"/>
      <c r="M3174" s="2"/>
      <c r="N3174" s="2"/>
      <c r="O3174" s="2"/>
      <c r="P3174" s="2"/>
      <c r="Q3174" s="2" t="s">
        <v>21117</v>
      </c>
      <c r="R3174" s="2" t="s">
        <v>21118</v>
      </c>
      <c r="S3174" s="2" t="s">
        <v>41</v>
      </c>
      <c r="T3174" s="2" t="s">
        <v>41</v>
      </c>
      <c r="U3174" s="2" t="s">
        <v>41</v>
      </c>
      <c r="V3174" s="2" t="s">
        <v>59</v>
      </c>
      <c r="W3174" s="2">
        <v>37.700000000000003</v>
      </c>
      <c r="X3174" s="2">
        <v>0</v>
      </c>
      <c r="Y3174" s="2" t="s">
        <v>394</v>
      </c>
      <c r="Z3174" s="2" t="s">
        <v>21119</v>
      </c>
      <c r="AA3174" s="2">
        <v>-0.93180567730968999</v>
      </c>
      <c r="AB3174" s="2">
        <v>0.24494779387185001</v>
      </c>
      <c r="AC3174" s="2">
        <v>11293.7203818248</v>
      </c>
      <c r="AD3174" s="2">
        <v>16077.0796087452</v>
      </c>
      <c r="AE3174" s="2">
        <v>11484.8365918379</v>
      </c>
      <c r="AF3174" s="2">
        <v>10114.317970092099</v>
      </c>
      <c r="AG3174" s="2">
        <v>12367.288211065001</v>
      </c>
      <c r="AH3174" s="2">
        <v>10631.1369582515</v>
      </c>
      <c r="AI3174" s="2">
        <v>11445.6709805844</v>
      </c>
      <c r="AJ3174" s="2">
        <v>11719.071579117601</v>
      </c>
      <c r="AK3174" s="2">
        <v>18205.852360651301</v>
      </c>
      <c r="AL3174" s="2">
        <v>16773.6326741966</v>
      </c>
      <c r="AM3174" s="2">
        <v>12297.087040345899</v>
      </c>
      <c r="AN3174" s="2">
        <v>14141.4295201637</v>
      </c>
      <c r="AO3174" s="2">
        <v>16753.624472507199</v>
      </c>
      <c r="AP3174" s="2">
        <v>18290.8515846066</v>
      </c>
    </row>
    <row r="3175" spans="1:42" ht="14.5" x14ac:dyDescent="0.35">
      <c r="A3175" s="2" t="s">
        <v>21120</v>
      </c>
      <c r="B3175" s="2">
        <v>130.08623367852601</v>
      </c>
      <c r="C3175" s="2">
        <v>1.06171666666667</v>
      </c>
      <c r="D3175" s="2" t="s">
        <v>34</v>
      </c>
      <c r="E3175" s="2" t="s">
        <v>21121</v>
      </c>
      <c r="F3175" s="2">
        <v>46854</v>
      </c>
      <c r="G3175" s="3" t="str">
        <f>HYPERLINK("http://funmeta.oebiotech.com/network/46854", "http://funmeta.oebiotech.com/network/46854")</f>
        <v>http://funmeta.oebiotech.com/network/46854</v>
      </c>
      <c r="H3175" s="2" t="s">
        <v>21122</v>
      </c>
      <c r="I3175" s="2">
        <v>50</v>
      </c>
      <c r="J3175" s="2"/>
      <c r="K3175" s="2">
        <v>17964</v>
      </c>
      <c r="L3175" s="2" t="s">
        <v>21123</v>
      </c>
      <c r="M3175" s="2" t="s">
        <v>21124</v>
      </c>
      <c r="N3175" s="2" t="s">
        <v>21125</v>
      </c>
      <c r="O3175" s="2">
        <v>849</v>
      </c>
      <c r="P3175" s="2" t="s">
        <v>21126</v>
      </c>
      <c r="Q3175" s="2" t="s">
        <v>21127</v>
      </c>
      <c r="R3175" s="2" t="s">
        <v>21128</v>
      </c>
      <c r="S3175" s="2" t="s">
        <v>89</v>
      </c>
      <c r="T3175" s="2" t="s">
        <v>90</v>
      </c>
      <c r="U3175" s="2" t="s">
        <v>99</v>
      </c>
      <c r="V3175" s="2" t="s">
        <v>42</v>
      </c>
      <c r="W3175" s="2">
        <v>50.5</v>
      </c>
      <c r="X3175" s="2">
        <v>54.8</v>
      </c>
      <c r="Y3175" s="2" t="s">
        <v>394</v>
      </c>
      <c r="Z3175" s="2" t="s">
        <v>17294</v>
      </c>
      <c r="AA3175" s="2">
        <v>-0.16540387838510201</v>
      </c>
      <c r="AB3175" s="2">
        <v>0.244902244371172</v>
      </c>
      <c r="AC3175" s="2">
        <v>18172.051263358499</v>
      </c>
      <c r="AD3175" s="2">
        <v>23058.6883443103</v>
      </c>
      <c r="AE3175" s="2">
        <v>18930.055830370002</v>
      </c>
      <c r="AF3175" s="2">
        <v>20140.789083977899</v>
      </c>
      <c r="AG3175" s="2">
        <v>14710.3404811242</v>
      </c>
      <c r="AH3175" s="2">
        <v>20072.005640440399</v>
      </c>
      <c r="AI3175" s="2">
        <v>17294.988102946001</v>
      </c>
      <c r="AJ3175" s="2">
        <v>17884.128441292502</v>
      </c>
      <c r="AK3175" s="2">
        <v>22153.0417630095</v>
      </c>
      <c r="AL3175" s="2">
        <v>26467.9971746419</v>
      </c>
      <c r="AM3175" s="2">
        <v>23189.311666148998</v>
      </c>
      <c r="AN3175" s="2">
        <v>22805.5328249329</v>
      </c>
      <c r="AO3175" s="2">
        <v>22802.743600736401</v>
      </c>
      <c r="AP3175" s="2">
        <v>20933.5030363919</v>
      </c>
    </row>
    <row r="3176" spans="1:42" ht="14.5" x14ac:dyDescent="0.35">
      <c r="A3176" s="2" t="s">
        <v>21129</v>
      </c>
      <c r="B3176" s="2">
        <v>238.037572433489</v>
      </c>
      <c r="C3176" s="2">
        <v>0.75019999999999998</v>
      </c>
      <c r="D3176" s="2" t="s">
        <v>34</v>
      </c>
      <c r="E3176" s="2" t="s">
        <v>21130</v>
      </c>
      <c r="F3176" s="2">
        <v>197296</v>
      </c>
      <c r="G3176" s="3" t="str">
        <f>HYPERLINK("http://funmeta.oebiotech.com/network/197296", "http://funmeta.oebiotech.com/network/197296")</f>
        <v>http://funmeta.oebiotech.com/network/197296</v>
      </c>
      <c r="H3176" s="2" t="s">
        <v>21131</v>
      </c>
      <c r="I3176" s="2"/>
      <c r="J3176" s="2"/>
      <c r="K3176" s="2">
        <v>133548</v>
      </c>
      <c r="L3176" s="2"/>
      <c r="M3176" s="2"/>
      <c r="N3176" s="2"/>
      <c r="O3176" s="2">
        <v>122164840</v>
      </c>
      <c r="P3176" s="2"/>
      <c r="Q3176" s="2" t="s">
        <v>21132</v>
      </c>
      <c r="R3176" s="2" t="s">
        <v>21133</v>
      </c>
      <c r="S3176" s="2" t="s">
        <v>89</v>
      </c>
      <c r="T3176" s="2" t="s">
        <v>1773</v>
      </c>
      <c r="U3176" s="2" t="s">
        <v>21134</v>
      </c>
      <c r="V3176" s="2" t="s">
        <v>59</v>
      </c>
      <c r="W3176" s="2">
        <v>37.6</v>
      </c>
      <c r="X3176" s="2">
        <v>0</v>
      </c>
      <c r="Y3176" s="2" t="s">
        <v>43</v>
      </c>
      <c r="Z3176" s="2" t="s">
        <v>21135</v>
      </c>
      <c r="AA3176" s="2">
        <v>-1.87301200772905</v>
      </c>
      <c r="AB3176" s="2">
        <v>0.244720055966928</v>
      </c>
      <c r="AC3176" s="2">
        <v>24076.9223672023</v>
      </c>
      <c r="AD3176" s="2">
        <v>29445.267789645601</v>
      </c>
      <c r="AE3176" s="2">
        <v>21084.661747112499</v>
      </c>
      <c r="AF3176" s="2">
        <v>24062.518379936799</v>
      </c>
      <c r="AG3176" s="2">
        <v>26701.765048206798</v>
      </c>
      <c r="AH3176" s="2">
        <v>25476.719389564099</v>
      </c>
      <c r="AI3176" s="2">
        <v>23405.5818218821</v>
      </c>
      <c r="AJ3176" s="2">
        <v>23730.2878165113</v>
      </c>
      <c r="AK3176" s="2">
        <v>27905.1284446555</v>
      </c>
      <c r="AL3176" s="2">
        <v>35605.529234748603</v>
      </c>
      <c r="AM3176" s="2">
        <v>28141.144485790901</v>
      </c>
      <c r="AN3176" s="2">
        <v>28419.6347051786</v>
      </c>
      <c r="AO3176" s="2">
        <v>30365.496463238</v>
      </c>
      <c r="AP3176" s="2">
        <v>26234.673404262201</v>
      </c>
    </row>
    <row r="3177" spans="1:42" ht="14.5" x14ac:dyDescent="0.35">
      <c r="A3177" s="2" t="s">
        <v>21136</v>
      </c>
      <c r="B3177" s="2">
        <v>461.16286002476301</v>
      </c>
      <c r="C3177" s="2">
        <v>3.7334833333333299</v>
      </c>
      <c r="D3177" s="2" t="s">
        <v>34</v>
      </c>
      <c r="E3177" s="2" t="s">
        <v>21137</v>
      </c>
      <c r="F3177" s="2">
        <v>82616</v>
      </c>
      <c r="G3177" s="3" t="str">
        <f>HYPERLINK("http://funmeta.oebiotech.com/network/82616", "http://funmeta.oebiotech.com/network/82616")</f>
        <v>http://funmeta.oebiotech.com/network/82616</v>
      </c>
      <c r="H3177" s="2" t="s">
        <v>21138</v>
      </c>
      <c r="I3177" s="2"/>
      <c r="J3177" s="2"/>
      <c r="K3177" s="2"/>
      <c r="L3177" s="2"/>
      <c r="M3177" s="2"/>
      <c r="N3177" s="2"/>
      <c r="O3177" s="2">
        <v>105108</v>
      </c>
      <c r="P3177" s="2"/>
      <c r="Q3177" s="2" t="s">
        <v>21139</v>
      </c>
      <c r="R3177" s="2" t="s">
        <v>21140</v>
      </c>
      <c r="S3177" s="2" t="s">
        <v>1444</v>
      </c>
      <c r="T3177" s="2" t="s">
        <v>10689</v>
      </c>
      <c r="U3177" s="2" t="s">
        <v>21141</v>
      </c>
      <c r="V3177" s="2" t="s">
        <v>59</v>
      </c>
      <c r="W3177" s="2">
        <v>40</v>
      </c>
      <c r="X3177" s="2">
        <v>6.47</v>
      </c>
      <c r="Y3177" s="2" t="s">
        <v>43</v>
      </c>
      <c r="Z3177" s="2" t="s">
        <v>21142</v>
      </c>
      <c r="AA3177" s="2">
        <v>0.43464038990307002</v>
      </c>
      <c r="AB3177" s="2">
        <v>0.244623457554655</v>
      </c>
      <c r="AC3177" s="2">
        <v>54881.869123319899</v>
      </c>
      <c r="AD3177" s="2">
        <v>60143.8878462129</v>
      </c>
      <c r="AE3177" s="2">
        <v>50888.121948895801</v>
      </c>
      <c r="AF3177" s="2">
        <v>56045.011484230097</v>
      </c>
      <c r="AG3177" s="2">
        <v>55173.497145714398</v>
      </c>
      <c r="AH3177" s="2">
        <v>53192.643978736203</v>
      </c>
      <c r="AI3177" s="2">
        <v>57858.1712334084</v>
      </c>
      <c r="AJ3177" s="2">
        <v>56133.768948934499</v>
      </c>
      <c r="AK3177" s="2">
        <v>58960.811118166799</v>
      </c>
      <c r="AL3177" s="2">
        <v>56544.139710592099</v>
      </c>
      <c r="AM3177" s="2">
        <v>59228.301905288499</v>
      </c>
      <c r="AN3177" s="2">
        <v>62778.045928615502</v>
      </c>
      <c r="AO3177" s="2">
        <v>59209.7760086126</v>
      </c>
      <c r="AP3177" s="2">
        <v>64142.252406002102</v>
      </c>
    </row>
    <row r="3178" spans="1:42" ht="14.5" x14ac:dyDescent="0.35">
      <c r="A3178" s="2" t="s">
        <v>21143</v>
      </c>
      <c r="B3178" s="2">
        <v>567.31788221084696</v>
      </c>
      <c r="C3178" s="2">
        <v>5.4125166666666704</v>
      </c>
      <c r="D3178" s="2" t="s">
        <v>70</v>
      </c>
      <c r="E3178" s="2" t="s">
        <v>21144</v>
      </c>
      <c r="F3178" s="2">
        <v>47965</v>
      </c>
      <c r="G3178" s="3" t="str">
        <f>HYPERLINK("http://funmeta.oebiotech.com/network/47965", "http://funmeta.oebiotech.com/network/47965")</f>
        <v>http://funmeta.oebiotech.com/network/47965</v>
      </c>
      <c r="H3178" s="2" t="s">
        <v>21145</v>
      </c>
      <c r="I3178" s="2">
        <v>6721</v>
      </c>
      <c r="J3178" s="2"/>
      <c r="K3178" s="2"/>
      <c r="L3178" s="2" t="s">
        <v>1994</v>
      </c>
      <c r="M3178" s="2" t="s">
        <v>1995</v>
      </c>
      <c r="N3178" s="2" t="s">
        <v>1996</v>
      </c>
      <c r="O3178" s="2">
        <v>53477755</v>
      </c>
      <c r="P3178" s="2" t="s">
        <v>21146</v>
      </c>
      <c r="Q3178" s="2" t="s">
        <v>21147</v>
      </c>
      <c r="R3178" s="2" t="s">
        <v>21148</v>
      </c>
      <c r="S3178" s="2" t="s">
        <v>50</v>
      </c>
      <c r="T3178" s="2" t="s">
        <v>124</v>
      </c>
      <c r="U3178" s="2" t="s">
        <v>523</v>
      </c>
      <c r="V3178" s="2" t="s">
        <v>59</v>
      </c>
      <c r="W3178" s="2">
        <v>47.1</v>
      </c>
      <c r="X3178" s="2">
        <v>43.9</v>
      </c>
      <c r="Y3178" s="2" t="s">
        <v>118</v>
      </c>
      <c r="Z3178" s="2" t="s">
        <v>12902</v>
      </c>
      <c r="AA3178" s="2">
        <v>0.72301600297477697</v>
      </c>
      <c r="AB3178" s="2">
        <v>0.24456141639868301</v>
      </c>
      <c r="AC3178" s="2">
        <v>128923.352957218</v>
      </c>
      <c r="AD3178" s="2">
        <v>121328.85553734199</v>
      </c>
      <c r="AE3178" s="2">
        <v>131852.60074637301</v>
      </c>
      <c r="AF3178" s="2">
        <v>130038.0067808</v>
      </c>
      <c r="AG3178" s="2">
        <v>124263.894372075</v>
      </c>
      <c r="AH3178" s="2">
        <v>126660.423157218</v>
      </c>
      <c r="AI3178" s="2">
        <v>127828.80918378</v>
      </c>
      <c r="AJ3178" s="2">
        <v>132896.383503063</v>
      </c>
      <c r="AK3178" s="2">
        <v>115650.25821469301</v>
      </c>
      <c r="AL3178" s="2">
        <v>138397.0993607</v>
      </c>
      <c r="AM3178" s="2">
        <v>115032.175498973</v>
      </c>
      <c r="AN3178" s="2">
        <v>113531.77548697899</v>
      </c>
      <c r="AO3178" s="2">
        <v>125330.812732262</v>
      </c>
      <c r="AP3178" s="2">
        <v>120031.01193044599</v>
      </c>
    </row>
    <row r="3179" spans="1:42" ht="14.5" x14ac:dyDescent="0.35">
      <c r="A3179" s="2" t="s">
        <v>21149</v>
      </c>
      <c r="B3179" s="2">
        <v>180.065653627828</v>
      </c>
      <c r="C3179" s="2">
        <v>1.14778333333333</v>
      </c>
      <c r="D3179" s="2" t="s">
        <v>70</v>
      </c>
      <c r="E3179" s="2" t="s">
        <v>21150</v>
      </c>
      <c r="F3179" s="2">
        <v>46901</v>
      </c>
      <c r="G3179" s="3" t="str">
        <f>HYPERLINK("http://funmeta.oebiotech.com/network/46901", "http://funmeta.oebiotech.com/network/46901")</f>
        <v>http://funmeta.oebiotech.com/network/46901</v>
      </c>
      <c r="H3179" s="2" t="s">
        <v>21151</v>
      </c>
      <c r="I3179" s="2">
        <v>34</v>
      </c>
      <c r="J3179" s="2"/>
      <c r="K3179" s="2">
        <v>17895</v>
      </c>
      <c r="L3179" s="2" t="s">
        <v>21152</v>
      </c>
      <c r="M3179" s="2" t="s">
        <v>21153</v>
      </c>
      <c r="N3179" s="2" t="s">
        <v>21154</v>
      </c>
      <c r="O3179" s="2">
        <v>6057</v>
      </c>
      <c r="P3179" s="2" t="s">
        <v>21155</v>
      </c>
      <c r="Q3179" s="2" t="s">
        <v>21156</v>
      </c>
      <c r="R3179" s="2" t="s">
        <v>21157</v>
      </c>
      <c r="S3179" s="2" t="s">
        <v>89</v>
      </c>
      <c r="T3179" s="2" t="s">
        <v>90</v>
      </c>
      <c r="U3179" s="2" t="s">
        <v>99</v>
      </c>
      <c r="V3179" s="2" t="s">
        <v>59</v>
      </c>
      <c r="W3179" s="2">
        <v>47.4</v>
      </c>
      <c r="X3179" s="2">
        <v>45</v>
      </c>
      <c r="Y3179" s="2" t="s">
        <v>118</v>
      </c>
      <c r="Z3179" s="2" t="s">
        <v>21158</v>
      </c>
      <c r="AA3179" s="2">
        <v>-5.3191346635693302</v>
      </c>
      <c r="AB3179" s="2">
        <v>0.24454316282236799</v>
      </c>
      <c r="AC3179" s="2">
        <v>27268.1085346951</v>
      </c>
      <c r="AD3179" s="2">
        <v>31522.869103751</v>
      </c>
      <c r="AE3179" s="2">
        <v>27827.2542312351</v>
      </c>
      <c r="AF3179" s="2">
        <v>26674.516328337199</v>
      </c>
      <c r="AG3179" s="2">
        <v>27309.969141433401</v>
      </c>
      <c r="AH3179" s="2">
        <v>26707.5317383652</v>
      </c>
      <c r="AI3179" s="2">
        <v>27007.682487890899</v>
      </c>
      <c r="AJ3179" s="2">
        <v>28081.697280908898</v>
      </c>
      <c r="AK3179" s="2">
        <v>29759.077738787699</v>
      </c>
      <c r="AL3179" s="2">
        <v>32792.072912515403</v>
      </c>
      <c r="AM3179" s="2">
        <v>31476.791198669802</v>
      </c>
      <c r="AN3179" s="2">
        <v>31810.151216756902</v>
      </c>
      <c r="AO3179" s="2">
        <v>30469.4025869379</v>
      </c>
      <c r="AP3179" s="2">
        <v>32829.718968838402</v>
      </c>
    </row>
    <row r="3180" spans="1:42" ht="14.5" x14ac:dyDescent="0.35">
      <c r="A3180" s="2" t="s">
        <v>21159</v>
      </c>
      <c r="B3180" s="2">
        <v>773.25605492883994</v>
      </c>
      <c r="C3180" s="2">
        <v>10.3988666666667</v>
      </c>
      <c r="D3180" s="2" t="s">
        <v>34</v>
      </c>
      <c r="E3180" s="2" t="s">
        <v>21160</v>
      </c>
      <c r="F3180" s="2">
        <v>257334</v>
      </c>
      <c r="G3180" s="3" t="str">
        <f>HYPERLINK("http://funmeta.oebiotech.com/network/257334", "http://funmeta.oebiotech.com/network/257334")</f>
        <v>http://funmeta.oebiotech.com/network/257334</v>
      </c>
      <c r="H3180" s="2" t="s">
        <v>21161</v>
      </c>
      <c r="I3180" s="2"/>
      <c r="J3180" s="2"/>
      <c r="K3180" s="2">
        <v>71573</v>
      </c>
      <c r="L3180" s="2"/>
      <c r="M3180" s="2"/>
      <c r="N3180" s="2"/>
      <c r="O3180" s="2">
        <v>25244806</v>
      </c>
      <c r="P3180" s="2"/>
      <c r="Q3180" s="2" t="s">
        <v>21162</v>
      </c>
      <c r="R3180" s="2" t="s">
        <v>21163</v>
      </c>
      <c r="S3180" s="2" t="s">
        <v>1444</v>
      </c>
      <c r="T3180" s="2" t="s">
        <v>4040</v>
      </c>
      <c r="U3180" s="2" t="s">
        <v>4041</v>
      </c>
      <c r="V3180" s="2" t="s">
        <v>59</v>
      </c>
      <c r="W3180" s="2">
        <v>38</v>
      </c>
      <c r="X3180" s="2">
        <v>0</v>
      </c>
      <c r="Y3180" s="2" t="s">
        <v>141</v>
      </c>
      <c r="Z3180" s="2" t="s">
        <v>21164</v>
      </c>
      <c r="AA3180" s="2">
        <v>3.6483711391687299</v>
      </c>
      <c r="AB3180" s="2">
        <v>0.244486979500906</v>
      </c>
      <c r="AC3180" s="2">
        <v>1646.5668404307901</v>
      </c>
      <c r="AD3180" s="2">
        <v>5722.87761062153</v>
      </c>
      <c r="AE3180" s="2">
        <v>2274.9509401724099</v>
      </c>
      <c r="AF3180" s="2">
        <v>2112.70443637074</v>
      </c>
      <c r="AG3180" s="2">
        <v>1733.16753518972</v>
      </c>
      <c r="AH3180" s="2">
        <v>997.784768507286</v>
      </c>
      <c r="AI3180" s="2">
        <v>1470.09356992736</v>
      </c>
      <c r="AJ3180" s="2">
        <v>1290.6997924172499</v>
      </c>
      <c r="AK3180" s="2">
        <v>4960.8019891868698</v>
      </c>
      <c r="AL3180" s="2">
        <v>6003.2440382536297</v>
      </c>
      <c r="AM3180" s="2">
        <v>7054.8859616851596</v>
      </c>
      <c r="AN3180" s="2">
        <v>5426.7902342076504</v>
      </c>
      <c r="AO3180" s="2">
        <v>5372.6217980172996</v>
      </c>
      <c r="AP3180" s="2">
        <v>5518.9216423785501</v>
      </c>
    </row>
    <row r="3181" spans="1:42" ht="14.5" x14ac:dyDescent="0.35">
      <c r="A3181" s="2" t="s">
        <v>21165</v>
      </c>
      <c r="B3181" s="2">
        <v>417.15172009775802</v>
      </c>
      <c r="C3181" s="2">
        <v>4.0024166666666696</v>
      </c>
      <c r="D3181" s="2" t="s">
        <v>34</v>
      </c>
      <c r="E3181" s="2" t="s">
        <v>21166</v>
      </c>
      <c r="F3181" s="2">
        <v>35730</v>
      </c>
      <c r="G3181" s="3" t="str">
        <f>HYPERLINK("http://funmeta.oebiotech.com/network/35730", "http://funmeta.oebiotech.com/network/35730")</f>
        <v>http://funmeta.oebiotech.com/network/35730</v>
      </c>
      <c r="H3181" s="2"/>
      <c r="I3181" s="2"/>
      <c r="J3181" s="2" t="s">
        <v>21167</v>
      </c>
      <c r="K3181" s="2"/>
      <c r="L3181" s="2"/>
      <c r="M3181" s="2"/>
      <c r="N3181" s="2"/>
      <c r="O3181" s="2"/>
      <c r="P3181" s="2"/>
      <c r="Q3181" s="2" t="s">
        <v>21168</v>
      </c>
      <c r="R3181" s="2" t="s">
        <v>21169</v>
      </c>
      <c r="S3181" s="2" t="s">
        <v>491</v>
      </c>
      <c r="T3181" s="2" t="s">
        <v>5973</v>
      </c>
      <c r="U3181" s="2" t="s">
        <v>6296</v>
      </c>
      <c r="V3181" s="2" t="s">
        <v>59</v>
      </c>
      <c r="W3181" s="2">
        <v>43.5</v>
      </c>
      <c r="X3181" s="2">
        <v>22.9</v>
      </c>
      <c r="Y3181" s="2" t="s">
        <v>376</v>
      </c>
      <c r="Z3181" s="2" t="s">
        <v>21170</v>
      </c>
      <c r="AA3181" s="2">
        <v>-0.68086730656217898</v>
      </c>
      <c r="AB3181" s="2">
        <v>0.244349706816752</v>
      </c>
      <c r="AC3181" s="2">
        <v>383424.36999220803</v>
      </c>
      <c r="AD3181" s="2">
        <v>395271.441941895</v>
      </c>
      <c r="AE3181" s="2">
        <v>386764.96695001301</v>
      </c>
      <c r="AF3181" s="2">
        <v>394932.900376871</v>
      </c>
      <c r="AG3181" s="2">
        <v>360013.010513596</v>
      </c>
      <c r="AH3181" s="2">
        <v>372661.48217933899</v>
      </c>
      <c r="AI3181" s="2">
        <v>410875.327378163</v>
      </c>
      <c r="AJ3181" s="2">
        <v>375298.53255526797</v>
      </c>
      <c r="AK3181" s="2">
        <v>398254.26131726999</v>
      </c>
      <c r="AL3181" s="2">
        <v>398217.40681151598</v>
      </c>
      <c r="AM3181" s="2">
        <v>389303.88639152702</v>
      </c>
      <c r="AN3181" s="2">
        <v>390005.711341616</v>
      </c>
      <c r="AO3181" s="2">
        <v>367364.33378140698</v>
      </c>
      <c r="AP3181" s="2">
        <v>428483.05200803402</v>
      </c>
    </row>
    <row r="3182" spans="1:42" ht="14.5" x14ac:dyDescent="0.35">
      <c r="A3182" s="2" t="s">
        <v>21171</v>
      </c>
      <c r="B3182" s="2">
        <v>456.21344936888403</v>
      </c>
      <c r="C3182" s="2">
        <v>5.1048166666666699</v>
      </c>
      <c r="D3182" s="2" t="s">
        <v>34</v>
      </c>
      <c r="E3182" s="2" t="s">
        <v>21172</v>
      </c>
      <c r="F3182" s="2">
        <v>82668</v>
      </c>
      <c r="G3182" s="3" t="str">
        <f>HYPERLINK("http://funmeta.oebiotech.com/network/82668", "http://funmeta.oebiotech.com/network/82668")</f>
        <v>http://funmeta.oebiotech.com/network/82668</v>
      </c>
      <c r="H3182" s="2" t="s">
        <v>21173</v>
      </c>
      <c r="I3182" s="2"/>
      <c r="J3182" s="2"/>
      <c r="K3182" s="2"/>
      <c r="L3182" s="2"/>
      <c r="M3182" s="2"/>
      <c r="N3182" s="2"/>
      <c r="O3182" s="2">
        <v>91971625</v>
      </c>
      <c r="P3182" s="2"/>
      <c r="Q3182" s="2" t="s">
        <v>21174</v>
      </c>
      <c r="R3182" s="2" t="s">
        <v>21175</v>
      </c>
      <c r="S3182" s="2" t="s">
        <v>491</v>
      </c>
      <c r="T3182" s="2" t="s">
        <v>7431</v>
      </c>
      <c r="U3182" s="2" t="s">
        <v>7432</v>
      </c>
      <c r="V3182" s="2" t="s">
        <v>59</v>
      </c>
      <c r="W3182" s="2">
        <v>41.6</v>
      </c>
      <c r="X3182" s="2">
        <v>21.1</v>
      </c>
      <c r="Y3182" s="2" t="s">
        <v>141</v>
      </c>
      <c r="Z3182" s="2" t="s">
        <v>21176</v>
      </c>
      <c r="AA3182" s="2">
        <v>-1.69084875902759</v>
      </c>
      <c r="AB3182" s="2">
        <v>0.24424576305210199</v>
      </c>
      <c r="AC3182" s="2">
        <v>36062.045702943797</v>
      </c>
      <c r="AD3182" s="2">
        <v>41985.757706467302</v>
      </c>
      <c r="AE3182" s="2">
        <v>33881.1244498296</v>
      </c>
      <c r="AF3182" s="2">
        <v>38034.313243786302</v>
      </c>
      <c r="AG3182" s="2">
        <v>33342.509728612698</v>
      </c>
      <c r="AH3182" s="2">
        <v>37416.960032676703</v>
      </c>
      <c r="AI3182" s="2">
        <v>36565.389469907903</v>
      </c>
      <c r="AJ3182" s="2">
        <v>37131.977292849297</v>
      </c>
      <c r="AK3182" s="2">
        <v>34502.714978104101</v>
      </c>
      <c r="AL3182" s="2">
        <v>45776.4304115985</v>
      </c>
      <c r="AM3182" s="2">
        <v>45266.039452974699</v>
      </c>
      <c r="AN3182" s="2">
        <v>45824.619674934002</v>
      </c>
      <c r="AO3182" s="2">
        <v>37337.544851355997</v>
      </c>
      <c r="AP3182" s="2">
        <v>43207.196869836604</v>
      </c>
    </row>
    <row r="3183" spans="1:42" ht="14.5" x14ac:dyDescent="0.35">
      <c r="A3183" s="2" t="s">
        <v>21177</v>
      </c>
      <c r="B3183" s="2">
        <v>301.14090355377698</v>
      </c>
      <c r="C3183" s="2">
        <v>5.9690166666666702</v>
      </c>
      <c r="D3183" s="2" t="s">
        <v>34</v>
      </c>
      <c r="E3183" s="2" t="s">
        <v>21178</v>
      </c>
      <c r="F3183" s="2">
        <v>56681</v>
      </c>
      <c r="G3183" s="3" t="str">
        <f>HYPERLINK("http://funmeta.oebiotech.com/network/56681", "http://funmeta.oebiotech.com/network/56681")</f>
        <v>http://funmeta.oebiotech.com/network/56681</v>
      </c>
      <c r="H3183" s="2" t="s">
        <v>21179</v>
      </c>
      <c r="I3183" s="2">
        <v>88341</v>
      </c>
      <c r="J3183" s="2"/>
      <c r="K3183" s="2">
        <v>168139</v>
      </c>
      <c r="L3183" s="2"/>
      <c r="M3183" s="2"/>
      <c r="N3183" s="2"/>
      <c r="O3183" s="2">
        <v>5463954</v>
      </c>
      <c r="P3183" s="2" t="s">
        <v>21180</v>
      </c>
      <c r="Q3183" s="2" t="s">
        <v>21181</v>
      </c>
      <c r="R3183" s="2" t="s">
        <v>21182</v>
      </c>
      <c r="S3183" s="2" t="s">
        <v>50</v>
      </c>
      <c r="T3183" s="2" t="s">
        <v>229</v>
      </c>
      <c r="U3183" s="2" t="s">
        <v>1283</v>
      </c>
      <c r="V3183" s="2" t="s">
        <v>59</v>
      </c>
      <c r="W3183" s="2">
        <v>37.9</v>
      </c>
      <c r="X3183" s="2">
        <v>0</v>
      </c>
      <c r="Y3183" s="2" t="s">
        <v>340</v>
      </c>
      <c r="Z3183" s="2" t="s">
        <v>21183</v>
      </c>
      <c r="AA3183" s="2">
        <v>-1.06209452033094</v>
      </c>
      <c r="AB3183" s="2">
        <v>0.24418628545289101</v>
      </c>
      <c r="AC3183" s="2">
        <v>35219.344938682501</v>
      </c>
      <c r="AD3183" s="2">
        <v>40937.383340981898</v>
      </c>
      <c r="AE3183" s="2">
        <v>33922.458712016698</v>
      </c>
      <c r="AF3183" s="2">
        <v>34530.885464617597</v>
      </c>
      <c r="AG3183" s="2">
        <v>36510.221863555103</v>
      </c>
      <c r="AH3183" s="2">
        <v>37630.234364201897</v>
      </c>
      <c r="AI3183" s="2">
        <v>38473.107877410803</v>
      </c>
      <c r="AJ3183" s="2">
        <v>30249.161350292899</v>
      </c>
      <c r="AK3183" s="2">
        <v>47208.573297694304</v>
      </c>
      <c r="AL3183" s="2">
        <v>42532.808754149199</v>
      </c>
      <c r="AM3183" s="2">
        <v>37581.954070658401</v>
      </c>
      <c r="AN3183" s="2">
        <v>39259.098617051699</v>
      </c>
      <c r="AO3183" s="2">
        <v>41444.042251099003</v>
      </c>
      <c r="AP3183" s="2">
        <v>37597.823055239103</v>
      </c>
    </row>
    <row r="3184" spans="1:42" ht="14.5" x14ac:dyDescent="0.35">
      <c r="A3184" s="2" t="s">
        <v>21184</v>
      </c>
      <c r="B3184" s="2">
        <v>345.17050907074798</v>
      </c>
      <c r="C3184" s="2">
        <v>9.7462666666666706</v>
      </c>
      <c r="D3184" s="2" t="s">
        <v>70</v>
      </c>
      <c r="E3184" s="2" t="s">
        <v>21185</v>
      </c>
      <c r="F3184" s="2">
        <v>257172</v>
      </c>
      <c r="G3184" s="3" t="str">
        <f>HYPERLINK("http://funmeta.oebiotech.com/network/257172", "http://funmeta.oebiotech.com/network/257172")</f>
        <v>http://funmeta.oebiotech.com/network/257172</v>
      </c>
      <c r="H3184" s="2" t="s">
        <v>21186</v>
      </c>
      <c r="I3184" s="2"/>
      <c r="J3184" s="2"/>
      <c r="K3184" s="2"/>
      <c r="L3184" s="2"/>
      <c r="M3184" s="2"/>
      <c r="N3184" s="2"/>
      <c r="O3184" s="2">
        <v>74413933</v>
      </c>
      <c r="P3184" s="2"/>
      <c r="Q3184" s="2" t="s">
        <v>21187</v>
      </c>
      <c r="R3184" s="2" t="s">
        <v>21188</v>
      </c>
      <c r="S3184" s="2" t="s">
        <v>50</v>
      </c>
      <c r="T3184" s="2" t="s">
        <v>201</v>
      </c>
      <c r="U3184" s="2" t="s">
        <v>241</v>
      </c>
      <c r="V3184" s="2" t="s">
        <v>42</v>
      </c>
      <c r="W3184" s="2">
        <v>49</v>
      </c>
      <c r="X3184" s="2">
        <v>52.8</v>
      </c>
      <c r="Y3184" s="2" t="s">
        <v>118</v>
      </c>
      <c r="Z3184" s="2" t="s">
        <v>21189</v>
      </c>
      <c r="AA3184" s="2">
        <v>-0.68874641220404498</v>
      </c>
      <c r="AB3184" s="2">
        <v>0.24413493305087</v>
      </c>
      <c r="AC3184" s="2">
        <v>5459.8127897658596</v>
      </c>
      <c r="AD3184" s="2">
        <v>63.767142225548497</v>
      </c>
      <c r="AE3184" s="2">
        <v>2322.4771299502199</v>
      </c>
      <c r="AF3184" s="2">
        <v>13005.977027056</v>
      </c>
      <c r="AG3184" s="2">
        <v>6760.5277551476702</v>
      </c>
      <c r="AH3184" s="2">
        <v>4490.3831805975497</v>
      </c>
      <c r="AI3184" s="2">
        <v>2029.6573794231499</v>
      </c>
      <c r="AJ3184" s="2">
        <v>4149.8542664205797</v>
      </c>
      <c r="AK3184" s="2">
        <v>2.7106294003980101E-5</v>
      </c>
      <c r="AL3184" s="2">
        <v>2.7106294003980101E-5</v>
      </c>
      <c r="AM3184" s="2">
        <v>208.377611853563</v>
      </c>
      <c r="AN3184" s="2">
        <v>174.22513307455199</v>
      </c>
      <c r="AO3184" s="2">
        <v>2.7106294003980101E-5</v>
      </c>
      <c r="AP3184" s="2">
        <v>2.7106294003980101E-5</v>
      </c>
    </row>
    <row r="3185" spans="1:42" ht="14.5" x14ac:dyDescent="0.35">
      <c r="A3185" s="2" t="s">
        <v>21190</v>
      </c>
      <c r="B3185" s="2">
        <v>973.38100106326101</v>
      </c>
      <c r="C3185" s="2">
        <v>5.2660166666666699</v>
      </c>
      <c r="D3185" s="2" t="s">
        <v>34</v>
      </c>
      <c r="E3185" s="2" t="s">
        <v>21191</v>
      </c>
      <c r="F3185" s="2">
        <v>27783</v>
      </c>
      <c r="G3185" s="3" t="str">
        <f>HYPERLINK("http://funmeta.oebiotech.com/network/27783", "http://funmeta.oebiotech.com/network/27783")</f>
        <v>http://funmeta.oebiotech.com/network/27783</v>
      </c>
      <c r="H3185" s="2"/>
      <c r="I3185" s="2"/>
      <c r="J3185" s="2" t="s">
        <v>21192</v>
      </c>
      <c r="K3185" s="2"/>
      <c r="L3185" s="2"/>
      <c r="M3185" s="2"/>
      <c r="N3185" s="2"/>
      <c r="O3185" s="2">
        <v>126457673</v>
      </c>
      <c r="P3185" s="2"/>
      <c r="Q3185" s="2" t="s">
        <v>21193</v>
      </c>
      <c r="R3185" s="2" t="s">
        <v>21194</v>
      </c>
      <c r="S3185" s="2" t="s">
        <v>50</v>
      </c>
      <c r="T3185" s="2" t="s">
        <v>51</v>
      </c>
      <c r="U3185" s="2" t="s">
        <v>52</v>
      </c>
      <c r="V3185" s="2" t="s">
        <v>59</v>
      </c>
      <c r="W3185" s="2">
        <v>36.9</v>
      </c>
      <c r="X3185" s="2">
        <v>0</v>
      </c>
      <c r="Y3185" s="2" t="s">
        <v>340</v>
      </c>
      <c r="Z3185" s="2" t="s">
        <v>21195</v>
      </c>
      <c r="AA3185" s="2">
        <v>0.40928812590956898</v>
      </c>
      <c r="AB3185" s="2">
        <v>0.24395295597456901</v>
      </c>
      <c r="AC3185" s="2">
        <v>44156.751238169403</v>
      </c>
      <c r="AD3185" s="2">
        <v>50729.931028693703</v>
      </c>
      <c r="AE3185" s="2">
        <v>47237.9411826941</v>
      </c>
      <c r="AF3185" s="2">
        <v>43756.699319823703</v>
      </c>
      <c r="AG3185" s="2">
        <v>42135.955741569902</v>
      </c>
      <c r="AH3185" s="2">
        <v>37582.948460933403</v>
      </c>
      <c r="AI3185" s="2">
        <v>47474.923126314898</v>
      </c>
      <c r="AJ3185" s="2">
        <v>46752.039597680203</v>
      </c>
      <c r="AK3185" s="2">
        <v>56059.1216103064</v>
      </c>
      <c r="AL3185" s="2">
        <v>49939.921728242698</v>
      </c>
      <c r="AM3185" s="2">
        <v>41419.117040817502</v>
      </c>
      <c r="AN3185" s="2">
        <v>57620.629766491802</v>
      </c>
      <c r="AO3185" s="2">
        <v>50744.169439049103</v>
      </c>
      <c r="AP3185" s="2">
        <v>48596.626587254497</v>
      </c>
    </row>
    <row r="3186" spans="1:42" ht="14.5" x14ac:dyDescent="0.35">
      <c r="A3186" s="2" t="s">
        <v>21196</v>
      </c>
      <c r="B3186" s="2">
        <v>660.29556412040301</v>
      </c>
      <c r="C3186" s="2">
        <v>7.6666999999999996</v>
      </c>
      <c r="D3186" s="2" t="s">
        <v>70</v>
      </c>
      <c r="E3186" s="2" t="s">
        <v>21197</v>
      </c>
      <c r="F3186" s="2">
        <v>53545</v>
      </c>
      <c r="G3186" s="3" t="str">
        <f>HYPERLINK("http://funmeta.oebiotech.com/network/53545", "http://funmeta.oebiotech.com/network/53545")</f>
        <v>http://funmeta.oebiotech.com/network/53545</v>
      </c>
      <c r="H3186" s="2" t="s">
        <v>21198</v>
      </c>
      <c r="I3186" s="2">
        <v>43301</v>
      </c>
      <c r="J3186" s="2"/>
      <c r="K3186" s="2">
        <v>7934</v>
      </c>
      <c r="L3186" s="2" t="s">
        <v>21199</v>
      </c>
      <c r="M3186" s="2" t="s">
        <v>21200</v>
      </c>
      <c r="N3186" s="2" t="s">
        <v>21201</v>
      </c>
      <c r="O3186" s="2">
        <v>165580</v>
      </c>
      <c r="P3186" s="2" t="s">
        <v>21202</v>
      </c>
      <c r="Q3186" s="2" t="s">
        <v>21203</v>
      </c>
      <c r="R3186" s="2" t="s">
        <v>21204</v>
      </c>
      <c r="S3186" s="2" t="s">
        <v>79</v>
      </c>
      <c r="T3186" s="2" t="s">
        <v>80</v>
      </c>
      <c r="U3186" s="2" t="s">
        <v>81</v>
      </c>
      <c r="V3186" s="2" t="s">
        <v>59</v>
      </c>
      <c r="W3186" s="2">
        <v>38.1</v>
      </c>
      <c r="X3186" s="2">
        <v>0</v>
      </c>
      <c r="Y3186" s="2" t="s">
        <v>408</v>
      </c>
      <c r="Z3186" s="2" t="s">
        <v>21205</v>
      </c>
      <c r="AA3186" s="2">
        <v>1.72292505431096</v>
      </c>
      <c r="AB3186" s="2">
        <v>0.24392695868435699</v>
      </c>
      <c r="AC3186" s="2">
        <v>15152.299560961999</v>
      </c>
      <c r="AD3186" s="2">
        <v>20045.667495252401</v>
      </c>
      <c r="AE3186" s="2">
        <v>14304.7816862049</v>
      </c>
      <c r="AF3186" s="2">
        <v>14127.4995370938</v>
      </c>
      <c r="AG3186" s="2">
        <v>13825.297549192899</v>
      </c>
      <c r="AH3186" s="2">
        <v>17449.975092711298</v>
      </c>
      <c r="AI3186" s="2">
        <v>16364.3852834994</v>
      </c>
      <c r="AJ3186" s="2">
        <v>14841.858217069899</v>
      </c>
      <c r="AK3186" s="2">
        <v>19678.906084218899</v>
      </c>
      <c r="AL3186" s="2">
        <v>23589.816374393999</v>
      </c>
      <c r="AM3186" s="2">
        <v>22550.685182991801</v>
      </c>
      <c r="AN3186" s="2">
        <v>17882.062856052798</v>
      </c>
      <c r="AO3186" s="2">
        <v>19062.302071231999</v>
      </c>
      <c r="AP3186" s="2">
        <v>17510.232402624901</v>
      </c>
    </row>
    <row r="3187" spans="1:42" ht="14.5" x14ac:dyDescent="0.35">
      <c r="A3187" s="2" t="s">
        <v>21206</v>
      </c>
      <c r="B3187" s="2">
        <v>311.16377140759698</v>
      </c>
      <c r="C3187" s="2">
        <v>5.1684333333333301</v>
      </c>
      <c r="D3187" s="2" t="s">
        <v>34</v>
      </c>
      <c r="E3187" s="2" t="s">
        <v>21207</v>
      </c>
      <c r="F3187" s="2">
        <v>534713</v>
      </c>
      <c r="G3187" s="3" t="str">
        <f>HYPERLINK("http://funmeta.oebiotech.com/network/534713", "http://funmeta.oebiotech.com/network/534713")</f>
        <v>http://funmeta.oebiotech.com/network/534713</v>
      </c>
      <c r="H3187" s="2"/>
      <c r="I3187" s="2">
        <v>985314</v>
      </c>
      <c r="J3187" s="2"/>
      <c r="K3187" s="2"/>
      <c r="L3187" s="2"/>
      <c r="M3187" s="2"/>
      <c r="N3187" s="2"/>
      <c r="O3187" s="2">
        <v>45359486</v>
      </c>
      <c r="P3187" s="2"/>
      <c r="Q3187" s="2" t="s">
        <v>21208</v>
      </c>
      <c r="R3187" s="2" t="s">
        <v>21209</v>
      </c>
      <c r="S3187" s="2" t="s">
        <v>79</v>
      </c>
      <c r="T3187" s="2" t="s">
        <v>80</v>
      </c>
      <c r="U3187" s="2" t="s">
        <v>2021</v>
      </c>
      <c r="V3187" s="2" t="s">
        <v>59</v>
      </c>
      <c r="W3187" s="2">
        <v>38.5</v>
      </c>
      <c r="X3187" s="2">
        <v>0</v>
      </c>
      <c r="Y3187" s="2" t="s">
        <v>266</v>
      </c>
      <c r="Z3187" s="2" t="s">
        <v>17615</v>
      </c>
      <c r="AA3187" s="2">
        <v>-1.28834351222474</v>
      </c>
      <c r="AB3187" s="2">
        <v>0.243609478086043</v>
      </c>
      <c r="AC3187" s="2">
        <v>119252.250205451</v>
      </c>
      <c r="AD3187" s="2">
        <v>113008.551439034</v>
      </c>
      <c r="AE3187" s="2">
        <v>116520.37757907801</v>
      </c>
      <c r="AF3187" s="2">
        <v>121347.2075141</v>
      </c>
      <c r="AG3187" s="2">
        <v>123648.865427959</v>
      </c>
      <c r="AH3187" s="2">
        <v>117242.665917618</v>
      </c>
      <c r="AI3187" s="2">
        <v>110931.649225532</v>
      </c>
      <c r="AJ3187" s="2">
        <v>125822.73556841799</v>
      </c>
      <c r="AK3187" s="2">
        <v>113355.69023484</v>
      </c>
      <c r="AL3187" s="2">
        <v>117594.478569299</v>
      </c>
      <c r="AM3187" s="2">
        <v>107799.708862942</v>
      </c>
      <c r="AN3187" s="2">
        <v>111647.149602893</v>
      </c>
      <c r="AO3187" s="2">
        <v>114114.835579354</v>
      </c>
      <c r="AP3187" s="2">
        <v>113539.445784874</v>
      </c>
    </row>
    <row r="3188" spans="1:42" ht="14.5" x14ac:dyDescent="0.35">
      <c r="A3188" s="2" t="s">
        <v>21210</v>
      </c>
      <c r="B3188" s="2">
        <v>503.37065759640097</v>
      </c>
      <c r="C3188" s="2">
        <v>12.49145</v>
      </c>
      <c r="D3188" s="2" t="s">
        <v>34</v>
      </c>
      <c r="E3188" s="2" t="s">
        <v>21211</v>
      </c>
      <c r="F3188" s="2">
        <v>61780</v>
      </c>
      <c r="G3188" s="3" t="str">
        <f>HYPERLINK("http://funmeta.oebiotech.com/network/61780", "http://funmeta.oebiotech.com/network/61780")</f>
        <v>http://funmeta.oebiotech.com/network/61780</v>
      </c>
      <c r="H3188" s="2" t="s">
        <v>21212</v>
      </c>
      <c r="I3188" s="2"/>
      <c r="J3188" s="2"/>
      <c r="K3188" s="2"/>
      <c r="L3188" s="2"/>
      <c r="M3188" s="2"/>
      <c r="N3188" s="2"/>
      <c r="O3188" s="2">
        <v>73800245</v>
      </c>
      <c r="P3188" s="2" t="s">
        <v>21213</v>
      </c>
      <c r="Q3188" s="2" t="s">
        <v>21214</v>
      </c>
      <c r="R3188" s="2" t="s">
        <v>21215</v>
      </c>
      <c r="S3188" s="2" t="s">
        <v>50</v>
      </c>
      <c r="T3188" s="2" t="s">
        <v>124</v>
      </c>
      <c r="U3188" s="2" t="s">
        <v>4336</v>
      </c>
      <c r="V3188" s="2" t="s">
        <v>42</v>
      </c>
      <c r="W3188" s="2">
        <v>51.2</v>
      </c>
      <c r="X3188" s="2">
        <v>69.099999999999994</v>
      </c>
      <c r="Y3188" s="2" t="s">
        <v>141</v>
      </c>
      <c r="Z3188" s="2" t="s">
        <v>21216</v>
      </c>
      <c r="AA3188" s="2">
        <v>-4.6957138122601396</v>
      </c>
      <c r="AB3188" s="2">
        <v>0.243381695625801</v>
      </c>
      <c r="AC3188" s="2">
        <v>8980.2940297290006</v>
      </c>
      <c r="AD3188" s="2">
        <v>4886.2829734409497</v>
      </c>
      <c r="AE3188" s="2">
        <v>8779.60500932168</v>
      </c>
      <c r="AF3188" s="2">
        <v>9183.3003735221391</v>
      </c>
      <c r="AG3188" s="2">
        <v>8586.7121436011203</v>
      </c>
      <c r="AH3188" s="2">
        <v>9185.6051821432593</v>
      </c>
      <c r="AI3188" s="2">
        <v>8479.0480094348204</v>
      </c>
      <c r="AJ3188" s="2">
        <v>9667.4934603509791</v>
      </c>
      <c r="AK3188" s="2">
        <v>6499.9029595428301</v>
      </c>
      <c r="AL3188" s="2">
        <v>4526.6129538078503</v>
      </c>
      <c r="AM3188" s="2">
        <v>5574.4462302530701</v>
      </c>
      <c r="AN3188" s="2">
        <v>4325.5746190753398</v>
      </c>
      <c r="AO3188" s="2">
        <v>4510.86390750803</v>
      </c>
      <c r="AP3188" s="2">
        <v>3880.2971704585998</v>
      </c>
    </row>
    <row r="3189" spans="1:42" ht="14.5" x14ac:dyDescent="0.35">
      <c r="A3189" s="2" t="s">
        <v>21217</v>
      </c>
      <c r="B3189" s="2">
        <v>277.03227921830501</v>
      </c>
      <c r="C3189" s="2">
        <v>0.71055000000000001</v>
      </c>
      <c r="D3189" s="2" t="s">
        <v>70</v>
      </c>
      <c r="E3189" s="2" t="s">
        <v>21218</v>
      </c>
      <c r="F3189" s="2">
        <v>203811</v>
      </c>
      <c r="G3189" s="3" t="str">
        <f>HYPERLINK("http://funmeta.oebiotech.com/network/203811", "http://funmeta.oebiotech.com/network/203811")</f>
        <v>http://funmeta.oebiotech.com/network/203811</v>
      </c>
      <c r="H3189" s="2" t="s">
        <v>21219</v>
      </c>
      <c r="I3189" s="2"/>
      <c r="J3189" s="2"/>
      <c r="K3189" s="2"/>
      <c r="L3189" s="2"/>
      <c r="M3189" s="2"/>
      <c r="N3189" s="2"/>
      <c r="O3189" s="2">
        <v>76419056</v>
      </c>
      <c r="P3189" s="2"/>
      <c r="Q3189" s="2" t="s">
        <v>21220</v>
      </c>
      <c r="R3189" s="2" t="s">
        <v>21221</v>
      </c>
      <c r="S3189" s="2" t="s">
        <v>41</v>
      </c>
      <c r="T3189" s="2" t="s">
        <v>41</v>
      </c>
      <c r="U3189" s="2" t="s">
        <v>41</v>
      </c>
      <c r="V3189" s="2" t="s">
        <v>59</v>
      </c>
      <c r="W3189" s="2">
        <v>39.799999999999997</v>
      </c>
      <c r="X3189" s="2">
        <v>0</v>
      </c>
      <c r="Y3189" s="2" t="s">
        <v>560</v>
      </c>
      <c r="Z3189" s="2" t="s">
        <v>21222</v>
      </c>
      <c r="AA3189" s="2">
        <v>-0.47110725914497698</v>
      </c>
      <c r="AB3189" s="2">
        <v>0.243364006335512</v>
      </c>
      <c r="AC3189" s="2">
        <v>116475.64222620201</v>
      </c>
      <c r="AD3189" s="2">
        <v>133179.57501556401</v>
      </c>
      <c r="AE3189" s="2">
        <v>110373.58074962901</v>
      </c>
      <c r="AF3189" s="2">
        <v>173251.907274367</v>
      </c>
      <c r="AG3189" s="2">
        <v>85390.516020470095</v>
      </c>
      <c r="AH3189" s="2">
        <v>126551.737141276</v>
      </c>
      <c r="AI3189" s="2">
        <v>130981.82469574201</v>
      </c>
      <c r="AJ3189" s="2">
        <v>72304.2874757268</v>
      </c>
      <c r="AK3189" s="2">
        <v>110073.88806654701</v>
      </c>
      <c r="AL3189" s="2">
        <v>129413.48608057199</v>
      </c>
      <c r="AM3189" s="2">
        <v>111753.905623659</v>
      </c>
      <c r="AN3189" s="2">
        <v>174213.74413373301</v>
      </c>
      <c r="AO3189" s="2">
        <v>192642.40156927999</v>
      </c>
      <c r="AP3189" s="2">
        <v>80980.024619591204</v>
      </c>
    </row>
    <row r="3190" spans="1:42" ht="14.5" x14ac:dyDescent="0.35">
      <c r="A3190" s="2" t="s">
        <v>21223</v>
      </c>
      <c r="B3190" s="2">
        <v>588.33061739459004</v>
      </c>
      <c r="C3190" s="2">
        <v>10.1084333333333</v>
      </c>
      <c r="D3190" s="2" t="s">
        <v>70</v>
      </c>
      <c r="E3190" s="2" t="s">
        <v>21224</v>
      </c>
      <c r="F3190" s="2">
        <v>19846</v>
      </c>
      <c r="G3190" s="3" t="str">
        <f>HYPERLINK("http://funmeta.oebiotech.com/network/19846", "http://funmeta.oebiotech.com/network/19846")</f>
        <v>http://funmeta.oebiotech.com/network/19846</v>
      </c>
      <c r="H3190" s="2" t="s">
        <v>21225</v>
      </c>
      <c r="I3190" s="2">
        <v>40314</v>
      </c>
      <c r="J3190" s="2" t="s">
        <v>21226</v>
      </c>
      <c r="K3190" s="2">
        <v>74344</v>
      </c>
      <c r="L3190" s="2" t="s">
        <v>1451</v>
      </c>
      <c r="M3190" s="2" t="s">
        <v>1452</v>
      </c>
      <c r="N3190" s="2" t="s">
        <v>1453</v>
      </c>
      <c r="O3190" s="2">
        <v>24779476</v>
      </c>
      <c r="P3190" s="2" t="s">
        <v>21227</v>
      </c>
      <c r="Q3190" s="2" t="s">
        <v>21228</v>
      </c>
      <c r="R3190" s="2" t="s">
        <v>21229</v>
      </c>
      <c r="S3190" s="2" t="s">
        <v>50</v>
      </c>
      <c r="T3190" s="2" t="s">
        <v>51</v>
      </c>
      <c r="U3190" s="2" t="s">
        <v>168</v>
      </c>
      <c r="V3190" s="2" t="s">
        <v>42</v>
      </c>
      <c r="W3190" s="2">
        <v>50.4</v>
      </c>
      <c r="X3190" s="2">
        <v>54.5</v>
      </c>
      <c r="Y3190" s="2" t="s">
        <v>408</v>
      </c>
      <c r="Z3190" s="2" t="s">
        <v>12440</v>
      </c>
      <c r="AA3190" s="2">
        <v>-0.13813020861095701</v>
      </c>
      <c r="AB3190" s="2">
        <v>0.24328996423843299</v>
      </c>
      <c r="AC3190" s="2">
        <v>11857.458958773001</v>
      </c>
      <c r="AD3190" s="2">
        <v>16321.9628408797</v>
      </c>
      <c r="AE3190" s="2">
        <v>13174.0781051591</v>
      </c>
      <c r="AF3190" s="2">
        <v>13192.874026392799</v>
      </c>
      <c r="AG3190" s="2">
        <v>12153.7501190086</v>
      </c>
      <c r="AH3190" s="2">
        <v>9800.4670534977304</v>
      </c>
      <c r="AI3190" s="2">
        <v>12083.4699373371</v>
      </c>
      <c r="AJ3190" s="2">
        <v>10740.1145112424</v>
      </c>
      <c r="AK3190" s="2">
        <v>18285.7457691091</v>
      </c>
      <c r="AL3190" s="2">
        <v>16286.494706190701</v>
      </c>
      <c r="AM3190" s="2">
        <v>16018.0466589918</v>
      </c>
      <c r="AN3190" s="2">
        <v>14049.645444322199</v>
      </c>
      <c r="AO3190" s="2">
        <v>16632.525104810898</v>
      </c>
      <c r="AP3190" s="2">
        <v>16659.319361853799</v>
      </c>
    </row>
    <row r="3191" spans="1:42" ht="14.5" x14ac:dyDescent="0.35">
      <c r="A3191" s="2" t="s">
        <v>21230</v>
      </c>
      <c r="B3191" s="2">
        <v>311.18620700733902</v>
      </c>
      <c r="C3191" s="2">
        <v>8.6196000000000002</v>
      </c>
      <c r="D3191" s="2" t="s">
        <v>70</v>
      </c>
      <c r="E3191" s="2" t="s">
        <v>21231</v>
      </c>
      <c r="F3191" s="2">
        <v>1919</v>
      </c>
      <c r="G3191" s="3" t="str">
        <f>HYPERLINK("http://funmeta.oebiotech.com/network/1919", "http://funmeta.oebiotech.com/network/1919")</f>
        <v>http://funmeta.oebiotech.com/network/1919</v>
      </c>
      <c r="H3191" s="2"/>
      <c r="I3191" s="2"/>
      <c r="J3191" s="2" t="s">
        <v>21232</v>
      </c>
      <c r="K3191" s="2">
        <v>74250</v>
      </c>
      <c r="L3191" s="2"/>
      <c r="M3191" s="2"/>
      <c r="N3191" s="2"/>
      <c r="O3191" s="2">
        <v>57465470</v>
      </c>
      <c r="P3191" s="2"/>
      <c r="Q3191" s="2" t="s">
        <v>21233</v>
      </c>
      <c r="R3191" s="2" t="s">
        <v>21234</v>
      </c>
      <c r="S3191" s="2" t="s">
        <v>50</v>
      </c>
      <c r="T3191" s="2" t="s">
        <v>229</v>
      </c>
      <c r="U3191" s="2" t="s">
        <v>433</v>
      </c>
      <c r="V3191" s="2" t="s">
        <v>42</v>
      </c>
      <c r="W3191" s="2">
        <v>51.6</v>
      </c>
      <c r="X3191" s="2">
        <v>63.3</v>
      </c>
      <c r="Y3191" s="2" t="s">
        <v>118</v>
      </c>
      <c r="Z3191" s="2" t="s">
        <v>21235</v>
      </c>
      <c r="AA3191" s="2">
        <v>-0.61037886599703195</v>
      </c>
      <c r="AB3191" s="2">
        <v>0.24293541191499701</v>
      </c>
      <c r="AC3191" s="2">
        <v>9657.1683432266109</v>
      </c>
      <c r="AD3191" s="2">
        <v>5553.6029033246396</v>
      </c>
      <c r="AE3191" s="2">
        <v>10406.6674061103</v>
      </c>
      <c r="AF3191" s="2">
        <v>10712.5515492381</v>
      </c>
      <c r="AG3191" s="2">
        <v>8872.3091784073295</v>
      </c>
      <c r="AH3191" s="2">
        <v>10040.707245273201</v>
      </c>
      <c r="AI3191" s="2">
        <v>8852.8515879755905</v>
      </c>
      <c r="AJ3191" s="2">
        <v>9057.9230923551404</v>
      </c>
      <c r="AK3191" s="2">
        <v>5992.13286049825</v>
      </c>
      <c r="AL3191" s="2">
        <v>4459.3200642787397</v>
      </c>
      <c r="AM3191" s="2">
        <v>5878.9903881734999</v>
      </c>
      <c r="AN3191" s="2">
        <v>6099.2737549019903</v>
      </c>
      <c r="AO3191" s="2">
        <v>6163.7815172784904</v>
      </c>
      <c r="AP3191" s="2">
        <v>4728.1188348168798</v>
      </c>
    </row>
    <row r="3192" spans="1:42" ht="14.5" x14ac:dyDescent="0.35">
      <c r="A3192" s="2" t="s">
        <v>21236</v>
      </c>
      <c r="B3192" s="2">
        <v>647.18856781399802</v>
      </c>
      <c r="C3192" s="2">
        <v>6.0864833333333301</v>
      </c>
      <c r="D3192" s="2" t="s">
        <v>70</v>
      </c>
      <c r="E3192" s="2" t="s">
        <v>21237</v>
      </c>
      <c r="F3192" s="2">
        <v>258209</v>
      </c>
      <c r="G3192" s="3" t="str">
        <f>HYPERLINK("http://funmeta.oebiotech.com/network/258209", "http://funmeta.oebiotech.com/network/258209")</f>
        <v>http://funmeta.oebiotech.com/network/258209</v>
      </c>
      <c r="H3192" s="2"/>
      <c r="I3192" s="2">
        <v>3037</v>
      </c>
      <c r="J3192" s="2"/>
      <c r="K3192" s="2"/>
      <c r="L3192" s="2"/>
      <c r="M3192" s="2"/>
      <c r="N3192" s="2"/>
      <c r="O3192" s="2">
        <v>54682146</v>
      </c>
      <c r="P3192" s="2" t="s">
        <v>21238</v>
      </c>
      <c r="Q3192" s="2" t="s">
        <v>21239</v>
      </c>
      <c r="R3192" s="2" t="s">
        <v>21240</v>
      </c>
      <c r="S3192" s="2" t="s">
        <v>115</v>
      </c>
      <c r="T3192" s="2" t="s">
        <v>758</v>
      </c>
      <c r="U3192" s="2" t="s">
        <v>10001</v>
      </c>
      <c r="V3192" s="2" t="s">
        <v>59</v>
      </c>
      <c r="W3192" s="2">
        <v>36.9</v>
      </c>
      <c r="X3192" s="2">
        <v>0</v>
      </c>
      <c r="Y3192" s="2" t="s">
        <v>560</v>
      </c>
      <c r="Z3192" s="2" t="s">
        <v>21241</v>
      </c>
      <c r="AA3192" s="2">
        <v>-5.7127097010552301</v>
      </c>
      <c r="AB3192" s="2">
        <v>0.24285205570157101</v>
      </c>
      <c r="AC3192" s="2">
        <v>9914.4974885867396</v>
      </c>
      <c r="AD3192" s="2">
        <v>5580.0531112386298</v>
      </c>
      <c r="AE3192" s="2">
        <v>11945.5492853919</v>
      </c>
      <c r="AF3192" s="2">
        <v>9883.3836026828194</v>
      </c>
      <c r="AG3192" s="2">
        <v>11628.3266286096</v>
      </c>
      <c r="AH3192" s="2">
        <v>8565.4752706511899</v>
      </c>
      <c r="AI3192" s="2">
        <v>8065.5001225512497</v>
      </c>
      <c r="AJ3192" s="2">
        <v>9398.7500216336994</v>
      </c>
      <c r="AK3192" s="2">
        <v>5363.3374212498602</v>
      </c>
      <c r="AL3192" s="2">
        <v>5524.2360919585399</v>
      </c>
      <c r="AM3192" s="2">
        <v>5471.6659117997797</v>
      </c>
      <c r="AN3192" s="2">
        <v>5401.2236234699703</v>
      </c>
      <c r="AO3192" s="2">
        <v>4688.1619841453503</v>
      </c>
      <c r="AP3192" s="2">
        <v>7031.69363480828</v>
      </c>
    </row>
    <row r="3193" spans="1:42" ht="14.5" x14ac:dyDescent="0.35">
      <c r="A3193" s="2" t="s">
        <v>21242</v>
      </c>
      <c r="B3193" s="2">
        <v>239.164073315152</v>
      </c>
      <c r="C3193" s="2">
        <v>10.113516666666699</v>
      </c>
      <c r="D3193" s="2" t="s">
        <v>34</v>
      </c>
      <c r="E3193" s="2" t="s">
        <v>21243</v>
      </c>
      <c r="F3193" s="2">
        <v>35654</v>
      </c>
      <c r="G3193" s="3" t="str">
        <f>HYPERLINK("http://funmeta.oebiotech.com/network/35654", "http://funmeta.oebiotech.com/network/35654")</f>
        <v>http://funmeta.oebiotech.com/network/35654</v>
      </c>
      <c r="H3193" s="2"/>
      <c r="I3193" s="2">
        <v>53442</v>
      </c>
      <c r="J3193" s="2" t="s">
        <v>21244</v>
      </c>
      <c r="K3193" s="2"/>
      <c r="L3193" s="2"/>
      <c r="M3193" s="2"/>
      <c r="N3193" s="2"/>
      <c r="O3193" s="2">
        <v>42608154</v>
      </c>
      <c r="P3193" s="2"/>
      <c r="Q3193" s="2" t="s">
        <v>21245</v>
      </c>
      <c r="R3193" s="2" t="s">
        <v>21246</v>
      </c>
      <c r="S3193" s="2" t="s">
        <v>50</v>
      </c>
      <c r="T3193" s="2" t="s">
        <v>201</v>
      </c>
      <c r="U3193" s="2" t="s">
        <v>1217</v>
      </c>
      <c r="V3193" s="2" t="s">
        <v>59</v>
      </c>
      <c r="W3193" s="2">
        <v>43.9</v>
      </c>
      <c r="X3193" s="2">
        <v>22.5</v>
      </c>
      <c r="Y3193" s="2" t="s">
        <v>67</v>
      </c>
      <c r="Z3193" s="2" t="s">
        <v>12715</v>
      </c>
      <c r="AA3193" s="2">
        <v>-0.41015427398042198</v>
      </c>
      <c r="AB3193" s="2">
        <v>0.24283204065019701</v>
      </c>
      <c r="AC3193" s="2">
        <v>8480.1140917763005</v>
      </c>
      <c r="AD3193" s="2">
        <v>4494.4814050493296</v>
      </c>
      <c r="AE3193" s="2">
        <v>9130.9408349626501</v>
      </c>
      <c r="AF3193" s="2">
        <v>7980.8483950231803</v>
      </c>
      <c r="AG3193" s="2">
        <v>7756.8229264004904</v>
      </c>
      <c r="AH3193" s="2">
        <v>8729.6574273645092</v>
      </c>
      <c r="AI3193" s="2">
        <v>7897.3327441897</v>
      </c>
      <c r="AJ3193" s="2">
        <v>9385.0822227172393</v>
      </c>
      <c r="AK3193" s="2">
        <v>4234.2801472266601</v>
      </c>
      <c r="AL3193" s="2">
        <v>4805.3568583146898</v>
      </c>
      <c r="AM3193" s="2">
        <v>4615.34549693998</v>
      </c>
      <c r="AN3193" s="2">
        <v>4344.3576221333396</v>
      </c>
      <c r="AO3193" s="2">
        <v>4932.2622292346896</v>
      </c>
      <c r="AP3193" s="2">
        <v>4035.28607644662</v>
      </c>
    </row>
    <row r="3194" spans="1:42" ht="14.5" x14ac:dyDescent="0.35">
      <c r="A3194" s="2" t="s">
        <v>21247</v>
      </c>
      <c r="B3194" s="2">
        <v>747.32386802916199</v>
      </c>
      <c r="C3194" s="2">
        <v>7.2989833333333296</v>
      </c>
      <c r="D3194" s="2" t="s">
        <v>70</v>
      </c>
      <c r="E3194" s="2" t="s">
        <v>21248</v>
      </c>
      <c r="F3194" s="2">
        <v>44709</v>
      </c>
      <c r="G3194" s="3" t="str">
        <f>HYPERLINK("http://funmeta.oebiotech.com/network/44709", "http://funmeta.oebiotech.com/network/44709")</f>
        <v>http://funmeta.oebiotech.com/network/44709</v>
      </c>
      <c r="H3194" s="2"/>
      <c r="I3194" s="2"/>
      <c r="J3194" s="2" t="s">
        <v>21249</v>
      </c>
      <c r="K3194" s="2"/>
      <c r="L3194" s="2"/>
      <c r="M3194" s="2"/>
      <c r="N3194" s="2"/>
      <c r="O3194" s="2">
        <v>52931498</v>
      </c>
      <c r="P3194" s="2"/>
      <c r="Q3194" s="2" t="s">
        <v>21250</v>
      </c>
      <c r="R3194" s="2" t="s">
        <v>21251</v>
      </c>
      <c r="S3194" s="2" t="s">
        <v>50</v>
      </c>
      <c r="T3194" s="2" t="s">
        <v>124</v>
      </c>
      <c r="U3194" s="2" t="s">
        <v>567</v>
      </c>
      <c r="V3194" s="2" t="s">
        <v>59</v>
      </c>
      <c r="W3194" s="2">
        <v>37.6</v>
      </c>
      <c r="X3194" s="2">
        <v>0</v>
      </c>
      <c r="Y3194" s="2" t="s">
        <v>751</v>
      </c>
      <c r="Z3194" s="2" t="s">
        <v>21252</v>
      </c>
      <c r="AA3194" s="2">
        <v>0.68312186803525798</v>
      </c>
      <c r="AB3194" s="2">
        <v>0.24277419988942101</v>
      </c>
      <c r="AC3194" s="2">
        <v>5921.9934168602304</v>
      </c>
      <c r="AD3194" s="2">
        <v>1913.5223230791401</v>
      </c>
      <c r="AE3194" s="2">
        <v>5408.2243579462101</v>
      </c>
      <c r="AF3194" s="2">
        <v>6151.8933335442498</v>
      </c>
      <c r="AG3194" s="2">
        <v>6170.60495967321</v>
      </c>
      <c r="AH3194" s="2">
        <v>5580.8674324798203</v>
      </c>
      <c r="AI3194" s="2">
        <v>6872.73979915984</v>
      </c>
      <c r="AJ3194" s="2">
        <v>5347.63061835803</v>
      </c>
      <c r="AK3194" s="2">
        <v>1227.1052016690801</v>
      </c>
      <c r="AL3194" s="2">
        <v>2506.6699275483302</v>
      </c>
      <c r="AM3194" s="2">
        <v>2036.53383759795</v>
      </c>
      <c r="AN3194" s="2">
        <v>1209.17167888532</v>
      </c>
      <c r="AO3194" s="2">
        <v>2480.8831066817802</v>
      </c>
      <c r="AP3194" s="2">
        <v>2020.7701860923501</v>
      </c>
    </row>
    <row r="3195" spans="1:42" ht="14.5" x14ac:dyDescent="0.35">
      <c r="A3195" s="2" t="s">
        <v>21253</v>
      </c>
      <c r="B3195" s="2">
        <v>813.28756321648495</v>
      </c>
      <c r="C3195" s="2">
        <v>7.9924333333333299</v>
      </c>
      <c r="D3195" s="2" t="s">
        <v>70</v>
      </c>
      <c r="E3195" s="2" t="s">
        <v>21254</v>
      </c>
      <c r="F3195" s="2">
        <v>209140</v>
      </c>
      <c r="G3195" s="3" t="str">
        <f>HYPERLINK("http://funmeta.oebiotech.com/network/209140", "http://funmeta.oebiotech.com/network/209140")</f>
        <v>http://funmeta.oebiotech.com/network/209140</v>
      </c>
      <c r="H3195" s="2" t="s">
        <v>21255</v>
      </c>
      <c r="I3195" s="2"/>
      <c r="J3195" s="2"/>
      <c r="K3195" s="2"/>
      <c r="L3195" s="2"/>
      <c r="M3195" s="2"/>
      <c r="N3195" s="2"/>
      <c r="O3195" s="2">
        <v>75085602</v>
      </c>
      <c r="P3195" s="2"/>
      <c r="Q3195" s="2" t="s">
        <v>21256</v>
      </c>
      <c r="R3195" s="2" t="s">
        <v>21257</v>
      </c>
      <c r="S3195" s="2" t="s">
        <v>41</v>
      </c>
      <c r="T3195" s="2" t="s">
        <v>41</v>
      </c>
      <c r="U3195" s="2" t="s">
        <v>41</v>
      </c>
      <c r="V3195" s="2" t="s">
        <v>59</v>
      </c>
      <c r="W3195" s="2">
        <v>36.9</v>
      </c>
      <c r="X3195" s="2">
        <v>0</v>
      </c>
      <c r="Y3195" s="2" t="s">
        <v>560</v>
      </c>
      <c r="Z3195" s="2" t="s">
        <v>21258</v>
      </c>
      <c r="AA3195" s="2">
        <v>-1.7216373888047001</v>
      </c>
      <c r="AB3195" s="2">
        <v>0.24275554682779699</v>
      </c>
      <c r="AC3195" s="2">
        <v>12351.969972978901</v>
      </c>
      <c r="AD3195" s="2">
        <v>16794.9462273465</v>
      </c>
      <c r="AE3195" s="2">
        <v>12085.9906423671</v>
      </c>
      <c r="AF3195" s="2">
        <v>12760.699811677399</v>
      </c>
      <c r="AG3195" s="2">
        <v>11943.806470708199</v>
      </c>
      <c r="AH3195" s="2">
        <v>12031.621579500301</v>
      </c>
      <c r="AI3195" s="2">
        <v>13481.4105161429</v>
      </c>
      <c r="AJ3195" s="2">
        <v>11808.2908174776</v>
      </c>
      <c r="AK3195" s="2">
        <v>14526.4284815132</v>
      </c>
      <c r="AL3195" s="2">
        <v>17546.311265232802</v>
      </c>
      <c r="AM3195" s="2">
        <v>15779.9410393822</v>
      </c>
      <c r="AN3195" s="2">
        <v>19168.800487778601</v>
      </c>
      <c r="AO3195" s="2">
        <v>15263.7426693612</v>
      </c>
      <c r="AP3195" s="2">
        <v>18484.453420811202</v>
      </c>
    </row>
    <row r="3196" spans="1:42" ht="14.5" x14ac:dyDescent="0.35">
      <c r="A3196" s="2" t="s">
        <v>21259</v>
      </c>
      <c r="B3196" s="2">
        <v>501.15126374370601</v>
      </c>
      <c r="C3196" s="2">
        <v>4.6673166666666699</v>
      </c>
      <c r="D3196" s="2" t="s">
        <v>70</v>
      </c>
      <c r="E3196" s="2" t="s">
        <v>21260</v>
      </c>
      <c r="F3196" s="2">
        <v>54322</v>
      </c>
      <c r="G3196" s="3" t="str">
        <f>HYPERLINK("http://funmeta.oebiotech.com/network/54322", "http://funmeta.oebiotech.com/network/54322")</f>
        <v>http://funmeta.oebiotech.com/network/54322</v>
      </c>
      <c r="H3196" s="2" t="s">
        <v>21261</v>
      </c>
      <c r="I3196" s="2">
        <v>86216</v>
      </c>
      <c r="J3196" s="2"/>
      <c r="K3196" s="2">
        <v>174316</v>
      </c>
      <c r="L3196" s="2"/>
      <c r="M3196" s="2"/>
      <c r="N3196" s="2"/>
      <c r="O3196" s="2">
        <v>562665</v>
      </c>
      <c r="P3196" s="2" t="s">
        <v>21262</v>
      </c>
      <c r="Q3196" s="2" t="s">
        <v>21263</v>
      </c>
      <c r="R3196" s="2" t="s">
        <v>21264</v>
      </c>
      <c r="S3196" s="2" t="s">
        <v>89</v>
      </c>
      <c r="T3196" s="2" t="s">
        <v>90</v>
      </c>
      <c r="U3196" s="2" t="s">
        <v>99</v>
      </c>
      <c r="V3196" s="2" t="s">
        <v>59</v>
      </c>
      <c r="W3196" s="2">
        <v>38.799999999999997</v>
      </c>
      <c r="X3196" s="2">
        <v>0</v>
      </c>
      <c r="Y3196" s="2" t="s">
        <v>498</v>
      </c>
      <c r="Z3196" s="2" t="s">
        <v>7645</v>
      </c>
      <c r="AA3196" s="2">
        <v>-0.40796524171158899</v>
      </c>
      <c r="AB3196" s="2">
        <v>0.24268743594516801</v>
      </c>
      <c r="AC3196" s="2">
        <v>10578.286309789601</v>
      </c>
      <c r="AD3196" s="2">
        <v>6403.9276073862902</v>
      </c>
      <c r="AE3196" s="2">
        <v>9553.4070072329996</v>
      </c>
      <c r="AF3196" s="2">
        <v>11805.3377060483</v>
      </c>
      <c r="AG3196" s="2">
        <v>9908.5065943091995</v>
      </c>
      <c r="AH3196" s="2">
        <v>9550.6886183640599</v>
      </c>
      <c r="AI3196" s="2">
        <v>11555.517382477899</v>
      </c>
      <c r="AJ3196" s="2">
        <v>11096.2605503051</v>
      </c>
      <c r="AK3196" s="2">
        <v>5983.8613139842701</v>
      </c>
      <c r="AL3196" s="2">
        <v>7919.5329603175296</v>
      </c>
      <c r="AM3196" s="2">
        <v>6172.7667130256796</v>
      </c>
      <c r="AN3196" s="2">
        <v>6670.3950123497698</v>
      </c>
      <c r="AO3196" s="2">
        <v>5762.1370125481799</v>
      </c>
      <c r="AP3196" s="2">
        <v>5914.8726320923397</v>
      </c>
    </row>
    <row r="3197" spans="1:42" ht="14.5" x14ac:dyDescent="0.35">
      <c r="A3197" s="2" t="s">
        <v>21265</v>
      </c>
      <c r="B3197" s="2">
        <v>489.12254297964103</v>
      </c>
      <c r="C3197" s="2">
        <v>1.40848333333333</v>
      </c>
      <c r="D3197" s="2" t="s">
        <v>70</v>
      </c>
      <c r="E3197" s="2" t="s">
        <v>21266</v>
      </c>
      <c r="F3197" s="2">
        <v>202318</v>
      </c>
      <c r="G3197" s="3" t="str">
        <f>HYPERLINK("http://funmeta.oebiotech.com/network/202318", "http://funmeta.oebiotech.com/network/202318")</f>
        <v>http://funmeta.oebiotech.com/network/202318</v>
      </c>
      <c r="H3197" s="2" t="s">
        <v>21267</v>
      </c>
      <c r="I3197" s="2"/>
      <c r="J3197" s="2"/>
      <c r="K3197" s="2"/>
      <c r="L3197" s="2"/>
      <c r="M3197" s="2"/>
      <c r="N3197" s="2"/>
      <c r="O3197" s="2">
        <v>233502</v>
      </c>
      <c r="P3197" s="2"/>
      <c r="Q3197" s="2" t="s">
        <v>21268</v>
      </c>
      <c r="R3197" s="2" t="s">
        <v>21269</v>
      </c>
      <c r="S3197" s="2" t="s">
        <v>79</v>
      </c>
      <c r="T3197" s="2" t="s">
        <v>80</v>
      </c>
      <c r="U3197" s="2" t="s">
        <v>81</v>
      </c>
      <c r="V3197" s="2" t="s">
        <v>59</v>
      </c>
      <c r="W3197" s="2">
        <v>40.9</v>
      </c>
      <c r="X3197" s="2">
        <v>13.7</v>
      </c>
      <c r="Y3197" s="2" t="s">
        <v>560</v>
      </c>
      <c r="Z3197" s="2" t="s">
        <v>21270</v>
      </c>
      <c r="AA3197" s="2">
        <v>0.50852385944572298</v>
      </c>
      <c r="AB3197" s="2">
        <v>0.24259696974245901</v>
      </c>
      <c r="AC3197" s="2">
        <v>26993.534755971199</v>
      </c>
      <c r="AD3197" s="2">
        <v>22397.273884612001</v>
      </c>
      <c r="AE3197" s="2">
        <v>26933.1324072323</v>
      </c>
      <c r="AF3197" s="2">
        <v>26874.387905017498</v>
      </c>
      <c r="AG3197" s="2">
        <v>24991.534694603601</v>
      </c>
      <c r="AH3197" s="2">
        <v>27563.977089145901</v>
      </c>
      <c r="AI3197" s="2">
        <v>28707.028967354101</v>
      </c>
      <c r="AJ3197" s="2">
        <v>26891.1474724736</v>
      </c>
      <c r="AK3197" s="2">
        <v>23572.250749760598</v>
      </c>
      <c r="AL3197" s="2">
        <v>21733.549808173499</v>
      </c>
      <c r="AM3197" s="2">
        <v>21320.5951802251</v>
      </c>
      <c r="AN3197" s="2">
        <v>19756.470160980902</v>
      </c>
      <c r="AO3197" s="2">
        <v>22677.6562478419</v>
      </c>
      <c r="AP3197" s="2">
        <v>25323.121160690102</v>
      </c>
    </row>
    <row r="3198" spans="1:42" ht="14.5" x14ac:dyDescent="0.35">
      <c r="A3198" s="2" t="s">
        <v>21271</v>
      </c>
      <c r="B3198" s="2">
        <v>589.48166539501301</v>
      </c>
      <c r="C3198" s="2">
        <v>14.3243666666667</v>
      </c>
      <c r="D3198" s="2" t="s">
        <v>34</v>
      </c>
      <c r="E3198" s="2" t="s">
        <v>21272</v>
      </c>
      <c r="F3198" s="2">
        <v>10905</v>
      </c>
      <c r="G3198" s="3" t="str">
        <f>HYPERLINK("http://funmeta.oebiotech.com/network/10905", "http://funmeta.oebiotech.com/network/10905")</f>
        <v>http://funmeta.oebiotech.com/network/10905</v>
      </c>
      <c r="H3198" s="2" t="s">
        <v>21273</v>
      </c>
      <c r="I3198" s="2">
        <v>58660</v>
      </c>
      <c r="J3198" s="2" t="s">
        <v>21274</v>
      </c>
      <c r="K3198" s="2"/>
      <c r="L3198" s="2"/>
      <c r="M3198" s="2"/>
      <c r="N3198" s="2"/>
      <c r="O3198" s="2">
        <v>53477960</v>
      </c>
      <c r="P3198" s="2"/>
      <c r="Q3198" s="2" t="s">
        <v>21275</v>
      </c>
      <c r="R3198" s="2" t="s">
        <v>21276</v>
      </c>
      <c r="S3198" s="2" t="s">
        <v>50</v>
      </c>
      <c r="T3198" s="2" t="s">
        <v>448</v>
      </c>
      <c r="U3198" s="2" t="s">
        <v>1864</v>
      </c>
      <c r="V3198" s="2" t="s">
        <v>59</v>
      </c>
      <c r="W3198" s="2">
        <v>38.700000000000003</v>
      </c>
      <c r="X3198" s="2">
        <v>0</v>
      </c>
      <c r="Y3198" s="2" t="s">
        <v>394</v>
      </c>
      <c r="Z3198" s="2" t="s">
        <v>13187</v>
      </c>
      <c r="AA3198" s="2">
        <v>-1.67583438322525</v>
      </c>
      <c r="AB3198" s="2">
        <v>0.242577075720257</v>
      </c>
      <c r="AC3198" s="2">
        <v>8569.0713442165707</v>
      </c>
      <c r="AD3198" s="2">
        <v>4348.0727223612103</v>
      </c>
      <c r="AE3198" s="2">
        <v>7197.5211315960196</v>
      </c>
      <c r="AF3198" s="2">
        <v>7269.8743694251898</v>
      </c>
      <c r="AG3198" s="2">
        <v>8407.9721180495708</v>
      </c>
      <c r="AH3198" s="2">
        <v>9631.1272140882902</v>
      </c>
      <c r="AI3198" s="2">
        <v>8838.0525629562399</v>
      </c>
      <c r="AJ3198" s="2">
        <v>10069.8806691841</v>
      </c>
      <c r="AK3198" s="2">
        <v>4210.1941996382402</v>
      </c>
      <c r="AL3198" s="2">
        <v>3515.5773345553398</v>
      </c>
      <c r="AM3198" s="2">
        <v>3735.4800496983698</v>
      </c>
      <c r="AN3198" s="2">
        <v>4130.2062620782799</v>
      </c>
      <c r="AO3198" s="2">
        <v>5551.9052542611598</v>
      </c>
      <c r="AP3198" s="2">
        <v>4945.0732339358701</v>
      </c>
    </row>
    <row r="3199" spans="1:42" ht="14.5" x14ac:dyDescent="0.35">
      <c r="A3199" s="2" t="s">
        <v>21277</v>
      </c>
      <c r="B3199" s="2">
        <v>380.22352695720298</v>
      </c>
      <c r="C3199" s="2">
        <v>5.37076666666667</v>
      </c>
      <c r="D3199" s="2" t="s">
        <v>34</v>
      </c>
      <c r="E3199" s="2" t="s">
        <v>21278</v>
      </c>
      <c r="F3199" s="2">
        <v>203735</v>
      </c>
      <c r="G3199" s="3" t="str">
        <f>HYPERLINK("http://funmeta.oebiotech.com/network/203735", "http://funmeta.oebiotech.com/network/203735")</f>
        <v>http://funmeta.oebiotech.com/network/203735</v>
      </c>
      <c r="H3199" s="2" t="s">
        <v>21279</v>
      </c>
      <c r="I3199" s="2">
        <v>45472</v>
      </c>
      <c r="J3199" s="2"/>
      <c r="K3199" s="2"/>
      <c r="L3199" s="2"/>
      <c r="M3199" s="2"/>
      <c r="N3199" s="2"/>
      <c r="O3199" s="2">
        <v>11741525</v>
      </c>
      <c r="P3199" s="2" t="s">
        <v>21280</v>
      </c>
      <c r="Q3199" s="2" t="s">
        <v>21281</v>
      </c>
      <c r="R3199" s="2" t="s">
        <v>21282</v>
      </c>
      <c r="S3199" s="2" t="s">
        <v>148</v>
      </c>
      <c r="T3199" s="2" t="s">
        <v>21283</v>
      </c>
      <c r="U3199" s="2" t="s">
        <v>41</v>
      </c>
      <c r="V3199" s="2" t="s">
        <v>59</v>
      </c>
      <c r="W3199" s="2">
        <v>37.9</v>
      </c>
      <c r="X3199" s="2">
        <v>0</v>
      </c>
      <c r="Y3199" s="2" t="s">
        <v>141</v>
      </c>
      <c r="Z3199" s="2" t="s">
        <v>21284</v>
      </c>
      <c r="AA3199" s="2">
        <v>0.42624862719967399</v>
      </c>
      <c r="AB3199" s="2">
        <v>0.24257080283193699</v>
      </c>
      <c r="AC3199" s="2">
        <v>2699.38105444244</v>
      </c>
      <c r="AD3199" s="2">
        <v>6807.6076769771698</v>
      </c>
      <c r="AE3199" s="2">
        <v>2035.66214471695</v>
      </c>
      <c r="AF3199" s="2">
        <v>2545.0547788411</v>
      </c>
      <c r="AG3199" s="2">
        <v>2755.9259770092899</v>
      </c>
      <c r="AH3199" s="2">
        <v>2540.1553931979302</v>
      </c>
      <c r="AI3199" s="2">
        <v>2533.3373862678</v>
      </c>
      <c r="AJ3199" s="2">
        <v>3786.1506466215501</v>
      </c>
      <c r="AK3199" s="2">
        <v>5941.5150660116296</v>
      </c>
      <c r="AL3199" s="2">
        <v>5804.3845220352296</v>
      </c>
      <c r="AM3199" s="2">
        <v>7725.0518073600297</v>
      </c>
      <c r="AN3199" s="2">
        <v>6542.4175594562303</v>
      </c>
      <c r="AO3199" s="2">
        <v>6489.3221156728596</v>
      </c>
      <c r="AP3199" s="2">
        <v>8342.9549913270403</v>
      </c>
    </row>
    <row r="3200" spans="1:42" ht="14.5" x14ac:dyDescent="0.35">
      <c r="A3200" s="2" t="s">
        <v>21285</v>
      </c>
      <c r="B3200" s="2">
        <v>340.28423737539202</v>
      </c>
      <c r="C3200" s="2">
        <v>11.4806166666667</v>
      </c>
      <c r="D3200" s="2" t="s">
        <v>34</v>
      </c>
      <c r="E3200" s="2" t="s">
        <v>21286</v>
      </c>
      <c r="F3200" s="2">
        <v>3939</v>
      </c>
      <c r="G3200" s="3" t="str">
        <f>HYPERLINK("http://funmeta.oebiotech.com/network/3939", "http://funmeta.oebiotech.com/network/3939")</f>
        <v>http://funmeta.oebiotech.com/network/3939</v>
      </c>
      <c r="H3200" s="2" t="s">
        <v>21287</v>
      </c>
      <c r="I3200" s="2">
        <v>36268</v>
      </c>
      <c r="J3200" s="2" t="s">
        <v>21288</v>
      </c>
      <c r="K3200" s="2">
        <v>88348</v>
      </c>
      <c r="L3200" s="2"/>
      <c r="M3200" s="2"/>
      <c r="N3200" s="2"/>
      <c r="O3200" s="2">
        <v>5283145</v>
      </c>
      <c r="P3200" s="2" t="s">
        <v>21289</v>
      </c>
      <c r="Q3200" s="2" t="s">
        <v>21290</v>
      </c>
      <c r="R3200" s="2" t="s">
        <v>21291</v>
      </c>
      <c r="S3200" s="2" t="s">
        <v>50</v>
      </c>
      <c r="T3200" s="2" t="s">
        <v>229</v>
      </c>
      <c r="U3200" s="2" t="s">
        <v>766</v>
      </c>
      <c r="V3200" s="2" t="s">
        <v>59</v>
      </c>
      <c r="W3200" s="2">
        <v>37.9</v>
      </c>
      <c r="X3200" s="2">
        <v>0</v>
      </c>
      <c r="Y3200" s="2" t="s">
        <v>43</v>
      </c>
      <c r="Z3200" s="2" t="s">
        <v>16167</v>
      </c>
      <c r="AA3200" s="2">
        <v>-1.1888369987135201</v>
      </c>
      <c r="AB3200" s="2">
        <v>0.24221153638492801</v>
      </c>
      <c r="AC3200" s="2">
        <v>4185.11676825015</v>
      </c>
      <c r="AD3200" s="2">
        <v>8253.9770760534393</v>
      </c>
      <c r="AE3200" s="2">
        <v>3911.1006555727299</v>
      </c>
      <c r="AF3200" s="2">
        <v>4664.73875340218</v>
      </c>
      <c r="AG3200" s="2">
        <v>4032.7717741487199</v>
      </c>
      <c r="AH3200" s="2">
        <v>5242.21257927026</v>
      </c>
      <c r="AI3200" s="2">
        <v>3752.6883803338201</v>
      </c>
      <c r="AJ3200" s="2">
        <v>3507.1884667731802</v>
      </c>
      <c r="AK3200" s="2">
        <v>7806.4392682993102</v>
      </c>
      <c r="AL3200" s="2">
        <v>8939.7314075149297</v>
      </c>
      <c r="AM3200" s="2">
        <v>7262.4954592561198</v>
      </c>
      <c r="AN3200" s="2">
        <v>7633.86531419107</v>
      </c>
      <c r="AO3200" s="2">
        <v>9409.5002111247995</v>
      </c>
      <c r="AP3200" s="2">
        <v>8471.8307959343892</v>
      </c>
    </row>
    <row r="3201" spans="1:42" ht="14.5" x14ac:dyDescent="0.35">
      <c r="A3201" s="2" t="s">
        <v>21292</v>
      </c>
      <c r="B3201" s="2">
        <v>201.00818800876999</v>
      </c>
      <c r="C3201" s="2">
        <v>0.55359999999999998</v>
      </c>
      <c r="D3201" s="2" t="s">
        <v>34</v>
      </c>
      <c r="E3201" s="2" t="s">
        <v>21293</v>
      </c>
      <c r="F3201" s="2">
        <v>199728</v>
      </c>
      <c r="G3201" s="3" t="str">
        <f>HYPERLINK("http://funmeta.oebiotech.com/network/199728", "http://funmeta.oebiotech.com/network/199728")</f>
        <v>http://funmeta.oebiotech.com/network/199728</v>
      </c>
      <c r="H3201" s="2" t="s">
        <v>21294</v>
      </c>
      <c r="I3201" s="2">
        <v>326927</v>
      </c>
      <c r="J3201" s="2"/>
      <c r="K3201" s="2"/>
      <c r="L3201" s="2"/>
      <c r="M3201" s="2"/>
      <c r="N3201" s="2"/>
      <c r="O3201" s="2">
        <v>437082</v>
      </c>
      <c r="P3201" s="2"/>
      <c r="Q3201" s="2" t="s">
        <v>21295</v>
      </c>
      <c r="R3201" s="2" t="s">
        <v>21296</v>
      </c>
      <c r="S3201" s="2" t="s">
        <v>89</v>
      </c>
      <c r="T3201" s="2" t="s">
        <v>6048</v>
      </c>
      <c r="U3201" s="2" t="s">
        <v>6049</v>
      </c>
      <c r="V3201" s="2" t="s">
        <v>59</v>
      </c>
      <c r="W3201" s="2">
        <v>38.700000000000003</v>
      </c>
      <c r="X3201" s="2">
        <v>0</v>
      </c>
      <c r="Y3201" s="2" t="s">
        <v>141</v>
      </c>
      <c r="Z3201" s="2" t="s">
        <v>21297</v>
      </c>
      <c r="AA3201" s="2">
        <v>2.5911389780400902</v>
      </c>
      <c r="AB3201" s="2">
        <v>0.24218920453123699</v>
      </c>
      <c r="AC3201" s="2">
        <v>6558.9333615810301</v>
      </c>
      <c r="AD3201" s="2">
        <v>2607.50014086179</v>
      </c>
      <c r="AE3201" s="2">
        <v>5604.6649820860503</v>
      </c>
      <c r="AF3201" s="2">
        <v>6552.5453125214699</v>
      </c>
      <c r="AG3201" s="2">
        <v>6789.4751409564797</v>
      </c>
      <c r="AH3201" s="2">
        <v>7407.2415052009901</v>
      </c>
      <c r="AI3201" s="2">
        <v>6402.2346269643804</v>
      </c>
      <c r="AJ3201" s="2">
        <v>6597.4386017568304</v>
      </c>
      <c r="AK3201" s="2">
        <v>2971.67916711513</v>
      </c>
      <c r="AL3201" s="2">
        <v>3140.0153158061698</v>
      </c>
      <c r="AM3201" s="2">
        <v>2589.8891885947801</v>
      </c>
      <c r="AN3201" s="2">
        <v>2591.7389624212601</v>
      </c>
      <c r="AO3201" s="2">
        <v>2400.3036066559598</v>
      </c>
      <c r="AP3201" s="2">
        <v>1951.3746045774601</v>
      </c>
    </row>
    <row r="3202" spans="1:42" ht="14.5" x14ac:dyDescent="0.35">
      <c r="A3202" s="2" t="s">
        <v>21298</v>
      </c>
      <c r="B3202" s="2">
        <v>182.962162840292</v>
      </c>
      <c r="C3202" s="2">
        <v>0.62124999999999997</v>
      </c>
      <c r="D3202" s="2" t="s">
        <v>34</v>
      </c>
      <c r="E3202" s="2" t="s">
        <v>21299</v>
      </c>
      <c r="F3202" s="2">
        <v>209735</v>
      </c>
      <c r="G3202" s="3" t="str">
        <f>HYPERLINK("http://funmeta.oebiotech.com/network/209735", "http://funmeta.oebiotech.com/network/209735")</f>
        <v>http://funmeta.oebiotech.com/network/209735</v>
      </c>
      <c r="H3202" s="2" t="s">
        <v>21300</v>
      </c>
      <c r="I3202" s="2"/>
      <c r="J3202" s="2"/>
      <c r="K3202" s="2"/>
      <c r="L3202" s="2"/>
      <c r="M3202" s="2"/>
      <c r="N3202" s="2"/>
      <c r="O3202" s="2">
        <v>239921</v>
      </c>
      <c r="P3202" s="2"/>
      <c r="Q3202" s="2" t="s">
        <v>21301</v>
      </c>
      <c r="R3202" s="2" t="s">
        <v>21302</v>
      </c>
      <c r="S3202" s="2" t="s">
        <v>491</v>
      </c>
      <c r="T3202" s="2" t="s">
        <v>4517</v>
      </c>
      <c r="U3202" s="2" t="s">
        <v>4518</v>
      </c>
      <c r="V3202" s="2" t="s">
        <v>59</v>
      </c>
      <c r="W3202" s="2">
        <v>36</v>
      </c>
      <c r="X3202" s="2">
        <v>5.5</v>
      </c>
      <c r="Y3202" s="2" t="s">
        <v>340</v>
      </c>
      <c r="Z3202" s="2" t="s">
        <v>21303</v>
      </c>
      <c r="AA3202" s="2">
        <v>-2.3862379391260502</v>
      </c>
      <c r="AB3202" s="2">
        <v>0.24215109106907801</v>
      </c>
      <c r="AC3202" s="2">
        <v>33637.804521532598</v>
      </c>
      <c r="AD3202" s="2">
        <v>28073.8461827705</v>
      </c>
      <c r="AE3202" s="2">
        <v>32765.3485811174</v>
      </c>
      <c r="AF3202" s="2">
        <v>37573.891288792001</v>
      </c>
      <c r="AG3202" s="2">
        <v>31695.732672949402</v>
      </c>
      <c r="AH3202" s="2">
        <v>30673.308701440699</v>
      </c>
      <c r="AI3202" s="2">
        <v>37737.599684208602</v>
      </c>
      <c r="AJ3202" s="2">
        <v>31380.946200687598</v>
      </c>
      <c r="AK3202" s="2">
        <v>30767.352796522799</v>
      </c>
      <c r="AL3202" s="2">
        <v>24818.759383278699</v>
      </c>
      <c r="AM3202" s="2">
        <v>28487.762909498499</v>
      </c>
      <c r="AN3202" s="2">
        <v>27569.0756959684</v>
      </c>
      <c r="AO3202" s="2">
        <v>24586.7669277762</v>
      </c>
      <c r="AP3202" s="2">
        <v>32213.359383578401</v>
      </c>
    </row>
    <row r="3203" spans="1:42" ht="14.5" x14ac:dyDescent="0.35">
      <c r="A3203" s="2" t="s">
        <v>21304</v>
      </c>
      <c r="B3203" s="2">
        <v>314.991765334658</v>
      </c>
      <c r="C3203" s="2">
        <v>1.3109999999999999</v>
      </c>
      <c r="D3203" s="2" t="s">
        <v>34</v>
      </c>
      <c r="E3203" s="2" t="s">
        <v>21305</v>
      </c>
      <c r="F3203" s="2">
        <v>10135</v>
      </c>
      <c r="G3203" s="3" t="str">
        <f>HYPERLINK("http://funmeta.oebiotech.com/network/10135", "http://funmeta.oebiotech.com/network/10135")</f>
        <v>http://funmeta.oebiotech.com/network/10135</v>
      </c>
      <c r="H3203" s="2" t="s">
        <v>21306</v>
      </c>
      <c r="I3203" s="2">
        <v>66192</v>
      </c>
      <c r="J3203" s="2" t="s">
        <v>21307</v>
      </c>
      <c r="K3203" s="2">
        <v>17181</v>
      </c>
      <c r="L3203" s="2" t="s">
        <v>21308</v>
      </c>
      <c r="M3203" s="2"/>
      <c r="N3203" s="2"/>
      <c r="O3203" s="2">
        <v>440356</v>
      </c>
      <c r="P3203" s="2" t="s">
        <v>21309</v>
      </c>
      <c r="Q3203" s="2" t="s">
        <v>21310</v>
      </c>
      <c r="R3203" s="2" t="s">
        <v>21311</v>
      </c>
      <c r="S3203" s="2" t="s">
        <v>491</v>
      </c>
      <c r="T3203" s="2" t="s">
        <v>8753</v>
      </c>
      <c r="U3203" s="2" t="s">
        <v>41</v>
      </c>
      <c r="V3203" s="2" t="s">
        <v>59</v>
      </c>
      <c r="W3203" s="2">
        <v>36.4</v>
      </c>
      <c r="X3203" s="2">
        <v>0</v>
      </c>
      <c r="Y3203" s="2" t="s">
        <v>340</v>
      </c>
      <c r="Z3203" s="2" t="s">
        <v>21312</v>
      </c>
      <c r="AA3203" s="2">
        <v>2.66505948611815</v>
      </c>
      <c r="AB3203" s="2">
        <v>0.242092093271569</v>
      </c>
      <c r="AC3203" s="2">
        <v>22107.800049142501</v>
      </c>
      <c r="AD3203" s="2">
        <v>26726.697043342101</v>
      </c>
      <c r="AE3203" s="2">
        <v>21349.313063217101</v>
      </c>
      <c r="AF3203" s="2">
        <v>22011.963463027299</v>
      </c>
      <c r="AG3203" s="2">
        <v>22804.447725708102</v>
      </c>
      <c r="AH3203" s="2">
        <v>23027.323162438901</v>
      </c>
      <c r="AI3203" s="2">
        <v>22958.670159200399</v>
      </c>
      <c r="AJ3203" s="2">
        <v>20495.082721263399</v>
      </c>
      <c r="AK3203" s="2">
        <v>28337.2047801597</v>
      </c>
      <c r="AL3203" s="2">
        <v>27298.622812486301</v>
      </c>
      <c r="AM3203" s="2">
        <v>24414.447064960499</v>
      </c>
      <c r="AN3203" s="2">
        <v>28293.779272784301</v>
      </c>
      <c r="AO3203" s="2">
        <v>28436.529792871501</v>
      </c>
      <c r="AP3203" s="2">
        <v>23579.598536790301</v>
      </c>
    </row>
    <row r="3204" spans="1:42" ht="14.5" x14ac:dyDescent="0.35">
      <c r="A3204" s="2" t="s">
        <v>21313</v>
      </c>
      <c r="B3204" s="2">
        <v>391.19730913544299</v>
      </c>
      <c r="C3204" s="2">
        <v>5.3579833333333298</v>
      </c>
      <c r="D3204" s="2" t="s">
        <v>70</v>
      </c>
      <c r="E3204" s="2" t="s">
        <v>21314</v>
      </c>
      <c r="F3204" s="2">
        <v>207257</v>
      </c>
      <c r="G3204" s="3" t="str">
        <f>HYPERLINK("http://funmeta.oebiotech.com/network/207257", "http://funmeta.oebiotech.com/network/207257")</f>
        <v>http://funmeta.oebiotech.com/network/207257</v>
      </c>
      <c r="H3204" s="2" t="s">
        <v>21315</v>
      </c>
      <c r="I3204" s="2"/>
      <c r="J3204" s="2"/>
      <c r="K3204" s="2"/>
      <c r="L3204" s="2"/>
      <c r="M3204" s="2"/>
      <c r="N3204" s="2"/>
      <c r="O3204" s="2">
        <v>21873138</v>
      </c>
      <c r="P3204" s="2"/>
      <c r="Q3204" s="2" t="s">
        <v>21316</v>
      </c>
      <c r="R3204" s="2" t="s">
        <v>21317</v>
      </c>
      <c r="S3204" s="2" t="s">
        <v>41</v>
      </c>
      <c r="T3204" s="2" t="s">
        <v>41</v>
      </c>
      <c r="U3204" s="2" t="s">
        <v>41</v>
      </c>
      <c r="V3204" s="2" t="s">
        <v>59</v>
      </c>
      <c r="W3204" s="2">
        <v>41.2</v>
      </c>
      <c r="X3204" s="2">
        <v>19.399999999999999</v>
      </c>
      <c r="Y3204" s="2" t="s">
        <v>118</v>
      </c>
      <c r="Z3204" s="2" t="s">
        <v>21318</v>
      </c>
      <c r="AA3204" s="2">
        <v>-3.52989914119537</v>
      </c>
      <c r="AB3204" s="2">
        <v>0.24194713839531901</v>
      </c>
      <c r="AC3204" s="2">
        <v>11231.084162982301</v>
      </c>
      <c r="AD3204" s="2">
        <v>7152.4955994235297</v>
      </c>
      <c r="AE3204" s="2">
        <v>10949.6864130556</v>
      </c>
      <c r="AF3204" s="2">
        <v>11374.5566762667</v>
      </c>
      <c r="AG3204" s="2">
        <v>11427.498110361999</v>
      </c>
      <c r="AH3204" s="2">
        <v>10015.9421516025</v>
      </c>
      <c r="AI3204" s="2">
        <v>12907.2314069761</v>
      </c>
      <c r="AJ3204" s="2">
        <v>10711.5902196312</v>
      </c>
      <c r="AK3204" s="2">
        <v>7105.5464861212904</v>
      </c>
      <c r="AL3204" s="2">
        <v>6740.9511429077702</v>
      </c>
      <c r="AM3204" s="2">
        <v>7795.6939569695296</v>
      </c>
      <c r="AN3204" s="2">
        <v>6503.7380686591796</v>
      </c>
      <c r="AO3204" s="2">
        <v>7447.80303192469</v>
      </c>
      <c r="AP3204" s="2">
        <v>7321.2409099586903</v>
      </c>
    </row>
    <row r="3205" spans="1:42" ht="14.5" x14ac:dyDescent="0.35">
      <c r="A3205" s="2" t="s">
        <v>21319</v>
      </c>
      <c r="B3205" s="2">
        <v>345.15523704533098</v>
      </c>
      <c r="C3205" s="2">
        <v>4.7039999999999997</v>
      </c>
      <c r="D3205" s="2" t="s">
        <v>70</v>
      </c>
      <c r="E3205" s="2" t="s">
        <v>21320</v>
      </c>
      <c r="F3205" s="2">
        <v>57473</v>
      </c>
      <c r="G3205" s="3" t="str">
        <f>HYPERLINK("http://funmeta.oebiotech.com/network/57473", "http://funmeta.oebiotech.com/network/57473")</f>
        <v>http://funmeta.oebiotech.com/network/57473</v>
      </c>
      <c r="H3205" s="2" t="s">
        <v>21321</v>
      </c>
      <c r="I3205" s="2">
        <v>89089</v>
      </c>
      <c r="J3205" s="2"/>
      <c r="K3205" s="2">
        <v>168601</v>
      </c>
      <c r="L3205" s="2"/>
      <c r="M3205" s="2"/>
      <c r="N3205" s="2"/>
      <c r="O3205" s="2">
        <v>85160606</v>
      </c>
      <c r="P3205" s="2" t="s">
        <v>21322</v>
      </c>
      <c r="Q3205" s="2" t="s">
        <v>21323</v>
      </c>
      <c r="R3205" s="2" t="s">
        <v>21324</v>
      </c>
      <c r="S3205" s="2" t="s">
        <v>50</v>
      </c>
      <c r="T3205" s="2" t="s">
        <v>201</v>
      </c>
      <c r="U3205" s="2" t="s">
        <v>202</v>
      </c>
      <c r="V3205" s="2" t="s">
        <v>59</v>
      </c>
      <c r="W3205" s="2">
        <v>38.6</v>
      </c>
      <c r="X3205" s="2">
        <v>0</v>
      </c>
      <c r="Y3205" s="2" t="s">
        <v>118</v>
      </c>
      <c r="Z3205" s="2" t="s">
        <v>5489</v>
      </c>
      <c r="AA3205" s="2">
        <v>-0.73466297713923101</v>
      </c>
      <c r="AB3205" s="2">
        <v>0.241892538250564</v>
      </c>
      <c r="AC3205" s="2">
        <v>24923.5855008332</v>
      </c>
      <c r="AD3205" s="2">
        <v>29205.6422756344</v>
      </c>
      <c r="AE3205" s="2">
        <v>27444.766008190902</v>
      </c>
      <c r="AF3205" s="2">
        <v>25100.909705282898</v>
      </c>
      <c r="AG3205" s="2">
        <v>24398.599789420099</v>
      </c>
      <c r="AH3205" s="2">
        <v>23822.937051504399</v>
      </c>
      <c r="AI3205" s="2">
        <v>23519.579726550899</v>
      </c>
      <c r="AJ3205" s="2">
        <v>25254.720724049901</v>
      </c>
      <c r="AK3205" s="2">
        <v>27798.0790422463</v>
      </c>
      <c r="AL3205" s="2">
        <v>29590.676254578801</v>
      </c>
      <c r="AM3205" s="2">
        <v>29591.307312351699</v>
      </c>
      <c r="AN3205" s="2">
        <v>28989.8177261743</v>
      </c>
      <c r="AO3205" s="2">
        <v>29860.472437926299</v>
      </c>
      <c r="AP3205" s="2">
        <v>29403.500880529002</v>
      </c>
    </row>
    <row r="3206" spans="1:42" ht="14.5" x14ac:dyDescent="0.35">
      <c r="A3206" s="2" t="s">
        <v>21325</v>
      </c>
      <c r="B3206" s="2">
        <v>621.21617707955602</v>
      </c>
      <c r="C3206" s="2">
        <v>8.0215999999999994</v>
      </c>
      <c r="D3206" s="2" t="s">
        <v>70</v>
      </c>
      <c r="E3206" s="2" t="s">
        <v>21326</v>
      </c>
      <c r="F3206" s="2">
        <v>201419</v>
      </c>
      <c r="G3206" s="3" t="str">
        <f>HYPERLINK("http://funmeta.oebiotech.com/network/201419", "http://funmeta.oebiotech.com/network/201419")</f>
        <v>http://funmeta.oebiotech.com/network/201419</v>
      </c>
      <c r="H3206" s="2" t="s">
        <v>21327</v>
      </c>
      <c r="I3206" s="2"/>
      <c r="J3206" s="2"/>
      <c r="K3206" s="2"/>
      <c r="L3206" s="2"/>
      <c r="M3206" s="2"/>
      <c r="N3206" s="2"/>
      <c r="O3206" s="2">
        <v>66993057</v>
      </c>
      <c r="P3206" s="2"/>
      <c r="Q3206" s="2" t="s">
        <v>21328</v>
      </c>
      <c r="R3206" s="2" t="s">
        <v>21329</v>
      </c>
      <c r="S3206" s="2" t="s">
        <v>491</v>
      </c>
      <c r="T3206" s="2" t="s">
        <v>7584</v>
      </c>
      <c r="U3206" s="2" t="s">
        <v>21330</v>
      </c>
      <c r="V3206" s="2" t="s">
        <v>59</v>
      </c>
      <c r="W3206" s="2">
        <v>37.4</v>
      </c>
      <c r="X3206" s="2">
        <v>0</v>
      </c>
      <c r="Y3206" s="2" t="s">
        <v>560</v>
      </c>
      <c r="Z3206" s="2" t="s">
        <v>21331</v>
      </c>
      <c r="AA3206" s="2">
        <v>-1.4264618169529</v>
      </c>
      <c r="AB3206" s="2">
        <v>0.24177913007913601</v>
      </c>
      <c r="AC3206" s="2">
        <v>4174.1772242934403</v>
      </c>
      <c r="AD3206" s="2">
        <v>281.79520123738502</v>
      </c>
      <c r="AE3206" s="2">
        <v>3797.2409932935302</v>
      </c>
      <c r="AF3206" s="2">
        <v>4046.3581890534301</v>
      </c>
      <c r="AG3206" s="2">
        <v>4059.4441879399101</v>
      </c>
      <c r="AH3206" s="2">
        <v>3924.5012711419099</v>
      </c>
      <c r="AI3206" s="2">
        <v>4390.3168755240104</v>
      </c>
      <c r="AJ3206" s="2">
        <v>4827.2018288078398</v>
      </c>
      <c r="AK3206" s="2">
        <v>932.76427174990101</v>
      </c>
      <c r="AL3206" s="2">
        <v>329.32528784247</v>
      </c>
      <c r="AM3206" s="2">
        <v>2.7106294003980101E-5</v>
      </c>
      <c r="AN3206" s="2">
        <v>217.618154156332</v>
      </c>
      <c r="AO3206" s="2">
        <v>211.06343946301999</v>
      </c>
      <c r="AP3206" s="2">
        <v>2.7106294003980101E-5</v>
      </c>
    </row>
    <row r="3207" spans="1:42" ht="14.5" x14ac:dyDescent="0.35">
      <c r="A3207" s="2" t="s">
        <v>21332</v>
      </c>
      <c r="B3207" s="2">
        <v>991.54291123571397</v>
      </c>
      <c r="C3207" s="2">
        <v>6.4626999999999999</v>
      </c>
      <c r="D3207" s="2" t="s">
        <v>70</v>
      </c>
      <c r="E3207" s="2" t="s">
        <v>21333</v>
      </c>
      <c r="F3207" s="2">
        <v>27507</v>
      </c>
      <c r="G3207" s="3" t="str">
        <f>HYPERLINK("http://funmeta.oebiotech.com/network/27507", "http://funmeta.oebiotech.com/network/27507")</f>
        <v>http://funmeta.oebiotech.com/network/27507</v>
      </c>
      <c r="H3207" s="2"/>
      <c r="I3207" s="2"/>
      <c r="J3207" s="2" t="s">
        <v>21334</v>
      </c>
      <c r="K3207" s="2"/>
      <c r="L3207" s="2"/>
      <c r="M3207" s="2"/>
      <c r="N3207" s="2"/>
      <c r="O3207" s="2">
        <v>126457397</v>
      </c>
      <c r="P3207" s="2"/>
      <c r="Q3207" s="2" t="s">
        <v>21335</v>
      </c>
      <c r="R3207" s="2" t="s">
        <v>21336</v>
      </c>
      <c r="S3207" s="2" t="s">
        <v>50</v>
      </c>
      <c r="T3207" s="2" t="s">
        <v>51</v>
      </c>
      <c r="U3207" s="2" t="s">
        <v>52</v>
      </c>
      <c r="V3207" s="2" t="s">
        <v>59</v>
      </c>
      <c r="W3207" s="2">
        <v>37.700000000000003</v>
      </c>
      <c r="X3207" s="2">
        <v>0</v>
      </c>
      <c r="Y3207" s="2" t="s">
        <v>118</v>
      </c>
      <c r="Z3207" s="2" t="s">
        <v>21337</v>
      </c>
      <c r="AA3207" s="2">
        <v>2.8564477827132602</v>
      </c>
      <c r="AB3207" s="2">
        <v>0.241710657576066</v>
      </c>
      <c r="AC3207" s="2">
        <v>11302.467066298501</v>
      </c>
      <c r="AD3207" s="2">
        <v>16156.225307672299</v>
      </c>
      <c r="AE3207" s="2">
        <v>11821.6075954234</v>
      </c>
      <c r="AF3207" s="2">
        <v>8718.1219476276892</v>
      </c>
      <c r="AG3207" s="2">
        <v>14028.026844305399</v>
      </c>
      <c r="AH3207" s="2">
        <v>8136.1899846532597</v>
      </c>
      <c r="AI3207" s="2">
        <v>11589.257096351799</v>
      </c>
      <c r="AJ3207" s="2">
        <v>13521.5989294295</v>
      </c>
      <c r="AK3207" s="2">
        <v>14705.8412371547</v>
      </c>
      <c r="AL3207" s="2">
        <v>17849.577610919099</v>
      </c>
      <c r="AM3207" s="2">
        <v>17765.448316946498</v>
      </c>
      <c r="AN3207" s="2">
        <v>14650.010240522401</v>
      </c>
      <c r="AO3207" s="2">
        <v>14802.6177474131</v>
      </c>
      <c r="AP3207" s="2">
        <v>17163.856693078102</v>
      </c>
    </row>
    <row r="3208" spans="1:42" ht="14.5" x14ac:dyDescent="0.35">
      <c r="A3208" s="2" t="s">
        <v>21338</v>
      </c>
      <c r="B3208" s="2">
        <v>222.11235818525799</v>
      </c>
      <c r="C3208" s="2">
        <v>5.01</v>
      </c>
      <c r="D3208" s="2" t="s">
        <v>34</v>
      </c>
      <c r="E3208" s="2" t="s">
        <v>21339</v>
      </c>
      <c r="F3208" s="2">
        <v>59002</v>
      </c>
      <c r="G3208" s="3" t="str">
        <f>HYPERLINK("http://funmeta.oebiotech.com/network/59002", "http://funmeta.oebiotech.com/network/59002")</f>
        <v>http://funmeta.oebiotech.com/network/59002</v>
      </c>
      <c r="H3208" s="2" t="s">
        <v>21340</v>
      </c>
      <c r="I3208" s="2">
        <v>90437</v>
      </c>
      <c r="J3208" s="2"/>
      <c r="K3208" s="2"/>
      <c r="L3208" s="2"/>
      <c r="M3208" s="2"/>
      <c r="N3208" s="2"/>
      <c r="O3208" s="2">
        <v>66595</v>
      </c>
      <c r="P3208" s="2" t="s">
        <v>21341</v>
      </c>
      <c r="Q3208" s="2" t="s">
        <v>21342</v>
      </c>
      <c r="R3208" s="2" t="s">
        <v>21343</v>
      </c>
      <c r="S3208" s="2" t="s">
        <v>115</v>
      </c>
      <c r="T3208" s="2" t="s">
        <v>758</v>
      </c>
      <c r="U3208" s="2" t="s">
        <v>41</v>
      </c>
      <c r="V3208" s="2" t="s">
        <v>59</v>
      </c>
      <c r="W3208" s="2">
        <v>44.7</v>
      </c>
      <c r="X3208" s="2">
        <v>27.5</v>
      </c>
      <c r="Y3208" s="2" t="s">
        <v>43</v>
      </c>
      <c r="Z3208" s="2" t="s">
        <v>21344</v>
      </c>
      <c r="AA3208" s="2">
        <v>-0.54679049321869899</v>
      </c>
      <c r="AB3208" s="2">
        <v>0.24170864004633499</v>
      </c>
      <c r="AC3208" s="2">
        <v>38128.372739278697</v>
      </c>
      <c r="AD3208" s="2">
        <v>32373.3658994785</v>
      </c>
      <c r="AE3208" s="2">
        <v>37829.0837261419</v>
      </c>
      <c r="AF3208" s="2">
        <v>45270.8292092825</v>
      </c>
      <c r="AG3208" s="2">
        <v>35651.835903652398</v>
      </c>
      <c r="AH3208" s="2">
        <v>36462.135705377099</v>
      </c>
      <c r="AI3208" s="2">
        <v>34961.676368305001</v>
      </c>
      <c r="AJ3208" s="2">
        <v>38594.6755229134</v>
      </c>
      <c r="AK3208" s="2">
        <v>33513.772589484703</v>
      </c>
      <c r="AL3208" s="2">
        <v>31924.690362732999</v>
      </c>
      <c r="AM3208" s="2">
        <v>33348.136533744801</v>
      </c>
      <c r="AN3208" s="2">
        <v>37516.887540415402</v>
      </c>
      <c r="AO3208" s="2">
        <v>27421.957053246198</v>
      </c>
      <c r="AP3208" s="2">
        <v>30514.751317246901</v>
      </c>
    </row>
    <row r="3209" spans="1:42" ht="14.5" x14ac:dyDescent="0.35">
      <c r="A3209" s="2" t="s">
        <v>21345</v>
      </c>
      <c r="B3209" s="2">
        <v>327.07208537524298</v>
      </c>
      <c r="C3209" s="2">
        <v>3.82433333333333</v>
      </c>
      <c r="D3209" s="2" t="s">
        <v>70</v>
      </c>
      <c r="E3209" s="2" t="s">
        <v>21346</v>
      </c>
      <c r="F3209" s="2">
        <v>266770</v>
      </c>
      <c r="G3209" s="3" t="str">
        <f>HYPERLINK("http://funmeta.oebiotech.com/network/266770", "http://funmeta.oebiotech.com/network/266770")</f>
        <v>http://funmeta.oebiotech.com/network/266770</v>
      </c>
      <c r="H3209" s="2"/>
      <c r="I3209" s="2">
        <v>43945</v>
      </c>
      <c r="J3209" s="2"/>
      <c r="K3209" s="2"/>
      <c r="L3209" s="2" t="s">
        <v>21347</v>
      </c>
      <c r="M3209" s="2"/>
      <c r="N3209" s="2"/>
      <c r="O3209" s="2">
        <v>66065</v>
      </c>
      <c r="P3209" s="2" t="s">
        <v>21348</v>
      </c>
      <c r="Q3209" s="2" t="s">
        <v>21349</v>
      </c>
      <c r="R3209" s="2" t="s">
        <v>21350</v>
      </c>
      <c r="S3209" s="2" t="s">
        <v>148</v>
      </c>
      <c r="T3209" s="2" t="s">
        <v>149</v>
      </c>
      <c r="U3209" s="2" t="s">
        <v>1593</v>
      </c>
      <c r="V3209" s="2" t="s">
        <v>59</v>
      </c>
      <c r="W3209" s="2">
        <v>38.9</v>
      </c>
      <c r="X3209" s="2">
        <v>0</v>
      </c>
      <c r="Y3209" s="2" t="s">
        <v>118</v>
      </c>
      <c r="Z3209" s="2" t="s">
        <v>752</v>
      </c>
      <c r="AA3209" s="2">
        <v>-0.214222259395627</v>
      </c>
      <c r="AB3209" s="2">
        <v>0.24166675117248201</v>
      </c>
      <c r="AC3209" s="2">
        <v>28079.4410441322</v>
      </c>
      <c r="AD3209" s="2">
        <v>23694.0858512673</v>
      </c>
      <c r="AE3209" s="2">
        <v>28365.794405239099</v>
      </c>
      <c r="AF3209" s="2">
        <v>25433.445788823701</v>
      </c>
      <c r="AG3209" s="2">
        <v>27675.839391684101</v>
      </c>
      <c r="AH3209" s="2">
        <v>28050.895256123698</v>
      </c>
      <c r="AI3209" s="2">
        <v>27869.218026813502</v>
      </c>
      <c r="AJ3209" s="2">
        <v>31081.4533961089</v>
      </c>
      <c r="AK3209" s="2">
        <v>23165.743529569401</v>
      </c>
      <c r="AL3209" s="2">
        <v>24379.201644868699</v>
      </c>
      <c r="AM3209" s="2">
        <v>23901.574727438001</v>
      </c>
      <c r="AN3209" s="2">
        <v>24029.6662907299</v>
      </c>
      <c r="AO3209" s="2">
        <v>23608.399214433299</v>
      </c>
      <c r="AP3209" s="2">
        <v>23079.929700564498</v>
      </c>
    </row>
    <row r="3210" spans="1:42" ht="14.5" x14ac:dyDescent="0.35">
      <c r="A3210" s="2" t="s">
        <v>21351</v>
      </c>
      <c r="B3210" s="2">
        <v>252.10899784465801</v>
      </c>
      <c r="C3210" s="2">
        <v>1.34713333333333</v>
      </c>
      <c r="D3210" s="2" t="s">
        <v>34</v>
      </c>
      <c r="E3210" s="2" t="s">
        <v>21352</v>
      </c>
      <c r="F3210" s="2">
        <v>47752</v>
      </c>
      <c r="G3210" s="3" t="str">
        <f>HYPERLINK("http://funmeta.oebiotech.com/network/47752", "http://funmeta.oebiotech.com/network/47752")</f>
        <v>http://funmeta.oebiotech.com/network/47752</v>
      </c>
      <c r="H3210" s="2" t="s">
        <v>21353</v>
      </c>
      <c r="I3210" s="2">
        <v>63895</v>
      </c>
      <c r="J3210" s="2"/>
      <c r="K3210" s="2">
        <v>17319</v>
      </c>
      <c r="L3210" s="2" t="s">
        <v>21354</v>
      </c>
      <c r="M3210" s="2"/>
      <c r="N3210" s="2"/>
      <c r="O3210" s="2">
        <v>439182</v>
      </c>
      <c r="P3210" s="2" t="s">
        <v>21355</v>
      </c>
      <c r="Q3210" s="2" t="s">
        <v>21356</v>
      </c>
      <c r="R3210" s="2" t="s">
        <v>21357</v>
      </c>
      <c r="S3210" s="2" t="s">
        <v>1444</v>
      </c>
      <c r="T3210" s="2" t="s">
        <v>21358</v>
      </c>
      <c r="U3210" s="2" t="s">
        <v>41</v>
      </c>
      <c r="V3210" s="2" t="s">
        <v>42</v>
      </c>
      <c r="W3210" s="2">
        <v>55.7</v>
      </c>
      <c r="X3210" s="2">
        <v>82.4</v>
      </c>
      <c r="Y3210" s="2" t="s">
        <v>394</v>
      </c>
      <c r="Z3210" s="2" t="s">
        <v>21359</v>
      </c>
      <c r="AA3210" s="2">
        <v>-0.46947856724549403</v>
      </c>
      <c r="AB3210" s="2">
        <v>0.24165117149829801</v>
      </c>
      <c r="AC3210" s="2">
        <v>14449.9064718437</v>
      </c>
      <c r="AD3210" s="2">
        <v>10109.4329664295</v>
      </c>
      <c r="AE3210" s="2">
        <v>17551.9612464946</v>
      </c>
      <c r="AF3210" s="2">
        <v>14534.063028049201</v>
      </c>
      <c r="AG3210" s="2">
        <v>12685.3153420085</v>
      </c>
      <c r="AH3210" s="2">
        <v>14567.9075704566</v>
      </c>
      <c r="AI3210" s="2">
        <v>12825.319453210799</v>
      </c>
      <c r="AJ3210" s="2">
        <v>14534.872190842299</v>
      </c>
      <c r="AK3210" s="2">
        <v>9528.4245343432704</v>
      </c>
      <c r="AL3210" s="2">
        <v>9830.6428529287605</v>
      </c>
      <c r="AM3210" s="2">
        <v>10845.759145936699</v>
      </c>
      <c r="AN3210" s="2">
        <v>9779.5986317943807</v>
      </c>
      <c r="AO3210" s="2">
        <v>10182.436198861</v>
      </c>
      <c r="AP3210" s="2">
        <v>10489.736434713101</v>
      </c>
    </row>
    <row r="3211" spans="1:42" ht="14.5" x14ac:dyDescent="0.35">
      <c r="A3211" s="2" t="s">
        <v>21360</v>
      </c>
      <c r="B3211" s="2">
        <v>561.12358682563001</v>
      </c>
      <c r="C3211" s="2">
        <v>3.7870499999999998</v>
      </c>
      <c r="D3211" s="2" t="s">
        <v>70</v>
      </c>
      <c r="E3211" s="2" t="s">
        <v>21361</v>
      </c>
      <c r="F3211" s="2">
        <v>206824</v>
      </c>
      <c r="G3211" s="3" t="str">
        <f>HYPERLINK("http://funmeta.oebiotech.com/network/206824", "http://funmeta.oebiotech.com/network/206824")</f>
        <v>http://funmeta.oebiotech.com/network/206824</v>
      </c>
      <c r="H3211" s="2" t="s">
        <v>21362</v>
      </c>
      <c r="I3211" s="2">
        <v>43461</v>
      </c>
      <c r="J3211" s="2"/>
      <c r="K3211" s="2">
        <v>42638</v>
      </c>
      <c r="L3211" s="2" t="s">
        <v>21363</v>
      </c>
      <c r="M3211" s="2"/>
      <c r="N3211" s="2"/>
      <c r="O3211" s="2">
        <v>3371</v>
      </c>
      <c r="P3211" s="2" t="s">
        <v>21364</v>
      </c>
      <c r="Q3211" s="2" t="s">
        <v>21365</v>
      </c>
      <c r="R3211" s="2" t="s">
        <v>21366</v>
      </c>
      <c r="S3211" s="2" t="s">
        <v>148</v>
      </c>
      <c r="T3211" s="2" t="s">
        <v>149</v>
      </c>
      <c r="U3211" s="2" t="s">
        <v>1593</v>
      </c>
      <c r="V3211" s="2" t="s">
        <v>59</v>
      </c>
      <c r="W3211" s="2">
        <v>38.4</v>
      </c>
      <c r="X3211" s="2">
        <v>0</v>
      </c>
      <c r="Y3211" s="2" t="s">
        <v>560</v>
      </c>
      <c r="Z3211" s="2" t="s">
        <v>21367</v>
      </c>
      <c r="AA3211" s="2">
        <v>-3.3145047825696898</v>
      </c>
      <c r="AB3211" s="2">
        <v>0.241597622539758</v>
      </c>
      <c r="AC3211" s="2">
        <v>5680.3479449288898</v>
      </c>
      <c r="AD3211" s="2">
        <v>1720.2408041106701</v>
      </c>
      <c r="AE3211" s="2">
        <v>5129.8452964737298</v>
      </c>
      <c r="AF3211" s="2">
        <v>5836.5800580550904</v>
      </c>
      <c r="AG3211" s="2">
        <v>5158.1989650220803</v>
      </c>
      <c r="AH3211" s="2">
        <v>5623.06430235273</v>
      </c>
      <c r="AI3211" s="2">
        <v>6393.3265722424403</v>
      </c>
      <c r="AJ3211" s="2">
        <v>5941.0724754272796</v>
      </c>
      <c r="AK3211" s="2">
        <v>805.563010300928</v>
      </c>
      <c r="AL3211" s="2">
        <v>1660.5138503763301</v>
      </c>
      <c r="AM3211" s="2">
        <v>2226.5158288928001</v>
      </c>
      <c r="AN3211" s="2">
        <v>1259.32313606197</v>
      </c>
      <c r="AO3211" s="2">
        <v>2084.6172843449399</v>
      </c>
      <c r="AP3211" s="2">
        <v>2284.9117146870799</v>
      </c>
    </row>
    <row r="3212" spans="1:42" ht="14.5" x14ac:dyDescent="0.35">
      <c r="A3212" s="2" t="s">
        <v>21368</v>
      </c>
      <c r="B3212" s="2">
        <v>543.04161832462796</v>
      </c>
      <c r="C3212" s="2">
        <v>2.06823333333333</v>
      </c>
      <c r="D3212" s="2" t="s">
        <v>70</v>
      </c>
      <c r="E3212" s="2" t="s">
        <v>21369</v>
      </c>
      <c r="F3212" s="2">
        <v>257158</v>
      </c>
      <c r="G3212" s="3" t="str">
        <f>HYPERLINK("http://funmeta.oebiotech.com/network/257158", "http://funmeta.oebiotech.com/network/257158")</f>
        <v>http://funmeta.oebiotech.com/network/257158</v>
      </c>
      <c r="H3212" s="2" t="s">
        <v>21370</v>
      </c>
      <c r="I3212" s="2"/>
      <c r="J3212" s="2"/>
      <c r="K3212" s="2">
        <v>57477</v>
      </c>
      <c r="L3212" s="2"/>
      <c r="M3212" s="2"/>
      <c r="N3212" s="2"/>
      <c r="O3212" s="2">
        <v>25202390</v>
      </c>
      <c r="P3212" s="2"/>
      <c r="Q3212" s="2" t="s">
        <v>21371</v>
      </c>
      <c r="R3212" s="2" t="s">
        <v>21372</v>
      </c>
      <c r="S3212" s="2" t="s">
        <v>1444</v>
      </c>
      <c r="T3212" s="2" t="s">
        <v>4040</v>
      </c>
      <c r="U3212" s="2" t="s">
        <v>4041</v>
      </c>
      <c r="V3212" s="2" t="s">
        <v>59</v>
      </c>
      <c r="W3212" s="2">
        <v>38.299999999999997</v>
      </c>
      <c r="X3212" s="2">
        <v>0</v>
      </c>
      <c r="Y3212" s="2" t="s">
        <v>751</v>
      </c>
      <c r="Z3212" s="2" t="s">
        <v>21373</v>
      </c>
      <c r="AA3212" s="2">
        <v>-1.1502463972658501</v>
      </c>
      <c r="AB3212" s="2">
        <v>0.24135905013704601</v>
      </c>
      <c r="AC3212" s="2">
        <v>12727.8416724532</v>
      </c>
      <c r="AD3212" s="2">
        <v>8415.1468502047501</v>
      </c>
      <c r="AE3212" s="2">
        <v>10675.6251984767</v>
      </c>
      <c r="AF3212" s="2">
        <v>14455.437166928499</v>
      </c>
      <c r="AG3212" s="2">
        <v>13783.552268883401</v>
      </c>
      <c r="AH3212" s="2">
        <v>12586.725291577701</v>
      </c>
      <c r="AI3212" s="2">
        <v>10943.384956489101</v>
      </c>
      <c r="AJ3212" s="2">
        <v>13922.325152363999</v>
      </c>
      <c r="AK3212" s="2">
        <v>7569.0131901736504</v>
      </c>
      <c r="AL3212" s="2">
        <v>9487.0112487630395</v>
      </c>
      <c r="AM3212" s="2">
        <v>7507.9577913658204</v>
      </c>
      <c r="AN3212" s="2">
        <v>8716.9551663771108</v>
      </c>
      <c r="AO3212" s="2">
        <v>9067.5370602029998</v>
      </c>
      <c r="AP3212" s="2">
        <v>8142.4066443458596</v>
      </c>
    </row>
    <row r="3213" spans="1:42" ht="14.5" x14ac:dyDescent="0.35">
      <c r="A3213" s="2" t="s">
        <v>21374</v>
      </c>
      <c r="B3213" s="2">
        <v>549.23249346944795</v>
      </c>
      <c r="C3213" s="2">
        <v>8.4520166666666707</v>
      </c>
      <c r="D3213" s="2" t="s">
        <v>34</v>
      </c>
      <c r="E3213" s="2" t="s">
        <v>21375</v>
      </c>
      <c r="F3213" s="2">
        <v>275785</v>
      </c>
      <c r="G3213" s="3" t="str">
        <f>HYPERLINK("http://funmeta.oebiotech.com/network/275785", "http://funmeta.oebiotech.com/network/275785")</f>
        <v>http://funmeta.oebiotech.com/network/275785</v>
      </c>
      <c r="H3213" s="2"/>
      <c r="I3213" s="2">
        <v>67168</v>
      </c>
      <c r="J3213" s="2"/>
      <c r="K3213" s="2"/>
      <c r="L3213" s="2" t="s">
        <v>21376</v>
      </c>
      <c r="M3213" s="2"/>
      <c r="N3213" s="2"/>
      <c r="O3213" s="2">
        <v>5281304</v>
      </c>
      <c r="P3213" s="2" t="s">
        <v>21377</v>
      </c>
      <c r="Q3213" s="2" t="s">
        <v>21378</v>
      </c>
      <c r="R3213" s="2" t="s">
        <v>21379</v>
      </c>
      <c r="S3213" s="2" t="s">
        <v>50</v>
      </c>
      <c r="T3213" s="2" t="s">
        <v>201</v>
      </c>
      <c r="U3213" s="2" t="s">
        <v>1217</v>
      </c>
      <c r="V3213" s="2" t="s">
        <v>59</v>
      </c>
      <c r="W3213" s="2">
        <v>38.1</v>
      </c>
      <c r="X3213" s="2">
        <v>0</v>
      </c>
      <c r="Y3213" s="2" t="s">
        <v>394</v>
      </c>
      <c r="Z3213" s="2" t="s">
        <v>21380</v>
      </c>
      <c r="AA3213" s="2">
        <v>-0.99399238287126601</v>
      </c>
      <c r="AB3213" s="2">
        <v>0.24135058295068801</v>
      </c>
      <c r="AC3213" s="2">
        <v>7563.6928488922003</v>
      </c>
      <c r="AD3213" s="2">
        <v>12119.5575817715</v>
      </c>
      <c r="AE3213" s="2">
        <v>4945.4002499212802</v>
      </c>
      <c r="AF3213" s="2">
        <v>7590.0391421893</v>
      </c>
      <c r="AG3213" s="2">
        <v>6779.7334152891499</v>
      </c>
      <c r="AH3213" s="2">
        <v>9207.4724498303804</v>
      </c>
      <c r="AI3213" s="2">
        <v>9002.9428491189901</v>
      </c>
      <c r="AJ3213" s="2">
        <v>7856.5689870040796</v>
      </c>
      <c r="AK3213" s="2">
        <v>11662.970132161199</v>
      </c>
      <c r="AL3213" s="2">
        <v>8813.4603881298608</v>
      </c>
      <c r="AM3213" s="2">
        <v>13960.169519331301</v>
      </c>
      <c r="AN3213" s="2">
        <v>12591.2645523438</v>
      </c>
      <c r="AO3213" s="2">
        <v>12784.675257449901</v>
      </c>
      <c r="AP3213" s="2">
        <v>12904.805641212901</v>
      </c>
    </row>
    <row r="3214" spans="1:42" ht="14.5" x14ac:dyDescent="0.35">
      <c r="A3214" s="2" t="s">
        <v>21381</v>
      </c>
      <c r="B3214" s="2">
        <v>507.27236742469501</v>
      </c>
      <c r="C3214" s="2">
        <v>11.234683333333299</v>
      </c>
      <c r="D3214" s="2" t="s">
        <v>70</v>
      </c>
      <c r="E3214" s="2" t="s">
        <v>21382</v>
      </c>
      <c r="F3214" s="2">
        <v>83525</v>
      </c>
      <c r="G3214" s="3" t="str">
        <f>HYPERLINK("http://funmeta.oebiotech.com/network/83525", "http://funmeta.oebiotech.com/network/83525")</f>
        <v>http://funmeta.oebiotech.com/network/83525</v>
      </c>
      <c r="H3214" s="2" t="s">
        <v>21383</v>
      </c>
      <c r="I3214" s="2"/>
      <c r="J3214" s="2"/>
      <c r="K3214" s="2"/>
      <c r="L3214" s="2"/>
      <c r="M3214" s="2"/>
      <c r="N3214" s="2"/>
      <c r="O3214" s="2"/>
      <c r="P3214" s="2"/>
      <c r="Q3214" s="2" t="s">
        <v>21384</v>
      </c>
      <c r="R3214" s="2" t="s">
        <v>21385</v>
      </c>
      <c r="S3214" s="2" t="s">
        <v>50</v>
      </c>
      <c r="T3214" s="2" t="s">
        <v>51</v>
      </c>
      <c r="U3214" s="2" t="s">
        <v>273</v>
      </c>
      <c r="V3214" s="2" t="s">
        <v>59</v>
      </c>
      <c r="W3214" s="2">
        <v>38.700000000000003</v>
      </c>
      <c r="X3214" s="2">
        <v>0</v>
      </c>
      <c r="Y3214" s="2" t="s">
        <v>408</v>
      </c>
      <c r="Z3214" s="2" t="s">
        <v>21386</v>
      </c>
      <c r="AA3214" s="2">
        <v>-1.0292393168632099</v>
      </c>
      <c r="AB3214" s="2">
        <v>0.24134947522660299</v>
      </c>
      <c r="AC3214" s="2">
        <v>21851.019781186402</v>
      </c>
      <c r="AD3214" s="2">
        <v>28199.666643535202</v>
      </c>
      <c r="AE3214" s="2">
        <v>24552.527476930001</v>
      </c>
      <c r="AF3214" s="2">
        <v>20352.971584385101</v>
      </c>
      <c r="AG3214" s="2">
        <v>23569.226089760701</v>
      </c>
      <c r="AH3214" s="2">
        <v>20933.1004427267</v>
      </c>
      <c r="AI3214" s="2">
        <v>21877.307886619499</v>
      </c>
      <c r="AJ3214" s="2">
        <v>19820.985206696401</v>
      </c>
      <c r="AK3214" s="2">
        <v>19805.179879416399</v>
      </c>
      <c r="AL3214" s="2">
        <v>25596.087339254998</v>
      </c>
      <c r="AM3214" s="2">
        <v>26232.476808777101</v>
      </c>
      <c r="AN3214" s="2">
        <v>28515.909163702399</v>
      </c>
      <c r="AO3214" s="2">
        <v>30351.874858681102</v>
      </c>
      <c r="AP3214" s="2">
        <v>38696.471811379197</v>
      </c>
    </row>
    <row r="3215" spans="1:42" ht="14.5" x14ac:dyDescent="0.35">
      <c r="A3215" s="2" t="s">
        <v>21387</v>
      </c>
      <c r="B3215" s="2">
        <v>667.45374787759999</v>
      </c>
      <c r="C3215" s="2">
        <v>13.8181333333333</v>
      </c>
      <c r="D3215" s="2" t="s">
        <v>34</v>
      </c>
      <c r="E3215" s="2" t="s">
        <v>21388</v>
      </c>
      <c r="F3215" s="2">
        <v>136293</v>
      </c>
      <c r="G3215" s="3" t="str">
        <f>HYPERLINK("http://funmeta.oebiotech.com/network/136293", "http://funmeta.oebiotech.com/network/136293")</f>
        <v>http://funmeta.oebiotech.com/network/136293</v>
      </c>
      <c r="H3215" s="2" t="s">
        <v>21389</v>
      </c>
      <c r="I3215" s="2"/>
      <c r="J3215" s="2"/>
      <c r="K3215" s="2"/>
      <c r="L3215" s="2"/>
      <c r="M3215" s="2"/>
      <c r="N3215" s="2"/>
      <c r="O3215" s="2">
        <v>131823271</v>
      </c>
      <c r="P3215" s="2"/>
      <c r="Q3215" s="2" t="s">
        <v>21390</v>
      </c>
      <c r="R3215" s="2" t="s">
        <v>21391</v>
      </c>
      <c r="S3215" s="2" t="s">
        <v>50</v>
      </c>
      <c r="T3215" s="2" t="s">
        <v>51</v>
      </c>
      <c r="U3215" s="2" t="s">
        <v>738</v>
      </c>
      <c r="V3215" s="2" t="s">
        <v>59</v>
      </c>
      <c r="W3215" s="2">
        <v>39.299999999999997</v>
      </c>
      <c r="X3215" s="2">
        <v>0</v>
      </c>
      <c r="Y3215" s="2" t="s">
        <v>394</v>
      </c>
      <c r="Z3215" s="2" t="s">
        <v>21392</v>
      </c>
      <c r="AA3215" s="2">
        <v>-1.0706455149088501</v>
      </c>
      <c r="AB3215" s="2">
        <v>0.24130392117927599</v>
      </c>
      <c r="AC3215" s="2">
        <v>6995.1124146266102</v>
      </c>
      <c r="AD3215" s="2">
        <v>3007.8425128080999</v>
      </c>
      <c r="AE3215" s="2">
        <v>7098.6963652639997</v>
      </c>
      <c r="AF3215" s="2">
        <v>6127.9361559100698</v>
      </c>
      <c r="AG3215" s="2">
        <v>7734.1790370943199</v>
      </c>
      <c r="AH3215" s="2">
        <v>6716.4131330031396</v>
      </c>
      <c r="AI3215" s="2">
        <v>6514.8532085481102</v>
      </c>
      <c r="AJ3215" s="2">
        <v>7778.5965879400401</v>
      </c>
      <c r="AK3215" s="2">
        <v>3895.6912434522601</v>
      </c>
      <c r="AL3215" s="2">
        <v>3527.1075730256898</v>
      </c>
      <c r="AM3215" s="2">
        <v>3152.1051510083498</v>
      </c>
      <c r="AN3215" s="2">
        <v>2030.57502482051</v>
      </c>
      <c r="AO3215" s="2">
        <v>2402.1115159374399</v>
      </c>
      <c r="AP3215" s="2">
        <v>3039.46456860435</v>
      </c>
    </row>
    <row r="3216" spans="1:42" ht="14.5" x14ac:dyDescent="0.35">
      <c r="A3216" s="2" t="s">
        <v>21393</v>
      </c>
      <c r="B3216" s="2">
        <v>415.12441772615801</v>
      </c>
      <c r="C3216" s="2">
        <v>4.6304499999999997</v>
      </c>
      <c r="D3216" s="2" t="s">
        <v>70</v>
      </c>
      <c r="E3216" s="2" t="s">
        <v>21394</v>
      </c>
      <c r="F3216" s="2">
        <v>534659</v>
      </c>
      <c r="G3216" s="3" t="str">
        <f>HYPERLINK("http://funmeta.oebiotech.com/network/534659", "http://funmeta.oebiotech.com/network/534659")</f>
        <v>http://funmeta.oebiotech.com/network/534659</v>
      </c>
      <c r="H3216" s="2"/>
      <c r="I3216" s="2">
        <v>984908</v>
      </c>
      <c r="J3216" s="2"/>
      <c r="K3216" s="2"/>
      <c r="L3216" s="2"/>
      <c r="M3216" s="2"/>
      <c r="N3216" s="2"/>
      <c r="O3216" s="2">
        <v>25244544</v>
      </c>
      <c r="P3216" s="2"/>
      <c r="Q3216" s="2" t="s">
        <v>21395</v>
      </c>
      <c r="R3216" s="2" t="s">
        <v>21396</v>
      </c>
      <c r="S3216" s="2" t="s">
        <v>79</v>
      </c>
      <c r="T3216" s="2" t="s">
        <v>80</v>
      </c>
      <c r="U3216" s="2" t="s">
        <v>81</v>
      </c>
      <c r="V3216" s="2" t="s">
        <v>59</v>
      </c>
      <c r="W3216" s="2">
        <v>39.299999999999997</v>
      </c>
      <c r="X3216" s="2">
        <v>0</v>
      </c>
      <c r="Y3216" s="2" t="s">
        <v>408</v>
      </c>
      <c r="Z3216" s="2" t="s">
        <v>5327</v>
      </c>
      <c r="AA3216" s="2">
        <v>-0.452346631981698</v>
      </c>
      <c r="AB3216" s="2">
        <v>0.24114326964129301</v>
      </c>
      <c r="AC3216" s="2">
        <v>24671.142877427999</v>
      </c>
      <c r="AD3216" s="2">
        <v>20238.777971855099</v>
      </c>
      <c r="AE3216" s="2">
        <v>23694.681744513498</v>
      </c>
      <c r="AF3216" s="2">
        <v>24884.398513280899</v>
      </c>
      <c r="AG3216" s="2">
        <v>25916.793162776201</v>
      </c>
      <c r="AH3216" s="2">
        <v>25317.136757752702</v>
      </c>
      <c r="AI3216" s="2">
        <v>25916.282435703801</v>
      </c>
      <c r="AJ3216" s="2">
        <v>22297.5646505408</v>
      </c>
      <c r="AK3216" s="2">
        <v>18390.587782079201</v>
      </c>
      <c r="AL3216" s="2">
        <v>20294.080032644899</v>
      </c>
      <c r="AM3216" s="2">
        <v>22415.0481800132</v>
      </c>
      <c r="AN3216" s="2">
        <v>20314.544449803201</v>
      </c>
      <c r="AO3216" s="2">
        <v>20833.200529590798</v>
      </c>
      <c r="AP3216" s="2">
        <v>19185.206856999201</v>
      </c>
    </row>
    <row r="3217" spans="1:42" ht="14.5" x14ac:dyDescent="0.35">
      <c r="A3217" s="2" t="s">
        <v>21397</v>
      </c>
      <c r="B3217" s="2">
        <v>549.24732623261195</v>
      </c>
      <c r="C3217" s="2">
        <v>4.6304499999999997</v>
      </c>
      <c r="D3217" s="2" t="s">
        <v>70</v>
      </c>
      <c r="E3217" s="2" t="s">
        <v>21398</v>
      </c>
      <c r="F3217" s="2">
        <v>52211</v>
      </c>
      <c r="G3217" s="3" t="str">
        <f>HYPERLINK("http://funmeta.oebiotech.com/network/52211", "http://funmeta.oebiotech.com/network/52211")</f>
        <v>http://funmeta.oebiotech.com/network/52211</v>
      </c>
      <c r="H3217" s="2" t="s">
        <v>21399</v>
      </c>
      <c r="I3217" s="2">
        <v>85613</v>
      </c>
      <c r="J3217" s="2"/>
      <c r="K3217" s="2">
        <v>73808</v>
      </c>
      <c r="L3217" s="2"/>
      <c r="M3217" s="2"/>
      <c r="N3217" s="2"/>
      <c r="O3217" s="2">
        <v>85362</v>
      </c>
      <c r="P3217" s="2" t="s">
        <v>21400</v>
      </c>
      <c r="Q3217" s="2" t="s">
        <v>21401</v>
      </c>
      <c r="R3217" s="2" t="s">
        <v>21402</v>
      </c>
      <c r="S3217" s="2" t="s">
        <v>89</v>
      </c>
      <c r="T3217" s="2" t="s">
        <v>90</v>
      </c>
      <c r="U3217" s="2" t="s">
        <v>99</v>
      </c>
      <c r="V3217" s="2" t="s">
        <v>59</v>
      </c>
      <c r="W3217" s="2">
        <v>39.299999999999997</v>
      </c>
      <c r="X3217" s="2">
        <v>0</v>
      </c>
      <c r="Y3217" s="2" t="s">
        <v>560</v>
      </c>
      <c r="Z3217" s="2" t="s">
        <v>21403</v>
      </c>
      <c r="AA3217" s="2">
        <v>1.1264399549709101</v>
      </c>
      <c r="AB3217" s="2">
        <v>0.241128320491175</v>
      </c>
      <c r="AC3217" s="2">
        <v>82398.511655509094</v>
      </c>
      <c r="AD3217" s="2">
        <v>75682.883549264196</v>
      </c>
      <c r="AE3217" s="2">
        <v>80998.975970028099</v>
      </c>
      <c r="AF3217" s="2">
        <v>92968.523678290701</v>
      </c>
      <c r="AG3217" s="2">
        <v>83055.460650612993</v>
      </c>
      <c r="AH3217" s="2">
        <v>78844.072619081897</v>
      </c>
      <c r="AI3217" s="2">
        <v>81794.899210525502</v>
      </c>
      <c r="AJ3217" s="2">
        <v>76729.137804515602</v>
      </c>
      <c r="AK3217" s="2">
        <v>80338.511329971894</v>
      </c>
      <c r="AL3217" s="2">
        <v>72575.028510713397</v>
      </c>
      <c r="AM3217" s="2">
        <v>82008.212481751005</v>
      </c>
      <c r="AN3217" s="2">
        <v>76082.339148518295</v>
      </c>
      <c r="AO3217" s="2">
        <v>74783.2510330027</v>
      </c>
      <c r="AP3217" s="2">
        <v>68309.958791627694</v>
      </c>
    </row>
    <row r="3218" spans="1:42" ht="14.5" x14ac:dyDescent="0.35">
      <c r="A3218" s="2" t="s">
        <v>21404</v>
      </c>
      <c r="B3218" s="2">
        <v>837.42504901749101</v>
      </c>
      <c r="C3218" s="2">
        <v>11.08745</v>
      </c>
      <c r="D3218" s="2" t="s">
        <v>70</v>
      </c>
      <c r="E3218" s="2" t="s">
        <v>21405</v>
      </c>
      <c r="F3218" s="2">
        <v>63796</v>
      </c>
      <c r="G3218" s="3" t="str">
        <f>HYPERLINK("http://funmeta.oebiotech.com/network/63796", "http://funmeta.oebiotech.com/network/63796")</f>
        <v>http://funmeta.oebiotech.com/network/63796</v>
      </c>
      <c r="H3218" s="2" t="s">
        <v>21406</v>
      </c>
      <c r="I3218" s="2"/>
      <c r="J3218" s="2"/>
      <c r="K3218" s="2"/>
      <c r="L3218" s="2"/>
      <c r="M3218" s="2"/>
      <c r="N3218" s="2"/>
      <c r="O3218" s="2">
        <v>131752887</v>
      </c>
      <c r="P3218" s="2" t="s">
        <v>21407</v>
      </c>
      <c r="Q3218" s="2" t="s">
        <v>21408</v>
      </c>
      <c r="R3218" s="2" t="s">
        <v>21409</v>
      </c>
      <c r="S3218" s="2" t="s">
        <v>50</v>
      </c>
      <c r="T3218" s="2" t="s">
        <v>201</v>
      </c>
      <c r="U3218" s="2" t="s">
        <v>202</v>
      </c>
      <c r="V3218" s="2" t="s">
        <v>59</v>
      </c>
      <c r="W3218" s="2">
        <v>37.5</v>
      </c>
      <c r="X3218" s="2">
        <v>0</v>
      </c>
      <c r="Y3218" s="2" t="s">
        <v>408</v>
      </c>
      <c r="Z3218" s="2" t="s">
        <v>21410</v>
      </c>
      <c r="AA3218" s="2">
        <v>-3.4836896616561801</v>
      </c>
      <c r="AB3218" s="2">
        <v>0.240876834565322</v>
      </c>
      <c r="AC3218" s="2">
        <v>39630.104783262301</v>
      </c>
      <c r="AD3218" s="2">
        <v>45665.106393249102</v>
      </c>
      <c r="AE3218" s="2">
        <v>41916.038162814802</v>
      </c>
      <c r="AF3218" s="2">
        <v>40212.460582151201</v>
      </c>
      <c r="AG3218" s="2">
        <v>37572.710371942099</v>
      </c>
      <c r="AH3218" s="2">
        <v>36114.926833322897</v>
      </c>
      <c r="AI3218" s="2">
        <v>39946.171836644702</v>
      </c>
      <c r="AJ3218" s="2">
        <v>42018.320912698298</v>
      </c>
      <c r="AK3218" s="2">
        <v>37348.297929875298</v>
      </c>
      <c r="AL3218" s="2">
        <v>40854.219392508901</v>
      </c>
      <c r="AM3218" s="2">
        <v>47490.310432730599</v>
      </c>
      <c r="AN3218" s="2">
        <v>51096.678705115097</v>
      </c>
      <c r="AO3218" s="2">
        <v>47893.325958179499</v>
      </c>
      <c r="AP3218" s="2">
        <v>49307.8059410852</v>
      </c>
    </row>
    <row r="3219" spans="1:42" ht="14.5" x14ac:dyDescent="0.35">
      <c r="A3219" s="2" t="s">
        <v>21411</v>
      </c>
      <c r="B3219" s="2">
        <v>803.28997589395306</v>
      </c>
      <c r="C3219" s="2">
        <v>5.84148333333333</v>
      </c>
      <c r="D3219" s="2" t="s">
        <v>70</v>
      </c>
      <c r="E3219" s="2" t="s">
        <v>21412</v>
      </c>
      <c r="F3219" s="2">
        <v>29350</v>
      </c>
      <c r="G3219" s="3" t="str">
        <f>HYPERLINK("http://funmeta.oebiotech.com/network/29350", "http://funmeta.oebiotech.com/network/29350")</f>
        <v>http://funmeta.oebiotech.com/network/29350</v>
      </c>
      <c r="H3219" s="2"/>
      <c r="I3219" s="2">
        <v>47723</v>
      </c>
      <c r="J3219" s="2" t="s">
        <v>21413</v>
      </c>
      <c r="K3219" s="2"/>
      <c r="L3219" s="2"/>
      <c r="M3219" s="2"/>
      <c r="N3219" s="2"/>
      <c r="O3219" s="2">
        <v>14583601</v>
      </c>
      <c r="P3219" s="2"/>
      <c r="Q3219" s="2" t="s">
        <v>21414</v>
      </c>
      <c r="R3219" s="2" t="s">
        <v>21415</v>
      </c>
      <c r="S3219" s="2" t="s">
        <v>115</v>
      </c>
      <c r="T3219" s="2" t="s">
        <v>1371</v>
      </c>
      <c r="U3219" s="2" t="s">
        <v>21416</v>
      </c>
      <c r="V3219" s="2" t="s">
        <v>59</v>
      </c>
      <c r="W3219" s="2">
        <v>37</v>
      </c>
      <c r="X3219" s="2">
        <v>0</v>
      </c>
      <c r="Y3219" s="2" t="s">
        <v>560</v>
      </c>
      <c r="Z3219" s="2" t="s">
        <v>21417</v>
      </c>
      <c r="AA3219" s="2">
        <v>4.7305113379234198</v>
      </c>
      <c r="AB3219" s="2">
        <v>0.24074707452959099</v>
      </c>
      <c r="AC3219" s="2">
        <v>31467.658667787098</v>
      </c>
      <c r="AD3219" s="2">
        <v>26108.7855837764</v>
      </c>
      <c r="AE3219" s="2">
        <v>34846.874554825998</v>
      </c>
      <c r="AF3219" s="2">
        <v>31746.210192379898</v>
      </c>
      <c r="AG3219" s="2">
        <v>25938.468969362501</v>
      </c>
      <c r="AH3219" s="2">
        <v>30907.634496348899</v>
      </c>
      <c r="AI3219" s="2">
        <v>32189.195952300401</v>
      </c>
      <c r="AJ3219" s="2">
        <v>33177.567841504599</v>
      </c>
      <c r="AK3219" s="2">
        <v>26053.841386775701</v>
      </c>
      <c r="AL3219" s="2">
        <v>26186.212749545601</v>
      </c>
      <c r="AM3219" s="2">
        <v>29487.774487300801</v>
      </c>
      <c r="AN3219" s="2">
        <v>26656.221368438699</v>
      </c>
      <c r="AO3219" s="2">
        <v>21128.611866010899</v>
      </c>
      <c r="AP3219" s="2">
        <v>27140.0516445869</v>
      </c>
    </row>
    <row r="3220" spans="1:42" ht="14.5" x14ac:dyDescent="0.35">
      <c r="A3220" s="2" t="s">
        <v>21418</v>
      </c>
      <c r="B3220" s="2">
        <v>233.15345286183199</v>
      </c>
      <c r="C3220" s="2">
        <v>4.6832000000000003</v>
      </c>
      <c r="D3220" s="2" t="s">
        <v>34</v>
      </c>
      <c r="E3220" s="2" t="s">
        <v>21419</v>
      </c>
      <c r="F3220" s="2">
        <v>35602</v>
      </c>
      <c r="G3220" s="3" t="str">
        <f>HYPERLINK("http://funmeta.oebiotech.com/network/35602", "http://funmeta.oebiotech.com/network/35602")</f>
        <v>http://funmeta.oebiotech.com/network/35602</v>
      </c>
      <c r="H3220" s="2"/>
      <c r="I3220" s="2">
        <v>53412</v>
      </c>
      <c r="J3220" s="2" t="s">
        <v>21420</v>
      </c>
      <c r="K3220" s="2">
        <v>2540</v>
      </c>
      <c r="L3220" s="2" t="s">
        <v>21421</v>
      </c>
      <c r="M3220" s="2"/>
      <c r="N3220" s="2"/>
      <c r="O3220" s="2">
        <v>72724</v>
      </c>
      <c r="P3220" s="2" t="s">
        <v>21422</v>
      </c>
      <c r="Q3220" s="2" t="s">
        <v>21423</v>
      </c>
      <c r="R3220" s="2" t="s">
        <v>21424</v>
      </c>
      <c r="S3220" s="2" t="s">
        <v>50</v>
      </c>
      <c r="T3220" s="2" t="s">
        <v>201</v>
      </c>
      <c r="U3220" s="2" t="s">
        <v>1217</v>
      </c>
      <c r="V3220" s="2" t="s">
        <v>59</v>
      </c>
      <c r="W3220" s="2">
        <v>38.299999999999997</v>
      </c>
      <c r="X3220" s="2">
        <v>0</v>
      </c>
      <c r="Y3220" s="2" t="s">
        <v>67</v>
      </c>
      <c r="Z3220" s="2" t="s">
        <v>21425</v>
      </c>
      <c r="AA3220" s="2">
        <v>-0.66100846169014404</v>
      </c>
      <c r="AB3220" s="2">
        <v>0.240742722761423</v>
      </c>
      <c r="AC3220" s="2">
        <v>33275.215262890903</v>
      </c>
      <c r="AD3220" s="2">
        <v>37707.041399517097</v>
      </c>
      <c r="AE3220" s="2">
        <v>33932.106027550297</v>
      </c>
      <c r="AF3220" s="2">
        <v>35429.399027754698</v>
      </c>
      <c r="AG3220" s="2">
        <v>32913.399826219997</v>
      </c>
      <c r="AH3220" s="2">
        <v>30543.714493330001</v>
      </c>
      <c r="AI3220" s="2">
        <v>33329.737077280399</v>
      </c>
      <c r="AJ3220" s="2">
        <v>33502.935125210301</v>
      </c>
      <c r="AK3220" s="2">
        <v>39281.655689756</v>
      </c>
      <c r="AL3220" s="2">
        <v>37750.435965483703</v>
      </c>
      <c r="AM3220" s="2">
        <v>39038.726811539898</v>
      </c>
      <c r="AN3220" s="2">
        <v>37460.154978118</v>
      </c>
      <c r="AO3220" s="2">
        <v>36547.344251670002</v>
      </c>
      <c r="AP3220" s="2">
        <v>36163.9307005351</v>
      </c>
    </row>
    <row r="3221" spans="1:42" ht="14.5" x14ac:dyDescent="0.35">
      <c r="A3221" s="2" t="s">
        <v>21426</v>
      </c>
      <c r="B3221" s="2">
        <v>431.18909005962502</v>
      </c>
      <c r="C3221" s="2">
        <v>4.3112000000000004</v>
      </c>
      <c r="D3221" s="2" t="s">
        <v>34</v>
      </c>
      <c r="E3221" s="2" t="s">
        <v>21427</v>
      </c>
      <c r="F3221" s="2">
        <v>208878</v>
      </c>
      <c r="G3221" s="3" t="str">
        <f>HYPERLINK("http://funmeta.oebiotech.com/network/208878", "http://funmeta.oebiotech.com/network/208878")</f>
        <v>http://funmeta.oebiotech.com/network/208878</v>
      </c>
      <c r="H3221" s="2" t="s">
        <v>21428</v>
      </c>
      <c r="I3221" s="2"/>
      <c r="J3221" s="2"/>
      <c r="K3221" s="2">
        <v>92409</v>
      </c>
      <c r="L3221" s="2"/>
      <c r="M3221" s="2"/>
      <c r="N3221" s="2"/>
      <c r="O3221" s="2">
        <v>1894361</v>
      </c>
      <c r="P3221" s="2"/>
      <c r="Q3221" s="2" t="s">
        <v>21429</v>
      </c>
      <c r="R3221" s="2" t="s">
        <v>21430</v>
      </c>
      <c r="S3221" s="2" t="s">
        <v>148</v>
      </c>
      <c r="T3221" s="2" t="s">
        <v>149</v>
      </c>
      <c r="U3221" s="2" t="s">
        <v>3473</v>
      </c>
      <c r="V3221" s="2" t="s">
        <v>59</v>
      </c>
      <c r="W3221" s="2">
        <v>38.299999999999997</v>
      </c>
      <c r="X3221" s="2">
        <v>0</v>
      </c>
      <c r="Y3221" s="2" t="s">
        <v>340</v>
      </c>
      <c r="Z3221" s="2" t="s">
        <v>21431</v>
      </c>
      <c r="AA3221" s="2">
        <v>1.74153006833464</v>
      </c>
      <c r="AB3221" s="2">
        <v>0.24074204677068201</v>
      </c>
      <c r="AC3221" s="2">
        <v>44718.242929249303</v>
      </c>
      <c r="AD3221" s="2">
        <v>50873.766060401103</v>
      </c>
      <c r="AE3221" s="2">
        <v>43659.599272754604</v>
      </c>
      <c r="AF3221" s="2">
        <v>44767.716043504901</v>
      </c>
      <c r="AG3221" s="2">
        <v>44445.610412289599</v>
      </c>
      <c r="AH3221" s="2">
        <v>41102.300608379199</v>
      </c>
      <c r="AI3221" s="2">
        <v>51212.471004929597</v>
      </c>
      <c r="AJ3221" s="2">
        <v>43121.760233638102</v>
      </c>
      <c r="AK3221" s="2">
        <v>43040.470414659001</v>
      </c>
      <c r="AL3221" s="2">
        <v>47820.888608611</v>
      </c>
      <c r="AM3221" s="2">
        <v>48497.0078247602</v>
      </c>
      <c r="AN3221" s="2">
        <v>54335.973028055203</v>
      </c>
      <c r="AO3221" s="2">
        <v>56294.487014563798</v>
      </c>
      <c r="AP3221" s="2">
        <v>55253.769471757398</v>
      </c>
    </row>
    <row r="3222" spans="1:42" ht="14.5" x14ac:dyDescent="0.35">
      <c r="A3222" s="2" t="s">
        <v>21432</v>
      </c>
      <c r="B3222" s="2">
        <v>320.05528517690402</v>
      </c>
      <c r="C3222" s="2">
        <v>2.1067666666666698</v>
      </c>
      <c r="D3222" s="2" t="s">
        <v>34</v>
      </c>
      <c r="E3222" s="2" t="s">
        <v>21433</v>
      </c>
      <c r="F3222" s="2">
        <v>207252</v>
      </c>
      <c r="G3222" s="3" t="str">
        <f>HYPERLINK("http://funmeta.oebiotech.com/network/207252", "http://funmeta.oebiotech.com/network/207252")</f>
        <v>http://funmeta.oebiotech.com/network/207252</v>
      </c>
      <c r="H3222" s="2" t="s">
        <v>21434</v>
      </c>
      <c r="I3222" s="2"/>
      <c r="J3222" s="2"/>
      <c r="K3222" s="2"/>
      <c r="L3222" s="2"/>
      <c r="M3222" s="2"/>
      <c r="N3222" s="2"/>
      <c r="O3222" s="2">
        <v>129629304</v>
      </c>
      <c r="P3222" s="2"/>
      <c r="Q3222" s="2" t="s">
        <v>21435</v>
      </c>
      <c r="R3222" s="2" t="s">
        <v>21436</v>
      </c>
      <c r="S3222" s="2" t="s">
        <v>41</v>
      </c>
      <c r="T3222" s="2" t="s">
        <v>41</v>
      </c>
      <c r="U3222" s="2" t="s">
        <v>41</v>
      </c>
      <c r="V3222" s="2" t="s">
        <v>59</v>
      </c>
      <c r="W3222" s="2">
        <v>37.200000000000003</v>
      </c>
      <c r="X3222" s="2">
        <v>5.36</v>
      </c>
      <c r="Y3222" s="2" t="s">
        <v>141</v>
      </c>
      <c r="Z3222" s="2" t="s">
        <v>21437</v>
      </c>
      <c r="AA3222" s="2">
        <v>1.7444327073913499</v>
      </c>
      <c r="AB3222" s="2">
        <v>0.240598714520285</v>
      </c>
      <c r="AC3222" s="2">
        <v>38641.314049526598</v>
      </c>
      <c r="AD3222" s="2">
        <v>34337.348034873903</v>
      </c>
      <c r="AE3222" s="2">
        <v>37737.812912000998</v>
      </c>
      <c r="AF3222" s="2">
        <v>37935.415463767902</v>
      </c>
      <c r="AG3222" s="2">
        <v>38679.680675798802</v>
      </c>
      <c r="AH3222" s="2">
        <v>40801.832561534698</v>
      </c>
      <c r="AI3222" s="2">
        <v>39708.132514069403</v>
      </c>
      <c r="AJ3222" s="2">
        <v>36985.010169987603</v>
      </c>
      <c r="AK3222" s="2">
        <v>35023.069061111499</v>
      </c>
      <c r="AL3222" s="2">
        <v>33600.415220000497</v>
      </c>
      <c r="AM3222" s="2">
        <v>35482.585721916003</v>
      </c>
      <c r="AN3222" s="2">
        <v>33969.026323889098</v>
      </c>
      <c r="AO3222" s="2">
        <v>32845.375951563001</v>
      </c>
      <c r="AP3222" s="2">
        <v>35103.615930763001</v>
      </c>
    </row>
    <row r="3223" spans="1:42" ht="14.5" x14ac:dyDescent="0.35">
      <c r="A3223" s="2" t="s">
        <v>21438</v>
      </c>
      <c r="B3223" s="2">
        <v>699.24959425955706</v>
      </c>
      <c r="C3223" s="2">
        <v>4.2044333333333297</v>
      </c>
      <c r="D3223" s="2" t="s">
        <v>70</v>
      </c>
      <c r="E3223" s="2" t="s">
        <v>21439</v>
      </c>
      <c r="F3223" s="2">
        <v>210109</v>
      </c>
      <c r="G3223" s="3" t="str">
        <f>HYPERLINK("http://funmeta.oebiotech.com/network/210109", "http://funmeta.oebiotech.com/network/210109")</f>
        <v>http://funmeta.oebiotech.com/network/210109</v>
      </c>
      <c r="H3223" s="2" t="s">
        <v>21440</v>
      </c>
      <c r="I3223" s="2"/>
      <c r="J3223" s="2"/>
      <c r="K3223" s="2"/>
      <c r="L3223" s="2"/>
      <c r="M3223" s="2"/>
      <c r="N3223" s="2"/>
      <c r="O3223" s="2"/>
      <c r="P3223" s="2"/>
      <c r="Q3223" s="2" t="s">
        <v>21441</v>
      </c>
      <c r="R3223" s="2" t="s">
        <v>21442</v>
      </c>
      <c r="S3223" s="2" t="s">
        <v>41</v>
      </c>
      <c r="T3223" s="2" t="s">
        <v>41</v>
      </c>
      <c r="U3223" s="2" t="s">
        <v>41</v>
      </c>
      <c r="V3223" s="2" t="s">
        <v>59</v>
      </c>
      <c r="W3223" s="2">
        <v>37.1</v>
      </c>
      <c r="X3223" s="2">
        <v>0</v>
      </c>
      <c r="Y3223" s="2" t="s">
        <v>560</v>
      </c>
      <c r="Z3223" s="2" t="s">
        <v>21443</v>
      </c>
      <c r="AA3223" s="2">
        <v>-4.5493030397200904</v>
      </c>
      <c r="AB3223" s="2">
        <v>0.24053003122191799</v>
      </c>
      <c r="AC3223" s="2">
        <v>38801.565852424697</v>
      </c>
      <c r="AD3223" s="2">
        <v>44661.068795562802</v>
      </c>
      <c r="AE3223" s="2">
        <v>41193.777573917803</v>
      </c>
      <c r="AF3223" s="2">
        <v>44487.679807382097</v>
      </c>
      <c r="AG3223" s="2">
        <v>32686.491899225399</v>
      </c>
      <c r="AH3223" s="2">
        <v>40398.769697976597</v>
      </c>
      <c r="AI3223" s="2">
        <v>36801.614630609998</v>
      </c>
      <c r="AJ3223" s="2">
        <v>37241.061505436403</v>
      </c>
      <c r="AK3223" s="2">
        <v>41950.226474441501</v>
      </c>
      <c r="AL3223" s="2">
        <v>47696.339278076601</v>
      </c>
      <c r="AM3223" s="2">
        <v>48615.372112427503</v>
      </c>
      <c r="AN3223" s="2">
        <v>42944.219913946399</v>
      </c>
      <c r="AO3223" s="2">
        <v>46321.408573685403</v>
      </c>
      <c r="AP3223" s="2">
        <v>40438.846420799397</v>
      </c>
    </row>
    <row r="3224" spans="1:42" ht="14.5" x14ac:dyDescent="0.35">
      <c r="A3224" s="2" t="s">
        <v>21444</v>
      </c>
      <c r="B3224" s="2">
        <v>313.238397704644</v>
      </c>
      <c r="C3224" s="2">
        <v>9.2841333333333296</v>
      </c>
      <c r="D3224" s="2" t="s">
        <v>70</v>
      </c>
      <c r="E3224" s="2" t="s">
        <v>21445</v>
      </c>
      <c r="F3224" s="2">
        <v>3256</v>
      </c>
      <c r="G3224" s="3" t="str">
        <f>HYPERLINK("http://funmeta.oebiotech.com/network/3256", "http://funmeta.oebiotech.com/network/3256")</f>
        <v>http://funmeta.oebiotech.com/network/3256</v>
      </c>
      <c r="H3224" s="2" t="s">
        <v>21446</v>
      </c>
      <c r="I3224" s="2"/>
      <c r="J3224" s="2" t="s">
        <v>21447</v>
      </c>
      <c r="K3224" s="2">
        <v>72665</v>
      </c>
      <c r="L3224" s="2" t="s">
        <v>21448</v>
      </c>
      <c r="M3224" s="2" t="s">
        <v>4579</v>
      </c>
      <c r="N3224" s="2" t="s">
        <v>4580</v>
      </c>
      <c r="O3224" s="2">
        <v>25320870</v>
      </c>
      <c r="P3224" s="2" t="s">
        <v>21449</v>
      </c>
      <c r="Q3224" s="2" t="s">
        <v>21450</v>
      </c>
      <c r="R3224" s="2" t="s">
        <v>21451</v>
      </c>
      <c r="S3224" s="2" t="s">
        <v>50</v>
      </c>
      <c r="T3224" s="2" t="s">
        <v>229</v>
      </c>
      <c r="U3224" s="2" t="s">
        <v>433</v>
      </c>
      <c r="V3224" s="2" t="s">
        <v>42</v>
      </c>
      <c r="W3224" s="2">
        <v>48.8</v>
      </c>
      <c r="X3224" s="2">
        <v>48.6</v>
      </c>
      <c r="Y3224" s="2" t="s">
        <v>118</v>
      </c>
      <c r="Z3224" s="2" t="s">
        <v>2693</v>
      </c>
      <c r="AA3224" s="2">
        <v>-0.112752458596802</v>
      </c>
      <c r="AB3224" s="2">
        <v>0.24039055946361601</v>
      </c>
      <c r="AC3224" s="2">
        <v>16269.080231129101</v>
      </c>
      <c r="AD3224" s="2">
        <v>20722.800519497301</v>
      </c>
      <c r="AE3224" s="2">
        <v>15113.641858386</v>
      </c>
      <c r="AF3224" s="2">
        <v>15782.971613060899</v>
      </c>
      <c r="AG3224" s="2">
        <v>19155.331236462102</v>
      </c>
      <c r="AH3224" s="2">
        <v>16165.609638136801</v>
      </c>
      <c r="AI3224" s="2">
        <v>15933.0141333089</v>
      </c>
      <c r="AJ3224" s="2">
        <v>15463.912907419701</v>
      </c>
      <c r="AK3224" s="2">
        <v>21091.206685395198</v>
      </c>
      <c r="AL3224" s="2">
        <v>20019.846008520799</v>
      </c>
      <c r="AM3224" s="2">
        <v>23467.0573589085</v>
      </c>
      <c r="AN3224" s="2">
        <v>20407.787002524099</v>
      </c>
      <c r="AO3224" s="2">
        <v>20516.615874872499</v>
      </c>
      <c r="AP3224" s="2">
        <v>18834.290186762399</v>
      </c>
    </row>
    <row r="3225" spans="1:42" ht="14.5" x14ac:dyDescent="0.35">
      <c r="A3225" s="2" t="s">
        <v>21452</v>
      </c>
      <c r="B3225" s="2">
        <v>683.52379055743199</v>
      </c>
      <c r="C3225" s="2">
        <v>15.399983333333299</v>
      </c>
      <c r="D3225" s="2" t="s">
        <v>34</v>
      </c>
      <c r="E3225" s="2" t="s">
        <v>21453</v>
      </c>
      <c r="F3225" s="2">
        <v>248906</v>
      </c>
      <c r="G3225" s="3" t="str">
        <f>HYPERLINK("http://funmeta.oebiotech.com/network/248906", "http://funmeta.oebiotech.com/network/248906")</f>
        <v>http://funmeta.oebiotech.com/network/248906</v>
      </c>
      <c r="H3225" s="2" t="s">
        <v>21454</v>
      </c>
      <c r="I3225" s="2"/>
      <c r="J3225" s="2"/>
      <c r="K3225" s="2"/>
      <c r="L3225" s="2"/>
      <c r="M3225" s="2"/>
      <c r="N3225" s="2"/>
      <c r="O3225" s="2"/>
      <c r="P3225" s="2"/>
      <c r="Q3225" s="2" t="s">
        <v>21455</v>
      </c>
      <c r="R3225" s="2" t="s">
        <v>21456</v>
      </c>
      <c r="S3225" s="2" t="s">
        <v>41</v>
      </c>
      <c r="T3225" s="2" t="s">
        <v>41</v>
      </c>
      <c r="U3225" s="2" t="s">
        <v>41</v>
      </c>
      <c r="V3225" s="2" t="s">
        <v>59</v>
      </c>
      <c r="W3225" s="2">
        <v>37.200000000000003</v>
      </c>
      <c r="X3225" s="2">
        <v>0</v>
      </c>
      <c r="Y3225" s="2" t="s">
        <v>323</v>
      </c>
      <c r="Z3225" s="2" t="s">
        <v>21457</v>
      </c>
      <c r="AA3225" s="2">
        <v>2.54317545415479</v>
      </c>
      <c r="AB3225" s="2">
        <v>0.24034749055836899</v>
      </c>
      <c r="AC3225" s="2">
        <v>8162.5738755802004</v>
      </c>
      <c r="AD3225" s="2">
        <v>4298.6257158988101</v>
      </c>
      <c r="AE3225" s="2">
        <v>8654.6004989545108</v>
      </c>
      <c r="AF3225" s="2">
        <v>8034.3327427612603</v>
      </c>
      <c r="AG3225" s="2">
        <v>7980.21726617698</v>
      </c>
      <c r="AH3225" s="2">
        <v>8407.1774681357801</v>
      </c>
      <c r="AI3225" s="2">
        <v>7676.0038657735904</v>
      </c>
      <c r="AJ3225" s="2">
        <v>8223.1114116790595</v>
      </c>
      <c r="AK3225" s="2">
        <v>4154.1832605892696</v>
      </c>
      <c r="AL3225" s="2">
        <v>3988.1896165766302</v>
      </c>
      <c r="AM3225" s="2">
        <v>3787.2652091275099</v>
      </c>
      <c r="AN3225" s="2">
        <v>4016.7734936074999</v>
      </c>
      <c r="AO3225" s="2">
        <v>4708.53239960259</v>
      </c>
      <c r="AP3225" s="2">
        <v>5136.81031588934</v>
      </c>
    </row>
    <row r="3226" spans="1:42" ht="14.5" x14ac:dyDescent="0.35">
      <c r="A3226" s="2" t="s">
        <v>21458</v>
      </c>
      <c r="B3226" s="2">
        <v>787.27828676027798</v>
      </c>
      <c r="C3226" s="2">
        <v>4.96875</v>
      </c>
      <c r="D3226" s="2" t="s">
        <v>70</v>
      </c>
      <c r="E3226" s="2" t="s">
        <v>21459</v>
      </c>
      <c r="F3226" s="2">
        <v>266591</v>
      </c>
      <c r="G3226" s="3" t="str">
        <f>HYPERLINK("http://funmeta.oebiotech.com/network/266591", "http://funmeta.oebiotech.com/network/266591")</f>
        <v>http://funmeta.oebiotech.com/network/266591</v>
      </c>
      <c r="H3226" s="2"/>
      <c r="I3226" s="2">
        <v>43639</v>
      </c>
      <c r="J3226" s="2"/>
      <c r="K3226" s="2"/>
      <c r="L3226" s="2"/>
      <c r="M3226" s="2"/>
      <c r="N3226" s="2"/>
      <c r="O3226" s="2">
        <v>6453092</v>
      </c>
      <c r="P3226" s="2"/>
      <c r="Q3226" s="2" t="s">
        <v>21460</v>
      </c>
      <c r="R3226" s="2" t="s">
        <v>21461</v>
      </c>
      <c r="S3226" s="2" t="s">
        <v>115</v>
      </c>
      <c r="T3226" s="2" t="s">
        <v>1371</v>
      </c>
      <c r="U3226" s="2" t="s">
        <v>10759</v>
      </c>
      <c r="V3226" s="2" t="s">
        <v>59</v>
      </c>
      <c r="W3226" s="2">
        <v>38.299999999999997</v>
      </c>
      <c r="X3226" s="2">
        <v>0</v>
      </c>
      <c r="Y3226" s="2" t="s">
        <v>560</v>
      </c>
      <c r="Z3226" s="2" t="s">
        <v>21462</v>
      </c>
      <c r="AA3226" s="2">
        <v>2.9004122568817601</v>
      </c>
      <c r="AB3226" s="2">
        <v>0.24018488321247899</v>
      </c>
      <c r="AC3226" s="2">
        <v>13195.435134941599</v>
      </c>
      <c r="AD3226" s="2">
        <v>18187.408128821</v>
      </c>
      <c r="AE3226" s="2">
        <v>15554.147368083701</v>
      </c>
      <c r="AF3226" s="2">
        <v>13431.382296019699</v>
      </c>
      <c r="AG3226" s="2">
        <v>14152.982951896</v>
      </c>
      <c r="AH3226" s="2">
        <v>9093.7552075270905</v>
      </c>
      <c r="AI3226" s="2">
        <v>12427.4492950652</v>
      </c>
      <c r="AJ3226" s="2">
        <v>14512.8936910582</v>
      </c>
      <c r="AK3226" s="2">
        <v>20322.611275483501</v>
      </c>
      <c r="AL3226" s="2">
        <v>16297.1419041014</v>
      </c>
      <c r="AM3226" s="2">
        <v>21663.939496211999</v>
      </c>
      <c r="AN3226" s="2">
        <v>18456.793234837802</v>
      </c>
      <c r="AO3226" s="2">
        <v>15547.230718192401</v>
      </c>
      <c r="AP3226" s="2">
        <v>16836.7321440987</v>
      </c>
    </row>
    <row r="3227" spans="1:42" ht="14.5" x14ac:dyDescent="0.35">
      <c r="A3227" s="2" t="s">
        <v>21463</v>
      </c>
      <c r="B3227" s="2">
        <v>709.22991075064203</v>
      </c>
      <c r="C3227" s="2">
        <v>3.6167500000000001</v>
      </c>
      <c r="D3227" s="2" t="s">
        <v>70</v>
      </c>
      <c r="E3227" s="2" t="s">
        <v>21464</v>
      </c>
      <c r="F3227" s="2">
        <v>274562</v>
      </c>
      <c r="G3227" s="3" t="str">
        <f>HYPERLINK("http://funmeta.oebiotech.com/network/274562", "http://funmeta.oebiotech.com/network/274562")</f>
        <v>http://funmeta.oebiotech.com/network/274562</v>
      </c>
      <c r="H3227" s="2"/>
      <c r="I3227" s="2">
        <v>64628</v>
      </c>
      <c r="J3227" s="2"/>
      <c r="K3227" s="2"/>
      <c r="L3227" s="2"/>
      <c r="M3227" s="2"/>
      <c r="N3227" s="2"/>
      <c r="O3227" s="2">
        <v>9924775</v>
      </c>
      <c r="P3227" s="2" t="s">
        <v>21465</v>
      </c>
      <c r="Q3227" s="2" t="s">
        <v>21466</v>
      </c>
      <c r="R3227" s="2" t="s">
        <v>21467</v>
      </c>
      <c r="S3227" s="2" t="s">
        <v>148</v>
      </c>
      <c r="T3227" s="2" t="s">
        <v>149</v>
      </c>
      <c r="U3227" s="2" t="s">
        <v>6726</v>
      </c>
      <c r="V3227" s="2" t="s">
        <v>59</v>
      </c>
      <c r="W3227" s="2">
        <v>37.4</v>
      </c>
      <c r="X3227" s="2">
        <v>0</v>
      </c>
      <c r="Y3227" s="2" t="s">
        <v>560</v>
      </c>
      <c r="Z3227" s="2" t="s">
        <v>21468</v>
      </c>
      <c r="AA3227" s="2">
        <v>4.99253718102094</v>
      </c>
      <c r="AB3227" s="2">
        <v>0.240166979530376</v>
      </c>
      <c r="AC3227" s="2">
        <v>4137.4493841953299</v>
      </c>
      <c r="AD3227" s="2">
        <v>7982.3045607111899</v>
      </c>
      <c r="AE3227" s="2">
        <v>3948.4260930488499</v>
      </c>
      <c r="AF3227" s="2">
        <v>3572.7293013992498</v>
      </c>
      <c r="AG3227" s="2">
        <v>4332.9669270672302</v>
      </c>
      <c r="AH3227" s="2">
        <v>3947.00666932183</v>
      </c>
      <c r="AI3227" s="2">
        <v>4691.11011539013</v>
      </c>
      <c r="AJ3227" s="2">
        <v>4332.4571989446704</v>
      </c>
      <c r="AK3227" s="2">
        <v>8468.00567036965</v>
      </c>
      <c r="AL3227" s="2">
        <v>7566.3304537643398</v>
      </c>
      <c r="AM3227" s="2">
        <v>7533.3159873382601</v>
      </c>
      <c r="AN3227" s="2">
        <v>8124.9226723146803</v>
      </c>
      <c r="AO3227" s="2">
        <v>8427.9885659926604</v>
      </c>
      <c r="AP3227" s="2">
        <v>7773.2640144875704</v>
      </c>
    </row>
    <row r="3228" spans="1:42" ht="14.5" x14ac:dyDescent="0.35">
      <c r="A3228" s="2" t="s">
        <v>21469</v>
      </c>
      <c r="B3228" s="2">
        <v>249.18240132832599</v>
      </c>
      <c r="C3228" s="2">
        <v>9.8048666666666708</v>
      </c>
      <c r="D3228" s="2" t="s">
        <v>34</v>
      </c>
      <c r="E3228" s="2" t="s">
        <v>21470</v>
      </c>
      <c r="F3228" s="2">
        <v>1323</v>
      </c>
      <c r="G3228" s="3" t="str">
        <f>HYPERLINK("http://funmeta.oebiotech.com/network/1323", "http://funmeta.oebiotech.com/network/1323")</f>
        <v>http://funmeta.oebiotech.com/network/1323</v>
      </c>
      <c r="H3228" s="2" t="s">
        <v>21471</v>
      </c>
      <c r="I3228" s="2">
        <v>96769</v>
      </c>
      <c r="J3228" s="2" t="s">
        <v>21472</v>
      </c>
      <c r="K3228" s="2">
        <v>89393</v>
      </c>
      <c r="L3228" s="2"/>
      <c r="M3228" s="2"/>
      <c r="N3228" s="2"/>
      <c r="O3228" s="2">
        <v>5282740</v>
      </c>
      <c r="P3228" s="2" t="s">
        <v>21473</v>
      </c>
      <c r="Q3228" s="2" t="s">
        <v>21474</v>
      </c>
      <c r="R3228" s="2" t="s">
        <v>21475</v>
      </c>
      <c r="S3228" s="2" t="s">
        <v>50</v>
      </c>
      <c r="T3228" s="2" t="s">
        <v>229</v>
      </c>
      <c r="U3228" s="2" t="s">
        <v>433</v>
      </c>
      <c r="V3228" s="2" t="s">
        <v>59</v>
      </c>
      <c r="W3228" s="2">
        <v>39.1</v>
      </c>
      <c r="X3228" s="2">
        <v>8.59</v>
      </c>
      <c r="Y3228" s="2" t="s">
        <v>323</v>
      </c>
      <c r="Z3228" s="2" t="s">
        <v>19651</v>
      </c>
      <c r="AA3228" s="2">
        <v>-0.43955600437173098</v>
      </c>
      <c r="AB3228" s="2">
        <v>0.24010528801349301</v>
      </c>
      <c r="AC3228" s="2">
        <v>19199.368286735102</v>
      </c>
      <c r="AD3228" s="2">
        <v>24181.580306753101</v>
      </c>
      <c r="AE3228" s="2">
        <v>18302.010894064799</v>
      </c>
      <c r="AF3228" s="2">
        <v>21031.169669344901</v>
      </c>
      <c r="AG3228" s="2">
        <v>20200.775467285199</v>
      </c>
      <c r="AH3228" s="2">
        <v>18091.937989888898</v>
      </c>
      <c r="AI3228" s="2">
        <v>18805.879233717798</v>
      </c>
      <c r="AJ3228" s="2">
        <v>18764.4364661092</v>
      </c>
      <c r="AK3228" s="2">
        <v>26985.014293433898</v>
      </c>
      <c r="AL3228" s="2">
        <v>22465.450615845701</v>
      </c>
      <c r="AM3228" s="2">
        <v>21164.500399311899</v>
      </c>
      <c r="AN3228" s="2">
        <v>24090.770401945701</v>
      </c>
      <c r="AO3228" s="2">
        <v>28761.655448650701</v>
      </c>
      <c r="AP3228" s="2">
        <v>21622.090681330399</v>
      </c>
    </row>
    <row r="3229" spans="1:42" ht="14.5" x14ac:dyDescent="0.35">
      <c r="A3229" s="2" t="s">
        <v>21476</v>
      </c>
      <c r="B3229" s="2">
        <v>217.11959276257201</v>
      </c>
      <c r="C3229" s="2">
        <v>7.2058833333333299</v>
      </c>
      <c r="D3229" s="2" t="s">
        <v>34</v>
      </c>
      <c r="E3229" s="2" t="s">
        <v>21477</v>
      </c>
      <c r="F3229" s="2">
        <v>255562</v>
      </c>
      <c r="G3229" s="3" t="str">
        <f>HYPERLINK("http://funmeta.oebiotech.com/network/255562", "http://funmeta.oebiotech.com/network/255562")</f>
        <v>http://funmeta.oebiotech.com/network/255562</v>
      </c>
      <c r="H3229" s="2" t="s">
        <v>21478</v>
      </c>
      <c r="I3229" s="2">
        <v>835509</v>
      </c>
      <c r="J3229" s="2"/>
      <c r="K3229" s="2"/>
      <c r="L3229" s="2"/>
      <c r="M3229" s="2"/>
      <c r="N3229" s="2"/>
      <c r="O3229" s="2">
        <v>54225634</v>
      </c>
      <c r="P3229" s="2"/>
      <c r="Q3229" s="2" t="s">
        <v>21479</v>
      </c>
      <c r="R3229" s="2" t="s">
        <v>21480</v>
      </c>
      <c r="S3229" s="2" t="s">
        <v>50</v>
      </c>
      <c r="T3229" s="2" t="s">
        <v>229</v>
      </c>
      <c r="U3229" s="2" t="s">
        <v>433</v>
      </c>
      <c r="V3229" s="2" t="s">
        <v>59</v>
      </c>
      <c r="W3229" s="2">
        <v>39.5</v>
      </c>
      <c r="X3229" s="2">
        <v>4.79</v>
      </c>
      <c r="Y3229" s="2" t="s">
        <v>1115</v>
      </c>
      <c r="Z3229" s="2" t="s">
        <v>21481</v>
      </c>
      <c r="AA3229" s="2">
        <v>-1.5851889462506401</v>
      </c>
      <c r="AB3229" s="2">
        <v>0.24000180208564101</v>
      </c>
      <c r="AC3229" s="2">
        <v>17830.605819011202</v>
      </c>
      <c r="AD3229" s="2">
        <v>13654.3498622188</v>
      </c>
      <c r="AE3229" s="2">
        <v>18105.766086580701</v>
      </c>
      <c r="AF3229" s="2">
        <v>18777.4941126794</v>
      </c>
      <c r="AG3229" s="2">
        <v>17088.829311290599</v>
      </c>
      <c r="AH3229" s="2">
        <v>17482.158160017399</v>
      </c>
      <c r="AI3229" s="2">
        <v>17525.733169472602</v>
      </c>
      <c r="AJ3229" s="2">
        <v>18003.654074026501</v>
      </c>
      <c r="AK3229" s="2">
        <v>15970.8825324687</v>
      </c>
      <c r="AL3229" s="2">
        <v>14312.505725139201</v>
      </c>
      <c r="AM3229" s="2">
        <v>11988.392669753201</v>
      </c>
      <c r="AN3229" s="2">
        <v>14064.9672847702</v>
      </c>
      <c r="AO3229" s="2">
        <v>12859.418784143099</v>
      </c>
      <c r="AP3229" s="2">
        <v>12729.932177038199</v>
      </c>
    </row>
    <row r="3230" spans="1:42" ht="14.5" x14ac:dyDescent="0.35">
      <c r="A3230" s="2" t="s">
        <v>21482</v>
      </c>
      <c r="B3230" s="2">
        <v>174.18516995554401</v>
      </c>
      <c r="C3230" s="2">
        <v>5.3519166666666704</v>
      </c>
      <c r="D3230" s="2" t="s">
        <v>34</v>
      </c>
      <c r="E3230" s="2" t="s">
        <v>21483</v>
      </c>
      <c r="F3230" s="2">
        <v>35349</v>
      </c>
      <c r="G3230" s="3" t="str">
        <f>HYPERLINK("http://funmeta.oebiotech.com/network/35349", "http://funmeta.oebiotech.com/network/35349")</f>
        <v>http://funmeta.oebiotech.com/network/35349</v>
      </c>
      <c r="H3230" s="2" t="s">
        <v>21484</v>
      </c>
      <c r="I3230" s="2">
        <v>41062</v>
      </c>
      <c r="J3230" s="2" t="s">
        <v>21485</v>
      </c>
      <c r="K3230" s="2">
        <v>15409</v>
      </c>
      <c r="L3230" s="2" t="s">
        <v>21486</v>
      </c>
      <c r="M3230" s="2" t="s">
        <v>21487</v>
      </c>
      <c r="N3230" s="2" t="s">
        <v>21488</v>
      </c>
      <c r="O3230" s="2">
        <v>16666</v>
      </c>
      <c r="P3230" s="2" t="s">
        <v>21489</v>
      </c>
      <c r="Q3230" s="2" t="s">
        <v>21490</v>
      </c>
      <c r="R3230" s="2" t="s">
        <v>21491</v>
      </c>
      <c r="S3230" s="2" t="s">
        <v>50</v>
      </c>
      <c r="T3230" s="2" t="s">
        <v>201</v>
      </c>
      <c r="U3230" s="2" t="s">
        <v>265</v>
      </c>
      <c r="V3230" s="2" t="s">
        <v>59</v>
      </c>
      <c r="W3230" s="2">
        <v>41.9</v>
      </c>
      <c r="X3230" s="2">
        <v>11.9</v>
      </c>
      <c r="Y3230" s="2" t="s">
        <v>43</v>
      </c>
      <c r="Z3230" s="2" t="s">
        <v>21492</v>
      </c>
      <c r="AA3230" s="2">
        <v>-0.453632880840246</v>
      </c>
      <c r="AB3230" s="2">
        <v>0.23991679385695699</v>
      </c>
      <c r="AC3230" s="2">
        <v>38093.186063813497</v>
      </c>
      <c r="AD3230" s="2">
        <v>44232.0320138307</v>
      </c>
      <c r="AE3230" s="2">
        <v>38011.356801334099</v>
      </c>
      <c r="AF3230" s="2">
        <v>32412.5500106002</v>
      </c>
      <c r="AG3230" s="2">
        <v>37807.797917417804</v>
      </c>
      <c r="AH3230" s="2">
        <v>35153.942998825303</v>
      </c>
      <c r="AI3230" s="2">
        <v>43155.7919357871</v>
      </c>
      <c r="AJ3230" s="2">
        <v>42017.676718916598</v>
      </c>
      <c r="AK3230" s="2">
        <v>39186.470656266603</v>
      </c>
      <c r="AL3230" s="2">
        <v>51513.204541829298</v>
      </c>
      <c r="AM3230" s="2">
        <v>43452.665442218698</v>
      </c>
      <c r="AN3230" s="2">
        <v>43544.777247423503</v>
      </c>
      <c r="AO3230" s="2">
        <v>40106.456471781901</v>
      </c>
      <c r="AP3230" s="2">
        <v>47588.6177234641</v>
      </c>
    </row>
    <row r="3231" spans="1:42" ht="14.5" x14ac:dyDescent="0.35">
      <c r="A3231" s="2" t="s">
        <v>21493</v>
      </c>
      <c r="B3231" s="2">
        <v>573.27096215428105</v>
      </c>
      <c r="C3231" s="2">
        <v>6.1797833333333303</v>
      </c>
      <c r="D3231" s="2" t="s">
        <v>70</v>
      </c>
      <c r="E3231" s="2" t="s">
        <v>21494</v>
      </c>
      <c r="F3231" s="2">
        <v>257195</v>
      </c>
      <c r="G3231" s="3" t="str">
        <f>HYPERLINK("http://funmeta.oebiotech.com/network/257195", "http://funmeta.oebiotech.com/network/257195")</f>
        <v>http://funmeta.oebiotech.com/network/257195</v>
      </c>
      <c r="H3231" s="2" t="s">
        <v>21495</v>
      </c>
      <c r="I3231" s="2"/>
      <c r="J3231" s="2"/>
      <c r="K3231" s="2"/>
      <c r="L3231" s="2"/>
      <c r="M3231" s="2"/>
      <c r="N3231" s="2"/>
      <c r="O3231" s="2"/>
      <c r="P3231" s="2"/>
      <c r="Q3231" s="2" t="s">
        <v>21496</v>
      </c>
      <c r="R3231" s="2" t="s">
        <v>21497</v>
      </c>
      <c r="S3231" s="2" t="s">
        <v>89</v>
      </c>
      <c r="T3231" s="2" t="s">
        <v>90</v>
      </c>
      <c r="U3231" s="2" t="s">
        <v>99</v>
      </c>
      <c r="V3231" s="2" t="s">
        <v>59</v>
      </c>
      <c r="W3231" s="2">
        <v>39.1</v>
      </c>
      <c r="X3231" s="2">
        <v>4.57</v>
      </c>
      <c r="Y3231" s="2" t="s">
        <v>560</v>
      </c>
      <c r="Z3231" s="2" t="s">
        <v>21498</v>
      </c>
      <c r="AA3231" s="2">
        <v>-1.56085931858853</v>
      </c>
      <c r="AB3231" s="2">
        <v>0.23968035587456399</v>
      </c>
      <c r="AC3231" s="2">
        <v>12757.7127308912</v>
      </c>
      <c r="AD3231" s="2">
        <v>8443.9175527850002</v>
      </c>
      <c r="AE3231" s="2">
        <v>10446.7491866607</v>
      </c>
      <c r="AF3231" s="2">
        <v>13552.460013284701</v>
      </c>
      <c r="AG3231" s="2">
        <v>13926.501927203601</v>
      </c>
      <c r="AH3231" s="2">
        <v>13913.008969360801</v>
      </c>
      <c r="AI3231" s="2">
        <v>10680.915739972501</v>
      </c>
      <c r="AJ3231" s="2">
        <v>14026.6405488651</v>
      </c>
      <c r="AK3231" s="2">
        <v>7533.0908642844497</v>
      </c>
      <c r="AL3231" s="2">
        <v>8327.3959573389602</v>
      </c>
      <c r="AM3231" s="2">
        <v>8972.1796395779402</v>
      </c>
      <c r="AN3231" s="2">
        <v>8220.0230308594691</v>
      </c>
      <c r="AO3231" s="2">
        <v>7770.0641253495996</v>
      </c>
      <c r="AP3231" s="2">
        <v>9840.7516992995606</v>
      </c>
    </row>
    <row r="3232" spans="1:42" ht="14.5" x14ac:dyDescent="0.35">
      <c r="A3232" s="2" t="s">
        <v>21499</v>
      </c>
      <c r="B3232" s="2">
        <v>547.23919008818496</v>
      </c>
      <c r="C3232" s="2">
        <v>4.3640166666666698</v>
      </c>
      <c r="D3232" s="2" t="s">
        <v>70</v>
      </c>
      <c r="E3232" s="2" t="s">
        <v>21500</v>
      </c>
      <c r="F3232" s="2">
        <v>63815</v>
      </c>
      <c r="G3232" s="3" t="str">
        <f>HYPERLINK("http://funmeta.oebiotech.com/network/63815", "http://funmeta.oebiotech.com/network/63815")</f>
        <v>http://funmeta.oebiotech.com/network/63815</v>
      </c>
      <c r="H3232" s="2" t="s">
        <v>21501</v>
      </c>
      <c r="I3232" s="2">
        <v>95150</v>
      </c>
      <c r="J3232" s="2"/>
      <c r="K3232" s="2">
        <v>168496</v>
      </c>
      <c r="L3232" s="2"/>
      <c r="M3232" s="2"/>
      <c r="N3232" s="2"/>
      <c r="O3232" s="2">
        <v>131752900</v>
      </c>
      <c r="P3232" s="2" t="s">
        <v>21502</v>
      </c>
      <c r="Q3232" s="2" t="s">
        <v>21503</v>
      </c>
      <c r="R3232" s="2" t="s">
        <v>21504</v>
      </c>
      <c r="S3232" s="2" t="s">
        <v>50</v>
      </c>
      <c r="T3232" s="2" t="s">
        <v>229</v>
      </c>
      <c r="U3232" s="2" t="s">
        <v>230</v>
      </c>
      <c r="V3232" s="2" t="s">
        <v>42</v>
      </c>
      <c r="W3232" s="2">
        <v>44.6</v>
      </c>
      <c r="X3232" s="2">
        <v>48.6</v>
      </c>
      <c r="Y3232" s="2" t="s">
        <v>408</v>
      </c>
      <c r="Z3232" s="2" t="s">
        <v>21505</v>
      </c>
      <c r="AA3232" s="2">
        <v>-0.84583951961918502</v>
      </c>
      <c r="AB3232" s="2">
        <v>0.23967057058011501</v>
      </c>
      <c r="AC3232" s="2">
        <v>147443.99283425201</v>
      </c>
      <c r="AD3232" s="2">
        <v>140478.008788287</v>
      </c>
      <c r="AE3232" s="2">
        <v>145028.91195181201</v>
      </c>
      <c r="AF3232" s="2">
        <v>152085.462466041</v>
      </c>
      <c r="AG3232" s="2">
        <v>146943.59329468699</v>
      </c>
      <c r="AH3232" s="2">
        <v>151819.54826051201</v>
      </c>
      <c r="AI3232" s="2">
        <v>135720.604414859</v>
      </c>
      <c r="AJ3232" s="2">
        <v>153065.8366176</v>
      </c>
      <c r="AK3232" s="2">
        <v>142354.584601696</v>
      </c>
      <c r="AL3232" s="2">
        <v>143363.24594537</v>
      </c>
      <c r="AM3232" s="2">
        <v>140784.479097009</v>
      </c>
      <c r="AN3232" s="2">
        <v>147933.381152488</v>
      </c>
      <c r="AO3232" s="2">
        <v>132014.26044804501</v>
      </c>
      <c r="AP3232" s="2">
        <v>136418.101485113</v>
      </c>
    </row>
    <row r="3233" spans="1:42" ht="14.5" x14ac:dyDescent="0.35">
      <c r="A3233" s="2" t="s">
        <v>21506</v>
      </c>
      <c r="B3233" s="2">
        <v>463.08809732228701</v>
      </c>
      <c r="C3233" s="2">
        <v>3.7118500000000001</v>
      </c>
      <c r="D3233" s="2" t="s">
        <v>70</v>
      </c>
      <c r="E3233" s="2" t="s">
        <v>21507</v>
      </c>
      <c r="F3233" s="2">
        <v>54236</v>
      </c>
      <c r="G3233" s="3" t="str">
        <f>HYPERLINK("http://funmeta.oebiotech.com/network/54236", "http://funmeta.oebiotech.com/network/54236")</f>
        <v>http://funmeta.oebiotech.com/network/54236</v>
      </c>
      <c r="H3233" s="2" t="s">
        <v>21508</v>
      </c>
      <c r="I3233" s="2"/>
      <c r="J3233" s="2"/>
      <c r="K3233" s="2"/>
      <c r="L3233" s="2"/>
      <c r="M3233" s="2"/>
      <c r="N3233" s="2"/>
      <c r="O3233" s="2">
        <v>102421333</v>
      </c>
      <c r="P3233" s="2"/>
      <c r="Q3233" s="2" t="s">
        <v>21509</v>
      </c>
      <c r="R3233" s="2" t="s">
        <v>21510</v>
      </c>
      <c r="S3233" s="2" t="s">
        <v>115</v>
      </c>
      <c r="T3233" s="2" t="s">
        <v>139</v>
      </c>
      <c r="U3233" s="2" t="s">
        <v>140</v>
      </c>
      <c r="V3233" s="2" t="s">
        <v>59</v>
      </c>
      <c r="W3233" s="2">
        <v>38.799999999999997</v>
      </c>
      <c r="X3233" s="2">
        <v>0</v>
      </c>
      <c r="Y3233" s="2" t="s">
        <v>408</v>
      </c>
      <c r="Z3233" s="2" t="s">
        <v>21511</v>
      </c>
      <c r="AA3233" s="2">
        <v>-0.24473336908169799</v>
      </c>
      <c r="AB3233" s="2">
        <v>0.23950061038614101</v>
      </c>
      <c r="AC3233" s="2">
        <v>12138.8566962602</v>
      </c>
      <c r="AD3233" s="2">
        <v>8022.1188767654703</v>
      </c>
      <c r="AE3233" s="2">
        <v>12273.243817070599</v>
      </c>
      <c r="AF3233" s="2">
        <v>13103.0934703531</v>
      </c>
      <c r="AG3233" s="2">
        <v>11129.9627401538</v>
      </c>
      <c r="AH3233" s="2">
        <v>12814.0080511999</v>
      </c>
      <c r="AI3233" s="2">
        <v>12888.7693671082</v>
      </c>
      <c r="AJ3233" s="2">
        <v>10624.0627316758</v>
      </c>
      <c r="AK3233" s="2">
        <v>7639.5489280012998</v>
      </c>
      <c r="AL3233" s="2">
        <v>8759.8601205855102</v>
      </c>
      <c r="AM3233" s="2">
        <v>7822.0397542159399</v>
      </c>
      <c r="AN3233" s="2">
        <v>6900.5947988120797</v>
      </c>
      <c r="AO3233" s="2">
        <v>7440.3121798639404</v>
      </c>
      <c r="AP3233" s="2">
        <v>9570.3574791140709</v>
      </c>
    </row>
    <row r="3234" spans="1:42" ht="14.5" x14ac:dyDescent="0.35">
      <c r="A3234" s="2" t="s">
        <v>21512</v>
      </c>
      <c r="B3234" s="2">
        <v>407.20603688014398</v>
      </c>
      <c r="C3234" s="2">
        <v>5.6059000000000001</v>
      </c>
      <c r="D3234" s="2" t="s">
        <v>34</v>
      </c>
      <c r="E3234" s="2" t="s">
        <v>21513</v>
      </c>
      <c r="F3234" s="2">
        <v>35301</v>
      </c>
      <c r="G3234" s="3" t="str">
        <f>HYPERLINK("http://funmeta.oebiotech.com/network/35301", "http://funmeta.oebiotech.com/network/35301")</f>
        <v>http://funmeta.oebiotech.com/network/35301</v>
      </c>
      <c r="H3234" s="2"/>
      <c r="I3234" s="2">
        <v>41153</v>
      </c>
      <c r="J3234" s="2" t="s">
        <v>21514</v>
      </c>
      <c r="K3234" s="2">
        <v>4517</v>
      </c>
      <c r="L3234" s="2" t="s">
        <v>21515</v>
      </c>
      <c r="M3234" s="2"/>
      <c r="N3234" s="2"/>
      <c r="O3234" s="2">
        <v>65689</v>
      </c>
      <c r="P3234" s="2"/>
      <c r="Q3234" s="2" t="s">
        <v>21516</v>
      </c>
      <c r="R3234" s="2" t="s">
        <v>21517</v>
      </c>
      <c r="S3234" s="2" t="s">
        <v>50</v>
      </c>
      <c r="T3234" s="2" t="s">
        <v>201</v>
      </c>
      <c r="U3234" s="2" t="s">
        <v>265</v>
      </c>
      <c r="V3234" s="2" t="s">
        <v>59</v>
      </c>
      <c r="W3234" s="2">
        <v>37.9</v>
      </c>
      <c r="X3234" s="2">
        <v>0</v>
      </c>
      <c r="Y3234" s="2" t="s">
        <v>141</v>
      </c>
      <c r="Z3234" s="2" t="s">
        <v>2436</v>
      </c>
      <c r="AA3234" s="2">
        <v>-0.92608103916565299</v>
      </c>
      <c r="AB3234" s="2">
        <v>0.239488525338754</v>
      </c>
      <c r="AC3234" s="2">
        <v>74682.379983923907</v>
      </c>
      <c r="AD3234" s="2">
        <v>68367.107285139195</v>
      </c>
      <c r="AE3234" s="2">
        <v>77906.683973878302</v>
      </c>
      <c r="AF3234" s="2">
        <v>72588.283922732095</v>
      </c>
      <c r="AG3234" s="2">
        <v>76166.1238770973</v>
      </c>
      <c r="AH3234" s="2">
        <v>68868.525144186104</v>
      </c>
      <c r="AI3234" s="2">
        <v>70869.166109965096</v>
      </c>
      <c r="AJ3234" s="2">
        <v>81695.496875684694</v>
      </c>
      <c r="AK3234" s="2">
        <v>60930.905732477098</v>
      </c>
      <c r="AL3234" s="2">
        <v>67086.342036126007</v>
      </c>
      <c r="AM3234" s="2">
        <v>75044.9719343326</v>
      </c>
      <c r="AN3234" s="2">
        <v>69859.004406744803</v>
      </c>
      <c r="AO3234" s="2">
        <v>68153.154235181602</v>
      </c>
      <c r="AP3234" s="2">
        <v>69128.265365972795</v>
      </c>
    </row>
    <row r="3235" spans="1:42" ht="14.5" x14ac:dyDescent="0.35">
      <c r="A3235" s="2" t="s">
        <v>21518</v>
      </c>
      <c r="B3235" s="2">
        <v>370.15081568141602</v>
      </c>
      <c r="C3235" s="2">
        <v>1.50383333333333</v>
      </c>
      <c r="D3235" s="2" t="s">
        <v>70</v>
      </c>
      <c r="E3235" s="2" t="s">
        <v>21519</v>
      </c>
      <c r="F3235" s="2">
        <v>200131</v>
      </c>
      <c r="G3235" s="3" t="str">
        <f>HYPERLINK("http://funmeta.oebiotech.com/network/200131", "http://funmeta.oebiotech.com/network/200131")</f>
        <v>http://funmeta.oebiotech.com/network/200131</v>
      </c>
      <c r="H3235" s="2" t="s">
        <v>21520</v>
      </c>
      <c r="I3235" s="2"/>
      <c r="J3235" s="2"/>
      <c r="K3235" s="2"/>
      <c r="L3235" s="2"/>
      <c r="M3235" s="2"/>
      <c r="N3235" s="2"/>
      <c r="O3235" s="2">
        <v>74835106</v>
      </c>
      <c r="P3235" s="2"/>
      <c r="Q3235" s="2" t="s">
        <v>21521</v>
      </c>
      <c r="R3235" s="2" t="s">
        <v>21522</v>
      </c>
      <c r="S3235" s="2" t="s">
        <v>41</v>
      </c>
      <c r="T3235" s="2" t="s">
        <v>41</v>
      </c>
      <c r="U3235" s="2" t="s">
        <v>41</v>
      </c>
      <c r="V3235" s="2" t="s">
        <v>59</v>
      </c>
      <c r="W3235" s="2">
        <v>46.7</v>
      </c>
      <c r="X3235" s="2">
        <v>37.799999999999997</v>
      </c>
      <c r="Y3235" s="2" t="s">
        <v>118</v>
      </c>
      <c r="Z3235" s="2" t="s">
        <v>21523</v>
      </c>
      <c r="AA3235" s="2">
        <v>0.203014301871622</v>
      </c>
      <c r="AB3235" s="2">
        <v>0.23948144715856501</v>
      </c>
      <c r="AC3235" s="2">
        <v>6030.1621945795396</v>
      </c>
      <c r="AD3235" s="2">
        <v>10111.8664166983</v>
      </c>
      <c r="AE3235" s="2">
        <v>6236.5732684613604</v>
      </c>
      <c r="AF3235" s="2">
        <v>6286.7033447963704</v>
      </c>
      <c r="AG3235" s="2">
        <v>5887.7145133034101</v>
      </c>
      <c r="AH3235" s="2">
        <v>5517.5007664387203</v>
      </c>
      <c r="AI3235" s="2">
        <v>6107.1756929162202</v>
      </c>
      <c r="AJ3235" s="2">
        <v>6145.3055815611797</v>
      </c>
      <c r="AK3235" s="2">
        <v>8570.8667914831094</v>
      </c>
      <c r="AL3235" s="2">
        <v>9591.0446981301102</v>
      </c>
      <c r="AM3235" s="2">
        <v>8774.0770190880903</v>
      </c>
      <c r="AN3235" s="2">
        <v>10985.9604708811</v>
      </c>
      <c r="AO3235" s="2">
        <v>11695.986522195601</v>
      </c>
      <c r="AP3235" s="2">
        <v>11053.262998411599</v>
      </c>
    </row>
    <row r="3236" spans="1:42" ht="14.5" x14ac:dyDescent="0.35">
      <c r="A3236" s="2" t="s">
        <v>21524</v>
      </c>
      <c r="B3236" s="2">
        <v>147.02873997464101</v>
      </c>
      <c r="C3236" s="2">
        <v>1.22268333333333</v>
      </c>
      <c r="D3236" s="2" t="s">
        <v>70</v>
      </c>
      <c r="E3236" s="2" t="s">
        <v>21525</v>
      </c>
      <c r="F3236" s="2">
        <v>255745</v>
      </c>
      <c r="G3236" s="3" t="str">
        <f>HYPERLINK("http://funmeta.oebiotech.com/network/255745", "http://funmeta.oebiotech.com/network/255745")</f>
        <v>http://funmeta.oebiotech.com/network/255745</v>
      </c>
      <c r="H3236" s="2" t="s">
        <v>21526</v>
      </c>
      <c r="I3236" s="2">
        <v>3272</v>
      </c>
      <c r="J3236" s="2"/>
      <c r="K3236" s="2">
        <v>16292</v>
      </c>
      <c r="L3236" s="2" t="s">
        <v>21527</v>
      </c>
      <c r="M3236" s="2" t="s">
        <v>16728</v>
      </c>
      <c r="N3236" s="2" t="s">
        <v>16729</v>
      </c>
      <c r="O3236" s="2">
        <v>17723</v>
      </c>
      <c r="P3236" s="2" t="s">
        <v>21528</v>
      </c>
      <c r="Q3236" s="2" t="s">
        <v>21529</v>
      </c>
      <c r="R3236" s="2" t="s">
        <v>21530</v>
      </c>
      <c r="S3236" s="2" t="s">
        <v>79</v>
      </c>
      <c r="T3236" s="2" t="s">
        <v>80</v>
      </c>
      <c r="U3236" s="2" t="s">
        <v>81</v>
      </c>
      <c r="V3236" s="2" t="s">
        <v>59</v>
      </c>
      <c r="W3236" s="2">
        <v>44.7</v>
      </c>
      <c r="X3236" s="2">
        <v>34.299999999999997</v>
      </c>
      <c r="Y3236" s="2" t="s">
        <v>118</v>
      </c>
      <c r="Z3236" s="2" t="s">
        <v>14495</v>
      </c>
      <c r="AA3236" s="2">
        <v>-7.8152513535750403</v>
      </c>
      <c r="AB3236" s="2">
        <v>0.23937442922739299</v>
      </c>
      <c r="AC3236" s="2">
        <v>9634.4295117627007</v>
      </c>
      <c r="AD3236" s="2">
        <v>5825.61530536995</v>
      </c>
      <c r="AE3236" s="2">
        <v>9873.1335618437406</v>
      </c>
      <c r="AF3236" s="2">
        <v>9547.4345607617706</v>
      </c>
      <c r="AG3236" s="2">
        <v>9553.3998372836195</v>
      </c>
      <c r="AH3236" s="2">
        <v>9486.6466341086598</v>
      </c>
      <c r="AI3236" s="2">
        <v>9433.3059422093193</v>
      </c>
      <c r="AJ3236" s="2">
        <v>9912.65653436912</v>
      </c>
      <c r="AK3236" s="2">
        <v>5704.5139128893497</v>
      </c>
      <c r="AL3236" s="2">
        <v>5769.2662397848198</v>
      </c>
      <c r="AM3236" s="2">
        <v>5096.5382057392899</v>
      </c>
      <c r="AN3236" s="2">
        <v>6122.0704964136403</v>
      </c>
      <c r="AO3236" s="2">
        <v>5832.8402175642996</v>
      </c>
      <c r="AP3236" s="2">
        <v>6428.4627598283196</v>
      </c>
    </row>
    <row r="3237" spans="1:42" ht="14.5" x14ac:dyDescent="0.35">
      <c r="A3237" s="2" t="s">
        <v>21531</v>
      </c>
      <c r="B3237" s="2">
        <v>291.13355967316897</v>
      </c>
      <c r="C3237" s="2">
        <v>4.0024166666666696</v>
      </c>
      <c r="D3237" s="2" t="s">
        <v>34</v>
      </c>
      <c r="E3237" s="2" t="s">
        <v>21532</v>
      </c>
      <c r="F3237" s="2">
        <v>47147</v>
      </c>
      <c r="G3237" s="3" t="str">
        <f>HYPERLINK("http://funmeta.oebiotech.com/network/47147", "http://funmeta.oebiotech.com/network/47147")</f>
        <v>http://funmeta.oebiotech.com/network/47147</v>
      </c>
      <c r="H3237" s="2" t="s">
        <v>21533</v>
      </c>
      <c r="I3237" s="2">
        <v>5637</v>
      </c>
      <c r="J3237" s="2"/>
      <c r="K3237" s="2">
        <v>30662</v>
      </c>
      <c r="L3237" s="2"/>
      <c r="M3237" s="2"/>
      <c r="N3237" s="2"/>
      <c r="O3237" s="2">
        <v>5461103</v>
      </c>
      <c r="P3237" s="2" t="s">
        <v>21534</v>
      </c>
      <c r="Q3237" s="2" t="s">
        <v>21535</v>
      </c>
      <c r="R3237" s="2" t="s">
        <v>21536</v>
      </c>
      <c r="S3237" s="2" t="s">
        <v>89</v>
      </c>
      <c r="T3237" s="2" t="s">
        <v>90</v>
      </c>
      <c r="U3237" s="2" t="s">
        <v>99</v>
      </c>
      <c r="V3237" s="2" t="s">
        <v>59</v>
      </c>
      <c r="W3237" s="2">
        <v>41.5</v>
      </c>
      <c r="X3237" s="2">
        <v>12.5</v>
      </c>
      <c r="Y3237" s="2" t="s">
        <v>43</v>
      </c>
      <c r="Z3237" s="2" t="s">
        <v>21537</v>
      </c>
      <c r="AA3237" s="2">
        <v>-1.36880546630227</v>
      </c>
      <c r="AB3237" s="2">
        <v>0.23924642893544201</v>
      </c>
      <c r="AC3237" s="2">
        <v>12254.880563774401</v>
      </c>
      <c r="AD3237" s="2">
        <v>17003.846924482401</v>
      </c>
      <c r="AE3237" s="2">
        <v>12253.409517074801</v>
      </c>
      <c r="AF3237" s="2">
        <v>12020.5289064526</v>
      </c>
      <c r="AG3237" s="2">
        <v>9856.5607590531708</v>
      </c>
      <c r="AH3237" s="2">
        <v>11494.209253426299</v>
      </c>
      <c r="AI3237" s="2">
        <v>14054.864806424501</v>
      </c>
      <c r="AJ3237" s="2">
        <v>13849.7101402151</v>
      </c>
      <c r="AK3237" s="2">
        <v>16715.759677260299</v>
      </c>
      <c r="AL3237" s="2">
        <v>12858.1936628606</v>
      </c>
      <c r="AM3237" s="2">
        <v>19672.4474489108</v>
      </c>
      <c r="AN3237" s="2">
        <v>16550.210911140701</v>
      </c>
      <c r="AO3237" s="2">
        <v>16760.212176814599</v>
      </c>
      <c r="AP3237" s="2">
        <v>19466.257669907201</v>
      </c>
    </row>
    <row r="3238" spans="1:42" ht="14.5" x14ac:dyDescent="0.35">
      <c r="A3238" s="2" t="s">
        <v>21538</v>
      </c>
      <c r="B3238" s="2">
        <v>351.13995876730303</v>
      </c>
      <c r="C3238" s="2">
        <v>9.1952166666666706</v>
      </c>
      <c r="D3238" s="2" t="s">
        <v>70</v>
      </c>
      <c r="E3238" s="2" t="s">
        <v>21539</v>
      </c>
      <c r="F3238" s="2">
        <v>200279</v>
      </c>
      <c r="G3238" s="3" t="str">
        <f>HYPERLINK("http://funmeta.oebiotech.com/network/200279", "http://funmeta.oebiotech.com/network/200279")</f>
        <v>http://funmeta.oebiotech.com/network/200279</v>
      </c>
      <c r="H3238" s="2" t="s">
        <v>21540</v>
      </c>
      <c r="I3238" s="2"/>
      <c r="J3238" s="2"/>
      <c r="K3238" s="2"/>
      <c r="L3238" s="2"/>
      <c r="M3238" s="2"/>
      <c r="N3238" s="2"/>
      <c r="O3238" s="2">
        <v>232881</v>
      </c>
      <c r="P3238" s="2"/>
      <c r="Q3238" s="2" t="s">
        <v>21541</v>
      </c>
      <c r="R3238" s="2" t="s">
        <v>21542</v>
      </c>
      <c r="S3238" s="2" t="s">
        <v>148</v>
      </c>
      <c r="T3238" s="2" t="s">
        <v>149</v>
      </c>
      <c r="U3238" s="2" t="s">
        <v>3473</v>
      </c>
      <c r="V3238" s="2" t="s">
        <v>59</v>
      </c>
      <c r="W3238" s="2">
        <v>36</v>
      </c>
      <c r="X3238" s="2">
        <v>0</v>
      </c>
      <c r="Y3238" s="2" t="s">
        <v>118</v>
      </c>
      <c r="Z3238" s="2" t="s">
        <v>21543</v>
      </c>
      <c r="AA3238" s="2">
        <v>2.5708596303122699</v>
      </c>
      <c r="AB3238" s="2">
        <v>0.239169799841388</v>
      </c>
      <c r="AC3238" s="2">
        <v>12249.4985264111</v>
      </c>
      <c r="AD3238" s="2">
        <v>16155.7361330278</v>
      </c>
      <c r="AE3238" s="2">
        <v>12362.8769047845</v>
      </c>
      <c r="AF3238" s="2">
        <v>11855.8240411814</v>
      </c>
      <c r="AG3238" s="2">
        <v>12771.5246977115</v>
      </c>
      <c r="AH3238" s="2">
        <v>12764.119762820999</v>
      </c>
      <c r="AI3238" s="2">
        <v>12554.754712870401</v>
      </c>
      <c r="AJ3238" s="2">
        <v>11187.8910390976</v>
      </c>
      <c r="AK3238" s="2">
        <v>16758.5599622216</v>
      </c>
      <c r="AL3238" s="2">
        <v>16525.981968331798</v>
      </c>
      <c r="AM3238" s="2">
        <v>16542.003530857</v>
      </c>
      <c r="AN3238" s="2">
        <v>16000.523269642399</v>
      </c>
      <c r="AO3238" s="2">
        <v>16064.3299933332</v>
      </c>
      <c r="AP3238" s="2">
        <v>15043.018073780901</v>
      </c>
    </row>
    <row r="3239" spans="1:42" ht="14.5" x14ac:dyDescent="0.35">
      <c r="A3239" s="2" t="s">
        <v>21544</v>
      </c>
      <c r="B3239" s="2">
        <v>257.13915314618703</v>
      </c>
      <c r="C3239" s="2">
        <v>4.09636666666667</v>
      </c>
      <c r="D3239" s="2" t="s">
        <v>70</v>
      </c>
      <c r="E3239" s="2" t="s">
        <v>21545</v>
      </c>
      <c r="F3239" s="2">
        <v>7863</v>
      </c>
      <c r="G3239" s="3" t="str">
        <f>HYPERLINK("http://funmeta.oebiotech.com/network/7863", "http://funmeta.oebiotech.com/network/7863")</f>
        <v>http://funmeta.oebiotech.com/network/7863</v>
      </c>
      <c r="H3239" s="2"/>
      <c r="I3239" s="2"/>
      <c r="J3239" s="2" t="s">
        <v>21546</v>
      </c>
      <c r="K3239" s="2"/>
      <c r="L3239" s="2"/>
      <c r="M3239" s="2"/>
      <c r="N3239" s="2"/>
      <c r="O3239" s="2">
        <v>10398271</v>
      </c>
      <c r="P3239" s="2"/>
      <c r="Q3239" s="2" t="s">
        <v>21547</v>
      </c>
      <c r="R3239" s="2" t="s">
        <v>21548</v>
      </c>
      <c r="S3239" s="2" t="s">
        <v>115</v>
      </c>
      <c r="T3239" s="2" t="s">
        <v>1384</v>
      </c>
      <c r="U3239" s="2" t="s">
        <v>41</v>
      </c>
      <c r="V3239" s="2" t="s">
        <v>42</v>
      </c>
      <c r="W3239" s="2">
        <v>48.4</v>
      </c>
      <c r="X3239" s="2">
        <v>46.1</v>
      </c>
      <c r="Y3239" s="2" t="s">
        <v>408</v>
      </c>
      <c r="Z3239" s="2" t="s">
        <v>14286</v>
      </c>
      <c r="AA3239" s="2">
        <v>-1.3869245190109301</v>
      </c>
      <c r="AB3239" s="2">
        <v>0.23912941245543901</v>
      </c>
      <c r="AC3239" s="2">
        <v>8527.9168267078694</v>
      </c>
      <c r="AD3239" s="2">
        <v>4713.0006237213902</v>
      </c>
      <c r="AE3239" s="2">
        <v>8379.1292937096496</v>
      </c>
      <c r="AF3239" s="2">
        <v>8612.9418517705908</v>
      </c>
      <c r="AG3239" s="2">
        <v>8203.0457934482802</v>
      </c>
      <c r="AH3239" s="2">
        <v>8826.4363498666207</v>
      </c>
      <c r="AI3239" s="2">
        <v>8952.9331094172994</v>
      </c>
      <c r="AJ3239" s="2">
        <v>8193.0145620347794</v>
      </c>
      <c r="AK3239" s="2">
        <v>4448.1034050076696</v>
      </c>
      <c r="AL3239" s="2">
        <v>5220.86767748888</v>
      </c>
      <c r="AM3239" s="2">
        <v>5163.1815825332596</v>
      </c>
      <c r="AN3239" s="2">
        <v>4677.5849795096501</v>
      </c>
      <c r="AO3239" s="2">
        <v>4178.9127640213201</v>
      </c>
      <c r="AP3239" s="2">
        <v>4589.3533337675499</v>
      </c>
    </row>
    <row r="3240" spans="1:42" ht="14.5" x14ac:dyDescent="0.35">
      <c r="A3240" s="2" t="s">
        <v>21549</v>
      </c>
      <c r="B3240" s="2">
        <v>651.33522336737803</v>
      </c>
      <c r="C3240" s="2">
        <v>5.1048166666666699</v>
      </c>
      <c r="D3240" s="2" t="s">
        <v>34</v>
      </c>
      <c r="E3240" s="2" t="s">
        <v>21550</v>
      </c>
      <c r="F3240" s="2">
        <v>35656</v>
      </c>
      <c r="G3240" s="3" t="str">
        <f>HYPERLINK("http://funmeta.oebiotech.com/network/35656", "http://funmeta.oebiotech.com/network/35656")</f>
        <v>http://funmeta.oebiotech.com/network/35656</v>
      </c>
      <c r="H3240" s="2"/>
      <c r="I3240" s="2">
        <v>41196</v>
      </c>
      <c r="J3240" s="2" t="s">
        <v>21551</v>
      </c>
      <c r="K3240" s="2">
        <v>9516</v>
      </c>
      <c r="L3240" s="2" t="s">
        <v>21552</v>
      </c>
      <c r="M3240" s="2"/>
      <c r="N3240" s="2"/>
      <c r="O3240" s="2">
        <v>446378</v>
      </c>
      <c r="P3240" s="2" t="s">
        <v>21553</v>
      </c>
      <c r="Q3240" s="2" t="s">
        <v>21554</v>
      </c>
      <c r="R3240" s="2" t="s">
        <v>21555</v>
      </c>
      <c r="S3240" s="2" t="s">
        <v>89</v>
      </c>
      <c r="T3240" s="2" t="s">
        <v>90</v>
      </c>
      <c r="U3240" s="2" t="s">
        <v>469</v>
      </c>
      <c r="V3240" s="2" t="s">
        <v>59</v>
      </c>
      <c r="W3240" s="2">
        <v>37.1</v>
      </c>
      <c r="X3240" s="2">
        <v>0</v>
      </c>
      <c r="Y3240" s="2" t="s">
        <v>394</v>
      </c>
      <c r="Z3240" s="2" t="s">
        <v>21556</v>
      </c>
      <c r="AA3240" s="2">
        <v>-3.5060692965079299</v>
      </c>
      <c r="AB3240" s="2">
        <v>0.239068981582057</v>
      </c>
      <c r="AC3240" s="2">
        <v>9959.50236771866</v>
      </c>
      <c r="AD3240" s="2">
        <v>5100.4971125904603</v>
      </c>
      <c r="AE3240" s="2">
        <v>11924.339427852799</v>
      </c>
      <c r="AF3240" s="2">
        <v>8240.6885582373707</v>
      </c>
      <c r="AG3240" s="2">
        <v>11109.717581310801</v>
      </c>
      <c r="AH3240" s="2">
        <v>13145.8585084684</v>
      </c>
      <c r="AI3240" s="2">
        <v>5336.4088866845896</v>
      </c>
      <c r="AJ3240" s="2">
        <v>10000.001243758001</v>
      </c>
      <c r="AK3240" s="2">
        <v>3087.9027560918698</v>
      </c>
      <c r="AL3240" s="2">
        <v>6731.4019118031301</v>
      </c>
      <c r="AM3240" s="2">
        <v>5314.5118139333299</v>
      </c>
      <c r="AN3240" s="2">
        <v>6837.6361267762104</v>
      </c>
      <c r="AO3240" s="2">
        <v>4342.8351316296903</v>
      </c>
      <c r="AP3240" s="2">
        <v>4288.6949353085301</v>
      </c>
    </row>
    <row r="3241" spans="1:42" ht="14.5" x14ac:dyDescent="0.35">
      <c r="A3241" s="2" t="s">
        <v>21557</v>
      </c>
      <c r="B3241" s="2">
        <v>275.200391610108</v>
      </c>
      <c r="C3241" s="2">
        <v>10.3798166666667</v>
      </c>
      <c r="D3241" s="2" t="s">
        <v>34</v>
      </c>
      <c r="E3241" s="2" t="s">
        <v>21558</v>
      </c>
      <c r="F3241" s="2">
        <v>3145</v>
      </c>
      <c r="G3241" s="3" t="str">
        <f>HYPERLINK("http://funmeta.oebiotech.com/network/3145", "http://funmeta.oebiotech.com/network/3145")</f>
        <v>http://funmeta.oebiotech.com/network/3145</v>
      </c>
      <c r="H3241" s="2"/>
      <c r="I3241" s="2">
        <v>74644</v>
      </c>
      <c r="J3241" s="2" t="s">
        <v>21559</v>
      </c>
      <c r="K3241" s="2"/>
      <c r="L3241" s="2"/>
      <c r="M3241" s="2"/>
      <c r="N3241" s="2"/>
      <c r="O3241" s="2">
        <v>5312834</v>
      </c>
      <c r="P3241" s="2"/>
      <c r="Q3241" s="2" t="s">
        <v>21560</v>
      </c>
      <c r="R3241" s="2" t="s">
        <v>21561</v>
      </c>
      <c r="S3241" s="2" t="s">
        <v>50</v>
      </c>
      <c r="T3241" s="2" t="s">
        <v>229</v>
      </c>
      <c r="U3241" s="2" t="s">
        <v>433</v>
      </c>
      <c r="V3241" s="2" t="s">
        <v>42</v>
      </c>
      <c r="W3241" s="2">
        <v>51.7</v>
      </c>
      <c r="X3241" s="2">
        <v>63.2</v>
      </c>
      <c r="Y3241" s="2" t="s">
        <v>141</v>
      </c>
      <c r="Z3241" s="2" t="s">
        <v>21562</v>
      </c>
      <c r="AA3241" s="2">
        <v>-0.56432020018954898</v>
      </c>
      <c r="AB3241" s="2">
        <v>0.23888363050614</v>
      </c>
      <c r="AC3241" s="2">
        <v>12766.311971323301</v>
      </c>
      <c r="AD3241" s="2">
        <v>8929.4826597995107</v>
      </c>
      <c r="AE3241" s="2">
        <v>12879.190090406701</v>
      </c>
      <c r="AF3241" s="2">
        <v>12394.0338990984</v>
      </c>
      <c r="AG3241" s="2">
        <v>12798.0516648065</v>
      </c>
      <c r="AH3241" s="2">
        <v>12898.7451811514</v>
      </c>
      <c r="AI3241" s="2">
        <v>12838.295303356899</v>
      </c>
      <c r="AJ3241" s="2">
        <v>12789.555689119999</v>
      </c>
      <c r="AK3241" s="2">
        <v>8608.9806904210109</v>
      </c>
      <c r="AL3241" s="2">
        <v>8463.5601911550402</v>
      </c>
      <c r="AM3241" s="2">
        <v>9151.5432855837298</v>
      </c>
      <c r="AN3241" s="2">
        <v>9045.2080584056494</v>
      </c>
      <c r="AO3241" s="2">
        <v>9980.6820180555496</v>
      </c>
      <c r="AP3241" s="2">
        <v>8326.9217151761095</v>
      </c>
    </row>
    <row r="3242" spans="1:42" ht="14.5" x14ac:dyDescent="0.35">
      <c r="A3242" s="2" t="s">
        <v>21563</v>
      </c>
      <c r="B3242" s="2">
        <v>317.16527899835501</v>
      </c>
      <c r="C3242" s="2">
        <v>5.2337999999999996</v>
      </c>
      <c r="D3242" s="2" t="s">
        <v>34</v>
      </c>
      <c r="E3242" s="2" t="s">
        <v>21564</v>
      </c>
      <c r="F3242" s="2">
        <v>267233</v>
      </c>
      <c r="G3242" s="3" t="str">
        <f>HYPERLINK("http://funmeta.oebiotech.com/network/267233", "http://funmeta.oebiotech.com/network/267233")</f>
        <v>http://funmeta.oebiotech.com/network/267233</v>
      </c>
      <c r="H3242" s="2"/>
      <c r="I3242" s="2">
        <v>45066</v>
      </c>
      <c r="J3242" s="2"/>
      <c r="K3242" s="2"/>
      <c r="L3242" s="2"/>
      <c r="M3242" s="2"/>
      <c r="N3242" s="2"/>
      <c r="O3242" s="2">
        <v>78401</v>
      </c>
      <c r="P3242" s="2" t="s">
        <v>21565</v>
      </c>
      <c r="Q3242" s="2" t="s">
        <v>21566</v>
      </c>
      <c r="R3242" s="2" t="s">
        <v>21567</v>
      </c>
      <c r="S3242" s="2" t="s">
        <v>89</v>
      </c>
      <c r="T3242" s="2" t="s">
        <v>6048</v>
      </c>
      <c r="U3242" s="2" t="s">
        <v>6049</v>
      </c>
      <c r="V3242" s="2" t="s">
        <v>59</v>
      </c>
      <c r="W3242" s="2">
        <v>37</v>
      </c>
      <c r="X3242" s="2">
        <v>0</v>
      </c>
      <c r="Y3242" s="2" t="s">
        <v>340</v>
      </c>
      <c r="Z3242" s="2" t="s">
        <v>21568</v>
      </c>
      <c r="AA3242" s="2">
        <v>3.7362741347092898</v>
      </c>
      <c r="AB3242" s="2">
        <v>0.23881779838082901</v>
      </c>
      <c r="AC3242" s="2">
        <v>8778.8013977108494</v>
      </c>
      <c r="AD3242" s="2">
        <v>12891.617114831801</v>
      </c>
      <c r="AE3242" s="2">
        <v>8167.3489025726103</v>
      </c>
      <c r="AF3242" s="2">
        <v>8580.8763303424403</v>
      </c>
      <c r="AG3242" s="2">
        <v>9647.4488663871398</v>
      </c>
      <c r="AH3242" s="2">
        <v>7646.9078599935801</v>
      </c>
      <c r="AI3242" s="2">
        <v>7890.8901243198598</v>
      </c>
      <c r="AJ3242" s="2">
        <v>10739.336302649501</v>
      </c>
      <c r="AK3242" s="2">
        <v>12480.182719598401</v>
      </c>
      <c r="AL3242" s="2">
        <v>13139.977418439001</v>
      </c>
      <c r="AM3242" s="2">
        <v>13751.248536182</v>
      </c>
      <c r="AN3242" s="2">
        <v>13210.0049852829</v>
      </c>
      <c r="AO3242" s="2">
        <v>13291.912074382701</v>
      </c>
      <c r="AP3242" s="2">
        <v>11476.376955106</v>
      </c>
    </row>
    <row r="3243" spans="1:42" ht="14.5" x14ac:dyDescent="0.35">
      <c r="A3243" s="2" t="s">
        <v>21569</v>
      </c>
      <c r="B3243" s="2">
        <v>670.63461267006903</v>
      </c>
      <c r="C3243" s="2">
        <v>6.0246333333333304</v>
      </c>
      <c r="D3243" s="2" t="s">
        <v>34</v>
      </c>
      <c r="E3243" s="2" t="s">
        <v>21570</v>
      </c>
      <c r="F3243" s="2">
        <v>48989</v>
      </c>
      <c r="G3243" s="3" t="str">
        <f>HYPERLINK("http://funmeta.oebiotech.com/network/48989", "http://funmeta.oebiotech.com/network/48989")</f>
        <v>http://funmeta.oebiotech.com/network/48989</v>
      </c>
      <c r="H3243" s="2" t="s">
        <v>21571</v>
      </c>
      <c r="I3243" s="2">
        <v>58670</v>
      </c>
      <c r="J3243" s="2"/>
      <c r="K3243" s="2"/>
      <c r="L3243" s="2"/>
      <c r="M3243" s="2"/>
      <c r="N3243" s="2"/>
      <c r="O3243" s="2">
        <v>53477970</v>
      </c>
      <c r="P3243" s="2"/>
      <c r="Q3243" s="2" t="s">
        <v>21572</v>
      </c>
      <c r="R3243" s="2" t="s">
        <v>21573</v>
      </c>
      <c r="S3243" s="2" t="s">
        <v>50</v>
      </c>
      <c r="T3243" s="2" t="s">
        <v>448</v>
      </c>
      <c r="U3243" s="2" t="s">
        <v>1864</v>
      </c>
      <c r="V3243" s="2" t="s">
        <v>59</v>
      </c>
      <c r="W3243" s="2">
        <v>36.700000000000003</v>
      </c>
      <c r="X3243" s="2">
        <v>0</v>
      </c>
      <c r="Y3243" s="2" t="s">
        <v>43</v>
      </c>
      <c r="Z3243" s="2" t="s">
        <v>21574</v>
      </c>
      <c r="AA3243" s="2">
        <v>0.324052225721843</v>
      </c>
      <c r="AB3243" s="2">
        <v>0.23843367518481601</v>
      </c>
      <c r="AC3243" s="2">
        <v>15003.2869775738</v>
      </c>
      <c r="AD3243" s="2">
        <v>8953.6480255671595</v>
      </c>
      <c r="AE3243" s="2">
        <v>12115.219709619199</v>
      </c>
      <c r="AF3243" s="2">
        <v>15674.8899466812</v>
      </c>
      <c r="AG3243" s="2">
        <v>7495.1554009159599</v>
      </c>
      <c r="AH3243" s="2">
        <v>18374.4784531681</v>
      </c>
      <c r="AI3243" s="2">
        <v>20472.076003651298</v>
      </c>
      <c r="AJ3243" s="2">
        <v>15887.9023514072</v>
      </c>
      <c r="AK3243" s="2">
        <v>11369.312840111799</v>
      </c>
      <c r="AL3243" s="2">
        <v>3179.28322599902</v>
      </c>
      <c r="AM3243" s="2">
        <v>10894.548063402901</v>
      </c>
      <c r="AN3243" s="2">
        <v>7405.6620771607604</v>
      </c>
      <c r="AO3243" s="2">
        <v>12697.688840913601</v>
      </c>
      <c r="AP3243" s="2">
        <v>8175.3931058148601</v>
      </c>
    </row>
    <row r="3244" spans="1:42" ht="14.5" x14ac:dyDescent="0.35">
      <c r="A3244" s="2" t="s">
        <v>21575</v>
      </c>
      <c r="B3244" s="2">
        <v>447.18683843141201</v>
      </c>
      <c r="C3244" s="2">
        <v>4.0071500000000002</v>
      </c>
      <c r="D3244" s="2" t="s">
        <v>70</v>
      </c>
      <c r="E3244" s="2" t="s">
        <v>21576</v>
      </c>
      <c r="F3244" s="2">
        <v>56235</v>
      </c>
      <c r="G3244" s="3" t="str">
        <f>HYPERLINK("http://funmeta.oebiotech.com/network/56235", "http://funmeta.oebiotech.com/network/56235")</f>
        <v>http://funmeta.oebiotech.com/network/56235</v>
      </c>
      <c r="H3244" s="2" t="s">
        <v>21577</v>
      </c>
      <c r="I3244" s="2">
        <v>87926</v>
      </c>
      <c r="J3244" s="2"/>
      <c r="K3244" s="2">
        <v>168854</v>
      </c>
      <c r="L3244" s="2"/>
      <c r="M3244" s="2"/>
      <c r="N3244" s="2"/>
      <c r="O3244" s="2">
        <v>131751189</v>
      </c>
      <c r="P3244" s="2" t="s">
        <v>21578</v>
      </c>
      <c r="Q3244" s="2" t="s">
        <v>21579</v>
      </c>
      <c r="R3244" s="2" t="s">
        <v>21580</v>
      </c>
      <c r="S3244" s="2" t="s">
        <v>50</v>
      </c>
      <c r="T3244" s="2" t="s">
        <v>229</v>
      </c>
      <c r="U3244" s="2" t="s">
        <v>230</v>
      </c>
      <c r="V3244" s="2" t="s">
        <v>59</v>
      </c>
      <c r="W3244" s="2">
        <v>47.7</v>
      </c>
      <c r="X3244" s="2">
        <v>41.2</v>
      </c>
      <c r="Y3244" s="2" t="s">
        <v>286</v>
      </c>
      <c r="Z3244" s="2" t="s">
        <v>21581</v>
      </c>
      <c r="AA3244" s="2">
        <v>-0.86272061934825495</v>
      </c>
      <c r="AB3244" s="2">
        <v>0.238276422415095</v>
      </c>
      <c r="AC3244" s="2">
        <v>1734889.0590993301</v>
      </c>
      <c r="AD3244" s="2">
        <v>1711318.6827044101</v>
      </c>
      <c r="AE3244" s="2">
        <v>1724859.2412330599</v>
      </c>
      <c r="AF3244" s="2">
        <v>1799248.8077687901</v>
      </c>
      <c r="AG3244" s="2">
        <v>1635874.5795772399</v>
      </c>
      <c r="AH3244" s="2">
        <v>1679740.2446589801</v>
      </c>
      <c r="AI3244" s="2">
        <v>1821187.83806557</v>
      </c>
      <c r="AJ3244" s="2">
        <v>1748423.64329234</v>
      </c>
      <c r="AK3244" s="2">
        <v>1706057.5035296001</v>
      </c>
      <c r="AL3244" s="2">
        <v>1677172.8329894401</v>
      </c>
      <c r="AM3244" s="2">
        <v>1715382.62847409</v>
      </c>
      <c r="AN3244" s="2">
        <v>1642844.9974942601</v>
      </c>
      <c r="AO3244" s="2">
        <v>1652454.0950815</v>
      </c>
      <c r="AP3244" s="2">
        <v>1874000.03865758</v>
      </c>
    </row>
    <row r="3245" spans="1:42" ht="14.5" x14ac:dyDescent="0.35">
      <c r="A3245" s="2" t="s">
        <v>21582</v>
      </c>
      <c r="B3245" s="2">
        <v>712.535190475376</v>
      </c>
      <c r="C3245" s="2">
        <v>14.094333333333299</v>
      </c>
      <c r="D3245" s="2" t="s">
        <v>34</v>
      </c>
      <c r="E3245" s="2" t="s">
        <v>21583</v>
      </c>
      <c r="F3245" s="2">
        <v>40009</v>
      </c>
      <c r="G3245" s="3" t="str">
        <f>HYPERLINK("http://funmeta.oebiotech.com/network/40009", "http://funmeta.oebiotech.com/network/40009")</f>
        <v>http://funmeta.oebiotech.com/network/40009</v>
      </c>
      <c r="H3245" s="2"/>
      <c r="I3245" s="2"/>
      <c r="J3245" s="2" t="s">
        <v>21584</v>
      </c>
      <c r="K3245" s="2">
        <v>68071</v>
      </c>
      <c r="L3245" s="2"/>
      <c r="M3245" s="2"/>
      <c r="N3245" s="2"/>
      <c r="O3245" s="2">
        <v>53355809</v>
      </c>
      <c r="P3245" s="2"/>
      <c r="Q3245" s="2" t="s">
        <v>21585</v>
      </c>
      <c r="R3245" s="2" t="s">
        <v>21586</v>
      </c>
      <c r="S3245" s="2" t="s">
        <v>50</v>
      </c>
      <c r="T3245" s="2" t="s">
        <v>229</v>
      </c>
      <c r="U3245" s="2" t="s">
        <v>230</v>
      </c>
      <c r="V3245" s="2" t="s">
        <v>59</v>
      </c>
      <c r="W3245" s="2">
        <v>38.200000000000003</v>
      </c>
      <c r="X3245" s="2">
        <v>0</v>
      </c>
      <c r="Y3245" s="2" t="s">
        <v>394</v>
      </c>
      <c r="Z3245" s="2" t="s">
        <v>21587</v>
      </c>
      <c r="AA3245" s="2">
        <v>-0.86978742927338304</v>
      </c>
      <c r="AB3245" s="2">
        <v>0.237976581869109</v>
      </c>
      <c r="AC3245" s="2">
        <v>17468.0302654937</v>
      </c>
      <c r="AD3245" s="2">
        <v>12835.5850323061</v>
      </c>
      <c r="AE3245" s="2">
        <v>16795.220645143101</v>
      </c>
      <c r="AF3245" s="2">
        <v>16830.1584295022</v>
      </c>
      <c r="AG3245" s="2">
        <v>18917.293931509201</v>
      </c>
      <c r="AH3245" s="2">
        <v>16418.216855776998</v>
      </c>
      <c r="AI3245" s="2">
        <v>15519.1949479411</v>
      </c>
      <c r="AJ3245" s="2">
        <v>20328.096783089601</v>
      </c>
      <c r="AK3245" s="2">
        <v>10451.4952131107</v>
      </c>
      <c r="AL3245" s="2">
        <v>11828.4260569823</v>
      </c>
      <c r="AM3245" s="2">
        <v>11479.5685319558</v>
      </c>
      <c r="AN3245" s="2">
        <v>13642.1794425998</v>
      </c>
      <c r="AO3245" s="2">
        <v>16083.334900759801</v>
      </c>
      <c r="AP3245" s="2">
        <v>13528.506048428</v>
      </c>
    </row>
    <row r="3246" spans="1:42" ht="14.5" x14ac:dyDescent="0.35">
      <c r="A3246" s="2" t="s">
        <v>21588</v>
      </c>
      <c r="B3246" s="2">
        <v>613.34295807151295</v>
      </c>
      <c r="C3246" s="2">
        <v>5.8791000000000002</v>
      </c>
      <c r="D3246" s="2" t="s">
        <v>70</v>
      </c>
      <c r="E3246" s="2" t="s">
        <v>21589</v>
      </c>
      <c r="F3246" s="2">
        <v>202169</v>
      </c>
      <c r="G3246" s="3" t="str">
        <f>HYPERLINK("http://funmeta.oebiotech.com/network/202169", "http://funmeta.oebiotech.com/network/202169")</f>
        <v>http://funmeta.oebiotech.com/network/202169</v>
      </c>
      <c r="H3246" s="2" t="s">
        <v>21590</v>
      </c>
      <c r="I3246" s="2"/>
      <c r="J3246" s="2"/>
      <c r="K3246" s="2"/>
      <c r="L3246" s="2"/>
      <c r="M3246" s="2"/>
      <c r="N3246" s="2"/>
      <c r="O3246" s="2">
        <v>73069397</v>
      </c>
      <c r="P3246" s="2"/>
      <c r="Q3246" s="2" t="s">
        <v>21591</v>
      </c>
      <c r="R3246" s="2" t="s">
        <v>21592</v>
      </c>
      <c r="S3246" s="2" t="s">
        <v>41</v>
      </c>
      <c r="T3246" s="2" t="s">
        <v>41</v>
      </c>
      <c r="U3246" s="2" t="s">
        <v>41</v>
      </c>
      <c r="V3246" s="2" t="s">
        <v>59</v>
      </c>
      <c r="W3246" s="2">
        <v>38.4</v>
      </c>
      <c r="X3246" s="2">
        <v>0</v>
      </c>
      <c r="Y3246" s="2" t="s">
        <v>560</v>
      </c>
      <c r="Z3246" s="2" t="s">
        <v>21593</v>
      </c>
      <c r="AA3246" s="2">
        <v>2.5448683565965</v>
      </c>
      <c r="AB3246" s="2">
        <v>0.237927282217444</v>
      </c>
      <c r="AC3246" s="2">
        <v>5228.0294845532799</v>
      </c>
      <c r="AD3246" s="2">
        <v>9381.0621827824707</v>
      </c>
      <c r="AE3246" s="2">
        <v>4984.1491192245903</v>
      </c>
      <c r="AF3246" s="2">
        <v>6152.7407975992901</v>
      </c>
      <c r="AG3246" s="2">
        <v>4562.8415942299098</v>
      </c>
      <c r="AH3246" s="2">
        <v>3940.2646001869498</v>
      </c>
      <c r="AI3246" s="2">
        <v>4559.92226542765</v>
      </c>
      <c r="AJ3246" s="2">
        <v>7168.2585306513101</v>
      </c>
      <c r="AK3246" s="2">
        <v>9421.7352701727796</v>
      </c>
      <c r="AL3246" s="2">
        <v>10122.4286436196</v>
      </c>
      <c r="AM3246" s="2">
        <v>9569.09254728628</v>
      </c>
      <c r="AN3246" s="2">
        <v>9988.1167801942393</v>
      </c>
      <c r="AO3246" s="2">
        <v>9878.1162690855908</v>
      </c>
      <c r="AP3246" s="2">
        <v>7306.8835863363302</v>
      </c>
    </row>
    <row r="3247" spans="1:42" ht="14.5" x14ac:dyDescent="0.35">
      <c r="A3247" s="2" t="s">
        <v>21594</v>
      </c>
      <c r="B3247" s="2">
        <v>820.35611961275799</v>
      </c>
      <c r="C3247" s="2">
        <v>7.6493166666666701</v>
      </c>
      <c r="D3247" s="2" t="s">
        <v>70</v>
      </c>
      <c r="E3247" s="2" t="s">
        <v>21595</v>
      </c>
      <c r="F3247" s="2">
        <v>82727</v>
      </c>
      <c r="G3247" s="3" t="str">
        <f>HYPERLINK("http://funmeta.oebiotech.com/network/82727", "http://funmeta.oebiotech.com/network/82727")</f>
        <v>http://funmeta.oebiotech.com/network/82727</v>
      </c>
      <c r="H3247" s="2" t="s">
        <v>21596</v>
      </c>
      <c r="I3247" s="2"/>
      <c r="J3247" s="2"/>
      <c r="K3247" s="2"/>
      <c r="L3247" s="2"/>
      <c r="M3247" s="2"/>
      <c r="N3247" s="2"/>
      <c r="O3247" s="2">
        <v>10417998</v>
      </c>
      <c r="P3247" s="2"/>
      <c r="Q3247" s="2" t="s">
        <v>21597</v>
      </c>
      <c r="R3247" s="2" t="s">
        <v>21598</v>
      </c>
      <c r="S3247" s="2" t="s">
        <v>50</v>
      </c>
      <c r="T3247" s="2" t="s">
        <v>201</v>
      </c>
      <c r="U3247" s="2" t="s">
        <v>241</v>
      </c>
      <c r="V3247" s="2" t="s">
        <v>59</v>
      </c>
      <c r="W3247" s="2">
        <v>37.700000000000003</v>
      </c>
      <c r="X3247" s="2">
        <v>0</v>
      </c>
      <c r="Y3247" s="2" t="s">
        <v>118</v>
      </c>
      <c r="Z3247" s="2" t="s">
        <v>21599</v>
      </c>
      <c r="AA3247" s="2">
        <v>1.38867139416355</v>
      </c>
      <c r="AB3247" s="2">
        <v>0.23787520603944801</v>
      </c>
      <c r="AC3247" s="2">
        <v>14365.061512251399</v>
      </c>
      <c r="AD3247" s="2">
        <v>18804.035011772601</v>
      </c>
      <c r="AE3247" s="2">
        <v>13767.670346511801</v>
      </c>
      <c r="AF3247" s="2">
        <v>11241.1373429336</v>
      </c>
      <c r="AG3247" s="2">
        <v>13211.6589570945</v>
      </c>
      <c r="AH3247" s="2">
        <v>16194.0879070505</v>
      </c>
      <c r="AI3247" s="2">
        <v>15339.1982432984</v>
      </c>
      <c r="AJ3247" s="2">
        <v>16436.616276619799</v>
      </c>
      <c r="AK3247" s="2">
        <v>17188.094384544998</v>
      </c>
      <c r="AL3247" s="2">
        <v>18576.1726528982</v>
      </c>
      <c r="AM3247" s="2">
        <v>20749.151847613601</v>
      </c>
      <c r="AN3247" s="2">
        <v>19183.996255243801</v>
      </c>
      <c r="AO3247" s="2">
        <v>18863.579351631299</v>
      </c>
      <c r="AP3247" s="2">
        <v>18263.215578703999</v>
      </c>
    </row>
    <row r="3248" spans="1:42" ht="14.5" x14ac:dyDescent="0.35">
      <c r="A3248" s="2" t="s">
        <v>21600</v>
      </c>
      <c r="B3248" s="2">
        <v>419.22873389031002</v>
      </c>
      <c r="C3248" s="2">
        <v>5.4125166666666704</v>
      </c>
      <c r="D3248" s="2" t="s">
        <v>70</v>
      </c>
      <c r="E3248" s="2" t="s">
        <v>21601</v>
      </c>
      <c r="F3248" s="2">
        <v>63953</v>
      </c>
      <c r="G3248" s="3" t="str">
        <f>HYPERLINK("http://funmeta.oebiotech.com/network/63953", "http://funmeta.oebiotech.com/network/63953")</f>
        <v>http://funmeta.oebiotech.com/network/63953</v>
      </c>
      <c r="H3248" s="2" t="s">
        <v>21602</v>
      </c>
      <c r="I3248" s="2">
        <v>95286</v>
      </c>
      <c r="J3248" s="2"/>
      <c r="K3248" s="2">
        <v>169256</v>
      </c>
      <c r="L3248" s="2"/>
      <c r="M3248" s="2"/>
      <c r="N3248" s="2"/>
      <c r="O3248" s="2">
        <v>73981648</v>
      </c>
      <c r="P3248" s="2" t="s">
        <v>21603</v>
      </c>
      <c r="Q3248" s="2" t="s">
        <v>21604</v>
      </c>
      <c r="R3248" s="2" t="s">
        <v>21605</v>
      </c>
      <c r="S3248" s="2" t="s">
        <v>50</v>
      </c>
      <c r="T3248" s="2" t="s">
        <v>201</v>
      </c>
      <c r="U3248" s="2" t="s">
        <v>202</v>
      </c>
      <c r="V3248" s="2" t="s">
        <v>59</v>
      </c>
      <c r="W3248" s="2">
        <v>43.2</v>
      </c>
      <c r="X3248" s="2">
        <v>20.7</v>
      </c>
      <c r="Y3248" s="2" t="s">
        <v>408</v>
      </c>
      <c r="Z3248" s="2" t="s">
        <v>21606</v>
      </c>
      <c r="AA3248" s="2">
        <v>0.20734018224935899</v>
      </c>
      <c r="AB3248" s="2">
        <v>0.23766617849503299</v>
      </c>
      <c r="AC3248" s="2">
        <v>43182.880577747397</v>
      </c>
      <c r="AD3248" s="2">
        <v>38691.718468658597</v>
      </c>
      <c r="AE3248" s="2">
        <v>43263.573121658097</v>
      </c>
      <c r="AF3248" s="2">
        <v>40601.202929581603</v>
      </c>
      <c r="AG3248" s="2">
        <v>43487.351951980403</v>
      </c>
      <c r="AH3248" s="2">
        <v>45646.697133141097</v>
      </c>
      <c r="AI3248" s="2">
        <v>42091.894245063297</v>
      </c>
      <c r="AJ3248" s="2">
        <v>44006.564085060003</v>
      </c>
      <c r="AK3248" s="2">
        <v>38914.076284577699</v>
      </c>
      <c r="AL3248" s="2">
        <v>36238.704821662097</v>
      </c>
      <c r="AM3248" s="2">
        <v>40206.790488362698</v>
      </c>
      <c r="AN3248" s="2">
        <v>39872.724627404998</v>
      </c>
      <c r="AO3248" s="2">
        <v>37178.8191440175</v>
      </c>
      <c r="AP3248" s="2">
        <v>39739.195445926598</v>
      </c>
    </row>
    <row r="3249" spans="1:42" ht="14.5" x14ac:dyDescent="0.35">
      <c r="A3249" s="2" t="s">
        <v>21607</v>
      </c>
      <c r="B3249" s="2">
        <v>707.23237463715702</v>
      </c>
      <c r="C3249" s="2">
        <v>5.5064166666666701</v>
      </c>
      <c r="D3249" s="2" t="s">
        <v>70</v>
      </c>
      <c r="E3249" s="2" t="s">
        <v>21608</v>
      </c>
      <c r="F3249" s="2">
        <v>56231</v>
      </c>
      <c r="G3249" s="3" t="str">
        <f>HYPERLINK("http://funmeta.oebiotech.com/network/56231", "http://funmeta.oebiotech.com/network/56231")</f>
        <v>http://funmeta.oebiotech.com/network/56231</v>
      </c>
      <c r="H3249" s="2" t="s">
        <v>21609</v>
      </c>
      <c r="I3249" s="2"/>
      <c r="J3249" s="2"/>
      <c r="K3249" s="2"/>
      <c r="L3249" s="2"/>
      <c r="M3249" s="2"/>
      <c r="N3249" s="2"/>
      <c r="O3249" s="2">
        <v>12358373</v>
      </c>
      <c r="P3249" s="2" t="s">
        <v>21610</v>
      </c>
      <c r="Q3249" s="2" t="s">
        <v>21611</v>
      </c>
      <c r="R3249" s="2" t="s">
        <v>21612</v>
      </c>
      <c r="S3249" s="2" t="s">
        <v>491</v>
      </c>
      <c r="T3249" s="2" t="s">
        <v>4517</v>
      </c>
      <c r="U3249" s="2" t="s">
        <v>4518</v>
      </c>
      <c r="V3249" s="2" t="s">
        <v>59</v>
      </c>
      <c r="W3249" s="2">
        <v>36</v>
      </c>
      <c r="X3249" s="2">
        <v>0</v>
      </c>
      <c r="Y3249" s="2" t="s">
        <v>560</v>
      </c>
      <c r="Z3249" s="2" t="s">
        <v>21613</v>
      </c>
      <c r="AA3249" s="2">
        <v>3.9748588247233698</v>
      </c>
      <c r="AB3249" s="2">
        <v>0.23766061075641001</v>
      </c>
      <c r="AC3249" s="2">
        <v>4875.3220884239499</v>
      </c>
      <c r="AD3249" s="2">
        <v>8898.8490102250307</v>
      </c>
      <c r="AE3249" s="2">
        <v>5951.8572858543703</v>
      </c>
      <c r="AF3249" s="2">
        <v>6227.4051358821898</v>
      </c>
      <c r="AG3249" s="2">
        <v>5443.8103795123698</v>
      </c>
      <c r="AH3249" s="2">
        <v>3813.7136884323099</v>
      </c>
      <c r="AI3249" s="2">
        <v>3704.21958357926</v>
      </c>
      <c r="AJ3249" s="2">
        <v>4110.9264572831798</v>
      </c>
      <c r="AK3249" s="2">
        <v>8367.6395725400598</v>
      </c>
      <c r="AL3249" s="2">
        <v>9219.3817627297703</v>
      </c>
      <c r="AM3249" s="2">
        <v>9601.8566062784503</v>
      </c>
      <c r="AN3249" s="2">
        <v>8149.58768494576</v>
      </c>
      <c r="AO3249" s="2">
        <v>8866.9685834869306</v>
      </c>
      <c r="AP3249" s="2">
        <v>9187.6598513692006</v>
      </c>
    </row>
    <row r="3250" spans="1:42" ht="14.5" x14ac:dyDescent="0.35">
      <c r="A3250" s="2" t="s">
        <v>21614</v>
      </c>
      <c r="B3250" s="2">
        <v>435.07821506653403</v>
      </c>
      <c r="C3250" s="2">
        <v>4.7765333333333304</v>
      </c>
      <c r="D3250" s="2" t="s">
        <v>70</v>
      </c>
      <c r="E3250" s="2" t="s">
        <v>21615</v>
      </c>
      <c r="F3250" s="2">
        <v>60592</v>
      </c>
      <c r="G3250" s="3" t="str">
        <f>HYPERLINK("http://funmeta.oebiotech.com/network/60592", "http://funmeta.oebiotech.com/network/60592")</f>
        <v>http://funmeta.oebiotech.com/network/60592</v>
      </c>
      <c r="H3250" s="2" t="s">
        <v>21616</v>
      </c>
      <c r="I3250" s="2">
        <v>91924</v>
      </c>
      <c r="J3250" s="2"/>
      <c r="K3250" s="2"/>
      <c r="L3250" s="2"/>
      <c r="M3250" s="2"/>
      <c r="N3250" s="2"/>
      <c r="O3250" s="2">
        <v>85208222</v>
      </c>
      <c r="P3250" s="2"/>
      <c r="Q3250" s="2" t="s">
        <v>21617</v>
      </c>
      <c r="R3250" s="2" t="s">
        <v>21618</v>
      </c>
      <c r="S3250" s="2" t="s">
        <v>79</v>
      </c>
      <c r="T3250" s="2" t="s">
        <v>80</v>
      </c>
      <c r="U3250" s="2" t="s">
        <v>81</v>
      </c>
      <c r="V3250" s="2" t="s">
        <v>59</v>
      </c>
      <c r="W3250" s="2">
        <v>38.700000000000003</v>
      </c>
      <c r="X3250" s="2">
        <v>0</v>
      </c>
      <c r="Y3250" s="2" t="s">
        <v>408</v>
      </c>
      <c r="Z3250" s="2" t="s">
        <v>21619</v>
      </c>
      <c r="AA3250" s="2">
        <v>0.47729859760895099</v>
      </c>
      <c r="AB3250" s="2">
        <v>0.23761677278658799</v>
      </c>
      <c r="AC3250" s="2">
        <v>14155.3345748064</v>
      </c>
      <c r="AD3250" s="2">
        <v>18287.229153326101</v>
      </c>
      <c r="AE3250" s="2">
        <v>13316.738729954401</v>
      </c>
      <c r="AF3250" s="2">
        <v>15732.3750266029</v>
      </c>
      <c r="AG3250" s="2">
        <v>14188.989207390499</v>
      </c>
      <c r="AH3250" s="2">
        <v>14446.6247605592</v>
      </c>
      <c r="AI3250" s="2">
        <v>12884.7678827154</v>
      </c>
      <c r="AJ3250" s="2">
        <v>14362.5118416159</v>
      </c>
      <c r="AK3250" s="2">
        <v>18815.636974957099</v>
      </c>
      <c r="AL3250" s="2">
        <v>17233.041968188802</v>
      </c>
      <c r="AM3250" s="2">
        <v>19896.3286291763</v>
      </c>
      <c r="AN3250" s="2">
        <v>16955.964449995601</v>
      </c>
      <c r="AO3250" s="2">
        <v>17639.4012486709</v>
      </c>
      <c r="AP3250" s="2">
        <v>19183.001648967998</v>
      </c>
    </row>
    <row r="3251" spans="1:42" ht="14.5" x14ac:dyDescent="0.35">
      <c r="A3251" s="2" t="s">
        <v>21620</v>
      </c>
      <c r="B3251" s="2">
        <v>343.09296080554401</v>
      </c>
      <c r="C3251" s="2">
        <v>4.0250666666666701</v>
      </c>
      <c r="D3251" s="2" t="s">
        <v>70</v>
      </c>
      <c r="E3251" s="2" t="s">
        <v>21621</v>
      </c>
      <c r="F3251" s="2">
        <v>53266</v>
      </c>
      <c r="G3251" s="3" t="str">
        <f>HYPERLINK("http://funmeta.oebiotech.com/network/53266", "http://funmeta.oebiotech.com/network/53266")</f>
        <v>http://funmeta.oebiotech.com/network/53266</v>
      </c>
      <c r="H3251" s="2" t="s">
        <v>21622</v>
      </c>
      <c r="I3251" s="2">
        <v>85459</v>
      </c>
      <c r="J3251" s="2"/>
      <c r="K3251" s="2">
        <v>31205</v>
      </c>
      <c r="L3251" s="2"/>
      <c r="M3251" s="2"/>
      <c r="N3251" s="2"/>
      <c r="O3251" s="2">
        <v>2161</v>
      </c>
      <c r="P3251" s="2" t="s">
        <v>21623</v>
      </c>
      <c r="Q3251" s="2" t="s">
        <v>21624</v>
      </c>
      <c r="R3251" s="2" t="s">
        <v>21625</v>
      </c>
      <c r="S3251" s="2" t="s">
        <v>491</v>
      </c>
      <c r="T3251" s="2" t="s">
        <v>2251</v>
      </c>
      <c r="U3251" s="2" t="s">
        <v>2252</v>
      </c>
      <c r="V3251" s="2" t="s">
        <v>59</v>
      </c>
      <c r="W3251" s="2">
        <v>36.9</v>
      </c>
      <c r="X3251" s="2">
        <v>0</v>
      </c>
      <c r="Y3251" s="2" t="s">
        <v>286</v>
      </c>
      <c r="Z3251" s="2" t="s">
        <v>21626</v>
      </c>
      <c r="AA3251" s="2">
        <v>-2.0094283994957398</v>
      </c>
      <c r="AB3251" s="2">
        <v>0.237243412569831</v>
      </c>
      <c r="AC3251" s="2">
        <v>15399.335931268201</v>
      </c>
      <c r="AD3251" s="2">
        <v>11176.310241536999</v>
      </c>
      <c r="AE3251" s="2">
        <v>14686.9270031092</v>
      </c>
      <c r="AF3251" s="2">
        <v>14819.2841653582</v>
      </c>
      <c r="AG3251" s="2">
        <v>15157.277258561</v>
      </c>
      <c r="AH3251" s="2">
        <v>17780.126728572701</v>
      </c>
      <c r="AI3251" s="2">
        <v>14545.6362621763</v>
      </c>
      <c r="AJ3251" s="2">
        <v>15406.7641698321</v>
      </c>
      <c r="AK3251" s="2">
        <v>10032.801098108701</v>
      </c>
      <c r="AL3251" s="2">
        <v>13417.7417141812</v>
      </c>
      <c r="AM3251" s="2">
        <v>11465.384893525499</v>
      </c>
      <c r="AN3251" s="2">
        <v>10816.9284656572</v>
      </c>
      <c r="AO3251" s="2">
        <v>9520.3878122210808</v>
      </c>
      <c r="AP3251" s="2">
        <v>11804.617465528599</v>
      </c>
    </row>
    <row r="3252" spans="1:42" ht="14.5" x14ac:dyDescent="0.35">
      <c r="A3252" s="2" t="s">
        <v>21627</v>
      </c>
      <c r="B3252" s="2">
        <v>571.28857373581297</v>
      </c>
      <c r="C3252" s="2">
        <v>10.9548666666667</v>
      </c>
      <c r="D3252" s="2" t="s">
        <v>70</v>
      </c>
      <c r="E3252" s="2" t="s">
        <v>21628</v>
      </c>
      <c r="F3252" s="2">
        <v>24869</v>
      </c>
      <c r="G3252" s="3" t="str">
        <f>HYPERLINK("http://funmeta.oebiotech.com/network/24869", "http://funmeta.oebiotech.com/network/24869")</f>
        <v>http://funmeta.oebiotech.com/network/24869</v>
      </c>
      <c r="H3252" s="2" t="s">
        <v>21629</v>
      </c>
      <c r="I3252" s="2"/>
      <c r="J3252" s="2" t="s">
        <v>21630</v>
      </c>
      <c r="K3252" s="2">
        <v>73218</v>
      </c>
      <c r="L3252" s="2"/>
      <c r="M3252" s="2"/>
      <c r="N3252" s="2"/>
      <c r="O3252" s="2">
        <v>42607493</v>
      </c>
      <c r="P3252" s="2" t="s">
        <v>21631</v>
      </c>
      <c r="Q3252" s="2" t="s">
        <v>21632</v>
      </c>
      <c r="R3252" s="2" t="s">
        <v>21633</v>
      </c>
      <c r="S3252" s="2" t="s">
        <v>50</v>
      </c>
      <c r="T3252" s="2" t="s">
        <v>51</v>
      </c>
      <c r="U3252" s="2" t="s">
        <v>52</v>
      </c>
      <c r="V3252" s="2" t="s">
        <v>42</v>
      </c>
      <c r="W3252" s="2">
        <v>54</v>
      </c>
      <c r="X3252" s="2">
        <v>73.7</v>
      </c>
      <c r="Y3252" s="2" t="s">
        <v>118</v>
      </c>
      <c r="Z3252" s="2" t="s">
        <v>21634</v>
      </c>
      <c r="AA3252" s="2">
        <v>-0.54773796671049102</v>
      </c>
      <c r="AB3252" s="2">
        <v>0.23721727199394699</v>
      </c>
      <c r="AC3252" s="2">
        <v>117923.027070713</v>
      </c>
      <c r="AD3252" s="2">
        <v>109841.769604815</v>
      </c>
      <c r="AE3252" s="2">
        <v>131410.39359060201</v>
      </c>
      <c r="AF3252" s="2">
        <v>114130.56393768299</v>
      </c>
      <c r="AG3252" s="2">
        <v>116860.63471742401</v>
      </c>
      <c r="AH3252" s="2">
        <v>125247.594542133</v>
      </c>
      <c r="AI3252" s="2">
        <v>106685.765803549</v>
      </c>
      <c r="AJ3252" s="2">
        <v>113203.209832885</v>
      </c>
      <c r="AK3252" s="2">
        <v>99762.715254587398</v>
      </c>
      <c r="AL3252" s="2">
        <v>120884.44128102</v>
      </c>
      <c r="AM3252" s="2">
        <v>104869.699195494</v>
      </c>
      <c r="AN3252" s="2">
        <v>102519.85472749</v>
      </c>
      <c r="AO3252" s="2">
        <v>119211.107775813</v>
      </c>
      <c r="AP3252" s="2">
        <v>111802.799394488</v>
      </c>
    </row>
    <row r="3253" spans="1:42" ht="14.5" x14ac:dyDescent="0.35">
      <c r="A3253" s="2" t="s">
        <v>21635</v>
      </c>
      <c r="B3253" s="2">
        <v>555.20723237467303</v>
      </c>
      <c r="C3253" s="2">
        <v>4.2405333333333299</v>
      </c>
      <c r="D3253" s="2" t="s">
        <v>70</v>
      </c>
      <c r="E3253" s="2" t="s">
        <v>21636</v>
      </c>
      <c r="F3253" s="2">
        <v>289908</v>
      </c>
      <c r="G3253" s="3" t="str">
        <f>HYPERLINK("http://funmeta.oebiotech.com/network/289908", "http://funmeta.oebiotech.com/network/289908")</f>
        <v>http://funmeta.oebiotech.com/network/289908</v>
      </c>
      <c r="H3253" s="2"/>
      <c r="I3253" s="2">
        <v>985221</v>
      </c>
      <c r="J3253" s="2"/>
      <c r="K3253" s="2"/>
      <c r="L3253" s="2"/>
      <c r="M3253" s="2"/>
      <c r="N3253" s="2"/>
      <c r="O3253" s="2">
        <v>15649436</v>
      </c>
      <c r="P3253" s="2"/>
      <c r="Q3253" s="2" t="s">
        <v>21637</v>
      </c>
      <c r="R3253" s="2" t="s">
        <v>21638</v>
      </c>
      <c r="S3253" s="2" t="s">
        <v>491</v>
      </c>
      <c r="T3253" s="2" t="s">
        <v>2653</v>
      </c>
      <c r="U3253" s="2" t="s">
        <v>12620</v>
      </c>
      <c r="V3253" s="2" t="s">
        <v>59</v>
      </c>
      <c r="W3253" s="2">
        <v>38.1</v>
      </c>
      <c r="X3253" s="2">
        <v>0</v>
      </c>
      <c r="Y3253" s="2" t="s">
        <v>560</v>
      </c>
      <c r="Z3253" s="2" t="s">
        <v>21639</v>
      </c>
      <c r="AA3253" s="2">
        <v>6.2088145133037997</v>
      </c>
      <c r="AB3253" s="2">
        <v>0.23720304294688599</v>
      </c>
      <c r="AC3253" s="2">
        <v>15104.8284179122</v>
      </c>
      <c r="AD3253" s="2">
        <v>20127.533704191501</v>
      </c>
      <c r="AE3253" s="2">
        <v>13401.766689294</v>
      </c>
      <c r="AF3253" s="2">
        <v>16193.195021785201</v>
      </c>
      <c r="AG3253" s="2">
        <v>18764.743758293698</v>
      </c>
      <c r="AH3253" s="2">
        <v>12265.678426291501</v>
      </c>
      <c r="AI3253" s="2">
        <v>12147.079992281801</v>
      </c>
      <c r="AJ3253" s="2">
        <v>17856.506619527299</v>
      </c>
      <c r="AK3253" s="2">
        <v>17745.238031347799</v>
      </c>
      <c r="AL3253" s="2">
        <v>21803.231118407999</v>
      </c>
      <c r="AM3253" s="2">
        <v>21508.385316518699</v>
      </c>
      <c r="AN3253" s="2">
        <v>22444.5404621079</v>
      </c>
      <c r="AO3253" s="2">
        <v>18543.213469168801</v>
      </c>
      <c r="AP3253" s="2">
        <v>18720.593827597801</v>
      </c>
    </row>
    <row r="3254" spans="1:42" ht="14.5" x14ac:dyDescent="0.35">
      <c r="A3254" s="2" t="s">
        <v>21640</v>
      </c>
      <c r="B3254" s="2">
        <v>722.49577541724602</v>
      </c>
      <c r="C3254" s="2">
        <v>14.094333333333299</v>
      </c>
      <c r="D3254" s="2" t="s">
        <v>34</v>
      </c>
      <c r="E3254" s="2" t="s">
        <v>21641</v>
      </c>
      <c r="F3254" s="2">
        <v>22178</v>
      </c>
      <c r="G3254" s="3" t="str">
        <f>HYPERLINK("http://funmeta.oebiotech.com/network/22178", "http://funmeta.oebiotech.com/network/22178")</f>
        <v>http://funmeta.oebiotech.com/network/22178</v>
      </c>
      <c r="H3254" s="2" t="s">
        <v>21642</v>
      </c>
      <c r="I3254" s="2">
        <v>78581</v>
      </c>
      <c r="J3254" s="2" t="s">
        <v>21643</v>
      </c>
      <c r="K3254" s="2"/>
      <c r="L3254" s="2"/>
      <c r="M3254" s="2"/>
      <c r="N3254" s="2"/>
      <c r="O3254" s="2">
        <v>52926024</v>
      </c>
      <c r="P3254" s="2"/>
      <c r="Q3254" s="2" t="s">
        <v>21644</v>
      </c>
      <c r="R3254" s="2" t="s">
        <v>21645</v>
      </c>
      <c r="S3254" s="2" t="s">
        <v>50</v>
      </c>
      <c r="T3254" s="2" t="s">
        <v>51</v>
      </c>
      <c r="U3254" s="2" t="s">
        <v>66</v>
      </c>
      <c r="V3254" s="2" t="s">
        <v>59</v>
      </c>
      <c r="W3254" s="2">
        <v>37.799999999999997</v>
      </c>
      <c r="X3254" s="2">
        <v>0</v>
      </c>
      <c r="Y3254" s="2" t="s">
        <v>394</v>
      </c>
      <c r="Z3254" s="2" t="s">
        <v>21646</v>
      </c>
      <c r="AA3254" s="2">
        <v>-1.2268429912315599</v>
      </c>
      <c r="AB3254" s="2">
        <v>0.23690434227132101</v>
      </c>
      <c r="AC3254" s="2">
        <v>1347.7246693612001</v>
      </c>
      <c r="AD3254" s="2">
        <v>5441.7672997497302</v>
      </c>
      <c r="AE3254" s="2">
        <v>1710.9012586126701</v>
      </c>
      <c r="AF3254" s="2">
        <v>1153.56287629657</v>
      </c>
      <c r="AG3254" s="2">
        <v>1364.05500648003</v>
      </c>
      <c r="AH3254" s="2">
        <v>960.90198161529099</v>
      </c>
      <c r="AI3254" s="2">
        <v>1582.70217609874</v>
      </c>
      <c r="AJ3254" s="2">
        <v>1314.22471706391</v>
      </c>
      <c r="AK3254" s="2">
        <v>8415.2535956430802</v>
      </c>
      <c r="AL3254" s="2">
        <v>5374.1829459825103</v>
      </c>
      <c r="AM3254" s="2">
        <v>4744.8555530646699</v>
      </c>
      <c r="AN3254" s="2">
        <v>4530.0971349702004</v>
      </c>
      <c r="AO3254" s="2">
        <v>5144.9975069586699</v>
      </c>
      <c r="AP3254" s="2">
        <v>4441.2170618792798</v>
      </c>
    </row>
    <row r="3255" spans="1:42" ht="14.5" x14ac:dyDescent="0.35">
      <c r="A3255" s="2" t="s">
        <v>21647</v>
      </c>
      <c r="B3255" s="2">
        <v>459.30982124021398</v>
      </c>
      <c r="C3255" s="2">
        <v>5.5564166666666699</v>
      </c>
      <c r="D3255" s="2" t="s">
        <v>34</v>
      </c>
      <c r="E3255" s="2" t="s">
        <v>21648</v>
      </c>
      <c r="F3255" s="2">
        <v>57922</v>
      </c>
      <c r="G3255" s="3" t="str">
        <f>HYPERLINK("http://funmeta.oebiotech.com/network/57922", "http://funmeta.oebiotech.com/network/57922")</f>
        <v>http://funmeta.oebiotech.com/network/57922</v>
      </c>
      <c r="H3255" s="2" t="s">
        <v>21649</v>
      </c>
      <c r="I3255" s="2">
        <v>89500</v>
      </c>
      <c r="J3255" s="2"/>
      <c r="K3255" s="2"/>
      <c r="L3255" s="2"/>
      <c r="M3255" s="2"/>
      <c r="N3255" s="2"/>
      <c r="O3255" s="2">
        <v>5317761</v>
      </c>
      <c r="P3255" s="2" t="s">
        <v>21650</v>
      </c>
      <c r="Q3255" s="2" t="s">
        <v>21651</v>
      </c>
      <c r="R3255" s="2" t="s">
        <v>21652</v>
      </c>
      <c r="S3255" s="2" t="s">
        <v>50</v>
      </c>
      <c r="T3255" s="2" t="s">
        <v>124</v>
      </c>
      <c r="U3255" s="2" t="s">
        <v>567</v>
      </c>
      <c r="V3255" s="2" t="s">
        <v>59</v>
      </c>
      <c r="W3255" s="2">
        <v>36.799999999999997</v>
      </c>
      <c r="X3255" s="2">
        <v>0</v>
      </c>
      <c r="Y3255" s="2" t="s">
        <v>394</v>
      </c>
      <c r="Z3255" s="2" t="s">
        <v>21653</v>
      </c>
      <c r="AA3255" s="2">
        <v>-1.4829407462361099</v>
      </c>
      <c r="AB3255" s="2">
        <v>0.23690138294979299</v>
      </c>
      <c r="AC3255" s="2">
        <v>5738.7278464072197</v>
      </c>
      <c r="AD3255" s="2">
        <v>10194.950202984701</v>
      </c>
      <c r="AE3255" s="2">
        <v>2680.9013995748401</v>
      </c>
      <c r="AF3255" s="2">
        <v>5274.3018439219004</v>
      </c>
      <c r="AG3255" s="2">
        <v>6858.3274895357999</v>
      </c>
      <c r="AH3255" s="2">
        <v>6494.4808072921296</v>
      </c>
      <c r="AI3255" s="2">
        <v>6771.5623316779802</v>
      </c>
      <c r="AJ3255" s="2">
        <v>6352.7932064406496</v>
      </c>
      <c r="AK3255" s="2">
        <v>6952.9386246067197</v>
      </c>
      <c r="AL3255" s="2">
        <v>11497.7124707844</v>
      </c>
      <c r="AM3255" s="2">
        <v>9347.0357595984497</v>
      </c>
      <c r="AN3255" s="2">
        <v>11266.9071511278</v>
      </c>
      <c r="AO3255" s="2">
        <v>11275.951523472901</v>
      </c>
      <c r="AP3255" s="2">
        <v>10829.1556883178</v>
      </c>
    </row>
    <row r="3256" spans="1:42" ht="14.5" x14ac:dyDescent="0.35">
      <c r="A3256" s="2" t="s">
        <v>21654</v>
      </c>
      <c r="B3256" s="2">
        <v>348.12870289974899</v>
      </c>
      <c r="C3256" s="2">
        <v>1.4777166666666699</v>
      </c>
      <c r="D3256" s="2" t="s">
        <v>34</v>
      </c>
      <c r="E3256" s="2" t="s">
        <v>21655</v>
      </c>
      <c r="F3256" s="2">
        <v>64308</v>
      </c>
      <c r="G3256" s="3" t="str">
        <f>HYPERLINK("http://funmeta.oebiotech.com/network/64308", "http://funmeta.oebiotech.com/network/64308")</f>
        <v>http://funmeta.oebiotech.com/network/64308</v>
      </c>
      <c r="H3256" s="2" t="s">
        <v>21656</v>
      </c>
      <c r="I3256" s="2"/>
      <c r="J3256" s="2"/>
      <c r="K3256" s="2">
        <v>168431</v>
      </c>
      <c r="L3256" s="2"/>
      <c r="M3256" s="2"/>
      <c r="N3256" s="2"/>
      <c r="O3256" s="2">
        <v>5375020</v>
      </c>
      <c r="P3256" s="2" t="s">
        <v>21657</v>
      </c>
      <c r="Q3256" s="2" t="s">
        <v>21658</v>
      </c>
      <c r="R3256" s="2" t="s">
        <v>21659</v>
      </c>
      <c r="S3256" s="2" t="s">
        <v>79</v>
      </c>
      <c r="T3256" s="2" t="s">
        <v>80</v>
      </c>
      <c r="U3256" s="2" t="s">
        <v>81</v>
      </c>
      <c r="V3256" s="2" t="s">
        <v>42</v>
      </c>
      <c r="W3256" s="2">
        <v>49.9</v>
      </c>
      <c r="X3256" s="2">
        <v>54.4</v>
      </c>
      <c r="Y3256" s="2" t="s">
        <v>394</v>
      </c>
      <c r="Z3256" s="2" t="s">
        <v>21660</v>
      </c>
      <c r="AA3256" s="2">
        <v>-0.58995620741010601</v>
      </c>
      <c r="AB3256" s="2">
        <v>0.23689536915947401</v>
      </c>
      <c r="AC3256" s="2">
        <v>35784.087629094603</v>
      </c>
      <c r="AD3256" s="2">
        <v>40285.525907302603</v>
      </c>
      <c r="AE3256" s="2">
        <v>36410.6052942346</v>
      </c>
      <c r="AF3256" s="2">
        <v>37113.953047087503</v>
      </c>
      <c r="AG3256" s="2">
        <v>36519.513419665003</v>
      </c>
      <c r="AH3256" s="2">
        <v>33130.812349557797</v>
      </c>
      <c r="AI3256" s="2">
        <v>35265.481475785004</v>
      </c>
      <c r="AJ3256" s="2">
        <v>36264.1601882377</v>
      </c>
      <c r="AK3256" s="2">
        <v>39999.098151475497</v>
      </c>
      <c r="AL3256" s="2">
        <v>37257.781866329598</v>
      </c>
      <c r="AM3256" s="2">
        <v>41963.219167367897</v>
      </c>
      <c r="AN3256" s="2">
        <v>42472.816530201701</v>
      </c>
      <c r="AO3256" s="2">
        <v>38755.734125087598</v>
      </c>
      <c r="AP3256" s="2">
        <v>41264.5056033535</v>
      </c>
    </row>
    <row r="3257" spans="1:42" ht="14.5" x14ac:dyDescent="0.35">
      <c r="A3257" s="2" t="s">
        <v>21661</v>
      </c>
      <c r="B3257" s="2">
        <v>495.333075227633</v>
      </c>
      <c r="C3257" s="2">
        <v>8.6008499999999994</v>
      </c>
      <c r="D3257" s="2" t="s">
        <v>70</v>
      </c>
      <c r="E3257" s="2" t="s">
        <v>21662</v>
      </c>
      <c r="F3257" s="2">
        <v>46325</v>
      </c>
      <c r="G3257" s="3" t="str">
        <f>HYPERLINK("http://funmeta.oebiotech.com/network/46325", "http://funmeta.oebiotech.com/network/46325")</f>
        <v>http://funmeta.oebiotech.com/network/46325</v>
      </c>
      <c r="H3257" s="2" t="s">
        <v>21663</v>
      </c>
      <c r="I3257" s="2">
        <v>5577</v>
      </c>
      <c r="J3257" s="2" t="s">
        <v>21664</v>
      </c>
      <c r="K3257" s="2">
        <v>18402</v>
      </c>
      <c r="L3257" s="2" t="s">
        <v>21665</v>
      </c>
      <c r="M3257" s="2" t="s">
        <v>14567</v>
      </c>
      <c r="N3257" s="2" t="s">
        <v>14568</v>
      </c>
      <c r="O3257" s="2">
        <v>122312</v>
      </c>
      <c r="P3257" s="2" t="s">
        <v>21666</v>
      </c>
      <c r="Q3257" s="2" t="s">
        <v>21667</v>
      </c>
      <c r="R3257" s="2" t="s">
        <v>21668</v>
      </c>
      <c r="S3257" s="2" t="s">
        <v>50</v>
      </c>
      <c r="T3257" s="2" t="s">
        <v>124</v>
      </c>
      <c r="U3257" s="2" t="s">
        <v>125</v>
      </c>
      <c r="V3257" s="2" t="s">
        <v>59</v>
      </c>
      <c r="W3257" s="2">
        <v>43.7</v>
      </c>
      <c r="X3257" s="2">
        <v>21.6</v>
      </c>
      <c r="Y3257" s="2" t="s">
        <v>408</v>
      </c>
      <c r="Z3257" s="2" t="s">
        <v>21669</v>
      </c>
      <c r="AA3257" s="2">
        <v>0.77228059156824902</v>
      </c>
      <c r="AB3257" s="2">
        <v>0.23665603243251701</v>
      </c>
      <c r="AC3257" s="2">
        <v>19900.5142038249</v>
      </c>
      <c r="AD3257" s="2">
        <v>24422.919788420899</v>
      </c>
      <c r="AE3257" s="2">
        <v>20277.592139325101</v>
      </c>
      <c r="AF3257" s="2">
        <v>19275.439166892698</v>
      </c>
      <c r="AG3257" s="2">
        <v>20141.6033166946</v>
      </c>
      <c r="AH3257" s="2">
        <v>20545.594969440201</v>
      </c>
      <c r="AI3257" s="2">
        <v>20400.368804499201</v>
      </c>
      <c r="AJ3257" s="2">
        <v>18762.4868260978</v>
      </c>
      <c r="AK3257" s="2">
        <v>23830.2434291914</v>
      </c>
      <c r="AL3257" s="2">
        <v>22067.446946395299</v>
      </c>
      <c r="AM3257" s="2">
        <v>26874.484096476499</v>
      </c>
      <c r="AN3257" s="2">
        <v>26621.270541337301</v>
      </c>
      <c r="AO3257" s="2">
        <v>26067.175789905901</v>
      </c>
      <c r="AP3257" s="2">
        <v>21076.897927219201</v>
      </c>
    </row>
    <row r="3258" spans="1:42" ht="14.5" x14ac:dyDescent="0.35">
      <c r="A3258" s="2" t="s">
        <v>21670</v>
      </c>
      <c r="B3258" s="2">
        <v>727.19362693297296</v>
      </c>
      <c r="C3258" s="2">
        <v>3.6357833333333298</v>
      </c>
      <c r="D3258" s="2" t="s">
        <v>70</v>
      </c>
      <c r="E3258" s="2" t="s">
        <v>21671</v>
      </c>
      <c r="F3258" s="2">
        <v>24913</v>
      </c>
      <c r="G3258" s="3" t="str">
        <f>HYPERLINK("http://funmeta.oebiotech.com/network/24913", "http://funmeta.oebiotech.com/network/24913")</f>
        <v>http://funmeta.oebiotech.com/network/24913</v>
      </c>
      <c r="H3258" s="2"/>
      <c r="I3258" s="2"/>
      <c r="J3258" s="2" t="s">
        <v>21672</v>
      </c>
      <c r="K3258" s="2">
        <v>84241</v>
      </c>
      <c r="L3258" s="2"/>
      <c r="M3258" s="2"/>
      <c r="N3258" s="2"/>
      <c r="O3258" s="2">
        <v>9543520</v>
      </c>
      <c r="P3258" s="2"/>
      <c r="Q3258" s="2" t="s">
        <v>21673</v>
      </c>
      <c r="R3258" s="2" t="s">
        <v>21674</v>
      </c>
      <c r="S3258" s="2" t="s">
        <v>50</v>
      </c>
      <c r="T3258" s="2" t="s">
        <v>51</v>
      </c>
      <c r="U3258" s="2" t="s">
        <v>5754</v>
      </c>
      <c r="V3258" s="2" t="s">
        <v>42</v>
      </c>
      <c r="W3258" s="2">
        <v>44.4</v>
      </c>
      <c r="X3258" s="2">
        <v>47.7</v>
      </c>
      <c r="Y3258" s="2" t="s">
        <v>751</v>
      </c>
      <c r="Z3258" s="2" t="s">
        <v>21675</v>
      </c>
      <c r="AA3258" s="2">
        <v>4.5279861637590804</v>
      </c>
      <c r="AB3258" s="2">
        <v>0.23652917132329301</v>
      </c>
      <c r="AC3258" s="2">
        <v>159109.97552657899</v>
      </c>
      <c r="AD3258" s="2">
        <v>148943.99428551199</v>
      </c>
      <c r="AE3258" s="2">
        <v>160809.512443168</v>
      </c>
      <c r="AF3258" s="2">
        <v>148454.18580588599</v>
      </c>
      <c r="AG3258" s="2">
        <v>142571.51369745799</v>
      </c>
      <c r="AH3258" s="2">
        <v>156503.12714442899</v>
      </c>
      <c r="AI3258" s="2">
        <v>181650.44110925001</v>
      </c>
      <c r="AJ3258" s="2">
        <v>164671.07295928401</v>
      </c>
      <c r="AK3258" s="2">
        <v>128848.724781664</v>
      </c>
      <c r="AL3258" s="2">
        <v>158449.57997296299</v>
      </c>
      <c r="AM3258" s="2">
        <v>133744.81590611901</v>
      </c>
      <c r="AN3258" s="2">
        <v>153883.31103800301</v>
      </c>
      <c r="AO3258" s="2">
        <v>160959.26153649899</v>
      </c>
      <c r="AP3258" s="2">
        <v>157778.27247782599</v>
      </c>
    </row>
    <row r="3259" spans="1:42" ht="14.5" x14ac:dyDescent="0.35">
      <c r="A3259" s="2" t="s">
        <v>21676</v>
      </c>
      <c r="B3259" s="2">
        <v>763.28258874147502</v>
      </c>
      <c r="C3259" s="2">
        <v>5.7479666666666702</v>
      </c>
      <c r="D3259" s="2" t="s">
        <v>70</v>
      </c>
      <c r="E3259" s="2" t="s">
        <v>21677</v>
      </c>
      <c r="F3259" s="2">
        <v>46674</v>
      </c>
      <c r="G3259" s="3" t="str">
        <f>HYPERLINK("http://funmeta.oebiotech.com/network/46674", "http://funmeta.oebiotech.com/network/46674")</f>
        <v>http://funmeta.oebiotech.com/network/46674</v>
      </c>
      <c r="H3259" s="2"/>
      <c r="I3259" s="2"/>
      <c r="J3259" s="2" t="s">
        <v>21678</v>
      </c>
      <c r="K3259" s="2">
        <v>1188</v>
      </c>
      <c r="L3259" s="2" t="s">
        <v>21679</v>
      </c>
      <c r="M3259" s="2" t="s">
        <v>2454</v>
      </c>
      <c r="N3259" s="2" t="s">
        <v>2455</v>
      </c>
      <c r="O3259" s="2">
        <v>441486</v>
      </c>
      <c r="P3259" s="2"/>
      <c r="Q3259" s="2" t="s">
        <v>21680</v>
      </c>
      <c r="R3259" s="2" t="s">
        <v>21681</v>
      </c>
      <c r="S3259" s="2" t="s">
        <v>50</v>
      </c>
      <c r="T3259" s="2" t="s">
        <v>124</v>
      </c>
      <c r="U3259" s="2" t="s">
        <v>9313</v>
      </c>
      <c r="V3259" s="2" t="s">
        <v>59</v>
      </c>
      <c r="W3259" s="2">
        <v>37.5</v>
      </c>
      <c r="X3259" s="2">
        <v>0</v>
      </c>
      <c r="Y3259" s="2" t="s">
        <v>560</v>
      </c>
      <c r="Z3259" s="2" t="s">
        <v>21682</v>
      </c>
      <c r="AA3259" s="2">
        <v>-0.20140114501388701</v>
      </c>
      <c r="AB3259" s="2">
        <v>0.23627317926048599</v>
      </c>
      <c r="AC3259" s="2">
        <v>20975.987500470099</v>
      </c>
      <c r="AD3259" s="2">
        <v>16498.129614576599</v>
      </c>
      <c r="AE3259" s="2">
        <v>21460.715608140501</v>
      </c>
      <c r="AF3259" s="2">
        <v>18520.074384522901</v>
      </c>
      <c r="AG3259" s="2">
        <v>20740.4357444177</v>
      </c>
      <c r="AH3259" s="2">
        <v>21666.873927848599</v>
      </c>
      <c r="AI3259" s="2">
        <v>20519.0480229446</v>
      </c>
      <c r="AJ3259" s="2">
        <v>22948.777314946601</v>
      </c>
      <c r="AK3259" s="2">
        <v>14434.375244057001</v>
      </c>
      <c r="AL3259" s="2">
        <v>15277.127688458901</v>
      </c>
      <c r="AM3259" s="2">
        <v>18976.293348216899</v>
      </c>
      <c r="AN3259" s="2">
        <v>18624.760039057601</v>
      </c>
      <c r="AO3259" s="2">
        <v>16292.725628993499</v>
      </c>
      <c r="AP3259" s="2">
        <v>15383.4957386756</v>
      </c>
    </row>
    <row r="3260" spans="1:42" ht="14.5" x14ac:dyDescent="0.35">
      <c r="A3260" s="2" t="s">
        <v>21683</v>
      </c>
      <c r="B3260" s="2">
        <v>703.21098136908302</v>
      </c>
      <c r="C3260" s="2">
        <v>8.2186333333333295</v>
      </c>
      <c r="D3260" s="2" t="s">
        <v>70</v>
      </c>
      <c r="E3260" s="2" t="s">
        <v>21684</v>
      </c>
      <c r="F3260" s="2">
        <v>82497</v>
      </c>
      <c r="G3260" s="3" t="str">
        <f>HYPERLINK("http://funmeta.oebiotech.com/network/82497", "http://funmeta.oebiotech.com/network/82497")</f>
        <v>http://funmeta.oebiotech.com/network/82497</v>
      </c>
      <c r="H3260" s="2" t="s">
        <v>21685</v>
      </c>
      <c r="I3260" s="2"/>
      <c r="J3260" s="2"/>
      <c r="K3260" s="2"/>
      <c r="L3260" s="2"/>
      <c r="M3260" s="2"/>
      <c r="N3260" s="2"/>
      <c r="O3260" s="2">
        <v>98994</v>
      </c>
      <c r="P3260" s="2"/>
      <c r="Q3260" s="2" t="s">
        <v>21686</v>
      </c>
      <c r="R3260" s="2" t="s">
        <v>21687</v>
      </c>
      <c r="S3260" s="2" t="s">
        <v>89</v>
      </c>
      <c r="T3260" s="2" t="s">
        <v>90</v>
      </c>
      <c r="U3260" s="2" t="s">
        <v>99</v>
      </c>
      <c r="V3260" s="2" t="s">
        <v>59</v>
      </c>
      <c r="W3260" s="2">
        <v>38.299999999999997</v>
      </c>
      <c r="X3260" s="2">
        <v>0</v>
      </c>
      <c r="Y3260" s="2" t="s">
        <v>560</v>
      </c>
      <c r="Z3260" s="2" t="s">
        <v>21688</v>
      </c>
      <c r="AA3260" s="2">
        <v>-0.46533352540754902</v>
      </c>
      <c r="AB3260" s="2">
        <v>0.23621299060722301</v>
      </c>
      <c r="AC3260" s="2">
        <v>17172.364104907701</v>
      </c>
      <c r="AD3260" s="2">
        <v>21317.6638771787</v>
      </c>
      <c r="AE3260" s="2">
        <v>17630.567913244598</v>
      </c>
      <c r="AF3260" s="2">
        <v>16200.170710722499</v>
      </c>
      <c r="AG3260" s="2">
        <v>18243.6487409238</v>
      </c>
      <c r="AH3260" s="2">
        <v>16668.951634920599</v>
      </c>
      <c r="AI3260" s="2">
        <v>17593.0966520365</v>
      </c>
      <c r="AJ3260" s="2">
        <v>16697.748977598301</v>
      </c>
      <c r="AK3260" s="2">
        <v>22453.031479360699</v>
      </c>
      <c r="AL3260" s="2">
        <v>18933.4638370885</v>
      </c>
      <c r="AM3260" s="2">
        <v>21091.092973974399</v>
      </c>
      <c r="AN3260" s="2">
        <v>20210.096692913801</v>
      </c>
      <c r="AO3260" s="2">
        <v>22941.0832268671</v>
      </c>
      <c r="AP3260" s="2">
        <v>22277.215052867599</v>
      </c>
    </row>
    <row r="3261" spans="1:42" ht="14.5" x14ac:dyDescent="0.35">
      <c r="A3261" s="2" t="s">
        <v>21689</v>
      </c>
      <c r="B3261" s="2">
        <v>888.504511480264</v>
      </c>
      <c r="C3261" s="2">
        <v>11.3852666666667</v>
      </c>
      <c r="D3261" s="2" t="s">
        <v>34</v>
      </c>
      <c r="E3261" s="2" t="s">
        <v>21690</v>
      </c>
      <c r="F3261" s="2">
        <v>257148</v>
      </c>
      <c r="G3261" s="3" t="str">
        <f>HYPERLINK("http://funmeta.oebiotech.com/network/257148", "http://funmeta.oebiotech.com/network/257148")</f>
        <v>http://funmeta.oebiotech.com/network/257148</v>
      </c>
      <c r="H3261" s="2" t="s">
        <v>21691</v>
      </c>
      <c r="I3261" s="2"/>
      <c r="J3261" s="2"/>
      <c r="K3261" s="2"/>
      <c r="L3261" s="2"/>
      <c r="M3261" s="2"/>
      <c r="N3261" s="2"/>
      <c r="O3261" s="2"/>
      <c r="P3261" s="2"/>
      <c r="Q3261" s="2" t="s">
        <v>21692</v>
      </c>
      <c r="R3261" s="2" t="s">
        <v>21693</v>
      </c>
      <c r="S3261" s="2" t="s">
        <v>491</v>
      </c>
      <c r="T3261" s="2" t="s">
        <v>492</v>
      </c>
      <c r="U3261" s="2" t="s">
        <v>21694</v>
      </c>
      <c r="V3261" s="2" t="s">
        <v>59</v>
      </c>
      <c r="W3261" s="2">
        <v>38.200000000000003</v>
      </c>
      <c r="X3261" s="2">
        <v>0</v>
      </c>
      <c r="Y3261" s="2" t="s">
        <v>394</v>
      </c>
      <c r="Z3261" s="2" t="s">
        <v>21695</v>
      </c>
      <c r="AA3261" s="2">
        <v>1.17981641886938</v>
      </c>
      <c r="AB3261" s="2">
        <v>0.23613741510297301</v>
      </c>
      <c r="AC3261" s="2">
        <v>10153.004286016099</v>
      </c>
      <c r="AD3261" s="2">
        <v>5817.5795627744401</v>
      </c>
      <c r="AE3261" s="2">
        <v>9828.3865923580706</v>
      </c>
      <c r="AF3261" s="2">
        <v>8064.6041308221702</v>
      </c>
      <c r="AG3261" s="2">
        <v>10858.675456458899</v>
      </c>
      <c r="AH3261" s="2">
        <v>9226.6185906792198</v>
      </c>
      <c r="AI3261" s="2">
        <v>11183.5006013688</v>
      </c>
      <c r="AJ3261" s="2">
        <v>11756.2403444093</v>
      </c>
      <c r="AK3261" s="2">
        <v>4970.1417231411697</v>
      </c>
      <c r="AL3261" s="2">
        <v>3301.0420989177401</v>
      </c>
      <c r="AM3261" s="2">
        <v>5790.36481735283</v>
      </c>
      <c r="AN3261" s="2">
        <v>6075.4193116583501</v>
      </c>
      <c r="AO3261" s="2">
        <v>7644.0779600817996</v>
      </c>
      <c r="AP3261" s="2">
        <v>7124.4314654947702</v>
      </c>
    </row>
    <row r="3262" spans="1:42" ht="14.5" x14ac:dyDescent="0.35">
      <c r="A3262" s="2" t="s">
        <v>21696</v>
      </c>
      <c r="B3262" s="2">
        <v>457.170328812999</v>
      </c>
      <c r="C3262" s="2">
        <v>4.7039999999999997</v>
      </c>
      <c r="D3262" s="2" t="s">
        <v>70</v>
      </c>
      <c r="E3262" s="2" t="s">
        <v>21697</v>
      </c>
      <c r="F3262" s="2">
        <v>48019</v>
      </c>
      <c r="G3262" s="3" t="str">
        <f>HYPERLINK("http://funmeta.oebiotech.com/network/48019", "http://funmeta.oebiotech.com/network/48019")</f>
        <v>http://funmeta.oebiotech.com/network/48019</v>
      </c>
      <c r="H3262" s="2" t="s">
        <v>21698</v>
      </c>
      <c r="I3262" s="2">
        <v>53</v>
      </c>
      <c r="J3262" s="2"/>
      <c r="K3262" s="2">
        <v>4828</v>
      </c>
      <c r="L3262" s="2" t="s">
        <v>21699</v>
      </c>
      <c r="M3262" s="2" t="s">
        <v>15688</v>
      </c>
      <c r="N3262" s="2" t="s">
        <v>15689</v>
      </c>
      <c r="O3262" s="2">
        <v>5351619</v>
      </c>
      <c r="P3262" s="2" t="s">
        <v>21700</v>
      </c>
      <c r="Q3262" s="2" t="s">
        <v>21701</v>
      </c>
      <c r="R3262" s="2" t="s">
        <v>21702</v>
      </c>
      <c r="S3262" s="2" t="s">
        <v>89</v>
      </c>
      <c r="T3262" s="2" t="s">
        <v>90</v>
      </c>
      <c r="U3262" s="2" t="s">
        <v>99</v>
      </c>
      <c r="V3262" s="2" t="s">
        <v>59</v>
      </c>
      <c r="W3262" s="2">
        <v>38.4</v>
      </c>
      <c r="X3262" s="2">
        <v>0</v>
      </c>
      <c r="Y3262" s="2" t="s">
        <v>560</v>
      </c>
      <c r="Z3262" s="2" t="s">
        <v>21703</v>
      </c>
      <c r="AA3262" s="2">
        <v>1.33087401707827</v>
      </c>
      <c r="AB3262" s="2">
        <v>0.23580484784338299</v>
      </c>
      <c r="AC3262" s="2">
        <v>16178.6021048153</v>
      </c>
      <c r="AD3262" s="2">
        <v>20486.885664620699</v>
      </c>
      <c r="AE3262" s="2">
        <v>18262.433104688102</v>
      </c>
      <c r="AF3262" s="2">
        <v>16135.159027203001</v>
      </c>
      <c r="AG3262" s="2">
        <v>14873.002584510201</v>
      </c>
      <c r="AH3262" s="2">
        <v>16938.0691918843</v>
      </c>
      <c r="AI3262" s="2">
        <v>14476.273424898</v>
      </c>
      <c r="AJ3262" s="2">
        <v>16386.675295708399</v>
      </c>
      <c r="AK3262" s="2">
        <v>19792.6631978558</v>
      </c>
      <c r="AL3262" s="2">
        <v>22590.8300951169</v>
      </c>
      <c r="AM3262" s="2">
        <v>18109.601649189601</v>
      </c>
      <c r="AN3262" s="2">
        <v>20382.422992748099</v>
      </c>
      <c r="AO3262" s="2">
        <v>20954.324951719602</v>
      </c>
      <c r="AP3262" s="2">
        <v>21091.471101094299</v>
      </c>
    </row>
    <row r="3263" spans="1:42" ht="14.5" x14ac:dyDescent="0.35">
      <c r="A3263" s="2" t="s">
        <v>21704</v>
      </c>
      <c r="B3263" s="2">
        <v>429.17632696072297</v>
      </c>
      <c r="C3263" s="2">
        <v>4.8087833333333299</v>
      </c>
      <c r="D3263" s="2" t="s">
        <v>70</v>
      </c>
      <c r="E3263" s="2" t="s">
        <v>21705</v>
      </c>
      <c r="F3263" s="2">
        <v>273713</v>
      </c>
      <c r="G3263" s="3" t="str">
        <f>HYPERLINK("http://funmeta.oebiotech.com/network/273713", "http://funmeta.oebiotech.com/network/273713")</f>
        <v>http://funmeta.oebiotech.com/network/273713</v>
      </c>
      <c r="H3263" s="2"/>
      <c r="I3263" s="2">
        <v>62986</v>
      </c>
      <c r="J3263" s="2"/>
      <c r="K3263" s="2"/>
      <c r="L3263" s="2"/>
      <c r="M3263" s="2"/>
      <c r="N3263" s="2"/>
      <c r="O3263" s="2">
        <v>6413529</v>
      </c>
      <c r="P3263" s="2" t="s">
        <v>21706</v>
      </c>
      <c r="Q3263" s="2" t="s">
        <v>21707</v>
      </c>
      <c r="R3263" s="2" t="s">
        <v>21708</v>
      </c>
      <c r="S3263" s="2" t="s">
        <v>1677</v>
      </c>
      <c r="T3263" s="2" t="s">
        <v>1678</v>
      </c>
      <c r="U3263" s="2" t="s">
        <v>21709</v>
      </c>
      <c r="V3263" s="2" t="s">
        <v>59</v>
      </c>
      <c r="W3263" s="2">
        <v>38.200000000000003</v>
      </c>
      <c r="X3263" s="2">
        <v>0</v>
      </c>
      <c r="Y3263" s="2" t="s">
        <v>560</v>
      </c>
      <c r="Z3263" s="2" t="s">
        <v>21710</v>
      </c>
      <c r="AA3263" s="2">
        <v>5.5594562422728204</v>
      </c>
      <c r="AB3263" s="2">
        <v>0.23573806918729301</v>
      </c>
      <c r="AC3263" s="2">
        <v>21544.2115044815</v>
      </c>
      <c r="AD3263" s="2">
        <v>26381.381968675199</v>
      </c>
      <c r="AE3263" s="2">
        <v>21342.514864081801</v>
      </c>
      <c r="AF3263" s="2">
        <v>24013.194941288999</v>
      </c>
      <c r="AG3263" s="2">
        <v>20707.1782305263</v>
      </c>
      <c r="AH3263" s="2">
        <v>20412.916948567901</v>
      </c>
      <c r="AI3263" s="2">
        <v>20865.7817036628</v>
      </c>
      <c r="AJ3263" s="2">
        <v>21923.6823387611</v>
      </c>
      <c r="AK3263" s="2">
        <v>26403.317154572302</v>
      </c>
      <c r="AL3263" s="2">
        <v>25287.943239014501</v>
      </c>
      <c r="AM3263" s="2">
        <v>29303.843194389599</v>
      </c>
      <c r="AN3263" s="2">
        <v>21420.3475736162</v>
      </c>
      <c r="AO3263" s="2">
        <v>29413.931824045201</v>
      </c>
      <c r="AP3263" s="2">
        <v>26458.908826413499</v>
      </c>
    </row>
    <row r="3264" spans="1:42" ht="14.5" x14ac:dyDescent="0.35">
      <c r="A3264" s="2" t="s">
        <v>21711</v>
      </c>
      <c r="B3264" s="2">
        <v>399.21642066281299</v>
      </c>
      <c r="C3264" s="2">
        <v>10.6223333333333</v>
      </c>
      <c r="D3264" s="2" t="s">
        <v>34</v>
      </c>
      <c r="E3264" s="2" t="s">
        <v>21712</v>
      </c>
      <c r="F3264" s="2">
        <v>267528</v>
      </c>
      <c r="G3264" s="3" t="str">
        <f>HYPERLINK("http://funmeta.oebiotech.com/network/267528", "http://funmeta.oebiotech.com/network/267528")</f>
        <v>http://funmeta.oebiotech.com/network/267528</v>
      </c>
      <c r="H3264" s="2"/>
      <c r="I3264" s="2">
        <v>45629</v>
      </c>
      <c r="J3264" s="2"/>
      <c r="K3264" s="2"/>
      <c r="L3264" s="2"/>
      <c r="M3264" s="2"/>
      <c r="N3264" s="2"/>
      <c r="O3264" s="2">
        <v>5282428</v>
      </c>
      <c r="P3264" s="2" t="s">
        <v>21713</v>
      </c>
      <c r="Q3264" s="2" t="s">
        <v>21714</v>
      </c>
      <c r="R3264" s="2" t="s">
        <v>21715</v>
      </c>
      <c r="S3264" s="2" t="s">
        <v>50</v>
      </c>
      <c r="T3264" s="2" t="s">
        <v>229</v>
      </c>
      <c r="U3264" s="2" t="s">
        <v>1283</v>
      </c>
      <c r="V3264" s="2" t="s">
        <v>59</v>
      </c>
      <c r="W3264" s="2">
        <v>39.1</v>
      </c>
      <c r="X3264" s="2">
        <v>0</v>
      </c>
      <c r="Y3264" s="2" t="s">
        <v>266</v>
      </c>
      <c r="Z3264" s="2" t="s">
        <v>21716</v>
      </c>
      <c r="AA3264" s="2">
        <v>-0.45159436588292701</v>
      </c>
      <c r="AB3264" s="2">
        <v>0.235585424271605</v>
      </c>
      <c r="AC3264" s="2">
        <v>8369.2691259805906</v>
      </c>
      <c r="AD3264" s="2">
        <v>4606.9558121770096</v>
      </c>
      <c r="AE3264" s="2">
        <v>8981.4198053172804</v>
      </c>
      <c r="AF3264" s="2">
        <v>9228.5422549893392</v>
      </c>
      <c r="AG3264" s="2">
        <v>8448.6433308648702</v>
      </c>
      <c r="AH3264" s="2">
        <v>8484.1831976934809</v>
      </c>
      <c r="AI3264" s="2">
        <v>7450.94191678074</v>
      </c>
      <c r="AJ3264" s="2">
        <v>7621.8842502378502</v>
      </c>
      <c r="AK3264" s="2">
        <v>4572.5265126514296</v>
      </c>
      <c r="AL3264" s="2">
        <v>5022.2202598707099</v>
      </c>
      <c r="AM3264" s="2">
        <v>4400.7074882856896</v>
      </c>
      <c r="AN3264" s="2">
        <v>4797.1106007090902</v>
      </c>
      <c r="AO3264" s="2">
        <v>3952.4463314489499</v>
      </c>
      <c r="AP3264" s="2">
        <v>4896.72368009617</v>
      </c>
    </row>
    <row r="3265" spans="1:42" ht="14.5" x14ac:dyDescent="0.35">
      <c r="A3265" s="2" t="s">
        <v>21717</v>
      </c>
      <c r="B3265" s="2">
        <v>163.075262061252</v>
      </c>
      <c r="C3265" s="2">
        <v>4.0516166666666704</v>
      </c>
      <c r="D3265" s="2" t="s">
        <v>34</v>
      </c>
      <c r="E3265" s="2" t="s">
        <v>21718</v>
      </c>
      <c r="F3265" s="2">
        <v>35414</v>
      </c>
      <c r="G3265" s="3" t="str">
        <f>HYPERLINK("http://funmeta.oebiotech.com/network/35414", "http://funmeta.oebiotech.com/network/35414")</f>
        <v>http://funmeta.oebiotech.com/network/35414</v>
      </c>
      <c r="H3265" s="2"/>
      <c r="I3265" s="2"/>
      <c r="J3265" s="2" t="s">
        <v>21719</v>
      </c>
      <c r="K3265" s="2"/>
      <c r="L3265" s="2"/>
      <c r="M3265" s="2"/>
      <c r="N3265" s="2"/>
      <c r="O3265" s="2">
        <v>188981</v>
      </c>
      <c r="P3265" s="2"/>
      <c r="Q3265" s="2" t="s">
        <v>21720</v>
      </c>
      <c r="R3265" s="2" t="s">
        <v>21721</v>
      </c>
      <c r="S3265" s="2" t="s">
        <v>11257</v>
      </c>
      <c r="T3265" s="2" t="s">
        <v>11258</v>
      </c>
      <c r="U3265" s="2" t="s">
        <v>15264</v>
      </c>
      <c r="V3265" s="2" t="s">
        <v>42</v>
      </c>
      <c r="W3265" s="2">
        <v>50.5</v>
      </c>
      <c r="X3265" s="2">
        <v>56.5</v>
      </c>
      <c r="Y3265" s="2" t="s">
        <v>394</v>
      </c>
      <c r="Z3265" s="2" t="s">
        <v>14854</v>
      </c>
      <c r="AA3265" s="2">
        <v>-0.57957475735291897</v>
      </c>
      <c r="AB3265" s="2">
        <v>0.23542523653365099</v>
      </c>
      <c r="AC3265" s="2">
        <v>24254.873880060899</v>
      </c>
      <c r="AD3265" s="2">
        <v>20305.810207085498</v>
      </c>
      <c r="AE3265" s="2">
        <v>23361.107832256999</v>
      </c>
      <c r="AF3265" s="2">
        <v>26341.263342948499</v>
      </c>
      <c r="AG3265" s="2">
        <v>24368.992500011602</v>
      </c>
      <c r="AH3265" s="2">
        <v>23362.791124991101</v>
      </c>
      <c r="AI3265" s="2">
        <v>23986.557510091501</v>
      </c>
      <c r="AJ3265" s="2">
        <v>24108.5309700658</v>
      </c>
      <c r="AK3265" s="2">
        <v>19615.633123286199</v>
      </c>
      <c r="AL3265" s="2">
        <v>20932.766679917499</v>
      </c>
      <c r="AM3265" s="2">
        <v>20716.874990696098</v>
      </c>
      <c r="AN3265" s="2">
        <v>20753.447951538699</v>
      </c>
      <c r="AO3265" s="2">
        <v>20597.304600575</v>
      </c>
      <c r="AP3265" s="2">
        <v>19218.8338964994</v>
      </c>
    </row>
    <row r="3266" spans="1:42" ht="14.5" x14ac:dyDescent="0.35">
      <c r="A3266" s="2" t="s">
        <v>21722</v>
      </c>
      <c r="B3266" s="2">
        <v>317.06630274468199</v>
      </c>
      <c r="C3266" s="2">
        <v>5.1704666666666697</v>
      </c>
      <c r="D3266" s="2" t="s">
        <v>70</v>
      </c>
      <c r="E3266" s="2" t="s">
        <v>21723</v>
      </c>
      <c r="F3266" s="2">
        <v>55429</v>
      </c>
      <c r="G3266" s="3" t="str">
        <f>HYPERLINK("http://funmeta.oebiotech.com/network/55429", "http://funmeta.oebiotech.com/network/55429")</f>
        <v>http://funmeta.oebiotech.com/network/55429</v>
      </c>
      <c r="H3266" s="2" t="s">
        <v>21724</v>
      </c>
      <c r="I3266" s="2"/>
      <c r="J3266" s="2"/>
      <c r="K3266" s="2"/>
      <c r="L3266" s="2"/>
      <c r="M3266" s="2"/>
      <c r="N3266" s="2"/>
      <c r="O3266" s="2">
        <v>131751067</v>
      </c>
      <c r="P3266" s="2" t="s">
        <v>21725</v>
      </c>
      <c r="Q3266" s="2" t="s">
        <v>21726</v>
      </c>
      <c r="R3266" s="2" t="s">
        <v>21727</v>
      </c>
      <c r="S3266" s="2" t="s">
        <v>115</v>
      </c>
      <c r="T3266" s="2" t="s">
        <v>116</v>
      </c>
      <c r="U3266" s="2" t="s">
        <v>117</v>
      </c>
      <c r="V3266" s="2" t="s">
        <v>59</v>
      </c>
      <c r="W3266" s="2">
        <v>43.7</v>
      </c>
      <c r="X3266" s="2">
        <v>26.8</v>
      </c>
      <c r="Y3266" s="2" t="s">
        <v>751</v>
      </c>
      <c r="Z3266" s="2" t="s">
        <v>21728</v>
      </c>
      <c r="AA3266" s="2">
        <v>-1.1116397762392001</v>
      </c>
      <c r="AB3266" s="2">
        <v>0.235423313420587</v>
      </c>
      <c r="AC3266" s="2">
        <v>10988.575540919701</v>
      </c>
      <c r="AD3266" s="2">
        <v>15065.7804592264</v>
      </c>
      <c r="AE3266" s="2">
        <v>11647.059732981401</v>
      </c>
      <c r="AF3266" s="2">
        <v>10033.988728598</v>
      </c>
      <c r="AG3266" s="2">
        <v>11529.099555786101</v>
      </c>
      <c r="AH3266" s="2">
        <v>11284.5908430078</v>
      </c>
      <c r="AI3266" s="2">
        <v>11407.109106027399</v>
      </c>
      <c r="AJ3266" s="2">
        <v>10029.605279117601</v>
      </c>
      <c r="AK3266" s="2">
        <v>12781.0410259047</v>
      </c>
      <c r="AL3266" s="2">
        <v>14475.472160785401</v>
      </c>
      <c r="AM3266" s="2">
        <v>15706.320523022399</v>
      </c>
      <c r="AN3266" s="2">
        <v>14878.098659171599</v>
      </c>
      <c r="AO3266" s="2">
        <v>15447.016497050099</v>
      </c>
      <c r="AP3266" s="2">
        <v>17106.733889423998</v>
      </c>
    </row>
    <row r="3267" spans="1:42" ht="14.5" x14ac:dyDescent="0.35">
      <c r="A3267" s="2" t="s">
        <v>21729</v>
      </c>
      <c r="B3267" s="2">
        <v>117.073800786588</v>
      </c>
      <c r="C3267" s="2">
        <v>0.73473333333333302</v>
      </c>
      <c r="D3267" s="2" t="s">
        <v>34</v>
      </c>
      <c r="E3267" s="2" t="s">
        <v>21730</v>
      </c>
      <c r="F3267" s="2">
        <v>56670</v>
      </c>
      <c r="G3267" s="3" t="str">
        <f>HYPERLINK("http://funmeta.oebiotech.com/network/56670", "http://funmeta.oebiotech.com/network/56670")</f>
        <v>http://funmeta.oebiotech.com/network/56670</v>
      </c>
      <c r="H3267" s="2" t="s">
        <v>21731</v>
      </c>
      <c r="I3267" s="2">
        <v>88322</v>
      </c>
      <c r="J3267" s="2"/>
      <c r="K3267" s="2"/>
      <c r="L3267" s="2"/>
      <c r="M3267" s="2"/>
      <c r="N3267" s="2"/>
      <c r="O3267" s="2">
        <v>23039305</v>
      </c>
      <c r="P3267" s="2" t="s">
        <v>21732</v>
      </c>
      <c r="Q3267" s="2" t="s">
        <v>21733</v>
      </c>
      <c r="R3267" s="2" t="s">
        <v>21734</v>
      </c>
      <c r="S3267" s="2" t="s">
        <v>5916</v>
      </c>
      <c r="T3267" s="2" t="s">
        <v>5917</v>
      </c>
      <c r="U3267" s="2" t="s">
        <v>21735</v>
      </c>
      <c r="V3267" s="2" t="s">
        <v>59</v>
      </c>
      <c r="W3267" s="2">
        <v>36.799999999999997</v>
      </c>
      <c r="X3267" s="2">
        <v>0</v>
      </c>
      <c r="Y3267" s="2" t="s">
        <v>141</v>
      </c>
      <c r="Z3267" s="2" t="s">
        <v>21736</v>
      </c>
      <c r="AA3267" s="2">
        <v>4.1242715878940501</v>
      </c>
      <c r="AB3267" s="2">
        <v>0.235118789547624</v>
      </c>
      <c r="AC3267" s="2">
        <v>11669.3863837599</v>
      </c>
      <c r="AD3267" s="2">
        <v>7554.5390210661999</v>
      </c>
      <c r="AE3267" s="2">
        <v>10983.730317362801</v>
      </c>
      <c r="AF3267" s="2">
        <v>13525.535134342201</v>
      </c>
      <c r="AG3267" s="2">
        <v>11746.412550605</v>
      </c>
      <c r="AH3267" s="2">
        <v>13343.2846683676</v>
      </c>
      <c r="AI3267" s="2">
        <v>9112.11789340613</v>
      </c>
      <c r="AJ3267" s="2">
        <v>11305.2377384757</v>
      </c>
      <c r="AK3267" s="2">
        <v>6956.1480134708199</v>
      </c>
      <c r="AL3267" s="2">
        <v>8026.4076267729397</v>
      </c>
      <c r="AM3267" s="2">
        <v>8684.5326530188595</v>
      </c>
      <c r="AN3267" s="2">
        <v>7439.1457848867403</v>
      </c>
      <c r="AO3267" s="2">
        <v>7094.1380724393002</v>
      </c>
      <c r="AP3267" s="2">
        <v>7126.8619758085097</v>
      </c>
    </row>
    <row r="3268" spans="1:42" ht="14.5" x14ac:dyDescent="0.35">
      <c r="A3268" s="2" t="s">
        <v>21737</v>
      </c>
      <c r="B3268" s="2">
        <v>326.035516639658</v>
      </c>
      <c r="C3268" s="2">
        <v>4.4964333333333304</v>
      </c>
      <c r="D3268" s="2" t="s">
        <v>34</v>
      </c>
      <c r="E3268" s="2" t="s">
        <v>21738</v>
      </c>
      <c r="F3268" s="2">
        <v>342366</v>
      </c>
      <c r="G3268" s="3" t="str">
        <f>HYPERLINK("http://funmeta.oebiotech.com/network/342366", "http://funmeta.oebiotech.com/network/342366")</f>
        <v>http://funmeta.oebiotech.com/network/342366</v>
      </c>
      <c r="H3268" s="2"/>
      <c r="I3268" s="2">
        <v>417123</v>
      </c>
      <c r="J3268" s="2"/>
      <c r="K3268" s="2"/>
      <c r="L3268" s="2"/>
      <c r="M3268" s="2"/>
      <c r="N3268" s="2"/>
      <c r="O3268" s="2">
        <v>1088438</v>
      </c>
      <c r="P3268" s="2"/>
      <c r="Q3268" s="2" t="s">
        <v>21739</v>
      </c>
      <c r="R3268" s="2" t="s">
        <v>21740</v>
      </c>
      <c r="S3268" s="2" t="s">
        <v>148</v>
      </c>
      <c r="T3268" s="2" t="s">
        <v>149</v>
      </c>
      <c r="U3268" s="2" t="s">
        <v>4282</v>
      </c>
      <c r="V3268" s="2" t="s">
        <v>59</v>
      </c>
      <c r="W3268" s="2">
        <v>37</v>
      </c>
      <c r="X3268" s="2">
        <v>0</v>
      </c>
      <c r="Y3268" s="2" t="s">
        <v>340</v>
      </c>
      <c r="Z3268" s="2" t="s">
        <v>21741</v>
      </c>
      <c r="AA3268" s="2">
        <v>-1.7037862535869299</v>
      </c>
      <c r="AB3268" s="2">
        <v>0.23504647565829301</v>
      </c>
      <c r="AC3268" s="2">
        <v>8627.2046734509804</v>
      </c>
      <c r="AD3268" s="2">
        <v>13153.377160911299</v>
      </c>
      <c r="AE3268" s="2">
        <v>7421.9004328392302</v>
      </c>
      <c r="AF3268" s="2">
        <v>7546.3176340064601</v>
      </c>
      <c r="AG3268" s="2">
        <v>9853.3671704455992</v>
      </c>
      <c r="AH3268" s="2">
        <v>8537.9307354819102</v>
      </c>
      <c r="AI3268" s="2">
        <v>8878.4804703190093</v>
      </c>
      <c r="AJ3268" s="2">
        <v>9525.2315976136706</v>
      </c>
      <c r="AK3268" s="2">
        <v>15863.0400264695</v>
      </c>
      <c r="AL3268" s="2">
        <v>14187.541411919499</v>
      </c>
      <c r="AM3268" s="2">
        <v>15489.967338401</v>
      </c>
      <c r="AN3268" s="2">
        <v>9937.9531768949291</v>
      </c>
      <c r="AO3268" s="2">
        <v>12222.866114316301</v>
      </c>
      <c r="AP3268" s="2">
        <v>11218.8948974666</v>
      </c>
    </row>
    <row r="3269" spans="1:42" ht="14.5" x14ac:dyDescent="0.35">
      <c r="A3269" s="2" t="s">
        <v>21742</v>
      </c>
      <c r="B3269" s="2">
        <v>144.10182041705301</v>
      </c>
      <c r="C3269" s="2">
        <v>0.78071666666666695</v>
      </c>
      <c r="D3269" s="2" t="s">
        <v>34</v>
      </c>
      <c r="E3269" s="2" t="s">
        <v>21743</v>
      </c>
      <c r="F3269" s="2">
        <v>199362</v>
      </c>
      <c r="G3269" s="3" t="str">
        <f>HYPERLINK("http://funmeta.oebiotech.com/network/199362", "http://funmeta.oebiotech.com/network/199362")</f>
        <v>http://funmeta.oebiotech.com/network/199362</v>
      </c>
      <c r="H3269" s="2" t="s">
        <v>21744</v>
      </c>
      <c r="I3269" s="2">
        <v>6589</v>
      </c>
      <c r="J3269" s="2"/>
      <c r="K3269" s="2">
        <v>86534</v>
      </c>
      <c r="L3269" s="2"/>
      <c r="M3269" s="2"/>
      <c r="N3269" s="2"/>
      <c r="O3269" s="2">
        <v>1366</v>
      </c>
      <c r="P3269" s="2"/>
      <c r="Q3269" s="2" t="s">
        <v>21745</v>
      </c>
      <c r="R3269" s="2" t="s">
        <v>21746</v>
      </c>
      <c r="S3269" s="2" t="s">
        <v>89</v>
      </c>
      <c r="T3269" s="2" t="s">
        <v>90</v>
      </c>
      <c r="U3269" s="2" t="s">
        <v>99</v>
      </c>
      <c r="V3269" s="2" t="s">
        <v>42</v>
      </c>
      <c r="W3269" s="2">
        <v>52.2</v>
      </c>
      <c r="X3269" s="2">
        <v>63.5</v>
      </c>
      <c r="Y3269" s="2" t="s">
        <v>394</v>
      </c>
      <c r="Z3269" s="2" t="s">
        <v>21747</v>
      </c>
      <c r="AA3269" s="2">
        <v>-0.59174671990135497</v>
      </c>
      <c r="AB3269" s="2">
        <v>0.23494853357445</v>
      </c>
      <c r="AC3269" s="2">
        <v>143983.269856586</v>
      </c>
      <c r="AD3269" s="2">
        <v>151340.74235069199</v>
      </c>
      <c r="AE3269" s="2">
        <v>144075.84349907201</v>
      </c>
      <c r="AF3269" s="2">
        <v>148804.57772500001</v>
      </c>
      <c r="AG3269" s="2">
        <v>150852.37674182601</v>
      </c>
      <c r="AH3269" s="2">
        <v>140821.43974168901</v>
      </c>
      <c r="AI3269" s="2">
        <v>136154.23713894901</v>
      </c>
      <c r="AJ3269" s="2">
        <v>143191.14429298099</v>
      </c>
      <c r="AK3269" s="2">
        <v>138446.00943244799</v>
      </c>
      <c r="AL3269" s="2">
        <v>153486.136767566</v>
      </c>
      <c r="AM3269" s="2">
        <v>152088.58774698901</v>
      </c>
      <c r="AN3269" s="2">
        <v>155006.67076726101</v>
      </c>
      <c r="AO3269" s="2">
        <v>163005.03435872699</v>
      </c>
      <c r="AP3269" s="2">
        <v>146012.01503116099</v>
      </c>
    </row>
    <row r="3270" spans="1:42" ht="14.5" x14ac:dyDescent="0.35">
      <c r="A3270" s="2" t="s">
        <v>21748</v>
      </c>
      <c r="B3270" s="2">
        <v>521.38327108579995</v>
      </c>
      <c r="C3270" s="2">
        <v>11.4806166666667</v>
      </c>
      <c r="D3270" s="2" t="s">
        <v>34</v>
      </c>
      <c r="E3270" s="2" t="s">
        <v>21749</v>
      </c>
      <c r="F3270" s="2">
        <v>250170</v>
      </c>
      <c r="G3270" s="3" t="str">
        <f>HYPERLINK("http://funmeta.oebiotech.com/network/250170", "http://funmeta.oebiotech.com/network/250170")</f>
        <v>http://funmeta.oebiotech.com/network/250170</v>
      </c>
      <c r="H3270" s="2" t="s">
        <v>21750</v>
      </c>
      <c r="I3270" s="2"/>
      <c r="J3270" s="2"/>
      <c r="K3270" s="2"/>
      <c r="L3270" s="2"/>
      <c r="M3270" s="2"/>
      <c r="N3270" s="2"/>
      <c r="O3270" s="2"/>
      <c r="P3270" s="2"/>
      <c r="Q3270" s="2" t="s">
        <v>21751</v>
      </c>
      <c r="R3270" s="2" t="s">
        <v>21752</v>
      </c>
      <c r="S3270" s="2" t="s">
        <v>41</v>
      </c>
      <c r="T3270" s="2" t="s">
        <v>41</v>
      </c>
      <c r="U3270" s="2" t="s">
        <v>41</v>
      </c>
      <c r="V3270" s="2" t="s">
        <v>59</v>
      </c>
      <c r="W3270" s="2">
        <v>44</v>
      </c>
      <c r="X3270" s="2">
        <v>28.8</v>
      </c>
      <c r="Y3270" s="2" t="s">
        <v>394</v>
      </c>
      <c r="Z3270" s="2" t="s">
        <v>21216</v>
      </c>
      <c r="AA3270" s="2">
        <v>-0.75854940330615195</v>
      </c>
      <c r="AB3270" s="2">
        <v>0.23490804740868601</v>
      </c>
      <c r="AC3270" s="2">
        <v>34262.0198688858</v>
      </c>
      <c r="AD3270" s="2">
        <v>39236.892151880202</v>
      </c>
      <c r="AE3270" s="2">
        <v>38206.506763754704</v>
      </c>
      <c r="AF3270" s="2">
        <v>33984.016810232701</v>
      </c>
      <c r="AG3270" s="2">
        <v>31839.6853668404</v>
      </c>
      <c r="AH3270" s="2">
        <v>33906.656921067501</v>
      </c>
      <c r="AI3270" s="2">
        <v>31613.409423097299</v>
      </c>
      <c r="AJ3270" s="2">
        <v>36021.8439283224</v>
      </c>
      <c r="AK3270" s="2">
        <v>42725.279006785699</v>
      </c>
      <c r="AL3270" s="2">
        <v>36954.268373601903</v>
      </c>
      <c r="AM3270" s="2">
        <v>37575.267841100002</v>
      </c>
      <c r="AN3270" s="2">
        <v>37550.434037053303</v>
      </c>
      <c r="AO3270" s="2">
        <v>42170.605430653501</v>
      </c>
      <c r="AP3270" s="2">
        <v>38445.4982220866</v>
      </c>
    </row>
    <row r="3271" spans="1:42" ht="14.5" x14ac:dyDescent="0.35">
      <c r="A3271" s="2" t="s">
        <v>21753</v>
      </c>
      <c r="B3271" s="2">
        <v>363.18057758089498</v>
      </c>
      <c r="C3271" s="2">
        <v>4.9343500000000002</v>
      </c>
      <c r="D3271" s="2" t="s">
        <v>70</v>
      </c>
      <c r="E3271" s="2" t="s">
        <v>21754</v>
      </c>
      <c r="F3271" s="2">
        <v>3880</v>
      </c>
      <c r="G3271" s="3" t="str">
        <f>HYPERLINK("http://funmeta.oebiotech.com/network/3880", "http://funmeta.oebiotech.com/network/3880")</f>
        <v>http://funmeta.oebiotech.com/network/3880</v>
      </c>
      <c r="H3271" s="2" t="s">
        <v>21755</v>
      </c>
      <c r="I3271" s="2"/>
      <c r="J3271" s="2" t="s">
        <v>21756</v>
      </c>
      <c r="K3271" s="2"/>
      <c r="L3271" s="2"/>
      <c r="M3271" s="2"/>
      <c r="N3271" s="2"/>
      <c r="O3271" s="2">
        <v>53481460</v>
      </c>
      <c r="P3271" s="2"/>
      <c r="Q3271" s="2" t="s">
        <v>21757</v>
      </c>
      <c r="R3271" s="2" t="s">
        <v>21758</v>
      </c>
      <c r="S3271" s="2" t="s">
        <v>50</v>
      </c>
      <c r="T3271" s="2" t="s">
        <v>229</v>
      </c>
      <c r="U3271" s="2" t="s">
        <v>766</v>
      </c>
      <c r="V3271" s="2" t="s">
        <v>42</v>
      </c>
      <c r="W3271" s="2">
        <v>51.4</v>
      </c>
      <c r="X3271" s="2">
        <v>62.6</v>
      </c>
      <c r="Y3271" s="2" t="s">
        <v>751</v>
      </c>
      <c r="Z3271" s="2" t="s">
        <v>14705</v>
      </c>
      <c r="AA3271" s="2">
        <v>-1.92202970260193</v>
      </c>
      <c r="AB3271" s="2">
        <v>0.23462781990736301</v>
      </c>
      <c r="AC3271" s="2">
        <v>34580.413614668403</v>
      </c>
      <c r="AD3271" s="2">
        <v>38927.248411054097</v>
      </c>
      <c r="AE3271" s="2">
        <v>31512.796649986802</v>
      </c>
      <c r="AF3271" s="2">
        <v>35336.532209816301</v>
      </c>
      <c r="AG3271" s="2">
        <v>33634.190698098202</v>
      </c>
      <c r="AH3271" s="2">
        <v>37262.390809880897</v>
      </c>
      <c r="AI3271" s="2">
        <v>34336.396420269797</v>
      </c>
      <c r="AJ3271" s="2">
        <v>35400.174899958598</v>
      </c>
      <c r="AK3271" s="2">
        <v>40512.7619998347</v>
      </c>
      <c r="AL3271" s="2">
        <v>37824.890269618598</v>
      </c>
      <c r="AM3271" s="2">
        <v>39235.2303819191</v>
      </c>
      <c r="AN3271" s="2">
        <v>38086.812787436204</v>
      </c>
      <c r="AO3271" s="2">
        <v>37903.597298254201</v>
      </c>
      <c r="AP3271" s="2">
        <v>40000.197729261999</v>
      </c>
    </row>
    <row r="3272" spans="1:42" ht="14.5" x14ac:dyDescent="0.35">
      <c r="A3272" s="2" t="s">
        <v>21759</v>
      </c>
      <c r="B3272" s="2">
        <v>653.2580627438</v>
      </c>
      <c r="C3272" s="2">
        <v>9.3708500000000008</v>
      </c>
      <c r="D3272" s="2" t="s">
        <v>70</v>
      </c>
      <c r="E3272" s="2" t="s">
        <v>21760</v>
      </c>
      <c r="F3272" s="2">
        <v>61331</v>
      </c>
      <c r="G3272" s="3" t="str">
        <f>HYPERLINK("http://funmeta.oebiotech.com/network/61331", "http://funmeta.oebiotech.com/network/61331")</f>
        <v>http://funmeta.oebiotech.com/network/61331</v>
      </c>
      <c r="H3272" s="2" t="s">
        <v>21761</v>
      </c>
      <c r="I3272" s="2"/>
      <c r="J3272" s="2"/>
      <c r="K3272" s="2">
        <v>136561</v>
      </c>
      <c r="L3272" s="2"/>
      <c r="M3272" s="2"/>
      <c r="N3272" s="2"/>
      <c r="O3272" s="2">
        <v>101039148</v>
      </c>
      <c r="P3272" s="2" t="s">
        <v>21762</v>
      </c>
      <c r="Q3272" s="2" t="s">
        <v>21763</v>
      </c>
      <c r="R3272" s="2" t="s">
        <v>21764</v>
      </c>
      <c r="S3272" s="2" t="s">
        <v>89</v>
      </c>
      <c r="T3272" s="2" t="s">
        <v>90</v>
      </c>
      <c r="U3272" s="2" t="s">
        <v>99</v>
      </c>
      <c r="V3272" s="2" t="s">
        <v>59</v>
      </c>
      <c r="W3272" s="2">
        <v>38.299999999999997</v>
      </c>
      <c r="X3272" s="2">
        <v>0</v>
      </c>
      <c r="Y3272" s="2" t="s">
        <v>560</v>
      </c>
      <c r="Z3272" s="2" t="s">
        <v>21765</v>
      </c>
      <c r="AA3272" s="2">
        <v>2.6520586032212599</v>
      </c>
      <c r="AB3272" s="2">
        <v>0.23443181982785899</v>
      </c>
      <c r="AC3272" s="2">
        <v>4676.9685745296201</v>
      </c>
      <c r="AD3272" s="2">
        <v>8366.39349901469</v>
      </c>
      <c r="AE3272" s="2">
        <v>4490.6647883207897</v>
      </c>
      <c r="AF3272" s="2">
        <v>4240.0135009497799</v>
      </c>
      <c r="AG3272" s="2">
        <v>4787.2622852824197</v>
      </c>
      <c r="AH3272" s="2">
        <v>4692.0583048446197</v>
      </c>
      <c r="AI3272" s="2">
        <v>4647.8103254693497</v>
      </c>
      <c r="AJ3272" s="2">
        <v>5204.0022423107803</v>
      </c>
      <c r="AK3272" s="2">
        <v>8949.9174743562999</v>
      </c>
      <c r="AL3272" s="2">
        <v>7992.6704221761202</v>
      </c>
      <c r="AM3272" s="2">
        <v>9072.1256969669503</v>
      </c>
      <c r="AN3272" s="2">
        <v>7836.1426145308296</v>
      </c>
      <c r="AO3272" s="2">
        <v>8388.5969326584309</v>
      </c>
      <c r="AP3272" s="2">
        <v>7958.9078533994998</v>
      </c>
    </row>
    <row r="3273" spans="1:42" ht="14.5" x14ac:dyDescent="0.35">
      <c r="A3273" s="2" t="s">
        <v>21766</v>
      </c>
      <c r="B3273" s="2">
        <v>961.55081480362696</v>
      </c>
      <c r="C3273" s="2">
        <v>4.7541500000000001</v>
      </c>
      <c r="D3273" s="2" t="s">
        <v>34</v>
      </c>
      <c r="E3273" s="2" t="s">
        <v>21767</v>
      </c>
      <c r="F3273" s="2">
        <v>227777</v>
      </c>
      <c r="G3273" s="3" t="str">
        <f>HYPERLINK("http://funmeta.oebiotech.com/network/227777", "http://funmeta.oebiotech.com/network/227777")</f>
        <v>http://funmeta.oebiotech.com/network/227777</v>
      </c>
      <c r="H3273" s="2" t="s">
        <v>21768</v>
      </c>
      <c r="I3273" s="2"/>
      <c r="J3273" s="2"/>
      <c r="K3273" s="2"/>
      <c r="L3273" s="2"/>
      <c r="M3273" s="2"/>
      <c r="N3273" s="2"/>
      <c r="O3273" s="2"/>
      <c r="P3273" s="2"/>
      <c r="Q3273" s="2" t="s">
        <v>21769</v>
      </c>
      <c r="R3273" s="2" t="s">
        <v>21770</v>
      </c>
      <c r="S3273" s="2" t="s">
        <v>41</v>
      </c>
      <c r="T3273" s="2" t="s">
        <v>41</v>
      </c>
      <c r="U3273" s="2" t="s">
        <v>41</v>
      </c>
      <c r="V3273" s="2" t="s">
        <v>59</v>
      </c>
      <c r="W3273" s="2">
        <v>37.6</v>
      </c>
      <c r="X3273" s="2">
        <v>0</v>
      </c>
      <c r="Y3273" s="2" t="s">
        <v>323</v>
      </c>
      <c r="Z3273" s="2" t="s">
        <v>21771</v>
      </c>
      <c r="AA3273" s="2">
        <v>-3.5550362717443602</v>
      </c>
      <c r="AB3273" s="2">
        <v>0.23417469210598099</v>
      </c>
      <c r="AC3273" s="2">
        <v>20813.288038872299</v>
      </c>
      <c r="AD3273" s="2">
        <v>25910.344864944</v>
      </c>
      <c r="AE3273" s="2">
        <v>22007.343051994099</v>
      </c>
      <c r="AF3273" s="2">
        <v>19886.4955810383</v>
      </c>
      <c r="AG3273" s="2">
        <v>18444.418426665201</v>
      </c>
      <c r="AH3273" s="2">
        <v>24284.265701136799</v>
      </c>
      <c r="AI3273" s="2">
        <v>18626.210966529699</v>
      </c>
      <c r="AJ3273" s="2">
        <v>21630.994505869901</v>
      </c>
      <c r="AK3273" s="2">
        <v>23888.401768667201</v>
      </c>
      <c r="AL3273" s="2">
        <v>25846.4173859816</v>
      </c>
      <c r="AM3273" s="2">
        <v>32196.2513850221</v>
      </c>
      <c r="AN3273" s="2">
        <v>23094.542319243399</v>
      </c>
      <c r="AO3273" s="2">
        <v>25269.405169192902</v>
      </c>
      <c r="AP3273" s="2">
        <v>25167.051161556999</v>
      </c>
    </row>
    <row r="3274" spans="1:42" ht="14.5" x14ac:dyDescent="0.35">
      <c r="A3274" s="2" t="s">
        <v>21772</v>
      </c>
      <c r="B3274" s="2">
        <v>295.116038850179</v>
      </c>
      <c r="C3274" s="2">
        <v>5.6357333333333299</v>
      </c>
      <c r="D3274" s="2" t="s">
        <v>70</v>
      </c>
      <c r="E3274" s="2" t="s">
        <v>21773</v>
      </c>
      <c r="F3274" s="2">
        <v>205585</v>
      </c>
      <c r="G3274" s="3" t="str">
        <f>HYPERLINK("http://funmeta.oebiotech.com/network/205585", "http://funmeta.oebiotech.com/network/205585")</f>
        <v>http://funmeta.oebiotech.com/network/205585</v>
      </c>
      <c r="H3274" s="2" t="s">
        <v>21774</v>
      </c>
      <c r="I3274" s="2"/>
      <c r="J3274" s="2"/>
      <c r="K3274" s="2"/>
      <c r="L3274" s="2"/>
      <c r="M3274" s="2"/>
      <c r="N3274" s="2"/>
      <c r="O3274" s="2">
        <v>14607007</v>
      </c>
      <c r="P3274" s="2"/>
      <c r="Q3274" s="2" t="s">
        <v>21775</v>
      </c>
      <c r="R3274" s="2" t="s">
        <v>21776</v>
      </c>
      <c r="S3274" s="2" t="s">
        <v>1444</v>
      </c>
      <c r="T3274" s="2" t="s">
        <v>3595</v>
      </c>
      <c r="U3274" s="2" t="s">
        <v>21777</v>
      </c>
      <c r="V3274" s="2" t="s">
        <v>59</v>
      </c>
      <c r="W3274" s="2">
        <v>39.4</v>
      </c>
      <c r="X3274" s="2">
        <v>0</v>
      </c>
      <c r="Y3274" s="2" t="s">
        <v>408</v>
      </c>
      <c r="Z3274" s="2" t="s">
        <v>21778</v>
      </c>
      <c r="AA3274" s="2">
        <v>4.9030009958050298E-2</v>
      </c>
      <c r="AB3274" s="2">
        <v>0.23409725925562999</v>
      </c>
      <c r="AC3274" s="2">
        <v>8912.4455528547805</v>
      </c>
      <c r="AD3274" s="2">
        <v>5113.6689625909603</v>
      </c>
      <c r="AE3274" s="2">
        <v>10495.059646731601</v>
      </c>
      <c r="AF3274" s="2">
        <v>9192.5379892345009</v>
      </c>
      <c r="AG3274" s="2">
        <v>8361.3984150552897</v>
      </c>
      <c r="AH3274" s="2">
        <v>8152.1919837077303</v>
      </c>
      <c r="AI3274" s="2">
        <v>9011.7250566260409</v>
      </c>
      <c r="AJ3274" s="2">
        <v>8261.7602257735307</v>
      </c>
      <c r="AK3274" s="2">
        <v>5828.7452393637705</v>
      </c>
      <c r="AL3274" s="2">
        <v>5120.6787271038002</v>
      </c>
      <c r="AM3274" s="2">
        <v>5586.3793393922597</v>
      </c>
      <c r="AN3274" s="2">
        <v>4742.4400546738598</v>
      </c>
      <c r="AO3274" s="2">
        <v>4753.3627521969702</v>
      </c>
      <c r="AP3274" s="2">
        <v>4650.4076628151297</v>
      </c>
    </row>
    <row r="3275" spans="1:42" ht="14.5" x14ac:dyDescent="0.35">
      <c r="A3275" s="2" t="s">
        <v>21779</v>
      </c>
      <c r="B3275" s="2">
        <v>389.188834899303</v>
      </c>
      <c r="C3275" s="2">
        <v>12.1741833333333</v>
      </c>
      <c r="D3275" s="2" t="s">
        <v>34</v>
      </c>
      <c r="E3275" s="2" t="s">
        <v>21780</v>
      </c>
      <c r="F3275" s="2">
        <v>199839</v>
      </c>
      <c r="G3275" s="3" t="str">
        <f>HYPERLINK("http://funmeta.oebiotech.com/network/199839", "http://funmeta.oebiotech.com/network/199839")</f>
        <v>http://funmeta.oebiotech.com/network/199839</v>
      </c>
      <c r="H3275" s="2" t="s">
        <v>21781</v>
      </c>
      <c r="I3275" s="2"/>
      <c r="J3275" s="2"/>
      <c r="K3275" s="2"/>
      <c r="L3275" s="2"/>
      <c r="M3275" s="2"/>
      <c r="N3275" s="2"/>
      <c r="O3275" s="2">
        <v>25195294</v>
      </c>
      <c r="P3275" s="2"/>
      <c r="Q3275" s="2" t="s">
        <v>21782</v>
      </c>
      <c r="R3275" s="2" t="s">
        <v>21783</v>
      </c>
      <c r="S3275" s="2" t="s">
        <v>491</v>
      </c>
      <c r="T3275" s="2" t="s">
        <v>5190</v>
      </c>
      <c r="U3275" s="2" t="s">
        <v>5191</v>
      </c>
      <c r="V3275" s="2" t="s">
        <v>59</v>
      </c>
      <c r="W3275" s="2">
        <v>38.299999999999997</v>
      </c>
      <c r="X3275" s="2">
        <v>0</v>
      </c>
      <c r="Y3275" s="2" t="s">
        <v>141</v>
      </c>
      <c r="Z3275" s="2" t="s">
        <v>21784</v>
      </c>
      <c r="AA3275" s="2">
        <v>3.76280244595063</v>
      </c>
      <c r="AB3275" s="2">
        <v>0.233954832769773</v>
      </c>
      <c r="AC3275" s="2">
        <v>5043.1817800071503</v>
      </c>
      <c r="AD3275" s="2">
        <v>1307.9354753727901</v>
      </c>
      <c r="AE3275" s="2">
        <v>5610.2066875730297</v>
      </c>
      <c r="AF3275" s="2">
        <v>6241.5923519736798</v>
      </c>
      <c r="AG3275" s="2">
        <v>5132.4610708889304</v>
      </c>
      <c r="AH3275" s="2">
        <v>4089.4291844435002</v>
      </c>
      <c r="AI3275" s="2">
        <v>4531.9193543041702</v>
      </c>
      <c r="AJ3275" s="2">
        <v>4653.4820308595899</v>
      </c>
      <c r="AK3275" s="2">
        <v>1138.52194003006</v>
      </c>
      <c r="AL3275" s="2">
        <v>1514.0215171503701</v>
      </c>
      <c r="AM3275" s="2">
        <v>911.79446307773401</v>
      </c>
      <c r="AN3275" s="2">
        <v>1280.73867590482</v>
      </c>
      <c r="AO3275" s="2">
        <v>1057.7540182641201</v>
      </c>
      <c r="AP3275" s="2">
        <v>1944.78223780961</v>
      </c>
    </row>
    <row r="3276" spans="1:42" ht="14.5" x14ac:dyDescent="0.35">
      <c r="A3276" s="2" t="s">
        <v>21785</v>
      </c>
      <c r="B3276" s="2">
        <v>312.325777728209</v>
      </c>
      <c r="C3276" s="2">
        <v>10.3988666666667</v>
      </c>
      <c r="D3276" s="2" t="s">
        <v>34</v>
      </c>
      <c r="E3276" s="2" t="s">
        <v>21786</v>
      </c>
      <c r="F3276" s="2">
        <v>35848</v>
      </c>
      <c r="G3276" s="3" t="str">
        <f>HYPERLINK("http://funmeta.oebiotech.com/network/35848", "http://funmeta.oebiotech.com/network/35848")</f>
        <v>http://funmeta.oebiotech.com/network/35848</v>
      </c>
      <c r="H3276" s="2" t="s">
        <v>21787</v>
      </c>
      <c r="I3276" s="2">
        <v>90919</v>
      </c>
      <c r="J3276" s="2" t="s">
        <v>21788</v>
      </c>
      <c r="K3276" s="2"/>
      <c r="L3276" s="2"/>
      <c r="M3276" s="2"/>
      <c r="N3276" s="2"/>
      <c r="O3276" s="2">
        <v>14035234</v>
      </c>
      <c r="P3276" s="2" t="s">
        <v>21789</v>
      </c>
      <c r="Q3276" s="2" t="s">
        <v>21790</v>
      </c>
      <c r="R3276" s="2" t="s">
        <v>21791</v>
      </c>
      <c r="S3276" s="2" t="s">
        <v>50</v>
      </c>
      <c r="T3276" s="2" t="s">
        <v>201</v>
      </c>
      <c r="U3276" s="2" t="s">
        <v>241</v>
      </c>
      <c r="V3276" s="2" t="s">
        <v>59</v>
      </c>
      <c r="W3276" s="2">
        <v>39.1</v>
      </c>
      <c r="X3276" s="2">
        <v>1.73</v>
      </c>
      <c r="Y3276" s="2" t="s">
        <v>43</v>
      </c>
      <c r="Z3276" s="2" t="s">
        <v>21792</v>
      </c>
      <c r="AA3276" s="2">
        <v>-1.0657433010189199</v>
      </c>
      <c r="AB3276" s="2">
        <v>0.233899056216686</v>
      </c>
      <c r="AC3276" s="2">
        <v>7789.6851362282196</v>
      </c>
      <c r="AD3276" s="2">
        <v>11976.699954129301</v>
      </c>
      <c r="AE3276" s="2">
        <v>8131.1907377780799</v>
      </c>
      <c r="AF3276" s="2">
        <v>5583.6082266720696</v>
      </c>
      <c r="AG3276" s="2">
        <v>7656.2402741291799</v>
      </c>
      <c r="AH3276" s="2">
        <v>6478.1147927368102</v>
      </c>
      <c r="AI3276" s="2">
        <v>8863.3771882283509</v>
      </c>
      <c r="AJ3276" s="2">
        <v>10025.579597824801</v>
      </c>
      <c r="AK3276" s="2">
        <v>11936.220548130301</v>
      </c>
      <c r="AL3276" s="2">
        <v>13900.2724970419</v>
      </c>
      <c r="AM3276" s="2">
        <v>10372.988668005701</v>
      </c>
      <c r="AN3276" s="2">
        <v>12021.675682613801</v>
      </c>
      <c r="AO3276" s="2">
        <v>11865.3492302092</v>
      </c>
      <c r="AP3276" s="2">
        <v>11763.6930987748</v>
      </c>
    </row>
    <row r="3277" spans="1:42" ht="14.5" x14ac:dyDescent="0.35">
      <c r="A3277" s="2" t="s">
        <v>21793</v>
      </c>
      <c r="B3277" s="2">
        <v>327.23169070924598</v>
      </c>
      <c r="C3277" s="2">
        <v>11.141500000000001</v>
      </c>
      <c r="D3277" s="2" t="s">
        <v>34</v>
      </c>
      <c r="E3277" s="2" t="s">
        <v>21794</v>
      </c>
      <c r="F3277" s="2">
        <v>4853</v>
      </c>
      <c r="G3277" s="3" t="str">
        <f>HYPERLINK("http://funmeta.oebiotech.com/network/4853", "http://funmeta.oebiotech.com/network/4853")</f>
        <v>http://funmeta.oebiotech.com/network/4853</v>
      </c>
      <c r="H3277" s="2" t="s">
        <v>21795</v>
      </c>
      <c r="I3277" s="2">
        <v>45396</v>
      </c>
      <c r="J3277" s="2" t="s">
        <v>21796</v>
      </c>
      <c r="K3277" s="2">
        <v>72653</v>
      </c>
      <c r="L3277" s="2"/>
      <c r="M3277" s="2"/>
      <c r="N3277" s="2"/>
      <c r="O3277" s="2">
        <v>11631565</v>
      </c>
      <c r="P3277" s="2"/>
      <c r="Q3277" s="2" t="s">
        <v>21797</v>
      </c>
      <c r="R3277" s="2" t="s">
        <v>21798</v>
      </c>
      <c r="S3277" s="2" t="s">
        <v>50</v>
      </c>
      <c r="T3277" s="2" t="s">
        <v>229</v>
      </c>
      <c r="U3277" s="2" t="s">
        <v>1360</v>
      </c>
      <c r="V3277" s="2" t="s">
        <v>59</v>
      </c>
      <c r="W3277" s="2">
        <v>47.2</v>
      </c>
      <c r="X3277" s="2">
        <v>41.5</v>
      </c>
      <c r="Y3277" s="2" t="s">
        <v>141</v>
      </c>
      <c r="Z3277" s="2" t="s">
        <v>21799</v>
      </c>
      <c r="AA3277" s="2">
        <v>-0.48201258962959298</v>
      </c>
      <c r="AB3277" s="2">
        <v>0.23389388700365901</v>
      </c>
      <c r="AC3277" s="2">
        <v>4428.1853972068302</v>
      </c>
      <c r="AD3277" s="2">
        <v>775.90659998646299</v>
      </c>
      <c r="AE3277" s="2">
        <v>4164.8370036300203</v>
      </c>
      <c r="AF3277" s="2">
        <v>4876.1201170212698</v>
      </c>
      <c r="AG3277" s="2">
        <v>4392.0330773513197</v>
      </c>
      <c r="AH3277" s="2">
        <v>4337.3179337825204</v>
      </c>
      <c r="AI3277" s="2">
        <v>3667.0901558975302</v>
      </c>
      <c r="AJ3277" s="2">
        <v>5131.71409555834</v>
      </c>
      <c r="AK3277" s="2">
        <v>475.33784943626</v>
      </c>
      <c r="AL3277" s="2">
        <v>1199.30099051092</v>
      </c>
      <c r="AM3277" s="2">
        <v>795.25454975370701</v>
      </c>
      <c r="AN3277" s="2">
        <v>574.32805482801996</v>
      </c>
      <c r="AO3277" s="2">
        <v>687.22808547076204</v>
      </c>
      <c r="AP3277" s="2">
        <v>923.99006991910903</v>
      </c>
    </row>
    <row r="3278" spans="1:42" ht="14.5" x14ac:dyDescent="0.35">
      <c r="A3278" s="2" t="s">
        <v>21800</v>
      </c>
      <c r="B3278" s="2">
        <v>185.04200744163001</v>
      </c>
      <c r="C3278" s="2">
        <v>1.3655666666666699</v>
      </c>
      <c r="D3278" s="2" t="s">
        <v>34</v>
      </c>
      <c r="E3278" s="2" t="s">
        <v>21801</v>
      </c>
      <c r="F3278" s="2">
        <v>255735</v>
      </c>
      <c r="G3278" s="3" t="str">
        <f>HYPERLINK("http://funmeta.oebiotech.com/network/255735", "http://funmeta.oebiotech.com/network/255735")</f>
        <v>http://funmeta.oebiotech.com/network/255735</v>
      </c>
      <c r="H3278" s="2" t="s">
        <v>21802</v>
      </c>
      <c r="I3278" s="2"/>
      <c r="J3278" s="2"/>
      <c r="K3278" s="2"/>
      <c r="L3278" s="2"/>
      <c r="M3278" s="2"/>
      <c r="N3278" s="2"/>
      <c r="O3278" s="2">
        <v>242516</v>
      </c>
      <c r="P3278" s="2"/>
      <c r="Q3278" s="2" t="s">
        <v>21803</v>
      </c>
      <c r="R3278" s="2" t="s">
        <v>21804</v>
      </c>
      <c r="S3278" s="2" t="s">
        <v>491</v>
      </c>
      <c r="T3278" s="2" t="s">
        <v>5973</v>
      </c>
      <c r="U3278" s="2" t="s">
        <v>6296</v>
      </c>
      <c r="V3278" s="2" t="s">
        <v>59</v>
      </c>
      <c r="W3278" s="2">
        <v>40.5</v>
      </c>
      <c r="X3278" s="2">
        <v>5.07</v>
      </c>
      <c r="Y3278" s="2" t="s">
        <v>323</v>
      </c>
      <c r="Z3278" s="2" t="s">
        <v>21805</v>
      </c>
      <c r="AA3278" s="2">
        <v>-0.22620321857313899</v>
      </c>
      <c r="AB3278" s="2">
        <v>0.233878519708624</v>
      </c>
      <c r="AC3278" s="2">
        <v>13607.0786975872</v>
      </c>
      <c r="AD3278" s="2">
        <v>18181.055026725</v>
      </c>
      <c r="AE3278" s="2">
        <v>11476.2647891985</v>
      </c>
      <c r="AF3278" s="2">
        <v>14884.060669631799</v>
      </c>
      <c r="AG3278" s="2">
        <v>14643.0456452743</v>
      </c>
      <c r="AH3278" s="2">
        <v>13558.5442219337</v>
      </c>
      <c r="AI3278" s="2">
        <v>14033.14924185</v>
      </c>
      <c r="AJ3278" s="2">
        <v>13047.407617635101</v>
      </c>
      <c r="AK3278" s="2">
        <v>15252.469443046601</v>
      </c>
      <c r="AL3278" s="2">
        <v>22619.5416513901</v>
      </c>
      <c r="AM3278" s="2">
        <v>17103.551520335401</v>
      </c>
      <c r="AN3278" s="2">
        <v>18679.893403616599</v>
      </c>
      <c r="AO3278" s="2">
        <v>18337.9588064987</v>
      </c>
      <c r="AP3278" s="2">
        <v>17092.9153354626</v>
      </c>
    </row>
    <row r="3279" spans="1:42" ht="14.5" x14ac:dyDescent="0.35">
      <c r="A3279" s="2" t="s">
        <v>21806</v>
      </c>
      <c r="B3279" s="2">
        <v>455.21007090426599</v>
      </c>
      <c r="C3279" s="2">
        <v>12.4203833333333</v>
      </c>
      <c r="D3279" s="2" t="s">
        <v>70</v>
      </c>
      <c r="E3279" s="2" t="s">
        <v>21807</v>
      </c>
      <c r="F3279" s="2">
        <v>266640</v>
      </c>
      <c r="G3279" s="3" t="str">
        <f>HYPERLINK("http://funmeta.oebiotech.com/network/266640", "http://funmeta.oebiotech.com/network/266640")</f>
        <v>http://funmeta.oebiotech.com/network/266640</v>
      </c>
      <c r="H3279" s="2"/>
      <c r="I3279" s="2">
        <v>43705</v>
      </c>
      <c r="J3279" s="2"/>
      <c r="K3279" s="2"/>
      <c r="L3279" s="2"/>
      <c r="M3279" s="2"/>
      <c r="N3279" s="2"/>
      <c r="O3279" s="2">
        <v>6708622</v>
      </c>
      <c r="P3279" s="2"/>
      <c r="Q3279" s="2" t="s">
        <v>21808</v>
      </c>
      <c r="R3279" s="2" t="s">
        <v>21809</v>
      </c>
      <c r="S3279" s="2" t="s">
        <v>491</v>
      </c>
      <c r="T3279" s="2" t="s">
        <v>1341</v>
      </c>
      <c r="U3279" s="2" t="s">
        <v>41</v>
      </c>
      <c r="V3279" s="2" t="s">
        <v>59</v>
      </c>
      <c r="W3279" s="2">
        <v>41.5</v>
      </c>
      <c r="X3279" s="2">
        <v>21.3</v>
      </c>
      <c r="Y3279" s="2" t="s">
        <v>118</v>
      </c>
      <c r="Z3279" s="2" t="s">
        <v>21810</v>
      </c>
      <c r="AA3279" s="2">
        <v>5.5762616374099698</v>
      </c>
      <c r="AB3279" s="2">
        <v>0.233863600280905</v>
      </c>
      <c r="AC3279" s="2">
        <v>4382.4513355413801</v>
      </c>
      <c r="AD3279" s="2">
        <v>696.74231956118501</v>
      </c>
      <c r="AE3279" s="2">
        <v>5173.1215512338604</v>
      </c>
      <c r="AF3279" s="2">
        <v>4494.8999702416904</v>
      </c>
      <c r="AG3279" s="2">
        <v>4625.6128044944498</v>
      </c>
      <c r="AH3279" s="2">
        <v>3278.9550605454701</v>
      </c>
      <c r="AI3279" s="2">
        <v>4086.4289475188798</v>
      </c>
      <c r="AJ3279" s="2">
        <v>4635.6896792139396</v>
      </c>
      <c r="AK3279" s="2">
        <v>802.44006133101004</v>
      </c>
      <c r="AL3279" s="2">
        <v>701.78319624645098</v>
      </c>
      <c r="AM3279" s="2">
        <v>529.052155678193</v>
      </c>
      <c r="AN3279" s="2">
        <v>1023.05287298435</v>
      </c>
      <c r="AO3279" s="2">
        <v>811.17087042681703</v>
      </c>
      <c r="AP3279" s="2">
        <v>312.95476070029002</v>
      </c>
    </row>
    <row r="3280" spans="1:42" ht="14.5" x14ac:dyDescent="0.35">
      <c r="A3280" s="2" t="s">
        <v>21811</v>
      </c>
      <c r="B3280" s="2">
        <v>349.227722799969</v>
      </c>
      <c r="C3280" s="2">
        <v>5.65513333333333</v>
      </c>
      <c r="D3280" s="2" t="s">
        <v>34</v>
      </c>
      <c r="E3280" s="2" t="s">
        <v>21812</v>
      </c>
      <c r="F3280" s="2">
        <v>55137</v>
      </c>
      <c r="G3280" s="3" t="str">
        <f>HYPERLINK("http://funmeta.oebiotech.com/network/55137", "http://funmeta.oebiotech.com/network/55137")</f>
        <v>http://funmeta.oebiotech.com/network/55137</v>
      </c>
      <c r="H3280" s="2" t="s">
        <v>21813</v>
      </c>
      <c r="I3280" s="2">
        <v>67527</v>
      </c>
      <c r="J3280" s="2"/>
      <c r="K3280" s="2">
        <v>602172</v>
      </c>
      <c r="L3280" s="2" t="s">
        <v>21814</v>
      </c>
      <c r="M3280" s="2"/>
      <c r="N3280" s="2"/>
      <c r="O3280" s="2">
        <v>167963</v>
      </c>
      <c r="P3280" s="2" t="s">
        <v>21815</v>
      </c>
      <c r="Q3280" s="2" t="s">
        <v>21816</v>
      </c>
      <c r="R3280" s="2" t="s">
        <v>21817</v>
      </c>
      <c r="S3280" s="2" t="s">
        <v>491</v>
      </c>
      <c r="T3280" s="2" t="s">
        <v>2184</v>
      </c>
      <c r="U3280" s="2" t="s">
        <v>8546</v>
      </c>
      <c r="V3280" s="2" t="s">
        <v>59</v>
      </c>
      <c r="W3280" s="2">
        <v>36.1</v>
      </c>
      <c r="X3280" s="2">
        <v>0</v>
      </c>
      <c r="Y3280" s="2" t="s">
        <v>43</v>
      </c>
      <c r="Z3280" s="2" t="s">
        <v>21818</v>
      </c>
      <c r="AA3280" s="2">
        <v>0.85401362463173103</v>
      </c>
      <c r="AB3280" s="2">
        <v>0.23357014086512001</v>
      </c>
      <c r="AC3280" s="2">
        <v>6089.5267399847298</v>
      </c>
      <c r="AD3280" s="2">
        <v>2409.92259497645</v>
      </c>
      <c r="AE3280" s="2">
        <v>5817.79843775666</v>
      </c>
      <c r="AF3280" s="2">
        <v>6253.5476317352995</v>
      </c>
      <c r="AG3280" s="2">
        <v>5522.3508727363696</v>
      </c>
      <c r="AH3280" s="2">
        <v>6286.7766759104197</v>
      </c>
      <c r="AI3280" s="2">
        <v>6592.9866127361402</v>
      </c>
      <c r="AJ3280" s="2">
        <v>6063.70020903351</v>
      </c>
      <c r="AK3280" s="2">
        <v>2100.27858490277</v>
      </c>
      <c r="AL3280" s="2">
        <v>2244.1009683605998</v>
      </c>
      <c r="AM3280" s="2">
        <v>1859.1880245186501</v>
      </c>
      <c r="AN3280" s="2">
        <v>2708.7881209478701</v>
      </c>
      <c r="AO3280" s="2">
        <v>3296.5096895752799</v>
      </c>
      <c r="AP3280" s="2">
        <v>2250.6701815535498</v>
      </c>
    </row>
    <row r="3281" spans="1:42" ht="14.5" x14ac:dyDescent="0.35">
      <c r="A3281" s="2" t="s">
        <v>21819</v>
      </c>
      <c r="B3281" s="2">
        <v>557.22043590287501</v>
      </c>
      <c r="C3281" s="2">
        <v>3.9663166666666698</v>
      </c>
      <c r="D3281" s="2" t="s">
        <v>34</v>
      </c>
      <c r="E3281" s="2" t="s">
        <v>21820</v>
      </c>
      <c r="F3281" s="2">
        <v>35324</v>
      </c>
      <c r="G3281" s="3" t="str">
        <f>HYPERLINK("http://funmeta.oebiotech.com/network/35324", "http://funmeta.oebiotech.com/network/35324")</f>
        <v>http://funmeta.oebiotech.com/network/35324</v>
      </c>
      <c r="H3281" s="2"/>
      <c r="I3281" s="2">
        <v>41176</v>
      </c>
      <c r="J3281" s="2" t="s">
        <v>21821</v>
      </c>
      <c r="K3281" s="2">
        <v>716</v>
      </c>
      <c r="L3281" s="2" t="s">
        <v>21822</v>
      </c>
      <c r="M3281" s="2"/>
      <c r="N3281" s="2"/>
      <c r="O3281" s="2">
        <v>443347</v>
      </c>
      <c r="P3281" s="2"/>
      <c r="Q3281" s="2" t="s">
        <v>21823</v>
      </c>
      <c r="R3281" s="2" t="s">
        <v>21824</v>
      </c>
      <c r="S3281" s="2" t="s">
        <v>50</v>
      </c>
      <c r="T3281" s="2" t="s">
        <v>201</v>
      </c>
      <c r="U3281" s="2" t="s">
        <v>202</v>
      </c>
      <c r="V3281" s="2" t="s">
        <v>59</v>
      </c>
      <c r="W3281" s="2">
        <v>40.799999999999997</v>
      </c>
      <c r="X3281" s="2">
        <v>13.9</v>
      </c>
      <c r="Y3281" s="2" t="s">
        <v>394</v>
      </c>
      <c r="Z3281" s="2" t="s">
        <v>21825</v>
      </c>
      <c r="AA3281" s="2">
        <v>-4.3719341264946499</v>
      </c>
      <c r="AB3281" s="2">
        <v>0.23346249508849601</v>
      </c>
      <c r="AC3281" s="2">
        <v>47244.428375110001</v>
      </c>
      <c r="AD3281" s="2">
        <v>41958.268183166103</v>
      </c>
      <c r="AE3281" s="2">
        <v>45361.9659267526</v>
      </c>
      <c r="AF3281" s="2">
        <v>50059.835583187101</v>
      </c>
      <c r="AG3281" s="2">
        <v>44927.865596587202</v>
      </c>
      <c r="AH3281" s="2">
        <v>46804.832957442297</v>
      </c>
      <c r="AI3281" s="2">
        <v>48411.153136650399</v>
      </c>
      <c r="AJ3281" s="2">
        <v>47900.917050040502</v>
      </c>
      <c r="AK3281" s="2">
        <v>39760.292649111303</v>
      </c>
      <c r="AL3281" s="2">
        <v>42763.636269588897</v>
      </c>
      <c r="AM3281" s="2">
        <v>37824.143306450198</v>
      </c>
      <c r="AN3281" s="2">
        <v>45683.035002004202</v>
      </c>
      <c r="AO3281" s="2">
        <v>38308.455145925502</v>
      </c>
      <c r="AP3281" s="2">
        <v>47410.0467259168</v>
      </c>
    </row>
    <row r="3282" spans="1:42" ht="14.5" x14ac:dyDescent="0.35">
      <c r="A3282" s="2" t="s">
        <v>21826</v>
      </c>
      <c r="B3282" s="2">
        <v>239.05119730512999</v>
      </c>
      <c r="C3282" s="2">
        <v>3.8966500000000002</v>
      </c>
      <c r="D3282" s="2" t="s">
        <v>34</v>
      </c>
      <c r="E3282" s="2" t="s">
        <v>21827</v>
      </c>
      <c r="F3282" s="2">
        <v>210567</v>
      </c>
      <c r="G3282" s="3" t="str">
        <f>HYPERLINK("http://funmeta.oebiotech.com/network/210567", "http://funmeta.oebiotech.com/network/210567")</f>
        <v>http://funmeta.oebiotech.com/network/210567</v>
      </c>
      <c r="H3282" s="2" t="s">
        <v>21828</v>
      </c>
      <c r="I3282" s="2"/>
      <c r="J3282" s="2"/>
      <c r="K3282" s="2"/>
      <c r="L3282" s="2"/>
      <c r="M3282" s="2"/>
      <c r="N3282" s="2"/>
      <c r="O3282" s="2"/>
      <c r="P3282" s="2"/>
      <c r="Q3282" s="2" t="s">
        <v>21829</v>
      </c>
      <c r="R3282" s="2" t="s">
        <v>21830</v>
      </c>
      <c r="S3282" s="2" t="s">
        <v>41</v>
      </c>
      <c r="T3282" s="2" t="s">
        <v>41</v>
      </c>
      <c r="U3282" s="2" t="s">
        <v>41</v>
      </c>
      <c r="V3282" s="2" t="s">
        <v>59</v>
      </c>
      <c r="W3282" s="2">
        <v>36.799999999999997</v>
      </c>
      <c r="X3282" s="2">
        <v>0</v>
      </c>
      <c r="Y3282" s="2" t="s">
        <v>141</v>
      </c>
      <c r="Z3282" s="2" t="s">
        <v>21831</v>
      </c>
      <c r="AA3282" s="2">
        <v>4.1174302370228304</v>
      </c>
      <c r="AB3282" s="2">
        <v>0.23327121768084999</v>
      </c>
      <c r="AC3282" s="2">
        <v>19020.042057372899</v>
      </c>
      <c r="AD3282" s="2">
        <v>23238.257968857</v>
      </c>
      <c r="AE3282" s="2">
        <v>18212.017992822599</v>
      </c>
      <c r="AF3282" s="2">
        <v>21197.564024309399</v>
      </c>
      <c r="AG3282" s="2">
        <v>18421.2358235873</v>
      </c>
      <c r="AH3282" s="2">
        <v>17997.945739160201</v>
      </c>
      <c r="AI3282" s="2">
        <v>18398.954842230902</v>
      </c>
      <c r="AJ3282" s="2">
        <v>19892.533922126899</v>
      </c>
      <c r="AK3282" s="2">
        <v>25338.418706522902</v>
      </c>
      <c r="AL3282" s="2">
        <v>23421.0039348477</v>
      </c>
      <c r="AM3282" s="2">
        <v>22181.817945095401</v>
      </c>
      <c r="AN3282" s="2">
        <v>23723.507688367499</v>
      </c>
      <c r="AO3282" s="2">
        <v>24034.165234757598</v>
      </c>
      <c r="AP3282" s="2">
        <v>20730.634303551</v>
      </c>
    </row>
    <row r="3283" spans="1:42" ht="14.5" x14ac:dyDescent="0.35">
      <c r="A3283" s="2" t="s">
        <v>21832</v>
      </c>
      <c r="B3283" s="2">
        <v>787.40540446857005</v>
      </c>
      <c r="C3283" s="2">
        <v>10.28895</v>
      </c>
      <c r="D3283" s="2" t="s">
        <v>70</v>
      </c>
      <c r="E3283" s="2" t="s">
        <v>21833</v>
      </c>
      <c r="F3283" s="2">
        <v>28003</v>
      </c>
      <c r="G3283" s="3" t="str">
        <f>HYPERLINK("http://funmeta.oebiotech.com/network/28003", "http://funmeta.oebiotech.com/network/28003")</f>
        <v>http://funmeta.oebiotech.com/network/28003</v>
      </c>
      <c r="H3283" s="2"/>
      <c r="I3283" s="2"/>
      <c r="J3283" s="2" t="s">
        <v>21834</v>
      </c>
      <c r="K3283" s="2"/>
      <c r="L3283" s="2"/>
      <c r="M3283" s="2"/>
      <c r="N3283" s="2"/>
      <c r="O3283" s="2">
        <v>134812450</v>
      </c>
      <c r="P3283" s="2"/>
      <c r="Q3283" s="2" t="s">
        <v>21835</v>
      </c>
      <c r="R3283" s="2" t="s">
        <v>21836</v>
      </c>
      <c r="S3283" s="2" t="s">
        <v>50</v>
      </c>
      <c r="T3283" s="2" t="s">
        <v>51</v>
      </c>
      <c r="U3283" s="2" t="s">
        <v>52</v>
      </c>
      <c r="V3283" s="2" t="s">
        <v>59</v>
      </c>
      <c r="W3283" s="2">
        <v>37.200000000000003</v>
      </c>
      <c r="X3283" s="2">
        <v>0</v>
      </c>
      <c r="Y3283" s="2" t="s">
        <v>751</v>
      </c>
      <c r="Z3283" s="2" t="s">
        <v>21837</v>
      </c>
      <c r="AA3283" s="2">
        <v>1.8445887226822399</v>
      </c>
      <c r="AB3283" s="2">
        <v>0.23320106296511001</v>
      </c>
      <c r="AC3283" s="2">
        <v>13635.7579391975</v>
      </c>
      <c r="AD3283" s="2">
        <v>9773.0189730888305</v>
      </c>
      <c r="AE3283" s="2">
        <v>13978.643652700501</v>
      </c>
      <c r="AF3283" s="2">
        <v>12618.235030374801</v>
      </c>
      <c r="AG3283" s="2">
        <v>13661.9592345443</v>
      </c>
      <c r="AH3283" s="2">
        <v>13557.052324185899</v>
      </c>
      <c r="AI3283" s="2">
        <v>13898.3491283644</v>
      </c>
      <c r="AJ3283" s="2">
        <v>14100.308265014901</v>
      </c>
      <c r="AK3283" s="2">
        <v>8501.4104340134909</v>
      </c>
      <c r="AL3283" s="2">
        <v>10183.751664581099</v>
      </c>
      <c r="AM3283" s="2">
        <v>8408.0745085284707</v>
      </c>
      <c r="AN3283" s="2">
        <v>10871.012980346301</v>
      </c>
      <c r="AO3283" s="2">
        <v>9803.2032177445908</v>
      </c>
      <c r="AP3283" s="2">
        <v>10870.661033319</v>
      </c>
    </row>
    <row r="3284" spans="1:42" ht="14.5" x14ac:dyDescent="0.35">
      <c r="A3284" s="2" t="s">
        <v>21838</v>
      </c>
      <c r="B3284" s="2">
        <v>741.18626809539603</v>
      </c>
      <c r="C3284" s="2">
        <v>2.5012833333333302</v>
      </c>
      <c r="D3284" s="2" t="s">
        <v>70</v>
      </c>
      <c r="E3284" s="2" t="s">
        <v>21839</v>
      </c>
      <c r="F3284" s="2">
        <v>203807</v>
      </c>
      <c r="G3284" s="3" t="str">
        <f>HYPERLINK("http://funmeta.oebiotech.com/network/203807", "http://funmeta.oebiotech.com/network/203807")</f>
        <v>http://funmeta.oebiotech.com/network/203807</v>
      </c>
      <c r="H3284" s="2" t="s">
        <v>21840</v>
      </c>
      <c r="I3284" s="2"/>
      <c r="J3284" s="2"/>
      <c r="K3284" s="2"/>
      <c r="L3284" s="2"/>
      <c r="M3284" s="2"/>
      <c r="N3284" s="2"/>
      <c r="O3284" s="2">
        <v>249187</v>
      </c>
      <c r="P3284" s="2"/>
      <c r="Q3284" s="2" t="s">
        <v>21841</v>
      </c>
      <c r="R3284" s="2" t="s">
        <v>21842</v>
      </c>
      <c r="S3284" s="2" t="s">
        <v>79</v>
      </c>
      <c r="T3284" s="2" t="s">
        <v>80</v>
      </c>
      <c r="U3284" s="2" t="s">
        <v>81</v>
      </c>
      <c r="V3284" s="2" t="s">
        <v>59</v>
      </c>
      <c r="W3284" s="2">
        <v>39</v>
      </c>
      <c r="X3284" s="2">
        <v>0</v>
      </c>
      <c r="Y3284" s="2" t="s">
        <v>560</v>
      </c>
      <c r="Z3284" s="2" t="s">
        <v>21843</v>
      </c>
      <c r="AA3284" s="2">
        <v>0.78989719559674598</v>
      </c>
      <c r="AB3284" s="2">
        <v>0.23317335321784399</v>
      </c>
      <c r="AC3284" s="2">
        <v>8393.8986994112202</v>
      </c>
      <c r="AD3284" s="2">
        <v>4709.0588911193399</v>
      </c>
      <c r="AE3284" s="2">
        <v>7702.8613830408403</v>
      </c>
      <c r="AF3284" s="2">
        <v>8230.3837119384498</v>
      </c>
      <c r="AG3284" s="2">
        <v>9713.3277533969103</v>
      </c>
      <c r="AH3284" s="2">
        <v>7896.8199225612398</v>
      </c>
      <c r="AI3284" s="2">
        <v>8305.4896037621602</v>
      </c>
      <c r="AJ3284" s="2">
        <v>8514.5098217677405</v>
      </c>
      <c r="AK3284" s="2">
        <v>4953.7634443102997</v>
      </c>
      <c r="AL3284" s="2">
        <v>4592.4049272663397</v>
      </c>
      <c r="AM3284" s="2">
        <v>5067.7270577784002</v>
      </c>
      <c r="AN3284" s="2">
        <v>4601.7148314218703</v>
      </c>
      <c r="AO3284" s="2">
        <v>4569.9125471093303</v>
      </c>
      <c r="AP3284" s="2">
        <v>4468.8305388297704</v>
      </c>
    </row>
    <row r="3285" spans="1:42" ht="14.5" x14ac:dyDescent="0.35">
      <c r="A3285" s="2" t="s">
        <v>21844</v>
      </c>
      <c r="B3285" s="2">
        <v>297.18456359567102</v>
      </c>
      <c r="C3285" s="2">
        <v>5.6059000000000001</v>
      </c>
      <c r="D3285" s="2" t="s">
        <v>34</v>
      </c>
      <c r="E3285" s="2" t="s">
        <v>21845</v>
      </c>
      <c r="F3285" s="2">
        <v>52076</v>
      </c>
      <c r="G3285" s="3" t="str">
        <f>HYPERLINK("http://funmeta.oebiotech.com/network/52076", "http://funmeta.oebiotech.com/network/52076")</f>
        <v>http://funmeta.oebiotech.com/network/52076</v>
      </c>
      <c r="H3285" s="2" t="s">
        <v>21846</v>
      </c>
      <c r="I3285" s="2"/>
      <c r="J3285" s="2"/>
      <c r="K3285" s="2"/>
      <c r="L3285" s="2"/>
      <c r="M3285" s="2"/>
      <c r="N3285" s="2"/>
      <c r="O3285" s="2">
        <v>9995780</v>
      </c>
      <c r="P3285" s="2"/>
      <c r="Q3285" s="2" t="s">
        <v>21847</v>
      </c>
      <c r="R3285" s="2" t="s">
        <v>21848</v>
      </c>
      <c r="S3285" s="2" t="s">
        <v>50</v>
      </c>
      <c r="T3285" s="2" t="s">
        <v>201</v>
      </c>
      <c r="U3285" s="2" t="s">
        <v>2195</v>
      </c>
      <c r="V3285" s="2" t="s">
        <v>42</v>
      </c>
      <c r="W3285" s="2">
        <v>54.5</v>
      </c>
      <c r="X3285" s="2">
        <v>79.400000000000006</v>
      </c>
      <c r="Y3285" s="2" t="s">
        <v>141</v>
      </c>
      <c r="Z3285" s="2" t="s">
        <v>12049</v>
      </c>
      <c r="AA3285" s="2">
        <v>-1.09121486718275</v>
      </c>
      <c r="AB3285" s="2">
        <v>0.23306810459809299</v>
      </c>
      <c r="AC3285" s="2">
        <v>273497.762580215</v>
      </c>
      <c r="AD3285" s="2">
        <v>266151.76709061</v>
      </c>
      <c r="AE3285" s="2">
        <v>274696.211426394</v>
      </c>
      <c r="AF3285" s="2">
        <v>273870.228668892</v>
      </c>
      <c r="AG3285" s="2">
        <v>279352.51386112702</v>
      </c>
      <c r="AH3285" s="2">
        <v>264968.49650416098</v>
      </c>
      <c r="AI3285" s="2">
        <v>265438.66307170002</v>
      </c>
      <c r="AJ3285" s="2">
        <v>282660.46194901603</v>
      </c>
      <c r="AK3285" s="2">
        <v>259079.60325935</v>
      </c>
      <c r="AL3285" s="2">
        <v>278621.38107424899</v>
      </c>
      <c r="AM3285" s="2">
        <v>266811.55526832299</v>
      </c>
      <c r="AN3285" s="2">
        <v>271153.38857208198</v>
      </c>
      <c r="AO3285" s="2">
        <v>262028.988578394</v>
      </c>
      <c r="AP3285" s="2">
        <v>259215.68579126199</v>
      </c>
    </row>
    <row r="3286" spans="1:42" ht="14.5" x14ac:dyDescent="0.35">
      <c r="A3286" s="2" t="s">
        <v>21849</v>
      </c>
      <c r="B3286" s="2">
        <v>261.18069897765002</v>
      </c>
      <c r="C3286" s="2">
        <v>1.1287499999999999</v>
      </c>
      <c r="D3286" s="2" t="s">
        <v>34</v>
      </c>
      <c r="E3286" s="2" t="s">
        <v>21850</v>
      </c>
      <c r="F3286" s="2">
        <v>534710</v>
      </c>
      <c r="G3286" s="3" t="str">
        <f>HYPERLINK("http://funmeta.oebiotech.com/network/534710", "http://funmeta.oebiotech.com/network/534710")</f>
        <v>http://funmeta.oebiotech.com/network/534710</v>
      </c>
      <c r="H3286" s="2"/>
      <c r="I3286" s="2">
        <v>985289</v>
      </c>
      <c r="J3286" s="2"/>
      <c r="K3286" s="2"/>
      <c r="L3286" s="2"/>
      <c r="M3286" s="2"/>
      <c r="N3286" s="2"/>
      <c r="O3286" s="2">
        <v>45359444</v>
      </c>
      <c r="P3286" s="2"/>
      <c r="Q3286" s="2" t="s">
        <v>21851</v>
      </c>
      <c r="R3286" s="2" t="s">
        <v>21852</v>
      </c>
      <c r="S3286" s="2" t="s">
        <v>50</v>
      </c>
      <c r="T3286" s="2" t="s">
        <v>229</v>
      </c>
      <c r="U3286" s="2" t="s">
        <v>433</v>
      </c>
      <c r="V3286" s="2" t="s">
        <v>59</v>
      </c>
      <c r="W3286" s="2">
        <v>39</v>
      </c>
      <c r="X3286" s="2">
        <v>0</v>
      </c>
      <c r="Y3286" s="2" t="s">
        <v>43</v>
      </c>
      <c r="Z3286" s="2" t="s">
        <v>21853</v>
      </c>
      <c r="AA3286" s="2">
        <v>-0.75965903874723595</v>
      </c>
      <c r="AB3286" s="2">
        <v>0.233016756730272</v>
      </c>
      <c r="AC3286" s="2">
        <v>8080.3267138216397</v>
      </c>
      <c r="AD3286" s="2">
        <v>11723.851084640601</v>
      </c>
      <c r="AE3286" s="2">
        <v>8329.0615244229793</v>
      </c>
      <c r="AF3286" s="2">
        <v>7838.6912465211199</v>
      </c>
      <c r="AG3286" s="2">
        <v>8423.8789967357297</v>
      </c>
      <c r="AH3286" s="2">
        <v>8089.2193016156798</v>
      </c>
      <c r="AI3286" s="2">
        <v>7696.8814297367398</v>
      </c>
      <c r="AJ3286" s="2">
        <v>8104.2277838975897</v>
      </c>
      <c r="AK3286" s="2">
        <v>11117.7815189543</v>
      </c>
      <c r="AL3286" s="2">
        <v>11301.8548524134</v>
      </c>
      <c r="AM3286" s="2">
        <v>11998.7725871862</v>
      </c>
      <c r="AN3286" s="2">
        <v>11777.1696885418</v>
      </c>
      <c r="AO3286" s="2">
        <v>12601.5662197115</v>
      </c>
      <c r="AP3286" s="2">
        <v>11545.9616410364</v>
      </c>
    </row>
    <row r="3287" spans="1:42" ht="14.5" x14ac:dyDescent="0.35">
      <c r="A3287" s="2" t="s">
        <v>21854</v>
      </c>
      <c r="B3287" s="2">
        <v>415.21984507804501</v>
      </c>
      <c r="C3287" s="2">
        <v>4.3289999999999997</v>
      </c>
      <c r="D3287" s="2" t="s">
        <v>34</v>
      </c>
      <c r="E3287" s="2" t="s">
        <v>21855</v>
      </c>
      <c r="F3287" s="2">
        <v>18547</v>
      </c>
      <c r="G3287" s="3" t="str">
        <f>HYPERLINK("http://funmeta.oebiotech.com/network/18547", "http://funmeta.oebiotech.com/network/18547")</f>
        <v>http://funmeta.oebiotech.com/network/18547</v>
      </c>
      <c r="H3287" s="2"/>
      <c r="I3287" s="2">
        <v>39956</v>
      </c>
      <c r="J3287" s="2" t="s">
        <v>21856</v>
      </c>
      <c r="K3287" s="2"/>
      <c r="L3287" s="2"/>
      <c r="M3287" s="2"/>
      <c r="N3287" s="2"/>
      <c r="O3287" s="2">
        <v>193375</v>
      </c>
      <c r="P3287" s="2"/>
      <c r="Q3287" s="2" t="s">
        <v>21857</v>
      </c>
      <c r="R3287" s="2" t="s">
        <v>21858</v>
      </c>
      <c r="S3287" s="2" t="s">
        <v>50</v>
      </c>
      <c r="T3287" s="2" t="s">
        <v>51</v>
      </c>
      <c r="U3287" s="2" t="s">
        <v>168</v>
      </c>
      <c r="V3287" s="2" t="s">
        <v>59</v>
      </c>
      <c r="W3287" s="2">
        <v>38.200000000000003</v>
      </c>
      <c r="X3287" s="2">
        <v>0</v>
      </c>
      <c r="Y3287" s="2" t="s">
        <v>43</v>
      </c>
      <c r="Z3287" s="2" t="s">
        <v>21859</v>
      </c>
      <c r="AA3287" s="2">
        <v>-1.3446313077435801</v>
      </c>
      <c r="AB3287" s="2">
        <v>0.232968949715537</v>
      </c>
      <c r="AC3287" s="2">
        <v>23918.5731385291</v>
      </c>
      <c r="AD3287" s="2">
        <v>18962.011660784301</v>
      </c>
      <c r="AE3287" s="2">
        <v>21964.578697264798</v>
      </c>
      <c r="AF3287" s="2">
        <v>26903.128733634199</v>
      </c>
      <c r="AG3287" s="2">
        <v>28158.579798141302</v>
      </c>
      <c r="AH3287" s="2">
        <v>20634.750548342901</v>
      </c>
      <c r="AI3287" s="2">
        <v>26039.148153831498</v>
      </c>
      <c r="AJ3287" s="2">
        <v>19811.252899960102</v>
      </c>
      <c r="AK3287" s="2">
        <v>20685.603047246801</v>
      </c>
      <c r="AL3287" s="2">
        <v>17673.928394150102</v>
      </c>
      <c r="AM3287" s="2">
        <v>19686.197504194599</v>
      </c>
      <c r="AN3287" s="2">
        <v>18056.370291515301</v>
      </c>
      <c r="AO3287" s="2">
        <v>18947.465885899201</v>
      </c>
      <c r="AP3287" s="2">
        <v>18722.5048416996</v>
      </c>
    </row>
    <row r="3288" spans="1:42" ht="14.5" x14ac:dyDescent="0.35">
      <c r="A3288" s="2" t="s">
        <v>21860</v>
      </c>
      <c r="B3288" s="2">
        <v>429.11817710820497</v>
      </c>
      <c r="C3288" s="2">
        <v>4.1925499999999998</v>
      </c>
      <c r="D3288" s="2" t="s">
        <v>34</v>
      </c>
      <c r="E3288" s="2" t="s">
        <v>21861</v>
      </c>
      <c r="F3288" s="2">
        <v>204747</v>
      </c>
      <c r="G3288" s="3" t="str">
        <f>HYPERLINK("http://funmeta.oebiotech.com/network/204747", "http://funmeta.oebiotech.com/network/204747")</f>
        <v>http://funmeta.oebiotech.com/network/204747</v>
      </c>
      <c r="H3288" s="2" t="s">
        <v>21862</v>
      </c>
      <c r="I3288" s="2"/>
      <c r="J3288" s="2"/>
      <c r="K3288" s="2"/>
      <c r="L3288" s="2"/>
      <c r="M3288" s="2"/>
      <c r="N3288" s="2"/>
      <c r="O3288" s="2">
        <v>9866029</v>
      </c>
      <c r="P3288" s="2"/>
      <c r="Q3288" s="2" t="s">
        <v>21863</v>
      </c>
      <c r="R3288" s="2" t="s">
        <v>21864</v>
      </c>
      <c r="S3288" s="2" t="s">
        <v>89</v>
      </c>
      <c r="T3288" s="2" t="s">
        <v>1600</v>
      </c>
      <c r="U3288" s="2" t="s">
        <v>3890</v>
      </c>
      <c r="V3288" s="2" t="s">
        <v>59</v>
      </c>
      <c r="W3288" s="2">
        <v>38.6</v>
      </c>
      <c r="X3288" s="2">
        <v>0</v>
      </c>
      <c r="Y3288" s="2" t="s">
        <v>323</v>
      </c>
      <c r="Z3288" s="2" t="s">
        <v>21865</v>
      </c>
      <c r="AA3288" s="2">
        <v>-1.0259449135556999</v>
      </c>
      <c r="AB3288" s="2">
        <v>0.23289927978025801</v>
      </c>
      <c r="AC3288" s="2">
        <v>10331.1179928947</v>
      </c>
      <c r="AD3288" s="2">
        <v>6320.15747925695</v>
      </c>
      <c r="AE3288" s="2">
        <v>12075.3181548215</v>
      </c>
      <c r="AF3288" s="2">
        <v>10258.401123060699</v>
      </c>
      <c r="AG3288" s="2">
        <v>9320.5515680465705</v>
      </c>
      <c r="AH3288" s="2">
        <v>9293.2888873520405</v>
      </c>
      <c r="AI3288" s="2">
        <v>9674.1077100041894</v>
      </c>
      <c r="AJ3288" s="2">
        <v>11365.040514083201</v>
      </c>
      <c r="AK3288" s="2">
        <v>4354.1708742455903</v>
      </c>
      <c r="AL3288" s="2">
        <v>7254.4471667727403</v>
      </c>
      <c r="AM3288" s="2">
        <v>6695.0449617289396</v>
      </c>
      <c r="AN3288" s="2">
        <v>7235.0268107776401</v>
      </c>
      <c r="AO3288" s="2">
        <v>5553.8747074399098</v>
      </c>
      <c r="AP3288" s="2">
        <v>6828.3803545768696</v>
      </c>
    </row>
    <row r="3289" spans="1:42" ht="14.5" x14ac:dyDescent="0.35">
      <c r="A3289" s="2" t="s">
        <v>21866</v>
      </c>
      <c r="B3289" s="2">
        <v>389.18148992103397</v>
      </c>
      <c r="C3289" s="2">
        <v>4.4710000000000001</v>
      </c>
      <c r="D3289" s="2" t="s">
        <v>70</v>
      </c>
      <c r="E3289" s="2" t="s">
        <v>21867</v>
      </c>
      <c r="F3289" s="2">
        <v>10420</v>
      </c>
      <c r="G3289" s="3" t="str">
        <f>HYPERLINK("http://funmeta.oebiotech.com/network/10420", "http://funmeta.oebiotech.com/network/10420")</f>
        <v>http://funmeta.oebiotech.com/network/10420</v>
      </c>
      <c r="H3289" s="2"/>
      <c r="I3289" s="2"/>
      <c r="J3289" s="2" t="s">
        <v>21868</v>
      </c>
      <c r="K3289" s="2">
        <v>78828</v>
      </c>
      <c r="L3289" s="2"/>
      <c r="M3289" s="2"/>
      <c r="N3289" s="2"/>
      <c r="O3289" s="2">
        <v>24949895</v>
      </c>
      <c r="P3289" s="2"/>
      <c r="Q3289" s="2" t="s">
        <v>21869</v>
      </c>
      <c r="R3289" s="2" t="s">
        <v>21870</v>
      </c>
      <c r="S3289" s="2" t="s">
        <v>79</v>
      </c>
      <c r="T3289" s="2" t="s">
        <v>80</v>
      </c>
      <c r="U3289" s="2" t="s">
        <v>81</v>
      </c>
      <c r="V3289" s="2" t="s">
        <v>59</v>
      </c>
      <c r="W3289" s="2">
        <v>46.4</v>
      </c>
      <c r="X3289" s="2">
        <v>40.200000000000003</v>
      </c>
      <c r="Y3289" s="2" t="s">
        <v>751</v>
      </c>
      <c r="Z3289" s="2" t="s">
        <v>21871</v>
      </c>
      <c r="AA3289" s="2">
        <v>-0.52959589975313803</v>
      </c>
      <c r="AB3289" s="2">
        <v>0.232895426579837</v>
      </c>
      <c r="AC3289" s="2">
        <v>44849.0299407735</v>
      </c>
      <c r="AD3289" s="2">
        <v>40519.762920700297</v>
      </c>
      <c r="AE3289" s="2">
        <v>46909.884518779203</v>
      </c>
      <c r="AF3289" s="2">
        <v>44913.787176910402</v>
      </c>
      <c r="AG3289" s="2">
        <v>42834.088590403</v>
      </c>
      <c r="AH3289" s="2">
        <v>46379.5179276708</v>
      </c>
      <c r="AI3289" s="2">
        <v>43730.027371178701</v>
      </c>
      <c r="AJ3289" s="2">
        <v>44326.874059699097</v>
      </c>
      <c r="AK3289" s="2">
        <v>41125.329352911802</v>
      </c>
      <c r="AL3289" s="2">
        <v>43094.565337383101</v>
      </c>
      <c r="AM3289" s="2">
        <v>40535.989728244502</v>
      </c>
      <c r="AN3289" s="2">
        <v>40808.672094409398</v>
      </c>
      <c r="AO3289" s="2">
        <v>37642.314493345802</v>
      </c>
      <c r="AP3289" s="2">
        <v>39911.706517907303</v>
      </c>
    </row>
    <row r="3290" spans="1:42" ht="14.5" x14ac:dyDescent="0.35">
      <c r="A3290" s="2" t="s">
        <v>21872</v>
      </c>
      <c r="B3290" s="2">
        <v>561.23135140153397</v>
      </c>
      <c r="C3290" s="2">
        <v>7.7650499999999996</v>
      </c>
      <c r="D3290" s="2" t="s">
        <v>70</v>
      </c>
      <c r="E3290" s="2" t="s">
        <v>21873</v>
      </c>
      <c r="F3290" s="2">
        <v>24874</v>
      </c>
      <c r="G3290" s="3" t="str">
        <f>HYPERLINK("http://funmeta.oebiotech.com/network/24874", "http://funmeta.oebiotech.com/network/24874")</f>
        <v>http://funmeta.oebiotech.com/network/24874</v>
      </c>
      <c r="H3290" s="2"/>
      <c r="I3290" s="2"/>
      <c r="J3290" s="2" t="s">
        <v>21874</v>
      </c>
      <c r="K3290" s="2"/>
      <c r="L3290" s="2"/>
      <c r="M3290" s="2"/>
      <c r="N3290" s="2"/>
      <c r="O3290" s="2">
        <v>52928602</v>
      </c>
      <c r="P3290" s="2"/>
      <c r="Q3290" s="2" t="s">
        <v>21875</v>
      </c>
      <c r="R3290" s="2" t="s">
        <v>21876</v>
      </c>
      <c r="S3290" s="2" t="s">
        <v>50</v>
      </c>
      <c r="T3290" s="2" t="s">
        <v>51</v>
      </c>
      <c r="U3290" s="2" t="s">
        <v>52</v>
      </c>
      <c r="V3290" s="2" t="s">
        <v>59</v>
      </c>
      <c r="W3290" s="2">
        <v>39.5</v>
      </c>
      <c r="X3290" s="2">
        <v>3.19</v>
      </c>
      <c r="Y3290" s="2" t="s">
        <v>408</v>
      </c>
      <c r="Z3290" s="2" t="s">
        <v>21877</v>
      </c>
      <c r="AA3290" s="2">
        <v>-0.80360535558823498</v>
      </c>
      <c r="AB3290" s="2">
        <v>0.23283947804678701</v>
      </c>
      <c r="AC3290" s="2">
        <v>6360.7381958606202</v>
      </c>
      <c r="AD3290" s="2">
        <v>2621.2580599090602</v>
      </c>
      <c r="AE3290" s="2">
        <v>6949.8379051074598</v>
      </c>
      <c r="AF3290" s="2">
        <v>6874.4449825315296</v>
      </c>
      <c r="AG3290" s="2">
        <v>7552.6287930770204</v>
      </c>
      <c r="AH3290" s="2">
        <v>6269.0520040757901</v>
      </c>
      <c r="AI3290" s="2">
        <v>5623.20159530399</v>
      </c>
      <c r="AJ3290" s="2">
        <v>4895.2638950679602</v>
      </c>
      <c r="AK3290" s="2">
        <v>2657.2413723541499</v>
      </c>
      <c r="AL3290" s="2">
        <v>2649.2247728091302</v>
      </c>
      <c r="AM3290" s="2">
        <v>2600.6077055924102</v>
      </c>
      <c r="AN3290" s="2">
        <v>2618.93778124245</v>
      </c>
      <c r="AO3290" s="2">
        <v>2376.9927638593599</v>
      </c>
      <c r="AP3290" s="2">
        <v>2824.5439635968501</v>
      </c>
    </row>
    <row r="3291" spans="1:42" ht="14.5" x14ac:dyDescent="0.35">
      <c r="A3291" s="2" t="s">
        <v>21878</v>
      </c>
      <c r="B3291" s="2">
        <v>679.36903814503</v>
      </c>
      <c r="C3291" s="2">
        <v>6.4248000000000003</v>
      </c>
      <c r="D3291" s="2" t="s">
        <v>70</v>
      </c>
      <c r="E3291" s="2" t="s">
        <v>21879</v>
      </c>
      <c r="F3291" s="2">
        <v>3920</v>
      </c>
      <c r="G3291" s="3" t="str">
        <f>HYPERLINK("http://funmeta.oebiotech.com/network/3920", "http://funmeta.oebiotech.com/network/3920")</f>
        <v>http://funmeta.oebiotech.com/network/3920</v>
      </c>
      <c r="H3291" s="2"/>
      <c r="I3291" s="2">
        <v>45640</v>
      </c>
      <c r="J3291" s="2" t="s">
        <v>21880</v>
      </c>
      <c r="K3291" s="2"/>
      <c r="L3291" s="2"/>
      <c r="M3291" s="2"/>
      <c r="N3291" s="2"/>
      <c r="O3291" s="2">
        <v>35024530</v>
      </c>
      <c r="P3291" s="2" t="s">
        <v>21881</v>
      </c>
      <c r="Q3291" s="2" t="s">
        <v>21882</v>
      </c>
      <c r="R3291" s="2" t="s">
        <v>21883</v>
      </c>
      <c r="S3291" s="2" t="s">
        <v>89</v>
      </c>
      <c r="T3291" s="2" t="s">
        <v>4218</v>
      </c>
      <c r="U3291" s="2" t="s">
        <v>5830</v>
      </c>
      <c r="V3291" s="2" t="s">
        <v>59</v>
      </c>
      <c r="W3291" s="2">
        <v>38.299999999999997</v>
      </c>
      <c r="X3291" s="2">
        <v>0</v>
      </c>
      <c r="Y3291" s="2" t="s">
        <v>560</v>
      </c>
      <c r="Z3291" s="2" t="s">
        <v>21884</v>
      </c>
      <c r="AA3291" s="2">
        <v>-1.2679049780212199</v>
      </c>
      <c r="AB3291" s="2">
        <v>0.23280140217129</v>
      </c>
      <c r="AC3291" s="2">
        <v>5539.0260944524898</v>
      </c>
      <c r="AD3291" s="2">
        <v>9477.9698215771496</v>
      </c>
      <c r="AE3291" s="2">
        <v>4625.7189527033297</v>
      </c>
      <c r="AF3291" s="2">
        <v>7313.7578768164103</v>
      </c>
      <c r="AG3291" s="2">
        <v>3858.8086821132501</v>
      </c>
      <c r="AH3291" s="2">
        <v>5413.3572713754602</v>
      </c>
      <c r="AI3291" s="2">
        <v>5893.9103956464096</v>
      </c>
      <c r="AJ3291" s="2">
        <v>6128.6033880600698</v>
      </c>
      <c r="AK3291" s="2">
        <v>9471.2860823716892</v>
      </c>
      <c r="AL3291" s="2">
        <v>9120.5105658576904</v>
      </c>
      <c r="AM3291" s="2">
        <v>8289.1100296928707</v>
      </c>
      <c r="AN3291" s="2">
        <v>10415.688171447</v>
      </c>
      <c r="AO3291" s="2">
        <v>10482.9661166927</v>
      </c>
      <c r="AP3291" s="2">
        <v>9088.2579634009599</v>
      </c>
    </row>
    <row r="3292" spans="1:42" ht="14.5" x14ac:dyDescent="0.35">
      <c r="A3292" s="2" t="s">
        <v>21885</v>
      </c>
      <c r="B3292" s="2">
        <v>187.13303916189699</v>
      </c>
      <c r="C3292" s="2">
        <v>6.6691000000000003</v>
      </c>
      <c r="D3292" s="2" t="s">
        <v>70</v>
      </c>
      <c r="E3292" s="2" t="s">
        <v>21886</v>
      </c>
      <c r="F3292" s="2">
        <v>1678</v>
      </c>
      <c r="G3292" s="3" t="str">
        <f>HYPERLINK("http://funmeta.oebiotech.com/network/1678", "http://funmeta.oebiotech.com/network/1678")</f>
        <v>http://funmeta.oebiotech.com/network/1678</v>
      </c>
      <c r="H3292" s="2" t="s">
        <v>21887</v>
      </c>
      <c r="I3292" s="2">
        <v>35414</v>
      </c>
      <c r="J3292" s="2" t="s">
        <v>21888</v>
      </c>
      <c r="K3292" s="2">
        <v>17409</v>
      </c>
      <c r="L3292" s="2" t="s">
        <v>21889</v>
      </c>
      <c r="M3292" s="2"/>
      <c r="N3292" s="2"/>
      <c r="O3292" s="2">
        <v>74300</v>
      </c>
      <c r="P3292" s="2"/>
      <c r="Q3292" s="2" t="s">
        <v>21890</v>
      </c>
      <c r="R3292" s="2" t="s">
        <v>21891</v>
      </c>
      <c r="S3292" s="2" t="s">
        <v>89</v>
      </c>
      <c r="T3292" s="2" t="s">
        <v>4218</v>
      </c>
      <c r="U3292" s="2" t="s">
        <v>5830</v>
      </c>
      <c r="V3292" s="2" t="s">
        <v>59</v>
      </c>
      <c r="W3292" s="2">
        <v>42.3</v>
      </c>
      <c r="X3292" s="2">
        <v>21.1</v>
      </c>
      <c r="Y3292" s="2" t="s">
        <v>118</v>
      </c>
      <c r="Z3292" s="2" t="s">
        <v>13243</v>
      </c>
      <c r="AA3292" s="2">
        <v>-4.9372809561244999</v>
      </c>
      <c r="AB3292" s="2">
        <v>0.23275796883590799</v>
      </c>
      <c r="AC3292" s="2">
        <v>24960.698612643999</v>
      </c>
      <c r="AD3292" s="2">
        <v>29020.0357951117</v>
      </c>
      <c r="AE3292" s="2">
        <v>25057.591250263202</v>
      </c>
      <c r="AF3292" s="2">
        <v>23776.1914335859</v>
      </c>
      <c r="AG3292" s="2">
        <v>25928.160142832901</v>
      </c>
      <c r="AH3292" s="2">
        <v>25745.316554558802</v>
      </c>
      <c r="AI3292" s="2">
        <v>25005.869270302501</v>
      </c>
      <c r="AJ3292" s="2">
        <v>24251.063024320902</v>
      </c>
      <c r="AK3292" s="2">
        <v>31160.434065637</v>
      </c>
      <c r="AL3292" s="2">
        <v>28999.673702542899</v>
      </c>
      <c r="AM3292" s="2">
        <v>30093.0190400229</v>
      </c>
      <c r="AN3292" s="2">
        <v>29005.828652998702</v>
      </c>
      <c r="AO3292" s="2">
        <v>28065.8079159472</v>
      </c>
      <c r="AP3292" s="2">
        <v>26795.4513935215</v>
      </c>
    </row>
    <row r="3293" spans="1:42" ht="14.5" x14ac:dyDescent="0.35">
      <c r="A3293" s="2" t="s">
        <v>21892</v>
      </c>
      <c r="B3293" s="2">
        <v>381.297241992701</v>
      </c>
      <c r="C3293" s="2">
        <v>11.4243166666667</v>
      </c>
      <c r="D3293" s="2" t="s">
        <v>34</v>
      </c>
      <c r="E3293" s="2" t="s">
        <v>21893</v>
      </c>
      <c r="F3293" s="2">
        <v>266523</v>
      </c>
      <c r="G3293" s="3" t="str">
        <f>HYPERLINK("http://funmeta.oebiotech.com/network/266523", "http://funmeta.oebiotech.com/network/266523")</f>
        <v>http://funmeta.oebiotech.com/network/266523</v>
      </c>
      <c r="H3293" s="2"/>
      <c r="I3293" s="2">
        <v>43452</v>
      </c>
      <c r="J3293" s="2"/>
      <c r="K3293" s="2"/>
      <c r="L3293" s="2"/>
      <c r="M3293" s="2"/>
      <c r="N3293" s="2"/>
      <c r="O3293" s="2">
        <v>11024766</v>
      </c>
      <c r="P3293" s="2" t="s">
        <v>21894</v>
      </c>
      <c r="Q3293" s="2" t="s">
        <v>21895</v>
      </c>
      <c r="R3293" s="2" t="s">
        <v>21896</v>
      </c>
      <c r="S3293" s="2" t="s">
        <v>50</v>
      </c>
      <c r="T3293" s="2" t="s">
        <v>448</v>
      </c>
      <c r="U3293" s="2" t="s">
        <v>1864</v>
      </c>
      <c r="V3293" s="2" t="s">
        <v>59</v>
      </c>
      <c r="W3293" s="2">
        <v>38.9</v>
      </c>
      <c r="X3293" s="2">
        <v>0</v>
      </c>
      <c r="Y3293" s="2" t="s">
        <v>323</v>
      </c>
      <c r="Z3293" s="2" t="s">
        <v>21897</v>
      </c>
      <c r="AA3293" s="2">
        <v>-0.80520733415523504</v>
      </c>
      <c r="AB3293" s="2">
        <v>0.23275736074422601</v>
      </c>
      <c r="AC3293" s="2">
        <v>7036.3712608348396</v>
      </c>
      <c r="AD3293" s="2">
        <v>3379.3143870642598</v>
      </c>
      <c r="AE3293" s="2">
        <v>7684.8366025782798</v>
      </c>
      <c r="AF3293" s="2">
        <v>6251.7765961900895</v>
      </c>
      <c r="AG3293" s="2">
        <v>7027.7211428099599</v>
      </c>
      <c r="AH3293" s="2">
        <v>6553.0162177667498</v>
      </c>
      <c r="AI3293" s="2">
        <v>7140.0076498714297</v>
      </c>
      <c r="AJ3293" s="2">
        <v>7560.8693557925299</v>
      </c>
      <c r="AK3293" s="2">
        <v>4070.0193048842598</v>
      </c>
      <c r="AL3293" s="2">
        <v>3437.6008946306401</v>
      </c>
      <c r="AM3293" s="2">
        <v>3208.8670289802099</v>
      </c>
      <c r="AN3293" s="2">
        <v>2817.81903314894</v>
      </c>
      <c r="AO3293" s="2">
        <v>3283.26738922808</v>
      </c>
      <c r="AP3293" s="2">
        <v>3458.3126715134099</v>
      </c>
    </row>
    <row r="3294" spans="1:42" ht="14.5" x14ac:dyDescent="0.35">
      <c r="A3294" s="2" t="s">
        <v>21898</v>
      </c>
      <c r="B3294" s="2">
        <v>373.25924289054802</v>
      </c>
      <c r="C3294" s="2">
        <v>6.5004833333333298</v>
      </c>
      <c r="D3294" s="2" t="s">
        <v>70</v>
      </c>
      <c r="E3294" s="2" t="s">
        <v>21899</v>
      </c>
      <c r="F3294" s="2">
        <v>273706</v>
      </c>
      <c r="G3294" s="3" t="str">
        <f>HYPERLINK("http://funmeta.oebiotech.com/network/273706", "http://funmeta.oebiotech.com/network/273706")</f>
        <v>http://funmeta.oebiotech.com/network/273706</v>
      </c>
      <c r="H3294" s="2"/>
      <c r="I3294" s="2">
        <v>62970</v>
      </c>
      <c r="J3294" s="2"/>
      <c r="K3294" s="2"/>
      <c r="L3294" s="2"/>
      <c r="M3294" s="2"/>
      <c r="N3294" s="2"/>
      <c r="O3294" s="2">
        <v>2733506</v>
      </c>
      <c r="P3294" s="2" t="s">
        <v>21900</v>
      </c>
      <c r="Q3294" s="2" t="s">
        <v>21901</v>
      </c>
      <c r="R3294" s="2" t="s">
        <v>21902</v>
      </c>
      <c r="S3294" s="2" t="s">
        <v>89</v>
      </c>
      <c r="T3294" s="2" t="s">
        <v>90</v>
      </c>
      <c r="U3294" s="2" t="s">
        <v>99</v>
      </c>
      <c r="V3294" s="2" t="s">
        <v>59</v>
      </c>
      <c r="W3294" s="2">
        <v>37.4</v>
      </c>
      <c r="X3294" s="2">
        <v>0</v>
      </c>
      <c r="Y3294" s="2" t="s">
        <v>560</v>
      </c>
      <c r="Z3294" s="2" t="s">
        <v>21903</v>
      </c>
      <c r="AA3294" s="2">
        <v>6.3210037768089196</v>
      </c>
      <c r="AB3294" s="2">
        <v>0.23273070563456</v>
      </c>
      <c r="AC3294" s="2">
        <v>2208.1574428127701</v>
      </c>
      <c r="AD3294" s="2">
        <v>5855.6353741142002</v>
      </c>
      <c r="AE3294" s="2">
        <v>2137.98904706341</v>
      </c>
      <c r="AF3294" s="2">
        <v>1952.19537575039</v>
      </c>
      <c r="AG3294" s="2">
        <v>2515.1478528013699</v>
      </c>
      <c r="AH3294" s="2">
        <v>2184.5560031762998</v>
      </c>
      <c r="AI3294" s="2">
        <v>2234.5163743088701</v>
      </c>
      <c r="AJ3294" s="2">
        <v>2224.5400037762802</v>
      </c>
      <c r="AK3294" s="2">
        <v>5209.46526155231</v>
      </c>
      <c r="AL3294" s="2">
        <v>6082.8786018263099</v>
      </c>
      <c r="AM3294" s="2">
        <v>6117.93423850007</v>
      </c>
      <c r="AN3294" s="2">
        <v>5279.8254879452797</v>
      </c>
      <c r="AO3294" s="2">
        <v>5607.4137810153497</v>
      </c>
      <c r="AP3294" s="2">
        <v>6836.2948738458899</v>
      </c>
    </row>
    <row r="3295" spans="1:42" ht="14.5" x14ac:dyDescent="0.35">
      <c r="A3295" s="2" t="s">
        <v>21904</v>
      </c>
      <c r="B3295" s="2">
        <v>475.27023610028402</v>
      </c>
      <c r="C3295" s="2">
        <v>10.0394666666667</v>
      </c>
      <c r="D3295" s="2" t="s">
        <v>70</v>
      </c>
      <c r="E3295" s="2" t="s">
        <v>21905</v>
      </c>
      <c r="F3295" s="2">
        <v>3732</v>
      </c>
      <c r="G3295" s="3" t="str">
        <f>HYPERLINK("http://funmeta.oebiotech.com/network/3732", "http://funmeta.oebiotech.com/network/3732")</f>
        <v>http://funmeta.oebiotech.com/network/3732</v>
      </c>
      <c r="H3295" s="2"/>
      <c r="I3295" s="2"/>
      <c r="J3295" s="2" t="s">
        <v>21906</v>
      </c>
      <c r="K3295" s="2">
        <v>137717</v>
      </c>
      <c r="L3295" s="2"/>
      <c r="M3295" s="2"/>
      <c r="N3295" s="2"/>
      <c r="O3295" s="2">
        <v>5283107</v>
      </c>
      <c r="P3295" s="2"/>
      <c r="Q3295" s="2" t="s">
        <v>21907</v>
      </c>
      <c r="R3295" s="2" t="s">
        <v>21908</v>
      </c>
      <c r="S3295" s="2" t="s">
        <v>50</v>
      </c>
      <c r="T3295" s="2" t="s">
        <v>229</v>
      </c>
      <c r="U3295" s="2" t="s">
        <v>766</v>
      </c>
      <c r="V3295" s="2" t="s">
        <v>42</v>
      </c>
      <c r="W3295" s="2">
        <v>55</v>
      </c>
      <c r="X3295" s="2">
        <v>80.900000000000006</v>
      </c>
      <c r="Y3295" s="2" t="s">
        <v>408</v>
      </c>
      <c r="Z3295" s="2" t="s">
        <v>21909</v>
      </c>
      <c r="AA3295" s="2">
        <v>0.253127887966133</v>
      </c>
      <c r="AB3295" s="2">
        <v>0.232585422297964</v>
      </c>
      <c r="AC3295" s="2">
        <v>13696.8383996762</v>
      </c>
      <c r="AD3295" s="2">
        <v>17665.418697733101</v>
      </c>
      <c r="AE3295" s="2">
        <v>12971.5888347126</v>
      </c>
      <c r="AF3295" s="2">
        <v>13971.7088440686</v>
      </c>
      <c r="AG3295" s="2">
        <v>14948.2048171927</v>
      </c>
      <c r="AH3295" s="2">
        <v>12329.6248147592</v>
      </c>
      <c r="AI3295" s="2">
        <v>13239.8853177171</v>
      </c>
      <c r="AJ3295" s="2">
        <v>14720.0177696068</v>
      </c>
      <c r="AK3295" s="2">
        <v>17317.080867586101</v>
      </c>
      <c r="AL3295" s="2">
        <v>18361.0640859536</v>
      </c>
      <c r="AM3295" s="2">
        <v>16635.914420336099</v>
      </c>
      <c r="AN3295" s="2">
        <v>17543.071770971699</v>
      </c>
      <c r="AO3295" s="2">
        <v>19506.930732207798</v>
      </c>
      <c r="AP3295" s="2">
        <v>16628.450309343301</v>
      </c>
    </row>
    <row r="3296" spans="1:42" ht="14.5" x14ac:dyDescent="0.35">
      <c r="A3296" s="2" t="s">
        <v>21910</v>
      </c>
      <c r="B3296" s="2">
        <v>848.60806034417601</v>
      </c>
      <c r="C3296" s="2">
        <v>13.787699999999999</v>
      </c>
      <c r="D3296" s="2" t="s">
        <v>34</v>
      </c>
      <c r="E3296" s="2" t="s">
        <v>21911</v>
      </c>
      <c r="F3296" s="2">
        <v>38873</v>
      </c>
      <c r="G3296" s="3" t="str">
        <f>HYPERLINK("http://funmeta.oebiotech.com/network/38873", "http://funmeta.oebiotech.com/network/38873")</f>
        <v>http://funmeta.oebiotech.com/network/38873</v>
      </c>
      <c r="H3296" s="2"/>
      <c r="I3296" s="2"/>
      <c r="J3296" s="2" t="s">
        <v>21912</v>
      </c>
      <c r="K3296" s="2"/>
      <c r="L3296" s="2"/>
      <c r="M3296" s="2"/>
      <c r="N3296" s="2"/>
      <c r="O3296" s="2">
        <v>53473763</v>
      </c>
      <c r="P3296" s="2"/>
      <c r="Q3296" s="2" t="s">
        <v>21913</v>
      </c>
      <c r="R3296" s="2" t="s">
        <v>21914</v>
      </c>
      <c r="S3296" s="2" t="s">
        <v>50</v>
      </c>
      <c r="T3296" s="2" t="s">
        <v>106</v>
      </c>
      <c r="U3296" s="2" t="s">
        <v>41</v>
      </c>
      <c r="V3296" s="2" t="s">
        <v>59</v>
      </c>
      <c r="W3296" s="2">
        <v>38.4</v>
      </c>
      <c r="X3296" s="2">
        <v>0</v>
      </c>
      <c r="Y3296" s="2" t="s">
        <v>43</v>
      </c>
      <c r="Z3296" s="2" t="s">
        <v>21915</v>
      </c>
      <c r="AA3296" s="2">
        <v>-1.57465489453928</v>
      </c>
      <c r="AB3296" s="2">
        <v>0.232544193360918</v>
      </c>
      <c r="AC3296" s="2">
        <v>15977.302025829</v>
      </c>
      <c r="AD3296" s="2">
        <v>20051.373484761101</v>
      </c>
      <c r="AE3296" s="2">
        <v>16218.360587007901</v>
      </c>
      <c r="AF3296" s="2">
        <v>15469.8349311453</v>
      </c>
      <c r="AG3296" s="2">
        <v>16567.244143486601</v>
      </c>
      <c r="AH3296" s="2">
        <v>16670.432841858201</v>
      </c>
      <c r="AI3296" s="2">
        <v>14993.333731626601</v>
      </c>
      <c r="AJ3296" s="2">
        <v>15944.6059198492</v>
      </c>
      <c r="AK3296" s="2">
        <v>21345.608742537901</v>
      </c>
      <c r="AL3296" s="2">
        <v>20240.872724741599</v>
      </c>
      <c r="AM3296" s="2">
        <v>19865.636169235899</v>
      </c>
      <c r="AN3296" s="2">
        <v>16983.576268343299</v>
      </c>
      <c r="AO3296" s="2">
        <v>21127.434139364701</v>
      </c>
      <c r="AP3296" s="2">
        <v>20745.112864342998</v>
      </c>
    </row>
    <row r="3297" spans="1:42" ht="14.5" x14ac:dyDescent="0.35">
      <c r="A3297" s="2" t="s">
        <v>21916</v>
      </c>
      <c r="B3297" s="2">
        <v>486.197922575635</v>
      </c>
      <c r="C3297" s="2">
        <v>4.6304499999999997</v>
      </c>
      <c r="D3297" s="2" t="s">
        <v>70</v>
      </c>
      <c r="E3297" s="2" t="s">
        <v>21917</v>
      </c>
      <c r="F3297" s="2">
        <v>257607</v>
      </c>
      <c r="G3297" s="3" t="str">
        <f>HYPERLINK("http://funmeta.oebiotech.com/network/257607", "http://funmeta.oebiotech.com/network/257607")</f>
        <v>http://funmeta.oebiotech.com/network/257607</v>
      </c>
      <c r="H3297" s="2" t="s">
        <v>21918</v>
      </c>
      <c r="I3297" s="2"/>
      <c r="J3297" s="2"/>
      <c r="K3297" s="2"/>
      <c r="L3297" s="2"/>
      <c r="M3297" s="2"/>
      <c r="N3297" s="2"/>
      <c r="O3297" s="2">
        <v>86705695</v>
      </c>
      <c r="P3297" s="2"/>
      <c r="Q3297" s="2" t="s">
        <v>21919</v>
      </c>
      <c r="R3297" s="2" t="s">
        <v>21920</v>
      </c>
      <c r="S3297" s="2" t="s">
        <v>148</v>
      </c>
      <c r="T3297" s="2" t="s">
        <v>149</v>
      </c>
      <c r="U3297" s="2" t="s">
        <v>4297</v>
      </c>
      <c r="V3297" s="2" t="s">
        <v>59</v>
      </c>
      <c r="W3297" s="2">
        <v>37.6</v>
      </c>
      <c r="X3297" s="2">
        <v>0</v>
      </c>
      <c r="Y3297" s="2" t="s">
        <v>118</v>
      </c>
      <c r="Z3297" s="2" t="s">
        <v>21921</v>
      </c>
      <c r="AA3297" s="2">
        <v>4.2860964111301296</v>
      </c>
      <c r="AB3297" s="2">
        <v>0.23234148694432799</v>
      </c>
      <c r="AC3297" s="2">
        <v>20886.1068101397</v>
      </c>
      <c r="AD3297" s="2">
        <v>25126.304431520901</v>
      </c>
      <c r="AE3297" s="2">
        <v>21771.3284001635</v>
      </c>
      <c r="AF3297" s="2">
        <v>19707.0449445997</v>
      </c>
      <c r="AG3297" s="2">
        <v>18948.043509260398</v>
      </c>
      <c r="AH3297" s="2">
        <v>22084.084233525798</v>
      </c>
      <c r="AI3297" s="2">
        <v>20988.295958478298</v>
      </c>
      <c r="AJ3297" s="2">
        <v>21817.843814810501</v>
      </c>
      <c r="AK3297" s="2">
        <v>24787.346405649201</v>
      </c>
      <c r="AL3297" s="2">
        <v>24691.381865245101</v>
      </c>
      <c r="AM3297" s="2">
        <v>22637.058773388901</v>
      </c>
      <c r="AN3297" s="2">
        <v>28095.1799342214</v>
      </c>
      <c r="AO3297" s="2">
        <v>25804.6349747235</v>
      </c>
      <c r="AP3297" s="2">
        <v>24742.224635897401</v>
      </c>
    </row>
    <row r="3298" spans="1:42" ht="14.5" x14ac:dyDescent="0.35">
      <c r="A3298" s="2" t="s">
        <v>21922</v>
      </c>
      <c r="B3298" s="2">
        <v>399.12772225580602</v>
      </c>
      <c r="C3298" s="2">
        <v>4.3281833333333299</v>
      </c>
      <c r="D3298" s="2" t="s">
        <v>70</v>
      </c>
      <c r="E3298" s="2" t="s">
        <v>21923</v>
      </c>
      <c r="F3298" s="2">
        <v>55924</v>
      </c>
      <c r="G3298" s="3" t="str">
        <f>HYPERLINK("http://funmeta.oebiotech.com/network/55924", "http://funmeta.oebiotech.com/network/55924")</f>
        <v>http://funmeta.oebiotech.com/network/55924</v>
      </c>
      <c r="H3298" s="2" t="s">
        <v>21924</v>
      </c>
      <c r="I3298" s="2">
        <v>87604</v>
      </c>
      <c r="J3298" s="2"/>
      <c r="K3298" s="2"/>
      <c r="L3298" s="2"/>
      <c r="M3298" s="2"/>
      <c r="N3298" s="2"/>
      <c r="O3298" s="2">
        <v>14038297</v>
      </c>
      <c r="P3298" s="2" t="s">
        <v>21925</v>
      </c>
      <c r="Q3298" s="2" t="s">
        <v>21926</v>
      </c>
      <c r="R3298" s="2" t="s">
        <v>21927</v>
      </c>
      <c r="S3298" s="2" t="s">
        <v>50</v>
      </c>
      <c r="T3298" s="2" t="s">
        <v>201</v>
      </c>
      <c r="U3298" s="2" t="s">
        <v>202</v>
      </c>
      <c r="V3298" s="2" t="s">
        <v>42</v>
      </c>
      <c r="W3298" s="2">
        <v>48.3</v>
      </c>
      <c r="X3298" s="2">
        <v>57.4</v>
      </c>
      <c r="Y3298" s="2" t="s">
        <v>751</v>
      </c>
      <c r="Z3298" s="2" t="s">
        <v>21928</v>
      </c>
      <c r="AA3298" s="2">
        <v>-4.65929634942772</v>
      </c>
      <c r="AB3298" s="2">
        <v>0.23215237303133601</v>
      </c>
      <c r="AC3298" s="2">
        <v>13194.7094832969</v>
      </c>
      <c r="AD3298" s="2">
        <v>17400.048033621999</v>
      </c>
      <c r="AE3298" s="2">
        <v>12855.1774996572</v>
      </c>
      <c r="AF3298" s="2">
        <v>15390.6682236494</v>
      </c>
      <c r="AG3298" s="2">
        <v>11351.313163803299</v>
      </c>
      <c r="AH3298" s="2">
        <v>13070.288362482401</v>
      </c>
      <c r="AI3298" s="2">
        <v>11122.866149163699</v>
      </c>
      <c r="AJ3298" s="2">
        <v>15377.9435010256</v>
      </c>
      <c r="AK3298" s="2">
        <v>17490.148922169599</v>
      </c>
      <c r="AL3298" s="2">
        <v>17558.688672191201</v>
      </c>
      <c r="AM3298" s="2">
        <v>15806.3190892318</v>
      </c>
      <c r="AN3298" s="2">
        <v>18416.0485082331</v>
      </c>
      <c r="AO3298" s="2">
        <v>17603.5811652759</v>
      </c>
      <c r="AP3298" s="2">
        <v>17525.501844630198</v>
      </c>
    </row>
    <row r="3299" spans="1:42" ht="14.5" x14ac:dyDescent="0.35">
      <c r="A3299" s="2" t="s">
        <v>21929</v>
      </c>
      <c r="B3299" s="2">
        <v>221.117097354734</v>
      </c>
      <c r="C3299" s="2">
        <v>4.9617833333333303</v>
      </c>
      <c r="D3299" s="2" t="s">
        <v>34</v>
      </c>
      <c r="E3299" s="2" t="s">
        <v>21930</v>
      </c>
      <c r="F3299" s="2">
        <v>57444</v>
      </c>
      <c r="G3299" s="3" t="str">
        <f>HYPERLINK("http://funmeta.oebiotech.com/network/57444", "http://funmeta.oebiotech.com/network/57444")</f>
        <v>http://funmeta.oebiotech.com/network/57444</v>
      </c>
      <c r="H3299" s="2" t="s">
        <v>21931</v>
      </c>
      <c r="I3299" s="2">
        <v>89065</v>
      </c>
      <c r="J3299" s="2"/>
      <c r="K3299" s="2">
        <v>171929</v>
      </c>
      <c r="L3299" s="2"/>
      <c r="M3299" s="2"/>
      <c r="N3299" s="2"/>
      <c r="O3299" s="2">
        <v>100958560</v>
      </c>
      <c r="P3299" s="2"/>
      <c r="Q3299" s="2" t="s">
        <v>21932</v>
      </c>
      <c r="R3299" s="2" t="s">
        <v>21933</v>
      </c>
      <c r="S3299" s="2" t="s">
        <v>50</v>
      </c>
      <c r="T3299" s="2" t="s">
        <v>201</v>
      </c>
      <c r="U3299" s="2" t="s">
        <v>265</v>
      </c>
      <c r="V3299" s="2" t="s">
        <v>59</v>
      </c>
      <c r="W3299" s="2">
        <v>38.6</v>
      </c>
      <c r="X3299" s="2">
        <v>0</v>
      </c>
      <c r="Y3299" s="2" t="s">
        <v>141</v>
      </c>
      <c r="Z3299" s="2" t="s">
        <v>21934</v>
      </c>
      <c r="AA3299" s="2">
        <v>-0.51843819255134704</v>
      </c>
      <c r="AB3299" s="2">
        <v>0.231918274466063</v>
      </c>
      <c r="AC3299" s="2">
        <v>20618.168145123302</v>
      </c>
      <c r="AD3299" s="2">
        <v>24665.115352829402</v>
      </c>
      <c r="AE3299" s="2">
        <v>21157.283439178402</v>
      </c>
      <c r="AF3299" s="2">
        <v>21162.449507206398</v>
      </c>
      <c r="AG3299" s="2">
        <v>21439.290138289602</v>
      </c>
      <c r="AH3299" s="2">
        <v>20096.383755725801</v>
      </c>
      <c r="AI3299" s="2">
        <v>20542.0491786327</v>
      </c>
      <c r="AJ3299" s="2">
        <v>19311.5528517067</v>
      </c>
      <c r="AK3299" s="2">
        <v>27085.2285954033</v>
      </c>
      <c r="AL3299" s="2">
        <v>24655.466097540098</v>
      </c>
      <c r="AM3299" s="2">
        <v>23423.7347421062</v>
      </c>
      <c r="AN3299" s="2">
        <v>25913.5372070021</v>
      </c>
      <c r="AO3299" s="2">
        <v>23314.835078499498</v>
      </c>
      <c r="AP3299" s="2">
        <v>23597.890396425199</v>
      </c>
    </row>
    <row r="3300" spans="1:42" ht="14.5" x14ac:dyDescent="0.35">
      <c r="A3300" s="2" t="s">
        <v>21935</v>
      </c>
      <c r="B3300" s="2">
        <v>577.14603476063496</v>
      </c>
      <c r="C3300" s="2">
        <v>5.1704666666666697</v>
      </c>
      <c r="D3300" s="2" t="s">
        <v>70</v>
      </c>
      <c r="E3300" s="2" t="s">
        <v>21936</v>
      </c>
      <c r="F3300" s="2">
        <v>203188</v>
      </c>
      <c r="G3300" s="3" t="str">
        <f>HYPERLINK("http://funmeta.oebiotech.com/network/203188", "http://funmeta.oebiotech.com/network/203188")</f>
        <v>http://funmeta.oebiotech.com/network/203188</v>
      </c>
      <c r="H3300" s="2" t="s">
        <v>21937</v>
      </c>
      <c r="I3300" s="2">
        <v>315206</v>
      </c>
      <c r="J3300" s="2"/>
      <c r="K3300" s="2"/>
      <c r="L3300" s="2"/>
      <c r="M3300" s="2"/>
      <c r="N3300" s="2"/>
      <c r="O3300" s="2">
        <v>3033226</v>
      </c>
      <c r="P3300" s="2"/>
      <c r="Q3300" s="2" t="s">
        <v>21938</v>
      </c>
      <c r="R3300" s="2" t="s">
        <v>21939</v>
      </c>
      <c r="S3300" s="2" t="s">
        <v>148</v>
      </c>
      <c r="T3300" s="2" t="s">
        <v>149</v>
      </c>
      <c r="U3300" s="2" t="s">
        <v>3473</v>
      </c>
      <c r="V3300" s="2" t="s">
        <v>59</v>
      </c>
      <c r="W3300" s="2">
        <v>37</v>
      </c>
      <c r="X3300" s="2">
        <v>0</v>
      </c>
      <c r="Y3300" s="2" t="s">
        <v>560</v>
      </c>
      <c r="Z3300" s="2" t="s">
        <v>21940</v>
      </c>
      <c r="AA3300" s="2">
        <v>-2.1058322039920299</v>
      </c>
      <c r="AB3300" s="2">
        <v>0.231862210292304</v>
      </c>
      <c r="AC3300" s="2">
        <v>13067.7033740958</v>
      </c>
      <c r="AD3300" s="2">
        <v>8637.7651259100203</v>
      </c>
      <c r="AE3300" s="2">
        <v>13473.841101378899</v>
      </c>
      <c r="AF3300" s="2">
        <v>15477.071143344599</v>
      </c>
      <c r="AG3300" s="2">
        <v>11328.414929635401</v>
      </c>
      <c r="AH3300" s="2">
        <v>9626.3364102764208</v>
      </c>
      <c r="AI3300" s="2">
        <v>13967.067758897399</v>
      </c>
      <c r="AJ3300" s="2">
        <v>14533.488901041799</v>
      </c>
      <c r="AK3300" s="2">
        <v>7960.0960528973701</v>
      </c>
      <c r="AL3300" s="2">
        <v>6406.0478296021001</v>
      </c>
      <c r="AM3300" s="2">
        <v>9835.5731810851703</v>
      </c>
      <c r="AN3300" s="2">
        <v>8189.3396192391601</v>
      </c>
      <c r="AO3300" s="2">
        <v>9733.8755544580799</v>
      </c>
      <c r="AP3300" s="2">
        <v>9701.6585181782593</v>
      </c>
    </row>
    <row r="3301" spans="1:42" ht="14.5" x14ac:dyDescent="0.35">
      <c r="A3301" s="2" t="s">
        <v>21941</v>
      </c>
      <c r="B3301" s="2">
        <v>382.09885407307303</v>
      </c>
      <c r="C3301" s="2">
        <v>4.6304499999999997</v>
      </c>
      <c r="D3301" s="2" t="s">
        <v>70</v>
      </c>
      <c r="E3301" s="2" t="s">
        <v>21942</v>
      </c>
      <c r="F3301" s="2">
        <v>10232</v>
      </c>
      <c r="G3301" s="3" t="str">
        <f>HYPERLINK("http://funmeta.oebiotech.com/network/10232", "http://funmeta.oebiotech.com/network/10232")</f>
        <v>http://funmeta.oebiotech.com/network/10232</v>
      </c>
      <c r="H3301" s="2"/>
      <c r="I3301" s="2"/>
      <c r="J3301" s="2" t="s">
        <v>21943</v>
      </c>
      <c r="K3301" s="2">
        <v>64882</v>
      </c>
      <c r="L3301" s="2"/>
      <c r="M3301" s="2"/>
      <c r="N3301" s="2"/>
      <c r="O3301" s="2">
        <v>57339291</v>
      </c>
      <c r="P3301" s="2"/>
      <c r="Q3301" s="2" t="s">
        <v>21944</v>
      </c>
      <c r="R3301" s="2" t="s">
        <v>21945</v>
      </c>
      <c r="S3301" s="2" t="s">
        <v>79</v>
      </c>
      <c r="T3301" s="2" t="s">
        <v>80</v>
      </c>
      <c r="U3301" s="2" t="s">
        <v>81</v>
      </c>
      <c r="V3301" s="2" t="s">
        <v>59</v>
      </c>
      <c r="W3301" s="2">
        <v>39.1</v>
      </c>
      <c r="X3301" s="2">
        <v>0</v>
      </c>
      <c r="Y3301" s="2" t="s">
        <v>408</v>
      </c>
      <c r="Z3301" s="2" t="s">
        <v>21946</v>
      </c>
      <c r="AA3301" s="2">
        <v>-0.725618530255706</v>
      </c>
      <c r="AB3301" s="2">
        <v>0.23183217774752099</v>
      </c>
      <c r="AC3301" s="2">
        <v>6026.4126263641401</v>
      </c>
      <c r="AD3301" s="2">
        <v>9935.9478039843707</v>
      </c>
      <c r="AE3301" s="2">
        <v>5187.9022183491097</v>
      </c>
      <c r="AF3301" s="2">
        <v>5501.0369540141201</v>
      </c>
      <c r="AG3301" s="2">
        <v>6051.2245479004896</v>
      </c>
      <c r="AH3301" s="2">
        <v>6265.9274341871296</v>
      </c>
      <c r="AI3301" s="2">
        <v>6810.3895520626102</v>
      </c>
      <c r="AJ3301" s="2">
        <v>6341.9950516713998</v>
      </c>
      <c r="AK3301" s="2">
        <v>8005.8663243069504</v>
      </c>
      <c r="AL3301" s="2">
        <v>9409.6290126322201</v>
      </c>
      <c r="AM3301" s="2">
        <v>11167.653171796999</v>
      </c>
      <c r="AN3301" s="2">
        <v>9893.9623334309908</v>
      </c>
      <c r="AO3301" s="2">
        <v>9348.5714157775892</v>
      </c>
      <c r="AP3301" s="2">
        <v>11790.004565961501</v>
      </c>
    </row>
    <row r="3302" spans="1:42" ht="14.5" x14ac:dyDescent="0.35">
      <c r="A3302" s="2" t="s">
        <v>21947</v>
      </c>
      <c r="B3302" s="2">
        <v>415.25330317727997</v>
      </c>
      <c r="C3302" s="2">
        <v>4.2251833333333302</v>
      </c>
      <c r="D3302" s="2" t="s">
        <v>34</v>
      </c>
      <c r="E3302" s="2" t="s">
        <v>21948</v>
      </c>
      <c r="F3302" s="2">
        <v>204456</v>
      </c>
      <c r="G3302" s="3" t="str">
        <f>HYPERLINK("http://funmeta.oebiotech.com/network/204456", "http://funmeta.oebiotech.com/network/204456")</f>
        <v>http://funmeta.oebiotech.com/network/204456</v>
      </c>
      <c r="H3302" s="2" t="s">
        <v>21949</v>
      </c>
      <c r="I3302" s="2"/>
      <c r="J3302" s="2"/>
      <c r="K3302" s="2"/>
      <c r="L3302" s="2"/>
      <c r="M3302" s="2"/>
      <c r="N3302" s="2"/>
      <c r="O3302" s="2">
        <v>4027</v>
      </c>
      <c r="P3302" s="2"/>
      <c r="Q3302" s="2" t="s">
        <v>21950</v>
      </c>
      <c r="R3302" s="2" t="s">
        <v>21951</v>
      </c>
      <c r="S3302" s="2" t="s">
        <v>89</v>
      </c>
      <c r="T3302" s="2" t="s">
        <v>90</v>
      </c>
      <c r="U3302" s="2" t="s">
        <v>99</v>
      </c>
      <c r="V3302" s="2" t="s">
        <v>59</v>
      </c>
      <c r="W3302" s="2">
        <v>36.799999999999997</v>
      </c>
      <c r="X3302" s="2">
        <v>0</v>
      </c>
      <c r="Y3302" s="2" t="s">
        <v>43</v>
      </c>
      <c r="Z3302" s="2" t="s">
        <v>21952</v>
      </c>
      <c r="AA3302" s="2">
        <v>-4.5518171222108998</v>
      </c>
      <c r="AB3302" s="2">
        <v>0.23177802695011701</v>
      </c>
      <c r="AC3302" s="2">
        <v>5161.8365882839398</v>
      </c>
      <c r="AD3302" s="2">
        <v>9269.9239416357395</v>
      </c>
      <c r="AE3302" s="2">
        <v>4923.66260858645</v>
      </c>
      <c r="AF3302" s="2">
        <v>5376.8083116492598</v>
      </c>
      <c r="AG3302" s="2">
        <v>5412.5340074124797</v>
      </c>
      <c r="AH3302" s="2">
        <v>6030.8657117627799</v>
      </c>
      <c r="AI3302" s="2">
        <v>3723.5666520807699</v>
      </c>
      <c r="AJ3302" s="2">
        <v>5503.5822382119104</v>
      </c>
      <c r="AK3302" s="2">
        <v>7156.6619779720004</v>
      </c>
      <c r="AL3302" s="2">
        <v>12122.395940513199</v>
      </c>
      <c r="AM3302" s="2">
        <v>8471.1352155516997</v>
      </c>
      <c r="AN3302" s="2">
        <v>9859.8778969764298</v>
      </c>
      <c r="AO3302" s="2">
        <v>9480.2459707795406</v>
      </c>
      <c r="AP3302" s="2">
        <v>8529.2266480216003</v>
      </c>
    </row>
    <row r="3303" spans="1:42" ht="14.5" x14ac:dyDescent="0.35">
      <c r="A3303" s="2" t="s">
        <v>21953</v>
      </c>
      <c r="B3303" s="2">
        <v>368.082264274708</v>
      </c>
      <c r="C3303" s="2">
        <v>4.1925499999999998</v>
      </c>
      <c r="D3303" s="2" t="s">
        <v>34</v>
      </c>
      <c r="E3303" s="2" t="s">
        <v>21954</v>
      </c>
      <c r="F3303" s="2">
        <v>212755</v>
      </c>
      <c r="G3303" s="3" t="str">
        <f>HYPERLINK("http://funmeta.oebiotech.com/network/212755", "http://funmeta.oebiotech.com/network/212755")</f>
        <v>http://funmeta.oebiotech.com/network/212755</v>
      </c>
      <c r="H3303" s="2" t="s">
        <v>21955</v>
      </c>
      <c r="I3303" s="2">
        <v>1635</v>
      </c>
      <c r="J3303" s="2"/>
      <c r="K3303" s="2"/>
      <c r="L3303" s="2"/>
      <c r="M3303" s="2"/>
      <c r="N3303" s="2"/>
      <c r="O3303" s="2">
        <v>155794</v>
      </c>
      <c r="P3303" s="2" t="s">
        <v>21956</v>
      </c>
      <c r="Q3303" s="2" t="s">
        <v>21957</v>
      </c>
      <c r="R3303" s="2" t="s">
        <v>21958</v>
      </c>
      <c r="S3303" s="2" t="s">
        <v>491</v>
      </c>
      <c r="T3303" s="2" t="s">
        <v>15878</v>
      </c>
      <c r="U3303" s="2" t="s">
        <v>41</v>
      </c>
      <c r="V3303" s="2" t="s">
        <v>59</v>
      </c>
      <c r="W3303" s="2">
        <v>37.799999999999997</v>
      </c>
      <c r="X3303" s="2">
        <v>8.0199999999999994E-2</v>
      </c>
      <c r="Y3303" s="2" t="s">
        <v>340</v>
      </c>
      <c r="Z3303" s="2" t="s">
        <v>21959</v>
      </c>
      <c r="AA3303" s="2">
        <v>-2.1015695385199198</v>
      </c>
      <c r="AB3303" s="2">
        <v>0.231482709512386</v>
      </c>
      <c r="AC3303" s="2">
        <v>50999.995384856396</v>
      </c>
      <c r="AD3303" s="2">
        <v>56146.396979136203</v>
      </c>
      <c r="AE3303" s="2">
        <v>49219.442933717102</v>
      </c>
      <c r="AF3303" s="2">
        <v>53490.740847095803</v>
      </c>
      <c r="AG3303" s="2">
        <v>51628.511429712897</v>
      </c>
      <c r="AH3303" s="2">
        <v>50962.475435829801</v>
      </c>
      <c r="AI3303" s="2">
        <v>52427.255479445601</v>
      </c>
      <c r="AJ3303" s="2">
        <v>48271.546183337501</v>
      </c>
      <c r="AK3303" s="2">
        <v>58414.915689202302</v>
      </c>
      <c r="AL3303" s="2">
        <v>52697.115357852701</v>
      </c>
      <c r="AM3303" s="2">
        <v>61298.050945058698</v>
      </c>
      <c r="AN3303" s="2">
        <v>51011.664076744302</v>
      </c>
      <c r="AO3303" s="2">
        <v>57674.650084185101</v>
      </c>
      <c r="AP3303" s="2">
        <v>55781.985721774101</v>
      </c>
    </row>
    <row r="3304" spans="1:42" ht="14.5" x14ac:dyDescent="0.35">
      <c r="A3304" s="2" t="s">
        <v>21960</v>
      </c>
      <c r="B3304" s="2">
        <v>622.31430634589196</v>
      </c>
      <c r="C3304" s="2">
        <v>5.7665166666666696</v>
      </c>
      <c r="D3304" s="2" t="s">
        <v>70</v>
      </c>
      <c r="E3304" s="2" t="s">
        <v>21961</v>
      </c>
      <c r="F3304" s="2">
        <v>241970</v>
      </c>
      <c r="G3304" s="3" t="str">
        <f>HYPERLINK("http://funmeta.oebiotech.com/network/241970", "http://funmeta.oebiotech.com/network/241970")</f>
        <v>http://funmeta.oebiotech.com/network/241970</v>
      </c>
      <c r="H3304" s="2" t="s">
        <v>21962</v>
      </c>
      <c r="I3304" s="2"/>
      <c r="J3304" s="2"/>
      <c r="K3304" s="2"/>
      <c r="L3304" s="2"/>
      <c r="M3304" s="2"/>
      <c r="N3304" s="2"/>
      <c r="O3304" s="2"/>
      <c r="P3304" s="2"/>
      <c r="Q3304" s="2" t="s">
        <v>21963</v>
      </c>
      <c r="R3304" s="2" t="s">
        <v>21964</v>
      </c>
      <c r="S3304" s="2" t="s">
        <v>41</v>
      </c>
      <c r="T3304" s="2" t="s">
        <v>41</v>
      </c>
      <c r="U3304" s="2" t="s">
        <v>41</v>
      </c>
      <c r="V3304" s="2" t="s">
        <v>59</v>
      </c>
      <c r="W3304" s="2">
        <v>36.5</v>
      </c>
      <c r="X3304" s="2">
        <v>0</v>
      </c>
      <c r="Y3304" s="2" t="s">
        <v>751</v>
      </c>
      <c r="Z3304" s="2" t="s">
        <v>21965</v>
      </c>
      <c r="AA3304" s="2">
        <v>-1.1476600790244</v>
      </c>
      <c r="AB3304" s="2">
        <v>0.23145083017965801</v>
      </c>
      <c r="AC3304" s="2">
        <v>3756.6002980682201</v>
      </c>
      <c r="AD3304" s="2">
        <v>7526.3978866861698</v>
      </c>
      <c r="AE3304" s="2">
        <v>4389.1060951912896</v>
      </c>
      <c r="AF3304" s="2">
        <v>3583.9677315079798</v>
      </c>
      <c r="AG3304" s="2">
        <v>3535.1894145087299</v>
      </c>
      <c r="AH3304" s="2">
        <v>4198.0370631200103</v>
      </c>
      <c r="AI3304" s="2">
        <v>3382.72234274832</v>
      </c>
      <c r="AJ3304" s="2">
        <v>3450.5791413329998</v>
      </c>
      <c r="AK3304" s="2">
        <v>5688.8162800967602</v>
      </c>
      <c r="AL3304" s="2">
        <v>7647.8896722345498</v>
      </c>
      <c r="AM3304" s="2">
        <v>7725.5803432722096</v>
      </c>
      <c r="AN3304" s="2">
        <v>8049.5955081378397</v>
      </c>
      <c r="AO3304" s="2">
        <v>8853.4702599277298</v>
      </c>
      <c r="AP3304" s="2">
        <v>7193.0352564479599</v>
      </c>
    </row>
    <row r="3305" spans="1:42" ht="14.5" x14ac:dyDescent="0.35">
      <c r="A3305" s="2" t="s">
        <v>21966</v>
      </c>
      <c r="B3305" s="2">
        <v>317.11495412498698</v>
      </c>
      <c r="C3305" s="2">
        <v>0.66754999999999998</v>
      </c>
      <c r="D3305" s="2" t="s">
        <v>34</v>
      </c>
      <c r="E3305" s="2" t="s">
        <v>21967</v>
      </c>
      <c r="F3305" s="2">
        <v>35607</v>
      </c>
      <c r="G3305" s="3" t="str">
        <f>HYPERLINK("http://funmeta.oebiotech.com/network/35607", "http://funmeta.oebiotech.com/network/35607")</f>
        <v>http://funmeta.oebiotech.com/network/35607</v>
      </c>
      <c r="H3305" s="2"/>
      <c r="I3305" s="2">
        <v>53414</v>
      </c>
      <c r="J3305" s="2" t="s">
        <v>21968</v>
      </c>
      <c r="K3305" s="2"/>
      <c r="L3305" s="2"/>
      <c r="M3305" s="2"/>
      <c r="N3305" s="2"/>
      <c r="O3305" s="2">
        <v>42608142</v>
      </c>
      <c r="P3305" s="2"/>
      <c r="Q3305" s="2" t="s">
        <v>21969</v>
      </c>
      <c r="R3305" s="2" t="s">
        <v>21970</v>
      </c>
      <c r="S3305" s="2" t="s">
        <v>148</v>
      </c>
      <c r="T3305" s="2" t="s">
        <v>19471</v>
      </c>
      <c r="U3305" s="2" t="s">
        <v>41</v>
      </c>
      <c r="V3305" s="2" t="s">
        <v>59</v>
      </c>
      <c r="W3305" s="2">
        <v>39.9</v>
      </c>
      <c r="X3305" s="2">
        <v>4.38</v>
      </c>
      <c r="Y3305" s="2" t="s">
        <v>340</v>
      </c>
      <c r="Z3305" s="2" t="s">
        <v>4837</v>
      </c>
      <c r="AA3305" s="2">
        <v>-4.7236051483265699E-2</v>
      </c>
      <c r="AB3305" s="2">
        <v>0.23133188841324501</v>
      </c>
      <c r="AC3305" s="2">
        <v>28719.0524801463</v>
      </c>
      <c r="AD3305" s="2">
        <v>34630.921551187603</v>
      </c>
      <c r="AE3305" s="2">
        <v>24065.056805301101</v>
      </c>
      <c r="AF3305" s="2">
        <v>26766.0527440798</v>
      </c>
      <c r="AG3305" s="2">
        <v>30153.6513761065</v>
      </c>
      <c r="AH3305" s="2">
        <v>30275.794466737701</v>
      </c>
      <c r="AI3305" s="2">
        <v>26716.675859557599</v>
      </c>
      <c r="AJ3305" s="2">
        <v>34337.083629095097</v>
      </c>
      <c r="AK3305" s="2">
        <v>31489.626082700899</v>
      </c>
      <c r="AL3305" s="2">
        <v>35916.577985131597</v>
      </c>
      <c r="AM3305" s="2">
        <v>40118.062207297298</v>
      </c>
      <c r="AN3305" s="2">
        <v>40885.335794657301</v>
      </c>
      <c r="AO3305" s="2">
        <v>29515.6981864886</v>
      </c>
      <c r="AP3305" s="2">
        <v>29860.229050850099</v>
      </c>
    </row>
    <row r="3306" spans="1:42" ht="14.5" x14ac:dyDescent="0.35">
      <c r="A3306" s="2" t="s">
        <v>21971</v>
      </c>
      <c r="B3306" s="2">
        <v>701.28018776441297</v>
      </c>
      <c r="C3306" s="2">
        <v>8.6008499999999994</v>
      </c>
      <c r="D3306" s="2" t="s">
        <v>70</v>
      </c>
      <c r="E3306" s="2" t="s">
        <v>21972</v>
      </c>
      <c r="F3306" s="2">
        <v>203977</v>
      </c>
      <c r="G3306" s="3" t="str">
        <f>HYPERLINK("http://funmeta.oebiotech.com/network/203977", "http://funmeta.oebiotech.com/network/203977")</f>
        <v>http://funmeta.oebiotech.com/network/203977</v>
      </c>
      <c r="H3306" s="2" t="s">
        <v>21973</v>
      </c>
      <c r="I3306" s="2">
        <v>44234</v>
      </c>
      <c r="J3306" s="2"/>
      <c r="K3306" s="2"/>
      <c r="L3306" s="2"/>
      <c r="M3306" s="2"/>
      <c r="N3306" s="2"/>
      <c r="O3306" s="2">
        <v>2318</v>
      </c>
      <c r="P3306" s="2" t="s">
        <v>21974</v>
      </c>
      <c r="Q3306" s="2" t="s">
        <v>21975</v>
      </c>
      <c r="R3306" s="2" t="s">
        <v>21976</v>
      </c>
      <c r="S3306" s="2" t="s">
        <v>148</v>
      </c>
      <c r="T3306" s="2" t="s">
        <v>149</v>
      </c>
      <c r="U3306" s="2" t="s">
        <v>1593</v>
      </c>
      <c r="V3306" s="2" t="s">
        <v>59</v>
      </c>
      <c r="W3306" s="2">
        <v>38.4</v>
      </c>
      <c r="X3306" s="2">
        <v>0</v>
      </c>
      <c r="Y3306" s="2" t="s">
        <v>560</v>
      </c>
      <c r="Z3306" s="2" t="s">
        <v>21977</v>
      </c>
      <c r="AA3306" s="2">
        <v>-2.5102111190875398</v>
      </c>
      <c r="AB3306" s="2">
        <v>0.23110685032525399</v>
      </c>
      <c r="AC3306" s="2">
        <v>4316.1258060237296</v>
      </c>
      <c r="AD3306" s="2">
        <v>654.31944117624903</v>
      </c>
      <c r="AE3306" s="2">
        <v>4039.1263426648502</v>
      </c>
      <c r="AF3306" s="2">
        <v>4117.7157449986298</v>
      </c>
      <c r="AG3306" s="2">
        <v>5611.4605911998196</v>
      </c>
      <c r="AH3306" s="2">
        <v>3644.0876443833899</v>
      </c>
      <c r="AI3306" s="2">
        <v>3498.0535017131801</v>
      </c>
      <c r="AJ3306" s="2">
        <v>4986.3110111825299</v>
      </c>
      <c r="AK3306" s="2">
        <v>735.79232046622701</v>
      </c>
      <c r="AL3306" s="2">
        <v>1190.3939976479701</v>
      </c>
      <c r="AM3306" s="2">
        <v>466.49860052944803</v>
      </c>
      <c r="AN3306" s="2">
        <v>263.708086407709</v>
      </c>
      <c r="AO3306" s="2">
        <v>1002.20845259713</v>
      </c>
      <c r="AP3306" s="2">
        <v>267.31518940900901</v>
      </c>
    </row>
    <row r="3307" spans="1:42" ht="14.5" x14ac:dyDescent="0.35">
      <c r="A3307" s="2" t="s">
        <v>21978</v>
      </c>
      <c r="B3307" s="2">
        <v>509.12925860212101</v>
      </c>
      <c r="C3307" s="2">
        <v>4.7579333333333302</v>
      </c>
      <c r="D3307" s="2" t="s">
        <v>70</v>
      </c>
      <c r="E3307" s="2" t="s">
        <v>21979</v>
      </c>
      <c r="F3307" s="2">
        <v>34554</v>
      </c>
      <c r="G3307" s="3" t="str">
        <f>HYPERLINK("http://funmeta.oebiotech.com/network/34554", "http://funmeta.oebiotech.com/network/34554")</f>
        <v>http://funmeta.oebiotech.com/network/34554</v>
      </c>
      <c r="H3307" s="2" t="s">
        <v>21980</v>
      </c>
      <c r="I3307" s="2"/>
      <c r="J3307" s="2" t="s">
        <v>21981</v>
      </c>
      <c r="K3307" s="2"/>
      <c r="L3307" s="2"/>
      <c r="M3307" s="2"/>
      <c r="N3307" s="2"/>
      <c r="O3307" s="2">
        <v>20111686</v>
      </c>
      <c r="P3307" s="2" t="s">
        <v>21982</v>
      </c>
      <c r="Q3307" s="2" t="s">
        <v>21983</v>
      </c>
      <c r="R3307" s="2" t="s">
        <v>21984</v>
      </c>
      <c r="S3307" s="2" t="s">
        <v>115</v>
      </c>
      <c r="T3307" s="2" t="s">
        <v>139</v>
      </c>
      <c r="U3307" s="2" t="s">
        <v>140</v>
      </c>
      <c r="V3307" s="2" t="s">
        <v>59</v>
      </c>
      <c r="W3307" s="2">
        <v>37.5</v>
      </c>
      <c r="X3307" s="2">
        <v>0</v>
      </c>
      <c r="Y3307" s="2" t="s">
        <v>408</v>
      </c>
      <c r="Z3307" s="2" t="s">
        <v>21985</v>
      </c>
      <c r="AA3307" s="2">
        <v>-1.7362581329805999</v>
      </c>
      <c r="AB3307" s="2">
        <v>0.23103362036320399</v>
      </c>
      <c r="AC3307" s="2">
        <v>20588.951691130202</v>
      </c>
      <c r="AD3307" s="2">
        <v>24807.285986390601</v>
      </c>
      <c r="AE3307" s="2">
        <v>23558.450850910802</v>
      </c>
      <c r="AF3307" s="2">
        <v>21541.8018938079</v>
      </c>
      <c r="AG3307" s="2">
        <v>19350.858348588299</v>
      </c>
      <c r="AH3307" s="2">
        <v>21569.535816548901</v>
      </c>
      <c r="AI3307" s="2">
        <v>18591.920619826498</v>
      </c>
      <c r="AJ3307" s="2">
        <v>18921.142617099002</v>
      </c>
      <c r="AK3307" s="2">
        <v>24620.8248610636</v>
      </c>
      <c r="AL3307" s="2">
        <v>25402.819448695798</v>
      </c>
      <c r="AM3307" s="2">
        <v>23678.078454393901</v>
      </c>
      <c r="AN3307" s="2">
        <v>25874.4367071491</v>
      </c>
      <c r="AO3307" s="2">
        <v>23904.656009932402</v>
      </c>
      <c r="AP3307" s="2">
        <v>25362.900437108499</v>
      </c>
    </row>
    <row r="3308" spans="1:42" ht="14.5" x14ac:dyDescent="0.35">
      <c r="A3308" s="2" t="s">
        <v>21986</v>
      </c>
      <c r="B3308" s="2">
        <v>357.29940222399</v>
      </c>
      <c r="C3308" s="2">
        <v>10.509316666666701</v>
      </c>
      <c r="D3308" s="2" t="s">
        <v>34</v>
      </c>
      <c r="E3308" s="2" t="s">
        <v>21987</v>
      </c>
      <c r="F3308" s="2">
        <v>10441</v>
      </c>
      <c r="G3308" s="3" t="str">
        <f>HYPERLINK("http://funmeta.oebiotech.com/network/10441", "http://funmeta.oebiotech.com/network/10441")</f>
        <v>http://funmeta.oebiotech.com/network/10441</v>
      </c>
      <c r="H3308" s="2" t="s">
        <v>21988</v>
      </c>
      <c r="I3308" s="2">
        <v>62321</v>
      </c>
      <c r="J3308" s="2" t="s">
        <v>21989</v>
      </c>
      <c r="K3308" s="2">
        <v>73990</v>
      </c>
      <c r="L3308" s="2"/>
      <c r="M3308" s="2"/>
      <c r="N3308" s="2"/>
      <c r="O3308" s="2">
        <v>5319879</v>
      </c>
      <c r="P3308" s="2" t="s">
        <v>21990</v>
      </c>
      <c r="Q3308" s="2" t="s">
        <v>21991</v>
      </c>
      <c r="R3308" s="2" t="s">
        <v>21992</v>
      </c>
      <c r="S3308" s="2" t="s">
        <v>50</v>
      </c>
      <c r="T3308" s="2" t="s">
        <v>448</v>
      </c>
      <c r="U3308" s="2" t="s">
        <v>7051</v>
      </c>
      <c r="V3308" s="2" t="s">
        <v>42</v>
      </c>
      <c r="W3308" s="2">
        <v>54.7</v>
      </c>
      <c r="X3308" s="2">
        <v>79</v>
      </c>
      <c r="Y3308" s="2" t="s">
        <v>1008</v>
      </c>
      <c r="Z3308" s="2" t="s">
        <v>9884</v>
      </c>
      <c r="AA3308" s="2">
        <v>-1.49868103063005</v>
      </c>
      <c r="AB3308" s="2">
        <v>0.23092244727105499</v>
      </c>
      <c r="AC3308" s="2">
        <v>38500.136541602697</v>
      </c>
      <c r="AD3308" s="2">
        <v>33973.558923495802</v>
      </c>
      <c r="AE3308" s="2">
        <v>39308.372568298197</v>
      </c>
      <c r="AF3308" s="2">
        <v>39099.726189908499</v>
      </c>
      <c r="AG3308" s="2">
        <v>39523.685981289898</v>
      </c>
      <c r="AH3308" s="2">
        <v>37142.441355090297</v>
      </c>
      <c r="AI3308" s="2">
        <v>36594.139484952699</v>
      </c>
      <c r="AJ3308" s="2">
        <v>39332.453670076597</v>
      </c>
      <c r="AK3308" s="2">
        <v>36147.654068053103</v>
      </c>
      <c r="AL3308" s="2">
        <v>36856.025554828397</v>
      </c>
      <c r="AM3308" s="2">
        <v>33564.721260713399</v>
      </c>
      <c r="AN3308" s="2">
        <v>32603.552860922398</v>
      </c>
      <c r="AO3308" s="2">
        <v>35074.295590069203</v>
      </c>
      <c r="AP3308" s="2">
        <v>29595.1042063881</v>
      </c>
    </row>
    <row r="3309" spans="1:42" ht="14.5" x14ac:dyDescent="0.35">
      <c r="A3309" s="2" t="s">
        <v>21993</v>
      </c>
      <c r="B3309" s="2">
        <v>541.31360573593497</v>
      </c>
      <c r="C3309" s="2">
        <v>11.1610333333333</v>
      </c>
      <c r="D3309" s="2" t="s">
        <v>34</v>
      </c>
      <c r="E3309" s="2" t="s">
        <v>21994</v>
      </c>
      <c r="F3309" s="2">
        <v>24902</v>
      </c>
      <c r="G3309" s="3" t="str">
        <f>HYPERLINK("http://funmeta.oebiotech.com/network/24902", "http://funmeta.oebiotech.com/network/24902")</f>
        <v>http://funmeta.oebiotech.com/network/24902</v>
      </c>
      <c r="H3309" s="2"/>
      <c r="I3309" s="2"/>
      <c r="J3309" s="2" t="s">
        <v>21995</v>
      </c>
      <c r="K3309" s="2"/>
      <c r="L3309" s="2"/>
      <c r="M3309" s="2"/>
      <c r="N3309" s="2"/>
      <c r="O3309" s="2">
        <v>52928630</v>
      </c>
      <c r="P3309" s="2"/>
      <c r="Q3309" s="2" t="s">
        <v>21996</v>
      </c>
      <c r="R3309" s="2" t="s">
        <v>21997</v>
      </c>
      <c r="S3309" s="2" t="s">
        <v>50</v>
      </c>
      <c r="T3309" s="2" t="s">
        <v>51</v>
      </c>
      <c r="U3309" s="2" t="s">
        <v>52</v>
      </c>
      <c r="V3309" s="2" t="s">
        <v>59</v>
      </c>
      <c r="W3309" s="2">
        <v>38.6</v>
      </c>
      <c r="X3309" s="2">
        <v>0</v>
      </c>
      <c r="Y3309" s="2" t="s">
        <v>141</v>
      </c>
      <c r="Z3309" s="2" t="s">
        <v>21998</v>
      </c>
      <c r="AA3309" s="2">
        <v>-9.1252740081024901E-3</v>
      </c>
      <c r="AB3309" s="2">
        <v>0.230725157339908</v>
      </c>
      <c r="AC3309" s="2">
        <v>5854.1529176201902</v>
      </c>
      <c r="AD3309" s="2">
        <v>2192.9312786452801</v>
      </c>
      <c r="AE3309" s="2">
        <v>5065.2649672448297</v>
      </c>
      <c r="AF3309" s="2">
        <v>5757.6201768614201</v>
      </c>
      <c r="AG3309" s="2">
        <v>6098.2593819393596</v>
      </c>
      <c r="AH3309" s="2">
        <v>6508.1574718432903</v>
      </c>
      <c r="AI3309" s="2">
        <v>5346.7396362149102</v>
      </c>
      <c r="AJ3309" s="2">
        <v>6348.8758716173197</v>
      </c>
      <c r="AK3309" s="2">
        <v>3380.11389452618</v>
      </c>
      <c r="AL3309" s="2">
        <v>1906.6650811438999</v>
      </c>
      <c r="AM3309" s="2">
        <v>2720.5642707226798</v>
      </c>
      <c r="AN3309" s="2">
        <v>1846.3298771038401</v>
      </c>
      <c r="AO3309" s="2">
        <v>1577.72445040505</v>
      </c>
      <c r="AP3309" s="2">
        <v>1726.1900979700499</v>
      </c>
    </row>
    <row r="3310" spans="1:42" ht="14.5" x14ac:dyDescent="0.35">
      <c r="A3310" s="2" t="s">
        <v>21999</v>
      </c>
      <c r="B3310" s="2">
        <v>1087.4646008032901</v>
      </c>
      <c r="C3310" s="2">
        <v>9.6530833333333295</v>
      </c>
      <c r="D3310" s="2" t="s">
        <v>34</v>
      </c>
      <c r="E3310" s="2" t="s">
        <v>22000</v>
      </c>
      <c r="F3310" s="2">
        <v>50683</v>
      </c>
      <c r="G3310" s="3" t="str">
        <f>HYPERLINK("http://funmeta.oebiotech.com/network/50683", "http://funmeta.oebiotech.com/network/50683")</f>
        <v>http://funmeta.oebiotech.com/network/50683</v>
      </c>
      <c r="H3310" s="2" t="s">
        <v>22001</v>
      </c>
      <c r="I3310" s="2">
        <v>61424</v>
      </c>
      <c r="J3310" s="2"/>
      <c r="K3310" s="2"/>
      <c r="L3310" s="2" t="s">
        <v>5751</v>
      </c>
      <c r="M3310" s="2"/>
      <c r="N3310" s="2"/>
      <c r="O3310" s="2">
        <v>53480237</v>
      </c>
      <c r="P3310" s="2"/>
      <c r="Q3310" s="2" t="s">
        <v>22002</v>
      </c>
      <c r="R3310" s="2" t="s">
        <v>22003</v>
      </c>
      <c r="S3310" s="2" t="s">
        <v>50</v>
      </c>
      <c r="T3310" s="2" t="s">
        <v>51</v>
      </c>
      <c r="U3310" s="2" t="s">
        <v>5754</v>
      </c>
      <c r="V3310" s="2" t="s">
        <v>59</v>
      </c>
      <c r="W3310" s="2">
        <v>37.4</v>
      </c>
      <c r="X3310" s="2">
        <v>0</v>
      </c>
      <c r="Y3310" s="2" t="s">
        <v>340</v>
      </c>
      <c r="Z3310" s="2" t="s">
        <v>22004</v>
      </c>
      <c r="AA3310" s="2">
        <v>-3.8127875002496099</v>
      </c>
      <c r="AB3310" s="2">
        <v>0.23071947739429199</v>
      </c>
      <c r="AC3310" s="2">
        <v>24035.4699918242</v>
      </c>
      <c r="AD3310" s="2">
        <v>17178.734918874801</v>
      </c>
      <c r="AE3310" s="2">
        <v>27233.638741691098</v>
      </c>
      <c r="AF3310" s="2">
        <v>20576.989814746601</v>
      </c>
      <c r="AG3310" s="2">
        <v>24469.862267992099</v>
      </c>
      <c r="AH3310" s="2">
        <v>21315.539611037198</v>
      </c>
      <c r="AI3310" s="2">
        <v>31751.3668221509</v>
      </c>
      <c r="AJ3310" s="2">
        <v>18865.4226933276</v>
      </c>
      <c r="AK3310" s="2">
        <v>11309.672406641601</v>
      </c>
      <c r="AL3310" s="2">
        <v>31412.408473440799</v>
      </c>
      <c r="AM3310" s="2">
        <v>18817.2945677352</v>
      </c>
      <c r="AN3310" s="2">
        <v>15931.6274908087</v>
      </c>
      <c r="AO3310" s="2">
        <v>13293.430107181601</v>
      </c>
      <c r="AP3310" s="2">
        <v>12307.9764674407</v>
      </c>
    </row>
    <row r="3311" spans="1:42" ht="14.5" x14ac:dyDescent="0.35">
      <c r="A3311" s="2" t="s">
        <v>22005</v>
      </c>
      <c r="B3311" s="2">
        <v>441.20141026971999</v>
      </c>
      <c r="C3311" s="2">
        <v>4.0691166666666696</v>
      </c>
      <c r="D3311" s="2" t="s">
        <v>34</v>
      </c>
      <c r="E3311" s="2" t="s">
        <v>22006</v>
      </c>
      <c r="F3311" s="2">
        <v>57698</v>
      </c>
      <c r="G3311" s="3" t="str">
        <f>HYPERLINK("http://funmeta.oebiotech.com/network/57698", "http://funmeta.oebiotech.com/network/57698")</f>
        <v>http://funmeta.oebiotech.com/network/57698</v>
      </c>
      <c r="H3311" s="2" t="s">
        <v>22007</v>
      </c>
      <c r="I3311" s="2">
        <v>89295</v>
      </c>
      <c r="J3311" s="2"/>
      <c r="K3311" s="2"/>
      <c r="L3311" s="2"/>
      <c r="M3311" s="2"/>
      <c r="N3311" s="2"/>
      <c r="O3311" s="2">
        <v>5321825</v>
      </c>
      <c r="P3311" s="2" t="s">
        <v>22008</v>
      </c>
      <c r="Q3311" s="2" t="s">
        <v>22009</v>
      </c>
      <c r="R3311" s="2" t="s">
        <v>22010</v>
      </c>
      <c r="S3311" s="2" t="s">
        <v>115</v>
      </c>
      <c r="T3311" s="2" t="s">
        <v>116</v>
      </c>
      <c r="U3311" s="2" t="s">
        <v>117</v>
      </c>
      <c r="V3311" s="2" t="s">
        <v>59</v>
      </c>
      <c r="W3311" s="2">
        <v>37.4</v>
      </c>
      <c r="X3311" s="2">
        <v>0</v>
      </c>
      <c r="Y3311" s="2" t="s">
        <v>394</v>
      </c>
      <c r="Z3311" s="2" t="s">
        <v>22011</v>
      </c>
      <c r="AA3311" s="2">
        <v>-1.3693648509548</v>
      </c>
      <c r="AB3311" s="2">
        <v>0.23061725641210801</v>
      </c>
      <c r="AC3311" s="2">
        <v>44923.346581875601</v>
      </c>
      <c r="AD3311" s="2">
        <v>37816.277758222503</v>
      </c>
      <c r="AE3311" s="2">
        <v>48386.193561128799</v>
      </c>
      <c r="AF3311" s="2">
        <v>57774.904012188803</v>
      </c>
      <c r="AG3311" s="2">
        <v>45541.688941663597</v>
      </c>
      <c r="AH3311" s="2">
        <v>38442.116331720601</v>
      </c>
      <c r="AI3311" s="2">
        <v>36623.424024062697</v>
      </c>
      <c r="AJ3311" s="2">
        <v>42771.752620488798</v>
      </c>
      <c r="AK3311" s="2">
        <v>45760.064980952899</v>
      </c>
      <c r="AL3311" s="2">
        <v>42086.862813113003</v>
      </c>
      <c r="AM3311" s="2">
        <v>43520.263755199499</v>
      </c>
      <c r="AN3311" s="2">
        <v>32149.017904912798</v>
      </c>
      <c r="AO3311" s="2">
        <v>31615.354581389001</v>
      </c>
      <c r="AP3311" s="2">
        <v>31766.102513767699</v>
      </c>
    </row>
    <row r="3312" spans="1:42" ht="14.5" x14ac:dyDescent="0.35">
      <c r="A3312" s="2" t="s">
        <v>22012</v>
      </c>
      <c r="B3312" s="2">
        <v>649.28782477213599</v>
      </c>
      <c r="C3312" s="2">
        <v>7.2607833333333298</v>
      </c>
      <c r="D3312" s="2" t="s">
        <v>70</v>
      </c>
      <c r="E3312" s="2" t="s">
        <v>22013</v>
      </c>
      <c r="F3312" s="2">
        <v>44707</v>
      </c>
      <c r="G3312" s="3" t="str">
        <f>HYPERLINK("http://funmeta.oebiotech.com/network/44707", "http://funmeta.oebiotech.com/network/44707")</f>
        <v>http://funmeta.oebiotech.com/network/44707</v>
      </c>
      <c r="H3312" s="2"/>
      <c r="I3312" s="2"/>
      <c r="J3312" s="2" t="s">
        <v>22014</v>
      </c>
      <c r="K3312" s="2">
        <v>28332</v>
      </c>
      <c r="L3312" s="2" t="s">
        <v>22015</v>
      </c>
      <c r="M3312" s="2"/>
      <c r="N3312" s="2"/>
      <c r="O3312" s="2">
        <v>52931496</v>
      </c>
      <c r="P3312" s="2"/>
      <c r="Q3312" s="2" t="s">
        <v>22016</v>
      </c>
      <c r="R3312" s="2" t="s">
        <v>22017</v>
      </c>
      <c r="S3312" s="2" t="s">
        <v>50</v>
      </c>
      <c r="T3312" s="2" t="s">
        <v>124</v>
      </c>
      <c r="U3312" s="2" t="s">
        <v>567</v>
      </c>
      <c r="V3312" s="2" t="s">
        <v>42</v>
      </c>
      <c r="W3312" s="2">
        <v>52.9</v>
      </c>
      <c r="X3312" s="2">
        <v>69.8</v>
      </c>
      <c r="Y3312" s="2" t="s">
        <v>408</v>
      </c>
      <c r="Z3312" s="2" t="s">
        <v>22018</v>
      </c>
      <c r="AA3312" s="2">
        <v>2.08456090699549</v>
      </c>
      <c r="AB3312" s="2">
        <v>0.23051255314338601</v>
      </c>
      <c r="AC3312" s="2">
        <v>29479.637769011701</v>
      </c>
      <c r="AD3312" s="2">
        <v>25052.879965720898</v>
      </c>
      <c r="AE3312" s="2">
        <v>27560.062925046001</v>
      </c>
      <c r="AF3312" s="2">
        <v>27129.02373479</v>
      </c>
      <c r="AG3312" s="2">
        <v>31651.431626439</v>
      </c>
      <c r="AH3312" s="2">
        <v>29812.934389159</v>
      </c>
      <c r="AI3312" s="2">
        <v>30645.090019411</v>
      </c>
      <c r="AJ3312" s="2">
        <v>30079.2839192254</v>
      </c>
      <c r="AK3312" s="2">
        <v>21938.752546752301</v>
      </c>
      <c r="AL3312" s="2">
        <v>26781.0446758008</v>
      </c>
      <c r="AM3312" s="2">
        <v>23893.995473759998</v>
      </c>
      <c r="AN3312" s="2">
        <v>27181.247843910001</v>
      </c>
      <c r="AO3312" s="2">
        <v>24699.700471346001</v>
      </c>
      <c r="AP3312" s="2">
        <v>25822.538782756499</v>
      </c>
    </row>
    <row r="3313" spans="1:42" ht="14.5" x14ac:dyDescent="0.35">
      <c r="A3313" s="2" t="s">
        <v>22019</v>
      </c>
      <c r="B3313" s="2">
        <v>242.03455520501899</v>
      </c>
      <c r="C3313" s="2">
        <v>0.55359999999999998</v>
      </c>
      <c r="D3313" s="2" t="s">
        <v>34</v>
      </c>
      <c r="E3313" s="2" t="s">
        <v>22020</v>
      </c>
      <c r="F3313" s="2">
        <v>47111</v>
      </c>
      <c r="G3313" s="3" t="str">
        <f>HYPERLINK("http://funmeta.oebiotech.com/network/47111", "http://funmeta.oebiotech.com/network/47111")</f>
        <v>http://funmeta.oebiotech.com/network/47111</v>
      </c>
      <c r="H3313" s="2" t="s">
        <v>22021</v>
      </c>
      <c r="I3313" s="2">
        <v>5571</v>
      </c>
      <c r="J3313" s="2"/>
      <c r="K3313" s="2">
        <v>133343</v>
      </c>
      <c r="L3313" s="2" t="s">
        <v>22022</v>
      </c>
      <c r="M3313" s="2"/>
      <c r="N3313" s="2"/>
      <c r="O3313" s="2">
        <v>72361</v>
      </c>
      <c r="P3313" s="2" t="s">
        <v>22023</v>
      </c>
      <c r="Q3313" s="2" t="s">
        <v>22024</v>
      </c>
      <c r="R3313" s="2" t="s">
        <v>22025</v>
      </c>
      <c r="S3313" s="2" t="s">
        <v>79</v>
      </c>
      <c r="T3313" s="2" t="s">
        <v>80</v>
      </c>
      <c r="U3313" s="2" t="s">
        <v>81</v>
      </c>
      <c r="V3313" s="2" t="s">
        <v>59</v>
      </c>
      <c r="W3313" s="2">
        <v>36.799999999999997</v>
      </c>
      <c r="X3313" s="2">
        <v>0</v>
      </c>
      <c r="Y3313" s="2" t="s">
        <v>141</v>
      </c>
      <c r="Z3313" s="2" t="s">
        <v>22026</v>
      </c>
      <c r="AA3313" s="2">
        <v>6.39322577373642</v>
      </c>
      <c r="AB3313" s="2">
        <v>0.23034496298611401</v>
      </c>
      <c r="AC3313" s="2">
        <v>6048.3297376349601</v>
      </c>
      <c r="AD3313" s="2">
        <v>2482.5946639930298</v>
      </c>
      <c r="AE3313" s="2">
        <v>5241.3008108325503</v>
      </c>
      <c r="AF3313" s="2">
        <v>6429.0991029453398</v>
      </c>
      <c r="AG3313" s="2">
        <v>6426.9588926841498</v>
      </c>
      <c r="AH3313" s="2">
        <v>6005.1862323442501</v>
      </c>
      <c r="AI3313" s="2">
        <v>6079.9972312459304</v>
      </c>
      <c r="AJ3313" s="2">
        <v>6107.4361557575303</v>
      </c>
      <c r="AK3313" s="2">
        <v>2969.9273442047802</v>
      </c>
      <c r="AL3313" s="2">
        <v>2242.2349019569101</v>
      </c>
      <c r="AM3313" s="2">
        <v>2194.6000493266101</v>
      </c>
      <c r="AN3313" s="2">
        <v>2954.07268282426</v>
      </c>
      <c r="AO3313" s="2">
        <v>2573.2867280310902</v>
      </c>
      <c r="AP3313" s="2">
        <v>1961.4462776145201</v>
      </c>
    </row>
    <row r="3314" spans="1:42" ht="14.5" x14ac:dyDescent="0.35">
      <c r="A3314" s="2" t="s">
        <v>22027</v>
      </c>
      <c r="B3314" s="2">
        <v>383.14400885109501</v>
      </c>
      <c r="C3314" s="2">
        <v>1.06171666666667</v>
      </c>
      <c r="D3314" s="2" t="s">
        <v>34</v>
      </c>
      <c r="E3314" s="2" t="s">
        <v>22028</v>
      </c>
      <c r="F3314" s="2">
        <v>82746</v>
      </c>
      <c r="G3314" s="3" t="str">
        <f>HYPERLINK("http://funmeta.oebiotech.com/network/82746", "http://funmeta.oebiotech.com/network/82746")</f>
        <v>http://funmeta.oebiotech.com/network/82746</v>
      </c>
      <c r="H3314" s="2" t="s">
        <v>22029</v>
      </c>
      <c r="I3314" s="2"/>
      <c r="J3314" s="2"/>
      <c r="K3314" s="2"/>
      <c r="L3314" s="2"/>
      <c r="M3314" s="2"/>
      <c r="N3314" s="2"/>
      <c r="O3314" s="2">
        <v>10044355</v>
      </c>
      <c r="P3314" s="2"/>
      <c r="Q3314" s="2" t="s">
        <v>22030</v>
      </c>
      <c r="R3314" s="2" t="s">
        <v>22031</v>
      </c>
      <c r="S3314" s="2" t="s">
        <v>148</v>
      </c>
      <c r="T3314" s="2" t="s">
        <v>149</v>
      </c>
      <c r="U3314" s="2" t="s">
        <v>15271</v>
      </c>
      <c r="V3314" s="2" t="s">
        <v>59</v>
      </c>
      <c r="W3314" s="2">
        <v>39.4</v>
      </c>
      <c r="X3314" s="2">
        <v>0</v>
      </c>
      <c r="Y3314" s="2" t="s">
        <v>43</v>
      </c>
      <c r="Z3314" s="2" t="s">
        <v>18012</v>
      </c>
      <c r="AA3314" s="2">
        <v>0.61337410520287095</v>
      </c>
      <c r="AB3314" s="2">
        <v>0.23033568548935601</v>
      </c>
      <c r="AC3314" s="2">
        <v>10845.5546478496</v>
      </c>
      <c r="AD3314" s="2">
        <v>6952.7742880763099</v>
      </c>
      <c r="AE3314" s="2">
        <v>10922.9084809176</v>
      </c>
      <c r="AF3314" s="2">
        <v>11906.328566305499</v>
      </c>
      <c r="AG3314" s="2">
        <v>9267.8959544211502</v>
      </c>
      <c r="AH3314" s="2">
        <v>11219.296308368799</v>
      </c>
      <c r="AI3314" s="2">
        <v>9237.0175024441505</v>
      </c>
      <c r="AJ3314" s="2">
        <v>12519.8810746403</v>
      </c>
      <c r="AK3314" s="2">
        <v>6476.54851552941</v>
      </c>
      <c r="AL3314" s="2">
        <v>6093.5579278088499</v>
      </c>
      <c r="AM3314" s="2">
        <v>6414.0329799710398</v>
      </c>
      <c r="AN3314" s="2">
        <v>7682.3567667933503</v>
      </c>
      <c r="AO3314" s="2">
        <v>7730.0296512638697</v>
      </c>
      <c r="AP3314" s="2">
        <v>7320.1198870913104</v>
      </c>
    </row>
    <row r="3315" spans="1:42" ht="14.5" x14ac:dyDescent="0.35">
      <c r="A3315" s="2" t="s">
        <v>22032</v>
      </c>
      <c r="B3315" s="2">
        <v>393.18950121153699</v>
      </c>
      <c r="C3315" s="2">
        <v>9.6037999999999997</v>
      </c>
      <c r="D3315" s="2" t="s">
        <v>70</v>
      </c>
      <c r="E3315" s="2" t="s">
        <v>22033</v>
      </c>
      <c r="F3315" s="2">
        <v>515306</v>
      </c>
      <c r="G3315" s="3" t="str">
        <f>HYPERLINK("http://funmeta.oebiotech.com/network/515306", "http://funmeta.oebiotech.com/network/515306")</f>
        <v>http://funmeta.oebiotech.com/network/515306</v>
      </c>
      <c r="H3315" s="2"/>
      <c r="I3315" s="2">
        <v>96476</v>
      </c>
      <c r="J3315" s="2"/>
      <c r="K3315" s="2"/>
      <c r="L3315" s="2"/>
      <c r="M3315" s="2"/>
      <c r="N3315" s="2"/>
      <c r="O3315" s="2">
        <v>95549471</v>
      </c>
      <c r="P3315" s="2" t="s">
        <v>22034</v>
      </c>
      <c r="Q3315" s="2" t="s">
        <v>22035</v>
      </c>
      <c r="R3315" s="2" t="s">
        <v>22036</v>
      </c>
      <c r="S3315" s="2" t="s">
        <v>50</v>
      </c>
      <c r="T3315" s="2" t="s">
        <v>229</v>
      </c>
      <c r="U3315" s="2" t="s">
        <v>766</v>
      </c>
      <c r="V3315" s="2" t="s">
        <v>59</v>
      </c>
      <c r="W3315" s="2">
        <v>36.6</v>
      </c>
      <c r="X3315" s="2">
        <v>0</v>
      </c>
      <c r="Y3315" s="2" t="s">
        <v>751</v>
      </c>
      <c r="Z3315" s="2" t="s">
        <v>22037</v>
      </c>
      <c r="AA3315" s="2">
        <v>2.9398680584822898</v>
      </c>
      <c r="AB3315" s="2">
        <v>0.23005233595511501</v>
      </c>
      <c r="AC3315" s="2">
        <v>6246.6143945070899</v>
      </c>
      <c r="AD3315" s="2">
        <v>2615.65189812266</v>
      </c>
      <c r="AE3315" s="2">
        <v>7284.9612186338099</v>
      </c>
      <c r="AF3315" s="2">
        <v>5936.1729359232404</v>
      </c>
      <c r="AG3315" s="2">
        <v>6184.3109465320604</v>
      </c>
      <c r="AH3315" s="2">
        <v>6782.6842632427497</v>
      </c>
      <c r="AI3315" s="2">
        <v>6168.7966910469504</v>
      </c>
      <c r="AJ3315" s="2">
        <v>5122.7603116637101</v>
      </c>
      <c r="AK3315" s="2">
        <v>2334.8323248452002</v>
      </c>
      <c r="AL3315" s="2">
        <v>2613.9338130204201</v>
      </c>
      <c r="AM3315" s="2">
        <v>3465.8980418267302</v>
      </c>
      <c r="AN3315" s="2">
        <v>2355.4547735597498</v>
      </c>
      <c r="AO3315" s="2">
        <v>2597.45586052522</v>
      </c>
      <c r="AP3315" s="2">
        <v>2326.3365749586201</v>
      </c>
    </row>
    <row r="3316" spans="1:42" ht="14.5" x14ac:dyDescent="0.35">
      <c r="A3316" s="2" t="s">
        <v>22038</v>
      </c>
      <c r="B3316" s="2">
        <v>641.25980941529497</v>
      </c>
      <c r="C3316" s="2">
        <v>5.5064166666666701</v>
      </c>
      <c r="D3316" s="2" t="s">
        <v>70</v>
      </c>
      <c r="E3316" s="2" t="s">
        <v>22039</v>
      </c>
      <c r="F3316" s="2">
        <v>213068</v>
      </c>
      <c r="G3316" s="3" t="str">
        <f>HYPERLINK("http://funmeta.oebiotech.com/network/213068", "http://funmeta.oebiotech.com/network/213068")</f>
        <v>http://funmeta.oebiotech.com/network/213068</v>
      </c>
      <c r="H3316" s="2" t="s">
        <v>22040</v>
      </c>
      <c r="I3316" s="2"/>
      <c r="J3316" s="2"/>
      <c r="K3316" s="2"/>
      <c r="L3316" s="2"/>
      <c r="M3316" s="2"/>
      <c r="N3316" s="2"/>
      <c r="O3316" s="2"/>
      <c r="P3316" s="2"/>
      <c r="Q3316" s="2" t="s">
        <v>22041</v>
      </c>
      <c r="R3316" s="2" t="s">
        <v>22042</v>
      </c>
      <c r="S3316" s="2" t="s">
        <v>491</v>
      </c>
      <c r="T3316" s="2" t="s">
        <v>3613</v>
      </c>
      <c r="U3316" s="2" t="s">
        <v>41</v>
      </c>
      <c r="V3316" s="2" t="s">
        <v>59</v>
      </c>
      <c r="W3316" s="2">
        <v>38.200000000000003</v>
      </c>
      <c r="X3316" s="2">
        <v>0</v>
      </c>
      <c r="Y3316" s="2" t="s">
        <v>560</v>
      </c>
      <c r="Z3316" s="2" t="s">
        <v>22043</v>
      </c>
      <c r="AA3316" s="2">
        <v>-0.82585687207801095</v>
      </c>
      <c r="AB3316" s="2">
        <v>0.22992669710867999</v>
      </c>
      <c r="AC3316" s="2">
        <v>8793.4779799049502</v>
      </c>
      <c r="AD3316" s="2">
        <v>12680.123430035501</v>
      </c>
      <c r="AE3316" s="2">
        <v>8847.5475215339502</v>
      </c>
      <c r="AF3316" s="2">
        <v>8625.6446603122695</v>
      </c>
      <c r="AG3316" s="2">
        <v>9476.93036350701</v>
      </c>
      <c r="AH3316" s="2">
        <v>8135.5297421167397</v>
      </c>
      <c r="AI3316" s="2">
        <v>8333.5788865841605</v>
      </c>
      <c r="AJ3316" s="2">
        <v>9341.6367053755803</v>
      </c>
      <c r="AK3316" s="2">
        <v>10968.7317277394</v>
      </c>
      <c r="AL3316" s="2">
        <v>14255.5415809025</v>
      </c>
      <c r="AM3316" s="2">
        <v>12229.940103921301</v>
      </c>
      <c r="AN3316" s="2">
        <v>11277.316064472399</v>
      </c>
      <c r="AO3316" s="2">
        <v>13630.563486916</v>
      </c>
      <c r="AP3316" s="2">
        <v>13718.6476162612</v>
      </c>
    </row>
    <row r="3317" spans="1:42" ht="14.5" x14ac:dyDescent="0.35">
      <c r="A3317" s="2" t="s">
        <v>22044</v>
      </c>
      <c r="B3317" s="2">
        <v>433.25660332641797</v>
      </c>
      <c r="C3317" s="2">
        <v>11.246233333333301</v>
      </c>
      <c r="D3317" s="2" t="s">
        <v>70</v>
      </c>
      <c r="E3317" s="2" t="s">
        <v>22045</v>
      </c>
      <c r="F3317" s="2">
        <v>47244</v>
      </c>
      <c r="G3317" s="3" t="str">
        <f>HYPERLINK("http://funmeta.oebiotech.com/network/47244", "http://funmeta.oebiotech.com/network/47244")</f>
        <v>http://funmeta.oebiotech.com/network/47244</v>
      </c>
      <c r="H3317" s="2" t="s">
        <v>22046</v>
      </c>
      <c r="I3317" s="2"/>
      <c r="J3317" s="2"/>
      <c r="K3317" s="2">
        <v>53210</v>
      </c>
      <c r="L3317" s="2" t="s">
        <v>22047</v>
      </c>
      <c r="M3317" s="2"/>
      <c r="N3317" s="2"/>
      <c r="O3317" s="2">
        <v>188824</v>
      </c>
      <c r="P3317" s="2" t="s">
        <v>22048</v>
      </c>
      <c r="Q3317" s="2" t="s">
        <v>22049</v>
      </c>
      <c r="R3317" s="2" t="s">
        <v>22050</v>
      </c>
      <c r="S3317" s="2" t="s">
        <v>50</v>
      </c>
      <c r="T3317" s="2" t="s">
        <v>229</v>
      </c>
      <c r="U3317" s="2" t="s">
        <v>1914</v>
      </c>
      <c r="V3317" s="2" t="s">
        <v>59</v>
      </c>
      <c r="W3317" s="2">
        <v>38.299999999999997</v>
      </c>
      <c r="X3317" s="2">
        <v>0</v>
      </c>
      <c r="Y3317" s="2" t="s">
        <v>560</v>
      </c>
      <c r="Z3317" s="2" t="s">
        <v>22051</v>
      </c>
      <c r="AA3317" s="2">
        <v>2.4491474712010599</v>
      </c>
      <c r="AB3317" s="2">
        <v>0.229695441353619</v>
      </c>
      <c r="AC3317" s="2">
        <v>4802.0085702995702</v>
      </c>
      <c r="AD3317" s="2">
        <v>1217.4338822065699</v>
      </c>
      <c r="AE3317" s="2">
        <v>5478.39111189699</v>
      </c>
      <c r="AF3317" s="2">
        <v>4899.1501840300898</v>
      </c>
      <c r="AG3317" s="2">
        <v>4505.2021064230103</v>
      </c>
      <c r="AH3317" s="2">
        <v>3952.7946335021202</v>
      </c>
      <c r="AI3317" s="2">
        <v>4375.7406534750198</v>
      </c>
      <c r="AJ3317" s="2">
        <v>5600.77273247018</v>
      </c>
      <c r="AK3317" s="2">
        <v>688.04285929269497</v>
      </c>
      <c r="AL3317" s="2">
        <v>1004.54223744922</v>
      </c>
      <c r="AM3317" s="2">
        <v>1360.44026124587</v>
      </c>
      <c r="AN3317" s="2">
        <v>1361.4284151577899</v>
      </c>
      <c r="AO3317" s="2">
        <v>1816.81042305456</v>
      </c>
      <c r="AP3317" s="2">
        <v>1073.33909703926</v>
      </c>
    </row>
    <row r="3318" spans="1:42" ht="14.5" x14ac:dyDescent="0.35">
      <c r="A3318" s="2" t="s">
        <v>22052</v>
      </c>
      <c r="B3318" s="2">
        <v>839.32396572629602</v>
      </c>
      <c r="C3318" s="2">
        <v>8.3239999999999998</v>
      </c>
      <c r="D3318" s="2" t="s">
        <v>70</v>
      </c>
      <c r="E3318" s="2" t="s">
        <v>22053</v>
      </c>
      <c r="F3318" s="2">
        <v>199868</v>
      </c>
      <c r="G3318" s="3" t="str">
        <f>HYPERLINK("http://funmeta.oebiotech.com/network/199868", "http://funmeta.oebiotech.com/network/199868")</f>
        <v>http://funmeta.oebiotech.com/network/199868</v>
      </c>
      <c r="H3318" s="2" t="s">
        <v>22054</v>
      </c>
      <c r="I3318" s="2"/>
      <c r="J3318" s="2"/>
      <c r="K3318" s="2"/>
      <c r="L3318" s="2"/>
      <c r="M3318" s="2"/>
      <c r="N3318" s="2"/>
      <c r="O3318" s="2">
        <v>438789</v>
      </c>
      <c r="P3318" s="2"/>
      <c r="Q3318" s="2" t="s">
        <v>22055</v>
      </c>
      <c r="R3318" s="2" t="s">
        <v>22056</v>
      </c>
      <c r="S3318" s="2" t="s">
        <v>115</v>
      </c>
      <c r="T3318" s="2" t="s">
        <v>2840</v>
      </c>
      <c r="U3318" s="2" t="s">
        <v>41</v>
      </c>
      <c r="V3318" s="2" t="s">
        <v>59</v>
      </c>
      <c r="W3318" s="2">
        <v>38.9</v>
      </c>
      <c r="X3318" s="2">
        <v>3.1300000000000001E-2</v>
      </c>
      <c r="Y3318" s="2" t="s">
        <v>118</v>
      </c>
      <c r="Z3318" s="2" t="s">
        <v>22057</v>
      </c>
      <c r="AA3318" s="2">
        <v>-0.52530674663383903</v>
      </c>
      <c r="AB3318" s="2">
        <v>0.22961746801316199</v>
      </c>
      <c r="AC3318" s="2">
        <v>100846.0765011</v>
      </c>
      <c r="AD3318" s="2">
        <v>94991.575293578295</v>
      </c>
      <c r="AE3318" s="2">
        <v>102949.76763059699</v>
      </c>
      <c r="AF3318" s="2">
        <v>98684.009411410894</v>
      </c>
      <c r="AG3318" s="2">
        <v>101383.99149175199</v>
      </c>
      <c r="AH3318" s="2">
        <v>94770.962091790396</v>
      </c>
      <c r="AI3318" s="2">
        <v>104411.248099516</v>
      </c>
      <c r="AJ3318" s="2">
        <v>102876.480281535</v>
      </c>
      <c r="AK3318" s="2">
        <v>95542.850619411707</v>
      </c>
      <c r="AL3318" s="2">
        <v>103353.166234013</v>
      </c>
      <c r="AM3318" s="2">
        <v>96830.579167925607</v>
      </c>
      <c r="AN3318" s="2">
        <v>91990.879916310107</v>
      </c>
      <c r="AO3318" s="2">
        <v>93948.767404563303</v>
      </c>
      <c r="AP3318" s="2">
        <v>88283.208419246206</v>
      </c>
    </row>
    <row r="3319" spans="1:42" ht="14.5" x14ac:dyDescent="0.35">
      <c r="A3319" s="2" t="s">
        <v>22058</v>
      </c>
      <c r="B3319" s="2">
        <v>453.15770876185201</v>
      </c>
      <c r="C3319" s="2">
        <v>1.1287499999999999</v>
      </c>
      <c r="D3319" s="2" t="s">
        <v>34</v>
      </c>
      <c r="E3319" s="2" t="s">
        <v>22059</v>
      </c>
      <c r="F3319" s="2">
        <v>279450</v>
      </c>
      <c r="G3319" s="3" t="str">
        <f>HYPERLINK("http://funmeta.oebiotech.com/network/279450", "http://funmeta.oebiotech.com/network/279450")</f>
        <v>http://funmeta.oebiotech.com/network/279450</v>
      </c>
      <c r="H3319" s="2"/>
      <c r="I3319" s="2">
        <v>72052</v>
      </c>
      <c r="J3319" s="2"/>
      <c r="K3319" s="2"/>
      <c r="L3319" s="2" t="s">
        <v>22060</v>
      </c>
      <c r="M3319" s="2"/>
      <c r="N3319" s="2"/>
      <c r="O3319" s="2">
        <v>5497186</v>
      </c>
      <c r="P3319" s="2" t="s">
        <v>22061</v>
      </c>
      <c r="Q3319" s="2" t="s">
        <v>22062</v>
      </c>
      <c r="R3319" s="2" t="s">
        <v>22063</v>
      </c>
      <c r="S3319" s="2" t="s">
        <v>39</v>
      </c>
      <c r="T3319" s="2" t="s">
        <v>3915</v>
      </c>
      <c r="U3319" s="2" t="s">
        <v>41</v>
      </c>
      <c r="V3319" s="2" t="s">
        <v>59</v>
      </c>
      <c r="W3319" s="2">
        <v>36.4</v>
      </c>
      <c r="X3319" s="2">
        <v>0</v>
      </c>
      <c r="Y3319" s="2" t="s">
        <v>340</v>
      </c>
      <c r="Z3319" s="2" t="s">
        <v>22064</v>
      </c>
      <c r="AA3319" s="2">
        <v>0.50213083736600905</v>
      </c>
      <c r="AB3319" s="2">
        <v>0.22961148735603101</v>
      </c>
      <c r="AC3319" s="2">
        <v>16158.4436613775</v>
      </c>
      <c r="AD3319" s="2">
        <v>20242.774905425202</v>
      </c>
      <c r="AE3319" s="2">
        <v>16857.6288849759</v>
      </c>
      <c r="AF3319" s="2">
        <v>14699.8150188237</v>
      </c>
      <c r="AG3319" s="2">
        <v>14939.897963588901</v>
      </c>
      <c r="AH3319" s="2">
        <v>14868.9575052685</v>
      </c>
      <c r="AI3319" s="2">
        <v>17419.557365398799</v>
      </c>
      <c r="AJ3319" s="2">
        <v>18164.8052302094</v>
      </c>
      <c r="AK3319" s="2">
        <v>20736.569357608299</v>
      </c>
      <c r="AL3319" s="2">
        <v>20018.303147565301</v>
      </c>
      <c r="AM3319" s="2">
        <v>18805.4209654681</v>
      </c>
      <c r="AN3319" s="2">
        <v>20296.943616753899</v>
      </c>
      <c r="AO3319" s="2">
        <v>22553.299602644402</v>
      </c>
      <c r="AP3319" s="2">
        <v>19046.112742510999</v>
      </c>
    </row>
    <row r="3320" spans="1:42" ht="14.5" x14ac:dyDescent="0.35">
      <c r="A3320" s="2" t="s">
        <v>22065</v>
      </c>
      <c r="B3320" s="2">
        <v>464.152675003654</v>
      </c>
      <c r="C3320" s="2">
        <v>4.5485499999999996</v>
      </c>
      <c r="D3320" s="2" t="s">
        <v>34</v>
      </c>
      <c r="E3320" s="2" t="s">
        <v>22066</v>
      </c>
      <c r="F3320" s="2">
        <v>57073</v>
      </c>
      <c r="G3320" s="3" t="str">
        <f>HYPERLINK("http://funmeta.oebiotech.com/network/57073", "http://funmeta.oebiotech.com/network/57073")</f>
        <v>http://funmeta.oebiotech.com/network/57073</v>
      </c>
      <c r="H3320" s="2" t="s">
        <v>22067</v>
      </c>
      <c r="I3320" s="2">
        <v>88725</v>
      </c>
      <c r="J3320" s="2"/>
      <c r="K3320" s="2"/>
      <c r="L3320" s="2"/>
      <c r="M3320" s="2"/>
      <c r="N3320" s="2"/>
      <c r="O3320" s="2">
        <v>131751315</v>
      </c>
      <c r="P3320" s="2" t="s">
        <v>22068</v>
      </c>
      <c r="Q3320" s="2" t="s">
        <v>22069</v>
      </c>
      <c r="R3320" s="2" t="s">
        <v>22070</v>
      </c>
      <c r="S3320" s="2" t="s">
        <v>79</v>
      </c>
      <c r="T3320" s="2" t="s">
        <v>80</v>
      </c>
      <c r="U3320" s="2" t="s">
        <v>81</v>
      </c>
      <c r="V3320" s="2" t="s">
        <v>59</v>
      </c>
      <c r="W3320" s="2">
        <v>38.1</v>
      </c>
      <c r="X3320" s="2">
        <v>0</v>
      </c>
      <c r="Y3320" s="2" t="s">
        <v>323</v>
      </c>
      <c r="Z3320" s="2" t="s">
        <v>22071</v>
      </c>
      <c r="AA3320" s="2">
        <v>-9.4619424706181607E-2</v>
      </c>
      <c r="AB3320" s="2">
        <v>0.22911031140633101</v>
      </c>
      <c r="AC3320" s="2">
        <v>6982.3184909839702</v>
      </c>
      <c r="AD3320" s="2">
        <v>10903.3565780875</v>
      </c>
      <c r="AE3320" s="2">
        <v>6167.6761472121598</v>
      </c>
      <c r="AF3320" s="2">
        <v>7910.2334851700998</v>
      </c>
      <c r="AG3320" s="2">
        <v>6791.4009700094502</v>
      </c>
      <c r="AH3320" s="2">
        <v>5135.1027432873097</v>
      </c>
      <c r="AI3320" s="2">
        <v>7378.1766227400403</v>
      </c>
      <c r="AJ3320" s="2">
        <v>8511.3209774847601</v>
      </c>
      <c r="AK3320" s="2">
        <v>12080.1065395611</v>
      </c>
      <c r="AL3320" s="2">
        <v>10192.055100357</v>
      </c>
      <c r="AM3320" s="2">
        <v>11543.0398697936</v>
      </c>
      <c r="AN3320" s="2">
        <v>11191.239258994799</v>
      </c>
      <c r="AO3320" s="2">
        <v>8990.9064242245004</v>
      </c>
      <c r="AP3320" s="2">
        <v>11422.7922755938</v>
      </c>
    </row>
    <row r="3321" spans="1:42" ht="14.5" x14ac:dyDescent="0.35">
      <c r="A3321" s="2" t="s">
        <v>22072</v>
      </c>
      <c r="B3321" s="2">
        <v>757.32559443353603</v>
      </c>
      <c r="C3321" s="2">
        <v>5.0964166666666699</v>
      </c>
      <c r="D3321" s="2" t="s">
        <v>70</v>
      </c>
      <c r="E3321" s="2" t="s">
        <v>22073</v>
      </c>
      <c r="F3321" s="2">
        <v>52805</v>
      </c>
      <c r="G3321" s="3" t="str">
        <f>HYPERLINK("http://funmeta.oebiotech.com/network/52805", "http://funmeta.oebiotech.com/network/52805")</f>
        <v>http://funmeta.oebiotech.com/network/52805</v>
      </c>
      <c r="H3321" s="2" t="s">
        <v>22074</v>
      </c>
      <c r="I3321" s="2">
        <v>2506</v>
      </c>
      <c r="J3321" s="2"/>
      <c r="K3321" s="2">
        <v>4717</v>
      </c>
      <c r="L3321" s="2" t="s">
        <v>22075</v>
      </c>
      <c r="M3321" s="2"/>
      <c r="N3321" s="2"/>
      <c r="O3321" s="2">
        <v>3168</v>
      </c>
      <c r="P3321" s="2" t="s">
        <v>22076</v>
      </c>
      <c r="Q3321" s="2" t="s">
        <v>22077</v>
      </c>
      <c r="R3321" s="2" t="s">
        <v>22078</v>
      </c>
      <c r="S3321" s="2" t="s">
        <v>79</v>
      </c>
      <c r="T3321" s="2" t="s">
        <v>80</v>
      </c>
      <c r="U3321" s="2" t="s">
        <v>2820</v>
      </c>
      <c r="V3321" s="2" t="s">
        <v>59</v>
      </c>
      <c r="W3321" s="2">
        <v>37.799999999999997</v>
      </c>
      <c r="X3321" s="2">
        <v>0</v>
      </c>
      <c r="Y3321" s="2" t="s">
        <v>560</v>
      </c>
      <c r="Z3321" s="2" t="s">
        <v>22079</v>
      </c>
      <c r="AA3321" s="2">
        <v>-8.3597056538965901</v>
      </c>
      <c r="AB3321" s="2">
        <v>0.22904900645858001</v>
      </c>
      <c r="AC3321" s="2">
        <v>25450.752491083502</v>
      </c>
      <c r="AD3321" s="2">
        <v>20746.656478630899</v>
      </c>
      <c r="AE3321" s="2">
        <v>22750.335713761899</v>
      </c>
      <c r="AF3321" s="2">
        <v>26285.202930258001</v>
      </c>
      <c r="AG3321" s="2">
        <v>24070.1220011687</v>
      </c>
      <c r="AH3321" s="2">
        <v>30187.176855030299</v>
      </c>
      <c r="AI3321" s="2">
        <v>23225.562044643899</v>
      </c>
      <c r="AJ3321" s="2">
        <v>26186.115401637901</v>
      </c>
      <c r="AK3321" s="2">
        <v>21838.647157640698</v>
      </c>
      <c r="AL3321" s="2">
        <v>20687.482139107098</v>
      </c>
      <c r="AM3321" s="2">
        <v>17918.6072138489</v>
      </c>
      <c r="AN3321" s="2">
        <v>18607.006071042</v>
      </c>
      <c r="AO3321" s="2">
        <v>22644.358338304999</v>
      </c>
      <c r="AP3321" s="2">
        <v>22783.8379518416</v>
      </c>
    </row>
    <row r="3322" spans="1:42" ht="14.5" x14ac:dyDescent="0.35">
      <c r="A3322" s="2" t="s">
        <v>22080</v>
      </c>
      <c r="B3322" s="2">
        <v>641.15141164355998</v>
      </c>
      <c r="C3322" s="2">
        <v>4.4450666666666701</v>
      </c>
      <c r="D3322" s="2" t="s">
        <v>34</v>
      </c>
      <c r="E3322" s="2" t="s">
        <v>22081</v>
      </c>
      <c r="F3322" s="2">
        <v>32232</v>
      </c>
      <c r="G3322" s="3" t="str">
        <f>HYPERLINK("http://funmeta.oebiotech.com/network/32232", "http://funmeta.oebiotech.com/network/32232")</f>
        <v>http://funmeta.oebiotech.com/network/32232</v>
      </c>
      <c r="H3322" s="2"/>
      <c r="I3322" s="2">
        <v>50561</v>
      </c>
      <c r="J3322" s="2" t="s">
        <v>22082</v>
      </c>
      <c r="K3322" s="2"/>
      <c r="L3322" s="2"/>
      <c r="M3322" s="2"/>
      <c r="N3322" s="2"/>
      <c r="O3322" s="2">
        <v>11114901</v>
      </c>
      <c r="P3322" s="2"/>
      <c r="Q3322" s="2" t="s">
        <v>22083</v>
      </c>
      <c r="R3322" s="2" t="s">
        <v>22084</v>
      </c>
      <c r="S3322" s="2" t="s">
        <v>115</v>
      </c>
      <c r="T3322" s="2" t="s">
        <v>139</v>
      </c>
      <c r="U3322" s="2" t="s">
        <v>140</v>
      </c>
      <c r="V3322" s="2" t="s">
        <v>59</v>
      </c>
      <c r="W3322" s="2">
        <v>36.6</v>
      </c>
      <c r="X3322" s="2">
        <v>0</v>
      </c>
      <c r="Y3322" s="2" t="s">
        <v>394</v>
      </c>
      <c r="Z3322" s="2" t="s">
        <v>22085</v>
      </c>
      <c r="AA3322" s="2">
        <v>2.05426064162245</v>
      </c>
      <c r="AB3322" s="2">
        <v>0.228823015173652</v>
      </c>
      <c r="AC3322" s="2">
        <v>10129.8175595386</v>
      </c>
      <c r="AD3322" s="2">
        <v>14624.337066854199</v>
      </c>
      <c r="AE3322" s="2">
        <v>12376.0371395743</v>
      </c>
      <c r="AF3322" s="2">
        <v>6881.6497058996201</v>
      </c>
      <c r="AG3322" s="2">
        <v>11177.253005799101</v>
      </c>
      <c r="AH3322" s="2">
        <v>10776.5348546729</v>
      </c>
      <c r="AI3322" s="2">
        <v>10068.0805414022</v>
      </c>
      <c r="AJ3322" s="2">
        <v>9499.3501098834695</v>
      </c>
      <c r="AK3322" s="2">
        <v>15454.4870552255</v>
      </c>
      <c r="AL3322" s="2">
        <v>15272.2875653504</v>
      </c>
      <c r="AM3322" s="2">
        <v>15486.2576674639</v>
      </c>
      <c r="AN3322" s="2">
        <v>12827.2672765589</v>
      </c>
      <c r="AO3322" s="2">
        <v>11218.5628182784</v>
      </c>
      <c r="AP3322" s="2">
        <v>17487.160018248</v>
      </c>
    </row>
    <row r="3323" spans="1:42" ht="14.5" x14ac:dyDescent="0.35">
      <c r="A3323" s="2" t="s">
        <v>22086</v>
      </c>
      <c r="B3323" s="2">
        <v>493.22223707133799</v>
      </c>
      <c r="C3323" s="2">
        <v>9.7274833333333302</v>
      </c>
      <c r="D3323" s="2" t="s">
        <v>34</v>
      </c>
      <c r="E3323" s="2" t="s">
        <v>22087</v>
      </c>
      <c r="F3323" s="2">
        <v>47104</v>
      </c>
      <c r="G3323" s="3" t="str">
        <f>HYPERLINK("http://funmeta.oebiotech.com/network/47104", "http://funmeta.oebiotech.com/network/47104")</f>
        <v>http://funmeta.oebiotech.com/network/47104</v>
      </c>
      <c r="H3323" s="2" t="s">
        <v>22088</v>
      </c>
      <c r="I3323" s="2">
        <v>5561</v>
      </c>
      <c r="J3323" s="2"/>
      <c r="K3323" s="2"/>
      <c r="L3323" s="2"/>
      <c r="M3323" s="2"/>
      <c r="N3323" s="2"/>
      <c r="O3323" s="2"/>
      <c r="P3323" s="2" t="s">
        <v>22089</v>
      </c>
      <c r="Q3323" s="2" t="s">
        <v>22090</v>
      </c>
      <c r="R3323" s="2" t="s">
        <v>22091</v>
      </c>
      <c r="S3323" s="2" t="s">
        <v>491</v>
      </c>
      <c r="T3323" s="2" t="s">
        <v>492</v>
      </c>
      <c r="U3323" s="2" t="s">
        <v>6398</v>
      </c>
      <c r="V3323" s="2" t="s">
        <v>59</v>
      </c>
      <c r="W3323" s="2">
        <v>46.4</v>
      </c>
      <c r="X3323" s="2">
        <v>42.8</v>
      </c>
      <c r="Y3323" s="2" t="s">
        <v>141</v>
      </c>
      <c r="Z3323" s="2" t="s">
        <v>22092</v>
      </c>
      <c r="AA3323" s="2">
        <v>-2.3129683130253</v>
      </c>
      <c r="AB3323" s="2">
        <v>0.22858444670605399</v>
      </c>
      <c r="AC3323" s="2">
        <v>26087.2624082279</v>
      </c>
      <c r="AD3323" s="2">
        <v>22195.173248331801</v>
      </c>
      <c r="AE3323" s="2">
        <v>25009.887409248298</v>
      </c>
      <c r="AF3323" s="2">
        <v>25927.254684568001</v>
      </c>
      <c r="AG3323" s="2">
        <v>27216.024742557998</v>
      </c>
      <c r="AH3323" s="2">
        <v>25189.774520181101</v>
      </c>
      <c r="AI3323" s="2">
        <v>25823.5960661348</v>
      </c>
      <c r="AJ3323" s="2">
        <v>27357.037026677001</v>
      </c>
      <c r="AK3323" s="2">
        <v>21310.310756602699</v>
      </c>
      <c r="AL3323" s="2">
        <v>23895.750019847299</v>
      </c>
      <c r="AM3323" s="2">
        <v>22697.647340575098</v>
      </c>
      <c r="AN3323" s="2">
        <v>20208.217028782201</v>
      </c>
      <c r="AO3323" s="2">
        <v>21949.923791879199</v>
      </c>
      <c r="AP3323" s="2">
        <v>23109.190552304299</v>
      </c>
    </row>
    <row r="3324" spans="1:42" ht="14.5" x14ac:dyDescent="0.35">
      <c r="A3324" s="2" t="s">
        <v>22093</v>
      </c>
      <c r="B3324" s="2">
        <v>585.16099990896805</v>
      </c>
      <c r="C3324" s="2">
        <v>4.0429833333333303</v>
      </c>
      <c r="D3324" s="2" t="s">
        <v>70</v>
      </c>
      <c r="E3324" s="2" t="s">
        <v>22094</v>
      </c>
      <c r="F3324" s="2">
        <v>203387</v>
      </c>
      <c r="G3324" s="3" t="str">
        <f>HYPERLINK("http://funmeta.oebiotech.com/network/203387", "http://funmeta.oebiotech.com/network/203387")</f>
        <v>http://funmeta.oebiotech.com/network/203387</v>
      </c>
      <c r="H3324" s="2" t="s">
        <v>22095</v>
      </c>
      <c r="I3324" s="2"/>
      <c r="J3324" s="2"/>
      <c r="K3324" s="2"/>
      <c r="L3324" s="2"/>
      <c r="M3324" s="2"/>
      <c r="N3324" s="2"/>
      <c r="O3324" s="2">
        <v>3512644</v>
      </c>
      <c r="P3324" s="2"/>
      <c r="Q3324" s="2" t="s">
        <v>22096</v>
      </c>
      <c r="R3324" s="2" t="s">
        <v>22097</v>
      </c>
      <c r="S3324" s="2" t="s">
        <v>148</v>
      </c>
      <c r="T3324" s="2" t="s">
        <v>149</v>
      </c>
      <c r="U3324" s="2" t="s">
        <v>5292</v>
      </c>
      <c r="V3324" s="2" t="s">
        <v>59</v>
      </c>
      <c r="W3324" s="2">
        <v>43.2</v>
      </c>
      <c r="X3324" s="2">
        <v>21.1</v>
      </c>
      <c r="Y3324" s="2" t="s">
        <v>118</v>
      </c>
      <c r="Z3324" s="2" t="s">
        <v>22098</v>
      </c>
      <c r="AA3324" s="2">
        <v>-0.622133949247757</v>
      </c>
      <c r="AB3324" s="2">
        <v>0.228384401355088</v>
      </c>
      <c r="AC3324" s="2">
        <v>168447.29528588199</v>
      </c>
      <c r="AD3324" s="2">
        <v>177703.15359958101</v>
      </c>
      <c r="AE3324" s="2">
        <v>157369.444334823</v>
      </c>
      <c r="AF3324" s="2">
        <v>159139.10939632001</v>
      </c>
      <c r="AG3324" s="2">
        <v>173768.00818886099</v>
      </c>
      <c r="AH3324" s="2">
        <v>169852.46389347201</v>
      </c>
      <c r="AI3324" s="2">
        <v>167589.44425335401</v>
      </c>
      <c r="AJ3324" s="2">
        <v>182965.30164846001</v>
      </c>
      <c r="AK3324" s="2">
        <v>169744.78047756999</v>
      </c>
      <c r="AL3324" s="2">
        <v>204850.42546924099</v>
      </c>
      <c r="AM3324" s="2">
        <v>181438.29119732001</v>
      </c>
      <c r="AN3324" s="2">
        <v>161012.555779505</v>
      </c>
      <c r="AO3324" s="2">
        <v>175445.958013197</v>
      </c>
      <c r="AP3324" s="2">
        <v>173726.91066065399</v>
      </c>
    </row>
    <row r="3325" spans="1:42" ht="14.5" x14ac:dyDescent="0.35">
      <c r="A3325" s="2" t="s">
        <v>22099</v>
      </c>
      <c r="B3325" s="2">
        <v>230.139949843019</v>
      </c>
      <c r="C3325" s="2">
        <v>11.4806166666667</v>
      </c>
      <c r="D3325" s="2" t="s">
        <v>34</v>
      </c>
      <c r="E3325" s="2" t="s">
        <v>22100</v>
      </c>
      <c r="F3325" s="2">
        <v>54607</v>
      </c>
      <c r="G3325" s="3" t="str">
        <f>HYPERLINK("http://funmeta.oebiotech.com/network/54607", "http://funmeta.oebiotech.com/network/54607")</f>
        <v>http://funmeta.oebiotech.com/network/54607</v>
      </c>
      <c r="H3325" s="2" t="s">
        <v>22101</v>
      </c>
      <c r="I3325" s="2">
        <v>72974</v>
      </c>
      <c r="J3325" s="2"/>
      <c r="K3325" s="2"/>
      <c r="L3325" s="2" t="s">
        <v>22102</v>
      </c>
      <c r="M3325" s="2"/>
      <c r="N3325" s="2"/>
      <c r="O3325" s="2">
        <v>62274</v>
      </c>
      <c r="P3325" s="2" t="s">
        <v>22103</v>
      </c>
      <c r="Q3325" s="2" t="s">
        <v>22104</v>
      </c>
      <c r="R3325" s="2" t="s">
        <v>22105</v>
      </c>
      <c r="S3325" s="2" t="s">
        <v>491</v>
      </c>
      <c r="T3325" s="2" t="s">
        <v>1516</v>
      </c>
      <c r="U3325" s="2" t="s">
        <v>41</v>
      </c>
      <c r="V3325" s="2" t="s">
        <v>59</v>
      </c>
      <c r="W3325" s="2">
        <v>38.200000000000003</v>
      </c>
      <c r="X3325" s="2">
        <v>0</v>
      </c>
      <c r="Y3325" s="2" t="s">
        <v>43</v>
      </c>
      <c r="Z3325" s="2" t="s">
        <v>22106</v>
      </c>
      <c r="AA3325" s="2">
        <v>-0.33988172807887301</v>
      </c>
      <c r="AB3325" s="2">
        <v>0.22837802911375599</v>
      </c>
      <c r="AC3325" s="2">
        <v>10595.2585414809</v>
      </c>
      <c r="AD3325" s="2">
        <v>6975.21305909895</v>
      </c>
      <c r="AE3325" s="2">
        <v>10429.683324395901</v>
      </c>
      <c r="AF3325" s="2">
        <v>10889.482611957201</v>
      </c>
      <c r="AG3325" s="2">
        <v>10759.388126334399</v>
      </c>
      <c r="AH3325" s="2">
        <v>10197.176134088601</v>
      </c>
      <c r="AI3325" s="2">
        <v>10210.041465307</v>
      </c>
      <c r="AJ3325" s="2">
        <v>11085.7795868022</v>
      </c>
      <c r="AK3325" s="2">
        <v>8274.7859213093907</v>
      </c>
      <c r="AL3325" s="2">
        <v>7903.9316041565498</v>
      </c>
      <c r="AM3325" s="2">
        <v>5907.95170519761</v>
      </c>
      <c r="AN3325" s="2">
        <v>6660.4046957246301</v>
      </c>
      <c r="AO3325" s="2">
        <v>6887.8557976112997</v>
      </c>
      <c r="AP3325" s="2">
        <v>6216.3486305941897</v>
      </c>
    </row>
    <row r="3326" spans="1:42" ht="14.5" x14ac:dyDescent="0.35">
      <c r="A3326" s="2" t="s">
        <v>22107</v>
      </c>
      <c r="B3326" s="2">
        <v>511.12315925919199</v>
      </c>
      <c r="C3326" s="2">
        <v>5.5431833333333298</v>
      </c>
      <c r="D3326" s="2" t="s">
        <v>70</v>
      </c>
      <c r="E3326" s="2" t="s">
        <v>22108</v>
      </c>
      <c r="F3326" s="2">
        <v>54942</v>
      </c>
      <c r="G3326" s="3" t="str">
        <f>HYPERLINK("http://funmeta.oebiotech.com/network/54942", "http://funmeta.oebiotech.com/network/54942")</f>
        <v>http://funmeta.oebiotech.com/network/54942</v>
      </c>
      <c r="H3326" s="2" t="s">
        <v>22109</v>
      </c>
      <c r="I3326" s="2"/>
      <c r="J3326" s="2"/>
      <c r="K3326" s="2"/>
      <c r="L3326" s="2"/>
      <c r="M3326" s="2"/>
      <c r="N3326" s="2"/>
      <c r="O3326" s="2">
        <v>74819401</v>
      </c>
      <c r="P3326" s="2" t="s">
        <v>22110</v>
      </c>
      <c r="Q3326" s="2" t="s">
        <v>22111</v>
      </c>
      <c r="R3326" s="2" t="s">
        <v>22112</v>
      </c>
      <c r="S3326" s="2" t="s">
        <v>115</v>
      </c>
      <c r="T3326" s="2" t="s">
        <v>1095</v>
      </c>
      <c r="U3326" s="2" t="s">
        <v>41</v>
      </c>
      <c r="V3326" s="2" t="s">
        <v>59</v>
      </c>
      <c r="W3326" s="2">
        <v>36.5</v>
      </c>
      <c r="X3326" s="2">
        <v>0</v>
      </c>
      <c r="Y3326" s="2" t="s">
        <v>408</v>
      </c>
      <c r="Z3326" s="2" t="s">
        <v>22113</v>
      </c>
      <c r="AA3326" s="2">
        <v>-3.0590252821063602</v>
      </c>
      <c r="AB3326" s="2">
        <v>0.228241681611215</v>
      </c>
      <c r="AC3326" s="2">
        <v>2308.83423068824</v>
      </c>
      <c r="AD3326" s="2">
        <v>6179.63528984815</v>
      </c>
      <c r="AE3326" s="2">
        <v>2545.4883610642801</v>
      </c>
      <c r="AF3326" s="2">
        <v>1778.7054006963399</v>
      </c>
      <c r="AG3326" s="2">
        <v>1327.9881465224501</v>
      </c>
      <c r="AH3326" s="2">
        <v>2668.7626740901401</v>
      </c>
      <c r="AI3326" s="2">
        <v>3089.62723387085</v>
      </c>
      <c r="AJ3326" s="2">
        <v>2442.4335678854</v>
      </c>
      <c r="AK3326" s="2">
        <v>5284.1940286653798</v>
      </c>
      <c r="AL3326" s="2">
        <v>6796.5061001767199</v>
      </c>
      <c r="AM3326" s="2">
        <v>5606.75207086912</v>
      </c>
      <c r="AN3326" s="2">
        <v>4050.4262454151199</v>
      </c>
      <c r="AO3326" s="2">
        <v>8026.4759515653896</v>
      </c>
      <c r="AP3326" s="2">
        <v>7313.4573423971897</v>
      </c>
    </row>
    <row r="3327" spans="1:42" ht="14.5" x14ac:dyDescent="0.35">
      <c r="A3327" s="2" t="s">
        <v>22114</v>
      </c>
      <c r="B3327" s="2">
        <v>295.22658563816901</v>
      </c>
      <c r="C3327" s="2">
        <v>8.4520166666666707</v>
      </c>
      <c r="D3327" s="2" t="s">
        <v>34</v>
      </c>
      <c r="E3327" s="2" t="s">
        <v>22115</v>
      </c>
      <c r="F3327" s="2">
        <v>3127</v>
      </c>
      <c r="G3327" s="3" t="str">
        <f>HYPERLINK("http://funmeta.oebiotech.com/network/3127", "http://funmeta.oebiotech.com/network/3127")</f>
        <v>http://funmeta.oebiotech.com/network/3127</v>
      </c>
      <c r="H3327" s="2"/>
      <c r="I3327" s="2">
        <v>35514</v>
      </c>
      <c r="J3327" s="2" t="s">
        <v>22116</v>
      </c>
      <c r="K3327" s="2"/>
      <c r="L3327" s="2"/>
      <c r="M3327" s="2"/>
      <c r="N3327" s="2"/>
      <c r="O3327" s="2">
        <v>5282971</v>
      </c>
      <c r="P3327" s="2" t="s">
        <v>22117</v>
      </c>
      <c r="Q3327" s="2" t="s">
        <v>22118</v>
      </c>
      <c r="R3327" s="2" t="s">
        <v>22119</v>
      </c>
      <c r="S3327" s="2" t="s">
        <v>50</v>
      </c>
      <c r="T3327" s="2" t="s">
        <v>229</v>
      </c>
      <c r="U3327" s="2" t="s">
        <v>1360</v>
      </c>
      <c r="V3327" s="2" t="s">
        <v>59</v>
      </c>
      <c r="W3327" s="2">
        <v>36.200000000000003</v>
      </c>
      <c r="X3327" s="2">
        <v>0</v>
      </c>
      <c r="Y3327" s="2" t="s">
        <v>394</v>
      </c>
      <c r="Z3327" s="2" t="s">
        <v>5658</v>
      </c>
      <c r="AA3327" s="2">
        <v>-0.63087121678758196</v>
      </c>
      <c r="AB3327" s="2">
        <v>0.228177829764245</v>
      </c>
      <c r="AC3327" s="2">
        <v>14152.3335980141</v>
      </c>
      <c r="AD3327" s="2">
        <v>17960.207307518998</v>
      </c>
      <c r="AE3327" s="2">
        <v>14823.5486451947</v>
      </c>
      <c r="AF3327" s="2">
        <v>15874.0303394598</v>
      </c>
      <c r="AG3327" s="2">
        <v>13626.6252703881</v>
      </c>
      <c r="AH3327" s="2">
        <v>14606.904335736201</v>
      </c>
      <c r="AI3327" s="2">
        <v>12417.274070754</v>
      </c>
      <c r="AJ3327" s="2">
        <v>13565.6189265516</v>
      </c>
      <c r="AK3327" s="2">
        <v>17703.2582410127</v>
      </c>
      <c r="AL3327" s="2">
        <v>17157.709086888299</v>
      </c>
      <c r="AM3327" s="2">
        <v>17561.062684839599</v>
      </c>
      <c r="AN3327" s="2">
        <v>17760.434344981299</v>
      </c>
      <c r="AO3327" s="2">
        <v>18399.9466186153</v>
      </c>
      <c r="AP3327" s="2">
        <v>19178.832868777001</v>
      </c>
    </row>
    <row r="3328" spans="1:42" ht="14.5" x14ac:dyDescent="0.35">
      <c r="A3328" s="2" t="s">
        <v>22120</v>
      </c>
      <c r="B3328" s="2">
        <v>309.14812451101699</v>
      </c>
      <c r="C3328" s="2">
        <v>9.6898833333333307</v>
      </c>
      <c r="D3328" s="2" t="s">
        <v>34</v>
      </c>
      <c r="E3328" s="2" t="s">
        <v>22121</v>
      </c>
      <c r="F3328" s="2">
        <v>34194</v>
      </c>
      <c r="G3328" s="3" t="str">
        <f>HYPERLINK("http://funmeta.oebiotech.com/network/34194", "http://funmeta.oebiotech.com/network/34194")</f>
        <v>http://funmeta.oebiotech.com/network/34194</v>
      </c>
      <c r="H3328" s="2"/>
      <c r="I3328" s="2">
        <v>52502</v>
      </c>
      <c r="J3328" s="2" t="s">
        <v>22122</v>
      </c>
      <c r="K3328" s="2"/>
      <c r="L3328" s="2"/>
      <c r="M3328" s="2"/>
      <c r="N3328" s="2"/>
      <c r="O3328" s="2">
        <v>480762</v>
      </c>
      <c r="P3328" s="2"/>
      <c r="Q3328" s="2" t="s">
        <v>22123</v>
      </c>
      <c r="R3328" s="2" t="s">
        <v>22124</v>
      </c>
      <c r="S3328" s="2" t="s">
        <v>115</v>
      </c>
      <c r="T3328" s="2" t="s">
        <v>139</v>
      </c>
      <c r="U3328" s="2" t="s">
        <v>1437</v>
      </c>
      <c r="V3328" s="2" t="s">
        <v>59</v>
      </c>
      <c r="W3328" s="2">
        <v>46.9</v>
      </c>
      <c r="X3328" s="2">
        <v>40.4</v>
      </c>
      <c r="Y3328" s="2" t="s">
        <v>266</v>
      </c>
      <c r="Z3328" s="2" t="s">
        <v>22125</v>
      </c>
      <c r="AA3328" s="2">
        <v>-1.2864914052304499</v>
      </c>
      <c r="AB3328" s="2">
        <v>0.22806324399630901</v>
      </c>
      <c r="AC3328" s="2">
        <v>20795.615050406399</v>
      </c>
      <c r="AD3328" s="2">
        <v>17114.403444646799</v>
      </c>
      <c r="AE3328" s="2">
        <v>22204.600521611399</v>
      </c>
      <c r="AF3328" s="2">
        <v>20660.141813285001</v>
      </c>
      <c r="AG3328" s="2">
        <v>19699.671817402901</v>
      </c>
      <c r="AH3328" s="2">
        <v>20623.126043796299</v>
      </c>
      <c r="AI3328" s="2">
        <v>20029.5244969591</v>
      </c>
      <c r="AJ3328" s="2">
        <v>21556.6256093839</v>
      </c>
      <c r="AK3328" s="2">
        <v>17009.396104809199</v>
      </c>
      <c r="AL3328" s="2">
        <v>18378.8931484473</v>
      </c>
      <c r="AM3328" s="2">
        <v>17069.391992245899</v>
      </c>
      <c r="AN3328" s="2">
        <v>16116.424872679299</v>
      </c>
      <c r="AO3328" s="2">
        <v>17263.6434073204</v>
      </c>
      <c r="AP3328" s="2">
        <v>16848.671142378898</v>
      </c>
    </row>
    <row r="3329" spans="1:42" ht="14.5" x14ac:dyDescent="0.35">
      <c r="A3329" s="2" t="s">
        <v>22126</v>
      </c>
      <c r="B3329" s="2">
        <v>190.04723732137799</v>
      </c>
      <c r="C3329" s="2">
        <v>1.1287499999999999</v>
      </c>
      <c r="D3329" s="2" t="s">
        <v>34</v>
      </c>
      <c r="E3329" s="2" t="s">
        <v>22127</v>
      </c>
      <c r="F3329" s="2">
        <v>200424</v>
      </c>
      <c r="G3329" s="3" t="str">
        <f>HYPERLINK("http://funmeta.oebiotech.com/network/200424", "http://funmeta.oebiotech.com/network/200424")</f>
        <v>http://funmeta.oebiotech.com/network/200424</v>
      </c>
      <c r="H3329" s="2" t="s">
        <v>22128</v>
      </c>
      <c r="I3329" s="2"/>
      <c r="J3329" s="2"/>
      <c r="K3329" s="2">
        <v>50418</v>
      </c>
      <c r="L3329" s="2"/>
      <c r="M3329" s="2"/>
      <c r="N3329" s="2"/>
      <c r="O3329" s="2">
        <v>92143</v>
      </c>
      <c r="P3329" s="2"/>
      <c r="Q3329" s="2" t="s">
        <v>22129</v>
      </c>
      <c r="R3329" s="2" t="s">
        <v>22130</v>
      </c>
      <c r="S3329" s="2" t="s">
        <v>89</v>
      </c>
      <c r="T3329" s="2" t="s">
        <v>90</v>
      </c>
      <c r="U3329" s="2" t="s">
        <v>99</v>
      </c>
      <c r="V3329" s="2" t="s">
        <v>59</v>
      </c>
      <c r="W3329" s="2">
        <v>42.4</v>
      </c>
      <c r="X3329" s="2">
        <v>32.6</v>
      </c>
      <c r="Y3329" s="2" t="s">
        <v>1115</v>
      </c>
      <c r="Z3329" s="2" t="s">
        <v>12861</v>
      </c>
      <c r="AA3329" s="2">
        <v>-1.3558788109884401</v>
      </c>
      <c r="AB3329" s="2">
        <v>0.228042870478115</v>
      </c>
      <c r="AC3329" s="2">
        <v>19992.272647236801</v>
      </c>
      <c r="AD3329" s="2">
        <v>25182.029299108199</v>
      </c>
      <c r="AE3329" s="2">
        <v>22437.4652813803</v>
      </c>
      <c r="AF3329" s="2">
        <v>24152.0695802277</v>
      </c>
      <c r="AG3329" s="2">
        <v>23609.872679891501</v>
      </c>
      <c r="AH3329" s="2">
        <v>15749.711530782901</v>
      </c>
      <c r="AI3329" s="2">
        <v>19691.096175964001</v>
      </c>
      <c r="AJ3329" s="2">
        <v>14313.4206351745</v>
      </c>
      <c r="AK3329" s="2">
        <v>28213.807594341401</v>
      </c>
      <c r="AL3329" s="2">
        <v>26216.062558076701</v>
      </c>
      <c r="AM3329" s="2">
        <v>24549.607204261501</v>
      </c>
      <c r="AN3329" s="2">
        <v>24379.015851984099</v>
      </c>
      <c r="AO3329" s="2">
        <v>24498.5503114147</v>
      </c>
      <c r="AP3329" s="2">
        <v>23235.132274570598</v>
      </c>
    </row>
    <row r="3330" spans="1:42" ht="14.5" x14ac:dyDescent="0.35">
      <c r="A3330" s="2" t="s">
        <v>22131</v>
      </c>
      <c r="B3330" s="2">
        <v>389.14235236939101</v>
      </c>
      <c r="C3330" s="2">
        <v>3.6614666666666702</v>
      </c>
      <c r="D3330" s="2" t="s">
        <v>34</v>
      </c>
      <c r="E3330" s="2" t="s">
        <v>22132</v>
      </c>
      <c r="F3330" s="2">
        <v>209986</v>
      </c>
      <c r="G3330" s="3" t="str">
        <f>HYPERLINK("http://funmeta.oebiotech.com/network/209986", "http://funmeta.oebiotech.com/network/209986")</f>
        <v>http://funmeta.oebiotech.com/network/209986</v>
      </c>
      <c r="H3330" s="2" t="s">
        <v>22133</v>
      </c>
      <c r="I3330" s="2"/>
      <c r="J3330" s="2"/>
      <c r="K3330" s="2">
        <v>90685</v>
      </c>
      <c r="L3330" s="2"/>
      <c r="M3330" s="2"/>
      <c r="N3330" s="2"/>
      <c r="O3330" s="2"/>
      <c r="P3330" s="2"/>
      <c r="Q3330" s="2" t="s">
        <v>22134</v>
      </c>
      <c r="R3330" s="2" t="s">
        <v>22135</v>
      </c>
      <c r="S3330" s="2" t="s">
        <v>79</v>
      </c>
      <c r="T3330" s="2" t="s">
        <v>80</v>
      </c>
      <c r="U3330" s="2" t="s">
        <v>249</v>
      </c>
      <c r="V3330" s="2" t="s">
        <v>59</v>
      </c>
      <c r="W3330" s="2">
        <v>36.9</v>
      </c>
      <c r="X3330" s="2">
        <v>0</v>
      </c>
      <c r="Y3330" s="2" t="s">
        <v>141</v>
      </c>
      <c r="Z3330" s="2" t="s">
        <v>22136</v>
      </c>
      <c r="AA3330" s="2">
        <v>0.93326350747521303</v>
      </c>
      <c r="AB3330" s="2">
        <v>0.22792049265665801</v>
      </c>
      <c r="AC3330" s="2">
        <v>6810.4105948322604</v>
      </c>
      <c r="AD3330" s="2">
        <v>10447.228974437799</v>
      </c>
      <c r="AE3330" s="2">
        <v>7361.6949125688598</v>
      </c>
      <c r="AF3330" s="2">
        <v>6858.0836113441301</v>
      </c>
      <c r="AG3330" s="2">
        <v>6287.8008956619396</v>
      </c>
      <c r="AH3330" s="2">
        <v>6830.9102432055697</v>
      </c>
      <c r="AI3330" s="2">
        <v>7254.8972195491797</v>
      </c>
      <c r="AJ3330" s="2">
        <v>6269.0766866638996</v>
      </c>
      <c r="AK3330" s="2">
        <v>8599.1696617013095</v>
      </c>
      <c r="AL3330" s="2">
        <v>10659.1668533497</v>
      </c>
      <c r="AM3330" s="2">
        <v>10495.883632654701</v>
      </c>
      <c r="AN3330" s="2">
        <v>10504.250913955701</v>
      </c>
      <c r="AO3330" s="2">
        <v>11208.2495013109</v>
      </c>
      <c r="AP3330" s="2">
        <v>11216.653283654399</v>
      </c>
    </row>
    <row r="3331" spans="1:42" ht="14.5" x14ac:dyDescent="0.35">
      <c r="A3331" s="2" t="s">
        <v>22137</v>
      </c>
      <c r="B3331" s="2">
        <v>595.16594900552695</v>
      </c>
      <c r="C3331" s="2">
        <v>4.09636666666667</v>
      </c>
      <c r="D3331" s="2" t="s">
        <v>70</v>
      </c>
      <c r="E3331" s="2" t="s">
        <v>22138</v>
      </c>
      <c r="F3331" s="2">
        <v>61424</v>
      </c>
      <c r="G3331" s="3" t="str">
        <f>HYPERLINK("http://funmeta.oebiotech.com/network/61424", "http://funmeta.oebiotech.com/network/61424")</f>
        <v>http://funmeta.oebiotech.com/network/61424</v>
      </c>
      <c r="H3331" s="2" t="s">
        <v>22139</v>
      </c>
      <c r="I3331" s="2">
        <v>92742</v>
      </c>
      <c r="J3331" s="2"/>
      <c r="K3331" s="2"/>
      <c r="L3331" s="2"/>
      <c r="M3331" s="2"/>
      <c r="N3331" s="2"/>
      <c r="O3331" s="2">
        <v>73813320</v>
      </c>
      <c r="P3331" s="2" t="s">
        <v>22140</v>
      </c>
      <c r="Q3331" s="2" t="s">
        <v>22141</v>
      </c>
      <c r="R3331" s="2" t="s">
        <v>22142</v>
      </c>
      <c r="S3331" s="2" t="s">
        <v>115</v>
      </c>
      <c r="T3331" s="2" t="s">
        <v>139</v>
      </c>
      <c r="U3331" s="2" t="s">
        <v>140</v>
      </c>
      <c r="V3331" s="2" t="s">
        <v>42</v>
      </c>
      <c r="W3331" s="2">
        <v>55.4</v>
      </c>
      <c r="X3331" s="2">
        <v>85.5</v>
      </c>
      <c r="Y3331" s="2" t="s">
        <v>751</v>
      </c>
      <c r="Z3331" s="2" t="s">
        <v>22143</v>
      </c>
      <c r="AA3331" s="2">
        <v>-1.4570174650425101</v>
      </c>
      <c r="AB3331" s="2">
        <v>0.22770390988029801</v>
      </c>
      <c r="AC3331" s="2">
        <v>40259.075581387602</v>
      </c>
      <c r="AD3331" s="2">
        <v>36281.174857159698</v>
      </c>
      <c r="AE3331" s="2">
        <v>38469.236666717698</v>
      </c>
      <c r="AF3331" s="2">
        <v>40612.216729814099</v>
      </c>
      <c r="AG3331" s="2">
        <v>40697.647148142598</v>
      </c>
      <c r="AH3331" s="2">
        <v>41256.558030743203</v>
      </c>
      <c r="AI3331" s="2">
        <v>39225.259571802402</v>
      </c>
      <c r="AJ3331" s="2">
        <v>41293.535341105802</v>
      </c>
      <c r="AK3331" s="2">
        <v>35944.720869294601</v>
      </c>
      <c r="AL3331" s="2">
        <v>37235.295595187301</v>
      </c>
      <c r="AM3331" s="2">
        <v>37874.431701862297</v>
      </c>
      <c r="AN3331" s="2">
        <v>33522.249525389503</v>
      </c>
      <c r="AO3331" s="2">
        <v>36849.8673720156</v>
      </c>
      <c r="AP3331" s="2">
        <v>36260.484079208902</v>
      </c>
    </row>
    <row r="3332" spans="1:42" ht="14.5" x14ac:dyDescent="0.35">
      <c r="A3332" s="2" t="s">
        <v>22144</v>
      </c>
      <c r="B3332" s="2">
        <v>269.17561116383803</v>
      </c>
      <c r="C3332" s="2">
        <v>10.7203</v>
      </c>
      <c r="D3332" s="2" t="s">
        <v>70</v>
      </c>
      <c r="E3332" s="2" t="s">
        <v>22145</v>
      </c>
      <c r="F3332" s="2">
        <v>747</v>
      </c>
      <c r="G3332" s="3" t="str">
        <f>HYPERLINK("http://funmeta.oebiotech.com/network/747", "http://funmeta.oebiotech.com/network/747")</f>
        <v>http://funmeta.oebiotech.com/network/747</v>
      </c>
      <c r="H3332" s="2"/>
      <c r="I3332" s="2">
        <v>34917</v>
      </c>
      <c r="J3332" s="2" t="s">
        <v>22146</v>
      </c>
      <c r="K3332" s="2"/>
      <c r="L3332" s="2"/>
      <c r="M3332" s="2"/>
      <c r="N3332" s="2"/>
      <c r="O3332" s="2">
        <v>5312404</v>
      </c>
      <c r="P3332" s="2"/>
      <c r="Q3332" s="2" t="s">
        <v>22147</v>
      </c>
      <c r="R3332" s="2" t="s">
        <v>22148</v>
      </c>
      <c r="S3332" s="2" t="s">
        <v>50</v>
      </c>
      <c r="T3332" s="2" t="s">
        <v>229</v>
      </c>
      <c r="U3332" s="2" t="s">
        <v>433</v>
      </c>
      <c r="V3332" s="2" t="s">
        <v>42</v>
      </c>
      <c r="W3332" s="2">
        <v>56.1</v>
      </c>
      <c r="X3332" s="2">
        <v>83.3</v>
      </c>
      <c r="Y3332" s="2" t="s">
        <v>408</v>
      </c>
      <c r="Z3332" s="2" t="s">
        <v>2900</v>
      </c>
      <c r="AA3332" s="2">
        <v>-0.98901465872429295</v>
      </c>
      <c r="AB3332" s="2">
        <v>0.22768804733908299</v>
      </c>
      <c r="AC3332" s="2">
        <v>228326.49404701099</v>
      </c>
      <c r="AD3332" s="2">
        <v>213818.919616478</v>
      </c>
      <c r="AE3332" s="2">
        <v>220093.998749636</v>
      </c>
      <c r="AF3332" s="2">
        <v>199326.20344211499</v>
      </c>
      <c r="AG3332" s="2">
        <v>194495.692766366</v>
      </c>
      <c r="AH3332" s="2">
        <v>277800.27740746498</v>
      </c>
      <c r="AI3332" s="2">
        <v>286199.71955103701</v>
      </c>
      <c r="AJ3332" s="2">
        <v>192043.072365445</v>
      </c>
      <c r="AK3332" s="2">
        <v>219769.99081042601</v>
      </c>
      <c r="AL3332" s="2">
        <v>227340.193308655</v>
      </c>
      <c r="AM3332" s="2">
        <v>212699.341860849</v>
      </c>
      <c r="AN3332" s="2">
        <v>200593.35928227601</v>
      </c>
      <c r="AO3332" s="2">
        <v>210146.100841676</v>
      </c>
      <c r="AP3332" s="2">
        <v>212364.53159498601</v>
      </c>
    </row>
    <row r="3333" spans="1:42" ht="14.5" x14ac:dyDescent="0.35">
      <c r="A3333" s="2" t="s">
        <v>22149</v>
      </c>
      <c r="B3333" s="2">
        <v>293.21073133269198</v>
      </c>
      <c r="C3333" s="2">
        <v>10.3798166666667</v>
      </c>
      <c r="D3333" s="2" t="s">
        <v>34</v>
      </c>
      <c r="E3333" s="2" t="s">
        <v>22150</v>
      </c>
      <c r="F3333" s="2">
        <v>3341</v>
      </c>
      <c r="G3333" s="3" t="str">
        <f>HYPERLINK("http://funmeta.oebiotech.com/network/3341", "http://funmeta.oebiotech.com/network/3341")</f>
        <v>http://funmeta.oebiotech.com/network/3341</v>
      </c>
      <c r="H3333" s="2" t="s">
        <v>22151</v>
      </c>
      <c r="I3333" s="2">
        <v>63360</v>
      </c>
      <c r="J3333" s="2" t="s">
        <v>22152</v>
      </c>
      <c r="K3333" s="2">
        <v>15560</v>
      </c>
      <c r="L3333" s="2" t="s">
        <v>22153</v>
      </c>
      <c r="M3333" s="2" t="s">
        <v>5653</v>
      </c>
      <c r="N3333" s="2" t="s">
        <v>5654</v>
      </c>
      <c r="O3333" s="2">
        <v>5280411</v>
      </c>
      <c r="P3333" s="2" t="s">
        <v>22154</v>
      </c>
      <c r="Q3333" s="2" t="s">
        <v>22155</v>
      </c>
      <c r="R3333" s="2" t="s">
        <v>22156</v>
      </c>
      <c r="S3333" s="2" t="s">
        <v>50</v>
      </c>
      <c r="T3333" s="2" t="s">
        <v>229</v>
      </c>
      <c r="U3333" s="2" t="s">
        <v>766</v>
      </c>
      <c r="V3333" s="2" t="s">
        <v>42</v>
      </c>
      <c r="W3333" s="2">
        <v>54</v>
      </c>
      <c r="X3333" s="2">
        <v>75.3</v>
      </c>
      <c r="Y3333" s="2" t="s">
        <v>394</v>
      </c>
      <c r="Z3333" s="2" t="s">
        <v>21562</v>
      </c>
      <c r="AA3333" s="2">
        <v>-1.3341917112641399</v>
      </c>
      <c r="AB3333" s="2">
        <v>0.22767398956763399</v>
      </c>
      <c r="AC3333" s="2">
        <v>56529.750952096903</v>
      </c>
      <c r="AD3333" s="2">
        <v>60652.5960146414</v>
      </c>
      <c r="AE3333" s="2">
        <v>56975.463951174497</v>
      </c>
      <c r="AF3333" s="2">
        <v>56343.212054855001</v>
      </c>
      <c r="AG3333" s="2">
        <v>57127.445564808397</v>
      </c>
      <c r="AH3333" s="2">
        <v>57437.105907680401</v>
      </c>
      <c r="AI3333" s="2">
        <v>55526.720344615002</v>
      </c>
      <c r="AJ3333" s="2">
        <v>55768.557889447802</v>
      </c>
      <c r="AK3333" s="2">
        <v>62500.637758085701</v>
      </c>
      <c r="AL3333" s="2">
        <v>60900.716335011697</v>
      </c>
      <c r="AM3333" s="2">
        <v>60590.834402246197</v>
      </c>
      <c r="AN3333" s="2">
        <v>59519.853295443398</v>
      </c>
      <c r="AO3333" s="2">
        <v>62950.6536313334</v>
      </c>
      <c r="AP3333" s="2">
        <v>57452.880665727796</v>
      </c>
    </row>
    <row r="3334" spans="1:42" ht="14.5" x14ac:dyDescent="0.35">
      <c r="A3334" s="2" t="s">
        <v>22157</v>
      </c>
      <c r="B3334" s="2">
        <v>316.01191829476198</v>
      </c>
      <c r="C3334" s="2">
        <v>0.97008333333333296</v>
      </c>
      <c r="D3334" s="2" t="s">
        <v>34</v>
      </c>
      <c r="E3334" s="2" t="s">
        <v>22158</v>
      </c>
      <c r="F3334" s="2">
        <v>209515</v>
      </c>
      <c r="G3334" s="3" t="str">
        <f>HYPERLINK("http://funmeta.oebiotech.com/network/209515", "http://funmeta.oebiotech.com/network/209515")</f>
        <v>http://funmeta.oebiotech.com/network/209515</v>
      </c>
      <c r="H3334" s="2" t="s">
        <v>22159</v>
      </c>
      <c r="I3334" s="2"/>
      <c r="J3334" s="2"/>
      <c r="K3334" s="2"/>
      <c r="L3334" s="2"/>
      <c r="M3334" s="2"/>
      <c r="N3334" s="2"/>
      <c r="O3334" s="2">
        <v>71237</v>
      </c>
      <c r="P3334" s="2"/>
      <c r="Q3334" s="2" t="s">
        <v>22160</v>
      </c>
      <c r="R3334" s="2" t="s">
        <v>22161</v>
      </c>
      <c r="S3334" s="2" t="s">
        <v>89</v>
      </c>
      <c r="T3334" s="2" t="s">
        <v>6048</v>
      </c>
      <c r="U3334" s="2" t="s">
        <v>12523</v>
      </c>
      <c r="V3334" s="2" t="s">
        <v>59</v>
      </c>
      <c r="W3334" s="2">
        <v>38.4</v>
      </c>
      <c r="X3334" s="2">
        <v>0</v>
      </c>
      <c r="Y3334" s="2" t="s">
        <v>340</v>
      </c>
      <c r="Z3334" s="2" t="s">
        <v>22162</v>
      </c>
      <c r="AA3334" s="2">
        <v>2.6532145519400099</v>
      </c>
      <c r="AB3334" s="2">
        <v>0.22758842672913701</v>
      </c>
      <c r="AC3334" s="2">
        <v>19706.295972297099</v>
      </c>
      <c r="AD3334" s="2">
        <v>24527.6119099057</v>
      </c>
      <c r="AE3334" s="2">
        <v>19903.326731714202</v>
      </c>
      <c r="AF3334" s="2">
        <v>19843.5840593098</v>
      </c>
      <c r="AG3334" s="2">
        <v>20063.183531774201</v>
      </c>
      <c r="AH3334" s="2">
        <v>19861.966046766502</v>
      </c>
      <c r="AI3334" s="2">
        <v>20072.842504151002</v>
      </c>
      <c r="AJ3334" s="2">
        <v>18492.872960066601</v>
      </c>
      <c r="AK3334" s="2">
        <v>30640.7426224915</v>
      </c>
      <c r="AL3334" s="2">
        <v>20445.552159210802</v>
      </c>
      <c r="AM3334" s="2">
        <v>21140.064635588998</v>
      </c>
      <c r="AN3334" s="2">
        <v>24171.263241230801</v>
      </c>
      <c r="AO3334" s="2">
        <v>24496.0419307788</v>
      </c>
      <c r="AP3334" s="2">
        <v>26272.006870133198</v>
      </c>
    </row>
    <row r="3335" spans="1:42" ht="14.5" x14ac:dyDescent="0.35">
      <c r="A3335" s="2" t="s">
        <v>22163</v>
      </c>
      <c r="B3335" s="2">
        <v>497.10659430810801</v>
      </c>
      <c r="C3335" s="2">
        <v>5.1704666666666697</v>
      </c>
      <c r="D3335" s="2" t="s">
        <v>70</v>
      </c>
      <c r="E3335" s="2" t="s">
        <v>22164</v>
      </c>
      <c r="F3335" s="2">
        <v>53160</v>
      </c>
      <c r="G3335" s="3" t="str">
        <f>HYPERLINK("http://funmeta.oebiotech.com/network/53160", "http://funmeta.oebiotech.com/network/53160")</f>
        <v>http://funmeta.oebiotech.com/network/53160</v>
      </c>
      <c r="H3335" s="2" t="s">
        <v>22165</v>
      </c>
      <c r="I3335" s="2">
        <v>2552</v>
      </c>
      <c r="J3335" s="2"/>
      <c r="K3335" s="2">
        <v>132842</v>
      </c>
      <c r="L3335" s="2"/>
      <c r="M3335" s="2"/>
      <c r="N3335" s="2"/>
      <c r="O3335" s="2">
        <v>5336</v>
      </c>
      <c r="P3335" s="2" t="s">
        <v>22166</v>
      </c>
      <c r="Q3335" s="2" t="s">
        <v>22167</v>
      </c>
      <c r="R3335" s="2" t="s">
        <v>22168</v>
      </c>
      <c r="S3335" s="2" t="s">
        <v>148</v>
      </c>
      <c r="T3335" s="2" t="s">
        <v>149</v>
      </c>
      <c r="U3335" s="2" t="s">
        <v>4282</v>
      </c>
      <c r="V3335" s="2" t="s">
        <v>59</v>
      </c>
      <c r="W3335" s="2">
        <v>38.299999999999997</v>
      </c>
      <c r="X3335" s="2">
        <v>0</v>
      </c>
      <c r="Y3335" s="2" t="s">
        <v>560</v>
      </c>
      <c r="Z3335" s="2" t="s">
        <v>22169</v>
      </c>
      <c r="AA3335" s="2">
        <v>-1.0529157099662301</v>
      </c>
      <c r="AB3335" s="2">
        <v>0.22755681832288699</v>
      </c>
      <c r="AC3335" s="2">
        <v>3843.0586751123601</v>
      </c>
      <c r="AD3335" s="2">
        <v>7487.7121550690399</v>
      </c>
      <c r="AE3335" s="2">
        <v>3779.5890848087301</v>
      </c>
      <c r="AF3335" s="2">
        <v>3267.7783040855302</v>
      </c>
      <c r="AG3335" s="2">
        <v>2772.0105923997498</v>
      </c>
      <c r="AH3335" s="2">
        <v>4977.61222558396</v>
      </c>
      <c r="AI3335" s="2">
        <v>3416.8343668862499</v>
      </c>
      <c r="AJ3335" s="2">
        <v>4844.5274769099196</v>
      </c>
      <c r="AK3335" s="2">
        <v>7589.4887848214803</v>
      </c>
      <c r="AL3335" s="2">
        <v>7928.4651549534401</v>
      </c>
      <c r="AM3335" s="2">
        <v>7222.6125107247099</v>
      </c>
      <c r="AN3335" s="2">
        <v>8209.9886939581993</v>
      </c>
      <c r="AO3335" s="2">
        <v>7633.9909457661597</v>
      </c>
      <c r="AP3335" s="2">
        <v>6341.7268401902602</v>
      </c>
    </row>
    <row r="3336" spans="1:42" ht="14.5" x14ac:dyDescent="0.35">
      <c r="A3336" s="2" t="s">
        <v>22170</v>
      </c>
      <c r="B3336" s="2">
        <v>360.16247788568899</v>
      </c>
      <c r="C3336" s="2">
        <v>1.5714333333333299</v>
      </c>
      <c r="D3336" s="2" t="s">
        <v>34</v>
      </c>
      <c r="E3336" s="2" t="s">
        <v>22171</v>
      </c>
      <c r="F3336" s="2">
        <v>199901</v>
      </c>
      <c r="G3336" s="3" t="str">
        <f>HYPERLINK("http://funmeta.oebiotech.com/network/199901", "http://funmeta.oebiotech.com/network/199901")</f>
        <v>http://funmeta.oebiotech.com/network/199901</v>
      </c>
      <c r="H3336" s="2" t="s">
        <v>22172</v>
      </c>
      <c r="I3336" s="2"/>
      <c r="J3336" s="2"/>
      <c r="K3336" s="2"/>
      <c r="L3336" s="2"/>
      <c r="M3336" s="2"/>
      <c r="N3336" s="2"/>
      <c r="O3336" s="2">
        <v>198735</v>
      </c>
      <c r="P3336" s="2"/>
      <c r="Q3336" s="2" t="s">
        <v>22173</v>
      </c>
      <c r="R3336" s="2" t="s">
        <v>22174</v>
      </c>
      <c r="S3336" s="2" t="s">
        <v>50</v>
      </c>
      <c r="T3336" s="2" t="s">
        <v>201</v>
      </c>
      <c r="U3336" s="2" t="s">
        <v>265</v>
      </c>
      <c r="V3336" s="2" t="s">
        <v>59</v>
      </c>
      <c r="W3336" s="2">
        <v>36.6</v>
      </c>
      <c r="X3336" s="2">
        <v>0</v>
      </c>
      <c r="Y3336" s="2" t="s">
        <v>141</v>
      </c>
      <c r="Z3336" s="2" t="s">
        <v>22175</v>
      </c>
      <c r="AA3336" s="2">
        <v>-0.83043852113422201</v>
      </c>
      <c r="AB3336" s="2">
        <v>0.227353565788491</v>
      </c>
      <c r="AC3336" s="2">
        <v>7767.4608679274797</v>
      </c>
      <c r="AD3336" s="2">
        <v>4171.9607927179104</v>
      </c>
      <c r="AE3336" s="2">
        <v>7754.6682222647696</v>
      </c>
      <c r="AF3336" s="2">
        <v>8180.9005632714398</v>
      </c>
      <c r="AG3336" s="2">
        <v>7119.3424182649796</v>
      </c>
      <c r="AH3336" s="2">
        <v>7272.4435887985001</v>
      </c>
      <c r="AI3336" s="2">
        <v>9363.4039104767598</v>
      </c>
      <c r="AJ3336" s="2">
        <v>6914.0065044884204</v>
      </c>
      <c r="AK3336" s="2">
        <v>4113.2896168474099</v>
      </c>
      <c r="AL3336" s="2">
        <v>3886.9931692046098</v>
      </c>
      <c r="AM3336" s="2">
        <v>4259.0917615343196</v>
      </c>
      <c r="AN3336" s="2">
        <v>4150.6265683473403</v>
      </c>
      <c r="AO3336" s="2">
        <v>4430.3291028692802</v>
      </c>
      <c r="AP3336" s="2">
        <v>4191.4345375044904</v>
      </c>
    </row>
    <row r="3337" spans="1:42" ht="14.5" x14ac:dyDescent="0.35">
      <c r="A3337" s="2" t="s">
        <v>22176</v>
      </c>
      <c r="B3337" s="2">
        <v>247.169931944251</v>
      </c>
      <c r="C3337" s="2">
        <v>10.6826833333333</v>
      </c>
      <c r="D3337" s="2" t="s">
        <v>70</v>
      </c>
      <c r="E3337" s="2" t="s">
        <v>22177</v>
      </c>
      <c r="F3337" s="2">
        <v>81907</v>
      </c>
      <c r="G3337" s="3" t="str">
        <f>HYPERLINK("http://funmeta.oebiotech.com/network/81907", "http://funmeta.oebiotech.com/network/81907")</f>
        <v>http://funmeta.oebiotech.com/network/81907</v>
      </c>
      <c r="H3337" s="2" t="s">
        <v>22178</v>
      </c>
      <c r="I3337" s="2">
        <v>53385</v>
      </c>
      <c r="J3337" s="2"/>
      <c r="K3337" s="2">
        <v>62757</v>
      </c>
      <c r="L3337" s="2" t="s">
        <v>22179</v>
      </c>
      <c r="M3337" s="2"/>
      <c r="N3337" s="2"/>
      <c r="O3337" s="2">
        <v>92139</v>
      </c>
      <c r="P3337" s="2"/>
      <c r="Q3337" s="2" t="s">
        <v>22180</v>
      </c>
      <c r="R3337" s="2" t="s">
        <v>22181</v>
      </c>
      <c r="S3337" s="2" t="s">
        <v>50</v>
      </c>
      <c r="T3337" s="2" t="s">
        <v>201</v>
      </c>
      <c r="U3337" s="2" t="s">
        <v>636</v>
      </c>
      <c r="V3337" s="2" t="s">
        <v>59</v>
      </c>
      <c r="W3337" s="2">
        <v>39.299999999999997</v>
      </c>
      <c r="X3337" s="2">
        <v>0</v>
      </c>
      <c r="Y3337" s="2" t="s">
        <v>408</v>
      </c>
      <c r="Z3337" s="2" t="s">
        <v>22182</v>
      </c>
      <c r="AA3337" s="2">
        <v>-2.0855062758590899</v>
      </c>
      <c r="AB3337" s="2">
        <v>0.22732802888574299</v>
      </c>
      <c r="AC3337" s="2">
        <v>32019.448269713401</v>
      </c>
      <c r="AD3337" s="2">
        <v>37301.425477827899</v>
      </c>
      <c r="AE3337" s="2">
        <v>38141.426120040298</v>
      </c>
      <c r="AF3337" s="2">
        <v>33228.5378413215</v>
      </c>
      <c r="AG3337" s="2">
        <v>32941.609643818898</v>
      </c>
      <c r="AH3337" s="2">
        <v>24765.3909694506</v>
      </c>
      <c r="AI3337" s="2">
        <v>29656.024207286599</v>
      </c>
      <c r="AJ3337" s="2">
        <v>33383.700836362703</v>
      </c>
      <c r="AK3337" s="2">
        <v>36422.738097188601</v>
      </c>
      <c r="AL3337" s="2">
        <v>40412.6694590431</v>
      </c>
      <c r="AM3337" s="2">
        <v>36398.358895530597</v>
      </c>
      <c r="AN3337" s="2">
        <v>37831.609971563797</v>
      </c>
      <c r="AO3337" s="2">
        <v>35665.249412748599</v>
      </c>
      <c r="AP3337" s="2">
        <v>37077.927030892497</v>
      </c>
    </row>
    <row r="3338" spans="1:42" ht="14.5" x14ac:dyDescent="0.35">
      <c r="A3338" s="2" t="s">
        <v>22183</v>
      </c>
      <c r="B3338" s="2">
        <v>419.35153596152401</v>
      </c>
      <c r="C3338" s="2">
        <v>13.263916666666701</v>
      </c>
      <c r="D3338" s="2" t="s">
        <v>34</v>
      </c>
      <c r="E3338" s="2" t="s">
        <v>22184</v>
      </c>
      <c r="F3338" s="2">
        <v>28234</v>
      </c>
      <c r="G3338" s="3" t="str">
        <f>HYPERLINK("http://funmeta.oebiotech.com/network/28234", "http://funmeta.oebiotech.com/network/28234")</f>
        <v>http://funmeta.oebiotech.com/network/28234</v>
      </c>
      <c r="H3338" s="2"/>
      <c r="I3338" s="2"/>
      <c r="J3338" s="2" t="s">
        <v>22185</v>
      </c>
      <c r="K3338" s="2"/>
      <c r="L3338" s="2"/>
      <c r="M3338" s="2"/>
      <c r="N3338" s="2"/>
      <c r="O3338" s="2">
        <v>155566481</v>
      </c>
      <c r="P3338" s="2"/>
      <c r="Q3338" s="2" t="s">
        <v>22186</v>
      </c>
      <c r="R3338" s="2" t="s">
        <v>22187</v>
      </c>
      <c r="S3338" s="2" t="s">
        <v>41</v>
      </c>
      <c r="T3338" s="2" t="s">
        <v>41</v>
      </c>
      <c r="U3338" s="2" t="s">
        <v>41</v>
      </c>
      <c r="V3338" s="2" t="s">
        <v>42</v>
      </c>
      <c r="W3338" s="2">
        <v>51.6</v>
      </c>
      <c r="X3338" s="2">
        <v>67.400000000000006</v>
      </c>
      <c r="Y3338" s="2" t="s">
        <v>323</v>
      </c>
      <c r="Z3338" s="2" t="s">
        <v>22188</v>
      </c>
      <c r="AA3338" s="2">
        <v>4.9699307878986598</v>
      </c>
      <c r="AB3338" s="2">
        <v>0.22718562027429801</v>
      </c>
      <c r="AC3338" s="2">
        <v>11205.251361632299</v>
      </c>
      <c r="AD3338" s="2">
        <v>7356.04063484168</v>
      </c>
      <c r="AE3338" s="2">
        <v>9850.8892018290608</v>
      </c>
      <c r="AF3338" s="2">
        <v>9964.8777093201697</v>
      </c>
      <c r="AG3338" s="2">
        <v>12505.9930832303</v>
      </c>
      <c r="AH3338" s="2">
        <v>11153.382836073801</v>
      </c>
      <c r="AI3338" s="2">
        <v>10675.9391610895</v>
      </c>
      <c r="AJ3338" s="2">
        <v>13080.426178251</v>
      </c>
      <c r="AK3338" s="2">
        <v>8828.2027205313807</v>
      </c>
      <c r="AL3338" s="2">
        <v>7269.7516258597798</v>
      </c>
      <c r="AM3338" s="2">
        <v>7878.4148198971297</v>
      </c>
      <c r="AN3338" s="2">
        <v>6343.4885155161701</v>
      </c>
      <c r="AO3338" s="2">
        <v>6384.0659778098898</v>
      </c>
      <c r="AP3338" s="2">
        <v>7432.3201494357399</v>
      </c>
    </row>
    <row r="3339" spans="1:42" ht="14.5" x14ac:dyDescent="0.35">
      <c r="A3339" s="2" t="s">
        <v>22189</v>
      </c>
      <c r="B3339" s="2">
        <v>467.20601430102403</v>
      </c>
      <c r="C3339" s="2">
        <v>9.1582833333333298</v>
      </c>
      <c r="D3339" s="2" t="s">
        <v>34</v>
      </c>
      <c r="E3339" s="2" t="s">
        <v>22190</v>
      </c>
      <c r="F3339" s="2">
        <v>208355</v>
      </c>
      <c r="G3339" s="3" t="str">
        <f>HYPERLINK("http://funmeta.oebiotech.com/network/208355", "http://funmeta.oebiotech.com/network/208355")</f>
        <v>http://funmeta.oebiotech.com/network/208355</v>
      </c>
      <c r="H3339" s="2" t="s">
        <v>22191</v>
      </c>
      <c r="I3339" s="2"/>
      <c r="J3339" s="2"/>
      <c r="K3339" s="2"/>
      <c r="L3339" s="2"/>
      <c r="M3339" s="2"/>
      <c r="N3339" s="2"/>
      <c r="O3339" s="2">
        <v>9823909</v>
      </c>
      <c r="P3339" s="2"/>
      <c r="Q3339" s="2" t="s">
        <v>22192</v>
      </c>
      <c r="R3339" s="2" t="s">
        <v>22193</v>
      </c>
      <c r="S3339" s="2" t="s">
        <v>41</v>
      </c>
      <c r="T3339" s="2" t="s">
        <v>41</v>
      </c>
      <c r="U3339" s="2" t="s">
        <v>41</v>
      </c>
      <c r="V3339" s="2" t="s">
        <v>59</v>
      </c>
      <c r="W3339" s="2">
        <v>38.5</v>
      </c>
      <c r="X3339" s="2">
        <v>0</v>
      </c>
      <c r="Y3339" s="2" t="s">
        <v>340</v>
      </c>
      <c r="Z3339" s="2" t="s">
        <v>22194</v>
      </c>
      <c r="AA3339" s="2">
        <v>1.1691915505877399</v>
      </c>
      <c r="AB3339" s="2">
        <v>0.22683794787884201</v>
      </c>
      <c r="AC3339" s="2">
        <v>12398.3780132928</v>
      </c>
      <c r="AD3339" s="2">
        <v>8632.6939042221693</v>
      </c>
      <c r="AE3339" s="2">
        <v>13466.599058268601</v>
      </c>
      <c r="AF3339" s="2">
        <v>12631.3404938085</v>
      </c>
      <c r="AG3339" s="2">
        <v>13657.3258757559</v>
      </c>
      <c r="AH3339" s="2">
        <v>11981.853302477701</v>
      </c>
      <c r="AI3339" s="2">
        <v>11115.416448247401</v>
      </c>
      <c r="AJ3339" s="2">
        <v>11537.7329011987</v>
      </c>
      <c r="AK3339" s="2">
        <v>9000.7757563451505</v>
      </c>
      <c r="AL3339" s="2">
        <v>9308.0005764754806</v>
      </c>
      <c r="AM3339" s="2">
        <v>9909.6442622686009</v>
      </c>
      <c r="AN3339" s="2">
        <v>6760.5344960802704</v>
      </c>
      <c r="AO3339" s="2">
        <v>8655.4605624305095</v>
      </c>
      <c r="AP3339" s="2">
        <v>8161.7477717330403</v>
      </c>
    </row>
    <row r="3340" spans="1:42" ht="14.5" x14ac:dyDescent="0.35">
      <c r="A3340" s="2" t="s">
        <v>22195</v>
      </c>
      <c r="B3340" s="2">
        <v>791.15917464969095</v>
      </c>
      <c r="C3340" s="2">
        <v>4.7579333333333302</v>
      </c>
      <c r="D3340" s="2" t="s">
        <v>70</v>
      </c>
      <c r="E3340" s="2" t="s">
        <v>22196</v>
      </c>
      <c r="F3340" s="2">
        <v>266648</v>
      </c>
      <c r="G3340" s="3" t="str">
        <f>HYPERLINK("http://funmeta.oebiotech.com/network/266648", "http://funmeta.oebiotech.com/network/266648")</f>
        <v>http://funmeta.oebiotech.com/network/266648</v>
      </c>
      <c r="H3340" s="2"/>
      <c r="I3340" s="2">
        <v>43715</v>
      </c>
      <c r="J3340" s="2"/>
      <c r="K3340" s="2"/>
      <c r="L3340" s="2"/>
      <c r="M3340" s="2"/>
      <c r="N3340" s="2"/>
      <c r="O3340" s="2">
        <v>18721</v>
      </c>
      <c r="P3340" s="2" t="s">
        <v>22197</v>
      </c>
      <c r="Q3340" s="2" t="s">
        <v>22198</v>
      </c>
      <c r="R3340" s="2" t="s">
        <v>22199</v>
      </c>
      <c r="S3340" s="2" t="s">
        <v>115</v>
      </c>
      <c r="T3340" s="2" t="s">
        <v>139</v>
      </c>
      <c r="U3340" s="2" t="s">
        <v>1806</v>
      </c>
      <c r="V3340" s="2" t="s">
        <v>59</v>
      </c>
      <c r="W3340" s="2">
        <v>37.200000000000003</v>
      </c>
      <c r="X3340" s="2">
        <v>0</v>
      </c>
      <c r="Y3340" s="2" t="s">
        <v>560</v>
      </c>
      <c r="Z3340" s="2" t="s">
        <v>22200</v>
      </c>
      <c r="AA3340" s="2">
        <v>-3.2617502006042902</v>
      </c>
      <c r="AB3340" s="2">
        <v>0.22667273382150199</v>
      </c>
      <c r="AC3340" s="2">
        <v>8999.9979284498804</v>
      </c>
      <c r="AD3340" s="2">
        <v>13333.9050798976</v>
      </c>
      <c r="AE3340" s="2">
        <v>10903.4608733609</v>
      </c>
      <c r="AF3340" s="2">
        <v>9075.0711338371693</v>
      </c>
      <c r="AG3340" s="2">
        <v>7081.0796961428796</v>
      </c>
      <c r="AH3340" s="2">
        <v>9917.9336999130701</v>
      </c>
      <c r="AI3340" s="2">
        <v>8860.7006476211609</v>
      </c>
      <c r="AJ3340" s="2">
        <v>8161.7415198240797</v>
      </c>
      <c r="AK3340" s="2">
        <v>10554.3946798582</v>
      </c>
      <c r="AL3340" s="2">
        <v>14050.560872361</v>
      </c>
      <c r="AM3340" s="2">
        <v>15725.426477026</v>
      </c>
      <c r="AN3340" s="2">
        <v>14416.844346136901</v>
      </c>
      <c r="AO3340" s="2">
        <v>10167.899412446101</v>
      </c>
      <c r="AP3340" s="2">
        <v>15088.3046915574</v>
      </c>
    </row>
    <row r="3341" spans="1:42" ht="14.5" x14ac:dyDescent="0.35">
      <c r="A3341" s="2" t="s">
        <v>22201</v>
      </c>
      <c r="B3341" s="2">
        <v>731.14134885980502</v>
      </c>
      <c r="C3341" s="2">
        <v>1.1665333333333301</v>
      </c>
      <c r="D3341" s="2" t="s">
        <v>70</v>
      </c>
      <c r="E3341" s="2" t="s">
        <v>22202</v>
      </c>
      <c r="F3341" s="2">
        <v>62358</v>
      </c>
      <c r="G3341" s="3" t="str">
        <f>HYPERLINK("http://funmeta.oebiotech.com/network/62358", "http://funmeta.oebiotech.com/network/62358")</f>
        <v>http://funmeta.oebiotech.com/network/62358</v>
      </c>
      <c r="H3341" s="2" t="s">
        <v>22203</v>
      </c>
      <c r="I3341" s="2">
        <v>93652</v>
      </c>
      <c r="J3341" s="2"/>
      <c r="K3341" s="2">
        <v>172597</v>
      </c>
      <c r="L3341" s="2"/>
      <c r="M3341" s="2"/>
      <c r="N3341" s="2"/>
      <c r="O3341" s="2">
        <v>5318544</v>
      </c>
      <c r="P3341" s="2" t="s">
        <v>22204</v>
      </c>
      <c r="Q3341" s="2" t="s">
        <v>22205</v>
      </c>
      <c r="R3341" s="2" t="s">
        <v>22206</v>
      </c>
      <c r="S3341" s="2" t="s">
        <v>115</v>
      </c>
      <c r="T3341" s="2" t="s">
        <v>758</v>
      </c>
      <c r="U3341" s="2" t="s">
        <v>41</v>
      </c>
      <c r="V3341" s="2" t="s">
        <v>59</v>
      </c>
      <c r="W3341" s="2">
        <v>39</v>
      </c>
      <c r="X3341" s="2">
        <v>0</v>
      </c>
      <c r="Y3341" s="2" t="s">
        <v>560</v>
      </c>
      <c r="Z3341" s="2" t="s">
        <v>22207</v>
      </c>
      <c r="AA3341" s="2">
        <v>0.98302542421574302</v>
      </c>
      <c r="AB3341" s="2">
        <v>0.22666765020996801</v>
      </c>
      <c r="AC3341" s="2">
        <v>14481.422758300499</v>
      </c>
      <c r="AD3341" s="2">
        <v>10086.531818181</v>
      </c>
      <c r="AE3341" s="2">
        <v>14285.140944069401</v>
      </c>
      <c r="AF3341" s="2">
        <v>12389.8814508009</v>
      </c>
      <c r="AG3341" s="2">
        <v>16039.579913916499</v>
      </c>
      <c r="AH3341" s="2">
        <v>14356.839691748</v>
      </c>
      <c r="AI3341" s="2">
        <v>15936.6930503822</v>
      </c>
      <c r="AJ3341" s="2">
        <v>13880.4014988861</v>
      </c>
      <c r="AK3341" s="2">
        <v>10554.3616074415</v>
      </c>
      <c r="AL3341" s="2">
        <v>10210.8096701697</v>
      </c>
      <c r="AM3341" s="2">
        <v>5235.0294131861201</v>
      </c>
      <c r="AN3341" s="2">
        <v>11389.6622554395</v>
      </c>
      <c r="AO3341" s="2">
        <v>10912.0769010121</v>
      </c>
      <c r="AP3341" s="2">
        <v>12217.2510618369</v>
      </c>
    </row>
    <row r="3342" spans="1:42" ht="14.5" x14ac:dyDescent="0.35">
      <c r="A3342" s="2" t="s">
        <v>22208</v>
      </c>
      <c r="B3342" s="2">
        <v>373.16399759496801</v>
      </c>
      <c r="C3342" s="2">
        <v>8.4520166666666707</v>
      </c>
      <c r="D3342" s="2" t="s">
        <v>34</v>
      </c>
      <c r="E3342" s="2" t="s">
        <v>22209</v>
      </c>
      <c r="F3342" s="2">
        <v>206797</v>
      </c>
      <c r="G3342" s="3" t="str">
        <f>HYPERLINK("http://funmeta.oebiotech.com/network/206797", "http://funmeta.oebiotech.com/network/206797")</f>
        <v>http://funmeta.oebiotech.com/network/206797</v>
      </c>
      <c r="H3342" s="2" t="s">
        <v>22210</v>
      </c>
      <c r="I3342" s="2">
        <v>439033</v>
      </c>
      <c r="J3342" s="2"/>
      <c r="K3342" s="2">
        <v>90865</v>
      </c>
      <c r="L3342" s="2"/>
      <c r="M3342" s="2"/>
      <c r="N3342" s="2"/>
      <c r="O3342" s="2">
        <v>6918248</v>
      </c>
      <c r="P3342" s="2"/>
      <c r="Q3342" s="2" t="s">
        <v>22211</v>
      </c>
      <c r="R3342" s="2" t="s">
        <v>22212</v>
      </c>
      <c r="S3342" s="2" t="s">
        <v>491</v>
      </c>
      <c r="T3342" s="2" t="s">
        <v>5190</v>
      </c>
      <c r="U3342" s="2" t="s">
        <v>5191</v>
      </c>
      <c r="V3342" s="2" t="s">
        <v>59</v>
      </c>
      <c r="W3342" s="2">
        <v>37.9</v>
      </c>
      <c r="X3342" s="2">
        <v>0</v>
      </c>
      <c r="Y3342" s="2" t="s">
        <v>141</v>
      </c>
      <c r="Z3342" s="2" t="s">
        <v>22213</v>
      </c>
      <c r="AA3342" s="2">
        <v>1.3836974672725899</v>
      </c>
      <c r="AB3342" s="2">
        <v>0.226641195789682</v>
      </c>
      <c r="AC3342" s="2">
        <v>3614.9616372004798</v>
      </c>
      <c r="AD3342" s="2">
        <v>214.817021519994</v>
      </c>
      <c r="AE3342" s="2">
        <v>3277.6025189613101</v>
      </c>
      <c r="AF3342" s="2">
        <v>3321.19051561783</v>
      </c>
      <c r="AG3342" s="2">
        <v>4091.2878692012901</v>
      </c>
      <c r="AH3342" s="2">
        <v>3756.8646814551698</v>
      </c>
      <c r="AI3342" s="2">
        <v>3591.4081857116198</v>
      </c>
      <c r="AJ3342" s="2">
        <v>3651.4160522556699</v>
      </c>
      <c r="AK3342" s="2">
        <v>316.07711615516803</v>
      </c>
      <c r="AL3342" s="2">
        <v>2.7106294003980101E-5</v>
      </c>
      <c r="AM3342" s="2">
        <v>368.87640128869498</v>
      </c>
      <c r="AN3342" s="2">
        <v>308.498147021862</v>
      </c>
      <c r="AO3342" s="2">
        <v>2.7106294003980101E-5</v>
      </c>
      <c r="AP3342" s="2">
        <v>295.45041044165299</v>
      </c>
    </row>
    <row r="3343" spans="1:42" ht="14.5" x14ac:dyDescent="0.35">
      <c r="A3343" s="2" t="s">
        <v>22214</v>
      </c>
      <c r="B3343" s="2">
        <v>487.142587288085</v>
      </c>
      <c r="C3343" s="2">
        <v>3.7334833333333299</v>
      </c>
      <c r="D3343" s="2" t="s">
        <v>34</v>
      </c>
      <c r="E3343" s="2" t="s">
        <v>22215</v>
      </c>
      <c r="F3343" s="2">
        <v>59353</v>
      </c>
      <c r="G3343" s="3" t="str">
        <f>HYPERLINK("http://funmeta.oebiotech.com/network/59353", "http://funmeta.oebiotech.com/network/59353")</f>
        <v>http://funmeta.oebiotech.com/network/59353</v>
      </c>
      <c r="H3343" s="2" t="s">
        <v>22216</v>
      </c>
      <c r="I3343" s="2">
        <v>90768</v>
      </c>
      <c r="J3343" s="2"/>
      <c r="K3343" s="2">
        <v>168078</v>
      </c>
      <c r="L3343" s="2"/>
      <c r="M3343" s="2"/>
      <c r="N3343" s="2"/>
      <c r="O3343" s="2">
        <v>131751779</v>
      </c>
      <c r="P3343" s="2"/>
      <c r="Q3343" s="2" t="s">
        <v>22217</v>
      </c>
      <c r="R3343" s="2" t="s">
        <v>22218</v>
      </c>
      <c r="S3343" s="2" t="s">
        <v>115</v>
      </c>
      <c r="T3343" s="2" t="s">
        <v>116</v>
      </c>
      <c r="U3343" s="2" t="s">
        <v>117</v>
      </c>
      <c r="V3343" s="2" t="s">
        <v>59</v>
      </c>
      <c r="W3343" s="2">
        <v>42.6</v>
      </c>
      <c r="X3343" s="2">
        <v>29.4</v>
      </c>
      <c r="Y3343" s="2" t="s">
        <v>141</v>
      </c>
      <c r="Z3343" s="2" t="s">
        <v>22219</v>
      </c>
      <c r="AA3343" s="2">
        <v>-4.0266629949691097</v>
      </c>
      <c r="AB3343" s="2">
        <v>0.22660975445255699</v>
      </c>
      <c r="AC3343" s="2">
        <v>31087.472410332</v>
      </c>
      <c r="AD3343" s="2">
        <v>26883.696898113001</v>
      </c>
      <c r="AE3343" s="2">
        <v>33949.247816969197</v>
      </c>
      <c r="AF3343" s="2">
        <v>27419.596334451999</v>
      </c>
      <c r="AG3343" s="2">
        <v>31473.6479830178</v>
      </c>
      <c r="AH3343" s="2">
        <v>32879.987742268997</v>
      </c>
      <c r="AI3343" s="2">
        <v>29914.564251401898</v>
      </c>
      <c r="AJ3343" s="2">
        <v>30887.7903338824</v>
      </c>
      <c r="AK3343" s="2">
        <v>26416.994176510601</v>
      </c>
      <c r="AL3343" s="2">
        <v>26488.5922922883</v>
      </c>
      <c r="AM3343" s="2">
        <v>27426.3580244</v>
      </c>
      <c r="AN3343" s="2">
        <v>27580.052750912299</v>
      </c>
      <c r="AO3343" s="2">
        <v>25693.618403422101</v>
      </c>
      <c r="AP3343" s="2">
        <v>27696.565741144899</v>
      </c>
    </row>
    <row r="3344" spans="1:42" ht="14.5" x14ac:dyDescent="0.35">
      <c r="A3344" s="2" t="s">
        <v>22220</v>
      </c>
      <c r="B3344" s="2">
        <v>369.14015752910802</v>
      </c>
      <c r="C3344" s="2">
        <v>1.4654833333333299</v>
      </c>
      <c r="D3344" s="2" t="s">
        <v>70</v>
      </c>
      <c r="E3344" s="2" t="s">
        <v>22221</v>
      </c>
      <c r="F3344" s="2">
        <v>56616</v>
      </c>
      <c r="G3344" s="3" t="str">
        <f>HYPERLINK("http://funmeta.oebiotech.com/network/56616", "http://funmeta.oebiotech.com/network/56616")</f>
        <v>http://funmeta.oebiotech.com/network/56616</v>
      </c>
      <c r="H3344" s="2" t="s">
        <v>22222</v>
      </c>
      <c r="I3344" s="2">
        <v>88252</v>
      </c>
      <c r="J3344" s="2"/>
      <c r="K3344" s="2">
        <v>62968</v>
      </c>
      <c r="L3344" s="2"/>
      <c r="M3344" s="2"/>
      <c r="N3344" s="2"/>
      <c r="O3344" s="2">
        <v>14055602</v>
      </c>
      <c r="P3344" s="2" t="s">
        <v>22223</v>
      </c>
      <c r="Q3344" s="2" t="s">
        <v>22224</v>
      </c>
      <c r="R3344" s="2" t="s">
        <v>22225</v>
      </c>
      <c r="S3344" s="2" t="s">
        <v>79</v>
      </c>
      <c r="T3344" s="2" t="s">
        <v>80</v>
      </c>
      <c r="U3344" s="2" t="s">
        <v>81</v>
      </c>
      <c r="V3344" s="2" t="s">
        <v>59</v>
      </c>
      <c r="W3344" s="2">
        <v>43.6</v>
      </c>
      <c r="X3344" s="2">
        <v>34.9</v>
      </c>
      <c r="Y3344" s="2" t="s">
        <v>118</v>
      </c>
      <c r="Z3344" s="2" t="s">
        <v>22226</v>
      </c>
      <c r="AA3344" s="2">
        <v>-0.209883544205585</v>
      </c>
      <c r="AB3344" s="2">
        <v>0.226585416459258</v>
      </c>
      <c r="AC3344" s="2">
        <v>3086.4597828450201</v>
      </c>
      <c r="AD3344" s="2">
        <v>6561.9880525992503</v>
      </c>
      <c r="AE3344" s="2">
        <v>2989.5044904491101</v>
      </c>
      <c r="AF3344" s="2">
        <v>2939.3484365213599</v>
      </c>
      <c r="AG3344" s="2">
        <v>2900.4421823163898</v>
      </c>
      <c r="AH3344" s="2">
        <v>3135.98213977058</v>
      </c>
      <c r="AI3344" s="2">
        <v>3531.6577520564601</v>
      </c>
      <c r="AJ3344" s="2">
        <v>3021.82369595619</v>
      </c>
      <c r="AK3344" s="2">
        <v>6685.5270573480802</v>
      </c>
      <c r="AL3344" s="2">
        <v>6402.8879882224401</v>
      </c>
      <c r="AM3344" s="2">
        <v>6370.0360188389304</v>
      </c>
      <c r="AN3344" s="2">
        <v>5553.8572427935796</v>
      </c>
      <c r="AO3344" s="2">
        <v>6831.6511619249304</v>
      </c>
      <c r="AP3344" s="2">
        <v>7527.9688464675501</v>
      </c>
    </row>
    <row r="3345" spans="1:42" ht="14.5" x14ac:dyDescent="0.35">
      <c r="A3345" s="2" t="s">
        <v>22227</v>
      </c>
      <c r="B3345" s="2">
        <v>687.228914674262</v>
      </c>
      <c r="C3345" s="2">
        <v>4.7765333333333304</v>
      </c>
      <c r="D3345" s="2" t="s">
        <v>70</v>
      </c>
      <c r="E3345" s="2" t="s">
        <v>22228</v>
      </c>
      <c r="F3345" s="2">
        <v>293743</v>
      </c>
      <c r="G3345" s="3" t="str">
        <f>HYPERLINK("http://funmeta.oebiotech.com/network/293743", "http://funmeta.oebiotech.com/network/293743")</f>
        <v>http://funmeta.oebiotech.com/network/293743</v>
      </c>
      <c r="H3345" s="2"/>
      <c r="I3345" s="2">
        <v>317697</v>
      </c>
      <c r="J3345" s="2"/>
      <c r="K3345" s="2"/>
      <c r="L3345" s="2"/>
      <c r="M3345" s="2"/>
      <c r="N3345" s="2"/>
      <c r="O3345" s="2">
        <v>53316393</v>
      </c>
      <c r="P3345" s="2"/>
      <c r="Q3345" s="2" t="s">
        <v>22229</v>
      </c>
      <c r="R3345" s="2" t="s">
        <v>22230</v>
      </c>
      <c r="S3345" s="2" t="s">
        <v>148</v>
      </c>
      <c r="T3345" s="2" t="s">
        <v>149</v>
      </c>
      <c r="U3345" s="2" t="s">
        <v>5024</v>
      </c>
      <c r="V3345" s="2" t="s">
        <v>59</v>
      </c>
      <c r="W3345" s="2">
        <v>37.4</v>
      </c>
      <c r="X3345" s="2">
        <v>0</v>
      </c>
      <c r="Y3345" s="2" t="s">
        <v>560</v>
      </c>
      <c r="Z3345" s="2" t="s">
        <v>22231</v>
      </c>
      <c r="AA3345" s="2">
        <v>2.5000203791614801</v>
      </c>
      <c r="AB3345" s="2">
        <v>0.22658423111645001</v>
      </c>
      <c r="AC3345" s="2">
        <v>78746.480160571096</v>
      </c>
      <c r="AD3345" s="2">
        <v>71945.901865401902</v>
      </c>
      <c r="AE3345" s="2">
        <v>80344.351062100293</v>
      </c>
      <c r="AF3345" s="2">
        <v>84250.1503768736</v>
      </c>
      <c r="AG3345" s="2">
        <v>73516.759108380895</v>
      </c>
      <c r="AH3345" s="2">
        <v>80429.544193805094</v>
      </c>
      <c r="AI3345" s="2">
        <v>73916.463681150097</v>
      </c>
      <c r="AJ3345" s="2">
        <v>80021.612541116701</v>
      </c>
      <c r="AK3345" s="2">
        <v>80985.685002790196</v>
      </c>
      <c r="AL3345" s="2">
        <v>70845.165661020597</v>
      </c>
      <c r="AM3345" s="2">
        <v>71200.1525904234</v>
      </c>
      <c r="AN3345" s="2">
        <v>82052.839014333003</v>
      </c>
      <c r="AO3345" s="2">
        <v>61146.70564444</v>
      </c>
      <c r="AP3345" s="2">
        <v>65444.863279404097</v>
      </c>
    </row>
    <row r="3346" spans="1:42" ht="14.5" x14ac:dyDescent="0.35">
      <c r="A3346" s="2" t="s">
        <v>22232</v>
      </c>
      <c r="B3346" s="2">
        <v>175.034087000943</v>
      </c>
      <c r="C3346" s="2">
        <v>3.7887</v>
      </c>
      <c r="D3346" s="2" t="s">
        <v>34</v>
      </c>
      <c r="E3346" s="2" t="s">
        <v>22233</v>
      </c>
      <c r="F3346" s="2">
        <v>202655</v>
      </c>
      <c r="G3346" s="3" t="str">
        <f>HYPERLINK("http://funmeta.oebiotech.com/network/202655", "http://funmeta.oebiotech.com/network/202655")</f>
        <v>http://funmeta.oebiotech.com/network/202655</v>
      </c>
      <c r="H3346" s="2" t="s">
        <v>22234</v>
      </c>
      <c r="I3346" s="2"/>
      <c r="J3346" s="2"/>
      <c r="K3346" s="2">
        <v>63486</v>
      </c>
      <c r="L3346" s="2"/>
      <c r="M3346" s="2"/>
      <c r="N3346" s="2"/>
      <c r="O3346" s="2">
        <v>8646</v>
      </c>
      <c r="P3346" s="2"/>
      <c r="Q3346" s="2" t="s">
        <v>22235</v>
      </c>
      <c r="R3346" s="2" t="s">
        <v>22236</v>
      </c>
      <c r="S3346" s="2" t="s">
        <v>491</v>
      </c>
      <c r="T3346" s="2" t="s">
        <v>3613</v>
      </c>
      <c r="U3346" s="2" t="s">
        <v>41</v>
      </c>
      <c r="V3346" s="2" t="s">
        <v>59</v>
      </c>
      <c r="W3346" s="2">
        <v>38.9</v>
      </c>
      <c r="X3346" s="2">
        <v>0</v>
      </c>
      <c r="Y3346" s="2" t="s">
        <v>323</v>
      </c>
      <c r="Z3346" s="2" t="s">
        <v>22237</v>
      </c>
      <c r="AA3346" s="2">
        <v>1.36502199264728</v>
      </c>
      <c r="AB3346" s="2">
        <v>0.226538867294415</v>
      </c>
      <c r="AC3346" s="2">
        <v>3899.32362189471</v>
      </c>
      <c r="AD3346" s="2">
        <v>495.71594985945097</v>
      </c>
      <c r="AE3346" s="2">
        <v>4265.9510625937801</v>
      </c>
      <c r="AF3346" s="2">
        <v>4017.0404033827299</v>
      </c>
      <c r="AG3346" s="2">
        <v>3805.5406001961801</v>
      </c>
      <c r="AH3346" s="2">
        <v>4239.1584521668101</v>
      </c>
      <c r="AI3346" s="2">
        <v>3103.4539455591198</v>
      </c>
      <c r="AJ3346" s="2">
        <v>3964.7972674696298</v>
      </c>
      <c r="AK3346" s="2">
        <v>491.11248900336398</v>
      </c>
      <c r="AL3346" s="2">
        <v>512.76222197842196</v>
      </c>
      <c r="AM3346" s="2">
        <v>582.25017652869303</v>
      </c>
      <c r="AN3346" s="2">
        <v>589.51243358110003</v>
      </c>
      <c r="AO3346" s="2">
        <v>460.46876109734501</v>
      </c>
      <c r="AP3346" s="2">
        <v>338.18961696778501</v>
      </c>
    </row>
    <row r="3347" spans="1:42" ht="14.5" x14ac:dyDescent="0.35">
      <c r="A3347" s="2" t="s">
        <v>22238</v>
      </c>
      <c r="B3347" s="2">
        <v>391.13849533648602</v>
      </c>
      <c r="C3347" s="2">
        <v>4.8836000000000004</v>
      </c>
      <c r="D3347" s="2" t="s">
        <v>34</v>
      </c>
      <c r="E3347" s="2" t="s">
        <v>22239</v>
      </c>
      <c r="F3347" s="2">
        <v>35079</v>
      </c>
      <c r="G3347" s="3" t="str">
        <f>HYPERLINK("http://funmeta.oebiotech.com/network/35079", "http://funmeta.oebiotech.com/network/35079")</f>
        <v>http://funmeta.oebiotech.com/network/35079</v>
      </c>
      <c r="H3347" s="2" t="s">
        <v>22240</v>
      </c>
      <c r="I3347" s="2">
        <v>53240</v>
      </c>
      <c r="J3347" s="2" t="s">
        <v>22241</v>
      </c>
      <c r="K3347" s="2">
        <v>8198</v>
      </c>
      <c r="L3347" s="2" t="s">
        <v>22242</v>
      </c>
      <c r="M3347" s="2"/>
      <c r="N3347" s="2"/>
      <c r="O3347" s="2">
        <v>5281718</v>
      </c>
      <c r="P3347" s="2" t="s">
        <v>22243</v>
      </c>
      <c r="Q3347" s="2" t="s">
        <v>22244</v>
      </c>
      <c r="R3347" s="2" t="s">
        <v>22245</v>
      </c>
      <c r="S3347" s="2" t="s">
        <v>115</v>
      </c>
      <c r="T3347" s="2" t="s">
        <v>4730</v>
      </c>
      <c r="U3347" s="2" t="s">
        <v>4731</v>
      </c>
      <c r="V3347" s="2" t="s">
        <v>59</v>
      </c>
      <c r="W3347" s="2">
        <v>37.700000000000003</v>
      </c>
      <c r="X3347" s="2">
        <v>0</v>
      </c>
      <c r="Y3347" s="2" t="s">
        <v>394</v>
      </c>
      <c r="Z3347" s="2" t="s">
        <v>4733</v>
      </c>
      <c r="AA3347" s="2">
        <v>-0.63762489017788304</v>
      </c>
      <c r="AB3347" s="2">
        <v>0.226334257140652</v>
      </c>
      <c r="AC3347" s="2">
        <v>10697.2290984301</v>
      </c>
      <c r="AD3347" s="2">
        <v>6958.7731383637902</v>
      </c>
      <c r="AE3347" s="2">
        <v>9553.1245286136691</v>
      </c>
      <c r="AF3347" s="2">
        <v>12102.2659517185</v>
      </c>
      <c r="AG3347" s="2">
        <v>11654.4682105268</v>
      </c>
      <c r="AH3347" s="2">
        <v>11207.9407590392</v>
      </c>
      <c r="AI3347" s="2">
        <v>10433.484201128</v>
      </c>
      <c r="AJ3347" s="2">
        <v>9232.0909395546605</v>
      </c>
      <c r="AK3347" s="2">
        <v>7157.2264981420903</v>
      </c>
      <c r="AL3347" s="2">
        <v>5881.7452672442996</v>
      </c>
      <c r="AM3347" s="2">
        <v>8020.5445484267102</v>
      </c>
      <c r="AN3347" s="2">
        <v>6901.1364045916598</v>
      </c>
      <c r="AO3347" s="2">
        <v>6183.6191545327101</v>
      </c>
      <c r="AP3347" s="2">
        <v>7608.36695724525</v>
      </c>
    </row>
    <row r="3348" spans="1:42" ht="14.5" x14ac:dyDescent="0.35">
      <c r="A3348" s="2" t="s">
        <v>22246</v>
      </c>
      <c r="B3348" s="2">
        <v>501.28205417255799</v>
      </c>
      <c r="C3348" s="2">
        <v>10.60355</v>
      </c>
      <c r="D3348" s="2" t="s">
        <v>34</v>
      </c>
      <c r="E3348" s="2" t="s">
        <v>22247</v>
      </c>
      <c r="F3348" s="2">
        <v>3334</v>
      </c>
      <c r="G3348" s="3" t="str">
        <f>HYPERLINK("http://funmeta.oebiotech.com/network/3334", "http://funmeta.oebiotech.com/network/3334")</f>
        <v>http://funmeta.oebiotech.com/network/3334</v>
      </c>
      <c r="H3348" s="2"/>
      <c r="I3348" s="2"/>
      <c r="J3348" s="2" t="s">
        <v>22248</v>
      </c>
      <c r="K3348" s="2"/>
      <c r="L3348" s="2"/>
      <c r="M3348" s="2"/>
      <c r="N3348" s="2"/>
      <c r="O3348" s="2"/>
      <c r="P3348" s="2"/>
      <c r="Q3348" s="2" t="s">
        <v>22249</v>
      </c>
      <c r="R3348" s="2" t="s">
        <v>22250</v>
      </c>
      <c r="S3348" s="2" t="s">
        <v>148</v>
      </c>
      <c r="T3348" s="2" t="s">
        <v>392</v>
      </c>
      <c r="U3348" s="2" t="s">
        <v>3450</v>
      </c>
      <c r="V3348" s="2" t="s">
        <v>59</v>
      </c>
      <c r="W3348" s="2">
        <v>44.9</v>
      </c>
      <c r="X3348" s="2">
        <v>32</v>
      </c>
      <c r="Y3348" s="2" t="s">
        <v>323</v>
      </c>
      <c r="Z3348" s="2" t="s">
        <v>6024</v>
      </c>
      <c r="AA3348" s="2">
        <v>-0.46036901508938599</v>
      </c>
      <c r="AB3348" s="2">
        <v>0.226308840219168</v>
      </c>
      <c r="AC3348" s="2">
        <v>41079.866112590898</v>
      </c>
      <c r="AD3348" s="2">
        <v>36650.429347909703</v>
      </c>
      <c r="AE3348" s="2">
        <v>40585.237784554003</v>
      </c>
      <c r="AF3348" s="2">
        <v>42568.679299986499</v>
      </c>
      <c r="AG3348" s="2">
        <v>42191.948746448499</v>
      </c>
      <c r="AH3348" s="2">
        <v>41563.710078656499</v>
      </c>
      <c r="AI3348" s="2">
        <v>37463.199480930503</v>
      </c>
      <c r="AJ3348" s="2">
        <v>42106.421284969401</v>
      </c>
      <c r="AK3348" s="2">
        <v>38480.835575126403</v>
      </c>
      <c r="AL3348" s="2">
        <v>39493.865831606803</v>
      </c>
      <c r="AM3348" s="2">
        <v>34013.3407989556</v>
      </c>
      <c r="AN3348" s="2">
        <v>36858.2419442643</v>
      </c>
      <c r="AO3348" s="2">
        <v>37477.596887126201</v>
      </c>
      <c r="AP3348" s="2">
        <v>33578.695050378999</v>
      </c>
    </row>
    <row r="3349" spans="1:42" ht="14.5" x14ac:dyDescent="0.35">
      <c r="A3349" s="2" t="s">
        <v>22251</v>
      </c>
      <c r="B3349" s="2">
        <v>293.03892196133597</v>
      </c>
      <c r="C3349" s="2">
        <v>3.8614999999999999</v>
      </c>
      <c r="D3349" s="2" t="s">
        <v>70</v>
      </c>
      <c r="E3349" s="2" t="s">
        <v>22252</v>
      </c>
      <c r="F3349" s="2">
        <v>206821</v>
      </c>
      <c r="G3349" s="3" t="str">
        <f>HYPERLINK("http://funmeta.oebiotech.com/network/206821", "http://funmeta.oebiotech.com/network/206821")</f>
        <v>http://funmeta.oebiotech.com/network/206821</v>
      </c>
      <c r="H3349" s="2" t="s">
        <v>22253</v>
      </c>
      <c r="I3349" s="2">
        <v>72268</v>
      </c>
      <c r="J3349" s="2"/>
      <c r="K3349" s="2">
        <v>81763</v>
      </c>
      <c r="L3349" s="2" t="s">
        <v>22254</v>
      </c>
      <c r="M3349" s="2"/>
      <c r="N3349" s="2"/>
      <c r="O3349" s="2">
        <v>86398</v>
      </c>
      <c r="P3349" s="2" t="s">
        <v>22255</v>
      </c>
      <c r="Q3349" s="2" t="s">
        <v>22256</v>
      </c>
      <c r="R3349" s="2" t="s">
        <v>22257</v>
      </c>
      <c r="S3349" s="2" t="s">
        <v>491</v>
      </c>
      <c r="T3349" s="2" t="s">
        <v>2429</v>
      </c>
      <c r="U3349" s="2" t="s">
        <v>41</v>
      </c>
      <c r="V3349" s="2" t="s">
        <v>59</v>
      </c>
      <c r="W3349" s="2">
        <v>37.6</v>
      </c>
      <c r="X3349" s="2">
        <v>0</v>
      </c>
      <c r="Y3349" s="2" t="s">
        <v>408</v>
      </c>
      <c r="Z3349" s="2" t="s">
        <v>22258</v>
      </c>
      <c r="AA3349" s="2">
        <v>3.9719853754032499</v>
      </c>
      <c r="AB3349" s="2">
        <v>0.22623621039749001</v>
      </c>
      <c r="AC3349" s="2">
        <v>9266.9829991414699</v>
      </c>
      <c r="AD3349" s="2">
        <v>12932.582845474901</v>
      </c>
      <c r="AE3349" s="2">
        <v>9601.8699150595894</v>
      </c>
      <c r="AF3349" s="2">
        <v>9289.9226078876109</v>
      </c>
      <c r="AG3349" s="2">
        <v>8321.2408477981608</v>
      </c>
      <c r="AH3349" s="2">
        <v>8857.80284020816</v>
      </c>
      <c r="AI3349" s="2">
        <v>10362.729455988399</v>
      </c>
      <c r="AJ3349" s="2">
        <v>9168.33232790691</v>
      </c>
      <c r="AK3349" s="2">
        <v>14083.9499064137</v>
      </c>
      <c r="AL3349" s="2">
        <v>11369.954037240401</v>
      </c>
      <c r="AM3349" s="2">
        <v>13865.300787840501</v>
      </c>
      <c r="AN3349" s="2">
        <v>12810.8664442097</v>
      </c>
      <c r="AO3349" s="2">
        <v>11978.9516272582</v>
      </c>
      <c r="AP3349" s="2">
        <v>13486.474269886699</v>
      </c>
    </row>
    <row r="3350" spans="1:42" ht="14.5" x14ac:dyDescent="0.35">
      <c r="A3350" s="2" t="s">
        <v>22259</v>
      </c>
      <c r="B3350" s="2">
        <v>1102.35019838475</v>
      </c>
      <c r="C3350" s="2">
        <v>8.2186333333333295</v>
      </c>
      <c r="D3350" s="2" t="s">
        <v>70</v>
      </c>
      <c r="E3350" s="2" t="s">
        <v>22260</v>
      </c>
      <c r="F3350" s="2">
        <v>48691</v>
      </c>
      <c r="G3350" s="3" t="str">
        <f>HYPERLINK("http://funmeta.oebiotech.com/network/48691", "http://funmeta.oebiotech.com/network/48691")</f>
        <v>http://funmeta.oebiotech.com/network/48691</v>
      </c>
      <c r="H3350" s="2" t="s">
        <v>22261</v>
      </c>
      <c r="I3350" s="2"/>
      <c r="J3350" s="2"/>
      <c r="K3350" s="2"/>
      <c r="L3350" s="2" t="s">
        <v>22262</v>
      </c>
      <c r="M3350" s="2"/>
      <c r="N3350" s="2"/>
      <c r="O3350" s="2">
        <v>75955249</v>
      </c>
      <c r="P3350" s="2"/>
      <c r="Q3350" s="2" t="s">
        <v>22263</v>
      </c>
      <c r="R3350" s="2" t="s">
        <v>22264</v>
      </c>
      <c r="S3350" s="2" t="s">
        <v>50</v>
      </c>
      <c r="T3350" s="2" t="s">
        <v>229</v>
      </c>
      <c r="U3350" s="2" t="s">
        <v>10433</v>
      </c>
      <c r="V3350" s="2" t="s">
        <v>59</v>
      </c>
      <c r="W3350" s="2">
        <v>47.3</v>
      </c>
      <c r="X3350" s="2">
        <v>44.6</v>
      </c>
      <c r="Y3350" s="2" t="s">
        <v>118</v>
      </c>
      <c r="Z3350" s="2" t="s">
        <v>22265</v>
      </c>
      <c r="AA3350" s="2">
        <v>-2.7641193116041598</v>
      </c>
      <c r="AB3350" s="2">
        <v>0.2261486994452</v>
      </c>
      <c r="AC3350" s="2">
        <v>167618.51427340199</v>
      </c>
      <c r="AD3350" s="2">
        <v>176951.375846765</v>
      </c>
      <c r="AE3350" s="2">
        <v>168912.077826511</v>
      </c>
      <c r="AF3350" s="2">
        <v>175142.76525862099</v>
      </c>
      <c r="AG3350" s="2">
        <v>162403.010294056</v>
      </c>
      <c r="AH3350" s="2">
        <v>165809.237020884</v>
      </c>
      <c r="AI3350" s="2">
        <v>165225.82945344501</v>
      </c>
      <c r="AJ3350" s="2">
        <v>168218.165786895</v>
      </c>
      <c r="AK3350" s="2">
        <v>186411.83566958099</v>
      </c>
      <c r="AL3350" s="2">
        <v>166491.638417915</v>
      </c>
      <c r="AM3350" s="2">
        <v>158870.79312406201</v>
      </c>
      <c r="AN3350" s="2">
        <v>175037.49132270599</v>
      </c>
      <c r="AO3350" s="2">
        <v>166593.38622769999</v>
      </c>
      <c r="AP3350" s="2">
        <v>208303.11031862401</v>
      </c>
    </row>
    <row r="3351" spans="1:42" ht="14.5" x14ac:dyDescent="0.35">
      <c r="A3351" s="2" t="s">
        <v>22266</v>
      </c>
      <c r="B3351" s="2">
        <v>122.05997017437601</v>
      </c>
      <c r="C3351" s="2">
        <v>1.1287499999999999</v>
      </c>
      <c r="D3351" s="2" t="s">
        <v>34</v>
      </c>
      <c r="E3351" s="2" t="s">
        <v>22267</v>
      </c>
      <c r="F3351" s="2">
        <v>201164</v>
      </c>
      <c r="G3351" s="3" t="str">
        <f>HYPERLINK("http://funmeta.oebiotech.com/network/201164", "http://funmeta.oebiotech.com/network/201164")</f>
        <v>http://funmeta.oebiotech.com/network/201164</v>
      </c>
      <c r="H3351" s="2" t="s">
        <v>22268</v>
      </c>
      <c r="I3351" s="2"/>
      <c r="J3351" s="2"/>
      <c r="K3351" s="2"/>
      <c r="L3351" s="2"/>
      <c r="M3351" s="2"/>
      <c r="N3351" s="2"/>
      <c r="O3351" s="2">
        <v>11286501</v>
      </c>
      <c r="P3351" s="2"/>
      <c r="Q3351" s="2" t="s">
        <v>22269</v>
      </c>
      <c r="R3351" s="2" t="s">
        <v>22270</v>
      </c>
      <c r="S3351" s="2" t="s">
        <v>41</v>
      </c>
      <c r="T3351" s="2" t="s">
        <v>41</v>
      </c>
      <c r="U3351" s="2" t="s">
        <v>41</v>
      </c>
      <c r="V3351" s="2" t="s">
        <v>59</v>
      </c>
      <c r="W3351" s="2">
        <v>46.3</v>
      </c>
      <c r="X3351" s="2">
        <v>34.700000000000003</v>
      </c>
      <c r="Y3351" s="2" t="s">
        <v>141</v>
      </c>
      <c r="Z3351" s="2" t="s">
        <v>22271</v>
      </c>
      <c r="AA3351" s="2">
        <v>-0.50414566603532296</v>
      </c>
      <c r="AB3351" s="2">
        <v>0.22606817015407399</v>
      </c>
      <c r="AC3351" s="2">
        <v>5492.1041542046396</v>
      </c>
      <c r="AD3351" s="2">
        <v>8949.8357230821803</v>
      </c>
      <c r="AE3351" s="2">
        <v>5697.7104962031799</v>
      </c>
      <c r="AF3351" s="2">
        <v>5970.0357039474602</v>
      </c>
      <c r="AG3351" s="2">
        <v>6113.4000847604802</v>
      </c>
      <c r="AH3351" s="2">
        <v>4959.3030454343298</v>
      </c>
      <c r="AI3351" s="2">
        <v>5510.5245945060296</v>
      </c>
      <c r="AJ3351" s="2">
        <v>4701.6510003763296</v>
      </c>
      <c r="AK3351" s="2">
        <v>8884.3228739753904</v>
      </c>
      <c r="AL3351" s="2">
        <v>9215.2509233380606</v>
      </c>
      <c r="AM3351" s="2">
        <v>8581.74744179761</v>
      </c>
      <c r="AN3351" s="2">
        <v>9511.1955984433407</v>
      </c>
      <c r="AO3351" s="2">
        <v>8699.8000654883908</v>
      </c>
      <c r="AP3351" s="2">
        <v>8806.6974354503109</v>
      </c>
    </row>
    <row r="3352" spans="1:42" ht="14.5" x14ac:dyDescent="0.35">
      <c r="A3352" s="2" t="s">
        <v>22272</v>
      </c>
      <c r="B3352" s="2">
        <v>935.46012151530499</v>
      </c>
      <c r="C3352" s="2">
        <v>10.016550000000001</v>
      </c>
      <c r="D3352" s="2" t="s">
        <v>34</v>
      </c>
      <c r="E3352" s="2" t="s">
        <v>22273</v>
      </c>
      <c r="F3352" s="2">
        <v>62582</v>
      </c>
      <c r="G3352" s="3" t="str">
        <f>HYPERLINK("http://funmeta.oebiotech.com/network/62582", "http://funmeta.oebiotech.com/network/62582")</f>
        <v>http://funmeta.oebiotech.com/network/62582</v>
      </c>
      <c r="H3352" s="2" t="s">
        <v>22274</v>
      </c>
      <c r="I3352" s="2">
        <v>93882</v>
      </c>
      <c r="J3352" s="2"/>
      <c r="K3352" s="2"/>
      <c r="L3352" s="2"/>
      <c r="M3352" s="2"/>
      <c r="N3352" s="2"/>
      <c r="O3352" s="2">
        <v>131752601</v>
      </c>
      <c r="P3352" s="2" t="s">
        <v>22275</v>
      </c>
      <c r="Q3352" s="2" t="s">
        <v>22276</v>
      </c>
      <c r="R3352" s="2" t="s">
        <v>22277</v>
      </c>
      <c r="S3352" s="2" t="s">
        <v>50</v>
      </c>
      <c r="T3352" s="2" t="s">
        <v>201</v>
      </c>
      <c r="U3352" s="2" t="s">
        <v>210</v>
      </c>
      <c r="V3352" s="2" t="s">
        <v>59</v>
      </c>
      <c r="W3352" s="2">
        <v>38.4</v>
      </c>
      <c r="X3352" s="2">
        <v>0</v>
      </c>
      <c r="Y3352" s="2" t="s">
        <v>470</v>
      </c>
      <c r="Z3352" s="2" t="s">
        <v>22278</v>
      </c>
      <c r="AA3352" s="2">
        <v>-1.0571567751777899</v>
      </c>
      <c r="AB3352" s="2">
        <v>0.22599886874526301</v>
      </c>
      <c r="AC3352" s="2">
        <v>26302.026753126302</v>
      </c>
      <c r="AD3352" s="2">
        <v>22248.107424823102</v>
      </c>
      <c r="AE3352" s="2">
        <v>25154.832974700101</v>
      </c>
      <c r="AF3352" s="2">
        <v>24589.247957439999</v>
      </c>
      <c r="AG3352" s="2">
        <v>25481.7502813756</v>
      </c>
      <c r="AH3352" s="2">
        <v>28955.4852176397</v>
      </c>
      <c r="AI3352" s="2">
        <v>25272.883400487801</v>
      </c>
      <c r="AJ3352" s="2">
        <v>28357.960687114501</v>
      </c>
      <c r="AK3352" s="2">
        <v>22797.5224753449</v>
      </c>
      <c r="AL3352" s="2">
        <v>22281.6410324522</v>
      </c>
      <c r="AM3352" s="2">
        <v>21058.262621808499</v>
      </c>
      <c r="AN3352" s="2">
        <v>22943.2375294017</v>
      </c>
      <c r="AO3352" s="2">
        <v>20882.971463870399</v>
      </c>
      <c r="AP3352" s="2">
        <v>23525.009426060798</v>
      </c>
    </row>
    <row r="3353" spans="1:42" ht="14.5" x14ac:dyDescent="0.35">
      <c r="A3353" s="2" t="s">
        <v>22279</v>
      </c>
      <c r="B3353" s="2">
        <v>861.37077576183196</v>
      </c>
      <c r="C3353" s="2">
        <v>10.5087833333333</v>
      </c>
      <c r="D3353" s="2" t="s">
        <v>70</v>
      </c>
      <c r="E3353" s="2" t="s">
        <v>22280</v>
      </c>
      <c r="F3353" s="2">
        <v>196984</v>
      </c>
      <c r="G3353" s="3" t="str">
        <f>HYPERLINK("http://funmeta.oebiotech.com/network/196984", "http://funmeta.oebiotech.com/network/196984")</f>
        <v>http://funmeta.oebiotech.com/network/196984</v>
      </c>
      <c r="H3353" s="2" t="s">
        <v>22281</v>
      </c>
      <c r="I3353" s="2">
        <v>314993</v>
      </c>
      <c r="J3353" s="2"/>
      <c r="K3353" s="2"/>
      <c r="L3353" s="2"/>
      <c r="M3353" s="2"/>
      <c r="N3353" s="2"/>
      <c r="O3353" s="2">
        <v>5282136</v>
      </c>
      <c r="P3353" s="2" t="s">
        <v>22282</v>
      </c>
      <c r="Q3353" s="2" t="s">
        <v>22283</v>
      </c>
      <c r="R3353" s="2" t="s">
        <v>22284</v>
      </c>
      <c r="S3353" s="2" t="s">
        <v>79</v>
      </c>
      <c r="T3353" s="2" t="s">
        <v>80</v>
      </c>
      <c r="U3353" s="2" t="s">
        <v>249</v>
      </c>
      <c r="V3353" s="2" t="s">
        <v>59</v>
      </c>
      <c r="W3353" s="2">
        <v>36.6</v>
      </c>
      <c r="X3353" s="2">
        <v>0</v>
      </c>
      <c r="Y3353" s="2" t="s">
        <v>560</v>
      </c>
      <c r="Z3353" s="2" t="s">
        <v>22285</v>
      </c>
      <c r="AA3353" s="2">
        <v>2.6639762063943402</v>
      </c>
      <c r="AB3353" s="2">
        <v>0.225903708456313</v>
      </c>
      <c r="AC3353" s="2">
        <v>8530.9109327092701</v>
      </c>
      <c r="AD3353" s="2">
        <v>4634.7280971191803</v>
      </c>
      <c r="AE3353" s="2">
        <v>10072.004119671799</v>
      </c>
      <c r="AF3353" s="2">
        <v>7649.1369155350603</v>
      </c>
      <c r="AG3353" s="2">
        <v>8727.2280921868696</v>
      </c>
      <c r="AH3353" s="2">
        <v>6940.6585781530603</v>
      </c>
      <c r="AI3353" s="2">
        <v>8387.8679097775894</v>
      </c>
      <c r="AJ3353" s="2">
        <v>9408.56998093123</v>
      </c>
      <c r="AK3353" s="2">
        <v>2993.2651661946702</v>
      </c>
      <c r="AL3353" s="2">
        <v>3889.7548022697501</v>
      </c>
      <c r="AM3353" s="2">
        <v>6816.0644432687604</v>
      </c>
      <c r="AN3353" s="2">
        <v>4487.8671353794198</v>
      </c>
      <c r="AO3353" s="2">
        <v>5597.7254116612203</v>
      </c>
      <c r="AP3353" s="2">
        <v>4023.6916239412399</v>
      </c>
    </row>
    <row r="3354" spans="1:42" ht="14.5" x14ac:dyDescent="0.35">
      <c r="A3354" s="2" t="s">
        <v>22286</v>
      </c>
      <c r="B3354" s="2">
        <v>133.10096755156101</v>
      </c>
      <c r="C3354" s="2">
        <v>6.2166833333333296</v>
      </c>
      <c r="D3354" s="2" t="s">
        <v>34</v>
      </c>
      <c r="E3354" s="2" t="s">
        <v>22287</v>
      </c>
      <c r="F3354" s="2">
        <v>54551</v>
      </c>
      <c r="G3354" s="3" t="str">
        <f>HYPERLINK("http://funmeta.oebiotech.com/network/54551", "http://funmeta.oebiotech.com/network/54551")</f>
        <v>http://funmeta.oebiotech.com/network/54551</v>
      </c>
      <c r="H3354" s="2" t="s">
        <v>22288</v>
      </c>
      <c r="I3354" s="2">
        <v>86395</v>
      </c>
      <c r="J3354" s="2"/>
      <c r="K3354" s="2"/>
      <c r="L3354" s="2"/>
      <c r="M3354" s="2"/>
      <c r="N3354" s="2"/>
      <c r="O3354" s="2">
        <v>62385</v>
      </c>
      <c r="P3354" s="2" t="s">
        <v>22289</v>
      </c>
      <c r="Q3354" s="2" t="s">
        <v>22290</v>
      </c>
      <c r="R3354" s="2" t="s">
        <v>22291</v>
      </c>
      <c r="S3354" s="2" t="s">
        <v>148</v>
      </c>
      <c r="T3354" s="2" t="s">
        <v>149</v>
      </c>
      <c r="U3354" s="2" t="s">
        <v>22292</v>
      </c>
      <c r="V3354" s="2" t="s">
        <v>42</v>
      </c>
      <c r="W3354" s="2">
        <v>50.8</v>
      </c>
      <c r="X3354" s="2">
        <v>61.8</v>
      </c>
      <c r="Y3354" s="2" t="s">
        <v>394</v>
      </c>
      <c r="Z3354" s="2" t="s">
        <v>22293</v>
      </c>
      <c r="AA3354" s="2">
        <v>-1.5842160677197199</v>
      </c>
      <c r="AB3354" s="2">
        <v>0.225870656338618</v>
      </c>
      <c r="AC3354" s="2">
        <v>35698.921276539797</v>
      </c>
      <c r="AD3354" s="2">
        <v>32128.478787066899</v>
      </c>
      <c r="AE3354" s="2">
        <v>34439.876645058299</v>
      </c>
      <c r="AF3354" s="2">
        <v>35865.7047800898</v>
      </c>
      <c r="AG3354" s="2">
        <v>35554.383262042698</v>
      </c>
      <c r="AH3354" s="2">
        <v>35677.130705760399</v>
      </c>
      <c r="AI3354" s="2">
        <v>36349.365522910201</v>
      </c>
      <c r="AJ3354" s="2">
        <v>36307.066743377603</v>
      </c>
      <c r="AK3354" s="2">
        <v>32365.9742923177</v>
      </c>
      <c r="AL3354" s="2">
        <v>31189.792903890699</v>
      </c>
      <c r="AM3354" s="2">
        <v>32659.823583514401</v>
      </c>
      <c r="AN3354" s="2">
        <v>33043.586578183698</v>
      </c>
      <c r="AO3354" s="2">
        <v>31651.2811203817</v>
      </c>
      <c r="AP3354" s="2">
        <v>31860.414244113399</v>
      </c>
    </row>
    <row r="3355" spans="1:42" ht="14.5" x14ac:dyDescent="0.35">
      <c r="A3355" s="2" t="s">
        <v>22294</v>
      </c>
      <c r="B3355" s="2">
        <v>347.09589644468099</v>
      </c>
      <c r="C3355" s="2">
        <v>2.1595499999999999</v>
      </c>
      <c r="D3355" s="2" t="s">
        <v>70</v>
      </c>
      <c r="E3355" s="2" t="s">
        <v>22295</v>
      </c>
      <c r="F3355" s="2">
        <v>52062</v>
      </c>
      <c r="G3355" s="3" t="str">
        <f>HYPERLINK("http://funmeta.oebiotech.com/network/52062", "http://funmeta.oebiotech.com/network/52062")</f>
        <v>http://funmeta.oebiotech.com/network/52062</v>
      </c>
      <c r="H3355" s="2" t="s">
        <v>22296</v>
      </c>
      <c r="I3355" s="2"/>
      <c r="J3355" s="2"/>
      <c r="K3355" s="2">
        <v>175686</v>
      </c>
      <c r="L3355" s="2"/>
      <c r="M3355" s="2"/>
      <c r="N3355" s="2"/>
      <c r="O3355" s="2">
        <v>22569148</v>
      </c>
      <c r="P3355" s="2" t="s">
        <v>22297</v>
      </c>
      <c r="Q3355" s="2" t="s">
        <v>22298</v>
      </c>
      <c r="R3355" s="2" t="s">
        <v>22299</v>
      </c>
      <c r="S3355" s="2" t="s">
        <v>50</v>
      </c>
      <c r="T3355" s="2" t="s">
        <v>124</v>
      </c>
      <c r="U3355" s="2" t="s">
        <v>9313</v>
      </c>
      <c r="V3355" s="2" t="s">
        <v>42</v>
      </c>
      <c r="W3355" s="2">
        <v>47.2</v>
      </c>
      <c r="X3355" s="2">
        <v>49.5</v>
      </c>
      <c r="Y3355" s="2" t="s">
        <v>751</v>
      </c>
      <c r="Z3355" s="2" t="s">
        <v>22300</v>
      </c>
      <c r="AA3355" s="2">
        <v>7.6866230956056894E-2</v>
      </c>
      <c r="AB3355" s="2">
        <v>0.22571555404447599</v>
      </c>
      <c r="AC3355" s="2">
        <v>120901.067045724</v>
      </c>
      <c r="AD3355" s="2">
        <v>114845.69148522</v>
      </c>
      <c r="AE3355" s="2">
        <v>117914.926584324</v>
      </c>
      <c r="AF3355" s="2">
        <v>115457.54886875401</v>
      </c>
      <c r="AG3355" s="2">
        <v>129082.33365485699</v>
      </c>
      <c r="AH3355" s="2">
        <v>120859.716822271</v>
      </c>
      <c r="AI3355" s="2">
        <v>113018.257005947</v>
      </c>
      <c r="AJ3355" s="2">
        <v>129073.619338191</v>
      </c>
      <c r="AK3355" s="2">
        <v>112280.847427575</v>
      </c>
      <c r="AL3355" s="2">
        <v>118489.36145969199</v>
      </c>
      <c r="AM3355" s="2">
        <v>115693.24023109399</v>
      </c>
      <c r="AN3355" s="2">
        <v>114367.68577822301</v>
      </c>
      <c r="AO3355" s="2">
        <v>112019.97970532499</v>
      </c>
      <c r="AP3355" s="2">
        <v>116223.034309412</v>
      </c>
    </row>
    <row r="3356" spans="1:42" ht="14.5" x14ac:dyDescent="0.35">
      <c r="A3356" s="2" t="s">
        <v>22301</v>
      </c>
      <c r="B3356" s="2">
        <v>845.59896906925098</v>
      </c>
      <c r="C3356" s="2">
        <v>8.7125000000000004</v>
      </c>
      <c r="D3356" s="2" t="s">
        <v>70</v>
      </c>
      <c r="E3356" s="2" t="s">
        <v>22302</v>
      </c>
      <c r="F3356" s="2">
        <v>48697</v>
      </c>
      <c r="G3356" s="3" t="str">
        <f>HYPERLINK("http://funmeta.oebiotech.com/network/48697", "http://funmeta.oebiotech.com/network/48697")</f>
        <v>http://funmeta.oebiotech.com/network/48697</v>
      </c>
      <c r="H3356" s="2" t="s">
        <v>22303</v>
      </c>
      <c r="I3356" s="2"/>
      <c r="J3356" s="2"/>
      <c r="K3356" s="2"/>
      <c r="L3356" s="2"/>
      <c r="M3356" s="2"/>
      <c r="N3356" s="2"/>
      <c r="O3356" s="2"/>
      <c r="P3356" s="2"/>
      <c r="Q3356" s="2" t="s">
        <v>22304</v>
      </c>
      <c r="R3356" s="2" t="s">
        <v>22305</v>
      </c>
      <c r="S3356" s="2" t="s">
        <v>50</v>
      </c>
      <c r="T3356" s="2" t="s">
        <v>201</v>
      </c>
      <c r="U3356" s="2" t="s">
        <v>22306</v>
      </c>
      <c r="V3356" s="2" t="s">
        <v>59</v>
      </c>
      <c r="W3356" s="2">
        <v>48.1</v>
      </c>
      <c r="X3356" s="2">
        <v>42</v>
      </c>
      <c r="Y3356" s="2" t="s">
        <v>751</v>
      </c>
      <c r="Z3356" s="2" t="s">
        <v>22307</v>
      </c>
      <c r="AA3356" s="2">
        <v>0.73062018426340802</v>
      </c>
      <c r="AB3356" s="2">
        <v>0.22558965394247699</v>
      </c>
      <c r="AC3356" s="2">
        <v>618015.89325804496</v>
      </c>
      <c r="AD3356" s="2">
        <v>633150.51011849404</v>
      </c>
      <c r="AE3356" s="2">
        <v>649788.39436589903</v>
      </c>
      <c r="AF3356" s="2">
        <v>630087.94779204205</v>
      </c>
      <c r="AG3356" s="2">
        <v>604226.46107139799</v>
      </c>
      <c r="AH3356" s="2">
        <v>581612.59091483604</v>
      </c>
      <c r="AI3356" s="2">
        <v>644713.64483083703</v>
      </c>
      <c r="AJ3356" s="2">
        <v>597666.32057325996</v>
      </c>
      <c r="AK3356" s="2">
        <v>617681.784663953</v>
      </c>
      <c r="AL3356" s="2">
        <v>642296.35929580498</v>
      </c>
      <c r="AM3356" s="2">
        <v>709721.09294371097</v>
      </c>
      <c r="AN3356" s="2">
        <v>589517.63832430996</v>
      </c>
      <c r="AO3356" s="2">
        <v>649037.86243086797</v>
      </c>
      <c r="AP3356" s="2">
        <v>590648.32305231597</v>
      </c>
    </row>
    <row r="3357" spans="1:42" ht="14.5" x14ac:dyDescent="0.35">
      <c r="A3357" s="2" t="s">
        <v>22308</v>
      </c>
      <c r="B3357" s="2">
        <v>269.13685308801797</v>
      </c>
      <c r="C3357" s="2">
        <v>7.6493166666666701</v>
      </c>
      <c r="D3357" s="2" t="s">
        <v>70</v>
      </c>
      <c r="E3357" s="2" t="s">
        <v>22309</v>
      </c>
      <c r="F3357" s="2">
        <v>53743</v>
      </c>
      <c r="G3357" s="3" t="str">
        <f>HYPERLINK("http://funmeta.oebiotech.com/network/53743", "http://funmeta.oebiotech.com/network/53743")</f>
        <v>http://funmeta.oebiotech.com/network/53743</v>
      </c>
      <c r="H3357" s="2" t="s">
        <v>22310</v>
      </c>
      <c r="I3357" s="2">
        <v>23959</v>
      </c>
      <c r="J3357" s="2"/>
      <c r="K3357" s="2">
        <v>157790</v>
      </c>
      <c r="L3357" s="2"/>
      <c r="M3357" s="2"/>
      <c r="N3357" s="2"/>
      <c r="O3357" s="2">
        <v>53972225</v>
      </c>
      <c r="P3357" s="2" t="s">
        <v>22311</v>
      </c>
      <c r="Q3357" s="2" t="s">
        <v>22312</v>
      </c>
      <c r="R3357" s="2" t="s">
        <v>22313</v>
      </c>
      <c r="S3357" s="2" t="s">
        <v>89</v>
      </c>
      <c r="T3357" s="2" t="s">
        <v>90</v>
      </c>
      <c r="U3357" s="2" t="s">
        <v>99</v>
      </c>
      <c r="V3357" s="2" t="s">
        <v>59</v>
      </c>
      <c r="W3357" s="2">
        <v>39</v>
      </c>
      <c r="X3357" s="2">
        <v>0</v>
      </c>
      <c r="Y3357" s="2" t="s">
        <v>751</v>
      </c>
      <c r="Z3357" s="2" t="s">
        <v>22314</v>
      </c>
      <c r="AA3357" s="2">
        <v>0.316009450345482</v>
      </c>
      <c r="AB3357" s="2">
        <v>0.22531977517973001</v>
      </c>
      <c r="AC3357" s="2">
        <v>15254.2920402704</v>
      </c>
      <c r="AD3357" s="2">
        <v>18965.116669763102</v>
      </c>
      <c r="AE3357" s="2">
        <v>15949.0876658997</v>
      </c>
      <c r="AF3357" s="2">
        <v>14724.9977441959</v>
      </c>
      <c r="AG3357" s="2">
        <v>15202.303940953299</v>
      </c>
      <c r="AH3357" s="2">
        <v>15993.643756760899</v>
      </c>
      <c r="AI3357" s="2">
        <v>15603.959348692801</v>
      </c>
      <c r="AJ3357" s="2">
        <v>14051.759785120101</v>
      </c>
      <c r="AK3357" s="2">
        <v>21169.3628385177</v>
      </c>
      <c r="AL3357" s="2">
        <v>18550.5921773359</v>
      </c>
      <c r="AM3357" s="2">
        <v>18764.2702815546</v>
      </c>
      <c r="AN3357" s="2">
        <v>19202.833239625299</v>
      </c>
      <c r="AO3357" s="2">
        <v>18496.239949398499</v>
      </c>
      <c r="AP3357" s="2">
        <v>17607.401532146501</v>
      </c>
    </row>
    <row r="3358" spans="1:42" ht="14.5" x14ac:dyDescent="0.35">
      <c r="A3358" s="2" t="s">
        <v>22315</v>
      </c>
      <c r="B3358" s="2">
        <v>480.04729372434599</v>
      </c>
      <c r="C3358" s="2">
        <v>2.01128333333333</v>
      </c>
      <c r="D3358" s="2" t="s">
        <v>70</v>
      </c>
      <c r="E3358" s="2" t="s">
        <v>22316</v>
      </c>
      <c r="F3358" s="2">
        <v>203381</v>
      </c>
      <c r="G3358" s="3" t="str">
        <f>HYPERLINK("http://funmeta.oebiotech.com/network/203381", "http://funmeta.oebiotech.com/network/203381")</f>
        <v>http://funmeta.oebiotech.com/network/203381</v>
      </c>
      <c r="H3358" s="2" t="s">
        <v>22317</v>
      </c>
      <c r="I3358" s="2">
        <v>64765</v>
      </c>
      <c r="J3358" s="2"/>
      <c r="K3358" s="2">
        <v>138017</v>
      </c>
      <c r="L3358" s="2"/>
      <c r="M3358" s="2"/>
      <c r="N3358" s="2"/>
      <c r="O3358" s="2">
        <v>9889172</v>
      </c>
      <c r="P3358" s="2" t="s">
        <v>22318</v>
      </c>
      <c r="Q3358" s="2" t="s">
        <v>22319</v>
      </c>
      <c r="R3358" s="2" t="s">
        <v>22320</v>
      </c>
      <c r="S3358" s="2" t="s">
        <v>491</v>
      </c>
      <c r="T3358" s="2" t="s">
        <v>2184</v>
      </c>
      <c r="U3358" s="2" t="s">
        <v>22321</v>
      </c>
      <c r="V3358" s="2" t="s">
        <v>59</v>
      </c>
      <c r="W3358" s="2">
        <v>38.6</v>
      </c>
      <c r="X3358" s="2">
        <v>0</v>
      </c>
      <c r="Y3358" s="2" t="s">
        <v>408</v>
      </c>
      <c r="Z3358" s="2" t="s">
        <v>22322</v>
      </c>
      <c r="AA3358" s="2">
        <v>-1.03344401529277</v>
      </c>
      <c r="AB3358" s="2">
        <v>0.22519821069457199</v>
      </c>
      <c r="AC3358" s="2">
        <v>62604.419198687399</v>
      </c>
      <c r="AD3358" s="2">
        <v>67298.131381922401</v>
      </c>
      <c r="AE3358" s="2">
        <v>63985.342389356403</v>
      </c>
      <c r="AF3358" s="2">
        <v>60093.561508862796</v>
      </c>
      <c r="AG3358" s="2">
        <v>61022.4624244511</v>
      </c>
      <c r="AH3358" s="2">
        <v>63086.675218541903</v>
      </c>
      <c r="AI3358" s="2">
        <v>61916.265729379702</v>
      </c>
      <c r="AJ3358" s="2">
        <v>65522.207921532303</v>
      </c>
      <c r="AK3358" s="2">
        <v>61492.526521331798</v>
      </c>
      <c r="AL3358" s="2">
        <v>68649.480713862795</v>
      </c>
      <c r="AM3358" s="2">
        <v>68525.125735928304</v>
      </c>
      <c r="AN3358" s="2">
        <v>69410.658257461197</v>
      </c>
      <c r="AO3358" s="2">
        <v>69380.446180267798</v>
      </c>
      <c r="AP3358" s="2">
        <v>66330.550882682597</v>
      </c>
    </row>
    <row r="3359" spans="1:42" ht="14.5" x14ac:dyDescent="0.35">
      <c r="A3359" s="2" t="s">
        <v>22323</v>
      </c>
      <c r="B3359" s="2">
        <v>242.284092427221</v>
      </c>
      <c r="C3359" s="2">
        <v>9.8631833333333301</v>
      </c>
      <c r="D3359" s="2" t="s">
        <v>34</v>
      </c>
      <c r="E3359" s="2" t="s">
        <v>22324</v>
      </c>
      <c r="F3359" s="2">
        <v>199426</v>
      </c>
      <c r="G3359" s="3" t="str">
        <f>HYPERLINK("http://funmeta.oebiotech.com/network/199426", "http://funmeta.oebiotech.com/network/199426")</f>
        <v>http://funmeta.oebiotech.com/network/199426</v>
      </c>
      <c r="H3359" s="2" t="s">
        <v>22325</v>
      </c>
      <c r="I3359" s="2">
        <v>4110</v>
      </c>
      <c r="J3359" s="2"/>
      <c r="K3359" s="2"/>
      <c r="L3359" s="2"/>
      <c r="M3359" s="2"/>
      <c r="N3359" s="2"/>
      <c r="O3359" s="2">
        <v>8926</v>
      </c>
      <c r="P3359" s="2" t="s">
        <v>22326</v>
      </c>
      <c r="Q3359" s="2" t="s">
        <v>22327</v>
      </c>
      <c r="R3359" s="2" t="s">
        <v>22328</v>
      </c>
      <c r="S3359" s="2" t="s">
        <v>1677</v>
      </c>
      <c r="T3359" s="2" t="s">
        <v>1678</v>
      </c>
      <c r="U3359" s="2" t="s">
        <v>1679</v>
      </c>
      <c r="V3359" s="2" t="s">
        <v>59</v>
      </c>
      <c r="W3359" s="2">
        <v>39.700000000000003</v>
      </c>
      <c r="X3359" s="2">
        <v>1.92</v>
      </c>
      <c r="Y3359" s="2" t="s">
        <v>394</v>
      </c>
      <c r="Z3359" s="2" t="s">
        <v>22329</v>
      </c>
      <c r="AA3359" s="2">
        <v>-0.55592558274854997</v>
      </c>
      <c r="AB3359" s="2">
        <v>0.22515341826674601</v>
      </c>
      <c r="AC3359" s="2">
        <v>11013.2427993356</v>
      </c>
      <c r="AD3359" s="2">
        <v>14597.016323112101</v>
      </c>
      <c r="AE3359" s="2">
        <v>11084.1298210314</v>
      </c>
      <c r="AF3359" s="2">
        <v>10647.642928080701</v>
      </c>
      <c r="AG3359" s="2">
        <v>11861.9508507399</v>
      </c>
      <c r="AH3359" s="2">
        <v>10179.943650315099</v>
      </c>
      <c r="AI3359" s="2">
        <v>11373.5989608578</v>
      </c>
      <c r="AJ3359" s="2">
        <v>10932.190584988501</v>
      </c>
      <c r="AK3359" s="2">
        <v>15171.060048199</v>
      </c>
      <c r="AL3359" s="2">
        <v>13672.966926958299</v>
      </c>
      <c r="AM3359" s="2">
        <v>14035.926004082499</v>
      </c>
      <c r="AN3359" s="2">
        <v>14554.6021621824</v>
      </c>
      <c r="AO3359" s="2">
        <v>13939.300645835499</v>
      </c>
      <c r="AP3359" s="2">
        <v>16208.242151415099</v>
      </c>
    </row>
    <row r="3360" spans="1:42" ht="14.5" x14ac:dyDescent="0.35">
      <c r="A3360" s="2" t="s">
        <v>22330</v>
      </c>
      <c r="B3360" s="2">
        <v>569.18737493679998</v>
      </c>
      <c r="C3360" s="2">
        <v>3.9323666666666699</v>
      </c>
      <c r="D3360" s="2" t="s">
        <v>70</v>
      </c>
      <c r="E3360" s="2" t="s">
        <v>22331</v>
      </c>
      <c r="F3360" s="2">
        <v>48639</v>
      </c>
      <c r="G3360" s="3" t="str">
        <f>HYPERLINK("http://funmeta.oebiotech.com/network/48639", "http://funmeta.oebiotech.com/network/48639")</f>
        <v>http://funmeta.oebiotech.com/network/48639</v>
      </c>
      <c r="H3360" s="2" t="s">
        <v>22332</v>
      </c>
      <c r="I3360" s="2">
        <v>58335</v>
      </c>
      <c r="J3360" s="2"/>
      <c r="K3360" s="2">
        <v>70989</v>
      </c>
      <c r="L3360" s="2"/>
      <c r="M3360" s="2"/>
      <c r="N3360" s="2"/>
      <c r="O3360" s="2">
        <v>107461</v>
      </c>
      <c r="P3360" s="2" t="s">
        <v>22333</v>
      </c>
      <c r="Q3360" s="2" t="s">
        <v>22334</v>
      </c>
      <c r="R3360" s="2" t="s">
        <v>22335</v>
      </c>
      <c r="S3360" s="2" t="s">
        <v>1444</v>
      </c>
      <c r="T3360" s="2" t="s">
        <v>10689</v>
      </c>
      <c r="U3360" s="2" t="s">
        <v>41</v>
      </c>
      <c r="V3360" s="2" t="s">
        <v>59</v>
      </c>
      <c r="W3360" s="2">
        <v>38.4</v>
      </c>
      <c r="X3360" s="2">
        <v>0</v>
      </c>
      <c r="Y3360" s="2" t="s">
        <v>560</v>
      </c>
      <c r="Z3360" s="2" t="s">
        <v>22336</v>
      </c>
      <c r="AA3360" s="2">
        <v>4.3510649714993601</v>
      </c>
      <c r="AB3360" s="2">
        <v>0.225141850622049</v>
      </c>
      <c r="AC3360" s="2">
        <v>7164.2945955411096</v>
      </c>
      <c r="AD3360" s="2">
        <v>3199.0049328813302</v>
      </c>
      <c r="AE3360" s="2">
        <v>8049.9690518528796</v>
      </c>
      <c r="AF3360" s="2">
        <v>5567.56850540709</v>
      </c>
      <c r="AG3360" s="2">
        <v>6695.8046073637397</v>
      </c>
      <c r="AH3360" s="2">
        <v>8151.5276775826796</v>
      </c>
      <c r="AI3360" s="2">
        <v>8665.8110800096892</v>
      </c>
      <c r="AJ3360" s="2">
        <v>5855.0866510306096</v>
      </c>
      <c r="AK3360" s="2">
        <v>4000.7283048937502</v>
      </c>
      <c r="AL3360" s="2">
        <v>4455.8647128693901</v>
      </c>
      <c r="AM3360" s="2">
        <v>3908.3250987811998</v>
      </c>
      <c r="AN3360" s="2">
        <v>3727.8908382937898</v>
      </c>
      <c r="AO3360" s="2">
        <v>473.67797539407599</v>
      </c>
      <c r="AP3360" s="2">
        <v>2627.5426670557799</v>
      </c>
    </row>
    <row r="3361" spans="1:42" ht="14.5" x14ac:dyDescent="0.35">
      <c r="A3361" s="2" t="s">
        <v>22337</v>
      </c>
      <c r="B3361" s="2">
        <v>428.19216776941698</v>
      </c>
      <c r="C3361" s="2">
        <v>4.1151</v>
      </c>
      <c r="D3361" s="2" t="s">
        <v>70</v>
      </c>
      <c r="E3361" s="2" t="s">
        <v>22338</v>
      </c>
      <c r="F3361" s="2">
        <v>207551</v>
      </c>
      <c r="G3361" s="3" t="str">
        <f>HYPERLINK("http://funmeta.oebiotech.com/network/207551", "http://funmeta.oebiotech.com/network/207551")</f>
        <v>http://funmeta.oebiotech.com/network/207551</v>
      </c>
      <c r="H3361" s="2" t="s">
        <v>22339</v>
      </c>
      <c r="I3361" s="2"/>
      <c r="J3361" s="2"/>
      <c r="K3361" s="2"/>
      <c r="L3361" s="2"/>
      <c r="M3361" s="2"/>
      <c r="N3361" s="2"/>
      <c r="O3361" s="2">
        <v>569657</v>
      </c>
      <c r="P3361" s="2"/>
      <c r="Q3361" s="2" t="s">
        <v>22340</v>
      </c>
      <c r="R3361" s="2" t="s">
        <v>22341</v>
      </c>
      <c r="S3361" s="2" t="s">
        <v>89</v>
      </c>
      <c r="T3361" s="2" t="s">
        <v>90</v>
      </c>
      <c r="U3361" s="2" t="s">
        <v>99</v>
      </c>
      <c r="V3361" s="2" t="s">
        <v>59</v>
      </c>
      <c r="W3361" s="2">
        <v>37.299999999999997</v>
      </c>
      <c r="X3361" s="2">
        <v>0</v>
      </c>
      <c r="Y3361" s="2" t="s">
        <v>118</v>
      </c>
      <c r="Z3361" s="2" t="s">
        <v>22342</v>
      </c>
      <c r="AA3361" s="2">
        <v>-4.1350914085799904</v>
      </c>
      <c r="AB3361" s="2">
        <v>0.22512873950618201</v>
      </c>
      <c r="AC3361" s="2">
        <v>9974.5769135723403</v>
      </c>
      <c r="AD3361" s="2">
        <v>13491.5082085955</v>
      </c>
      <c r="AE3361" s="2">
        <v>8884.8350742564708</v>
      </c>
      <c r="AF3361" s="2">
        <v>10247.9037556728</v>
      </c>
      <c r="AG3361" s="2">
        <v>10373.9915067209</v>
      </c>
      <c r="AH3361" s="2">
        <v>10379.2840830395</v>
      </c>
      <c r="AI3361" s="2">
        <v>10158.531899603</v>
      </c>
      <c r="AJ3361" s="2">
        <v>9802.9151621413694</v>
      </c>
      <c r="AK3361" s="2">
        <v>13219.4410362823</v>
      </c>
      <c r="AL3361" s="2">
        <v>13441.231078233899</v>
      </c>
      <c r="AM3361" s="2">
        <v>14702.4478218903</v>
      </c>
      <c r="AN3361" s="2">
        <v>12488.9007784</v>
      </c>
      <c r="AO3361" s="2">
        <v>13899.2211435718</v>
      </c>
      <c r="AP3361" s="2">
        <v>13197.8073931949</v>
      </c>
    </row>
    <row r="3362" spans="1:42" ht="14.5" x14ac:dyDescent="0.35">
      <c r="A3362" s="2" t="s">
        <v>22343</v>
      </c>
      <c r="B3362" s="2">
        <v>545.09144551293105</v>
      </c>
      <c r="C3362" s="2">
        <v>5.0231500000000002</v>
      </c>
      <c r="D3362" s="2" t="s">
        <v>70</v>
      </c>
      <c r="E3362" s="2" t="s">
        <v>22344</v>
      </c>
      <c r="F3362" s="2">
        <v>198936</v>
      </c>
      <c r="G3362" s="3" t="str">
        <f>HYPERLINK("http://funmeta.oebiotech.com/network/198936", "http://funmeta.oebiotech.com/network/198936")</f>
        <v>http://funmeta.oebiotech.com/network/198936</v>
      </c>
      <c r="H3362" s="2" t="s">
        <v>22345</v>
      </c>
      <c r="I3362" s="2"/>
      <c r="J3362" s="2"/>
      <c r="K3362" s="2"/>
      <c r="L3362" s="2"/>
      <c r="M3362" s="2"/>
      <c r="N3362" s="2"/>
      <c r="O3362" s="2">
        <v>57002623</v>
      </c>
      <c r="P3362" s="2"/>
      <c r="Q3362" s="2" t="s">
        <v>22346</v>
      </c>
      <c r="R3362" s="2" t="s">
        <v>22347</v>
      </c>
      <c r="S3362" s="2" t="s">
        <v>41</v>
      </c>
      <c r="T3362" s="2" t="s">
        <v>41</v>
      </c>
      <c r="U3362" s="2" t="s">
        <v>41</v>
      </c>
      <c r="V3362" s="2" t="s">
        <v>59</v>
      </c>
      <c r="W3362" s="2">
        <v>39</v>
      </c>
      <c r="X3362" s="2">
        <v>0</v>
      </c>
      <c r="Y3362" s="2" t="s">
        <v>560</v>
      </c>
      <c r="Z3362" s="2" t="s">
        <v>22348</v>
      </c>
      <c r="AA3362" s="2">
        <v>-1.6215146779506</v>
      </c>
      <c r="AB3362" s="2">
        <v>0.225044783196751</v>
      </c>
      <c r="AC3362" s="2">
        <v>14566.904551646699</v>
      </c>
      <c r="AD3362" s="2">
        <v>18738.680791716299</v>
      </c>
      <c r="AE3362" s="2">
        <v>13485.6340987723</v>
      </c>
      <c r="AF3362" s="2">
        <v>15475.598946530101</v>
      </c>
      <c r="AG3362" s="2">
        <v>14677.537689819301</v>
      </c>
      <c r="AH3362" s="2">
        <v>14735.9459402258</v>
      </c>
      <c r="AI3362" s="2">
        <v>13637.3134757232</v>
      </c>
      <c r="AJ3362" s="2">
        <v>15389.397158809201</v>
      </c>
      <c r="AK3362" s="2">
        <v>15079.758838732199</v>
      </c>
      <c r="AL3362" s="2">
        <v>18776.636707078302</v>
      </c>
      <c r="AM3362" s="2">
        <v>21441.075889260399</v>
      </c>
      <c r="AN3362" s="2">
        <v>18071.300221239799</v>
      </c>
      <c r="AO3362" s="2">
        <v>20969.039415583498</v>
      </c>
      <c r="AP3362" s="2">
        <v>18094.273678403399</v>
      </c>
    </row>
    <row r="3363" spans="1:42" ht="14.5" x14ac:dyDescent="0.35">
      <c r="A3363" s="2" t="s">
        <v>22349</v>
      </c>
      <c r="B3363" s="2">
        <v>468.14715119533503</v>
      </c>
      <c r="C3363" s="2">
        <v>4.1584500000000002</v>
      </c>
      <c r="D3363" s="2" t="s">
        <v>34</v>
      </c>
      <c r="E3363" s="2" t="s">
        <v>22350</v>
      </c>
      <c r="F3363" s="2">
        <v>82478</v>
      </c>
      <c r="G3363" s="3" t="str">
        <f>HYPERLINK("http://funmeta.oebiotech.com/network/82478", "http://funmeta.oebiotech.com/network/82478")</f>
        <v>http://funmeta.oebiotech.com/network/82478</v>
      </c>
      <c r="H3363" s="2" t="s">
        <v>22351</v>
      </c>
      <c r="I3363" s="2"/>
      <c r="J3363" s="2"/>
      <c r="K3363" s="2"/>
      <c r="L3363" s="2"/>
      <c r="M3363" s="2"/>
      <c r="N3363" s="2"/>
      <c r="O3363" s="2"/>
      <c r="P3363" s="2"/>
      <c r="Q3363" s="2" t="s">
        <v>22352</v>
      </c>
      <c r="R3363" s="2" t="s">
        <v>22353</v>
      </c>
      <c r="S3363" s="2" t="s">
        <v>79</v>
      </c>
      <c r="T3363" s="2" t="s">
        <v>80</v>
      </c>
      <c r="U3363" s="2" t="s">
        <v>81</v>
      </c>
      <c r="V3363" s="2" t="s">
        <v>59</v>
      </c>
      <c r="W3363" s="2">
        <v>37.6</v>
      </c>
      <c r="X3363" s="2">
        <v>0</v>
      </c>
      <c r="Y3363" s="2" t="s">
        <v>141</v>
      </c>
      <c r="Z3363" s="2" t="s">
        <v>22354</v>
      </c>
      <c r="AA3363" s="2">
        <v>-0.79101643490802898</v>
      </c>
      <c r="AB3363" s="2">
        <v>0.224694888724213</v>
      </c>
      <c r="AC3363" s="2">
        <v>14704.225730198799</v>
      </c>
      <c r="AD3363" s="2">
        <v>19884.450838667799</v>
      </c>
      <c r="AE3363" s="2">
        <v>13993.530560146</v>
      </c>
      <c r="AF3363" s="2">
        <v>15175.7085129888</v>
      </c>
      <c r="AG3363" s="2">
        <v>15960.281067787</v>
      </c>
      <c r="AH3363" s="2">
        <v>15059.357579866301</v>
      </c>
      <c r="AI3363" s="2">
        <v>16345.9510135989</v>
      </c>
      <c r="AJ3363" s="2">
        <v>11690.525646806</v>
      </c>
      <c r="AK3363" s="2">
        <v>11587.590980324299</v>
      </c>
      <c r="AL3363" s="2">
        <v>18798.820591182</v>
      </c>
      <c r="AM3363" s="2">
        <v>19665.522795968001</v>
      </c>
      <c r="AN3363" s="2">
        <v>21351.316612630399</v>
      </c>
      <c r="AO3363" s="2">
        <v>23851.6608677474</v>
      </c>
      <c r="AP3363" s="2">
        <v>24051.7931841547</v>
      </c>
    </row>
    <row r="3364" spans="1:42" ht="14.5" x14ac:dyDescent="0.35">
      <c r="A3364" s="2" t="s">
        <v>22355</v>
      </c>
      <c r="B3364" s="2">
        <v>307.26399396364297</v>
      </c>
      <c r="C3364" s="2">
        <v>13.501899999999999</v>
      </c>
      <c r="D3364" s="2" t="s">
        <v>70</v>
      </c>
      <c r="E3364" s="2" t="s">
        <v>22356</v>
      </c>
      <c r="F3364" s="2">
        <v>9177</v>
      </c>
      <c r="G3364" s="3" t="str">
        <f>HYPERLINK("http://funmeta.oebiotech.com/network/9177", "http://funmeta.oebiotech.com/network/9177")</f>
        <v>http://funmeta.oebiotech.com/network/9177</v>
      </c>
      <c r="H3364" s="2"/>
      <c r="I3364" s="2">
        <v>97478</v>
      </c>
      <c r="J3364" s="2" t="s">
        <v>22357</v>
      </c>
      <c r="K3364" s="2"/>
      <c r="L3364" s="2"/>
      <c r="M3364" s="2"/>
      <c r="N3364" s="2"/>
      <c r="O3364" s="2">
        <v>56936070</v>
      </c>
      <c r="P3364" s="2"/>
      <c r="Q3364" s="2" t="s">
        <v>22358</v>
      </c>
      <c r="R3364" s="2" t="s">
        <v>22359</v>
      </c>
      <c r="S3364" s="2" t="s">
        <v>3194</v>
      </c>
      <c r="T3364" s="2" t="s">
        <v>3195</v>
      </c>
      <c r="U3364" s="2" t="s">
        <v>12978</v>
      </c>
      <c r="V3364" s="2" t="s">
        <v>59</v>
      </c>
      <c r="W3364" s="2">
        <v>38.9</v>
      </c>
      <c r="X3364" s="2">
        <v>5.0500000000000003E-2</v>
      </c>
      <c r="Y3364" s="2" t="s">
        <v>408</v>
      </c>
      <c r="Z3364" s="2" t="s">
        <v>22360</v>
      </c>
      <c r="AA3364" s="2">
        <v>-0.99134728207588896</v>
      </c>
      <c r="AB3364" s="2">
        <v>0.22435979373444401</v>
      </c>
      <c r="AC3364" s="2">
        <v>5678.4369264242196</v>
      </c>
      <c r="AD3364" s="2">
        <v>2286.0713403813802</v>
      </c>
      <c r="AE3364" s="2">
        <v>5568.9184752971096</v>
      </c>
      <c r="AF3364" s="2">
        <v>5426.0229425249699</v>
      </c>
      <c r="AG3364" s="2">
        <v>5491.8607309101399</v>
      </c>
      <c r="AH3364" s="2">
        <v>5826.8363618310595</v>
      </c>
      <c r="AI3364" s="2">
        <v>5756.3287231156301</v>
      </c>
      <c r="AJ3364" s="2">
        <v>6000.6543248664002</v>
      </c>
      <c r="AK3364" s="2">
        <v>3307.7080538119599</v>
      </c>
      <c r="AL3364" s="2">
        <v>2527.3918692565899</v>
      </c>
      <c r="AM3364" s="2">
        <v>2128.3315142107099</v>
      </c>
      <c r="AN3364" s="2">
        <v>2133.6206702495301</v>
      </c>
      <c r="AO3364" s="2">
        <v>1989.3133024533199</v>
      </c>
      <c r="AP3364" s="2">
        <v>1630.0626323061699</v>
      </c>
    </row>
    <row r="3365" spans="1:42" ht="14.5" x14ac:dyDescent="0.35">
      <c r="A3365" s="2" t="s">
        <v>22361</v>
      </c>
      <c r="B3365" s="2">
        <v>525.12199513401595</v>
      </c>
      <c r="C3365" s="2">
        <v>3.9323666666666699</v>
      </c>
      <c r="D3365" s="2" t="s">
        <v>70</v>
      </c>
      <c r="E3365" s="2" t="s">
        <v>22362</v>
      </c>
      <c r="F3365" s="2">
        <v>54811</v>
      </c>
      <c r="G3365" s="3" t="str">
        <f>HYPERLINK("http://funmeta.oebiotech.com/network/54811", "http://funmeta.oebiotech.com/network/54811")</f>
        <v>http://funmeta.oebiotech.com/network/54811</v>
      </c>
      <c r="H3365" s="2" t="s">
        <v>22363</v>
      </c>
      <c r="I3365" s="2">
        <v>86605</v>
      </c>
      <c r="J3365" s="2"/>
      <c r="K3365" s="2"/>
      <c r="L3365" s="2"/>
      <c r="M3365" s="2"/>
      <c r="N3365" s="2"/>
      <c r="O3365" s="2">
        <v>71437684</v>
      </c>
      <c r="P3365" s="2" t="s">
        <v>22364</v>
      </c>
      <c r="Q3365" s="2" t="s">
        <v>22365</v>
      </c>
      <c r="R3365" s="2" t="s">
        <v>22366</v>
      </c>
      <c r="S3365" s="2" t="s">
        <v>89</v>
      </c>
      <c r="T3365" s="2" t="s">
        <v>90</v>
      </c>
      <c r="U3365" s="2" t="s">
        <v>99</v>
      </c>
      <c r="V3365" s="2" t="s">
        <v>59</v>
      </c>
      <c r="W3365" s="2">
        <v>38.700000000000003</v>
      </c>
      <c r="X3365" s="2">
        <v>0</v>
      </c>
      <c r="Y3365" s="2" t="s">
        <v>560</v>
      </c>
      <c r="Z3365" s="2" t="s">
        <v>22367</v>
      </c>
      <c r="AA3365" s="2">
        <v>1.97444191640191</v>
      </c>
      <c r="AB3365" s="2">
        <v>0.224072440811205</v>
      </c>
      <c r="AC3365" s="2">
        <v>7522.0760302267199</v>
      </c>
      <c r="AD3365" s="2">
        <v>11603.460906284199</v>
      </c>
      <c r="AE3365" s="2">
        <v>6462.4316966406996</v>
      </c>
      <c r="AF3365" s="2">
        <v>7891.3082558328297</v>
      </c>
      <c r="AG3365" s="2">
        <v>6605.5127744022902</v>
      </c>
      <c r="AH3365" s="2">
        <v>9399.5349221736305</v>
      </c>
      <c r="AI3365" s="2">
        <v>5601.1646128416796</v>
      </c>
      <c r="AJ3365" s="2">
        <v>9172.5039194692199</v>
      </c>
      <c r="AK3365" s="2">
        <v>11639.608731729601</v>
      </c>
      <c r="AL3365" s="2">
        <v>14531.286872410201</v>
      </c>
      <c r="AM3365" s="2">
        <v>10504.1578660985</v>
      </c>
      <c r="AN3365" s="2">
        <v>12264.3699938399</v>
      </c>
      <c r="AO3365" s="2">
        <v>10109.6987962969</v>
      </c>
      <c r="AP3365" s="2">
        <v>10571.643177330199</v>
      </c>
    </row>
    <row r="3366" spans="1:42" ht="14.5" x14ac:dyDescent="0.35">
      <c r="A3366" s="2" t="s">
        <v>22368</v>
      </c>
      <c r="B3366" s="2">
        <v>419.13459471683802</v>
      </c>
      <c r="C3366" s="2">
        <v>6.0297833333333299</v>
      </c>
      <c r="D3366" s="2" t="s">
        <v>70</v>
      </c>
      <c r="E3366" s="2" t="s">
        <v>22369</v>
      </c>
      <c r="F3366" s="2">
        <v>276930</v>
      </c>
      <c r="G3366" s="3" t="str">
        <f>HYPERLINK("http://funmeta.oebiotech.com/network/276930", "http://funmeta.oebiotech.com/network/276930")</f>
        <v>http://funmeta.oebiotech.com/network/276930</v>
      </c>
      <c r="H3366" s="2"/>
      <c r="I3366" s="2">
        <v>68529</v>
      </c>
      <c r="J3366" s="2"/>
      <c r="K3366" s="2"/>
      <c r="L3366" s="2" t="s">
        <v>9715</v>
      </c>
      <c r="M3366" s="2"/>
      <c r="N3366" s="2"/>
      <c r="O3366" s="2">
        <v>394846</v>
      </c>
      <c r="P3366" s="2" t="s">
        <v>9716</v>
      </c>
      <c r="Q3366" s="2" t="s">
        <v>22370</v>
      </c>
      <c r="R3366" s="2" t="s">
        <v>22371</v>
      </c>
      <c r="S3366" s="2" t="s">
        <v>1184</v>
      </c>
      <c r="T3366" s="2" t="s">
        <v>3333</v>
      </c>
      <c r="U3366" s="2" t="s">
        <v>3334</v>
      </c>
      <c r="V3366" s="2" t="s">
        <v>59</v>
      </c>
      <c r="W3366" s="2">
        <v>38.299999999999997</v>
      </c>
      <c r="X3366" s="2">
        <v>0</v>
      </c>
      <c r="Y3366" s="2" t="s">
        <v>408</v>
      </c>
      <c r="Z3366" s="2" t="s">
        <v>7523</v>
      </c>
      <c r="AA3366" s="2">
        <v>-0.43084702955075199</v>
      </c>
      <c r="AB3366" s="2">
        <v>0.224000265773484</v>
      </c>
      <c r="AC3366" s="2">
        <v>9530.6918037857304</v>
      </c>
      <c r="AD3366" s="2">
        <v>6170.2224645981496</v>
      </c>
      <c r="AE3366" s="2">
        <v>10289.1376973154</v>
      </c>
      <c r="AF3366" s="2">
        <v>9661.7656042682192</v>
      </c>
      <c r="AG3366" s="2">
        <v>9038.8823040280895</v>
      </c>
      <c r="AH3366" s="2">
        <v>9608.1280594061209</v>
      </c>
      <c r="AI3366" s="2">
        <v>9176.6742814645695</v>
      </c>
      <c r="AJ3366" s="2">
        <v>9409.5628762319593</v>
      </c>
      <c r="AK3366" s="2">
        <v>5936.7126903621602</v>
      </c>
      <c r="AL3366" s="2">
        <v>6370.2533246473704</v>
      </c>
      <c r="AM3366" s="2">
        <v>6622.3694908868802</v>
      </c>
      <c r="AN3366" s="2">
        <v>6012.18618593056</v>
      </c>
      <c r="AO3366" s="2">
        <v>5730.2807956548604</v>
      </c>
      <c r="AP3366" s="2">
        <v>6349.5323001070401</v>
      </c>
    </row>
    <row r="3367" spans="1:42" ht="14.5" x14ac:dyDescent="0.35">
      <c r="A3367" s="2" t="s">
        <v>22372</v>
      </c>
      <c r="B3367" s="2">
        <v>431.26469451357099</v>
      </c>
      <c r="C3367" s="2">
        <v>10.1634333333333</v>
      </c>
      <c r="D3367" s="2" t="s">
        <v>70</v>
      </c>
      <c r="E3367" s="2" t="s">
        <v>22373</v>
      </c>
      <c r="F3367" s="2">
        <v>55741</v>
      </c>
      <c r="G3367" s="3" t="str">
        <f>HYPERLINK("http://funmeta.oebiotech.com/network/55741", "http://funmeta.oebiotech.com/network/55741")</f>
        <v>http://funmeta.oebiotech.com/network/55741</v>
      </c>
      <c r="H3367" s="2" t="s">
        <v>22374</v>
      </c>
      <c r="I3367" s="2">
        <v>87428</v>
      </c>
      <c r="J3367" s="2"/>
      <c r="K3367" s="2">
        <v>77386</v>
      </c>
      <c r="L3367" s="2"/>
      <c r="M3367" s="2"/>
      <c r="N3367" s="2"/>
      <c r="O3367" s="2">
        <v>12131</v>
      </c>
      <c r="P3367" s="2" t="s">
        <v>22375</v>
      </c>
      <c r="Q3367" s="2" t="s">
        <v>22376</v>
      </c>
      <c r="R3367" s="2" t="s">
        <v>22377</v>
      </c>
      <c r="S3367" s="2" t="s">
        <v>50</v>
      </c>
      <c r="T3367" s="2" t="s">
        <v>448</v>
      </c>
      <c r="U3367" s="2" t="s">
        <v>9987</v>
      </c>
      <c r="V3367" s="2" t="s">
        <v>59</v>
      </c>
      <c r="W3367" s="2">
        <v>37.5</v>
      </c>
      <c r="X3367" s="2">
        <v>0</v>
      </c>
      <c r="Y3367" s="2" t="s">
        <v>408</v>
      </c>
      <c r="Z3367" s="2" t="s">
        <v>22378</v>
      </c>
      <c r="AA3367" s="2">
        <v>-0.89909982918553</v>
      </c>
      <c r="AB3367" s="2">
        <v>0.223837744864338</v>
      </c>
      <c r="AC3367" s="2">
        <v>4644.7399348641902</v>
      </c>
      <c r="AD3367" s="2">
        <v>1288.45223301387</v>
      </c>
      <c r="AE3367" s="2">
        <v>5644.4049247570301</v>
      </c>
      <c r="AF3367" s="2">
        <v>4556.3215423779002</v>
      </c>
      <c r="AG3367" s="2">
        <v>4296.0408973100102</v>
      </c>
      <c r="AH3367" s="2">
        <v>4565.94229479367</v>
      </c>
      <c r="AI3367" s="2">
        <v>4231.5741136377601</v>
      </c>
      <c r="AJ3367" s="2">
        <v>4574.1558363087997</v>
      </c>
      <c r="AK3367" s="2">
        <v>1303.6821746180201</v>
      </c>
      <c r="AL3367" s="2">
        <v>1389.17874589039</v>
      </c>
      <c r="AM3367" s="2">
        <v>1382.1233418813799</v>
      </c>
      <c r="AN3367" s="2">
        <v>1192.6456497665099</v>
      </c>
      <c r="AO3367" s="2">
        <v>1549.5645161422699</v>
      </c>
      <c r="AP3367" s="2">
        <v>913.51896978466095</v>
      </c>
    </row>
    <row r="3368" spans="1:42" ht="14.5" x14ac:dyDescent="0.35">
      <c r="A3368" s="2" t="s">
        <v>22379</v>
      </c>
      <c r="B3368" s="2">
        <v>184.985654508094</v>
      </c>
      <c r="C3368" s="2">
        <v>1.7029666666666701</v>
      </c>
      <c r="D3368" s="2" t="s">
        <v>34</v>
      </c>
      <c r="E3368" s="2" t="s">
        <v>22380</v>
      </c>
      <c r="F3368" s="2">
        <v>58111</v>
      </c>
      <c r="G3368" s="3" t="str">
        <f>HYPERLINK("http://funmeta.oebiotech.com/network/58111", "http://funmeta.oebiotech.com/network/58111")</f>
        <v>http://funmeta.oebiotech.com/network/58111</v>
      </c>
      <c r="H3368" s="2" t="s">
        <v>22381</v>
      </c>
      <c r="I3368" s="2">
        <v>66928</v>
      </c>
      <c r="J3368" s="2"/>
      <c r="K3368" s="2">
        <v>4488</v>
      </c>
      <c r="L3368" s="2" t="s">
        <v>22382</v>
      </c>
      <c r="M3368" s="2"/>
      <c r="N3368" s="2"/>
      <c r="O3368" s="2">
        <v>16590</v>
      </c>
      <c r="P3368" s="2" t="s">
        <v>22383</v>
      </c>
      <c r="Q3368" s="2" t="s">
        <v>22384</v>
      </c>
      <c r="R3368" s="2" t="s">
        <v>22385</v>
      </c>
      <c r="S3368" s="2" t="s">
        <v>5916</v>
      </c>
      <c r="T3368" s="2" t="s">
        <v>22386</v>
      </c>
      <c r="U3368" s="2" t="s">
        <v>41</v>
      </c>
      <c r="V3368" s="2" t="s">
        <v>59</v>
      </c>
      <c r="W3368" s="2">
        <v>38.200000000000003</v>
      </c>
      <c r="X3368" s="2">
        <v>0</v>
      </c>
      <c r="Y3368" s="2" t="s">
        <v>340</v>
      </c>
      <c r="Z3368" s="2" t="s">
        <v>22387</v>
      </c>
      <c r="AA3368" s="2">
        <v>0.71295499806878904</v>
      </c>
      <c r="AB3368" s="2">
        <v>0.223698739271116</v>
      </c>
      <c r="AC3368" s="2">
        <v>100252.51054901999</v>
      </c>
      <c r="AD3368" s="2">
        <v>105783.996737002</v>
      </c>
      <c r="AE3368" s="2">
        <v>97786.997017991103</v>
      </c>
      <c r="AF3368" s="2">
        <v>101525.480125189</v>
      </c>
      <c r="AG3368" s="2">
        <v>102988.361872255</v>
      </c>
      <c r="AH3368" s="2">
        <v>102898.33858333901</v>
      </c>
      <c r="AI3368" s="2">
        <v>99878.207836625501</v>
      </c>
      <c r="AJ3368" s="2">
        <v>96437.677858718904</v>
      </c>
      <c r="AK3368" s="2">
        <v>112373.030430849</v>
      </c>
      <c r="AL3368" s="2">
        <v>110120.465574296</v>
      </c>
      <c r="AM3368" s="2">
        <v>104381.512121993</v>
      </c>
      <c r="AN3368" s="2">
        <v>102381.66682204801</v>
      </c>
      <c r="AO3368" s="2">
        <v>106746.15607959899</v>
      </c>
      <c r="AP3368" s="2">
        <v>98701.149393224798</v>
      </c>
    </row>
    <row r="3369" spans="1:42" ht="14.5" x14ac:dyDescent="0.35">
      <c r="A3369" s="2" t="s">
        <v>22388</v>
      </c>
      <c r="B3369" s="2">
        <v>166.12270394259099</v>
      </c>
      <c r="C3369" s="2">
        <v>2.6784333333333299</v>
      </c>
      <c r="D3369" s="2" t="s">
        <v>34</v>
      </c>
      <c r="E3369" s="2" t="s">
        <v>22389</v>
      </c>
      <c r="F3369" s="2">
        <v>48285</v>
      </c>
      <c r="G3369" s="3" t="str">
        <f>HYPERLINK("http://funmeta.oebiotech.com/network/48285", "http://funmeta.oebiotech.com/network/48285")</f>
        <v>http://funmeta.oebiotech.com/network/48285</v>
      </c>
      <c r="H3369" s="2" t="s">
        <v>22390</v>
      </c>
      <c r="I3369" s="2">
        <v>7055</v>
      </c>
      <c r="J3369" s="2"/>
      <c r="K3369" s="2">
        <v>5764</v>
      </c>
      <c r="L3369" s="2" t="s">
        <v>22391</v>
      </c>
      <c r="M3369" s="2" t="s">
        <v>22392</v>
      </c>
      <c r="N3369" s="2" t="s">
        <v>22393</v>
      </c>
      <c r="O3369" s="2">
        <v>68313</v>
      </c>
      <c r="P3369" s="2" t="s">
        <v>22394</v>
      </c>
      <c r="Q3369" s="2" t="s">
        <v>22395</v>
      </c>
      <c r="R3369" s="2" t="s">
        <v>22396</v>
      </c>
      <c r="S3369" s="2" t="s">
        <v>148</v>
      </c>
      <c r="T3369" s="2" t="s">
        <v>149</v>
      </c>
      <c r="U3369" s="2" t="s">
        <v>13117</v>
      </c>
      <c r="V3369" s="2" t="s">
        <v>42</v>
      </c>
      <c r="W3369" s="2">
        <v>49.9</v>
      </c>
      <c r="X3369" s="2">
        <v>52.6</v>
      </c>
      <c r="Y3369" s="2" t="s">
        <v>394</v>
      </c>
      <c r="Z3369" s="2" t="s">
        <v>22397</v>
      </c>
      <c r="AA3369" s="2">
        <v>0.38400533872618797</v>
      </c>
      <c r="AB3369" s="2">
        <v>0.22367943971489401</v>
      </c>
      <c r="AC3369" s="2">
        <v>10367.089741526401</v>
      </c>
      <c r="AD3369" s="2">
        <v>13722.6997011324</v>
      </c>
      <c r="AE3369" s="2">
        <v>10476.5615566672</v>
      </c>
      <c r="AF3369" s="2">
        <v>10546.217988902399</v>
      </c>
      <c r="AG3369" s="2">
        <v>10607.674168863001</v>
      </c>
      <c r="AH3369" s="2">
        <v>9719.4622625345892</v>
      </c>
      <c r="AI3369" s="2">
        <v>10376.0423450484</v>
      </c>
      <c r="AJ3369" s="2">
        <v>10476.580127142999</v>
      </c>
      <c r="AK3369" s="2">
        <v>13315.999222726199</v>
      </c>
      <c r="AL3369" s="2">
        <v>13866.527481117801</v>
      </c>
      <c r="AM3369" s="2">
        <v>13385.0020858118</v>
      </c>
      <c r="AN3369" s="2">
        <v>14359.490592779701</v>
      </c>
      <c r="AO3369" s="2">
        <v>14085.616449053399</v>
      </c>
      <c r="AP3369" s="2">
        <v>13323.562375305801</v>
      </c>
    </row>
    <row r="3370" spans="1:42" ht="14.5" x14ac:dyDescent="0.35">
      <c r="A3370" s="2" t="s">
        <v>22398</v>
      </c>
      <c r="B3370" s="2">
        <v>203.03385532366201</v>
      </c>
      <c r="C3370" s="2">
        <v>0.63648333333333296</v>
      </c>
      <c r="D3370" s="2" t="s">
        <v>34</v>
      </c>
      <c r="E3370" s="2" t="s">
        <v>22399</v>
      </c>
      <c r="F3370" s="2">
        <v>210708</v>
      </c>
      <c r="G3370" s="3" t="str">
        <f>HYPERLINK("http://funmeta.oebiotech.com/network/210708", "http://funmeta.oebiotech.com/network/210708")</f>
        <v>http://funmeta.oebiotech.com/network/210708</v>
      </c>
      <c r="H3370" s="2" t="s">
        <v>22400</v>
      </c>
      <c r="I3370" s="2">
        <v>43934</v>
      </c>
      <c r="J3370" s="2"/>
      <c r="K3370" s="2">
        <v>8647</v>
      </c>
      <c r="L3370" s="2" t="s">
        <v>22401</v>
      </c>
      <c r="M3370" s="2"/>
      <c r="N3370" s="2"/>
      <c r="O3370" s="2">
        <v>135403797</v>
      </c>
      <c r="P3370" s="2" t="s">
        <v>22402</v>
      </c>
      <c r="Q3370" s="2" t="s">
        <v>22403</v>
      </c>
      <c r="R3370" s="2" t="s">
        <v>22404</v>
      </c>
      <c r="S3370" s="2" t="s">
        <v>11257</v>
      </c>
      <c r="T3370" s="2" t="s">
        <v>11258</v>
      </c>
      <c r="U3370" s="2" t="s">
        <v>15264</v>
      </c>
      <c r="V3370" s="2" t="s">
        <v>59</v>
      </c>
      <c r="W3370" s="2">
        <v>37.5</v>
      </c>
      <c r="X3370" s="2">
        <v>0</v>
      </c>
      <c r="Y3370" s="2" t="s">
        <v>141</v>
      </c>
      <c r="Z3370" s="2" t="s">
        <v>22405</v>
      </c>
      <c r="AA3370" s="2">
        <v>-0.135343941668403</v>
      </c>
      <c r="AB3370" s="2">
        <v>0.223647704138415</v>
      </c>
      <c r="AC3370" s="2">
        <v>11481.2787066151</v>
      </c>
      <c r="AD3370" s="2">
        <v>15534.821591726</v>
      </c>
      <c r="AE3370" s="2">
        <v>13254.729624318899</v>
      </c>
      <c r="AF3370" s="2">
        <v>13202.7223797069</v>
      </c>
      <c r="AG3370" s="2">
        <v>10519.7269969274</v>
      </c>
      <c r="AH3370" s="2">
        <v>11799.325545082</v>
      </c>
      <c r="AI3370" s="2">
        <v>9495.6753711501697</v>
      </c>
      <c r="AJ3370" s="2">
        <v>10615.492322505401</v>
      </c>
      <c r="AK3370" s="2">
        <v>17966.873409135402</v>
      </c>
      <c r="AL3370" s="2">
        <v>15091.5082452721</v>
      </c>
      <c r="AM3370" s="2">
        <v>16129.569086805401</v>
      </c>
      <c r="AN3370" s="2">
        <v>15735.483312758999</v>
      </c>
      <c r="AO3370" s="2">
        <v>15294.0069145993</v>
      </c>
      <c r="AP3370" s="2">
        <v>12991.488581784901</v>
      </c>
    </row>
    <row r="3371" spans="1:42" ht="14.5" x14ac:dyDescent="0.35">
      <c r="A3371" s="2" t="s">
        <v>22406</v>
      </c>
      <c r="B3371" s="2">
        <v>189.03956791346201</v>
      </c>
      <c r="C3371" s="2">
        <v>1.1665333333333301</v>
      </c>
      <c r="D3371" s="2" t="s">
        <v>70</v>
      </c>
      <c r="E3371" s="2" t="s">
        <v>22407</v>
      </c>
      <c r="F3371" s="2">
        <v>1955</v>
      </c>
      <c r="G3371" s="3" t="str">
        <f>HYPERLINK("http://funmeta.oebiotech.com/network/1955", "http://funmeta.oebiotech.com/network/1955")</f>
        <v>http://funmeta.oebiotech.com/network/1955</v>
      </c>
      <c r="H3371" s="2"/>
      <c r="I3371" s="2"/>
      <c r="J3371" s="2" t="s">
        <v>22408</v>
      </c>
      <c r="K3371" s="2">
        <v>51822</v>
      </c>
      <c r="L3371" s="2"/>
      <c r="M3371" s="2"/>
      <c r="N3371" s="2"/>
      <c r="O3371" s="2">
        <v>44176391</v>
      </c>
      <c r="P3371" s="2"/>
      <c r="Q3371" s="2" t="s">
        <v>22409</v>
      </c>
      <c r="R3371" s="2" t="s">
        <v>22410</v>
      </c>
      <c r="S3371" s="2" t="s">
        <v>89</v>
      </c>
      <c r="T3371" s="2" t="s">
        <v>2718</v>
      </c>
      <c r="U3371" s="2" t="s">
        <v>11268</v>
      </c>
      <c r="V3371" s="2" t="s">
        <v>42</v>
      </c>
      <c r="W3371" s="2">
        <v>50.5</v>
      </c>
      <c r="X3371" s="2">
        <v>60.5</v>
      </c>
      <c r="Y3371" s="2" t="s">
        <v>118</v>
      </c>
      <c r="Z3371" s="2" t="s">
        <v>22411</v>
      </c>
      <c r="AA3371" s="2">
        <v>-4.7024637472328301</v>
      </c>
      <c r="AB3371" s="2">
        <v>0.223557288592793</v>
      </c>
      <c r="AC3371" s="2">
        <v>46620.004789205603</v>
      </c>
      <c r="AD3371" s="2">
        <v>42196.462797613502</v>
      </c>
      <c r="AE3371" s="2">
        <v>49305.308077269503</v>
      </c>
      <c r="AF3371" s="2">
        <v>47782.148204949503</v>
      </c>
      <c r="AG3371" s="2">
        <v>43365.257328908898</v>
      </c>
      <c r="AH3371" s="2">
        <v>48293.442209548797</v>
      </c>
      <c r="AI3371" s="2">
        <v>44922.858102599501</v>
      </c>
      <c r="AJ3371" s="2">
        <v>46051.014811957699</v>
      </c>
      <c r="AK3371" s="2">
        <v>40694.036574448401</v>
      </c>
      <c r="AL3371" s="2">
        <v>45055.357984918701</v>
      </c>
      <c r="AM3371" s="2">
        <v>43986.203134745701</v>
      </c>
      <c r="AN3371" s="2">
        <v>42408.164473244397</v>
      </c>
      <c r="AO3371" s="2">
        <v>42031.953210690903</v>
      </c>
      <c r="AP3371" s="2">
        <v>39003.0614076329</v>
      </c>
    </row>
    <row r="3372" spans="1:42" ht="14.5" x14ac:dyDescent="0.35">
      <c r="A3372" s="2" t="s">
        <v>22412</v>
      </c>
      <c r="B3372" s="2">
        <v>260.05285464961401</v>
      </c>
      <c r="C3372" s="2">
        <v>4.2085666666666697</v>
      </c>
      <c r="D3372" s="2" t="s">
        <v>34</v>
      </c>
      <c r="E3372" s="2" t="s">
        <v>22413</v>
      </c>
      <c r="F3372" s="2">
        <v>47407</v>
      </c>
      <c r="G3372" s="3" t="str">
        <f>HYPERLINK("http://funmeta.oebiotech.com/network/47407", "http://funmeta.oebiotech.com/network/47407")</f>
        <v>http://funmeta.oebiotech.com/network/47407</v>
      </c>
      <c r="H3372" s="2" t="s">
        <v>22414</v>
      </c>
      <c r="I3372" s="2">
        <v>6020</v>
      </c>
      <c r="J3372" s="2"/>
      <c r="K3372" s="2">
        <v>18426</v>
      </c>
      <c r="L3372" s="2" t="s">
        <v>22415</v>
      </c>
      <c r="M3372" s="2"/>
      <c r="N3372" s="2"/>
      <c r="O3372" s="2">
        <v>122331</v>
      </c>
      <c r="P3372" s="2" t="s">
        <v>22416</v>
      </c>
      <c r="Q3372" s="2" t="s">
        <v>22417</v>
      </c>
      <c r="R3372" s="2" t="s">
        <v>22418</v>
      </c>
      <c r="S3372" s="2" t="s">
        <v>89</v>
      </c>
      <c r="T3372" s="2" t="s">
        <v>894</v>
      </c>
      <c r="U3372" s="2" t="s">
        <v>41</v>
      </c>
      <c r="V3372" s="2" t="s">
        <v>59</v>
      </c>
      <c r="W3372" s="2">
        <v>39.299999999999997</v>
      </c>
      <c r="X3372" s="2">
        <v>0</v>
      </c>
      <c r="Y3372" s="2" t="s">
        <v>43</v>
      </c>
      <c r="Z3372" s="2" t="s">
        <v>22419</v>
      </c>
      <c r="AA3372" s="2">
        <v>-0.515742799911306</v>
      </c>
      <c r="AB3372" s="2">
        <v>0.223553311238641</v>
      </c>
      <c r="AC3372" s="2">
        <v>5757.55171762995</v>
      </c>
      <c r="AD3372" s="2">
        <v>9298.7134121905692</v>
      </c>
      <c r="AE3372" s="2">
        <v>5690.2871389600105</v>
      </c>
      <c r="AF3372" s="2">
        <v>6016.1292887663103</v>
      </c>
      <c r="AG3372" s="2">
        <v>5177.4541354455096</v>
      </c>
      <c r="AH3372" s="2">
        <v>4346.4080553922704</v>
      </c>
      <c r="AI3372" s="2">
        <v>6275.3805031660404</v>
      </c>
      <c r="AJ3372" s="2">
        <v>7039.6511840495396</v>
      </c>
      <c r="AK3372" s="2">
        <v>9743.3597644232705</v>
      </c>
      <c r="AL3372" s="2">
        <v>9833.7170805966598</v>
      </c>
      <c r="AM3372" s="2">
        <v>8270.2948480094692</v>
      </c>
      <c r="AN3372" s="2">
        <v>8838.3270336483001</v>
      </c>
      <c r="AO3372" s="2">
        <v>9436.4806653003707</v>
      </c>
      <c r="AP3372" s="2">
        <v>9670.1010811653196</v>
      </c>
    </row>
    <row r="3373" spans="1:42" ht="14.5" x14ac:dyDescent="0.35">
      <c r="A3373" s="2" t="s">
        <v>22420</v>
      </c>
      <c r="B3373" s="2">
        <v>295.03034411018899</v>
      </c>
      <c r="C3373" s="2">
        <v>0.90876666666666694</v>
      </c>
      <c r="D3373" s="2" t="s">
        <v>70</v>
      </c>
      <c r="E3373" s="2" t="s">
        <v>22421</v>
      </c>
      <c r="F3373" s="2">
        <v>2164</v>
      </c>
      <c r="G3373" s="3" t="str">
        <f>HYPERLINK("http://funmeta.oebiotech.com/network/2164", "http://funmeta.oebiotech.com/network/2164")</f>
        <v>http://funmeta.oebiotech.com/network/2164</v>
      </c>
      <c r="H3373" s="2" t="s">
        <v>22422</v>
      </c>
      <c r="I3373" s="2">
        <v>6319</v>
      </c>
      <c r="J3373" s="2" t="s">
        <v>22423</v>
      </c>
      <c r="K3373" s="2">
        <v>33574</v>
      </c>
      <c r="L3373" s="2" t="s">
        <v>22424</v>
      </c>
      <c r="M3373" s="2" t="s">
        <v>22425</v>
      </c>
      <c r="N3373" s="2" t="s">
        <v>22426</v>
      </c>
      <c r="O3373" s="2">
        <v>473</v>
      </c>
      <c r="P3373" s="2" t="s">
        <v>22427</v>
      </c>
      <c r="Q3373" s="2" t="s">
        <v>22428</v>
      </c>
      <c r="R3373" s="2" t="s">
        <v>22429</v>
      </c>
      <c r="S3373" s="2" t="s">
        <v>50</v>
      </c>
      <c r="T3373" s="2" t="s">
        <v>229</v>
      </c>
      <c r="U3373" s="2" t="s">
        <v>433</v>
      </c>
      <c r="V3373" s="2" t="s">
        <v>59</v>
      </c>
      <c r="W3373" s="2">
        <v>38</v>
      </c>
      <c r="X3373" s="2">
        <v>1.01</v>
      </c>
      <c r="Y3373" s="2" t="s">
        <v>560</v>
      </c>
      <c r="Z3373" s="2" t="s">
        <v>22430</v>
      </c>
      <c r="AA3373" s="2">
        <v>-4.0862487190829899</v>
      </c>
      <c r="AB3373" s="2">
        <v>0.22340545202810599</v>
      </c>
      <c r="AC3373" s="2">
        <v>56618.112432731898</v>
      </c>
      <c r="AD3373" s="2">
        <v>61958.573800264603</v>
      </c>
      <c r="AE3373" s="2">
        <v>60133.614388830698</v>
      </c>
      <c r="AF3373" s="2">
        <v>58035.126885344704</v>
      </c>
      <c r="AG3373" s="2">
        <v>55019.780138392503</v>
      </c>
      <c r="AH3373" s="2">
        <v>51288.014754160802</v>
      </c>
      <c r="AI3373" s="2">
        <v>55943.664266914697</v>
      </c>
      <c r="AJ3373" s="2">
        <v>59288.474162747698</v>
      </c>
      <c r="AK3373" s="2">
        <v>58789.381959169499</v>
      </c>
      <c r="AL3373" s="2">
        <v>57711.095193195702</v>
      </c>
      <c r="AM3373" s="2">
        <v>68580.943150660896</v>
      </c>
      <c r="AN3373" s="2">
        <v>59153.177997129998</v>
      </c>
      <c r="AO3373" s="2">
        <v>65144.651779902502</v>
      </c>
      <c r="AP3373" s="2">
        <v>62372.192721528801</v>
      </c>
    </row>
    <row r="3374" spans="1:42" ht="14.5" x14ac:dyDescent="0.35">
      <c r="A3374" s="2" t="s">
        <v>22431</v>
      </c>
      <c r="B3374" s="2">
        <v>741.288118560675</v>
      </c>
      <c r="C3374" s="2">
        <v>10.113516666666699</v>
      </c>
      <c r="D3374" s="2" t="s">
        <v>34</v>
      </c>
      <c r="E3374" s="2" t="s">
        <v>22432</v>
      </c>
      <c r="F3374" s="2">
        <v>52811</v>
      </c>
      <c r="G3374" s="3" t="str">
        <f>HYPERLINK("http://funmeta.oebiotech.com/network/52811", "http://funmeta.oebiotech.com/network/52811")</f>
        <v>http://funmeta.oebiotech.com/network/52811</v>
      </c>
      <c r="H3374" s="2" t="s">
        <v>22433</v>
      </c>
      <c r="I3374" s="2"/>
      <c r="J3374" s="2"/>
      <c r="K3374" s="2"/>
      <c r="L3374" s="2"/>
      <c r="M3374" s="2"/>
      <c r="N3374" s="2"/>
      <c r="O3374" s="2"/>
      <c r="P3374" s="2" t="s">
        <v>22434</v>
      </c>
      <c r="Q3374" s="2" t="s">
        <v>22435</v>
      </c>
      <c r="R3374" s="2" t="s">
        <v>22436</v>
      </c>
      <c r="S3374" s="2" t="s">
        <v>491</v>
      </c>
      <c r="T3374" s="2" t="s">
        <v>492</v>
      </c>
      <c r="U3374" s="2" t="s">
        <v>5931</v>
      </c>
      <c r="V3374" s="2" t="s">
        <v>59</v>
      </c>
      <c r="W3374" s="2">
        <v>39.1</v>
      </c>
      <c r="X3374" s="2">
        <v>8.57</v>
      </c>
      <c r="Y3374" s="2" t="s">
        <v>568</v>
      </c>
      <c r="Z3374" s="2" t="s">
        <v>22437</v>
      </c>
      <c r="AA3374" s="2">
        <v>-1.9023269416815201</v>
      </c>
      <c r="AB3374" s="2">
        <v>0.22327891009791101</v>
      </c>
      <c r="AC3374" s="2">
        <v>15548.1660107597</v>
      </c>
      <c r="AD3374" s="2">
        <v>20081.1799111453</v>
      </c>
      <c r="AE3374" s="2">
        <v>16331.860475297401</v>
      </c>
      <c r="AF3374" s="2">
        <v>13920.8998975333</v>
      </c>
      <c r="AG3374" s="2">
        <v>14278.0224652709</v>
      </c>
      <c r="AH3374" s="2">
        <v>15506.681475479299</v>
      </c>
      <c r="AI3374" s="2">
        <v>15423.0723390072</v>
      </c>
      <c r="AJ3374" s="2">
        <v>17828.4594119703</v>
      </c>
      <c r="AK3374" s="2">
        <v>17616.1120895969</v>
      </c>
      <c r="AL3374" s="2">
        <v>18062.639927838001</v>
      </c>
      <c r="AM3374" s="2">
        <v>24252.697077113899</v>
      </c>
      <c r="AN3374" s="2">
        <v>17326.234207174799</v>
      </c>
      <c r="AO3374" s="2">
        <v>19675.660665398598</v>
      </c>
      <c r="AP3374" s="2">
        <v>23553.735499749499</v>
      </c>
    </row>
    <row r="3375" spans="1:42" ht="14.5" x14ac:dyDescent="0.35">
      <c r="A3375" s="2" t="s">
        <v>22438</v>
      </c>
      <c r="B3375" s="2">
        <v>449.32561831188298</v>
      </c>
      <c r="C3375" s="2">
        <v>8.6180833333333293</v>
      </c>
      <c r="D3375" s="2" t="s">
        <v>34</v>
      </c>
      <c r="E3375" s="2" t="s">
        <v>22439</v>
      </c>
      <c r="F3375" s="2">
        <v>46513</v>
      </c>
      <c r="G3375" s="3" t="str">
        <f>HYPERLINK("http://funmeta.oebiotech.com/network/46513", "http://funmeta.oebiotech.com/network/46513")</f>
        <v>http://funmeta.oebiotech.com/network/46513</v>
      </c>
      <c r="H3375" s="2"/>
      <c r="I3375" s="2">
        <v>84898</v>
      </c>
      <c r="J3375" s="2" t="s">
        <v>22440</v>
      </c>
      <c r="K3375" s="2"/>
      <c r="L3375" s="2"/>
      <c r="M3375" s="2"/>
      <c r="N3375" s="2"/>
      <c r="O3375" s="2">
        <v>52931545</v>
      </c>
      <c r="P3375" s="2"/>
      <c r="Q3375" s="2" t="s">
        <v>22441</v>
      </c>
      <c r="R3375" s="2" t="s">
        <v>22442</v>
      </c>
      <c r="S3375" s="2" t="s">
        <v>50</v>
      </c>
      <c r="T3375" s="2" t="s">
        <v>124</v>
      </c>
      <c r="U3375" s="2" t="s">
        <v>125</v>
      </c>
      <c r="V3375" s="2" t="s">
        <v>42</v>
      </c>
      <c r="W3375" s="2">
        <v>51.1</v>
      </c>
      <c r="X3375" s="2">
        <v>65.8</v>
      </c>
      <c r="Y3375" s="2" t="s">
        <v>141</v>
      </c>
      <c r="Z3375" s="2" t="s">
        <v>2412</v>
      </c>
      <c r="AA3375" s="2">
        <v>-1.14217686645283</v>
      </c>
      <c r="AB3375" s="2">
        <v>0.223171959266907</v>
      </c>
      <c r="AC3375" s="2">
        <v>13018.644470872499</v>
      </c>
      <c r="AD3375" s="2">
        <v>17064.96538759</v>
      </c>
      <c r="AE3375" s="2">
        <v>10379.313031261599</v>
      </c>
      <c r="AF3375" s="2">
        <v>12343.0368565277</v>
      </c>
      <c r="AG3375" s="2">
        <v>14771.571337892499</v>
      </c>
      <c r="AH3375" s="2">
        <v>14028.464402273299</v>
      </c>
      <c r="AI3375" s="2">
        <v>13257.187159446699</v>
      </c>
      <c r="AJ3375" s="2">
        <v>13332.294037833301</v>
      </c>
      <c r="AK3375" s="2">
        <v>17310.2984926684</v>
      </c>
      <c r="AL3375" s="2">
        <v>16073.165832521199</v>
      </c>
      <c r="AM3375" s="2">
        <v>14493.449877879601</v>
      </c>
      <c r="AN3375" s="2">
        <v>19224.4377599127</v>
      </c>
      <c r="AO3375" s="2">
        <v>18666.568637740998</v>
      </c>
      <c r="AP3375" s="2">
        <v>16621.871724817</v>
      </c>
    </row>
    <row r="3376" spans="1:42" ht="14.5" x14ac:dyDescent="0.35">
      <c r="A3376" s="2" t="s">
        <v>22443</v>
      </c>
      <c r="B3376" s="2">
        <v>207.06512036785799</v>
      </c>
      <c r="C3376" s="2">
        <v>3.4003333333333301</v>
      </c>
      <c r="D3376" s="2" t="s">
        <v>34</v>
      </c>
      <c r="E3376" s="2" t="s">
        <v>22444</v>
      </c>
      <c r="F3376" s="2">
        <v>2662</v>
      </c>
      <c r="G3376" s="3" t="str">
        <f>HYPERLINK("http://funmeta.oebiotech.com/network/2662", "http://funmeta.oebiotech.com/network/2662")</f>
        <v>http://funmeta.oebiotech.com/network/2662</v>
      </c>
      <c r="H3376" s="2"/>
      <c r="I3376" s="2"/>
      <c r="J3376" s="2" t="s">
        <v>22445</v>
      </c>
      <c r="K3376" s="2"/>
      <c r="L3376" s="2"/>
      <c r="M3376" s="2"/>
      <c r="N3376" s="2"/>
      <c r="O3376" s="2">
        <v>134812135</v>
      </c>
      <c r="P3376" s="2"/>
      <c r="Q3376" s="2" t="s">
        <v>22446</v>
      </c>
      <c r="R3376" s="2" t="s">
        <v>22447</v>
      </c>
      <c r="S3376" s="2" t="s">
        <v>50</v>
      </c>
      <c r="T3376" s="2" t="s">
        <v>229</v>
      </c>
      <c r="U3376" s="2" t="s">
        <v>433</v>
      </c>
      <c r="V3376" s="2" t="s">
        <v>59</v>
      </c>
      <c r="W3376" s="2">
        <v>45.7</v>
      </c>
      <c r="X3376" s="2">
        <v>31.6</v>
      </c>
      <c r="Y3376" s="2" t="s">
        <v>141</v>
      </c>
      <c r="Z3376" s="2" t="s">
        <v>22448</v>
      </c>
      <c r="AA3376" s="2">
        <v>-0.28948642813845199</v>
      </c>
      <c r="AB3376" s="2">
        <v>0.22311066223707901</v>
      </c>
      <c r="AC3376" s="2">
        <v>67170.195754645101</v>
      </c>
      <c r="AD3376" s="2">
        <v>62987.432052721102</v>
      </c>
      <c r="AE3376" s="2">
        <v>66816.786924715998</v>
      </c>
      <c r="AF3376" s="2">
        <v>66839.670717719797</v>
      </c>
      <c r="AG3376" s="2">
        <v>68844.479714871704</v>
      </c>
      <c r="AH3376" s="2">
        <v>66143.6825695304</v>
      </c>
      <c r="AI3376" s="2">
        <v>65438.057337557701</v>
      </c>
      <c r="AJ3376" s="2">
        <v>68938.497263474797</v>
      </c>
      <c r="AK3376" s="2">
        <v>63444.544474254602</v>
      </c>
      <c r="AL3376" s="2">
        <v>64454.9622467804</v>
      </c>
      <c r="AM3376" s="2">
        <v>65470.611316128598</v>
      </c>
      <c r="AN3376" s="2">
        <v>61531.333559596103</v>
      </c>
      <c r="AO3376" s="2">
        <v>59277.342410770303</v>
      </c>
      <c r="AP3376" s="2">
        <v>63745.7983087967</v>
      </c>
    </row>
    <row r="3377" spans="1:42" ht="14.5" x14ac:dyDescent="0.35">
      <c r="A3377" s="2" t="s">
        <v>22449</v>
      </c>
      <c r="B3377" s="2">
        <v>785.43157580044203</v>
      </c>
      <c r="C3377" s="2">
        <v>9.8920666666666701</v>
      </c>
      <c r="D3377" s="2" t="s">
        <v>70</v>
      </c>
      <c r="E3377" s="2" t="s">
        <v>22450</v>
      </c>
      <c r="F3377" s="2">
        <v>56301</v>
      </c>
      <c r="G3377" s="3" t="str">
        <f>HYPERLINK("http://funmeta.oebiotech.com/network/56301", "http://funmeta.oebiotech.com/network/56301")</f>
        <v>http://funmeta.oebiotech.com/network/56301</v>
      </c>
      <c r="H3377" s="2" t="s">
        <v>22451</v>
      </c>
      <c r="I3377" s="2">
        <v>87957</v>
      </c>
      <c r="J3377" s="2"/>
      <c r="K3377" s="2"/>
      <c r="L3377" s="2"/>
      <c r="M3377" s="2"/>
      <c r="N3377" s="2"/>
      <c r="O3377" s="2">
        <v>131751195</v>
      </c>
      <c r="P3377" s="2" t="s">
        <v>22452</v>
      </c>
      <c r="Q3377" s="2" t="s">
        <v>22453</v>
      </c>
      <c r="R3377" s="2" t="s">
        <v>22454</v>
      </c>
      <c r="S3377" s="2" t="s">
        <v>50</v>
      </c>
      <c r="T3377" s="2" t="s">
        <v>124</v>
      </c>
      <c r="U3377" s="2" t="s">
        <v>523</v>
      </c>
      <c r="V3377" s="2" t="s">
        <v>42</v>
      </c>
      <c r="W3377" s="2">
        <v>53</v>
      </c>
      <c r="X3377" s="2">
        <v>74.5</v>
      </c>
      <c r="Y3377" s="2" t="s">
        <v>408</v>
      </c>
      <c r="Z3377" s="2" t="s">
        <v>7783</v>
      </c>
      <c r="AA3377" s="2">
        <v>-1.7816241346175301</v>
      </c>
      <c r="AB3377" s="2">
        <v>0.22306119016388001</v>
      </c>
      <c r="AC3377" s="2">
        <v>40543.433386329802</v>
      </c>
      <c r="AD3377" s="2">
        <v>35611.516655372398</v>
      </c>
      <c r="AE3377" s="2">
        <v>37841.580709646201</v>
      </c>
      <c r="AF3377" s="2">
        <v>37462.974890780803</v>
      </c>
      <c r="AG3377" s="2">
        <v>37856.591114008297</v>
      </c>
      <c r="AH3377" s="2">
        <v>43977.519835123603</v>
      </c>
      <c r="AI3377" s="2">
        <v>41744.670563582898</v>
      </c>
      <c r="AJ3377" s="2">
        <v>44377.263204836803</v>
      </c>
      <c r="AK3377" s="2">
        <v>32722.379209004401</v>
      </c>
      <c r="AL3377" s="2">
        <v>33627.733662289203</v>
      </c>
      <c r="AM3377" s="2">
        <v>36116.641426434297</v>
      </c>
      <c r="AN3377" s="2">
        <v>36243.171390626201</v>
      </c>
      <c r="AO3377" s="2">
        <v>34480.979141829303</v>
      </c>
      <c r="AP3377" s="2">
        <v>40478.195102051199</v>
      </c>
    </row>
    <row r="3378" spans="1:42" ht="14.5" x14ac:dyDescent="0.35">
      <c r="A3378" s="2" t="s">
        <v>22455</v>
      </c>
      <c r="B3378" s="2">
        <v>640.204086235776</v>
      </c>
      <c r="C3378" s="2">
        <v>4.5423999999999998</v>
      </c>
      <c r="D3378" s="2" t="s">
        <v>70</v>
      </c>
      <c r="E3378" s="2" t="s">
        <v>22456</v>
      </c>
      <c r="F3378" s="2">
        <v>200745</v>
      </c>
      <c r="G3378" s="3" t="str">
        <f>HYPERLINK("http://funmeta.oebiotech.com/network/200745", "http://funmeta.oebiotech.com/network/200745")</f>
        <v>http://funmeta.oebiotech.com/network/200745</v>
      </c>
      <c r="H3378" s="2" t="s">
        <v>22457</v>
      </c>
      <c r="I3378" s="2"/>
      <c r="J3378" s="2"/>
      <c r="K3378" s="2"/>
      <c r="L3378" s="2"/>
      <c r="M3378" s="2"/>
      <c r="N3378" s="2"/>
      <c r="O3378" s="2">
        <v>20702649</v>
      </c>
      <c r="P3378" s="2"/>
      <c r="Q3378" s="2" t="s">
        <v>22458</v>
      </c>
      <c r="R3378" s="2" t="s">
        <v>22459</v>
      </c>
      <c r="S3378" s="2" t="s">
        <v>115</v>
      </c>
      <c r="T3378" s="2" t="s">
        <v>2840</v>
      </c>
      <c r="U3378" s="2" t="s">
        <v>41</v>
      </c>
      <c r="V3378" s="2" t="s">
        <v>59</v>
      </c>
      <c r="W3378" s="2">
        <v>38.9</v>
      </c>
      <c r="X3378" s="2">
        <v>0</v>
      </c>
      <c r="Y3378" s="2" t="s">
        <v>408</v>
      </c>
      <c r="Z3378" s="2" t="s">
        <v>22460</v>
      </c>
      <c r="AA3378" s="2">
        <v>0.87782728455283199</v>
      </c>
      <c r="AB3378" s="2">
        <v>0.22303974338681701</v>
      </c>
      <c r="AC3378" s="2">
        <v>6228.1006499589303</v>
      </c>
      <c r="AD3378" s="2">
        <v>2353.9305619868101</v>
      </c>
      <c r="AE3378" s="2">
        <v>4350.9041614377002</v>
      </c>
      <c r="AF3378" s="2">
        <v>8726.6848854643104</v>
      </c>
      <c r="AG3378" s="2">
        <v>4739.5062058659796</v>
      </c>
      <c r="AH3378" s="2">
        <v>8261.6889922420596</v>
      </c>
      <c r="AI3378" s="2">
        <v>5678.1555173042598</v>
      </c>
      <c r="AJ3378" s="2">
        <v>5611.6641374392502</v>
      </c>
      <c r="AK3378" s="2">
        <v>2235.3776944670099</v>
      </c>
      <c r="AL3378" s="2">
        <v>2122.9465344177602</v>
      </c>
      <c r="AM3378" s="2">
        <v>2064.9665592072402</v>
      </c>
      <c r="AN3378" s="2">
        <v>3388.39466849475</v>
      </c>
      <c r="AO3378" s="2">
        <v>2503.42070714805</v>
      </c>
      <c r="AP3378" s="2">
        <v>1808.4772081860499</v>
      </c>
    </row>
    <row r="3379" spans="1:42" ht="14.5" x14ac:dyDescent="0.35">
      <c r="A3379" s="2" t="s">
        <v>22461</v>
      </c>
      <c r="B3379" s="2">
        <v>485.26535638634999</v>
      </c>
      <c r="C3379" s="2">
        <v>15.250066666666701</v>
      </c>
      <c r="D3379" s="2" t="s">
        <v>34</v>
      </c>
      <c r="E3379" s="2" t="s">
        <v>22462</v>
      </c>
      <c r="F3379" s="2">
        <v>29057</v>
      </c>
      <c r="G3379" s="3" t="str">
        <f>HYPERLINK("http://funmeta.oebiotech.com/network/29057", "http://funmeta.oebiotech.com/network/29057")</f>
        <v>http://funmeta.oebiotech.com/network/29057</v>
      </c>
      <c r="H3379" s="2"/>
      <c r="I3379" s="2">
        <v>47453</v>
      </c>
      <c r="J3379" s="2" t="s">
        <v>22463</v>
      </c>
      <c r="K3379" s="2"/>
      <c r="L3379" s="2"/>
      <c r="M3379" s="2"/>
      <c r="N3379" s="2"/>
      <c r="O3379" s="2">
        <v>480870</v>
      </c>
      <c r="P3379" s="2"/>
      <c r="Q3379" s="2" t="s">
        <v>22464</v>
      </c>
      <c r="R3379" s="2" t="s">
        <v>22465</v>
      </c>
      <c r="S3379" s="2" t="s">
        <v>115</v>
      </c>
      <c r="T3379" s="2" t="s">
        <v>139</v>
      </c>
      <c r="U3379" s="2" t="s">
        <v>1437</v>
      </c>
      <c r="V3379" s="2" t="s">
        <v>59</v>
      </c>
      <c r="W3379" s="2">
        <v>36.700000000000003</v>
      </c>
      <c r="X3379" s="2">
        <v>0</v>
      </c>
      <c r="Y3379" s="2" t="s">
        <v>323</v>
      </c>
      <c r="Z3379" s="2" t="s">
        <v>15471</v>
      </c>
      <c r="AA3379" s="2">
        <v>-1.89062084291856</v>
      </c>
      <c r="AB3379" s="2">
        <v>0.22287055989916399</v>
      </c>
      <c r="AC3379" s="2">
        <v>7494.0664002225403</v>
      </c>
      <c r="AD3379" s="2">
        <v>3644.92798292829</v>
      </c>
      <c r="AE3379" s="2">
        <v>5821.3555003317797</v>
      </c>
      <c r="AF3379" s="2">
        <v>5949.7024388909003</v>
      </c>
      <c r="AG3379" s="2">
        <v>6405.62943669777</v>
      </c>
      <c r="AH3379" s="2">
        <v>9101.5251936983295</v>
      </c>
      <c r="AI3379" s="2">
        <v>8872.0052263295893</v>
      </c>
      <c r="AJ3379" s="2">
        <v>8814.1806053868895</v>
      </c>
      <c r="AK3379" s="2">
        <v>2920.024182442</v>
      </c>
      <c r="AL3379" s="2">
        <v>2869.5533786768901</v>
      </c>
      <c r="AM3379" s="2">
        <v>2970.4442889340598</v>
      </c>
      <c r="AN3379" s="2">
        <v>3715.47980612427</v>
      </c>
      <c r="AO3379" s="2">
        <v>4826.3448884986001</v>
      </c>
      <c r="AP3379" s="2">
        <v>4567.7213528939101</v>
      </c>
    </row>
    <row r="3380" spans="1:42" ht="14.5" x14ac:dyDescent="0.35">
      <c r="A3380" s="2" t="s">
        <v>22466</v>
      </c>
      <c r="B3380" s="2">
        <v>807.33895077345096</v>
      </c>
      <c r="C3380" s="2">
        <v>5.84148333333333</v>
      </c>
      <c r="D3380" s="2" t="s">
        <v>70</v>
      </c>
      <c r="E3380" s="2" t="s">
        <v>22467</v>
      </c>
      <c r="F3380" s="2">
        <v>202944</v>
      </c>
      <c r="G3380" s="3" t="str">
        <f>HYPERLINK("http://funmeta.oebiotech.com/network/202944", "http://funmeta.oebiotech.com/network/202944")</f>
        <v>http://funmeta.oebiotech.com/network/202944</v>
      </c>
      <c r="H3380" s="2" t="s">
        <v>22468</v>
      </c>
      <c r="I3380" s="2">
        <v>404218</v>
      </c>
      <c r="J3380" s="2"/>
      <c r="K3380" s="2"/>
      <c r="L3380" s="2"/>
      <c r="M3380" s="2"/>
      <c r="N3380" s="2"/>
      <c r="O3380" s="2">
        <v>65914</v>
      </c>
      <c r="P3380" s="2"/>
      <c r="Q3380" s="2" t="s">
        <v>22469</v>
      </c>
      <c r="R3380" s="2" t="s">
        <v>22470</v>
      </c>
      <c r="S3380" s="2" t="s">
        <v>491</v>
      </c>
      <c r="T3380" s="2" t="s">
        <v>2184</v>
      </c>
      <c r="U3380" s="2" t="s">
        <v>8234</v>
      </c>
      <c r="V3380" s="2" t="s">
        <v>59</v>
      </c>
      <c r="W3380" s="2">
        <v>38.799999999999997</v>
      </c>
      <c r="X3380" s="2">
        <v>0</v>
      </c>
      <c r="Y3380" s="2" t="s">
        <v>560</v>
      </c>
      <c r="Z3380" s="2" t="s">
        <v>22471</v>
      </c>
      <c r="AA3380" s="2">
        <v>-1.2213929498288101</v>
      </c>
      <c r="AB3380" s="2">
        <v>0.22265163747793901</v>
      </c>
      <c r="AC3380" s="2">
        <v>4566.0841777043397</v>
      </c>
      <c r="AD3380" s="2">
        <v>8102.79273224198</v>
      </c>
      <c r="AE3380" s="2">
        <v>4547.4952190623198</v>
      </c>
      <c r="AF3380" s="2">
        <v>4417.66553856459</v>
      </c>
      <c r="AG3380" s="2">
        <v>5100.2427474533197</v>
      </c>
      <c r="AH3380" s="2">
        <v>3513.7169623437999</v>
      </c>
      <c r="AI3380" s="2">
        <v>4890.3004220691701</v>
      </c>
      <c r="AJ3380" s="2">
        <v>4927.0841767328302</v>
      </c>
      <c r="AK3380" s="2">
        <v>8730.28064338066</v>
      </c>
      <c r="AL3380" s="2">
        <v>8713.20241148067</v>
      </c>
      <c r="AM3380" s="2">
        <v>8665.3560115844193</v>
      </c>
      <c r="AN3380" s="2">
        <v>6163.4635712621803</v>
      </c>
      <c r="AO3380" s="2">
        <v>8406.4601355737905</v>
      </c>
      <c r="AP3380" s="2">
        <v>7937.9936201701703</v>
      </c>
    </row>
    <row r="3381" spans="1:42" ht="14.5" x14ac:dyDescent="0.35">
      <c r="A3381" s="2" t="s">
        <v>22472</v>
      </c>
      <c r="B3381" s="2">
        <v>687.09973695414203</v>
      </c>
      <c r="C3381" s="2">
        <v>1.0921333333333301</v>
      </c>
      <c r="D3381" s="2" t="s">
        <v>70</v>
      </c>
      <c r="E3381" s="2" t="s">
        <v>22473</v>
      </c>
      <c r="F3381" s="2">
        <v>55288</v>
      </c>
      <c r="G3381" s="3" t="str">
        <f>HYPERLINK("http://funmeta.oebiotech.com/network/55288", "http://funmeta.oebiotech.com/network/55288")</f>
        <v>http://funmeta.oebiotech.com/network/55288</v>
      </c>
      <c r="H3381" s="2" t="s">
        <v>22474</v>
      </c>
      <c r="I3381" s="2">
        <v>87004</v>
      </c>
      <c r="J3381" s="2"/>
      <c r="K3381" s="2"/>
      <c r="L3381" s="2"/>
      <c r="M3381" s="2"/>
      <c r="N3381" s="2"/>
      <c r="O3381" s="2">
        <v>15558494</v>
      </c>
      <c r="P3381" s="2" t="s">
        <v>22475</v>
      </c>
      <c r="Q3381" s="2" t="s">
        <v>22476</v>
      </c>
      <c r="R3381" s="2" t="s">
        <v>22477</v>
      </c>
      <c r="S3381" s="2" t="s">
        <v>115</v>
      </c>
      <c r="T3381" s="2" t="s">
        <v>758</v>
      </c>
      <c r="U3381" s="2" t="s">
        <v>1477</v>
      </c>
      <c r="V3381" s="2" t="s">
        <v>59</v>
      </c>
      <c r="W3381" s="2">
        <v>38.799999999999997</v>
      </c>
      <c r="X3381" s="2">
        <v>0</v>
      </c>
      <c r="Y3381" s="2" t="s">
        <v>560</v>
      </c>
      <c r="Z3381" s="2" t="s">
        <v>22478</v>
      </c>
      <c r="AA3381" s="2">
        <v>0.84100870586309995</v>
      </c>
      <c r="AB3381" s="2">
        <v>0.222436103869421</v>
      </c>
      <c r="AC3381" s="2">
        <v>5285.2723975385898</v>
      </c>
      <c r="AD3381" s="2">
        <v>1608.6727910289801</v>
      </c>
      <c r="AE3381" s="2">
        <v>4889.1215769806704</v>
      </c>
      <c r="AF3381" s="2">
        <v>4999.42219411528</v>
      </c>
      <c r="AG3381" s="2">
        <v>4779.0228829285697</v>
      </c>
      <c r="AH3381" s="2">
        <v>5113.3000931481502</v>
      </c>
      <c r="AI3381" s="2">
        <v>7037.9984522873901</v>
      </c>
      <c r="AJ3381" s="2">
        <v>4892.7691857714899</v>
      </c>
      <c r="AK3381" s="2">
        <v>2889.7646706359601</v>
      </c>
      <c r="AL3381" s="2">
        <v>1912.85549028489</v>
      </c>
      <c r="AM3381" s="2">
        <v>493.87873331667902</v>
      </c>
      <c r="AN3381" s="2">
        <v>675.02471535244695</v>
      </c>
      <c r="AO3381" s="2">
        <v>532.971250564868</v>
      </c>
      <c r="AP3381" s="2">
        <v>3147.5418860190298</v>
      </c>
    </row>
    <row r="3382" spans="1:42" ht="14.5" x14ac:dyDescent="0.35">
      <c r="A3382" s="2" t="s">
        <v>22479</v>
      </c>
      <c r="B3382" s="2">
        <v>457.04238750604901</v>
      </c>
      <c r="C3382" s="2">
        <v>3.49291666666667</v>
      </c>
      <c r="D3382" s="2" t="s">
        <v>34</v>
      </c>
      <c r="E3382" s="2" t="s">
        <v>22480</v>
      </c>
      <c r="F3382" s="2">
        <v>55353</v>
      </c>
      <c r="G3382" s="3" t="str">
        <f>HYPERLINK("http://funmeta.oebiotech.com/network/55353", "http://funmeta.oebiotech.com/network/55353")</f>
        <v>http://funmeta.oebiotech.com/network/55353</v>
      </c>
      <c r="H3382" s="2" t="s">
        <v>22481</v>
      </c>
      <c r="I3382" s="2">
        <v>87061</v>
      </c>
      <c r="J3382" s="2"/>
      <c r="K3382" s="2"/>
      <c r="L3382" s="2"/>
      <c r="M3382" s="2"/>
      <c r="N3382" s="2"/>
      <c r="O3382" s="2">
        <v>90470472</v>
      </c>
      <c r="P3382" s="2" t="s">
        <v>22482</v>
      </c>
      <c r="Q3382" s="2" t="s">
        <v>22483</v>
      </c>
      <c r="R3382" s="2" t="s">
        <v>22484</v>
      </c>
      <c r="S3382" s="2" t="s">
        <v>115</v>
      </c>
      <c r="T3382" s="2" t="s">
        <v>2833</v>
      </c>
      <c r="U3382" s="2" t="s">
        <v>41</v>
      </c>
      <c r="V3382" s="2" t="s">
        <v>59</v>
      </c>
      <c r="W3382" s="2">
        <v>37.1</v>
      </c>
      <c r="X3382" s="2">
        <v>0</v>
      </c>
      <c r="Y3382" s="2" t="s">
        <v>141</v>
      </c>
      <c r="Z3382" s="2" t="s">
        <v>22485</v>
      </c>
      <c r="AA3382" s="2">
        <v>4.7152910424782304</v>
      </c>
      <c r="AB3382" s="2">
        <v>0.22230819413494601</v>
      </c>
      <c r="AC3382" s="2">
        <v>8025.06894828443</v>
      </c>
      <c r="AD3382" s="2">
        <v>4552.4099198505701</v>
      </c>
      <c r="AE3382" s="2">
        <v>8665.7630895763996</v>
      </c>
      <c r="AF3382" s="2">
        <v>7952.0659099212999</v>
      </c>
      <c r="AG3382" s="2">
        <v>9450.7145272962007</v>
      </c>
      <c r="AH3382" s="2">
        <v>8275.7799206701693</v>
      </c>
      <c r="AI3382" s="2">
        <v>6717.7952342676499</v>
      </c>
      <c r="AJ3382" s="2">
        <v>7088.2950079748498</v>
      </c>
      <c r="AK3382" s="2">
        <v>5189.7651489528398</v>
      </c>
      <c r="AL3382" s="2">
        <v>4588.2393044984301</v>
      </c>
      <c r="AM3382" s="2">
        <v>3945.1642088243998</v>
      </c>
      <c r="AN3382" s="2">
        <v>4442.0057037558499</v>
      </c>
      <c r="AO3382" s="2">
        <v>4692.2256291548001</v>
      </c>
      <c r="AP3382" s="2">
        <v>4457.0595239170998</v>
      </c>
    </row>
    <row r="3383" spans="1:42" ht="14.5" x14ac:dyDescent="0.35">
      <c r="A3383" s="2" t="s">
        <v>22486</v>
      </c>
      <c r="B3383" s="2">
        <v>715.28514509596596</v>
      </c>
      <c r="C3383" s="2">
        <v>6.3487499999999999</v>
      </c>
      <c r="D3383" s="2" t="s">
        <v>70</v>
      </c>
      <c r="E3383" s="2" t="s">
        <v>22487</v>
      </c>
      <c r="F3383" s="2">
        <v>62311</v>
      </c>
      <c r="G3383" s="3" t="str">
        <f>HYPERLINK("http://funmeta.oebiotech.com/network/62311", "http://funmeta.oebiotech.com/network/62311")</f>
        <v>http://funmeta.oebiotech.com/network/62311</v>
      </c>
      <c r="H3383" s="2" t="s">
        <v>22488</v>
      </c>
      <c r="I3383" s="2">
        <v>93605</v>
      </c>
      <c r="J3383" s="2"/>
      <c r="K3383" s="2">
        <v>175607</v>
      </c>
      <c r="L3383" s="2"/>
      <c r="M3383" s="2"/>
      <c r="N3383" s="2"/>
      <c r="O3383" s="2">
        <v>126890</v>
      </c>
      <c r="P3383" s="2" t="s">
        <v>22489</v>
      </c>
      <c r="Q3383" s="2" t="s">
        <v>22490</v>
      </c>
      <c r="R3383" s="2" t="s">
        <v>22491</v>
      </c>
      <c r="S3383" s="2" t="s">
        <v>148</v>
      </c>
      <c r="T3383" s="2" t="s">
        <v>392</v>
      </c>
      <c r="U3383" s="2" t="s">
        <v>3450</v>
      </c>
      <c r="V3383" s="2" t="s">
        <v>59</v>
      </c>
      <c r="W3383" s="2">
        <v>37.700000000000003</v>
      </c>
      <c r="X3383" s="2">
        <v>0</v>
      </c>
      <c r="Y3383" s="2" t="s">
        <v>560</v>
      </c>
      <c r="Z3383" s="2" t="s">
        <v>22492</v>
      </c>
      <c r="AA3383" s="2">
        <v>3.3539844786842599</v>
      </c>
      <c r="AB3383" s="2">
        <v>0.22226033067821799</v>
      </c>
      <c r="AC3383" s="2">
        <v>7926.5140259509599</v>
      </c>
      <c r="AD3383" s="2">
        <v>11613.585068427599</v>
      </c>
      <c r="AE3383" s="2">
        <v>8399.6016415905706</v>
      </c>
      <c r="AF3383" s="2">
        <v>7041.3919985414104</v>
      </c>
      <c r="AG3383" s="2">
        <v>7920.3344746946505</v>
      </c>
      <c r="AH3383" s="2">
        <v>9174.1784109357395</v>
      </c>
      <c r="AI3383" s="2">
        <v>7192.4262932375505</v>
      </c>
      <c r="AJ3383" s="2">
        <v>7831.1513367058496</v>
      </c>
      <c r="AK3383" s="2">
        <v>11474.6871005045</v>
      </c>
      <c r="AL3383" s="2">
        <v>9824.80708841245</v>
      </c>
      <c r="AM3383" s="2">
        <v>13278.383920840701</v>
      </c>
      <c r="AN3383" s="2">
        <v>12760.257853564999</v>
      </c>
      <c r="AO3383" s="2">
        <v>12051.965542543699</v>
      </c>
      <c r="AP3383" s="2">
        <v>10291.408904699099</v>
      </c>
    </row>
    <row r="3384" spans="1:42" ht="14.5" x14ac:dyDescent="0.35">
      <c r="A3384" s="2" t="s">
        <v>22493</v>
      </c>
      <c r="B3384" s="2">
        <v>785.33866482198505</v>
      </c>
      <c r="C3384" s="2">
        <v>4.3281833333333299</v>
      </c>
      <c r="D3384" s="2" t="s">
        <v>70</v>
      </c>
      <c r="E3384" s="2" t="s">
        <v>22494</v>
      </c>
      <c r="F3384" s="2">
        <v>27978</v>
      </c>
      <c r="G3384" s="3" t="str">
        <f>HYPERLINK("http://funmeta.oebiotech.com/network/27978", "http://funmeta.oebiotech.com/network/27978")</f>
        <v>http://funmeta.oebiotech.com/network/27978</v>
      </c>
      <c r="H3384" s="2"/>
      <c r="I3384" s="2"/>
      <c r="J3384" s="2" t="s">
        <v>22495</v>
      </c>
      <c r="K3384" s="2"/>
      <c r="L3384" s="2"/>
      <c r="M3384" s="2"/>
      <c r="N3384" s="2"/>
      <c r="O3384" s="2">
        <v>134812425</v>
      </c>
      <c r="P3384" s="2"/>
      <c r="Q3384" s="2" t="s">
        <v>22496</v>
      </c>
      <c r="R3384" s="2" t="s">
        <v>22497</v>
      </c>
      <c r="S3384" s="2" t="s">
        <v>50</v>
      </c>
      <c r="T3384" s="2" t="s">
        <v>51</v>
      </c>
      <c r="U3384" s="2" t="s">
        <v>52</v>
      </c>
      <c r="V3384" s="2" t="s">
        <v>59</v>
      </c>
      <c r="W3384" s="2">
        <v>37.200000000000003</v>
      </c>
      <c r="X3384" s="2">
        <v>0</v>
      </c>
      <c r="Y3384" s="2" t="s">
        <v>408</v>
      </c>
      <c r="Z3384" s="2" t="s">
        <v>22498</v>
      </c>
      <c r="AA3384" s="2">
        <v>2.7549306832438298</v>
      </c>
      <c r="AB3384" s="2">
        <v>0.222183106900428</v>
      </c>
      <c r="AC3384" s="2">
        <v>27087.321764919099</v>
      </c>
      <c r="AD3384" s="2">
        <v>33753.211568362298</v>
      </c>
      <c r="AE3384" s="2">
        <v>28580.649526285601</v>
      </c>
      <c r="AF3384" s="2">
        <v>25029.706501583601</v>
      </c>
      <c r="AG3384" s="2">
        <v>29413.317372867601</v>
      </c>
      <c r="AH3384" s="2">
        <v>30183.506403545201</v>
      </c>
      <c r="AI3384" s="2">
        <v>25699.222013714701</v>
      </c>
      <c r="AJ3384" s="2">
        <v>23617.528771517998</v>
      </c>
      <c r="AK3384" s="2">
        <v>26565.2080025266</v>
      </c>
      <c r="AL3384" s="2">
        <v>25649.5777888786</v>
      </c>
      <c r="AM3384" s="2">
        <v>25131.6004554432</v>
      </c>
      <c r="AN3384" s="2">
        <v>42169.356719943702</v>
      </c>
      <c r="AO3384" s="2">
        <v>44864.3615622492</v>
      </c>
      <c r="AP3384" s="2">
        <v>38139.164881132703</v>
      </c>
    </row>
    <row r="3385" spans="1:42" ht="14.5" x14ac:dyDescent="0.35">
      <c r="A3385" s="2" t="s">
        <v>22499</v>
      </c>
      <c r="B3385" s="2">
        <v>383.09843885632802</v>
      </c>
      <c r="C3385" s="2">
        <v>4.2044333333333297</v>
      </c>
      <c r="D3385" s="2" t="s">
        <v>70</v>
      </c>
      <c r="E3385" s="2" t="s">
        <v>22500</v>
      </c>
      <c r="F3385" s="2">
        <v>201789</v>
      </c>
      <c r="G3385" s="3" t="str">
        <f>HYPERLINK("http://funmeta.oebiotech.com/network/201789", "http://funmeta.oebiotech.com/network/201789")</f>
        <v>http://funmeta.oebiotech.com/network/201789</v>
      </c>
      <c r="H3385" s="2" t="s">
        <v>22501</v>
      </c>
      <c r="I3385" s="2"/>
      <c r="J3385" s="2"/>
      <c r="K3385" s="2"/>
      <c r="L3385" s="2"/>
      <c r="M3385" s="2"/>
      <c r="N3385" s="2"/>
      <c r="O3385" s="2">
        <v>135418932</v>
      </c>
      <c r="P3385" s="2"/>
      <c r="Q3385" s="2" t="s">
        <v>22502</v>
      </c>
      <c r="R3385" s="2" t="s">
        <v>22503</v>
      </c>
      <c r="S3385" s="2" t="s">
        <v>41</v>
      </c>
      <c r="T3385" s="2" t="s">
        <v>41</v>
      </c>
      <c r="U3385" s="2" t="s">
        <v>41</v>
      </c>
      <c r="V3385" s="2" t="s">
        <v>59</v>
      </c>
      <c r="W3385" s="2">
        <v>39</v>
      </c>
      <c r="X3385" s="2">
        <v>0</v>
      </c>
      <c r="Y3385" s="2" t="s">
        <v>560</v>
      </c>
      <c r="Z3385" s="2" t="s">
        <v>22504</v>
      </c>
      <c r="AA3385" s="2">
        <v>-3.3036664374414499</v>
      </c>
      <c r="AB3385" s="2">
        <v>0.22216342648735601</v>
      </c>
      <c r="AC3385" s="2">
        <v>9084.7550464927499</v>
      </c>
      <c r="AD3385" s="2">
        <v>5484.8137185463302</v>
      </c>
      <c r="AE3385" s="2">
        <v>10316.8651930779</v>
      </c>
      <c r="AF3385" s="2">
        <v>10800.2181164993</v>
      </c>
      <c r="AG3385" s="2">
        <v>9319.1181958336801</v>
      </c>
      <c r="AH3385" s="2">
        <v>8614.5965671206995</v>
      </c>
      <c r="AI3385" s="2">
        <v>7555.8632187065796</v>
      </c>
      <c r="AJ3385" s="2">
        <v>7901.8689877183297</v>
      </c>
      <c r="AK3385" s="2">
        <v>5044.0132728131402</v>
      </c>
      <c r="AL3385" s="2">
        <v>5853.4334578389598</v>
      </c>
      <c r="AM3385" s="2">
        <v>6305.31637978252</v>
      </c>
      <c r="AN3385" s="2">
        <v>5582.1361952216603</v>
      </c>
      <c r="AO3385" s="2">
        <v>4904.5333350560604</v>
      </c>
      <c r="AP3385" s="2">
        <v>5219.4496705656602</v>
      </c>
    </row>
    <row r="3386" spans="1:42" ht="14.5" x14ac:dyDescent="0.35">
      <c r="A3386" s="2" t="s">
        <v>22505</v>
      </c>
      <c r="B3386" s="2">
        <v>361.11401900393099</v>
      </c>
      <c r="C3386" s="2">
        <v>2.5589</v>
      </c>
      <c r="D3386" s="2" t="s">
        <v>70</v>
      </c>
      <c r="E3386" s="2" t="s">
        <v>22506</v>
      </c>
      <c r="F3386" s="2">
        <v>255714</v>
      </c>
      <c r="G3386" s="3" t="str">
        <f>HYPERLINK("http://funmeta.oebiotech.com/network/255714", "http://funmeta.oebiotech.com/network/255714")</f>
        <v>http://funmeta.oebiotech.com/network/255714</v>
      </c>
      <c r="H3386" s="2" t="s">
        <v>22507</v>
      </c>
      <c r="I3386" s="2"/>
      <c r="J3386" s="2"/>
      <c r="K3386" s="2"/>
      <c r="L3386" s="2"/>
      <c r="M3386" s="2"/>
      <c r="N3386" s="2"/>
      <c r="O3386" s="2">
        <v>3084796</v>
      </c>
      <c r="P3386" s="2"/>
      <c r="Q3386" s="2" t="s">
        <v>22508</v>
      </c>
      <c r="R3386" s="2" t="s">
        <v>22509</v>
      </c>
      <c r="S3386" s="2" t="s">
        <v>79</v>
      </c>
      <c r="T3386" s="2" t="s">
        <v>80</v>
      </c>
      <c r="U3386" s="2" t="s">
        <v>81</v>
      </c>
      <c r="V3386" s="2" t="s">
        <v>59</v>
      </c>
      <c r="W3386" s="2">
        <v>43.3</v>
      </c>
      <c r="X3386" s="2">
        <v>20</v>
      </c>
      <c r="Y3386" s="2" t="s">
        <v>408</v>
      </c>
      <c r="Z3386" s="2" t="s">
        <v>9927</v>
      </c>
      <c r="AA3386" s="2">
        <v>-4.6310533556171204E-3</v>
      </c>
      <c r="AB3386" s="2">
        <v>0.22189002530326099</v>
      </c>
      <c r="AC3386" s="2">
        <v>30951.3851252432</v>
      </c>
      <c r="AD3386" s="2">
        <v>34800.652111997399</v>
      </c>
      <c r="AE3386" s="2">
        <v>31660.730746996</v>
      </c>
      <c r="AF3386" s="2">
        <v>30443.945894417298</v>
      </c>
      <c r="AG3386" s="2">
        <v>32609.066966263701</v>
      </c>
      <c r="AH3386" s="2">
        <v>29361.006376282799</v>
      </c>
      <c r="AI3386" s="2">
        <v>28558.9038989726</v>
      </c>
      <c r="AJ3386" s="2">
        <v>33074.656868526698</v>
      </c>
      <c r="AK3386" s="2">
        <v>35164.253309810301</v>
      </c>
      <c r="AL3386" s="2">
        <v>35111.123169233702</v>
      </c>
      <c r="AM3386" s="2">
        <v>35110.008840967901</v>
      </c>
      <c r="AN3386" s="2">
        <v>35047.6345803125</v>
      </c>
      <c r="AO3386" s="2">
        <v>34038.651356067101</v>
      </c>
      <c r="AP3386" s="2">
        <v>34332.241415593096</v>
      </c>
    </row>
    <row r="3387" spans="1:42" ht="14.5" x14ac:dyDescent="0.35">
      <c r="A3387" s="2" t="s">
        <v>22510</v>
      </c>
      <c r="B3387" s="2">
        <v>631.25458902425305</v>
      </c>
      <c r="C3387" s="2">
        <v>5.6357333333333299</v>
      </c>
      <c r="D3387" s="2" t="s">
        <v>70</v>
      </c>
      <c r="E3387" s="2" t="s">
        <v>22511</v>
      </c>
      <c r="F3387" s="2">
        <v>205529</v>
      </c>
      <c r="G3387" s="3" t="str">
        <f>HYPERLINK("http://funmeta.oebiotech.com/network/205529", "http://funmeta.oebiotech.com/network/205529")</f>
        <v>http://funmeta.oebiotech.com/network/205529</v>
      </c>
      <c r="H3387" s="2" t="s">
        <v>22512</v>
      </c>
      <c r="I3387" s="2"/>
      <c r="J3387" s="2"/>
      <c r="K3387" s="2"/>
      <c r="L3387" s="2"/>
      <c r="M3387" s="2"/>
      <c r="N3387" s="2"/>
      <c r="O3387" s="2">
        <v>100169</v>
      </c>
      <c r="P3387" s="2"/>
      <c r="Q3387" s="2" t="s">
        <v>22513</v>
      </c>
      <c r="R3387" s="2" t="s">
        <v>22514</v>
      </c>
      <c r="S3387" s="2" t="s">
        <v>89</v>
      </c>
      <c r="T3387" s="2" t="s">
        <v>90</v>
      </c>
      <c r="U3387" s="2" t="s">
        <v>99</v>
      </c>
      <c r="V3387" s="2" t="s">
        <v>59</v>
      </c>
      <c r="W3387" s="2">
        <v>37.4</v>
      </c>
      <c r="X3387" s="2">
        <v>0</v>
      </c>
      <c r="Y3387" s="2" t="s">
        <v>408</v>
      </c>
      <c r="Z3387" s="2" t="s">
        <v>22515</v>
      </c>
      <c r="AA3387" s="2">
        <v>-1.6508288728788501</v>
      </c>
      <c r="AB3387" s="2">
        <v>0.221881792970889</v>
      </c>
      <c r="AC3387" s="2">
        <v>22632.4561081963</v>
      </c>
      <c r="AD3387" s="2">
        <v>18293.365697948899</v>
      </c>
      <c r="AE3387" s="2">
        <v>23198.785982692702</v>
      </c>
      <c r="AF3387" s="2">
        <v>19463.414596309001</v>
      </c>
      <c r="AG3387" s="2">
        <v>23223.564851632898</v>
      </c>
      <c r="AH3387" s="2">
        <v>23154.471603617902</v>
      </c>
      <c r="AI3387" s="2">
        <v>21015.3653786674</v>
      </c>
      <c r="AJ3387" s="2">
        <v>25739.134236257702</v>
      </c>
      <c r="AK3387" s="2">
        <v>14507.7675952101</v>
      </c>
      <c r="AL3387" s="2">
        <v>19315.692815344999</v>
      </c>
      <c r="AM3387" s="2">
        <v>20705.868446618701</v>
      </c>
      <c r="AN3387" s="2">
        <v>17571.418633777401</v>
      </c>
      <c r="AO3387" s="2">
        <v>19134.1911605807</v>
      </c>
      <c r="AP3387" s="2">
        <v>18525.255536161199</v>
      </c>
    </row>
    <row r="3388" spans="1:42" ht="14.5" x14ac:dyDescent="0.35">
      <c r="A3388" s="2" t="s">
        <v>22516</v>
      </c>
      <c r="B3388" s="2">
        <v>559.48726287926002</v>
      </c>
      <c r="C3388" s="2">
        <v>14.8262</v>
      </c>
      <c r="D3388" s="2" t="s">
        <v>34</v>
      </c>
      <c r="E3388" s="2" t="s">
        <v>22517</v>
      </c>
      <c r="F3388" s="2">
        <v>54736</v>
      </c>
      <c r="G3388" s="3" t="str">
        <f>HYPERLINK("http://funmeta.oebiotech.com/network/54736", "http://funmeta.oebiotech.com/network/54736")</f>
        <v>http://funmeta.oebiotech.com/network/54736</v>
      </c>
      <c r="H3388" s="2" t="s">
        <v>22518</v>
      </c>
      <c r="I3388" s="2">
        <v>86547</v>
      </c>
      <c r="J3388" s="2"/>
      <c r="K3388" s="2"/>
      <c r="L3388" s="2"/>
      <c r="M3388" s="2"/>
      <c r="N3388" s="2"/>
      <c r="O3388" s="2">
        <v>131750917</v>
      </c>
      <c r="P3388" s="2" t="s">
        <v>22519</v>
      </c>
      <c r="Q3388" s="2" t="s">
        <v>22520</v>
      </c>
      <c r="R3388" s="2" t="s">
        <v>22521</v>
      </c>
      <c r="S3388" s="2" t="s">
        <v>50</v>
      </c>
      <c r="T3388" s="2" t="s">
        <v>201</v>
      </c>
      <c r="U3388" s="2" t="s">
        <v>4676</v>
      </c>
      <c r="V3388" s="2" t="s">
        <v>59</v>
      </c>
      <c r="W3388" s="2">
        <v>38.4</v>
      </c>
      <c r="X3388" s="2">
        <v>0</v>
      </c>
      <c r="Y3388" s="2" t="s">
        <v>266</v>
      </c>
      <c r="Z3388" s="2" t="s">
        <v>22522</v>
      </c>
      <c r="AA3388" s="2">
        <v>-0.143533573414107</v>
      </c>
      <c r="AB3388" s="2">
        <v>0.22178413022058599</v>
      </c>
      <c r="AC3388" s="2">
        <v>18372.7502759325</v>
      </c>
      <c r="AD3388" s="2">
        <v>23012.745092179699</v>
      </c>
      <c r="AE3388" s="2">
        <v>22595.184639067302</v>
      </c>
      <c r="AF3388" s="2">
        <v>19363.992005448301</v>
      </c>
      <c r="AG3388" s="2">
        <v>17370.084955182701</v>
      </c>
      <c r="AH3388" s="2">
        <v>16447.534901734602</v>
      </c>
      <c r="AI3388" s="2">
        <v>17342.840182047701</v>
      </c>
      <c r="AJ3388" s="2">
        <v>17116.864972114199</v>
      </c>
      <c r="AK3388" s="2">
        <v>28167.846868697099</v>
      </c>
      <c r="AL3388" s="2">
        <v>21872.130520042399</v>
      </c>
      <c r="AM3388" s="2">
        <v>20881.429233830298</v>
      </c>
      <c r="AN3388" s="2">
        <v>20288.6211548131</v>
      </c>
      <c r="AO3388" s="2">
        <v>23527.369231983201</v>
      </c>
      <c r="AP3388" s="2">
        <v>23339.0735437123</v>
      </c>
    </row>
    <row r="3389" spans="1:42" ht="14.5" x14ac:dyDescent="0.35">
      <c r="A3389" s="2" t="s">
        <v>22523</v>
      </c>
      <c r="B3389" s="2">
        <v>301.10543734916399</v>
      </c>
      <c r="C3389" s="2">
        <v>3.5591666666666701</v>
      </c>
      <c r="D3389" s="2" t="s">
        <v>70</v>
      </c>
      <c r="E3389" s="2" t="s">
        <v>22524</v>
      </c>
      <c r="F3389" s="2">
        <v>267313</v>
      </c>
      <c r="G3389" s="3" t="str">
        <f>HYPERLINK("http://funmeta.oebiotech.com/network/267313", "http://funmeta.oebiotech.com/network/267313")</f>
        <v>http://funmeta.oebiotech.com/network/267313</v>
      </c>
      <c r="H3389" s="2"/>
      <c r="I3389" s="2">
        <v>45227</v>
      </c>
      <c r="J3389" s="2"/>
      <c r="K3389" s="2"/>
      <c r="L3389" s="2"/>
      <c r="M3389" s="2"/>
      <c r="N3389" s="2"/>
      <c r="O3389" s="2">
        <v>65399</v>
      </c>
      <c r="P3389" s="2" t="s">
        <v>22525</v>
      </c>
      <c r="Q3389" s="2" t="s">
        <v>22526</v>
      </c>
      <c r="R3389" s="2" t="s">
        <v>22527</v>
      </c>
      <c r="S3389" s="2" t="s">
        <v>79</v>
      </c>
      <c r="T3389" s="2" t="s">
        <v>80</v>
      </c>
      <c r="U3389" s="2" t="s">
        <v>81</v>
      </c>
      <c r="V3389" s="2" t="s">
        <v>59</v>
      </c>
      <c r="W3389" s="2">
        <v>37.799999999999997</v>
      </c>
      <c r="X3389" s="2">
        <v>0</v>
      </c>
      <c r="Y3389" s="2" t="s">
        <v>751</v>
      </c>
      <c r="Z3389" s="2" t="s">
        <v>22528</v>
      </c>
      <c r="AA3389" s="2">
        <v>-7.6692312298512297E-2</v>
      </c>
      <c r="AB3389" s="2">
        <v>0.22174012071906399</v>
      </c>
      <c r="AC3389" s="2">
        <v>7665.3219645450999</v>
      </c>
      <c r="AD3389" s="2">
        <v>11033.3657754162</v>
      </c>
      <c r="AE3389" s="2">
        <v>7322.4340439322996</v>
      </c>
      <c r="AF3389" s="2">
        <v>7628.5912851308103</v>
      </c>
      <c r="AG3389" s="2">
        <v>7364.5951543429601</v>
      </c>
      <c r="AH3389" s="2">
        <v>7338.5608864366905</v>
      </c>
      <c r="AI3389" s="2">
        <v>8034.0303331328796</v>
      </c>
      <c r="AJ3389" s="2">
        <v>8303.7200842949405</v>
      </c>
      <c r="AK3389" s="2">
        <v>10510.052453959301</v>
      </c>
      <c r="AL3389" s="2">
        <v>11439.0171132215</v>
      </c>
      <c r="AM3389" s="2">
        <v>11309.008181552301</v>
      </c>
      <c r="AN3389" s="2">
        <v>10758.9055363836</v>
      </c>
      <c r="AO3389" s="2">
        <v>10179.901800759601</v>
      </c>
      <c r="AP3389" s="2">
        <v>12003.309566620899</v>
      </c>
    </row>
    <row r="3390" spans="1:42" ht="14.5" x14ac:dyDescent="0.35">
      <c r="A3390" s="2" t="s">
        <v>22529</v>
      </c>
      <c r="B3390" s="2">
        <v>349.20084204496698</v>
      </c>
      <c r="C3390" s="2">
        <v>3.6251333333333302</v>
      </c>
      <c r="D3390" s="2" t="s">
        <v>34</v>
      </c>
      <c r="E3390" s="5" t="s">
        <v>22530</v>
      </c>
      <c r="F3390" s="2">
        <v>56468</v>
      </c>
      <c r="G3390" s="3" t="str">
        <f>HYPERLINK("http://funmeta.oebiotech.com/network/56468", "http://funmeta.oebiotech.com/network/56468")</f>
        <v>http://funmeta.oebiotech.com/network/56468</v>
      </c>
      <c r="H3390" s="2" t="s">
        <v>22531</v>
      </c>
      <c r="I3390" s="2">
        <v>88115</v>
      </c>
      <c r="J3390" s="2"/>
      <c r="K3390" s="2">
        <v>133478</v>
      </c>
      <c r="L3390" s="2"/>
      <c r="M3390" s="2"/>
      <c r="N3390" s="2"/>
      <c r="O3390" s="2">
        <v>25243954</v>
      </c>
      <c r="P3390" s="2" t="s">
        <v>22532</v>
      </c>
      <c r="Q3390" s="2" t="s">
        <v>22533</v>
      </c>
      <c r="R3390" s="2" t="s">
        <v>22534</v>
      </c>
      <c r="S3390" s="2" t="s">
        <v>50</v>
      </c>
      <c r="T3390" s="2" t="s">
        <v>201</v>
      </c>
      <c r="U3390" s="2" t="s">
        <v>241</v>
      </c>
      <c r="V3390" s="2" t="s">
        <v>59</v>
      </c>
      <c r="W3390" s="2">
        <v>38.700000000000003</v>
      </c>
      <c r="X3390" s="2">
        <v>0</v>
      </c>
      <c r="Y3390" s="2" t="s">
        <v>394</v>
      </c>
      <c r="Z3390" s="2" t="s">
        <v>1820</v>
      </c>
      <c r="AA3390" s="2">
        <v>-0.31127157452368298</v>
      </c>
      <c r="AB3390" s="2">
        <v>0.22171089396994401</v>
      </c>
      <c r="AC3390" s="2">
        <v>6239.5050753306496</v>
      </c>
      <c r="AD3390" s="2">
        <v>9619.1849838973194</v>
      </c>
      <c r="AE3390" s="2">
        <v>6860.9322725658603</v>
      </c>
      <c r="AF3390" s="2">
        <v>5436.33798026758</v>
      </c>
      <c r="AG3390" s="2">
        <v>6366.4300771458802</v>
      </c>
      <c r="AH3390" s="2">
        <v>6225.9235022391304</v>
      </c>
      <c r="AI3390" s="2">
        <v>6352.7148791416703</v>
      </c>
      <c r="AJ3390" s="2">
        <v>6194.6917406237499</v>
      </c>
      <c r="AK3390" s="2">
        <v>9123.9865211329598</v>
      </c>
      <c r="AL3390" s="2">
        <v>9973.9782567781895</v>
      </c>
      <c r="AM3390" s="2">
        <v>9412.1053802814695</v>
      </c>
      <c r="AN3390" s="2">
        <v>9116.8734678373803</v>
      </c>
      <c r="AO3390" s="2">
        <v>9268.9475352496393</v>
      </c>
      <c r="AP3390" s="2">
        <v>10819.2187421043</v>
      </c>
    </row>
    <row r="3391" spans="1:42" ht="14.5" x14ac:dyDescent="0.35">
      <c r="A3391" s="2" t="s">
        <v>22535</v>
      </c>
      <c r="B3391" s="2">
        <v>429.117792988286</v>
      </c>
      <c r="C3391" s="2">
        <v>3.8966500000000002</v>
      </c>
      <c r="D3391" s="2" t="s">
        <v>34</v>
      </c>
      <c r="E3391" s="2" t="s">
        <v>22536</v>
      </c>
      <c r="F3391" s="2">
        <v>266729</v>
      </c>
      <c r="G3391" s="3" t="str">
        <f>HYPERLINK("http://funmeta.oebiotech.com/network/266729", "http://funmeta.oebiotech.com/network/266729")</f>
        <v>http://funmeta.oebiotech.com/network/266729</v>
      </c>
      <c r="H3391" s="2"/>
      <c r="I3391" s="2">
        <v>43848</v>
      </c>
      <c r="J3391" s="2"/>
      <c r="K3391" s="2"/>
      <c r="L3391" s="2"/>
      <c r="M3391" s="2"/>
      <c r="N3391" s="2"/>
      <c r="O3391" s="2">
        <v>159908</v>
      </c>
      <c r="P3391" s="2" t="s">
        <v>22537</v>
      </c>
      <c r="Q3391" s="2" t="s">
        <v>22538</v>
      </c>
      <c r="R3391" s="2" t="s">
        <v>22539</v>
      </c>
      <c r="S3391" s="2" t="s">
        <v>148</v>
      </c>
      <c r="T3391" s="2" t="s">
        <v>22540</v>
      </c>
      <c r="U3391" s="2" t="s">
        <v>22541</v>
      </c>
      <c r="V3391" s="2" t="s">
        <v>59</v>
      </c>
      <c r="W3391" s="2">
        <v>37.9</v>
      </c>
      <c r="X3391" s="2">
        <v>0</v>
      </c>
      <c r="Y3391" s="2" t="s">
        <v>266</v>
      </c>
      <c r="Z3391" s="2" t="s">
        <v>22542</v>
      </c>
      <c r="AA3391" s="2">
        <v>-0.50375087021320297</v>
      </c>
      <c r="AB3391" s="2">
        <v>0.221630449848773</v>
      </c>
      <c r="AC3391" s="2">
        <v>4483.8901399243196</v>
      </c>
      <c r="AD3391" s="2">
        <v>1037.3710583464699</v>
      </c>
      <c r="AE3391" s="2">
        <v>4903.2898569331601</v>
      </c>
      <c r="AF3391" s="2">
        <v>5245.5917847599903</v>
      </c>
      <c r="AG3391" s="2">
        <v>4708.4203878541703</v>
      </c>
      <c r="AH3391" s="2">
        <v>4086.5007370657399</v>
      </c>
      <c r="AI3391" s="2">
        <v>4371.2057112602197</v>
      </c>
      <c r="AJ3391" s="2">
        <v>3588.3323616726402</v>
      </c>
      <c r="AK3391" s="2">
        <v>1626.59155456495</v>
      </c>
      <c r="AL3391" s="2">
        <v>1837.26421241818</v>
      </c>
      <c r="AM3391" s="2">
        <v>1007.93207309064</v>
      </c>
      <c r="AN3391" s="2">
        <v>2.7106294003980101E-5</v>
      </c>
      <c r="AO3391" s="2">
        <v>1752.43845579247</v>
      </c>
      <c r="AP3391" s="2">
        <v>2.7106294003980101E-5</v>
      </c>
    </row>
    <row r="3392" spans="1:42" ht="14.5" x14ac:dyDescent="0.35">
      <c r="A3392" s="2" t="s">
        <v>22543</v>
      </c>
      <c r="B3392" s="2">
        <v>393.18816185878399</v>
      </c>
      <c r="C3392" s="2">
        <v>5.7736666666666698</v>
      </c>
      <c r="D3392" s="2" t="s">
        <v>34</v>
      </c>
      <c r="E3392" s="2" t="s">
        <v>22544</v>
      </c>
      <c r="F3392" s="2">
        <v>212391</v>
      </c>
      <c r="G3392" s="3" t="str">
        <f>HYPERLINK("http://funmeta.oebiotech.com/network/212391", "http://funmeta.oebiotech.com/network/212391")</f>
        <v>http://funmeta.oebiotech.com/network/212391</v>
      </c>
      <c r="H3392" s="2" t="s">
        <v>22545</v>
      </c>
      <c r="I3392" s="2"/>
      <c r="J3392" s="2"/>
      <c r="K3392" s="2"/>
      <c r="L3392" s="2"/>
      <c r="M3392" s="2"/>
      <c r="N3392" s="2"/>
      <c r="O3392" s="2"/>
      <c r="P3392" s="2"/>
      <c r="Q3392" s="2" t="s">
        <v>22546</v>
      </c>
      <c r="R3392" s="2" t="s">
        <v>22547</v>
      </c>
      <c r="S3392" s="2" t="s">
        <v>491</v>
      </c>
      <c r="T3392" s="2" t="s">
        <v>7431</v>
      </c>
      <c r="U3392" s="2" t="s">
        <v>7432</v>
      </c>
      <c r="V3392" s="2" t="s">
        <v>59</v>
      </c>
      <c r="W3392" s="2">
        <v>38.5</v>
      </c>
      <c r="X3392" s="2">
        <v>0</v>
      </c>
      <c r="Y3392" s="2" t="s">
        <v>43</v>
      </c>
      <c r="Z3392" s="2" t="s">
        <v>22548</v>
      </c>
      <c r="AA3392" s="2">
        <v>0.18001531556853001</v>
      </c>
      <c r="AB3392" s="2">
        <v>0.22155486016199999</v>
      </c>
      <c r="AC3392" s="2">
        <v>7967.9119690063599</v>
      </c>
      <c r="AD3392" s="2">
        <v>4444.8061179315</v>
      </c>
      <c r="AE3392" s="2">
        <v>6757.1116902704198</v>
      </c>
      <c r="AF3392" s="2">
        <v>7575.7954668715302</v>
      </c>
      <c r="AG3392" s="2">
        <v>7957.1968093780997</v>
      </c>
      <c r="AH3392" s="2">
        <v>8014.2929444055599</v>
      </c>
      <c r="AI3392" s="2">
        <v>9274.0894532166294</v>
      </c>
      <c r="AJ3392" s="2">
        <v>8228.9854498959394</v>
      </c>
      <c r="AK3392" s="2">
        <v>4210.0510562904401</v>
      </c>
      <c r="AL3392" s="2">
        <v>4525.4992167472401</v>
      </c>
      <c r="AM3392" s="2">
        <v>3001.61438166991</v>
      </c>
      <c r="AN3392" s="2">
        <v>5274.4753287679796</v>
      </c>
      <c r="AO3392" s="2">
        <v>4443.8538888170997</v>
      </c>
      <c r="AP3392" s="2">
        <v>5213.3428352963401</v>
      </c>
    </row>
    <row r="3393" spans="1:42" ht="14.5" x14ac:dyDescent="0.35">
      <c r="A3393" s="2" t="s">
        <v>22549</v>
      </c>
      <c r="B3393" s="2">
        <v>601.24462149627504</v>
      </c>
      <c r="C3393" s="2">
        <v>8.8768999999999991</v>
      </c>
      <c r="D3393" s="2" t="s">
        <v>34</v>
      </c>
      <c r="E3393" s="2" t="s">
        <v>22550</v>
      </c>
      <c r="F3393" s="2">
        <v>58167</v>
      </c>
      <c r="G3393" s="3" t="str">
        <f>HYPERLINK("http://funmeta.oebiotech.com/network/58167", "http://funmeta.oebiotech.com/network/58167")</f>
        <v>http://funmeta.oebiotech.com/network/58167</v>
      </c>
      <c r="H3393" s="2" t="s">
        <v>22551</v>
      </c>
      <c r="I3393" s="2"/>
      <c r="J3393" s="2"/>
      <c r="K3393" s="2"/>
      <c r="L3393" s="2"/>
      <c r="M3393" s="2"/>
      <c r="N3393" s="2"/>
      <c r="O3393" s="2">
        <v>131751518</v>
      </c>
      <c r="P3393" s="2"/>
      <c r="Q3393" s="2" t="s">
        <v>22552</v>
      </c>
      <c r="R3393" s="2" t="s">
        <v>22553</v>
      </c>
      <c r="S3393" s="2" t="s">
        <v>50</v>
      </c>
      <c r="T3393" s="2" t="s">
        <v>124</v>
      </c>
      <c r="U3393" s="2" t="s">
        <v>567</v>
      </c>
      <c r="V3393" s="2" t="s">
        <v>59</v>
      </c>
      <c r="W3393" s="2">
        <v>37</v>
      </c>
      <c r="X3393" s="2">
        <v>0</v>
      </c>
      <c r="Y3393" s="2" t="s">
        <v>323</v>
      </c>
      <c r="Z3393" s="2" t="s">
        <v>22554</v>
      </c>
      <c r="AA3393" s="2">
        <v>0.77283089788668302</v>
      </c>
      <c r="AB3393" s="2">
        <v>0.22138794636008699</v>
      </c>
      <c r="AC3393" s="2">
        <v>3433.6878169931101</v>
      </c>
      <c r="AD3393" s="2">
        <v>2.7106294003980101E-5</v>
      </c>
      <c r="AE3393" s="2">
        <v>3006.6410263432099</v>
      </c>
      <c r="AF3393" s="2">
        <v>2217.54285935803</v>
      </c>
      <c r="AG3393" s="2">
        <v>5145.7832244764504</v>
      </c>
      <c r="AH3393" s="2">
        <v>3632.2555352904301</v>
      </c>
      <c r="AI3393" s="2">
        <v>2807.7076036163899</v>
      </c>
      <c r="AJ3393" s="2">
        <v>3792.19665287415</v>
      </c>
      <c r="AK3393" s="2">
        <v>2.7106294003980101E-5</v>
      </c>
      <c r="AL3393" s="2">
        <v>2.7106294003980101E-5</v>
      </c>
      <c r="AM3393" s="2">
        <v>2.7106294003980101E-5</v>
      </c>
      <c r="AN3393" s="2">
        <v>2.7106294003980101E-5</v>
      </c>
      <c r="AO3393" s="2">
        <v>2.7106294003980101E-5</v>
      </c>
      <c r="AP3393" s="2">
        <v>2.7106294003980101E-5</v>
      </c>
    </row>
    <row r="3394" spans="1:42" ht="14.5" x14ac:dyDescent="0.35">
      <c r="A3394" s="2" t="s">
        <v>22555</v>
      </c>
      <c r="B3394" s="2">
        <v>606.47243889680499</v>
      </c>
      <c r="C3394" s="2">
        <v>14.048066666666699</v>
      </c>
      <c r="D3394" s="2" t="s">
        <v>34</v>
      </c>
      <c r="E3394" s="2" t="s">
        <v>22556</v>
      </c>
      <c r="F3394" s="2">
        <v>242949</v>
      </c>
      <c r="G3394" s="3" t="str">
        <f>HYPERLINK("http://funmeta.oebiotech.com/network/242949", "http://funmeta.oebiotech.com/network/242949")</f>
        <v>http://funmeta.oebiotech.com/network/242949</v>
      </c>
      <c r="H3394" s="2" t="s">
        <v>22557</v>
      </c>
      <c r="I3394" s="2"/>
      <c r="J3394" s="2"/>
      <c r="K3394" s="2"/>
      <c r="L3394" s="2"/>
      <c r="M3394" s="2"/>
      <c r="N3394" s="2"/>
      <c r="O3394" s="2"/>
      <c r="P3394" s="2"/>
      <c r="Q3394" s="2" t="s">
        <v>22558</v>
      </c>
      <c r="R3394" s="2" t="s">
        <v>22559</v>
      </c>
      <c r="S3394" s="2" t="s">
        <v>41</v>
      </c>
      <c r="T3394" s="2" t="s">
        <v>41</v>
      </c>
      <c r="U3394" s="2" t="s">
        <v>41</v>
      </c>
      <c r="V3394" s="2" t="s">
        <v>59</v>
      </c>
      <c r="W3394" s="2">
        <v>38.299999999999997</v>
      </c>
      <c r="X3394" s="2">
        <v>0</v>
      </c>
      <c r="Y3394" s="2" t="s">
        <v>394</v>
      </c>
      <c r="Z3394" s="2" t="s">
        <v>22560</v>
      </c>
      <c r="AA3394" s="2">
        <v>-0.62146850852635205</v>
      </c>
      <c r="AB3394" s="2">
        <v>0.2213468158795</v>
      </c>
      <c r="AC3394" s="2">
        <v>11490.9149288017</v>
      </c>
      <c r="AD3394" s="2">
        <v>7627.9088441997501</v>
      </c>
      <c r="AE3394" s="2">
        <v>9950.4485658772501</v>
      </c>
      <c r="AF3394" s="2">
        <v>10441.1820144464</v>
      </c>
      <c r="AG3394" s="2">
        <v>12626.006297440999</v>
      </c>
      <c r="AH3394" s="2">
        <v>12353.6072923846</v>
      </c>
      <c r="AI3394" s="2">
        <v>10397.431679014901</v>
      </c>
      <c r="AJ3394" s="2">
        <v>13176.813723645801</v>
      </c>
      <c r="AK3394" s="2">
        <v>10204.095096807199</v>
      </c>
      <c r="AL3394" s="2">
        <v>8359.8862227685604</v>
      </c>
      <c r="AM3394" s="2">
        <v>7743.2827450912</v>
      </c>
      <c r="AN3394" s="2">
        <v>6449.15351805113</v>
      </c>
      <c r="AO3394" s="2">
        <v>6482.1106138560899</v>
      </c>
      <c r="AP3394" s="2">
        <v>6528.92486862432</v>
      </c>
    </row>
    <row r="3395" spans="1:42" ht="14.5" x14ac:dyDescent="0.35">
      <c r="A3395" s="2" t="s">
        <v>22561</v>
      </c>
      <c r="B3395" s="2">
        <v>679.25505010619497</v>
      </c>
      <c r="C3395" s="2">
        <v>4.5423999999999998</v>
      </c>
      <c r="D3395" s="2" t="s">
        <v>70</v>
      </c>
      <c r="E3395" s="2" t="s">
        <v>22562</v>
      </c>
      <c r="F3395" s="2">
        <v>29596</v>
      </c>
      <c r="G3395" s="3" t="str">
        <f>HYPERLINK("http://funmeta.oebiotech.com/network/29596", "http://funmeta.oebiotech.com/network/29596")</f>
        <v>http://funmeta.oebiotech.com/network/29596</v>
      </c>
      <c r="H3395" s="2" t="s">
        <v>22563</v>
      </c>
      <c r="I3395" s="2">
        <v>47962</v>
      </c>
      <c r="J3395" s="2" t="s">
        <v>22564</v>
      </c>
      <c r="K3395" s="2"/>
      <c r="L3395" s="2" t="s">
        <v>22565</v>
      </c>
      <c r="M3395" s="2"/>
      <c r="N3395" s="2"/>
      <c r="O3395" s="2">
        <v>442770</v>
      </c>
      <c r="P3395" s="2" t="s">
        <v>22566</v>
      </c>
      <c r="Q3395" s="2" t="s">
        <v>22567</v>
      </c>
      <c r="R3395" s="2" t="s">
        <v>22568</v>
      </c>
      <c r="S3395" s="2" t="s">
        <v>115</v>
      </c>
      <c r="T3395" s="2" t="s">
        <v>1371</v>
      </c>
      <c r="U3395" s="2" t="s">
        <v>3261</v>
      </c>
      <c r="V3395" s="2" t="s">
        <v>59</v>
      </c>
      <c r="W3395" s="2">
        <v>40.200000000000003</v>
      </c>
      <c r="X3395" s="2">
        <v>3.76</v>
      </c>
      <c r="Y3395" s="2" t="s">
        <v>560</v>
      </c>
      <c r="Z3395" s="2" t="s">
        <v>4623</v>
      </c>
      <c r="AA3395" s="2">
        <v>0.26322175249944002</v>
      </c>
      <c r="AB3395" s="2">
        <v>0.22131542864987599</v>
      </c>
      <c r="AC3395" s="2">
        <v>143601.80297590801</v>
      </c>
      <c r="AD3395" s="2">
        <v>136798.87180177501</v>
      </c>
      <c r="AE3395" s="2">
        <v>147583.42685431099</v>
      </c>
      <c r="AF3395" s="2">
        <v>150231.06017524301</v>
      </c>
      <c r="AG3395" s="2">
        <v>132979.76036700601</v>
      </c>
      <c r="AH3395" s="2">
        <v>149396.74590527601</v>
      </c>
      <c r="AI3395" s="2">
        <v>133117.76039137301</v>
      </c>
      <c r="AJ3395" s="2">
        <v>148302.06416223699</v>
      </c>
      <c r="AK3395" s="2">
        <v>131488.89518222999</v>
      </c>
      <c r="AL3395" s="2">
        <v>142489.10896765999</v>
      </c>
      <c r="AM3395" s="2">
        <v>133495.19095318901</v>
      </c>
      <c r="AN3395" s="2">
        <v>144895.33941389399</v>
      </c>
      <c r="AO3395" s="2">
        <v>136755.60392477701</v>
      </c>
      <c r="AP3395" s="2">
        <v>131669.092368902</v>
      </c>
    </row>
    <row r="3396" spans="1:42" ht="14.5" x14ac:dyDescent="0.35">
      <c r="A3396" s="2" t="s">
        <v>22569</v>
      </c>
      <c r="B3396" s="2">
        <v>421.18667292934299</v>
      </c>
      <c r="C3396" s="2">
        <v>6.0864833333333301</v>
      </c>
      <c r="D3396" s="2" t="s">
        <v>70</v>
      </c>
      <c r="E3396" s="2" t="s">
        <v>22570</v>
      </c>
      <c r="F3396" s="2">
        <v>45062</v>
      </c>
      <c r="G3396" s="3" t="str">
        <f>HYPERLINK("http://funmeta.oebiotech.com/network/45062", "http://funmeta.oebiotech.com/network/45062")</f>
        <v>http://funmeta.oebiotech.com/network/45062</v>
      </c>
      <c r="H3396" s="2" t="s">
        <v>22571</v>
      </c>
      <c r="I3396" s="2">
        <v>5321</v>
      </c>
      <c r="J3396" s="2" t="s">
        <v>22572</v>
      </c>
      <c r="K3396" s="2">
        <v>89213</v>
      </c>
      <c r="L3396" s="2"/>
      <c r="M3396" s="2"/>
      <c r="N3396" s="2"/>
      <c r="O3396" s="2">
        <v>44263344</v>
      </c>
      <c r="P3396" s="2" t="s">
        <v>22573</v>
      </c>
      <c r="Q3396" s="2" t="s">
        <v>22574</v>
      </c>
      <c r="R3396" s="2" t="s">
        <v>22575</v>
      </c>
      <c r="S3396" s="2" t="s">
        <v>50</v>
      </c>
      <c r="T3396" s="2" t="s">
        <v>124</v>
      </c>
      <c r="U3396" s="2" t="s">
        <v>1136</v>
      </c>
      <c r="V3396" s="2" t="s">
        <v>59</v>
      </c>
      <c r="W3396" s="2">
        <v>38.200000000000003</v>
      </c>
      <c r="X3396" s="2">
        <v>0</v>
      </c>
      <c r="Y3396" s="2" t="s">
        <v>408</v>
      </c>
      <c r="Z3396" s="2" t="s">
        <v>7002</v>
      </c>
      <c r="AA3396" s="2">
        <v>-0.31515038211986601</v>
      </c>
      <c r="AB3396" s="2">
        <v>0.22127598621050901</v>
      </c>
      <c r="AC3396" s="2">
        <v>6452.0658742655896</v>
      </c>
      <c r="AD3396" s="2">
        <v>3109.3547067383702</v>
      </c>
      <c r="AE3396" s="2">
        <v>7498.3277400196703</v>
      </c>
      <c r="AF3396" s="2">
        <v>6520.7001513285504</v>
      </c>
      <c r="AG3396" s="2">
        <v>7025.8439820145304</v>
      </c>
      <c r="AH3396" s="2">
        <v>5769.0032867237196</v>
      </c>
      <c r="AI3396" s="2">
        <v>5998.3580764634498</v>
      </c>
      <c r="AJ3396" s="2">
        <v>5900.16200904364</v>
      </c>
      <c r="AK3396" s="2">
        <v>3287.9316395255801</v>
      </c>
      <c r="AL3396" s="2">
        <v>2668.7678157503801</v>
      </c>
      <c r="AM3396" s="2">
        <v>3437.44688964956</v>
      </c>
      <c r="AN3396" s="2">
        <v>3010.1768130923601</v>
      </c>
      <c r="AO3396" s="2">
        <v>3434.3930929223702</v>
      </c>
      <c r="AP3396" s="2">
        <v>2817.41198948994</v>
      </c>
    </row>
    <row r="3397" spans="1:42" ht="14.5" x14ac:dyDescent="0.35">
      <c r="A3397" s="2" t="s">
        <v>22576</v>
      </c>
      <c r="B3397" s="2">
        <v>420.14988398710699</v>
      </c>
      <c r="C3397" s="2">
        <v>1.7763166666666701</v>
      </c>
      <c r="D3397" s="2" t="s">
        <v>34</v>
      </c>
      <c r="E3397" s="2" t="s">
        <v>22577</v>
      </c>
      <c r="F3397" s="2">
        <v>81989</v>
      </c>
      <c r="G3397" s="3" t="str">
        <f>HYPERLINK("http://funmeta.oebiotech.com/network/81989", "http://funmeta.oebiotech.com/network/81989")</f>
        <v>http://funmeta.oebiotech.com/network/81989</v>
      </c>
      <c r="H3397" s="2" t="s">
        <v>22578</v>
      </c>
      <c r="I3397" s="2"/>
      <c r="J3397" s="2"/>
      <c r="K3397" s="2">
        <v>88690</v>
      </c>
      <c r="L3397" s="2"/>
      <c r="M3397" s="2"/>
      <c r="N3397" s="2"/>
      <c r="O3397" s="2">
        <v>124202072</v>
      </c>
      <c r="P3397" s="2"/>
      <c r="Q3397" s="2" t="s">
        <v>22579</v>
      </c>
      <c r="R3397" s="2" t="s">
        <v>22580</v>
      </c>
      <c r="S3397" s="2" t="s">
        <v>79</v>
      </c>
      <c r="T3397" s="2" t="s">
        <v>80</v>
      </c>
      <c r="U3397" s="2" t="s">
        <v>81</v>
      </c>
      <c r="V3397" s="2" t="s">
        <v>59</v>
      </c>
      <c r="W3397" s="2">
        <v>39.9</v>
      </c>
      <c r="X3397" s="2">
        <v>5.9</v>
      </c>
      <c r="Y3397" s="2" t="s">
        <v>43</v>
      </c>
      <c r="Z3397" s="2" t="s">
        <v>22581</v>
      </c>
      <c r="AA3397" s="2">
        <v>-0.38064516831884299</v>
      </c>
      <c r="AB3397" s="2">
        <v>0.22122557512500701</v>
      </c>
      <c r="AC3397" s="2">
        <v>26715.297567380701</v>
      </c>
      <c r="AD3397" s="2">
        <v>22009.405071027501</v>
      </c>
      <c r="AE3397" s="2">
        <v>24572.6025552436</v>
      </c>
      <c r="AF3397" s="2">
        <v>25965.391650399</v>
      </c>
      <c r="AG3397" s="2">
        <v>25837.9875357778</v>
      </c>
      <c r="AH3397" s="2">
        <v>25236.667891557401</v>
      </c>
      <c r="AI3397" s="2">
        <v>32397.998152185301</v>
      </c>
      <c r="AJ3397" s="2">
        <v>26281.137619121098</v>
      </c>
      <c r="AK3397" s="2">
        <v>23160.724321143502</v>
      </c>
      <c r="AL3397" s="2">
        <v>23761.251079379999</v>
      </c>
      <c r="AM3397" s="2">
        <v>18599.717519845301</v>
      </c>
      <c r="AN3397" s="2">
        <v>25340.756796698101</v>
      </c>
      <c r="AO3397" s="2">
        <v>20530.166635445901</v>
      </c>
      <c r="AP3397" s="2">
        <v>20663.8140736522</v>
      </c>
    </row>
    <row r="3398" spans="1:42" ht="14.5" x14ac:dyDescent="0.35">
      <c r="A3398" s="2" t="s">
        <v>22582</v>
      </c>
      <c r="B3398" s="2">
        <v>463.218569128063</v>
      </c>
      <c r="C3398" s="2">
        <v>4.7579333333333302</v>
      </c>
      <c r="D3398" s="2" t="s">
        <v>70</v>
      </c>
      <c r="E3398" s="2" t="s">
        <v>22583</v>
      </c>
      <c r="F3398" s="2">
        <v>55941</v>
      </c>
      <c r="G3398" s="3" t="str">
        <f>HYPERLINK("http://funmeta.oebiotech.com/network/55941", "http://funmeta.oebiotech.com/network/55941")</f>
        <v>http://funmeta.oebiotech.com/network/55941</v>
      </c>
      <c r="H3398" s="2" t="s">
        <v>22584</v>
      </c>
      <c r="I3398" s="2">
        <v>87620</v>
      </c>
      <c r="J3398" s="2"/>
      <c r="K3398" s="2">
        <v>167984</v>
      </c>
      <c r="L3398" s="2"/>
      <c r="M3398" s="2"/>
      <c r="N3398" s="2"/>
      <c r="O3398" s="2">
        <v>131751158</v>
      </c>
      <c r="P3398" s="2"/>
      <c r="Q3398" s="2" t="s">
        <v>22585</v>
      </c>
      <c r="R3398" s="2" t="s">
        <v>22586</v>
      </c>
      <c r="S3398" s="2" t="s">
        <v>79</v>
      </c>
      <c r="T3398" s="2" t="s">
        <v>80</v>
      </c>
      <c r="U3398" s="2" t="s">
        <v>81</v>
      </c>
      <c r="V3398" s="2" t="s">
        <v>59</v>
      </c>
      <c r="W3398" s="2">
        <v>46.3</v>
      </c>
      <c r="X3398" s="2">
        <v>36.5</v>
      </c>
      <c r="Y3398" s="2" t="s">
        <v>286</v>
      </c>
      <c r="Z3398" s="2" t="s">
        <v>7237</v>
      </c>
      <c r="AA3398" s="2">
        <v>0.18006407695172499</v>
      </c>
      <c r="AB3398" s="2">
        <v>0.221102318970405</v>
      </c>
      <c r="AC3398" s="2">
        <v>109395.36092176</v>
      </c>
      <c r="AD3398" s="2">
        <v>103086.13894112701</v>
      </c>
      <c r="AE3398" s="2">
        <v>123462.388354168</v>
      </c>
      <c r="AF3398" s="2">
        <v>107723.66210695299</v>
      </c>
      <c r="AG3398" s="2">
        <v>107843.352834965</v>
      </c>
      <c r="AH3398" s="2">
        <v>109854.59611328</v>
      </c>
      <c r="AI3398" s="2">
        <v>97942.337411624205</v>
      </c>
      <c r="AJ3398" s="2">
        <v>109545.82870957001</v>
      </c>
      <c r="AK3398" s="2">
        <v>102582.689680158</v>
      </c>
      <c r="AL3398" s="2">
        <v>106951.571049961</v>
      </c>
      <c r="AM3398" s="2">
        <v>104758.361413748</v>
      </c>
      <c r="AN3398" s="2">
        <v>103341.53272968299</v>
      </c>
      <c r="AO3398" s="2">
        <v>101289.023293245</v>
      </c>
      <c r="AP3398" s="2">
        <v>99593.655479967201</v>
      </c>
    </row>
    <row r="3399" spans="1:42" ht="14.5" x14ac:dyDescent="0.35">
      <c r="A3399" s="2" t="s">
        <v>22587</v>
      </c>
      <c r="B3399" s="2">
        <v>395.14746238499498</v>
      </c>
      <c r="C3399" s="2">
        <v>9.1537000000000006</v>
      </c>
      <c r="D3399" s="2" t="s">
        <v>70</v>
      </c>
      <c r="E3399" s="2" t="s">
        <v>22588</v>
      </c>
      <c r="F3399" s="2">
        <v>62873</v>
      </c>
      <c r="G3399" s="3" t="str">
        <f>HYPERLINK("http://funmeta.oebiotech.com/network/62873", "http://funmeta.oebiotech.com/network/62873")</f>
        <v>http://funmeta.oebiotech.com/network/62873</v>
      </c>
      <c r="H3399" s="2" t="s">
        <v>22589</v>
      </c>
      <c r="I3399" s="2"/>
      <c r="J3399" s="2"/>
      <c r="K3399" s="2"/>
      <c r="L3399" s="2"/>
      <c r="M3399" s="2"/>
      <c r="N3399" s="2"/>
      <c r="O3399" s="2">
        <v>131752691</v>
      </c>
      <c r="P3399" s="2" t="s">
        <v>22590</v>
      </c>
      <c r="Q3399" s="2" t="s">
        <v>22591</v>
      </c>
      <c r="R3399" s="2" t="s">
        <v>22592</v>
      </c>
      <c r="S3399" s="2" t="s">
        <v>148</v>
      </c>
      <c r="T3399" s="2" t="s">
        <v>392</v>
      </c>
      <c r="U3399" s="2" t="s">
        <v>3450</v>
      </c>
      <c r="V3399" s="2" t="s">
        <v>59</v>
      </c>
      <c r="W3399" s="2">
        <v>37.1</v>
      </c>
      <c r="X3399" s="2">
        <v>0</v>
      </c>
      <c r="Y3399" s="2" t="s">
        <v>118</v>
      </c>
      <c r="Z3399" s="2" t="s">
        <v>22593</v>
      </c>
      <c r="AA3399" s="2">
        <v>-6.4360043832052201</v>
      </c>
      <c r="AB3399" s="2">
        <v>0.22106966840354</v>
      </c>
      <c r="AC3399" s="2">
        <v>5434.3030970418904</v>
      </c>
      <c r="AD3399" s="2">
        <v>15.476325061415199</v>
      </c>
      <c r="AE3399" s="2">
        <v>2025.9592067614001</v>
      </c>
      <c r="AF3399" s="2">
        <v>16907.584245257101</v>
      </c>
      <c r="AG3399" s="2">
        <v>3846.6601216976601</v>
      </c>
      <c r="AH3399" s="2">
        <v>5205.4473558437503</v>
      </c>
      <c r="AI3399" s="2">
        <v>571.24520734736802</v>
      </c>
      <c r="AJ3399" s="2">
        <v>4048.9224453440402</v>
      </c>
      <c r="AK3399" s="2">
        <v>2.7106294003980101E-5</v>
      </c>
      <c r="AL3399" s="2">
        <v>2.7106294003980101E-5</v>
      </c>
      <c r="AM3399" s="2">
        <v>2.7106294003980101E-5</v>
      </c>
      <c r="AN3399" s="2">
        <v>2.7106294003980101E-5</v>
      </c>
      <c r="AO3399" s="2">
        <v>92.857814837021195</v>
      </c>
      <c r="AP3399" s="2">
        <v>2.7106294003980101E-5</v>
      </c>
    </row>
    <row r="3400" spans="1:42" ht="14.5" x14ac:dyDescent="0.35">
      <c r="A3400" s="2" t="s">
        <v>22594</v>
      </c>
      <c r="B3400" s="2">
        <v>476.074867605603</v>
      </c>
      <c r="C3400" s="2">
        <v>3.7887</v>
      </c>
      <c r="D3400" s="2" t="s">
        <v>34</v>
      </c>
      <c r="E3400" s="2" t="s">
        <v>22595</v>
      </c>
      <c r="F3400" s="2">
        <v>207917</v>
      </c>
      <c r="G3400" s="3" t="str">
        <f>HYPERLINK("http://funmeta.oebiotech.com/network/207917", "http://funmeta.oebiotech.com/network/207917")</f>
        <v>http://funmeta.oebiotech.com/network/207917</v>
      </c>
      <c r="H3400" s="2" t="s">
        <v>22596</v>
      </c>
      <c r="I3400" s="2"/>
      <c r="J3400" s="2"/>
      <c r="K3400" s="2"/>
      <c r="L3400" s="2"/>
      <c r="M3400" s="2"/>
      <c r="N3400" s="2"/>
      <c r="O3400" s="2">
        <v>21937662</v>
      </c>
      <c r="P3400" s="2"/>
      <c r="Q3400" s="2" t="s">
        <v>22597</v>
      </c>
      <c r="R3400" s="2" t="s">
        <v>22598</v>
      </c>
      <c r="S3400" s="2" t="s">
        <v>148</v>
      </c>
      <c r="T3400" s="2" t="s">
        <v>149</v>
      </c>
      <c r="U3400" s="2" t="s">
        <v>15271</v>
      </c>
      <c r="V3400" s="2" t="s">
        <v>59</v>
      </c>
      <c r="W3400" s="2">
        <v>36.700000000000003</v>
      </c>
      <c r="X3400" s="2">
        <v>0</v>
      </c>
      <c r="Y3400" s="2" t="s">
        <v>340</v>
      </c>
      <c r="Z3400" s="2" t="s">
        <v>22599</v>
      </c>
      <c r="AA3400" s="2">
        <v>-1.0937767477231299</v>
      </c>
      <c r="AB3400" s="2">
        <v>0.221060092806213</v>
      </c>
      <c r="AC3400" s="2">
        <v>6887.4112782894999</v>
      </c>
      <c r="AD3400" s="2">
        <v>10338.272165075499</v>
      </c>
      <c r="AE3400" s="2">
        <v>8001.0439352987096</v>
      </c>
      <c r="AF3400" s="2">
        <v>5730.7418383393997</v>
      </c>
      <c r="AG3400" s="2">
        <v>6257.4000689643999</v>
      </c>
      <c r="AH3400" s="2">
        <v>6339.86409963817</v>
      </c>
      <c r="AI3400" s="2">
        <v>6924.9915047860204</v>
      </c>
      <c r="AJ3400" s="2">
        <v>8070.42622271033</v>
      </c>
      <c r="AK3400" s="2">
        <v>10062.6529278122</v>
      </c>
      <c r="AL3400" s="2">
        <v>10408.137936991399</v>
      </c>
      <c r="AM3400" s="2">
        <v>11017.313102185901</v>
      </c>
      <c r="AN3400" s="2">
        <v>9657.1423877442794</v>
      </c>
      <c r="AO3400" s="2">
        <v>10382.2229559037</v>
      </c>
      <c r="AP3400" s="2">
        <v>10502.1636798155</v>
      </c>
    </row>
    <row r="3401" spans="1:42" ht="14.5" x14ac:dyDescent="0.35">
      <c r="A3401" s="2" t="s">
        <v>22600</v>
      </c>
      <c r="B3401" s="2">
        <v>523.17739900498896</v>
      </c>
      <c r="C3401" s="2">
        <v>5.8226333333333304</v>
      </c>
      <c r="D3401" s="2" t="s">
        <v>70</v>
      </c>
      <c r="E3401" s="2" t="s">
        <v>22601</v>
      </c>
      <c r="F3401" s="2">
        <v>212664</v>
      </c>
      <c r="G3401" s="3" t="str">
        <f>HYPERLINK("http://funmeta.oebiotech.com/network/212664", "http://funmeta.oebiotech.com/network/212664")</f>
        <v>http://funmeta.oebiotech.com/network/212664</v>
      </c>
      <c r="H3401" s="2" t="s">
        <v>22602</v>
      </c>
      <c r="I3401" s="2"/>
      <c r="J3401" s="2"/>
      <c r="K3401" s="2"/>
      <c r="L3401" s="2"/>
      <c r="M3401" s="2"/>
      <c r="N3401" s="2"/>
      <c r="O3401" s="2"/>
      <c r="P3401" s="2"/>
      <c r="Q3401" s="2" t="s">
        <v>22603</v>
      </c>
      <c r="R3401" s="2" t="s">
        <v>22604</v>
      </c>
      <c r="S3401" s="2" t="s">
        <v>148</v>
      </c>
      <c r="T3401" s="2" t="s">
        <v>149</v>
      </c>
      <c r="U3401" s="2" t="s">
        <v>22605</v>
      </c>
      <c r="V3401" s="2" t="s">
        <v>59</v>
      </c>
      <c r="W3401" s="2">
        <v>38</v>
      </c>
      <c r="X3401" s="2">
        <v>0</v>
      </c>
      <c r="Y3401" s="2" t="s">
        <v>560</v>
      </c>
      <c r="Z3401" s="2" t="s">
        <v>22606</v>
      </c>
      <c r="AA3401" s="2">
        <v>4.5808776960791704</v>
      </c>
      <c r="AB3401" s="2">
        <v>0.221021718719416</v>
      </c>
      <c r="AC3401" s="2">
        <v>5176.1414741333601</v>
      </c>
      <c r="AD3401" s="2">
        <v>8812.0170601416703</v>
      </c>
      <c r="AE3401" s="2">
        <v>4797.4677626985504</v>
      </c>
      <c r="AF3401" s="2">
        <v>4991.2608498070103</v>
      </c>
      <c r="AG3401" s="2">
        <v>6009.7215626343404</v>
      </c>
      <c r="AH3401" s="2">
        <v>4198.2096837916897</v>
      </c>
      <c r="AI3401" s="2">
        <v>5733.74043581141</v>
      </c>
      <c r="AJ3401" s="2">
        <v>5326.44855005713</v>
      </c>
      <c r="AK3401" s="2">
        <v>8300.9521840559901</v>
      </c>
      <c r="AL3401" s="2">
        <v>9593.7497648671706</v>
      </c>
      <c r="AM3401" s="2">
        <v>9524.5298768666507</v>
      </c>
      <c r="AN3401" s="2">
        <v>6490.4958648672</v>
      </c>
      <c r="AO3401" s="2">
        <v>10319.9470437622</v>
      </c>
      <c r="AP3401" s="2">
        <v>8642.4276264308101</v>
      </c>
    </row>
    <row r="3402" spans="1:42" ht="14.5" x14ac:dyDescent="0.35">
      <c r="A3402" s="2" t="s">
        <v>22607</v>
      </c>
      <c r="B3402" s="2">
        <v>121.025595317772</v>
      </c>
      <c r="C3402" s="2">
        <v>6.7822666666666702</v>
      </c>
      <c r="D3402" s="2" t="s">
        <v>70</v>
      </c>
      <c r="E3402" s="2" t="s">
        <v>22608</v>
      </c>
      <c r="F3402" s="2">
        <v>255910</v>
      </c>
      <c r="G3402" s="3" t="str">
        <f>HYPERLINK("http://funmeta.oebiotech.com/network/255910", "http://funmeta.oebiotech.com/network/255910")</f>
        <v>http://funmeta.oebiotech.com/network/255910</v>
      </c>
      <c r="H3402" s="2" t="s">
        <v>22609</v>
      </c>
      <c r="I3402" s="2"/>
      <c r="J3402" s="2"/>
      <c r="K3402" s="2"/>
      <c r="L3402" s="2"/>
      <c r="M3402" s="2"/>
      <c r="N3402" s="2"/>
      <c r="O3402" s="2">
        <v>6328935</v>
      </c>
      <c r="P3402" s="2"/>
      <c r="Q3402" s="2" t="s">
        <v>22610</v>
      </c>
      <c r="R3402" s="2" t="s">
        <v>22611</v>
      </c>
      <c r="S3402" s="2" t="s">
        <v>89</v>
      </c>
      <c r="T3402" s="2" t="s">
        <v>90</v>
      </c>
      <c r="U3402" s="2" t="s">
        <v>22612</v>
      </c>
      <c r="V3402" s="2" t="s">
        <v>59</v>
      </c>
      <c r="W3402" s="2">
        <v>37.9</v>
      </c>
      <c r="X3402" s="2">
        <v>0</v>
      </c>
      <c r="Y3402" s="2" t="s">
        <v>118</v>
      </c>
      <c r="Z3402" s="2" t="s">
        <v>22613</v>
      </c>
      <c r="AA3402" s="2">
        <v>0.94293954631111598</v>
      </c>
      <c r="AB3402" s="2">
        <v>0.22100040444319</v>
      </c>
      <c r="AC3402" s="2">
        <v>15330.916832700201</v>
      </c>
      <c r="AD3402" s="2">
        <v>12058.476850152299</v>
      </c>
      <c r="AE3402" s="2">
        <v>15225.523612871501</v>
      </c>
      <c r="AF3402" s="2">
        <v>15293.0203286296</v>
      </c>
      <c r="AG3402" s="2">
        <v>15488.4392643145</v>
      </c>
      <c r="AH3402" s="2">
        <v>15228.139784539801</v>
      </c>
      <c r="AI3402" s="2">
        <v>14715.0456202854</v>
      </c>
      <c r="AJ3402" s="2">
        <v>16035.332385560199</v>
      </c>
      <c r="AK3402" s="2">
        <v>11719.1899630431</v>
      </c>
      <c r="AL3402" s="2">
        <v>12414.9130228052</v>
      </c>
      <c r="AM3402" s="2">
        <v>12433.834846939601</v>
      </c>
      <c r="AN3402" s="2">
        <v>12154.748148492899</v>
      </c>
      <c r="AO3402" s="2">
        <v>12013.1783720845</v>
      </c>
      <c r="AP3402" s="2">
        <v>11614.996747548401</v>
      </c>
    </row>
    <row r="3403" spans="1:42" ht="14.5" x14ac:dyDescent="0.35">
      <c r="A3403" s="2" t="s">
        <v>22614</v>
      </c>
      <c r="B3403" s="2">
        <v>417.22665490983297</v>
      </c>
      <c r="C3403" s="2">
        <v>7.4977999999999998</v>
      </c>
      <c r="D3403" s="2" t="s">
        <v>34</v>
      </c>
      <c r="E3403" s="2" t="s">
        <v>22615</v>
      </c>
      <c r="F3403" s="2">
        <v>44713</v>
      </c>
      <c r="G3403" s="3" t="str">
        <f>HYPERLINK("http://funmeta.oebiotech.com/network/44713", "http://funmeta.oebiotech.com/network/44713")</f>
        <v>http://funmeta.oebiotech.com/network/44713</v>
      </c>
      <c r="H3403" s="2"/>
      <c r="I3403" s="2"/>
      <c r="J3403" s="2" t="s">
        <v>22616</v>
      </c>
      <c r="K3403" s="2"/>
      <c r="L3403" s="2"/>
      <c r="M3403" s="2"/>
      <c r="N3403" s="2"/>
      <c r="O3403" s="2">
        <v>10003044</v>
      </c>
      <c r="P3403" s="2"/>
      <c r="Q3403" s="2" t="s">
        <v>22617</v>
      </c>
      <c r="R3403" s="2" t="s">
        <v>22618</v>
      </c>
      <c r="S3403" s="2" t="s">
        <v>50</v>
      </c>
      <c r="T3403" s="2" t="s">
        <v>124</v>
      </c>
      <c r="U3403" s="2" t="s">
        <v>567</v>
      </c>
      <c r="V3403" s="2" t="s">
        <v>42</v>
      </c>
      <c r="W3403" s="2">
        <v>47.1</v>
      </c>
      <c r="X3403" s="2">
        <v>46.4</v>
      </c>
      <c r="Y3403" s="2" t="s">
        <v>1115</v>
      </c>
      <c r="Z3403" s="2" t="s">
        <v>1532</v>
      </c>
      <c r="AA3403" s="2">
        <v>-1.1751075093459</v>
      </c>
      <c r="AB3403" s="2">
        <v>0.22099298383436</v>
      </c>
      <c r="AC3403" s="2">
        <v>86655.226851140993</v>
      </c>
      <c r="AD3403" s="2">
        <v>80466.373053969699</v>
      </c>
      <c r="AE3403" s="2">
        <v>89668.267053934396</v>
      </c>
      <c r="AF3403" s="2">
        <v>80538.918190327997</v>
      </c>
      <c r="AG3403" s="2">
        <v>87890.375404159597</v>
      </c>
      <c r="AH3403" s="2">
        <v>88516.785308313396</v>
      </c>
      <c r="AI3403" s="2">
        <v>82035.355188165806</v>
      </c>
      <c r="AJ3403" s="2">
        <v>91281.659961944897</v>
      </c>
      <c r="AK3403" s="2">
        <v>73382.8538423875</v>
      </c>
      <c r="AL3403" s="2">
        <v>82922.651013072202</v>
      </c>
      <c r="AM3403" s="2">
        <v>78872.082617742999</v>
      </c>
      <c r="AN3403" s="2">
        <v>72242.087563368696</v>
      </c>
      <c r="AO3403" s="2">
        <v>87187.244653165093</v>
      </c>
      <c r="AP3403" s="2">
        <v>88191.318634081996</v>
      </c>
    </row>
    <row r="3404" spans="1:42" ht="14.5" x14ac:dyDescent="0.35">
      <c r="A3404" s="2" t="s">
        <v>22619</v>
      </c>
      <c r="B3404" s="2">
        <v>869.41586921622297</v>
      </c>
      <c r="C3404" s="2">
        <v>9.9024166666666709</v>
      </c>
      <c r="D3404" s="2" t="s">
        <v>70</v>
      </c>
      <c r="E3404" s="2" t="s">
        <v>22620</v>
      </c>
      <c r="F3404" s="2">
        <v>60600</v>
      </c>
      <c r="G3404" s="3" t="str">
        <f>HYPERLINK("http://funmeta.oebiotech.com/network/60600", "http://funmeta.oebiotech.com/network/60600")</f>
        <v>http://funmeta.oebiotech.com/network/60600</v>
      </c>
      <c r="H3404" s="2" t="s">
        <v>22621</v>
      </c>
      <c r="I3404" s="2">
        <v>91931</v>
      </c>
      <c r="J3404" s="2"/>
      <c r="K3404" s="2"/>
      <c r="L3404" s="2"/>
      <c r="M3404" s="2"/>
      <c r="N3404" s="2"/>
      <c r="O3404" s="2">
        <v>76401311</v>
      </c>
      <c r="P3404" s="2" t="s">
        <v>22622</v>
      </c>
      <c r="Q3404" s="2" t="s">
        <v>22623</v>
      </c>
      <c r="R3404" s="2" t="s">
        <v>22624</v>
      </c>
      <c r="S3404" s="2" t="s">
        <v>50</v>
      </c>
      <c r="T3404" s="2" t="s">
        <v>201</v>
      </c>
      <c r="U3404" s="2" t="s">
        <v>202</v>
      </c>
      <c r="V3404" s="2" t="s">
        <v>59</v>
      </c>
      <c r="W3404" s="2">
        <v>38.6</v>
      </c>
      <c r="X3404" s="2">
        <v>0</v>
      </c>
      <c r="Y3404" s="2" t="s">
        <v>408</v>
      </c>
      <c r="Z3404" s="2" t="s">
        <v>22625</v>
      </c>
      <c r="AA3404" s="2">
        <v>-2.14650351433826</v>
      </c>
      <c r="AB3404" s="2">
        <v>0.22081736011488801</v>
      </c>
      <c r="AC3404" s="2">
        <v>11765.1330191006</v>
      </c>
      <c r="AD3404" s="2">
        <v>15797.769349272199</v>
      </c>
      <c r="AE3404" s="2">
        <v>10374.896083388399</v>
      </c>
      <c r="AF3404" s="2">
        <v>11140.4825798724</v>
      </c>
      <c r="AG3404" s="2">
        <v>12781.864435567701</v>
      </c>
      <c r="AH3404" s="2">
        <v>12682.3328971433</v>
      </c>
      <c r="AI3404" s="2">
        <v>13656.7911248624</v>
      </c>
      <c r="AJ3404" s="2">
        <v>9954.4309937695107</v>
      </c>
      <c r="AK3404" s="2">
        <v>15186.3555561986</v>
      </c>
      <c r="AL3404" s="2">
        <v>13246.543008939299</v>
      </c>
      <c r="AM3404" s="2">
        <v>17764.054958717799</v>
      </c>
      <c r="AN3404" s="2">
        <v>14378.7984556433</v>
      </c>
      <c r="AO3404" s="2">
        <v>15926.0521162719</v>
      </c>
      <c r="AP3404" s="2">
        <v>18284.811999862301</v>
      </c>
    </row>
    <row r="3405" spans="1:42" ht="14.5" x14ac:dyDescent="0.35">
      <c r="A3405" s="2" t="s">
        <v>22626</v>
      </c>
      <c r="B3405" s="2">
        <v>197.117157205913</v>
      </c>
      <c r="C3405" s="2">
        <v>4.3961833333333296</v>
      </c>
      <c r="D3405" s="2" t="s">
        <v>34</v>
      </c>
      <c r="E3405" s="2" t="s">
        <v>22627</v>
      </c>
      <c r="F3405" s="2">
        <v>255389</v>
      </c>
      <c r="G3405" s="3" t="str">
        <f>HYPERLINK("http://funmeta.oebiotech.com/network/255389", "http://funmeta.oebiotech.com/network/255389")</f>
        <v>http://funmeta.oebiotech.com/network/255389</v>
      </c>
      <c r="H3405" s="2" t="s">
        <v>22628</v>
      </c>
      <c r="I3405" s="2"/>
      <c r="J3405" s="2"/>
      <c r="K3405" s="2"/>
      <c r="L3405" s="2"/>
      <c r="M3405" s="2"/>
      <c r="N3405" s="2"/>
      <c r="O3405" s="2">
        <v>100332</v>
      </c>
      <c r="P3405" s="2"/>
      <c r="Q3405" s="2" t="s">
        <v>22629</v>
      </c>
      <c r="R3405" s="2" t="s">
        <v>22630</v>
      </c>
      <c r="S3405" s="2" t="s">
        <v>491</v>
      </c>
      <c r="T3405" s="2" t="s">
        <v>19122</v>
      </c>
      <c r="U3405" s="2" t="s">
        <v>41</v>
      </c>
      <c r="V3405" s="2" t="s">
        <v>42</v>
      </c>
      <c r="W3405" s="2">
        <v>48.9</v>
      </c>
      <c r="X3405" s="2">
        <v>48.5</v>
      </c>
      <c r="Y3405" s="2" t="s">
        <v>266</v>
      </c>
      <c r="Z3405" s="2" t="s">
        <v>22631</v>
      </c>
      <c r="AA3405" s="2">
        <v>-0.32429710441096699</v>
      </c>
      <c r="AB3405" s="2">
        <v>0.220804092814642</v>
      </c>
      <c r="AC3405" s="2">
        <v>85920.041474172103</v>
      </c>
      <c r="AD3405" s="2">
        <v>90740.676939371406</v>
      </c>
      <c r="AE3405" s="2">
        <v>85765.156137185506</v>
      </c>
      <c r="AF3405" s="2">
        <v>86327.584644873903</v>
      </c>
      <c r="AG3405" s="2">
        <v>84542.574786798607</v>
      </c>
      <c r="AH3405" s="2">
        <v>81860.741874300904</v>
      </c>
      <c r="AI3405" s="2">
        <v>87769.170306922097</v>
      </c>
      <c r="AJ3405" s="2">
        <v>89255.021094951604</v>
      </c>
      <c r="AK3405" s="2">
        <v>93333.173094474405</v>
      </c>
      <c r="AL3405" s="2">
        <v>86726.465962198607</v>
      </c>
      <c r="AM3405" s="2">
        <v>89898.393212300696</v>
      </c>
      <c r="AN3405" s="2">
        <v>92613.639348972807</v>
      </c>
      <c r="AO3405" s="2">
        <v>87020.022899297895</v>
      </c>
      <c r="AP3405" s="2">
        <v>94852.367118984199</v>
      </c>
    </row>
    <row r="3406" spans="1:42" ht="14.5" x14ac:dyDescent="0.35">
      <c r="A3406" s="2" t="s">
        <v>22632</v>
      </c>
      <c r="B3406" s="2">
        <v>268.09654237376702</v>
      </c>
      <c r="C3406" s="2">
        <v>9.6898833333333307</v>
      </c>
      <c r="D3406" s="2" t="s">
        <v>34</v>
      </c>
      <c r="E3406" s="2" t="s">
        <v>22633</v>
      </c>
      <c r="F3406" s="2">
        <v>200225</v>
      </c>
      <c r="G3406" s="3" t="str">
        <f>HYPERLINK("http://funmeta.oebiotech.com/network/200225", "http://funmeta.oebiotech.com/network/200225")</f>
        <v>http://funmeta.oebiotech.com/network/200225</v>
      </c>
      <c r="H3406" s="2" t="s">
        <v>22634</v>
      </c>
      <c r="I3406" s="2">
        <v>64632</v>
      </c>
      <c r="J3406" s="2"/>
      <c r="K3406" s="2">
        <v>77954</v>
      </c>
      <c r="L3406" s="2"/>
      <c r="M3406" s="2"/>
      <c r="N3406" s="2"/>
      <c r="O3406" s="2">
        <v>4713</v>
      </c>
      <c r="P3406" s="2" t="s">
        <v>22635</v>
      </c>
      <c r="Q3406" s="2" t="s">
        <v>22636</v>
      </c>
      <c r="R3406" s="2" t="s">
        <v>22637</v>
      </c>
      <c r="S3406" s="2" t="s">
        <v>115</v>
      </c>
      <c r="T3406" s="2" t="s">
        <v>139</v>
      </c>
      <c r="U3406" s="2" t="s">
        <v>1552</v>
      </c>
      <c r="V3406" s="2" t="s">
        <v>42</v>
      </c>
      <c r="W3406" s="2">
        <v>51.4</v>
      </c>
      <c r="X3406" s="2">
        <v>61.8</v>
      </c>
      <c r="Y3406" s="2" t="s">
        <v>394</v>
      </c>
      <c r="Z3406" s="2" t="s">
        <v>22638</v>
      </c>
      <c r="AA3406" s="2">
        <v>-1.038373197833</v>
      </c>
      <c r="AB3406" s="2">
        <v>0.220765279847075</v>
      </c>
      <c r="AC3406" s="2">
        <v>23645.362659763701</v>
      </c>
      <c r="AD3406" s="2">
        <v>20162.704212007498</v>
      </c>
      <c r="AE3406" s="2">
        <v>23986.4889996331</v>
      </c>
      <c r="AF3406" s="2">
        <v>23420.618810553598</v>
      </c>
      <c r="AG3406" s="2">
        <v>23705.250968754601</v>
      </c>
      <c r="AH3406" s="2">
        <v>24167.5814017511</v>
      </c>
      <c r="AI3406" s="2">
        <v>22152.3462273888</v>
      </c>
      <c r="AJ3406" s="2">
        <v>24439.889550500899</v>
      </c>
      <c r="AK3406" s="2">
        <v>19537.536791836999</v>
      </c>
      <c r="AL3406" s="2">
        <v>21755.4554011816</v>
      </c>
      <c r="AM3406" s="2">
        <v>20150.208733854201</v>
      </c>
      <c r="AN3406" s="2">
        <v>19049.893609225001</v>
      </c>
      <c r="AO3406" s="2">
        <v>20298.738550166501</v>
      </c>
      <c r="AP3406" s="2">
        <v>20184.392185780402</v>
      </c>
    </row>
    <row r="3407" spans="1:42" ht="14.5" x14ac:dyDescent="0.35">
      <c r="A3407" s="2" t="s">
        <v>22639</v>
      </c>
      <c r="B3407" s="2">
        <v>237.116449828876</v>
      </c>
      <c r="C3407" s="2">
        <v>3.8609</v>
      </c>
      <c r="D3407" s="2" t="s">
        <v>34</v>
      </c>
      <c r="E3407" s="2" t="s">
        <v>22640</v>
      </c>
      <c r="F3407" s="2">
        <v>82685</v>
      </c>
      <c r="G3407" s="3" t="str">
        <f>HYPERLINK("http://funmeta.oebiotech.com/network/82685", "http://funmeta.oebiotech.com/network/82685")</f>
        <v>http://funmeta.oebiotech.com/network/82685</v>
      </c>
      <c r="H3407" s="2" t="s">
        <v>22641</v>
      </c>
      <c r="I3407" s="2"/>
      <c r="J3407" s="2"/>
      <c r="K3407" s="2"/>
      <c r="L3407" s="2"/>
      <c r="M3407" s="2"/>
      <c r="N3407" s="2"/>
      <c r="O3407" s="2">
        <v>2772144</v>
      </c>
      <c r="P3407" s="2"/>
      <c r="Q3407" s="2" t="s">
        <v>22642</v>
      </c>
      <c r="R3407" s="2" t="s">
        <v>22643</v>
      </c>
      <c r="S3407" s="2" t="s">
        <v>491</v>
      </c>
      <c r="T3407" s="2" t="s">
        <v>5190</v>
      </c>
      <c r="U3407" s="2" t="s">
        <v>5191</v>
      </c>
      <c r="V3407" s="2" t="s">
        <v>59</v>
      </c>
      <c r="W3407" s="2">
        <v>36.4</v>
      </c>
      <c r="X3407" s="2">
        <v>0</v>
      </c>
      <c r="Y3407" s="2" t="s">
        <v>43</v>
      </c>
      <c r="Z3407" s="2" t="s">
        <v>22644</v>
      </c>
      <c r="AA3407" s="2">
        <v>-1.7990095112484901</v>
      </c>
      <c r="AB3407" s="2">
        <v>0.22067301927934499</v>
      </c>
      <c r="AC3407" s="2">
        <v>14265.3726555501</v>
      </c>
      <c r="AD3407" s="2">
        <v>10586.679070350499</v>
      </c>
      <c r="AE3407" s="2">
        <v>13444.9400330054</v>
      </c>
      <c r="AF3407" s="2">
        <v>12567.5327880163</v>
      </c>
      <c r="AG3407" s="2">
        <v>13452.747737473799</v>
      </c>
      <c r="AH3407" s="2">
        <v>15471.5545284247</v>
      </c>
      <c r="AI3407" s="2">
        <v>14968.7004403597</v>
      </c>
      <c r="AJ3407" s="2">
        <v>15686.7604060208</v>
      </c>
      <c r="AK3407" s="2">
        <v>9966.5683845165804</v>
      </c>
      <c r="AL3407" s="2">
        <v>10723.389170284299</v>
      </c>
      <c r="AM3407" s="2">
        <v>9721.7130624101101</v>
      </c>
      <c r="AN3407" s="2">
        <v>10825.5115107442</v>
      </c>
      <c r="AO3407" s="2">
        <v>9978.5863196227201</v>
      </c>
      <c r="AP3407" s="2">
        <v>12304.305974525099</v>
      </c>
    </row>
    <row r="3408" spans="1:42" ht="14.5" x14ac:dyDescent="0.35">
      <c r="A3408" s="2" t="s">
        <v>22645</v>
      </c>
      <c r="B3408" s="2">
        <v>399.21651453831203</v>
      </c>
      <c r="C3408" s="2">
        <v>9.1206166666666704</v>
      </c>
      <c r="D3408" s="2" t="s">
        <v>34</v>
      </c>
      <c r="E3408" s="2" t="s">
        <v>22646</v>
      </c>
      <c r="F3408" s="2">
        <v>55325</v>
      </c>
      <c r="G3408" s="3" t="str">
        <f>HYPERLINK("http://funmeta.oebiotech.com/network/55325", "http://funmeta.oebiotech.com/network/55325")</f>
        <v>http://funmeta.oebiotech.com/network/55325</v>
      </c>
      <c r="H3408" s="2" t="s">
        <v>22647</v>
      </c>
      <c r="I3408" s="2"/>
      <c r="J3408" s="2"/>
      <c r="K3408" s="2"/>
      <c r="L3408" s="2"/>
      <c r="M3408" s="2"/>
      <c r="N3408" s="2"/>
      <c r="O3408" s="2">
        <v>131751043</v>
      </c>
      <c r="P3408" s="2" t="s">
        <v>22648</v>
      </c>
      <c r="Q3408" s="2" t="s">
        <v>22649</v>
      </c>
      <c r="R3408" s="2" t="s">
        <v>22650</v>
      </c>
      <c r="S3408" s="2" t="s">
        <v>491</v>
      </c>
      <c r="T3408" s="2" t="s">
        <v>12134</v>
      </c>
      <c r="U3408" s="2" t="s">
        <v>14916</v>
      </c>
      <c r="V3408" s="2" t="s">
        <v>42</v>
      </c>
      <c r="W3408" s="2">
        <v>51.7</v>
      </c>
      <c r="X3408" s="2">
        <v>66</v>
      </c>
      <c r="Y3408" s="2" t="s">
        <v>141</v>
      </c>
      <c r="Z3408" s="2" t="s">
        <v>9196</v>
      </c>
      <c r="AA3408" s="2">
        <v>-0.20651412907990599</v>
      </c>
      <c r="AB3408" s="2">
        <v>0.22064855151839599</v>
      </c>
      <c r="AC3408" s="2">
        <v>11101.342080652201</v>
      </c>
      <c r="AD3408" s="2">
        <v>7772.6463353089102</v>
      </c>
      <c r="AE3408" s="2">
        <v>10969.306584002001</v>
      </c>
      <c r="AF3408" s="2">
        <v>10833.5154671908</v>
      </c>
      <c r="AG3408" s="2">
        <v>11025.7355741797</v>
      </c>
      <c r="AH3408" s="2">
        <v>11706.7544428561</v>
      </c>
      <c r="AI3408" s="2">
        <v>10418.1622543965</v>
      </c>
      <c r="AJ3408" s="2">
        <v>11654.578161288</v>
      </c>
      <c r="AK3408" s="2">
        <v>6858.0617300571903</v>
      </c>
      <c r="AL3408" s="2">
        <v>8384.6864011853395</v>
      </c>
      <c r="AM3408" s="2">
        <v>8221.0740137979901</v>
      </c>
      <c r="AN3408" s="2">
        <v>8149.6531949568098</v>
      </c>
      <c r="AO3408" s="2">
        <v>7378.6486941184803</v>
      </c>
      <c r="AP3408" s="2">
        <v>7643.7539777376596</v>
      </c>
    </row>
    <row r="3409" spans="1:42" ht="14.5" x14ac:dyDescent="0.35">
      <c r="A3409" s="2" t="s">
        <v>22651</v>
      </c>
      <c r="B3409" s="2">
        <v>361.23678333694698</v>
      </c>
      <c r="C3409" s="2">
        <v>8.0825833333333303</v>
      </c>
      <c r="D3409" s="2" t="s">
        <v>34</v>
      </c>
      <c r="E3409" s="2" t="s">
        <v>22652</v>
      </c>
      <c r="F3409" s="2">
        <v>4905</v>
      </c>
      <c r="G3409" s="3" t="str">
        <f>HYPERLINK("http://funmeta.oebiotech.com/network/4905", "http://funmeta.oebiotech.com/network/4905")</f>
        <v>http://funmeta.oebiotech.com/network/4905</v>
      </c>
      <c r="H3409" s="2"/>
      <c r="I3409" s="2"/>
      <c r="J3409" s="2" t="s">
        <v>22653</v>
      </c>
      <c r="K3409" s="2"/>
      <c r="L3409" s="2"/>
      <c r="M3409" s="2"/>
      <c r="N3409" s="2"/>
      <c r="O3409" s="2">
        <v>101946676</v>
      </c>
      <c r="P3409" s="2"/>
      <c r="Q3409" s="2" t="s">
        <v>22654</v>
      </c>
      <c r="R3409" s="2" t="s">
        <v>22655</v>
      </c>
      <c r="S3409" s="2" t="s">
        <v>50</v>
      </c>
      <c r="T3409" s="2" t="s">
        <v>229</v>
      </c>
      <c r="U3409" s="2" t="s">
        <v>433</v>
      </c>
      <c r="V3409" s="2" t="s">
        <v>42</v>
      </c>
      <c r="W3409" s="2">
        <v>49.8</v>
      </c>
      <c r="X3409" s="2">
        <v>59.2</v>
      </c>
      <c r="Y3409" s="2" t="s">
        <v>141</v>
      </c>
      <c r="Z3409" s="2" t="s">
        <v>18506</v>
      </c>
      <c r="AA3409" s="2">
        <v>-1.4609780055779999</v>
      </c>
      <c r="AB3409" s="2">
        <v>0.22058937499926801</v>
      </c>
      <c r="AC3409" s="2">
        <v>886.25103188980995</v>
      </c>
      <c r="AD3409" s="2">
        <v>4295.61109139579</v>
      </c>
      <c r="AE3409" s="2">
        <v>957.27764377212304</v>
      </c>
      <c r="AF3409" s="2">
        <v>548.33751199556104</v>
      </c>
      <c r="AG3409" s="2">
        <v>1070.9386198228999</v>
      </c>
      <c r="AH3409" s="2">
        <v>688.28783404264595</v>
      </c>
      <c r="AI3409" s="2">
        <v>1254.7777370822701</v>
      </c>
      <c r="AJ3409" s="2">
        <v>797.88684462336096</v>
      </c>
      <c r="AK3409" s="2">
        <v>4160.6792593425698</v>
      </c>
      <c r="AL3409" s="2">
        <v>5724.9152312670703</v>
      </c>
      <c r="AM3409" s="2">
        <v>4761.10923336214</v>
      </c>
      <c r="AN3409" s="2">
        <v>3148.80627209775</v>
      </c>
      <c r="AO3409" s="2">
        <v>3435.6251243584502</v>
      </c>
      <c r="AP3409" s="2">
        <v>4542.5314279467502</v>
      </c>
    </row>
    <row r="3410" spans="1:42" ht="14.5" x14ac:dyDescent="0.35">
      <c r="A3410" s="2" t="s">
        <v>22656</v>
      </c>
      <c r="B3410" s="2">
        <v>481.20568994468698</v>
      </c>
      <c r="C3410" s="2">
        <v>5.3342833333333299</v>
      </c>
      <c r="D3410" s="2" t="s">
        <v>34</v>
      </c>
      <c r="E3410" s="2" t="s">
        <v>22657</v>
      </c>
      <c r="F3410" s="2">
        <v>35319</v>
      </c>
      <c r="G3410" s="3" t="str">
        <f>HYPERLINK("http://funmeta.oebiotech.com/network/35319", "http://funmeta.oebiotech.com/network/35319")</f>
        <v>http://funmeta.oebiotech.com/network/35319</v>
      </c>
      <c r="H3410" s="2"/>
      <c r="I3410" s="2">
        <v>41171</v>
      </c>
      <c r="J3410" s="2" t="s">
        <v>22658</v>
      </c>
      <c r="K3410" s="2">
        <v>5966</v>
      </c>
      <c r="L3410" s="2" t="s">
        <v>22659</v>
      </c>
      <c r="M3410" s="2"/>
      <c r="N3410" s="2"/>
      <c r="O3410" s="2">
        <v>443338</v>
      </c>
      <c r="P3410" s="2"/>
      <c r="Q3410" s="2" t="s">
        <v>22660</v>
      </c>
      <c r="R3410" s="2" t="s">
        <v>22661</v>
      </c>
      <c r="S3410" s="2" t="s">
        <v>50</v>
      </c>
      <c r="T3410" s="2" t="s">
        <v>201</v>
      </c>
      <c r="U3410" s="2" t="s">
        <v>202</v>
      </c>
      <c r="V3410" s="2" t="s">
        <v>59</v>
      </c>
      <c r="W3410" s="2">
        <v>37.299999999999997</v>
      </c>
      <c r="X3410" s="2">
        <v>0</v>
      </c>
      <c r="Y3410" s="2" t="s">
        <v>266</v>
      </c>
      <c r="Z3410" s="2" t="s">
        <v>22662</v>
      </c>
      <c r="AA3410" s="2">
        <v>-2.2755677287681801</v>
      </c>
      <c r="AB3410" s="2">
        <v>0.22044404338596599</v>
      </c>
      <c r="AC3410" s="2">
        <v>19557.390471193201</v>
      </c>
      <c r="AD3410" s="2">
        <v>24357.479452620501</v>
      </c>
      <c r="AE3410" s="2">
        <v>19165.0381070228</v>
      </c>
      <c r="AF3410" s="2">
        <v>17642.867874098301</v>
      </c>
      <c r="AG3410" s="2">
        <v>25738.724783613499</v>
      </c>
      <c r="AH3410" s="2">
        <v>15705.847004507301</v>
      </c>
      <c r="AI3410" s="2">
        <v>18062.6491489816</v>
      </c>
      <c r="AJ3410" s="2">
        <v>21029.215908935999</v>
      </c>
      <c r="AK3410" s="2">
        <v>23764.7535916007</v>
      </c>
      <c r="AL3410" s="2">
        <v>26191.236101139501</v>
      </c>
      <c r="AM3410" s="2">
        <v>22692.540744788799</v>
      </c>
      <c r="AN3410" s="2">
        <v>22811.721366038699</v>
      </c>
      <c r="AO3410" s="2">
        <v>27822.641111843899</v>
      </c>
      <c r="AP3410" s="2">
        <v>22861.9838003115</v>
      </c>
    </row>
    <row r="3411" spans="1:42" ht="14.5" x14ac:dyDescent="0.35">
      <c r="A3411" s="2" t="s">
        <v>22663</v>
      </c>
      <c r="B3411" s="2">
        <v>819.13341315442005</v>
      </c>
      <c r="C3411" s="2">
        <v>3.7303666666666699</v>
      </c>
      <c r="D3411" s="2" t="s">
        <v>70</v>
      </c>
      <c r="E3411" s="2" t="s">
        <v>22664</v>
      </c>
      <c r="F3411" s="2">
        <v>48885</v>
      </c>
      <c r="G3411" s="3" t="str">
        <f>HYPERLINK("http://funmeta.oebiotech.com/network/48885", "http://funmeta.oebiotech.com/network/48885")</f>
        <v>http://funmeta.oebiotech.com/network/48885</v>
      </c>
      <c r="H3411" s="2" t="s">
        <v>22665</v>
      </c>
      <c r="I3411" s="2"/>
      <c r="J3411" s="2"/>
      <c r="K3411" s="2">
        <v>15507</v>
      </c>
      <c r="L3411" s="2" t="s">
        <v>22666</v>
      </c>
      <c r="M3411" s="2" t="s">
        <v>22667</v>
      </c>
      <c r="N3411" s="2" t="s">
        <v>22668</v>
      </c>
      <c r="O3411" s="2">
        <v>439708</v>
      </c>
      <c r="P3411" s="2"/>
      <c r="Q3411" s="2" t="s">
        <v>22669</v>
      </c>
      <c r="R3411" s="2" t="s">
        <v>22670</v>
      </c>
      <c r="S3411" s="2" t="s">
        <v>50</v>
      </c>
      <c r="T3411" s="2" t="s">
        <v>229</v>
      </c>
      <c r="U3411" s="2" t="s">
        <v>10433</v>
      </c>
      <c r="V3411" s="2" t="s">
        <v>59</v>
      </c>
      <c r="W3411" s="2">
        <v>37.799999999999997</v>
      </c>
      <c r="X3411" s="2">
        <v>0</v>
      </c>
      <c r="Y3411" s="2" t="s">
        <v>751</v>
      </c>
      <c r="Z3411" s="2" t="s">
        <v>22671</v>
      </c>
      <c r="AA3411" s="2">
        <v>-1.2748295752904399</v>
      </c>
      <c r="AB3411" s="2">
        <v>0.220162331266852</v>
      </c>
      <c r="AC3411" s="2">
        <v>4552.1442153699199</v>
      </c>
      <c r="AD3411" s="2">
        <v>8222.6246878815</v>
      </c>
      <c r="AE3411" s="2">
        <v>3111.3378774788798</v>
      </c>
      <c r="AF3411" s="2">
        <v>4754.8722885024299</v>
      </c>
      <c r="AG3411" s="2">
        <v>4034.49023303372</v>
      </c>
      <c r="AH3411" s="2">
        <v>5182.18451848512</v>
      </c>
      <c r="AI3411" s="2">
        <v>5488.6220648425797</v>
      </c>
      <c r="AJ3411" s="2">
        <v>4741.3583098768004</v>
      </c>
      <c r="AK3411" s="2">
        <v>9689.4100444856795</v>
      </c>
      <c r="AL3411" s="2">
        <v>5480.0194846781897</v>
      </c>
      <c r="AM3411" s="2">
        <v>9009.6769566109506</v>
      </c>
      <c r="AN3411" s="2">
        <v>8674.3609226053995</v>
      </c>
      <c r="AO3411" s="2">
        <v>8031.5191034945301</v>
      </c>
      <c r="AP3411" s="2">
        <v>8450.7616154142597</v>
      </c>
    </row>
    <row r="3412" spans="1:42" ht="14.5" x14ac:dyDescent="0.35">
      <c r="A3412" s="2" t="s">
        <v>22672</v>
      </c>
      <c r="B3412" s="2">
        <v>271.27446005393898</v>
      </c>
      <c r="C3412" s="2">
        <v>12.9735</v>
      </c>
      <c r="D3412" s="2" t="s">
        <v>34</v>
      </c>
      <c r="E3412" s="2" t="s">
        <v>22673</v>
      </c>
      <c r="F3412" s="2">
        <v>209974</v>
      </c>
      <c r="G3412" s="3" t="str">
        <f>HYPERLINK("http://funmeta.oebiotech.com/network/209974", "http://funmeta.oebiotech.com/network/209974")</f>
        <v>http://funmeta.oebiotech.com/network/209974</v>
      </c>
      <c r="H3412" s="2" t="s">
        <v>22674</v>
      </c>
      <c r="I3412" s="2"/>
      <c r="J3412" s="2"/>
      <c r="K3412" s="2"/>
      <c r="L3412" s="2"/>
      <c r="M3412" s="2"/>
      <c r="N3412" s="2"/>
      <c r="O3412" s="2">
        <v>54523682</v>
      </c>
      <c r="P3412" s="2"/>
      <c r="Q3412" s="2" t="s">
        <v>22675</v>
      </c>
      <c r="R3412" s="2" t="s">
        <v>22676</v>
      </c>
      <c r="S3412" s="2" t="s">
        <v>50</v>
      </c>
      <c r="T3412" s="2" t="s">
        <v>229</v>
      </c>
      <c r="U3412" s="2" t="s">
        <v>645</v>
      </c>
      <c r="V3412" s="2" t="s">
        <v>59</v>
      </c>
      <c r="W3412" s="2">
        <v>38.5</v>
      </c>
      <c r="X3412" s="2">
        <v>0</v>
      </c>
      <c r="Y3412" s="2" t="s">
        <v>43</v>
      </c>
      <c r="Z3412" s="2" t="s">
        <v>22677</v>
      </c>
      <c r="AA3412" s="2">
        <v>0.27604348711927001</v>
      </c>
      <c r="AB3412" s="2">
        <v>0.220133779382927</v>
      </c>
      <c r="AC3412" s="2">
        <v>6149.0568131350301</v>
      </c>
      <c r="AD3412" s="2">
        <v>2914.3790278206802</v>
      </c>
      <c r="AE3412" s="2">
        <v>6042.0337510666504</v>
      </c>
      <c r="AF3412" s="2">
        <v>5903.1256447491396</v>
      </c>
      <c r="AG3412" s="2">
        <v>6112.8614171626004</v>
      </c>
      <c r="AH3412" s="2">
        <v>5734.6800020583096</v>
      </c>
      <c r="AI3412" s="2">
        <v>6539.2552763596404</v>
      </c>
      <c r="AJ3412" s="2">
        <v>6562.3847874138301</v>
      </c>
      <c r="AK3412" s="2">
        <v>2731.0639523905902</v>
      </c>
      <c r="AL3412" s="2">
        <v>3438.7245667764</v>
      </c>
      <c r="AM3412" s="2">
        <v>3002.0411846564698</v>
      </c>
      <c r="AN3412" s="2">
        <v>2948.5583432114199</v>
      </c>
      <c r="AO3412" s="2">
        <v>2775.5086852724298</v>
      </c>
      <c r="AP3412" s="2">
        <v>2590.3774346167802</v>
      </c>
    </row>
    <row r="3413" spans="1:42" ht="14.5" x14ac:dyDescent="0.35">
      <c r="A3413" s="2" t="s">
        <v>22678</v>
      </c>
      <c r="B3413" s="2">
        <v>417.00299367007898</v>
      </c>
      <c r="C3413" s="2">
        <v>2.9409666666666698</v>
      </c>
      <c r="D3413" s="2" t="s">
        <v>34</v>
      </c>
      <c r="E3413" s="2" t="s">
        <v>22679</v>
      </c>
      <c r="F3413" s="2">
        <v>82315</v>
      </c>
      <c r="G3413" s="3" t="str">
        <f>HYPERLINK("http://funmeta.oebiotech.com/network/82315", "http://funmeta.oebiotech.com/network/82315")</f>
        <v>http://funmeta.oebiotech.com/network/82315</v>
      </c>
      <c r="H3413" s="2" t="s">
        <v>22680</v>
      </c>
      <c r="I3413" s="2"/>
      <c r="J3413" s="2"/>
      <c r="K3413" s="2">
        <v>80609</v>
      </c>
      <c r="L3413" s="2" t="s">
        <v>22681</v>
      </c>
      <c r="M3413" s="2" t="s">
        <v>17102</v>
      </c>
      <c r="N3413" s="2" t="s">
        <v>17103</v>
      </c>
      <c r="O3413" s="2">
        <v>10091038</v>
      </c>
      <c r="P3413" s="2" t="s">
        <v>22682</v>
      </c>
      <c r="Q3413" s="2" t="s">
        <v>22683</v>
      </c>
      <c r="R3413" s="2" t="s">
        <v>22684</v>
      </c>
      <c r="S3413" s="2" t="s">
        <v>1444</v>
      </c>
      <c r="T3413" s="2" t="s">
        <v>4937</v>
      </c>
      <c r="U3413" s="2" t="s">
        <v>5723</v>
      </c>
      <c r="V3413" s="2" t="s">
        <v>59</v>
      </c>
      <c r="W3413" s="2">
        <v>38.4</v>
      </c>
      <c r="X3413" s="2">
        <v>0</v>
      </c>
      <c r="Y3413" s="2" t="s">
        <v>340</v>
      </c>
      <c r="Z3413" s="2" t="s">
        <v>22685</v>
      </c>
      <c r="AA3413" s="2">
        <v>-0.187485739405717</v>
      </c>
      <c r="AB3413" s="2">
        <v>0.220032489100213</v>
      </c>
      <c r="AC3413" s="2">
        <v>44449.122128869501</v>
      </c>
      <c r="AD3413" s="2">
        <v>48854.894848370597</v>
      </c>
      <c r="AE3413" s="2">
        <v>43097.467890557004</v>
      </c>
      <c r="AF3413" s="2">
        <v>44795.690488289998</v>
      </c>
      <c r="AG3413" s="2">
        <v>43456.4129888069</v>
      </c>
      <c r="AH3413" s="2">
        <v>44975.529271354302</v>
      </c>
      <c r="AI3413" s="2">
        <v>45316.271493343404</v>
      </c>
      <c r="AJ3413" s="2">
        <v>45053.360640865103</v>
      </c>
      <c r="AK3413" s="2">
        <v>52275.781588076999</v>
      </c>
      <c r="AL3413" s="2">
        <v>50320.452898283198</v>
      </c>
      <c r="AM3413" s="2">
        <v>50501.333075332397</v>
      </c>
      <c r="AN3413" s="2">
        <v>45750.890478467103</v>
      </c>
      <c r="AO3413" s="2">
        <v>50087.440558724898</v>
      </c>
      <c r="AP3413" s="2">
        <v>44193.470491338798</v>
      </c>
    </row>
    <row r="3414" spans="1:42" ht="14.5" x14ac:dyDescent="0.35">
      <c r="A3414" s="2" t="s">
        <v>22686</v>
      </c>
      <c r="B3414" s="2">
        <v>725.41187828167199</v>
      </c>
      <c r="C3414" s="2">
        <v>11.4425166666667</v>
      </c>
      <c r="D3414" s="2" t="s">
        <v>70</v>
      </c>
      <c r="E3414" s="2" t="s">
        <v>22687</v>
      </c>
      <c r="F3414" s="2">
        <v>36322</v>
      </c>
      <c r="G3414" s="3" t="str">
        <f>HYPERLINK("http://funmeta.oebiotech.com/network/36322", "http://funmeta.oebiotech.com/network/36322")</f>
        <v>http://funmeta.oebiotech.com/network/36322</v>
      </c>
      <c r="H3414" s="2"/>
      <c r="I3414" s="2"/>
      <c r="J3414" s="2" t="s">
        <v>22688</v>
      </c>
      <c r="K3414" s="2"/>
      <c r="L3414" s="2"/>
      <c r="M3414" s="2"/>
      <c r="N3414" s="2"/>
      <c r="O3414" s="2"/>
      <c r="P3414" s="2"/>
      <c r="Q3414" s="2" t="s">
        <v>22689</v>
      </c>
      <c r="R3414" s="2" t="s">
        <v>22690</v>
      </c>
      <c r="S3414" s="2" t="s">
        <v>50</v>
      </c>
      <c r="T3414" s="2" t="s">
        <v>201</v>
      </c>
      <c r="U3414" s="2" t="s">
        <v>202</v>
      </c>
      <c r="V3414" s="2" t="s">
        <v>59</v>
      </c>
      <c r="W3414" s="2">
        <v>37.6</v>
      </c>
      <c r="X3414" s="2">
        <v>0</v>
      </c>
      <c r="Y3414" s="2" t="s">
        <v>408</v>
      </c>
      <c r="Z3414" s="2" t="s">
        <v>22691</v>
      </c>
      <c r="AA3414" s="2">
        <v>0.16559386661705</v>
      </c>
      <c r="AB3414" s="2">
        <v>0.21995894925353901</v>
      </c>
      <c r="AC3414" s="2">
        <v>10287.309074279299</v>
      </c>
      <c r="AD3414" s="2">
        <v>14672.0099606157</v>
      </c>
      <c r="AE3414" s="2">
        <v>9085.6087573516907</v>
      </c>
      <c r="AF3414" s="2">
        <v>9536.8231373434101</v>
      </c>
      <c r="AG3414" s="2">
        <v>12328.478442007399</v>
      </c>
      <c r="AH3414" s="2">
        <v>10484.261601718799</v>
      </c>
      <c r="AI3414" s="2">
        <v>10269.3475287275</v>
      </c>
      <c r="AJ3414" s="2">
        <v>10019.3349785268</v>
      </c>
      <c r="AK3414" s="2">
        <v>10105.615914293299</v>
      </c>
      <c r="AL3414" s="2">
        <v>15925.794330692899</v>
      </c>
      <c r="AM3414" s="2">
        <v>14702.2609444597</v>
      </c>
      <c r="AN3414" s="2">
        <v>12937.3539179082</v>
      </c>
      <c r="AO3414" s="2">
        <v>15246.9222455119</v>
      </c>
      <c r="AP3414" s="2">
        <v>19114.112410827998</v>
      </c>
    </row>
    <row r="3415" spans="1:42" ht="14.5" x14ac:dyDescent="0.35">
      <c r="A3415" s="2" t="s">
        <v>22692</v>
      </c>
      <c r="B3415" s="2">
        <v>535.31209107934399</v>
      </c>
      <c r="C3415" s="2">
        <v>10.458866666666699</v>
      </c>
      <c r="D3415" s="2" t="s">
        <v>70</v>
      </c>
      <c r="E3415" s="2" t="s">
        <v>22693</v>
      </c>
      <c r="F3415" s="2">
        <v>10254</v>
      </c>
      <c r="G3415" s="3" t="str">
        <f>HYPERLINK("http://funmeta.oebiotech.com/network/10254", "http://funmeta.oebiotech.com/network/10254")</f>
        <v>http://funmeta.oebiotech.com/network/10254</v>
      </c>
      <c r="H3415" s="2"/>
      <c r="I3415" s="2"/>
      <c r="J3415" s="2" t="s">
        <v>22694</v>
      </c>
      <c r="K3415" s="2"/>
      <c r="L3415" s="2"/>
      <c r="M3415" s="2"/>
      <c r="N3415" s="2"/>
      <c r="O3415" s="2"/>
      <c r="P3415" s="2"/>
      <c r="Q3415" s="2" t="s">
        <v>22695</v>
      </c>
      <c r="R3415" s="2" t="s">
        <v>22696</v>
      </c>
      <c r="S3415" s="2" t="s">
        <v>50</v>
      </c>
      <c r="T3415" s="2" t="s">
        <v>229</v>
      </c>
      <c r="U3415" s="2" t="s">
        <v>230</v>
      </c>
      <c r="V3415" s="2" t="s">
        <v>59</v>
      </c>
      <c r="W3415" s="2">
        <v>48.1</v>
      </c>
      <c r="X3415" s="2">
        <v>43.6</v>
      </c>
      <c r="Y3415" s="2" t="s">
        <v>408</v>
      </c>
      <c r="Z3415" s="2" t="s">
        <v>22697</v>
      </c>
      <c r="AA3415" s="2">
        <v>-0.60133262844237401</v>
      </c>
      <c r="AB3415" s="2">
        <v>0.21989383095772999</v>
      </c>
      <c r="AC3415" s="2">
        <v>10726.0864546964</v>
      </c>
      <c r="AD3415" s="2">
        <v>7470.9107659679803</v>
      </c>
      <c r="AE3415" s="2">
        <v>11285.016789031</v>
      </c>
      <c r="AF3415" s="2">
        <v>10965.561287716901</v>
      </c>
      <c r="AG3415" s="2">
        <v>10843.8131330706</v>
      </c>
      <c r="AH3415" s="2">
        <v>10579.1865061356</v>
      </c>
      <c r="AI3415" s="2">
        <v>9861.5274921642904</v>
      </c>
      <c r="AJ3415" s="2">
        <v>10821.4135200603</v>
      </c>
      <c r="AK3415" s="2">
        <v>7850.6993170491296</v>
      </c>
      <c r="AL3415" s="2">
        <v>7107.9955871308402</v>
      </c>
      <c r="AM3415" s="2">
        <v>7164.0156561962203</v>
      </c>
      <c r="AN3415" s="2">
        <v>7997.5980924423202</v>
      </c>
      <c r="AO3415" s="2">
        <v>7177.8349259557399</v>
      </c>
      <c r="AP3415" s="2">
        <v>7527.3210170336297</v>
      </c>
    </row>
    <row r="3416" spans="1:42" ht="14.5" x14ac:dyDescent="0.35">
      <c r="A3416" s="2" t="s">
        <v>22698</v>
      </c>
      <c r="B3416" s="2">
        <v>827.49450666546898</v>
      </c>
      <c r="C3416" s="2">
        <v>10.4865333333333</v>
      </c>
      <c r="D3416" s="2" t="s">
        <v>70</v>
      </c>
      <c r="E3416" s="2" t="s">
        <v>22699</v>
      </c>
      <c r="F3416" s="2">
        <v>1573</v>
      </c>
      <c r="G3416" s="3" t="str">
        <f>HYPERLINK("http://funmeta.oebiotech.com/network/1573", "http://funmeta.oebiotech.com/network/1573")</f>
        <v>http://funmeta.oebiotech.com/network/1573</v>
      </c>
      <c r="H3416" s="2"/>
      <c r="I3416" s="2"/>
      <c r="J3416" s="2" t="s">
        <v>22700</v>
      </c>
      <c r="K3416" s="2"/>
      <c r="L3416" s="2"/>
      <c r="M3416" s="2"/>
      <c r="N3416" s="2"/>
      <c r="O3416" s="2">
        <v>56970404</v>
      </c>
      <c r="P3416" s="2"/>
      <c r="Q3416" s="2" t="s">
        <v>22701</v>
      </c>
      <c r="R3416" s="2" t="s">
        <v>22702</v>
      </c>
      <c r="S3416" s="2" t="s">
        <v>50</v>
      </c>
      <c r="T3416" s="2" t="s">
        <v>229</v>
      </c>
      <c r="U3416" s="2" t="s">
        <v>433</v>
      </c>
      <c r="V3416" s="2" t="s">
        <v>59</v>
      </c>
      <c r="W3416" s="2">
        <v>37.5</v>
      </c>
      <c r="X3416" s="2">
        <v>0</v>
      </c>
      <c r="Y3416" s="2" t="s">
        <v>118</v>
      </c>
      <c r="Z3416" s="2" t="s">
        <v>22703</v>
      </c>
      <c r="AA3416" s="2">
        <v>-0.71773637198005502</v>
      </c>
      <c r="AB3416" s="2">
        <v>0.21980967869638099</v>
      </c>
      <c r="AC3416" s="2">
        <v>6683.8972553246604</v>
      </c>
      <c r="AD3416" s="2">
        <v>2708.5264479256898</v>
      </c>
      <c r="AE3416" s="2">
        <v>6580.9004763200401</v>
      </c>
      <c r="AF3416" s="2">
        <v>3969.9714095302802</v>
      </c>
      <c r="AG3416" s="2">
        <v>9563.6296420201597</v>
      </c>
      <c r="AH3416" s="2">
        <v>7430.0703761532604</v>
      </c>
      <c r="AI3416" s="2">
        <v>5999.4040411624201</v>
      </c>
      <c r="AJ3416" s="2">
        <v>6559.4075867617903</v>
      </c>
      <c r="AK3416" s="2">
        <v>2975.8468952118701</v>
      </c>
      <c r="AL3416" s="2">
        <v>5398.8870932604495</v>
      </c>
      <c r="AM3416" s="2">
        <v>2604.4322923867298</v>
      </c>
      <c r="AN3416" s="2">
        <v>1512.98774308272</v>
      </c>
      <c r="AO3416" s="2">
        <v>1043.8332146200701</v>
      </c>
      <c r="AP3416" s="2">
        <v>2715.1714489923102</v>
      </c>
    </row>
    <row r="3417" spans="1:42" ht="14.5" x14ac:dyDescent="0.35">
      <c r="A3417" s="2" t="s">
        <v>22704</v>
      </c>
      <c r="B3417" s="2">
        <v>351.21398128084002</v>
      </c>
      <c r="C3417" s="2">
        <v>8.9900166666666692</v>
      </c>
      <c r="D3417" s="2" t="s">
        <v>34</v>
      </c>
      <c r="E3417" s="2" t="s">
        <v>22705</v>
      </c>
      <c r="F3417" s="2">
        <v>59738</v>
      </c>
      <c r="G3417" s="3" t="str">
        <f>HYPERLINK("http://funmeta.oebiotech.com/network/59738", "http://funmeta.oebiotech.com/network/59738")</f>
        <v>http://funmeta.oebiotech.com/network/59738</v>
      </c>
      <c r="H3417" s="2" t="s">
        <v>22706</v>
      </c>
      <c r="I3417" s="2">
        <v>91118</v>
      </c>
      <c r="J3417" s="2"/>
      <c r="K3417" s="2">
        <v>91218</v>
      </c>
      <c r="L3417" s="2"/>
      <c r="M3417" s="2"/>
      <c r="N3417" s="2"/>
      <c r="O3417" s="2">
        <v>44559173</v>
      </c>
      <c r="P3417" s="2" t="s">
        <v>22707</v>
      </c>
      <c r="Q3417" s="2" t="s">
        <v>22708</v>
      </c>
      <c r="R3417" s="2" t="s">
        <v>22709</v>
      </c>
      <c r="S3417" s="2" t="s">
        <v>50</v>
      </c>
      <c r="T3417" s="2" t="s">
        <v>229</v>
      </c>
      <c r="U3417" s="2" t="s">
        <v>1360</v>
      </c>
      <c r="V3417" s="2" t="s">
        <v>42</v>
      </c>
      <c r="W3417" s="2">
        <v>48.5</v>
      </c>
      <c r="X3417" s="2">
        <v>49</v>
      </c>
      <c r="Y3417" s="2" t="s">
        <v>323</v>
      </c>
      <c r="Z3417" s="2" t="s">
        <v>6809</v>
      </c>
      <c r="AA3417" s="2">
        <v>-0.650539163141171</v>
      </c>
      <c r="AB3417" s="2">
        <v>0.21957530225351499</v>
      </c>
      <c r="AC3417" s="2">
        <v>38495.178318996601</v>
      </c>
      <c r="AD3417" s="2">
        <v>42878.925544243699</v>
      </c>
      <c r="AE3417" s="2">
        <v>39053.744748358899</v>
      </c>
      <c r="AF3417" s="2">
        <v>41168.445359765501</v>
      </c>
      <c r="AG3417" s="2">
        <v>38155.338684697803</v>
      </c>
      <c r="AH3417" s="2">
        <v>39949.608660943501</v>
      </c>
      <c r="AI3417" s="2">
        <v>36970.7824726689</v>
      </c>
      <c r="AJ3417" s="2">
        <v>35673.149987545097</v>
      </c>
      <c r="AK3417" s="2">
        <v>47315.5002357048</v>
      </c>
      <c r="AL3417" s="2">
        <v>43048.611339637799</v>
      </c>
      <c r="AM3417" s="2">
        <v>41689.927846607803</v>
      </c>
      <c r="AN3417" s="2">
        <v>42790.3687648247</v>
      </c>
      <c r="AO3417" s="2">
        <v>42731.561376158403</v>
      </c>
      <c r="AP3417" s="2">
        <v>39697.583702529002</v>
      </c>
    </row>
    <row r="3418" spans="1:42" ht="14.5" x14ac:dyDescent="0.35">
      <c r="A3418" s="2" t="s">
        <v>22710</v>
      </c>
      <c r="B3418" s="2">
        <v>679.10798185865497</v>
      </c>
      <c r="C3418" s="2">
        <v>3.5208166666666698</v>
      </c>
      <c r="D3418" s="2" t="s">
        <v>70</v>
      </c>
      <c r="E3418" s="2" t="s">
        <v>22711</v>
      </c>
      <c r="F3418" s="2">
        <v>57491</v>
      </c>
      <c r="G3418" s="3" t="str">
        <f>HYPERLINK("http://funmeta.oebiotech.com/network/57491", "http://funmeta.oebiotech.com/network/57491")</f>
        <v>http://funmeta.oebiotech.com/network/57491</v>
      </c>
      <c r="H3418" s="2" t="s">
        <v>22712</v>
      </c>
      <c r="I3418" s="2"/>
      <c r="J3418" s="2"/>
      <c r="K3418" s="2"/>
      <c r="L3418" s="2"/>
      <c r="M3418" s="2"/>
      <c r="N3418" s="2"/>
      <c r="O3418" s="2"/>
      <c r="P3418" s="2" t="s">
        <v>22713</v>
      </c>
      <c r="Q3418" s="2" t="s">
        <v>22714</v>
      </c>
      <c r="R3418" s="2" t="s">
        <v>22715</v>
      </c>
      <c r="S3418" s="2" t="s">
        <v>148</v>
      </c>
      <c r="T3418" s="2" t="s">
        <v>392</v>
      </c>
      <c r="U3418" s="2" t="s">
        <v>2045</v>
      </c>
      <c r="V3418" s="2" t="s">
        <v>59</v>
      </c>
      <c r="W3418" s="2">
        <v>38.799999999999997</v>
      </c>
      <c r="X3418" s="2">
        <v>0</v>
      </c>
      <c r="Y3418" s="2" t="s">
        <v>560</v>
      </c>
      <c r="Z3418" s="2" t="s">
        <v>22716</v>
      </c>
      <c r="AA3418" s="2">
        <v>-1.98076749474083</v>
      </c>
      <c r="AB3418" s="2">
        <v>0.21955106397504401</v>
      </c>
      <c r="AC3418" s="2">
        <v>15226.808593653001</v>
      </c>
      <c r="AD3418" s="2">
        <v>11841.137729989399</v>
      </c>
      <c r="AE3418" s="2">
        <v>14879.6672911354</v>
      </c>
      <c r="AF3418" s="2">
        <v>15575.2017979307</v>
      </c>
      <c r="AG3418" s="2">
        <v>14344.7551219457</v>
      </c>
      <c r="AH3418" s="2">
        <v>14776.950280159601</v>
      </c>
      <c r="AI3418" s="2">
        <v>16561.167326403502</v>
      </c>
      <c r="AJ3418" s="2">
        <v>15223.109744342901</v>
      </c>
      <c r="AK3418" s="2">
        <v>11059.4328796177</v>
      </c>
      <c r="AL3418" s="2">
        <v>12035.722556450701</v>
      </c>
      <c r="AM3418" s="2">
        <v>11647.496487284699</v>
      </c>
      <c r="AN3418" s="2">
        <v>12440.6123269371</v>
      </c>
      <c r="AO3418" s="2">
        <v>11444.944711414601</v>
      </c>
      <c r="AP3418" s="2">
        <v>12418.617418231601</v>
      </c>
    </row>
    <row r="3419" spans="1:42" ht="14.5" x14ac:dyDescent="0.35">
      <c r="A3419" s="2" t="s">
        <v>22717</v>
      </c>
      <c r="B3419" s="2">
        <v>507.36831839881802</v>
      </c>
      <c r="C3419" s="2">
        <v>11.328566666666701</v>
      </c>
      <c r="D3419" s="2" t="s">
        <v>34</v>
      </c>
      <c r="E3419" s="2" t="s">
        <v>22718</v>
      </c>
      <c r="F3419" s="2">
        <v>58518</v>
      </c>
      <c r="G3419" s="3" t="str">
        <f>HYPERLINK("http://funmeta.oebiotech.com/network/58518", "http://funmeta.oebiotech.com/network/58518")</f>
        <v>http://funmeta.oebiotech.com/network/58518</v>
      </c>
      <c r="H3419" s="2" t="s">
        <v>22719</v>
      </c>
      <c r="I3419" s="2">
        <v>89990</v>
      </c>
      <c r="J3419" s="2"/>
      <c r="K3419" s="2">
        <v>167962</v>
      </c>
      <c r="L3419" s="2"/>
      <c r="M3419" s="2"/>
      <c r="N3419" s="2"/>
      <c r="O3419" s="2">
        <v>612009</v>
      </c>
      <c r="P3419" s="2" t="s">
        <v>22720</v>
      </c>
      <c r="Q3419" s="2" t="s">
        <v>22721</v>
      </c>
      <c r="R3419" s="2" t="s">
        <v>22722</v>
      </c>
      <c r="S3419" s="2" t="s">
        <v>50</v>
      </c>
      <c r="T3419" s="2" t="s">
        <v>201</v>
      </c>
      <c r="U3419" s="2" t="s">
        <v>210</v>
      </c>
      <c r="V3419" s="2" t="s">
        <v>59</v>
      </c>
      <c r="W3419" s="2">
        <v>36.5</v>
      </c>
      <c r="X3419" s="2">
        <v>0</v>
      </c>
      <c r="Y3419" s="2" t="s">
        <v>394</v>
      </c>
      <c r="Z3419" s="2" t="s">
        <v>22723</v>
      </c>
      <c r="AA3419" s="2">
        <v>0.59768843514166103</v>
      </c>
      <c r="AB3419" s="2">
        <v>0.219531204213193</v>
      </c>
      <c r="AC3419" s="2">
        <v>7195.24313348135</v>
      </c>
      <c r="AD3419" s="2">
        <v>10694.1454017383</v>
      </c>
      <c r="AE3419" s="2">
        <v>7779.15521596484</v>
      </c>
      <c r="AF3419" s="2">
        <v>6974.7611072889604</v>
      </c>
      <c r="AG3419" s="2">
        <v>7650.2202666841204</v>
      </c>
      <c r="AH3419" s="2">
        <v>5947.8489372532204</v>
      </c>
      <c r="AI3419" s="2">
        <v>7612.8759666178103</v>
      </c>
      <c r="AJ3419" s="2">
        <v>7206.5973070791697</v>
      </c>
      <c r="AK3419" s="2">
        <v>12405.807136753499</v>
      </c>
      <c r="AL3419" s="2">
        <v>9008.4760482598194</v>
      </c>
      <c r="AM3419" s="2">
        <v>11040.759891483</v>
      </c>
      <c r="AN3419" s="2">
        <v>10307.143844554101</v>
      </c>
      <c r="AO3419" s="2">
        <v>10641.950739600399</v>
      </c>
      <c r="AP3419" s="2">
        <v>10760.7347497791</v>
      </c>
    </row>
    <row r="3420" spans="1:42" ht="14.5" x14ac:dyDescent="0.35">
      <c r="A3420" s="2" t="s">
        <v>22724</v>
      </c>
      <c r="B3420" s="2">
        <v>569.19996561049902</v>
      </c>
      <c r="C3420" s="2">
        <v>4.5826500000000001</v>
      </c>
      <c r="D3420" s="2" t="s">
        <v>34</v>
      </c>
      <c r="E3420" s="2" t="s">
        <v>22725</v>
      </c>
      <c r="F3420" s="2">
        <v>212703</v>
      </c>
      <c r="G3420" s="3" t="str">
        <f>HYPERLINK("http://funmeta.oebiotech.com/network/212703", "http://funmeta.oebiotech.com/network/212703")</f>
        <v>http://funmeta.oebiotech.com/network/212703</v>
      </c>
      <c r="H3420" s="2" t="s">
        <v>22726</v>
      </c>
      <c r="I3420" s="2"/>
      <c r="J3420" s="2"/>
      <c r="K3420" s="2"/>
      <c r="L3420" s="2"/>
      <c r="M3420" s="2"/>
      <c r="N3420" s="2"/>
      <c r="O3420" s="2">
        <v>16681745</v>
      </c>
      <c r="P3420" s="2"/>
      <c r="Q3420" s="2" t="s">
        <v>22727</v>
      </c>
      <c r="R3420" s="2" t="s">
        <v>22728</v>
      </c>
      <c r="S3420" s="2" t="s">
        <v>89</v>
      </c>
      <c r="T3420" s="2" t="s">
        <v>90</v>
      </c>
      <c r="U3420" s="2" t="s">
        <v>99</v>
      </c>
      <c r="V3420" s="2" t="s">
        <v>59</v>
      </c>
      <c r="W3420" s="2">
        <v>37.6</v>
      </c>
      <c r="X3420" s="2">
        <v>0</v>
      </c>
      <c r="Y3420" s="2" t="s">
        <v>323</v>
      </c>
      <c r="Z3420" s="2" t="s">
        <v>22729</v>
      </c>
      <c r="AA3420" s="2">
        <v>-1.2895879828891099</v>
      </c>
      <c r="AB3420" s="2">
        <v>0.21947819652709999</v>
      </c>
      <c r="AC3420" s="2">
        <v>76894.039631010295</v>
      </c>
      <c r="AD3420" s="2">
        <v>82598.002791984094</v>
      </c>
      <c r="AE3420" s="2">
        <v>76446.556838949706</v>
      </c>
      <c r="AF3420" s="2">
        <v>81915.438897525601</v>
      </c>
      <c r="AG3420" s="2">
        <v>72877.818112195993</v>
      </c>
      <c r="AH3420" s="2">
        <v>77613.419559068599</v>
      </c>
      <c r="AI3420" s="2">
        <v>77872.006045701302</v>
      </c>
      <c r="AJ3420" s="2">
        <v>74638.998332620598</v>
      </c>
      <c r="AK3420" s="2">
        <v>92992.467767589304</v>
      </c>
      <c r="AL3420" s="2">
        <v>84943.929491480798</v>
      </c>
      <c r="AM3420" s="2">
        <v>82323.850874014999</v>
      </c>
      <c r="AN3420" s="2">
        <v>77392.462576926395</v>
      </c>
      <c r="AO3420" s="2">
        <v>78612.825276071497</v>
      </c>
      <c r="AP3420" s="2">
        <v>79322.480765821703</v>
      </c>
    </row>
    <row r="3421" spans="1:42" ht="14.5" x14ac:dyDescent="0.35">
      <c r="A3421" s="2" t="s">
        <v>22730</v>
      </c>
      <c r="B3421" s="2">
        <v>347.21866876634402</v>
      </c>
      <c r="C3421" s="2">
        <v>11.65635</v>
      </c>
      <c r="D3421" s="2" t="s">
        <v>34</v>
      </c>
      <c r="E3421" s="2" t="s">
        <v>22731</v>
      </c>
      <c r="F3421" s="2">
        <v>45055</v>
      </c>
      <c r="G3421" s="3" t="str">
        <f>HYPERLINK("http://funmeta.oebiotech.com/network/45055", "http://funmeta.oebiotech.com/network/45055")</f>
        <v>http://funmeta.oebiotech.com/network/45055</v>
      </c>
      <c r="H3421" s="2" t="s">
        <v>22732</v>
      </c>
      <c r="I3421" s="2">
        <v>6314</v>
      </c>
      <c r="J3421" s="2" t="s">
        <v>22733</v>
      </c>
      <c r="K3421" s="2">
        <v>16827</v>
      </c>
      <c r="L3421" s="2" t="s">
        <v>22734</v>
      </c>
      <c r="M3421" s="2" t="s">
        <v>22735</v>
      </c>
      <c r="N3421" s="2" t="s">
        <v>22736</v>
      </c>
      <c r="O3421" s="2">
        <v>5753</v>
      </c>
      <c r="P3421" s="2" t="s">
        <v>22737</v>
      </c>
      <c r="Q3421" s="2" t="s">
        <v>22738</v>
      </c>
      <c r="R3421" s="2" t="s">
        <v>22739</v>
      </c>
      <c r="S3421" s="2" t="s">
        <v>50</v>
      </c>
      <c r="T3421" s="2" t="s">
        <v>124</v>
      </c>
      <c r="U3421" s="2" t="s">
        <v>1136</v>
      </c>
      <c r="V3421" s="2" t="s">
        <v>59</v>
      </c>
      <c r="W3421" s="2">
        <v>44.4</v>
      </c>
      <c r="X3421" s="2">
        <v>39.200000000000003</v>
      </c>
      <c r="Y3421" s="2" t="s">
        <v>394</v>
      </c>
      <c r="Z3421" s="2" t="s">
        <v>2459</v>
      </c>
      <c r="AA3421" s="2">
        <v>-8.7145592831610692</v>
      </c>
      <c r="AB3421" s="2">
        <v>0.219210406093479</v>
      </c>
      <c r="AC3421" s="2">
        <v>3854.7960216819401</v>
      </c>
      <c r="AD3421" s="2">
        <v>572.45860071963398</v>
      </c>
      <c r="AE3421" s="2">
        <v>4241.4740214733702</v>
      </c>
      <c r="AF3421" s="2">
        <v>3782.5568559349699</v>
      </c>
      <c r="AG3421" s="2">
        <v>3077.2693546589599</v>
      </c>
      <c r="AH3421" s="2">
        <v>3820.9308882176501</v>
      </c>
      <c r="AI3421" s="2">
        <v>3250.6094415049301</v>
      </c>
      <c r="AJ3421" s="2">
        <v>4955.9355683017702</v>
      </c>
      <c r="AK3421" s="2">
        <v>332.37779782401299</v>
      </c>
      <c r="AL3421" s="2">
        <v>491.60617341783001</v>
      </c>
      <c r="AM3421" s="2">
        <v>446.64534466882799</v>
      </c>
      <c r="AN3421" s="2">
        <v>491.92886310024198</v>
      </c>
      <c r="AO3421" s="2">
        <v>1175.3308051579099</v>
      </c>
      <c r="AP3421" s="2">
        <v>496.86262014898398</v>
      </c>
    </row>
    <row r="3422" spans="1:42" ht="14.5" x14ac:dyDescent="0.35">
      <c r="A3422" s="2" t="s">
        <v>22740</v>
      </c>
      <c r="B3422" s="2">
        <v>431.19227392870403</v>
      </c>
      <c r="C3422" s="2">
        <v>6.6691000000000003</v>
      </c>
      <c r="D3422" s="2" t="s">
        <v>70</v>
      </c>
      <c r="E3422" s="2" t="s">
        <v>22741</v>
      </c>
      <c r="F3422" s="2">
        <v>302781</v>
      </c>
      <c r="G3422" s="3" t="str">
        <f>HYPERLINK("http://funmeta.oebiotech.com/network/302781", "http://funmeta.oebiotech.com/network/302781")</f>
        <v>http://funmeta.oebiotech.com/network/302781</v>
      </c>
      <c r="H3422" s="2"/>
      <c r="I3422" s="2">
        <v>328560</v>
      </c>
      <c r="J3422" s="2"/>
      <c r="K3422" s="2"/>
      <c r="L3422" s="2"/>
      <c r="M3422" s="2"/>
      <c r="N3422" s="2"/>
      <c r="O3422" s="2">
        <v>6871</v>
      </c>
      <c r="P3422" s="2"/>
      <c r="Q3422" s="2" t="s">
        <v>22742</v>
      </c>
      <c r="R3422" s="2" t="s">
        <v>22743</v>
      </c>
      <c r="S3422" s="2" t="s">
        <v>89</v>
      </c>
      <c r="T3422" s="2" t="s">
        <v>90</v>
      </c>
      <c r="U3422" s="2" t="s">
        <v>22612</v>
      </c>
      <c r="V3422" s="2" t="s">
        <v>59</v>
      </c>
      <c r="W3422" s="2">
        <v>39</v>
      </c>
      <c r="X3422" s="2">
        <v>0</v>
      </c>
      <c r="Y3422" s="2" t="s">
        <v>560</v>
      </c>
      <c r="Z3422" s="2" t="s">
        <v>22744</v>
      </c>
      <c r="AA3422" s="2">
        <v>7.2625334987784602E-3</v>
      </c>
      <c r="AB3422" s="2">
        <v>0.21910479944913</v>
      </c>
      <c r="AC3422" s="2">
        <v>5875.4548658603799</v>
      </c>
      <c r="AD3422" s="2">
        <v>2554.4450852432501</v>
      </c>
      <c r="AE3422" s="2">
        <v>5983.5548507175899</v>
      </c>
      <c r="AF3422" s="2">
        <v>6228.0777537203203</v>
      </c>
      <c r="AG3422" s="2">
        <v>5909.87498792733</v>
      </c>
      <c r="AH3422" s="2">
        <v>4806.9976980075999</v>
      </c>
      <c r="AI3422" s="2">
        <v>6275.9372317563402</v>
      </c>
      <c r="AJ3422" s="2">
        <v>6048.2866730331098</v>
      </c>
      <c r="AK3422" s="2">
        <v>2055.6980730004002</v>
      </c>
      <c r="AL3422" s="2">
        <v>2404.8771921924199</v>
      </c>
      <c r="AM3422" s="2">
        <v>3038.8356224059298</v>
      </c>
      <c r="AN3422" s="2">
        <v>2335.7903843110798</v>
      </c>
      <c r="AO3422" s="2">
        <v>1868.8586915880301</v>
      </c>
      <c r="AP3422" s="2">
        <v>3622.6105479616299</v>
      </c>
    </row>
    <row r="3423" spans="1:42" ht="14.5" x14ac:dyDescent="0.35">
      <c r="A3423" s="2" t="s">
        <v>22745</v>
      </c>
      <c r="B3423" s="2">
        <v>531.27356181250695</v>
      </c>
      <c r="C3423" s="2">
        <v>4.4359166666666701</v>
      </c>
      <c r="D3423" s="2" t="s">
        <v>70</v>
      </c>
      <c r="E3423" s="2" t="s">
        <v>22746</v>
      </c>
      <c r="F3423" s="2">
        <v>51177</v>
      </c>
      <c r="G3423" s="3" t="str">
        <f>HYPERLINK("http://funmeta.oebiotech.com/network/51177", "http://funmeta.oebiotech.com/network/51177")</f>
        <v>http://funmeta.oebiotech.com/network/51177</v>
      </c>
      <c r="H3423" s="2" t="s">
        <v>22747</v>
      </c>
      <c r="I3423" s="2"/>
      <c r="J3423" s="2"/>
      <c r="K3423" s="2"/>
      <c r="L3423" s="2"/>
      <c r="M3423" s="2"/>
      <c r="N3423" s="2"/>
      <c r="O3423" s="2">
        <v>53480670</v>
      </c>
      <c r="P3423" s="2"/>
      <c r="Q3423" s="2" t="s">
        <v>22748</v>
      </c>
      <c r="R3423" s="2" t="s">
        <v>22749</v>
      </c>
      <c r="S3423" s="2" t="s">
        <v>50</v>
      </c>
      <c r="T3423" s="2" t="s">
        <v>51</v>
      </c>
      <c r="U3423" s="2" t="s">
        <v>273</v>
      </c>
      <c r="V3423" s="2" t="s">
        <v>59</v>
      </c>
      <c r="W3423" s="2">
        <v>37.6</v>
      </c>
      <c r="X3423" s="2">
        <v>0</v>
      </c>
      <c r="Y3423" s="2" t="s">
        <v>408</v>
      </c>
      <c r="Z3423" s="2" t="s">
        <v>22750</v>
      </c>
      <c r="AA3423" s="2">
        <v>1.4777586937362299</v>
      </c>
      <c r="AB3423" s="2">
        <v>0.21893661127191699</v>
      </c>
      <c r="AC3423" s="2">
        <v>26761.156503193499</v>
      </c>
      <c r="AD3423" s="2">
        <v>31824.8646936326</v>
      </c>
      <c r="AE3423" s="2">
        <v>28494.732328941001</v>
      </c>
      <c r="AF3423" s="2">
        <v>25494.608019195399</v>
      </c>
      <c r="AG3423" s="2">
        <v>28683.638494524599</v>
      </c>
      <c r="AH3423" s="2">
        <v>24031.346092669901</v>
      </c>
      <c r="AI3423" s="2">
        <v>25774.831496962001</v>
      </c>
      <c r="AJ3423" s="2">
        <v>28087.782586868401</v>
      </c>
      <c r="AK3423" s="2">
        <v>32071.139187692999</v>
      </c>
      <c r="AL3423" s="2">
        <v>37202.3357356407</v>
      </c>
      <c r="AM3423" s="2">
        <v>28287.8865562256</v>
      </c>
      <c r="AN3423" s="2">
        <v>25105.307612593901</v>
      </c>
      <c r="AO3423" s="2">
        <v>33920.497793735201</v>
      </c>
      <c r="AP3423" s="2">
        <v>34362.021275907297</v>
      </c>
    </row>
    <row r="3424" spans="1:42" ht="14.5" x14ac:dyDescent="0.35">
      <c r="A3424" s="2" t="s">
        <v>22751</v>
      </c>
      <c r="B3424" s="2">
        <v>747.28505556532195</v>
      </c>
      <c r="C3424" s="2">
        <v>6.6881166666666703</v>
      </c>
      <c r="D3424" s="2" t="s">
        <v>70</v>
      </c>
      <c r="E3424" s="2" t="s">
        <v>22752</v>
      </c>
      <c r="F3424" s="2">
        <v>44806</v>
      </c>
      <c r="G3424" s="3" t="str">
        <f>HYPERLINK("http://funmeta.oebiotech.com/network/44806", "http://funmeta.oebiotech.com/network/44806")</f>
        <v>http://funmeta.oebiotech.com/network/44806</v>
      </c>
      <c r="H3424" s="2"/>
      <c r="I3424" s="2">
        <v>67087</v>
      </c>
      <c r="J3424" s="2" t="s">
        <v>22753</v>
      </c>
      <c r="K3424" s="2">
        <v>9388</v>
      </c>
      <c r="L3424" s="2" t="s">
        <v>22754</v>
      </c>
      <c r="M3424" s="2"/>
      <c r="N3424" s="2"/>
      <c r="O3424" s="2">
        <v>441685</v>
      </c>
      <c r="P3424" s="2" t="s">
        <v>22755</v>
      </c>
      <c r="Q3424" s="2" t="s">
        <v>22756</v>
      </c>
      <c r="R3424" s="2" t="s">
        <v>22757</v>
      </c>
      <c r="S3424" s="2" t="s">
        <v>50</v>
      </c>
      <c r="T3424" s="2" t="s">
        <v>124</v>
      </c>
      <c r="U3424" s="2" t="s">
        <v>567</v>
      </c>
      <c r="V3424" s="2" t="s">
        <v>59</v>
      </c>
      <c r="W3424" s="2">
        <v>37.9</v>
      </c>
      <c r="X3424" s="2">
        <v>0</v>
      </c>
      <c r="Y3424" s="2" t="s">
        <v>408</v>
      </c>
      <c r="Z3424" s="2" t="s">
        <v>22758</v>
      </c>
      <c r="AA3424" s="2">
        <v>-2.7103576989290099</v>
      </c>
      <c r="AB3424" s="2">
        <v>0.218852222709331</v>
      </c>
      <c r="AC3424" s="2">
        <v>4447.3203029769702</v>
      </c>
      <c r="AD3424" s="2">
        <v>8539.8540548982492</v>
      </c>
      <c r="AE3424" s="2">
        <v>3155.0177935382499</v>
      </c>
      <c r="AF3424" s="2">
        <v>4579.1850573498295</v>
      </c>
      <c r="AG3424" s="2">
        <v>4530.4435229643695</v>
      </c>
      <c r="AH3424" s="2">
        <v>4574.5714367856099</v>
      </c>
      <c r="AI3424" s="2">
        <v>4652.0620025748503</v>
      </c>
      <c r="AJ3424" s="2">
        <v>5192.6420046489102</v>
      </c>
      <c r="AK3424" s="2">
        <v>5086.3592691397398</v>
      </c>
      <c r="AL3424" s="2">
        <v>11246.3243767882</v>
      </c>
      <c r="AM3424" s="2">
        <v>6448.5498702233999</v>
      </c>
      <c r="AN3424" s="2">
        <v>7544.0397266135697</v>
      </c>
      <c r="AO3424" s="2">
        <v>10123.1185634796</v>
      </c>
      <c r="AP3424" s="2">
        <v>10790.732523145</v>
      </c>
    </row>
    <row r="3425" spans="1:42" ht="14.5" x14ac:dyDescent="0.35">
      <c r="A3425" s="2" t="s">
        <v>22759</v>
      </c>
      <c r="B3425" s="2">
        <v>515.08580960136806</v>
      </c>
      <c r="C3425" s="2">
        <v>4.5612000000000004</v>
      </c>
      <c r="D3425" s="2" t="s">
        <v>70</v>
      </c>
      <c r="E3425" s="2" t="s">
        <v>22760</v>
      </c>
      <c r="F3425" s="2">
        <v>60721</v>
      </c>
      <c r="G3425" s="3" t="str">
        <f>HYPERLINK("http://funmeta.oebiotech.com/network/60721", "http://funmeta.oebiotech.com/network/60721")</f>
        <v>http://funmeta.oebiotech.com/network/60721</v>
      </c>
      <c r="H3425" s="2" t="s">
        <v>22761</v>
      </c>
      <c r="I3425" s="2">
        <v>92049</v>
      </c>
      <c r="J3425" s="2"/>
      <c r="K3425" s="2"/>
      <c r="L3425" s="2"/>
      <c r="M3425" s="2"/>
      <c r="N3425" s="2"/>
      <c r="O3425" s="2">
        <v>131752138</v>
      </c>
      <c r="P3425" s="2"/>
      <c r="Q3425" s="2" t="s">
        <v>22762</v>
      </c>
      <c r="R3425" s="2" t="s">
        <v>22763</v>
      </c>
      <c r="S3425" s="2" t="s">
        <v>115</v>
      </c>
      <c r="T3425" s="2" t="s">
        <v>4730</v>
      </c>
      <c r="U3425" s="2" t="s">
        <v>4731</v>
      </c>
      <c r="V3425" s="2" t="s">
        <v>59</v>
      </c>
      <c r="W3425" s="2">
        <v>37.4</v>
      </c>
      <c r="X3425" s="2">
        <v>0</v>
      </c>
      <c r="Y3425" s="2" t="s">
        <v>408</v>
      </c>
      <c r="Z3425" s="2" t="s">
        <v>22764</v>
      </c>
      <c r="AA3425" s="2">
        <v>-1.43757961416186</v>
      </c>
      <c r="AB3425" s="2">
        <v>0.218806449559555</v>
      </c>
      <c r="AC3425" s="2">
        <v>4921.48745722273</v>
      </c>
      <c r="AD3425" s="2">
        <v>8695.3903058923697</v>
      </c>
      <c r="AE3425" s="2">
        <v>5740.13665942035</v>
      </c>
      <c r="AF3425" s="2">
        <v>3414.6596664587501</v>
      </c>
      <c r="AG3425" s="2">
        <v>6716.82565568264</v>
      </c>
      <c r="AH3425" s="2">
        <v>3961.7511115352499</v>
      </c>
      <c r="AI3425" s="2">
        <v>5944.9031478794304</v>
      </c>
      <c r="AJ3425" s="2">
        <v>3750.6485023599798</v>
      </c>
      <c r="AK3425" s="2">
        <v>9452.3217880677093</v>
      </c>
      <c r="AL3425" s="2">
        <v>10873.7545222469</v>
      </c>
      <c r="AM3425" s="2">
        <v>8510.3073493803295</v>
      </c>
      <c r="AN3425" s="2">
        <v>6892.2432965501903</v>
      </c>
      <c r="AO3425" s="2">
        <v>8319.6609745175992</v>
      </c>
      <c r="AP3425" s="2">
        <v>8124.0539045914902</v>
      </c>
    </row>
    <row r="3426" spans="1:42" ht="14.5" x14ac:dyDescent="0.35">
      <c r="A3426" s="2" t="s">
        <v>22765</v>
      </c>
      <c r="B3426" s="2">
        <v>741.40669135160999</v>
      </c>
      <c r="C3426" s="2">
        <v>10.5498833333333</v>
      </c>
      <c r="D3426" s="2" t="s">
        <v>70</v>
      </c>
      <c r="E3426" s="2" t="s">
        <v>22766</v>
      </c>
      <c r="F3426" s="2">
        <v>59550</v>
      </c>
      <c r="G3426" s="3" t="str">
        <f>HYPERLINK("http://funmeta.oebiotech.com/network/59550", "http://funmeta.oebiotech.com/network/59550")</f>
        <v>http://funmeta.oebiotech.com/network/59550</v>
      </c>
      <c r="H3426" s="2" t="s">
        <v>22767</v>
      </c>
      <c r="I3426" s="2">
        <v>90958</v>
      </c>
      <c r="J3426" s="2"/>
      <c r="K3426" s="2"/>
      <c r="L3426" s="2"/>
      <c r="M3426" s="2"/>
      <c r="N3426" s="2"/>
      <c r="O3426" s="2">
        <v>131751850</v>
      </c>
      <c r="P3426" s="2" t="s">
        <v>22768</v>
      </c>
      <c r="Q3426" s="2" t="s">
        <v>22769</v>
      </c>
      <c r="R3426" s="2" t="s">
        <v>22770</v>
      </c>
      <c r="S3426" s="2" t="s">
        <v>50</v>
      </c>
      <c r="T3426" s="2" t="s">
        <v>124</v>
      </c>
      <c r="U3426" s="2" t="s">
        <v>523</v>
      </c>
      <c r="V3426" s="2" t="s">
        <v>59</v>
      </c>
      <c r="W3426" s="2">
        <v>38.700000000000003</v>
      </c>
      <c r="X3426" s="2">
        <v>0</v>
      </c>
      <c r="Y3426" s="2" t="s">
        <v>408</v>
      </c>
      <c r="Z3426" s="2" t="s">
        <v>22771</v>
      </c>
      <c r="AA3426" s="2">
        <v>1.5971503220702701E-2</v>
      </c>
      <c r="AB3426" s="2">
        <v>0.218798914244454</v>
      </c>
      <c r="AC3426" s="2">
        <v>23038.9695135826</v>
      </c>
      <c r="AD3426" s="2">
        <v>27569.953713480299</v>
      </c>
      <c r="AE3426" s="2">
        <v>24469.854853999499</v>
      </c>
      <c r="AF3426" s="2">
        <v>25688.672475574302</v>
      </c>
      <c r="AG3426" s="2">
        <v>23157.108135071801</v>
      </c>
      <c r="AH3426" s="2">
        <v>19820.010448928599</v>
      </c>
      <c r="AI3426" s="2">
        <v>21172.733920068102</v>
      </c>
      <c r="AJ3426" s="2">
        <v>23925.4372478531</v>
      </c>
      <c r="AK3426" s="2">
        <v>30117.881546058001</v>
      </c>
      <c r="AL3426" s="2">
        <v>24591.838318736201</v>
      </c>
      <c r="AM3426" s="2">
        <v>31741.883888432501</v>
      </c>
      <c r="AN3426" s="2">
        <v>27034.857775757799</v>
      </c>
      <c r="AO3426" s="2">
        <v>24687.006636935199</v>
      </c>
      <c r="AP3426" s="2">
        <v>27246.254114962001</v>
      </c>
    </row>
    <row r="3427" spans="1:42" ht="14.5" x14ac:dyDescent="0.35">
      <c r="A3427" s="2" t="s">
        <v>22772</v>
      </c>
      <c r="B3427" s="2">
        <v>195.14910709798301</v>
      </c>
      <c r="C3427" s="2">
        <v>4.5826500000000001</v>
      </c>
      <c r="D3427" s="2" t="s">
        <v>34</v>
      </c>
      <c r="E3427" s="2" t="s">
        <v>22773</v>
      </c>
      <c r="F3427" s="2">
        <v>53110</v>
      </c>
      <c r="G3427" s="3" t="str">
        <f>HYPERLINK("http://funmeta.oebiotech.com/network/53110", "http://funmeta.oebiotech.com/network/53110")</f>
        <v>http://funmeta.oebiotech.com/network/53110</v>
      </c>
      <c r="H3427" s="2" t="s">
        <v>22774</v>
      </c>
      <c r="I3427" s="2">
        <v>43306</v>
      </c>
      <c r="J3427" s="2"/>
      <c r="K3427" s="2">
        <v>8067</v>
      </c>
      <c r="L3427" s="2" t="s">
        <v>22775</v>
      </c>
      <c r="M3427" s="2"/>
      <c r="N3427" s="2"/>
      <c r="O3427" s="2">
        <v>4762</v>
      </c>
      <c r="P3427" s="2" t="s">
        <v>22776</v>
      </c>
      <c r="Q3427" s="2" t="s">
        <v>22777</v>
      </c>
      <c r="R3427" s="2" t="s">
        <v>22778</v>
      </c>
      <c r="S3427" s="2" t="s">
        <v>491</v>
      </c>
      <c r="T3427" s="2" t="s">
        <v>9777</v>
      </c>
      <c r="U3427" s="2" t="s">
        <v>9778</v>
      </c>
      <c r="V3427" s="2" t="s">
        <v>59</v>
      </c>
      <c r="W3427" s="2">
        <v>40</v>
      </c>
      <c r="X3427" s="2">
        <v>9.1199999999999992</v>
      </c>
      <c r="Y3427" s="2" t="s">
        <v>43</v>
      </c>
      <c r="Z3427" s="2" t="s">
        <v>22779</v>
      </c>
      <c r="AA3427" s="2">
        <v>-0.46600941221393399</v>
      </c>
      <c r="AB3427" s="2">
        <v>0.218523930171309</v>
      </c>
      <c r="AC3427" s="2">
        <v>8352.5713584023397</v>
      </c>
      <c r="AD3427" s="2">
        <v>11784.385666002399</v>
      </c>
      <c r="AE3427" s="2">
        <v>7409.0585597444997</v>
      </c>
      <c r="AF3427" s="2">
        <v>8252.5549433381602</v>
      </c>
      <c r="AG3427" s="2">
        <v>9634.4660165934092</v>
      </c>
      <c r="AH3427" s="2">
        <v>7620.9797850593704</v>
      </c>
      <c r="AI3427" s="2">
        <v>9376.8902815813708</v>
      </c>
      <c r="AJ3427" s="2">
        <v>7821.4785640972304</v>
      </c>
      <c r="AK3427" s="2">
        <v>10426.8518333925</v>
      </c>
      <c r="AL3427" s="2">
        <v>11325.926682982599</v>
      </c>
      <c r="AM3427" s="2">
        <v>11867.144559566599</v>
      </c>
      <c r="AN3427" s="2">
        <v>12460.093781702901</v>
      </c>
      <c r="AO3427" s="2">
        <v>12352.3960978455</v>
      </c>
      <c r="AP3427" s="2">
        <v>12273.901040524201</v>
      </c>
    </row>
    <row r="3428" spans="1:42" ht="14.5" x14ac:dyDescent="0.35">
      <c r="A3428" s="2" t="s">
        <v>22780</v>
      </c>
      <c r="B3428" s="2">
        <v>131.12920169513399</v>
      </c>
      <c r="C3428" s="2">
        <v>0.65180000000000005</v>
      </c>
      <c r="D3428" s="2" t="s">
        <v>34</v>
      </c>
      <c r="E3428" s="2" t="s">
        <v>22781</v>
      </c>
      <c r="F3428" s="2">
        <v>47584</v>
      </c>
      <c r="G3428" s="3" t="str">
        <f>HYPERLINK("http://funmeta.oebiotech.com/network/47584", "http://funmeta.oebiotech.com/network/47584")</f>
        <v>http://funmeta.oebiotech.com/network/47584</v>
      </c>
      <c r="H3428" s="2" t="s">
        <v>22782</v>
      </c>
      <c r="I3428" s="2">
        <v>3523</v>
      </c>
      <c r="J3428" s="2"/>
      <c r="K3428" s="2">
        <v>17431</v>
      </c>
      <c r="L3428" s="2" t="s">
        <v>22783</v>
      </c>
      <c r="M3428" s="2" t="s">
        <v>12240</v>
      </c>
      <c r="N3428" s="2" t="s">
        <v>12241</v>
      </c>
      <c r="O3428" s="2">
        <v>199</v>
      </c>
      <c r="P3428" s="2" t="s">
        <v>22784</v>
      </c>
      <c r="Q3428" s="2" t="s">
        <v>22785</v>
      </c>
      <c r="R3428" s="2" t="s">
        <v>22786</v>
      </c>
      <c r="S3428" s="2" t="s">
        <v>1677</v>
      </c>
      <c r="T3428" s="2" t="s">
        <v>1678</v>
      </c>
      <c r="U3428" s="2" t="s">
        <v>22787</v>
      </c>
      <c r="V3428" s="2" t="s">
        <v>59</v>
      </c>
      <c r="W3428" s="2">
        <v>44.4</v>
      </c>
      <c r="X3428" s="2">
        <v>29</v>
      </c>
      <c r="Y3428" s="2" t="s">
        <v>394</v>
      </c>
      <c r="Z3428" s="2" t="s">
        <v>22788</v>
      </c>
      <c r="AA3428" s="2">
        <v>0.60554746286915295</v>
      </c>
      <c r="AB3428" s="2">
        <v>0.21831471052686899</v>
      </c>
      <c r="AC3428" s="2">
        <v>3738.92704242634</v>
      </c>
      <c r="AD3428" s="2">
        <v>517.00573288401097</v>
      </c>
      <c r="AE3428" s="2">
        <v>3579.64844526146</v>
      </c>
      <c r="AF3428" s="2">
        <v>3746.28190664058</v>
      </c>
      <c r="AG3428" s="2">
        <v>3505.76633980923</v>
      </c>
      <c r="AH3428" s="2">
        <v>3148.9610627109601</v>
      </c>
      <c r="AI3428" s="2">
        <v>3551.64971642821</v>
      </c>
      <c r="AJ3428" s="2">
        <v>4901.2547837076299</v>
      </c>
      <c r="AK3428" s="2">
        <v>494.49196806411697</v>
      </c>
      <c r="AL3428" s="2">
        <v>752.74141042168799</v>
      </c>
      <c r="AM3428" s="2">
        <v>441.152218822272</v>
      </c>
      <c r="AN3428" s="2">
        <v>366.197103326312</v>
      </c>
      <c r="AO3428" s="2">
        <v>713.13300634466998</v>
      </c>
      <c r="AP3428" s="2">
        <v>334.31869032500902</v>
      </c>
    </row>
    <row r="3429" spans="1:42" ht="14.5" x14ac:dyDescent="0.35">
      <c r="A3429" s="2" t="s">
        <v>22789</v>
      </c>
      <c r="B3429" s="2">
        <v>741.36709795267495</v>
      </c>
      <c r="C3429" s="2">
        <v>5.7854333333333301</v>
      </c>
      <c r="D3429" s="2" t="s">
        <v>70</v>
      </c>
      <c r="E3429" s="2" t="s">
        <v>22790</v>
      </c>
      <c r="F3429" s="2">
        <v>201022</v>
      </c>
      <c r="G3429" s="3" t="str">
        <f>HYPERLINK("http://funmeta.oebiotech.com/network/201022", "http://funmeta.oebiotech.com/network/201022")</f>
        <v>http://funmeta.oebiotech.com/network/201022</v>
      </c>
      <c r="H3429" s="2" t="s">
        <v>22791</v>
      </c>
      <c r="I3429" s="2">
        <v>64770</v>
      </c>
      <c r="J3429" s="2"/>
      <c r="K3429" s="2"/>
      <c r="L3429" s="2"/>
      <c r="M3429" s="2"/>
      <c r="N3429" s="2"/>
      <c r="O3429" s="2">
        <v>10547208</v>
      </c>
      <c r="P3429" s="2" t="s">
        <v>22792</v>
      </c>
      <c r="Q3429" s="2" t="s">
        <v>22793</v>
      </c>
      <c r="R3429" s="2" t="s">
        <v>22794</v>
      </c>
      <c r="S3429" s="2" t="s">
        <v>491</v>
      </c>
      <c r="T3429" s="2" t="s">
        <v>2184</v>
      </c>
      <c r="U3429" s="2" t="s">
        <v>2185</v>
      </c>
      <c r="V3429" s="2" t="s">
        <v>59</v>
      </c>
      <c r="W3429" s="2">
        <v>38.9</v>
      </c>
      <c r="X3429" s="2">
        <v>0</v>
      </c>
      <c r="Y3429" s="2" t="s">
        <v>560</v>
      </c>
      <c r="Z3429" s="2" t="s">
        <v>22795</v>
      </c>
      <c r="AA3429" s="2">
        <v>-3.61501832019606</v>
      </c>
      <c r="AB3429" s="2">
        <v>0.218196224513339</v>
      </c>
      <c r="AC3429" s="2">
        <v>20165.508095269601</v>
      </c>
      <c r="AD3429" s="2">
        <v>24053.169004195199</v>
      </c>
      <c r="AE3429" s="2">
        <v>20498.784720269799</v>
      </c>
      <c r="AF3429" s="2">
        <v>21407.917500126801</v>
      </c>
      <c r="AG3429" s="2">
        <v>17873.149547909899</v>
      </c>
      <c r="AH3429" s="2">
        <v>18903.131286400199</v>
      </c>
      <c r="AI3429" s="2">
        <v>21453.240585385702</v>
      </c>
      <c r="AJ3429" s="2">
        <v>20856.824931525302</v>
      </c>
      <c r="AK3429" s="2">
        <v>23876.3071120676</v>
      </c>
      <c r="AL3429" s="2">
        <v>25598.034574104</v>
      </c>
      <c r="AM3429" s="2">
        <v>22637.577384832799</v>
      </c>
      <c r="AN3429" s="2">
        <v>26667.322234469699</v>
      </c>
      <c r="AO3429" s="2">
        <v>22339.465670887301</v>
      </c>
      <c r="AP3429" s="2">
        <v>23200.307048809598</v>
      </c>
    </row>
    <row r="3430" spans="1:42" ht="14.5" x14ac:dyDescent="0.35">
      <c r="A3430" s="2" t="s">
        <v>22796</v>
      </c>
      <c r="B3430" s="2">
        <v>801.42663186709296</v>
      </c>
      <c r="C3430" s="2">
        <v>9.9627166666666707</v>
      </c>
      <c r="D3430" s="2" t="s">
        <v>70</v>
      </c>
      <c r="E3430" s="2" t="s">
        <v>22797</v>
      </c>
      <c r="F3430" s="2">
        <v>59355</v>
      </c>
      <c r="G3430" s="3" t="str">
        <f>HYPERLINK("http://funmeta.oebiotech.com/network/59355", "http://funmeta.oebiotech.com/network/59355")</f>
        <v>http://funmeta.oebiotech.com/network/59355</v>
      </c>
      <c r="H3430" s="2" t="s">
        <v>22798</v>
      </c>
      <c r="I3430" s="2">
        <v>90770</v>
      </c>
      <c r="J3430" s="2"/>
      <c r="K3430" s="2"/>
      <c r="L3430" s="2"/>
      <c r="M3430" s="2"/>
      <c r="N3430" s="2"/>
      <c r="O3430" s="2">
        <v>85254531</v>
      </c>
      <c r="P3430" s="2" t="s">
        <v>22799</v>
      </c>
      <c r="Q3430" s="2" t="s">
        <v>22800</v>
      </c>
      <c r="R3430" s="2" t="s">
        <v>22801</v>
      </c>
      <c r="S3430" s="2" t="s">
        <v>50</v>
      </c>
      <c r="T3430" s="2" t="s">
        <v>124</v>
      </c>
      <c r="U3430" s="2" t="s">
        <v>523</v>
      </c>
      <c r="V3430" s="2" t="s">
        <v>59</v>
      </c>
      <c r="W3430" s="2">
        <v>39.1</v>
      </c>
      <c r="X3430" s="2">
        <v>0</v>
      </c>
      <c r="Y3430" s="2" t="s">
        <v>408</v>
      </c>
      <c r="Z3430" s="2" t="s">
        <v>16702</v>
      </c>
      <c r="AA3430" s="2">
        <v>-1.5569581315685701</v>
      </c>
      <c r="AB3430" s="2">
        <v>0.218078313409209</v>
      </c>
      <c r="AC3430" s="2">
        <v>32520.142964903302</v>
      </c>
      <c r="AD3430" s="2">
        <v>36840.408371655802</v>
      </c>
      <c r="AE3430" s="2">
        <v>30010.0769002003</v>
      </c>
      <c r="AF3430" s="2">
        <v>29289.8423159298</v>
      </c>
      <c r="AG3430" s="2">
        <v>32230.386837373098</v>
      </c>
      <c r="AH3430" s="2">
        <v>33340.581437106099</v>
      </c>
      <c r="AI3430" s="2">
        <v>33710.733328374299</v>
      </c>
      <c r="AJ3430" s="2">
        <v>36539.236970436497</v>
      </c>
      <c r="AK3430" s="2">
        <v>34762.323978259003</v>
      </c>
      <c r="AL3430" s="2">
        <v>35206.423472105998</v>
      </c>
      <c r="AM3430" s="2">
        <v>39922.325447862699</v>
      </c>
      <c r="AN3430" s="2">
        <v>36585.263365519502</v>
      </c>
      <c r="AO3430" s="2">
        <v>38269.684989765097</v>
      </c>
      <c r="AP3430" s="2">
        <v>36296.428976422198</v>
      </c>
    </row>
    <row r="3431" spans="1:42" ht="14.5" x14ac:dyDescent="0.35">
      <c r="A3431" s="2" t="s">
        <v>22802</v>
      </c>
      <c r="B3431" s="2">
        <v>236.09230815449101</v>
      </c>
      <c r="C3431" s="2">
        <v>8.9648166666666693</v>
      </c>
      <c r="D3431" s="2" t="s">
        <v>70</v>
      </c>
      <c r="E3431" s="2" t="s">
        <v>22803</v>
      </c>
      <c r="F3431" s="2">
        <v>57777</v>
      </c>
      <c r="G3431" s="3" t="str">
        <f>HYPERLINK("http://funmeta.oebiotech.com/network/57777", "http://funmeta.oebiotech.com/network/57777")</f>
        <v>http://funmeta.oebiotech.com/network/57777</v>
      </c>
      <c r="H3431" s="2" t="s">
        <v>22804</v>
      </c>
      <c r="I3431" s="2">
        <v>89370</v>
      </c>
      <c r="J3431" s="2"/>
      <c r="K3431" s="2"/>
      <c r="L3431" s="2"/>
      <c r="M3431" s="2"/>
      <c r="N3431" s="2"/>
      <c r="O3431" s="2">
        <v>131751455</v>
      </c>
      <c r="P3431" s="2"/>
      <c r="Q3431" s="2" t="s">
        <v>22805</v>
      </c>
      <c r="R3431" s="2" t="s">
        <v>22806</v>
      </c>
      <c r="S3431" s="2" t="s">
        <v>491</v>
      </c>
      <c r="T3431" s="2" t="s">
        <v>2238</v>
      </c>
      <c r="U3431" s="2" t="s">
        <v>2239</v>
      </c>
      <c r="V3431" s="2" t="s">
        <v>42</v>
      </c>
      <c r="W3431" s="2">
        <v>49.8</v>
      </c>
      <c r="X3431" s="2">
        <v>54.1</v>
      </c>
      <c r="Y3431" s="2" t="s">
        <v>408</v>
      </c>
      <c r="Z3431" s="2" t="s">
        <v>22807</v>
      </c>
      <c r="AA3431" s="2">
        <v>-2.7388333348604199</v>
      </c>
      <c r="AB3431" s="2">
        <v>0.21807018840696701</v>
      </c>
      <c r="AC3431" s="2">
        <v>14132.730730760801</v>
      </c>
      <c r="AD3431" s="2">
        <v>17497.970300927402</v>
      </c>
      <c r="AE3431" s="2">
        <v>14035.4829911219</v>
      </c>
      <c r="AF3431" s="2">
        <v>15188.1495200831</v>
      </c>
      <c r="AG3431" s="2">
        <v>14405.5558966959</v>
      </c>
      <c r="AH3431" s="2">
        <v>14297.821649887201</v>
      </c>
      <c r="AI3431" s="2">
        <v>14272.9039709547</v>
      </c>
      <c r="AJ3431" s="2">
        <v>12596.470355822299</v>
      </c>
      <c r="AK3431" s="2">
        <v>16623.0213712039</v>
      </c>
      <c r="AL3431" s="2">
        <v>16959.385028868201</v>
      </c>
      <c r="AM3431" s="2">
        <v>18020.456859678601</v>
      </c>
      <c r="AN3431" s="2">
        <v>17816.149187537001</v>
      </c>
      <c r="AO3431" s="2">
        <v>17328.895276293901</v>
      </c>
      <c r="AP3431" s="2">
        <v>18239.914081982901</v>
      </c>
    </row>
    <row r="3432" spans="1:42" ht="14.5" x14ac:dyDescent="0.35">
      <c r="A3432" s="2" t="s">
        <v>22808</v>
      </c>
      <c r="B3432" s="2">
        <v>520.27933590020905</v>
      </c>
      <c r="C3432" s="2">
        <v>8.6549166666666704</v>
      </c>
      <c r="D3432" s="2" t="s">
        <v>34</v>
      </c>
      <c r="E3432" s="2" t="s">
        <v>22809</v>
      </c>
      <c r="F3432" s="2">
        <v>19829</v>
      </c>
      <c r="G3432" s="3" t="str">
        <f>HYPERLINK("http://funmeta.oebiotech.com/network/19829", "http://funmeta.oebiotech.com/network/19829")</f>
        <v>http://funmeta.oebiotech.com/network/19829</v>
      </c>
      <c r="H3432" s="2" t="s">
        <v>22810</v>
      </c>
      <c r="I3432" s="2">
        <v>40282</v>
      </c>
      <c r="J3432" s="2" t="s">
        <v>22811</v>
      </c>
      <c r="K3432" s="2">
        <v>131924</v>
      </c>
      <c r="L3432" s="2" t="s">
        <v>1451</v>
      </c>
      <c r="M3432" s="2" t="s">
        <v>1452</v>
      </c>
      <c r="N3432" s="2" t="s">
        <v>1453</v>
      </c>
      <c r="O3432" s="2">
        <v>24779458</v>
      </c>
      <c r="P3432" s="2"/>
      <c r="Q3432" s="2" t="s">
        <v>22812</v>
      </c>
      <c r="R3432" s="2" t="s">
        <v>22813</v>
      </c>
      <c r="S3432" s="2" t="s">
        <v>50</v>
      </c>
      <c r="T3432" s="2" t="s">
        <v>51</v>
      </c>
      <c r="U3432" s="2" t="s">
        <v>168</v>
      </c>
      <c r="V3432" s="2" t="s">
        <v>59</v>
      </c>
      <c r="W3432" s="2">
        <v>37.799999999999997</v>
      </c>
      <c r="X3432" s="2">
        <v>0</v>
      </c>
      <c r="Y3432" s="2" t="s">
        <v>340</v>
      </c>
      <c r="Z3432" s="2" t="s">
        <v>22814</v>
      </c>
      <c r="AA3432" s="2">
        <v>-1.3747511337268901</v>
      </c>
      <c r="AB3432" s="2">
        <v>0.21801982699967301</v>
      </c>
      <c r="AC3432" s="2">
        <v>39187.417015471998</v>
      </c>
      <c r="AD3432" s="2">
        <v>43859.039861666097</v>
      </c>
      <c r="AE3432" s="2">
        <v>38149.5895873513</v>
      </c>
      <c r="AF3432" s="2">
        <v>43103.157017693004</v>
      </c>
      <c r="AG3432" s="2">
        <v>42068.6910966254</v>
      </c>
      <c r="AH3432" s="2">
        <v>39796.023077911399</v>
      </c>
      <c r="AI3432" s="2">
        <v>34186.103624462099</v>
      </c>
      <c r="AJ3432" s="2">
        <v>37820.937688789098</v>
      </c>
      <c r="AK3432" s="2">
        <v>46561.773821191302</v>
      </c>
      <c r="AL3432" s="2">
        <v>46311.629510263301</v>
      </c>
      <c r="AM3432" s="2">
        <v>43051.710405160098</v>
      </c>
      <c r="AN3432" s="2">
        <v>43669.816249469397</v>
      </c>
      <c r="AO3432" s="2">
        <v>41293.536654628297</v>
      </c>
      <c r="AP3432" s="2">
        <v>42265.772529284201</v>
      </c>
    </row>
    <row r="3433" spans="1:42" ht="14.5" x14ac:dyDescent="0.35">
      <c r="A3433" s="2" t="s">
        <v>22815</v>
      </c>
      <c r="B3433" s="2">
        <v>208.09702934146401</v>
      </c>
      <c r="C3433" s="2">
        <v>6.5195166666666697</v>
      </c>
      <c r="D3433" s="2" t="s">
        <v>70</v>
      </c>
      <c r="E3433" s="2" t="s">
        <v>22816</v>
      </c>
      <c r="F3433" s="2">
        <v>258030</v>
      </c>
      <c r="G3433" s="3" t="str">
        <f>HYPERLINK("http://funmeta.oebiotech.com/network/258030", "http://funmeta.oebiotech.com/network/258030")</f>
        <v>http://funmeta.oebiotech.com/network/258030</v>
      </c>
      <c r="H3433" s="2"/>
      <c r="I3433" s="2">
        <v>2085</v>
      </c>
      <c r="J3433" s="2"/>
      <c r="K3433" s="2"/>
      <c r="L3433" s="2"/>
      <c r="M3433" s="2"/>
      <c r="N3433" s="2"/>
      <c r="O3433" s="2">
        <v>7011</v>
      </c>
      <c r="P3433" s="2" t="s">
        <v>22817</v>
      </c>
      <c r="Q3433" s="2" t="s">
        <v>22818</v>
      </c>
      <c r="R3433" s="2" t="s">
        <v>22819</v>
      </c>
      <c r="S3433" s="2" t="s">
        <v>148</v>
      </c>
      <c r="T3433" s="2" t="s">
        <v>149</v>
      </c>
      <c r="U3433" s="2" t="s">
        <v>3684</v>
      </c>
      <c r="V3433" s="2" t="s">
        <v>59</v>
      </c>
      <c r="W3433" s="2">
        <v>38.1</v>
      </c>
      <c r="X3433" s="2">
        <v>0</v>
      </c>
      <c r="Y3433" s="2" t="s">
        <v>408</v>
      </c>
      <c r="Z3433" s="2" t="s">
        <v>9047</v>
      </c>
      <c r="AA3433" s="2">
        <v>-5.4418845001872498</v>
      </c>
      <c r="AB3433" s="2">
        <v>0.21790059254334099</v>
      </c>
      <c r="AC3433" s="2">
        <v>18306.108864959799</v>
      </c>
      <c r="AD3433" s="2">
        <v>14679.3342597997</v>
      </c>
      <c r="AE3433" s="2">
        <v>16680.187461081499</v>
      </c>
      <c r="AF3433" s="2">
        <v>18329.385834843801</v>
      </c>
      <c r="AG3433" s="2">
        <v>17850.567346784901</v>
      </c>
      <c r="AH3433" s="2">
        <v>18141.950654119701</v>
      </c>
      <c r="AI3433" s="2">
        <v>19047.308312079502</v>
      </c>
      <c r="AJ3433" s="2">
        <v>19787.253580849501</v>
      </c>
      <c r="AK3433" s="2">
        <v>12935.771164771</v>
      </c>
      <c r="AL3433" s="2">
        <v>13715.9214265561</v>
      </c>
      <c r="AM3433" s="2">
        <v>15752.968954931601</v>
      </c>
      <c r="AN3433" s="2">
        <v>14415.798828901299</v>
      </c>
      <c r="AO3433" s="2">
        <v>15012.0417157396</v>
      </c>
      <c r="AP3433" s="2">
        <v>16243.503467898599</v>
      </c>
    </row>
    <row r="3434" spans="1:42" ht="14.5" x14ac:dyDescent="0.35">
      <c r="A3434" s="2" t="s">
        <v>22820</v>
      </c>
      <c r="B3434" s="2">
        <v>455.07813317779102</v>
      </c>
      <c r="C3434" s="2">
        <v>0.87229999999999996</v>
      </c>
      <c r="D3434" s="2" t="s">
        <v>70</v>
      </c>
      <c r="E3434" s="2" t="s">
        <v>22821</v>
      </c>
      <c r="F3434" s="2">
        <v>52436</v>
      </c>
      <c r="G3434" s="3" t="str">
        <f>HYPERLINK("http://funmeta.oebiotech.com/network/52436", "http://funmeta.oebiotech.com/network/52436")</f>
        <v>http://funmeta.oebiotech.com/network/52436</v>
      </c>
      <c r="H3434" s="2" t="s">
        <v>22822</v>
      </c>
      <c r="I3434" s="2">
        <v>85253</v>
      </c>
      <c r="J3434" s="2"/>
      <c r="K3434" s="2">
        <v>1280327</v>
      </c>
      <c r="L3434" s="2"/>
      <c r="M3434" s="2"/>
      <c r="N3434" s="2"/>
      <c r="O3434" s="2">
        <v>5488186</v>
      </c>
      <c r="P3434" s="2" t="s">
        <v>22823</v>
      </c>
      <c r="Q3434" s="2" t="s">
        <v>22824</v>
      </c>
      <c r="R3434" s="2" t="s">
        <v>22825</v>
      </c>
      <c r="S3434" s="2" t="s">
        <v>115</v>
      </c>
      <c r="T3434" s="2" t="s">
        <v>758</v>
      </c>
      <c r="U3434" s="2" t="s">
        <v>41</v>
      </c>
      <c r="V3434" s="2" t="s">
        <v>59</v>
      </c>
      <c r="W3434" s="2">
        <v>38.700000000000003</v>
      </c>
      <c r="X3434" s="2">
        <v>0</v>
      </c>
      <c r="Y3434" s="2" t="s">
        <v>560</v>
      </c>
      <c r="Z3434" s="2" t="s">
        <v>22826</v>
      </c>
      <c r="AA3434" s="2">
        <v>1.95608523492751</v>
      </c>
      <c r="AB3434" s="2">
        <v>0.21786461593152001</v>
      </c>
      <c r="AC3434" s="2">
        <v>24456.642523797</v>
      </c>
      <c r="AD3434" s="2">
        <v>29637.177936664299</v>
      </c>
      <c r="AE3434" s="2">
        <v>23465.163380837599</v>
      </c>
      <c r="AF3434" s="2">
        <v>26251.1188739688</v>
      </c>
      <c r="AG3434" s="2">
        <v>27706.8749246359</v>
      </c>
      <c r="AH3434" s="2">
        <v>23366.4522731937</v>
      </c>
      <c r="AI3434" s="2">
        <v>25187.2935844313</v>
      </c>
      <c r="AJ3434" s="2">
        <v>20762.952105714601</v>
      </c>
      <c r="AK3434" s="2">
        <v>32467.893757549798</v>
      </c>
      <c r="AL3434" s="2">
        <v>30325.918438904999</v>
      </c>
      <c r="AM3434" s="2">
        <v>20879.519331472002</v>
      </c>
      <c r="AN3434" s="2">
        <v>30549.787535527499</v>
      </c>
      <c r="AO3434" s="2">
        <v>34492.3029502602</v>
      </c>
      <c r="AP3434" s="2">
        <v>29107.645606271199</v>
      </c>
    </row>
    <row r="3435" spans="1:42" ht="14.5" x14ac:dyDescent="0.35">
      <c r="A3435" s="2" t="s">
        <v>22827</v>
      </c>
      <c r="B3435" s="2">
        <v>393.29771127947902</v>
      </c>
      <c r="C3435" s="2">
        <v>11.0433</v>
      </c>
      <c r="D3435" s="2" t="s">
        <v>34</v>
      </c>
      <c r="E3435" s="2" t="s">
        <v>22828</v>
      </c>
      <c r="F3435" s="2">
        <v>63472</v>
      </c>
      <c r="G3435" s="3" t="str">
        <f>HYPERLINK("http://funmeta.oebiotech.com/network/63472", "http://funmeta.oebiotech.com/network/63472")</f>
        <v>http://funmeta.oebiotech.com/network/63472</v>
      </c>
      <c r="H3435" s="2" t="s">
        <v>22829</v>
      </c>
      <c r="I3435" s="2">
        <v>69902</v>
      </c>
      <c r="J3435" s="2"/>
      <c r="K3435" s="2">
        <v>34675</v>
      </c>
      <c r="L3435" s="2" t="s">
        <v>22830</v>
      </c>
      <c r="M3435" s="2" t="s">
        <v>22831</v>
      </c>
      <c r="N3435" s="2" t="s">
        <v>22832</v>
      </c>
      <c r="O3435" s="2">
        <v>7641</v>
      </c>
      <c r="P3435" s="2" t="s">
        <v>22833</v>
      </c>
      <c r="Q3435" s="2" t="s">
        <v>22834</v>
      </c>
      <c r="R3435" s="2" t="s">
        <v>22835</v>
      </c>
      <c r="S3435" s="2" t="s">
        <v>50</v>
      </c>
      <c r="T3435" s="2" t="s">
        <v>229</v>
      </c>
      <c r="U3435" s="2" t="s">
        <v>1914</v>
      </c>
      <c r="V3435" s="2" t="s">
        <v>59</v>
      </c>
      <c r="W3435" s="2">
        <v>37.799999999999997</v>
      </c>
      <c r="X3435" s="2">
        <v>0</v>
      </c>
      <c r="Y3435" s="2" t="s">
        <v>323</v>
      </c>
      <c r="Z3435" s="2" t="s">
        <v>3161</v>
      </c>
      <c r="AA3435" s="2">
        <v>0.48817240638723902</v>
      </c>
      <c r="AB3435" s="2">
        <v>0.217818594728585</v>
      </c>
      <c r="AC3435" s="2">
        <v>7594.4097793523697</v>
      </c>
      <c r="AD3435" s="2">
        <v>10952.580740141801</v>
      </c>
      <c r="AE3435" s="2">
        <v>7353.5089266813902</v>
      </c>
      <c r="AF3435" s="2">
        <v>7757.1897775971302</v>
      </c>
      <c r="AG3435" s="2">
        <v>7804.1269235630498</v>
      </c>
      <c r="AH3435" s="2">
        <v>7614.5220678157002</v>
      </c>
      <c r="AI3435" s="2">
        <v>7814.0411811858903</v>
      </c>
      <c r="AJ3435" s="2">
        <v>7223.0697992710702</v>
      </c>
      <c r="AK3435" s="2">
        <v>11996.131784273401</v>
      </c>
      <c r="AL3435" s="2">
        <v>10793.1854316344</v>
      </c>
      <c r="AM3435" s="2">
        <v>11548.987764683399</v>
      </c>
      <c r="AN3435" s="2">
        <v>11681.9435976193</v>
      </c>
      <c r="AO3435" s="2">
        <v>10530.663126396301</v>
      </c>
      <c r="AP3435" s="2">
        <v>9164.5727362437592</v>
      </c>
    </row>
    <row r="3436" spans="1:42" ht="14.5" x14ac:dyDescent="0.35">
      <c r="A3436" s="2" t="s">
        <v>22836</v>
      </c>
      <c r="B3436" s="2">
        <v>565.26446174307296</v>
      </c>
      <c r="C3436" s="2">
        <v>7.1594666666666704</v>
      </c>
      <c r="D3436" s="2" t="s">
        <v>70</v>
      </c>
      <c r="E3436" s="2" t="s">
        <v>22837</v>
      </c>
      <c r="F3436" s="2">
        <v>44811</v>
      </c>
      <c r="G3436" s="3" t="str">
        <f>HYPERLINK("http://funmeta.oebiotech.com/network/44811", "http://funmeta.oebiotech.com/network/44811")</f>
        <v>http://funmeta.oebiotech.com/network/44811</v>
      </c>
      <c r="H3436" s="2" t="s">
        <v>22838</v>
      </c>
      <c r="I3436" s="2"/>
      <c r="J3436" s="2" t="s">
        <v>22839</v>
      </c>
      <c r="K3436" s="2"/>
      <c r="L3436" s="2"/>
      <c r="M3436" s="2"/>
      <c r="N3436" s="2"/>
      <c r="O3436" s="2">
        <v>3734964</v>
      </c>
      <c r="P3436" s="2" t="s">
        <v>22840</v>
      </c>
      <c r="Q3436" s="2" t="s">
        <v>22841</v>
      </c>
      <c r="R3436" s="2" t="s">
        <v>22842</v>
      </c>
      <c r="S3436" s="2" t="s">
        <v>50</v>
      </c>
      <c r="T3436" s="2" t="s">
        <v>124</v>
      </c>
      <c r="U3436" s="2" t="s">
        <v>567</v>
      </c>
      <c r="V3436" s="2" t="s">
        <v>59</v>
      </c>
      <c r="W3436" s="2">
        <v>37.5</v>
      </c>
      <c r="X3436" s="2">
        <v>0</v>
      </c>
      <c r="Y3436" s="2" t="s">
        <v>408</v>
      </c>
      <c r="Z3436" s="2" t="s">
        <v>2149</v>
      </c>
      <c r="AA3436" s="2">
        <v>-1.87208746871555</v>
      </c>
      <c r="AB3436" s="2">
        <v>0.21780822594886301</v>
      </c>
      <c r="AC3436" s="2">
        <v>25947.722270443701</v>
      </c>
      <c r="AD3436" s="2">
        <v>22196.117915100702</v>
      </c>
      <c r="AE3436" s="2">
        <v>25648.562301556802</v>
      </c>
      <c r="AF3436" s="2">
        <v>25036.182042961798</v>
      </c>
      <c r="AG3436" s="2">
        <v>26293.450043094599</v>
      </c>
      <c r="AH3436" s="2">
        <v>27977.7941336166</v>
      </c>
      <c r="AI3436" s="2">
        <v>25423.459321985702</v>
      </c>
      <c r="AJ3436" s="2">
        <v>25306.885779446598</v>
      </c>
      <c r="AK3436" s="2">
        <v>20656.705236348898</v>
      </c>
      <c r="AL3436" s="2">
        <v>23657.177916800301</v>
      </c>
      <c r="AM3436" s="2">
        <v>24631.053313280601</v>
      </c>
      <c r="AN3436" s="2">
        <v>22027.520556837899</v>
      </c>
      <c r="AO3436" s="2">
        <v>21560.5905023386</v>
      </c>
      <c r="AP3436" s="2">
        <v>20643.6599649977</v>
      </c>
    </row>
    <row r="3437" spans="1:42" ht="14.5" x14ac:dyDescent="0.35">
      <c r="A3437" s="2" t="s">
        <v>22843</v>
      </c>
      <c r="B3437" s="2">
        <v>548.30041605427402</v>
      </c>
      <c r="C3437" s="2">
        <v>11.8372333333333</v>
      </c>
      <c r="D3437" s="2" t="s">
        <v>34</v>
      </c>
      <c r="E3437" s="2" t="s">
        <v>22844</v>
      </c>
      <c r="F3437" s="2">
        <v>207274</v>
      </c>
      <c r="G3437" s="3" t="str">
        <f>HYPERLINK("http://funmeta.oebiotech.com/network/207274", "http://funmeta.oebiotech.com/network/207274")</f>
        <v>http://funmeta.oebiotech.com/network/207274</v>
      </c>
      <c r="H3437" s="2" t="s">
        <v>22845</v>
      </c>
      <c r="I3437" s="2">
        <v>326691</v>
      </c>
      <c r="J3437" s="2"/>
      <c r="K3437" s="2"/>
      <c r="L3437" s="2"/>
      <c r="M3437" s="2"/>
      <c r="N3437" s="2"/>
      <c r="O3437" s="2">
        <v>10482134</v>
      </c>
      <c r="P3437" s="2"/>
      <c r="Q3437" s="2" t="s">
        <v>22846</v>
      </c>
      <c r="R3437" s="2" t="s">
        <v>22847</v>
      </c>
      <c r="S3437" s="2" t="s">
        <v>50</v>
      </c>
      <c r="T3437" s="2" t="s">
        <v>448</v>
      </c>
      <c r="U3437" s="2" t="s">
        <v>9987</v>
      </c>
      <c r="V3437" s="2" t="s">
        <v>59</v>
      </c>
      <c r="W3437" s="2">
        <v>39</v>
      </c>
      <c r="X3437" s="2">
        <v>0</v>
      </c>
      <c r="Y3437" s="2" t="s">
        <v>43</v>
      </c>
      <c r="Z3437" s="2" t="s">
        <v>22848</v>
      </c>
      <c r="AA3437" s="2">
        <v>-0.46846554963675502</v>
      </c>
      <c r="AB3437" s="2">
        <v>0.21767587423191401</v>
      </c>
      <c r="AC3437" s="2">
        <v>5005.2872250895998</v>
      </c>
      <c r="AD3437" s="2">
        <v>799.06615097956603</v>
      </c>
      <c r="AE3437" s="2">
        <v>9547.4078902845995</v>
      </c>
      <c r="AF3437" s="2">
        <v>2368.35389217688</v>
      </c>
      <c r="AG3437" s="2">
        <v>4071.52119582662</v>
      </c>
      <c r="AH3437" s="2">
        <v>3627.1479422079101</v>
      </c>
      <c r="AI3437" s="2">
        <v>7289.4846051603599</v>
      </c>
      <c r="AJ3437" s="2">
        <v>3127.8078248811998</v>
      </c>
      <c r="AK3437" s="2">
        <v>481.52993094585202</v>
      </c>
      <c r="AL3437" s="2">
        <v>2361.7807935177002</v>
      </c>
      <c r="AM3437" s="2">
        <v>1052.2957153571101</v>
      </c>
      <c r="AN3437" s="2">
        <v>898.79041184414302</v>
      </c>
      <c r="AO3437" s="2">
        <v>2.7106294003980101E-5</v>
      </c>
      <c r="AP3437" s="2">
        <v>2.7106294003980101E-5</v>
      </c>
    </row>
    <row r="3438" spans="1:42" ht="14.5" x14ac:dyDescent="0.35">
      <c r="A3438" s="2" t="s">
        <v>22849</v>
      </c>
      <c r="B3438" s="2">
        <v>713.33912799457903</v>
      </c>
      <c r="C3438" s="2">
        <v>9.2841333333333296</v>
      </c>
      <c r="D3438" s="2" t="s">
        <v>70</v>
      </c>
      <c r="E3438" s="2" t="s">
        <v>22850</v>
      </c>
      <c r="F3438" s="2">
        <v>54921</v>
      </c>
      <c r="G3438" s="3" t="str">
        <f>HYPERLINK("http://funmeta.oebiotech.com/network/54921", "http://funmeta.oebiotech.com/network/54921")</f>
        <v>http://funmeta.oebiotech.com/network/54921</v>
      </c>
      <c r="H3438" s="2" t="s">
        <v>22851</v>
      </c>
      <c r="I3438" s="2">
        <v>86708</v>
      </c>
      <c r="J3438" s="2"/>
      <c r="K3438" s="2"/>
      <c r="L3438" s="2"/>
      <c r="M3438" s="2"/>
      <c r="N3438" s="2"/>
      <c r="O3438" s="2">
        <v>4262075</v>
      </c>
      <c r="P3438" s="2"/>
      <c r="Q3438" s="2" t="s">
        <v>22852</v>
      </c>
      <c r="R3438" s="2" t="s">
        <v>22853</v>
      </c>
      <c r="S3438" s="2" t="s">
        <v>50</v>
      </c>
      <c r="T3438" s="2" t="s">
        <v>124</v>
      </c>
      <c r="U3438" s="2" t="s">
        <v>567</v>
      </c>
      <c r="V3438" s="2" t="s">
        <v>42</v>
      </c>
      <c r="W3438" s="2">
        <v>52.5</v>
      </c>
      <c r="X3438" s="2">
        <v>67.400000000000006</v>
      </c>
      <c r="Y3438" s="2" t="s">
        <v>118</v>
      </c>
      <c r="Z3438" s="2" t="s">
        <v>22854</v>
      </c>
      <c r="AA3438" s="2">
        <v>0.18674612622616499</v>
      </c>
      <c r="AB3438" s="2">
        <v>0.217621544289929</v>
      </c>
      <c r="AC3438" s="2">
        <v>103664.786166814</v>
      </c>
      <c r="AD3438" s="2">
        <v>110365.20012138</v>
      </c>
      <c r="AE3438" s="2">
        <v>91501.958984856101</v>
      </c>
      <c r="AF3438" s="2">
        <v>95222.716541236805</v>
      </c>
      <c r="AG3438" s="2">
        <v>109719.713388565</v>
      </c>
      <c r="AH3438" s="2">
        <v>111031.992165937</v>
      </c>
      <c r="AI3438" s="2">
        <v>109853.438488667</v>
      </c>
      <c r="AJ3438" s="2">
        <v>104658.897431625</v>
      </c>
      <c r="AK3438" s="2">
        <v>111291.59822800801</v>
      </c>
      <c r="AL3438" s="2">
        <v>103765.674777341</v>
      </c>
      <c r="AM3438" s="2">
        <v>113558.864576051</v>
      </c>
      <c r="AN3438" s="2">
        <v>102954.304317899</v>
      </c>
      <c r="AO3438" s="2">
        <v>113689.61891922999</v>
      </c>
      <c r="AP3438" s="2">
        <v>116931.13990975299</v>
      </c>
    </row>
    <row r="3439" spans="1:42" ht="14.5" x14ac:dyDescent="0.35">
      <c r="A3439" s="2" t="s">
        <v>22855</v>
      </c>
      <c r="B3439" s="2">
        <v>406.00110193807802</v>
      </c>
      <c r="C3439" s="2">
        <v>1.0770999999999999</v>
      </c>
      <c r="D3439" s="2" t="s">
        <v>34</v>
      </c>
      <c r="E3439" s="2" t="s">
        <v>22856</v>
      </c>
      <c r="F3439" s="2">
        <v>53113</v>
      </c>
      <c r="G3439" s="3" t="str">
        <f>HYPERLINK("http://funmeta.oebiotech.com/network/53113", "http://funmeta.oebiotech.com/network/53113")</f>
        <v>http://funmeta.oebiotech.com/network/53113</v>
      </c>
      <c r="H3439" s="2" t="s">
        <v>22857</v>
      </c>
      <c r="I3439" s="2">
        <v>1580</v>
      </c>
      <c r="J3439" s="2"/>
      <c r="K3439" s="2">
        <v>3478</v>
      </c>
      <c r="L3439" s="2" t="s">
        <v>22858</v>
      </c>
      <c r="M3439" s="2"/>
      <c r="N3439" s="2"/>
      <c r="O3439" s="2">
        <v>51039</v>
      </c>
      <c r="P3439" s="2" t="s">
        <v>22859</v>
      </c>
      <c r="Q3439" s="2" t="s">
        <v>22860</v>
      </c>
      <c r="R3439" s="2" t="s">
        <v>22861</v>
      </c>
      <c r="S3439" s="2" t="s">
        <v>89</v>
      </c>
      <c r="T3439" s="2" t="s">
        <v>90</v>
      </c>
      <c r="U3439" s="2" t="s">
        <v>99</v>
      </c>
      <c r="V3439" s="2" t="s">
        <v>59</v>
      </c>
      <c r="W3439" s="2">
        <v>36.799999999999997</v>
      </c>
      <c r="X3439" s="2">
        <v>0</v>
      </c>
      <c r="Y3439" s="2" t="s">
        <v>340</v>
      </c>
      <c r="Z3439" s="2" t="s">
        <v>22862</v>
      </c>
      <c r="AA3439" s="2">
        <v>-3.8436846728196499</v>
      </c>
      <c r="AB3439" s="2">
        <v>0.21756678795381501</v>
      </c>
      <c r="AC3439" s="2">
        <v>8133.5392813107601</v>
      </c>
      <c r="AD3439" s="2">
        <v>11852.5133675446</v>
      </c>
      <c r="AE3439" s="2">
        <v>6869.2214544988801</v>
      </c>
      <c r="AF3439" s="2">
        <v>8733.2745177227498</v>
      </c>
      <c r="AG3439" s="2">
        <v>7823.2249707072397</v>
      </c>
      <c r="AH3439" s="2">
        <v>8425.5459521587909</v>
      </c>
      <c r="AI3439" s="2">
        <v>9154.0244631897494</v>
      </c>
      <c r="AJ3439" s="2">
        <v>7795.9443295871297</v>
      </c>
      <c r="AK3439" s="2">
        <v>15138.9448427891</v>
      </c>
      <c r="AL3439" s="2">
        <v>11106.3877648367</v>
      </c>
      <c r="AM3439" s="2">
        <v>10299.404095649999</v>
      </c>
      <c r="AN3439" s="2">
        <v>11917.686110861099</v>
      </c>
      <c r="AO3439" s="2">
        <v>11912.661115520301</v>
      </c>
      <c r="AP3439" s="2">
        <v>10739.9962756105</v>
      </c>
    </row>
    <row r="3440" spans="1:42" ht="14.5" x14ac:dyDescent="0.35">
      <c r="A3440" s="2" t="s">
        <v>22863</v>
      </c>
      <c r="B3440" s="2">
        <v>883.43107258939301</v>
      </c>
      <c r="C3440" s="2">
        <v>9.1084833333333304</v>
      </c>
      <c r="D3440" s="2" t="s">
        <v>70</v>
      </c>
      <c r="E3440" s="2" t="s">
        <v>22864</v>
      </c>
      <c r="F3440" s="2">
        <v>267287</v>
      </c>
      <c r="G3440" s="3" t="str">
        <f>HYPERLINK("http://funmeta.oebiotech.com/network/267287", "http://funmeta.oebiotech.com/network/267287")</f>
        <v>http://funmeta.oebiotech.com/network/267287</v>
      </c>
      <c r="H3440" s="2"/>
      <c r="I3440" s="2">
        <v>45170</v>
      </c>
      <c r="J3440" s="2"/>
      <c r="K3440" s="2"/>
      <c r="L3440" s="2"/>
      <c r="M3440" s="2"/>
      <c r="N3440" s="2"/>
      <c r="O3440" s="2">
        <v>53393957</v>
      </c>
      <c r="P3440" s="2"/>
      <c r="Q3440" s="2" t="s">
        <v>22865</v>
      </c>
      <c r="R3440" s="2" t="s">
        <v>22866</v>
      </c>
      <c r="S3440" s="2" t="s">
        <v>50</v>
      </c>
      <c r="T3440" s="2" t="s">
        <v>229</v>
      </c>
      <c r="U3440" s="2" t="s">
        <v>766</v>
      </c>
      <c r="V3440" s="2" t="s">
        <v>59</v>
      </c>
      <c r="W3440" s="2">
        <v>37.4</v>
      </c>
      <c r="X3440" s="2">
        <v>0</v>
      </c>
      <c r="Y3440" s="2" t="s">
        <v>560</v>
      </c>
      <c r="Z3440" s="2" t="s">
        <v>22867</v>
      </c>
      <c r="AA3440" s="2">
        <v>0.56775147560752903</v>
      </c>
      <c r="AB3440" s="2">
        <v>0.21756202076998299</v>
      </c>
      <c r="AC3440" s="2">
        <v>12345.878686886101</v>
      </c>
      <c r="AD3440" s="2">
        <v>8276.9366674076009</v>
      </c>
      <c r="AE3440" s="2">
        <v>13499.8465009949</v>
      </c>
      <c r="AF3440" s="2">
        <v>8207.5098960362993</v>
      </c>
      <c r="AG3440" s="2">
        <v>11710.4759363865</v>
      </c>
      <c r="AH3440" s="2">
        <v>12934.3294015961</v>
      </c>
      <c r="AI3440" s="2">
        <v>15199.596555075401</v>
      </c>
      <c r="AJ3440" s="2">
        <v>12523.513831227599</v>
      </c>
      <c r="AK3440" s="2">
        <v>8989.2599528498504</v>
      </c>
      <c r="AL3440" s="2">
        <v>8118.8972972145702</v>
      </c>
      <c r="AM3440" s="2">
        <v>6129.7600956535998</v>
      </c>
      <c r="AN3440" s="2">
        <v>8428.0818385423499</v>
      </c>
      <c r="AO3440" s="2">
        <v>8692.8891113149002</v>
      </c>
      <c r="AP3440" s="2">
        <v>9302.7317088703494</v>
      </c>
    </row>
    <row r="3441" spans="1:42" ht="14.5" x14ac:dyDescent="0.35">
      <c r="A3441" s="2" t="s">
        <v>22868</v>
      </c>
      <c r="B3441" s="2">
        <v>511.26570832987198</v>
      </c>
      <c r="C3441" s="2">
        <v>11.442033333333301</v>
      </c>
      <c r="D3441" s="2" t="s">
        <v>34</v>
      </c>
      <c r="E3441" s="2" t="s">
        <v>22869</v>
      </c>
      <c r="F3441" s="2">
        <v>54953</v>
      </c>
      <c r="G3441" s="3" t="str">
        <f>HYPERLINK("http://funmeta.oebiotech.com/network/54953", "http://funmeta.oebiotech.com/network/54953")</f>
        <v>http://funmeta.oebiotech.com/network/54953</v>
      </c>
      <c r="H3441" s="2" t="s">
        <v>22870</v>
      </c>
      <c r="I3441" s="2"/>
      <c r="J3441" s="2"/>
      <c r="K3441" s="2"/>
      <c r="L3441" s="2"/>
      <c r="M3441" s="2"/>
      <c r="N3441" s="2"/>
      <c r="O3441" s="2">
        <v>131750961</v>
      </c>
      <c r="P3441" s="2" t="s">
        <v>22871</v>
      </c>
      <c r="Q3441" s="2" t="s">
        <v>22872</v>
      </c>
      <c r="R3441" s="2" t="s">
        <v>22873</v>
      </c>
      <c r="S3441" s="2" t="s">
        <v>50</v>
      </c>
      <c r="T3441" s="2" t="s">
        <v>124</v>
      </c>
      <c r="U3441" s="2" t="s">
        <v>125</v>
      </c>
      <c r="V3441" s="2" t="s">
        <v>59</v>
      </c>
      <c r="W3441" s="2">
        <v>37.6</v>
      </c>
      <c r="X3441" s="2">
        <v>0</v>
      </c>
      <c r="Y3441" s="2" t="s">
        <v>323</v>
      </c>
      <c r="Z3441" s="2" t="s">
        <v>22874</v>
      </c>
      <c r="AA3441" s="2">
        <v>-1.8759210259324901</v>
      </c>
      <c r="AB3441" s="2">
        <v>0.21755793101166801</v>
      </c>
      <c r="AC3441" s="2">
        <v>4083.0198815630702</v>
      </c>
      <c r="AD3441" s="2">
        <v>833.88671768807296</v>
      </c>
      <c r="AE3441" s="2">
        <v>3586.9386529590302</v>
      </c>
      <c r="AF3441" s="2">
        <v>3518.8070867766201</v>
      </c>
      <c r="AG3441" s="2">
        <v>4432.9482457946297</v>
      </c>
      <c r="AH3441" s="2">
        <v>4714.3487376407402</v>
      </c>
      <c r="AI3441" s="2">
        <v>4069.36565773643</v>
      </c>
      <c r="AJ3441" s="2">
        <v>4175.71090847094</v>
      </c>
      <c r="AK3441" s="2">
        <v>250.987658119081</v>
      </c>
      <c r="AL3441" s="2">
        <v>1804.5211512123301</v>
      </c>
      <c r="AM3441" s="2">
        <v>321.33582956425602</v>
      </c>
      <c r="AN3441" s="2">
        <v>1273.66426394427</v>
      </c>
      <c r="AO3441" s="2">
        <v>416.93956892100999</v>
      </c>
      <c r="AP3441" s="2">
        <v>935.87183436748796</v>
      </c>
    </row>
    <row r="3442" spans="1:42" ht="14.5" x14ac:dyDescent="0.35">
      <c r="A3442" s="2" t="s">
        <v>22875</v>
      </c>
      <c r="B3442" s="2">
        <v>630.50919322684103</v>
      </c>
      <c r="C3442" s="2">
        <v>15.1648833333333</v>
      </c>
      <c r="D3442" s="2" t="s">
        <v>34</v>
      </c>
      <c r="E3442" s="2" t="s">
        <v>22876</v>
      </c>
      <c r="F3442" s="2">
        <v>10914</v>
      </c>
      <c r="G3442" s="3" t="str">
        <f>HYPERLINK("http://funmeta.oebiotech.com/network/10914", "http://funmeta.oebiotech.com/network/10914")</f>
        <v>http://funmeta.oebiotech.com/network/10914</v>
      </c>
      <c r="H3442" s="2" t="s">
        <v>22877</v>
      </c>
      <c r="I3442" s="2">
        <v>58669</v>
      </c>
      <c r="J3442" s="2" t="s">
        <v>22878</v>
      </c>
      <c r="K3442" s="2"/>
      <c r="L3442" s="2"/>
      <c r="M3442" s="2"/>
      <c r="N3442" s="2"/>
      <c r="O3442" s="2">
        <v>53477969</v>
      </c>
      <c r="P3442" s="2"/>
      <c r="Q3442" s="2" t="s">
        <v>22879</v>
      </c>
      <c r="R3442" s="2" t="s">
        <v>22880</v>
      </c>
      <c r="S3442" s="2" t="s">
        <v>50</v>
      </c>
      <c r="T3442" s="2" t="s">
        <v>448</v>
      </c>
      <c r="U3442" s="2" t="s">
        <v>1864</v>
      </c>
      <c r="V3442" s="2" t="s">
        <v>59</v>
      </c>
      <c r="W3442" s="2">
        <v>39.4</v>
      </c>
      <c r="X3442" s="2">
        <v>0</v>
      </c>
      <c r="Y3442" s="2" t="s">
        <v>43</v>
      </c>
      <c r="Z3442" s="2" t="s">
        <v>10672</v>
      </c>
      <c r="AA3442" s="2">
        <v>-1.21693687394295E-2</v>
      </c>
      <c r="AB3442" s="2">
        <v>0.21753802157032201</v>
      </c>
      <c r="AC3442" s="2">
        <v>13640.316937015599</v>
      </c>
      <c r="AD3442" s="2">
        <v>17604.520747601298</v>
      </c>
      <c r="AE3442" s="2">
        <v>11682.762076438299</v>
      </c>
      <c r="AF3442" s="2">
        <v>12977.376476894</v>
      </c>
      <c r="AG3442" s="2">
        <v>13943.999970375</v>
      </c>
      <c r="AH3442" s="2">
        <v>14198.543935768899</v>
      </c>
      <c r="AI3442" s="2">
        <v>12640.7782573355</v>
      </c>
      <c r="AJ3442" s="2">
        <v>16398.440905282001</v>
      </c>
      <c r="AK3442" s="2">
        <v>20837.4598826742</v>
      </c>
      <c r="AL3442" s="2">
        <v>17558.974417792098</v>
      </c>
      <c r="AM3442" s="2">
        <v>17100.742651658202</v>
      </c>
      <c r="AN3442" s="2">
        <v>15796.120634077701</v>
      </c>
      <c r="AO3442" s="2">
        <v>17974.580971162599</v>
      </c>
      <c r="AP3442" s="2">
        <v>16359.245928242801</v>
      </c>
    </row>
    <row r="3443" spans="1:42" ht="14.5" x14ac:dyDescent="0.35">
      <c r="A3443" s="2" t="s">
        <v>22881</v>
      </c>
      <c r="B3443" s="2">
        <v>349.16417895064302</v>
      </c>
      <c r="C3443" s="2">
        <v>6.0424333333333298</v>
      </c>
      <c r="D3443" s="2" t="s">
        <v>34</v>
      </c>
      <c r="E3443" s="2" t="s">
        <v>22882</v>
      </c>
      <c r="F3443" s="2">
        <v>61691</v>
      </c>
      <c r="G3443" s="3" t="str">
        <f>HYPERLINK("http://funmeta.oebiotech.com/network/61691", "http://funmeta.oebiotech.com/network/61691")</f>
        <v>http://funmeta.oebiotech.com/network/61691</v>
      </c>
      <c r="H3443" s="2" t="s">
        <v>22883</v>
      </c>
      <c r="I3443" s="2">
        <v>93007</v>
      </c>
      <c r="J3443" s="2"/>
      <c r="K3443" s="2">
        <v>175700</v>
      </c>
      <c r="L3443" s="2"/>
      <c r="M3443" s="2"/>
      <c r="N3443" s="2"/>
      <c r="O3443" s="2">
        <v>85134319</v>
      </c>
      <c r="P3443" s="2"/>
      <c r="Q3443" s="2" t="s">
        <v>22884</v>
      </c>
      <c r="R3443" s="2" t="s">
        <v>22885</v>
      </c>
      <c r="S3443" s="2" t="s">
        <v>79</v>
      </c>
      <c r="T3443" s="2" t="s">
        <v>80</v>
      </c>
      <c r="U3443" s="2" t="s">
        <v>81</v>
      </c>
      <c r="V3443" s="2" t="s">
        <v>42</v>
      </c>
      <c r="W3443" s="2">
        <v>48.6</v>
      </c>
      <c r="X3443" s="2">
        <v>49.3</v>
      </c>
      <c r="Y3443" s="2" t="s">
        <v>141</v>
      </c>
      <c r="Z3443" s="2" t="s">
        <v>22886</v>
      </c>
      <c r="AA3443" s="2">
        <v>-1.05407969034339</v>
      </c>
      <c r="AB3443" s="2">
        <v>0.21752085140050001</v>
      </c>
      <c r="AC3443" s="2">
        <v>112945.91927098</v>
      </c>
      <c r="AD3443" s="2">
        <v>118163.267597153</v>
      </c>
      <c r="AE3443" s="2">
        <v>109825.547334644</v>
      </c>
      <c r="AF3443" s="2">
        <v>110271.99581457399</v>
      </c>
      <c r="AG3443" s="2">
        <v>116499.815462229</v>
      </c>
      <c r="AH3443" s="2">
        <v>112619.761978718</v>
      </c>
      <c r="AI3443" s="2">
        <v>111908.220978205</v>
      </c>
      <c r="AJ3443" s="2">
        <v>116550.17405750899</v>
      </c>
      <c r="AK3443" s="2">
        <v>119417.26423294</v>
      </c>
      <c r="AL3443" s="2">
        <v>109107.35581784901</v>
      </c>
      <c r="AM3443" s="2">
        <v>122108.1498631</v>
      </c>
      <c r="AN3443" s="2">
        <v>120389.081959813</v>
      </c>
      <c r="AO3443" s="2">
        <v>117589.26035525399</v>
      </c>
      <c r="AP3443" s="2">
        <v>120368.49335396499</v>
      </c>
    </row>
    <row r="3444" spans="1:42" ht="14.5" x14ac:dyDescent="0.35">
      <c r="A3444" s="2" t="s">
        <v>22887</v>
      </c>
      <c r="B3444" s="2">
        <v>259.06081398942501</v>
      </c>
      <c r="C3444" s="2">
        <v>5.3391000000000002</v>
      </c>
      <c r="D3444" s="2" t="s">
        <v>70</v>
      </c>
      <c r="E3444" s="2" t="s">
        <v>22888</v>
      </c>
      <c r="F3444" s="2">
        <v>295144</v>
      </c>
      <c r="G3444" s="3" t="str">
        <f>HYPERLINK("http://funmeta.oebiotech.com/network/295144", "http://funmeta.oebiotech.com/network/295144")</f>
        <v>http://funmeta.oebiotech.com/network/295144</v>
      </c>
      <c r="H3444" s="2"/>
      <c r="I3444" s="2">
        <v>319391</v>
      </c>
      <c r="J3444" s="2"/>
      <c r="K3444" s="2"/>
      <c r="L3444" s="2"/>
      <c r="M3444" s="2"/>
      <c r="N3444" s="2"/>
      <c r="O3444" s="2">
        <v>87250</v>
      </c>
      <c r="P3444" s="2"/>
      <c r="Q3444" s="2" t="s">
        <v>22889</v>
      </c>
      <c r="R3444" s="2" t="s">
        <v>22890</v>
      </c>
      <c r="S3444" s="2" t="s">
        <v>115</v>
      </c>
      <c r="T3444" s="2" t="s">
        <v>2833</v>
      </c>
      <c r="U3444" s="2" t="s">
        <v>41</v>
      </c>
      <c r="V3444" s="2" t="s">
        <v>59</v>
      </c>
      <c r="W3444" s="2">
        <v>39</v>
      </c>
      <c r="X3444" s="2">
        <v>0</v>
      </c>
      <c r="Y3444" s="2" t="s">
        <v>408</v>
      </c>
      <c r="Z3444" s="2" t="s">
        <v>22891</v>
      </c>
      <c r="AA3444" s="2">
        <v>-1.7894730303728299</v>
      </c>
      <c r="AB3444" s="2">
        <v>0.21748794280515199</v>
      </c>
      <c r="AC3444" s="2">
        <v>1835.2711324147101</v>
      </c>
      <c r="AD3444" s="2">
        <v>4989.6912628097198</v>
      </c>
      <c r="AE3444" s="2">
        <v>1708.8156382296199</v>
      </c>
      <c r="AF3444" s="2">
        <v>1959.1740912212399</v>
      </c>
      <c r="AG3444" s="2">
        <v>1648.76800957004</v>
      </c>
      <c r="AH3444" s="2">
        <v>1632.2456116968101</v>
      </c>
      <c r="AI3444" s="2">
        <v>1976.9589178604399</v>
      </c>
      <c r="AJ3444" s="2">
        <v>2085.6645259101001</v>
      </c>
      <c r="AK3444" s="2">
        <v>5416.5544961473297</v>
      </c>
      <c r="AL3444" s="2">
        <v>5108.0919392265496</v>
      </c>
      <c r="AM3444" s="2">
        <v>5424.7552022336404</v>
      </c>
      <c r="AN3444" s="2">
        <v>4452.1299546791997</v>
      </c>
      <c r="AO3444" s="2">
        <v>4710.6524827777203</v>
      </c>
      <c r="AP3444" s="2">
        <v>4825.9635017938899</v>
      </c>
    </row>
    <row r="3445" spans="1:42" ht="14.5" x14ac:dyDescent="0.35">
      <c r="A3445" s="2" t="s">
        <v>22892</v>
      </c>
      <c r="B3445" s="2">
        <v>811.49534520918303</v>
      </c>
      <c r="C3445" s="2">
        <v>13.3571166666667</v>
      </c>
      <c r="D3445" s="2" t="s">
        <v>34</v>
      </c>
      <c r="E3445" s="2" t="s">
        <v>22893</v>
      </c>
      <c r="F3445" s="2">
        <v>18071</v>
      </c>
      <c r="G3445" s="3" t="str">
        <f>HYPERLINK("http://funmeta.oebiotech.com/network/18071", "http://funmeta.oebiotech.com/network/18071")</f>
        <v>http://funmeta.oebiotech.com/network/18071</v>
      </c>
      <c r="H3445" s="2"/>
      <c r="I3445" s="2"/>
      <c r="J3445" s="2" t="s">
        <v>22894</v>
      </c>
      <c r="K3445" s="2"/>
      <c r="L3445" s="2"/>
      <c r="M3445" s="2"/>
      <c r="N3445" s="2"/>
      <c r="O3445" s="2"/>
      <c r="P3445" s="2"/>
      <c r="Q3445" s="2" t="s">
        <v>22895</v>
      </c>
      <c r="R3445" s="2" t="s">
        <v>22896</v>
      </c>
      <c r="S3445" s="2" t="s">
        <v>50</v>
      </c>
      <c r="T3445" s="2" t="s">
        <v>448</v>
      </c>
      <c r="U3445" s="2" t="s">
        <v>449</v>
      </c>
      <c r="V3445" s="2" t="s">
        <v>59</v>
      </c>
      <c r="W3445" s="2">
        <v>42.2</v>
      </c>
      <c r="X3445" s="2">
        <v>24.3</v>
      </c>
      <c r="Y3445" s="2" t="s">
        <v>323</v>
      </c>
      <c r="Z3445" s="2" t="s">
        <v>22897</v>
      </c>
      <c r="AA3445" s="2">
        <v>-1.69763138442136</v>
      </c>
      <c r="AB3445" s="2">
        <v>0.21743420716469999</v>
      </c>
      <c r="AC3445" s="2">
        <v>94971.873660321406</v>
      </c>
      <c r="AD3445" s="2">
        <v>84253.698393651299</v>
      </c>
      <c r="AE3445" s="2">
        <v>83414.601766662803</v>
      </c>
      <c r="AF3445" s="2">
        <v>92356.643994919199</v>
      </c>
      <c r="AG3445" s="2">
        <v>102998.41841856801</v>
      </c>
      <c r="AH3445" s="2">
        <v>94183.782055640302</v>
      </c>
      <c r="AI3445" s="2">
        <v>96581.3407721369</v>
      </c>
      <c r="AJ3445" s="2">
        <v>100296.454954001</v>
      </c>
      <c r="AK3445" s="2">
        <v>138448.56186828201</v>
      </c>
      <c r="AL3445" s="2">
        <v>82654.945419403899</v>
      </c>
      <c r="AM3445" s="2">
        <v>68225.791771032396</v>
      </c>
      <c r="AN3445" s="2">
        <v>71139.751733912097</v>
      </c>
      <c r="AO3445" s="2">
        <v>74956.416523645807</v>
      </c>
      <c r="AP3445" s="2">
        <v>70096.723045631399</v>
      </c>
    </row>
    <row r="3446" spans="1:42" ht="14.5" x14ac:dyDescent="0.35">
      <c r="A3446" s="2" t="s">
        <v>22898</v>
      </c>
      <c r="B3446" s="2">
        <v>397.20067826001502</v>
      </c>
      <c r="C3446" s="2">
        <v>9.1582833333333298</v>
      </c>
      <c r="D3446" s="2" t="s">
        <v>34</v>
      </c>
      <c r="E3446" s="2" t="s">
        <v>22899</v>
      </c>
      <c r="F3446" s="2">
        <v>44717</v>
      </c>
      <c r="G3446" s="3" t="str">
        <f>HYPERLINK("http://funmeta.oebiotech.com/network/44717", "http://funmeta.oebiotech.com/network/44717")</f>
        <v>http://funmeta.oebiotech.com/network/44717</v>
      </c>
      <c r="H3446" s="2"/>
      <c r="I3446" s="2"/>
      <c r="J3446" s="2" t="s">
        <v>22900</v>
      </c>
      <c r="K3446" s="2"/>
      <c r="L3446" s="2"/>
      <c r="M3446" s="2"/>
      <c r="N3446" s="2"/>
      <c r="O3446" s="2">
        <v>11144140</v>
      </c>
      <c r="P3446" s="2"/>
      <c r="Q3446" s="2" t="s">
        <v>22901</v>
      </c>
      <c r="R3446" s="2" t="s">
        <v>22902</v>
      </c>
      <c r="S3446" s="2" t="s">
        <v>50</v>
      </c>
      <c r="T3446" s="2" t="s">
        <v>124</v>
      </c>
      <c r="U3446" s="2" t="s">
        <v>567</v>
      </c>
      <c r="V3446" s="2" t="s">
        <v>42</v>
      </c>
      <c r="W3446" s="2">
        <v>49.9</v>
      </c>
      <c r="X3446" s="2">
        <v>55.4</v>
      </c>
      <c r="Y3446" s="2" t="s">
        <v>141</v>
      </c>
      <c r="Z3446" s="2" t="s">
        <v>13194</v>
      </c>
      <c r="AA3446" s="2">
        <v>-0.65708995579437601</v>
      </c>
      <c r="AB3446" s="2">
        <v>0.21740106682294799</v>
      </c>
      <c r="AC3446" s="2">
        <v>51777.059495714602</v>
      </c>
      <c r="AD3446" s="2">
        <v>47403.566370122899</v>
      </c>
      <c r="AE3446" s="2">
        <v>50643.689119776798</v>
      </c>
      <c r="AF3446" s="2">
        <v>51519.242900980003</v>
      </c>
      <c r="AG3446" s="2">
        <v>51681.789237897297</v>
      </c>
      <c r="AH3446" s="2">
        <v>51564.700888011103</v>
      </c>
      <c r="AI3446" s="2">
        <v>52234.785619039299</v>
      </c>
      <c r="AJ3446" s="2">
        <v>53018.149208582901</v>
      </c>
      <c r="AK3446" s="2">
        <v>41209.259892108399</v>
      </c>
      <c r="AL3446" s="2">
        <v>47251.589828269498</v>
      </c>
      <c r="AM3446" s="2">
        <v>50142.545680527903</v>
      </c>
      <c r="AN3446" s="2">
        <v>49345.579758223997</v>
      </c>
      <c r="AO3446" s="2">
        <v>48775.184523117998</v>
      </c>
      <c r="AP3446" s="2">
        <v>47697.238538489801</v>
      </c>
    </row>
    <row r="3447" spans="1:42" ht="14.5" x14ac:dyDescent="0.35">
      <c r="A3447" s="2" t="s">
        <v>22903</v>
      </c>
      <c r="B3447" s="2">
        <v>707.17297501651797</v>
      </c>
      <c r="C3447" s="2">
        <v>5.84148333333333</v>
      </c>
      <c r="D3447" s="2" t="s">
        <v>70</v>
      </c>
      <c r="E3447" s="2" t="s">
        <v>22904</v>
      </c>
      <c r="F3447" s="2">
        <v>56441</v>
      </c>
      <c r="G3447" s="3" t="str">
        <f>HYPERLINK("http://funmeta.oebiotech.com/network/56441", "http://funmeta.oebiotech.com/network/56441")</f>
        <v>http://funmeta.oebiotech.com/network/56441</v>
      </c>
      <c r="H3447" s="2" t="s">
        <v>22905</v>
      </c>
      <c r="I3447" s="2"/>
      <c r="J3447" s="2"/>
      <c r="K3447" s="2"/>
      <c r="L3447" s="2"/>
      <c r="M3447" s="2"/>
      <c r="N3447" s="2"/>
      <c r="O3447" s="2">
        <v>11792427</v>
      </c>
      <c r="P3447" s="2" t="s">
        <v>22906</v>
      </c>
      <c r="Q3447" s="2" t="s">
        <v>22907</v>
      </c>
      <c r="R3447" s="2" t="s">
        <v>22908</v>
      </c>
      <c r="S3447" s="2" t="s">
        <v>79</v>
      </c>
      <c r="T3447" s="2" t="s">
        <v>80</v>
      </c>
      <c r="U3447" s="2" t="s">
        <v>81</v>
      </c>
      <c r="V3447" s="2" t="s">
        <v>59</v>
      </c>
      <c r="W3447" s="2">
        <v>37.1</v>
      </c>
      <c r="X3447" s="2">
        <v>0</v>
      </c>
      <c r="Y3447" s="2" t="s">
        <v>560</v>
      </c>
      <c r="Z3447" s="2" t="s">
        <v>22909</v>
      </c>
      <c r="AA3447" s="2">
        <v>4.4294570000239197</v>
      </c>
      <c r="AB3447" s="2">
        <v>0.21734308568619001</v>
      </c>
      <c r="AC3447" s="2">
        <v>12509.428788020399</v>
      </c>
      <c r="AD3447" s="2">
        <v>9013.8456255439305</v>
      </c>
      <c r="AE3447" s="2">
        <v>11587.018163434899</v>
      </c>
      <c r="AF3447" s="2">
        <v>12254.1143081751</v>
      </c>
      <c r="AG3447" s="2">
        <v>14084.7351567442</v>
      </c>
      <c r="AH3447" s="2">
        <v>12856.562472326201</v>
      </c>
      <c r="AI3447" s="2">
        <v>10993.9353652394</v>
      </c>
      <c r="AJ3447" s="2">
        <v>13280.207262202701</v>
      </c>
      <c r="AK3447" s="2">
        <v>9562.3276292334504</v>
      </c>
      <c r="AL3447" s="2">
        <v>9207.9365521456602</v>
      </c>
      <c r="AM3447" s="2">
        <v>8486.7589335805606</v>
      </c>
      <c r="AN3447" s="2">
        <v>9051.6782773175091</v>
      </c>
      <c r="AO3447" s="2">
        <v>10204.3654140129</v>
      </c>
      <c r="AP3447" s="2">
        <v>7570.0069469734699</v>
      </c>
    </row>
    <row r="3448" spans="1:42" ht="14.5" x14ac:dyDescent="0.35">
      <c r="A3448" s="2" t="s">
        <v>22910</v>
      </c>
      <c r="B3448" s="2">
        <v>217.04739868581601</v>
      </c>
      <c r="C3448" s="2">
        <v>2.2961166666666699</v>
      </c>
      <c r="D3448" s="2" t="s">
        <v>34</v>
      </c>
      <c r="E3448" s="2" t="s">
        <v>22911</v>
      </c>
      <c r="F3448" s="2">
        <v>57970</v>
      </c>
      <c r="G3448" s="3" t="str">
        <f>HYPERLINK("http://funmeta.oebiotech.com/network/57970", "http://funmeta.oebiotech.com/network/57970")</f>
        <v>http://funmeta.oebiotech.com/network/57970</v>
      </c>
      <c r="H3448" s="2" t="s">
        <v>22912</v>
      </c>
      <c r="I3448" s="2"/>
      <c r="J3448" s="2"/>
      <c r="K3448" s="2"/>
      <c r="L3448" s="2"/>
      <c r="M3448" s="2"/>
      <c r="N3448" s="2"/>
      <c r="O3448" s="2">
        <v>444792</v>
      </c>
      <c r="P3448" s="2" t="s">
        <v>22913</v>
      </c>
      <c r="Q3448" s="2" t="s">
        <v>22914</v>
      </c>
      <c r="R3448" s="2" t="s">
        <v>22915</v>
      </c>
      <c r="S3448" s="2" t="s">
        <v>79</v>
      </c>
      <c r="T3448" s="2" t="s">
        <v>80</v>
      </c>
      <c r="U3448" s="2" t="s">
        <v>81</v>
      </c>
      <c r="V3448" s="2" t="s">
        <v>59</v>
      </c>
      <c r="W3448" s="2">
        <v>39.6</v>
      </c>
      <c r="X3448" s="2">
        <v>0</v>
      </c>
      <c r="Y3448" s="2" t="s">
        <v>340</v>
      </c>
      <c r="Z3448" s="2" t="s">
        <v>22916</v>
      </c>
      <c r="AA3448" s="2">
        <v>0.65732437817418299</v>
      </c>
      <c r="AB3448" s="2">
        <v>0.21714885510432799</v>
      </c>
      <c r="AC3448" s="2">
        <v>21629.699177206199</v>
      </c>
      <c r="AD3448" s="2">
        <v>25581.487514342301</v>
      </c>
      <c r="AE3448" s="2">
        <v>21152.437675056801</v>
      </c>
      <c r="AF3448" s="2">
        <v>21337.862087949801</v>
      </c>
      <c r="AG3448" s="2">
        <v>23270.791938434399</v>
      </c>
      <c r="AH3448" s="2">
        <v>22106.075509410301</v>
      </c>
      <c r="AI3448" s="2">
        <v>20833.629583002501</v>
      </c>
      <c r="AJ3448" s="2">
        <v>21077.398269383099</v>
      </c>
      <c r="AK3448" s="2">
        <v>28524.085495246301</v>
      </c>
      <c r="AL3448" s="2">
        <v>26368.015383303398</v>
      </c>
      <c r="AM3448" s="2">
        <v>23565.6142949356</v>
      </c>
      <c r="AN3448" s="2">
        <v>24549.859361584899</v>
      </c>
      <c r="AO3448" s="2">
        <v>27447.023446318999</v>
      </c>
      <c r="AP3448" s="2">
        <v>23034.327104664899</v>
      </c>
    </row>
    <row r="3449" spans="1:42" ht="14.5" x14ac:dyDescent="0.35">
      <c r="A3449" s="2" t="s">
        <v>22917</v>
      </c>
      <c r="B3449" s="2">
        <v>547.27980842905299</v>
      </c>
      <c r="C3449" s="2">
        <v>8.7125000000000004</v>
      </c>
      <c r="D3449" s="2" t="s">
        <v>70</v>
      </c>
      <c r="E3449" s="2" t="s">
        <v>22918</v>
      </c>
      <c r="F3449" s="2">
        <v>55274</v>
      </c>
      <c r="G3449" s="3" t="str">
        <f>HYPERLINK("http://funmeta.oebiotech.com/network/55274", "http://funmeta.oebiotech.com/network/55274")</f>
        <v>http://funmeta.oebiotech.com/network/55274</v>
      </c>
      <c r="H3449" s="2" t="s">
        <v>22919</v>
      </c>
      <c r="I3449" s="2"/>
      <c r="J3449" s="2"/>
      <c r="K3449" s="2"/>
      <c r="L3449" s="2" t="s">
        <v>22920</v>
      </c>
      <c r="M3449" s="2"/>
      <c r="N3449" s="2"/>
      <c r="O3449" s="2">
        <v>131751023</v>
      </c>
      <c r="P3449" s="2" t="s">
        <v>22921</v>
      </c>
      <c r="Q3449" s="2" t="s">
        <v>22922</v>
      </c>
      <c r="R3449" s="2" t="s">
        <v>22923</v>
      </c>
      <c r="S3449" s="2" t="s">
        <v>115</v>
      </c>
      <c r="T3449" s="2" t="s">
        <v>1095</v>
      </c>
      <c r="U3449" s="2" t="s">
        <v>41</v>
      </c>
      <c r="V3449" s="2" t="s">
        <v>59</v>
      </c>
      <c r="W3449" s="2">
        <v>39.6</v>
      </c>
      <c r="X3449" s="2">
        <v>4.09</v>
      </c>
      <c r="Y3449" s="2" t="s">
        <v>751</v>
      </c>
      <c r="Z3449" s="2" t="s">
        <v>22924</v>
      </c>
      <c r="AA3449" s="2">
        <v>2.0010615649521002</v>
      </c>
      <c r="AB3449" s="2">
        <v>0.21711896543016501</v>
      </c>
      <c r="AC3449" s="2">
        <v>928012.77334130101</v>
      </c>
      <c r="AD3449" s="2">
        <v>942484.80136944202</v>
      </c>
      <c r="AE3449" s="2">
        <v>949773.47216312797</v>
      </c>
      <c r="AF3449" s="2">
        <v>960502.70687422005</v>
      </c>
      <c r="AG3449" s="2">
        <v>929029.08414729999</v>
      </c>
      <c r="AH3449" s="2">
        <v>879217.36643533502</v>
      </c>
      <c r="AI3449" s="2">
        <v>960793.20458809298</v>
      </c>
      <c r="AJ3449" s="2">
        <v>888760.80583973206</v>
      </c>
      <c r="AK3449" s="2">
        <v>939552.81928009901</v>
      </c>
      <c r="AL3449" s="2">
        <v>949653.28513259301</v>
      </c>
      <c r="AM3449" s="2">
        <v>1001660.9425202</v>
      </c>
      <c r="AN3449" s="2">
        <v>908658.16148214496</v>
      </c>
      <c r="AO3449" s="2">
        <v>958510.00316552701</v>
      </c>
      <c r="AP3449" s="2">
        <v>896873.596636086</v>
      </c>
    </row>
    <row r="3450" spans="1:42" ht="14.5" x14ac:dyDescent="0.35">
      <c r="A3450" s="2" t="s">
        <v>22925</v>
      </c>
      <c r="B3450" s="2">
        <v>417.17608419238599</v>
      </c>
      <c r="C3450" s="2">
        <v>3.8797333333333301</v>
      </c>
      <c r="D3450" s="2" t="s">
        <v>70</v>
      </c>
      <c r="E3450" s="2" t="s">
        <v>22926</v>
      </c>
      <c r="F3450" s="2">
        <v>198710</v>
      </c>
      <c r="G3450" s="3" t="str">
        <f>HYPERLINK("http://funmeta.oebiotech.com/network/198710", "http://funmeta.oebiotech.com/network/198710")</f>
        <v>http://funmeta.oebiotech.com/network/198710</v>
      </c>
      <c r="H3450" s="2" t="s">
        <v>22927</v>
      </c>
      <c r="I3450" s="2"/>
      <c r="J3450" s="2"/>
      <c r="K3450" s="2"/>
      <c r="L3450" s="2"/>
      <c r="M3450" s="2"/>
      <c r="N3450" s="2"/>
      <c r="O3450" s="2">
        <v>44461963</v>
      </c>
      <c r="P3450" s="2"/>
      <c r="Q3450" s="2" t="s">
        <v>22928</v>
      </c>
      <c r="R3450" s="2" t="s">
        <v>22929</v>
      </c>
      <c r="S3450" s="2" t="s">
        <v>41</v>
      </c>
      <c r="T3450" s="2" t="s">
        <v>41</v>
      </c>
      <c r="U3450" s="2" t="s">
        <v>41</v>
      </c>
      <c r="V3450" s="2" t="s">
        <v>42</v>
      </c>
      <c r="W3450" s="2">
        <v>46.2</v>
      </c>
      <c r="X3450" s="2">
        <v>45.2</v>
      </c>
      <c r="Y3450" s="2" t="s">
        <v>751</v>
      </c>
      <c r="Z3450" s="2" t="s">
        <v>22930</v>
      </c>
      <c r="AA3450" s="2">
        <v>-4.2961021120466496</v>
      </c>
      <c r="AB3450" s="2">
        <v>0.21707908697264799</v>
      </c>
      <c r="AC3450" s="2">
        <v>36195.165003352697</v>
      </c>
      <c r="AD3450" s="2">
        <v>31856.701461993998</v>
      </c>
      <c r="AE3450" s="2">
        <v>37857.220852810802</v>
      </c>
      <c r="AF3450" s="2">
        <v>36310.063660473301</v>
      </c>
      <c r="AG3450" s="2">
        <v>31949.612313737802</v>
      </c>
      <c r="AH3450" s="2">
        <v>36923.629865145602</v>
      </c>
      <c r="AI3450" s="2">
        <v>39441.422138432303</v>
      </c>
      <c r="AJ3450" s="2">
        <v>34689.041189516298</v>
      </c>
      <c r="AK3450" s="2">
        <v>33380.134803968002</v>
      </c>
      <c r="AL3450" s="2">
        <v>30746.398177707801</v>
      </c>
      <c r="AM3450" s="2">
        <v>31265.548284625798</v>
      </c>
      <c r="AN3450" s="2">
        <v>31174.6648083937</v>
      </c>
      <c r="AO3450" s="2">
        <v>29678.521492999502</v>
      </c>
      <c r="AP3450" s="2">
        <v>34894.941204269002</v>
      </c>
    </row>
    <row r="3451" spans="1:42" ht="14.5" x14ac:dyDescent="0.35">
      <c r="A3451" s="2" t="s">
        <v>22931</v>
      </c>
      <c r="B3451" s="2">
        <v>519.11184892070105</v>
      </c>
      <c r="C3451" s="2">
        <v>4.1151</v>
      </c>
      <c r="D3451" s="2" t="s">
        <v>70</v>
      </c>
      <c r="E3451" s="2" t="s">
        <v>22932</v>
      </c>
      <c r="F3451" s="2">
        <v>200427</v>
      </c>
      <c r="G3451" s="3" t="str">
        <f>HYPERLINK("http://funmeta.oebiotech.com/network/200427", "http://funmeta.oebiotech.com/network/200427")</f>
        <v>http://funmeta.oebiotech.com/network/200427</v>
      </c>
      <c r="H3451" s="2" t="s">
        <v>22933</v>
      </c>
      <c r="I3451" s="2"/>
      <c r="J3451" s="2"/>
      <c r="K3451" s="2"/>
      <c r="L3451" s="2"/>
      <c r="M3451" s="2"/>
      <c r="N3451" s="2"/>
      <c r="O3451" s="2"/>
      <c r="P3451" s="2"/>
      <c r="Q3451" s="2" t="s">
        <v>22934</v>
      </c>
      <c r="R3451" s="2" t="s">
        <v>22935</v>
      </c>
      <c r="S3451" s="2" t="s">
        <v>41</v>
      </c>
      <c r="T3451" s="2" t="s">
        <v>41</v>
      </c>
      <c r="U3451" s="2" t="s">
        <v>41</v>
      </c>
      <c r="V3451" s="2" t="s">
        <v>59</v>
      </c>
      <c r="W3451" s="2">
        <v>39.200000000000003</v>
      </c>
      <c r="X3451" s="2">
        <v>0</v>
      </c>
      <c r="Y3451" s="2" t="s">
        <v>560</v>
      </c>
      <c r="Z3451" s="2" t="s">
        <v>22936</v>
      </c>
      <c r="AA3451" s="2">
        <v>-0.60640132729236595</v>
      </c>
      <c r="AB3451" s="2">
        <v>0.21707100085843301</v>
      </c>
      <c r="AC3451" s="2">
        <v>6331.7209393100502</v>
      </c>
      <c r="AD3451" s="2">
        <v>9762.8465130843706</v>
      </c>
      <c r="AE3451" s="2">
        <v>5354.4175139283398</v>
      </c>
      <c r="AF3451" s="2">
        <v>5970.35722216046</v>
      </c>
      <c r="AG3451" s="2">
        <v>7232.7331608110098</v>
      </c>
      <c r="AH3451" s="2">
        <v>6820.0501091603801</v>
      </c>
      <c r="AI3451" s="2">
        <v>6742.7966319540001</v>
      </c>
      <c r="AJ3451" s="2">
        <v>5869.9709978461296</v>
      </c>
      <c r="AK3451" s="2">
        <v>8837.98184825321</v>
      </c>
      <c r="AL3451" s="2">
        <v>9027.3255615744001</v>
      </c>
      <c r="AM3451" s="2">
        <v>11702.1493133646</v>
      </c>
      <c r="AN3451" s="2">
        <v>9375.6994125312904</v>
      </c>
      <c r="AO3451" s="2">
        <v>9246.3467603044301</v>
      </c>
      <c r="AP3451" s="2">
        <v>10387.5761824783</v>
      </c>
    </row>
    <row r="3452" spans="1:42" ht="14.5" x14ac:dyDescent="0.35">
      <c r="A3452" s="2" t="s">
        <v>22937</v>
      </c>
      <c r="B3452" s="2">
        <v>595.23907709868899</v>
      </c>
      <c r="C3452" s="2">
        <v>6.4438333333333304</v>
      </c>
      <c r="D3452" s="2" t="s">
        <v>70</v>
      </c>
      <c r="E3452" s="2" t="s">
        <v>22938</v>
      </c>
      <c r="F3452" s="2">
        <v>204189</v>
      </c>
      <c r="G3452" s="3" t="str">
        <f>HYPERLINK("http://funmeta.oebiotech.com/network/204189", "http://funmeta.oebiotech.com/network/204189")</f>
        <v>http://funmeta.oebiotech.com/network/204189</v>
      </c>
      <c r="H3452" s="2" t="s">
        <v>22939</v>
      </c>
      <c r="I3452" s="2"/>
      <c r="J3452" s="2"/>
      <c r="K3452" s="2">
        <v>35798</v>
      </c>
      <c r="L3452" s="2"/>
      <c r="M3452" s="2"/>
      <c r="N3452" s="2"/>
      <c r="O3452" s="2">
        <v>6857471</v>
      </c>
      <c r="P3452" s="2"/>
      <c r="Q3452" s="2" t="s">
        <v>22940</v>
      </c>
      <c r="R3452" s="2" t="s">
        <v>22941</v>
      </c>
      <c r="S3452" s="2" t="s">
        <v>491</v>
      </c>
      <c r="T3452" s="2" t="s">
        <v>492</v>
      </c>
      <c r="U3452" s="2" t="s">
        <v>41</v>
      </c>
      <c r="V3452" s="2" t="s">
        <v>59</v>
      </c>
      <c r="W3452" s="2">
        <v>38.5</v>
      </c>
      <c r="X3452" s="2">
        <v>0</v>
      </c>
      <c r="Y3452" s="2" t="s">
        <v>560</v>
      </c>
      <c r="Z3452" s="2" t="s">
        <v>22942</v>
      </c>
      <c r="AA3452" s="2">
        <v>4.4622599123347797</v>
      </c>
      <c r="AB3452" s="2">
        <v>0.217016905532501</v>
      </c>
      <c r="AC3452" s="2">
        <v>3393.3948004767099</v>
      </c>
      <c r="AD3452" s="2">
        <v>104.59742617045001</v>
      </c>
      <c r="AE3452" s="2">
        <v>2484.5841193261299</v>
      </c>
      <c r="AF3452" s="2">
        <v>2818.1694598014501</v>
      </c>
      <c r="AG3452" s="2">
        <v>3568.9257575069601</v>
      </c>
      <c r="AH3452" s="2">
        <v>2724.4793292149602</v>
      </c>
      <c r="AI3452" s="2">
        <v>3923.54523692352</v>
      </c>
      <c r="AJ3452" s="2">
        <v>4840.6649000872603</v>
      </c>
      <c r="AK3452" s="2">
        <v>9.6970927911960594</v>
      </c>
      <c r="AL3452" s="2">
        <v>2.7106294003980101E-5</v>
      </c>
      <c r="AM3452" s="2">
        <v>127.41233642312</v>
      </c>
      <c r="AN3452" s="2">
        <v>2.7106294003980101E-5</v>
      </c>
      <c r="AO3452" s="2">
        <v>276.15783270796197</v>
      </c>
      <c r="AP3452" s="2">
        <v>214.31724088783301</v>
      </c>
    </row>
    <row r="3453" spans="1:42" ht="14.5" x14ac:dyDescent="0.35">
      <c r="A3453" s="2" t="s">
        <v>22943</v>
      </c>
      <c r="B3453" s="2">
        <v>533.24439358318705</v>
      </c>
      <c r="C3453" s="2">
        <v>3.9884499999999998</v>
      </c>
      <c r="D3453" s="2" t="s">
        <v>70</v>
      </c>
      <c r="E3453" s="2" t="s">
        <v>22944</v>
      </c>
      <c r="F3453" s="2">
        <v>53016</v>
      </c>
      <c r="G3453" s="3" t="str">
        <f>HYPERLINK("http://funmeta.oebiotech.com/network/53016", "http://funmeta.oebiotech.com/network/53016")</f>
        <v>http://funmeta.oebiotech.com/network/53016</v>
      </c>
      <c r="H3453" s="2" t="s">
        <v>22945</v>
      </c>
      <c r="I3453" s="2">
        <v>1097</v>
      </c>
      <c r="J3453" s="2"/>
      <c r="K3453" s="2">
        <v>48538</v>
      </c>
      <c r="L3453" s="2"/>
      <c r="M3453" s="2"/>
      <c r="N3453" s="2"/>
      <c r="O3453" s="2">
        <v>6005</v>
      </c>
      <c r="P3453" s="2" t="s">
        <v>22946</v>
      </c>
      <c r="Q3453" s="2" t="s">
        <v>22947</v>
      </c>
      <c r="R3453" s="2" t="s">
        <v>22948</v>
      </c>
      <c r="S3453" s="2" t="s">
        <v>39</v>
      </c>
      <c r="T3453" s="2" t="s">
        <v>22949</v>
      </c>
      <c r="U3453" s="2" t="s">
        <v>41</v>
      </c>
      <c r="V3453" s="2" t="s">
        <v>59</v>
      </c>
      <c r="W3453" s="2">
        <v>39.6</v>
      </c>
      <c r="X3453" s="2">
        <v>0</v>
      </c>
      <c r="Y3453" s="2" t="s">
        <v>560</v>
      </c>
      <c r="Z3453" s="2" t="s">
        <v>22950</v>
      </c>
      <c r="AA3453" s="2">
        <v>-0.35107605217037802</v>
      </c>
      <c r="AB3453" s="2">
        <v>0.216901793104566</v>
      </c>
      <c r="AC3453" s="2">
        <v>6976.4201444931005</v>
      </c>
      <c r="AD3453" s="2">
        <v>10517.2726868851</v>
      </c>
      <c r="AE3453" s="2">
        <v>7413.9676913316298</v>
      </c>
      <c r="AF3453" s="2">
        <v>6576.3614880526702</v>
      </c>
      <c r="AG3453" s="2">
        <v>7614.3340469843497</v>
      </c>
      <c r="AH3453" s="2">
        <v>6689.2327988311099</v>
      </c>
      <c r="AI3453" s="2">
        <v>6304.4359059815897</v>
      </c>
      <c r="AJ3453" s="2">
        <v>7260.1889357772397</v>
      </c>
      <c r="AK3453" s="2">
        <v>9177.3567961242406</v>
      </c>
      <c r="AL3453" s="2">
        <v>11313.2000901013</v>
      </c>
      <c r="AM3453" s="2">
        <v>11637.0792935754</v>
      </c>
      <c r="AN3453" s="2">
        <v>12418.292318845</v>
      </c>
      <c r="AO3453" s="2">
        <v>9536.6031115089008</v>
      </c>
      <c r="AP3453" s="2">
        <v>9021.1045111555395</v>
      </c>
    </row>
    <row r="3454" spans="1:42" ht="14.5" x14ac:dyDescent="0.35">
      <c r="A3454" s="2" t="s">
        <v>22951</v>
      </c>
      <c r="B3454" s="2">
        <v>587.197020104594</v>
      </c>
      <c r="C3454" s="2">
        <v>3.82433333333333</v>
      </c>
      <c r="D3454" s="2" t="s">
        <v>70</v>
      </c>
      <c r="E3454" s="2" t="s">
        <v>22952</v>
      </c>
      <c r="F3454" s="2">
        <v>203712</v>
      </c>
      <c r="G3454" s="3" t="str">
        <f>HYPERLINK("http://funmeta.oebiotech.com/network/203712", "http://funmeta.oebiotech.com/network/203712")</f>
        <v>http://funmeta.oebiotech.com/network/203712</v>
      </c>
      <c r="H3454" s="2" t="s">
        <v>22953</v>
      </c>
      <c r="I3454" s="2"/>
      <c r="J3454" s="2"/>
      <c r="K3454" s="2"/>
      <c r="L3454" s="2"/>
      <c r="M3454" s="2"/>
      <c r="N3454" s="2"/>
      <c r="O3454" s="2">
        <v>21885705</v>
      </c>
      <c r="P3454" s="2"/>
      <c r="Q3454" s="2" t="s">
        <v>22954</v>
      </c>
      <c r="R3454" s="2" t="s">
        <v>22955</v>
      </c>
      <c r="S3454" s="2" t="s">
        <v>41</v>
      </c>
      <c r="T3454" s="2" t="s">
        <v>41</v>
      </c>
      <c r="U3454" s="2" t="s">
        <v>41</v>
      </c>
      <c r="V3454" s="2" t="s">
        <v>59</v>
      </c>
      <c r="W3454" s="2">
        <v>38.4</v>
      </c>
      <c r="X3454" s="2">
        <v>0</v>
      </c>
      <c r="Y3454" s="2" t="s">
        <v>751</v>
      </c>
      <c r="Z3454" s="2" t="s">
        <v>22956</v>
      </c>
      <c r="AA3454" s="2">
        <v>2.5757131597931702</v>
      </c>
      <c r="AB3454" s="2">
        <v>0.21689912242284001</v>
      </c>
      <c r="AC3454" s="2">
        <v>12028.547334951099</v>
      </c>
      <c r="AD3454" s="2">
        <v>15459.079782765901</v>
      </c>
      <c r="AE3454" s="2">
        <v>10725.424444063099</v>
      </c>
      <c r="AF3454" s="2">
        <v>12995.501633001501</v>
      </c>
      <c r="AG3454" s="2">
        <v>12042.3595808677</v>
      </c>
      <c r="AH3454" s="2">
        <v>12150.487166675801</v>
      </c>
      <c r="AI3454" s="2">
        <v>10900.621761435101</v>
      </c>
      <c r="AJ3454" s="2">
        <v>13356.8894236632</v>
      </c>
      <c r="AK3454" s="2">
        <v>15043.2880164007</v>
      </c>
      <c r="AL3454" s="2">
        <v>15348.749415803801</v>
      </c>
      <c r="AM3454" s="2">
        <v>15844.3841978442</v>
      </c>
      <c r="AN3454" s="2">
        <v>14924.749900651501</v>
      </c>
      <c r="AO3454" s="2">
        <v>14972.343975224099</v>
      </c>
      <c r="AP3454" s="2">
        <v>16620.9631906713</v>
      </c>
    </row>
    <row r="3455" spans="1:42" ht="14.5" x14ac:dyDescent="0.35">
      <c r="A3455" s="2" t="s">
        <v>22957</v>
      </c>
      <c r="B3455" s="2">
        <v>386.18070009209202</v>
      </c>
      <c r="C3455" s="2">
        <v>1.14655</v>
      </c>
      <c r="D3455" s="2" t="s">
        <v>34</v>
      </c>
      <c r="E3455" s="2" t="s">
        <v>22958</v>
      </c>
      <c r="F3455" s="2">
        <v>63127</v>
      </c>
      <c r="G3455" s="3" t="str">
        <f>HYPERLINK("http://funmeta.oebiotech.com/network/63127", "http://funmeta.oebiotech.com/network/63127")</f>
        <v>http://funmeta.oebiotech.com/network/63127</v>
      </c>
      <c r="H3455" s="2" t="s">
        <v>22959</v>
      </c>
      <c r="I3455" s="2">
        <v>94435</v>
      </c>
      <c r="J3455" s="2"/>
      <c r="K3455" s="2">
        <v>175737</v>
      </c>
      <c r="L3455" s="2"/>
      <c r="M3455" s="2"/>
      <c r="N3455" s="2"/>
      <c r="O3455" s="2">
        <v>12312707</v>
      </c>
      <c r="P3455" s="2"/>
      <c r="Q3455" s="2" t="s">
        <v>22960</v>
      </c>
      <c r="R3455" s="2" t="s">
        <v>22961</v>
      </c>
      <c r="S3455" s="2" t="s">
        <v>79</v>
      </c>
      <c r="T3455" s="2" t="s">
        <v>80</v>
      </c>
      <c r="U3455" s="2" t="s">
        <v>81</v>
      </c>
      <c r="V3455" s="2" t="s">
        <v>59</v>
      </c>
      <c r="W3455" s="2">
        <v>38.299999999999997</v>
      </c>
      <c r="X3455" s="2">
        <v>0</v>
      </c>
      <c r="Y3455" s="2" t="s">
        <v>43</v>
      </c>
      <c r="Z3455" s="2" t="s">
        <v>12678</v>
      </c>
      <c r="AA3455" s="2">
        <v>-0.66050786742065504</v>
      </c>
      <c r="AB3455" s="2">
        <v>0.21689433032022601</v>
      </c>
      <c r="AC3455" s="2">
        <v>7435.2600226644099</v>
      </c>
      <c r="AD3455" s="2">
        <v>10615.340614691801</v>
      </c>
      <c r="AE3455" s="2">
        <v>7127.8155081844898</v>
      </c>
      <c r="AF3455" s="2">
        <v>6858.3488892919204</v>
      </c>
      <c r="AG3455" s="2">
        <v>7725.1396553313698</v>
      </c>
      <c r="AH3455" s="2">
        <v>7111.6525750968804</v>
      </c>
      <c r="AI3455" s="2">
        <v>7541.3306524526197</v>
      </c>
      <c r="AJ3455" s="2">
        <v>8247.2728556291604</v>
      </c>
      <c r="AK3455" s="2">
        <v>10689.0860488744</v>
      </c>
      <c r="AL3455" s="2">
        <v>10147.6331155607</v>
      </c>
      <c r="AM3455" s="2">
        <v>11002.0693469015</v>
      </c>
      <c r="AN3455" s="2">
        <v>10250.3788354072</v>
      </c>
      <c r="AO3455" s="2">
        <v>11011.260711856999</v>
      </c>
      <c r="AP3455" s="2">
        <v>10591.615629550201</v>
      </c>
    </row>
    <row r="3456" spans="1:42" ht="14.5" x14ac:dyDescent="0.35">
      <c r="A3456" s="2" t="s">
        <v>22962</v>
      </c>
      <c r="B3456" s="2">
        <v>573.28198686097596</v>
      </c>
      <c r="C3456" s="2">
        <v>11.7931833333333</v>
      </c>
      <c r="D3456" s="2" t="s">
        <v>34</v>
      </c>
      <c r="E3456" s="2" t="s">
        <v>22963</v>
      </c>
      <c r="F3456" s="2">
        <v>59706</v>
      </c>
      <c r="G3456" s="3" t="str">
        <f>HYPERLINK("http://funmeta.oebiotech.com/network/59706", "http://funmeta.oebiotech.com/network/59706")</f>
        <v>http://funmeta.oebiotech.com/network/59706</v>
      </c>
      <c r="H3456" s="2" t="s">
        <v>22964</v>
      </c>
      <c r="I3456" s="2"/>
      <c r="J3456" s="2"/>
      <c r="K3456" s="2"/>
      <c r="L3456" s="2"/>
      <c r="M3456" s="2"/>
      <c r="N3456" s="2"/>
      <c r="O3456" s="2">
        <v>44257262</v>
      </c>
      <c r="P3456" s="2" t="s">
        <v>22965</v>
      </c>
      <c r="Q3456" s="2" t="s">
        <v>22966</v>
      </c>
      <c r="R3456" s="2" t="s">
        <v>22967</v>
      </c>
      <c r="S3456" s="2" t="s">
        <v>50</v>
      </c>
      <c r="T3456" s="2" t="s">
        <v>201</v>
      </c>
      <c r="U3456" s="2" t="s">
        <v>210</v>
      </c>
      <c r="V3456" s="2" t="s">
        <v>59</v>
      </c>
      <c r="W3456" s="2">
        <v>44.8</v>
      </c>
      <c r="X3456" s="2">
        <v>27.5</v>
      </c>
      <c r="Y3456" s="2" t="s">
        <v>340</v>
      </c>
      <c r="Z3456" s="2" t="s">
        <v>10606</v>
      </c>
      <c r="AA3456" s="2">
        <v>-0.82282401118818604</v>
      </c>
      <c r="AB3456" s="2">
        <v>0.21679876969237799</v>
      </c>
      <c r="AC3456" s="2">
        <v>15421.036942238699</v>
      </c>
      <c r="AD3456" s="2">
        <v>11573.2997643697</v>
      </c>
      <c r="AE3456" s="2">
        <v>14265.3638486081</v>
      </c>
      <c r="AF3456" s="2">
        <v>16871.262148507802</v>
      </c>
      <c r="AG3456" s="2">
        <v>15388.5800582718</v>
      </c>
      <c r="AH3456" s="2">
        <v>14633.7958262624</v>
      </c>
      <c r="AI3456" s="2">
        <v>15548.0672610363</v>
      </c>
      <c r="AJ3456" s="2">
        <v>15819.1525107455</v>
      </c>
      <c r="AK3456" s="2">
        <v>15226.4704384244</v>
      </c>
      <c r="AL3456" s="2">
        <v>12086.405214622901</v>
      </c>
      <c r="AM3456" s="2">
        <v>9164.0287257905402</v>
      </c>
      <c r="AN3456" s="2">
        <v>10438.1526238919</v>
      </c>
      <c r="AO3456" s="2">
        <v>11653.7530808188</v>
      </c>
      <c r="AP3456" s="2">
        <v>10870.988502669599</v>
      </c>
    </row>
    <row r="3457" spans="1:42" ht="14.5" x14ac:dyDescent="0.35">
      <c r="A3457" s="2" t="s">
        <v>22968</v>
      </c>
      <c r="B3457" s="2">
        <v>431.25556053026003</v>
      </c>
      <c r="C3457" s="2">
        <v>12.8663666666667</v>
      </c>
      <c r="D3457" s="2" t="s">
        <v>34</v>
      </c>
      <c r="E3457" s="2" t="s">
        <v>22969</v>
      </c>
      <c r="F3457" s="2">
        <v>45895</v>
      </c>
      <c r="G3457" s="3" t="str">
        <f>HYPERLINK("http://funmeta.oebiotech.com/network/45895", "http://funmeta.oebiotech.com/network/45895")</f>
        <v>http://funmeta.oebiotech.com/network/45895</v>
      </c>
      <c r="H3457" s="2" t="s">
        <v>22970</v>
      </c>
      <c r="I3457" s="2">
        <v>207</v>
      </c>
      <c r="J3457" s="2" t="s">
        <v>22971</v>
      </c>
      <c r="K3457" s="2">
        <v>16755</v>
      </c>
      <c r="L3457" s="2" t="s">
        <v>22972</v>
      </c>
      <c r="M3457" s="2" t="s">
        <v>22973</v>
      </c>
      <c r="N3457" s="2" t="s">
        <v>22974</v>
      </c>
      <c r="O3457" s="2">
        <v>10133</v>
      </c>
      <c r="P3457" s="2" t="s">
        <v>22975</v>
      </c>
      <c r="Q3457" s="2" t="s">
        <v>22976</v>
      </c>
      <c r="R3457" s="2" t="s">
        <v>22977</v>
      </c>
      <c r="S3457" s="2" t="s">
        <v>50</v>
      </c>
      <c r="T3457" s="2" t="s">
        <v>124</v>
      </c>
      <c r="U3457" s="2" t="s">
        <v>125</v>
      </c>
      <c r="V3457" s="2" t="s">
        <v>59</v>
      </c>
      <c r="W3457" s="2">
        <v>39.5</v>
      </c>
      <c r="X3457" s="2">
        <v>0</v>
      </c>
      <c r="Y3457" s="2" t="s">
        <v>340</v>
      </c>
      <c r="Z3457" s="2" t="s">
        <v>22978</v>
      </c>
      <c r="AA3457" s="2">
        <v>-0.65591535836709502</v>
      </c>
      <c r="AB3457" s="2">
        <v>0.21679621351062101</v>
      </c>
      <c r="AC3457" s="2">
        <v>5838.57281243322</v>
      </c>
      <c r="AD3457" s="2">
        <v>2626.3874698557302</v>
      </c>
      <c r="AE3457" s="2">
        <v>6039.6769497617797</v>
      </c>
      <c r="AF3457" s="2">
        <v>5298.4044955638301</v>
      </c>
      <c r="AG3457" s="2">
        <v>6342.8840120275599</v>
      </c>
      <c r="AH3457" s="2">
        <v>5980.8389896870103</v>
      </c>
      <c r="AI3457" s="2">
        <v>5321.6721088177101</v>
      </c>
      <c r="AJ3457" s="2">
        <v>6047.9603187414295</v>
      </c>
      <c r="AK3457" s="2">
        <v>2473.0577866215899</v>
      </c>
      <c r="AL3457" s="2">
        <v>2698.6596143772799</v>
      </c>
      <c r="AM3457" s="2">
        <v>2032.58601399796</v>
      </c>
      <c r="AN3457" s="2">
        <v>2168.7600529097299</v>
      </c>
      <c r="AO3457" s="2">
        <v>2594.8050539042601</v>
      </c>
      <c r="AP3457" s="2">
        <v>3790.4562973235702</v>
      </c>
    </row>
    <row r="3458" spans="1:42" ht="14.5" x14ac:dyDescent="0.35">
      <c r="A3458" s="2" t="s">
        <v>22979</v>
      </c>
      <c r="B3458" s="2">
        <v>655.18186307454903</v>
      </c>
      <c r="C3458" s="2">
        <v>5.6725000000000003</v>
      </c>
      <c r="D3458" s="2" t="s">
        <v>70</v>
      </c>
      <c r="E3458" s="2" t="s">
        <v>22980</v>
      </c>
      <c r="F3458" s="2">
        <v>266595</v>
      </c>
      <c r="G3458" s="3" t="str">
        <f>HYPERLINK("http://funmeta.oebiotech.com/network/266595", "http://funmeta.oebiotech.com/network/266595")</f>
        <v>http://funmeta.oebiotech.com/network/266595</v>
      </c>
      <c r="H3458" s="2"/>
      <c r="I3458" s="2">
        <v>43645</v>
      </c>
      <c r="J3458" s="2"/>
      <c r="K3458" s="2"/>
      <c r="L3458" s="2"/>
      <c r="M3458" s="2"/>
      <c r="N3458" s="2"/>
      <c r="O3458" s="2">
        <v>6708795</v>
      </c>
      <c r="P3458" s="2"/>
      <c r="Q3458" s="2" t="s">
        <v>22981</v>
      </c>
      <c r="R3458" s="2" t="s">
        <v>22982</v>
      </c>
      <c r="S3458" s="2" t="s">
        <v>115</v>
      </c>
      <c r="T3458" s="2" t="s">
        <v>1371</v>
      </c>
      <c r="U3458" s="2" t="s">
        <v>6597</v>
      </c>
      <c r="V3458" s="2" t="s">
        <v>59</v>
      </c>
      <c r="W3458" s="2">
        <v>38.9</v>
      </c>
      <c r="X3458" s="2">
        <v>0</v>
      </c>
      <c r="Y3458" s="2" t="s">
        <v>560</v>
      </c>
      <c r="Z3458" s="2" t="s">
        <v>22983</v>
      </c>
      <c r="AA3458" s="2">
        <v>-0.36110674743383497</v>
      </c>
      <c r="AB3458" s="2">
        <v>0.21670968562715401</v>
      </c>
      <c r="AC3458" s="2">
        <v>4573.65358043162</v>
      </c>
      <c r="AD3458" s="2">
        <v>1000.9508615964</v>
      </c>
      <c r="AE3458" s="2">
        <v>5516.7012426036299</v>
      </c>
      <c r="AF3458" s="2">
        <v>5632.7393786130797</v>
      </c>
      <c r="AG3458" s="2">
        <v>3968.7824343314601</v>
      </c>
      <c r="AH3458" s="2">
        <v>5946.1369413678603</v>
      </c>
      <c r="AI3458" s="2">
        <v>3926.1631390591301</v>
      </c>
      <c r="AJ3458" s="2">
        <v>2451.3983466145301</v>
      </c>
      <c r="AK3458" s="2">
        <v>2.7106294003980101E-5</v>
      </c>
      <c r="AL3458" s="2">
        <v>2.7106294003980101E-5</v>
      </c>
      <c r="AM3458" s="2">
        <v>701.62196135730801</v>
      </c>
      <c r="AN3458" s="2">
        <v>1655.40607720239</v>
      </c>
      <c r="AO3458" s="2">
        <v>1513.88555912888</v>
      </c>
      <c r="AP3458" s="2">
        <v>2134.7915176772099</v>
      </c>
    </row>
    <row r="3459" spans="1:42" ht="14.5" x14ac:dyDescent="0.35">
      <c r="A3459" s="2" t="s">
        <v>22984</v>
      </c>
      <c r="B3459" s="2">
        <v>487.20311956074403</v>
      </c>
      <c r="C3459" s="2">
        <v>3.7303666666666699</v>
      </c>
      <c r="D3459" s="2" t="s">
        <v>70</v>
      </c>
      <c r="E3459" s="2" t="s">
        <v>22985</v>
      </c>
      <c r="F3459" s="2">
        <v>53859</v>
      </c>
      <c r="G3459" s="3" t="str">
        <f>HYPERLINK("http://funmeta.oebiotech.com/network/53859", "http://funmeta.oebiotech.com/network/53859")</f>
        <v>http://funmeta.oebiotech.com/network/53859</v>
      </c>
      <c r="H3459" s="2" t="s">
        <v>22986</v>
      </c>
      <c r="I3459" s="2">
        <v>23663</v>
      </c>
      <c r="J3459" s="2"/>
      <c r="K3459" s="2">
        <v>73508</v>
      </c>
      <c r="L3459" s="2"/>
      <c r="M3459" s="2"/>
      <c r="N3459" s="2"/>
      <c r="O3459" s="2">
        <v>11218768</v>
      </c>
      <c r="P3459" s="2" t="s">
        <v>22987</v>
      </c>
      <c r="Q3459" s="2" t="s">
        <v>22988</v>
      </c>
      <c r="R3459" s="2" t="s">
        <v>22989</v>
      </c>
      <c r="S3459" s="2" t="s">
        <v>89</v>
      </c>
      <c r="T3459" s="2" t="s">
        <v>90</v>
      </c>
      <c r="U3459" s="2" t="s">
        <v>99</v>
      </c>
      <c r="V3459" s="2" t="s">
        <v>59</v>
      </c>
      <c r="W3459" s="2">
        <v>42.8</v>
      </c>
      <c r="X3459" s="2">
        <v>23.3</v>
      </c>
      <c r="Y3459" s="2" t="s">
        <v>560</v>
      </c>
      <c r="Z3459" s="2" t="s">
        <v>22990</v>
      </c>
      <c r="AA3459" s="2">
        <v>-2.9643858834659902</v>
      </c>
      <c r="AB3459" s="2">
        <v>0.21653829498025801</v>
      </c>
      <c r="AC3459" s="2">
        <v>14596.306311226799</v>
      </c>
      <c r="AD3459" s="2">
        <v>11175.9430210423</v>
      </c>
      <c r="AE3459" s="2">
        <v>14860.5669076824</v>
      </c>
      <c r="AF3459" s="2">
        <v>12824.6185497939</v>
      </c>
      <c r="AG3459" s="2">
        <v>14591.060084892901</v>
      </c>
      <c r="AH3459" s="2">
        <v>15299.1070477617</v>
      </c>
      <c r="AI3459" s="2">
        <v>14799.719469628801</v>
      </c>
      <c r="AJ3459" s="2">
        <v>15202.765807601299</v>
      </c>
      <c r="AK3459" s="2">
        <v>10587.5748505179</v>
      </c>
      <c r="AL3459" s="2">
        <v>10637.6700963078</v>
      </c>
      <c r="AM3459" s="2">
        <v>10740.0054397854</v>
      </c>
      <c r="AN3459" s="2">
        <v>12458.495512617401</v>
      </c>
      <c r="AO3459" s="2">
        <v>10515.445671973101</v>
      </c>
      <c r="AP3459" s="2">
        <v>12116.4665550519</v>
      </c>
    </row>
    <row r="3460" spans="1:42" ht="14.5" x14ac:dyDescent="0.35">
      <c r="A3460" s="2" t="s">
        <v>22991</v>
      </c>
      <c r="B3460" s="2">
        <v>691.21453675158295</v>
      </c>
      <c r="C3460" s="2">
        <v>4.84418333333333</v>
      </c>
      <c r="D3460" s="2" t="s">
        <v>70</v>
      </c>
      <c r="E3460" s="2" t="s">
        <v>22992</v>
      </c>
      <c r="F3460" s="2">
        <v>212257</v>
      </c>
      <c r="G3460" s="3" t="str">
        <f>HYPERLINK("http://funmeta.oebiotech.com/network/212257", "http://funmeta.oebiotech.com/network/212257")</f>
        <v>http://funmeta.oebiotech.com/network/212257</v>
      </c>
      <c r="H3460" s="2" t="s">
        <v>22993</v>
      </c>
      <c r="I3460" s="2">
        <v>315753</v>
      </c>
      <c r="J3460" s="2"/>
      <c r="K3460" s="2"/>
      <c r="L3460" s="2"/>
      <c r="M3460" s="2"/>
      <c r="N3460" s="2"/>
      <c r="O3460" s="2">
        <v>636411</v>
      </c>
      <c r="P3460" s="2"/>
      <c r="Q3460" s="2" t="s">
        <v>22994</v>
      </c>
      <c r="R3460" s="2" t="s">
        <v>22995</v>
      </c>
      <c r="S3460" s="2" t="s">
        <v>491</v>
      </c>
      <c r="T3460" s="2" t="s">
        <v>22996</v>
      </c>
      <c r="U3460" s="2" t="s">
        <v>41</v>
      </c>
      <c r="V3460" s="2" t="s">
        <v>59</v>
      </c>
      <c r="W3460" s="2">
        <v>36.799999999999997</v>
      </c>
      <c r="X3460" s="2">
        <v>0</v>
      </c>
      <c r="Y3460" s="2" t="s">
        <v>560</v>
      </c>
      <c r="Z3460" s="2" t="s">
        <v>22997</v>
      </c>
      <c r="AA3460" s="2">
        <v>2.7307409691615301</v>
      </c>
      <c r="AB3460" s="2">
        <v>0.216525060247896</v>
      </c>
      <c r="AC3460" s="2">
        <v>19607.149835303499</v>
      </c>
      <c r="AD3460" s="2">
        <v>14725.099353470199</v>
      </c>
      <c r="AE3460" s="2">
        <v>15246.2312076419</v>
      </c>
      <c r="AF3460" s="2">
        <v>23282.132399090398</v>
      </c>
      <c r="AG3460" s="2">
        <v>21635.561633639201</v>
      </c>
      <c r="AH3460" s="2">
        <v>16265.4895871678</v>
      </c>
      <c r="AI3460" s="2">
        <v>19700.396254602001</v>
      </c>
      <c r="AJ3460" s="2">
        <v>21513.087929679401</v>
      </c>
      <c r="AK3460" s="2">
        <v>15703.9377580851</v>
      </c>
      <c r="AL3460" s="2">
        <v>15144.251652622201</v>
      </c>
      <c r="AM3460" s="2">
        <v>16364.240067967099</v>
      </c>
      <c r="AN3460" s="2">
        <v>18014.460508071701</v>
      </c>
      <c r="AO3460" s="2">
        <v>14854.872380336101</v>
      </c>
      <c r="AP3460" s="2">
        <v>8268.8337537387906</v>
      </c>
    </row>
    <row r="3461" spans="1:42" ht="14.5" x14ac:dyDescent="0.35">
      <c r="A3461" s="2" t="s">
        <v>22998</v>
      </c>
      <c r="B3461" s="2">
        <v>415.10331260148803</v>
      </c>
      <c r="C3461" s="2">
        <v>5.9542333333333302</v>
      </c>
      <c r="D3461" s="2" t="s">
        <v>70</v>
      </c>
      <c r="E3461" s="2" t="s">
        <v>22999</v>
      </c>
      <c r="F3461" s="2">
        <v>29155</v>
      </c>
      <c r="G3461" s="3" t="str">
        <f>HYPERLINK("http://funmeta.oebiotech.com/network/29155", "http://funmeta.oebiotech.com/network/29155")</f>
        <v>http://funmeta.oebiotech.com/network/29155</v>
      </c>
      <c r="H3461" s="2"/>
      <c r="I3461" s="2"/>
      <c r="J3461" s="2" t="s">
        <v>23000</v>
      </c>
      <c r="K3461" s="2"/>
      <c r="L3461" s="2"/>
      <c r="M3461" s="2"/>
      <c r="N3461" s="2"/>
      <c r="O3461" s="2">
        <v>49862229</v>
      </c>
      <c r="P3461" s="2"/>
      <c r="Q3461" s="2" t="s">
        <v>23001</v>
      </c>
      <c r="R3461" s="2" t="s">
        <v>23002</v>
      </c>
      <c r="S3461" s="2" t="s">
        <v>115</v>
      </c>
      <c r="T3461" s="2" t="s">
        <v>1371</v>
      </c>
      <c r="U3461" s="2" t="s">
        <v>1372</v>
      </c>
      <c r="V3461" s="2" t="s">
        <v>42</v>
      </c>
      <c r="W3461" s="2">
        <v>52.7</v>
      </c>
      <c r="X3461" s="2">
        <v>69.5</v>
      </c>
      <c r="Y3461" s="2" t="s">
        <v>118</v>
      </c>
      <c r="Z3461" s="2" t="s">
        <v>23003</v>
      </c>
      <c r="AA3461" s="2">
        <v>-0.34410059807259602</v>
      </c>
      <c r="AB3461" s="2">
        <v>0.21645672450026701</v>
      </c>
      <c r="AC3461" s="2">
        <v>14359.8100937658</v>
      </c>
      <c r="AD3461" s="2">
        <v>11234.450745046001</v>
      </c>
      <c r="AE3461" s="2">
        <v>14076.449083715601</v>
      </c>
      <c r="AF3461" s="2">
        <v>14370.8283022944</v>
      </c>
      <c r="AG3461" s="2">
        <v>13837.539279447499</v>
      </c>
      <c r="AH3461" s="2">
        <v>14832.893142429801</v>
      </c>
      <c r="AI3461" s="2">
        <v>14399.5401220026</v>
      </c>
      <c r="AJ3461" s="2">
        <v>14641.6106327046</v>
      </c>
      <c r="AK3461" s="2">
        <v>11421.9707138903</v>
      </c>
      <c r="AL3461" s="2">
        <v>11401.232558964601</v>
      </c>
      <c r="AM3461" s="2">
        <v>11185.228332115001</v>
      </c>
      <c r="AN3461" s="2">
        <v>10849.7752558995</v>
      </c>
      <c r="AO3461" s="2">
        <v>11042.947612535099</v>
      </c>
      <c r="AP3461" s="2">
        <v>11505.549996871599</v>
      </c>
    </row>
    <row r="3462" spans="1:42" ht="14.5" x14ac:dyDescent="0.35">
      <c r="A3462" s="2" t="s">
        <v>23004</v>
      </c>
      <c r="B3462" s="2">
        <v>499.20268738111201</v>
      </c>
      <c r="C3462" s="2">
        <v>3.8797333333333301</v>
      </c>
      <c r="D3462" s="2" t="s">
        <v>70</v>
      </c>
      <c r="E3462" s="2" t="s">
        <v>23005</v>
      </c>
      <c r="F3462" s="2">
        <v>516097</v>
      </c>
      <c r="G3462" s="3" t="str">
        <f>HYPERLINK("http://funmeta.oebiotech.com/network/516097", "http://funmeta.oebiotech.com/network/516097")</f>
        <v>http://funmeta.oebiotech.com/network/516097</v>
      </c>
      <c r="H3462" s="2"/>
      <c r="I3462" s="2">
        <v>96553</v>
      </c>
      <c r="J3462" s="2"/>
      <c r="K3462" s="2"/>
      <c r="L3462" s="2"/>
      <c r="M3462" s="2"/>
      <c r="N3462" s="2"/>
      <c r="O3462" s="2">
        <v>122636</v>
      </c>
      <c r="P3462" s="2" t="s">
        <v>23006</v>
      </c>
      <c r="Q3462" s="2" t="s">
        <v>23007</v>
      </c>
      <c r="R3462" s="2" t="s">
        <v>23008</v>
      </c>
      <c r="S3462" s="2" t="s">
        <v>1444</v>
      </c>
      <c r="T3462" s="2" t="s">
        <v>23009</v>
      </c>
      <c r="U3462" s="2" t="s">
        <v>41</v>
      </c>
      <c r="V3462" s="2" t="s">
        <v>59</v>
      </c>
      <c r="W3462" s="2">
        <v>38</v>
      </c>
      <c r="X3462" s="2">
        <v>0</v>
      </c>
      <c r="Y3462" s="2" t="s">
        <v>560</v>
      </c>
      <c r="Z3462" s="2" t="s">
        <v>23010</v>
      </c>
      <c r="AA3462" s="2">
        <v>-6.4309393119467</v>
      </c>
      <c r="AB3462" s="2">
        <v>0.21642359372876299</v>
      </c>
      <c r="AC3462" s="2">
        <v>4867.5152433460198</v>
      </c>
      <c r="AD3462" s="2">
        <v>8360.8843894277106</v>
      </c>
      <c r="AE3462" s="2">
        <v>4857.0037786773701</v>
      </c>
      <c r="AF3462" s="2">
        <v>6305.3253161851899</v>
      </c>
      <c r="AG3462" s="2">
        <v>4600.3488304959901</v>
      </c>
      <c r="AH3462" s="2">
        <v>3955.09289251563</v>
      </c>
      <c r="AI3462" s="2">
        <v>5255.2190264255196</v>
      </c>
      <c r="AJ3462" s="2">
        <v>4232.1016157764398</v>
      </c>
      <c r="AK3462" s="2">
        <v>7885.1500898884497</v>
      </c>
      <c r="AL3462" s="2">
        <v>9218.2409552050904</v>
      </c>
      <c r="AM3462" s="2">
        <v>7444.2194975421899</v>
      </c>
      <c r="AN3462" s="2">
        <v>8772.8865289958503</v>
      </c>
      <c r="AO3462" s="2">
        <v>6840.4540718157496</v>
      </c>
      <c r="AP3462" s="2">
        <v>10004.355193118899</v>
      </c>
    </row>
    <row r="3463" spans="1:42" ht="14.5" x14ac:dyDescent="0.35">
      <c r="A3463" s="2" t="s">
        <v>23011</v>
      </c>
      <c r="B3463" s="2">
        <v>462.143093406638</v>
      </c>
      <c r="C3463" s="2">
        <v>1.3109999999999999</v>
      </c>
      <c r="D3463" s="2" t="s">
        <v>34</v>
      </c>
      <c r="E3463" s="2" t="s">
        <v>23012</v>
      </c>
      <c r="F3463" s="2">
        <v>210586</v>
      </c>
      <c r="G3463" s="3" t="str">
        <f>HYPERLINK("http://funmeta.oebiotech.com/network/210586", "http://funmeta.oebiotech.com/network/210586")</f>
        <v>http://funmeta.oebiotech.com/network/210586</v>
      </c>
      <c r="H3463" s="2" t="s">
        <v>23013</v>
      </c>
      <c r="I3463" s="2"/>
      <c r="J3463" s="2"/>
      <c r="K3463" s="2"/>
      <c r="L3463" s="2"/>
      <c r="M3463" s="2"/>
      <c r="N3463" s="2"/>
      <c r="O3463" s="2">
        <v>53447407</v>
      </c>
      <c r="P3463" s="2"/>
      <c r="Q3463" s="2" t="s">
        <v>23014</v>
      </c>
      <c r="R3463" s="2" t="s">
        <v>23015</v>
      </c>
      <c r="S3463" s="2" t="s">
        <v>41</v>
      </c>
      <c r="T3463" s="2" t="s">
        <v>41</v>
      </c>
      <c r="U3463" s="2" t="s">
        <v>41</v>
      </c>
      <c r="V3463" s="2" t="s">
        <v>59</v>
      </c>
      <c r="W3463" s="2">
        <v>38.200000000000003</v>
      </c>
      <c r="X3463" s="2">
        <v>0</v>
      </c>
      <c r="Y3463" s="2" t="s">
        <v>394</v>
      </c>
      <c r="Z3463" s="2" t="s">
        <v>23016</v>
      </c>
      <c r="AA3463" s="2">
        <v>0.54194116788392999</v>
      </c>
      <c r="AB3463" s="2">
        <v>0.216407209778156</v>
      </c>
      <c r="AC3463" s="2">
        <v>9323.8672324858308</v>
      </c>
      <c r="AD3463" s="2">
        <v>12733.633042977899</v>
      </c>
      <c r="AE3463" s="2">
        <v>10656.354066833401</v>
      </c>
      <c r="AF3463" s="2">
        <v>8357.1815268827904</v>
      </c>
      <c r="AG3463" s="2">
        <v>9308.0379897393195</v>
      </c>
      <c r="AH3463" s="2">
        <v>8656.0435553998595</v>
      </c>
      <c r="AI3463" s="2">
        <v>8655.8824859303804</v>
      </c>
      <c r="AJ3463" s="2">
        <v>10309.703770129199</v>
      </c>
      <c r="AK3463" s="2">
        <v>12747.403985617901</v>
      </c>
      <c r="AL3463" s="2">
        <v>12391.3328192628</v>
      </c>
      <c r="AM3463" s="2">
        <v>13084.4587325465</v>
      </c>
      <c r="AN3463" s="2">
        <v>11951.5102391785</v>
      </c>
      <c r="AO3463" s="2">
        <v>12099.0798626411</v>
      </c>
      <c r="AP3463" s="2">
        <v>14128.0126186204</v>
      </c>
    </row>
    <row r="3464" spans="1:42" ht="14.5" x14ac:dyDescent="0.35">
      <c r="A3464" s="2" t="s">
        <v>23017</v>
      </c>
      <c r="B3464" s="2">
        <v>277.21696531621598</v>
      </c>
      <c r="C3464" s="2">
        <v>11.8404166666667</v>
      </c>
      <c r="D3464" s="2" t="s">
        <v>70</v>
      </c>
      <c r="E3464" s="2" t="s">
        <v>23018</v>
      </c>
      <c r="F3464" s="2">
        <v>83375</v>
      </c>
      <c r="G3464" s="3" t="str">
        <f>HYPERLINK("http://funmeta.oebiotech.com/network/83375", "http://funmeta.oebiotech.com/network/83375")</f>
        <v>http://funmeta.oebiotech.com/network/83375</v>
      </c>
      <c r="H3464" s="2" t="s">
        <v>23019</v>
      </c>
      <c r="I3464" s="2"/>
      <c r="J3464" s="2"/>
      <c r="K3464" s="2">
        <v>77514</v>
      </c>
      <c r="L3464" s="2"/>
      <c r="M3464" s="2"/>
      <c r="N3464" s="2"/>
      <c r="O3464" s="2">
        <v>20660</v>
      </c>
      <c r="P3464" s="2" t="s">
        <v>23020</v>
      </c>
      <c r="Q3464" s="2" t="s">
        <v>23021</v>
      </c>
      <c r="R3464" s="2" t="s">
        <v>23022</v>
      </c>
      <c r="S3464" s="2" t="s">
        <v>148</v>
      </c>
      <c r="T3464" s="2" t="s">
        <v>149</v>
      </c>
      <c r="U3464" s="2" t="s">
        <v>41</v>
      </c>
      <c r="V3464" s="2" t="s">
        <v>59</v>
      </c>
      <c r="W3464" s="2">
        <v>39.6</v>
      </c>
      <c r="X3464" s="2">
        <v>1.39</v>
      </c>
      <c r="Y3464" s="2" t="s">
        <v>408</v>
      </c>
      <c r="Z3464" s="2" t="s">
        <v>23023</v>
      </c>
      <c r="AA3464" s="2">
        <v>-1.4574672894530101</v>
      </c>
      <c r="AB3464" s="2">
        <v>0.21631589866311299</v>
      </c>
      <c r="AC3464" s="2">
        <v>8710.5684619301101</v>
      </c>
      <c r="AD3464" s="2">
        <v>5478.8957063657699</v>
      </c>
      <c r="AE3464" s="2">
        <v>8487.1685461635007</v>
      </c>
      <c r="AF3464" s="2">
        <v>9332.6658850481799</v>
      </c>
      <c r="AG3464" s="2">
        <v>9740.2039467151208</v>
      </c>
      <c r="AH3464" s="2">
        <v>8700.8771665232598</v>
      </c>
      <c r="AI3464" s="2">
        <v>8435.6645456560309</v>
      </c>
      <c r="AJ3464" s="2">
        <v>7566.8306814745702</v>
      </c>
      <c r="AK3464" s="2">
        <v>5130.6176252678897</v>
      </c>
      <c r="AL3464" s="2">
        <v>5820.0931698680797</v>
      </c>
      <c r="AM3464" s="2">
        <v>5568.60307654402</v>
      </c>
      <c r="AN3464" s="2">
        <v>5694.2563964524998</v>
      </c>
      <c r="AO3464" s="2">
        <v>5732.9353996485397</v>
      </c>
      <c r="AP3464" s="2">
        <v>4926.8685704135796</v>
      </c>
    </row>
    <row r="3465" spans="1:42" ht="14.5" x14ac:dyDescent="0.35">
      <c r="A3465" s="2" t="s">
        <v>23024</v>
      </c>
      <c r="B3465" s="2">
        <v>738.20100850373103</v>
      </c>
      <c r="C3465" s="2">
        <v>3.6970333333333301</v>
      </c>
      <c r="D3465" s="2" t="s">
        <v>34</v>
      </c>
      <c r="E3465" s="2" t="s">
        <v>23025</v>
      </c>
      <c r="F3465" s="2">
        <v>55394</v>
      </c>
      <c r="G3465" s="3" t="str">
        <f>HYPERLINK("http://funmeta.oebiotech.com/network/55394", "http://funmeta.oebiotech.com/network/55394")</f>
        <v>http://funmeta.oebiotech.com/network/55394</v>
      </c>
      <c r="H3465" s="2" t="s">
        <v>23026</v>
      </c>
      <c r="I3465" s="2">
        <v>87095</v>
      </c>
      <c r="J3465" s="2"/>
      <c r="K3465" s="2"/>
      <c r="L3465" s="2"/>
      <c r="M3465" s="2"/>
      <c r="N3465" s="2"/>
      <c r="O3465" s="2">
        <v>78187444</v>
      </c>
      <c r="P3465" s="2" t="s">
        <v>23027</v>
      </c>
      <c r="Q3465" s="2" t="s">
        <v>23028</v>
      </c>
      <c r="R3465" s="2" t="s">
        <v>23029</v>
      </c>
      <c r="S3465" s="2" t="s">
        <v>115</v>
      </c>
      <c r="T3465" s="2" t="s">
        <v>139</v>
      </c>
      <c r="U3465" s="2" t="s">
        <v>957</v>
      </c>
      <c r="V3465" s="2" t="s">
        <v>59</v>
      </c>
      <c r="W3465" s="2">
        <v>37.799999999999997</v>
      </c>
      <c r="X3465" s="2">
        <v>0</v>
      </c>
      <c r="Y3465" s="2" t="s">
        <v>43</v>
      </c>
      <c r="Z3465" s="2" t="s">
        <v>23030</v>
      </c>
      <c r="AA3465" s="2">
        <v>-2.5715705319749298</v>
      </c>
      <c r="AB3465" s="2">
        <v>0.21631078382397601</v>
      </c>
      <c r="AC3465" s="2">
        <v>9718.0028504612292</v>
      </c>
      <c r="AD3465" s="2">
        <v>5742.3340610914602</v>
      </c>
      <c r="AE3465" s="2">
        <v>10188.8683502932</v>
      </c>
      <c r="AF3465" s="2">
        <v>11783.749904669399</v>
      </c>
      <c r="AG3465" s="2">
        <v>10570.222066026799</v>
      </c>
      <c r="AH3465" s="2">
        <v>5729.3626280885001</v>
      </c>
      <c r="AI3465" s="2">
        <v>11388.272593759801</v>
      </c>
      <c r="AJ3465" s="2">
        <v>8647.5415599296593</v>
      </c>
      <c r="AK3465" s="2">
        <v>5627.9237174424798</v>
      </c>
      <c r="AL3465" s="2">
        <v>5882.3988421927597</v>
      </c>
      <c r="AM3465" s="2">
        <v>5742.9711577288399</v>
      </c>
      <c r="AN3465" s="2">
        <v>4301.7533835330296</v>
      </c>
      <c r="AO3465" s="2">
        <v>5025.4886600038199</v>
      </c>
      <c r="AP3465" s="2">
        <v>7873.4686056478204</v>
      </c>
    </row>
    <row r="3466" spans="1:42" ht="14.5" x14ac:dyDescent="0.35">
      <c r="A3466" s="2" t="s">
        <v>23031</v>
      </c>
      <c r="B3466" s="2">
        <v>419.03228055501302</v>
      </c>
      <c r="C3466" s="2">
        <v>7.6215666666666699</v>
      </c>
      <c r="D3466" s="2" t="s">
        <v>70</v>
      </c>
      <c r="E3466" s="2" t="s">
        <v>23032</v>
      </c>
      <c r="F3466" s="2">
        <v>57320</v>
      </c>
      <c r="G3466" s="3" t="str">
        <f>HYPERLINK("http://funmeta.oebiotech.com/network/57320", "http://funmeta.oebiotech.com/network/57320")</f>
        <v>http://funmeta.oebiotech.com/network/57320</v>
      </c>
      <c r="H3466" s="2" t="s">
        <v>23033</v>
      </c>
      <c r="I3466" s="2">
        <v>88950</v>
      </c>
      <c r="J3466" s="2"/>
      <c r="K3466" s="2">
        <v>174046</v>
      </c>
      <c r="L3466" s="2"/>
      <c r="M3466" s="2"/>
      <c r="N3466" s="2"/>
      <c r="O3466" s="2">
        <v>14704628</v>
      </c>
      <c r="P3466" s="2"/>
      <c r="Q3466" s="2" t="s">
        <v>23034</v>
      </c>
      <c r="R3466" s="2" t="s">
        <v>23035</v>
      </c>
      <c r="S3466" s="2" t="s">
        <v>5916</v>
      </c>
      <c r="T3466" s="2" t="s">
        <v>13666</v>
      </c>
      <c r="U3466" s="2" t="s">
        <v>41</v>
      </c>
      <c r="V3466" s="2" t="s">
        <v>59</v>
      </c>
      <c r="W3466" s="2">
        <v>36.799999999999997</v>
      </c>
      <c r="X3466" s="2">
        <v>0</v>
      </c>
      <c r="Y3466" s="2" t="s">
        <v>560</v>
      </c>
      <c r="Z3466" s="2" t="s">
        <v>23036</v>
      </c>
      <c r="AA3466" s="2">
        <v>-4.2832688742298002</v>
      </c>
      <c r="AB3466" s="2">
        <v>0.216308026202576</v>
      </c>
      <c r="AC3466" s="2">
        <v>43476.755164209899</v>
      </c>
      <c r="AD3466" s="2">
        <v>47763.915103343803</v>
      </c>
      <c r="AE3466" s="2">
        <v>45209.824393784802</v>
      </c>
      <c r="AF3466" s="2">
        <v>44238.547826436603</v>
      </c>
      <c r="AG3466" s="2">
        <v>42814.462456538597</v>
      </c>
      <c r="AH3466" s="2">
        <v>46258.727169860598</v>
      </c>
      <c r="AI3466" s="2">
        <v>41920.962131956498</v>
      </c>
      <c r="AJ3466" s="2">
        <v>40418.007006682303</v>
      </c>
      <c r="AK3466" s="2">
        <v>50224.486144515198</v>
      </c>
      <c r="AL3466" s="2">
        <v>50165.157380187302</v>
      </c>
      <c r="AM3466" s="2">
        <v>47732.024010843299</v>
      </c>
      <c r="AN3466" s="2">
        <v>44544.806430659701</v>
      </c>
      <c r="AO3466" s="2">
        <v>48172.124581189397</v>
      </c>
      <c r="AP3466" s="2">
        <v>45744.892072667797</v>
      </c>
    </row>
    <row r="3467" spans="1:42" ht="14.5" x14ac:dyDescent="0.35">
      <c r="A3467" s="2" t="s">
        <v>23037</v>
      </c>
      <c r="B3467" s="2">
        <v>941.39774810364304</v>
      </c>
      <c r="C3467" s="2">
        <v>4.9145166666666702</v>
      </c>
      <c r="D3467" s="2" t="s">
        <v>34</v>
      </c>
      <c r="E3467" s="2" t="s">
        <v>23038</v>
      </c>
      <c r="F3467" s="2">
        <v>226153</v>
      </c>
      <c r="G3467" s="3" t="str">
        <f>HYPERLINK("http://funmeta.oebiotech.com/network/226153", "http://funmeta.oebiotech.com/network/226153")</f>
        <v>http://funmeta.oebiotech.com/network/226153</v>
      </c>
      <c r="H3467" s="2" t="s">
        <v>23039</v>
      </c>
      <c r="I3467" s="2"/>
      <c r="J3467" s="2"/>
      <c r="K3467" s="2"/>
      <c r="L3467" s="2"/>
      <c r="M3467" s="2"/>
      <c r="N3467" s="2"/>
      <c r="O3467" s="2"/>
      <c r="P3467" s="2"/>
      <c r="Q3467" s="2" t="s">
        <v>23040</v>
      </c>
      <c r="R3467" s="2" t="s">
        <v>23041</v>
      </c>
      <c r="S3467" s="2" t="s">
        <v>41</v>
      </c>
      <c r="T3467" s="2" t="s">
        <v>41</v>
      </c>
      <c r="U3467" s="2" t="s">
        <v>41</v>
      </c>
      <c r="V3467" s="2" t="s">
        <v>59</v>
      </c>
      <c r="W3467" s="2">
        <v>36.799999999999997</v>
      </c>
      <c r="X3467" s="2">
        <v>0</v>
      </c>
      <c r="Y3467" s="2" t="s">
        <v>340</v>
      </c>
      <c r="Z3467" s="2" t="s">
        <v>23042</v>
      </c>
      <c r="AA3467" s="2">
        <v>-6.0767610166889703E-2</v>
      </c>
      <c r="AB3467" s="2">
        <v>0.216285117400975</v>
      </c>
      <c r="AC3467" s="2">
        <v>13859.053210267401</v>
      </c>
      <c r="AD3467" s="2">
        <v>8968.8114969344897</v>
      </c>
      <c r="AE3467" s="2">
        <v>12531.919504899101</v>
      </c>
      <c r="AF3467" s="2">
        <v>15723.4507171648</v>
      </c>
      <c r="AG3467" s="2">
        <v>9815.4329207947103</v>
      </c>
      <c r="AH3467" s="2">
        <v>13274.4957529518</v>
      </c>
      <c r="AI3467" s="2">
        <v>17253.432705630301</v>
      </c>
      <c r="AJ3467" s="2">
        <v>14555.587660163499</v>
      </c>
      <c r="AK3467" s="2">
        <v>7081.4943860018402</v>
      </c>
      <c r="AL3467" s="2">
        <v>10731.5936776168</v>
      </c>
      <c r="AM3467" s="2">
        <v>10855.6484156611</v>
      </c>
      <c r="AN3467" s="2">
        <v>14657.0469252927</v>
      </c>
      <c r="AO3467" s="2">
        <v>4758.35968789669</v>
      </c>
      <c r="AP3467" s="2">
        <v>5728.7258891378196</v>
      </c>
    </row>
    <row r="3468" spans="1:42" ht="14.5" x14ac:dyDescent="0.35">
      <c r="A3468" s="2" t="s">
        <v>23043</v>
      </c>
      <c r="B3468" s="2">
        <v>317.04253507237502</v>
      </c>
      <c r="C3468" s="2">
        <v>1.22268333333333</v>
      </c>
      <c r="D3468" s="2" t="s">
        <v>70</v>
      </c>
      <c r="E3468" s="2" t="s">
        <v>23044</v>
      </c>
      <c r="F3468" s="2">
        <v>204253</v>
      </c>
      <c r="G3468" s="3" t="str">
        <f>HYPERLINK("http://funmeta.oebiotech.com/network/204253", "http://funmeta.oebiotech.com/network/204253")</f>
        <v>http://funmeta.oebiotech.com/network/204253</v>
      </c>
      <c r="H3468" s="2" t="s">
        <v>23045</v>
      </c>
      <c r="I3468" s="2">
        <v>69985</v>
      </c>
      <c r="J3468" s="2"/>
      <c r="K3468" s="2">
        <v>72754</v>
      </c>
      <c r="L3468" s="2" t="s">
        <v>23046</v>
      </c>
      <c r="M3468" s="2"/>
      <c r="N3468" s="2"/>
      <c r="O3468" s="2">
        <v>73864</v>
      </c>
      <c r="P3468" s="2" t="s">
        <v>23047</v>
      </c>
      <c r="Q3468" s="2" t="s">
        <v>23048</v>
      </c>
      <c r="R3468" s="2" t="s">
        <v>23049</v>
      </c>
      <c r="S3468" s="2" t="s">
        <v>148</v>
      </c>
      <c r="T3468" s="2" t="s">
        <v>149</v>
      </c>
      <c r="U3468" s="2" t="s">
        <v>3473</v>
      </c>
      <c r="V3468" s="2" t="s">
        <v>59</v>
      </c>
      <c r="W3468" s="2">
        <v>37.700000000000003</v>
      </c>
      <c r="X3468" s="2">
        <v>0</v>
      </c>
      <c r="Y3468" s="2" t="s">
        <v>751</v>
      </c>
      <c r="Z3468" s="2" t="s">
        <v>23050</v>
      </c>
      <c r="AA3468" s="2">
        <v>5.58626715695892</v>
      </c>
      <c r="AB3468" s="2">
        <v>0.21622597981834099</v>
      </c>
      <c r="AC3468" s="2">
        <v>80423.350413925495</v>
      </c>
      <c r="AD3468" s="2">
        <v>87119.426025770896</v>
      </c>
      <c r="AE3468" s="2">
        <v>81639.835559871804</v>
      </c>
      <c r="AF3468" s="2">
        <v>83519.361215017794</v>
      </c>
      <c r="AG3468" s="2">
        <v>79259.840940513095</v>
      </c>
      <c r="AH3468" s="2">
        <v>76772.554974118102</v>
      </c>
      <c r="AI3468" s="2">
        <v>80535.375547782998</v>
      </c>
      <c r="AJ3468" s="2">
        <v>80813.134246249203</v>
      </c>
      <c r="AK3468" s="2">
        <v>96633.362063986802</v>
      </c>
      <c r="AL3468" s="2">
        <v>88101.026009123903</v>
      </c>
      <c r="AM3468" s="2">
        <v>68377.407463362193</v>
      </c>
      <c r="AN3468" s="2">
        <v>89508.817387805102</v>
      </c>
      <c r="AO3468" s="2">
        <v>91272.429983512993</v>
      </c>
      <c r="AP3468" s="2">
        <v>88823.513246834103</v>
      </c>
    </row>
    <row r="3469" spans="1:42" ht="14.5" x14ac:dyDescent="0.35">
      <c r="A3469" s="2" t="s">
        <v>23051</v>
      </c>
      <c r="B3469" s="2">
        <v>339.195507912106</v>
      </c>
      <c r="C3469" s="2">
        <v>10.6223333333333</v>
      </c>
      <c r="D3469" s="2" t="s">
        <v>34</v>
      </c>
      <c r="E3469" s="2" t="s">
        <v>23052</v>
      </c>
      <c r="F3469" s="2">
        <v>210902</v>
      </c>
      <c r="G3469" s="3" t="str">
        <f>HYPERLINK("http://funmeta.oebiotech.com/network/210902", "http://funmeta.oebiotech.com/network/210902")</f>
        <v>http://funmeta.oebiotech.com/network/210902</v>
      </c>
      <c r="H3469" s="2" t="s">
        <v>23053</v>
      </c>
      <c r="I3469" s="2">
        <v>68753</v>
      </c>
      <c r="J3469" s="2"/>
      <c r="K3469" s="2">
        <v>8811</v>
      </c>
      <c r="L3469" s="2" t="s">
        <v>23054</v>
      </c>
      <c r="M3469" s="2"/>
      <c r="N3469" s="2"/>
      <c r="O3469" s="2">
        <v>5053</v>
      </c>
      <c r="P3469" s="2" t="s">
        <v>23055</v>
      </c>
      <c r="Q3469" s="2" t="s">
        <v>23056</v>
      </c>
      <c r="R3469" s="2" t="s">
        <v>23057</v>
      </c>
      <c r="S3469" s="2" t="s">
        <v>50</v>
      </c>
      <c r="T3469" s="2" t="s">
        <v>201</v>
      </c>
      <c r="U3469" s="2" t="s">
        <v>265</v>
      </c>
      <c r="V3469" s="2" t="s">
        <v>59</v>
      </c>
      <c r="W3469" s="2">
        <v>39.299999999999997</v>
      </c>
      <c r="X3469" s="2">
        <v>0</v>
      </c>
      <c r="Y3469" s="2" t="s">
        <v>266</v>
      </c>
      <c r="Z3469" s="2" t="s">
        <v>23058</v>
      </c>
      <c r="AA3469" s="2">
        <v>0.108778504684113</v>
      </c>
      <c r="AB3469" s="2">
        <v>0.21622358017163501</v>
      </c>
      <c r="AC3469" s="2">
        <v>6673.8336997420402</v>
      </c>
      <c r="AD3469" s="2">
        <v>3519.2385684638598</v>
      </c>
      <c r="AE3469" s="2">
        <v>5662.2875892701604</v>
      </c>
      <c r="AF3469" s="2">
        <v>6674.9328414314896</v>
      </c>
      <c r="AG3469" s="2">
        <v>7064.2135568964204</v>
      </c>
      <c r="AH3469" s="2">
        <v>7102.5354634375299</v>
      </c>
      <c r="AI3469" s="2">
        <v>6764.05150948138</v>
      </c>
      <c r="AJ3469" s="2">
        <v>6774.9812379352597</v>
      </c>
      <c r="AK3469" s="2">
        <v>3419.7106965898402</v>
      </c>
      <c r="AL3469" s="2">
        <v>3647.1866196768401</v>
      </c>
      <c r="AM3469" s="2">
        <v>3621.09366407481</v>
      </c>
      <c r="AN3469" s="2">
        <v>3381.57469613085</v>
      </c>
      <c r="AO3469" s="2">
        <v>3157.82393101662</v>
      </c>
      <c r="AP3469" s="2">
        <v>3888.0418032941998</v>
      </c>
    </row>
    <row r="3470" spans="1:42" ht="14.5" x14ac:dyDescent="0.35">
      <c r="A3470" s="2" t="s">
        <v>23059</v>
      </c>
      <c r="B3470" s="2">
        <v>478.42449755034397</v>
      </c>
      <c r="C3470" s="2">
        <v>14.461916666666699</v>
      </c>
      <c r="D3470" s="2" t="s">
        <v>34</v>
      </c>
      <c r="E3470" s="2" t="s">
        <v>23060</v>
      </c>
      <c r="F3470" s="2">
        <v>36246</v>
      </c>
      <c r="G3470" s="3" t="str">
        <f>HYPERLINK("http://funmeta.oebiotech.com/network/36246", "http://funmeta.oebiotech.com/network/36246")</f>
        <v>http://funmeta.oebiotech.com/network/36246</v>
      </c>
      <c r="H3470" s="2"/>
      <c r="I3470" s="2">
        <v>53767</v>
      </c>
      <c r="J3470" s="2" t="s">
        <v>23061</v>
      </c>
      <c r="K3470" s="2">
        <v>76237</v>
      </c>
      <c r="L3470" s="2"/>
      <c r="M3470" s="2"/>
      <c r="N3470" s="2"/>
      <c r="O3470" s="2">
        <v>9920281</v>
      </c>
      <c r="P3470" s="2"/>
      <c r="Q3470" s="2" t="s">
        <v>23062</v>
      </c>
      <c r="R3470" s="2" t="s">
        <v>23063</v>
      </c>
      <c r="S3470" s="2" t="s">
        <v>50</v>
      </c>
      <c r="T3470" s="2" t="s">
        <v>201</v>
      </c>
      <c r="U3470" s="2" t="s">
        <v>210</v>
      </c>
      <c r="V3470" s="2" t="s">
        <v>42</v>
      </c>
      <c r="W3470" s="2">
        <v>53.1</v>
      </c>
      <c r="X3470" s="2">
        <v>70.7</v>
      </c>
      <c r="Y3470" s="2" t="s">
        <v>505</v>
      </c>
      <c r="Z3470" s="2" t="s">
        <v>23064</v>
      </c>
      <c r="AA3470" s="2">
        <v>-2.1145170324188101</v>
      </c>
      <c r="AB3470" s="2">
        <v>0.216117216674237</v>
      </c>
      <c r="AC3470" s="2">
        <v>3954.6840118227501</v>
      </c>
      <c r="AD3470" s="2">
        <v>7773.7668278339297</v>
      </c>
      <c r="AE3470" s="2">
        <v>4482.3958218902999</v>
      </c>
      <c r="AF3470" s="2">
        <v>4755.7648736368701</v>
      </c>
      <c r="AG3470" s="2">
        <v>6951.7173085135501</v>
      </c>
      <c r="AH3470" s="2">
        <v>3507.0570112946698</v>
      </c>
      <c r="AI3470" s="2">
        <v>3249.8877963458899</v>
      </c>
      <c r="AJ3470" s="2">
        <v>781.28125925521704</v>
      </c>
      <c r="AK3470" s="2">
        <v>7109.3954933676996</v>
      </c>
      <c r="AL3470" s="2">
        <v>8387.6558077262307</v>
      </c>
      <c r="AM3470" s="2">
        <v>8040.0042268601501</v>
      </c>
      <c r="AN3470" s="2">
        <v>7551.7058373762602</v>
      </c>
      <c r="AO3470" s="2">
        <v>8709.7004112277991</v>
      </c>
      <c r="AP3470" s="2">
        <v>6844.1391904454504</v>
      </c>
    </row>
    <row r="3471" spans="1:42" ht="14.5" x14ac:dyDescent="0.35">
      <c r="A3471" s="2" t="s">
        <v>23065</v>
      </c>
      <c r="B3471" s="2">
        <v>731.39981409080997</v>
      </c>
      <c r="C3471" s="2">
        <v>9.3124666666666691</v>
      </c>
      <c r="D3471" s="2" t="s">
        <v>34</v>
      </c>
      <c r="E3471" s="2" t="s">
        <v>23066</v>
      </c>
      <c r="F3471" s="2">
        <v>44597</v>
      </c>
      <c r="G3471" s="3" t="str">
        <f>HYPERLINK("http://funmeta.oebiotech.com/network/44597", "http://funmeta.oebiotech.com/network/44597")</f>
        <v>http://funmeta.oebiotech.com/network/44597</v>
      </c>
      <c r="H3471" s="2"/>
      <c r="I3471" s="2"/>
      <c r="J3471" s="2" t="s">
        <v>23067</v>
      </c>
      <c r="K3471" s="2"/>
      <c r="L3471" s="2"/>
      <c r="M3471" s="2"/>
      <c r="N3471" s="2"/>
      <c r="O3471" s="2"/>
      <c r="P3471" s="2"/>
      <c r="Q3471" s="2" t="s">
        <v>23068</v>
      </c>
      <c r="R3471" s="2" t="s">
        <v>23069</v>
      </c>
      <c r="S3471" s="2" t="s">
        <v>50</v>
      </c>
      <c r="T3471" s="2" t="s">
        <v>124</v>
      </c>
      <c r="U3471" s="2" t="s">
        <v>4336</v>
      </c>
      <c r="V3471" s="2" t="s">
        <v>59</v>
      </c>
      <c r="W3471" s="2">
        <v>39.4</v>
      </c>
      <c r="X3471" s="2">
        <v>0</v>
      </c>
      <c r="Y3471" s="2" t="s">
        <v>141</v>
      </c>
      <c r="Z3471" s="2" t="s">
        <v>23070</v>
      </c>
      <c r="AA3471" s="2">
        <v>-0.38700742569015001</v>
      </c>
      <c r="AB3471" s="2">
        <v>0.216004023566575</v>
      </c>
      <c r="AC3471" s="2">
        <v>14220.4386761243</v>
      </c>
      <c r="AD3471" s="2">
        <v>10758.7321003242</v>
      </c>
      <c r="AE3471" s="2">
        <v>13526.4885209638</v>
      </c>
      <c r="AF3471" s="2">
        <v>14725.950880271899</v>
      </c>
      <c r="AG3471" s="2">
        <v>13894.253511092</v>
      </c>
      <c r="AH3471" s="2">
        <v>15400.868074423901</v>
      </c>
      <c r="AI3471" s="2">
        <v>12160.359651716601</v>
      </c>
      <c r="AJ3471" s="2">
        <v>15614.711418277901</v>
      </c>
      <c r="AK3471" s="2">
        <v>11907.877198570501</v>
      </c>
      <c r="AL3471" s="2">
        <v>10702.700739865801</v>
      </c>
      <c r="AM3471" s="2">
        <v>10558.1499109262</v>
      </c>
      <c r="AN3471" s="2">
        <v>10423.996319120701</v>
      </c>
      <c r="AO3471" s="2">
        <v>11047.7940876306</v>
      </c>
      <c r="AP3471" s="2">
        <v>9911.8743458314293</v>
      </c>
    </row>
    <row r="3472" spans="1:42" ht="14.5" x14ac:dyDescent="0.35">
      <c r="A3472" s="2" t="s">
        <v>23071</v>
      </c>
      <c r="B3472" s="2">
        <v>283.01018732108702</v>
      </c>
      <c r="C3472" s="2">
        <v>3.7303666666666699</v>
      </c>
      <c r="D3472" s="2" t="s">
        <v>70</v>
      </c>
      <c r="E3472" s="2" t="s">
        <v>23072</v>
      </c>
      <c r="F3472" s="2">
        <v>54618</v>
      </c>
      <c r="G3472" s="3" t="str">
        <f>HYPERLINK("http://funmeta.oebiotech.com/network/54618", "http://funmeta.oebiotech.com/network/54618")</f>
        <v>http://funmeta.oebiotech.com/network/54618</v>
      </c>
      <c r="H3472" s="2" t="s">
        <v>23073</v>
      </c>
      <c r="I3472" s="2">
        <v>86443</v>
      </c>
      <c r="J3472" s="2"/>
      <c r="K3472" s="2"/>
      <c r="L3472" s="2"/>
      <c r="M3472" s="2"/>
      <c r="N3472" s="2"/>
      <c r="O3472" s="2">
        <v>79340</v>
      </c>
      <c r="P3472" s="2" t="s">
        <v>23074</v>
      </c>
      <c r="Q3472" s="2" t="s">
        <v>23075</v>
      </c>
      <c r="R3472" s="2" t="s">
        <v>23076</v>
      </c>
      <c r="S3472" s="2" t="s">
        <v>491</v>
      </c>
      <c r="T3472" s="2" t="s">
        <v>23077</v>
      </c>
      <c r="U3472" s="2" t="s">
        <v>23078</v>
      </c>
      <c r="V3472" s="2" t="s">
        <v>59</v>
      </c>
      <c r="W3472" s="2">
        <v>39.5</v>
      </c>
      <c r="X3472" s="2">
        <v>0.122</v>
      </c>
      <c r="Y3472" s="2" t="s">
        <v>560</v>
      </c>
      <c r="Z3472" s="2" t="s">
        <v>23079</v>
      </c>
      <c r="AA3472" s="2">
        <v>-0.83484230857813302</v>
      </c>
      <c r="AB3472" s="2">
        <v>0.21599794566605901</v>
      </c>
      <c r="AC3472" s="2">
        <v>16330.873983548099</v>
      </c>
      <c r="AD3472" s="2">
        <v>19610.735390648399</v>
      </c>
      <c r="AE3472" s="2">
        <v>16270.965157703</v>
      </c>
      <c r="AF3472" s="2">
        <v>16203.219347875</v>
      </c>
      <c r="AG3472" s="2">
        <v>16029.951266508</v>
      </c>
      <c r="AH3472" s="2">
        <v>17007.3774049157</v>
      </c>
      <c r="AI3472" s="2">
        <v>16967.3280951087</v>
      </c>
      <c r="AJ3472" s="2">
        <v>15506.402629177899</v>
      </c>
      <c r="AK3472" s="2">
        <v>20042.3842988449</v>
      </c>
      <c r="AL3472" s="2">
        <v>20662.814890047001</v>
      </c>
      <c r="AM3472" s="2">
        <v>19776.132207442999</v>
      </c>
      <c r="AN3472" s="2">
        <v>19730.3908923122</v>
      </c>
      <c r="AO3472" s="2">
        <v>19147.936328949399</v>
      </c>
      <c r="AP3472" s="2">
        <v>18304.753726294199</v>
      </c>
    </row>
    <row r="3473" spans="1:42" ht="14.5" x14ac:dyDescent="0.35">
      <c r="A3473" s="2" t="s">
        <v>23080</v>
      </c>
      <c r="B3473" s="2">
        <v>511.28779342034898</v>
      </c>
      <c r="C3473" s="2">
        <v>9.9781666666666702</v>
      </c>
      <c r="D3473" s="2" t="s">
        <v>34</v>
      </c>
      <c r="E3473" s="2" t="s">
        <v>23081</v>
      </c>
      <c r="F3473" s="2">
        <v>18022</v>
      </c>
      <c r="G3473" s="3" t="str">
        <f>HYPERLINK("http://funmeta.oebiotech.com/network/18022", "http://funmeta.oebiotech.com/network/18022")</f>
        <v>http://funmeta.oebiotech.com/network/18022</v>
      </c>
      <c r="H3473" s="2"/>
      <c r="I3473" s="2"/>
      <c r="J3473" s="2" t="s">
        <v>23082</v>
      </c>
      <c r="K3473" s="2"/>
      <c r="L3473" s="2"/>
      <c r="M3473" s="2"/>
      <c r="N3473" s="2"/>
      <c r="O3473" s="2"/>
      <c r="P3473" s="2"/>
      <c r="Q3473" s="2" t="s">
        <v>23083</v>
      </c>
      <c r="R3473" s="2" t="s">
        <v>23084</v>
      </c>
      <c r="S3473" s="2" t="s">
        <v>50</v>
      </c>
      <c r="T3473" s="2" t="s">
        <v>448</v>
      </c>
      <c r="U3473" s="2" t="s">
        <v>449</v>
      </c>
      <c r="V3473" s="2" t="s">
        <v>59</v>
      </c>
      <c r="W3473" s="2">
        <v>40.700000000000003</v>
      </c>
      <c r="X3473" s="2">
        <v>15.8</v>
      </c>
      <c r="Y3473" s="2" t="s">
        <v>266</v>
      </c>
      <c r="Z3473" s="2" t="s">
        <v>23085</v>
      </c>
      <c r="AA3473" s="2">
        <v>-4.6365157650623203</v>
      </c>
      <c r="AB3473" s="2">
        <v>0.215974336042252</v>
      </c>
      <c r="AC3473" s="2">
        <v>6982.6059595930301</v>
      </c>
      <c r="AD3473" s="2">
        <v>10097.831846004599</v>
      </c>
      <c r="AE3473" s="2">
        <v>7411.3605785731897</v>
      </c>
      <c r="AF3473" s="2">
        <v>7113.8095917525698</v>
      </c>
      <c r="AG3473" s="2">
        <v>6618.2694365459402</v>
      </c>
      <c r="AH3473" s="2">
        <v>6842.2319877719401</v>
      </c>
      <c r="AI3473" s="2">
        <v>6890.9728601051302</v>
      </c>
      <c r="AJ3473" s="2">
        <v>7018.9913028093997</v>
      </c>
      <c r="AK3473" s="2">
        <v>10493.6138861045</v>
      </c>
      <c r="AL3473" s="2">
        <v>9865.0226019279708</v>
      </c>
      <c r="AM3473" s="2">
        <v>10142.7290431044</v>
      </c>
      <c r="AN3473" s="2">
        <v>10252.8366101105</v>
      </c>
      <c r="AO3473" s="2">
        <v>9492.8926043670308</v>
      </c>
      <c r="AP3473" s="2">
        <v>10339.896330413099</v>
      </c>
    </row>
    <row r="3474" spans="1:42" ht="14.5" x14ac:dyDescent="0.35">
      <c r="A3474" s="2" t="s">
        <v>23086</v>
      </c>
      <c r="B3474" s="2">
        <v>547.14328798510405</v>
      </c>
      <c r="C3474" s="2">
        <v>5.4498833333333296</v>
      </c>
      <c r="D3474" s="2" t="s">
        <v>70</v>
      </c>
      <c r="E3474" s="2" t="s">
        <v>23087</v>
      </c>
      <c r="F3474" s="2">
        <v>267922</v>
      </c>
      <c r="G3474" s="3" t="str">
        <f>HYPERLINK("http://funmeta.oebiotech.com/network/267922", "http://funmeta.oebiotech.com/network/267922")</f>
        <v>http://funmeta.oebiotech.com/network/267922</v>
      </c>
      <c r="H3474" s="2"/>
      <c r="I3474" s="2">
        <v>48571</v>
      </c>
      <c r="J3474" s="2"/>
      <c r="K3474" s="2"/>
      <c r="L3474" s="2"/>
      <c r="M3474" s="2"/>
      <c r="N3474" s="2"/>
      <c r="O3474" s="2">
        <v>44257617</v>
      </c>
      <c r="P3474" s="2"/>
      <c r="Q3474" s="2" t="s">
        <v>23088</v>
      </c>
      <c r="R3474" s="2" t="s">
        <v>23089</v>
      </c>
      <c r="S3474" s="2" t="s">
        <v>115</v>
      </c>
      <c r="T3474" s="2" t="s">
        <v>139</v>
      </c>
      <c r="U3474" s="2" t="s">
        <v>140</v>
      </c>
      <c r="V3474" s="2" t="s">
        <v>59</v>
      </c>
      <c r="W3474" s="2">
        <v>36.799999999999997</v>
      </c>
      <c r="X3474" s="2">
        <v>0</v>
      </c>
      <c r="Y3474" s="2" t="s">
        <v>118</v>
      </c>
      <c r="Z3474" s="2" t="s">
        <v>23090</v>
      </c>
      <c r="AA3474" s="2">
        <v>-4.4267479636468101</v>
      </c>
      <c r="AB3474" s="2">
        <v>0.215772153756284</v>
      </c>
      <c r="AC3474" s="2">
        <v>9937.5812104486104</v>
      </c>
      <c r="AD3474" s="2">
        <v>6654.8735511204304</v>
      </c>
      <c r="AE3474" s="2">
        <v>10995.3551388698</v>
      </c>
      <c r="AF3474" s="2">
        <v>10134.8852602432</v>
      </c>
      <c r="AG3474" s="2">
        <v>9853.8166203729907</v>
      </c>
      <c r="AH3474" s="2">
        <v>9661.0265769854104</v>
      </c>
      <c r="AI3474" s="2">
        <v>10427.5859076713</v>
      </c>
      <c r="AJ3474" s="2">
        <v>8552.8177585489793</v>
      </c>
      <c r="AK3474" s="2">
        <v>6596.1935277399898</v>
      </c>
      <c r="AL3474" s="2">
        <v>7324.6553554274797</v>
      </c>
      <c r="AM3474" s="2">
        <v>7011.8577809783001</v>
      </c>
      <c r="AN3474" s="2">
        <v>5606.0676023299502</v>
      </c>
      <c r="AO3474" s="2">
        <v>6724.2865190402899</v>
      </c>
      <c r="AP3474" s="2">
        <v>6666.1805212065701</v>
      </c>
    </row>
    <row r="3475" spans="1:42" ht="14.5" x14ac:dyDescent="0.35">
      <c r="A3475" s="2" t="s">
        <v>23091</v>
      </c>
      <c r="B3475" s="2">
        <v>573.19194589448296</v>
      </c>
      <c r="C3475" s="2">
        <v>13.426916666666701</v>
      </c>
      <c r="D3475" s="2" t="s">
        <v>70</v>
      </c>
      <c r="E3475" s="2" t="s">
        <v>23092</v>
      </c>
      <c r="F3475" s="2">
        <v>34330</v>
      </c>
      <c r="G3475" s="3" t="str">
        <f>HYPERLINK("http://funmeta.oebiotech.com/network/34330", "http://funmeta.oebiotech.com/network/34330")</f>
        <v>http://funmeta.oebiotech.com/network/34330</v>
      </c>
      <c r="H3475" s="2"/>
      <c r="I3475" s="2">
        <v>52638</v>
      </c>
      <c r="J3475" s="2" t="s">
        <v>23093</v>
      </c>
      <c r="K3475" s="2"/>
      <c r="L3475" s="2"/>
      <c r="M3475" s="2"/>
      <c r="N3475" s="2"/>
      <c r="O3475" s="2">
        <v>21721823</v>
      </c>
      <c r="P3475" s="2"/>
      <c r="Q3475" s="2" t="s">
        <v>23094</v>
      </c>
      <c r="R3475" s="2" t="s">
        <v>23095</v>
      </c>
      <c r="S3475" s="2" t="s">
        <v>115</v>
      </c>
      <c r="T3475" s="2" t="s">
        <v>575</v>
      </c>
      <c r="U3475" s="2" t="s">
        <v>576</v>
      </c>
      <c r="V3475" s="2" t="s">
        <v>59</v>
      </c>
      <c r="W3475" s="2">
        <v>37.299999999999997</v>
      </c>
      <c r="X3475" s="2">
        <v>0</v>
      </c>
      <c r="Y3475" s="2" t="s">
        <v>118</v>
      </c>
      <c r="Z3475" s="2" t="s">
        <v>23096</v>
      </c>
      <c r="AA3475" s="2">
        <v>0.120215194952113</v>
      </c>
      <c r="AB3475" s="2">
        <v>0.21566102332083001</v>
      </c>
      <c r="AC3475" s="2">
        <v>2303.2932991296402</v>
      </c>
      <c r="AD3475" s="2">
        <v>6133.93134226853</v>
      </c>
      <c r="AE3475" s="2">
        <v>3312.7255890576798</v>
      </c>
      <c r="AF3475" s="2">
        <v>2232.5088404268699</v>
      </c>
      <c r="AG3475" s="2">
        <v>2321.7072894706098</v>
      </c>
      <c r="AH3475" s="2">
        <v>1862.5850997233599</v>
      </c>
      <c r="AI3475" s="2">
        <v>1790.7443320269599</v>
      </c>
      <c r="AJ3475" s="2">
        <v>2299.4886440723699</v>
      </c>
      <c r="AK3475" s="2">
        <v>8591.8659122303707</v>
      </c>
      <c r="AL3475" s="2">
        <v>7773.6757001350397</v>
      </c>
      <c r="AM3475" s="2">
        <v>5459.5157701062999</v>
      </c>
      <c r="AN3475" s="2">
        <v>3920.65614583057</v>
      </c>
      <c r="AO3475" s="2">
        <v>7534.3581831879201</v>
      </c>
      <c r="AP3475" s="2">
        <v>3523.51634212098</v>
      </c>
    </row>
    <row r="3476" spans="1:42" ht="14.5" x14ac:dyDescent="0.35">
      <c r="A3476" s="2" t="s">
        <v>23097</v>
      </c>
      <c r="B3476" s="2">
        <v>505.20750041459701</v>
      </c>
      <c r="C3476" s="2">
        <v>6.9709833333333302</v>
      </c>
      <c r="D3476" s="2" t="s">
        <v>70</v>
      </c>
      <c r="E3476" s="2" t="s">
        <v>23098</v>
      </c>
      <c r="F3476" s="2">
        <v>201141</v>
      </c>
      <c r="G3476" s="3" t="str">
        <f>HYPERLINK("http://funmeta.oebiotech.com/network/201141", "http://funmeta.oebiotech.com/network/201141")</f>
        <v>http://funmeta.oebiotech.com/network/201141</v>
      </c>
      <c r="H3476" s="2" t="s">
        <v>23099</v>
      </c>
      <c r="I3476" s="2"/>
      <c r="J3476" s="2"/>
      <c r="K3476" s="2"/>
      <c r="L3476" s="2"/>
      <c r="M3476" s="2"/>
      <c r="N3476" s="2"/>
      <c r="O3476" s="2">
        <v>4897</v>
      </c>
      <c r="P3476" s="2"/>
      <c r="Q3476" s="2" t="s">
        <v>23100</v>
      </c>
      <c r="R3476" s="2" t="s">
        <v>23101</v>
      </c>
      <c r="S3476" s="2" t="s">
        <v>50</v>
      </c>
      <c r="T3476" s="2" t="s">
        <v>124</v>
      </c>
      <c r="U3476" s="2" t="s">
        <v>929</v>
      </c>
      <c r="V3476" s="2" t="s">
        <v>42</v>
      </c>
      <c r="W3476" s="2">
        <v>48.4</v>
      </c>
      <c r="X3476" s="2">
        <v>50.4</v>
      </c>
      <c r="Y3476" s="2" t="s">
        <v>408</v>
      </c>
      <c r="Z3476" s="2" t="s">
        <v>23102</v>
      </c>
      <c r="AA3476" s="2">
        <v>-0.91357941031025702</v>
      </c>
      <c r="AB3476" s="2">
        <v>0.21559032154637001</v>
      </c>
      <c r="AC3476" s="2">
        <v>13665.6767278268</v>
      </c>
      <c r="AD3476" s="2">
        <v>10238.292712923099</v>
      </c>
      <c r="AE3476" s="2">
        <v>11962.219722199299</v>
      </c>
      <c r="AF3476" s="2">
        <v>14350.9962996917</v>
      </c>
      <c r="AG3476" s="2">
        <v>14224.775551196501</v>
      </c>
      <c r="AH3476" s="2">
        <v>14786.630766541501</v>
      </c>
      <c r="AI3476" s="2">
        <v>13513.716336799</v>
      </c>
      <c r="AJ3476" s="2">
        <v>13155.7216905326</v>
      </c>
      <c r="AK3476" s="2">
        <v>9706.7946428788</v>
      </c>
      <c r="AL3476" s="2">
        <v>11901.6409525175</v>
      </c>
      <c r="AM3476" s="2">
        <v>10235.283857484599</v>
      </c>
      <c r="AN3476" s="2">
        <v>9379.8616338771808</v>
      </c>
      <c r="AO3476" s="2">
        <v>10604.653365688</v>
      </c>
      <c r="AP3476" s="2">
        <v>9601.5218250927301</v>
      </c>
    </row>
    <row r="3477" spans="1:42" ht="14.5" x14ac:dyDescent="0.35">
      <c r="A3477" s="2" t="s">
        <v>23103</v>
      </c>
      <c r="B3477" s="2">
        <v>1049.5606266319601</v>
      </c>
      <c r="C3477" s="2">
        <v>8.7125000000000004</v>
      </c>
      <c r="D3477" s="2" t="s">
        <v>70</v>
      </c>
      <c r="E3477" s="2" t="s">
        <v>23104</v>
      </c>
      <c r="F3477" s="2">
        <v>232608</v>
      </c>
      <c r="G3477" s="3" t="str">
        <f>HYPERLINK("http://funmeta.oebiotech.com/network/232608", "http://funmeta.oebiotech.com/network/232608")</f>
        <v>http://funmeta.oebiotech.com/network/232608</v>
      </c>
      <c r="H3477" s="2" t="s">
        <v>23105</v>
      </c>
      <c r="I3477" s="2"/>
      <c r="J3477" s="2"/>
      <c r="K3477" s="2"/>
      <c r="L3477" s="2"/>
      <c r="M3477" s="2"/>
      <c r="N3477" s="2"/>
      <c r="O3477" s="2"/>
      <c r="P3477" s="2"/>
      <c r="Q3477" s="2" t="s">
        <v>23106</v>
      </c>
      <c r="R3477" s="2" t="s">
        <v>23107</v>
      </c>
      <c r="S3477" s="2" t="s">
        <v>41</v>
      </c>
      <c r="T3477" s="2" t="s">
        <v>41</v>
      </c>
      <c r="U3477" s="2" t="s">
        <v>41</v>
      </c>
      <c r="V3477" s="2" t="s">
        <v>59</v>
      </c>
      <c r="W3477" s="2">
        <v>38</v>
      </c>
      <c r="X3477" s="2">
        <v>0</v>
      </c>
      <c r="Y3477" s="2" t="s">
        <v>408</v>
      </c>
      <c r="Z3477" s="2" t="s">
        <v>23108</v>
      </c>
      <c r="AA3477" s="2">
        <v>2.17454712199488</v>
      </c>
      <c r="AB3477" s="2">
        <v>0.21557981086855699</v>
      </c>
      <c r="AC3477" s="2">
        <v>71959.409791614496</v>
      </c>
      <c r="AD3477" s="2">
        <v>78239.569639106296</v>
      </c>
      <c r="AE3477" s="2">
        <v>77762.018546916705</v>
      </c>
      <c r="AF3477" s="2">
        <v>73584.211109335505</v>
      </c>
      <c r="AG3477" s="2">
        <v>72087.490036207906</v>
      </c>
      <c r="AH3477" s="2">
        <v>64098.638320569502</v>
      </c>
      <c r="AI3477" s="2">
        <v>71665.995032234903</v>
      </c>
      <c r="AJ3477" s="2">
        <v>72558.1057044224</v>
      </c>
      <c r="AK3477" s="2">
        <v>72521.187734259496</v>
      </c>
      <c r="AL3477" s="2">
        <v>77479.303805698102</v>
      </c>
      <c r="AM3477" s="2">
        <v>92911.387965662798</v>
      </c>
      <c r="AN3477" s="2">
        <v>74244.022006121799</v>
      </c>
      <c r="AO3477" s="2">
        <v>78678.643869087697</v>
      </c>
      <c r="AP3477" s="2">
        <v>73602.872453807606</v>
      </c>
    </row>
    <row r="3478" spans="1:42" ht="14.5" x14ac:dyDescent="0.35">
      <c r="A3478" s="2" t="s">
        <v>23109</v>
      </c>
      <c r="B3478" s="2">
        <v>693.12862411217498</v>
      </c>
      <c r="C3478" s="2">
        <v>4.3994166666666699</v>
      </c>
      <c r="D3478" s="2" t="s">
        <v>70</v>
      </c>
      <c r="E3478" s="2" t="s">
        <v>23110</v>
      </c>
      <c r="F3478" s="2">
        <v>30482</v>
      </c>
      <c r="G3478" s="3" t="str">
        <f>HYPERLINK("http://funmeta.oebiotech.com/network/30482", "http://funmeta.oebiotech.com/network/30482")</f>
        <v>http://funmeta.oebiotech.com/network/30482</v>
      </c>
      <c r="H3478" s="2"/>
      <c r="I3478" s="2"/>
      <c r="J3478" s="2" t="s">
        <v>23111</v>
      </c>
      <c r="K3478" s="2"/>
      <c r="L3478" s="2"/>
      <c r="M3478" s="2"/>
      <c r="N3478" s="2"/>
      <c r="O3478" s="2">
        <v>100921414</v>
      </c>
      <c r="P3478" s="2"/>
      <c r="Q3478" s="2" t="s">
        <v>23112</v>
      </c>
      <c r="R3478" s="2" t="s">
        <v>23113</v>
      </c>
      <c r="S3478" s="2" t="s">
        <v>115</v>
      </c>
      <c r="T3478" s="2" t="s">
        <v>139</v>
      </c>
      <c r="U3478" s="2" t="s">
        <v>140</v>
      </c>
      <c r="V3478" s="2" t="s">
        <v>59</v>
      </c>
      <c r="W3478" s="2">
        <v>37.6</v>
      </c>
      <c r="X3478" s="2">
        <v>0</v>
      </c>
      <c r="Y3478" s="2" t="s">
        <v>118</v>
      </c>
      <c r="Z3478" s="2" t="s">
        <v>23114</v>
      </c>
      <c r="AA3478" s="2">
        <v>-3.2100088912870999</v>
      </c>
      <c r="AB3478" s="2">
        <v>0.21553732316017901</v>
      </c>
      <c r="AC3478" s="2">
        <v>47915.744210737197</v>
      </c>
      <c r="AD3478" s="2">
        <v>54328.054580447402</v>
      </c>
      <c r="AE3478" s="2">
        <v>40269.303658170902</v>
      </c>
      <c r="AF3478" s="2">
        <v>50037.880543995401</v>
      </c>
      <c r="AG3478" s="2">
        <v>56209.688511125802</v>
      </c>
      <c r="AH3478" s="2">
        <v>40032.743405016103</v>
      </c>
      <c r="AI3478" s="2">
        <v>49526.616502001401</v>
      </c>
      <c r="AJ3478" s="2">
        <v>51418.232644113799</v>
      </c>
      <c r="AK3478" s="2">
        <v>50841.7182915538</v>
      </c>
      <c r="AL3478" s="2">
        <v>64942.169998459402</v>
      </c>
      <c r="AM3478" s="2">
        <v>58155.268585841601</v>
      </c>
      <c r="AN3478" s="2">
        <v>51997.709104815702</v>
      </c>
      <c r="AO3478" s="2">
        <v>53524.091869556498</v>
      </c>
      <c r="AP3478" s="2">
        <v>46507.369632457499</v>
      </c>
    </row>
    <row r="3479" spans="1:42" ht="14.5" x14ac:dyDescent="0.35">
      <c r="A3479" s="2" t="s">
        <v>23115</v>
      </c>
      <c r="B3479" s="2">
        <v>187.023984059203</v>
      </c>
      <c r="C3479" s="2">
        <v>2.6128999999999998</v>
      </c>
      <c r="D3479" s="2" t="s">
        <v>70</v>
      </c>
      <c r="E3479" s="2" t="s">
        <v>23116</v>
      </c>
      <c r="F3479" s="2">
        <v>460</v>
      </c>
      <c r="G3479" s="3" t="str">
        <f>HYPERLINK("http://funmeta.oebiotech.com/network/460", "http://funmeta.oebiotech.com/network/460")</f>
        <v>http://funmeta.oebiotech.com/network/460</v>
      </c>
      <c r="H3479" s="2"/>
      <c r="I3479" s="2">
        <v>69086</v>
      </c>
      <c r="J3479" s="2" t="s">
        <v>23117</v>
      </c>
      <c r="K3479" s="2">
        <v>15661</v>
      </c>
      <c r="L3479" s="2" t="s">
        <v>23118</v>
      </c>
      <c r="M3479" s="2"/>
      <c r="N3479" s="2"/>
      <c r="O3479" s="2">
        <v>5281932</v>
      </c>
      <c r="P3479" s="2"/>
      <c r="Q3479" s="2" t="s">
        <v>23119</v>
      </c>
      <c r="R3479" s="2" t="s">
        <v>23120</v>
      </c>
      <c r="S3479" s="2" t="s">
        <v>89</v>
      </c>
      <c r="T3479" s="2" t="s">
        <v>90</v>
      </c>
      <c r="U3479" s="2" t="s">
        <v>91</v>
      </c>
      <c r="V3479" s="2" t="s">
        <v>59</v>
      </c>
      <c r="W3479" s="2">
        <v>46.1</v>
      </c>
      <c r="X3479" s="2">
        <v>37.299999999999997</v>
      </c>
      <c r="Y3479" s="2" t="s">
        <v>118</v>
      </c>
      <c r="Z3479" s="2" t="s">
        <v>23121</v>
      </c>
      <c r="AA3479" s="2">
        <v>-4.4007526926433798</v>
      </c>
      <c r="AB3479" s="2">
        <v>0.21537281061621399</v>
      </c>
      <c r="AC3479" s="2">
        <v>25571.280055957999</v>
      </c>
      <c r="AD3479" s="2">
        <v>29115.461818492098</v>
      </c>
      <c r="AE3479" s="2">
        <v>26074.494715359298</v>
      </c>
      <c r="AF3479" s="2">
        <v>23608.313015170599</v>
      </c>
      <c r="AG3479" s="2">
        <v>26090.919899992499</v>
      </c>
      <c r="AH3479" s="2">
        <v>26308.019642722898</v>
      </c>
      <c r="AI3479" s="2">
        <v>25203.227928739299</v>
      </c>
      <c r="AJ3479" s="2">
        <v>26142.7051337632</v>
      </c>
      <c r="AK3479" s="2">
        <v>31487.117254728</v>
      </c>
      <c r="AL3479" s="2">
        <v>27750.817660170302</v>
      </c>
      <c r="AM3479" s="2">
        <v>28984.0571678122</v>
      </c>
      <c r="AN3479" s="2">
        <v>28473.026200914101</v>
      </c>
      <c r="AO3479" s="2">
        <v>29154.321419270898</v>
      </c>
      <c r="AP3479" s="2">
        <v>28843.4312080573</v>
      </c>
    </row>
    <row r="3480" spans="1:42" ht="14.5" x14ac:dyDescent="0.35">
      <c r="A3480" s="2" t="s">
        <v>23122</v>
      </c>
      <c r="B3480" s="2">
        <v>545.21634755152195</v>
      </c>
      <c r="C3480" s="2">
        <v>5.2266333333333304</v>
      </c>
      <c r="D3480" s="2" t="s">
        <v>70</v>
      </c>
      <c r="E3480" s="2" t="s">
        <v>23123</v>
      </c>
      <c r="F3480" s="2">
        <v>219657</v>
      </c>
      <c r="G3480" s="3" t="str">
        <f>HYPERLINK("http://funmeta.oebiotech.com/network/219657", "http://funmeta.oebiotech.com/network/219657")</f>
        <v>http://funmeta.oebiotech.com/network/219657</v>
      </c>
      <c r="H3480" s="2" t="s">
        <v>23124</v>
      </c>
      <c r="I3480" s="2"/>
      <c r="J3480" s="2"/>
      <c r="K3480" s="2"/>
      <c r="L3480" s="2"/>
      <c r="M3480" s="2"/>
      <c r="N3480" s="2"/>
      <c r="O3480" s="2"/>
      <c r="P3480" s="2"/>
      <c r="Q3480" s="2" t="s">
        <v>23125</v>
      </c>
      <c r="R3480" s="2" t="s">
        <v>23126</v>
      </c>
      <c r="S3480" s="2" t="s">
        <v>41</v>
      </c>
      <c r="T3480" s="2" t="s">
        <v>41</v>
      </c>
      <c r="U3480" s="2" t="s">
        <v>41</v>
      </c>
      <c r="V3480" s="2" t="s">
        <v>59</v>
      </c>
      <c r="W3480" s="2">
        <v>39.1</v>
      </c>
      <c r="X3480" s="2">
        <v>2.85</v>
      </c>
      <c r="Y3480" s="2" t="s">
        <v>118</v>
      </c>
      <c r="Z3480" s="2" t="s">
        <v>23127</v>
      </c>
      <c r="AA3480" s="2">
        <v>1.14474790246118</v>
      </c>
      <c r="AB3480" s="2">
        <v>0.21507318327866001</v>
      </c>
      <c r="AC3480" s="2">
        <v>57936.081047154701</v>
      </c>
      <c r="AD3480" s="2">
        <v>62743.970423904502</v>
      </c>
      <c r="AE3480" s="2">
        <v>56573.994564078603</v>
      </c>
      <c r="AF3480" s="2">
        <v>56685.082841800599</v>
      </c>
      <c r="AG3480" s="2">
        <v>58710.454918051299</v>
      </c>
      <c r="AH3480" s="2">
        <v>60846.658096107203</v>
      </c>
      <c r="AI3480" s="2">
        <v>53791.196916331501</v>
      </c>
      <c r="AJ3480" s="2">
        <v>61009.098946559003</v>
      </c>
      <c r="AK3480" s="2">
        <v>64889.553407321</v>
      </c>
      <c r="AL3480" s="2">
        <v>63412.624034898501</v>
      </c>
      <c r="AM3480" s="2">
        <v>67838.801280513406</v>
      </c>
      <c r="AN3480" s="2">
        <v>61042.794478820098</v>
      </c>
      <c r="AO3480" s="2">
        <v>61800.759195644598</v>
      </c>
      <c r="AP3480" s="2">
        <v>57479.290146229301</v>
      </c>
    </row>
    <row r="3481" spans="1:42" ht="14.5" x14ac:dyDescent="0.35">
      <c r="A3481" s="2" t="s">
        <v>23128</v>
      </c>
      <c r="B3481" s="2">
        <v>766.30788701367101</v>
      </c>
      <c r="C3481" s="2">
        <v>7.4513499999999997</v>
      </c>
      <c r="D3481" s="2" t="s">
        <v>70</v>
      </c>
      <c r="E3481" s="2" t="s">
        <v>23129</v>
      </c>
      <c r="F3481" s="2">
        <v>467774</v>
      </c>
      <c r="G3481" s="3" t="str">
        <f>HYPERLINK("http://funmeta.oebiotech.com/network/467774", "http://funmeta.oebiotech.com/network/467774")</f>
        <v>http://funmeta.oebiotech.com/network/467774</v>
      </c>
      <c r="H3481" s="2"/>
      <c r="I3481" s="2">
        <v>85109</v>
      </c>
      <c r="J3481" s="2"/>
      <c r="K3481" s="2"/>
      <c r="L3481" s="2"/>
      <c r="M3481" s="2"/>
      <c r="N3481" s="2"/>
      <c r="O3481" s="2">
        <v>135443562</v>
      </c>
      <c r="P3481" s="2" t="s">
        <v>23130</v>
      </c>
      <c r="Q3481" s="2" t="s">
        <v>23131</v>
      </c>
      <c r="R3481" s="2" t="s">
        <v>23132</v>
      </c>
      <c r="S3481" s="2" t="s">
        <v>148</v>
      </c>
      <c r="T3481" s="2" t="s">
        <v>6221</v>
      </c>
      <c r="U3481" s="2" t="s">
        <v>41</v>
      </c>
      <c r="V3481" s="2" t="s">
        <v>59</v>
      </c>
      <c r="W3481" s="2">
        <v>38.1</v>
      </c>
      <c r="X3481" s="2">
        <v>0</v>
      </c>
      <c r="Y3481" s="2" t="s">
        <v>118</v>
      </c>
      <c r="Z3481" s="2" t="s">
        <v>23133</v>
      </c>
      <c r="AA3481" s="2">
        <v>-0.18480590394166499</v>
      </c>
      <c r="AB3481" s="2">
        <v>0.21504349818541599</v>
      </c>
      <c r="AC3481" s="2">
        <v>14780.9212197629</v>
      </c>
      <c r="AD3481" s="2">
        <v>18996.729491403199</v>
      </c>
      <c r="AE3481" s="2">
        <v>15219.175400698001</v>
      </c>
      <c r="AF3481" s="2">
        <v>12458.655782412599</v>
      </c>
      <c r="AG3481" s="2">
        <v>15297.516735445</v>
      </c>
      <c r="AH3481" s="2">
        <v>13552.350353775801</v>
      </c>
      <c r="AI3481" s="2">
        <v>15654.7854079995</v>
      </c>
      <c r="AJ3481" s="2">
        <v>16503.043638246399</v>
      </c>
      <c r="AK3481" s="2">
        <v>19764.143463918401</v>
      </c>
      <c r="AL3481" s="2">
        <v>20233.123145917401</v>
      </c>
      <c r="AM3481" s="2">
        <v>15130.291063701499</v>
      </c>
      <c r="AN3481" s="2">
        <v>22788.8114141386</v>
      </c>
      <c r="AO3481" s="2">
        <v>19786.214857420899</v>
      </c>
      <c r="AP3481" s="2">
        <v>16277.7930033221</v>
      </c>
    </row>
    <row r="3482" spans="1:42" ht="14.5" x14ac:dyDescent="0.35">
      <c r="A3482" s="2" t="s">
        <v>23134</v>
      </c>
      <c r="B3482" s="2">
        <v>892.37541500802195</v>
      </c>
      <c r="C3482" s="2">
        <v>7.4894166666666697</v>
      </c>
      <c r="D3482" s="2" t="s">
        <v>70</v>
      </c>
      <c r="E3482" s="4" t="s">
        <v>23135</v>
      </c>
      <c r="F3482" s="2">
        <v>280511</v>
      </c>
      <c r="G3482" s="3" t="str">
        <f>HYPERLINK("http://funmeta.oebiotech.com/network/280511", "http://funmeta.oebiotech.com/network/280511")</f>
        <v>http://funmeta.oebiotech.com/network/280511</v>
      </c>
      <c r="H3482" s="2"/>
      <c r="I3482" s="2">
        <v>84990</v>
      </c>
      <c r="J3482" s="2"/>
      <c r="K3482" s="2"/>
      <c r="L3482" s="2"/>
      <c r="M3482" s="2"/>
      <c r="N3482" s="2"/>
      <c r="O3482" s="2">
        <v>9962663</v>
      </c>
      <c r="P3482" s="2" t="s">
        <v>23136</v>
      </c>
      <c r="Q3482" s="2" t="s">
        <v>23137</v>
      </c>
      <c r="R3482" s="2" t="s">
        <v>23138</v>
      </c>
      <c r="S3482" s="2" t="s">
        <v>50</v>
      </c>
      <c r="T3482" s="2" t="s">
        <v>201</v>
      </c>
      <c r="U3482" s="2" t="s">
        <v>241</v>
      </c>
      <c r="V3482" s="2" t="s">
        <v>59</v>
      </c>
      <c r="W3482" s="2">
        <v>37.6</v>
      </c>
      <c r="X3482" s="2">
        <v>0</v>
      </c>
      <c r="Y3482" s="2" t="s">
        <v>408</v>
      </c>
      <c r="Z3482" s="2" t="s">
        <v>23139</v>
      </c>
      <c r="AA3482" s="2">
        <v>-0.81825193060243995</v>
      </c>
      <c r="AB3482" s="2">
        <v>0.214929336086151</v>
      </c>
      <c r="AC3482" s="2">
        <v>8537.0501311165808</v>
      </c>
      <c r="AD3482" s="2">
        <v>5276.3133648534704</v>
      </c>
      <c r="AE3482" s="2">
        <v>9315.7454451768699</v>
      </c>
      <c r="AF3482" s="2">
        <v>8568.1476162340696</v>
      </c>
      <c r="AG3482" s="2">
        <v>8845.5678294499503</v>
      </c>
      <c r="AH3482" s="2">
        <v>7899.3440051283696</v>
      </c>
      <c r="AI3482" s="2">
        <v>8305.1399875767002</v>
      </c>
      <c r="AJ3482" s="2">
        <v>8288.3559031335408</v>
      </c>
      <c r="AK3482" s="2">
        <v>5477.5861679727896</v>
      </c>
      <c r="AL3482" s="2">
        <v>4754.6205052618498</v>
      </c>
      <c r="AM3482" s="2">
        <v>6561.1954843369003</v>
      </c>
      <c r="AN3482" s="2">
        <v>5422.4435399438798</v>
      </c>
      <c r="AO3482" s="2">
        <v>5484.3215924815504</v>
      </c>
      <c r="AP3482" s="2">
        <v>3957.7128991238801</v>
      </c>
    </row>
    <row r="3483" spans="1:42" ht="14.5" x14ac:dyDescent="0.35">
      <c r="A3483" s="2" t="s">
        <v>23140</v>
      </c>
      <c r="B3483" s="2">
        <v>469.18598146678897</v>
      </c>
      <c r="C3483" s="2">
        <v>4.4450666666666701</v>
      </c>
      <c r="D3483" s="2" t="s">
        <v>34</v>
      </c>
      <c r="E3483" s="2" t="s">
        <v>23141</v>
      </c>
      <c r="F3483" s="2">
        <v>33522</v>
      </c>
      <c r="G3483" s="3" t="str">
        <f>HYPERLINK("http://funmeta.oebiotech.com/network/33522", "http://funmeta.oebiotech.com/network/33522")</f>
        <v>http://funmeta.oebiotech.com/network/33522</v>
      </c>
      <c r="H3483" s="2"/>
      <c r="I3483" s="2"/>
      <c r="J3483" s="2" t="s">
        <v>23142</v>
      </c>
      <c r="K3483" s="2">
        <v>66712</v>
      </c>
      <c r="L3483" s="2"/>
      <c r="M3483" s="2"/>
      <c r="N3483" s="2"/>
      <c r="O3483" s="2">
        <v>10096911</v>
      </c>
      <c r="P3483" s="2"/>
      <c r="Q3483" s="2" t="s">
        <v>23143</v>
      </c>
      <c r="R3483" s="2" t="s">
        <v>23144</v>
      </c>
      <c r="S3483" s="2" t="s">
        <v>115</v>
      </c>
      <c r="T3483" s="2" t="s">
        <v>139</v>
      </c>
      <c r="U3483" s="2" t="s">
        <v>140</v>
      </c>
      <c r="V3483" s="2" t="s">
        <v>59</v>
      </c>
      <c r="W3483" s="2">
        <v>38.299999999999997</v>
      </c>
      <c r="X3483" s="2">
        <v>0</v>
      </c>
      <c r="Y3483" s="2" t="s">
        <v>242</v>
      </c>
      <c r="Z3483" s="2" t="s">
        <v>23145</v>
      </c>
      <c r="AA3483" s="2">
        <v>0.59067288421874398</v>
      </c>
      <c r="AB3483" s="2">
        <v>0.21489507001372399</v>
      </c>
      <c r="AC3483" s="2">
        <v>180874.230951395</v>
      </c>
      <c r="AD3483" s="2">
        <v>194479.03836993399</v>
      </c>
      <c r="AE3483" s="2">
        <v>173027.031755492</v>
      </c>
      <c r="AF3483" s="2">
        <v>212735.29011901899</v>
      </c>
      <c r="AG3483" s="2">
        <v>192462.537515829</v>
      </c>
      <c r="AH3483" s="2">
        <v>127722.659889936</v>
      </c>
      <c r="AI3483" s="2">
        <v>197541.842751285</v>
      </c>
      <c r="AJ3483" s="2">
        <v>181756.02367681099</v>
      </c>
      <c r="AK3483" s="2">
        <v>219453.02752459</v>
      </c>
      <c r="AL3483" s="2">
        <v>206172.112636912</v>
      </c>
      <c r="AM3483" s="2">
        <v>206818.60750974901</v>
      </c>
      <c r="AN3483" s="2">
        <v>167193.562855353</v>
      </c>
      <c r="AO3483" s="2">
        <v>138799.35227470001</v>
      </c>
      <c r="AP3483" s="2">
        <v>228437.56741829799</v>
      </c>
    </row>
    <row r="3484" spans="1:42" ht="14.5" x14ac:dyDescent="0.35">
      <c r="A3484" s="2" t="s">
        <v>23146</v>
      </c>
      <c r="B3484" s="2">
        <v>325.011787836179</v>
      </c>
      <c r="C3484" s="2">
        <v>2.5831166666666698</v>
      </c>
      <c r="D3484" s="2" t="s">
        <v>34</v>
      </c>
      <c r="E3484" s="2" t="s">
        <v>23147</v>
      </c>
      <c r="F3484" s="2">
        <v>210855</v>
      </c>
      <c r="G3484" s="3" t="str">
        <f>HYPERLINK("http://funmeta.oebiotech.com/network/210855", "http://funmeta.oebiotech.com/network/210855")</f>
        <v>http://funmeta.oebiotech.com/network/210855</v>
      </c>
      <c r="H3484" s="2" t="s">
        <v>23148</v>
      </c>
      <c r="I3484" s="2">
        <v>320325</v>
      </c>
      <c r="J3484" s="2"/>
      <c r="K3484" s="2"/>
      <c r="L3484" s="2"/>
      <c r="M3484" s="2"/>
      <c r="N3484" s="2"/>
      <c r="O3484" s="2">
        <v>3052774</v>
      </c>
      <c r="P3484" s="2"/>
      <c r="Q3484" s="2" t="s">
        <v>23149</v>
      </c>
      <c r="R3484" s="2" t="s">
        <v>23150</v>
      </c>
      <c r="S3484" s="2" t="s">
        <v>41</v>
      </c>
      <c r="T3484" s="2" t="s">
        <v>41</v>
      </c>
      <c r="U3484" s="2" t="s">
        <v>41</v>
      </c>
      <c r="V3484" s="2" t="s">
        <v>59</v>
      </c>
      <c r="W3484" s="2">
        <v>37.799999999999997</v>
      </c>
      <c r="X3484" s="2">
        <v>0</v>
      </c>
      <c r="Y3484" s="2" t="s">
        <v>141</v>
      </c>
      <c r="Z3484" s="2" t="s">
        <v>23151</v>
      </c>
      <c r="AA3484" s="2">
        <v>-2.0765140967384901</v>
      </c>
      <c r="AB3484" s="2">
        <v>0.21488892720414099</v>
      </c>
      <c r="AC3484" s="2">
        <v>18884.234644509099</v>
      </c>
      <c r="AD3484" s="2">
        <v>22084.605491312999</v>
      </c>
      <c r="AE3484" s="2">
        <v>18872.165919479899</v>
      </c>
      <c r="AF3484" s="2">
        <v>18776.2807393396</v>
      </c>
      <c r="AG3484" s="2">
        <v>19144.636650266599</v>
      </c>
      <c r="AH3484" s="2">
        <v>17967.601233407499</v>
      </c>
      <c r="AI3484" s="2">
        <v>18733.505553957901</v>
      </c>
      <c r="AJ3484" s="2">
        <v>19811.217770602801</v>
      </c>
      <c r="AK3484" s="2">
        <v>21331.340356227902</v>
      </c>
      <c r="AL3484" s="2">
        <v>22059.204131441598</v>
      </c>
      <c r="AM3484" s="2">
        <v>21460.844400314101</v>
      </c>
      <c r="AN3484" s="2">
        <v>22718.140082628201</v>
      </c>
      <c r="AO3484" s="2">
        <v>22263.4638108777</v>
      </c>
      <c r="AP3484" s="2">
        <v>22674.640166388399</v>
      </c>
    </row>
    <row r="3485" spans="1:42" ht="14.5" x14ac:dyDescent="0.35">
      <c r="A3485" s="2" t="s">
        <v>23152</v>
      </c>
      <c r="B3485" s="2">
        <v>463.18216694325099</v>
      </c>
      <c r="C3485" s="2">
        <v>4.1151</v>
      </c>
      <c r="D3485" s="2" t="s">
        <v>70</v>
      </c>
      <c r="E3485" s="2" t="s">
        <v>23153</v>
      </c>
      <c r="F3485" s="2">
        <v>63536</v>
      </c>
      <c r="G3485" s="3" t="str">
        <f>HYPERLINK("http://funmeta.oebiotech.com/network/63536", "http://funmeta.oebiotech.com/network/63536")</f>
        <v>http://funmeta.oebiotech.com/network/63536</v>
      </c>
      <c r="H3485" s="2" t="s">
        <v>23154</v>
      </c>
      <c r="I3485" s="2">
        <v>94867</v>
      </c>
      <c r="J3485" s="2"/>
      <c r="K3485" s="2">
        <v>171872</v>
      </c>
      <c r="L3485" s="2"/>
      <c r="M3485" s="2"/>
      <c r="N3485" s="2"/>
      <c r="O3485" s="2">
        <v>131752798</v>
      </c>
      <c r="P3485" s="2" t="s">
        <v>23155</v>
      </c>
      <c r="Q3485" s="2" t="s">
        <v>23156</v>
      </c>
      <c r="R3485" s="2" t="s">
        <v>23157</v>
      </c>
      <c r="S3485" s="2" t="s">
        <v>79</v>
      </c>
      <c r="T3485" s="2" t="s">
        <v>80</v>
      </c>
      <c r="U3485" s="2" t="s">
        <v>81</v>
      </c>
      <c r="V3485" s="2" t="s">
        <v>42</v>
      </c>
      <c r="W3485" s="2">
        <v>52.1</v>
      </c>
      <c r="X3485" s="2">
        <v>77.5</v>
      </c>
      <c r="Y3485" s="2" t="s">
        <v>408</v>
      </c>
      <c r="Z3485" s="2" t="s">
        <v>23158</v>
      </c>
      <c r="AA3485" s="2">
        <v>0.16001465247431701</v>
      </c>
      <c r="AB3485" s="2">
        <v>0.21486189400584901</v>
      </c>
      <c r="AC3485" s="2">
        <v>491802.50244009303</v>
      </c>
      <c r="AD3485" s="2">
        <v>475314.83258173498</v>
      </c>
      <c r="AE3485" s="2">
        <v>457855.965481947</v>
      </c>
      <c r="AF3485" s="2">
        <v>501569.56572486198</v>
      </c>
      <c r="AG3485" s="2">
        <v>513425.98915331502</v>
      </c>
      <c r="AH3485" s="2">
        <v>446761.46242285799</v>
      </c>
      <c r="AI3485" s="2">
        <v>454749.90103654098</v>
      </c>
      <c r="AJ3485" s="2">
        <v>576452.13082103501</v>
      </c>
      <c r="AK3485" s="2">
        <v>431414.39279958798</v>
      </c>
      <c r="AL3485" s="2">
        <v>437951.47779219999</v>
      </c>
      <c r="AM3485" s="2">
        <v>493444.66661850602</v>
      </c>
      <c r="AN3485" s="2">
        <v>557795.36091593001</v>
      </c>
      <c r="AO3485" s="2">
        <v>466191.59800921002</v>
      </c>
      <c r="AP3485" s="2">
        <v>465091.49935497798</v>
      </c>
    </row>
    <row r="3486" spans="1:42" ht="14.5" x14ac:dyDescent="0.35">
      <c r="A3486" s="2" t="s">
        <v>23159</v>
      </c>
      <c r="B3486" s="2">
        <v>420.23112315878899</v>
      </c>
      <c r="C3486" s="2">
        <v>0.78071666666666695</v>
      </c>
      <c r="D3486" s="2" t="s">
        <v>34</v>
      </c>
      <c r="E3486" s="2" t="s">
        <v>23160</v>
      </c>
      <c r="F3486" s="2">
        <v>8947</v>
      </c>
      <c r="G3486" s="3" t="str">
        <f>HYPERLINK("http://funmeta.oebiotech.com/network/8947", "http://funmeta.oebiotech.com/network/8947")</f>
        <v>http://funmeta.oebiotech.com/network/8947</v>
      </c>
      <c r="H3486" s="2"/>
      <c r="I3486" s="2"/>
      <c r="J3486" s="2" t="s">
        <v>23161</v>
      </c>
      <c r="K3486" s="2"/>
      <c r="L3486" s="2"/>
      <c r="M3486" s="2"/>
      <c r="N3486" s="2"/>
      <c r="O3486" s="2"/>
      <c r="P3486" s="2"/>
      <c r="Q3486" s="2" t="s">
        <v>23162</v>
      </c>
      <c r="R3486" s="2" t="s">
        <v>23163</v>
      </c>
      <c r="S3486" s="2" t="s">
        <v>41</v>
      </c>
      <c r="T3486" s="2" t="s">
        <v>41</v>
      </c>
      <c r="U3486" s="2" t="s">
        <v>41</v>
      </c>
      <c r="V3486" s="2" t="s">
        <v>59</v>
      </c>
      <c r="W3486" s="2">
        <v>37.5</v>
      </c>
      <c r="X3486" s="2">
        <v>0</v>
      </c>
      <c r="Y3486" s="2" t="s">
        <v>340</v>
      </c>
      <c r="Z3486" s="2" t="s">
        <v>23164</v>
      </c>
      <c r="AA3486" s="2">
        <v>3.1099284880620299</v>
      </c>
      <c r="AB3486" s="2">
        <v>0.21483078965449401</v>
      </c>
      <c r="AC3486" s="2">
        <v>7204.5128398995002</v>
      </c>
      <c r="AD3486" s="2">
        <v>12013.7554753819</v>
      </c>
      <c r="AE3486" s="2">
        <v>10336.853231876201</v>
      </c>
      <c r="AF3486" s="2">
        <v>4387.49785960589</v>
      </c>
      <c r="AG3486" s="2">
        <v>5774.9267842830204</v>
      </c>
      <c r="AH3486" s="2">
        <v>7569.4102466884697</v>
      </c>
      <c r="AI3486" s="2">
        <v>9711.4083841785305</v>
      </c>
      <c r="AJ3486" s="2">
        <v>5446.9805327649001</v>
      </c>
      <c r="AK3486" s="2">
        <v>9008.3926364932995</v>
      </c>
      <c r="AL3486" s="2">
        <v>15146.774576342201</v>
      </c>
      <c r="AM3486" s="2">
        <v>8630.4366410633702</v>
      </c>
      <c r="AN3486" s="2">
        <v>8992.7148547585803</v>
      </c>
      <c r="AO3486" s="2">
        <v>18177.4583007527</v>
      </c>
      <c r="AP3486" s="2">
        <v>12126.755842881001</v>
      </c>
    </row>
    <row r="3487" spans="1:42" ht="14.5" x14ac:dyDescent="0.35">
      <c r="A3487" s="2" t="s">
        <v>23165</v>
      </c>
      <c r="B3487" s="2">
        <v>488.39382495336901</v>
      </c>
      <c r="C3487" s="2">
        <v>13.698549999999999</v>
      </c>
      <c r="D3487" s="2" t="s">
        <v>34</v>
      </c>
      <c r="E3487" s="2" t="s">
        <v>23166</v>
      </c>
      <c r="F3487" s="2">
        <v>51200</v>
      </c>
      <c r="G3487" s="3" t="str">
        <f>HYPERLINK("http://funmeta.oebiotech.com/network/51200", "http://funmeta.oebiotech.com/network/51200")</f>
        <v>http://funmeta.oebiotech.com/network/51200</v>
      </c>
      <c r="H3487" s="2" t="s">
        <v>23167</v>
      </c>
      <c r="I3487" s="2">
        <v>62029</v>
      </c>
      <c r="J3487" s="2"/>
      <c r="K3487" s="2">
        <v>76978</v>
      </c>
      <c r="L3487" s="2" t="s">
        <v>23168</v>
      </c>
      <c r="M3487" s="2"/>
      <c r="N3487" s="2"/>
      <c r="O3487" s="2">
        <v>10850</v>
      </c>
      <c r="P3487" s="2" t="s">
        <v>23169</v>
      </c>
      <c r="Q3487" s="2" t="s">
        <v>23170</v>
      </c>
      <c r="R3487" s="2" t="s">
        <v>23171</v>
      </c>
      <c r="S3487" s="2" t="s">
        <v>50</v>
      </c>
      <c r="T3487" s="2" t="s">
        <v>448</v>
      </c>
      <c r="U3487" s="2" t="s">
        <v>9987</v>
      </c>
      <c r="V3487" s="2" t="s">
        <v>59</v>
      </c>
      <c r="W3487" s="2">
        <v>37.5</v>
      </c>
      <c r="X3487" s="2">
        <v>0</v>
      </c>
      <c r="Y3487" s="2" t="s">
        <v>43</v>
      </c>
      <c r="Z3487" s="2" t="s">
        <v>23172</v>
      </c>
      <c r="AA3487" s="2">
        <v>-1.5730426225301799</v>
      </c>
      <c r="AB3487" s="2">
        <v>0.21482990483016201</v>
      </c>
      <c r="AC3487" s="2">
        <v>1631.3767108494901</v>
      </c>
      <c r="AD3487" s="2">
        <v>4827.30536059936</v>
      </c>
      <c r="AE3487" s="2">
        <v>1364.88084114602</v>
      </c>
      <c r="AF3487" s="2">
        <v>1185.4641074748699</v>
      </c>
      <c r="AG3487" s="2">
        <v>1638.5331819370001</v>
      </c>
      <c r="AH3487" s="2">
        <v>2626.01618928888</v>
      </c>
      <c r="AI3487" s="2">
        <v>1457.4485382351199</v>
      </c>
      <c r="AJ3487" s="2">
        <v>1515.91740701504</v>
      </c>
      <c r="AK3487" s="2">
        <v>5353.3781583622304</v>
      </c>
      <c r="AL3487" s="2">
        <v>4919.0853877009704</v>
      </c>
      <c r="AM3487" s="2">
        <v>5304.3626652702897</v>
      </c>
      <c r="AN3487" s="2">
        <v>3867.4739592276801</v>
      </c>
      <c r="AO3487" s="2">
        <v>4198.7949952748704</v>
      </c>
      <c r="AP3487" s="2">
        <v>5320.7369977600902</v>
      </c>
    </row>
    <row r="3488" spans="1:42" ht="14.5" x14ac:dyDescent="0.35">
      <c r="A3488" s="2" t="s">
        <v>23173</v>
      </c>
      <c r="B3488" s="2">
        <v>365.08753451802897</v>
      </c>
      <c r="C3488" s="2">
        <v>4.8264500000000004</v>
      </c>
      <c r="D3488" s="2" t="s">
        <v>70</v>
      </c>
      <c r="E3488" s="2" t="s">
        <v>23174</v>
      </c>
      <c r="F3488" s="2">
        <v>266250</v>
      </c>
      <c r="G3488" s="3" t="str">
        <f>HYPERLINK("http://funmeta.oebiotech.com/network/266250", "http://funmeta.oebiotech.com/network/266250")</f>
        <v>http://funmeta.oebiotech.com/network/266250</v>
      </c>
      <c r="H3488" s="2"/>
      <c r="I3488" s="2">
        <v>24060</v>
      </c>
      <c r="J3488" s="2"/>
      <c r="K3488" s="2"/>
      <c r="L3488" s="2" t="s">
        <v>23175</v>
      </c>
      <c r="M3488" s="2"/>
      <c r="N3488" s="2"/>
      <c r="O3488" s="2">
        <v>152936</v>
      </c>
      <c r="P3488" s="2" t="s">
        <v>23176</v>
      </c>
      <c r="Q3488" s="2" t="s">
        <v>23177</v>
      </c>
      <c r="R3488" s="2" t="s">
        <v>23178</v>
      </c>
      <c r="S3488" s="2" t="s">
        <v>79</v>
      </c>
      <c r="T3488" s="2" t="s">
        <v>80</v>
      </c>
      <c r="U3488" s="2" t="s">
        <v>81</v>
      </c>
      <c r="V3488" s="2" t="s">
        <v>59</v>
      </c>
      <c r="W3488" s="2">
        <v>38.700000000000003</v>
      </c>
      <c r="X3488" s="2">
        <v>0</v>
      </c>
      <c r="Y3488" s="2" t="s">
        <v>408</v>
      </c>
      <c r="Z3488" s="2" t="s">
        <v>13049</v>
      </c>
      <c r="AA3488" s="2">
        <v>-0.84726904058595698</v>
      </c>
      <c r="AB3488" s="2">
        <v>0.21480790056336599</v>
      </c>
      <c r="AC3488" s="2">
        <v>13471.8604644565</v>
      </c>
      <c r="AD3488" s="2">
        <v>16946.787437833998</v>
      </c>
      <c r="AE3488" s="2">
        <v>13814.583860364</v>
      </c>
      <c r="AF3488" s="2">
        <v>13812.1110821899</v>
      </c>
      <c r="AG3488" s="2">
        <v>14833.9751297032</v>
      </c>
      <c r="AH3488" s="2">
        <v>12053.985565331601</v>
      </c>
      <c r="AI3488" s="2">
        <v>13359.1230637272</v>
      </c>
      <c r="AJ3488" s="2">
        <v>12957.3840854231</v>
      </c>
      <c r="AK3488" s="2">
        <v>16114.322964966101</v>
      </c>
      <c r="AL3488" s="2">
        <v>15433.629992717601</v>
      </c>
      <c r="AM3488" s="2">
        <v>18617.559804424702</v>
      </c>
      <c r="AN3488" s="2">
        <v>16941.025187127299</v>
      </c>
      <c r="AO3488" s="2">
        <v>16529.738476630198</v>
      </c>
      <c r="AP3488" s="2">
        <v>18044.448201138101</v>
      </c>
    </row>
    <row r="3489" spans="1:42" ht="14.5" x14ac:dyDescent="0.35">
      <c r="A3489" s="2" t="s">
        <v>23179</v>
      </c>
      <c r="B3489" s="2">
        <v>495.43827717187202</v>
      </c>
      <c r="C3489" s="2">
        <v>12.9343166666667</v>
      </c>
      <c r="D3489" s="2" t="s">
        <v>34</v>
      </c>
      <c r="E3489" s="2" t="s">
        <v>23180</v>
      </c>
      <c r="F3489" s="2">
        <v>10834</v>
      </c>
      <c r="G3489" s="3" t="str">
        <f>HYPERLINK("http://funmeta.oebiotech.com/network/10834", "http://funmeta.oebiotech.com/network/10834")</f>
        <v>http://funmeta.oebiotech.com/network/10834</v>
      </c>
      <c r="H3489" s="2" t="s">
        <v>23181</v>
      </c>
      <c r="I3489" s="2">
        <v>58643</v>
      </c>
      <c r="J3489" s="2" t="s">
        <v>23182</v>
      </c>
      <c r="K3489" s="2">
        <v>80651</v>
      </c>
      <c r="L3489" s="2" t="s">
        <v>23183</v>
      </c>
      <c r="M3489" s="2"/>
      <c r="N3489" s="2"/>
      <c r="O3489" s="2">
        <v>10369168</v>
      </c>
      <c r="P3489" s="2"/>
      <c r="Q3489" s="2" t="s">
        <v>23184</v>
      </c>
      <c r="R3489" s="2" t="s">
        <v>23185</v>
      </c>
      <c r="S3489" s="2" t="s">
        <v>50</v>
      </c>
      <c r="T3489" s="2" t="s">
        <v>448</v>
      </c>
      <c r="U3489" s="2" t="s">
        <v>1864</v>
      </c>
      <c r="V3489" s="2" t="s">
        <v>59</v>
      </c>
      <c r="W3489" s="2">
        <v>38.1</v>
      </c>
      <c r="X3489" s="2">
        <v>0</v>
      </c>
      <c r="Y3489" s="2" t="s">
        <v>141</v>
      </c>
      <c r="Z3489" s="2" t="s">
        <v>23186</v>
      </c>
      <c r="AA3489" s="2">
        <v>-4.8973151425042403</v>
      </c>
      <c r="AB3489" s="2">
        <v>0.21473404754275199</v>
      </c>
      <c r="AC3489" s="2">
        <v>13865.008047081899</v>
      </c>
      <c r="AD3489" s="2">
        <v>8804.6389438271308</v>
      </c>
      <c r="AE3489" s="2">
        <v>13315.726122898001</v>
      </c>
      <c r="AF3489" s="2">
        <v>12999.4332957445</v>
      </c>
      <c r="AG3489" s="2">
        <v>13222.8967054487</v>
      </c>
      <c r="AH3489" s="2">
        <v>13697.7476265106</v>
      </c>
      <c r="AI3489" s="2">
        <v>13828.628373473801</v>
      </c>
      <c r="AJ3489" s="2">
        <v>16125.6161584159</v>
      </c>
      <c r="AK3489" s="2">
        <v>18779.239912337602</v>
      </c>
      <c r="AL3489" s="2">
        <v>9432.6331522973305</v>
      </c>
      <c r="AM3489" s="2">
        <v>7736.2773754539203</v>
      </c>
      <c r="AN3489" s="2">
        <v>5505.9712339992102</v>
      </c>
      <c r="AO3489" s="2">
        <v>6839.8414578465799</v>
      </c>
      <c r="AP3489" s="2">
        <v>4533.8705310281503</v>
      </c>
    </row>
    <row r="3490" spans="1:42" ht="14.5" x14ac:dyDescent="0.35">
      <c r="A3490" s="2" t="s">
        <v>23187</v>
      </c>
      <c r="B3490" s="2">
        <v>265.147735506321</v>
      </c>
      <c r="C3490" s="2">
        <v>10.185750000000001</v>
      </c>
      <c r="D3490" s="2" t="s">
        <v>70</v>
      </c>
      <c r="E3490" s="2" t="s">
        <v>23188</v>
      </c>
      <c r="F3490" s="2">
        <v>57707</v>
      </c>
      <c r="G3490" s="3" t="str">
        <f>HYPERLINK("http://funmeta.oebiotech.com/network/57707", "http://funmeta.oebiotech.com/network/57707")</f>
        <v>http://funmeta.oebiotech.com/network/57707</v>
      </c>
      <c r="H3490" s="2" t="s">
        <v>23189</v>
      </c>
      <c r="I3490" s="2">
        <v>89304</v>
      </c>
      <c r="J3490" s="2"/>
      <c r="K3490" s="2">
        <v>143035</v>
      </c>
      <c r="L3490" s="2"/>
      <c r="M3490" s="2"/>
      <c r="N3490" s="2"/>
      <c r="O3490" s="2">
        <v>5315162</v>
      </c>
      <c r="P3490" s="2" t="s">
        <v>23190</v>
      </c>
      <c r="Q3490" s="2" t="s">
        <v>23191</v>
      </c>
      <c r="R3490" s="2" t="s">
        <v>23192</v>
      </c>
      <c r="S3490" s="2" t="s">
        <v>148</v>
      </c>
      <c r="T3490" s="2" t="s">
        <v>392</v>
      </c>
      <c r="U3490" s="2" t="s">
        <v>393</v>
      </c>
      <c r="V3490" s="2" t="s">
        <v>59</v>
      </c>
      <c r="W3490" s="2">
        <v>38.1</v>
      </c>
      <c r="X3490" s="2">
        <v>0</v>
      </c>
      <c r="Y3490" s="2" t="s">
        <v>751</v>
      </c>
      <c r="Z3490" s="2" t="s">
        <v>23193</v>
      </c>
      <c r="AA3490" s="2">
        <v>1.83934250073606</v>
      </c>
      <c r="AB3490" s="2">
        <v>0.21466868867617001</v>
      </c>
      <c r="AC3490" s="2">
        <v>35709.045932149798</v>
      </c>
      <c r="AD3490" s="2">
        <v>45051.880460655397</v>
      </c>
      <c r="AE3490" s="2">
        <v>47290.5955367977</v>
      </c>
      <c r="AF3490" s="2">
        <v>52191.9211040917</v>
      </c>
      <c r="AG3490" s="2">
        <v>28617.0900089104</v>
      </c>
      <c r="AH3490" s="2">
        <v>31993.288652827901</v>
      </c>
      <c r="AI3490" s="2">
        <v>22414.3166946376</v>
      </c>
      <c r="AJ3490" s="2">
        <v>31747.063595633601</v>
      </c>
      <c r="AK3490" s="2">
        <v>54149.731588872397</v>
      </c>
      <c r="AL3490" s="2">
        <v>37807.053040177401</v>
      </c>
      <c r="AM3490" s="2">
        <v>33131.128290652799</v>
      </c>
      <c r="AN3490" s="2">
        <v>76869.447785167897</v>
      </c>
      <c r="AO3490" s="2">
        <v>34118.630496273297</v>
      </c>
      <c r="AP3490" s="2">
        <v>34235.291562788399</v>
      </c>
    </row>
    <row r="3491" spans="1:42" ht="14.5" x14ac:dyDescent="0.35">
      <c r="A3491" s="2" t="s">
        <v>23194</v>
      </c>
      <c r="B3491" s="2">
        <v>641.170562423148</v>
      </c>
      <c r="C3491" s="2">
        <v>4.63378333333333</v>
      </c>
      <c r="D3491" s="2" t="s">
        <v>34</v>
      </c>
      <c r="E3491" s="2" t="s">
        <v>23195</v>
      </c>
      <c r="F3491" s="2">
        <v>61708</v>
      </c>
      <c r="G3491" s="3" t="str">
        <f>HYPERLINK("http://funmeta.oebiotech.com/network/61708", "http://funmeta.oebiotech.com/network/61708")</f>
        <v>http://funmeta.oebiotech.com/network/61708</v>
      </c>
      <c r="H3491" s="2" t="s">
        <v>23196</v>
      </c>
      <c r="I3491" s="2">
        <v>93027</v>
      </c>
      <c r="J3491" s="2"/>
      <c r="K3491" s="2"/>
      <c r="L3491" s="2"/>
      <c r="M3491" s="2"/>
      <c r="N3491" s="2"/>
      <c r="O3491" s="2">
        <v>71341751</v>
      </c>
      <c r="P3491" s="2" t="s">
        <v>23197</v>
      </c>
      <c r="Q3491" s="2" t="s">
        <v>23198</v>
      </c>
      <c r="R3491" s="2" t="s">
        <v>23199</v>
      </c>
      <c r="S3491" s="2" t="s">
        <v>115</v>
      </c>
      <c r="T3491" s="2" t="s">
        <v>139</v>
      </c>
      <c r="U3491" s="2" t="s">
        <v>140</v>
      </c>
      <c r="V3491" s="2" t="s">
        <v>59</v>
      </c>
      <c r="W3491" s="2">
        <v>38.1</v>
      </c>
      <c r="X3491" s="2">
        <v>0</v>
      </c>
      <c r="Y3491" s="2" t="s">
        <v>67</v>
      </c>
      <c r="Z3491" s="2" t="s">
        <v>23200</v>
      </c>
      <c r="AA3491" s="2">
        <v>-1.0365588576512801</v>
      </c>
      <c r="AB3491" s="2">
        <v>0.214652123281968</v>
      </c>
      <c r="AC3491" s="2">
        <v>97855.613347172402</v>
      </c>
      <c r="AD3491" s="2">
        <v>105685.395795787</v>
      </c>
      <c r="AE3491" s="2">
        <v>95218.5923624797</v>
      </c>
      <c r="AF3491" s="2">
        <v>115858.958118058</v>
      </c>
      <c r="AG3491" s="2">
        <v>95654.8110018476</v>
      </c>
      <c r="AH3491" s="2">
        <v>84112.751499868304</v>
      </c>
      <c r="AI3491" s="2">
        <v>94383.326349974595</v>
      </c>
      <c r="AJ3491" s="2">
        <v>101905.240750806</v>
      </c>
      <c r="AK3491" s="2">
        <v>100153.23211751699</v>
      </c>
      <c r="AL3491" s="2">
        <v>121089.94727161901</v>
      </c>
      <c r="AM3491" s="2">
        <v>105518.133108965</v>
      </c>
      <c r="AN3491" s="2">
        <v>103930.240641084</v>
      </c>
      <c r="AO3491" s="2">
        <v>110309.46063913401</v>
      </c>
      <c r="AP3491" s="2">
        <v>93111.360996404095</v>
      </c>
    </row>
    <row r="3492" spans="1:42" ht="14.5" x14ac:dyDescent="0.35">
      <c r="A3492" s="2" t="s">
        <v>23201</v>
      </c>
      <c r="B3492" s="2">
        <v>567.18762259285302</v>
      </c>
      <c r="C3492" s="2">
        <v>6.0676500000000004</v>
      </c>
      <c r="D3492" s="2" t="s">
        <v>70</v>
      </c>
      <c r="E3492" s="2" t="s">
        <v>23202</v>
      </c>
      <c r="F3492" s="2">
        <v>210555</v>
      </c>
      <c r="G3492" s="3" t="str">
        <f>HYPERLINK("http://funmeta.oebiotech.com/network/210555", "http://funmeta.oebiotech.com/network/210555")</f>
        <v>http://funmeta.oebiotech.com/network/210555</v>
      </c>
      <c r="H3492" s="2" t="s">
        <v>23203</v>
      </c>
      <c r="I3492" s="2"/>
      <c r="J3492" s="2"/>
      <c r="K3492" s="2"/>
      <c r="L3492" s="2"/>
      <c r="M3492" s="2"/>
      <c r="N3492" s="2"/>
      <c r="O3492" s="2"/>
      <c r="P3492" s="2"/>
      <c r="Q3492" s="2" t="s">
        <v>23204</v>
      </c>
      <c r="R3492" s="2" t="s">
        <v>23205</v>
      </c>
      <c r="S3492" s="2" t="s">
        <v>41</v>
      </c>
      <c r="T3492" s="2" t="s">
        <v>41</v>
      </c>
      <c r="U3492" s="2" t="s">
        <v>41</v>
      </c>
      <c r="V3492" s="2" t="s">
        <v>59</v>
      </c>
      <c r="W3492" s="2">
        <v>40.200000000000003</v>
      </c>
      <c r="X3492" s="2">
        <v>9.75</v>
      </c>
      <c r="Y3492" s="2" t="s">
        <v>408</v>
      </c>
      <c r="Z3492" s="2" t="s">
        <v>23206</v>
      </c>
      <c r="AA3492" s="2">
        <v>0.83721550609245299</v>
      </c>
      <c r="AB3492" s="2">
        <v>0.21460836807939901</v>
      </c>
      <c r="AC3492" s="2">
        <v>6992.1901814560297</v>
      </c>
      <c r="AD3492" s="2">
        <v>10597.1922655127</v>
      </c>
      <c r="AE3492" s="2">
        <v>6903.9404653164602</v>
      </c>
      <c r="AF3492" s="2">
        <v>9555.1234414777591</v>
      </c>
      <c r="AG3492" s="2">
        <v>5358.7090688063499</v>
      </c>
      <c r="AH3492" s="2">
        <v>6496.37263205405</v>
      </c>
      <c r="AI3492" s="2">
        <v>7385.3644460736596</v>
      </c>
      <c r="AJ3492" s="2">
        <v>6253.6310350078802</v>
      </c>
      <c r="AK3492" s="2">
        <v>11214.09247525</v>
      </c>
      <c r="AL3492" s="2">
        <v>9753.7977327271292</v>
      </c>
      <c r="AM3492" s="2">
        <v>9767.05900205547</v>
      </c>
      <c r="AN3492" s="2">
        <v>11224.046078728799</v>
      </c>
      <c r="AO3492" s="2">
        <v>9379.4338176506099</v>
      </c>
      <c r="AP3492" s="2">
        <v>12244.724486664099</v>
      </c>
    </row>
    <row r="3493" spans="1:42" ht="14.5" x14ac:dyDescent="0.35">
      <c r="A3493" s="2" t="s">
        <v>23207</v>
      </c>
      <c r="B3493" s="2">
        <v>519.25483761342605</v>
      </c>
      <c r="C3493" s="2">
        <v>6.0676500000000004</v>
      </c>
      <c r="D3493" s="2" t="s">
        <v>70</v>
      </c>
      <c r="E3493" s="2" t="s">
        <v>23208</v>
      </c>
      <c r="F3493" s="2">
        <v>199132</v>
      </c>
      <c r="G3493" s="3" t="str">
        <f>HYPERLINK("http://funmeta.oebiotech.com/network/199132", "http://funmeta.oebiotech.com/network/199132")</f>
        <v>http://funmeta.oebiotech.com/network/199132</v>
      </c>
      <c r="H3493" s="2" t="s">
        <v>23209</v>
      </c>
      <c r="I3493" s="2">
        <v>345635</v>
      </c>
      <c r="J3493" s="2"/>
      <c r="K3493" s="2"/>
      <c r="L3493" s="2"/>
      <c r="M3493" s="2"/>
      <c r="N3493" s="2"/>
      <c r="O3493" s="2">
        <v>75371</v>
      </c>
      <c r="P3493" s="2"/>
      <c r="Q3493" s="2" t="s">
        <v>23210</v>
      </c>
      <c r="R3493" s="2" t="s">
        <v>23211</v>
      </c>
      <c r="S3493" s="2" t="s">
        <v>1677</v>
      </c>
      <c r="T3493" s="2" t="s">
        <v>1678</v>
      </c>
      <c r="U3493" s="2" t="s">
        <v>1679</v>
      </c>
      <c r="V3493" s="2" t="s">
        <v>59</v>
      </c>
      <c r="W3493" s="2">
        <v>37.6</v>
      </c>
      <c r="X3493" s="2">
        <v>0</v>
      </c>
      <c r="Y3493" s="2" t="s">
        <v>560</v>
      </c>
      <c r="Z3493" s="2" t="s">
        <v>23212</v>
      </c>
      <c r="AA3493" s="2">
        <v>-1.1205877671036599</v>
      </c>
      <c r="AB3493" s="2">
        <v>0.21459198940080201</v>
      </c>
      <c r="AC3493" s="2">
        <v>10466.748870150701</v>
      </c>
      <c r="AD3493" s="2">
        <v>6733.0592959718797</v>
      </c>
      <c r="AE3493" s="2">
        <v>9965.9424259360803</v>
      </c>
      <c r="AF3493" s="2">
        <v>10317.165988873399</v>
      </c>
      <c r="AG3493" s="2">
        <v>10351.289870611099</v>
      </c>
      <c r="AH3493" s="2">
        <v>8971.1850431892799</v>
      </c>
      <c r="AI3493" s="2">
        <v>11847.6059782427</v>
      </c>
      <c r="AJ3493" s="2">
        <v>11347.303914051899</v>
      </c>
      <c r="AK3493" s="2">
        <v>6533.4517570893004</v>
      </c>
      <c r="AL3493" s="2">
        <v>10018.531258740901</v>
      </c>
      <c r="AM3493" s="2">
        <v>7528.5761102411298</v>
      </c>
      <c r="AN3493" s="2">
        <v>5237.2579017644002</v>
      </c>
      <c r="AO3493" s="2">
        <v>5925.9478623098803</v>
      </c>
      <c r="AP3493" s="2">
        <v>5154.5908856856404</v>
      </c>
    </row>
    <row r="3494" spans="1:42" ht="14.5" x14ac:dyDescent="0.35">
      <c r="A3494" s="2" t="s">
        <v>23213</v>
      </c>
      <c r="B3494" s="2">
        <v>763.27791609706003</v>
      </c>
      <c r="C3494" s="2">
        <v>7.5084166666666698</v>
      </c>
      <c r="D3494" s="2" t="s">
        <v>70</v>
      </c>
      <c r="E3494" s="2" t="s">
        <v>23214</v>
      </c>
      <c r="F3494" s="2">
        <v>267050</v>
      </c>
      <c r="G3494" s="3" t="str">
        <f>HYPERLINK("http://funmeta.oebiotech.com/network/267050", "http://funmeta.oebiotech.com/network/267050")</f>
        <v>http://funmeta.oebiotech.com/network/267050</v>
      </c>
      <c r="H3494" s="2"/>
      <c r="I3494" s="2">
        <v>44620</v>
      </c>
      <c r="J3494" s="2"/>
      <c r="K3494" s="2"/>
      <c r="L3494" s="2"/>
      <c r="M3494" s="2"/>
      <c r="N3494" s="2"/>
      <c r="O3494" s="2">
        <v>54686939</v>
      </c>
      <c r="P3494" s="2"/>
      <c r="Q3494" s="2" t="s">
        <v>23215</v>
      </c>
      <c r="R3494" s="2" t="s">
        <v>23216</v>
      </c>
      <c r="S3494" s="2" t="s">
        <v>115</v>
      </c>
      <c r="T3494" s="2" t="s">
        <v>1371</v>
      </c>
      <c r="U3494" s="2" t="s">
        <v>23217</v>
      </c>
      <c r="V3494" s="2" t="s">
        <v>59</v>
      </c>
      <c r="W3494" s="2">
        <v>38.299999999999997</v>
      </c>
      <c r="X3494" s="2">
        <v>0</v>
      </c>
      <c r="Y3494" s="2" t="s">
        <v>560</v>
      </c>
      <c r="Z3494" s="2" t="s">
        <v>23218</v>
      </c>
      <c r="AA3494" s="2">
        <v>2.5065094553693799</v>
      </c>
      <c r="AB3494" s="2">
        <v>0.214150667982173</v>
      </c>
      <c r="AC3494" s="2">
        <v>22930.177512445502</v>
      </c>
      <c r="AD3494" s="2">
        <v>26886.5345095708</v>
      </c>
      <c r="AE3494" s="2">
        <v>23102.7222190992</v>
      </c>
      <c r="AF3494" s="2">
        <v>23894.621491321101</v>
      </c>
      <c r="AG3494" s="2">
        <v>23653.036137393901</v>
      </c>
      <c r="AH3494" s="2">
        <v>20425.437244003901</v>
      </c>
      <c r="AI3494" s="2">
        <v>21778.278214194499</v>
      </c>
      <c r="AJ3494" s="2">
        <v>24726.969768660401</v>
      </c>
      <c r="AK3494" s="2">
        <v>28783.244963849302</v>
      </c>
      <c r="AL3494" s="2">
        <v>29317.397328282899</v>
      </c>
      <c r="AM3494" s="2">
        <v>24734.040020510602</v>
      </c>
      <c r="AN3494" s="2">
        <v>27257.051377024902</v>
      </c>
      <c r="AO3494" s="2">
        <v>26810.008540244999</v>
      </c>
      <c r="AP3494" s="2">
        <v>24417.4648275123</v>
      </c>
    </row>
    <row r="3495" spans="1:42" ht="14.5" x14ac:dyDescent="0.35">
      <c r="A3495" s="2" t="s">
        <v>23219</v>
      </c>
      <c r="B3495" s="2">
        <v>323.03836679006702</v>
      </c>
      <c r="C3495" s="2">
        <v>2.7686999999999999</v>
      </c>
      <c r="D3495" s="2" t="s">
        <v>70</v>
      </c>
      <c r="E3495" s="2" t="s">
        <v>23220</v>
      </c>
      <c r="F3495" s="2">
        <v>210937</v>
      </c>
      <c r="G3495" s="3" t="str">
        <f>HYPERLINK("http://funmeta.oebiotech.com/network/210937", "http://funmeta.oebiotech.com/network/210937")</f>
        <v>http://funmeta.oebiotech.com/network/210937</v>
      </c>
      <c r="H3495" s="2" t="s">
        <v>23221</v>
      </c>
      <c r="I3495" s="2"/>
      <c r="J3495" s="2"/>
      <c r="K3495" s="2"/>
      <c r="L3495" s="2"/>
      <c r="M3495" s="2"/>
      <c r="N3495" s="2"/>
      <c r="O3495" s="2">
        <v>321727</v>
      </c>
      <c r="P3495" s="2"/>
      <c r="Q3495" s="2" t="s">
        <v>23222</v>
      </c>
      <c r="R3495" s="2" t="s">
        <v>23223</v>
      </c>
      <c r="S3495" s="2" t="s">
        <v>1444</v>
      </c>
      <c r="T3495" s="2" t="s">
        <v>1445</v>
      </c>
      <c r="U3495" s="2" t="s">
        <v>41</v>
      </c>
      <c r="V3495" s="2" t="s">
        <v>59</v>
      </c>
      <c r="W3495" s="2">
        <v>42.3</v>
      </c>
      <c r="X3495" s="2">
        <v>19.600000000000001</v>
      </c>
      <c r="Y3495" s="2" t="s">
        <v>118</v>
      </c>
      <c r="Z3495" s="2" t="s">
        <v>23224</v>
      </c>
      <c r="AA3495" s="2">
        <v>-4.4956443775310397</v>
      </c>
      <c r="AB3495" s="2">
        <v>0.214028432594396</v>
      </c>
      <c r="AC3495" s="2">
        <v>15425.951766153899</v>
      </c>
      <c r="AD3495" s="2">
        <v>11079.155458883501</v>
      </c>
      <c r="AE3495" s="2">
        <v>14486.982649646199</v>
      </c>
      <c r="AF3495" s="2">
        <v>15524.3244567535</v>
      </c>
      <c r="AG3495" s="2">
        <v>18775.519472014701</v>
      </c>
      <c r="AH3495" s="2">
        <v>13126.542014254601</v>
      </c>
      <c r="AI3495" s="2">
        <v>12139.7603492365</v>
      </c>
      <c r="AJ3495" s="2">
        <v>18502.581655017901</v>
      </c>
      <c r="AK3495" s="2">
        <v>8835.6135567225992</v>
      </c>
      <c r="AL3495" s="2">
        <v>13240.4458636904</v>
      </c>
      <c r="AM3495" s="2">
        <v>14551.5532828918</v>
      </c>
      <c r="AN3495" s="2">
        <v>9670.4452809120394</v>
      </c>
      <c r="AO3495" s="2">
        <v>10942.5910642911</v>
      </c>
      <c r="AP3495" s="2">
        <v>9234.2837047929206</v>
      </c>
    </row>
    <row r="3496" spans="1:42" ht="14.5" x14ac:dyDescent="0.35">
      <c r="A3496" s="2" t="s">
        <v>23225</v>
      </c>
      <c r="B3496" s="2">
        <v>189.123390005141</v>
      </c>
      <c r="C3496" s="2">
        <v>1.29345</v>
      </c>
      <c r="D3496" s="2" t="s">
        <v>34</v>
      </c>
      <c r="E3496" s="2" t="s">
        <v>23226</v>
      </c>
      <c r="F3496" s="2">
        <v>202199</v>
      </c>
      <c r="G3496" s="3" t="str">
        <f>HYPERLINK("http://funmeta.oebiotech.com/network/202199", "http://funmeta.oebiotech.com/network/202199")</f>
        <v>http://funmeta.oebiotech.com/network/202199</v>
      </c>
      <c r="H3496" s="2" t="s">
        <v>23227</v>
      </c>
      <c r="I3496" s="2"/>
      <c r="J3496" s="2"/>
      <c r="K3496" s="2"/>
      <c r="L3496" s="2"/>
      <c r="M3496" s="2"/>
      <c r="N3496" s="2"/>
      <c r="O3496" s="2">
        <v>23147649</v>
      </c>
      <c r="P3496" s="2"/>
      <c r="Q3496" s="2" t="s">
        <v>23228</v>
      </c>
      <c r="R3496" s="2" t="s">
        <v>23229</v>
      </c>
      <c r="S3496" s="2" t="s">
        <v>41</v>
      </c>
      <c r="T3496" s="2" t="s">
        <v>41</v>
      </c>
      <c r="U3496" s="2" t="s">
        <v>41</v>
      </c>
      <c r="V3496" s="2" t="s">
        <v>59</v>
      </c>
      <c r="W3496" s="2">
        <v>45.9</v>
      </c>
      <c r="X3496" s="2">
        <v>34.700000000000003</v>
      </c>
      <c r="Y3496" s="2" t="s">
        <v>394</v>
      </c>
      <c r="Z3496" s="2" t="s">
        <v>23230</v>
      </c>
      <c r="AA3496" s="2">
        <v>0.11265245977221799</v>
      </c>
      <c r="AB3496" s="2">
        <v>0.21393892227717801</v>
      </c>
      <c r="AC3496" s="2">
        <v>7993.6463701747398</v>
      </c>
      <c r="AD3496" s="2">
        <v>4951.0868332490099</v>
      </c>
      <c r="AE3496" s="2">
        <v>8372.4440327656994</v>
      </c>
      <c r="AF3496" s="2">
        <v>7816.7456140049298</v>
      </c>
      <c r="AG3496" s="2">
        <v>7660.8885480957797</v>
      </c>
      <c r="AH3496" s="2">
        <v>8227.3446104677896</v>
      </c>
      <c r="AI3496" s="2">
        <v>7864.9399633857802</v>
      </c>
      <c r="AJ3496" s="2">
        <v>8019.51545232845</v>
      </c>
      <c r="AK3496" s="2">
        <v>4660.82288002934</v>
      </c>
      <c r="AL3496" s="2">
        <v>4745.1566296618303</v>
      </c>
      <c r="AM3496" s="2">
        <v>5165.9647522915202</v>
      </c>
      <c r="AN3496" s="2">
        <v>5106.4914262868097</v>
      </c>
      <c r="AO3496" s="2">
        <v>5256.5268702298699</v>
      </c>
      <c r="AP3496" s="2">
        <v>4771.5584409946996</v>
      </c>
    </row>
    <row r="3497" spans="1:42" ht="14.5" x14ac:dyDescent="0.35">
      <c r="A3497" s="2" t="s">
        <v>23231</v>
      </c>
      <c r="B3497" s="2">
        <v>263.10593766588403</v>
      </c>
      <c r="C3497" s="2">
        <v>2.79266666666667</v>
      </c>
      <c r="D3497" s="2" t="s">
        <v>34</v>
      </c>
      <c r="E3497" s="2" t="s">
        <v>23232</v>
      </c>
      <c r="F3497" s="2">
        <v>53894</v>
      </c>
      <c r="G3497" s="3" t="str">
        <f>HYPERLINK("http://funmeta.oebiotech.com/network/53894", "http://funmeta.oebiotech.com/network/53894")</f>
        <v>http://funmeta.oebiotech.com/network/53894</v>
      </c>
      <c r="H3497" s="2" t="s">
        <v>23233</v>
      </c>
      <c r="I3497" s="2">
        <v>85776</v>
      </c>
      <c r="J3497" s="2"/>
      <c r="K3497" s="2">
        <v>174451</v>
      </c>
      <c r="L3497" s="2"/>
      <c r="M3497" s="2"/>
      <c r="N3497" s="2"/>
      <c r="O3497" s="2">
        <v>61157324</v>
      </c>
      <c r="P3497" s="2"/>
      <c r="Q3497" s="2" t="s">
        <v>23234</v>
      </c>
      <c r="R3497" s="2" t="s">
        <v>23235</v>
      </c>
      <c r="S3497" s="2" t="s">
        <v>89</v>
      </c>
      <c r="T3497" s="2" t="s">
        <v>90</v>
      </c>
      <c r="U3497" s="2" t="s">
        <v>99</v>
      </c>
      <c r="V3497" s="2" t="s">
        <v>59</v>
      </c>
      <c r="W3497" s="2">
        <v>37.9</v>
      </c>
      <c r="X3497" s="2">
        <v>0</v>
      </c>
      <c r="Y3497" s="2" t="s">
        <v>394</v>
      </c>
      <c r="Z3497" s="2" t="s">
        <v>23236</v>
      </c>
      <c r="AA3497" s="2">
        <v>-0.254984894571679</v>
      </c>
      <c r="AB3497" s="2">
        <v>0.213848706587486</v>
      </c>
      <c r="AC3497" s="2">
        <v>3094.2312075003501</v>
      </c>
      <c r="AD3497" s="2">
        <v>71.399539263383204</v>
      </c>
      <c r="AE3497" s="2">
        <v>3650.6194115426501</v>
      </c>
      <c r="AF3497" s="2">
        <v>3147.8490469241801</v>
      </c>
      <c r="AG3497" s="2">
        <v>2944.8888896787598</v>
      </c>
      <c r="AH3497" s="2">
        <v>2968.83493981533</v>
      </c>
      <c r="AI3497" s="2">
        <v>2708.6231138794601</v>
      </c>
      <c r="AJ3497" s="2">
        <v>3144.5718431617302</v>
      </c>
      <c r="AK3497" s="2">
        <v>58.4814081655678</v>
      </c>
      <c r="AL3497" s="2">
        <v>143.44747100472799</v>
      </c>
      <c r="AM3497" s="2">
        <v>2.7106294003980101E-5</v>
      </c>
      <c r="AN3497" s="2">
        <v>90.817770667698198</v>
      </c>
      <c r="AO3497" s="2">
        <v>10.897152124141</v>
      </c>
      <c r="AP3497" s="2">
        <v>124.75340651187</v>
      </c>
    </row>
    <row r="3498" spans="1:42" ht="14.5" x14ac:dyDescent="0.35">
      <c r="A3498" s="2" t="s">
        <v>23237</v>
      </c>
      <c r="B3498" s="2">
        <v>379.10062431083799</v>
      </c>
      <c r="C3498" s="2">
        <v>0.71055000000000001</v>
      </c>
      <c r="D3498" s="2" t="s">
        <v>70</v>
      </c>
      <c r="E3498" s="2" t="s">
        <v>23238</v>
      </c>
      <c r="F3498" s="2">
        <v>54362</v>
      </c>
      <c r="G3498" s="3" t="str">
        <f>HYPERLINK("http://funmeta.oebiotech.com/network/54362", "http://funmeta.oebiotech.com/network/54362")</f>
        <v>http://funmeta.oebiotech.com/network/54362</v>
      </c>
      <c r="H3498" s="2" t="s">
        <v>23239</v>
      </c>
      <c r="I3498" s="2">
        <v>86247</v>
      </c>
      <c r="J3498" s="2"/>
      <c r="K3498" s="2">
        <v>168589</v>
      </c>
      <c r="L3498" s="2"/>
      <c r="M3498" s="2"/>
      <c r="N3498" s="2"/>
      <c r="O3498" s="2">
        <v>131750866</v>
      </c>
      <c r="P3498" s="2" t="s">
        <v>23240</v>
      </c>
      <c r="Q3498" s="2" t="s">
        <v>23241</v>
      </c>
      <c r="R3498" s="2" t="s">
        <v>23242</v>
      </c>
      <c r="S3498" s="2" t="s">
        <v>79</v>
      </c>
      <c r="T3498" s="2" t="s">
        <v>80</v>
      </c>
      <c r="U3498" s="2" t="s">
        <v>81</v>
      </c>
      <c r="V3498" s="2" t="s">
        <v>59</v>
      </c>
      <c r="W3498" s="2">
        <v>38.700000000000003</v>
      </c>
      <c r="X3498" s="2">
        <v>5.19</v>
      </c>
      <c r="Y3498" s="2" t="s">
        <v>408</v>
      </c>
      <c r="Z3498" s="2" t="s">
        <v>23243</v>
      </c>
      <c r="AA3498" s="2">
        <v>3.56561973043911</v>
      </c>
      <c r="AB3498" s="2">
        <v>0.213843876331648</v>
      </c>
      <c r="AC3498" s="2">
        <v>187219.266664383</v>
      </c>
      <c r="AD3498" s="2">
        <v>169038.37104482399</v>
      </c>
      <c r="AE3498" s="2">
        <v>162845.84400891201</v>
      </c>
      <c r="AF3498" s="2">
        <v>249925.75293476801</v>
      </c>
      <c r="AG3498" s="2">
        <v>122648.99656646801</v>
      </c>
      <c r="AH3498" s="2">
        <v>218712.31000377299</v>
      </c>
      <c r="AI3498" s="2">
        <v>240791.03031344301</v>
      </c>
      <c r="AJ3498" s="2">
        <v>128391.666158932</v>
      </c>
      <c r="AK3498" s="2">
        <v>87067.929145099493</v>
      </c>
      <c r="AL3498" s="2">
        <v>163556.38170657301</v>
      </c>
      <c r="AM3498" s="2">
        <v>151462.80678786701</v>
      </c>
      <c r="AN3498" s="2">
        <v>222784.171910829</v>
      </c>
      <c r="AO3498" s="2">
        <v>236503.36883899901</v>
      </c>
      <c r="AP3498" s="2">
        <v>152855.567879574</v>
      </c>
    </row>
    <row r="3499" spans="1:42" ht="14.5" x14ac:dyDescent="0.35">
      <c r="A3499" s="2" t="s">
        <v>23244</v>
      </c>
      <c r="B3499" s="2">
        <v>415.23371405530997</v>
      </c>
      <c r="C3499" s="2">
        <v>4.1151</v>
      </c>
      <c r="D3499" s="2" t="s">
        <v>70</v>
      </c>
      <c r="E3499" s="2" t="s">
        <v>23245</v>
      </c>
      <c r="F3499" s="2">
        <v>3657</v>
      </c>
      <c r="G3499" s="3" t="str">
        <f>HYPERLINK("http://funmeta.oebiotech.com/network/3657", "http://funmeta.oebiotech.com/network/3657")</f>
        <v>http://funmeta.oebiotech.com/network/3657</v>
      </c>
      <c r="H3499" s="2" t="s">
        <v>23246</v>
      </c>
      <c r="I3499" s="2">
        <v>3821</v>
      </c>
      <c r="J3499" s="2" t="s">
        <v>23247</v>
      </c>
      <c r="K3499" s="2"/>
      <c r="L3499" s="2"/>
      <c r="M3499" s="2"/>
      <c r="N3499" s="2"/>
      <c r="O3499" s="2">
        <v>5283040</v>
      </c>
      <c r="P3499" s="2" t="s">
        <v>23248</v>
      </c>
      <c r="Q3499" s="2" t="s">
        <v>23249</v>
      </c>
      <c r="R3499" s="2" t="s">
        <v>23250</v>
      </c>
      <c r="S3499" s="2" t="s">
        <v>50</v>
      </c>
      <c r="T3499" s="2" t="s">
        <v>229</v>
      </c>
      <c r="U3499" s="2" t="s">
        <v>766</v>
      </c>
      <c r="V3499" s="2" t="s">
        <v>59</v>
      </c>
      <c r="W3499" s="2">
        <v>38.799999999999997</v>
      </c>
      <c r="X3499" s="2">
        <v>0</v>
      </c>
      <c r="Y3499" s="2" t="s">
        <v>408</v>
      </c>
      <c r="Z3499" s="2" t="s">
        <v>11137</v>
      </c>
      <c r="AA3499" s="2">
        <v>-7.4607720423815804E-2</v>
      </c>
      <c r="AB3499" s="2">
        <v>0.21379645605335099</v>
      </c>
      <c r="AC3499" s="2">
        <v>18208.9975226475</v>
      </c>
      <c r="AD3499" s="2">
        <v>21757.145007897299</v>
      </c>
      <c r="AE3499" s="2">
        <v>19530.995766155</v>
      </c>
      <c r="AF3499" s="2">
        <v>18327.891816376799</v>
      </c>
      <c r="AG3499" s="2">
        <v>19483.750028600702</v>
      </c>
      <c r="AH3499" s="2">
        <v>16598.081569460599</v>
      </c>
      <c r="AI3499" s="2">
        <v>15932.1329608901</v>
      </c>
      <c r="AJ3499" s="2">
        <v>19381.132994401702</v>
      </c>
      <c r="AK3499" s="2">
        <v>22635.868570798499</v>
      </c>
      <c r="AL3499" s="2">
        <v>21152.6170617758</v>
      </c>
      <c r="AM3499" s="2">
        <v>22015.2296030201</v>
      </c>
      <c r="AN3499" s="2">
        <v>21595.333525483398</v>
      </c>
      <c r="AO3499" s="2">
        <v>21895.293606304898</v>
      </c>
      <c r="AP3499" s="2">
        <v>21248.5276800012</v>
      </c>
    </row>
    <row r="3500" spans="1:42" ht="14.5" x14ac:dyDescent="0.35">
      <c r="A3500" s="2" t="s">
        <v>23251</v>
      </c>
      <c r="B3500" s="2">
        <v>116.106891357611</v>
      </c>
      <c r="C3500" s="2">
        <v>0.53741666666666699</v>
      </c>
      <c r="D3500" s="2" t="s">
        <v>34</v>
      </c>
      <c r="E3500" s="2" t="s">
        <v>23252</v>
      </c>
      <c r="F3500" s="2">
        <v>256111</v>
      </c>
      <c r="G3500" s="3" t="str">
        <f>HYPERLINK("http://funmeta.oebiotech.com/network/256111", "http://funmeta.oebiotech.com/network/256111")</f>
        <v>http://funmeta.oebiotech.com/network/256111</v>
      </c>
      <c r="H3500" s="2" t="s">
        <v>23253</v>
      </c>
      <c r="I3500" s="2">
        <v>318736</v>
      </c>
      <c r="J3500" s="2"/>
      <c r="K3500" s="2"/>
      <c r="L3500" s="2"/>
      <c r="M3500" s="2"/>
      <c r="N3500" s="2"/>
      <c r="O3500" s="2">
        <v>8104</v>
      </c>
      <c r="P3500" s="2"/>
      <c r="Q3500" s="2" t="s">
        <v>23254</v>
      </c>
      <c r="R3500" s="2" t="s">
        <v>23255</v>
      </c>
      <c r="S3500" s="2" t="s">
        <v>50</v>
      </c>
      <c r="T3500" s="2" t="s">
        <v>229</v>
      </c>
      <c r="U3500" s="2" t="s">
        <v>1283</v>
      </c>
      <c r="V3500" s="2" t="s">
        <v>59</v>
      </c>
      <c r="W3500" s="2">
        <v>44.1</v>
      </c>
      <c r="X3500" s="2">
        <v>24.5</v>
      </c>
      <c r="Y3500" s="2" t="s">
        <v>43</v>
      </c>
      <c r="Z3500" s="2" t="s">
        <v>23256</v>
      </c>
      <c r="AA3500" s="2">
        <v>-1.01059906434947</v>
      </c>
      <c r="AB3500" s="2">
        <v>0.21377008435206701</v>
      </c>
      <c r="AC3500" s="2">
        <v>5717.7484165738597</v>
      </c>
      <c r="AD3500" s="2">
        <v>2398.4276614661298</v>
      </c>
      <c r="AE3500" s="2">
        <v>5485.7985591254201</v>
      </c>
      <c r="AF3500" s="2">
        <v>6582.9339314885101</v>
      </c>
      <c r="AG3500" s="2">
        <v>6603.1725305889204</v>
      </c>
      <c r="AH3500" s="2">
        <v>6102.93079966613</v>
      </c>
      <c r="AI3500" s="2">
        <v>5094.4518535562001</v>
      </c>
      <c r="AJ3500" s="2">
        <v>4437.2028250179901</v>
      </c>
      <c r="AK3500" s="2">
        <v>1826.1148813346699</v>
      </c>
      <c r="AL3500" s="2">
        <v>3228.8357671334602</v>
      </c>
      <c r="AM3500" s="2">
        <v>1762.8651716056399</v>
      </c>
      <c r="AN3500" s="2">
        <v>1703.5955505719201</v>
      </c>
      <c r="AO3500" s="2">
        <v>1997.5187844070599</v>
      </c>
      <c r="AP3500" s="2">
        <v>3871.6358137440102</v>
      </c>
    </row>
    <row r="3501" spans="1:42" ht="14.5" x14ac:dyDescent="0.35">
      <c r="A3501" s="2" t="s">
        <v>23257</v>
      </c>
      <c r="B3501" s="2">
        <v>665.29186657000298</v>
      </c>
      <c r="C3501" s="2">
        <v>11.10285</v>
      </c>
      <c r="D3501" s="2" t="s">
        <v>70</v>
      </c>
      <c r="E3501" s="2" t="s">
        <v>23258</v>
      </c>
      <c r="F3501" s="2">
        <v>52835</v>
      </c>
      <c r="G3501" s="3" t="str">
        <f>HYPERLINK("http://funmeta.oebiotech.com/network/52835", "http://funmeta.oebiotech.com/network/52835")</f>
        <v>http://funmeta.oebiotech.com/network/52835</v>
      </c>
      <c r="H3501" s="2" t="s">
        <v>23259</v>
      </c>
      <c r="I3501" s="2">
        <v>43555</v>
      </c>
      <c r="J3501" s="2"/>
      <c r="K3501" s="2">
        <v>50199</v>
      </c>
      <c r="L3501" s="2"/>
      <c r="M3501" s="2"/>
      <c r="N3501" s="2"/>
      <c r="O3501" s="2">
        <v>51081</v>
      </c>
      <c r="P3501" s="2" t="s">
        <v>23260</v>
      </c>
      <c r="Q3501" s="2" t="s">
        <v>23261</v>
      </c>
      <c r="R3501" s="2" t="s">
        <v>23262</v>
      </c>
      <c r="S3501" s="2" t="s">
        <v>491</v>
      </c>
      <c r="T3501" s="2" t="s">
        <v>1516</v>
      </c>
      <c r="U3501" s="2" t="s">
        <v>2355</v>
      </c>
      <c r="V3501" s="2" t="s">
        <v>42</v>
      </c>
      <c r="W3501" s="2">
        <v>51.1</v>
      </c>
      <c r="X3501" s="2">
        <v>65.599999999999994</v>
      </c>
      <c r="Y3501" s="2" t="s">
        <v>560</v>
      </c>
      <c r="Z3501" s="2" t="s">
        <v>23263</v>
      </c>
      <c r="AA3501" s="2">
        <v>2.1064652633360699</v>
      </c>
      <c r="AB3501" s="2">
        <v>0.21369678952274301</v>
      </c>
      <c r="AC3501" s="2">
        <v>12497.369263471201</v>
      </c>
      <c r="AD3501" s="2">
        <v>8469.6264851164306</v>
      </c>
      <c r="AE3501" s="2">
        <v>15095.594501423901</v>
      </c>
      <c r="AF3501" s="2">
        <v>12442.4757913548</v>
      </c>
      <c r="AG3501" s="2">
        <v>13510.915953236199</v>
      </c>
      <c r="AH3501" s="2">
        <v>12242.674611583399</v>
      </c>
      <c r="AI3501" s="2">
        <v>10527.0033173748</v>
      </c>
      <c r="AJ3501" s="2">
        <v>11165.551405854199</v>
      </c>
      <c r="AK3501" s="2">
        <v>6507.8584854160299</v>
      </c>
      <c r="AL3501" s="2">
        <v>10667.3185230894</v>
      </c>
      <c r="AM3501" s="2">
        <v>9479.8537790831997</v>
      </c>
      <c r="AN3501" s="2">
        <v>8311.9801657077005</v>
      </c>
      <c r="AO3501" s="2">
        <v>10828.253552291</v>
      </c>
      <c r="AP3501" s="2">
        <v>5022.4944051112798</v>
      </c>
    </row>
    <row r="3502" spans="1:42" ht="14.5" x14ac:dyDescent="0.35">
      <c r="A3502" s="2" t="s">
        <v>23264</v>
      </c>
      <c r="B3502" s="2">
        <v>227.128276782852</v>
      </c>
      <c r="C3502" s="2">
        <v>8.7726333333333297</v>
      </c>
      <c r="D3502" s="2" t="s">
        <v>70</v>
      </c>
      <c r="E3502" s="2" t="s">
        <v>23265</v>
      </c>
      <c r="F3502" s="2">
        <v>2817</v>
      </c>
      <c r="G3502" s="3" t="str">
        <f>HYPERLINK("http://funmeta.oebiotech.com/network/2817", "http://funmeta.oebiotech.com/network/2817")</f>
        <v>http://funmeta.oebiotech.com/network/2817</v>
      </c>
      <c r="H3502" s="2" t="s">
        <v>23266</v>
      </c>
      <c r="I3502" s="2">
        <v>5882</v>
      </c>
      <c r="J3502" s="2" t="s">
        <v>23267</v>
      </c>
      <c r="K3502" s="2">
        <v>545687</v>
      </c>
      <c r="L3502" s="2" t="s">
        <v>23268</v>
      </c>
      <c r="M3502" s="2" t="s">
        <v>5653</v>
      </c>
      <c r="N3502" s="2" t="s">
        <v>5654</v>
      </c>
      <c r="O3502" s="2">
        <v>5283028</v>
      </c>
      <c r="P3502" s="2" t="s">
        <v>23269</v>
      </c>
      <c r="Q3502" s="2" t="s">
        <v>23270</v>
      </c>
      <c r="R3502" s="2" t="s">
        <v>23271</v>
      </c>
      <c r="S3502" s="2" t="s">
        <v>50</v>
      </c>
      <c r="T3502" s="2" t="s">
        <v>229</v>
      </c>
      <c r="U3502" s="2" t="s">
        <v>433</v>
      </c>
      <c r="V3502" s="2" t="s">
        <v>42</v>
      </c>
      <c r="W3502" s="2">
        <v>55.3</v>
      </c>
      <c r="X3502" s="2">
        <v>81.8</v>
      </c>
      <c r="Y3502" s="2" t="s">
        <v>118</v>
      </c>
      <c r="Z3502" s="2" t="s">
        <v>11183</v>
      </c>
      <c r="AA3502" s="2">
        <v>-2.6558910700499498</v>
      </c>
      <c r="AB3502" s="2">
        <v>0.21348181984466399</v>
      </c>
      <c r="AC3502" s="2">
        <v>42693.985904936097</v>
      </c>
      <c r="AD3502" s="2">
        <v>34900.5309455471</v>
      </c>
      <c r="AE3502" s="2">
        <v>34739.006426373497</v>
      </c>
      <c r="AF3502" s="2">
        <v>34002.170359937998</v>
      </c>
      <c r="AG3502" s="2">
        <v>33209.982259461402</v>
      </c>
      <c r="AH3502" s="2">
        <v>56033.415595520899</v>
      </c>
      <c r="AI3502" s="2">
        <v>63964.371692632303</v>
      </c>
      <c r="AJ3502" s="2">
        <v>34214.969095690401</v>
      </c>
      <c r="AK3502" s="2">
        <v>36885.979207320597</v>
      </c>
      <c r="AL3502" s="2">
        <v>36655.736240885402</v>
      </c>
      <c r="AM3502" s="2">
        <v>36782.030581765197</v>
      </c>
      <c r="AN3502" s="2">
        <v>33230.182839312802</v>
      </c>
      <c r="AO3502" s="2">
        <v>32610.500507117998</v>
      </c>
      <c r="AP3502" s="2">
        <v>33238.7562968805</v>
      </c>
    </row>
    <row r="3503" spans="1:42" ht="14.5" x14ac:dyDescent="0.35">
      <c r="A3503" s="2" t="s">
        <v>23272</v>
      </c>
      <c r="B3503" s="2">
        <v>403.193833735326</v>
      </c>
      <c r="C3503" s="2">
        <v>3.7155666666666698</v>
      </c>
      <c r="D3503" s="2" t="s">
        <v>34</v>
      </c>
      <c r="E3503" s="2" t="s">
        <v>23273</v>
      </c>
      <c r="F3503" s="2">
        <v>208817</v>
      </c>
      <c r="G3503" s="3" t="str">
        <f>HYPERLINK("http://funmeta.oebiotech.com/network/208817", "http://funmeta.oebiotech.com/network/208817")</f>
        <v>http://funmeta.oebiotech.com/network/208817</v>
      </c>
      <c r="H3503" s="2" t="s">
        <v>23274</v>
      </c>
      <c r="I3503" s="2"/>
      <c r="J3503" s="2"/>
      <c r="K3503" s="2"/>
      <c r="L3503" s="2"/>
      <c r="M3503" s="2"/>
      <c r="N3503" s="2"/>
      <c r="O3503" s="2">
        <v>74765399</v>
      </c>
      <c r="P3503" s="2"/>
      <c r="Q3503" s="2" t="s">
        <v>23275</v>
      </c>
      <c r="R3503" s="2" t="s">
        <v>23276</v>
      </c>
      <c r="S3503" s="2" t="s">
        <v>41</v>
      </c>
      <c r="T3503" s="2" t="s">
        <v>41</v>
      </c>
      <c r="U3503" s="2" t="s">
        <v>41</v>
      </c>
      <c r="V3503" s="2" t="s">
        <v>59</v>
      </c>
      <c r="W3503" s="2">
        <v>37.9</v>
      </c>
      <c r="X3503" s="2">
        <v>0</v>
      </c>
      <c r="Y3503" s="2" t="s">
        <v>43</v>
      </c>
      <c r="Z3503" s="2" t="s">
        <v>23277</v>
      </c>
      <c r="AA3503" s="2">
        <v>0.67532185634896202</v>
      </c>
      <c r="AB3503" s="2">
        <v>0.21346400238802701</v>
      </c>
      <c r="AC3503" s="2">
        <v>6359.6251170412297</v>
      </c>
      <c r="AD3503" s="2">
        <v>3247.6881988917298</v>
      </c>
      <c r="AE3503" s="2">
        <v>5731.6385201089497</v>
      </c>
      <c r="AF3503" s="2">
        <v>5853.2501852393798</v>
      </c>
      <c r="AG3503" s="2">
        <v>6486.0246618889796</v>
      </c>
      <c r="AH3503" s="2">
        <v>6970.9343153261798</v>
      </c>
      <c r="AI3503" s="2">
        <v>6907.7878776515499</v>
      </c>
      <c r="AJ3503" s="2">
        <v>6208.1151420323104</v>
      </c>
      <c r="AK3503" s="2">
        <v>2693.3583268083898</v>
      </c>
      <c r="AL3503" s="2">
        <v>3693.9274385179601</v>
      </c>
      <c r="AM3503" s="2">
        <v>3768.7660217469802</v>
      </c>
      <c r="AN3503" s="2">
        <v>3175.2623496317501</v>
      </c>
      <c r="AO3503" s="2">
        <v>2968.0495450366998</v>
      </c>
      <c r="AP3503" s="2">
        <v>3186.7655116086098</v>
      </c>
    </row>
    <row r="3504" spans="1:42" ht="14.5" x14ac:dyDescent="0.35">
      <c r="A3504" s="2" t="s">
        <v>23278</v>
      </c>
      <c r="B3504" s="2">
        <v>619.22378998501904</v>
      </c>
      <c r="C3504" s="2">
        <v>3.6547999999999998</v>
      </c>
      <c r="D3504" s="2" t="s">
        <v>70</v>
      </c>
      <c r="E3504" s="2" t="s">
        <v>23279</v>
      </c>
      <c r="F3504" s="2">
        <v>51509</v>
      </c>
      <c r="G3504" s="3" t="str">
        <f>HYPERLINK("http://funmeta.oebiotech.com/network/51509", "http://funmeta.oebiotech.com/network/51509")</f>
        <v>http://funmeta.oebiotech.com/network/51509</v>
      </c>
      <c r="H3504" s="2" t="s">
        <v>23280</v>
      </c>
      <c r="I3504" s="2">
        <v>62426</v>
      </c>
      <c r="J3504" s="2"/>
      <c r="K3504" s="2">
        <v>82969</v>
      </c>
      <c r="L3504" s="2" t="s">
        <v>23281</v>
      </c>
      <c r="M3504" s="2" t="s">
        <v>23282</v>
      </c>
      <c r="N3504" s="2" t="s">
        <v>23283</v>
      </c>
      <c r="O3504" s="2">
        <v>94340</v>
      </c>
      <c r="P3504" s="2" t="s">
        <v>23284</v>
      </c>
      <c r="Q3504" s="2" t="s">
        <v>23285</v>
      </c>
      <c r="R3504" s="2" t="s">
        <v>23286</v>
      </c>
      <c r="S3504" s="2" t="s">
        <v>89</v>
      </c>
      <c r="T3504" s="2" t="s">
        <v>90</v>
      </c>
      <c r="U3504" s="2" t="s">
        <v>99</v>
      </c>
      <c r="V3504" s="2" t="s">
        <v>59</v>
      </c>
      <c r="W3504" s="2">
        <v>38.4</v>
      </c>
      <c r="X3504" s="2">
        <v>0</v>
      </c>
      <c r="Y3504" s="2" t="s">
        <v>560</v>
      </c>
      <c r="Z3504" s="2" t="s">
        <v>23287</v>
      </c>
      <c r="AA3504" s="2">
        <v>-3.0733474431391299</v>
      </c>
      <c r="AB3504" s="2">
        <v>0.213418985240725</v>
      </c>
      <c r="AC3504" s="2">
        <v>2229.9013291913102</v>
      </c>
      <c r="AD3504" s="2">
        <v>5280.2092414630497</v>
      </c>
      <c r="AE3504" s="2">
        <v>2716.1704427351401</v>
      </c>
      <c r="AF3504" s="2">
        <v>1787.9319752383101</v>
      </c>
      <c r="AG3504" s="2">
        <v>2213.1587881832702</v>
      </c>
      <c r="AH3504" s="2">
        <v>2223.0856528781401</v>
      </c>
      <c r="AI3504" s="2">
        <v>1824.8035318955301</v>
      </c>
      <c r="AJ3504" s="2">
        <v>2614.2575842174901</v>
      </c>
      <c r="AK3504" s="2">
        <v>5288.3364672918697</v>
      </c>
      <c r="AL3504" s="2">
        <v>4878.3086533147798</v>
      </c>
      <c r="AM3504" s="2">
        <v>5167.35734822416</v>
      </c>
      <c r="AN3504" s="2">
        <v>5403.1166317389298</v>
      </c>
      <c r="AO3504" s="2">
        <v>5247.5693291539701</v>
      </c>
      <c r="AP3504" s="2">
        <v>5696.5670190545798</v>
      </c>
    </row>
    <row r="3505" spans="1:42" ht="14.5" x14ac:dyDescent="0.35">
      <c r="A3505" s="2" t="s">
        <v>23288</v>
      </c>
      <c r="B3505" s="2">
        <v>177.09090585926799</v>
      </c>
      <c r="C3505" s="2">
        <v>4.9617833333333303</v>
      </c>
      <c r="D3505" s="2" t="s">
        <v>34</v>
      </c>
      <c r="E3505" s="2" t="s">
        <v>23289</v>
      </c>
      <c r="F3505" s="2">
        <v>267222</v>
      </c>
      <c r="G3505" s="3" t="str">
        <f>HYPERLINK("http://funmeta.oebiotech.com/network/267222", "http://funmeta.oebiotech.com/network/267222")</f>
        <v>http://funmeta.oebiotech.com/network/267222</v>
      </c>
      <c r="H3505" s="2"/>
      <c r="I3505" s="2">
        <v>45039</v>
      </c>
      <c r="J3505" s="2"/>
      <c r="K3505" s="2"/>
      <c r="L3505" s="2" t="s">
        <v>23290</v>
      </c>
      <c r="M3505" s="2" t="s">
        <v>23291</v>
      </c>
      <c r="N3505" s="2" t="s">
        <v>23292</v>
      </c>
      <c r="O3505" s="2">
        <v>70804</v>
      </c>
      <c r="P3505" s="2" t="s">
        <v>23293</v>
      </c>
      <c r="Q3505" s="2" t="s">
        <v>23294</v>
      </c>
      <c r="R3505" s="2" t="s">
        <v>23295</v>
      </c>
      <c r="S3505" s="2" t="s">
        <v>148</v>
      </c>
      <c r="T3505" s="2" t="s">
        <v>6221</v>
      </c>
      <c r="U3505" s="2" t="s">
        <v>23296</v>
      </c>
      <c r="V3505" s="2" t="s">
        <v>59</v>
      </c>
      <c r="W3505" s="2">
        <v>38.9</v>
      </c>
      <c r="X3505" s="2">
        <v>0</v>
      </c>
      <c r="Y3505" s="2" t="s">
        <v>394</v>
      </c>
      <c r="Z3505" s="2" t="s">
        <v>23297</v>
      </c>
      <c r="AA3505" s="2">
        <v>-0.56902867697342496</v>
      </c>
      <c r="AB3505" s="2">
        <v>0.21316433926995601</v>
      </c>
      <c r="AC3505" s="2">
        <v>21684.714331376399</v>
      </c>
      <c r="AD3505" s="2">
        <v>25031.825896104401</v>
      </c>
      <c r="AE3505" s="2">
        <v>21958.262591528499</v>
      </c>
      <c r="AF3505" s="2">
        <v>22252.710815832299</v>
      </c>
      <c r="AG3505" s="2">
        <v>20779.359527845201</v>
      </c>
      <c r="AH3505" s="2">
        <v>20899.872234708499</v>
      </c>
      <c r="AI3505" s="2">
        <v>21615.775280104201</v>
      </c>
      <c r="AJ3505" s="2">
        <v>22602.305538239802</v>
      </c>
      <c r="AK3505" s="2">
        <v>25776.3496755204</v>
      </c>
      <c r="AL3505" s="2">
        <v>25750.394933546198</v>
      </c>
      <c r="AM3505" s="2">
        <v>24663.105104616399</v>
      </c>
      <c r="AN3505" s="2">
        <v>25956.184351633499</v>
      </c>
      <c r="AO3505" s="2">
        <v>23057.624183942102</v>
      </c>
      <c r="AP3505" s="2">
        <v>24987.297127367601</v>
      </c>
    </row>
    <row r="3506" spans="1:42" ht="14.5" x14ac:dyDescent="0.35">
      <c r="A3506" s="2" t="s">
        <v>23298</v>
      </c>
      <c r="B3506" s="2">
        <v>594.68584147913498</v>
      </c>
      <c r="C3506" s="2">
        <v>5.2179000000000002</v>
      </c>
      <c r="D3506" s="2" t="s">
        <v>34</v>
      </c>
      <c r="E3506" s="2" t="s">
        <v>23299</v>
      </c>
      <c r="F3506" s="2">
        <v>256293</v>
      </c>
      <c r="G3506" s="3" t="str">
        <f>HYPERLINK("http://funmeta.oebiotech.com/network/256293", "http://funmeta.oebiotech.com/network/256293")</f>
        <v>http://funmeta.oebiotech.com/network/256293</v>
      </c>
      <c r="H3506" s="2" t="s">
        <v>23300</v>
      </c>
      <c r="I3506" s="2"/>
      <c r="J3506" s="2"/>
      <c r="K3506" s="2"/>
      <c r="L3506" s="2"/>
      <c r="M3506" s="2"/>
      <c r="N3506" s="2"/>
      <c r="O3506" s="2"/>
      <c r="P3506" s="2"/>
      <c r="Q3506" s="2" t="s">
        <v>23301</v>
      </c>
      <c r="R3506" s="2" t="s">
        <v>23302</v>
      </c>
      <c r="S3506" s="2" t="s">
        <v>7696</v>
      </c>
      <c r="T3506" s="2" t="s">
        <v>7697</v>
      </c>
      <c r="U3506" s="2" t="s">
        <v>13517</v>
      </c>
      <c r="V3506" s="2" t="s">
        <v>59</v>
      </c>
      <c r="W3506" s="2">
        <v>39</v>
      </c>
      <c r="X3506" s="2">
        <v>0</v>
      </c>
      <c r="Y3506" s="2" t="s">
        <v>141</v>
      </c>
      <c r="Z3506" s="2" t="s">
        <v>23303</v>
      </c>
      <c r="AA3506" s="2">
        <v>-0.84828694780124003</v>
      </c>
      <c r="AB3506" s="2">
        <v>0.21306615586817701</v>
      </c>
      <c r="AC3506" s="2">
        <v>61324.937123886702</v>
      </c>
      <c r="AD3506" s="2">
        <v>55038.583503421403</v>
      </c>
      <c r="AE3506" s="2">
        <v>64876.105070452897</v>
      </c>
      <c r="AF3506" s="2">
        <v>67741.495244195001</v>
      </c>
      <c r="AG3506" s="2">
        <v>61286.956024331201</v>
      </c>
      <c r="AH3506" s="2">
        <v>64824.005521222403</v>
      </c>
      <c r="AI3506" s="2">
        <v>61506.0814635067</v>
      </c>
      <c r="AJ3506" s="2">
        <v>47714.979419611896</v>
      </c>
      <c r="AK3506" s="2">
        <v>49626.434653319899</v>
      </c>
      <c r="AL3506" s="2">
        <v>48244.820246164003</v>
      </c>
      <c r="AM3506" s="2">
        <v>60747.3780246807</v>
      </c>
      <c r="AN3506" s="2">
        <v>52855.522307732303</v>
      </c>
      <c r="AO3506" s="2">
        <v>57790.521373992502</v>
      </c>
      <c r="AP3506" s="2">
        <v>60966.824414638802</v>
      </c>
    </row>
    <row r="3507" spans="1:42" ht="14.5" x14ac:dyDescent="0.35">
      <c r="A3507" s="2" t="s">
        <v>23304</v>
      </c>
      <c r="B3507" s="2">
        <v>791.45187236813501</v>
      </c>
      <c r="C3507" s="2">
        <v>11.499883333333299</v>
      </c>
      <c r="D3507" s="2" t="s">
        <v>34</v>
      </c>
      <c r="E3507" s="2" t="s">
        <v>23305</v>
      </c>
      <c r="F3507" s="2">
        <v>218307</v>
      </c>
      <c r="G3507" s="3" t="str">
        <f>HYPERLINK("http://funmeta.oebiotech.com/network/218307", "http://funmeta.oebiotech.com/network/218307")</f>
        <v>http://funmeta.oebiotech.com/network/218307</v>
      </c>
      <c r="H3507" s="2" t="s">
        <v>23306</v>
      </c>
      <c r="I3507" s="2"/>
      <c r="J3507" s="2"/>
      <c r="K3507" s="2"/>
      <c r="L3507" s="2"/>
      <c r="M3507" s="2"/>
      <c r="N3507" s="2"/>
      <c r="O3507" s="2"/>
      <c r="P3507" s="2"/>
      <c r="Q3507" s="2" t="s">
        <v>23307</v>
      </c>
      <c r="R3507" s="2" t="s">
        <v>23308</v>
      </c>
      <c r="S3507" s="2" t="s">
        <v>41</v>
      </c>
      <c r="T3507" s="2" t="s">
        <v>41</v>
      </c>
      <c r="U3507" s="2" t="s">
        <v>41</v>
      </c>
      <c r="V3507" s="2" t="s">
        <v>59</v>
      </c>
      <c r="W3507" s="2">
        <v>36.4</v>
      </c>
      <c r="X3507" s="2">
        <v>0</v>
      </c>
      <c r="Y3507" s="2" t="s">
        <v>394</v>
      </c>
      <c r="Z3507" s="2" t="s">
        <v>23309</v>
      </c>
      <c r="AA3507" s="2">
        <v>3.1581595758765202</v>
      </c>
      <c r="AB3507" s="2">
        <v>0.21294845244708099</v>
      </c>
      <c r="AC3507" s="2">
        <v>7697.19785150404</v>
      </c>
      <c r="AD3507" s="2">
        <v>11515.2342992221</v>
      </c>
      <c r="AE3507" s="2">
        <v>6026.2410898184098</v>
      </c>
      <c r="AF3507" s="2">
        <v>5130.7042468753198</v>
      </c>
      <c r="AG3507" s="2">
        <v>9142.5005477320192</v>
      </c>
      <c r="AH3507" s="2">
        <v>8136.1181954262602</v>
      </c>
      <c r="AI3507" s="2">
        <v>9120.3166558757493</v>
      </c>
      <c r="AJ3507" s="2">
        <v>8627.3063732965002</v>
      </c>
      <c r="AK3507" s="2">
        <v>13263.208318121</v>
      </c>
      <c r="AL3507" s="2">
        <v>8818.9717068261907</v>
      </c>
      <c r="AM3507" s="2">
        <v>10961.119968303799</v>
      </c>
      <c r="AN3507" s="2">
        <v>11269.640701996201</v>
      </c>
      <c r="AO3507" s="2">
        <v>13572.4775373309</v>
      </c>
      <c r="AP3507" s="2">
        <v>11205.987562754501</v>
      </c>
    </row>
    <row r="3508" spans="1:42" ht="14.5" x14ac:dyDescent="0.35">
      <c r="A3508" s="2" t="s">
        <v>23310</v>
      </c>
      <c r="B3508" s="2">
        <v>448.13858070880798</v>
      </c>
      <c r="C3508" s="2">
        <v>4.2777833333333302</v>
      </c>
      <c r="D3508" s="2" t="s">
        <v>34</v>
      </c>
      <c r="E3508" s="2" t="s">
        <v>23311</v>
      </c>
      <c r="F3508" s="2">
        <v>61539</v>
      </c>
      <c r="G3508" s="3" t="str">
        <f>HYPERLINK("http://funmeta.oebiotech.com/network/61539", "http://funmeta.oebiotech.com/network/61539")</f>
        <v>http://funmeta.oebiotech.com/network/61539</v>
      </c>
      <c r="H3508" s="2" t="s">
        <v>23312</v>
      </c>
      <c r="I3508" s="2">
        <v>92854</v>
      </c>
      <c r="J3508" s="2"/>
      <c r="K3508" s="2"/>
      <c r="L3508" s="2"/>
      <c r="M3508" s="2"/>
      <c r="N3508" s="2"/>
      <c r="O3508" s="2">
        <v>131752296</v>
      </c>
      <c r="P3508" s="2" t="s">
        <v>23313</v>
      </c>
      <c r="Q3508" s="2" t="s">
        <v>23314</v>
      </c>
      <c r="R3508" s="2" t="s">
        <v>23315</v>
      </c>
      <c r="S3508" s="2" t="s">
        <v>115</v>
      </c>
      <c r="T3508" s="2" t="s">
        <v>139</v>
      </c>
      <c r="U3508" s="2" t="s">
        <v>140</v>
      </c>
      <c r="V3508" s="2" t="s">
        <v>59</v>
      </c>
      <c r="W3508" s="2">
        <v>37.700000000000003</v>
      </c>
      <c r="X3508" s="2">
        <v>0</v>
      </c>
      <c r="Y3508" s="2" t="s">
        <v>394</v>
      </c>
      <c r="Z3508" s="2" t="s">
        <v>23316</v>
      </c>
      <c r="AA3508" s="2">
        <v>4.8807905611599098</v>
      </c>
      <c r="AB3508" s="2">
        <v>0.212892523279894</v>
      </c>
      <c r="AC3508" s="2">
        <v>8796.1844056291193</v>
      </c>
      <c r="AD3508" s="2">
        <v>4955.8282794008701</v>
      </c>
      <c r="AE3508" s="2">
        <v>12047.702311438399</v>
      </c>
      <c r="AF3508" s="2">
        <v>9397.2667239497205</v>
      </c>
      <c r="AG3508" s="2">
        <v>8952.1727552627508</v>
      </c>
      <c r="AH3508" s="2">
        <v>6345.0852600602202</v>
      </c>
      <c r="AI3508" s="2">
        <v>9317.7485020556305</v>
      </c>
      <c r="AJ3508" s="2">
        <v>6717.13088100801</v>
      </c>
      <c r="AK3508" s="2">
        <v>5606.7646926897896</v>
      </c>
      <c r="AL3508" s="2">
        <v>5354.3868044533501</v>
      </c>
      <c r="AM3508" s="2">
        <v>3121.2867357094501</v>
      </c>
      <c r="AN3508" s="2">
        <v>6227.8243053264496</v>
      </c>
      <c r="AO3508" s="2">
        <v>3560.0444265705501</v>
      </c>
      <c r="AP3508" s="2">
        <v>5864.6627116556401</v>
      </c>
    </row>
    <row r="3509" spans="1:42" ht="14.5" x14ac:dyDescent="0.35">
      <c r="A3509" s="2" t="s">
        <v>23317</v>
      </c>
      <c r="B3509" s="2">
        <v>577.29834225771594</v>
      </c>
      <c r="C3509" s="2">
        <v>7.1973833333333301</v>
      </c>
      <c r="D3509" s="2" t="s">
        <v>70</v>
      </c>
      <c r="E3509" s="2" t="s">
        <v>23318</v>
      </c>
      <c r="F3509" s="2">
        <v>47086</v>
      </c>
      <c r="G3509" s="3" t="str">
        <f>HYPERLINK("http://funmeta.oebiotech.com/network/47086", "http://funmeta.oebiotech.com/network/47086")</f>
        <v>http://funmeta.oebiotech.com/network/47086</v>
      </c>
      <c r="H3509" s="2" t="s">
        <v>23319</v>
      </c>
      <c r="I3509" s="2"/>
      <c r="J3509" s="2"/>
      <c r="K3509" s="2"/>
      <c r="L3509" s="2"/>
      <c r="M3509" s="2"/>
      <c r="N3509" s="2"/>
      <c r="O3509" s="2"/>
      <c r="P3509" s="2" t="s">
        <v>23320</v>
      </c>
      <c r="Q3509" s="2" t="s">
        <v>23321</v>
      </c>
      <c r="R3509" s="2" t="s">
        <v>23322</v>
      </c>
      <c r="S3509" s="2" t="s">
        <v>50</v>
      </c>
      <c r="T3509" s="2" t="s">
        <v>229</v>
      </c>
      <c r="U3509" s="2" t="s">
        <v>1914</v>
      </c>
      <c r="V3509" s="2" t="s">
        <v>59</v>
      </c>
      <c r="W3509" s="2">
        <v>38.700000000000003</v>
      </c>
      <c r="X3509" s="2">
        <v>0</v>
      </c>
      <c r="Y3509" s="2" t="s">
        <v>560</v>
      </c>
      <c r="Z3509" s="2" t="s">
        <v>23323</v>
      </c>
      <c r="AA3509" s="2">
        <v>0.940282558920155</v>
      </c>
      <c r="AB3509" s="2">
        <v>0.21283930257495401</v>
      </c>
      <c r="AC3509" s="2">
        <v>3962.7218361676901</v>
      </c>
      <c r="AD3509" s="2">
        <v>7113.1943911855597</v>
      </c>
      <c r="AE3509" s="2">
        <v>3726.5254494527298</v>
      </c>
      <c r="AF3509" s="2">
        <v>3245.3837340836299</v>
      </c>
      <c r="AG3509" s="2">
        <v>4396.6690387222598</v>
      </c>
      <c r="AH3509" s="2">
        <v>4013.1461297545902</v>
      </c>
      <c r="AI3509" s="2">
        <v>4583.9235764340901</v>
      </c>
      <c r="AJ3509" s="2">
        <v>3810.6830885588201</v>
      </c>
      <c r="AK3509" s="2">
        <v>7632.6658410781602</v>
      </c>
      <c r="AL3509" s="2">
        <v>5994.4958692218797</v>
      </c>
      <c r="AM3509" s="2">
        <v>7107.9158317322399</v>
      </c>
      <c r="AN3509" s="2">
        <v>7358.0742313687597</v>
      </c>
      <c r="AO3509" s="2">
        <v>6543.4574057411101</v>
      </c>
      <c r="AP3509" s="2">
        <v>8042.5571679712202</v>
      </c>
    </row>
    <row r="3510" spans="1:42" ht="14.5" x14ac:dyDescent="0.35">
      <c r="A3510" s="2" t="s">
        <v>23324</v>
      </c>
      <c r="B3510" s="2">
        <v>377.17802739677302</v>
      </c>
      <c r="C3510" s="2">
        <v>4.4793166666666702</v>
      </c>
      <c r="D3510" s="2" t="s">
        <v>34</v>
      </c>
      <c r="E3510" s="2" t="s">
        <v>23325</v>
      </c>
      <c r="F3510" s="2">
        <v>515379</v>
      </c>
      <c r="G3510" s="3" t="str">
        <f>HYPERLINK("http://funmeta.oebiotech.com/network/515379", "http://funmeta.oebiotech.com/network/515379")</f>
        <v>http://funmeta.oebiotech.com/network/515379</v>
      </c>
      <c r="H3510" s="2"/>
      <c r="I3510" s="2">
        <v>96483</v>
      </c>
      <c r="J3510" s="2"/>
      <c r="K3510" s="2"/>
      <c r="L3510" s="2"/>
      <c r="M3510" s="2"/>
      <c r="N3510" s="2"/>
      <c r="O3510" s="2">
        <v>44142782</v>
      </c>
      <c r="P3510" s="2" t="s">
        <v>23326</v>
      </c>
      <c r="Q3510" s="2" t="s">
        <v>23327</v>
      </c>
      <c r="R3510" s="2" t="s">
        <v>23328</v>
      </c>
      <c r="S3510" s="2" t="s">
        <v>148</v>
      </c>
      <c r="T3510" s="2" t="s">
        <v>149</v>
      </c>
      <c r="U3510" s="2" t="s">
        <v>17602</v>
      </c>
      <c r="V3510" s="2" t="s">
        <v>59</v>
      </c>
      <c r="W3510" s="2">
        <v>36.299999999999997</v>
      </c>
      <c r="X3510" s="2">
        <v>0</v>
      </c>
      <c r="Y3510" s="2" t="s">
        <v>43</v>
      </c>
      <c r="Z3510" s="2" t="s">
        <v>23329</v>
      </c>
      <c r="AA3510" s="2">
        <v>-4.1050409495599398</v>
      </c>
      <c r="AB3510" s="2">
        <v>0.21261168868869201</v>
      </c>
      <c r="AC3510" s="2">
        <v>5226.6851422633599</v>
      </c>
      <c r="AD3510" s="2">
        <v>9177.4078653933393</v>
      </c>
      <c r="AE3510" s="2">
        <v>4704.9441066063</v>
      </c>
      <c r="AF3510" s="2">
        <v>5925.5063380230604</v>
      </c>
      <c r="AG3510" s="2">
        <v>4322.2994885108101</v>
      </c>
      <c r="AH3510" s="2">
        <v>7892.2949903224599</v>
      </c>
      <c r="AI3510" s="2">
        <v>4955.0006444349401</v>
      </c>
      <c r="AJ3510" s="2">
        <v>3560.0652856826</v>
      </c>
      <c r="AK3510" s="2">
        <v>8782.4254157478608</v>
      </c>
      <c r="AL3510" s="2">
        <v>13008.780130822201</v>
      </c>
      <c r="AM3510" s="2">
        <v>9025.7672228355605</v>
      </c>
      <c r="AN3510" s="2">
        <v>9786.4113390382408</v>
      </c>
      <c r="AO3510" s="2">
        <v>6443.30887555156</v>
      </c>
      <c r="AP3510" s="2">
        <v>8017.7542083646003</v>
      </c>
    </row>
    <row r="3511" spans="1:42" ht="14.5" x14ac:dyDescent="0.35">
      <c r="A3511" s="2" t="s">
        <v>23330</v>
      </c>
      <c r="B3511" s="2">
        <v>413.12288102241899</v>
      </c>
      <c r="C3511" s="2">
        <v>8.6905333333333292</v>
      </c>
      <c r="D3511" s="2" t="s">
        <v>34</v>
      </c>
      <c r="E3511" s="2" t="s">
        <v>23331</v>
      </c>
      <c r="F3511" s="2">
        <v>29153</v>
      </c>
      <c r="G3511" s="3" t="str">
        <f>HYPERLINK("http://funmeta.oebiotech.com/network/29153", "http://funmeta.oebiotech.com/network/29153")</f>
        <v>http://funmeta.oebiotech.com/network/29153</v>
      </c>
      <c r="H3511" s="2"/>
      <c r="I3511" s="2">
        <v>64295</v>
      </c>
      <c r="J3511" s="2" t="s">
        <v>23332</v>
      </c>
      <c r="K3511" s="2">
        <v>7775</v>
      </c>
      <c r="L3511" s="2" t="s">
        <v>23333</v>
      </c>
      <c r="M3511" s="2" t="s">
        <v>1366</v>
      </c>
      <c r="N3511" s="2" t="s">
        <v>1367</v>
      </c>
      <c r="O3511" s="2">
        <v>442813</v>
      </c>
      <c r="P3511" s="2" t="s">
        <v>23334</v>
      </c>
      <c r="Q3511" s="2" t="s">
        <v>23335</v>
      </c>
      <c r="R3511" s="2" t="s">
        <v>23336</v>
      </c>
      <c r="S3511" s="2" t="s">
        <v>115</v>
      </c>
      <c r="T3511" s="2" t="s">
        <v>1371</v>
      </c>
      <c r="U3511" s="2" t="s">
        <v>1372</v>
      </c>
      <c r="V3511" s="2" t="s">
        <v>59</v>
      </c>
      <c r="W3511" s="2">
        <v>38.799999999999997</v>
      </c>
      <c r="X3511" s="2">
        <v>0</v>
      </c>
      <c r="Y3511" s="2" t="s">
        <v>141</v>
      </c>
      <c r="Z3511" s="2" t="s">
        <v>8197</v>
      </c>
      <c r="AA3511" s="2">
        <v>-0.49522459013301501</v>
      </c>
      <c r="AB3511" s="2">
        <v>0.21257579070046101</v>
      </c>
      <c r="AC3511" s="2">
        <v>25461.898447891301</v>
      </c>
      <c r="AD3511" s="2">
        <v>20371.072672081998</v>
      </c>
      <c r="AE3511" s="2">
        <v>26271.5162352437</v>
      </c>
      <c r="AF3511" s="2">
        <v>28899.8730897489</v>
      </c>
      <c r="AG3511" s="2">
        <v>27651.248496588101</v>
      </c>
      <c r="AH3511" s="2">
        <v>27185.843840542399</v>
      </c>
      <c r="AI3511" s="2">
        <v>20829.388560567601</v>
      </c>
      <c r="AJ3511" s="2">
        <v>21933.520464657198</v>
      </c>
      <c r="AK3511" s="2">
        <v>16196.7787449641</v>
      </c>
      <c r="AL3511" s="2">
        <v>21599.262299254999</v>
      </c>
      <c r="AM3511" s="2">
        <v>22509.381310293102</v>
      </c>
      <c r="AN3511" s="2">
        <v>15132.243243745799</v>
      </c>
      <c r="AO3511" s="2">
        <v>27617.5363384989</v>
      </c>
      <c r="AP3511" s="2">
        <v>19171.234095735101</v>
      </c>
    </row>
    <row r="3512" spans="1:42" ht="14.5" x14ac:dyDescent="0.35">
      <c r="A3512" s="2" t="s">
        <v>23337</v>
      </c>
      <c r="B3512" s="2">
        <v>438.161457717031</v>
      </c>
      <c r="C3512" s="2">
        <v>5.26453333333333</v>
      </c>
      <c r="D3512" s="2" t="s">
        <v>70</v>
      </c>
      <c r="E3512" s="2" t="s">
        <v>23338</v>
      </c>
      <c r="F3512" s="2">
        <v>58279</v>
      </c>
      <c r="G3512" s="3" t="str">
        <f>HYPERLINK("http://funmeta.oebiotech.com/network/58279", "http://funmeta.oebiotech.com/network/58279")</f>
        <v>http://funmeta.oebiotech.com/network/58279</v>
      </c>
      <c r="H3512" s="2" t="s">
        <v>23339</v>
      </c>
      <c r="I3512" s="2">
        <v>89777</v>
      </c>
      <c r="J3512" s="2"/>
      <c r="K3512" s="2">
        <v>169655</v>
      </c>
      <c r="L3512" s="2"/>
      <c r="M3512" s="2"/>
      <c r="N3512" s="2"/>
      <c r="O3512" s="2">
        <v>131751537</v>
      </c>
      <c r="P3512" s="2" t="s">
        <v>23340</v>
      </c>
      <c r="Q3512" s="2" t="s">
        <v>23341</v>
      </c>
      <c r="R3512" s="2" t="s">
        <v>23342</v>
      </c>
      <c r="S3512" s="2" t="s">
        <v>79</v>
      </c>
      <c r="T3512" s="2" t="s">
        <v>80</v>
      </c>
      <c r="U3512" s="2" t="s">
        <v>81</v>
      </c>
      <c r="V3512" s="2" t="s">
        <v>59</v>
      </c>
      <c r="W3512" s="2">
        <v>38</v>
      </c>
      <c r="X3512" s="2">
        <v>0</v>
      </c>
      <c r="Y3512" s="2" t="s">
        <v>408</v>
      </c>
      <c r="Z3512" s="2" t="s">
        <v>23343</v>
      </c>
      <c r="AA3512" s="2">
        <v>-0.61353421972305899</v>
      </c>
      <c r="AB3512" s="2">
        <v>0.21249989848824699</v>
      </c>
      <c r="AC3512" s="2">
        <v>16587.692048962101</v>
      </c>
      <c r="AD3512" s="2">
        <v>20387.872553888901</v>
      </c>
      <c r="AE3512" s="2">
        <v>17127.806821986</v>
      </c>
      <c r="AF3512" s="2">
        <v>15949.237755141499</v>
      </c>
      <c r="AG3512" s="2">
        <v>14516.6508492005</v>
      </c>
      <c r="AH3512" s="2">
        <v>15618.6938675413</v>
      </c>
      <c r="AI3512" s="2">
        <v>19496.221156480799</v>
      </c>
      <c r="AJ3512" s="2">
        <v>16817.541843422699</v>
      </c>
      <c r="AK3512" s="2">
        <v>18830.0566455689</v>
      </c>
      <c r="AL3512" s="2">
        <v>18024.574729566</v>
      </c>
      <c r="AM3512" s="2">
        <v>22199.775644830999</v>
      </c>
      <c r="AN3512" s="2">
        <v>19832.815013913299</v>
      </c>
      <c r="AO3512" s="2">
        <v>21202.1595105663</v>
      </c>
      <c r="AP3512" s="2">
        <v>22237.853778887798</v>
      </c>
    </row>
    <row r="3513" spans="1:42" ht="14.5" x14ac:dyDescent="0.35">
      <c r="A3513" s="2" t="s">
        <v>23344</v>
      </c>
      <c r="B3513" s="2">
        <v>1121.4918764576901</v>
      </c>
      <c r="C3513" s="2">
        <v>5.8281166666666699</v>
      </c>
      <c r="D3513" s="2" t="s">
        <v>34</v>
      </c>
      <c r="E3513" s="2" t="s">
        <v>23345</v>
      </c>
      <c r="F3513" s="2">
        <v>83645</v>
      </c>
      <c r="G3513" s="3" t="str">
        <f>HYPERLINK("http://funmeta.oebiotech.com/network/83645", "http://funmeta.oebiotech.com/network/83645")</f>
        <v>http://funmeta.oebiotech.com/network/83645</v>
      </c>
      <c r="H3513" s="2" t="s">
        <v>23346</v>
      </c>
      <c r="I3513" s="2"/>
      <c r="J3513" s="2"/>
      <c r="K3513" s="2"/>
      <c r="L3513" s="2"/>
      <c r="M3513" s="2"/>
      <c r="N3513" s="2"/>
      <c r="O3513" s="2">
        <v>75250440</v>
      </c>
      <c r="P3513" s="2"/>
      <c r="Q3513" s="2" t="s">
        <v>23347</v>
      </c>
      <c r="R3513" s="2" t="s">
        <v>23348</v>
      </c>
      <c r="S3513" s="2" t="s">
        <v>50</v>
      </c>
      <c r="T3513" s="2" t="s">
        <v>229</v>
      </c>
      <c r="U3513" s="2" t="s">
        <v>10433</v>
      </c>
      <c r="V3513" s="2" t="s">
        <v>59</v>
      </c>
      <c r="W3513" s="2">
        <v>37.299999999999997</v>
      </c>
      <c r="X3513" s="2">
        <v>0</v>
      </c>
      <c r="Y3513" s="2" t="s">
        <v>43</v>
      </c>
      <c r="Z3513" s="2" t="s">
        <v>23349</v>
      </c>
      <c r="AA3513" s="2">
        <v>3.2859589700293701</v>
      </c>
      <c r="AB3513" s="2">
        <v>0.212309335895942</v>
      </c>
      <c r="AC3513" s="2">
        <v>5462.7669345997601</v>
      </c>
      <c r="AD3513" s="2">
        <v>1570.6637041423</v>
      </c>
      <c r="AE3513" s="2">
        <v>5525.5307651521798</v>
      </c>
      <c r="AF3513" s="2">
        <v>2834.5643328243</v>
      </c>
      <c r="AG3513" s="2">
        <v>9023.3548569126706</v>
      </c>
      <c r="AH3513" s="2">
        <v>5333.71258757757</v>
      </c>
      <c r="AI3513" s="2">
        <v>4106.3158629673699</v>
      </c>
      <c r="AJ3513" s="2">
        <v>5953.1232021644901</v>
      </c>
      <c r="AK3513" s="2">
        <v>1646.44330862165</v>
      </c>
      <c r="AL3513" s="2">
        <v>4474.5174526198598</v>
      </c>
      <c r="AM3513" s="2">
        <v>2.7106294003980101E-5</v>
      </c>
      <c r="AN3513" s="2">
        <v>2.7106294003980101E-5</v>
      </c>
      <c r="AO3513" s="2">
        <v>1685.2537273737</v>
      </c>
      <c r="AP3513" s="2">
        <v>1617.7676820259901</v>
      </c>
    </row>
    <row r="3514" spans="1:42" ht="14.5" x14ac:dyDescent="0.35">
      <c r="A3514" s="2" t="s">
        <v>23350</v>
      </c>
      <c r="B3514" s="2">
        <v>201.11246671320001</v>
      </c>
      <c r="C3514" s="2">
        <v>5.8600666666666701</v>
      </c>
      <c r="D3514" s="2" t="s">
        <v>70</v>
      </c>
      <c r="E3514" s="2" t="s">
        <v>23351</v>
      </c>
      <c r="F3514" s="2">
        <v>60674</v>
      </c>
      <c r="G3514" s="3" t="str">
        <f>HYPERLINK("http://funmeta.oebiotech.com/network/60674", "http://funmeta.oebiotech.com/network/60674")</f>
        <v>http://funmeta.oebiotech.com/network/60674</v>
      </c>
      <c r="H3514" s="2" t="s">
        <v>23352</v>
      </c>
      <c r="I3514" s="2">
        <v>92006</v>
      </c>
      <c r="J3514" s="2"/>
      <c r="K3514" s="2">
        <v>171777</v>
      </c>
      <c r="L3514" s="2"/>
      <c r="M3514" s="2"/>
      <c r="N3514" s="2"/>
      <c r="O3514" s="2">
        <v>101115</v>
      </c>
      <c r="P3514" s="2" t="s">
        <v>23353</v>
      </c>
      <c r="Q3514" s="2" t="s">
        <v>23354</v>
      </c>
      <c r="R3514" s="2" t="s">
        <v>23355</v>
      </c>
      <c r="S3514" s="2" t="s">
        <v>79</v>
      </c>
      <c r="T3514" s="2" t="s">
        <v>80</v>
      </c>
      <c r="U3514" s="2" t="s">
        <v>2820</v>
      </c>
      <c r="V3514" s="2" t="s">
        <v>42</v>
      </c>
      <c r="W3514" s="2">
        <v>48.3</v>
      </c>
      <c r="X3514" s="2">
        <v>49.4</v>
      </c>
      <c r="Y3514" s="2" t="s">
        <v>408</v>
      </c>
      <c r="Z3514" s="2" t="s">
        <v>23356</v>
      </c>
      <c r="AA3514" s="2">
        <v>-4.9060557524296797</v>
      </c>
      <c r="AB3514" s="2">
        <v>0.21229911078574501</v>
      </c>
      <c r="AC3514" s="2">
        <v>4652.1022331116901</v>
      </c>
      <c r="AD3514" s="2">
        <v>7712.4182056316104</v>
      </c>
      <c r="AE3514" s="2">
        <v>4366.8266163527696</v>
      </c>
      <c r="AF3514" s="2">
        <v>4941.5352560354004</v>
      </c>
      <c r="AG3514" s="2">
        <v>4754.5201631356604</v>
      </c>
      <c r="AH3514" s="2">
        <v>4548.6054111212698</v>
      </c>
      <c r="AI3514" s="2">
        <v>4858.8752145061098</v>
      </c>
      <c r="AJ3514" s="2">
        <v>4442.2507375189498</v>
      </c>
      <c r="AK3514" s="2">
        <v>7108.4774385254204</v>
      </c>
      <c r="AL3514" s="2">
        <v>8466.4551962584392</v>
      </c>
      <c r="AM3514" s="2">
        <v>8394.1379713852202</v>
      </c>
      <c r="AN3514" s="2">
        <v>7245.4465859704396</v>
      </c>
      <c r="AO3514" s="2">
        <v>7619.4258028376898</v>
      </c>
      <c r="AP3514" s="2">
        <v>7440.5662388124501</v>
      </c>
    </row>
    <row r="3515" spans="1:42" ht="14.5" x14ac:dyDescent="0.35">
      <c r="A3515" s="2" t="s">
        <v>23357</v>
      </c>
      <c r="B3515" s="2">
        <v>175.07527477268499</v>
      </c>
      <c r="C3515" s="2">
        <v>4.5826500000000001</v>
      </c>
      <c r="D3515" s="2" t="s">
        <v>34</v>
      </c>
      <c r="E3515" s="2" t="s">
        <v>23358</v>
      </c>
      <c r="F3515" s="2">
        <v>280500</v>
      </c>
      <c r="G3515" s="3" t="str">
        <f>HYPERLINK("http://funmeta.oebiotech.com/network/280500", "http://funmeta.oebiotech.com/network/280500")</f>
        <v>http://funmeta.oebiotech.com/network/280500</v>
      </c>
      <c r="H3515" s="2"/>
      <c r="I3515" s="2">
        <v>84964</v>
      </c>
      <c r="J3515" s="2"/>
      <c r="K3515" s="2"/>
      <c r="L3515" s="2"/>
      <c r="M3515" s="2"/>
      <c r="N3515" s="2"/>
      <c r="O3515" s="2">
        <v>676946</v>
      </c>
      <c r="P3515" s="2" t="s">
        <v>23359</v>
      </c>
      <c r="Q3515" s="2" t="s">
        <v>23360</v>
      </c>
      <c r="R3515" s="2" t="s">
        <v>23361</v>
      </c>
      <c r="S3515" s="2" t="s">
        <v>115</v>
      </c>
      <c r="T3515" s="2" t="s">
        <v>116</v>
      </c>
      <c r="U3515" s="2" t="s">
        <v>117</v>
      </c>
      <c r="V3515" s="2" t="s">
        <v>42</v>
      </c>
      <c r="W3515" s="2">
        <v>53.7</v>
      </c>
      <c r="X3515" s="2">
        <v>70.7</v>
      </c>
      <c r="Y3515" s="2" t="s">
        <v>266</v>
      </c>
      <c r="Z3515" s="2" t="s">
        <v>23362</v>
      </c>
      <c r="AA3515" s="2">
        <v>-0.42285197819403703</v>
      </c>
      <c r="AB3515" s="2">
        <v>0.21228775892553001</v>
      </c>
      <c r="AC3515" s="2">
        <v>72878.564165625794</v>
      </c>
      <c r="AD3515" s="2">
        <v>77744.164161872104</v>
      </c>
      <c r="AE3515" s="2">
        <v>69142.5278146317</v>
      </c>
      <c r="AF3515" s="2">
        <v>77137.735823499999</v>
      </c>
      <c r="AG3515" s="2">
        <v>73563.946899160001</v>
      </c>
      <c r="AH3515" s="2">
        <v>68210.986812731702</v>
      </c>
      <c r="AI3515" s="2">
        <v>75992.644211016697</v>
      </c>
      <c r="AJ3515" s="2">
        <v>73223.543432714694</v>
      </c>
      <c r="AK3515" s="2">
        <v>78385.293945496494</v>
      </c>
      <c r="AL3515" s="2">
        <v>78365.874671832004</v>
      </c>
      <c r="AM3515" s="2">
        <v>74720.209492819995</v>
      </c>
      <c r="AN3515" s="2">
        <v>82789.495458441103</v>
      </c>
      <c r="AO3515" s="2">
        <v>73040.3207549785</v>
      </c>
      <c r="AP3515" s="2">
        <v>79163.790647664806</v>
      </c>
    </row>
    <row r="3516" spans="1:42" ht="14.5" x14ac:dyDescent="0.35">
      <c r="A3516" s="2" t="s">
        <v>23363</v>
      </c>
      <c r="B3516" s="2">
        <v>365.14496901959001</v>
      </c>
      <c r="C3516" s="2">
        <v>3.95061666666667</v>
      </c>
      <c r="D3516" s="2" t="s">
        <v>70</v>
      </c>
      <c r="E3516" s="2" t="s">
        <v>23364</v>
      </c>
      <c r="F3516" s="2">
        <v>51443</v>
      </c>
      <c r="G3516" s="3" t="str">
        <f>HYPERLINK("http://funmeta.oebiotech.com/network/51443", "http://funmeta.oebiotech.com/network/51443")</f>
        <v>http://funmeta.oebiotech.com/network/51443</v>
      </c>
      <c r="H3516" s="2" t="s">
        <v>23365</v>
      </c>
      <c r="I3516" s="2">
        <v>62402</v>
      </c>
      <c r="J3516" s="2"/>
      <c r="K3516" s="2">
        <v>28643</v>
      </c>
      <c r="L3516" s="2" t="s">
        <v>23366</v>
      </c>
      <c r="M3516" s="2"/>
      <c r="N3516" s="2"/>
      <c r="O3516" s="2">
        <v>127546</v>
      </c>
      <c r="P3516" s="2" t="s">
        <v>23367</v>
      </c>
      <c r="Q3516" s="2" t="s">
        <v>23368</v>
      </c>
      <c r="R3516" s="2" t="s">
        <v>23369</v>
      </c>
      <c r="S3516" s="2" t="s">
        <v>491</v>
      </c>
      <c r="T3516" s="2" t="s">
        <v>4517</v>
      </c>
      <c r="U3516" s="2" t="s">
        <v>4518</v>
      </c>
      <c r="V3516" s="2" t="s">
        <v>59</v>
      </c>
      <c r="W3516" s="2">
        <v>39.200000000000003</v>
      </c>
      <c r="X3516" s="2">
        <v>0</v>
      </c>
      <c r="Y3516" s="2" t="s">
        <v>560</v>
      </c>
      <c r="Z3516" s="2" t="s">
        <v>23370</v>
      </c>
      <c r="AA3516" s="2">
        <v>2.7211380325091401</v>
      </c>
      <c r="AB3516" s="2">
        <v>0.21219523554729</v>
      </c>
      <c r="AC3516" s="2">
        <v>5422.1491006268798</v>
      </c>
      <c r="AD3516" s="2">
        <v>8529.4002748572202</v>
      </c>
      <c r="AE3516" s="2">
        <v>5797.8375312957696</v>
      </c>
      <c r="AF3516" s="2">
        <v>5495.8157933152597</v>
      </c>
      <c r="AG3516" s="2">
        <v>4087.2394830260801</v>
      </c>
      <c r="AH3516" s="2">
        <v>5722.1515714823699</v>
      </c>
      <c r="AI3516" s="2">
        <v>5936.5775081391303</v>
      </c>
      <c r="AJ3516" s="2">
        <v>5493.2727165026799</v>
      </c>
      <c r="AK3516" s="2">
        <v>8836.8746137897597</v>
      </c>
      <c r="AL3516" s="2">
        <v>8846.9942003120395</v>
      </c>
      <c r="AM3516" s="2">
        <v>8387.1190125157991</v>
      </c>
      <c r="AN3516" s="2">
        <v>7891.9486320675596</v>
      </c>
      <c r="AO3516" s="2">
        <v>8260.9330636336508</v>
      </c>
      <c r="AP3516" s="2">
        <v>8952.5321268245007</v>
      </c>
    </row>
    <row r="3517" spans="1:42" ht="14.5" x14ac:dyDescent="0.35">
      <c r="A3517" s="2" t="s">
        <v>23371</v>
      </c>
      <c r="B3517" s="2">
        <v>120.065412675836</v>
      </c>
      <c r="C3517" s="2">
        <v>0.71894999999999998</v>
      </c>
      <c r="D3517" s="2" t="s">
        <v>34</v>
      </c>
      <c r="E3517" s="2" t="s">
        <v>23372</v>
      </c>
      <c r="F3517" s="2">
        <v>46907</v>
      </c>
      <c r="G3517" s="3" t="str">
        <f>HYPERLINK("http://funmeta.oebiotech.com/network/46907", "http://funmeta.oebiotech.com/network/46907")</f>
        <v>http://funmeta.oebiotech.com/network/46907</v>
      </c>
      <c r="H3517" s="2" t="s">
        <v>23373</v>
      </c>
      <c r="I3517" s="2">
        <v>32</v>
      </c>
      <c r="J3517" s="2"/>
      <c r="K3517" s="2">
        <v>16857</v>
      </c>
      <c r="L3517" s="2" t="s">
        <v>23374</v>
      </c>
      <c r="M3517" s="2" t="s">
        <v>23375</v>
      </c>
      <c r="N3517" s="2" t="s">
        <v>23376</v>
      </c>
      <c r="O3517" s="2">
        <v>6288</v>
      </c>
      <c r="P3517" s="2" t="s">
        <v>23377</v>
      </c>
      <c r="Q3517" s="2" t="s">
        <v>23378</v>
      </c>
      <c r="R3517" s="2" t="s">
        <v>23379</v>
      </c>
      <c r="S3517" s="2" t="s">
        <v>89</v>
      </c>
      <c r="T3517" s="2" t="s">
        <v>90</v>
      </c>
      <c r="U3517" s="2" t="s">
        <v>99</v>
      </c>
      <c r="V3517" s="2" t="s">
        <v>42</v>
      </c>
      <c r="W3517" s="2">
        <v>54</v>
      </c>
      <c r="X3517" s="2">
        <v>75.900000000000006</v>
      </c>
      <c r="Y3517" s="2" t="s">
        <v>266</v>
      </c>
      <c r="Z3517" s="2" t="s">
        <v>23380</v>
      </c>
      <c r="AA3517" s="2">
        <v>-0.89794936451384499</v>
      </c>
      <c r="AB3517" s="2">
        <v>0.21209495595066599</v>
      </c>
      <c r="AC3517" s="2">
        <v>35014.107867442697</v>
      </c>
      <c r="AD3517" s="2">
        <v>30108.5641977126</v>
      </c>
      <c r="AE3517" s="2">
        <v>36165.943465839002</v>
      </c>
      <c r="AF3517" s="2">
        <v>31670.3876530507</v>
      </c>
      <c r="AG3517" s="2">
        <v>36461.046751505397</v>
      </c>
      <c r="AH3517" s="2">
        <v>31690.3830101979</v>
      </c>
      <c r="AI3517" s="2">
        <v>39328.244906143598</v>
      </c>
      <c r="AJ3517" s="2">
        <v>34768.641417919898</v>
      </c>
      <c r="AK3517" s="2">
        <v>27199.342926523201</v>
      </c>
      <c r="AL3517" s="2">
        <v>27714.1698669545</v>
      </c>
      <c r="AM3517" s="2">
        <v>36062.594054527799</v>
      </c>
      <c r="AN3517" s="2">
        <v>27766.774078095499</v>
      </c>
      <c r="AO3517" s="2">
        <v>34104.3538971694</v>
      </c>
      <c r="AP3517" s="2">
        <v>27804.150363005301</v>
      </c>
    </row>
    <row r="3518" spans="1:42" ht="14.5" x14ac:dyDescent="0.35">
      <c r="A3518" s="2" t="s">
        <v>23381</v>
      </c>
      <c r="B3518" s="2">
        <v>211.021376000739</v>
      </c>
      <c r="C3518" s="2">
        <v>2.5640666666666698</v>
      </c>
      <c r="D3518" s="2" t="s">
        <v>34</v>
      </c>
      <c r="E3518" s="2" t="s">
        <v>23382</v>
      </c>
      <c r="F3518" s="2">
        <v>48716</v>
      </c>
      <c r="G3518" s="3" t="str">
        <f>HYPERLINK("http://funmeta.oebiotech.com/network/48716", "http://funmeta.oebiotech.com/network/48716")</f>
        <v>http://funmeta.oebiotech.com/network/48716</v>
      </c>
      <c r="H3518" s="2" t="s">
        <v>23383</v>
      </c>
      <c r="I3518" s="2">
        <v>58403</v>
      </c>
      <c r="J3518" s="2"/>
      <c r="K3518" s="2">
        <v>16717</v>
      </c>
      <c r="L3518" s="2" t="s">
        <v>23384</v>
      </c>
      <c r="M3518" s="2" t="s">
        <v>21081</v>
      </c>
      <c r="N3518" s="2" t="s">
        <v>21082</v>
      </c>
      <c r="O3518" s="2">
        <v>3080625</v>
      </c>
      <c r="P3518" s="2" t="s">
        <v>23385</v>
      </c>
      <c r="Q3518" s="2" t="s">
        <v>23386</v>
      </c>
      <c r="R3518" s="2" t="s">
        <v>23387</v>
      </c>
      <c r="S3518" s="2" t="s">
        <v>89</v>
      </c>
      <c r="T3518" s="2" t="s">
        <v>90</v>
      </c>
      <c r="U3518" s="2" t="s">
        <v>91</v>
      </c>
      <c r="V3518" s="2" t="s">
        <v>59</v>
      </c>
      <c r="W3518" s="2">
        <v>39.200000000000003</v>
      </c>
      <c r="X3518" s="2">
        <v>0</v>
      </c>
      <c r="Y3518" s="2" t="s">
        <v>194</v>
      </c>
      <c r="Z3518" s="2" t="s">
        <v>23121</v>
      </c>
      <c r="AA3518" s="2">
        <v>0.35816662749100198</v>
      </c>
      <c r="AB3518" s="2">
        <v>0.212030740071249</v>
      </c>
      <c r="AC3518" s="2">
        <v>15886.6735250646</v>
      </c>
      <c r="AD3518" s="2">
        <v>19202.8731474776</v>
      </c>
      <c r="AE3518" s="2">
        <v>14225.3118264927</v>
      </c>
      <c r="AF3518" s="2">
        <v>14911.826338139401</v>
      </c>
      <c r="AG3518" s="2">
        <v>16701.017242660801</v>
      </c>
      <c r="AH3518" s="2">
        <v>16316.7521223851</v>
      </c>
      <c r="AI3518" s="2">
        <v>16933.342759233899</v>
      </c>
      <c r="AJ3518" s="2">
        <v>16231.7908614756</v>
      </c>
      <c r="AK3518" s="2">
        <v>18442.6313855054</v>
      </c>
      <c r="AL3518" s="2">
        <v>18802.3643047275</v>
      </c>
      <c r="AM3518" s="2">
        <v>19089.172720977898</v>
      </c>
      <c r="AN3518" s="2">
        <v>19416.127986592601</v>
      </c>
      <c r="AO3518" s="2">
        <v>18722.455524992001</v>
      </c>
      <c r="AP3518" s="2">
        <v>20744.486962070299</v>
      </c>
    </row>
    <row r="3519" spans="1:42" ht="14.5" x14ac:dyDescent="0.35">
      <c r="A3519" s="2" t="s">
        <v>23388</v>
      </c>
      <c r="B3519" s="2">
        <v>434.070209312305</v>
      </c>
      <c r="C3519" s="2">
        <v>1.4272166666666699</v>
      </c>
      <c r="D3519" s="2" t="s">
        <v>70</v>
      </c>
      <c r="E3519" s="2" t="s">
        <v>23389</v>
      </c>
      <c r="F3519" s="2">
        <v>48288</v>
      </c>
      <c r="G3519" s="3" t="str">
        <f>HYPERLINK("http://funmeta.oebiotech.com/network/48288", "http://funmeta.oebiotech.com/network/48288")</f>
        <v>http://funmeta.oebiotech.com/network/48288</v>
      </c>
      <c r="H3519" s="2" t="s">
        <v>23390</v>
      </c>
      <c r="I3519" s="2">
        <v>58238</v>
      </c>
      <c r="J3519" s="2"/>
      <c r="K3519" s="2">
        <v>27438</v>
      </c>
      <c r="L3519" s="2" t="s">
        <v>23391</v>
      </c>
      <c r="M3519" s="2" t="s">
        <v>10166</v>
      </c>
      <c r="N3519" s="2" t="s">
        <v>10167</v>
      </c>
      <c r="O3519" s="2">
        <v>440962</v>
      </c>
      <c r="P3519" s="2" t="s">
        <v>23392</v>
      </c>
      <c r="Q3519" s="2" t="s">
        <v>23393</v>
      </c>
      <c r="R3519" s="2" t="s">
        <v>23394</v>
      </c>
      <c r="S3519" s="2" t="s">
        <v>79</v>
      </c>
      <c r="T3519" s="2" t="s">
        <v>80</v>
      </c>
      <c r="U3519" s="2" t="s">
        <v>81</v>
      </c>
      <c r="V3519" s="2" t="s">
        <v>59</v>
      </c>
      <c r="W3519" s="2">
        <v>40.9</v>
      </c>
      <c r="X3519" s="2">
        <v>9.51</v>
      </c>
      <c r="Y3519" s="2" t="s">
        <v>408</v>
      </c>
      <c r="Z3519" s="2" t="s">
        <v>23395</v>
      </c>
      <c r="AA3519" s="2">
        <v>-0.78460637148928203</v>
      </c>
      <c r="AB3519" s="2">
        <v>0.212028784559983</v>
      </c>
      <c r="AC3519" s="2">
        <v>7779.3344179660699</v>
      </c>
      <c r="AD3519" s="2">
        <v>4568.4216305609298</v>
      </c>
      <c r="AE3519" s="2">
        <v>7331.2542620732802</v>
      </c>
      <c r="AF3519" s="2">
        <v>7312.53386963105</v>
      </c>
      <c r="AG3519" s="2">
        <v>7759.0768049801</v>
      </c>
      <c r="AH3519" s="2">
        <v>9031.3114032311605</v>
      </c>
      <c r="AI3519" s="2">
        <v>7967.4275695427796</v>
      </c>
      <c r="AJ3519" s="2">
        <v>7274.4025983380197</v>
      </c>
      <c r="AK3519" s="2">
        <v>4551.7427552489698</v>
      </c>
      <c r="AL3519" s="2">
        <v>3973.8493415809899</v>
      </c>
      <c r="AM3519" s="2">
        <v>3543.10350530704</v>
      </c>
      <c r="AN3519" s="2">
        <v>5008.7238374695598</v>
      </c>
      <c r="AO3519" s="2">
        <v>5839.5016746977999</v>
      </c>
      <c r="AP3519" s="2">
        <v>4493.6086690612101</v>
      </c>
    </row>
    <row r="3520" spans="1:42" ht="14.5" x14ac:dyDescent="0.35">
      <c r="A3520" s="2" t="s">
        <v>23396</v>
      </c>
      <c r="B3520" s="2">
        <v>853.34113717706396</v>
      </c>
      <c r="C3520" s="2">
        <v>7.1594666666666704</v>
      </c>
      <c r="D3520" s="2" t="s">
        <v>70</v>
      </c>
      <c r="E3520" s="2" t="s">
        <v>23397</v>
      </c>
      <c r="F3520" s="2">
        <v>209997</v>
      </c>
      <c r="G3520" s="3" t="str">
        <f>HYPERLINK("http://funmeta.oebiotech.com/network/209997", "http://funmeta.oebiotech.com/network/209997")</f>
        <v>http://funmeta.oebiotech.com/network/209997</v>
      </c>
      <c r="H3520" s="2" t="s">
        <v>23398</v>
      </c>
      <c r="I3520" s="2"/>
      <c r="J3520" s="2"/>
      <c r="K3520" s="2"/>
      <c r="L3520" s="2"/>
      <c r="M3520" s="2"/>
      <c r="N3520" s="2"/>
      <c r="O3520" s="2">
        <v>53702</v>
      </c>
      <c r="P3520" s="2"/>
      <c r="Q3520" s="2" t="s">
        <v>23399</v>
      </c>
      <c r="R3520" s="2" t="s">
        <v>23400</v>
      </c>
      <c r="S3520" s="2" t="s">
        <v>41</v>
      </c>
      <c r="T3520" s="2" t="s">
        <v>41</v>
      </c>
      <c r="U3520" s="2" t="s">
        <v>41</v>
      </c>
      <c r="V3520" s="2" t="s">
        <v>59</v>
      </c>
      <c r="W3520" s="2">
        <v>37.200000000000003</v>
      </c>
      <c r="X3520" s="2">
        <v>0</v>
      </c>
      <c r="Y3520" s="2" t="s">
        <v>560</v>
      </c>
      <c r="Z3520" s="2" t="s">
        <v>23401</v>
      </c>
      <c r="AA3520" s="2">
        <v>-3.99570531325312</v>
      </c>
      <c r="AB3520" s="2">
        <v>0.21181276544430899</v>
      </c>
      <c r="AC3520" s="2">
        <v>9225.3135727372792</v>
      </c>
      <c r="AD3520" s="2">
        <v>5535.2599081639601</v>
      </c>
      <c r="AE3520" s="2">
        <v>7377.1992228759</v>
      </c>
      <c r="AF3520" s="2">
        <v>7243.7139234049</v>
      </c>
      <c r="AG3520" s="2">
        <v>9517.3239603255406</v>
      </c>
      <c r="AH3520" s="2">
        <v>11599.2191457956</v>
      </c>
      <c r="AI3520" s="2">
        <v>10736.0210703749</v>
      </c>
      <c r="AJ3520" s="2">
        <v>8878.4041136468695</v>
      </c>
      <c r="AK3520" s="2">
        <v>4525.5497193497204</v>
      </c>
      <c r="AL3520" s="2">
        <v>5804.3479341005204</v>
      </c>
      <c r="AM3520" s="2">
        <v>4834.4681032384497</v>
      </c>
      <c r="AN3520" s="2">
        <v>4961.2652312896698</v>
      </c>
      <c r="AO3520" s="2">
        <v>7750.98050471642</v>
      </c>
      <c r="AP3520" s="2">
        <v>5334.9479562889801</v>
      </c>
    </row>
    <row r="3521" spans="1:42" ht="14.5" x14ac:dyDescent="0.35">
      <c r="A3521" s="2" t="s">
        <v>23402</v>
      </c>
      <c r="B3521" s="2">
        <v>387.14921064852302</v>
      </c>
      <c r="C3521" s="2">
        <v>0.75019999999999998</v>
      </c>
      <c r="D3521" s="2" t="s">
        <v>34</v>
      </c>
      <c r="E3521" s="2" t="s">
        <v>23403</v>
      </c>
      <c r="F3521" s="2">
        <v>516475</v>
      </c>
      <c r="G3521" s="3" t="str">
        <f>HYPERLINK("http://funmeta.oebiotech.com/network/516475", "http://funmeta.oebiotech.com/network/516475")</f>
        <v>http://funmeta.oebiotech.com/network/516475</v>
      </c>
      <c r="H3521" s="2"/>
      <c r="I3521" s="2">
        <v>96590</v>
      </c>
      <c r="J3521" s="2"/>
      <c r="K3521" s="2"/>
      <c r="L3521" s="2"/>
      <c r="M3521" s="2"/>
      <c r="N3521" s="2"/>
      <c r="O3521" s="2">
        <v>76974832</v>
      </c>
      <c r="P3521" s="2"/>
      <c r="Q3521" s="2" t="s">
        <v>23404</v>
      </c>
      <c r="R3521" s="2" t="s">
        <v>23405</v>
      </c>
      <c r="S3521" s="2" t="s">
        <v>491</v>
      </c>
      <c r="T3521" s="2" t="s">
        <v>2184</v>
      </c>
      <c r="U3521" s="2" t="s">
        <v>2185</v>
      </c>
      <c r="V3521" s="2" t="s">
        <v>59</v>
      </c>
      <c r="W3521" s="2">
        <v>36.9</v>
      </c>
      <c r="X3521" s="2">
        <v>0</v>
      </c>
      <c r="Y3521" s="2" t="s">
        <v>340</v>
      </c>
      <c r="Z3521" s="2" t="s">
        <v>23406</v>
      </c>
      <c r="AA3521" s="2">
        <v>-7.3525595722970802</v>
      </c>
      <c r="AB3521" s="2">
        <v>0.21158088610548101</v>
      </c>
      <c r="AC3521" s="2">
        <v>24152.082510000098</v>
      </c>
      <c r="AD3521" s="2">
        <v>29314.4748285963</v>
      </c>
      <c r="AE3521" s="2">
        <v>19755.991065808201</v>
      </c>
      <c r="AF3521" s="2">
        <v>22347.123890662901</v>
      </c>
      <c r="AG3521" s="2">
        <v>24754.45048788</v>
      </c>
      <c r="AH3521" s="2">
        <v>19913.144409360699</v>
      </c>
      <c r="AI3521" s="2">
        <v>33890.293279875201</v>
      </c>
      <c r="AJ3521" s="2">
        <v>24251.491926413299</v>
      </c>
      <c r="AK3521" s="2">
        <v>29687.608333995398</v>
      </c>
      <c r="AL3521" s="2">
        <v>24240.252656039698</v>
      </c>
      <c r="AM3521" s="2">
        <v>27932.775855683001</v>
      </c>
      <c r="AN3521" s="2">
        <v>30135.251790110098</v>
      </c>
      <c r="AO3521" s="2">
        <v>30606.912609398401</v>
      </c>
      <c r="AP3521" s="2">
        <v>33284.0477263512</v>
      </c>
    </row>
    <row r="3522" spans="1:42" ht="14.5" x14ac:dyDescent="0.35">
      <c r="A3522" s="2" t="s">
        <v>23407</v>
      </c>
      <c r="B3522" s="2">
        <v>513.19558871714401</v>
      </c>
      <c r="C3522" s="2">
        <v>4.7218999999999998</v>
      </c>
      <c r="D3522" s="2" t="s">
        <v>70</v>
      </c>
      <c r="E3522" s="2" t="s">
        <v>23408</v>
      </c>
      <c r="F3522" s="2">
        <v>203988</v>
      </c>
      <c r="G3522" s="3" t="str">
        <f>HYPERLINK("http://funmeta.oebiotech.com/network/203988", "http://funmeta.oebiotech.com/network/203988")</f>
        <v>http://funmeta.oebiotech.com/network/203988</v>
      </c>
      <c r="H3522" s="2" t="s">
        <v>23409</v>
      </c>
      <c r="I3522" s="2">
        <v>1290</v>
      </c>
      <c r="J3522" s="2"/>
      <c r="K3522" s="2">
        <v>64187</v>
      </c>
      <c r="L3522" s="2"/>
      <c r="M3522" s="2"/>
      <c r="N3522" s="2"/>
      <c r="O3522" s="2">
        <v>2327</v>
      </c>
      <c r="P3522" s="2" t="s">
        <v>23410</v>
      </c>
      <c r="Q3522" s="2" t="s">
        <v>23411</v>
      </c>
      <c r="R3522" s="2" t="s">
        <v>23412</v>
      </c>
      <c r="S3522" s="2" t="s">
        <v>89</v>
      </c>
      <c r="T3522" s="2" t="s">
        <v>90</v>
      </c>
      <c r="U3522" s="2" t="s">
        <v>99</v>
      </c>
      <c r="V3522" s="2" t="s">
        <v>59</v>
      </c>
      <c r="W3522" s="2">
        <v>39.299999999999997</v>
      </c>
      <c r="X3522" s="2">
        <v>0</v>
      </c>
      <c r="Y3522" s="2" t="s">
        <v>560</v>
      </c>
      <c r="Z3522" s="2" t="s">
        <v>23413</v>
      </c>
      <c r="AA3522" s="2">
        <v>1.01898144423589</v>
      </c>
      <c r="AB3522" s="2">
        <v>0.21154068250029301</v>
      </c>
      <c r="AC3522" s="2">
        <v>3413.0325375971502</v>
      </c>
      <c r="AD3522" s="2">
        <v>6687.7880749002697</v>
      </c>
      <c r="AE3522" s="2">
        <v>5102.6569312361298</v>
      </c>
      <c r="AF3522" s="2">
        <v>3339.4970532668699</v>
      </c>
      <c r="AG3522" s="2">
        <v>3900.13856834546</v>
      </c>
      <c r="AH3522" s="2">
        <v>2855.38196201048</v>
      </c>
      <c r="AI3522" s="2">
        <v>2608.2093044431499</v>
      </c>
      <c r="AJ3522" s="2">
        <v>2672.3114062808199</v>
      </c>
      <c r="AK3522" s="2">
        <v>6727.2658767544699</v>
      </c>
      <c r="AL3522" s="2">
        <v>5729.0908466395003</v>
      </c>
      <c r="AM3522" s="2">
        <v>6321.5559408673998</v>
      </c>
      <c r="AN3522" s="2">
        <v>6872.6108878981704</v>
      </c>
      <c r="AO3522" s="2">
        <v>8047.9701161225803</v>
      </c>
      <c r="AP3522" s="2">
        <v>6428.2347811195104</v>
      </c>
    </row>
    <row r="3523" spans="1:42" ht="14.5" x14ac:dyDescent="0.35">
      <c r="A3523" s="2" t="s">
        <v>23414</v>
      </c>
      <c r="B3523" s="2">
        <v>295.22647859480298</v>
      </c>
      <c r="C3523" s="2">
        <v>13.981783333333301</v>
      </c>
      <c r="D3523" s="2" t="s">
        <v>34</v>
      </c>
      <c r="E3523" s="2" t="s">
        <v>23415</v>
      </c>
      <c r="F3523" s="2">
        <v>3228</v>
      </c>
      <c r="G3523" s="3" t="str">
        <f>HYPERLINK("http://funmeta.oebiotech.com/network/3228", "http://funmeta.oebiotech.com/network/3228")</f>
        <v>http://funmeta.oebiotech.com/network/3228</v>
      </c>
      <c r="H3523" s="2" t="s">
        <v>23416</v>
      </c>
      <c r="I3523" s="2">
        <v>35860</v>
      </c>
      <c r="J3523" s="2" t="s">
        <v>23417</v>
      </c>
      <c r="K3523" s="2">
        <v>72842</v>
      </c>
      <c r="L3523" s="2" t="s">
        <v>23418</v>
      </c>
      <c r="M3523" s="2" t="s">
        <v>4579</v>
      </c>
      <c r="N3523" s="2" t="s">
        <v>4580</v>
      </c>
      <c r="O3523" s="2">
        <v>9839084</v>
      </c>
      <c r="P3523" s="2" t="s">
        <v>23419</v>
      </c>
      <c r="Q3523" s="2" t="s">
        <v>23420</v>
      </c>
      <c r="R3523" s="2" t="s">
        <v>23421</v>
      </c>
      <c r="S3523" s="2" t="s">
        <v>50</v>
      </c>
      <c r="T3523" s="2" t="s">
        <v>229</v>
      </c>
      <c r="U3523" s="2" t="s">
        <v>1360</v>
      </c>
      <c r="V3523" s="2" t="s">
        <v>42</v>
      </c>
      <c r="W3523" s="2">
        <v>54.5</v>
      </c>
      <c r="X3523" s="2">
        <v>79.599999999999994</v>
      </c>
      <c r="Y3523" s="2" t="s">
        <v>394</v>
      </c>
      <c r="Z3523" s="2" t="s">
        <v>5658</v>
      </c>
      <c r="AA3523" s="2">
        <v>-0.99469267786649096</v>
      </c>
      <c r="AB3523" s="2">
        <v>0.21147188333678699</v>
      </c>
      <c r="AC3523" s="2">
        <v>115496.874248993</v>
      </c>
      <c r="AD3523" s="2">
        <v>121723.948883529</v>
      </c>
      <c r="AE3523" s="2">
        <v>113168.373332761</v>
      </c>
      <c r="AF3523" s="2">
        <v>116853.31158580301</v>
      </c>
      <c r="AG3523" s="2">
        <v>117879.953271965</v>
      </c>
      <c r="AH3523" s="2">
        <v>114638.384312843</v>
      </c>
      <c r="AI3523" s="2">
        <v>116692.69246743</v>
      </c>
      <c r="AJ3523" s="2">
        <v>113748.530523155</v>
      </c>
      <c r="AK3523" s="2">
        <v>136396.71935927201</v>
      </c>
      <c r="AL3523" s="2">
        <v>127335.77400601</v>
      </c>
      <c r="AM3523" s="2">
        <v>117457.59120897501</v>
      </c>
      <c r="AN3523" s="2">
        <v>114161.51530047201</v>
      </c>
      <c r="AO3523" s="2">
        <v>120454.915578452</v>
      </c>
      <c r="AP3523" s="2">
        <v>114537.177847995</v>
      </c>
    </row>
    <row r="3524" spans="1:42" ht="14.5" x14ac:dyDescent="0.35">
      <c r="A3524" s="2" t="s">
        <v>23422</v>
      </c>
      <c r="B3524" s="2">
        <v>641.390566874863</v>
      </c>
      <c r="C3524" s="2">
        <v>8.8807666666666698</v>
      </c>
      <c r="D3524" s="2" t="s">
        <v>70</v>
      </c>
      <c r="E3524" s="2" t="s">
        <v>23423</v>
      </c>
      <c r="F3524" s="2">
        <v>54285</v>
      </c>
      <c r="G3524" s="3" t="str">
        <f>HYPERLINK("http://funmeta.oebiotech.com/network/54285", "http://funmeta.oebiotech.com/network/54285")</f>
        <v>http://funmeta.oebiotech.com/network/54285</v>
      </c>
      <c r="H3524" s="2" t="s">
        <v>23424</v>
      </c>
      <c r="I3524" s="2"/>
      <c r="J3524" s="2"/>
      <c r="K3524" s="2"/>
      <c r="L3524" s="2"/>
      <c r="M3524" s="2"/>
      <c r="N3524" s="2"/>
      <c r="O3524" s="2">
        <v>131750847</v>
      </c>
      <c r="P3524" s="2" t="s">
        <v>23425</v>
      </c>
      <c r="Q3524" s="2" t="s">
        <v>23426</v>
      </c>
      <c r="R3524" s="2" t="s">
        <v>23427</v>
      </c>
      <c r="S3524" s="2" t="s">
        <v>50</v>
      </c>
      <c r="T3524" s="2" t="s">
        <v>124</v>
      </c>
      <c r="U3524" s="2" t="s">
        <v>523</v>
      </c>
      <c r="V3524" s="2" t="s">
        <v>42</v>
      </c>
      <c r="W3524" s="2">
        <v>51.5</v>
      </c>
      <c r="X3524" s="2">
        <v>60.9</v>
      </c>
      <c r="Y3524" s="2" t="s">
        <v>408</v>
      </c>
      <c r="Z3524" s="2" t="s">
        <v>18367</v>
      </c>
      <c r="AA3524" s="2">
        <v>-0.11631116175074201</v>
      </c>
      <c r="AB3524" s="2">
        <v>0.211287838461692</v>
      </c>
      <c r="AC3524" s="2">
        <v>31028.847010459001</v>
      </c>
      <c r="AD3524" s="2">
        <v>34312.5180346458</v>
      </c>
      <c r="AE3524" s="2">
        <v>31358.219682955001</v>
      </c>
      <c r="AF3524" s="2">
        <v>30162.555604999601</v>
      </c>
      <c r="AG3524" s="2">
        <v>31518.957170012902</v>
      </c>
      <c r="AH3524" s="2">
        <v>31795.8611062368</v>
      </c>
      <c r="AI3524" s="2">
        <v>31460.019532214199</v>
      </c>
      <c r="AJ3524" s="2">
        <v>29877.468966335498</v>
      </c>
      <c r="AK3524" s="2">
        <v>33884.235133904403</v>
      </c>
      <c r="AL3524" s="2">
        <v>35114.070835067701</v>
      </c>
      <c r="AM3524" s="2">
        <v>33690.157111573099</v>
      </c>
      <c r="AN3524" s="2">
        <v>34235.033530749999</v>
      </c>
      <c r="AO3524" s="2">
        <v>33099.335389379899</v>
      </c>
      <c r="AP3524" s="2">
        <v>35852.276207199502</v>
      </c>
    </row>
    <row r="3525" spans="1:42" ht="14.5" x14ac:dyDescent="0.35">
      <c r="A3525" s="2" t="s">
        <v>23428</v>
      </c>
      <c r="B3525" s="2">
        <v>502.37351019831198</v>
      </c>
      <c r="C3525" s="2">
        <v>11.3656166666667</v>
      </c>
      <c r="D3525" s="2" t="s">
        <v>34</v>
      </c>
      <c r="E3525" s="2" t="s">
        <v>23429</v>
      </c>
      <c r="F3525" s="2">
        <v>43653</v>
      </c>
      <c r="G3525" s="3" t="str">
        <f>HYPERLINK("http://funmeta.oebiotech.com/network/43653", "http://funmeta.oebiotech.com/network/43653")</f>
        <v>http://funmeta.oebiotech.com/network/43653</v>
      </c>
      <c r="H3525" s="2"/>
      <c r="I3525" s="2">
        <v>83928</v>
      </c>
      <c r="J3525" s="2" t="s">
        <v>23430</v>
      </c>
      <c r="K3525" s="2"/>
      <c r="L3525" s="2"/>
      <c r="M3525" s="2"/>
      <c r="N3525" s="2"/>
      <c r="O3525" s="2">
        <v>52931337</v>
      </c>
      <c r="P3525" s="2"/>
      <c r="Q3525" s="2" t="s">
        <v>23431</v>
      </c>
      <c r="R3525" s="2" t="s">
        <v>23432</v>
      </c>
      <c r="S3525" s="2" t="s">
        <v>50</v>
      </c>
      <c r="T3525" s="2" t="s">
        <v>124</v>
      </c>
      <c r="U3525" s="2" t="s">
        <v>125</v>
      </c>
      <c r="V3525" s="2" t="s">
        <v>42</v>
      </c>
      <c r="W3525" s="2">
        <v>49.8</v>
      </c>
      <c r="X3525" s="2">
        <v>54.8</v>
      </c>
      <c r="Y3525" s="2" t="s">
        <v>43</v>
      </c>
      <c r="Z3525" s="2" t="s">
        <v>23433</v>
      </c>
      <c r="AA3525" s="2">
        <v>-0.659057615532326</v>
      </c>
      <c r="AB3525" s="2">
        <v>0.21102272197324501</v>
      </c>
      <c r="AC3525" s="2">
        <v>89984.974556489906</v>
      </c>
      <c r="AD3525" s="2">
        <v>75686.395828050096</v>
      </c>
      <c r="AE3525" s="2">
        <v>55870.704305368403</v>
      </c>
      <c r="AF3525" s="2">
        <v>67625.405858597005</v>
      </c>
      <c r="AG3525" s="2">
        <v>76349.548837246795</v>
      </c>
      <c r="AH3525" s="2">
        <v>192553.25525653901</v>
      </c>
      <c r="AI3525" s="2">
        <v>67141.411371758906</v>
      </c>
      <c r="AJ3525" s="2">
        <v>80369.521709429202</v>
      </c>
      <c r="AK3525" s="2">
        <v>50893.609386315999</v>
      </c>
      <c r="AL3525" s="2">
        <v>76008.019050000905</v>
      </c>
      <c r="AM3525" s="2">
        <v>71885.734898439696</v>
      </c>
      <c r="AN3525" s="2">
        <v>84000.430759390205</v>
      </c>
      <c r="AO3525" s="2">
        <v>90182.659805379095</v>
      </c>
      <c r="AP3525" s="2">
        <v>81147.921068774696</v>
      </c>
    </row>
    <row r="3526" spans="1:42" ht="14.5" x14ac:dyDescent="0.35">
      <c r="A3526" s="2" t="s">
        <v>23434</v>
      </c>
      <c r="B3526" s="2">
        <v>365.23223519614601</v>
      </c>
      <c r="C3526" s="2">
        <v>9.3516666666666701</v>
      </c>
      <c r="D3526" s="2" t="s">
        <v>34</v>
      </c>
      <c r="E3526" s="2" t="s">
        <v>23435</v>
      </c>
      <c r="F3526" s="2">
        <v>44991</v>
      </c>
      <c r="G3526" s="3" t="str">
        <f>HYPERLINK("http://funmeta.oebiotech.com/network/44991", "http://funmeta.oebiotech.com/network/44991")</f>
        <v>http://funmeta.oebiotech.com/network/44991</v>
      </c>
      <c r="H3526" s="2"/>
      <c r="I3526" s="2">
        <v>1915</v>
      </c>
      <c r="J3526" s="2" t="s">
        <v>23436</v>
      </c>
      <c r="K3526" s="2">
        <v>9901</v>
      </c>
      <c r="L3526" s="2" t="s">
        <v>23437</v>
      </c>
      <c r="M3526" s="2" t="s">
        <v>2454</v>
      </c>
      <c r="N3526" s="2" t="s">
        <v>2455</v>
      </c>
      <c r="O3526" s="2">
        <v>5866</v>
      </c>
      <c r="P3526" s="2" t="s">
        <v>23438</v>
      </c>
      <c r="Q3526" s="2" t="s">
        <v>23439</v>
      </c>
      <c r="R3526" s="2" t="s">
        <v>23440</v>
      </c>
      <c r="S3526" s="2" t="s">
        <v>50</v>
      </c>
      <c r="T3526" s="2" t="s">
        <v>124</v>
      </c>
      <c r="U3526" s="2" t="s">
        <v>1136</v>
      </c>
      <c r="V3526" s="2" t="s">
        <v>59</v>
      </c>
      <c r="W3526" s="2">
        <v>39.1</v>
      </c>
      <c r="X3526" s="2">
        <v>0</v>
      </c>
      <c r="Y3526" s="2" t="s">
        <v>394</v>
      </c>
      <c r="Z3526" s="2" t="s">
        <v>16582</v>
      </c>
      <c r="AA3526" s="2">
        <v>-4.2171446179972601E-2</v>
      </c>
      <c r="AB3526" s="2">
        <v>0.210830374001726</v>
      </c>
      <c r="AC3526" s="2">
        <v>5034.1955910529896</v>
      </c>
      <c r="AD3526" s="2">
        <v>2059.55237662217</v>
      </c>
      <c r="AE3526" s="2">
        <v>4989.3888182683704</v>
      </c>
      <c r="AF3526" s="2">
        <v>4632.0692730187402</v>
      </c>
      <c r="AG3526" s="2">
        <v>4615.2605430218</v>
      </c>
      <c r="AH3526" s="2">
        <v>5201.8345778088496</v>
      </c>
      <c r="AI3526" s="2">
        <v>5002.8219792894897</v>
      </c>
      <c r="AJ3526" s="2">
        <v>5763.7983549106802</v>
      </c>
      <c r="AK3526" s="2">
        <v>2292.2005362669302</v>
      </c>
      <c r="AL3526" s="2">
        <v>2142.1842555302101</v>
      </c>
      <c r="AM3526" s="2">
        <v>1903.87435669055</v>
      </c>
      <c r="AN3526" s="2">
        <v>2031.0766810641101</v>
      </c>
      <c r="AO3526" s="2">
        <v>2132.4077814007401</v>
      </c>
      <c r="AP3526" s="2">
        <v>1855.57064878046</v>
      </c>
    </row>
    <row r="3527" spans="1:42" ht="14.5" x14ac:dyDescent="0.35">
      <c r="A3527" s="2" t="s">
        <v>23441</v>
      </c>
      <c r="B3527" s="2">
        <v>882.31029789393995</v>
      </c>
      <c r="C3527" s="2">
        <v>10.24235</v>
      </c>
      <c r="D3527" s="2" t="s">
        <v>70</v>
      </c>
      <c r="E3527" s="2" t="s">
        <v>23442</v>
      </c>
      <c r="F3527" s="2">
        <v>203871</v>
      </c>
      <c r="G3527" s="3" t="str">
        <f>HYPERLINK("http://funmeta.oebiotech.com/network/203871", "http://funmeta.oebiotech.com/network/203871")</f>
        <v>http://funmeta.oebiotech.com/network/203871</v>
      </c>
      <c r="H3527" s="2" t="s">
        <v>23443</v>
      </c>
      <c r="I3527" s="2"/>
      <c r="J3527" s="2"/>
      <c r="K3527" s="2"/>
      <c r="L3527" s="2"/>
      <c r="M3527" s="2"/>
      <c r="N3527" s="2"/>
      <c r="O3527" s="2">
        <v>76460633</v>
      </c>
      <c r="P3527" s="2"/>
      <c r="Q3527" s="2" t="s">
        <v>23444</v>
      </c>
      <c r="R3527" s="2" t="s">
        <v>23445</v>
      </c>
      <c r="S3527" s="2" t="s">
        <v>79</v>
      </c>
      <c r="T3527" s="2" t="s">
        <v>80</v>
      </c>
      <c r="U3527" s="2" t="s">
        <v>81</v>
      </c>
      <c r="V3527" s="2" t="s">
        <v>59</v>
      </c>
      <c r="W3527" s="2">
        <v>37.200000000000003</v>
      </c>
      <c r="X3527" s="2">
        <v>0</v>
      </c>
      <c r="Y3527" s="2" t="s">
        <v>408</v>
      </c>
      <c r="Z3527" s="2" t="s">
        <v>23446</v>
      </c>
      <c r="AA3527" s="2">
        <v>0.82810988732693402</v>
      </c>
      <c r="AB3527" s="2">
        <v>0.21070266830057699</v>
      </c>
      <c r="AC3527" s="2">
        <v>13088.787492544699</v>
      </c>
      <c r="AD3527" s="2">
        <v>9505.6082464712999</v>
      </c>
      <c r="AE3527" s="2">
        <v>13841.836882187299</v>
      </c>
      <c r="AF3527" s="2">
        <v>11418.860045155299</v>
      </c>
      <c r="AG3527" s="2">
        <v>12927.2598063316</v>
      </c>
      <c r="AH3527" s="2">
        <v>15054.408970340701</v>
      </c>
      <c r="AI3527" s="2">
        <v>11673.447698857</v>
      </c>
      <c r="AJ3527" s="2">
        <v>13616.911552396299</v>
      </c>
      <c r="AK3527" s="2">
        <v>11107.300113299299</v>
      </c>
      <c r="AL3527" s="2">
        <v>9919.9864181091598</v>
      </c>
      <c r="AM3527" s="2">
        <v>8609.2815339974895</v>
      </c>
      <c r="AN3527" s="2">
        <v>9776.0186524931305</v>
      </c>
      <c r="AO3527" s="2">
        <v>7030.1292576536298</v>
      </c>
      <c r="AP3527" s="2">
        <v>10590.933503275101</v>
      </c>
    </row>
    <row r="3528" spans="1:42" ht="14.5" x14ac:dyDescent="0.35">
      <c r="A3528" s="2" t="s">
        <v>23447</v>
      </c>
      <c r="B3528" s="2">
        <v>149.059619087318</v>
      </c>
      <c r="C3528" s="2">
        <v>4.8984333333333296</v>
      </c>
      <c r="D3528" s="2" t="s">
        <v>70</v>
      </c>
      <c r="E3528" s="2" t="s">
        <v>23448</v>
      </c>
      <c r="F3528" s="2">
        <v>52448</v>
      </c>
      <c r="G3528" s="3" t="str">
        <f>HYPERLINK("http://funmeta.oebiotech.com/network/52448", "http://funmeta.oebiotech.com/network/52448")</f>
        <v>http://funmeta.oebiotech.com/network/52448</v>
      </c>
      <c r="H3528" s="2" t="s">
        <v>23449</v>
      </c>
      <c r="I3528" s="2">
        <v>71929</v>
      </c>
      <c r="J3528" s="2"/>
      <c r="K3528" s="2">
        <v>42438</v>
      </c>
      <c r="L3528" s="2" t="s">
        <v>23450</v>
      </c>
      <c r="M3528" s="2"/>
      <c r="N3528" s="2"/>
      <c r="O3528" s="2">
        <v>332</v>
      </c>
      <c r="P3528" s="2" t="s">
        <v>23451</v>
      </c>
      <c r="Q3528" s="2" t="s">
        <v>23452</v>
      </c>
      <c r="R3528" s="2" t="s">
        <v>23453</v>
      </c>
      <c r="S3528" s="2" t="s">
        <v>148</v>
      </c>
      <c r="T3528" s="2" t="s">
        <v>392</v>
      </c>
      <c r="U3528" s="2" t="s">
        <v>3450</v>
      </c>
      <c r="V3528" s="2" t="s">
        <v>42</v>
      </c>
      <c r="W3528" s="2">
        <v>53.8</v>
      </c>
      <c r="X3528" s="2">
        <v>81.7</v>
      </c>
      <c r="Y3528" s="2" t="s">
        <v>118</v>
      </c>
      <c r="Z3528" s="2" t="s">
        <v>23454</v>
      </c>
      <c r="AA3528" s="2">
        <v>-7.8900223538316698</v>
      </c>
      <c r="AB3528" s="2">
        <v>0.21060648521643099</v>
      </c>
      <c r="AC3528" s="2">
        <v>10496.572831501901</v>
      </c>
      <c r="AD3528" s="2">
        <v>7512.3544200947899</v>
      </c>
      <c r="AE3528" s="2">
        <v>10823.8090054408</v>
      </c>
      <c r="AF3528" s="2">
        <v>10359.924621009101</v>
      </c>
      <c r="AG3528" s="2">
        <v>10551.480333494799</v>
      </c>
      <c r="AH3528" s="2">
        <v>10130.096141705801</v>
      </c>
      <c r="AI3528" s="2">
        <v>10289.002914666</v>
      </c>
      <c r="AJ3528" s="2">
        <v>10825.123972695101</v>
      </c>
      <c r="AK3528" s="2">
        <v>7506.8771105053902</v>
      </c>
      <c r="AL3528" s="2">
        <v>7136.0610024535199</v>
      </c>
      <c r="AM3528" s="2">
        <v>8258.3914159886808</v>
      </c>
      <c r="AN3528" s="2">
        <v>7719.6639617894098</v>
      </c>
      <c r="AO3528" s="2">
        <v>7089.43597440339</v>
      </c>
      <c r="AP3528" s="2">
        <v>7363.6970554283598</v>
      </c>
    </row>
    <row r="3529" spans="1:42" ht="14.5" x14ac:dyDescent="0.35">
      <c r="A3529" s="2" t="s">
        <v>23455</v>
      </c>
      <c r="B3529" s="2">
        <v>241.22716052752199</v>
      </c>
      <c r="C3529" s="2">
        <v>10.226800000000001</v>
      </c>
      <c r="D3529" s="2" t="s">
        <v>34</v>
      </c>
      <c r="E3529" s="2" t="s">
        <v>23456</v>
      </c>
      <c r="F3529" s="2">
        <v>8738</v>
      </c>
      <c r="G3529" s="3" t="str">
        <f>HYPERLINK("http://funmeta.oebiotech.com/network/8738", "http://funmeta.oebiotech.com/network/8738")</f>
        <v>http://funmeta.oebiotech.com/network/8738</v>
      </c>
      <c r="H3529" s="2" t="s">
        <v>23457</v>
      </c>
      <c r="I3529" s="2">
        <v>87312</v>
      </c>
      <c r="J3529" s="2" t="s">
        <v>23458</v>
      </c>
      <c r="K3529" s="2"/>
      <c r="L3529" s="2"/>
      <c r="M3529" s="2"/>
      <c r="N3529" s="2"/>
      <c r="O3529" s="2">
        <v>11368078</v>
      </c>
      <c r="P3529" s="2" t="s">
        <v>23459</v>
      </c>
      <c r="Q3529" s="2" t="s">
        <v>23460</v>
      </c>
      <c r="R3529" s="2" t="s">
        <v>23461</v>
      </c>
      <c r="S3529" s="2" t="s">
        <v>50</v>
      </c>
      <c r="T3529" s="2" t="s">
        <v>229</v>
      </c>
      <c r="U3529" s="2" t="s">
        <v>645</v>
      </c>
      <c r="V3529" s="2" t="s">
        <v>59</v>
      </c>
      <c r="W3529" s="2">
        <v>39.700000000000003</v>
      </c>
      <c r="X3529" s="2">
        <v>1.78</v>
      </c>
      <c r="Y3529" s="2" t="s">
        <v>43</v>
      </c>
      <c r="Z3529" s="2" t="s">
        <v>23462</v>
      </c>
      <c r="AA3529" s="2">
        <v>-1.2519560169574699</v>
      </c>
      <c r="AB3529" s="2">
        <v>0.210588601297623</v>
      </c>
      <c r="AC3529" s="2">
        <v>112544.33142022901</v>
      </c>
      <c r="AD3529" s="2">
        <v>99625.504328298004</v>
      </c>
      <c r="AE3529" s="2">
        <v>135199.05418691601</v>
      </c>
      <c r="AF3529" s="2">
        <v>85538.156507416003</v>
      </c>
      <c r="AG3529" s="2">
        <v>101766.718399741</v>
      </c>
      <c r="AH3529" s="2">
        <v>124386.066762066</v>
      </c>
      <c r="AI3529" s="2">
        <v>126334.262660543</v>
      </c>
      <c r="AJ3529" s="2">
        <v>102041.730004692</v>
      </c>
      <c r="AK3529" s="2">
        <v>71449.548337883898</v>
      </c>
      <c r="AL3529" s="2">
        <v>157467.023352547</v>
      </c>
      <c r="AM3529" s="2">
        <v>91755.559208446895</v>
      </c>
      <c r="AN3529" s="2">
        <v>136499.734595077</v>
      </c>
      <c r="AO3529" s="2">
        <v>67702.136381500997</v>
      </c>
      <c r="AP3529" s="2">
        <v>72879.024094332504</v>
      </c>
    </row>
    <row r="3530" spans="1:42" ht="14.5" x14ac:dyDescent="0.35">
      <c r="A3530" s="2" t="s">
        <v>23463</v>
      </c>
      <c r="B3530" s="2">
        <v>671.46614786620296</v>
      </c>
      <c r="C3530" s="2">
        <v>14.9294333333333</v>
      </c>
      <c r="D3530" s="2" t="s">
        <v>34</v>
      </c>
      <c r="E3530" s="2" t="s">
        <v>23464</v>
      </c>
      <c r="F3530" s="2">
        <v>134881</v>
      </c>
      <c r="G3530" s="3" t="str">
        <f>HYPERLINK("http://funmeta.oebiotech.com/network/134881", "http://funmeta.oebiotech.com/network/134881")</f>
        <v>http://funmeta.oebiotech.com/network/134881</v>
      </c>
      <c r="H3530" s="2" t="s">
        <v>23465</v>
      </c>
      <c r="I3530" s="2"/>
      <c r="J3530" s="2"/>
      <c r="K3530" s="2"/>
      <c r="L3530" s="2"/>
      <c r="M3530" s="2"/>
      <c r="N3530" s="2"/>
      <c r="O3530" s="2">
        <v>131821864</v>
      </c>
      <c r="P3530" s="2"/>
      <c r="Q3530" s="2" t="s">
        <v>23466</v>
      </c>
      <c r="R3530" s="2" t="s">
        <v>23467</v>
      </c>
      <c r="S3530" s="2" t="s">
        <v>50</v>
      </c>
      <c r="T3530" s="2" t="s">
        <v>51</v>
      </c>
      <c r="U3530" s="2" t="s">
        <v>273</v>
      </c>
      <c r="V3530" s="2" t="s">
        <v>59</v>
      </c>
      <c r="W3530" s="2">
        <v>38.299999999999997</v>
      </c>
      <c r="X3530" s="2">
        <v>0</v>
      </c>
      <c r="Y3530" s="2" t="s">
        <v>394</v>
      </c>
      <c r="Z3530" s="2" t="s">
        <v>23468</v>
      </c>
      <c r="AA3530" s="2">
        <v>2.2606941661749702</v>
      </c>
      <c r="AB3530" s="2">
        <v>0.210557051710829</v>
      </c>
      <c r="AC3530" s="2">
        <v>28655.876288835501</v>
      </c>
      <c r="AD3530" s="2">
        <v>25295.4896472039</v>
      </c>
      <c r="AE3530" s="2">
        <v>27445.747889560698</v>
      </c>
      <c r="AF3530" s="2">
        <v>28341.359694962099</v>
      </c>
      <c r="AG3530" s="2">
        <v>29880.4152432179</v>
      </c>
      <c r="AH3530" s="2">
        <v>27660.5611302625</v>
      </c>
      <c r="AI3530" s="2">
        <v>28516.6605657488</v>
      </c>
      <c r="AJ3530" s="2">
        <v>30090.5132092608</v>
      </c>
      <c r="AK3530" s="2">
        <v>26800.445395872201</v>
      </c>
      <c r="AL3530" s="2">
        <v>23992.333164229301</v>
      </c>
      <c r="AM3530" s="2">
        <v>25159.414668635101</v>
      </c>
      <c r="AN3530" s="2">
        <v>25856.278733441901</v>
      </c>
      <c r="AO3530" s="2">
        <v>25533.131636049198</v>
      </c>
      <c r="AP3530" s="2">
        <v>24431.334284995599</v>
      </c>
    </row>
    <row r="3531" spans="1:42" ht="14.5" x14ac:dyDescent="0.35">
      <c r="A3531" s="2" t="s">
        <v>23469</v>
      </c>
      <c r="B3531" s="2">
        <v>365.10905007251398</v>
      </c>
      <c r="C3531" s="2">
        <v>2.8180833333333299</v>
      </c>
      <c r="D3531" s="2" t="s">
        <v>70</v>
      </c>
      <c r="E3531" s="2" t="s">
        <v>23470</v>
      </c>
      <c r="F3531" s="2">
        <v>207732</v>
      </c>
      <c r="G3531" s="3" t="str">
        <f>HYPERLINK("http://funmeta.oebiotech.com/network/207732", "http://funmeta.oebiotech.com/network/207732")</f>
        <v>http://funmeta.oebiotech.com/network/207732</v>
      </c>
      <c r="H3531" s="2" t="s">
        <v>23471</v>
      </c>
      <c r="I3531" s="2"/>
      <c r="J3531" s="2"/>
      <c r="K3531" s="2"/>
      <c r="L3531" s="2"/>
      <c r="M3531" s="2"/>
      <c r="N3531" s="2"/>
      <c r="O3531" s="2">
        <v>214351</v>
      </c>
      <c r="P3531" s="2"/>
      <c r="Q3531" s="2" t="s">
        <v>23472</v>
      </c>
      <c r="R3531" s="2" t="s">
        <v>23473</v>
      </c>
      <c r="S3531" s="2" t="s">
        <v>491</v>
      </c>
      <c r="T3531" s="2" t="s">
        <v>15878</v>
      </c>
      <c r="U3531" s="2" t="s">
        <v>15879</v>
      </c>
      <c r="V3531" s="2" t="s">
        <v>59</v>
      </c>
      <c r="W3531" s="2">
        <v>42.5</v>
      </c>
      <c r="X3531" s="2">
        <v>31.4</v>
      </c>
      <c r="Y3531" s="2" t="s">
        <v>118</v>
      </c>
      <c r="Z3531" s="2" t="s">
        <v>23474</v>
      </c>
      <c r="AA3531" s="2">
        <v>3.4952645222698302</v>
      </c>
      <c r="AB3531" s="2">
        <v>0.210531198740979</v>
      </c>
      <c r="AC3531" s="2">
        <v>17608.717042744898</v>
      </c>
      <c r="AD3531" s="2">
        <v>14057.470537594099</v>
      </c>
      <c r="AE3531" s="2">
        <v>17071.257508662799</v>
      </c>
      <c r="AF3531" s="2">
        <v>17041.661632766201</v>
      </c>
      <c r="AG3531" s="2">
        <v>17999.368550036001</v>
      </c>
      <c r="AH3531" s="2">
        <v>17777.025035824801</v>
      </c>
      <c r="AI3531" s="2">
        <v>19804.440670452099</v>
      </c>
      <c r="AJ3531" s="2">
        <v>15958.548858727399</v>
      </c>
      <c r="AK3531" s="2">
        <v>15369.397739924099</v>
      </c>
      <c r="AL3531" s="2">
        <v>12608.3989131853</v>
      </c>
      <c r="AM3531" s="2">
        <v>14595.4041890968</v>
      </c>
      <c r="AN3531" s="2">
        <v>13064.826194445999</v>
      </c>
      <c r="AO3531" s="2">
        <v>12916.1001676458</v>
      </c>
      <c r="AP3531" s="2">
        <v>15790.6960212665</v>
      </c>
    </row>
    <row r="3532" spans="1:42" ht="14.5" x14ac:dyDescent="0.35">
      <c r="A3532" s="2" t="s">
        <v>23475</v>
      </c>
      <c r="B3532" s="2">
        <v>573.37830056315102</v>
      </c>
      <c r="C3532" s="2">
        <v>10.283666666666701</v>
      </c>
      <c r="D3532" s="2" t="s">
        <v>34</v>
      </c>
      <c r="E3532" s="2" t="s">
        <v>23476</v>
      </c>
      <c r="F3532" s="2">
        <v>28304</v>
      </c>
      <c r="G3532" s="3" t="str">
        <f>HYPERLINK("http://funmeta.oebiotech.com/network/28304", "http://funmeta.oebiotech.com/network/28304")</f>
        <v>http://funmeta.oebiotech.com/network/28304</v>
      </c>
      <c r="H3532" s="2"/>
      <c r="I3532" s="2">
        <v>44109</v>
      </c>
      <c r="J3532" s="2" t="s">
        <v>23477</v>
      </c>
      <c r="K3532" s="2">
        <v>92181</v>
      </c>
      <c r="L3532" s="2"/>
      <c r="M3532" s="2"/>
      <c r="N3532" s="2"/>
      <c r="O3532" s="2">
        <v>5360807</v>
      </c>
      <c r="P3532" s="2" t="s">
        <v>23478</v>
      </c>
      <c r="Q3532" s="2" t="s">
        <v>23479</v>
      </c>
      <c r="R3532" s="2" t="s">
        <v>23480</v>
      </c>
      <c r="S3532" s="2" t="s">
        <v>50</v>
      </c>
      <c r="T3532" s="2" t="s">
        <v>201</v>
      </c>
      <c r="U3532" s="2" t="s">
        <v>202</v>
      </c>
      <c r="V3532" s="2" t="s">
        <v>59</v>
      </c>
      <c r="W3532" s="2">
        <v>38</v>
      </c>
      <c r="X3532" s="2">
        <v>0</v>
      </c>
      <c r="Y3532" s="2" t="s">
        <v>141</v>
      </c>
      <c r="Z3532" s="2" t="s">
        <v>11704</v>
      </c>
      <c r="AA3532" s="2">
        <v>-0.47405776483969098</v>
      </c>
      <c r="AB3532" s="2">
        <v>0.210435373317133</v>
      </c>
      <c r="AC3532" s="2">
        <v>10087.373701487</v>
      </c>
      <c r="AD3532" s="2">
        <v>6971.39222200321</v>
      </c>
      <c r="AE3532" s="2">
        <v>9779.2090948409696</v>
      </c>
      <c r="AF3532" s="2">
        <v>9336.0027409973009</v>
      </c>
      <c r="AG3532" s="2">
        <v>11133.0611035151</v>
      </c>
      <c r="AH3532" s="2">
        <v>10258.953054385</v>
      </c>
      <c r="AI3532" s="2">
        <v>9686.88489557922</v>
      </c>
      <c r="AJ3532" s="2">
        <v>10330.131319604399</v>
      </c>
      <c r="AK3532" s="2">
        <v>6087.0186117123103</v>
      </c>
      <c r="AL3532" s="2">
        <v>7142.9668881200996</v>
      </c>
      <c r="AM3532" s="2">
        <v>7997.74819709848</v>
      </c>
      <c r="AN3532" s="2">
        <v>6670.8242896501397</v>
      </c>
      <c r="AO3532" s="2">
        <v>6460.6278032733699</v>
      </c>
      <c r="AP3532" s="2">
        <v>7469.1675421648697</v>
      </c>
    </row>
    <row r="3533" spans="1:42" ht="14.5" x14ac:dyDescent="0.35">
      <c r="A3533" s="2" t="s">
        <v>23481</v>
      </c>
      <c r="B3533" s="2">
        <v>173.201220312846</v>
      </c>
      <c r="C3533" s="2">
        <v>0.55359999999999998</v>
      </c>
      <c r="D3533" s="2" t="s">
        <v>34</v>
      </c>
      <c r="E3533" s="2" t="s">
        <v>23482</v>
      </c>
      <c r="F3533" s="2">
        <v>210092</v>
      </c>
      <c r="G3533" s="3" t="str">
        <f>HYPERLINK("http://funmeta.oebiotech.com/network/210092", "http://funmeta.oebiotech.com/network/210092")</f>
        <v>http://funmeta.oebiotech.com/network/210092</v>
      </c>
      <c r="H3533" s="2" t="s">
        <v>23483</v>
      </c>
      <c r="I3533" s="2">
        <v>44350</v>
      </c>
      <c r="J3533" s="2"/>
      <c r="K3533" s="2"/>
      <c r="L3533" s="2"/>
      <c r="M3533" s="2"/>
      <c r="N3533" s="2"/>
      <c r="O3533" s="2">
        <v>6603</v>
      </c>
      <c r="P3533" s="2" t="s">
        <v>23484</v>
      </c>
      <c r="Q3533" s="2" t="s">
        <v>23485</v>
      </c>
      <c r="R3533" s="2" t="s">
        <v>23486</v>
      </c>
      <c r="S3533" s="2" t="s">
        <v>491</v>
      </c>
      <c r="T3533" s="2" t="s">
        <v>7584</v>
      </c>
      <c r="U3533" s="2" t="s">
        <v>41</v>
      </c>
      <c r="V3533" s="2" t="s">
        <v>59</v>
      </c>
      <c r="W3533" s="2">
        <v>39.200000000000003</v>
      </c>
      <c r="X3533" s="2">
        <v>0</v>
      </c>
      <c r="Y3533" s="2" t="s">
        <v>43</v>
      </c>
      <c r="Z3533" s="2" t="s">
        <v>23487</v>
      </c>
      <c r="AA3533" s="2">
        <v>-3.1549308823450903E-2</v>
      </c>
      <c r="AB3533" s="2">
        <v>0.210430893060677</v>
      </c>
      <c r="AC3533" s="2">
        <v>3918.7838446863698</v>
      </c>
      <c r="AD3533" s="2">
        <v>949.83017413994503</v>
      </c>
      <c r="AE3533" s="2">
        <v>3258.0232266942098</v>
      </c>
      <c r="AF3533" s="2">
        <v>4221.4183617285798</v>
      </c>
      <c r="AG3533" s="2">
        <v>4473.8617205439596</v>
      </c>
      <c r="AH3533" s="2">
        <v>3784.1962069750498</v>
      </c>
      <c r="AI3533" s="2">
        <v>4190.1325613480603</v>
      </c>
      <c r="AJ3533" s="2">
        <v>3585.0709908283402</v>
      </c>
      <c r="AK3533" s="2">
        <v>775.10545128605099</v>
      </c>
      <c r="AL3533" s="2">
        <v>831.37361931973703</v>
      </c>
      <c r="AM3533" s="2">
        <v>1069.2753923975699</v>
      </c>
      <c r="AN3533" s="2">
        <v>977.23714018598901</v>
      </c>
      <c r="AO3533" s="2">
        <v>982.76356886738097</v>
      </c>
      <c r="AP3533" s="2">
        <v>1063.2258727829401</v>
      </c>
    </row>
    <row r="3534" spans="1:42" ht="14.5" x14ac:dyDescent="0.35">
      <c r="A3534" s="2" t="s">
        <v>23488</v>
      </c>
      <c r="B3534" s="2">
        <v>496.30540972908602</v>
      </c>
      <c r="C3534" s="2">
        <v>7.2609333333333304</v>
      </c>
      <c r="D3534" s="2" t="s">
        <v>34</v>
      </c>
      <c r="E3534" s="2" t="s">
        <v>23489</v>
      </c>
      <c r="F3534" s="2">
        <v>22472</v>
      </c>
      <c r="G3534" s="3" t="str">
        <f>HYPERLINK("http://funmeta.oebiotech.com/network/22472", "http://funmeta.oebiotech.com/network/22472")</f>
        <v>http://funmeta.oebiotech.com/network/22472</v>
      </c>
      <c r="H3534" s="2"/>
      <c r="I3534" s="2"/>
      <c r="J3534" s="2" t="s">
        <v>23490</v>
      </c>
      <c r="K3534" s="2"/>
      <c r="L3534" s="2"/>
      <c r="M3534" s="2"/>
      <c r="N3534" s="2"/>
      <c r="O3534" s="2">
        <v>137323945</v>
      </c>
      <c r="P3534" s="2"/>
      <c r="Q3534" s="2" t="s">
        <v>23491</v>
      </c>
      <c r="R3534" s="2" t="s">
        <v>23492</v>
      </c>
      <c r="S3534" s="2" t="s">
        <v>50</v>
      </c>
      <c r="T3534" s="2" t="s">
        <v>51</v>
      </c>
      <c r="U3534" s="2" t="s">
        <v>66</v>
      </c>
      <c r="V3534" s="2" t="s">
        <v>59</v>
      </c>
      <c r="W3534" s="2">
        <v>37.9</v>
      </c>
      <c r="X3534" s="2">
        <v>0</v>
      </c>
      <c r="Y3534" s="2" t="s">
        <v>141</v>
      </c>
      <c r="Z3534" s="2" t="s">
        <v>23493</v>
      </c>
      <c r="AA3534" s="2">
        <v>3.9532486309148398</v>
      </c>
      <c r="AB3534" s="2">
        <v>0.21032552402356999</v>
      </c>
      <c r="AC3534" s="2">
        <v>13915.2019399212</v>
      </c>
      <c r="AD3534" s="2">
        <v>10485.6000202456</v>
      </c>
      <c r="AE3534" s="2">
        <v>15532.486026225801</v>
      </c>
      <c r="AF3534" s="2">
        <v>13996.1148120978</v>
      </c>
      <c r="AG3534" s="2">
        <v>14454.609571976</v>
      </c>
      <c r="AH3534" s="2">
        <v>12150.148544027001</v>
      </c>
      <c r="AI3534" s="2">
        <v>13341.748334465399</v>
      </c>
      <c r="AJ3534" s="2">
        <v>14016.104350735101</v>
      </c>
      <c r="AK3534" s="2">
        <v>11231.790266415999</v>
      </c>
      <c r="AL3534" s="2">
        <v>9873.2064341834503</v>
      </c>
      <c r="AM3534" s="2">
        <v>11678.673326877901</v>
      </c>
      <c r="AN3534" s="2">
        <v>11665.502967829299</v>
      </c>
      <c r="AO3534" s="2">
        <v>8562.8262784875205</v>
      </c>
      <c r="AP3534" s="2">
        <v>9901.6008476791903</v>
      </c>
    </row>
    <row r="3535" spans="1:42" ht="14.5" x14ac:dyDescent="0.35">
      <c r="A3535" s="2" t="s">
        <v>23494</v>
      </c>
      <c r="B3535" s="2">
        <v>477.197353266287</v>
      </c>
      <c r="C3535" s="2">
        <v>4.4179500000000003</v>
      </c>
      <c r="D3535" s="2" t="s">
        <v>70</v>
      </c>
      <c r="E3535" s="2" t="s">
        <v>23495</v>
      </c>
      <c r="F3535" s="2">
        <v>46838</v>
      </c>
      <c r="G3535" s="3" t="str">
        <f>HYPERLINK("http://funmeta.oebiotech.com/network/46838", "http://funmeta.oebiotech.com/network/46838")</f>
        <v>http://funmeta.oebiotech.com/network/46838</v>
      </c>
      <c r="H3535" s="2" t="s">
        <v>23496</v>
      </c>
      <c r="I3535" s="2">
        <v>5106</v>
      </c>
      <c r="J3535" s="2"/>
      <c r="K3535" s="2">
        <v>43029</v>
      </c>
      <c r="L3535" s="2" t="s">
        <v>23497</v>
      </c>
      <c r="M3535" s="2" t="s">
        <v>23498</v>
      </c>
      <c r="N3535" s="2" t="s">
        <v>23499</v>
      </c>
      <c r="O3535" s="2">
        <v>119055</v>
      </c>
      <c r="P3535" s="2" t="s">
        <v>23500</v>
      </c>
      <c r="Q3535" s="2" t="s">
        <v>23501</v>
      </c>
      <c r="R3535" s="2" t="s">
        <v>23502</v>
      </c>
      <c r="S3535" s="2" t="s">
        <v>491</v>
      </c>
      <c r="T3535" s="2" t="s">
        <v>4914</v>
      </c>
      <c r="U3535" s="2" t="s">
        <v>4915</v>
      </c>
      <c r="V3535" s="2" t="s">
        <v>59</v>
      </c>
      <c r="W3535" s="2">
        <v>39.1</v>
      </c>
      <c r="X3535" s="2">
        <v>0</v>
      </c>
      <c r="Y3535" s="2" t="s">
        <v>560</v>
      </c>
      <c r="Z3535" s="2" t="s">
        <v>23503</v>
      </c>
      <c r="AA3535" s="2">
        <v>1.98889960424088</v>
      </c>
      <c r="AB3535" s="2">
        <v>0.210120647994058</v>
      </c>
      <c r="AC3535" s="2">
        <v>5795.0059827203704</v>
      </c>
      <c r="AD3535" s="2">
        <v>9647.6260096025508</v>
      </c>
      <c r="AE3535" s="2">
        <v>6906.23510250661</v>
      </c>
      <c r="AF3535" s="2">
        <v>7236.6639916069198</v>
      </c>
      <c r="AG3535" s="2">
        <v>3569.39354514262</v>
      </c>
      <c r="AH3535" s="2">
        <v>4659.8488111125498</v>
      </c>
      <c r="AI3535" s="2">
        <v>6069.0873395353901</v>
      </c>
      <c r="AJ3535" s="2">
        <v>6328.8071064181604</v>
      </c>
      <c r="AK3535" s="2">
        <v>8707.5245602477207</v>
      </c>
      <c r="AL3535" s="2">
        <v>8207.6883752865797</v>
      </c>
      <c r="AM3535" s="2">
        <v>10564.019688676701</v>
      </c>
      <c r="AN3535" s="2">
        <v>7842.8203620928798</v>
      </c>
      <c r="AO3535" s="2">
        <v>13769.2904377661</v>
      </c>
      <c r="AP3535" s="2">
        <v>8794.4126335453002</v>
      </c>
    </row>
    <row r="3536" spans="1:42" ht="14.5" x14ac:dyDescent="0.35">
      <c r="A3536" s="2" t="s">
        <v>23504</v>
      </c>
      <c r="B3536" s="2">
        <v>341.10844279483803</v>
      </c>
      <c r="C3536" s="2">
        <v>1.5611666666666699</v>
      </c>
      <c r="D3536" s="2" t="s">
        <v>70</v>
      </c>
      <c r="E3536" s="2" t="s">
        <v>23505</v>
      </c>
      <c r="F3536" s="2">
        <v>256116</v>
      </c>
      <c r="G3536" s="3" t="str">
        <f>HYPERLINK("http://funmeta.oebiotech.com/network/256116", "http://funmeta.oebiotech.com/network/256116")</f>
        <v>http://funmeta.oebiotech.com/network/256116</v>
      </c>
      <c r="H3536" s="2" t="s">
        <v>23506</v>
      </c>
      <c r="I3536" s="2"/>
      <c r="J3536" s="2"/>
      <c r="K3536" s="2"/>
      <c r="L3536" s="2"/>
      <c r="M3536" s="2"/>
      <c r="N3536" s="2"/>
      <c r="O3536" s="2">
        <v>21924868</v>
      </c>
      <c r="P3536" s="2"/>
      <c r="Q3536" s="2" t="s">
        <v>23507</v>
      </c>
      <c r="R3536" s="2" t="s">
        <v>23508</v>
      </c>
      <c r="S3536" s="2" t="s">
        <v>79</v>
      </c>
      <c r="T3536" s="2" t="s">
        <v>80</v>
      </c>
      <c r="U3536" s="2" t="s">
        <v>81</v>
      </c>
      <c r="V3536" s="2" t="s">
        <v>59</v>
      </c>
      <c r="W3536" s="2">
        <v>37.700000000000003</v>
      </c>
      <c r="X3536" s="2">
        <v>0</v>
      </c>
      <c r="Y3536" s="2" t="s">
        <v>792</v>
      </c>
      <c r="Z3536" s="2" t="s">
        <v>23509</v>
      </c>
      <c r="AA3536" s="2">
        <v>-1.36698961156782</v>
      </c>
      <c r="AB3536" s="2">
        <v>0.21010449693112301</v>
      </c>
      <c r="AC3536" s="2">
        <v>24979.5863004739</v>
      </c>
      <c r="AD3536" s="2">
        <v>28950.373321724801</v>
      </c>
      <c r="AE3536" s="2">
        <v>22251.674166933899</v>
      </c>
      <c r="AF3536" s="2">
        <v>24271.5807242511</v>
      </c>
      <c r="AG3536" s="2">
        <v>24287.8295872052</v>
      </c>
      <c r="AH3536" s="2">
        <v>25087.515887709898</v>
      </c>
      <c r="AI3536" s="2">
        <v>26151.956401798499</v>
      </c>
      <c r="AJ3536" s="2">
        <v>27826.961034944601</v>
      </c>
      <c r="AK3536" s="2">
        <v>27867.186570025598</v>
      </c>
      <c r="AL3536" s="2">
        <v>25899.765902417901</v>
      </c>
      <c r="AM3536" s="2">
        <v>29320.513286682999</v>
      </c>
      <c r="AN3536" s="2">
        <v>32706.1478309429</v>
      </c>
      <c r="AO3536" s="2">
        <v>28079.627549163499</v>
      </c>
      <c r="AP3536" s="2">
        <v>29828.998791116101</v>
      </c>
    </row>
    <row r="3537" spans="1:42" ht="14.5" x14ac:dyDescent="0.35">
      <c r="A3537" s="2" t="s">
        <v>23510</v>
      </c>
      <c r="B3537" s="2">
        <v>755.25428732739897</v>
      </c>
      <c r="C3537" s="2">
        <v>4.7218999999999998</v>
      </c>
      <c r="D3537" s="2" t="s">
        <v>70</v>
      </c>
      <c r="E3537" s="2" t="s">
        <v>23511</v>
      </c>
      <c r="F3537" s="2">
        <v>54275</v>
      </c>
      <c r="G3537" s="3" t="str">
        <f>HYPERLINK("http://funmeta.oebiotech.com/network/54275", "http://funmeta.oebiotech.com/network/54275")</f>
        <v>http://funmeta.oebiotech.com/network/54275</v>
      </c>
      <c r="H3537" s="2" t="s">
        <v>23512</v>
      </c>
      <c r="I3537" s="2"/>
      <c r="J3537" s="2"/>
      <c r="K3537" s="2">
        <v>89421</v>
      </c>
      <c r="L3537" s="2"/>
      <c r="M3537" s="2"/>
      <c r="N3537" s="2"/>
      <c r="O3537" s="2">
        <v>56842347</v>
      </c>
      <c r="P3537" s="2"/>
      <c r="Q3537" s="2" t="s">
        <v>23513</v>
      </c>
      <c r="R3537" s="2" t="s">
        <v>23514</v>
      </c>
      <c r="S3537" s="2" t="s">
        <v>50</v>
      </c>
      <c r="T3537" s="2" t="s">
        <v>201</v>
      </c>
      <c r="U3537" s="2" t="s">
        <v>265</v>
      </c>
      <c r="V3537" s="2" t="s">
        <v>59</v>
      </c>
      <c r="W3537" s="2">
        <v>37.5</v>
      </c>
      <c r="X3537" s="2">
        <v>0</v>
      </c>
      <c r="Y3537" s="2" t="s">
        <v>560</v>
      </c>
      <c r="Z3537" s="2" t="s">
        <v>23515</v>
      </c>
      <c r="AA3537" s="2">
        <v>-1.8136081737084599</v>
      </c>
      <c r="AB3537" s="2">
        <v>0.210072166301604</v>
      </c>
      <c r="AC3537" s="2">
        <v>18432.887333020499</v>
      </c>
      <c r="AD3537" s="2">
        <v>22665.019833902901</v>
      </c>
      <c r="AE3537" s="2">
        <v>16361.7663197414</v>
      </c>
      <c r="AF3537" s="2">
        <v>18789.964805686101</v>
      </c>
      <c r="AG3537" s="2">
        <v>19972.7481692742</v>
      </c>
      <c r="AH3537" s="2">
        <v>15267.3165428839</v>
      </c>
      <c r="AI3537" s="2">
        <v>22038.5249313282</v>
      </c>
      <c r="AJ3537" s="2">
        <v>18167.003229209098</v>
      </c>
      <c r="AK3537" s="2">
        <v>23295.740179308701</v>
      </c>
      <c r="AL3537" s="2">
        <v>22020.102578611499</v>
      </c>
      <c r="AM3537" s="2">
        <v>20886.719443329399</v>
      </c>
      <c r="AN3537" s="2">
        <v>23246.7624101824</v>
      </c>
      <c r="AO3537" s="2">
        <v>19538.7200218773</v>
      </c>
      <c r="AP3537" s="2">
        <v>27002.074370108101</v>
      </c>
    </row>
    <row r="3538" spans="1:42" ht="14.5" x14ac:dyDescent="0.35">
      <c r="A3538" s="2" t="s">
        <v>23516</v>
      </c>
      <c r="B3538" s="2">
        <v>425.17603895879898</v>
      </c>
      <c r="C3538" s="2">
        <v>4.4179500000000003</v>
      </c>
      <c r="D3538" s="2" t="s">
        <v>70</v>
      </c>
      <c r="E3538" s="2" t="s">
        <v>23517</v>
      </c>
      <c r="F3538" s="2">
        <v>267527</v>
      </c>
      <c r="G3538" s="3" t="str">
        <f>HYPERLINK("http://funmeta.oebiotech.com/network/267527", "http://funmeta.oebiotech.com/network/267527")</f>
        <v>http://funmeta.oebiotech.com/network/267527</v>
      </c>
      <c r="H3538" s="2"/>
      <c r="I3538" s="2">
        <v>45627</v>
      </c>
      <c r="J3538" s="2"/>
      <c r="K3538" s="2"/>
      <c r="L3538" s="2"/>
      <c r="M3538" s="2"/>
      <c r="N3538" s="2"/>
      <c r="O3538" s="2">
        <v>11715767</v>
      </c>
      <c r="P3538" s="2" t="s">
        <v>23518</v>
      </c>
      <c r="Q3538" s="2" t="s">
        <v>23519</v>
      </c>
      <c r="R3538" s="2" t="s">
        <v>23520</v>
      </c>
      <c r="S3538" s="2" t="s">
        <v>491</v>
      </c>
      <c r="T3538" s="2" t="s">
        <v>14134</v>
      </c>
      <c r="U3538" s="2" t="s">
        <v>41</v>
      </c>
      <c r="V3538" s="2" t="s">
        <v>59</v>
      </c>
      <c r="W3538" s="2">
        <v>37.799999999999997</v>
      </c>
      <c r="X3538" s="2">
        <v>0</v>
      </c>
      <c r="Y3538" s="2" t="s">
        <v>560</v>
      </c>
      <c r="Z3538" s="2" t="s">
        <v>23521</v>
      </c>
      <c r="AA3538" s="2">
        <v>6.78449120693291</v>
      </c>
      <c r="AB3538" s="2">
        <v>0.21003072090410499</v>
      </c>
      <c r="AC3538" s="2">
        <v>26840.759368759998</v>
      </c>
      <c r="AD3538" s="2">
        <v>22890.4933484578</v>
      </c>
      <c r="AE3538" s="2">
        <v>26369.404959436299</v>
      </c>
      <c r="AF3538" s="2">
        <v>26586.352117308299</v>
      </c>
      <c r="AG3538" s="2">
        <v>26243.511654257902</v>
      </c>
      <c r="AH3538" s="2">
        <v>29384.323703364102</v>
      </c>
      <c r="AI3538" s="2">
        <v>28951.941300061499</v>
      </c>
      <c r="AJ3538" s="2">
        <v>23509.022478131901</v>
      </c>
      <c r="AK3538" s="2">
        <v>24266.337518534099</v>
      </c>
      <c r="AL3538" s="2">
        <v>22583.909647516401</v>
      </c>
      <c r="AM3538" s="2">
        <v>23256.931266615698</v>
      </c>
      <c r="AN3538" s="2">
        <v>22377.343710108002</v>
      </c>
      <c r="AO3538" s="2">
        <v>19794.725824649398</v>
      </c>
      <c r="AP3538" s="2">
        <v>25063.712123323199</v>
      </c>
    </row>
    <row r="3539" spans="1:42" ht="14.5" x14ac:dyDescent="0.35">
      <c r="A3539" s="2" t="s">
        <v>23522</v>
      </c>
      <c r="B3539" s="2">
        <v>503.27510385869601</v>
      </c>
      <c r="C3539" s="2">
        <v>5.2337999999999996</v>
      </c>
      <c r="D3539" s="2" t="s">
        <v>34</v>
      </c>
      <c r="E3539" s="2" t="s">
        <v>23523</v>
      </c>
      <c r="F3539" s="2">
        <v>45122</v>
      </c>
      <c r="G3539" s="3" t="str">
        <f>HYPERLINK("http://funmeta.oebiotech.com/network/45122", "http://funmeta.oebiotech.com/network/45122")</f>
        <v>http://funmeta.oebiotech.com/network/45122</v>
      </c>
      <c r="H3539" s="2"/>
      <c r="I3539" s="2"/>
      <c r="J3539" s="2" t="s">
        <v>23524</v>
      </c>
      <c r="K3539" s="2"/>
      <c r="L3539" s="2"/>
      <c r="M3539" s="2"/>
      <c r="N3539" s="2"/>
      <c r="O3539" s="2">
        <v>56940695</v>
      </c>
      <c r="P3539" s="2"/>
      <c r="Q3539" s="2" t="s">
        <v>23525</v>
      </c>
      <c r="R3539" s="2" t="s">
        <v>23526</v>
      </c>
      <c r="S3539" s="2" t="s">
        <v>50</v>
      </c>
      <c r="T3539" s="2" t="s">
        <v>124</v>
      </c>
      <c r="U3539" s="2" t="s">
        <v>982</v>
      </c>
      <c r="V3539" s="2" t="s">
        <v>59</v>
      </c>
      <c r="W3539" s="2">
        <v>38.799999999999997</v>
      </c>
      <c r="X3539" s="2">
        <v>10.4</v>
      </c>
      <c r="Y3539" s="2" t="s">
        <v>141</v>
      </c>
      <c r="Z3539" s="2" t="s">
        <v>23527</v>
      </c>
      <c r="AA3539" s="2">
        <v>1.5229003058502999</v>
      </c>
      <c r="AB3539" s="2">
        <v>0.21001007756027901</v>
      </c>
      <c r="AC3539" s="2">
        <v>120075.286335891</v>
      </c>
      <c r="AD3539" s="2">
        <v>128379.559421502</v>
      </c>
      <c r="AE3539" s="2">
        <v>103781.74013788</v>
      </c>
      <c r="AF3539" s="2">
        <v>121280.507300172</v>
      </c>
      <c r="AG3539" s="2">
        <v>109001.398871389</v>
      </c>
      <c r="AH3539" s="2">
        <v>117602.50296305701</v>
      </c>
      <c r="AI3539" s="2">
        <v>147715.04162653501</v>
      </c>
      <c r="AJ3539" s="2">
        <v>121070.52711631299</v>
      </c>
      <c r="AK3539" s="2">
        <v>111494.66788548999</v>
      </c>
      <c r="AL3539" s="2">
        <v>124683.34583413901</v>
      </c>
      <c r="AM3539" s="2">
        <v>141241.671392719</v>
      </c>
      <c r="AN3539" s="2">
        <v>128711.08737326101</v>
      </c>
      <c r="AO3539" s="2">
        <v>137514.83822793001</v>
      </c>
      <c r="AP3539" s="2">
        <v>126631.745815473</v>
      </c>
    </row>
    <row r="3540" spans="1:42" ht="14.5" x14ac:dyDescent="0.35">
      <c r="A3540" s="2" t="s">
        <v>23528</v>
      </c>
      <c r="B3540" s="2">
        <v>603.17167262853604</v>
      </c>
      <c r="C3540" s="2">
        <v>4.3459666666666701</v>
      </c>
      <c r="D3540" s="2" t="s">
        <v>70</v>
      </c>
      <c r="E3540" s="2" t="s">
        <v>23529</v>
      </c>
      <c r="F3540" s="2">
        <v>257192</v>
      </c>
      <c r="G3540" s="3" t="str">
        <f>HYPERLINK("http://funmeta.oebiotech.com/network/257192", "http://funmeta.oebiotech.com/network/257192")</f>
        <v>http://funmeta.oebiotech.com/network/257192</v>
      </c>
      <c r="H3540" s="2" t="s">
        <v>23530</v>
      </c>
      <c r="I3540" s="2"/>
      <c r="J3540" s="2"/>
      <c r="K3540" s="2">
        <v>133516</v>
      </c>
      <c r="L3540" s="2"/>
      <c r="M3540" s="2"/>
      <c r="N3540" s="2"/>
      <c r="O3540" s="2"/>
      <c r="P3540" s="2"/>
      <c r="Q3540" s="2" t="s">
        <v>23531</v>
      </c>
      <c r="R3540" s="2" t="s">
        <v>23532</v>
      </c>
      <c r="S3540" s="2" t="s">
        <v>89</v>
      </c>
      <c r="T3540" s="2" t="s">
        <v>90</v>
      </c>
      <c r="U3540" s="2" t="s">
        <v>99</v>
      </c>
      <c r="V3540" s="2" t="s">
        <v>59</v>
      </c>
      <c r="W3540" s="2">
        <v>37.9</v>
      </c>
      <c r="X3540" s="2">
        <v>0</v>
      </c>
      <c r="Y3540" s="2" t="s">
        <v>560</v>
      </c>
      <c r="Z3540" s="2" t="s">
        <v>23533</v>
      </c>
      <c r="AA3540" s="2">
        <v>-2.6383706691543898</v>
      </c>
      <c r="AB3540" s="2">
        <v>0.20997902394138099</v>
      </c>
      <c r="AC3540" s="2">
        <v>4936.12093675506</v>
      </c>
      <c r="AD3540" s="2">
        <v>1418.77353676131</v>
      </c>
      <c r="AE3540" s="2">
        <v>7049.8404425615399</v>
      </c>
      <c r="AF3540" s="2">
        <v>7056.4468315818203</v>
      </c>
      <c r="AG3540" s="2">
        <v>4034.0422935256702</v>
      </c>
      <c r="AH3540" s="2">
        <v>3698.3615456279099</v>
      </c>
      <c r="AI3540" s="2">
        <v>4255.4935775009799</v>
      </c>
      <c r="AJ3540" s="2">
        <v>3522.54092973245</v>
      </c>
      <c r="AK3540" s="2">
        <v>1292.6413074852401</v>
      </c>
      <c r="AL3540" s="2">
        <v>3372.4601932381001</v>
      </c>
      <c r="AM3540" s="2">
        <v>1367.8231582917299</v>
      </c>
      <c r="AN3540" s="2">
        <v>817.54997103263804</v>
      </c>
      <c r="AO3540" s="2">
        <v>869.682554543489</v>
      </c>
      <c r="AP3540" s="2">
        <v>792.48403597664696</v>
      </c>
    </row>
    <row r="3541" spans="1:42" ht="14.5" x14ac:dyDescent="0.35">
      <c r="A3541" s="2" t="s">
        <v>23534</v>
      </c>
      <c r="B3541" s="2">
        <v>409.20749135248502</v>
      </c>
      <c r="C3541" s="2">
        <v>5.1527500000000002</v>
      </c>
      <c r="D3541" s="2" t="s">
        <v>70</v>
      </c>
      <c r="E3541" s="2" t="s">
        <v>23535</v>
      </c>
      <c r="F3541" s="2">
        <v>10266</v>
      </c>
      <c r="G3541" s="3" t="str">
        <f>HYPERLINK("http://funmeta.oebiotech.com/network/10266", "http://funmeta.oebiotech.com/network/10266")</f>
        <v>http://funmeta.oebiotech.com/network/10266</v>
      </c>
      <c r="H3541" s="2"/>
      <c r="I3541" s="2"/>
      <c r="J3541" s="2" t="s">
        <v>23536</v>
      </c>
      <c r="K3541" s="2"/>
      <c r="L3541" s="2"/>
      <c r="M3541" s="2"/>
      <c r="N3541" s="2"/>
      <c r="O3541" s="2">
        <v>137628431</v>
      </c>
      <c r="P3541" s="2"/>
      <c r="Q3541" s="2" t="s">
        <v>23537</v>
      </c>
      <c r="R3541" s="2" t="s">
        <v>23538</v>
      </c>
      <c r="S3541" s="2" t="s">
        <v>79</v>
      </c>
      <c r="T3541" s="2" t="s">
        <v>80</v>
      </c>
      <c r="U3541" s="2" t="s">
        <v>81</v>
      </c>
      <c r="V3541" s="2" t="s">
        <v>59</v>
      </c>
      <c r="W3541" s="2">
        <v>38.799999999999997</v>
      </c>
      <c r="X3541" s="2">
        <v>0</v>
      </c>
      <c r="Y3541" s="2" t="s">
        <v>408</v>
      </c>
      <c r="Z3541" s="2" t="s">
        <v>23539</v>
      </c>
      <c r="AA3541" s="2">
        <v>-1.1792662679391399</v>
      </c>
      <c r="AB3541" s="2">
        <v>0.209591189176946</v>
      </c>
      <c r="AC3541" s="2">
        <v>13957.385627846101</v>
      </c>
      <c r="AD3541" s="2">
        <v>17137.680502947998</v>
      </c>
      <c r="AE3541" s="2">
        <v>12670.5680849483</v>
      </c>
      <c r="AF3541" s="2">
        <v>14598.904506052</v>
      </c>
      <c r="AG3541" s="2">
        <v>14057.898594583899</v>
      </c>
      <c r="AH3541" s="2">
        <v>13783.675850040299</v>
      </c>
      <c r="AI3541" s="2">
        <v>14899.452877829901</v>
      </c>
      <c r="AJ3541" s="2">
        <v>13733.813853622099</v>
      </c>
      <c r="AK3541" s="2">
        <v>16963.495756173699</v>
      </c>
      <c r="AL3541" s="2">
        <v>16818.369143891399</v>
      </c>
      <c r="AM3541" s="2">
        <v>17694.7346301201</v>
      </c>
      <c r="AN3541" s="2">
        <v>15647.5984440582</v>
      </c>
      <c r="AO3541" s="2">
        <v>18040.283044425101</v>
      </c>
      <c r="AP3541" s="2">
        <v>17661.6019990196</v>
      </c>
    </row>
    <row r="3542" spans="1:42" ht="14.5" x14ac:dyDescent="0.35">
      <c r="A3542" s="2" t="s">
        <v>23540</v>
      </c>
      <c r="B3542" s="2">
        <v>417.155169875105</v>
      </c>
      <c r="C3542" s="2">
        <v>4.9166499999999997</v>
      </c>
      <c r="D3542" s="2" t="s">
        <v>70</v>
      </c>
      <c r="E3542" s="2" t="s">
        <v>23541</v>
      </c>
      <c r="F3542" s="2">
        <v>257043</v>
      </c>
      <c r="G3542" s="3" t="str">
        <f>HYPERLINK("http://funmeta.oebiotech.com/network/257043", "http://funmeta.oebiotech.com/network/257043")</f>
        <v>http://funmeta.oebiotech.com/network/257043</v>
      </c>
      <c r="H3542" s="2" t="s">
        <v>23542</v>
      </c>
      <c r="I3542" s="2"/>
      <c r="J3542" s="2"/>
      <c r="K3542" s="2"/>
      <c r="L3542" s="2"/>
      <c r="M3542" s="2"/>
      <c r="N3542" s="2"/>
      <c r="O3542" s="2">
        <v>25201173</v>
      </c>
      <c r="P3542" s="2"/>
      <c r="Q3542" s="2" t="s">
        <v>23543</v>
      </c>
      <c r="R3542" s="2" t="s">
        <v>23544</v>
      </c>
      <c r="S3542" s="2" t="s">
        <v>491</v>
      </c>
      <c r="T3542" s="2" t="s">
        <v>12134</v>
      </c>
      <c r="U3542" s="2" t="s">
        <v>14916</v>
      </c>
      <c r="V3542" s="2" t="s">
        <v>59</v>
      </c>
      <c r="W3542" s="2">
        <v>39.5</v>
      </c>
      <c r="X3542" s="2">
        <v>0</v>
      </c>
      <c r="Y3542" s="2" t="s">
        <v>560</v>
      </c>
      <c r="Z3542" s="2" t="s">
        <v>23545</v>
      </c>
      <c r="AA3542" s="2">
        <v>-0.76879918474112896</v>
      </c>
      <c r="AB3542" s="2">
        <v>0.20957425278171901</v>
      </c>
      <c r="AC3542" s="2">
        <v>6028.1885617963299</v>
      </c>
      <c r="AD3542" s="2">
        <v>2856.5000238100502</v>
      </c>
      <c r="AE3542" s="2">
        <v>5989.2700554514504</v>
      </c>
      <c r="AF3542" s="2">
        <v>6760.3336905380802</v>
      </c>
      <c r="AG3542" s="2">
        <v>5030.9058381377699</v>
      </c>
      <c r="AH3542" s="2">
        <v>6898.8519395245103</v>
      </c>
      <c r="AI3542" s="2">
        <v>5873.5786099466404</v>
      </c>
      <c r="AJ3542" s="2">
        <v>5616.1912371795397</v>
      </c>
      <c r="AK3542" s="2">
        <v>3523.5816323506601</v>
      </c>
      <c r="AL3542" s="2">
        <v>3256.7277112527199</v>
      </c>
      <c r="AM3542" s="2">
        <v>2503.8840622601601</v>
      </c>
      <c r="AN3542" s="2">
        <v>1446.8318504103199</v>
      </c>
      <c r="AO3542" s="2">
        <v>2428.1588204457398</v>
      </c>
      <c r="AP3542" s="2">
        <v>3979.8160661406801</v>
      </c>
    </row>
    <row r="3543" spans="1:42" ht="14.5" x14ac:dyDescent="0.35">
      <c r="A3543" s="2" t="s">
        <v>23546</v>
      </c>
      <c r="B3543" s="2">
        <v>594.19780096073498</v>
      </c>
      <c r="C3543" s="2">
        <v>4.6304499999999997</v>
      </c>
      <c r="D3543" s="2" t="s">
        <v>70</v>
      </c>
      <c r="E3543" s="2" t="s">
        <v>23547</v>
      </c>
      <c r="F3543" s="2">
        <v>257625</v>
      </c>
      <c r="G3543" s="3" t="str">
        <f>HYPERLINK("http://funmeta.oebiotech.com/network/257625", "http://funmeta.oebiotech.com/network/257625")</f>
        <v>http://funmeta.oebiotech.com/network/257625</v>
      </c>
      <c r="H3543" s="2" t="s">
        <v>23548</v>
      </c>
      <c r="I3543" s="2">
        <v>423636</v>
      </c>
      <c r="J3543" s="2"/>
      <c r="K3543" s="2"/>
      <c r="L3543" s="2"/>
      <c r="M3543" s="2"/>
      <c r="N3543" s="2"/>
      <c r="O3543" s="2">
        <v>68748835</v>
      </c>
      <c r="P3543" s="2"/>
      <c r="Q3543" s="2" t="s">
        <v>23549</v>
      </c>
      <c r="R3543" s="2" t="s">
        <v>23550</v>
      </c>
      <c r="S3543" s="2" t="s">
        <v>41</v>
      </c>
      <c r="T3543" s="2" t="s">
        <v>41</v>
      </c>
      <c r="U3543" s="2" t="s">
        <v>41</v>
      </c>
      <c r="V3543" s="2" t="s">
        <v>59</v>
      </c>
      <c r="W3543" s="2">
        <v>37.299999999999997</v>
      </c>
      <c r="X3543" s="2">
        <v>0</v>
      </c>
      <c r="Y3543" s="2" t="s">
        <v>408</v>
      </c>
      <c r="Z3543" s="2" t="s">
        <v>23551</v>
      </c>
      <c r="AA3543" s="2">
        <v>1.4998471840872001</v>
      </c>
      <c r="AB3543" s="2">
        <v>0.20953700078513701</v>
      </c>
      <c r="AC3543" s="2">
        <v>3529.3387102155998</v>
      </c>
      <c r="AD3543" s="2">
        <v>6670.7053095906103</v>
      </c>
      <c r="AE3543" s="2">
        <v>4509.6681473426097</v>
      </c>
      <c r="AF3543" s="2">
        <v>3832.9649721539199</v>
      </c>
      <c r="AG3543" s="2">
        <v>2732.8391101905399</v>
      </c>
      <c r="AH3543" s="2">
        <v>3949.16397328943</v>
      </c>
      <c r="AI3543" s="2">
        <v>3885.40083732825</v>
      </c>
      <c r="AJ3543" s="2">
        <v>2265.9952209888702</v>
      </c>
      <c r="AK3543" s="2">
        <v>7616.7447802813904</v>
      </c>
      <c r="AL3543" s="2">
        <v>6572.7761221267201</v>
      </c>
      <c r="AM3543" s="2">
        <v>6293.2889704888303</v>
      </c>
      <c r="AN3543" s="2">
        <v>5822.3769518031004</v>
      </c>
      <c r="AO3543" s="2">
        <v>7128.3012013350899</v>
      </c>
      <c r="AP3543" s="2">
        <v>6590.7438315085401</v>
      </c>
    </row>
    <row r="3544" spans="1:42" ht="14.5" x14ac:dyDescent="0.35">
      <c r="A3544" s="2" t="s">
        <v>23552</v>
      </c>
      <c r="B3544" s="2">
        <v>271.06998251830998</v>
      </c>
      <c r="C3544" s="2">
        <v>3.6738166666666698</v>
      </c>
      <c r="D3544" s="2" t="s">
        <v>70</v>
      </c>
      <c r="E3544" s="2" t="s">
        <v>23553</v>
      </c>
      <c r="F3544" s="2">
        <v>82990</v>
      </c>
      <c r="G3544" s="3" t="str">
        <f>HYPERLINK("http://funmeta.oebiotech.com/network/82990", "http://funmeta.oebiotech.com/network/82990")</f>
        <v>http://funmeta.oebiotech.com/network/82990</v>
      </c>
      <c r="H3544" s="2" t="s">
        <v>23554</v>
      </c>
      <c r="I3544" s="2"/>
      <c r="J3544" s="2"/>
      <c r="K3544" s="2"/>
      <c r="L3544" s="2"/>
      <c r="M3544" s="2"/>
      <c r="N3544" s="2"/>
      <c r="O3544" s="2">
        <v>131770061</v>
      </c>
      <c r="P3544" s="2"/>
      <c r="Q3544" s="2" t="s">
        <v>23555</v>
      </c>
      <c r="R3544" s="2" t="s">
        <v>23556</v>
      </c>
      <c r="S3544" s="2" t="s">
        <v>79</v>
      </c>
      <c r="T3544" s="2" t="s">
        <v>80</v>
      </c>
      <c r="U3544" s="2" t="s">
        <v>81</v>
      </c>
      <c r="V3544" s="2" t="s">
        <v>59</v>
      </c>
      <c r="W3544" s="2">
        <v>45.7</v>
      </c>
      <c r="X3544" s="2">
        <v>31.9</v>
      </c>
      <c r="Y3544" s="2" t="s">
        <v>118</v>
      </c>
      <c r="Z3544" s="2" t="s">
        <v>23557</v>
      </c>
      <c r="AA3544" s="2">
        <v>0.85328633708542001</v>
      </c>
      <c r="AB3544" s="2">
        <v>0.20936026259444901</v>
      </c>
      <c r="AC3544" s="2">
        <v>9358.0074211723204</v>
      </c>
      <c r="AD3544" s="2">
        <v>6265.7744025501497</v>
      </c>
      <c r="AE3544" s="2">
        <v>9510.4716004770598</v>
      </c>
      <c r="AF3544" s="2">
        <v>9229.5518019014507</v>
      </c>
      <c r="AG3544" s="2">
        <v>8973.5020209205195</v>
      </c>
      <c r="AH3544" s="2">
        <v>10923.1876556439</v>
      </c>
      <c r="AI3544" s="2">
        <v>8617.6422604700801</v>
      </c>
      <c r="AJ3544" s="2">
        <v>8893.6891876208992</v>
      </c>
      <c r="AK3544" s="2">
        <v>6285.2300185922604</v>
      </c>
      <c r="AL3544" s="2">
        <v>6016.7144052905496</v>
      </c>
      <c r="AM3544" s="2">
        <v>6374.1592915473802</v>
      </c>
      <c r="AN3544" s="2">
        <v>7113.8400584307401</v>
      </c>
      <c r="AO3544" s="2">
        <v>5738.66831574547</v>
      </c>
      <c r="AP3544" s="2">
        <v>6066.0343256944998</v>
      </c>
    </row>
    <row r="3545" spans="1:42" ht="14.5" x14ac:dyDescent="0.35">
      <c r="A3545" s="2" t="s">
        <v>23558</v>
      </c>
      <c r="B3545" s="2">
        <v>573.208053285799</v>
      </c>
      <c r="C3545" s="2">
        <v>14.202916666666701</v>
      </c>
      <c r="D3545" s="2" t="s">
        <v>70</v>
      </c>
      <c r="E3545" s="2" t="s">
        <v>23559</v>
      </c>
      <c r="F3545" s="2">
        <v>48896</v>
      </c>
      <c r="G3545" s="3" t="str">
        <f>HYPERLINK("http://funmeta.oebiotech.com/network/48896", "http://funmeta.oebiotech.com/network/48896")</f>
        <v>http://funmeta.oebiotech.com/network/48896</v>
      </c>
      <c r="H3545" s="2" t="s">
        <v>23560</v>
      </c>
      <c r="I3545" s="2">
        <v>58560</v>
      </c>
      <c r="J3545" s="2"/>
      <c r="K3545" s="2">
        <v>28624</v>
      </c>
      <c r="L3545" s="2" t="s">
        <v>23561</v>
      </c>
      <c r="M3545" s="2" t="s">
        <v>23498</v>
      </c>
      <c r="N3545" s="2" t="s">
        <v>23499</v>
      </c>
      <c r="O3545" s="2">
        <v>442163</v>
      </c>
      <c r="P3545" s="2"/>
      <c r="Q3545" s="2" t="s">
        <v>23562</v>
      </c>
      <c r="R3545" s="2" t="s">
        <v>23563</v>
      </c>
      <c r="S3545" s="2" t="s">
        <v>491</v>
      </c>
      <c r="T3545" s="2" t="s">
        <v>4914</v>
      </c>
      <c r="U3545" s="2" t="s">
        <v>4915</v>
      </c>
      <c r="V3545" s="2" t="s">
        <v>59</v>
      </c>
      <c r="W3545" s="2">
        <v>38.4</v>
      </c>
      <c r="X3545" s="2">
        <v>0</v>
      </c>
      <c r="Y3545" s="2" t="s">
        <v>118</v>
      </c>
      <c r="Z3545" s="2" t="s">
        <v>23564</v>
      </c>
      <c r="AA3545" s="2">
        <v>3.05660008111361</v>
      </c>
      <c r="AB3545" s="2">
        <v>0.20913774810754501</v>
      </c>
      <c r="AC3545" s="2">
        <v>23986.148002307102</v>
      </c>
      <c r="AD3545" s="2">
        <v>20064.450891154502</v>
      </c>
      <c r="AE3545" s="2">
        <v>22635.740179895001</v>
      </c>
      <c r="AF3545" s="2">
        <v>25566.846224661898</v>
      </c>
      <c r="AG3545" s="2">
        <v>24894.084306400298</v>
      </c>
      <c r="AH3545" s="2">
        <v>24251.692954332699</v>
      </c>
      <c r="AI3545" s="2">
        <v>24937.906437806501</v>
      </c>
      <c r="AJ3545" s="2">
        <v>21630.617910746299</v>
      </c>
      <c r="AK3545" s="2">
        <v>17727.4662989434</v>
      </c>
      <c r="AL3545" s="2">
        <v>18469.522408799701</v>
      </c>
      <c r="AM3545" s="2">
        <v>21082.271543959901</v>
      </c>
      <c r="AN3545" s="2">
        <v>17978.810656376099</v>
      </c>
      <c r="AO3545" s="2">
        <v>23532.2261306328</v>
      </c>
      <c r="AP3545" s="2">
        <v>21596.408308214999</v>
      </c>
    </row>
    <row r="3546" spans="1:42" ht="14.5" x14ac:dyDescent="0.35">
      <c r="A3546" s="2" t="s">
        <v>23565</v>
      </c>
      <c r="B3546" s="2">
        <v>535.32760891493103</v>
      </c>
      <c r="C3546" s="2">
        <v>7.4894166666666697</v>
      </c>
      <c r="D3546" s="2" t="s">
        <v>70</v>
      </c>
      <c r="E3546" s="2" t="s">
        <v>23566</v>
      </c>
      <c r="F3546" s="2">
        <v>43621</v>
      </c>
      <c r="G3546" s="3" t="str">
        <f>HYPERLINK("http://funmeta.oebiotech.com/network/43621", "http://funmeta.oebiotech.com/network/43621")</f>
        <v>http://funmeta.oebiotech.com/network/43621</v>
      </c>
      <c r="H3546" s="2"/>
      <c r="I3546" s="2">
        <v>83895</v>
      </c>
      <c r="J3546" s="2" t="s">
        <v>23567</v>
      </c>
      <c r="K3546" s="2"/>
      <c r="L3546" s="2"/>
      <c r="M3546" s="2"/>
      <c r="N3546" s="2"/>
      <c r="O3546" s="2">
        <v>10074329</v>
      </c>
      <c r="P3546" s="2"/>
      <c r="Q3546" s="2" t="s">
        <v>23568</v>
      </c>
      <c r="R3546" s="2" t="s">
        <v>23569</v>
      </c>
      <c r="S3546" s="2" t="s">
        <v>50</v>
      </c>
      <c r="T3546" s="2" t="s">
        <v>124</v>
      </c>
      <c r="U3546" s="2" t="s">
        <v>2789</v>
      </c>
      <c r="V3546" s="2" t="s">
        <v>59</v>
      </c>
      <c r="W3546" s="2">
        <v>39.9</v>
      </c>
      <c r="X3546" s="2">
        <v>6.32</v>
      </c>
      <c r="Y3546" s="2" t="s">
        <v>408</v>
      </c>
      <c r="Z3546" s="2" t="s">
        <v>23570</v>
      </c>
      <c r="AA3546" s="2">
        <v>-6.7602812311858496E-2</v>
      </c>
      <c r="AB3546" s="2">
        <v>0.209109753824334</v>
      </c>
      <c r="AC3546" s="2">
        <v>25811.636727543901</v>
      </c>
      <c r="AD3546" s="2">
        <v>22232.5520513753</v>
      </c>
      <c r="AE3546" s="2">
        <v>24562.269222875901</v>
      </c>
      <c r="AF3546" s="2">
        <v>26544.891796835898</v>
      </c>
      <c r="AG3546" s="2">
        <v>25604.1062215782</v>
      </c>
      <c r="AH3546" s="2">
        <v>28707.473076759201</v>
      </c>
      <c r="AI3546" s="2">
        <v>25528.419682253902</v>
      </c>
      <c r="AJ3546" s="2">
        <v>23922.660364960298</v>
      </c>
      <c r="AK3546" s="2">
        <v>23550.084548176801</v>
      </c>
      <c r="AL3546" s="2">
        <v>21346.899988913799</v>
      </c>
      <c r="AM3546" s="2">
        <v>23682.338223745901</v>
      </c>
      <c r="AN3546" s="2">
        <v>22115.053123316</v>
      </c>
      <c r="AO3546" s="2">
        <v>21991.6561063427</v>
      </c>
      <c r="AP3546" s="2">
        <v>20709.280317756398</v>
      </c>
    </row>
    <row r="3547" spans="1:42" ht="14.5" x14ac:dyDescent="0.35">
      <c r="A3547" s="2" t="s">
        <v>23571</v>
      </c>
      <c r="B3547" s="2">
        <v>427.09577776544103</v>
      </c>
      <c r="C3547" s="2">
        <v>8.3740000000000006</v>
      </c>
      <c r="D3547" s="2" t="s">
        <v>70</v>
      </c>
      <c r="E3547" s="2" t="s">
        <v>23572</v>
      </c>
      <c r="F3547" s="2">
        <v>212060</v>
      </c>
      <c r="G3547" s="3" t="str">
        <f>HYPERLINK("http://funmeta.oebiotech.com/network/212060", "http://funmeta.oebiotech.com/network/212060")</f>
        <v>http://funmeta.oebiotech.com/network/212060</v>
      </c>
      <c r="H3547" s="2" t="s">
        <v>23573</v>
      </c>
      <c r="I3547" s="2">
        <v>43481</v>
      </c>
      <c r="J3547" s="2"/>
      <c r="K3547" s="2">
        <v>94621</v>
      </c>
      <c r="L3547" s="2"/>
      <c r="M3547" s="2"/>
      <c r="N3547" s="2"/>
      <c r="O3547" s="2">
        <v>5324</v>
      </c>
      <c r="P3547" s="2" t="s">
        <v>23574</v>
      </c>
      <c r="Q3547" s="2" t="s">
        <v>23575</v>
      </c>
      <c r="R3547" s="2" t="s">
        <v>23576</v>
      </c>
      <c r="S3547" s="2" t="s">
        <v>148</v>
      </c>
      <c r="T3547" s="2" t="s">
        <v>149</v>
      </c>
      <c r="U3547" s="2" t="s">
        <v>4282</v>
      </c>
      <c r="V3547" s="2" t="s">
        <v>59</v>
      </c>
      <c r="W3547" s="2">
        <v>37.700000000000003</v>
      </c>
      <c r="X3547" s="2">
        <v>0</v>
      </c>
      <c r="Y3547" s="2" t="s">
        <v>560</v>
      </c>
      <c r="Z3547" s="2" t="s">
        <v>23577</v>
      </c>
      <c r="AA3547" s="2">
        <v>-4.2955841623837401</v>
      </c>
      <c r="AB3547" s="2">
        <v>0.20886804259438099</v>
      </c>
      <c r="AC3547" s="2">
        <v>3508.8676263184698</v>
      </c>
      <c r="AD3547" s="2">
        <v>616.49285717814803</v>
      </c>
      <c r="AE3547" s="2">
        <v>3746.31836074289</v>
      </c>
      <c r="AF3547" s="2">
        <v>3085.0223612431</v>
      </c>
      <c r="AG3547" s="2">
        <v>3653.35842251344</v>
      </c>
      <c r="AH3547" s="2">
        <v>3686.2400977938</v>
      </c>
      <c r="AI3547" s="2">
        <v>3552.3988451477999</v>
      </c>
      <c r="AJ3547" s="2">
        <v>3329.86767046977</v>
      </c>
      <c r="AK3547" s="2">
        <v>714.90721809517697</v>
      </c>
      <c r="AL3547" s="2">
        <v>685.70162289069503</v>
      </c>
      <c r="AM3547" s="2">
        <v>788.966091646736</v>
      </c>
      <c r="AN3547" s="2">
        <v>721.63754190808504</v>
      </c>
      <c r="AO3547" s="2">
        <v>493.82261276379103</v>
      </c>
      <c r="AP3547" s="2">
        <v>293.92205576440602</v>
      </c>
    </row>
    <row r="3548" spans="1:42" ht="14.5" x14ac:dyDescent="0.35">
      <c r="A3548" s="2" t="s">
        <v>23578</v>
      </c>
      <c r="B3548" s="2">
        <v>226.12251180211999</v>
      </c>
      <c r="C3548" s="2">
        <v>9.5986833333333301</v>
      </c>
      <c r="D3548" s="2" t="s">
        <v>34</v>
      </c>
      <c r="E3548" s="2" t="s">
        <v>23579</v>
      </c>
      <c r="F3548" s="2">
        <v>201480</v>
      </c>
      <c r="G3548" s="3" t="str">
        <f>HYPERLINK("http://funmeta.oebiotech.com/network/201480", "http://funmeta.oebiotech.com/network/201480")</f>
        <v>http://funmeta.oebiotech.com/network/201480</v>
      </c>
      <c r="H3548" s="2" t="s">
        <v>23580</v>
      </c>
      <c r="I3548" s="2">
        <v>323177</v>
      </c>
      <c r="J3548" s="2"/>
      <c r="K3548" s="2"/>
      <c r="L3548" s="2"/>
      <c r="M3548" s="2"/>
      <c r="N3548" s="2"/>
      <c r="O3548" s="2">
        <v>500460</v>
      </c>
      <c r="P3548" s="2"/>
      <c r="Q3548" s="2" t="s">
        <v>23581</v>
      </c>
      <c r="R3548" s="2" t="s">
        <v>23582</v>
      </c>
      <c r="S3548" s="2" t="s">
        <v>115</v>
      </c>
      <c r="T3548" s="2" t="s">
        <v>1371</v>
      </c>
      <c r="U3548" s="2" t="s">
        <v>23583</v>
      </c>
      <c r="V3548" s="2" t="s">
        <v>59</v>
      </c>
      <c r="W3548" s="2">
        <v>42.3</v>
      </c>
      <c r="X3548" s="2">
        <v>16</v>
      </c>
      <c r="Y3548" s="2" t="s">
        <v>43</v>
      </c>
      <c r="Z3548" s="2" t="s">
        <v>23584</v>
      </c>
      <c r="AA3548" s="2">
        <v>-0.61864103358480305</v>
      </c>
      <c r="AB3548" s="2">
        <v>0.20883846573724599</v>
      </c>
      <c r="AC3548" s="2">
        <v>5231.3928448525103</v>
      </c>
      <c r="AD3548" s="2">
        <v>362.44912375825601</v>
      </c>
      <c r="AE3548" s="2">
        <v>3314.0966040846702</v>
      </c>
      <c r="AF3548" s="2">
        <v>4980.8346561926701</v>
      </c>
      <c r="AG3548" s="2">
        <v>2513.1427355014198</v>
      </c>
      <c r="AH3548" s="2">
        <v>2851.89638824538</v>
      </c>
      <c r="AI3548" s="2">
        <v>15204.4218407557</v>
      </c>
      <c r="AJ3548" s="2">
        <v>2523.9648443352098</v>
      </c>
      <c r="AK3548" s="2">
        <v>515.66022862955299</v>
      </c>
      <c r="AL3548" s="2">
        <v>408.31742418726799</v>
      </c>
      <c r="AM3548" s="2">
        <v>324.47457266384902</v>
      </c>
      <c r="AN3548" s="2">
        <v>308.444204430806</v>
      </c>
      <c r="AO3548" s="2">
        <v>228.73381694512699</v>
      </c>
      <c r="AP3548" s="2">
        <v>389.064495692935</v>
      </c>
    </row>
    <row r="3549" spans="1:42" ht="14.5" x14ac:dyDescent="0.35">
      <c r="A3549" s="2" t="s">
        <v>23585</v>
      </c>
      <c r="B3549" s="2">
        <v>124.03921937576099</v>
      </c>
      <c r="C3549" s="2">
        <v>0.75019999999999998</v>
      </c>
      <c r="D3549" s="2" t="s">
        <v>34</v>
      </c>
      <c r="E3549" s="2" t="s">
        <v>23586</v>
      </c>
      <c r="F3549" s="2">
        <v>82539</v>
      </c>
      <c r="G3549" s="3" t="str">
        <f>HYPERLINK("http://funmeta.oebiotech.com/network/82539", "http://funmeta.oebiotech.com/network/82539")</f>
        <v>http://funmeta.oebiotech.com/network/82539</v>
      </c>
      <c r="H3549" s="2" t="s">
        <v>23587</v>
      </c>
      <c r="I3549" s="2">
        <v>849</v>
      </c>
      <c r="J3549" s="2"/>
      <c r="K3549" s="2">
        <v>6032</v>
      </c>
      <c r="L3549" s="2" t="s">
        <v>23588</v>
      </c>
      <c r="M3549" s="2" t="s">
        <v>17102</v>
      </c>
      <c r="N3549" s="2" t="s">
        <v>17103</v>
      </c>
      <c r="O3549" s="2">
        <v>5922</v>
      </c>
      <c r="P3549" s="2" t="s">
        <v>23589</v>
      </c>
      <c r="Q3549" s="2" t="s">
        <v>23590</v>
      </c>
      <c r="R3549" s="2" t="s">
        <v>23591</v>
      </c>
      <c r="S3549" s="2" t="s">
        <v>491</v>
      </c>
      <c r="T3549" s="2" t="s">
        <v>2238</v>
      </c>
      <c r="U3549" s="2" t="s">
        <v>15117</v>
      </c>
      <c r="V3549" s="2" t="s">
        <v>59</v>
      </c>
      <c r="W3549" s="2">
        <v>44.8</v>
      </c>
      <c r="X3549" s="2">
        <v>29.5</v>
      </c>
      <c r="Y3549" s="2" t="s">
        <v>394</v>
      </c>
      <c r="Z3549" s="2" t="s">
        <v>23592</v>
      </c>
      <c r="AA3549" s="2">
        <v>-0.69462001068437096</v>
      </c>
      <c r="AB3549" s="2">
        <v>0.20877810007311301</v>
      </c>
      <c r="AC3549" s="2">
        <v>26998.460080080898</v>
      </c>
      <c r="AD3549" s="2">
        <v>23752.7250998575</v>
      </c>
      <c r="AE3549" s="2">
        <v>27654.843529527501</v>
      </c>
      <c r="AF3549" s="2">
        <v>28116.897583172198</v>
      </c>
      <c r="AG3549" s="2">
        <v>27183.6242283186</v>
      </c>
      <c r="AH3549" s="2">
        <v>25953.528338361801</v>
      </c>
      <c r="AI3549" s="2">
        <v>25572.8143233419</v>
      </c>
      <c r="AJ3549" s="2">
        <v>27509.0524777637</v>
      </c>
      <c r="AK3549" s="2">
        <v>23048.450797867001</v>
      </c>
      <c r="AL3549" s="2">
        <v>23932.744886033299</v>
      </c>
      <c r="AM3549" s="2">
        <v>23933.0161056955</v>
      </c>
      <c r="AN3549" s="2">
        <v>22518.305967193901</v>
      </c>
      <c r="AO3549" s="2">
        <v>25360.082249117298</v>
      </c>
      <c r="AP3549" s="2">
        <v>23723.750593237899</v>
      </c>
    </row>
    <row r="3550" spans="1:42" ht="14.5" x14ac:dyDescent="0.35">
      <c r="A3550" s="2" t="s">
        <v>23593</v>
      </c>
      <c r="B3550" s="2">
        <v>921.24090160286698</v>
      </c>
      <c r="C3550" s="2">
        <v>4.9166499999999997</v>
      </c>
      <c r="D3550" s="2" t="s">
        <v>70</v>
      </c>
      <c r="E3550" s="2" t="s">
        <v>23594</v>
      </c>
      <c r="F3550" s="2">
        <v>202972</v>
      </c>
      <c r="G3550" s="3" t="str">
        <f>HYPERLINK("http://funmeta.oebiotech.com/network/202972", "http://funmeta.oebiotech.com/network/202972")</f>
        <v>http://funmeta.oebiotech.com/network/202972</v>
      </c>
      <c r="H3550" s="2" t="s">
        <v>23595</v>
      </c>
      <c r="I3550" s="2"/>
      <c r="J3550" s="2"/>
      <c r="K3550" s="2"/>
      <c r="L3550" s="2"/>
      <c r="M3550" s="2"/>
      <c r="N3550" s="2"/>
      <c r="O3550" s="2">
        <v>3900</v>
      </c>
      <c r="P3550" s="2"/>
      <c r="Q3550" s="2" t="s">
        <v>23596</v>
      </c>
      <c r="R3550" s="2" t="s">
        <v>23597</v>
      </c>
      <c r="S3550" s="2" t="s">
        <v>491</v>
      </c>
      <c r="T3550" s="2" t="s">
        <v>8419</v>
      </c>
      <c r="U3550" s="2" t="s">
        <v>8420</v>
      </c>
      <c r="V3550" s="2" t="s">
        <v>59</v>
      </c>
      <c r="W3550" s="2">
        <v>36.5</v>
      </c>
      <c r="X3550" s="2">
        <v>0</v>
      </c>
      <c r="Y3550" s="2" t="s">
        <v>560</v>
      </c>
      <c r="Z3550" s="2" t="s">
        <v>23598</v>
      </c>
      <c r="AA3550" s="2">
        <v>-3.4308900933483502</v>
      </c>
      <c r="AB3550" s="2">
        <v>0.208767840265035</v>
      </c>
      <c r="AC3550" s="2">
        <v>10949.463153363</v>
      </c>
      <c r="AD3550" s="2">
        <v>7138.0465920420802</v>
      </c>
      <c r="AE3550" s="2">
        <v>11533.4444817597</v>
      </c>
      <c r="AF3550" s="2">
        <v>9820.2753283114398</v>
      </c>
      <c r="AG3550" s="2">
        <v>8800.8696299302901</v>
      </c>
      <c r="AH3550" s="2">
        <v>11599.431878903</v>
      </c>
      <c r="AI3550" s="2">
        <v>12633.5402390456</v>
      </c>
      <c r="AJ3550" s="2">
        <v>11309.217362227701</v>
      </c>
      <c r="AK3550" s="2">
        <v>5229.0374806580103</v>
      </c>
      <c r="AL3550" s="2">
        <v>10051.3240818823</v>
      </c>
      <c r="AM3550" s="2">
        <v>6553.9830195002096</v>
      </c>
      <c r="AN3550" s="2">
        <v>8585.4630601966601</v>
      </c>
      <c r="AO3550" s="2">
        <v>4335.2510215582597</v>
      </c>
      <c r="AP3550" s="2">
        <v>8073.22088845705</v>
      </c>
    </row>
    <row r="3551" spans="1:42" ht="14.5" x14ac:dyDescent="0.35">
      <c r="A3551" s="2" t="s">
        <v>23599</v>
      </c>
      <c r="B3551" s="2">
        <v>529.38873643491002</v>
      </c>
      <c r="C3551" s="2">
        <v>11.289483333333299</v>
      </c>
      <c r="D3551" s="2" t="s">
        <v>34</v>
      </c>
      <c r="E3551" s="2" t="s">
        <v>23600</v>
      </c>
      <c r="F3551" s="2">
        <v>56424</v>
      </c>
      <c r="G3551" s="3" t="str">
        <f>HYPERLINK("http://funmeta.oebiotech.com/network/56424", "http://funmeta.oebiotech.com/network/56424")</f>
        <v>http://funmeta.oebiotech.com/network/56424</v>
      </c>
      <c r="H3551" s="2" t="s">
        <v>23601</v>
      </c>
      <c r="I3551" s="2"/>
      <c r="J3551" s="2"/>
      <c r="K3551" s="2"/>
      <c r="L3551" s="2"/>
      <c r="M3551" s="2"/>
      <c r="N3551" s="2"/>
      <c r="O3551" s="2">
        <v>5352436</v>
      </c>
      <c r="P3551" s="2" t="s">
        <v>23602</v>
      </c>
      <c r="Q3551" s="2" t="s">
        <v>23603</v>
      </c>
      <c r="R3551" s="2" t="s">
        <v>23604</v>
      </c>
      <c r="S3551" s="2" t="s">
        <v>50</v>
      </c>
      <c r="T3551" s="2" t="s">
        <v>201</v>
      </c>
      <c r="U3551" s="2" t="s">
        <v>210</v>
      </c>
      <c r="V3551" s="2" t="s">
        <v>59</v>
      </c>
      <c r="W3551" s="2">
        <v>42.3</v>
      </c>
      <c r="X3551" s="2">
        <v>22.9</v>
      </c>
      <c r="Y3551" s="2" t="s">
        <v>394</v>
      </c>
      <c r="Z3551" s="2" t="s">
        <v>23605</v>
      </c>
      <c r="AA3551" s="2">
        <v>-2.7939151980328099E-2</v>
      </c>
      <c r="AB3551" s="2">
        <v>0.20876688858012701</v>
      </c>
      <c r="AC3551" s="2">
        <v>29842.746582138701</v>
      </c>
      <c r="AD3551" s="2">
        <v>34514.393245136896</v>
      </c>
      <c r="AE3551" s="2">
        <v>27689.255688430501</v>
      </c>
      <c r="AF3551" s="2">
        <v>27179.800631919199</v>
      </c>
      <c r="AG3551" s="2">
        <v>32155.959747656401</v>
      </c>
      <c r="AH3551" s="2">
        <v>34519.561152924303</v>
      </c>
      <c r="AI3551" s="2">
        <v>29353.138242372799</v>
      </c>
      <c r="AJ3551" s="2">
        <v>28158.764029529098</v>
      </c>
      <c r="AK3551" s="2">
        <v>28325.972126176901</v>
      </c>
      <c r="AL3551" s="2">
        <v>34046.237815726701</v>
      </c>
      <c r="AM3551" s="2">
        <v>33553.663122099599</v>
      </c>
      <c r="AN3551" s="2">
        <v>35150.220432921204</v>
      </c>
      <c r="AO3551" s="2">
        <v>36586.699089128197</v>
      </c>
      <c r="AP3551" s="2">
        <v>39423.566884768603</v>
      </c>
    </row>
    <row r="3552" spans="1:42" ht="14.5" x14ac:dyDescent="0.35">
      <c r="A3552" s="2" t="s">
        <v>23606</v>
      </c>
      <c r="B3552" s="2">
        <v>265.14085510710999</v>
      </c>
      <c r="C3552" s="2">
        <v>12.953900000000001</v>
      </c>
      <c r="D3552" s="2" t="s">
        <v>34</v>
      </c>
      <c r="E3552" s="2" t="s">
        <v>23607</v>
      </c>
      <c r="F3552" s="2">
        <v>198714</v>
      </c>
      <c r="G3552" s="3" t="str">
        <f>HYPERLINK("http://funmeta.oebiotech.com/network/198714", "http://funmeta.oebiotech.com/network/198714")</f>
        <v>http://funmeta.oebiotech.com/network/198714</v>
      </c>
      <c r="H3552" s="2" t="s">
        <v>23608</v>
      </c>
      <c r="I3552" s="2"/>
      <c r="J3552" s="2"/>
      <c r="K3552" s="2"/>
      <c r="L3552" s="2"/>
      <c r="M3552" s="2"/>
      <c r="N3552" s="2"/>
      <c r="O3552" s="2">
        <v>72192</v>
      </c>
      <c r="P3552" s="2"/>
      <c r="Q3552" s="2" t="s">
        <v>23609</v>
      </c>
      <c r="R3552" s="2" t="s">
        <v>23610</v>
      </c>
      <c r="S3552" s="2" t="s">
        <v>1444</v>
      </c>
      <c r="T3552" s="2" t="s">
        <v>23611</v>
      </c>
      <c r="U3552" s="2" t="s">
        <v>41</v>
      </c>
      <c r="V3552" s="2" t="s">
        <v>59</v>
      </c>
      <c r="W3552" s="2">
        <v>38.700000000000003</v>
      </c>
      <c r="X3552" s="2">
        <v>0</v>
      </c>
      <c r="Y3552" s="2" t="s">
        <v>43</v>
      </c>
      <c r="Z3552" s="2" t="s">
        <v>23612</v>
      </c>
      <c r="AA3552" s="2">
        <v>0.42450077015181398</v>
      </c>
      <c r="AB3552" s="2">
        <v>0.20873971062744201</v>
      </c>
      <c r="AC3552" s="2">
        <v>7925.5891638267503</v>
      </c>
      <c r="AD3552" s="2">
        <v>4978.2940698189504</v>
      </c>
      <c r="AE3552" s="2">
        <v>7867.8638570050698</v>
      </c>
      <c r="AF3552" s="2">
        <v>7514.9264509123204</v>
      </c>
      <c r="AG3552" s="2">
        <v>7941.2627255985199</v>
      </c>
      <c r="AH3552" s="2">
        <v>8231.2156287554499</v>
      </c>
      <c r="AI3552" s="2">
        <v>7884.7461434946999</v>
      </c>
      <c r="AJ3552" s="2">
        <v>8113.5201771944303</v>
      </c>
      <c r="AK3552" s="2">
        <v>5694.6365765615701</v>
      </c>
      <c r="AL3552" s="2">
        <v>5521.0532862217096</v>
      </c>
      <c r="AM3552" s="2">
        <v>4706.1786499418204</v>
      </c>
      <c r="AN3552" s="2">
        <v>4918.0024511381698</v>
      </c>
      <c r="AO3552" s="2">
        <v>4707.2846401459101</v>
      </c>
      <c r="AP3552" s="2">
        <v>4322.6088149045199</v>
      </c>
    </row>
    <row r="3553" spans="1:42" ht="14.5" x14ac:dyDescent="0.35">
      <c r="A3553" s="2" t="s">
        <v>23613</v>
      </c>
      <c r="B3553" s="2">
        <v>307.12852142220902</v>
      </c>
      <c r="C3553" s="2">
        <v>4.5143500000000003</v>
      </c>
      <c r="D3553" s="2" t="s">
        <v>34</v>
      </c>
      <c r="E3553" s="2" t="s">
        <v>23614</v>
      </c>
      <c r="F3553" s="2">
        <v>211842</v>
      </c>
      <c r="G3553" s="3" t="str">
        <f>HYPERLINK("http://funmeta.oebiotech.com/network/211842", "http://funmeta.oebiotech.com/network/211842")</f>
        <v>http://funmeta.oebiotech.com/network/211842</v>
      </c>
      <c r="H3553" s="2" t="s">
        <v>23615</v>
      </c>
      <c r="I3553" s="2"/>
      <c r="J3553" s="2"/>
      <c r="K3553" s="2"/>
      <c r="L3553" s="2"/>
      <c r="M3553" s="2"/>
      <c r="N3553" s="2"/>
      <c r="O3553" s="2"/>
      <c r="P3553" s="2"/>
      <c r="Q3553" s="2" t="s">
        <v>23616</v>
      </c>
      <c r="R3553" s="2" t="s">
        <v>23617</v>
      </c>
      <c r="S3553" s="2" t="s">
        <v>491</v>
      </c>
      <c r="T3553" s="2" t="s">
        <v>4517</v>
      </c>
      <c r="U3553" s="2" t="s">
        <v>23618</v>
      </c>
      <c r="V3553" s="2" t="s">
        <v>59</v>
      </c>
      <c r="W3553" s="2">
        <v>45.9</v>
      </c>
      <c r="X3553" s="2">
        <v>35.5</v>
      </c>
      <c r="Y3553" s="2" t="s">
        <v>323</v>
      </c>
      <c r="Z3553" s="2" t="s">
        <v>23619</v>
      </c>
      <c r="AA3553" s="2">
        <v>2.6099264077908599</v>
      </c>
      <c r="AB3553" s="2">
        <v>0.208609612226028</v>
      </c>
      <c r="AC3553" s="2">
        <v>16078.7385108858</v>
      </c>
      <c r="AD3553" s="2">
        <v>12732.146619532599</v>
      </c>
      <c r="AE3553" s="2">
        <v>16573.403869047499</v>
      </c>
      <c r="AF3553" s="2">
        <v>15825.744685492</v>
      </c>
      <c r="AG3553" s="2">
        <v>15313.013953752299</v>
      </c>
      <c r="AH3553" s="2">
        <v>15412.009520351899</v>
      </c>
      <c r="AI3553" s="2">
        <v>16297.4381547717</v>
      </c>
      <c r="AJ3553" s="2">
        <v>17050.820881899399</v>
      </c>
      <c r="AK3553" s="2">
        <v>11851.0180832526</v>
      </c>
      <c r="AL3553" s="2">
        <v>11904.853708230199</v>
      </c>
      <c r="AM3553" s="2">
        <v>15450.507917880999</v>
      </c>
      <c r="AN3553" s="2">
        <v>12817.481689885601</v>
      </c>
      <c r="AO3553" s="2">
        <v>11783.4366229282</v>
      </c>
      <c r="AP3553" s="2">
        <v>12585.5816950177</v>
      </c>
    </row>
    <row r="3554" spans="1:42" ht="14.5" x14ac:dyDescent="0.35">
      <c r="A3554" s="2" t="s">
        <v>23620</v>
      </c>
      <c r="B3554" s="2">
        <v>533.18495002362795</v>
      </c>
      <c r="C3554" s="2">
        <v>5.0778999999999996</v>
      </c>
      <c r="D3554" s="2" t="s">
        <v>70</v>
      </c>
      <c r="E3554" s="2" t="s">
        <v>23621</v>
      </c>
      <c r="F3554" s="2">
        <v>266571</v>
      </c>
      <c r="G3554" s="3" t="str">
        <f>HYPERLINK("http://funmeta.oebiotech.com/network/266571", "http://funmeta.oebiotech.com/network/266571")</f>
        <v>http://funmeta.oebiotech.com/network/266571</v>
      </c>
      <c r="H3554" s="2"/>
      <c r="I3554" s="2">
        <v>43609</v>
      </c>
      <c r="J3554" s="2"/>
      <c r="K3554" s="2"/>
      <c r="L3554" s="2"/>
      <c r="M3554" s="2"/>
      <c r="N3554" s="2"/>
      <c r="O3554" s="2">
        <v>4574925</v>
      </c>
      <c r="P3554" s="2"/>
      <c r="Q3554" s="2" t="s">
        <v>23622</v>
      </c>
      <c r="R3554" s="2" t="s">
        <v>23623</v>
      </c>
      <c r="S3554" s="2" t="s">
        <v>115</v>
      </c>
      <c r="T3554" s="2" t="s">
        <v>139</v>
      </c>
      <c r="U3554" s="2" t="s">
        <v>1806</v>
      </c>
      <c r="V3554" s="2" t="s">
        <v>59</v>
      </c>
      <c r="W3554" s="2">
        <v>36.9</v>
      </c>
      <c r="X3554" s="2">
        <v>0</v>
      </c>
      <c r="Y3554" s="2" t="s">
        <v>408</v>
      </c>
      <c r="Z3554" s="2" t="s">
        <v>23624</v>
      </c>
      <c r="AA3554" s="2">
        <v>6.64487580288323</v>
      </c>
      <c r="AB3554" s="2">
        <v>0.20847359252380401</v>
      </c>
      <c r="AC3554" s="2">
        <v>13101.3028355142</v>
      </c>
      <c r="AD3554" s="2">
        <v>9828.6554100956291</v>
      </c>
      <c r="AE3554" s="2">
        <v>13426.607075399301</v>
      </c>
      <c r="AF3554" s="2">
        <v>12058.5498933413</v>
      </c>
      <c r="AG3554" s="2">
        <v>13759.0904789655</v>
      </c>
      <c r="AH3554" s="2">
        <v>13060.3689565555</v>
      </c>
      <c r="AI3554" s="2">
        <v>11783.903124116399</v>
      </c>
      <c r="AJ3554" s="2">
        <v>14519.2974847074</v>
      </c>
      <c r="AK3554" s="2">
        <v>8407.7520024821006</v>
      </c>
      <c r="AL3554" s="2">
        <v>9409.5317488905694</v>
      </c>
      <c r="AM3554" s="2">
        <v>10212.074183307301</v>
      </c>
      <c r="AN3554" s="2">
        <v>11018.7418663312</v>
      </c>
      <c r="AO3554" s="2">
        <v>10704.361224436199</v>
      </c>
      <c r="AP3554" s="2">
        <v>9219.4714351264392</v>
      </c>
    </row>
    <row r="3555" spans="1:42" ht="14.5" x14ac:dyDescent="0.35">
      <c r="A3555" s="2" t="s">
        <v>23625</v>
      </c>
      <c r="B3555" s="2">
        <v>284.294728561461</v>
      </c>
      <c r="C3555" s="2">
        <v>9.8048666666666708</v>
      </c>
      <c r="D3555" s="2" t="s">
        <v>34</v>
      </c>
      <c r="E3555" s="2" t="s">
        <v>23626</v>
      </c>
      <c r="F3555" s="2">
        <v>61057</v>
      </c>
      <c r="G3555" s="3" t="str">
        <f>HYPERLINK("http://funmeta.oebiotech.com/network/61057", "http://funmeta.oebiotech.com/network/61057")</f>
        <v>http://funmeta.oebiotech.com/network/61057</v>
      </c>
      <c r="H3555" s="2" t="s">
        <v>23627</v>
      </c>
      <c r="I3555" s="2">
        <v>92388</v>
      </c>
      <c r="J3555" s="2"/>
      <c r="K3555" s="2"/>
      <c r="L3555" s="2"/>
      <c r="M3555" s="2"/>
      <c r="N3555" s="2"/>
      <c r="O3555" s="2">
        <v>566940</v>
      </c>
      <c r="P3555" s="2" t="s">
        <v>23628</v>
      </c>
      <c r="Q3555" s="2" t="s">
        <v>23629</v>
      </c>
      <c r="R3555" s="2" t="s">
        <v>23630</v>
      </c>
      <c r="S3555" s="2" t="s">
        <v>79</v>
      </c>
      <c r="T3555" s="2" t="s">
        <v>80</v>
      </c>
      <c r="U3555" s="2" t="s">
        <v>2820</v>
      </c>
      <c r="V3555" s="2" t="s">
        <v>59</v>
      </c>
      <c r="W3555" s="2">
        <v>40.9</v>
      </c>
      <c r="X3555" s="2">
        <v>7.55</v>
      </c>
      <c r="Y3555" s="2" t="s">
        <v>43</v>
      </c>
      <c r="Z3555" s="2" t="s">
        <v>11737</v>
      </c>
      <c r="AA3555" s="2">
        <v>-0.23540243427443799</v>
      </c>
      <c r="AB3555" s="2">
        <v>0.208450805827985</v>
      </c>
      <c r="AC3555" s="2">
        <v>23775.235239546699</v>
      </c>
      <c r="AD3555" s="2">
        <v>28743.653717981699</v>
      </c>
      <c r="AE3555" s="2">
        <v>24088.4805277054</v>
      </c>
      <c r="AF3555" s="2">
        <v>17781.299523942998</v>
      </c>
      <c r="AG3555" s="2">
        <v>22917.4438762471</v>
      </c>
      <c r="AH3555" s="2">
        <v>19260.947505432399</v>
      </c>
      <c r="AI3555" s="2">
        <v>30640.293221234198</v>
      </c>
      <c r="AJ3555" s="2">
        <v>27962.9467827183</v>
      </c>
      <c r="AK3555" s="2">
        <v>29099.406449996</v>
      </c>
      <c r="AL3555" s="2">
        <v>32542.283125103098</v>
      </c>
      <c r="AM3555" s="2">
        <v>24133.336278259601</v>
      </c>
      <c r="AN3555" s="2">
        <v>28851.997736094399</v>
      </c>
      <c r="AO3555" s="2">
        <v>28803.850006533299</v>
      </c>
      <c r="AP3555" s="2">
        <v>29031.048711904001</v>
      </c>
    </row>
    <row r="3556" spans="1:42" ht="14.5" x14ac:dyDescent="0.35">
      <c r="A3556" s="2" t="s">
        <v>23631</v>
      </c>
      <c r="B3556" s="2">
        <v>557.29328381185303</v>
      </c>
      <c r="C3556" s="2">
        <v>4.1757666666666697</v>
      </c>
      <c r="D3556" s="2" t="s">
        <v>34</v>
      </c>
      <c r="E3556" s="2" t="s">
        <v>23632</v>
      </c>
      <c r="F3556" s="2">
        <v>10415</v>
      </c>
      <c r="G3556" s="3" t="str">
        <f>HYPERLINK("http://funmeta.oebiotech.com/network/10415", "http://funmeta.oebiotech.com/network/10415")</f>
        <v>http://funmeta.oebiotech.com/network/10415</v>
      </c>
      <c r="H3556" s="2"/>
      <c r="I3556" s="2"/>
      <c r="J3556" s="2" t="s">
        <v>23633</v>
      </c>
      <c r="K3556" s="2"/>
      <c r="L3556" s="2"/>
      <c r="M3556" s="2"/>
      <c r="N3556" s="2"/>
      <c r="O3556" s="2">
        <v>71255004</v>
      </c>
      <c r="P3556" s="2"/>
      <c r="Q3556" s="2" t="s">
        <v>23634</v>
      </c>
      <c r="R3556" s="2" t="s">
        <v>23635</v>
      </c>
      <c r="S3556" s="2" t="s">
        <v>50</v>
      </c>
      <c r="T3556" s="2" t="s">
        <v>229</v>
      </c>
      <c r="U3556" s="2" t="s">
        <v>433</v>
      </c>
      <c r="V3556" s="2" t="s">
        <v>59</v>
      </c>
      <c r="W3556" s="2">
        <v>38.9</v>
      </c>
      <c r="X3556" s="2">
        <v>6.59</v>
      </c>
      <c r="Y3556" s="2" t="s">
        <v>323</v>
      </c>
      <c r="Z3556" s="2" t="s">
        <v>23636</v>
      </c>
      <c r="AA3556" s="2">
        <v>9.5154577521053302E-2</v>
      </c>
      <c r="AB3556" s="2">
        <v>0.20841582340953499</v>
      </c>
      <c r="AC3556" s="2">
        <v>84481.761086091195</v>
      </c>
      <c r="AD3556" s="2">
        <v>89682.543079584604</v>
      </c>
      <c r="AE3556" s="2">
        <v>79700.715228738205</v>
      </c>
      <c r="AF3556" s="2">
        <v>83929.022413061903</v>
      </c>
      <c r="AG3556" s="2">
        <v>92011.947155341302</v>
      </c>
      <c r="AH3556" s="2">
        <v>79197.657822774898</v>
      </c>
      <c r="AI3556" s="2">
        <v>91364.935002547107</v>
      </c>
      <c r="AJ3556" s="2">
        <v>80686.288894083802</v>
      </c>
      <c r="AK3556" s="2">
        <v>93287.089084320804</v>
      </c>
      <c r="AL3556" s="2">
        <v>88301.694254670394</v>
      </c>
      <c r="AM3556" s="2">
        <v>87460.340880617194</v>
      </c>
      <c r="AN3556" s="2">
        <v>91174.917344033005</v>
      </c>
      <c r="AO3556" s="2">
        <v>87714.879719354605</v>
      </c>
      <c r="AP3556" s="2">
        <v>90156.337194511405</v>
      </c>
    </row>
    <row r="3557" spans="1:42" ht="14.5" x14ac:dyDescent="0.35">
      <c r="A3557" s="2" t="s">
        <v>23637</v>
      </c>
      <c r="B3557" s="2">
        <v>425.23935004882202</v>
      </c>
      <c r="C3557" s="2">
        <v>4.6857333333333298</v>
      </c>
      <c r="D3557" s="2" t="s">
        <v>70</v>
      </c>
      <c r="E3557" s="2" t="s">
        <v>23638</v>
      </c>
      <c r="F3557" s="2">
        <v>1974</v>
      </c>
      <c r="G3557" s="3" t="str">
        <f>HYPERLINK("http://funmeta.oebiotech.com/network/1974", "http://funmeta.oebiotech.com/network/1974")</f>
        <v>http://funmeta.oebiotech.com/network/1974</v>
      </c>
      <c r="H3557" s="2"/>
      <c r="I3557" s="2"/>
      <c r="J3557" s="2" t="s">
        <v>23639</v>
      </c>
      <c r="K3557" s="2"/>
      <c r="L3557" s="2"/>
      <c r="M3557" s="2"/>
      <c r="N3557" s="2"/>
      <c r="O3557" s="2">
        <v>12363949</v>
      </c>
      <c r="P3557" s="2"/>
      <c r="Q3557" s="2" t="s">
        <v>23640</v>
      </c>
      <c r="R3557" s="2" t="s">
        <v>23641</v>
      </c>
      <c r="S3557" s="2" t="s">
        <v>50</v>
      </c>
      <c r="T3557" s="2" t="s">
        <v>229</v>
      </c>
      <c r="U3557" s="2" t="s">
        <v>433</v>
      </c>
      <c r="V3557" s="2" t="s">
        <v>59</v>
      </c>
      <c r="W3557" s="2">
        <v>38.5</v>
      </c>
      <c r="X3557" s="2">
        <v>0</v>
      </c>
      <c r="Y3557" s="2" t="s">
        <v>408</v>
      </c>
      <c r="Z3557" s="2" t="s">
        <v>23642</v>
      </c>
      <c r="AA3557" s="2">
        <v>0.339436871799353</v>
      </c>
      <c r="AB3557" s="2">
        <v>0.20837185643818301</v>
      </c>
      <c r="AC3557" s="2">
        <v>6614.9645869119704</v>
      </c>
      <c r="AD3557" s="2">
        <v>9862.6739163501807</v>
      </c>
      <c r="AE3557" s="2">
        <v>7436.0355803994798</v>
      </c>
      <c r="AF3557" s="2">
        <v>7309.36250962349</v>
      </c>
      <c r="AG3557" s="2">
        <v>4935.3986565624</v>
      </c>
      <c r="AH3557" s="2">
        <v>6483.3005911446498</v>
      </c>
      <c r="AI3557" s="2">
        <v>6648.7176086843101</v>
      </c>
      <c r="AJ3557" s="2">
        <v>6876.9725750575099</v>
      </c>
      <c r="AK3557" s="2">
        <v>11519.680119305</v>
      </c>
      <c r="AL3557" s="2">
        <v>9125.7446514947005</v>
      </c>
      <c r="AM3557" s="2">
        <v>9634.3761803675097</v>
      </c>
      <c r="AN3557" s="2">
        <v>10665.256836378199</v>
      </c>
      <c r="AO3557" s="2">
        <v>8655.1018277014191</v>
      </c>
      <c r="AP3557" s="2">
        <v>9575.8838828542393</v>
      </c>
    </row>
    <row r="3558" spans="1:42" ht="14.5" x14ac:dyDescent="0.35">
      <c r="A3558" s="2" t="s">
        <v>23643</v>
      </c>
      <c r="B3558" s="2">
        <v>297.09787565660298</v>
      </c>
      <c r="C3558" s="2">
        <v>1.5801333333333301</v>
      </c>
      <c r="D3558" s="2" t="s">
        <v>70</v>
      </c>
      <c r="E3558" s="2" t="s">
        <v>23644</v>
      </c>
      <c r="F3558" s="2">
        <v>255035</v>
      </c>
      <c r="G3558" s="3" t="str">
        <f>HYPERLINK("http://funmeta.oebiotech.com/network/255035", "http://funmeta.oebiotech.com/network/255035")</f>
        <v>http://funmeta.oebiotech.com/network/255035</v>
      </c>
      <c r="H3558" s="2" t="s">
        <v>23645</v>
      </c>
      <c r="I3558" s="2"/>
      <c r="J3558" s="2"/>
      <c r="K3558" s="2"/>
      <c r="L3558" s="2"/>
      <c r="M3558" s="2"/>
      <c r="N3558" s="2"/>
      <c r="O3558" s="2">
        <v>91412699</v>
      </c>
      <c r="P3558" s="2"/>
      <c r="Q3558" s="2" t="s">
        <v>23646</v>
      </c>
      <c r="R3558" s="2" t="s">
        <v>23647</v>
      </c>
      <c r="S3558" s="2" t="s">
        <v>79</v>
      </c>
      <c r="T3558" s="2" t="s">
        <v>80</v>
      </c>
      <c r="U3558" s="2" t="s">
        <v>2820</v>
      </c>
      <c r="V3558" s="2" t="s">
        <v>59</v>
      </c>
      <c r="W3558" s="2">
        <v>45.4</v>
      </c>
      <c r="X3558" s="2">
        <v>31</v>
      </c>
      <c r="Y3558" s="2" t="s">
        <v>118</v>
      </c>
      <c r="Z3558" s="2" t="s">
        <v>23648</v>
      </c>
      <c r="AA3558" s="2">
        <v>-0.33822140251394001</v>
      </c>
      <c r="AB3558" s="2">
        <v>0.208369303782415</v>
      </c>
      <c r="AC3558" s="2">
        <v>13363.536925381501</v>
      </c>
      <c r="AD3558" s="2">
        <v>10354.010184073601</v>
      </c>
      <c r="AE3558" s="2">
        <v>13739.0855710014</v>
      </c>
      <c r="AF3558" s="2">
        <v>13986.288405110199</v>
      </c>
      <c r="AG3558" s="2">
        <v>13158.0258071567</v>
      </c>
      <c r="AH3558" s="2">
        <v>13049.475023250799</v>
      </c>
      <c r="AI3558" s="2">
        <v>12838.662984779001</v>
      </c>
      <c r="AJ3558" s="2">
        <v>13409.6837609912</v>
      </c>
      <c r="AK3558" s="2">
        <v>9837.5356465871791</v>
      </c>
      <c r="AL3558" s="2">
        <v>10277.0923556867</v>
      </c>
      <c r="AM3558" s="2">
        <v>10685.7643149255</v>
      </c>
      <c r="AN3558" s="2">
        <v>11526.5648597441</v>
      </c>
      <c r="AO3558" s="2">
        <v>9711.1285188059501</v>
      </c>
      <c r="AP3558" s="2">
        <v>10085.975408692</v>
      </c>
    </row>
    <row r="3559" spans="1:42" ht="14.5" x14ac:dyDescent="0.35">
      <c r="A3559" s="2" t="s">
        <v>23649</v>
      </c>
      <c r="B3559" s="2">
        <v>390.14862519623603</v>
      </c>
      <c r="C3559" s="2">
        <v>3.9884499999999998</v>
      </c>
      <c r="D3559" s="2" t="s">
        <v>70</v>
      </c>
      <c r="E3559" s="2" t="s">
        <v>23650</v>
      </c>
      <c r="F3559" s="2">
        <v>212612</v>
      </c>
      <c r="G3559" s="3" t="str">
        <f>HYPERLINK("http://funmeta.oebiotech.com/network/212612", "http://funmeta.oebiotech.com/network/212612")</f>
        <v>http://funmeta.oebiotech.com/network/212612</v>
      </c>
      <c r="H3559" s="2" t="s">
        <v>23651</v>
      </c>
      <c r="I3559" s="2"/>
      <c r="J3559" s="2"/>
      <c r="K3559" s="2"/>
      <c r="L3559" s="2"/>
      <c r="M3559" s="2"/>
      <c r="N3559" s="2"/>
      <c r="O3559" s="2"/>
      <c r="P3559" s="2"/>
      <c r="Q3559" s="2" t="s">
        <v>23652</v>
      </c>
      <c r="R3559" s="2" t="s">
        <v>23653</v>
      </c>
      <c r="S3559" s="2" t="s">
        <v>79</v>
      </c>
      <c r="T3559" s="2" t="s">
        <v>80</v>
      </c>
      <c r="U3559" s="2" t="s">
        <v>2820</v>
      </c>
      <c r="V3559" s="2" t="s">
        <v>59</v>
      </c>
      <c r="W3559" s="2">
        <v>37.299999999999997</v>
      </c>
      <c r="X3559" s="2">
        <v>0</v>
      </c>
      <c r="Y3559" s="2" t="s">
        <v>751</v>
      </c>
      <c r="Z3559" s="2" t="s">
        <v>23654</v>
      </c>
      <c r="AA3559" s="2">
        <v>-6.2432516876969497E-2</v>
      </c>
      <c r="AB3559" s="2">
        <v>0.20828332130680799</v>
      </c>
      <c r="AC3559" s="2">
        <v>17606.7366338832</v>
      </c>
      <c r="AD3559" s="2">
        <v>14245.2746585777</v>
      </c>
      <c r="AE3559" s="2">
        <v>17524.233369005498</v>
      </c>
      <c r="AF3559" s="2">
        <v>16521.066696746999</v>
      </c>
      <c r="AG3559" s="2">
        <v>18635.801770799801</v>
      </c>
      <c r="AH3559" s="2">
        <v>16376.160335397601</v>
      </c>
      <c r="AI3559" s="2">
        <v>16551.0661012733</v>
      </c>
      <c r="AJ3559" s="2">
        <v>20032.091530075901</v>
      </c>
      <c r="AK3559" s="2">
        <v>13179.7005570314</v>
      </c>
      <c r="AL3559" s="2">
        <v>14806.608707994699</v>
      </c>
      <c r="AM3559" s="2">
        <v>14941.5353847889</v>
      </c>
      <c r="AN3559" s="2">
        <v>14968.172128464201</v>
      </c>
      <c r="AO3559" s="2">
        <v>13806.0722601751</v>
      </c>
      <c r="AP3559" s="2">
        <v>13769.558913012201</v>
      </c>
    </row>
    <row r="3560" spans="1:42" ht="14.5" x14ac:dyDescent="0.35">
      <c r="A3560" s="2" t="s">
        <v>23655</v>
      </c>
      <c r="B3560" s="2">
        <v>441.14026739564298</v>
      </c>
      <c r="C3560" s="2">
        <v>4.7765333333333304</v>
      </c>
      <c r="D3560" s="2" t="s">
        <v>70</v>
      </c>
      <c r="E3560" s="2" t="s">
        <v>23656</v>
      </c>
      <c r="F3560" s="2">
        <v>64019</v>
      </c>
      <c r="G3560" s="3" t="str">
        <f>HYPERLINK("http://funmeta.oebiotech.com/network/64019", "http://funmeta.oebiotech.com/network/64019")</f>
        <v>http://funmeta.oebiotech.com/network/64019</v>
      </c>
      <c r="H3560" s="2" t="s">
        <v>23657</v>
      </c>
      <c r="I3560" s="2">
        <v>95350</v>
      </c>
      <c r="J3560" s="2"/>
      <c r="K3560" s="2">
        <v>168239</v>
      </c>
      <c r="L3560" s="2"/>
      <c r="M3560" s="2"/>
      <c r="N3560" s="2"/>
      <c r="O3560" s="2">
        <v>131752978</v>
      </c>
      <c r="P3560" s="2" t="s">
        <v>23658</v>
      </c>
      <c r="Q3560" s="2" t="s">
        <v>23659</v>
      </c>
      <c r="R3560" s="2" t="s">
        <v>23660</v>
      </c>
      <c r="S3560" s="2" t="s">
        <v>50</v>
      </c>
      <c r="T3560" s="2" t="s">
        <v>229</v>
      </c>
      <c r="U3560" s="2" t="s">
        <v>230</v>
      </c>
      <c r="V3560" s="2" t="s">
        <v>59</v>
      </c>
      <c r="W3560" s="2">
        <v>42.5</v>
      </c>
      <c r="X3560" s="2">
        <v>21</v>
      </c>
      <c r="Y3560" s="2" t="s">
        <v>1395</v>
      </c>
      <c r="Z3560" s="2" t="s">
        <v>23661</v>
      </c>
      <c r="AA3560" s="2">
        <v>8.1233295883622297E-2</v>
      </c>
      <c r="AB3560" s="2">
        <v>0.20827302682643001</v>
      </c>
      <c r="AC3560" s="2">
        <v>23701.607346556</v>
      </c>
      <c r="AD3560" s="2">
        <v>19621.757035733499</v>
      </c>
      <c r="AE3560" s="2">
        <v>25365.8637768015</v>
      </c>
      <c r="AF3560" s="2">
        <v>23079.0989796264</v>
      </c>
      <c r="AG3560" s="2">
        <v>26391.065685109101</v>
      </c>
      <c r="AH3560" s="2">
        <v>22038.355681270601</v>
      </c>
      <c r="AI3560" s="2">
        <v>19109.844756650102</v>
      </c>
      <c r="AJ3560" s="2">
        <v>26225.4151998784</v>
      </c>
      <c r="AK3560" s="2">
        <v>20034.1152007534</v>
      </c>
      <c r="AL3560" s="2">
        <v>19371.447642507301</v>
      </c>
      <c r="AM3560" s="2">
        <v>19500.249794414001</v>
      </c>
      <c r="AN3560" s="2">
        <v>22302.104139557701</v>
      </c>
      <c r="AO3560" s="2">
        <v>16854.561573078401</v>
      </c>
      <c r="AP3560" s="2">
        <v>19668.063864090302</v>
      </c>
    </row>
    <row r="3561" spans="1:42" ht="14.5" x14ac:dyDescent="0.35">
      <c r="A3561" s="2" t="s">
        <v>23662</v>
      </c>
      <c r="B3561" s="2">
        <v>400.12468002432701</v>
      </c>
      <c r="C3561" s="2">
        <v>3.6251333333333302</v>
      </c>
      <c r="D3561" s="2" t="s">
        <v>34</v>
      </c>
      <c r="E3561" s="2" t="s">
        <v>23663</v>
      </c>
      <c r="F3561" s="2">
        <v>257622</v>
      </c>
      <c r="G3561" s="3" t="str">
        <f>HYPERLINK("http://funmeta.oebiotech.com/network/257622", "http://funmeta.oebiotech.com/network/257622")</f>
        <v>http://funmeta.oebiotech.com/network/257622</v>
      </c>
      <c r="H3561" s="2" t="s">
        <v>23664</v>
      </c>
      <c r="I3561" s="2"/>
      <c r="J3561" s="2"/>
      <c r="K3561" s="2"/>
      <c r="L3561" s="2"/>
      <c r="M3561" s="2"/>
      <c r="N3561" s="2"/>
      <c r="O3561" s="2"/>
      <c r="P3561" s="2"/>
      <c r="Q3561" s="2" t="s">
        <v>23665</v>
      </c>
      <c r="R3561" s="2" t="s">
        <v>23666</v>
      </c>
      <c r="S3561" s="2" t="s">
        <v>148</v>
      </c>
      <c r="T3561" s="2" t="s">
        <v>149</v>
      </c>
      <c r="U3561" s="2" t="s">
        <v>1593</v>
      </c>
      <c r="V3561" s="2" t="s">
        <v>59</v>
      </c>
      <c r="W3561" s="2">
        <v>36.1</v>
      </c>
      <c r="X3561" s="2">
        <v>0</v>
      </c>
      <c r="Y3561" s="2" t="s">
        <v>323</v>
      </c>
      <c r="Z3561" s="2" t="s">
        <v>23667</v>
      </c>
      <c r="AA3561" s="2">
        <v>0.92235789470193197</v>
      </c>
      <c r="AB3561" s="2">
        <v>0.208210407500279</v>
      </c>
      <c r="AC3561" s="2">
        <v>5309.7936737281598</v>
      </c>
      <c r="AD3561" s="2">
        <v>8449.9136400144707</v>
      </c>
      <c r="AE3561" s="2">
        <v>5893.9269628700704</v>
      </c>
      <c r="AF3561" s="2">
        <v>4970.4932724512601</v>
      </c>
      <c r="AG3561" s="2">
        <v>4912.2858999583104</v>
      </c>
      <c r="AH3561" s="2">
        <v>4836.48816382731</v>
      </c>
      <c r="AI3561" s="2">
        <v>6584.9155131017897</v>
      </c>
      <c r="AJ3561" s="2">
        <v>4660.6522301602199</v>
      </c>
      <c r="AK3561" s="2">
        <v>7600.74085420137</v>
      </c>
      <c r="AL3561" s="2">
        <v>7929.4609620519504</v>
      </c>
      <c r="AM3561" s="2">
        <v>8222.0494814753692</v>
      </c>
      <c r="AN3561" s="2">
        <v>8551.9096136490407</v>
      </c>
      <c r="AO3561" s="2">
        <v>10179.491336220401</v>
      </c>
      <c r="AP3561" s="2">
        <v>8215.8295924886897</v>
      </c>
    </row>
    <row r="3562" spans="1:42" ht="14.5" x14ac:dyDescent="0.35">
      <c r="A3562" s="2" t="s">
        <v>23668</v>
      </c>
      <c r="B3562" s="2">
        <v>385.12839961395298</v>
      </c>
      <c r="C3562" s="2">
        <v>1.06171666666667</v>
      </c>
      <c r="D3562" s="2" t="s">
        <v>34</v>
      </c>
      <c r="E3562" s="2" t="s">
        <v>23669</v>
      </c>
      <c r="F3562" s="2">
        <v>54474</v>
      </c>
      <c r="G3562" s="3" t="str">
        <f>HYPERLINK("http://funmeta.oebiotech.com/network/54474", "http://funmeta.oebiotech.com/network/54474")</f>
        <v>http://funmeta.oebiotech.com/network/54474</v>
      </c>
      <c r="H3562" s="2" t="s">
        <v>23670</v>
      </c>
      <c r="I3562" s="2">
        <v>86327</v>
      </c>
      <c r="J3562" s="2"/>
      <c r="K3562" s="2">
        <v>172914</v>
      </c>
      <c r="L3562" s="2"/>
      <c r="M3562" s="2"/>
      <c r="N3562" s="2"/>
      <c r="O3562" s="2">
        <v>14283260</v>
      </c>
      <c r="P3562" s="2" t="s">
        <v>23671</v>
      </c>
      <c r="Q3562" s="2" t="s">
        <v>23672</v>
      </c>
      <c r="R3562" s="2" t="s">
        <v>23673</v>
      </c>
      <c r="S3562" s="2" t="s">
        <v>148</v>
      </c>
      <c r="T3562" s="2" t="s">
        <v>149</v>
      </c>
      <c r="U3562" s="2" t="s">
        <v>1593</v>
      </c>
      <c r="V3562" s="2" t="s">
        <v>59</v>
      </c>
      <c r="W3562" s="2">
        <v>37.6</v>
      </c>
      <c r="X3562" s="2">
        <v>0</v>
      </c>
      <c r="Y3562" s="2" t="s">
        <v>440</v>
      </c>
      <c r="Z3562" s="2" t="s">
        <v>17859</v>
      </c>
      <c r="AA3562" s="2">
        <v>0.573266466033026</v>
      </c>
      <c r="AB3562" s="2">
        <v>0.208025990704783</v>
      </c>
      <c r="AC3562" s="2">
        <v>10488.4014288977</v>
      </c>
      <c r="AD3562" s="2">
        <v>14316.0423010959</v>
      </c>
      <c r="AE3562" s="2">
        <v>10652.823567359501</v>
      </c>
      <c r="AF3562" s="2">
        <v>11521.564641158</v>
      </c>
      <c r="AG3562" s="2">
        <v>11474.539314212199</v>
      </c>
      <c r="AH3562" s="2">
        <v>11918.2410866919</v>
      </c>
      <c r="AI3562" s="2">
        <v>8529.0921233687404</v>
      </c>
      <c r="AJ3562" s="2">
        <v>8834.1478405960297</v>
      </c>
      <c r="AK3562" s="2">
        <v>12123.764151495499</v>
      </c>
      <c r="AL3562" s="2">
        <v>12004.160374659299</v>
      </c>
      <c r="AM3562" s="2">
        <v>12836.2951042886</v>
      </c>
      <c r="AN3562" s="2">
        <v>16808.9286649961</v>
      </c>
      <c r="AO3562" s="2">
        <v>15744.9748249656</v>
      </c>
      <c r="AP3562" s="2">
        <v>16378.1306861703</v>
      </c>
    </row>
    <row r="3563" spans="1:42" ht="14.5" x14ac:dyDescent="0.35">
      <c r="A3563" s="2" t="s">
        <v>23674</v>
      </c>
      <c r="B3563" s="2">
        <v>613.34559914076101</v>
      </c>
      <c r="C3563" s="2">
        <v>5.7044666666666703</v>
      </c>
      <c r="D3563" s="2" t="s">
        <v>34</v>
      </c>
      <c r="E3563" s="2" t="s">
        <v>23675</v>
      </c>
      <c r="F3563" s="2">
        <v>27949</v>
      </c>
      <c r="G3563" s="3" t="str">
        <f>HYPERLINK("http://funmeta.oebiotech.com/network/27949", "http://funmeta.oebiotech.com/network/27949")</f>
        <v>http://funmeta.oebiotech.com/network/27949</v>
      </c>
      <c r="H3563" s="2"/>
      <c r="I3563" s="2"/>
      <c r="J3563" s="2" t="s">
        <v>23676</v>
      </c>
      <c r="K3563" s="2"/>
      <c r="L3563" s="2"/>
      <c r="M3563" s="2"/>
      <c r="N3563" s="2"/>
      <c r="O3563" s="2">
        <v>134812396</v>
      </c>
      <c r="P3563" s="2"/>
      <c r="Q3563" s="2" t="s">
        <v>23677</v>
      </c>
      <c r="R3563" s="2" t="s">
        <v>23678</v>
      </c>
      <c r="S3563" s="2" t="s">
        <v>50</v>
      </c>
      <c r="T3563" s="2" t="s">
        <v>51</v>
      </c>
      <c r="U3563" s="2" t="s">
        <v>66</v>
      </c>
      <c r="V3563" s="2" t="s">
        <v>59</v>
      </c>
      <c r="W3563" s="2">
        <v>41</v>
      </c>
      <c r="X3563" s="2">
        <v>15.4</v>
      </c>
      <c r="Y3563" s="2" t="s">
        <v>43</v>
      </c>
      <c r="Z3563" s="2" t="s">
        <v>23679</v>
      </c>
      <c r="AA3563" s="2">
        <v>-0.62898548343781102</v>
      </c>
      <c r="AB3563" s="2">
        <v>0.20789698264082801</v>
      </c>
      <c r="AC3563" s="2">
        <v>16058.8565522636</v>
      </c>
      <c r="AD3563" s="2">
        <v>21658.3109966425</v>
      </c>
      <c r="AE3563" s="2">
        <v>15039.3574819976</v>
      </c>
      <c r="AF3563" s="2">
        <v>17388.631522723099</v>
      </c>
      <c r="AG3563" s="2">
        <v>22008.955323252601</v>
      </c>
      <c r="AH3563" s="2">
        <v>10849.2798421262</v>
      </c>
      <c r="AI3563" s="2">
        <v>13506.885037517801</v>
      </c>
      <c r="AJ3563" s="2">
        <v>17560.030105964401</v>
      </c>
      <c r="AK3563" s="2">
        <v>13852.6529421454</v>
      </c>
      <c r="AL3563" s="2">
        <v>21533.574680771399</v>
      </c>
      <c r="AM3563" s="2">
        <v>28773.3581101155</v>
      </c>
      <c r="AN3563" s="2">
        <v>17531.696217754801</v>
      </c>
      <c r="AO3563" s="2">
        <v>19109.677789565802</v>
      </c>
      <c r="AP3563" s="2">
        <v>29148.906239502299</v>
      </c>
    </row>
    <row r="3564" spans="1:42" ht="14.5" x14ac:dyDescent="0.35">
      <c r="A3564" s="2" t="s">
        <v>23680</v>
      </c>
      <c r="B3564" s="2">
        <v>363.215116714369</v>
      </c>
      <c r="C3564" s="2">
        <v>10.57375</v>
      </c>
      <c r="D3564" s="2" t="s">
        <v>70</v>
      </c>
      <c r="E3564" s="2" t="s">
        <v>23681</v>
      </c>
      <c r="F3564" s="2">
        <v>210081</v>
      </c>
      <c r="G3564" s="3" t="str">
        <f>HYPERLINK("http://funmeta.oebiotech.com/network/210081", "http://funmeta.oebiotech.com/network/210081")</f>
        <v>http://funmeta.oebiotech.com/network/210081</v>
      </c>
      <c r="H3564" s="2" t="s">
        <v>23682</v>
      </c>
      <c r="I3564" s="2"/>
      <c r="J3564" s="2"/>
      <c r="K3564" s="2"/>
      <c r="L3564" s="2"/>
      <c r="M3564" s="2"/>
      <c r="N3564" s="2"/>
      <c r="O3564" s="2"/>
      <c r="P3564" s="2"/>
      <c r="Q3564" s="2" t="s">
        <v>23683</v>
      </c>
      <c r="R3564" s="2" t="s">
        <v>23684</v>
      </c>
      <c r="S3564" s="2" t="s">
        <v>41</v>
      </c>
      <c r="T3564" s="2" t="s">
        <v>41</v>
      </c>
      <c r="U3564" s="2" t="s">
        <v>41</v>
      </c>
      <c r="V3564" s="2" t="s">
        <v>59</v>
      </c>
      <c r="W3564" s="2">
        <v>38.299999999999997</v>
      </c>
      <c r="X3564" s="2">
        <v>0</v>
      </c>
      <c r="Y3564" s="2" t="s">
        <v>408</v>
      </c>
      <c r="Z3564" s="2" t="s">
        <v>23685</v>
      </c>
      <c r="AA3564" s="2">
        <v>4.5308132244557697</v>
      </c>
      <c r="AB3564" s="2">
        <v>0.207651570315638</v>
      </c>
      <c r="AC3564" s="2">
        <v>4665.2881725083198</v>
      </c>
      <c r="AD3564" s="2">
        <v>1783.7333689371101</v>
      </c>
      <c r="AE3564" s="2">
        <v>5259.43053373569</v>
      </c>
      <c r="AF3564" s="2">
        <v>4577.9522147323996</v>
      </c>
      <c r="AG3564" s="2">
        <v>4553.42459003357</v>
      </c>
      <c r="AH3564" s="2">
        <v>4461.8631961739202</v>
      </c>
      <c r="AI3564" s="2">
        <v>4219.9253612007597</v>
      </c>
      <c r="AJ3564" s="2">
        <v>4919.1331391736003</v>
      </c>
      <c r="AK3564" s="2">
        <v>1659.1068277096399</v>
      </c>
      <c r="AL3564" s="2">
        <v>2001.02329307575</v>
      </c>
      <c r="AM3564" s="2">
        <v>2042.28900508726</v>
      </c>
      <c r="AN3564" s="2">
        <v>1819.0741437742199</v>
      </c>
      <c r="AO3564" s="2">
        <v>1860.4255084498</v>
      </c>
      <c r="AP3564" s="2">
        <v>1320.48143552601</v>
      </c>
    </row>
    <row r="3565" spans="1:42" ht="14.5" x14ac:dyDescent="0.35">
      <c r="A3565" s="2" t="s">
        <v>23686</v>
      </c>
      <c r="B3565" s="2">
        <v>591.19189348843702</v>
      </c>
      <c r="C3565" s="2">
        <v>3.8429333333333302</v>
      </c>
      <c r="D3565" s="2" t="s">
        <v>70</v>
      </c>
      <c r="E3565" s="2" t="s">
        <v>23687</v>
      </c>
      <c r="F3565" s="2">
        <v>203992</v>
      </c>
      <c r="G3565" s="3" t="str">
        <f>HYPERLINK("http://funmeta.oebiotech.com/network/203992", "http://funmeta.oebiotech.com/network/203992")</f>
        <v>http://funmeta.oebiotech.com/network/203992</v>
      </c>
      <c r="H3565" s="2" t="s">
        <v>23688</v>
      </c>
      <c r="I3565" s="2"/>
      <c r="J3565" s="2"/>
      <c r="K3565" s="2"/>
      <c r="L3565" s="2"/>
      <c r="M3565" s="2"/>
      <c r="N3565" s="2"/>
      <c r="O3565" s="2">
        <v>135412795</v>
      </c>
      <c r="P3565" s="2"/>
      <c r="Q3565" s="2" t="s">
        <v>23689</v>
      </c>
      <c r="R3565" s="2" t="s">
        <v>23690</v>
      </c>
      <c r="S3565" s="2" t="s">
        <v>491</v>
      </c>
      <c r="T3565" s="2" t="s">
        <v>23691</v>
      </c>
      <c r="U3565" s="2" t="s">
        <v>41</v>
      </c>
      <c r="V3565" s="2" t="s">
        <v>59</v>
      </c>
      <c r="W3565" s="2">
        <v>38.5</v>
      </c>
      <c r="X3565" s="2">
        <v>0</v>
      </c>
      <c r="Y3565" s="2" t="s">
        <v>560</v>
      </c>
      <c r="Z3565" s="2" t="s">
        <v>23692</v>
      </c>
      <c r="AA3565" s="2">
        <v>4.2243329127973404</v>
      </c>
      <c r="AB3565" s="2">
        <v>0.20763915636209301</v>
      </c>
      <c r="AC3565" s="2">
        <v>2938.53362048188</v>
      </c>
      <c r="AD3565" s="2">
        <v>6388.6709212025398</v>
      </c>
      <c r="AE3565" s="2">
        <v>2338.40653709956</v>
      </c>
      <c r="AF3565" s="2">
        <v>3196.8617427426202</v>
      </c>
      <c r="AG3565" s="2">
        <v>3317.4378550553001</v>
      </c>
      <c r="AH3565" s="2">
        <v>1771.7760238246599</v>
      </c>
      <c r="AI3565" s="2">
        <v>3898.0640411325899</v>
      </c>
      <c r="AJ3565" s="2">
        <v>3108.6555230365698</v>
      </c>
      <c r="AK3565" s="2">
        <v>6951.7657047234097</v>
      </c>
      <c r="AL3565" s="2">
        <v>7444.9404939311598</v>
      </c>
      <c r="AM3565" s="2">
        <v>4662.0930835661202</v>
      </c>
      <c r="AN3565" s="2">
        <v>6157.8035082977403</v>
      </c>
      <c r="AO3565" s="2">
        <v>4341.7036671238702</v>
      </c>
      <c r="AP3565" s="2">
        <v>8773.7190695729605</v>
      </c>
    </row>
    <row r="3566" spans="1:42" ht="14.5" x14ac:dyDescent="0.35">
      <c r="A3566" s="2" t="s">
        <v>23693</v>
      </c>
      <c r="B3566" s="2">
        <v>301.14082260823102</v>
      </c>
      <c r="C3566" s="2">
        <v>8.91496666666667</v>
      </c>
      <c r="D3566" s="2" t="s">
        <v>34</v>
      </c>
      <c r="E3566" s="2" t="s">
        <v>23694</v>
      </c>
      <c r="F3566" s="2">
        <v>47628</v>
      </c>
      <c r="G3566" s="3" t="str">
        <f>HYPERLINK("http://funmeta.oebiotech.com/network/47628", "http://funmeta.oebiotech.com/network/47628")</f>
        <v>http://funmeta.oebiotech.com/network/47628</v>
      </c>
      <c r="H3566" s="2" t="s">
        <v>23695</v>
      </c>
      <c r="I3566" s="2">
        <v>58055</v>
      </c>
      <c r="J3566" s="2"/>
      <c r="K3566" s="2">
        <v>626842</v>
      </c>
      <c r="L3566" s="2"/>
      <c r="M3566" s="2"/>
      <c r="N3566" s="2"/>
      <c r="O3566" s="2">
        <v>9943542</v>
      </c>
      <c r="P3566" s="2" t="s">
        <v>23696</v>
      </c>
      <c r="Q3566" s="2" t="s">
        <v>23697</v>
      </c>
      <c r="R3566" s="2" t="s">
        <v>23698</v>
      </c>
      <c r="S3566" s="2" t="s">
        <v>491</v>
      </c>
      <c r="T3566" s="2" t="s">
        <v>2251</v>
      </c>
      <c r="U3566" s="2" t="s">
        <v>2252</v>
      </c>
      <c r="V3566" s="2" t="s">
        <v>59</v>
      </c>
      <c r="W3566" s="2">
        <v>39.299999999999997</v>
      </c>
      <c r="X3566" s="2">
        <v>3.68</v>
      </c>
      <c r="Y3566" s="2" t="s">
        <v>323</v>
      </c>
      <c r="Z3566" s="2" t="s">
        <v>4837</v>
      </c>
      <c r="AA3566" s="2">
        <v>-0.74511666835352197</v>
      </c>
      <c r="AB3566" s="2">
        <v>0.20752756708930001</v>
      </c>
      <c r="AC3566" s="2">
        <v>25734.970592620401</v>
      </c>
      <c r="AD3566" s="2">
        <v>29636.406652130499</v>
      </c>
      <c r="AE3566" s="2">
        <v>25426.270801448201</v>
      </c>
      <c r="AF3566" s="2">
        <v>24991.084492444199</v>
      </c>
      <c r="AG3566" s="2">
        <v>27535.254200300002</v>
      </c>
      <c r="AH3566" s="2">
        <v>25679.1932922417</v>
      </c>
      <c r="AI3566" s="2">
        <v>29077.070647679699</v>
      </c>
      <c r="AJ3566" s="2">
        <v>21700.950121608799</v>
      </c>
      <c r="AK3566" s="2">
        <v>30772.187667474402</v>
      </c>
      <c r="AL3566" s="2">
        <v>31096.3489209332</v>
      </c>
      <c r="AM3566" s="2">
        <v>27830.213827252501</v>
      </c>
      <c r="AN3566" s="2">
        <v>29183.590549837401</v>
      </c>
      <c r="AO3566" s="2">
        <v>30922.620895081898</v>
      </c>
      <c r="AP3566" s="2">
        <v>28013.4780522035</v>
      </c>
    </row>
    <row r="3567" spans="1:42" ht="14.5" x14ac:dyDescent="0.35">
      <c r="A3567" s="2" t="s">
        <v>23699</v>
      </c>
      <c r="B3567" s="2">
        <v>931.39236509759905</v>
      </c>
      <c r="C3567" s="2">
        <v>4.9145166666666702</v>
      </c>
      <c r="D3567" s="2" t="s">
        <v>34</v>
      </c>
      <c r="E3567" s="2" t="s">
        <v>23700</v>
      </c>
      <c r="F3567" s="2">
        <v>81829</v>
      </c>
      <c r="G3567" s="3" t="str">
        <f>HYPERLINK("http://funmeta.oebiotech.com/network/81829", "http://funmeta.oebiotech.com/network/81829")</f>
        <v>http://funmeta.oebiotech.com/network/81829</v>
      </c>
      <c r="H3567" s="2" t="s">
        <v>23701</v>
      </c>
      <c r="I3567" s="2"/>
      <c r="J3567" s="2"/>
      <c r="K3567" s="2"/>
      <c r="L3567" s="2"/>
      <c r="M3567" s="2"/>
      <c r="N3567" s="2"/>
      <c r="O3567" s="2">
        <v>90470048</v>
      </c>
      <c r="P3567" s="2"/>
      <c r="Q3567" s="2" t="s">
        <v>23702</v>
      </c>
      <c r="R3567" s="2" t="s">
        <v>23703</v>
      </c>
      <c r="S3567" s="2" t="s">
        <v>89</v>
      </c>
      <c r="T3567" s="2" t="s">
        <v>90</v>
      </c>
      <c r="U3567" s="2" t="s">
        <v>99</v>
      </c>
      <c r="V3567" s="2" t="s">
        <v>59</v>
      </c>
      <c r="W3567" s="2">
        <v>36.6</v>
      </c>
      <c r="X3567" s="2">
        <v>0</v>
      </c>
      <c r="Y3567" s="2" t="s">
        <v>1249</v>
      </c>
      <c r="Z3567" s="2" t="s">
        <v>23704</v>
      </c>
      <c r="AA3567" s="2">
        <v>-4.3279208862874503</v>
      </c>
      <c r="AB3567" s="2">
        <v>0.20740479471697101</v>
      </c>
      <c r="AC3567" s="2">
        <v>34921.565036260501</v>
      </c>
      <c r="AD3567" s="2">
        <v>30191.673337923599</v>
      </c>
      <c r="AE3567" s="2">
        <v>37278.195821986497</v>
      </c>
      <c r="AF3567" s="2">
        <v>41254.956596347103</v>
      </c>
      <c r="AG3567" s="2">
        <v>31646.997520130401</v>
      </c>
      <c r="AH3567" s="2">
        <v>36817.334656555598</v>
      </c>
      <c r="AI3567" s="2">
        <v>30183.314411293901</v>
      </c>
      <c r="AJ3567" s="2">
        <v>32348.591211249601</v>
      </c>
      <c r="AK3567" s="2">
        <v>32263.877110293299</v>
      </c>
      <c r="AL3567" s="2">
        <v>29301.7719795064</v>
      </c>
      <c r="AM3567" s="2">
        <v>29588.711720924199</v>
      </c>
      <c r="AN3567" s="2">
        <v>34473.541482725101</v>
      </c>
      <c r="AO3567" s="2">
        <v>28434.594026304501</v>
      </c>
      <c r="AP3567" s="2">
        <v>27087.5437077883</v>
      </c>
    </row>
    <row r="3568" spans="1:42" ht="14.5" x14ac:dyDescent="0.35">
      <c r="A3568" s="2" t="s">
        <v>23705</v>
      </c>
      <c r="B3568" s="2">
        <v>625.249731114415</v>
      </c>
      <c r="C3568" s="2">
        <v>6.5004833333333298</v>
      </c>
      <c r="D3568" s="2" t="s">
        <v>70</v>
      </c>
      <c r="E3568" s="2" t="s">
        <v>23706</v>
      </c>
      <c r="F3568" s="2">
        <v>19512</v>
      </c>
      <c r="G3568" s="3" t="str">
        <f>HYPERLINK("http://funmeta.oebiotech.com/network/19512", "http://funmeta.oebiotech.com/network/19512")</f>
        <v>http://funmeta.oebiotech.com/network/19512</v>
      </c>
      <c r="H3568" s="2"/>
      <c r="I3568" s="2">
        <v>40034</v>
      </c>
      <c r="J3568" s="2" t="s">
        <v>23707</v>
      </c>
      <c r="K3568" s="2"/>
      <c r="L3568" s="2"/>
      <c r="M3568" s="2"/>
      <c r="N3568" s="2"/>
      <c r="O3568" s="2">
        <v>24779268</v>
      </c>
      <c r="P3568" s="2"/>
      <c r="Q3568" s="2" t="s">
        <v>23708</v>
      </c>
      <c r="R3568" s="2" t="s">
        <v>23709</v>
      </c>
      <c r="S3568" s="2" t="s">
        <v>50</v>
      </c>
      <c r="T3568" s="2" t="s">
        <v>51</v>
      </c>
      <c r="U3568" s="2" t="s">
        <v>168</v>
      </c>
      <c r="V3568" s="2" t="s">
        <v>59</v>
      </c>
      <c r="W3568" s="2">
        <v>37.5</v>
      </c>
      <c r="X3568" s="2">
        <v>0</v>
      </c>
      <c r="Y3568" s="2" t="s">
        <v>560</v>
      </c>
      <c r="Z3568" s="2" t="s">
        <v>23710</v>
      </c>
      <c r="AA3568" s="2">
        <v>-1.7084592177928299</v>
      </c>
      <c r="AB3568" s="2">
        <v>0.20736836287313101</v>
      </c>
      <c r="AC3568" s="2">
        <v>5059.0651582396804</v>
      </c>
      <c r="AD3568" s="2">
        <v>1735.8077870550901</v>
      </c>
      <c r="AE3568" s="2">
        <v>4121.1109611424799</v>
      </c>
      <c r="AF3568" s="2">
        <v>4815.8789078503896</v>
      </c>
      <c r="AG3568" s="2">
        <v>4180.6062739000999</v>
      </c>
      <c r="AH3568" s="2">
        <v>4574.4247773919396</v>
      </c>
      <c r="AI3568" s="2">
        <v>5276.1038231309503</v>
      </c>
      <c r="AJ3568" s="2">
        <v>7386.2662060222201</v>
      </c>
      <c r="AK3568" s="2">
        <v>849.53151987880403</v>
      </c>
      <c r="AL3568" s="2">
        <v>2138.47899622871</v>
      </c>
      <c r="AM3568" s="2">
        <v>1200.0020333577199</v>
      </c>
      <c r="AN3568" s="2">
        <v>883.64483684738605</v>
      </c>
      <c r="AO3568" s="2">
        <v>3554.0557195834299</v>
      </c>
      <c r="AP3568" s="2">
        <v>1789.13361643449</v>
      </c>
    </row>
    <row r="3569" spans="1:42" ht="14.5" x14ac:dyDescent="0.35">
      <c r="A3569" s="2" t="s">
        <v>23711</v>
      </c>
      <c r="B3569" s="2">
        <v>881.40205103989103</v>
      </c>
      <c r="C3569" s="2">
        <v>6.1235166666666698</v>
      </c>
      <c r="D3569" s="2" t="s">
        <v>70</v>
      </c>
      <c r="E3569" s="2" t="s">
        <v>23712</v>
      </c>
      <c r="F3569" s="2">
        <v>256243</v>
      </c>
      <c r="G3569" s="3" t="str">
        <f>HYPERLINK("http://funmeta.oebiotech.com/network/256243", "http://funmeta.oebiotech.com/network/256243")</f>
        <v>http://funmeta.oebiotech.com/network/256243</v>
      </c>
      <c r="H3569" s="2" t="s">
        <v>23713</v>
      </c>
      <c r="I3569" s="2"/>
      <c r="J3569" s="2"/>
      <c r="K3569" s="2"/>
      <c r="L3569" s="2"/>
      <c r="M3569" s="2"/>
      <c r="N3569" s="2"/>
      <c r="O3569" s="2"/>
      <c r="P3569" s="2"/>
      <c r="Q3569" s="2" t="s">
        <v>23714</v>
      </c>
      <c r="R3569" s="2" t="s">
        <v>23715</v>
      </c>
      <c r="S3569" s="2" t="s">
        <v>89</v>
      </c>
      <c r="T3569" s="2" t="s">
        <v>90</v>
      </c>
      <c r="U3569" s="2" t="s">
        <v>99</v>
      </c>
      <c r="V3569" s="2" t="s">
        <v>59</v>
      </c>
      <c r="W3569" s="2">
        <v>36.9</v>
      </c>
      <c r="X3569" s="2">
        <v>0</v>
      </c>
      <c r="Y3569" s="2" t="s">
        <v>408</v>
      </c>
      <c r="Z3569" s="2" t="s">
        <v>23716</v>
      </c>
      <c r="AA3569" s="2">
        <v>-3.5945181120331302</v>
      </c>
      <c r="AB3569" s="2">
        <v>0.207321463108811</v>
      </c>
      <c r="AC3569" s="2">
        <v>20388.0038240467</v>
      </c>
      <c r="AD3569" s="2">
        <v>24958.569826495299</v>
      </c>
      <c r="AE3569" s="2">
        <v>21544.730036836201</v>
      </c>
      <c r="AF3569" s="2">
        <v>24633.830449250501</v>
      </c>
      <c r="AG3569" s="2">
        <v>17289.057115256601</v>
      </c>
      <c r="AH3569" s="2">
        <v>15028.0892197498</v>
      </c>
      <c r="AI3569" s="2">
        <v>20393.554372329301</v>
      </c>
      <c r="AJ3569" s="2">
        <v>23438.761750857699</v>
      </c>
      <c r="AK3569" s="2">
        <v>27787.512437807101</v>
      </c>
      <c r="AL3569" s="2">
        <v>24608.959487977601</v>
      </c>
      <c r="AM3569" s="2">
        <v>20344.291398429399</v>
      </c>
      <c r="AN3569" s="2">
        <v>24776.109891552402</v>
      </c>
      <c r="AO3569" s="2">
        <v>26881.419505371199</v>
      </c>
      <c r="AP3569" s="2">
        <v>25353.126237833902</v>
      </c>
    </row>
    <row r="3570" spans="1:42" ht="14.5" x14ac:dyDescent="0.35">
      <c r="A3570" s="2" t="s">
        <v>23717</v>
      </c>
      <c r="B3570" s="2">
        <v>237.0732650628</v>
      </c>
      <c r="C3570" s="2">
        <v>1.51528333333333</v>
      </c>
      <c r="D3570" s="2" t="s">
        <v>34</v>
      </c>
      <c r="E3570" s="2" t="s">
        <v>23718</v>
      </c>
      <c r="F3570" s="2">
        <v>7882</v>
      </c>
      <c r="G3570" s="3" t="str">
        <f>HYPERLINK("http://funmeta.oebiotech.com/network/7882", "http://funmeta.oebiotech.com/network/7882")</f>
        <v>http://funmeta.oebiotech.com/network/7882</v>
      </c>
      <c r="H3570" s="2"/>
      <c r="I3570" s="2"/>
      <c r="J3570" s="2" t="s">
        <v>23719</v>
      </c>
      <c r="K3570" s="2"/>
      <c r="L3570" s="2"/>
      <c r="M3570" s="2"/>
      <c r="N3570" s="2"/>
      <c r="O3570" s="2"/>
      <c r="P3570" s="2"/>
      <c r="Q3570" s="2" t="s">
        <v>23720</v>
      </c>
      <c r="R3570" s="2" t="s">
        <v>23721</v>
      </c>
      <c r="S3570" s="2" t="s">
        <v>491</v>
      </c>
      <c r="T3570" s="2" t="s">
        <v>23722</v>
      </c>
      <c r="U3570" s="2" t="s">
        <v>41</v>
      </c>
      <c r="V3570" s="2" t="s">
        <v>59</v>
      </c>
      <c r="W3570" s="2">
        <v>40.5</v>
      </c>
      <c r="X3570" s="2">
        <v>7.81</v>
      </c>
      <c r="Y3570" s="2" t="s">
        <v>323</v>
      </c>
      <c r="Z3570" s="2" t="s">
        <v>23723</v>
      </c>
      <c r="AA3570" s="2">
        <v>-0.36977977746372798</v>
      </c>
      <c r="AB3570" s="2">
        <v>0.20727657622859399</v>
      </c>
      <c r="AC3570" s="2">
        <v>4447.1296995108096</v>
      </c>
      <c r="AD3570" s="2">
        <v>7450.1275574364799</v>
      </c>
      <c r="AE3570" s="2">
        <v>3938.2246870246499</v>
      </c>
      <c r="AF3570" s="2">
        <v>4441.2623292764501</v>
      </c>
      <c r="AG3570" s="2">
        <v>4923.4442901042103</v>
      </c>
      <c r="AH3570" s="2">
        <v>3860.73363070697</v>
      </c>
      <c r="AI3570" s="2">
        <v>4447.2402923599802</v>
      </c>
      <c r="AJ3570" s="2">
        <v>5071.8729675925697</v>
      </c>
      <c r="AK3570" s="2">
        <v>7769.9313468179098</v>
      </c>
      <c r="AL3570" s="2">
        <v>8504.3638245792499</v>
      </c>
      <c r="AM3570" s="2">
        <v>7089.6874563833499</v>
      </c>
      <c r="AN3570" s="2">
        <v>7719.1109936018502</v>
      </c>
      <c r="AO3570" s="2">
        <v>6997.27090195033</v>
      </c>
      <c r="AP3570" s="2">
        <v>6620.40082128617</v>
      </c>
    </row>
    <row r="3571" spans="1:42" ht="14.5" x14ac:dyDescent="0.35">
      <c r="A3571" s="2" t="s">
        <v>23724</v>
      </c>
      <c r="B3571" s="2">
        <v>217.11789894051901</v>
      </c>
      <c r="C3571" s="2">
        <v>0.76544999999999996</v>
      </c>
      <c r="D3571" s="2" t="s">
        <v>34</v>
      </c>
      <c r="E3571" s="2" t="s">
        <v>23725</v>
      </c>
      <c r="F3571" s="2">
        <v>54038</v>
      </c>
      <c r="G3571" s="3" t="str">
        <f>HYPERLINK("http://funmeta.oebiotech.com/network/54038", "http://funmeta.oebiotech.com/network/54038")</f>
        <v>http://funmeta.oebiotech.com/network/54038</v>
      </c>
      <c r="H3571" s="2" t="s">
        <v>23726</v>
      </c>
      <c r="I3571" s="2">
        <v>85920</v>
      </c>
      <c r="J3571" s="2"/>
      <c r="K3571" s="2">
        <v>173620</v>
      </c>
      <c r="L3571" s="2"/>
      <c r="M3571" s="2"/>
      <c r="N3571" s="2"/>
      <c r="O3571" s="2">
        <v>18218237</v>
      </c>
      <c r="P3571" s="2"/>
      <c r="Q3571" s="2" t="s">
        <v>23727</v>
      </c>
      <c r="R3571" s="2" t="s">
        <v>23728</v>
      </c>
      <c r="S3571" s="2" t="s">
        <v>89</v>
      </c>
      <c r="T3571" s="2" t="s">
        <v>90</v>
      </c>
      <c r="U3571" s="2" t="s">
        <v>99</v>
      </c>
      <c r="V3571" s="2" t="s">
        <v>59</v>
      </c>
      <c r="W3571" s="2">
        <v>38.299999999999997</v>
      </c>
      <c r="X3571" s="2">
        <v>0</v>
      </c>
      <c r="Y3571" s="2" t="s">
        <v>266</v>
      </c>
      <c r="Z3571" s="2" t="s">
        <v>23729</v>
      </c>
      <c r="AA3571" s="2">
        <v>-1.7791432564888701</v>
      </c>
      <c r="AB3571" s="2">
        <v>0.20684238658734599</v>
      </c>
      <c r="AC3571" s="2">
        <v>40527.717437172301</v>
      </c>
      <c r="AD3571" s="2">
        <v>36238.006733880196</v>
      </c>
      <c r="AE3571" s="2">
        <v>35317.758449449699</v>
      </c>
      <c r="AF3571" s="2">
        <v>41882.375245973803</v>
      </c>
      <c r="AG3571" s="2">
        <v>42037.190805255697</v>
      </c>
      <c r="AH3571" s="2">
        <v>39245.706428662503</v>
      </c>
      <c r="AI3571" s="2">
        <v>41371.211722455097</v>
      </c>
      <c r="AJ3571" s="2">
        <v>43312.061971237003</v>
      </c>
      <c r="AK3571" s="2">
        <v>37614.3006884305</v>
      </c>
      <c r="AL3571" s="2">
        <v>35205.626290903499</v>
      </c>
      <c r="AM3571" s="2">
        <v>33504.672313702496</v>
      </c>
      <c r="AN3571" s="2">
        <v>35662.775727809902</v>
      </c>
      <c r="AO3571" s="2">
        <v>40593.377997884498</v>
      </c>
      <c r="AP3571" s="2">
        <v>34847.287384550102</v>
      </c>
    </row>
    <row r="3572" spans="1:42" ht="14.5" x14ac:dyDescent="0.35">
      <c r="A3572" s="2" t="s">
        <v>23730</v>
      </c>
      <c r="B3572" s="2">
        <v>925.50145121876699</v>
      </c>
      <c r="C3572" s="2">
        <v>10.9208</v>
      </c>
      <c r="D3572" s="2" t="s">
        <v>70</v>
      </c>
      <c r="E3572" s="2" t="s">
        <v>23731</v>
      </c>
      <c r="F3572" s="2">
        <v>136153</v>
      </c>
      <c r="G3572" s="3" t="str">
        <f>HYPERLINK("http://funmeta.oebiotech.com/network/136153", "http://funmeta.oebiotech.com/network/136153")</f>
        <v>http://funmeta.oebiotech.com/network/136153</v>
      </c>
      <c r="H3572" s="2" t="s">
        <v>23732</v>
      </c>
      <c r="I3572" s="2"/>
      <c r="J3572" s="2"/>
      <c r="K3572" s="2"/>
      <c r="L3572" s="2"/>
      <c r="M3572" s="2"/>
      <c r="N3572" s="2"/>
      <c r="O3572" s="2">
        <v>131823131</v>
      </c>
      <c r="P3572" s="2"/>
      <c r="Q3572" s="2" t="s">
        <v>23733</v>
      </c>
      <c r="R3572" s="2" t="s">
        <v>23734</v>
      </c>
      <c r="S3572" s="2" t="s">
        <v>50</v>
      </c>
      <c r="T3572" s="2" t="s">
        <v>51</v>
      </c>
      <c r="U3572" s="2" t="s">
        <v>1989</v>
      </c>
      <c r="V3572" s="2" t="s">
        <v>59</v>
      </c>
      <c r="W3572" s="2">
        <v>36.700000000000003</v>
      </c>
      <c r="X3572" s="2">
        <v>0</v>
      </c>
      <c r="Y3572" s="2" t="s">
        <v>118</v>
      </c>
      <c r="Z3572" s="2" t="s">
        <v>23735</v>
      </c>
      <c r="AA3572" s="2">
        <v>1.4158234082879599</v>
      </c>
      <c r="AB3572" s="2">
        <v>0.20652848134645799</v>
      </c>
      <c r="AC3572" s="2">
        <v>37083.145068560203</v>
      </c>
      <c r="AD3572" s="2">
        <v>41118.827572869399</v>
      </c>
      <c r="AE3572" s="2">
        <v>37908.6831607192</v>
      </c>
      <c r="AF3572" s="2">
        <v>36053.7535944872</v>
      </c>
      <c r="AG3572" s="2">
        <v>39367.646091328097</v>
      </c>
      <c r="AH3572" s="2">
        <v>36871.5509718393</v>
      </c>
      <c r="AI3572" s="2">
        <v>37784.457979265499</v>
      </c>
      <c r="AJ3572" s="2">
        <v>34512.778613721603</v>
      </c>
      <c r="AK3572" s="2">
        <v>43162.582085465103</v>
      </c>
      <c r="AL3572" s="2">
        <v>36702.559525185497</v>
      </c>
      <c r="AM3572" s="2">
        <v>44647.8723926112</v>
      </c>
      <c r="AN3572" s="2">
        <v>41651.0038354973</v>
      </c>
      <c r="AO3572" s="2">
        <v>39249.329209719399</v>
      </c>
      <c r="AP3572" s="2">
        <v>41299.618388737901</v>
      </c>
    </row>
    <row r="3573" spans="1:42" ht="14.5" x14ac:dyDescent="0.35">
      <c r="A3573" s="2" t="s">
        <v>23736</v>
      </c>
      <c r="B3573" s="2">
        <v>165.069740356126</v>
      </c>
      <c r="C3573" s="2">
        <v>7.6440666666666699</v>
      </c>
      <c r="D3573" s="2" t="s">
        <v>34</v>
      </c>
      <c r="E3573" s="2" t="s">
        <v>23737</v>
      </c>
      <c r="F3573" s="2">
        <v>256029</v>
      </c>
      <c r="G3573" s="3" t="str">
        <f>HYPERLINK("http://funmeta.oebiotech.com/network/256029", "http://funmeta.oebiotech.com/network/256029")</f>
        <v>http://funmeta.oebiotech.com/network/256029</v>
      </c>
      <c r="H3573" s="2" t="s">
        <v>23738</v>
      </c>
      <c r="I3573" s="2"/>
      <c r="J3573" s="2"/>
      <c r="K3573" s="2"/>
      <c r="L3573" s="2"/>
      <c r="M3573" s="2"/>
      <c r="N3573" s="2"/>
      <c r="O3573" s="2"/>
      <c r="P3573" s="2"/>
      <c r="Q3573" s="2" t="s">
        <v>23739</v>
      </c>
      <c r="R3573" s="2" t="s">
        <v>23740</v>
      </c>
      <c r="S3573" s="2" t="s">
        <v>491</v>
      </c>
      <c r="T3573" s="2" t="s">
        <v>921</v>
      </c>
      <c r="U3573" s="2" t="s">
        <v>41</v>
      </c>
      <c r="V3573" s="2" t="s">
        <v>59</v>
      </c>
      <c r="W3573" s="2">
        <v>38.799999999999997</v>
      </c>
      <c r="X3573" s="2">
        <v>8.09</v>
      </c>
      <c r="Y3573" s="2" t="s">
        <v>141</v>
      </c>
      <c r="Z3573" s="2" t="s">
        <v>23741</v>
      </c>
      <c r="AA3573" s="2">
        <v>-0.74878762981580504</v>
      </c>
      <c r="AB3573" s="2">
        <v>0.20648756603236801</v>
      </c>
      <c r="AC3573" s="2">
        <v>21080.443123109599</v>
      </c>
      <c r="AD3573" s="2">
        <v>23951.2341745388</v>
      </c>
      <c r="AE3573" s="2">
        <v>20537.931683268002</v>
      </c>
      <c r="AF3573" s="2">
        <v>21138.856006038401</v>
      </c>
      <c r="AG3573" s="2">
        <v>21135.393102407299</v>
      </c>
      <c r="AH3573" s="2">
        <v>21102.3562805603</v>
      </c>
      <c r="AI3573" s="2">
        <v>21394.894296967999</v>
      </c>
      <c r="AJ3573" s="2">
        <v>21173.227369415399</v>
      </c>
      <c r="AK3573" s="2">
        <v>24185.474599604</v>
      </c>
      <c r="AL3573" s="2">
        <v>23216.315803983602</v>
      </c>
      <c r="AM3573" s="2">
        <v>24541.257820375398</v>
      </c>
      <c r="AN3573" s="2">
        <v>23709.402147226701</v>
      </c>
      <c r="AO3573" s="2">
        <v>23914.405591038401</v>
      </c>
      <c r="AP3573" s="2">
        <v>24140.549085004801</v>
      </c>
    </row>
    <row r="3574" spans="1:42" ht="14.5" x14ac:dyDescent="0.35">
      <c r="A3574" s="2" t="s">
        <v>23742</v>
      </c>
      <c r="B3574" s="2">
        <v>256.14775565700802</v>
      </c>
      <c r="C3574" s="2">
        <v>12.1323166666667</v>
      </c>
      <c r="D3574" s="2" t="s">
        <v>34</v>
      </c>
      <c r="E3574" s="2" t="s">
        <v>23743</v>
      </c>
      <c r="F3574" s="2">
        <v>205722</v>
      </c>
      <c r="G3574" s="3" t="str">
        <f>HYPERLINK("http://funmeta.oebiotech.com/network/205722", "http://funmeta.oebiotech.com/network/205722")</f>
        <v>http://funmeta.oebiotech.com/network/205722</v>
      </c>
      <c r="H3574" s="2" t="s">
        <v>23744</v>
      </c>
      <c r="I3574" s="2">
        <v>425984</v>
      </c>
      <c r="J3574" s="2"/>
      <c r="K3574" s="2"/>
      <c r="L3574" s="2"/>
      <c r="M3574" s="2"/>
      <c r="N3574" s="2"/>
      <c r="O3574" s="2">
        <v>159718</v>
      </c>
      <c r="P3574" s="2"/>
      <c r="Q3574" s="2" t="s">
        <v>23745</v>
      </c>
      <c r="R3574" s="2" t="s">
        <v>23746</v>
      </c>
      <c r="S3574" s="2" t="s">
        <v>41</v>
      </c>
      <c r="T3574" s="2" t="s">
        <v>41</v>
      </c>
      <c r="U3574" s="2" t="s">
        <v>41</v>
      </c>
      <c r="V3574" s="2" t="s">
        <v>59</v>
      </c>
      <c r="W3574" s="2">
        <v>37.200000000000003</v>
      </c>
      <c r="X3574" s="2">
        <v>0</v>
      </c>
      <c r="Y3574" s="2" t="s">
        <v>141</v>
      </c>
      <c r="Z3574" s="2" t="s">
        <v>23747</v>
      </c>
      <c r="AA3574" s="2">
        <v>-2.5835716705035101</v>
      </c>
      <c r="AB3574" s="2">
        <v>0.20617265489877701</v>
      </c>
      <c r="AC3574" s="2">
        <v>8212.7425419924803</v>
      </c>
      <c r="AD3574" s="2">
        <v>4247.3520307592999</v>
      </c>
      <c r="AE3574" s="2">
        <v>10481.254060103</v>
      </c>
      <c r="AF3574" s="2">
        <v>5548.7457286156896</v>
      </c>
      <c r="AG3574" s="2">
        <v>7352.5554620256098</v>
      </c>
      <c r="AH3574" s="2">
        <v>9083.0334063263999</v>
      </c>
      <c r="AI3574" s="2">
        <v>9877.0607902541597</v>
      </c>
      <c r="AJ3574" s="2">
        <v>6933.8058046300503</v>
      </c>
      <c r="AK3574" s="2">
        <v>2437.27204014168</v>
      </c>
      <c r="AL3574" s="2">
        <v>7799.9070855670698</v>
      </c>
      <c r="AM3574" s="2">
        <v>4086.0888550220202</v>
      </c>
      <c r="AN3574" s="2">
        <v>6486.6867470186298</v>
      </c>
      <c r="AO3574" s="2">
        <v>2870.4749742948002</v>
      </c>
      <c r="AP3574" s="2">
        <v>1803.68248251157</v>
      </c>
    </row>
    <row r="3575" spans="1:42" ht="14.5" x14ac:dyDescent="0.35">
      <c r="A3575" s="2" t="s">
        <v>23748</v>
      </c>
      <c r="B3575" s="2">
        <v>337.16388990307399</v>
      </c>
      <c r="C3575" s="2">
        <v>5.5564166666666699</v>
      </c>
      <c r="D3575" s="2" t="s">
        <v>34</v>
      </c>
      <c r="E3575" s="2" t="s">
        <v>23749</v>
      </c>
      <c r="F3575" s="2">
        <v>210901</v>
      </c>
      <c r="G3575" s="3" t="str">
        <f>HYPERLINK("http://funmeta.oebiotech.com/network/210901", "http://funmeta.oebiotech.com/network/210901")</f>
        <v>http://funmeta.oebiotech.com/network/210901</v>
      </c>
      <c r="H3575" s="2" t="s">
        <v>23750</v>
      </c>
      <c r="I3575" s="2"/>
      <c r="J3575" s="2"/>
      <c r="K3575" s="2">
        <v>36706</v>
      </c>
      <c r="L3575" s="2"/>
      <c r="M3575" s="2"/>
      <c r="N3575" s="2"/>
      <c r="O3575" s="2"/>
      <c r="P3575" s="2"/>
      <c r="Q3575" s="2" t="s">
        <v>23751</v>
      </c>
      <c r="R3575" s="2" t="s">
        <v>23752</v>
      </c>
      <c r="S3575" s="2" t="s">
        <v>491</v>
      </c>
      <c r="T3575" s="2" t="s">
        <v>1516</v>
      </c>
      <c r="U3575" s="2" t="s">
        <v>23753</v>
      </c>
      <c r="V3575" s="2" t="s">
        <v>59</v>
      </c>
      <c r="W3575" s="2">
        <v>37.9</v>
      </c>
      <c r="X3575" s="2">
        <v>0</v>
      </c>
      <c r="Y3575" s="2" t="s">
        <v>323</v>
      </c>
      <c r="Z3575" s="2" t="s">
        <v>23754</v>
      </c>
      <c r="AA3575" s="2">
        <v>1.2517231495160599</v>
      </c>
      <c r="AB3575" s="2">
        <v>0.206070579150686</v>
      </c>
      <c r="AC3575" s="2">
        <v>7150.2810650485299</v>
      </c>
      <c r="AD3575" s="2">
        <v>10222.277039746001</v>
      </c>
      <c r="AE3575" s="2">
        <v>7851.4567295633196</v>
      </c>
      <c r="AF3575" s="2">
        <v>7467.1071244394197</v>
      </c>
      <c r="AG3575" s="2">
        <v>5200.0016502971803</v>
      </c>
      <c r="AH3575" s="2">
        <v>8189.0170623256099</v>
      </c>
      <c r="AI3575" s="2">
        <v>7302.60783395821</v>
      </c>
      <c r="AJ3575" s="2">
        <v>6891.4959897074596</v>
      </c>
      <c r="AK3575" s="2">
        <v>10392.480677507299</v>
      </c>
      <c r="AL3575" s="2">
        <v>10054.404240199499</v>
      </c>
      <c r="AM3575" s="2">
        <v>10899.084149827901</v>
      </c>
      <c r="AN3575" s="2">
        <v>10185.018557068401</v>
      </c>
      <c r="AO3575" s="2">
        <v>9839.0830191848709</v>
      </c>
      <c r="AP3575" s="2">
        <v>9963.5915946879995</v>
      </c>
    </row>
    <row r="3576" spans="1:42" ht="14.5" x14ac:dyDescent="0.35">
      <c r="A3576" s="2" t="s">
        <v>23755</v>
      </c>
      <c r="B3576" s="2">
        <v>595.14574068113097</v>
      </c>
      <c r="C3576" s="2">
        <v>6.726</v>
      </c>
      <c r="D3576" s="2" t="s">
        <v>70</v>
      </c>
      <c r="E3576" s="2" t="s">
        <v>23756</v>
      </c>
      <c r="F3576" s="2">
        <v>62129</v>
      </c>
      <c r="G3576" s="3" t="str">
        <f>HYPERLINK("http://funmeta.oebiotech.com/network/62129", "http://funmeta.oebiotech.com/network/62129")</f>
        <v>http://funmeta.oebiotech.com/network/62129</v>
      </c>
      <c r="H3576" s="2" t="s">
        <v>23757</v>
      </c>
      <c r="I3576" s="2">
        <v>93419</v>
      </c>
      <c r="J3576" s="2"/>
      <c r="K3576" s="2"/>
      <c r="L3576" s="2"/>
      <c r="M3576" s="2"/>
      <c r="N3576" s="2"/>
      <c r="O3576" s="2">
        <v>131752463</v>
      </c>
      <c r="P3576" s="2" t="s">
        <v>23758</v>
      </c>
      <c r="Q3576" s="2" t="s">
        <v>23759</v>
      </c>
      <c r="R3576" s="2" t="s">
        <v>23760</v>
      </c>
      <c r="S3576" s="2" t="s">
        <v>115</v>
      </c>
      <c r="T3576" s="2" t="s">
        <v>1371</v>
      </c>
      <c r="U3576" s="2" t="s">
        <v>1372</v>
      </c>
      <c r="V3576" s="2" t="s">
        <v>59</v>
      </c>
      <c r="W3576" s="2">
        <v>38.700000000000003</v>
      </c>
      <c r="X3576" s="2">
        <v>0</v>
      </c>
      <c r="Y3576" s="2" t="s">
        <v>408</v>
      </c>
      <c r="Z3576" s="2" t="s">
        <v>23761</v>
      </c>
      <c r="AA3576" s="2">
        <v>4.7554793377521699E-2</v>
      </c>
      <c r="AB3576" s="2">
        <v>0.20598915813962601</v>
      </c>
      <c r="AC3576" s="2">
        <v>6454.76251695874</v>
      </c>
      <c r="AD3576" s="2">
        <v>3369.67745087803</v>
      </c>
      <c r="AE3576" s="2">
        <v>5774.3115866098997</v>
      </c>
      <c r="AF3576" s="2">
        <v>6950.9012375235197</v>
      </c>
      <c r="AG3576" s="2">
        <v>7521.2142542443298</v>
      </c>
      <c r="AH3576" s="2">
        <v>6381.5633139932897</v>
      </c>
      <c r="AI3576" s="2">
        <v>7012.3702865494097</v>
      </c>
      <c r="AJ3576" s="2">
        <v>5088.2144228320103</v>
      </c>
      <c r="AK3576" s="2">
        <v>3746.77412499312</v>
      </c>
      <c r="AL3576" s="2">
        <v>2682.8230784252701</v>
      </c>
      <c r="AM3576" s="2">
        <v>3500.8128309374301</v>
      </c>
      <c r="AN3576" s="2">
        <v>2521.1365576286398</v>
      </c>
      <c r="AO3576" s="2">
        <v>3343.2408498413201</v>
      </c>
      <c r="AP3576" s="2">
        <v>4423.27726344243</v>
      </c>
    </row>
    <row r="3577" spans="1:42" ht="14.5" x14ac:dyDescent="0.35">
      <c r="A3577" s="2" t="s">
        <v>23762</v>
      </c>
      <c r="B3577" s="2">
        <v>456.19245487910803</v>
      </c>
      <c r="C3577" s="2">
        <v>3.6357833333333298</v>
      </c>
      <c r="D3577" s="2" t="s">
        <v>70</v>
      </c>
      <c r="E3577" s="2" t="s">
        <v>23763</v>
      </c>
      <c r="F3577" s="2">
        <v>208907</v>
      </c>
      <c r="G3577" s="3" t="str">
        <f>HYPERLINK("http://funmeta.oebiotech.com/network/208907", "http://funmeta.oebiotech.com/network/208907")</f>
        <v>http://funmeta.oebiotech.com/network/208907</v>
      </c>
      <c r="H3577" s="2" t="s">
        <v>23764</v>
      </c>
      <c r="I3577" s="2">
        <v>322239</v>
      </c>
      <c r="J3577" s="2"/>
      <c r="K3577" s="2"/>
      <c r="L3577" s="2"/>
      <c r="M3577" s="2"/>
      <c r="N3577" s="2"/>
      <c r="O3577" s="2">
        <v>60810</v>
      </c>
      <c r="P3577" s="2"/>
      <c r="Q3577" s="2" t="s">
        <v>23765</v>
      </c>
      <c r="R3577" s="2" t="s">
        <v>23766</v>
      </c>
      <c r="S3577" s="2" t="s">
        <v>491</v>
      </c>
      <c r="T3577" s="2" t="s">
        <v>23767</v>
      </c>
      <c r="U3577" s="2" t="s">
        <v>23768</v>
      </c>
      <c r="V3577" s="2" t="s">
        <v>59</v>
      </c>
      <c r="W3577" s="2">
        <v>39.1</v>
      </c>
      <c r="X3577" s="2">
        <v>9.91</v>
      </c>
      <c r="Y3577" s="2" t="s">
        <v>751</v>
      </c>
      <c r="Z3577" s="2" t="s">
        <v>23769</v>
      </c>
      <c r="AA3577" s="2">
        <v>1.96583468805771</v>
      </c>
      <c r="AB3577" s="2">
        <v>0.205972321806627</v>
      </c>
      <c r="AC3577" s="2">
        <v>46143.406352052101</v>
      </c>
      <c r="AD3577" s="2">
        <v>41921.325133189501</v>
      </c>
      <c r="AE3577" s="2">
        <v>45197.8028313334</v>
      </c>
      <c r="AF3577" s="2">
        <v>44009.184526145502</v>
      </c>
      <c r="AG3577" s="2">
        <v>45001.315864081298</v>
      </c>
      <c r="AH3577" s="2">
        <v>44043.149506083799</v>
      </c>
      <c r="AI3577" s="2">
        <v>51485.300116998696</v>
      </c>
      <c r="AJ3577" s="2">
        <v>47123.685267669702</v>
      </c>
      <c r="AK3577" s="2">
        <v>38159.693695309397</v>
      </c>
      <c r="AL3577" s="2">
        <v>44548.7737374469</v>
      </c>
      <c r="AM3577" s="2">
        <v>40920.641139579398</v>
      </c>
      <c r="AN3577" s="2">
        <v>42286.910584139601</v>
      </c>
      <c r="AO3577" s="2">
        <v>42068.389889673897</v>
      </c>
      <c r="AP3577" s="2">
        <v>43543.541752987701</v>
      </c>
    </row>
    <row r="3578" spans="1:42" ht="14.5" x14ac:dyDescent="0.35">
      <c r="A3578" s="2" t="s">
        <v>23770</v>
      </c>
      <c r="B3578" s="2">
        <v>307.04237476283703</v>
      </c>
      <c r="C3578" s="2">
        <v>0.70245000000000002</v>
      </c>
      <c r="D3578" s="2" t="s">
        <v>34</v>
      </c>
      <c r="E3578" s="2" t="s">
        <v>23771</v>
      </c>
      <c r="F3578" s="2">
        <v>47027</v>
      </c>
      <c r="G3578" s="3" t="str">
        <f>HYPERLINK("http://funmeta.oebiotech.com/network/47027", "http://funmeta.oebiotech.com/network/47027")</f>
        <v>http://funmeta.oebiotech.com/network/47027</v>
      </c>
      <c r="H3578" s="2" t="s">
        <v>23772</v>
      </c>
      <c r="I3578" s="2">
        <v>5414</v>
      </c>
      <c r="J3578" s="2"/>
      <c r="K3578" s="2"/>
      <c r="L3578" s="2"/>
      <c r="M3578" s="2"/>
      <c r="N3578" s="2"/>
      <c r="O3578" s="2">
        <v>22833524</v>
      </c>
      <c r="P3578" s="2" t="s">
        <v>23773</v>
      </c>
      <c r="Q3578" s="2" t="s">
        <v>23774</v>
      </c>
      <c r="R3578" s="2" t="s">
        <v>23775</v>
      </c>
      <c r="S3578" s="2" t="s">
        <v>79</v>
      </c>
      <c r="T3578" s="2" t="s">
        <v>80</v>
      </c>
      <c r="U3578" s="2" t="s">
        <v>81</v>
      </c>
      <c r="V3578" s="2" t="s">
        <v>59</v>
      </c>
      <c r="W3578" s="2">
        <v>38.9</v>
      </c>
      <c r="X3578" s="2">
        <v>0</v>
      </c>
      <c r="Y3578" s="2" t="s">
        <v>340</v>
      </c>
      <c r="Z3578" s="2" t="s">
        <v>23776</v>
      </c>
      <c r="AA3578" s="2">
        <v>-0.80351678323115805</v>
      </c>
      <c r="AB3578" s="2">
        <v>0.20597076683711099</v>
      </c>
      <c r="AC3578" s="2">
        <v>7146.1860144774901</v>
      </c>
      <c r="AD3578" s="2">
        <v>3524.7802137622698</v>
      </c>
      <c r="AE3578" s="2">
        <v>5667.27116690821</v>
      </c>
      <c r="AF3578" s="2">
        <v>7967.8790946764902</v>
      </c>
      <c r="AG3578" s="2">
        <v>7756.69745816044</v>
      </c>
      <c r="AH3578" s="2">
        <v>7150.9442833100802</v>
      </c>
      <c r="AI3578" s="2">
        <v>5573.1023550721002</v>
      </c>
      <c r="AJ3578" s="2">
        <v>8761.2217287376097</v>
      </c>
      <c r="AK3578" s="2">
        <v>2563.25249861268</v>
      </c>
      <c r="AL3578" s="2">
        <v>2636.72626061545</v>
      </c>
      <c r="AM3578" s="2">
        <v>3670.9813509769801</v>
      </c>
      <c r="AN3578" s="2">
        <v>7324.3124911615496</v>
      </c>
      <c r="AO3578" s="2">
        <v>1966.5388597487799</v>
      </c>
      <c r="AP3578" s="2">
        <v>2986.86982145821</v>
      </c>
    </row>
    <row r="3579" spans="1:42" ht="14.5" x14ac:dyDescent="0.35">
      <c r="A3579" s="2" t="s">
        <v>23777</v>
      </c>
      <c r="B3579" s="2">
        <v>218.149965829043</v>
      </c>
      <c r="C3579" s="2">
        <v>0.70245000000000002</v>
      </c>
      <c r="D3579" s="2" t="s">
        <v>34</v>
      </c>
      <c r="E3579" s="2" t="s">
        <v>23778</v>
      </c>
      <c r="F3579" s="2">
        <v>51927</v>
      </c>
      <c r="G3579" s="3" t="str">
        <f>HYPERLINK("http://funmeta.oebiotech.com/network/51927", "http://funmeta.oebiotech.com/network/51927")</f>
        <v>http://funmeta.oebiotech.com/network/51927</v>
      </c>
      <c r="H3579" s="2" t="s">
        <v>23779</v>
      </c>
      <c r="I3579" s="2">
        <v>62876</v>
      </c>
      <c r="J3579" s="2"/>
      <c r="K3579" s="2">
        <v>48005</v>
      </c>
      <c r="L3579" s="2" t="s">
        <v>23780</v>
      </c>
      <c r="M3579" s="2" t="s">
        <v>12240</v>
      </c>
      <c r="N3579" s="2" t="s">
        <v>12241</v>
      </c>
      <c r="O3579" s="2">
        <v>20841830</v>
      </c>
      <c r="P3579" s="2"/>
      <c r="Q3579" s="2" t="s">
        <v>23781</v>
      </c>
      <c r="R3579" s="2" t="s">
        <v>23782</v>
      </c>
      <c r="S3579" s="2" t="s">
        <v>89</v>
      </c>
      <c r="T3579" s="2" t="s">
        <v>90</v>
      </c>
      <c r="U3579" s="2" t="s">
        <v>99</v>
      </c>
      <c r="V3579" s="2" t="s">
        <v>59</v>
      </c>
      <c r="W3579" s="2">
        <v>44.1</v>
      </c>
      <c r="X3579" s="2">
        <v>31.8</v>
      </c>
      <c r="Y3579" s="2" t="s">
        <v>394</v>
      </c>
      <c r="Z3579" s="2" t="s">
        <v>23783</v>
      </c>
      <c r="AA3579" s="2">
        <v>0.22065971349770799</v>
      </c>
      <c r="AB3579" s="2">
        <v>0.20581842631146599</v>
      </c>
      <c r="AC3579" s="2">
        <v>4202.8382527110498</v>
      </c>
      <c r="AD3579" s="2">
        <v>1229.4376702025199</v>
      </c>
      <c r="AE3579" s="2">
        <v>3907.6231159787199</v>
      </c>
      <c r="AF3579" s="2">
        <v>4020.7737394606002</v>
      </c>
      <c r="AG3579" s="2">
        <v>3466.1128411253499</v>
      </c>
      <c r="AH3579" s="2">
        <v>4415.82478989624</v>
      </c>
      <c r="AI3579" s="2">
        <v>3890.0865297221799</v>
      </c>
      <c r="AJ3579" s="2">
        <v>5516.6085000832099</v>
      </c>
      <c r="AK3579" s="2">
        <v>710.47039004443604</v>
      </c>
      <c r="AL3579" s="2">
        <v>1680.4471583227901</v>
      </c>
      <c r="AM3579" s="2">
        <v>2028.2072568660899</v>
      </c>
      <c r="AN3579" s="2">
        <v>1013.06408251084</v>
      </c>
      <c r="AO3579" s="2">
        <v>926.99231811255697</v>
      </c>
      <c r="AP3579" s="2">
        <v>1017.4448153584</v>
      </c>
    </row>
    <row r="3580" spans="1:42" ht="14.5" x14ac:dyDescent="0.35">
      <c r="A3580" s="2" t="s">
        <v>23784</v>
      </c>
      <c r="B3580" s="2">
        <v>511.29033434089303</v>
      </c>
      <c r="C3580" s="2">
        <v>6.2170833333333304</v>
      </c>
      <c r="D3580" s="2" t="s">
        <v>70</v>
      </c>
      <c r="E3580" s="2" t="s">
        <v>23785</v>
      </c>
      <c r="F3580" s="2">
        <v>28266</v>
      </c>
      <c r="G3580" s="3" t="str">
        <f>HYPERLINK("http://funmeta.oebiotech.com/network/28266", "http://funmeta.oebiotech.com/network/28266")</f>
        <v>http://funmeta.oebiotech.com/network/28266</v>
      </c>
      <c r="H3580" s="2"/>
      <c r="I3580" s="2">
        <v>40997</v>
      </c>
      <c r="J3580" s="2" t="s">
        <v>23786</v>
      </c>
      <c r="K3580" s="2">
        <v>29613</v>
      </c>
      <c r="L3580" s="2" t="s">
        <v>23787</v>
      </c>
      <c r="M3580" s="2" t="s">
        <v>2604</v>
      </c>
      <c r="N3580" s="2" t="s">
        <v>2605</v>
      </c>
      <c r="O3580" s="2">
        <v>443566</v>
      </c>
      <c r="P3580" s="2"/>
      <c r="Q3580" s="2" t="s">
        <v>23788</v>
      </c>
      <c r="R3580" s="2" t="s">
        <v>23789</v>
      </c>
      <c r="S3580" s="2" t="s">
        <v>115</v>
      </c>
      <c r="T3580" s="2" t="s">
        <v>1384</v>
      </c>
      <c r="U3580" s="2" t="s">
        <v>41</v>
      </c>
      <c r="V3580" s="2" t="s">
        <v>59</v>
      </c>
      <c r="W3580" s="2">
        <v>40.4</v>
      </c>
      <c r="X3580" s="2">
        <v>14.6</v>
      </c>
      <c r="Y3580" s="2" t="s">
        <v>751</v>
      </c>
      <c r="Z3580" s="2" t="s">
        <v>13896</v>
      </c>
      <c r="AA3580" s="2">
        <v>-1.7390045379258601</v>
      </c>
      <c r="AB3580" s="2">
        <v>0.205707415652648</v>
      </c>
      <c r="AC3580" s="2">
        <v>17297.991671746098</v>
      </c>
      <c r="AD3580" s="2">
        <v>13113.672309845701</v>
      </c>
      <c r="AE3580" s="2">
        <v>18486.582844551001</v>
      </c>
      <c r="AF3580" s="2">
        <v>15059.423722961399</v>
      </c>
      <c r="AG3580" s="2">
        <v>17895.1633314875</v>
      </c>
      <c r="AH3580" s="2">
        <v>19657.671600677098</v>
      </c>
      <c r="AI3580" s="2">
        <v>13071.103379157599</v>
      </c>
      <c r="AJ3580" s="2">
        <v>19618.005151642101</v>
      </c>
      <c r="AK3580" s="2">
        <v>16165.1815540272</v>
      </c>
      <c r="AL3580" s="2">
        <v>14543.2641082419</v>
      </c>
      <c r="AM3580" s="2">
        <v>9527.6433400882906</v>
      </c>
      <c r="AN3580" s="2">
        <v>14733.7426381518</v>
      </c>
      <c r="AO3580" s="2">
        <v>13349.824077785001</v>
      </c>
      <c r="AP3580" s="2">
        <v>10362.3781407803</v>
      </c>
    </row>
    <row r="3581" spans="1:42" ht="14.5" x14ac:dyDescent="0.35">
      <c r="A3581" s="2" t="s">
        <v>23790</v>
      </c>
      <c r="B3581" s="2">
        <v>679.34354565083697</v>
      </c>
      <c r="C3581" s="2">
        <v>5.6725000000000003</v>
      </c>
      <c r="D3581" s="2" t="s">
        <v>70</v>
      </c>
      <c r="E3581" s="2" t="s">
        <v>23791</v>
      </c>
      <c r="F3581" s="2">
        <v>215789</v>
      </c>
      <c r="G3581" s="3" t="str">
        <f>HYPERLINK("http://funmeta.oebiotech.com/network/215789", "http://funmeta.oebiotech.com/network/215789")</f>
        <v>http://funmeta.oebiotech.com/network/215789</v>
      </c>
      <c r="H3581" s="2" t="s">
        <v>23792</v>
      </c>
      <c r="I3581" s="2"/>
      <c r="J3581" s="2"/>
      <c r="K3581" s="2"/>
      <c r="L3581" s="2"/>
      <c r="M3581" s="2"/>
      <c r="N3581" s="2"/>
      <c r="O3581" s="2"/>
      <c r="P3581" s="2"/>
      <c r="Q3581" s="2" t="s">
        <v>23793</v>
      </c>
      <c r="R3581" s="2" t="s">
        <v>23794</v>
      </c>
      <c r="S3581" s="2" t="s">
        <v>41</v>
      </c>
      <c r="T3581" s="2" t="s">
        <v>41</v>
      </c>
      <c r="U3581" s="2" t="s">
        <v>41</v>
      </c>
      <c r="V3581" s="2" t="s">
        <v>59</v>
      </c>
      <c r="W3581" s="2">
        <v>37.5</v>
      </c>
      <c r="X3581" s="2">
        <v>0</v>
      </c>
      <c r="Y3581" s="2" t="s">
        <v>408</v>
      </c>
      <c r="Z3581" s="2" t="s">
        <v>20085</v>
      </c>
      <c r="AA3581" s="2">
        <v>-4.50293415526545</v>
      </c>
      <c r="AB3581" s="2">
        <v>0.20570588630900699</v>
      </c>
      <c r="AC3581" s="2">
        <v>3524.9477284068898</v>
      </c>
      <c r="AD3581" s="2">
        <v>6595.1811180141203</v>
      </c>
      <c r="AE3581" s="2">
        <v>2843.3878362702599</v>
      </c>
      <c r="AF3581" s="2">
        <v>3323.1951258740701</v>
      </c>
      <c r="AG3581" s="2">
        <v>3690.6378487429101</v>
      </c>
      <c r="AH3581" s="2">
        <v>4651.9188086640897</v>
      </c>
      <c r="AI3581" s="2">
        <v>2966.10113997087</v>
      </c>
      <c r="AJ3581" s="2">
        <v>3674.4456109191601</v>
      </c>
      <c r="AK3581" s="2">
        <v>7315.6193473543999</v>
      </c>
      <c r="AL3581" s="2">
        <v>6059.2221310912</v>
      </c>
      <c r="AM3581" s="2">
        <v>6575.8397772472099</v>
      </c>
      <c r="AN3581" s="2">
        <v>7279.6649033683598</v>
      </c>
      <c r="AO3581" s="2">
        <v>5061.1904377375004</v>
      </c>
      <c r="AP3581" s="2">
        <v>7279.5501112860602</v>
      </c>
    </row>
    <row r="3582" spans="1:42" ht="14.5" x14ac:dyDescent="0.35">
      <c r="A3582" s="2" t="s">
        <v>23795</v>
      </c>
      <c r="B3582" s="2">
        <v>609.45065453453503</v>
      </c>
      <c r="C3582" s="2">
        <v>11.544183333333301</v>
      </c>
      <c r="D3582" s="2" t="s">
        <v>34</v>
      </c>
      <c r="E3582" s="2" t="s">
        <v>23796</v>
      </c>
      <c r="F3582" s="2">
        <v>10842</v>
      </c>
      <c r="G3582" s="3" t="str">
        <f>HYPERLINK("http://funmeta.oebiotech.com/network/10842", "http://funmeta.oebiotech.com/network/10842")</f>
        <v>http://funmeta.oebiotech.com/network/10842</v>
      </c>
      <c r="H3582" s="2" t="s">
        <v>23797</v>
      </c>
      <c r="I3582" s="2">
        <v>58877</v>
      </c>
      <c r="J3582" s="2" t="s">
        <v>23798</v>
      </c>
      <c r="K3582" s="2"/>
      <c r="L3582" s="2"/>
      <c r="M3582" s="2"/>
      <c r="N3582" s="2"/>
      <c r="O3582" s="2">
        <v>53478167</v>
      </c>
      <c r="P3582" s="2"/>
      <c r="Q3582" s="2" t="s">
        <v>23799</v>
      </c>
      <c r="R3582" s="2" t="s">
        <v>23800</v>
      </c>
      <c r="S3582" s="2" t="s">
        <v>50</v>
      </c>
      <c r="T3582" s="2" t="s">
        <v>229</v>
      </c>
      <c r="U3582" s="2" t="s">
        <v>1360</v>
      </c>
      <c r="V3582" s="2" t="s">
        <v>59</v>
      </c>
      <c r="W3582" s="2">
        <v>37.4</v>
      </c>
      <c r="X3582" s="2">
        <v>0</v>
      </c>
      <c r="Y3582" s="2" t="s">
        <v>394</v>
      </c>
      <c r="Z3582" s="2" t="s">
        <v>23801</v>
      </c>
      <c r="AA3582" s="2">
        <v>-1.1454125261394199</v>
      </c>
      <c r="AB3582" s="2">
        <v>0.20564222386085601</v>
      </c>
      <c r="AC3582" s="2">
        <v>4274.4575793307504</v>
      </c>
      <c r="AD3582" s="2">
        <v>1247.61272812057</v>
      </c>
      <c r="AE3582" s="2">
        <v>3508.6748223375698</v>
      </c>
      <c r="AF3582" s="2">
        <v>3690.7118222578401</v>
      </c>
      <c r="AG3582" s="2">
        <v>4562.6478382963196</v>
      </c>
      <c r="AH3582" s="2">
        <v>4134.4610930071403</v>
      </c>
      <c r="AI3582" s="2">
        <v>4365.48339883474</v>
      </c>
      <c r="AJ3582" s="2">
        <v>5384.7665012509196</v>
      </c>
      <c r="AK3582" s="2">
        <v>546.20811507750102</v>
      </c>
      <c r="AL3582" s="2">
        <v>494.60288881547501</v>
      </c>
      <c r="AM3582" s="2">
        <v>1133.14015383321</v>
      </c>
      <c r="AN3582" s="2">
        <v>1138.06432679932</v>
      </c>
      <c r="AO3582" s="2">
        <v>1695.59605187794</v>
      </c>
      <c r="AP3582" s="2">
        <v>2478.0648323199498</v>
      </c>
    </row>
    <row r="3583" spans="1:42" ht="14.5" x14ac:dyDescent="0.35">
      <c r="A3583" s="2" t="s">
        <v>23802</v>
      </c>
      <c r="B3583" s="2">
        <v>447.15033754956897</v>
      </c>
      <c r="C3583" s="2">
        <v>3.8614999999999999</v>
      </c>
      <c r="D3583" s="2" t="s">
        <v>70</v>
      </c>
      <c r="E3583" s="2" t="s">
        <v>23803</v>
      </c>
      <c r="F3583" s="2">
        <v>52965</v>
      </c>
      <c r="G3583" s="3" t="str">
        <f>HYPERLINK("http://funmeta.oebiotech.com/network/52965", "http://funmeta.oebiotech.com/network/52965")</f>
        <v>http://funmeta.oebiotech.com/network/52965</v>
      </c>
      <c r="H3583" s="2" t="s">
        <v>23804</v>
      </c>
      <c r="I3583" s="2">
        <v>2495</v>
      </c>
      <c r="J3583" s="2"/>
      <c r="K3583" s="2">
        <v>63581</v>
      </c>
      <c r="L3583" s="2" t="s">
        <v>23805</v>
      </c>
      <c r="M3583" s="2"/>
      <c r="N3583" s="2"/>
      <c r="O3583" s="2">
        <v>18283</v>
      </c>
      <c r="P3583" s="2" t="s">
        <v>23806</v>
      </c>
      <c r="Q3583" s="2" t="s">
        <v>23807</v>
      </c>
      <c r="R3583" s="2" t="s">
        <v>23808</v>
      </c>
      <c r="S3583" s="2" t="s">
        <v>1444</v>
      </c>
      <c r="T3583" s="2" t="s">
        <v>23611</v>
      </c>
      <c r="U3583" s="2" t="s">
        <v>41</v>
      </c>
      <c r="V3583" s="2" t="s">
        <v>59</v>
      </c>
      <c r="W3583" s="2">
        <v>38.700000000000003</v>
      </c>
      <c r="X3583" s="2">
        <v>0</v>
      </c>
      <c r="Y3583" s="2" t="s">
        <v>560</v>
      </c>
      <c r="Z3583" s="2" t="s">
        <v>23809</v>
      </c>
      <c r="AA3583" s="2">
        <v>-4.01590089486045</v>
      </c>
      <c r="AB3583" s="2">
        <v>0.20556497716617</v>
      </c>
      <c r="AC3583" s="2">
        <v>5206.1212120558102</v>
      </c>
      <c r="AD3583" s="2">
        <v>8370.1184303030204</v>
      </c>
      <c r="AE3583" s="2">
        <v>5185.9277007677301</v>
      </c>
      <c r="AF3583" s="2">
        <v>3784.1748373821902</v>
      </c>
      <c r="AG3583" s="2">
        <v>4288.8359773454804</v>
      </c>
      <c r="AH3583" s="2">
        <v>5072.7709458790696</v>
      </c>
      <c r="AI3583" s="2">
        <v>6357.2352496228004</v>
      </c>
      <c r="AJ3583" s="2">
        <v>6547.7825613375699</v>
      </c>
      <c r="AK3583" s="2">
        <v>8459.7905991152202</v>
      </c>
      <c r="AL3583" s="2">
        <v>8963.9689728883895</v>
      </c>
      <c r="AM3583" s="2">
        <v>8323.8227964426205</v>
      </c>
      <c r="AN3583" s="2">
        <v>9551.4200322307097</v>
      </c>
      <c r="AO3583" s="2">
        <v>7113.39483522301</v>
      </c>
      <c r="AP3583" s="2">
        <v>7808.3133459181699</v>
      </c>
    </row>
    <row r="3584" spans="1:42" ht="14.5" x14ac:dyDescent="0.35">
      <c r="A3584" s="2" t="s">
        <v>23810</v>
      </c>
      <c r="B3584" s="2">
        <v>1093.4966689238699</v>
      </c>
      <c r="C3584" s="2">
        <v>9.4284999999999997</v>
      </c>
      <c r="D3584" s="2" t="s">
        <v>34</v>
      </c>
      <c r="E3584" s="2" t="s">
        <v>23811</v>
      </c>
      <c r="F3584" s="2">
        <v>63663</v>
      </c>
      <c r="G3584" s="3" t="str">
        <f>HYPERLINK("http://funmeta.oebiotech.com/network/63663", "http://funmeta.oebiotech.com/network/63663")</f>
        <v>http://funmeta.oebiotech.com/network/63663</v>
      </c>
      <c r="H3584" s="2" t="s">
        <v>23812</v>
      </c>
      <c r="I3584" s="2"/>
      <c r="J3584" s="2"/>
      <c r="K3584" s="2"/>
      <c r="L3584" s="2"/>
      <c r="M3584" s="2"/>
      <c r="N3584" s="2"/>
      <c r="O3584" s="2">
        <v>131752839</v>
      </c>
      <c r="P3584" s="2" t="s">
        <v>23813</v>
      </c>
      <c r="Q3584" s="2" t="s">
        <v>23814</v>
      </c>
      <c r="R3584" s="2" t="s">
        <v>23815</v>
      </c>
      <c r="S3584" s="2" t="s">
        <v>50</v>
      </c>
      <c r="T3584" s="2" t="s">
        <v>201</v>
      </c>
      <c r="U3584" s="2" t="s">
        <v>202</v>
      </c>
      <c r="V3584" s="2" t="s">
        <v>59</v>
      </c>
      <c r="W3584" s="2">
        <v>38.4</v>
      </c>
      <c r="X3584" s="2">
        <v>0</v>
      </c>
      <c r="Y3584" s="2" t="s">
        <v>340</v>
      </c>
      <c r="Z3584" s="2" t="s">
        <v>23816</v>
      </c>
      <c r="AA3584" s="2">
        <v>-1.2790441366773</v>
      </c>
      <c r="AB3584" s="2">
        <v>0.20556129158750799</v>
      </c>
      <c r="AC3584" s="2">
        <v>3141.0589469482602</v>
      </c>
      <c r="AD3584" s="2">
        <v>173.773455982191</v>
      </c>
      <c r="AE3584" s="2">
        <v>2256.3753417714902</v>
      </c>
      <c r="AF3584" s="2">
        <v>4222.0895155267599</v>
      </c>
      <c r="AG3584" s="2">
        <v>3177.37413978319</v>
      </c>
      <c r="AH3584" s="2">
        <v>3286.2767198629099</v>
      </c>
      <c r="AI3584" s="2">
        <v>1953.01462037436</v>
      </c>
      <c r="AJ3584" s="2">
        <v>3951.2233443708301</v>
      </c>
      <c r="AK3584" s="2">
        <v>318.59487088750899</v>
      </c>
      <c r="AL3584" s="2">
        <v>399.64903438069598</v>
      </c>
      <c r="AM3584" s="2">
        <v>2.7106294003980101E-5</v>
      </c>
      <c r="AN3584" s="2">
        <v>2.7106294003980101E-5</v>
      </c>
      <c r="AO3584" s="2">
        <v>2.7106294003980101E-5</v>
      </c>
      <c r="AP3584" s="2">
        <v>324.39674930605798</v>
      </c>
    </row>
    <row r="3585" spans="1:42" ht="14.5" x14ac:dyDescent="0.35">
      <c r="A3585" s="2" t="s">
        <v>23817</v>
      </c>
      <c r="B3585" s="2">
        <v>377.10646866526503</v>
      </c>
      <c r="C3585" s="2">
        <v>2.1595499999999999</v>
      </c>
      <c r="D3585" s="2" t="s">
        <v>70</v>
      </c>
      <c r="E3585" s="2" t="s">
        <v>23818</v>
      </c>
      <c r="F3585" s="2">
        <v>52732</v>
      </c>
      <c r="G3585" s="3" t="str">
        <f>HYPERLINK("http://funmeta.oebiotech.com/network/52732", "http://funmeta.oebiotech.com/network/52732")</f>
        <v>http://funmeta.oebiotech.com/network/52732</v>
      </c>
      <c r="H3585" s="2" t="s">
        <v>23819</v>
      </c>
      <c r="I3585" s="2">
        <v>1104</v>
      </c>
      <c r="J3585" s="2"/>
      <c r="K3585" s="2">
        <v>63681</v>
      </c>
      <c r="L3585" s="2" t="s">
        <v>23820</v>
      </c>
      <c r="M3585" s="2"/>
      <c r="N3585" s="2"/>
      <c r="O3585" s="2">
        <v>4046</v>
      </c>
      <c r="P3585" s="2" t="s">
        <v>23821</v>
      </c>
      <c r="Q3585" s="2" t="s">
        <v>23822</v>
      </c>
      <c r="R3585" s="2" t="s">
        <v>23823</v>
      </c>
      <c r="S3585" s="2" t="s">
        <v>491</v>
      </c>
      <c r="T3585" s="2" t="s">
        <v>1516</v>
      </c>
      <c r="U3585" s="2" t="s">
        <v>23824</v>
      </c>
      <c r="V3585" s="2" t="s">
        <v>59</v>
      </c>
      <c r="W3585" s="2">
        <v>38.4</v>
      </c>
      <c r="X3585" s="2">
        <v>7.99</v>
      </c>
      <c r="Y3585" s="2" t="s">
        <v>118</v>
      </c>
      <c r="Z3585" s="2" t="s">
        <v>23825</v>
      </c>
      <c r="AA3585" s="2">
        <v>-7.76840893595263</v>
      </c>
      <c r="AB3585" s="2">
        <v>0.20554983657067</v>
      </c>
      <c r="AC3585" s="2">
        <v>26142.8608034276</v>
      </c>
      <c r="AD3585" s="2">
        <v>29437.091062762102</v>
      </c>
      <c r="AE3585" s="2">
        <v>26051.593533127099</v>
      </c>
      <c r="AF3585" s="2">
        <v>24274.994551527401</v>
      </c>
      <c r="AG3585" s="2">
        <v>26902.530137595601</v>
      </c>
      <c r="AH3585" s="2">
        <v>25926.755774419398</v>
      </c>
      <c r="AI3585" s="2">
        <v>26162.6996489589</v>
      </c>
      <c r="AJ3585" s="2">
        <v>27538.591174936999</v>
      </c>
      <c r="AK3585" s="2">
        <v>29872.570418334901</v>
      </c>
      <c r="AL3585" s="2">
        <v>29815.956833294698</v>
      </c>
      <c r="AM3585" s="2">
        <v>28282.696495141401</v>
      </c>
      <c r="AN3585" s="2">
        <v>29002.836653128201</v>
      </c>
      <c r="AO3585" s="2">
        <v>28243.046090952699</v>
      </c>
      <c r="AP3585" s="2">
        <v>31405.439885720501</v>
      </c>
    </row>
    <row r="3586" spans="1:42" ht="14.5" x14ac:dyDescent="0.35">
      <c r="A3586" s="2" t="s">
        <v>23826</v>
      </c>
      <c r="B3586" s="2">
        <v>579.31463806154102</v>
      </c>
      <c r="C3586" s="2">
        <v>7.1405000000000003</v>
      </c>
      <c r="D3586" s="2" t="s">
        <v>70</v>
      </c>
      <c r="E3586" s="2" t="s">
        <v>23827</v>
      </c>
      <c r="F3586" s="2">
        <v>53520</v>
      </c>
      <c r="G3586" s="3" t="str">
        <f>HYPERLINK("http://funmeta.oebiotech.com/network/53520", "http://funmeta.oebiotech.com/network/53520")</f>
        <v>http://funmeta.oebiotech.com/network/53520</v>
      </c>
      <c r="H3586" s="2" t="s">
        <v>23828</v>
      </c>
      <c r="I3586" s="2">
        <v>44346</v>
      </c>
      <c r="J3586" s="2"/>
      <c r="K3586" s="2">
        <v>1002414</v>
      </c>
      <c r="L3586" s="2"/>
      <c r="M3586" s="2"/>
      <c r="N3586" s="2"/>
      <c r="O3586" s="2">
        <v>688561</v>
      </c>
      <c r="P3586" s="2" t="s">
        <v>23829</v>
      </c>
      <c r="Q3586" s="2" t="s">
        <v>23830</v>
      </c>
      <c r="R3586" s="2" t="s">
        <v>23831</v>
      </c>
      <c r="S3586" s="2" t="s">
        <v>491</v>
      </c>
      <c r="T3586" s="2" t="s">
        <v>1516</v>
      </c>
      <c r="U3586" s="2" t="s">
        <v>19544</v>
      </c>
      <c r="V3586" s="2" t="s">
        <v>59</v>
      </c>
      <c r="W3586" s="2">
        <v>37</v>
      </c>
      <c r="X3586" s="2">
        <v>0</v>
      </c>
      <c r="Y3586" s="2" t="s">
        <v>560</v>
      </c>
      <c r="Z3586" s="2" t="s">
        <v>23832</v>
      </c>
      <c r="AA3586" s="2">
        <v>-7.1867424295142799</v>
      </c>
      <c r="AB3586" s="2">
        <v>0.20524488950338901</v>
      </c>
      <c r="AC3586" s="2">
        <v>3540.7806406599798</v>
      </c>
      <c r="AD3586" s="2">
        <v>6506.2416449351304</v>
      </c>
      <c r="AE3586" s="2">
        <v>2473.8606966633001</v>
      </c>
      <c r="AF3586" s="2">
        <v>3521.64326351726</v>
      </c>
      <c r="AG3586" s="2">
        <v>4057.9683110409601</v>
      </c>
      <c r="AH3586" s="2">
        <v>3660.7899692891001</v>
      </c>
      <c r="AI3586" s="2">
        <v>2983.5105365990999</v>
      </c>
      <c r="AJ3586" s="2">
        <v>4546.9110668501598</v>
      </c>
      <c r="AK3586" s="2">
        <v>6703.8955832686397</v>
      </c>
      <c r="AL3586" s="2">
        <v>6337.8874655482296</v>
      </c>
      <c r="AM3586" s="2">
        <v>7284.8432056024803</v>
      </c>
      <c r="AN3586" s="2">
        <v>6522.38171967992</v>
      </c>
      <c r="AO3586" s="2">
        <v>5833.7965994835004</v>
      </c>
      <c r="AP3586" s="2">
        <v>6354.6452960279903</v>
      </c>
    </row>
    <row r="3587" spans="1:42" ht="14.5" x14ac:dyDescent="0.35">
      <c r="A3587" s="2" t="s">
        <v>23833</v>
      </c>
      <c r="B3587" s="2">
        <v>225.110129853361</v>
      </c>
      <c r="C3587" s="2">
        <v>4.2777833333333302</v>
      </c>
      <c r="D3587" s="2" t="s">
        <v>34</v>
      </c>
      <c r="E3587" s="2" t="s">
        <v>23834</v>
      </c>
      <c r="F3587" s="2">
        <v>2821</v>
      </c>
      <c r="G3587" s="3" t="str">
        <f>HYPERLINK("http://funmeta.oebiotech.com/network/2821", "http://funmeta.oebiotech.com/network/2821")</f>
        <v>http://funmeta.oebiotech.com/network/2821</v>
      </c>
      <c r="H3587" s="2" t="s">
        <v>23835</v>
      </c>
      <c r="I3587" s="2">
        <v>4240</v>
      </c>
      <c r="J3587" s="2" t="s">
        <v>23836</v>
      </c>
      <c r="K3587" s="2">
        <v>41865</v>
      </c>
      <c r="L3587" s="2" t="s">
        <v>23837</v>
      </c>
      <c r="M3587" s="2"/>
      <c r="N3587" s="2"/>
      <c r="O3587" s="2">
        <v>5192</v>
      </c>
      <c r="P3587" s="2" t="s">
        <v>23838</v>
      </c>
      <c r="Q3587" s="2" t="s">
        <v>23839</v>
      </c>
      <c r="R3587" s="2" t="s">
        <v>23840</v>
      </c>
      <c r="S3587" s="2" t="s">
        <v>50</v>
      </c>
      <c r="T3587" s="2" t="s">
        <v>229</v>
      </c>
      <c r="U3587" s="2" t="s">
        <v>433</v>
      </c>
      <c r="V3587" s="2" t="s">
        <v>59</v>
      </c>
      <c r="W3587" s="2">
        <v>38.1</v>
      </c>
      <c r="X3587" s="2">
        <v>0</v>
      </c>
      <c r="Y3587" s="2" t="s">
        <v>323</v>
      </c>
      <c r="Z3587" s="2" t="s">
        <v>18451</v>
      </c>
      <c r="AA3587" s="2">
        <v>1.9796004991140399</v>
      </c>
      <c r="AB3587" s="2">
        <v>0.205243729696032</v>
      </c>
      <c r="AC3587" s="2">
        <v>16773.057875291299</v>
      </c>
      <c r="AD3587" s="2">
        <v>20197.745959937401</v>
      </c>
      <c r="AE3587" s="2">
        <v>13821.973123464701</v>
      </c>
      <c r="AF3587" s="2">
        <v>17355.555802711799</v>
      </c>
      <c r="AG3587" s="2">
        <v>17931.0514432571</v>
      </c>
      <c r="AH3587" s="2">
        <v>15887.552869053899</v>
      </c>
      <c r="AI3587" s="2">
        <v>18015.763795675099</v>
      </c>
      <c r="AJ3587" s="2">
        <v>17626.4502175854</v>
      </c>
      <c r="AK3587" s="2">
        <v>21758.877446289502</v>
      </c>
      <c r="AL3587" s="2">
        <v>19465.269768696999</v>
      </c>
      <c r="AM3587" s="2">
        <v>21196.204377173399</v>
      </c>
      <c r="AN3587" s="2">
        <v>20125.118427154601</v>
      </c>
      <c r="AO3587" s="2">
        <v>18879.085230401201</v>
      </c>
      <c r="AP3587" s="2">
        <v>19761.920509908399</v>
      </c>
    </row>
    <row r="3588" spans="1:42" ht="14.5" x14ac:dyDescent="0.35">
      <c r="A3588" s="2" t="s">
        <v>23841</v>
      </c>
      <c r="B3588" s="2">
        <v>481.18911656156803</v>
      </c>
      <c r="C3588" s="2">
        <v>2.9590666666666698</v>
      </c>
      <c r="D3588" s="2" t="s">
        <v>34</v>
      </c>
      <c r="E3588" s="2" t="s">
        <v>23842</v>
      </c>
      <c r="F3588" s="2">
        <v>210930</v>
      </c>
      <c r="G3588" s="3" t="str">
        <f>HYPERLINK("http://funmeta.oebiotech.com/network/210930", "http://funmeta.oebiotech.com/network/210930")</f>
        <v>http://funmeta.oebiotech.com/network/210930</v>
      </c>
      <c r="H3588" s="2" t="s">
        <v>23843</v>
      </c>
      <c r="I3588" s="2"/>
      <c r="J3588" s="2"/>
      <c r="K3588" s="2"/>
      <c r="L3588" s="2"/>
      <c r="M3588" s="2"/>
      <c r="N3588" s="2"/>
      <c r="O3588" s="2"/>
      <c r="P3588" s="2"/>
      <c r="Q3588" s="2" t="s">
        <v>23844</v>
      </c>
      <c r="R3588" s="2" t="s">
        <v>23845</v>
      </c>
      <c r="S3588" s="2" t="s">
        <v>491</v>
      </c>
      <c r="T3588" s="2" t="s">
        <v>2251</v>
      </c>
      <c r="U3588" s="2" t="s">
        <v>2252</v>
      </c>
      <c r="V3588" s="2" t="s">
        <v>59</v>
      </c>
      <c r="W3588" s="2">
        <v>39.299999999999997</v>
      </c>
      <c r="X3588" s="2">
        <v>9.98</v>
      </c>
      <c r="Y3588" s="2" t="s">
        <v>340</v>
      </c>
      <c r="Z3588" s="2" t="s">
        <v>23846</v>
      </c>
      <c r="AA3588" s="2">
        <v>0.71377857320259097</v>
      </c>
      <c r="AB3588" s="2">
        <v>0.205030228436898</v>
      </c>
      <c r="AC3588" s="2">
        <v>64220.414257831901</v>
      </c>
      <c r="AD3588" s="2">
        <v>58972.164785959903</v>
      </c>
      <c r="AE3588" s="2">
        <v>60504.325071774503</v>
      </c>
      <c r="AF3588" s="2">
        <v>67585.982694346196</v>
      </c>
      <c r="AG3588" s="2">
        <v>64157.907569640804</v>
      </c>
      <c r="AH3588" s="2">
        <v>59363.650104806104</v>
      </c>
      <c r="AI3588" s="2">
        <v>66293.706770003002</v>
      </c>
      <c r="AJ3588" s="2">
        <v>67416.913336420606</v>
      </c>
      <c r="AK3588" s="2">
        <v>52942.409681355799</v>
      </c>
      <c r="AL3588" s="2">
        <v>65369.956148799203</v>
      </c>
      <c r="AM3588" s="2">
        <v>54318.123276296297</v>
      </c>
      <c r="AN3588" s="2">
        <v>65872.414949809099</v>
      </c>
      <c r="AO3588" s="2">
        <v>56932.1851597247</v>
      </c>
      <c r="AP3588" s="2">
        <v>58397.899499774197</v>
      </c>
    </row>
    <row r="3589" spans="1:42" ht="14.5" x14ac:dyDescent="0.35">
      <c r="A3589" s="2" t="s">
        <v>23847</v>
      </c>
      <c r="B3589" s="2">
        <v>525.16102467966402</v>
      </c>
      <c r="C3589" s="2">
        <v>4.0592666666666704</v>
      </c>
      <c r="D3589" s="2" t="s">
        <v>70</v>
      </c>
      <c r="E3589" s="2" t="s">
        <v>23848</v>
      </c>
      <c r="F3589" s="2">
        <v>59914</v>
      </c>
      <c r="G3589" s="3" t="str">
        <f>HYPERLINK("http://funmeta.oebiotech.com/network/59914", "http://funmeta.oebiotech.com/network/59914")</f>
        <v>http://funmeta.oebiotech.com/network/59914</v>
      </c>
      <c r="H3589" s="2" t="s">
        <v>23849</v>
      </c>
      <c r="I3589" s="2"/>
      <c r="J3589" s="2"/>
      <c r="K3589" s="2"/>
      <c r="L3589" s="2"/>
      <c r="M3589" s="2"/>
      <c r="N3589" s="2"/>
      <c r="O3589" s="2">
        <v>89887620</v>
      </c>
      <c r="P3589" s="2" t="s">
        <v>23850</v>
      </c>
      <c r="Q3589" s="2" t="s">
        <v>23851</v>
      </c>
      <c r="R3589" s="2" t="s">
        <v>23852</v>
      </c>
      <c r="S3589" s="2" t="s">
        <v>50</v>
      </c>
      <c r="T3589" s="2" t="s">
        <v>201</v>
      </c>
      <c r="U3589" s="2" t="s">
        <v>202</v>
      </c>
      <c r="V3589" s="2" t="s">
        <v>42</v>
      </c>
      <c r="W3589" s="2">
        <v>46.6</v>
      </c>
      <c r="X3589" s="2">
        <v>50.7</v>
      </c>
      <c r="Y3589" s="2" t="s">
        <v>118</v>
      </c>
      <c r="Z3589" s="2" t="s">
        <v>23853</v>
      </c>
      <c r="AA3589" s="2">
        <v>-0.645999571242034</v>
      </c>
      <c r="AB3589" s="2">
        <v>0.20498581287668499</v>
      </c>
      <c r="AC3589" s="2">
        <v>41528.023098546</v>
      </c>
      <c r="AD3589" s="2">
        <v>47367.3263051471</v>
      </c>
      <c r="AE3589" s="2">
        <v>34299.185838057201</v>
      </c>
      <c r="AF3589" s="2">
        <v>42127.265484668002</v>
      </c>
      <c r="AG3589" s="2">
        <v>50290.0904402991</v>
      </c>
      <c r="AH3589" s="2">
        <v>37450.417103916101</v>
      </c>
      <c r="AI3589" s="2">
        <v>39604.365112882602</v>
      </c>
      <c r="AJ3589" s="2">
        <v>45396.814611453199</v>
      </c>
      <c r="AK3589" s="2">
        <v>43451.777225609199</v>
      </c>
      <c r="AL3589" s="2">
        <v>39245.376117117499</v>
      </c>
      <c r="AM3589" s="2">
        <v>53993.588703597597</v>
      </c>
      <c r="AN3589" s="2">
        <v>55631.134134170999</v>
      </c>
      <c r="AO3589" s="2">
        <v>47160.358782137897</v>
      </c>
      <c r="AP3589" s="2">
        <v>44721.722868249199</v>
      </c>
    </row>
    <row r="3590" spans="1:42" ht="14.5" x14ac:dyDescent="0.35">
      <c r="A3590" s="2" t="s">
        <v>23854</v>
      </c>
      <c r="B3590" s="2">
        <v>523.39911733379301</v>
      </c>
      <c r="C3590" s="2">
        <v>11.9917833333333</v>
      </c>
      <c r="D3590" s="2" t="s">
        <v>34</v>
      </c>
      <c r="E3590" s="2" t="s">
        <v>23855</v>
      </c>
      <c r="F3590" s="2">
        <v>247604</v>
      </c>
      <c r="G3590" s="3" t="str">
        <f>HYPERLINK("http://funmeta.oebiotech.com/network/247604", "http://funmeta.oebiotech.com/network/247604")</f>
        <v>http://funmeta.oebiotech.com/network/247604</v>
      </c>
      <c r="H3590" s="2" t="s">
        <v>23856</v>
      </c>
      <c r="I3590" s="2"/>
      <c r="J3590" s="2"/>
      <c r="K3590" s="2"/>
      <c r="L3590" s="2"/>
      <c r="M3590" s="2"/>
      <c r="N3590" s="2"/>
      <c r="O3590" s="2"/>
      <c r="P3590" s="2"/>
      <c r="Q3590" s="2" t="s">
        <v>23857</v>
      </c>
      <c r="R3590" s="2" t="s">
        <v>23858</v>
      </c>
      <c r="S3590" s="2" t="s">
        <v>41</v>
      </c>
      <c r="T3590" s="2" t="s">
        <v>41</v>
      </c>
      <c r="U3590" s="2" t="s">
        <v>41</v>
      </c>
      <c r="V3590" s="2" t="s">
        <v>59</v>
      </c>
      <c r="W3590" s="2">
        <v>39.799999999999997</v>
      </c>
      <c r="X3590" s="2">
        <v>7.85</v>
      </c>
      <c r="Y3590" s="2" t="s">
        <v>394</v>
      </c>
      <c r="Z3590" s="2" t="s">
        <v>4709</v>
      </c>
      <c r="AA3590" s="2">
        <v>-0.38007345518601898</v>
      </c>
      <c r="AB3590" s="2">
        <v>0.20480659126553799</v>
      </c>
      <c r="AC3590" s="2">
        <v>10215.169703334301</v>
      </c>
      <c r="AD3590" s="2">
        <v>7085.6243303843703</v>
      </c>
      <c r="AE3590" s="2">
        <v>10747.099418228399</v>
      </c>
      <c r="AF3590" s="2">
        <v>9636.8915513708707</v>
      </c>
      <c r="AG3590" s="2">
        <v>9311.6812952493892</v>
      </c>
      <c r="AH3590" s="2">
        <v>9990.9875674900195</v>
      </c>
      <c r="AI3590" s="2">
        <v>9903.8758017851305</v>
      </c>
      <c r="AJ3590" s="2">
        <v>11700.482585882</v>
      </c>
      <c r="AK3590" s="2">
        <v>8387.7946390867801</v>
      </c>
      <c r="AL3590" s="2">
        <v>7092.0283358761299</v>
      </c>
      <c r="AM3590" s="2">
        <v>5454.7255166319101</v>
      </c>
      <c r="AN3590" s="2">
        <v>6548.26148599106</v>
      </c>
      <c r="AO3590" s="2">
        <v>7436.52768055669</v>
      </c>
      <c r="AP3590" s="2">
        <v>7594.4083241636399</v>
      </c>
    </row>
    <row r="3591" spans="1:42" ht="14.5" x14ac:dyDescent="0.35">
      <c r="A3591" s="2" t="s">
        <v>23859</v>
      </c>
      <c r="B3591" s="2">
        <v>391.19721137757602</v>
      </c>
      <c r="C3591" s="2">
        <v>6.0108166666666696</v>
      </c>
      <c r="D3591" s="2" t="s">
        <v>70</v>
      </c>
      <c r="E3591" s="2" t="s">
        <v>23860</v>
      </c>
      <c r="F3591" s="2">
        <v>2887</v>
      </c>
      <c r="G3591" s="3" t="str">
        <f>HYPERLINK("http://funmeta.oebiotech.com/network/2887", "http://funmeta.oebiotech.com/network/2887")</f>
        <v>http://funmeta.oebiotech.com/network/2887</v>
      </c>
      <c r="H3591" s="2"/>
      <c r="I3591" s="2">
        <v>45918</v>
      </c>
      <c r="J3591" s="2" t="s">
        <v>23861</v>
      </c>
      <c r="K3591" s="2">
        <v>15615</v>
      </c>
      <c r="L3591" s="2" t="s">
        <v>23862</v>
      </c>
      <c r="M3591" s="2"/>
      <c r="N3591" s="2"/>
      <c r="O3591" s="2">
        <v>5460247</v>
      </c>
      <c r="P3591" s="2"/>
      <c r="Q3591" s="2" t="s">
        <v>23863</v>
      </c>
      <c r="R3591" s="2" t="s">
        <v>23864</v>
      </c>
      <c r="S3591" s="2" t="s">
        <v>89</v>
      </c>
      <c r="T3591" s="2" t="s">
        <v>90</v>
      </c>
      <c r="U3591" s="2" t="s">
        <v>91</v>
      </c>
      <c r="V3591" s="2" t="s">
        <v>42</v>
      </c>
      <c r="W3591" s="2">
        <v>52</v>
      </c>
      <c r="X3591" s="2">
        <v>64.2</v>
      </c>
      <c r="Y3591" s="2" t="s">
        <v>408</v>
      </c>
      <c r="Z3591" s="2" t="s">
        <v>23865</v>
      </c>
      <c r="AA3591" s="2">
        <v>-0.41823165248246902</v>
      </c>
      <c r="AB3591" s="2">
        <v>0.20476245062300999</v>
      </c>
      <c r="AC3591" s="2">
        <v>2981.6190576368799</v>
      </c>
      <c r="AD3591" s="2">
        <v>81.354542471949898</v>
      </c>
      <c r="AE3591" s="2">
        <v>3214.7066761895599</v>
      </c>
      <c r="AF3591" s="2">
        <v>4116.3063591711398</v>
      </c>
      <c r="AG3591" s="2">
        <v>3187.72878855217</v>
      </c>
      <c r="AH3591" s="2">
        <v>2045.9834029840899</v>
      </c>
      <c r="AI3591" s="2">
        <v>3094.1226440396699</v>
      </c>
      <c r="AJ3591" s="2">
        <v>2230.86647488467</v>
      </c>
      <c r="AK3591" s="2">
        <v>226.37519395494499</v>
      </c>
      <c r="AL3591" s="2">
        <v>2.7106294003980101E-5</v>
      </c>
      <c r="AM3591" s="2">
        <v>186.95651758236701</v>
      </c>
      <c r="AN3591" s="2">
        <v>74.795461975505106</v>
      </c>
      <c r="AO3591" s="2">
        <v>2.7106294003980101E-5</v>
      </c>
      <c r="AP3591" s="2">
        <v>2.7106294003980101E-5</v>
      </c>
    </row>
    <row r="3592" spans="1:42" ht="14.5" x14ac:dyDescent="0.35">
      <c r="A3592" s="2" t="s">
        <v>23866</v>
      </c>
      <c r="B3592" s="2">
        <v>623.27004577445496</v>
      </c>
      <c r="C3592" s="2">
        <v>5.6390833333333301</v>
      </c>
      <c r="D3592" s="2" t="s">
        <v>34</v>
      </c>
      <c r="E3592" s="2" t="s">
        <v>23867</v>
      </c>
      <c r="F3592" s="2">
        <v>275756</v>
      </c>
      <c r="G3592" s="3" t="str">
        <f>HYPERLINK("http://funmeta.oebiotech.com/network/275756", "http://funmeta.oebiotech.com/network/275756")</f>
        <v>http://funmeta.oebiotech.com/network/275756</v>
      </c>
      <c r="H3592" s="2"/>
      <c r="I3592" s="2">
        <v>67128</v>
      </c>
      <c r="J3592" s="2"/>
      <c r="K3592" s="2"/>
      <c r="L3592" s="2" t="s">
        <v>23868</v>
      </c>
      <c r="M3592" s="2"/>
      <c r="N3592" s="2"/>
      <c r="O3592" s="2">
        <v>5281279</v>
      </c>
      <c r="P3592" s="2" t="s">
        <v>23869</v>
      </c>
      <c r="Q3592" s="2" t="s">
        <v>23870</v>
      </c>
      <c r="R3592" s="2" t="s">
        <v>23871</v>
      </c>
      <c r="S3592" s="2" t="s">
        <v>50</v>
      </c>
      <c r="T3592" s="2" t="s">
        <v>201</v>
      </c>
      <c r="U3592" s="2" t="s">
        <v>241</v>
      </c>
      <c r="V3592" s="2" t="s">
        <v>59</v>
      </c>
      <c r="W3592" s="2">
        <v>36.1</v>
      </c>
      <c r="X3592" s="2">
        <v>0</v>
      </c>
      <c r="Y3592" s="2" t="s">
        <v>340</v>
      </c>
      <c r="Z3592" s="2" t="s">
        <v>23872</v>
      </c>
      <c r="AA3592" s="2">
        <v>-4.9266380097072702</v>
      </c>
      <c r="AB3592" s="2">
        <v>0.20473977633422899</v>
      </c>
      <c r="AC3592" s="2">
        <v>10487.0981786473</v>
      </c>
      <c r="AD3592" s="2">
        <v>15621.2134594819</v>
      </c>
      <c r="AE3592" s="2">
        <v>15571.8289352756</v>
      </c>
      <c r="AF3592" s="2">
        <v>5556.1038804937198</v>
      </c>
      <c r="AG3592" s="2">
        <v>4467.4477380486496</v>
      </c>
      <c r="AH3592" s="2">
        <v>12249.0280109903</v>
      </c>
      <c r="AI3592" s="2">
        <v>13000.856674761</v>
      </c>
      <c r="AJ3592" s="2">
        <v>12077.3238323143</v>
      </c>
      <c r="AK3592" s="2">
        <v>16102.460516105901</v>
      </c>
      <c r="AL3592" s="2">
        <v>13262.4497462698</v>
      </c>
      <c r="AM3592" s="2">
        <v>22683.219743424299</v>
      </c>
      <c r="AN3592" s="2">
        <v>18619.144753128501</v>
      </c>
      <c r="AO3592" s="2">
        <v>13898.003959403</v>
      </c>
      <c r="AP3592" s="2">
        <v>9162.0020385598109</v>
      </c>
    </row>
    <row r="3593" spans="1:42" ht="14.5" x14ac:dyDescent="0.35">
      <c r="A3593" s="2" t="s">
        <v>23873</v>
      </c>
      <c r="B3593" s="2">
        <v>438.37872350200598</v>
      </c>
      <c r="C3593" s="2">
        <v>11.924616666666701</v>
      </c>
      <c r="D3593" s="2" t="s">
        <v>34</v>
      </c>
      <c r="E3593" s="2" t="s">
        <v>23874</v>
      </c>
      <c r="F3593" s="2">
        <v>95</v>
      </c>
      <c r="G3593" s="3" t="str">
        <f>HYPERLINK("http://funmeta.oebiotech.com/network/95", "http://funmeta.oebiotech.com/network/95")</f>
        <v>http://funmeta.oebiotech.com/network/95</v>
      </c>
      <c r="H3593" s="2"/>
      <c r="I3593" s="2"/>
      <c r="J3593" s="2" t="s">
        <v>23875</v>
      </c>
      <c r="K3593" s="2"/>
      <c r="L3593" s="2"/>
      <c r="M3593" s="2"/>
      <c r="N3593" s="2"/>
      <c r="O3593" s="2">
        <v>44256495</v>
      </c>
      <c r="P3593" s="2"/>
      <c r="Q3593" s="2" t="s">
        <v>23876</v>
      </c>
      <c r="R3593" s="2" t="s">
        <v>23877</v>
      </c>
      <c r="S3593" s="2" t="s">
        <v>50</v>
      </c>
      <c r="T3593" s="2" t="s">
        <v>229</v>
      </c>
      <c r="U3593" s="2" t="s">
        <v>433</v>
      </c>
      <c r="V3593" s="2" t="s">
        <v>59</v>
      </c>
      <c r="W3593" s="2">
        <v>38.200000000000003</v>
      </c>
      <c r="X3593" s="2">
        <v>0</v>
      </c>
      <c r="Y3593" s="2" t="s">
        <v>340</v>
      </c>
      <c r="Z3593" s="2" t="s">
        <v>23878</v>
      </c>
      <c r="AA3593" s="2">
        <v>1.07107892106795E-2</v>
      </c>
      <c r="AB3593" s="2">
        <v>0.20468375065612701</v>
      </c>
      <c r="AC3593" s="2">
        <v>4376.3509526080397</v>
      </c>
      <c r="AD3593" s="2">
        <v>1535.5889948261199</v>
      </c>
      <c r="AE3593" s="2">
        <v>4487.4546600775202</v>
      </c>
      <c r="AF3593" s="2">
        <v>4322.8174776726501</v>
      </c>
      <c r="AG3593" s="2">
        <v>5193.8299709621197</v>
      </c>
      <c r="AH3593" s="2">
        <v>4045.6505690990698</v>
      </c>
      <c r="AI3593" s="2">
        <v>4202.6076520258803</v>
      </c>
      <c r="AJ3593" s="2">
        <v>4005.7453858109998</v>
      </c>
      <c r="AK3593" s="2">
        <v>1100.22508647942</v>
      </c>
      <c r="AL3593" s="2">
        <v>1512.67686479488</v>
      </c>
      <c r="AM3593" s="2">
        <v>1134.3560600819401</v>
      </c>
      <c r="AN3593" s="2">
        <v>1974.46045383399</v>
      </c>
      <c r="AO3593" s="2">
        <v>1973.82867848</v>
      </c>
      <c r="AP3593" s="2">
        <v>1517.9868252865199</v>
      </c>
    </row>
    <row r="3594" spans="1:42" ht="14.5" x14ac:dyDescent="0.35">
      <c r="A3594" s="2" t="s">
        <v>23879</v>
      </c>
      <c r="B3594" s="2">
        <v>406.11083955816503</v>
      </c>
      <c r="C3594" s="2">
        <v>4.1056666666666697</v>
      </c>
      <c r="D3594" s="2" t="s">
        <v>34</v>
      </c>
      <c r="E3594" s="2" t="s">
        <v>23880</v>
      </c>
      <c r="F3594" s="2">
        <v>47867</v>
      </c>
      <c r="G3594" s="3" t="str">
        <f>HYPERLINK("http://funmeta.oebiotech.com/network/47867", "http://funmeta.oebiotech.com/network/47867")</f>
        <v>http://funmeta.oebiotech.com/network/47867</v>
      </c>
      <c r="H3594" s="2" t="s">
        <v>23881</v>
      </c>
      <c r="I3594" s="2">
        <v>58108</v>
      </c>
      <c r="J3594" s="2"/>
      <c r="K3594" s="2">
        <v>172599</v>
      </c>
      <c r="L3594" s="2"/>
      <c r="M3594" s="2"/>
      <c r="N3594" s="2"/>
      <c r="O3594" s="2">
        <v>22833588</v>
      </c>
      <c r="P3594" s="2" t="s">
        <v>23882</v>
      </c>
      <c r="Q3594" s="2" t="s">
        <v>23883</v>
      </c>
      <c r="R3594" s="2" t="s">
        <v>23884</v>
      </c>
      <c r="S3594" s="2" t="s">
        <v>50</v>
      </c>
      <c r="T3594" s="2" t="s">
        <v>229</v>
      </c>
      <c r="U3594" s="2" t="s">
        <v>230</v>
      </c>
      <c r="V3594" s="2" t="s">
        <v>59</v>
      </c>
      <c r="W3594" s="2">
        <v>39.200000000000003</v>
      </c>
      <c r="X3594" s="2">
        <v>0</v>
      </c>
      <c r="Y3594" s="2" t="s">
        <v>340</v>
      </c>
      <c r="Z3594" s="2" t="s">
        <v>23885</v>
      </c>
      <c r="AA3594" s="2">
        <v>-0.44811371409128697</v>
      </c>
      <c r="AB3594" s="2">
        <v>0.204566025155451</v>
      </c>
      <c r="AC3594" s="2">
        <v>14096.5397620186</v>
      </c>
      <c r="AD3594" s="2">
        <v>17147.071264317801</v>
      </c>
      <c r="AE3594" s="2">
        <v>13443.3640810787</v>
      </c>
      <c r="AF3594" s="2">
        <v>14072.507213803199</v>
      </c>
      <c r="AG3594" s="2">
        <v>13543.104690816899</v>
      </c>
      <c r="AH3594" s="2">
        <v>13494.4155729799</v>
      </c>
      <c r="AI3594" s="2">
        <v>15387.3076662519</v>
      </c>
      <c r="AJ3594" s="2">
        <v>14638.5393471812</v>
      </c>
      <c r="AK3594" s="2">
        <v>16319.133976036999</v>
      </c>
      <c r="AL3594" s="2">
        <v>16028.4945008834</v>
      </c>
      <c r="AM3594" s="2">
        <v>17862.778601310201</v>
      </c>
      <c r="AN3594" s="2">
        <v>18227.371779020901</v>
      </c>
      <c r="AO3594" s="2">
        <v>16694.632221865901</v>
      </c>
      <c r="AP3594" s="2">
        <v>17750.0165067897</v>
      </c>
    </row>
    <row r="3595" spans="1:42" ht="14.5" x14ac:dyDescent="0.35">
      <c r="A3595" s="2" t="s">
        <v>23886</v>
      </c>
      <c r="B3595" s="2">
        <v>369.16913970623699</v>
      </c>
      <c r="C3595" s="2">
        <v>9.6898833333333307</v>
      </c>
      <c r="D3595" s="2" t="s">
        <v>34</v>
      </c>
      <c r="E3595" s="2" t="s">
        <v>23887</v>
      </c>
      <c r="F3595" s="2">
        <v>34865</v>
      </c>
      <c r="G3595" s="3" t="str">
        <f>HYPERLINK("http://funmeta.oebiotech.com/network/34865", "http://funmeta.oebiotech.com/network/34865")</f>
        <v>http://funmeta.oebiotech.com/network/34865</v>
      </c>
      <c r="H3595" s="2"/>
      <c r="I3595" s="2">
        <v>53174</v>
      </c>
      <c r="J3595" s="2" t="s">
        <v>23888</v>
      </c>
      <c r="K3595" s="2"/>
      <c r="L3595" s="2"/>
      <c r="M3595" s="2"/>
      <c r="N3595" s="2"/>
      <c r="O3595" s="2">
        <v>42608132</v>
      </c>
      <c r="P3595" s="2"/>
      <c r="Q3595" s="2" t="s">
        <v>23889</v>
      </c>
      <c r="R3595" s="2" t="s">
        <v>23890</v>
      </c>
      <c r="S3595" s="2" t="s">
        <v>491</v>
      </c>
      <c r="T3595" s="2" t="s">
        <v>23891</v>
      </c>
      <c r="U3595" s="2" t="s">
        <v>41</v>
      </c>
      <c r="V3595" s="2" t="s">
        <v>42</v>
      </c>
      <c r="W3595" s="2">
        <v>50.3</v>
      </c>
      <c r="X3595" s="2">
        <v>61.1</v>
      </c>
      <c r="Y3595" s="2" t="s">
        <v>394</v>
      </c>
      <c r="Z3595" s="2" t="s">
        <v>23892</v>
      </c>
      <c r="AA3595" s="2">
        <v>-1.3868697060773301</v>
      </c>
      <c r="AB3595" s="2">
        <v>0.20452449105144799</v>
      </c>
      <c r="AC3595" s="2">
        <v>7740.8301513264496</v>
      </c>
      <c r="AD3595" s="2">
        <v>4882.9410395029599</v>
      </c>
      <c r="AE3595" s="2">
        <v>7316.4170882683902</v>
      </c>
      <c r="AF3595" s="2">
        <v>7511.9608295558701</v>
      </c>
      <c r="AG3595" s="2">
        <v>8494.2166058024595</v>
      </c>
      <c r="AH3595" s="2">
        <v>7458.58559225917</v>
      </c>
      <c r="AI3595" s="2">
        <v>7486.3146072989002</v>
      </c>
      <c r="AJ3595" s="2">
        <v>8177.4861847739203</v>
      </c>
      <c r="AK3595" s="2">
        <v>4831.4912457043802</v>
      </c>
      <c r="AL3595" s="2">
        <v>5659.6237966049202</v>
      </c>
      <c r="AM3595" s="2">
        <v>4572.5460752881399</v>
      </c>
      <c r="AN3595" s="2">
        <v>4259.9671558822902</v>
      </c>
      <c r="AO3595" s="2">
        <v>4870.4013319939204</v>
      </c>
      <c r="AP3595" s="2">
        <v>5103.6166315441296</v>
      </c>
    </row>
    <row r="3596" spans="1:42" ht="14.5" x14ac:dyDescent="0.35">
      <c r="A3596" s="2" t="s">
        <v>23893</v>
      </c>
      <c r="B3596" s="2">
        <v>273.076605127623</v>
      </c>
      <c r="C3596" s="2">
        <v>4.3994166666666699</v>
      </c>
      <c r="D3596" s="2" t="s">
        <v>70</v>
      </c>
      <c r="E3596" s="2" t="s">
        <v>23894</v>
      </c>
      <c r="F3596" s="2">
        <v>53616</v>
      </c>
      <c r="G3596" s="3" t="str">
        <f>HYPERLINK("http://funmeta.oebiotech.com/network/53616", "http://funmeta.oebiotech.com/network/53616")</f>
        <v>http://funmeta.oebiotech.com/network/53616</v>
      </c>
      <c r="H3596" s="2" t="s">
        <v>23895</v>
      </c>
      <c r="I3596" s="2">
        <v>43364</v>
      </c>
      <c r="J3596" s="2"/>
      <c r="K3596" s="2">
        <v>28329</v>
      </c>
      <c r="L3596" s="2" t="s">
        <v>23896</v>
      </c>
      <c r="M3596" s="2"/>
      <c r="N3596" s="2"/>
      <c r="O3596" s="2">
        <v>5585</v>
      </c>
      <c r="P3596" s="2" t="s">
        <v>23897</v>
      </c>
      <c r="Q3596" s="2" t="s">
        <v>23898</v>
      </c>
      <c r="R3596" s="2" t="s">
        <v>23899</v>
      </c>
      <c r="S3596" s="2" t="s">
        <v>115</v>
      </c>
      <c r="T3596" s="2" t="s">
        <v>758</v>
      </c>
      <c r="U3596" s="2" t="s">
        <v>1477</v>
      </c>
      <c r="V3596" s="2" t="s">
        <v>59</v>
      </c>
      <c r="W3596" s="2">
        <v>39</v>
      </c>
      <c r="X3596" s="2">
        <v>0</v>
      </c>
      <c r="Y3596" s="2" t="s">
        <v>408</v>
      </c>
      <c r="Z3596" s="2" t="s">
        <v>18659</v>
      </c>
      <c r="AA3596" s="2">
        <v>-1.06097569080285</v>
      </c>
      <c r="AB3596" s="2">
        <v>0.204491753483659</v>
      </c>
      <c r="AC3596" s="2">
        <v>7979.8147331768196</v>
      </c>
      <c r="AD3596" s="2">
        <v>5059.9190282659902</v>
      </c>
      <c r="AE3596" s="2">
        <v>7525.1720269031402</v>
      </c>
      <c r="AF3596" s="2">
        <v>7334.8925668481097</v>
      </c>
      <c r="AG3596" s="2">
        <v>7875.2966425579398</v>
      </c>
      <c r="AH3596" s="2">
        <v>8720.0500944796804</v>
      </c>
      <c r="AI3596" s="2">
        <v>8384.7226539403691</v>
      </c>
      <c r="AJ3596" s="2">
        <v>8038.7544143317</v>
      </c>
      <c r="AK3596" s="2">
        <v>6074.9525845494099</v>
      </c>
      <c r="AL3596" s="2">
        <v>4994.1339674317696</v>
      </c>
      <c r="AM3596" s="2">
        <v>4909.3440485553001</v>
      </c>
      <c r="AN3596" s="2">
        <v>4110.06664917747</v>
      </c>
      <c r="AO3596" s="2">
        <v>5189.8760790918795</v>
      </c>
      <c r="AP3596" s="2">
        <v>5081.1408407900999</v>
      </c>
    </row>
    <row r="3597" spans="1:42" ht="14.5" x14ac:dyDescent="0.35">
      <c r="A3597" s="2" t="s">
        <v>23900</v>
      </c>
      <c r="B3597" s="2">
        <v>395.20662053498103</v>
      </c>
      <c r="C3597" s="2">
        <v>4.0778333333333299</v>
      </c>
      <c r="D3597" s="2" t="s">
        <v>70</v>
      </c>
      <c r="E3597" s="2" t="s">
        <v>23901</v>
      </c>
      <c r="F3597" s="2">
        <v>3658</v>
      </c>
      <c r="G3597" s="3" t="str">
        <f>HYPERLINK("http://funmeta.oebiotech.com/network/3658", "http://funmeta.oebiotech.com/network/3658")</f>
        <v>http://funmeta.oebiotech.com/network/3658</v>
      </c>
      <c r="H3597" s="2" t="s">
        <v>23902</v>
      </c>
      <c r="I3597" s="2">
        <v>2309</v>
      </c>
      <c r="J3597" s="2" t="s">
        <v>23903</v>
      </c>
      <c r="K3597" s="2">
        <v>15547</v>
      </c>
      <c r="L3597" s="2" t="s">
        <v>23904</v>
      </c>
      <c r="M3597" s="2"/>
      <c r="N3597" s="2"/>
      <c r="O3597" s="2">
        <v>5280719</v>
      </c>
      <c r="P3597" s="2" t="s">
        <v>23905</v>
      </c>
      <c r="Q3597" s="2" t="s">
        <v>23906</v>
      </c>
      <c r="R3597" s="2" t="s">
        <v>23907</v>
      </c>
      <c r="S3597" s="2" t="s">
        <v>50</v>
      </c>
      <c r="T3597" s="2" t="s">
        <v>229</v>
      </c>
      <c r="U3597" s="2" t="s">
        <v>766</v>
      </c>
      <c r="V3597" s="2" t="s">
        <v>59</v>
      </c>
      <c r="W3597" s="2">
        <v>38.5</v>
      </c>
      <c r="X3597" s="2">
        <v>0</v>
      </c>
      <c r="Y3597" s="2" t="s">
        <v>408</v>
      </c>
      <c r="Z3597" s="2" t="s">
        <v>23908</v>
      </c>
      <c r="AA3597" s="2">
        <v>-2.58815187570988</v>
      </c>
      <c r="AB3597" s="2">
        <v>0.20442210822659401</v>
      </c>
      <c r="AC3597" s="2">
        <v>8956.21707885875</v>
      </c>
      <c r="AD3597" s="2">
        <v>12061.5416584996</v>
      </c>
      <c r="AE3597" s="2">
        <v>8974.9695573964891</v>
      </c>
      <c r="AF3597" s="2">
        <v>8603.7689223538691</v>
      </c>
      <c r="AG3597" s="2">
        <v>10306.0547209753</v>
      </c>
      <c r="AH3597" s="2">
        <v>8017.2872024459202</v>
      </c>
      <c r="AI3597" s="2">
        <v>8546.78484006285</v>
      </c>
      <c r="AJ3597" s="2">
        <v>9288.4372299180595</v>
      </c>
      <c r="AK3597" s="2">
        <v>13188.2151625549</v>
      </c>
      <c r="AL3597" s="2">
        <v>12863.2272610287</v>
      </c>
      <c r="AM3597" s="2">
        <v>12703.828880588</v>
      </c>
      <c r="AN3597" s="2">
        <v>11405.7515167036</v>
      </c>
      <c r="AO3597" s="2">
        <v>11323.3249463254</v>
      </c>
      <c r="AP3597" s="2">
        <v>10884.902183797099</v>
      </c>
    </row>
    <row r="3598" spans="1:42" ht="14.5" x14ac:dyDescent="0.35">
      <c r="A3598" s="2" t="s">
        <v>23909</v>
      </c>
      <c r="B3598" s="2">
        <v>531.27172855353001</v>
      </c>
      <c r="C3598" s="2">
        <v>11.3090333333333</v>
      </c>
      <c r="D3598" s="2" t="s">
        <v>34</v>
      </c>
      <c r="E3598" s="2" t="s">
        <v>23910</v>
      </c>
      <c r="F3598" s="2">
        <v>23692</v>
      </c>
      <c r="G3598" s="3" t="str">
        <f>HYPERLINK("http://funmeta.oebiotech.com/network/23692", "http://funmeta.oebiotech.com/network/23692")</f>
        <v>http://funmeta.oebiotech.com/network/23692</v>
      </c>
      <c r="H3598" s="2"/>
      <c r="I3598" s="2">
        <v>80018</v>
      </c>
      <c r="J3598" s="2" t="s">
        <v>23911</v>
      </c>
      <c r="K3598" s="2"/>
      <c r="L3598" s="2"/>
      <c r="M3598" s="2"/>
      <c r="N3598" s="2"/>
      <c r="O3598" s="2">
        <v>52927453</v>
      </c>
      <c r="P3598" s="2"/>
      <c r="Q3598" s="2" t="s">
        <v>23912</v>
      </c>
      <c r="R3598" s="2" t="s">
        <v>23913</v>
      </c>
      <c r="S3598" s="2" t="s">
        <v>50</v>
      </c>
      <c r="T3598" s="2" t="s">
        <v>51</v>
      </c>
      <c r="U3598" s="2" t="s">
        <v>738</v>
      </c>
      <c r="V3598" s="2" t="s">
        <v>59</v>
      </c>
      <c r="W3598" s="2">
        <v>44.7</v>
      </c>
      <c r="X3598" s="2">
        <v>27.3</v>
      </c>
      <c r="Y3598" s="2" t="s">
        <v>394</v>
      </c>
      <c r="Z3598" s="2" t="s">
        <v>23914</v>
      </c>
      <c r="AA3598" s="2">
        <v>-3.2933604876258002E-2</v>
      </c>
      <c r="AB3598" s="2">
        <v>0.20434795936337499</v>
      </c>
      <c r="AC3598" s="2">
        <v>7659.6760211868004</v>
      </c>
      <c r="AD3598" s="2">
        <v>10724.0442460206</v>
      </c>
      <c r="AE3598" s="2">
        <v>8275.1619214613092</v>
      </c>
      <c r="AF3598" s="2">
        <v>7387.9261005934004</v>
      </c>
      <c r="AG3598" s="2">
        <v>8014.4359965712101</v>
      </c>
      <c r="AH3598" s="2">
        <v>7240.6340888243803</v>
      </c>
      <c r="AI3598" s="2">
        <v>7255.1677578443196</v>
      </c>
      <c r="AJ3598" s="2">
        <v>7784.7302618261701</v>
      </c>
      <c r="AK3598" s="2">
        <v>9755.3098883393595</v>
      </c>
      <c r="AL3598" s="2">
        <v>10490.805050561799</v>
      </c>
      <c r="AM3598" s="2">
        <v>10315.9046768197</v>
      </c>
      <c r="AN3598" s="2">
        <v>10106.7467038575</v>
      </c>
      <c r="AO3598" s="2">
        <v>10867.5667725446</v>
      </c>
      <c r="AP3598" s="2">
        <v>12807.9323840004</v>
      </c>
    </row>
    <row r="3599" spans="1:42" ht="14.5" x14ac:dyDescent="0.35">
      <c r="A3599" s="2" t="s">
        <v>23915</v>
      </c>
      <c r="B3599" s="2">
        <v>172.169462879121</v>
      </c>
      <c r="C3599" s="2">
        <v>8.8588333333333296</v>
      </c>
      <c r="D3599" s="2" t="s">
        <v>34</v>
      </c>
      <c r="E3599" s="2" t="s">
        <v>23916</v>
      </c>
      <c r="F3599" s="2">
        <v>255551</v>
      </c>
      <c r="G3599" s="3" t="str">
        <f>HYPERLINK("http://funmeta.oebiotech.com/network/255551", "http://funmeta.oebiotech.com/network/255551")</f>
        <v>http://funmeta.oebiotech.com/network/255551</v>
      </c>
      <c r="H3599" s="2" t="s">
        <v>23917</v>
      </c>
      <c r="I3599" s="2"/>
      <c r="J3599" s="2"/>
      <c r="K3599" s="2"/>
      <c r="L3599" s="2"/>
      <c r="M3599" s="2"/>
      <c r="N3599" s="2"/>
      <c r="O3599" s="2">
        <v>5319367</v>
      </c>
      <c r="P3599" s="2"/>
      <c r="Q3599" s="2" t="s">
        <v>23918</v>
      </c>
      <c r="R3599" s="2" t="s">
        <v>23919</v>
      </c>
      <c r="S3599" s="2" t="s">
        <v>50</v>
      </c>
      <c r="T3599" s="2" t="s">
        <v>201</v>
      </c>
      <c r="U3599" s="2" t="s">
        <v>265</v>
      </c>
      <c r="V3599" s="2" t="s">
        <v>59</v>
      </c>
      <c r="W3599" s="2">
        <v>42.7</v>
      </c>
      <c r="X3599" s="2">
        <v>16.100000000000001</v>
      </c>
      <c r="Y3599" s="2" t="s">
        <v>43</v>
      </c>
      <c r="Z3599" s="2" t="s">
        <v>23920</v>
      </c>
      <c r="AA3599" s="2">
        <v>-0.82944863091355903</v>
      </c>
      <c r="AB3599" s="2">
        <v>0.204310231934275</v>
      </c>
      <c r="AC3599" s="2">
        <v>16204.3045744099</v>
      </c>
      <c r="AD3599" s="2">
        <v>19869.555346962501</v>
      </c>
      <c r="AE3599" s="2">
        <v>17293.367089667401</v>
      </c>
      <c r="AF3599" s="2">
        <v>13979.706247144901</v>
      </c>
      <c r="AG3599" s="2">
        <v>14743.314491822999</v>
      </c>
      <c r="AH3599" s="2">
        <v>16902.218559999499</v>
      </c>
      <c r="AI3599" s="2">
        <v>17447.902084925601</v>
      </c>
      <c r="AJ3599" s="2">
        <v>16859.3189728992</v>
      </c>
      <c r="AK3599" s="2">
        <v>21066.121762627401</v>
      </c>
      <c r="AL3599" s="2">
        <v>23128.138854773399</v>
      </c>
      <c r="AM3599" s="2">
        <v>18476.9208452282</v>
      </c>
      <c r="AN3599" s="2">
        <v>19082.482860556898</v>
      </c>
      <c r="AO3599" s="2">
        <v>17335.021452919402</v>
      </c>
      <c r="AP3599" s="2">
        <v>20128.646305669601</v>
      </c>
    </row>
    <row r="3600" spans="1:42" ht="14.5" x14ac:dyDescent="0.35">
      <c r="A3600" s="2" t="s">
        <v>23921</v>
      </c>
      <c r="B3600" s="2">
        <v>407.24084637180601</v>
      </c>
      <c r="C3600" s="2">
        <v>10.0942333333333</v>
      </c>
      <c r="D3600" s="2" t="s">
        <v>34</v>
      </c>
      <c r="E3600" s="2" t="s">
        <v>23922</v>
      </c>
      <c r="F3600" s="2">
        <v>52721</v>
      </c>
      <c r="G3600" s="3" t="str">
        <f>HYPERLINK("http://funmeta.oebiotech.com/network/52721", "http://funmeta.oebiotech.com/network/52721")</f>
        <v>http://funmeta.oebiotech.com/network/52721</v>
      </c>
      <c r="H3600" s="2" t="s">
        <v>23923</v>
      </c>
      <c r="I3600" s="2">
        <v>858</v>
      </c>
      <c r="J3600" s="2"/>
      <c r="K3600" s="2">
        <v>51141</v>
      </c>
      <c r="L3600" s="2"/>
      <c r="M3600" s="2"/>
      <c r="N3600" s="2"/>
      <c r="O3600" s="2">
        <v>2092</v>
      </c>
      <c r="P3600" s="2" t="s">
        <v>23924</v>
      </c>
      <c r="Q3600" s="2" t="s">
        <v>23925</v>
      </c>
      <c r="R3600" s="2" t="s">
        <v>23926</v>
      </c>
      <c r="S3600" s="2" t="s">
        <v>491</v>
      </c>
      <c r="T3600" s="2" t="s">
        <v>3019</v>
      </c>
      <c r="U3600" s="2" t="s">
        <v>3020</v>
      </c>
      <c r="V3600" s="2" t="s">
        <v>59</v>
      </c>
      <c r="W3600" s="2">
        <v>38.200000000000003</v>
      </c>
      <c r="X3600" s="2">
        <v>0</v>
      </c>
      <c r="Y3600" s="2" t="s">
        <v>43</v>
      </c>
      <c r="Z3600" s="2" t="s">
        <v>23927</v>
      </c>
      <c r="AA3600" s="2">
        <v>1.8408583512773899</v>
      </c>
      <c r="AB3600" s="2">
        <v>0.20424837341125299</v>
      </c>
      <c r="AC3600" s="2">
        <v>3818.5178418587002</v>
      </c>
      <c r="AD3600" s="2">
        <v>1046.15628587935</v>
      </c>
      <c r="AE3600" s="2">
        <v>3944.1157690343398</v>
      </c>
      <c r="AF3600" s="2">
        <v>3521.3541569311501</v>
      </c>
      <c r="AG3600" s="2">
        <v>3425.8350850061302</v>
      </c>
      <c r="AH3600" s="2">
        <v>3843.3856443985401</v>
      </c>
      <c r="AI3600" s="2">
        <v>3878.8034457938002</v>
      </c>
      <c r="AJ3600" s="2">
        <v>4297.61294998825</v>
      </c>
      <c r="AK3600" s="2">
        <v>1168.72528351354</v>
      </c>
      <c r="AL3600" s="2">
        <v>1156.7726945602301</v>
      </c>
      <c r="AM3600" s="2">
        <v>1049.0056853410699</v>
      </c>
      <c r="AN3600" s="2">
        <v>965.09459415734796</v>
      </c>
      <c r="AO3600" s="2">
        <v>1068.8248239183099</v>
      </c>
      <c r="AP3600" s="2">
        <v>868.51463378561596</v>
      </c>
    </row>
    <row r="3601" spans="1:42" ht="14.5" x14ac:dyDescent="0.35">
      <c r="A3601" s="2" t="s">
        <v>23928</v>
      </c>
      <c r="B3601" s="2">
        <v>389.19539870953798</v>
      </c>
      <c r="C3601" s="2">
        <v>9.1582833333333298</v>
      </c>
      <c r="D3601" s="2" t="s">
        <v>34</v>
      </c>
      <c r="E3601" s="2" t="s">
        <v>23929</v>
      </c>
      <c r="F3601" s="2">
        <v>203165</v>
      </c>
      <c r="G3601" s="3" t="str">
        <f>HYPERLINK("http://funmeta.oebiotech.com/network/203165", "http://funmeta.oebiotech.com/network/203165")</f>
        <v>http://funmeta.oebiotech.com/network/203165</v>
      </c>
      <c r="H3601" s="2" t="s">
        <v>23930</v>
      </c>
      <c r="I3601" s="2"/>
      <c r="J3601" s="2"/>
      <c r="K3601" s="2"/>
      <c r="L3601" s="2"/>
      <c r="M3601" s="2"/>
      <c r="N3601" s="2"/>
      <c r="O3601" s="2">
        <v>13669364</v>
      </c>
      <c r="P3601" s="2"/>
      <c r="Q3601" s="2" t="s">
        <v>23931</v>
      </c>
      <c r="R3601" s="2" t="s">
        <v>23932</v>
      </c>
      <c r="S3601" s="2" t="s">
        <v>41</v>
      </c>
      <c r="T3601" s="2" t="s">
        <v>41</v>
      </c>
      <c r="U3601" s="2" t="s">
        <v>41</v>
      </c>
      <c r="V3601" s="2" t="s">
        <v>59</v>
      </c>
      <c r="W3601" s="2">
        <v>38.9</v>
      </c>
      <c r="X3601" s="2">
        <v>0</v>
      </c>
      <c r="Y3601" s="2" t="s">
        <v>340</v>
      </c>
      <c r="Z3601" s="2" t="s">
        <v>23933</v>
      </c>
      <c r="AA3601" s="2">
        <v>1.2842625062673401</v>
      </c>
      <c r="AB3601" s="2">
        <v>0.20424301226782501</v>
      </c>
      <c r="AC3601" s="2">
        <v>10885.280089518001</v>
      </c>
      <c r="AD3601" s="2">
        <v>7913.7943932461003</v>
      </c>
      <c r="AE3601" s="2">
        <v>10023.4581056265</v>
      </c>
      <c r="AF3601" s="2">
        <v>11413.6696258343</v>
      </c>
      <c r="AG3601" s="2">
        <v>11781.372512759401</v>
      </c>
      <c r="AH3601" s="2">
        <v>10316.4436154299</v>
      </c>
      <c r="AI3601" s="2">
        <v>9917.7855264078498</v>
      </c>
      <c r="AJ3601" s="2">
        <v>11858.9511510501</v>
      </c>
      <c r="AK3601" s="2">
        <v>7617.5863369192703</v>
      </c>
      <c r="AL3601" s="2">
        <v>8683.3899090474497</v>
      </c>
      <c r="AM3601" s="2">
        <v>8099.30163250445</v>
      </c>
      <c r="AN3601" s="2">
        <v>7268.4654944341601</v>
      </c>
      <c r="AO3601" s="2">
        <v>7904.9469689735297</v>
      </c>
      <c r="AP3601" s="2">
        <v>7909.0760175977703</v>
      </c>
    </row>
    <row r="3602" spans="1:42" ht="14.5" x14ac:dyDescent="0.35">
      <c r="A3602" s="2" t="s">
        <v>23934</v>
      </c>
      <c r="B3602" s="2">
        <v>445.19301755760199</v>
      </c>
      <c r="C3602" s="2">
        <v>3.6357833333333298</v>
      </c>
      <c r="D3602" s="2" t="s">
        <v>70</v>
      </c>
      <c r="E3602" s="2" t="s">
        <v>23935</v>
      </c>
      <c r="F3602" s="2">
        <v>200418</v>
      </c>
      <c r="G3602" s="3" t="str">
        <f>HYPERLINK("http://funmeta.oebiotech.com/network/200418", "http://funmeta.oebiotech.com/network/200418")</f>
        <v>http://funmeta.oebiotech.com/network/200418</v>
      </c>
      <c r="H3602" s="2" t="s">
        <v>23936</v>
      </c>
      <c r="I3602" s="2"/>
      <c r="J3602" s="2"/>
      <c r="K3602" s="2">
        <v>17356</v>
      </c>
      <c r="L3602" s="2" t="s">
        <v>23937</v>
      </c>
      <c r="M3602" s="2"/>
      <c r="N3602" s="2"/>
      <c r="O3602" s="2">
        <v>5897</v>
      </c>
      <c r="P3602" s="2"/>
      <c r="Q3602" s="2" t="s">
        <v>23938</v>
      </c>
      <c r="R3602" s="2" t="s">
        <v>23939</v>
      </c>
      <c r="S3602" s="2" t="s">
        <v>148</v>
      </c>
      <c r="T3602" s="2" t="s">
        <v>23940</v>
      </c>
      <c r="U3602" s="2" t="s">
        <v>41</v>
      </c>
      <c r="V3602" s="2" t="s">
        <v>59</v>
      </c>
      <c r="W3602" s="2">
        <v>39</v>
      </c>
      <c r="X3602" s="2">
        <v>0</v>
      </c>
      <c r="Y3602" s="2" t="s">
        <v>560</v>
      </c>
      <c r="Z3602" s="2" t="s">
        <v>23941</v>
      </c>
      <c r="AA3602" s="2">
        <v>1.94062790600306</v>
      </c>
      <c r="AB3602" s="2">
        <v>0.20411381353454899</v>
      </c>
      <c r="AC3602" s="2">
        <v>5491.6919683741498</v>
      </c>
      <c r="AD3602" s="2">
        <v>8879.1978746772293</v>
      </c>
      <c r="AE3602" s="2">
        <v>5743.9013215571204</v>
      </c>
      <c r="AF3602" s="2">
        <v>5656.1529930098504</v>
      </c>
      <c r="AG3602" s="2">
        <v>5835.0709129740299</v>
      </c>
      <c r="AH3602" s="2">
        <v>4527.02300326152</v>
      </c>
      <c r="AI3602" s="2">
        <v>5189.0579253177802</v>
      </c>
      <c r="AJ3602" s="2">
        <v>5998.94565412458</v>
      </c>
      <c r="AK3602" s="2">
        <v>7025.5760952985602</v>
      </c>
      <c r="AL3602" s="2">
        <v>10961.0261839905</v>
      </c>
      <c r="AM3602" s="2">
        <v>11309.1474778675</v>
      </c>
      <c r="AN3602" s="2">
        <v>8436.1871214049206</v>
      </c>
      <c r="AO3602" s="2">
        <v>7378.6326409714502</v>
      </c>
      <c r="AP3602" s="2">
        <v>8164.6177285304502</v>
      </c>
    </row>
    <row r="3603" spans="1:42" ht="14.5" x14ac:dyDescent="0.35">
      <c r="A3603" s="2" t="s">
        <v>23942</v>
      </c>
      <c r="B3603" s="2">
        <v>571.02646161799998</v>
      </c>
      <c r="C3603" s="2">
        <v>2.08728333333333</v>
      </c>
      <c r="D3603" s="2" t="s">
        <v>70</v>
      </c>
      <c r="E3603" s="2" t="s">
        <v>23943</v>
      </c>
      <c r="F3603" s="2">
        <v>257247</v>
      </c>
      <c r="G3603" s="3" t="str">
        <f>HYPERLINK("http://funmeta.oebiotech.com/network/257247", "http://funmeta.oebiotech.com/network/257247")</f>
        <v>http://funmeta.oebiotech.com/network/257247</v>
      </c>
      <c r="H3603" s="2" t="s">
        <v>23944</v>
      </c>
      <c r="I3603" s="2"/>
      <c r="J3603" s="2"/>
      <c r="K3603" s="2"/>
      <c r="L3603" s="2"/>
      <c r="M3603" s="2"/>
      <c r="N3603" s="2"/>
      <c r="O3603" s="2">
        <v>25203647</v>
      </c>
      <c r="P3603" s="2"/>
      <c r="Q3603" s="2" t="s">
        <v>23945</v>
      </c>
      <c r="R3603" s="2" t="s">
        <v>23946</v>
      </c>
      <c r="S3603" s="2" t="s">
        <v>1444</v>
      </c>
      <c r="T3603" s="2" t="s">
        <v>4937</v>
      </c>
      <c r="U3603" s="2" t="s">
        <v>5723</v>
      </c>
      <c r="V3603" s="2" t="s">
        <v>59</v>
      </c>
      <c r="W3603" s="2">
        <v>38.5</v>
      </c>
      <c r="X3603" s="2">
        <v>0</v>
      </c>
      <c r="Y3603" s="2" t="s">
        <v>118</v>
      </c>
      <c r="Z3603" s="2" t="s">
        <v>23947</v>
      </c>
      <c r="AA3603" s="2">
        <v>-1.9799348048630401</v>
      </c>
      <c r="AB3603" s="2">
        <v>0.204086902882754</v>
      </c>
      <c r="AC3603" s="2">
        <v>13346.948206868799</v>
      </c>
      <c r="AD3603" s="2">
        <v>10345.979855006901</v>
      </c>
      <c r="AE3603" s="2">
        <v>13051.160058507499</v>
      </c>
      <c r="AF3603" s="2">
        <v>12681.547214140201</v>
      </c>
      <c r="AG3603" s="2">
        <v>14264.616532932499</v>
      </c>
      <c r="AH3603" s="2">
        <v>13260.6667281957</v>
      </c>
      <c r="AI3603" s="2">
        <v>13254.101139378499</v>
      </c>
      <c r="AJ3603" s="2">
        <v>13569.5975680585</v>
      </c>
      <c r="AK3603" s="2">
        <v>9447.0288248829202</v>
      </c>
      <c r="AL3603" s="2">
        <v>10522.6222138145</v>
      </c>
      <c r="AM3603" s="2">
        <v>9929.0275541947703</v>
      </c>
      <c r="AN3603" s="2">
        <v>12028.075234296301</v>
      </c>
      <c r="AO3603" s="2">
        <v>10116.756556750201</v>
      </c>
      <c r="AP3603" s="2">
        <v>10032.368746103</v>
      </c>
    </row>
    <row r="3604" spans="1:42" ht="14.5" x14ac:dyDescent="0.35">
      <c r="A3604" s="2" t="s">
        <v>23948</v>
      </c>
      <c r="B3604" s="2">
        <v>635.15748242786503</v>
      </c>
      <c r="C3604" s="2">
        <v>4.4289500000000004</v>
      </c>
      <c r="D3604" s="2" t="s">
        <v>34</v>
      </c>
      <c r="E3604" s="2" t="s">
        <v>23949</v>
      </c>
      <c r="F3604" s="2">
        <v>63358</v>
      </c>
      <c r="G3604" s="3" t="str">
        <f>HYPERLINK("http://funmeta.oebiotech.com/network/63358", "http://funmeta.oebiotech.com/network/63358")</f>
        <v>http://funmeta.oebiotech.com/network/63358</v>
      </c>
      <c r="H3604" s="2" t="s">
        <v>23950</v>
      </c>
      <c r="I3604" s="2">
        <v>94666</v>
      </c>
      <c r="J3604" s="2"/>
      <c r="K3604" s="2"/>
      <c r="L3604" s="2"/>
      <c r="M3604" s="2"/>
      <c r="N3604" s="2"/>
      <c r="O3604" s="2">
        <v>74819427</v>
      </c>
      <c r="P3604" s="2"/>
      <c r="Q3604" s="2" t="s">
        <v>23951</v>
      </c>
      <c r="R3604" s="2" t="s">
        <v>23952</v>
      </c>
      <c r="S3604" s="2" t="s">
        <v>115</v>
      </c>
      <c r="T3604" s="2" t="s">
        <v>139</v>
      </c>
      <c r="U3604" s="2" t="s">
        <v>140</v>
      </c>
      <c r="V3604" s="2" t="s">
        <v>59</v>
      </c>
      <c r="W3604" s="2">
        <v>37.1</v>
      </c>
      <c r="X3604" s="2">
        <v>0</v>
      </c>
      <c r="Y3604" s="2" t="s">
        <v>323</v>
      </c>
      <c r="Z3604" s="2" t="s">
        <v>23953</v>
      </c>
      <c r="AA3604" s="2">
        <v>-1.2630356822578299</v>
      </c>
      <c r="AB3604" s="2">
        <v>0.20400608250784399</v>
      </c>
      <c r="AC3604" s="2">
        <v>2870.96369616018</v>
      </c>
      <c r="AD3604" s="2">
        <v>6292.4942589296697</v>
      </c>
      <c r="AE3604" s="2">
        <v>2147.3591500232701</v>
      </c>
      <c r="AF3604" s="2">
        <v>3124.6331170184199</v>
      </c>
      <c r="AG3604" s="2">
        <v>2547.7452072247002</v>
      </c>
      <c r="AH3604" s="2">
        <v>2162.1494725750499</v>
      </c>
      <c r="AI3604" s="2">
        <v>3534.80309633553</v>
      </c>
      <c r="AJ3604" s="2">
        <v>3709.09213378408</v>
      </c>
      <c r="AK3604" s="2">
        <v>7330.21653208319</v>
      </c>
      <c r="AL3604" s="2">
        <v>9070.5171764904808</v>
      </c>
      <c r="AM3604" s="2">
        <v>5246.4732020076699</v>
      </c>
      <c r="AN3604" s="2">
        <v>7214.6162201856896</v>
      </c>
      <c r="AO3604" s="2">
        <v>4533.6203973272004</v>
      </c>
      <c r="AP3604" s="2">
        <v>4359.5220254838096</v>
      </c>
    </row>
    <row r="3605" spans="1:42" ht="14.5" x14ac:dyDescent="0.35">
      <c r="A3605" s="2" t="s">
        <v>23954</v>
      </c>
      <c r="B3605" s="2">
        <v>420.14443823726998</v>
      </c>
      <c r="C3605" s="2">
        <v>2.8665500000000002</v>
      </c>
      <c r="D3605" s="2" t="s">
        <v>70</v>
      </c>
      <c r="E3605" s="2" t="s">
        <v>23955</v>
      </c>
      <c r="F3605" s="2">
        <v>208298</v>
      </c>
      <c r="G3605" s="3" t="str">
        <f>HYPERLINK("http://funmeta.oebiotech.com/network/208298", "http://funmeta.oebiotech.com/network/208298")</f>
        <v>http://funmeta.oebiotech.com/network/208298</v>
      </c>
      <c r="H3605" s="2" t="s">
        <v>23956</v>
      </c>
      <c r="I3605" s="2">
        <v>64831</v>
      </c>
      <c r="J3605" s="2"/>
      <c r="K3605" s="2">
        <v>91435</v>
      </c>
      <c r="L3605" s="2"/>
      <c r="M3605" s="2"/>
      <c r="N3605" s="2"/>
      <c r="O3605" s="2">
        <v>11485656</v>
      </c>
      <c r="P3605" s="2" t="s">
        <v>23957</v>
      </c>
      <c r="Q3605" s="2" t="s">
        <v>23958</v>
      </c>
      <c r="R3605" s="2" t="s">
        <v>23959</v>
      </c>
      <c r="S3605" s="2" t="s">
        <v>148</v>
      </c>
      <c r="T3605" s="2" t="s">
        <v>149</v>
      </c>
      <c r="U3605" s="2" t="s">
        <v>17602</v>
      </c>
      <c r="V3605" s="2" t="s">
        <v>59</v>
      </c>
      <c r="W3605" s="2">
        <v>37.4</v>
      </c>
      <c r="X3605" s="2">
        <v>0</v>
      </c>
      <c r="Y3605" s="2" t="s">
        <v>408</v>
      </c>
      <c r="Z3605" s="2" t="s">
        <v>23960</v>
      </c>
      <c r="AA3605" s="2">
        <v>-8.8046850958637695</v>
      </c>
      <c r="AB3605" s="2">
        <v>0.20397103585257501</v>
      </c>
      <c r="AC3605" s="2">
        <v>3812.2838607563199</v>
      </c>
      <c r="AD3605" s="2">
        <v>1017.70590957474</v>
      </c>
      <c r="AE3605" s="2">
        <v>3565.1892332519901</v>
      </c>
      <c r="AF3605" s="2">
        <v>3440.4365848370498</v>
      </c>
      <c r="AG3605" s="2">
        <v>4162.7153928582002</v>
      </c>
      <c r="AH3605" s="2">
        <v>4546.6718258360197</v>
      </c>
      <c r="AI3605" s="2">
        <v>3683.4952370823798</v>
      </c>
      <c r="AJ3605" s="2">
        <v>3475.1948906723101</v>
      </c>
      <c r="AK3605" s="2">
        <v>954.24969440982204</v>
      </c>
      <c r="AL3605" s="2">
        <v>883.88994227064995</v>
      </c>
      <c r="AM3605" s="2">
        <v>1015.7243683873</v>
      </c>
      <c r="AN3605" s="2">
        <v>1182.8883590298799</v>
      </c>
      <c r="AO3605" s="2">
        <v>844.08222137583698</v>
      </c>
      <c r="AP3605" s="2">
        <v>1225.40087197496</v>
      </c>
    </row>
    <row r="3606" spans="1:42" ht="14.5" x14ac:dyDescent="0.35">
      <c r="A3606" s="2" t="s">
        <v>23961</v>
      </c>
      <c r="B3606" s="2">
        <v>238.07058928897999</v>
      </c>
      <c r="C3606" s="2">
        <v>0.78071666666666695</v>
      </c>
      <c r="D3606" s="2" t="s">
        <v>34</v>
      </c>
      <c r="E3606" s="2" t="s">
        <v>23962</v>
      </c>
      <c r="F3606" s="2">
        <v>51939</v>
      </c>
      <c r="G3606" s="3" t="str">
        <f>HYPERLINK("http://funmeta.oebiotech.com/network/51939", "http://funmeta.oebiotech.com/network/51939")</f>
        <v>http://funmeta.oebiotech.com/network/51939</v>
      </c>
      <c r="H3606" s="2" t="s">
        <v>23963</v>
      </c>
      <c r="I3606" s="2">
        <v>44276</v>
      </c>
      <c r="J3606" s="2"/>
      <c r="K3606" s="2">
        <v>27407</v>
      </c>
      <c r="L3606" s="2" t="s">
        <v>23964</v>
      </c>
      <c r="M3606" s="2"/>
      <c r="N3606" s="2"/>
      <c r="O3606" s="2">
        <v>3830</v>
      </c>
      <c r="P3606" s="2" t="s">
        <v>23965</v>
      </c>
      <c r="Q3606" s="2" t="s">
        <v>23966</v>
      </c>
      <c r="R3606" s="2" t="s">
        <v>23967</v>
      </c>
      <c r="S3606" s="2" t="s">
        <v>491</v>
      </c>
      <c r="T3606" s="2" t="s">
        <v>7431</v>
      </c>
      <c r="U3606" s="2" t="s">
        <v>7432</v>
      </c>
      <c r="V3606" s="2" t="s">
        <v>59</v>
      </c>
      <c r="W3606" s="2">
        <v>37.1</v>
      </c>
      <c r="X3606" s="2">
        <v>0</v>
      </c>
      <c r="Y3606" s="2" t="s">
        <v>470</v>
      </c>
      <c r="Z3606" s="2" t="s">
        <v>23968</v>
      </c>
      <c r="AA3606" s="2">
        <v>3.06246334445225</v>
      </c>
      <c r="AB3606" s="2">
        <v>0.20385876065370601</v>
      </c>
      <c r="AC3606" s="2">
        <v>17980.180587581399</v>
      </c>
      <c r="AD3606" s="2">
        <v>21859.263187218399</v>
      </c>
      <c r="AE3606" s="2">
        <v>16608.773109248799</v>
      </c>
      <c r="AF3606" s="2">
        <v>16649.2017186093</v>
      </c>
      <c r="AG3606" s="2">
        <v>19676.975010478</v>
      </c>
      <c r="AH3606" s="2">
        <v>16260.4034489407</v>
      </c>
      <c r="AI3606" s="2">
        <v>18432.0370923999</v>
      </c>
      <c r="AJ3606" s="2">
        <v>20253.6931458119</v>
      </c>
      <c r="AK3606" s="2">
        <v>17605.5726324235</v>
      </c>
      <c r="AL3606" s="2">
        <v>23581.3503050947</v>
      </c>
      <c r="AM3606" s="2">
        <v>24601.576430949699</v>
      </c>
      <c r="AN3606" s="2">
        <v>20756.418825864599</v>
      </c>
      <c r="AO3606" s="2">
        <v>21465.8389938853</v>
      </c>
      <c r="AP3606" s="2">
        <v>23144.821935092601</v>
      </c>
    </row>
    <row r="3607" spans="1:42" ht="14.5" x14ac:dyDescent="0.35">
      <c r="A3607" s="2" t="s">
        <v>23969</v>
      </c>
      <c r="B3607" s="2">
        <v>341.13868569723502</v>
      </c>
      <c r="C3607" s="2">
        <v>5.1890333333333301</v>
      </c>
      <c r="D3607" s="2" t="s">
        <v>70</v>
      </c>
      <c r="E3607" s="2" t="s">
        <v>23970</v>
      </c>
      <c r="F3607" s="2">
        <v>60848</v>
      </c>
      <c r="G3607" s="3" t="str">
        <f>HYPERLINK("http://funmeta.oebiotech.com/network/60848", "http://funmeta.oebiotech.com/network/60848")</f>
        <v>http://funmeta.oebiotech.com/network/60848</v>
      </c>
      <c r="H3607" s="2" t="s">
        <v>23971</v>
      </c>
      <c r="I3607" s="2">
        <v>92200</v>
      </c>
      <c r="J3607" s="2"/>
      <c r="K3607" s="2"/>
      <c r="L3607" s="2"/>
      <c r="M3607" s="2"/>
      <c r="N3607" s="2"/>
      <c r="O3607" s="2">
        <v>131752166</v>
      </c>
      <c r="P3607" s="2" t="s">
        <v>23972</v>
      </c>
      <c r="Q3607" s="2" t="s">
        <v>23973</v>
      </c>
      <c r="R3607" s="2" t="s">
        <v>23974</v>
      </c>
      <c r="S3607" s="2" t="s">
        <v>50</v>
      </c>
      <c r="T3607" s="2" t="s">
        <v>201</v>
      </c>
      <c r="U3607" s="2" t="s">
        <v>1217</v>
      </c>
      <c r="V3607" s="2" t="s">
        <v>42</v>
      </c>
      <c r="W3607" s="2">
        <v>51.9</v>
      </c>
      <c r="X3607" s="2">
        <v>69.099999999999994</v>
      </c>
      <c r="Y3607" s="2" t="s">
        <v>751</v>
      </c>
      <c r="Z3607" s="2" t="s">
        <v>10768</v>
      </c>
      <c r="AA3607" s="2">
        <v>-2.1148254641013899</v>
      </c>
      <c r="AB3607" s="2">
        <v>0.20382418980693601</v>
      </c>
      <c r="AC3607" s="2">
        <v>5049.8777433139703</v>
      </c>
      <c r="AD3607" s="2">
        <v>8050.1414185491003</v>
      </c>
      <c r="AE3607" s="2">
        <v>5061.3963951891501</v>
      </c>
      <c r="AF3607" s="2">
        <v>4548.4534491921704</v>
      </c>
      <c r="AG3607" s="2">
        <v>4581.6272848378803</v>
      </c>
      <c r="AH3607" s="2">
        <v>4727.0506700187698</v>
      </c>
      <c r="AI3607" s="2">
        <v>5432.6684508931903</v>
      </c>
      <c r="AJ3607" s="2">
        <v>5948.0702097526701</v>
      </c>
      <c r="AK3607" s="2">
        <v>7813.8830632304498</v>
      </c>
      <c r="AL3607" s="2">
        <v>9428.3771112167396</v>
      </c>
      <c r="AM3607" s="2">
        <v>7592.7972595823703</v>
      </c>
      <c r="AN3607" s="2">
        <v>8891.3663983607203</v>
      </c>
      <c r="AO3607" s="2">
        <v>7648.2648129889603</v>
      </c>
      <c r="AP3607" s="2">
        <v>6926.1598659153497</v>
      </c>
    </row>
    <row r="3608" spans="1:42" ht="14.5" x14ac:dyDescent="0.35">
      <c r="A3608" s="2" t="s">
        <v>23975</v>
      </c>
      <c r="B3608" s="2">
        <v>401.141695592308</v>
      </c>
      <c r="C3608" s="2">
        <v>3.6614666666666702</v>
      </c>
      <c r="D3608" s="2" t="s">
        <v>34</v>
      </c>
      <c r="E3608" s="2" t="s">
        <v>23976</v>
      </c>
      <c r="F3608" s="2">
        <v>47295</v>
      </c>
      <c r="G3608" s="3" t="str">
        <f>HYPERLINK("http://funmeta.oebiotech.com/network/47295", "http://funmeta.oebiotech.com/network/47295")</f>
        <v>http://funmeta.oebiotech.com/network/47295</v>
      </c>
      <c r="H3608" s="2" t="s">
        <v>23977</v>
      </c>
      <c r="I3608" s="2">
        <v>5867</v>
      </c>
      <c r="J3608" s="2"/>
      <c r="K3608" s="2">
        <v>71169</v>
      </c>
      <c r="L3608" s="2"/>
      <c r="M3608" s="2"/>
      <c r="N3608" s="2"/>
      <c r="O3608" s="2">
        <v>20849086</v>
      </c>
      <c r="P3608" s="2" t="s">
        <v>23978</v>
      </c>
      <c r="Q3608" s="2" t="s">
        <v>23979</v>
      </c>
      <c r="R3608" s="2" t="s">
        <v>23980</v>
      </c>
      <c r="S3608" s="2" t="s">
        <v>1444</v>
      </c>
      <c r="T3608" s="2" t="s">
        <v>3595</v>
      </c>
      <c r="U3608" s="2" t="s">
        <v>41</v>
      </c>
      <c r="V3608" s="2" t="s">
        <v>59</v>
      </c>
      <c r="W3608" s="2">
        <v>39.200000000000003</v>
      </c>
      <c r="X3608" s="2">
        <v>0</v>
      </c>
      <c r="Y3608" s="2" t="s">
        <v>43</v>
      </c>
      <c r="Z3608" s="2" t="s">
        <v>23981</v>
      </c>
      <c r="AA3608" s="2">
        <v>0.411207170399436</v>
      </c>
      <c r="AB3608" s="2">
        <v>0.20373546649969301</v>
      </c>
      <c r="AC3608" s="2">
        <v>24977.615365479502</v>
      </c>
      <c r="AD3608" s="2">
        <v>28806.246048143399</v>
      </c>
      <c r="AE3608" s="2">
        <v>24680.748382226499</v>
      </c>
      <c r="AF3608" s="2">
        <v>24256.172773295999</v>
      </c>
      <c r="AG3608" s="2">
        <v>22319.110125931202</v>
      </c>
      <c r="AH3608" s="2">
        <v>22891.3545447</v>
      </c>
      <c r="AI3608" s="2">
        <v>29181.223424526801</v>
      </c>
      <c r="AJ3608" s="2">
        <v>26537.082942196401</v>
      </c>
      <c r="AK3608" s="2">
        <v>30526.914684048799</v>
      </c>
      <c r="AL3608" s="2">
        <v>28711.731373592698</v>
      </c>
      <c r="AM3608" s="2">
        <v>27335.981366833999</v>
      </c>
      <c r="AN3608" s="2">
        <v>27246.474322913498</v>
      </c>
      <c r="AO3608" s="2">
        <v>28029.5323234926</v>
      </c>
      <c r="AP3608" s="2">
        <v>30986.842217978599</v>
      </c>
    </row>
    <row r="3609" spans="1:42" ht="14.5" x14ac:dyDescent="0.35">
      <c r="A3609" s="2" t="s">
        <v>23982</v>
      </c>
      <c r="B3609" s="2">
        <v>713.37497890414602</v>
      </c>
      <c r="C3609" s="2">
        <v>5.6725000000000003</v>
      </c>
      <c r="D3609" s="2" t="s">
        <v>70</v>
      </c>
      <c r="E3609" s="2" t="s">
        <v>23983</v>
      </c>
      <c r="F3609" s="2">
        <v>55038</v>
      </c>
      <c r="G3609" s="3" t="str">
        <f>HYPERLINK("http://funmeta.oebiotech.com/network/55038", "http://funmeta.oebiotech.com/network/55038")</f>
        <v>http://funmeta.oebiotech.com/network/55038</v>
      </c>
      <c r="H3609" s="2" t="s">
        <v>23984</v>
      </c>
      <c r="I3609" s="2">
        <v>1154</v>
      </c>
      <c r="J3609" s="2"/>
      <c r="K3609" s="2">
        <v>444892</v>
      </c>
      <c r="L3609" s="2" t="s">
        <v>23985</v>
      </c>
      <c r="M3609" s="2"/>
      <c r="N3609" s="2"/>
      <c r="O3609" s="2">
        <v>15548</v>
      </c>
      <c r="P3609" s="2" t="s">
        <v>23986</v>
      </c>
      <c r="Q3609" s="2" t="s">
        <v>23987</v>
      </c>
      <c r="R3609" s="2" t="s">
        <v>23988</v>
      </c>
      <c r="S3609" s="2" t="s">
        <v>491</v>
      </c>
      <c r="T3609" s="2" t="s">
        <v>13817</v>
      </c>
      <c r="U3609" s="2" t="s">
        <v>23989</v>
      </c>
      <c r="V3609" s="2" t="s">
        <v>59</v>
      </c>
      <c r="W3609" s="2">
        <v>38.1</v>
      </c>
      <c r="X3609" s="2">
        <v>0</v>
      </c>
      <c r="Y3609" s="2" t="s">
        <v>560</v>
      </c>
      <c r="Z3609" s="2" t="s">
        <v>23990</v>
      </c>
      <c r="AA3609" s="2">
        <v>-8.0647513383711598</v>
      </c>
      <c r="AB3609" s="2">
        <v>0.20361561294421299</v>
      </c>
      <c r="AC3609" s="2">
        <v>5244.3984595697502</v>
      </c>
      <c r="AD3609" s="2">
        <v>1982.3086075685601</v>
      </c>
      <c r="AE3609" s="2">
        <v>4029.11535174551</v>
      </c>
      <c r="AF3609" s="2">
        <v>4631.9293739991299</v>
      </c>
      <c r="AG3609" s="2">
        <v>6068.6975247289602</v>
      </c>
      <c r="AH3609" s="2">
        <v>8166.4750875032096</v>
      </c>
      <c r="AI3609" s="2">
        <v>4089.64718524097</v>
      </c>
      <c r="AJ3609" s="2">
        <v>4480.52623420072</v>
      </c>
      <c r="AK3609" s="2">
        <v>2151.9855017701202</v>
      </c>
      <c r="AL3609" s="2">
        <v>1158.4451409293599</v>
      </c>
      <c r="AM3609" s="2">
        <v>2311.7277304664699</v>
      </c>
      <c r="AN3609" s="2">
        <v>1609.89822919211</v>
      </c>
      <c r="AO3609" s="2">
        <v>2396.1104048528</v>
      </c>
      <c r="AP3609" s="2">
        <v>2265.6846382005001</v>
      </c>
    </row>
    <row r="3610" spans="1:42" ht="14.5" x14ac:dyDescent="0.35">
      <c r="A3610" s="2" t="s">
        <v>23991</v>
      </c>
      <c r="B3610" s="2">
        <v>419.18495220631598</v>
      </c>
      <c r="C3610" s="2">
        <v>8.3059499999999993</v>
      </c>
      <c r="D3610" s="2" t="s">
        <v>34</v>
      </c>
      <c r="E3610" s="2" t="s">
        <v>23992</v>
      </c>
      <c r="F3610" s="2">
        <v>213191</v>
      </c>
      <c r="G3610" s="3" t="str">
        <f>HYPERLINK("http://funmeta.oebiotech.com/network/213191", "http://funmeta.oebiotech.com/network/213191")</f>
        <v>http://funmeta.oebiotech.com/network/213191</v>
      </c>
      <c r="H3610" s="2" t="s">
        <v>23993</v>
      </c>
      <c r="I3610" s="2"/>
      <c r="J3610" s="2"/>
      <c r="K3610" s="2"/>
      <c r="L3610" s="2"/>
      <c r="M3610" s="2"/>
      <c r="N3610" s="2"/>
      <c r="O3610" s="2"/>
      <c r="P3610" s="2"/>
      <c r="Q3610" s="2" t="s">
        <v>23994</v>
      </c>
      <c r="R3610" s="2" t="s">
        <v>23995</v>
      </c>
      <c r="S3610" s="2" t="s">
        <v>491</v>
      </c>
      <c r="T3610" s="2" t="s">
        <v>3019</v>
      </c>
      <c r="U3610" s="2" t="s">
        <v>10208</v>
      </c>
      <c r="V3610" s="2" t="s">
        <v>59</v>
      </c>
      <c r="W3610" s="2">
        <v>38.5</v>
      </c>
      <c r="X3610" s="2">
        <v>0</v>
      </c>
      <c r="Y3610" s="2" t="s">
        <v>43</v>
      </c>
      <c r="Z3610" s="2" t="s">
        <v>23996</v>
      </c>
      <c r="AA3610" s="2">
        <v>2.9772226788737202</v>
      </c>
      <c r="AB3610" s="2">
        <v>0.20359394867021499</v>
      </c>
      <c r="AC3610" s="2">
        <v>12303.784364019401</v>
      </c>
      <c r="AD3610" s="2">
        <v>8920.9741006860495</v>
      </c>
      <c r="AE3610" s="2">
        <v>10060.241571128099</v>
      </c>
      <c r="AF3610" s="2">
        <v>11193.47050843</v>
      </c>
      <c r="AG3610" s="2">
        <v>13465.8974991912</v>
      </c>
      <c r="AH3610" s="2">
        <v>12684.6945915245</v>
      </c>
      <c r="AI3610" s="2">
        <v>11513.649147713901</v>
      </c>
      <c r="AJ3610" s="2">
        <v>14904.7528661288</v>
      </c>
      <c r="AK3610" s="2">
        <v>9238.3322201824394</v>
      </c>
      <c r="AL3610" s="2">
        <v>9988.2560765118706</v>
      </c>
      <c r="AM3610" s="2">
        <v>9463.9360460624503</v>
      </c>
      <c r="AN3610" s="2">
        <v>9106.5452211267293</v>
      </c>
      <c r="AO3610" s="2">
        <v>7649.7920031254698</v>
      </c>
      <c r="AP3610" s="2">
        <v>8078.9830371073203</v>
      </c>
    </row>
    <row r="3611" spans="1:42" ht="14.5" x14ac:dyDescent="0.35">
      <c r="A3611" s="2" t="s">
        <v>23997</v>
      </c>
      <c r="B3611" s="2">
        <v>548.29810563193405</v>
      </c>
      <c r="C3611" s="2">
        <v>10.641500000000001</v>
      </c>
      <c r="D3611" s="2" t="s">
        <v>34</v>
      </c>
      <c r="E3611" s="2" t="s">
        <v>23998</v>
      </c>
      <c r="F3611" s="2">
        <v>198891</v>
      </c>
      <c r="G3611" s="3" t="str">
        <f>HYPERLINK("http://funmeta.oebiotech.com/network/198891", "http://funmeta.oebiotech.com/network/198891")</f>
        <v>http://funmeta.oebiotech.com/network/198891</v>
      </c>
      <c r="H3611" s="2" t="s">
        <v>23999</v>
      </c>
      <c r="I3611" s="2"/>
      <c r="J3611" s="2"/>
      <c r="K3611" s="2"/>
      <c r="L3611" s="2"/>
      <c r="M3611" s="2"/>
      <c r="N3611" s="2"/>
      <c r="O3611" s="2"/>
      <c r="P3611" s="2"/>
      <c r="Q3611" s="2" t="s">
        <v>24000</v>
      </c>
      <c r="R3611" s="2" t="s">
        <v>24001</v>
      </c>
      <c r="S3611" s="2" t="s">
        <v>50</v>
      </c>
      <c r="T3611" s="2" t="s">
        <v>124</v>
      </c>
      <c r="U3611" s="2" t="s">
        <v>125</v>
      </c>
      <c r="V3611" s="2" t="s">
        <v>59</v>
      </c>
      <c r="W3611" s="2">
        <v>44.8</v>
      </c>
      <c r="X3611" s="2">
        <v>35</v>
      </c>
      <c r="Y3611" s="2" t="s">
        <v>340</v>
      </c>
      <c r="Z3611" s="2" t="s">
        <v>24002</v>
      </c>
      <c r="AA3611" s="2">
        <v>-0.59940299498846195</v>
      </c>
      <c r="AB3611" s="2">
        <v>0.20338020710369301</v>
      </c>
      <c r="AC3611" s="2">
        <v>5468.0721647097998</v>
      </c>
      <c r="AD3611" s="2">
        <v>8553.1161959033197</v>
      </c>
      <c r="AE3611" s="2">
        <v>4962.1939828638197</v>
      </c>
      <c r="AF3611" s="2">
        <v>5548.9766256334096</v>
      </c>
      <c r="AG3611" s="2">
        <v>5735.2574725745499</v>
      </c>
      <c r="AH3611" s="2">
        <v>4214.4308117721002</v>
      </c>
      <c r="AI3611" s="2">
        <v>5475.8755629000298</v>
      </c>
      <c r="AJ3611" s="2">
        <v>6871.6985325148999</v>
      </c>
      <c r="AK3611" s="2">
        <v>8168.1166246577604</v>
      </c>
      <c r="AL3611" s="2">
        <v>9890.0563008653498</v>
      </c>
      <c r="AM3611" s="2">
        <v>8304.4495648170596</v>
      </c>
      <c r="AN3611" s="2">
        <v>8422.2120897565601</v>
      </c>
      <c r="AO3611" s="2">
        <v>9306.66479530775</v>
      </c>
      <c r="AP3611" s="2">
        <v>7227.1978000154504</v>
      </c>
    </row>
    <row r="3612" spans="1:42" ht="14.5" x14ac:dyDescent="0.35">
      <c r="A3612" s="2" t="s">
        <v>24003</v>
      </c>
      <c r="B3612" s="2">
        <v>818.56041313855599</v>
      </c>
      <c r="C3612" s="2">
        <v>13.37345</v>
      </c>
      <c r="D3612" s="2" t="s">
        <v>34</v>
      </c>
      <c r="E3612" s="2" t="s">
        <v>24004</v>
      </c>
      <c r="F3612" s="2">
        <v>256961</v>
      </c>
      <c r="G3612" s="3" t="str">
        <f>HYPERLINK("http://funmeta.oebiotech.com/network/256961", "http://funmeta.oebiotech.com/network/256961")</f>
        <v>http://funmeta.oebiotech.com/network/256961</v>
      </c>
      <c r="H3612" s="2" t="s">
        <v>24005</v>
      </c>
      <c r="I3612" s="2"/>
      <c r="J3612" s="2"/>
      <c r="K3612" s="2">
        <v>62791</v>
      </c>
      <c r="L3612" s="2"/>
      <c r="M3612" s="2"/>
      <c r="N3612" s="2"/>
      <c r="O3612" s="2"/>
      <c r="P3612" s="2"/>
      <c r="Q3612" s="2" t="s">
        <v>24006</v>
      </c>
      <c r="R3612" s="2" t="s">
        <v>24007</v>
      </c>
      <c r="S3612" s="2" t="s">
        <v>50</v>
      </c>
      <c r="T3612" s="2" t="s">
        <v>201</v>
      </c>
      <c r="U3612" s="2" t="s">
        <v>24008</v>
      </c>
      <c r="V3612" s="2" t="s">
        <v>59</v>
      </c>
      <c r="W3612" s="2">
        <v>37.299999999999997</v>
      </c>
      <c r="X3612" s="2">
        <v>0</v>
      </c>
      <c r="Y3612" s="2" t="s">
        <v>340</v>
      </c>
      <c r="Z3612" s="2" t="s">
        <v>24009</v>
      </c>
      <c r="AA3612" s="2">
        <v>-0.74519603193140804</v>
      </c>
      <c r="AB3612" s="2">
        <v>0.20332426169199799</v>
      </c>
      <c r="AC3612" s="2">
        <v>3489.6342391746398</v>
      </c>
      <c r="AD3612" s="2">
        <v>6702.04768833854</v>
      </c>
      <c r="AE3612" s="2">
        <v>3253.2085198547302</v>
      </c>
      <c r="AF3612" s="2">
        <v>3468.2347162557799</v>
      </c>
      <c r="AG3612" s="2">
        <v>3462.43233950271</v>
      </c>
      <c r="AH3612" s="2">
        <v>3127.7526369155198</v>
      </c>
      <c r="AI3612" s="2">
        <v>3161.1896725543202</v>
      </c>
      <c r="AJ3612" s="2">
        <v>4464.9875499647696</v>
      </c>
      <c r="AK3612" s="2">
        <v>8058.9486633098304</v>
      </c>
      <c r="AL3612" s="2">
        <v>5062.1874564301897</v>
      </c>
      <c r="AM3612" s="2">
        <v>6493.8470093646602</v>
      </c>
      <c r="AN3612" s="2">
        <v>5038.49625539729</v>
      </c>
      <c r="AO3612" s="2">
        <v>6963.8905971801496</v>
      </c>
      <c r="AP3612" s="2">
        <v>8594.9161483491407</v>
      </c>
    </row>
    <row r="3613" spans="1:42" ht="14.5" x14ac:dyDescent="0.35">
      <c r="A3613" s="2" t="s">
        <v>24010</v>
      </c>
      <c r="B3613" s="2">
        <v>166.12249939373601</v>
      </c>
      <c r="C3613" s="2">
        <v>7.79151666666667</v>
      </c>
      <c r="D3613" s="2" t="s">
        <v>34</v>
      </c>
      <c r="E3613" s="2" t="s">
        <v>24011</v>
      </c>
      <c r="F3613" s="2">
        <v>6526</v>
      </c>
      <c r="G3613" s="3" t="str">
        <f>HYPERLINK("http://funmeta.oebiotech.com/network/6526", "http://funmeta.oebiotech.com/network/6526")</f>
        <v>http://funmeta.oebiotech.com/network/6526</v>
      </c>
      <c r="H3613" s="2"/>
      <c r="I3613" s="2">
        <v>75339</v>
      </c>
      <c r="J3613" s="2" t="s">
        <v>24012</v>
      </c>
      <c r="K3613" s="2"/>
      <c r="L3613" s="2"/>
      <c r="M3613" s="2"/>
      <c r="N3613" s="2"/>
      <c r="O3613" s="2">
        <v>5283353</v>
      </c>
      <c r="P3613" s="2"/>
      <c r="Q3613" s="2" t="s">
        <v>24013</v>
      </c>
      <c r="R3613" s="2" t="s">
        <v>24014</v>
      </c>
      <c r="S3613" s="2" t="s">
        <v>79</v>
      </c>
      <c r="T3613" s="2" t="s">
        <v>80</v>
      </c>
      <c r="U3613" s="2" t="s">
        <v>2820</v>
      </c>
      <c r="V3613" s="2" t="s">
        <v>59</v>
      </c>
      <c r="W3613" s="2">
        <v>44.6</v>
      </c>
      <c r="X3613" s="2">
        <v>29</v>
      </c>
      <c r="Y3613" s="2" t="s">
        <v>43</v>
      </c>
      <c r="Z3613" s="2" t="s">
        <v>24015</v>
      </c>
      <c r="AA3613" s="2">
        <v>-0.95308118786978802</v>
      </c>
      <c r="AB3613" s="2">
        <v>0.203304143716763</v>
      </c>
      <c r="AC3613" s="2">
        <v>11598.530875013599</v>
      </c>
      <c r="AD3613" s="2">
        <v>14594.165494602799</v>
      </c>
      <c r="AE3613" s="2">
        <v>12324.5010711706</v>
      </c>
      <c r="AF3613" s="2">
        <v>10753.5220631759</v>
      </c>
      <c r="AG3613" s="2">
        <v>13124.943709880799</v>
      </c>
      <c r="AH3613" s="2">
        <v>10878.9010368339</v>
      </c>
      <c r="AI3613" s="2">
        <v>11772.4045559557</v>
      </c>
      <c r="AJ3613" s="2">
        <v>10736.912813064801</v>
      </c>
      <c r="AK3613" s="2">
        <v>14512.7376285338</v>
      </c>
      <c r="AL3613" s="2">
        <v>14625.4552090663</v>
      </c>
      <c r="AM3613" s="2">
        <v>15464.810539587301</v>
      </c>
      <c r="AN3613" s="2">
        <v>14215.4308268937</v>
      </c>
      <c r="AO3613" s="2">
        <v>14353.893401347999</v>
      </c>
      <c r="AP3613" s="2">
        <v>14392.665362187599</v>
      </c>
    </row>
    <row r="3614" spans="1:42" ht="14.5" x14ac:dyDescent="0.35">
      <c r="A3614" s="2" t="s">
        <v>24016</v>
      </c>
      <c r="B3614" s="2">
        <v>221.15409011306099</v>
      </c>
      <c r="C3614" s="2">
        <v>10.5979666666667</v>
      </c>
      <c r="D3614" s="2" t="s">
        <v>70</v>
      </c>
      <c r="E3614" s="2" t="s">
        <v>24017</v>
      </c>
      <c r="F3614" s="2">
        <v>59076</v>
      </c>
      <c r="G3614" s="3" t="str">
        <f>HYPERLINK("http://funmeta.oebiotech.com/network/59076", "http://funmeta.oebiotech.com/network/59076")</f>
        <v>http://funmeta.oebiotech.com/network/59076</v>
      </c>
      <c r="H3614" s="2" t="s">
        <v>24018</v>
      </c>
      <c r="I3614" s="2">
        <v>90507</v>
      </c>
      <c r="J3614" s="2"/>
      <c r="K3614" s="2"/>
      <c r="L3614" s="2"/>
      <c r="M3614" s="2"/>
      <c r="N3614" s="2"/>
      <c r="O3614" s="2">
        <v>5369483</v>
      </c>
      <c r="P3614" s="2" t="s">
        <v>24019</v>
      </c>
      <c r="Q3614" s="2" t="s">
        <v>24020</v>
      </c>
      <c r="R3614" s="2" t="s">
        <v>24021</v>
      </c>
      <c r="S3614" s="2" t="s">
        <v>3194</v>
      </c>
      <c r="T3614" s="2" t="s">
        <v>3195</v>
      </c>
      <c r="U3614" s="2" t="s">
        <v>14309</v>
      </c>
      <c r="V3614" s="2" t="s">
        <v>59</v>
      </c>
      <c r="W3614" s="2">
        <v>39</v>
      </c>
      <c r="X3614" s="2">
        <v>0</v>
      </c>
      <c r="Y3614" s="2" t="s">
        <v>408</v>
      </c>
      <c r="Z3614" s="2" t="s">
        <v>24022</v>
      </c>
      <c r="AA3614" s="2">
        <v>-3.4821215034535098</v>
      </c>
      <c r="AB3614" s="2">
        <v>0.203281076573021</v>
      </c>
      <c r="AC3614" s="2">
        <v>55704.409556323699</v>
      </c>
      <c r="AD3614" s="2">
        <v>60076.036073138101</v>
      </c>
      <c r="AE3614" s="2">
        <v>59938.409972637601</v>
      </c>
      <c r="AF3614" s="2">
        <v>56729.673307229299</v>
      </c>
      <c r="AG3614" s="2">
        <v>56110.142327511399</v>
      </c>
      <c r="AH3614" s="2">
        <v>55365.19952391</v>
      </c>
      <c r="AI3614" s="2">
        <v>52349.947067159497</v>
      </c>
      <c r="AJ3614" s="2">
        <v>53733.0851394946</v>
      </c>
      <c r="AK3614" s="2">
        <v>62377.065612279199</v>
      </c>
      <c r="AL3614" s="2">
        <v>62053.332794700698</v>
      </c>
      <c r="AM3614" s="2">
        <v>61976.7621174741</v>
      </c>
      <c r="AN3614" s="2">
        <v>55576.148909354102</v>
      </c>
      <c r="AO3614" s="2">
        <v>62200.799763309602</v>
      </c>
      <c r="AP3614" s="2">
        <v>56272.107241710699</v>
      </c>
    </row>
    <row r="3615" spans="1:42" ht="14.5" x14ac:dyDescent="0.35">
      <c r="A3615" s="2" t="s">
        <v>24023</v>
      </c>
      <c r="B3615" s="2">
        <v>295.08202797784901</v>
      </c>
      <c r="C3615" s="2">
        <v>4.5236333333333301</v>
      </c>
      <c r="D3615" s="2" t="s">
        <v>70</v>
      </c>
      <c r="E3615" s="2" t="s">
        <v>24024</v>
      </c>
      <c r="F3615" s="2">
        <v>58166</v>
      </c>
      <c r="G3615" s="3" t="str">
        <f>HYPERLINK("http://funmeta.oebiotech.com/network/58166", "http://funmeta.oebiotech.com/network/58166")</f>
        <v>http://funmeta.oebiotech.com/network/58166</v>
      </c>
      <c r="H3615" s="2" t="s">
        <v>24025</v>
      </c>
      <c r="I3615" s="2">
        <v>89688</v>
      </c>
      <c r="J3615" s="2"/>
      <c r="K3615" s="2">
        <v>167933</v>
      </c>
      <c r="L3615" s="2"/>
      <c r="M3615" s="2"/>
      <c r="N3615" s="2"/>
      <c r="O3615" s="2">
        <v>14542705</v>
      </c>
      <c r="P3615" s="2" t="s">
        <v>24026</v>
      </c>
      <c r="Q3615" s="2" t="s">
        <v>24027</v>
      </c>
      <c r="R3615" s="2" t="s">
        <v>24028</v>
      </c>
      <c r="S3615" s="2" t="s">
        <v>79</v>
      </c>
      <c r="T3615" s="2" t="s">
        <v>80</v>
      </c>
      <c r="U3615" s="2" t="s">
        <v>81</v>
      </c>
      <c r="V3615" s="2" t="s">
        <v>42</v>
      </c>
      <c r="W3615" s="2">
        <v>55.6</v>
      </c>
      <c r="X3615" s="2">
        <v>82.3</v>
      </c>
      <c r="Y3615" s="2" t="s">
        <v>792</v>
      </c>
      <c r="Z3615" s="2" t="s">
        <v>7231</v>
      </c>
      <c r="AA3615" s="2">
        <v>-0.95012967755087496</v>
      </c>
      <c r="AB3615" s="2">
        <v>0.203157950828248</v>
      </c>
      <c r="AC3615" s="2">
        <v>146397.20445792799</v>
      </c>
      <c r="AD3615" s="2">
        <v>137314.51069289201</v>
      </c>
      <c r="AE3615" s="2">
        <v>137649.752422497</v>
      </c>
      <c r="AF3615" s="2">
        <v>157623.11968067099</v>
      </c>
      <c r="AG3615" s="2">
        <v>150168.350473044</v>
      </c>
      <c r="AH3615" s="2">
        <v>129315.955323911</v>
      </c>
      <c r="AI3615" s="2">
        <v>153920.46173125799</v>
      </c>
      <c r="AJ3615" s="2">
        <v>149705.587116187</v>
      </c>
      <c r="AK3615" s="2">
        <v>125373.909336137</v>
      </c>
      <c r="AL3615" s="2">
        <v>176498.49143054799</v>
      </c>
      <c r="AM3615" s="2">
        <v>139299.42862696201</v>
      </c>
      <c r="AN3615" s="2">
        <v>133347.58940867</v>
      </c>
      <c r="AO3615" s="2">
        <v>127398.79704008</v>
      </c>
      <c r="AP3615" s="2">
        <v>121968.84831495299</v>
      </c>
    </row>
    <row r="3616" spans="1:42" ht="14.5" x14ac:dyDescent="0.35">
      <c r="A3616" s="2" t="s">
        <v>24029</v>
      </c>
      <c r="B3616" s="2">
        <v>355.27459082236197</v>
      </c>
      <c r="C3616" s="2">
        <v>9.6350833333333306</v>
      </c>
      <c r="D3616" s="2" t="s">
        <v>34</v>
      </c>
      <c r="E3616" s="2" t="s">
        <v>24030</v>
      </c>
      <c r="F3616" s="2">
        <v>47753</v>
      </c>
      <c r="G3616" s="3" t="str">
        <f>HYPERLINK("http://funmeta.oebiotech.com/network/47753", "http://funmeta.oebiotech.com/network/47753")</f>
        <v>http://funmeta.oebiotech.com/network/47753</v>
      </c>
      <c r="H3616" s="2" t="s">
        <v>24031</v>
      </c>
      <c r="I3616" s="2">
        <v>2698</v>
      </c>
      <c r="J3616" s="2"/>
      <c r="K3616" s="2">
        <v>5062</v>
      </c>
      <c r="L3616" s="2"/>
      <c r="M3616" s="2"/>
      <c r="N3616" s="2"/>
      <c r="O3616" s="2">
        <v>57363</v>
      </c>
      <c r="P3616" s="2" t="s">
        <v>24032</v>
      </c>
      <c r="Q3616" s="2" t="s">
        <v>24033</v>
      </c>
      <c r="R3616" s="2" t="s">
        <v>24034</v>
      </c>
      <c r="S3616" s="2" t="s">
        <v>50</v>
      </c>
      <c r="T3616" s="2" t="s">
        <v>124</v>
      </c>
      <c r="U3616" s="2" t="s">
        <v>2373</v>
      </c>
      <c r="V3616" s="2" t="s">
        <v>59</v>
      </c>
      <c r="W3616" s="2">
        <v>36.5</v>
      </c>
      <c r="X3616" s="2">
        <v>0</v>
      </c>
      <c r="Y3616" s="2" t="s">
        <v>141</v>
      </c>
      <c r="Z3616" s="2" t="s">
        <v>24035</v>
      </c>
      <c r="AA3616" s="2">
        <v>0.53903076488385304</v>
      </c>
      <c r="AB3616" s="2">
        <v>0.20315767141094401</v>
      </c>
      <c r="AC3616" s="2">
        <v>21181.402748028599</v>
      </c>
      <c r="AD3616" s="2">
        <v>18168.9601483882</v>
      </c>
      <c r="AE3616" s="2">
        <v>20368.1880479346</v>
      </c>
      <c r="AF3616" s="2">
        <v>21055.396621135402</v>
      </c>
      <c r="AG3616" s="2">
        <v>21726.882011410202</v>
      </c>
      <c r="AH3616" s="2">
        <v>21814.848135590699</v>
      </c>
      <c r="AI3616" s="2">
        <v>21121.2797174681</v>
      </c>
      <c r="AJ3616" s="2">
        <v>21001.821954632502</v>
      </c>
      <c r="AK3616" s="2">
        <v>18974.784993875499</v>
      </c>
      <c r="AL3616" s="2">
        <v>19474.762147121601</v>
      </c>
      <c r="AM3616" s="2">
        <v>18025.0266281859</v>
      </c>
      <c r="AN3616" s="2">
        <v>17642.171404213801</v>
      </c>
      <c r="AO3616" s="2">
        <v>18326.553460608899</v>
      </c>
      <c r="AP3616" s="2">
        <v>16570.462256323601</v>
      </c>
    </row>
    <row r="3617" spans="1:42" ht="14.5" x14ac:dyDescent="0.35">
      <c r="A3617" s="2" t="s">
        <v>24036</v>
      </c>
      <c r="B3617" s="2">
        <v>543.20132568157806</v>
      </c>
      <c r="C3617" s="2">
        <v>5.84148333333333</v>
      </c>
      <c r="D3617" s="2" t="s">
        <v>70</v>
      </c>
      <c r="E3617" s="2" t="s">
        <v>24037</v>
      </c>
      <c r="F3617" s="2">
        <v>278889</v>
      </c>
      <c r="G3617" s="3" t="str">
        <f>HYPERLINK("http://funmeta.oebiotech.com/network/278889", "http://funmeta.oebiotech.com/network/278889")</f>
        <v>http://funmeta.oebiotech.com/network/278889</v>
      </c>
      <c r="H3617" s="2"/>
      <c r="I3617" s="2">
        <v>71298</v>
      </c>
      <c r="J3617" s="2"/>
      <c r="K3617" s="2"/>
      <c r="L3617" s="2" t="s">
        <v>24038</v>
      </c>
      <c r="M3617" s="2"/>
      <c r="N3617" s="2"/>
      <c r="O3617" s="2">
        <v>10345799</v>
      </c>
      <c r="P3617" s="2" t="s">
        <v>24039</v>
      </c>
      <c r="Q3617" s="2" t="s">
        <v>24040</v>
      </c>
      <c r="R3617" s="2" t="s">
        <v>24041</v>
      </c>
      <c r="S3617" s="2" t="s">
        <v>491</v>
      </c>
      <c r="T3617" s="2" t="s">
        <v>2184</v>
      </c>
      <c r="U3617" s="2" t="s">
        <v>8234</v>
      </c>
      <c r="V3617" s="2" t="s">
        <v>59</v>
      </c>
      <c r="W3617" s="2">
        <v>36.299999999999997</v>
      </c>
      <c r="X3617" s="2">
        <v>0</v>
      </c>
      <c r="Y3617" s="2" t="s">
        <v>408</v>
      </c>
      <c r="Z3617" s="2" t="s">
        <v>24042</v>
      </c>
      <c r="AA3617" s="2">
        <v>5.8347694467900197</v>
      </c>
      <c r="AB3617" s="2">
        <v>0.20307473101987</v>
      </c>
      <c r="AC3617" s="2">
        <v>5261.0880248610001</v>
      </c>
      <c r="AD3617" s="2">
        <v>2204.7498897037199</v>
      </c>
      <c r="AE3617" s="2">
        <v>5725.3539223953103</v>
      </c>
      <c r="AF3617" s="2">
        <v>5323.9919797217399</v>
      </c>
      <c r="AG3617" s="2">
        <v>4376.2723476360497</v>
      </c>
      <c r="AH3617" s="2">
        <v>6354.0819053672303</v>
      </c>
      <c r="AI3617" s="2">
        <v>4290.9412635960298</v>
      </c>
      <c r="AJ3617" s="2">
        <v>5495.8867304496198</v>
      </c>
      <c r="AK3617" s="2">
        <v>3003.2509387923001</v>
      </c>
      <c r="AL3617" s="2">
        <v>1148.676691008</v>
      </c>
      <c r="AM3617" s="2">
        <v>2346.9094107708602</v>
      </c>
      <c r="AN3617" s="2">
        <v>2561.3464451073601</v>
      </c>
      <c r="AO3617" s="2">
        <v>3232.09497997876</v>
      </c>
      <c r="AP3617" s="2">
        <v>936.22087256506597</v>
      </c>
    </row>
    <row r="3618" spans="1:42" ht="14.5" x14ac:dyDescent="0.35">
      <c r="A3618" s="2" t="s">
        <v>24043</v>
      </c>
      <c r="B3618" s="2">
        <v>455.13129633536198</v>
      </c>
      <c r="C3618" s="2">
        <v>5.1206500000000004</v>
      </c>
      <c r="D3618" s="2" t="s">
        <v>34</v>
      </c>
      <c r="E3618" s="2" t="s">
        <v>24044</v>
      </c>
      <c r="F3618" s="2">
        <v>534725</v>
      </c>
      <c r="G3618" s="3" t="str">
        <f>HYPERLINK("http://funmeta.oebiotech.com/network/534725", "http://funmeta.oebiotech.com/network/534725")</f>
        <v>http://funmeta.oebiotech.com/network/534725</v>
      </c>
      <c r="H3618" s="2"/>
      <c r="I3618" s="2">
        <v>985432</v>
      </c>
      <c r="J3618" s="2"/>
      <c r="K3618" s="2"/>
      <c r="L3618" s="2"/>
      <c r="M3618" s="2"/>
      <c r="N3618" s="2"/>
      <c r="O3618" s="2">
        <v>10993414</v>
      </c>
      <c r="P3618" s="2"/>
      <c r="Q3618" s="2" t="s">
        <v>24045</v>
      </c>
      <c r="R3618" s="2" t="s">
        <v>24046</v>
      </c>
      <c r="S3618" s="2" t="s">
        <v>79</v>
      </c>
      <c r="T3618" s="2" t="s">
        <v>80</v>
      </c>
      <c r="U3618" s="2" t="s">
        <v>81</v>
      </c>
      <c r="V3618" s="2" t="s">
        <v>59</v>
      </c>
      <c r="W3618" s="2">
        <v>38</v>
      </c>
      <c r="X3618" s="2">
        <v>0</v>
      </c>
      <c r="Y3618" s="2" t="s">
        <v>340</v>
      </c>
      <c r="Z3618" s="2" t="s">
        <v>530</v>
      </c>
      <c r="AA3618" s="2">
        <v>-0.26152451251584102</v>
      </c>
      <c r="AB3618" s="2">
        <v>0.20303604178585599</v>
      </c>
      <c r="AC3618" s="2">
        <v>12232.4331260983</v>
      </c>
      <c r="AD3618" s="2">
        <v>15946.5966072834</v>
      </c>
      <c r="AE3618" s="2">
        <v>11885.1776655658</v>
      </c>
      <c r="AF3618" s="2">
        <v>10681.4688202364</v>
      </c>
      <c r="AG3618" s="2">
        <v>12598.8039649735</v>
      </c>
      <c r="AH3618" s="2">
        <v>10538.726880852</v>
      </c>
      <c r="AI3618" s="2">
        <v>12459.3477031364</v>
      </c>
      <c r="AJ3618" s="2">
        <v>15231.0737218256</v>
      </c>
      <c r="AK3618" s="2">
        <v>16645.995901054699</v>
      </c>
      <c r="AL3618" s="2">
        <v>19148.336697800602</v>
      </c>
      <c r="AM3618" s="2">
        <v>16050.7412627908</v>
      </c>
      <c r="AN3618" s="2">
        <v>14595.2655350191</v>
      </c>
      <c r="AO3618" s="2">
        <v>16275.7067870146</v>
      </c>
      <c r="AP3618" s="2">
        <v>12963.533460020601</v>
      </c>
    </row>
    <row r="3619" spans="1:42" ht="14.5" x14ac:dyDescent="0.35">
      <c r="A3619" s="2" t="s">
        <v>24047</v>
      </c>
      <c r="B3619" s="2">
        <v>475.19677815936302</v>
      </c>
      <c r="C3619" s="2">
        <v>6.2733666666666696</v>
      </c>
      <c r="D3619" s="2" t="s">
        <v>70</v>
      </c>
      <c r="E3619" s="2" t="s">
        <v>24048</v>
      </c>
      <c r="F3619" s="2">
        <v>61977</v>
      </c>
      <c r="G3619" s="3" t="str">
        <f>HYPERLINK("http://funmeta.oebiotech.com/network/61977", "http://funmeta.oebiotech.com/network/61977")</f>
        <v>http://funmeta.oebiotech.com/network/61977</v>
      </c>
      <c r="H3619" s="2" t="s">
        <v>24049</v>
      </c>
      <c r="I3619" s="2"/>
      <c r="J3619" s="2"/>
      <c r="K3619" s="2"/>
      <c r="L3619" s="2"/>
      <c r="M3619" s="2"/>
      <c r="N3619" s="2"/>
      <c r="O3619" s="2"/>
      <c r="P3619" s="2" t="s">
        <v>24050</v>
      </c>
      <c r="Q3619" s="2" t="s">
        <v>24051</v>
      </c>
      <c r="R3619" s="2" t="s">
        <v>24052</v>
      </c>
      <c r="S3619" s="2" t="s">
        <v>50</v>
      </c>
      <c r="T3619" s="2" t="s">
        <v>201</v>
      </c>
      <c r="U3619" s="2" t="s">
        <v>202</v>
      </c>
      <c r="V3619" s="2" t="s">
        <v>42</v>
      </c>
      <c r="W3619" s="2">
        <v>51.7</v>
      </c>
      <c r="X3619" s="2">
        <v>66.5</v>
      </c>
      <c r="Y3619" s="2" t="s">
        <v>751</v>
      </c>
      <c r="Z3619" s="2" t="s">
        <v>10015</v>
      </c>
      <c r="AA3619" s="2">
        <v>-1.1695444021539501</v>
      </c>
      <c r="AB3619" s="2">
        <v>0.20299170102519501</v>
      </c>
      <c r="AC3619" s="2">
        <v>5060.4556692047399</v>
      </c>
      <c r="AD3619" s="2">
        <v>2106.5572624367801</v>
      </c>
      <c r="AE3619" s="2">
        <v>4347.0857211105604</v>
      </c>
      <c r="AF3619" s="2">
        <v>4937.1834117179997</v>
      </c>
      <c r="AG3619" s="2">
        <v>4113.0157965161497</v>
      </c>
      <c r="AH3619" s="2">
        <v>5629.7066686612598</v>
      </c>
      <c r="AI3619" s="2">
        <v>6076.1333178872501</v>
      </c>
      <c r="AJ3619" s="2">
        <v>5259.60909933522</v>
      </c>
      <c r="AK3619" s="2">
        <v>2706.5897484700399</v>
      </c>
      <c r="AL3619" s="2">
        <v>2325.0949317725199</v>
      </c>
      <c r="AM3619" s="2">
        <v>1336.7062685227099</v>
      </c>
      <c r="AN3619" s="2">
        <v>2196.0727476868201</v>
      </c>
      <c r="AO3619" s="2">
        <v>1347.5441561826699</v>
      </c>
      <c r="AP3619" s="2">
        <v>2727.3357219859199</v>
      </c>
    </row>
    <row r="3620" spans="1:42" ht="14.5" x14ac:dyDescent="0.35">
      <c r="A3620" s="2" t="s">
        <v>24053</v>
      </c>
      <c r="B3620" s="2">
        <v>447.22367207486599</v>
      </c>
      <c r="C3620" s="2">
        <v>4.7931333333333299</v>
      </c>
      <c r="D3620" s="2" t="s">
        <v>70</v>
      </c>
      <c r="E3620" s="2" t="s">
        <v>24054</v>
      </c>
      <c r="F3620" s="2">
        <v>52639</v>
      </c>
      <c r="G3620" s="3" t="str">
        <f>HYPERLINK("http://funmeta.oebiotech.com/network/52639", "http://funmeta.oebiotech.com/network/52639")</f>
        <v>http://funmeta.oebiotech.com/network/52639</v>
      </c>
      <c r="H3620" s="2" t="s">
        <v>24055</v>
      </c>
      <c r="I3620" s="2">
        <v>3941</v>
      </c>
      <c r="J3620" s="2"/>
      <c r="K3620" s="2">
        <v>102524</v>
      </c>
      <c r="L3620" s="2"/>
      <c r="M3620" s="2"/>
      <c r="N3620" s="2"/>
      <c r="O3620" s="2">
        <v>2481</v>
      </c>
      <c r="P3620" s="2" t="s">
        <v>24056</v>
      </c>
      <c r="Q3620" s="2" t="s">
        <v>24057</v>
      </c>
      <c r="R3620" s="2" t="s">
        <v>24058</v>
      </c>
      <c r="S3620" s="2" t="s">
        <v>491</v>
      </c>
      <c r="T3620" s="2" t="s">
        <v>4517</v>
      </c>
      <c r="U3620" s="2" t="s">
        <v>4518</v>
      </c>
      <c r="V3620" s="2" t="s">
        <v>59</v>
      </c>
      <c r="W3620" s="2">
        <v>38.700000000000003</v>
      </c>
      <c r="X3620" s="2">
        <v>0</v>
      </c>
      <c r="Y3620" s="2" t="s">
        <v>560</v>
      </c>
      <c r="Z3620" s="2" t="s">
        <v>24059</v>
      </c>
      <c r="AA3620" s="2">
        <v>-2.7580704282951101</v>
      </c>
      <c r="AB3620" s="2">
        <v>0.20288920835973101</v>
      </c>
      <c r="AC3620" s="2">
        <v>62810.356636633202</v>
      </c>
      <c r="AD3620" s="2">
        <v>58772.051255145198</v>
      </c>
      <c r="AE3620" s="2">
        <v>63225.905217066203</v>
      </c>
      <c r="AF3620" s="2">
        <v>61763.738005422201</v>
      </c>
      <c r="AG3620" s="2">
        <v>63646.811863902702</v>
      </c>
      <c r="AH3620" s="2">
        <v>59022.504712447197</v>
      </c>
      <c r="AI3620" s="2">
        <v>65306.547882962499</v>
      </c>
      <c r="AJ3620" s="2">
        <v>63896.632137998502</v>
      </c>
      <c r="AK3620" s="2">
        <v>60536.358353125397</v>
      </c>
      <c r="AL3620" s="2">
        <v>57508.509512267898</v>
      </c>
      <c r="AM3620" s="2">
        <v>63040.232242402599</v>
      </c>
      <c r="AN3620" s="2">
        <v>56991.837184161901</v>
      </c>
      <c r="AO3620" s="2">
        <v>55761.149014704999</v>
      </c>
      <c r="AP3620" s="2">
        <v>58794.221224208603</v>
      </c>
    </row>
    <row r="3621" spans="1:42" ht="14.5" x14ac:dyDescent="0.35">
      <c r="A3621" s="2" t="s">
        <v>24060</v>
      </c>
      <c r="B3621" s="2">
        <v>583.28756215535202</v>
      </c>
      <c r="C3621" s="2">
        <v>10.792766666666701</v>
      </c>
      <c r="D3621" s="2" t="s">
        <v>34</v>
      </c>
      <c r="E3621" s="2" t="s">
        <v>24061</v>
      </c>
      <c r="F3621" s="2">
        <v>24882</v>
      </c>
      <c r="G3621" s="3" t="str">
        <f>HYPERLINK("http://funmeta.oebiotech.com/network/24882", "http://funmeta.oebiotech.com/network/24882")</f>
        <v>http://funmeta.oebiotech.com/network/24882</v>
      </c>
      <c r="H3621" s="2"/>
      <c r="I3621" s="2"/>
      <c r="J3621" s="2" t="s">
        <v>24062</v>
      </c>
      <c r="K3621" s="2"/>
      <c r="L3621" s="2"/>
      <c r="M3621" s="2"/>
      <c r="N3621" s="2"/>
      <c r="O3621" s="2">
        <v>52928610</v>
      </c>
      <c r="P3621" s="2"/>
      <c r="Q3621" s="2" t="s">
        <v>24063</v>
      </c>
      <c r="R3621" s="2" t="s">
        <v>24064</v>
      </c>
      <c r="S3621" s="2" t="s">
        <v>50</v>
      </c>
      <c r="T3621" s="2" t="s">
        <v>51</v>
      </c>
      <c r="U3621" s="2" t="s">
        <v>52</v>
      </c>
      <c r="V3621" s="2" t="s">
        <v>59</v>
      </c>
      <c r="W3621" s="2">
        <v>38.5</v>
      </c>
      <c r="X3621" s="2">
        <v>0</v>
      </c>
      <c r="Y3621" s="2" t="s">
        <v>394</v>
      </c>
      <c r="Z3621" s="2" t="s">
        <v>24065</v>
      </c>
      <c r="AA3621" s="2">
        <v>-0.391303938470624</v>
      </c>
      <c r="AB3621" s="2">
        <v>0.20286496199700099</v>
      </c>
      <c r="AC3621" s="2">
        <v>2762.2342627215098</v>
      </c>
      <c r="AD3621" s="2">
        <v>2.7106294003980101E-5</v>
      </c>
      <c r="AE3621" s="2">
        <v>2450.2263021212698</v>
      </c>
      <c r="AF3621" s="2">
        <v>3313.04473494894</v>
      </c>
      <c r="AG3621" s="2">
        <v>3130.4270910187302</v>
      </c>
      <c r="AH3621" s="2">
        <v>2231.7710811658499</v>
      </c>
      <c r="AI3621" s="2">
        <v>2282.17808048606</v>
      </c>
      <c r="AJ3621" s="2">
        <v>3165.75828658821</v>
      </c>
      <c r="AK3621" s="2">
        <v>2.7106294003980101E-5</v>
      </c>
      <c r="AL3621" s="2">
        <v>2.7106294003980101E-5</v>
      </c>
      <c r="AM3621" s="2">
        <v>2.7106294003980101E-5</v>
      </c>
      <c r="AN3621" s="2">
        <v>2.7106294003980101E-5</v>
      </c>
      <c r="AO3621" s="2">
        <v>2.7106294003980101E-5</v>
      </c>
      <c r="AP3621" s="2">
        <v>2.7106294003980101E-5</v>
      </c>
    </row>
    <row r="3622" spans="1:42" ht="14.5" x14ac:dyDescent="0.35">
      <c r="A3622" s="2" t="s">
        <v>24066</v>
      </c>
      <c r="B3622" s="2">
        <v>668.34312040203201</v>
      </c>
      <c r="C3622" s="2">
        <v>8.8588333333333296</v>
      </c>
      <c r="D3622" s="2" t="s">
        <v>34</v>
      </c>
      <c r="E3622" s="2" t="s">
        <v>24067</v>
      </c>
      <c r="F3622" s="2">
        <v>209430</v>
      </c>
      <c r="G3622" s="3" t="str">
        <f>HYPERLINK("http://funmeta.oebiotech.com/network/209430", "http://funmeta.oebiotech.com/network/209430")</f>
        <v>http://funmeta.oebiotech.com/network/209430</v>
      </c>
      <c r="H3622" s="2" t="s">
        <v>24068</v>
      </c>
      <c r="I3622" s="2"/>
      <c r="J3622" s="2"/>
      <c r="K3622" s="2"/>
      <c r="L3622" s="2"/>
      <c r="M3622" s="2"/>
      <c r="N3622" s="2"/>
      <c r="O3622" s="2">
        <v>4424</v>
      </c>
      <c r="P3622" s="2"/>
      <c r="Q3622" s="2" t="s">
        <v>24069</v>
      </c>
      <c r="R3622" s="2" t="s">
        <v>24070</v>
      </c>
      <c r="S3622" s="2" t="s">
        <v>148</v>
      </c>
      <c r="T3622" s="2" t="s">
        <v>11004</v>
      </c>
      <c r="U3622" s="2" t="s">
        <v>41</v>
      </c>
      <c r="V3622" s="2" t="s">
        <v>59</v>
      </c>
      <c r="W3622" s="2">
        <v>38.6</v>
      </c>
      <c r="X3622" s="2">
        <v>0</v>
      </c>
      <c r="Y3622" s="2" t="s">
        <v>43</v>
      </c>
      <c r="Z3622" s="2" t="s">
        <v>24071</v>
      </c>
      <c r="AA3622" s="2">
        <v>-1.75333411020628</v>
      </c>
      <c r="AB3622" s="2">
        <v>0.202409799242386</v>
      </c>
      <c r="AC3622" s="2">
        <v>34944.499805096202</v>
      </c>
      <c r="AD3622" s="2">
        <v>38904.307822676798</v>
      </c>
      <c r="AE3622" s="2">
        <v>34863.188830631203</v>
      </c>
      <c r="AF3622" s="2">
        <v>34821.828027648597</v>
      </c>
      <c r="AG3622" s="2">
        <v>34158.499426400303</v>
      </c>
      <c r="AH3622" s="2">
        <v>35693.521657569603</v>
      </c>
      <c r="AI3622" s="2">
        <v>33677.091460962503</v>
      </c>
      <c r="AJ3622" s="2">
        <v>36452.8694273648</v>
      </c>
      <c r="AK3622" s="2">
        <v>37409.198464840003</v>
      </c>
      <c r="AL3622" s="2">
        <v>43494.655129935702</v>
      </c>
      <c r="AM3622" s="2">
        <v>37453.7418892477</v>
      </c>
      <c r="AN3622" s="2">
        <v>38947.656060806701</v>
      </c>
      <c r="AO3622" s="2">
        <v>41361.026689114202</v>
      </c>
      <c r="AP3622" s="2">
        <v>34759.568702116398</v>
      </c>
    </row>
    <row r="3623" spans="1:42" ht="14.5" x14ac:dyDescent="0.35">
      <c r="A3623" s="2" t="s">
        <v>24072</v>
      </c>
      <c r="B3623" s="2">
        <v>387.202357963309</v>
      </c>
      <c r="C3623" s="2">
        <v>4.8264500000000004</v>
      </c>
      <c r="D3623" s="2" t="s">
        <v>70</v>
      </c>
      <c r="E3623" s="2" t="s">
        <v>24073</v>
      </c>
      <c r="F3623" s="2">
        <v>64529</v>
      </c>
      <c r="G3623" s="3" t="str">
        <f>HYPERLINK("http://funmeta.oebiotech.com/network/64529", "http://funmeta.oebiotech.com/network/64529")</f>
        <v>http://funmeta.oebiotech.com/network/64529</v>
      </c>
      <c r="H3623" s="2" t="s">
        <v>24074</v>
      </c>
      <c r="I3623" s="2">
        <v>95836</v>
      </c>
      <c r="J3623" s="2"/>
      <c r="K3623" s="2"/>
      <c r="L3623" s="2"/>
      <c r="M3623" s="2"/>
      <c r="N3623" s="2"/>
      <c r="O3623" s="2">
        <v>25263054</v>
      </c>
      <c r="P3623" s="2" t="s">
        <v>24075</v>
      </c>
      <c r="Q3623" s="2" t="s">
        <v>24076</v>
      </c>
      <c r="R3623" s="2" t="s">
        <v>24077</v>
      </c>
      <c r="S3623" s="2" t="s">
        <v>491</v>
      </c>
      <c r="T3623" s="2" t="s">
        <v>14134</v>
      </c>
      <c r="U3623" s="2" t="s">
        <v>41</v>
      </c>
      <c r="V3623" s="2" t="s">
        <v>59</v>
      </c>
      <c r="W3623" s="2">
        <v>38.799999999999997</v>
      </c>
      <c r="X3623" s="2">
        <v>0</v>
      </c>
      <c r="Y3623" s="2" t="s">
        <v>560</v>
      </c>
      <c r="Z3623" s="2" t="s">
        <v>24078</v>
      </c>
      <c r="AA3623" s="2">
        <v>-3.6603802792105302</v>
      </c>
      <c r="AB3623" s="2">
        <v>0.202278743325181</v>
      </c>
      <c r="AC3623" s="2">
        <v>2143.6290357211201</v>
      </c>
      <c r="AD3623" s="2">
        <v>4878.3045103886398</v>
      </c>
      <c r="AE3623" s="2">
        <v>2095.1553958140398</v>
      </c>
      <c r="AF3623" s="2">
        <v>2062.75764876024</v>
      </c>
      <c r="AG3623" s="2">
        <v>1590.67276883569</v>
      </c>
      <c r="AH3623" s="2">
        <v>2192.83897697665</v>
      </c>
      <c r="AI3623" s="2">
        <v>2609.4150673930199</v>
      </c>
      <c r="AJ3623" s="2">
        <v>2310.9343565470499</v>
      </c>
      <c r="AK3623" s="2">
        <v>4728.2749688274098</v>
      </c>
      <c r="AL3623" s="2">
        <v>4322.9785384176203</v>
      </c>
      <c r="AM3623" s="2">
        <v>5128.1649689120204</v>
      </c>
      <c r="AN3623" s="2">
        <v>5176.9263887835295</v>
      </c>
      <c r="AO3623" s="2">
        <v>4925.9512310028404</v>
      </c>
      <c r="AP3623" s="2">
        <v>4987.53096638844</v>
      </c>
    </row>
    <row r="3624" spans="1:42" ht="14.5" x14ac:dyDescent="0.35">
      <c r="A3624" s="2" t="s">
        <v>24079</v>
      </c>
      <c r="B3624" s="2">
        <v>641.25996561137401</v>
      </c>
      <c r="C3624" s="2">
        <v>10.09625</v>
      </c>
      <c r="D3624" s="2" t="s">
        <v>70</v>
      </c>
      <c r="E3624" s="2" t="s">
        <v>24080</v>
      </c>
      <c r="F3624" s="2">
        <v>44825</v>
      </c>
      <c r="G3624" s="3" t="str">
        <f>HYPERLINK("http://funmeta.oebiotech.com/network/44825", "http://funmeta.oebiotech.com/network/44825")</f>
        <v>http://funmeta.oebiotech.com/network/44825</v>
      </c>
      <c r="H3624" s="2"/>
      <c r="I3624" s="2"/>
      <c r="J3624" s="2" t="s">
        <v>24081</v>
      </c>
      <c r="K3624" s="2"/>
      <c r="L3624" s="2"/>
      <c r="M3624" s="2"/>
      <c r="N3624" s="2"/>
      <c r="O3624" s="2">
        <v>56662029</v>
      </c>
      <c r="P3624" s="2"/>
      <c r="Q3624" s="2" t="s">
        <v>24082</v>
      </c>
      <c r="R3624" s="2" t="s">
        <v>24083</v>
      </c>
      <c r="S3624" s="2" t="s">
        <v>50</v>
      </c>
      <c r="T3624" s="2" t="s">
        <v>124</v>
      </c>
      <c r="U3624" s="2" t="s">
        <v>567</v>
      </c>
      <c r="V3624" s="2" t="s">
        <v>59</v>
      </c>
      <c r="W3624" s="2">
        <v>45.5</v>
      </c>
      <c r="X3624" s="2">
        <v>34.799999999999997</v>
      </c>
      <c r="Y3624" s="2" t="s">
        <v>751</v>
      </c>
      <c r="Z3624" s="2" t="s">
        <v>24084</v>
      </c>
      <c r="AA3624" s="2">
        <v>-0.58268467812980096</v>
      </c>
      <c r="AB3624" s="2">
        <v>0.202237414175059</v>
      </c>
      <c r="AC3624" s="2">
        <v>22018.8492816623</v>
      </c>
      <c r="AD3624" s="2">
        <v>25345.103547235401</v>
      </c>
      <c r="AE3624" s="2">
        <v>21880.977234936701</v>
      </c>
      <c r="AF3624" s="2">
        <v>23110.2795295945</v>
      </c>
      <c r="AG3624" s="2">
        <v>21518.041138410299</v>
      </c>
      <c r="AH3624" s="2">
        <v>22550.709943586699</v>
      </c>
      <c r="AI3624" s="2">
        <v>21148.479088984499</v>
      </c>
      <c r="AJ3624" s="2">
        <v>21904.608754461002</v>
      </c>
      <c r="AK3624" s="2">
        <v>24589.500666702501</v>
      </c>
      <c r="AL3624" s="2">
        <v>25147.6638373266</v>
      </c>
      <c r="AM3624" s="2">
        <v>28750.367016355402</v>
      </c>
      <c r="AN3624" s="2">
        <v>24252.044662707602</v>
      </c>
      <c r="AO3624" s="2">
        <v>25297.994284215001</v>
      </c>
      <c r="AP3624" s="2">
        <v>24033.050816104998</v>
      </c>
    </row>
    <row r="3625" spans="1:42" ht="14.5" x14ac:dyDescent="0.35">
      <c r="A3625" s="2" t="s">
        <v>24085</v>
      </c>
      <c r="B3625" s="2">
        <v>469.25565979138401</v>
      </c>
      <c r="C3625" s="2">
        <v>11.442033333333301</v>
      </c>
      <c r="D3625" s="2" t="s">
        <v>34</v>
      </c>
      <c r="E3625" s="2" t="s">
        <v>24086</v>
      </c>
      <c r="F3625" s="2">
        <v>23680</v>
      </c>
      <c r="G3625" s="3" t="str">
        <f>HYPERLINK("http://funmeta.oebiotech.com/network/23680", "http://funmeta.oebiotech.com/network/23680")</f>
        <v>http://funmeta.oebiotech.com/network/23680</v>
      </c>
      <c r="H3625" s="2"/>
      <c r="I3625" s="2">
        <v>80006</v>
      </c>
      <c r="J3625" s="2" t="s">
        <v>24087</v>
      </c>
      <c r="K3625" s="2"/>
      <c r="L3625" s="2"/>
      <c r="M3625" s="2"/>
      <c r="N3625" s="2"/>
      <c r="O3625" s="2">
        <v>52927441</v>
      </c>
      <c r="P3625" s="2"/>
      <c r="Q3625" s="2" t="s">
        <v>24088</v>
      </c>
      <c r="R3625" s="2" t="s">
        <v>24089</v>
      </c>
      <c r="S3625" s="2" t="s">
        <v>50</v>
      </c>
      <c r="T3625" s="2" t="s">
        <v>51</v>
      </c>
      <c r="U3625" s="2" t="s">
        <v>738</v>
      </c>
      <c r="V3625" s="2" t="s">
        <v>59</v>
      </c>
      <c r="W3625" s="2">
        <v>36.1</v>
      </c>
      <c r="X3625" s="2">
        <v>0</v>
      </c>
      <c r="Y3625" s="2" t="s">
        <v>394</v>
      </c>
      <c r="Z3625" s="2" t="s">
        <v>24090</v>
      </c>
      <c r="AA3625" s="2">
        <v>-0.93147384076314899</v>
      </c>
      <c r="AB3625" s="2">
        <v>0.20216736159884</v>
      </c>
      <c r="AC3625" s="2">
        <v>2742.8090830741398</v>
      </c>
      <c r="AD3625" s="2">
        <v>49.364565930654202</v>
      </c>
      <c r="AE3625" s="2">
        <v>2847.6855729713602</v>
      </c>
      <c r="AF3625" s="2">
        <v>2900.8609084954501</v>
      </c>
      <c r="AG3625" s="2">
        <v>2597.2865598538501</v>
      </c>
      <c r="AH3625" s="2">
        <v>2504.6866125489601</v>
      </c>
      <c r="AI3625" s="2">
        <v>2665.4864715783301</v>
      </c>
      <c r="AJ3625" s="2">
        <v>2940.8483729968998</v>
      </c>
      <c r="AK3625" s="2">
        <v>2.7106294003980101E-5</v>
      </c>
      <c r="AL3625" s="2">
        <v>296.18726005245497</v>
      </c>
      <c r="AM3625" s="2">
        <v>2.7106294003980101E-5</v>
      </c>
      <c r="AN3625" s="2">
        <v>2.7106294003980101E-5</v>
      </c>
      <c r="AO3625" s="2">
        <v>2.7106294003980101E-5</v>
      </c>
      <c r="AP3625" s="2">
        <v>2.7106294003980101E-5</v>
      </c>
    </row>
    <row r="3626" spans="1:42" ht="14.5" x14ac:dyDescent="0.35">
      <c r="A3626" s="2" t="s">
        <v>24091</v>
      </c>
      <c r="B3626" s="2">
        <v>457.204443824186</v>
      </c>
      <c r="C3626" s="2">
        <v>5.3342833333333299</v>
      </c>
      <c r="D3626" s="2" t="s">
        <v>34</v>
      </c>
      <c r="E3626" s="2" t="s">
        <v>24092</v>
      </c>
      <c r="F3626" s="2">
        <v>35</v>
      </c>
      <c r="G3626" s="3" t="str">
        <f>HYPERLINK("http://funmeta.oebiotech.com/network/35", "http://funmeta.oebiotech.com/network/35")</f>
        <v>http://funmeta.oebiotech.com/network/35</v>
      </c>
      <c r="H3626" s="2"/>
      <c r="I3626" s="2"/>
      <c r="J3626" s="2" t="s">
        <v>24093</v>
      </c>
      <c r="K3626" s="2"/>
      <c r="L3626" s="2"/>
      <c r="M3626" s="2"/>
      <c r="N3626" s="2"/>
      <c r="O3626" s="2">
        <v>101891710</v>
      </c>
      <c r="P3626" s="2"/>
      <c r="Q3626" s="2" t="s">
        <v>24094</v>
      </c>
      <c r="R3626" s="2" t="s">
        <v>24095</v>
      </c>
      <c r="S3626" s="2" t="s">
        <v>50</v>
      </c>
      <c r="T3626" s="2" t="s">
        <v>229</v>
      </c>
      <c r="U3626" s="2" t="s">
        <v>433</v>
      </c>
      <c r="V3626" s="2" t="s">
        <v>59</v>
      </c>
      <c r="W3626" s="2">
        <v>38.299999999999997</v>
      </c>
      <c r="X3626" s="2">
        <v>0</v>
      </c>
      <c r="Y3626" s="2" t="s">
        <v>340</v>
      </c>
      <c r="Z3626" s="2" t="s">
        <v>24096</v>
      </c>
      <c r="AA3626" s="2">
        <v>-3.66053747353864</v>
      </c>
      <c r="AB3626" s="2">
        <v>0.20212913264955901</v>
      </c>
      <c r="AC3626" s="2">
        <v>40162.121580430998</v>
      </c>
      <c r="AD3626" s="2">
        <v>36213.767208723802</v>
      </c>
      <c r="AE3626" s="2">
        <v>42503.110045394402</v>
      </c>
      <c r="AF3626" s="2">
        <v>38237.818986948601</v>
      </c>
      <c r="AG3626" s="2">
        <v>41235.555613743003</v>
      </c>
      <c r="AH3626" s="2">
        <v>37325.584339049303</v>
      </c>
      <c r="AI3626" s="2">
        <v>38726.636086984799</v>
      </c>
      <c r="AJ3626" s="2">
        <v>42944.024410466198</v>
      </c>
      <c r="AK3626" s="2">
        <v>35504.183082832104</v>
      </c>
      <c r="AL3626" s="2">
        <v>37034.573037476497</v>
      </c>
      <c r="AM3626" s="2">
        <v>39560.556337654998</v>
      </c>
      <c r="AN3626" s="2">
        <v>37484.618069557197</v>
      </c>
      <c r="AO3626" s="2">
        <v>32845.732630353501</v>
      </c>
      <c r="AP3626" s="2">
        <v>34852.940094468802</v>
      </c>
    </row>
    <row r="3627" spans="1:42" ht="14.5" x14ac:dyDescent="0.35">
      <c r="A3627" s="2" t="s">
        <v>24097</v>
      </c>
      <c r="B3627" s="2">
        <v>565.22885127624897</v>
      </c>
      <c r="C3627" s="2">
        <v>6.9333</v>
      </c>
      <c r="D3627" s="2" t="s">
        <v>70</v>
      </c>
      <c r="E3627" s="2" t="s">
        <v>24098</v>
      </c>
      <c r="F3627" s="2">
        <v>60243</v>
      </c>
      <c r="G3627" s="3" t="str">
        <f>HYPERLINK("http://funmeta.oebiotech.com/network/60243", "http://funmeta.oebiotech.com/network/60243")</f>
        <v>http://funmeta.oebiotech.com/network/60243</v>
      </c>
      <c r="H3627" s="2" t="s">
        <v>24099</v>
      </c>
      <c r="I3627" s="2">
        <v>91620</v>
      </c>
      <c r="J3627" s="2"/>
      <c r="K3627" s="2"/>
      <c r="L3627" s="2"/>
      <c r="M3627" s="2"/>
      <c r="N3627" s="2"/>
      <c r="O3627" s="2">
        <v>97747</v>
      </c>
      <c r="P3627" s="2" t="s">
        <v>24100</v>
      </c>
      <c r="Q3627" s="2" t="s">
        <v>24101</v>
      </c>
      <c r="R3627" s="2" t="s">
        <v>24102</v>
      </c>
      <c r="S3627" s="2" t="s">
        <v>115</v>
      </c>
      <c r="T3627" s="2" t="s">
        <v>575</v>
      </c>
      <c r="U3627" s="2" t="s">
        <v>4232</v>
      </c>
      <c r="V3627" s="2" t="s">
        <v>59</v>
      </c>
      <c r="W3627" s="2">
        <v>46.4</v>
      </c>
      <c r="X3627" s="2">
        <v>41.7</v>
      </c>
      <c r="Y3627" s="2" t="s">
        <v>408</v>
      </c>
      <c r="Z3627" s="2" t="s">
        <v>19766</v>
      </c>
      <c r="AA3627" s="2">
        <v>-0.382414599561473</v>
      </c>
      <c r="AB3627" s="2">
        <v>0.20188501303533399</v>
      </c>
      <c r="AC3627" s="2">
        <v>11256.7089094896</v>
      </c>
      <c r="AD3627" s="2">
        <v>8378.4373996998602</v>
      </c>
      <c r="AE3627" s="2">
        <v>11306.360748655499</v>
      </c>
      <c r="AF3627" s="2">
        <v>11124.2289662698</v>
      </c>
      <c r="AG3627" s="2">
        <v>11775.8143049185</v>
      </c>
      <c r="AH3627" s="2">
        <v>11791.344157879799</v>
      </c>
      <c r="AI3627" s="2">
        <v>11161.568037413799</v>
      </c>
      <c r="AJ3627" s="2">
        <v>10380.9372418002</v>
      </c>
      <c r="AK3627" s="2">
        <v>8314.4599241890101</v>
      </c>
      <c r="AL3627" s="2">
        <v>8532.0483235698593</v>
      </c>
      <c r="AM3627" s="2">
        <v>8082.0493676659798</v>
      </c>
      <c r="AN3627" s="2">
        <v>7245.9839369439196</v>
      </c>
      <c r="AO3627" s="2">
        <v>8557.0223811431606</v>
      </c>
      <c r="AP3627" s="2">
        <v>9539.0604646872107</v>
      </c>
    </row>
    <row r="3628" spans="1:42" ht="14.5" x14ac:dyDescent="0.35">
      <c r="A3628" s="2" t="s">
        <v>24103</v>
      </c>
      <c r="B3628" s="2">
        <v>271.20552182789299</v>
      </c>
      <c r="C3628" s="2">
        <v>9.9973333333333301</v>
      </c>
      <c r="D3628" s="2" t="s">
        <v>34</v>
      </c>
      <c r="E3628" s="2" t="s">
        <v>24104</v>
      </c>
      <c r="F3628" s="2">
        <v>203504</v>
      </c>
      <c r="G3628" s="3" t="str">
        <f>HYPERLINK("http://funmeta.oebiotech.com/network/203504", "http://funmeta.oebiotech.com/network/203504")</f>
        <v>http://funmeta.oebiotech.com/network/203504</v>
      </c>
      <c r="H3628" s="2" t="s">
        <v>24105</v>
      </c>
      <c r="I3628" s="2"/>
      <c r="J3628" s="2"/>
      <c r="K3628" s="2"/>
      <c r="L3628" s="2"/>
      <c r="M3628" s="2"/>
      <c r="N3628" s="2"/>
      <c r="O3628" s="2">
        <v>261258</v>
      </c>
      <c r="P3628" s="2"/>
      <c r="Q3628" s="2" t="s">
        <v>24106</v>
      </c>
      <c r="R3628" s="2" t="s">
        <v>24107</v>
      </c>
      <c r="S3628" s="2" t="s">
        <v>50</v>
      </c>
      <c r="T3628" s="2" t="s">
        <v>124</v>
      </c>
      <c r="U3628" s="2" t="s">
        <v>2373</v>
      </c>
      <c r="V3628" s="2" t="s">
        <v>59</v>
      </c>
      <c r="W3628" s="2">
        <v>38.799999999999997</v>
      </c>
      <c r="X3628" s="2">
        <v>0</v>
      </c>
      <c r="Y3628" s="2" t="s">
        <v>266</v>
      </c>
      <c r="Z3628" s="2" t="s">
        <v>24108</v>
      </c>
      <c r="AA3628" s="2">
        <v>-0.44433091678623599</v>
      </c>
      <c r="AB3628" s="2">
        <v>0.20184130687232299</v>
      </c>
      <c r="AC3628" s="2">
        <v>3199.3589190305502</v>
      </c>
      <c r="AD3628" s="2">
        <v>5907.7197530008698</v>
      </c>
      <c r="AE3628" s="2">
        <v>3130.3692252758801</v>
      </c>
      <c r="AF3628" s="2">
        <v>3012.6511368514198</v>
      </c>
      <c r="AG3628" s="2">
        <v>3007.7008214962998</v>
      </c>
      <c r="AH3628" s="2">
        <v>3159.8157713751798</v>
      </c>
      <c r="AI3628" s="2">
        <v>3518.4024426067099</v>
      </c>
      <c r="AJ3628" s="2">
        <v>3367.2141165778198</v>
      </c>
      <c r="AK3628" s="2">
        <v>5485.9587107392099</v>
      </c>
      <c r="AL3628" s="2">
        <v>5689.4446271059896</v>
      </c>
      <c r="AM3628" s="2">
        <v>5838.1128813954001</v>
      </c>
      <c r="AN3628" s="2">
        <v>5952.4823288817297</v>
      </c>
      <c r="AO3628" s="2">
        <v>6105.9927455411498</v>
      </c>
      <c r="AP3628" s="2">
        <v>6374.3272243417596</v>
      </c>
    </row>
    <row r="3629" spans="1:42" ht="14.5" x14ac:dyDescent="0.35">
      <c r="A3629" s="2" t="s">
        <v>24109</v>
      </c>
      <c r="B3629" s="2">
        <v>405.05631952579</v>
      </c>
      <c r="C3629" s="2">
        <v>3.35293333333333</v>
      </c>
      <c r="D3629" s="2" t="s">
        <v>70</v>
      </c>
      <c r="E3629" s="2" t="s">
        <v>24110</v>
      </c>
      <c r="F3629" s="2">
        <v>202734</v>
      </c>
      <c r="G3629" s="3" t="str">
        <f>HYPERLINK("http://funmeta.oebiotech.com/network/202734", "http://funmeta.oebiotech.com/network/202734")</f>
        <v>http://funmeta.oebiotech.com/network/202734</v>
      </c>
      <c r="H3629" s="2" t="s">
        <v>24111</v>
      </c>
      <c r="I3629" s="2"/>
      <c r="J3629" s="2"/>
      <c r="K3629" s="2"/>
      <c r="L3629" s="2"/>
      <c r="M3629" s="2"/>
      <c r="N3629" s="2"/>
      <c r="O3629" s="2"/>
      <c r="P3629" s="2"/>
      <c r="Q3629" s="2" t="s">
        <v>24112</v>
      </c>
      <c r="R3629" s="2" t="s">
        <v>24113</v>
      </c>
      <c r="S3629" s="2" t="s">
        <v>148</v>
      </c>
      <c r="T3629" s="2" t="s">
        <v>149</v>
      </c>
      <c r="U3629" s="2" t="s">
        <v>5292</v>
      </c>
      <c r="V3629" s="2" t="s">
        <v>59</v>
      </c>
      <c r="W3629" s="2">
        <v>36.5</v>
      </c>
      <c r="X3629" s="2">
        <v>0.60199999999999998</v>
      </c>
      <c r="Y3629" s="2" t="s">
        <v>408</v>
      </c>
      <c r="Z3629" s="2" t="s">
        <v>24114</v>
      </c>
      <c r="AA3629" s="2">
        <v>3.4811242277692398</v>
      </c>
      <c r="AB3629" s="2">
        <v>0.20168875563072</v>
      </c>
      <c r="AC3629" s="2">
        <v>90654.541157621701</v>
      </c>
      <c r="AD3629" s="2">
        <v>86272.529142127096</v>
      </c>
      <c r="AE3629" s="2">
        <v>96188.661362343104</v>
      </c>
      <c r="AF3629" s="2">
        <v>92180.572147990897</v>
      </c>
      <c r="AG3629" s="2">
        <v>89136.596811100506</v>
      </c>
      <c r="AH3629" s="2">
        <v>91163.825495724697</v>
      </c>
      <c r="AI3629" s="2">
        <v>88412.853710052397</v>
      </c>
      <c r="AJ3629" s="2">
        <v>86844.737418518605</v>
      </c>
      <c r="AK3629" s="2">
        <v>89960.867078013194</v>
      </c>
      <c r="AL3629" s="2">
        <v>86373.316794047001</v>
      </c>
      <c r="AM3629" s="2">
        <v>88962.492974538603</v>
      </c>
      <c r="AN3629" s="2">
        <v>85783.090240551493</v>
      </c>
      <c r="AO3629" s="2">
        <v>81418.731603984299</v>
      </c>
      <c r="AP3629" s="2">
        <v>85136.676161627998</v>
      </c>
    </row>
    <row r="3630" spans="1:42" ht="14.5" x14ac:dyDescent="0.35">
      <c r="A3630" s="2" t="s">
        <v>24115</v>
      </c>
      <c r="B3630" s="2">
        <v>302.10556126665801</v>
      </c>
      <c r="C3630" s="2">
        <v>3.9663166666666698</v>
      </c>
      <c r="D3630" s="2" t="s">
        <v>34</v>
      </c>
      <c r="E3630" s="2" t="s">
        <v>24116</v>
      </c>
      <c r="F3630" s="2">
        <v>82484</v>
      </c>
      <c r="G3630" s="3" t="str">
        <f>HYPERLINK("http://funmeta.oebiotech.com/network/82484", "http://funmeta.oebiotech.com/network/82484")</f>
        <v>http://funmeta.oebiotech.com/network/82484</v>
      </c>
      <c r="H3630" s="2" t="s">
        <v>24117</v>
      </c>
      <c r="I3630" s="2"/>
      <c r="J3630" s="2"/>
      <c r="K3630" s="2"/>
      <c r="L3630" s="2"/>
      <c r="M3630" s="2"/>
      <c r="N3630" s="2"/>
      <c r="O3630" s="2">
        <v>46780103</v>
      </c>
      <c r="P3630" s="2"/>
      <c r="Q3630" s="2" t="s">
        <v>24118</v>
      </c>
      <c r="R3630" s="2" t="s">
        <v>24119</v>
      </c>
      <c r="S3630" s="2" t="s">
        <v>89</v>
      </c>
      <c r="T3630" s="2" t="s">
        <v>1773</v>
      </c>
      <c r="U3630" s="2" t="s">
        <v>21134</v>
      </c>
      <c r="V3630" s="2" t="s">
        <v>59</v>
      </c>
      <c r="W3630" s="2">
        <v>37.6</v>
      </c>
      <c r="X3630" s="2">
        <v>0</v>
      </c>
      <c r="Y3630" s="2" t="s">
        <v>141</v>
      </c>
      <c r="Z3630" s="2" t="s">
        <v>24120</v>
      </c>
      <c r="AA3630" s="2">
        <v>-0.34119685224562202</v>
      </c>
      <c r="AB3630" s="2">
        <v>0.20157262396285999</v>
      </c>
      <c r="AC3630" s="2">
        <v>7757.5897713390495</v>
      </c>
      <c r="AD3630" s="2">
        <v>4888.7001146354796</v>
      </c>
      <c r="AE3630" s="2">
        <v>8059.2008566928698</v>
      </c>
      <c r="AF3630" s="2">
        <v>8014.9089022675098</v>
      </c>
      <c r="AG3630" s="2">
        <v>6556.7800672019603</v>
      </c>
      <c r="AH3630" s="2">
        <v>7577.9104870995398</v>
      </c>
      <c r="AI3630" s="2">
        <v>8171.9149320492797</v>
      </c>
      <c r="AJ3630" s="2">
        <v>8164.8233827231297</v>
      </c>
      <c r="AK3630" s="2">
        <v>4392.4475125788704</v>
      </c>
      <c r="AL3630" s="2">
        <v>4395.5069605541203</v>
      </c>
      <c r="AM3630" s="2">
        <v>5237.3599547922204</v>
      </c>
      <c r="AN3630" s="2">
        <v>4881.7653400060799</v>
      </c>
      <c r="AO3630" s="2">
        <v>5863.3181085897604</v>
      </c>
      <c r="AP3630" s="2">
        <v>4561.80281129185</v>
      </c>
    </row>
    <row r="3631" spans="1:42" ht="14.5" x14ac:dyDescent="0.35">
      <c r="A3631" s="2" t="s">
        <v>24121</v>
      </c>
      <c r="B3631" s="2">
        <v>411.12941061294401</v>
      </c>
      <c r="C3631" s="2">
        <v>4.7402166666666696</v>
      </c>
      <c r="D3631" s="2" t="s">
        <v>70</v>
      </c>
      <c r="E3631" s="2" t="s">
        <v>24122</v>
      </c>
      <c r="F3631" s="2">
        <v>61745</v>
      </c>
      <c r="G3631" s="3" t="str">
        <f>HYPERLINK("http://funmeta.oebiotech.com/network/61745", "http://funmeta.oebiotech.com/network/61745")</f>
        <v>http://funmeta.oebiotech.com/network/61745</v>
      </c>
      <c r="H3631" s="2" t="s">
        <v>24123</v>
      </c>
      <c r="I3631" s="2">
        <v>93067</v>
      </c>
      <c r="J3631" s="2"/>
      <c r="K3631" s="2">
        <v>168202</v>
      </c>
      <c r="L3631" s="2"/>
      <c r="M3631" s="2"/>
      <c r="N3631" s="2"/>
      <c r="O3631" s="2">
        <v>85363137</v>
      </c>
      <c r="P3631" s="2"/>
      <c r="Q3631" s="2" t="s">
        <v>24124</v>
      </c>
      <c r="R3631" s="2" t="s">
        <v>24125</v>
      </c>
      <c r="S3631" s="2" t="s">
        <v>79</v>
      </c>
      <c r="T3631" s="2" t="s">
        <v>80</v>
      </c>
      <c r="U3631" s="2" t="s">
        <v>81</v>
      </c>
      <c r="V3631" s="2" t="s">
        <v>59</v>
      </c>
      <c r="W3631" s="2">
        <v>45.5</v>
      </c>
      <c r="X3631" s="2">
        <v>37.799999999999997</v>
      </c>
      <c r="Y3631" s="2" t="s">
        <v>118</v>
      </c>
      <c r="Z3631" s="2" t="s">
        <v>24126</v>
      </c>
      <c r="AA3631" s="2">
        <v>-0.63066497259094501</v>
      </c>
      <c r="AB3631" s="2">
        <v>0.201442990735717</v>
      </c>
      <c r="AC3631" s="2">
        <v>21786.415745841201</v>
      </c>
      <c r="AD3631" s="2">
        <v>18481.494010520899</v>
      </c>
      <c r="AE3631" s="2">
        <v>21987.501774557499</v>
      </c>
      <c r="AF3631" s="2">
        <v>20684.933551354301</v>
      </c>
      <c r="AG3631" s="2">
        <v>21206.904654304399</v>
      </c>
      <c r="AH3631" s="2">
        <v>24116.907053675801</v>
      </c>
      <c r="AI3631" s="2">
        <v>19965.4373803608</v>
      </c>
      <c r="AJ3631" s="2">
        <v>22756.8100607944</v>
      </c>
      <c r="AK3631" s="2">
        <v>19306.435621107699</v>
      </c>
      <c r="AL3631" s="2">
        <v>18892.443247336701</v>
      </c>
      <c r="AM3631" s="2">
        <v>17663.4837701469</v>
      </c>
      <c r="AN3631" s="2">
        <v>20189.68368934</v>
      </c>
      <c r="AO3631" s="2">
        <v>17665.732252555899</v>
      </c>
      <c r="AP3631" s="2">
        <v>17171.1854826382</v>
      </c>
    </row>
    <row r="3632" spans="1:42" ht="14.5" x14ac:dyDescent="0.35">
      <c r="A3632" s="2" t="s">
        <v>24127</v>
      </c>
      <c r="B3632" s="2">
        <v>435.34684503836701</v>
      </c>
      <c r="C3632" s="2">
        <v>12.500783333333301</v>
      </c>
      <c r="D3632" s="2" t="s">
        <v>34</v>
      </c>
      <c r="E3632" s="2" t="s">
        <v>24128</v>
      </c>
      <c r="F3632" s="2">
        <v>46389</v>
      </c>
      <c r="G3632" s="3" t="str">
        <f>HYPERLINK("http://funmeta.oebiotech.com/network/46389", "http://funmeta.oebiotech.com/network/46389")</f>
        <v>http://funmeta.oebiotech.com/network/46389</v>
      </c>
      <c r="H3632" s="2" t="s">
        <v>24129</v>
      </c>
      <c r="I3632" s="2">
        <v>5348</v>
      </c>
      <c r="J3632" s="2" t="s">
        <v>24130</v>
      </c>
      <c r="K3632" s="2">
        <v>16577</v>
      </c>
      <c r="L3632" s="2"/>
      <c r="M3632" s="2"/>
      <c r="N3632" s="2"/>
      <c r="O3632" s="2">
        <v>5284239</v>
      </c>
      <c r="P3632" s="2" t="s">
        <v>24131</v>
      </c>
      <c r="Q3632" s="2" t="s">
        <v>24132</v>
      </c>
      <c r="R3632" s="2" t="s">
        <v>24133</v>
      </c>
      <c r="S3632" s="2" t="s">
        <v>50</v>
      </c>
      <c r="T3632" s="2" t="s">
        <v>124</v>
      </c>
      <c r="U3632" s="2" t="s">
        <v>125</v>
      </c>
      <c r="V3632" s="2" t="s">
        <v>42</v>
      </c>
      <c r="W3632" s="2">
        <v>49.6</v>
      </c>
      <c r="X3632" s="2">
        <v>54.1</v>
      </c>
      <c r="Y3632" s="2" t="s">
        <v>394</v>
      </c>
      <c r="Z3632" s="2" t="s">
        <v>24134</v>
      </c>
      <c r="AA3632" s="2">
        <v>-9.5195308850166097E-2</v>
      </c>
      <c r="AB3632" s="2">
        <v>0.201405991722132</v>
      </c>
      <c r="AC3632" s="2">
        <v>4177.3844270359496</v>
      </c>
      <c r="AD3632" s="2">
        <v>1426.3289515072299</v>
      </c>
      <c r="AE3632" s="2">
        <v>4560.1373166242602</v>
      </c>
      <c r="AF3632" s="2">
        <v>4474.4009265022496</v>
      </c>
      <c r="AG3632" s="2">
        <v>4396.0840204230599</v>
      </c>
      <c r="AH3632" s="2">
        <v>4290.9507313073</v>
      </c>
      <c r="AI3632" s="2">
        <v>3613.6655733777702</v>
      </c>
      <c r="AJ3632" s="2">
        <v>3729.0679939810402</v>
      </c>
      <c r="AK3632" s="2">
        <v>2082.6260763841101</v>
      </c>
      <c r="AL3632" s="2">
        <v>1433.6149239763899</v>
      </c>
      <c r="AM3632" s="2">
        <v>1352.01420359947</v>
      </c>
      <c r="AN3632" s="2">
        <v>692.15336020648397</v>
      </c>
      <c r="AO3632" s="2">
        <v>1498.98478135501</v>
      </c>
      <c r="AP3632" s="2">
        <v>1498.5803635218899</v>
      </c>
    </row>
    <row r="3633" spans="1:42" ht="14.5" x14ac:dyDescent="0.35">
      <c r="A3633" s="2" t="s">
        <v>24135</v>
      </c>
      <c r="B3633" s="2">
        <v>341.277218100683</v>
      </c>
      <c r="C3633" s="2">
        <v>8.7089333333333308</v>
      </c>
      <c r="D3633" s="2" t="s">
        <v>34</v>
      </c>
      <c r="E3633" s="2" t="s">
        <v>24136</v>
      </c>
      <c r="F3633" s="2">
        <v>267194</v>
      </c>
      <c r="G3633" s="3" t="str">
        <f>HYPERLINK("http://funmeta.oebiotech.com/network/267194", "http://funmeta.oebiotech.com/network/267194")</f>
        <v>http://funmeta.oebiotech.com/network/267194</v>
      </c>
      <c r="H3633" s="2"/>
      <c r="I3633" s="2">
        <v>44975</v>
      </c>
      <c r="J3633" s="2"/>
      <c r="K3633" s="2"/>
      <c r="L3633" s="2"/>
      <c r="M3633" s="2"/>
      <c r="N3633" s="2"/>
      <c r="O3633" s="2">
        <v>22978774</v>
      </c>
      <c r="P3633" s="2" t="s">
        <v>24137</v>
      </c>
      <c r="Q3633" s="2" t="s">
        <v>24138</v>
      </c>
      <c r="R3633" s="2" t="s">
        <v>24139</v>
      </c>
      <c r="S3633" s="2" t="s">
        <v>50</v>
      </c>
      <c r="T3633" s="2" t="s">
        <v>229</v>
      </c>
      <c r="U3633" s="2" t="s">
        <v>433</v>
      </c>
      <c r="V3633" s="2" t="s">
        <v>59</v>
      </c>
      <c r="W3633" s="2">
        <v>37.700000000000003</v>
      </c>
      <c r="X3633" s="2">
        <v>0</v>
      </c>
      <c r="Y3633" s="2" t="s">
        <v>394</v>
      </c>
      <c r="Z3633" s="2" t="s">
        <v>24140</v>
      </c>
      <c r="AA3633" s="2">
        <v>-7.7918532724239</v>
      </c>
      <c r="AB3633" s="2">
        <v>0.20104026787302401</v>
      </c>
      <c r="AC3633" s="2">
        <v>19682.007865171101</v>
      </c>
      <c r="AD3633" s="2">
        <v>23371.006784524499</v>
      </c>
      <c r="AE3633" s="2">
        <v>20468.2871816191</v>
      </c>
      <c r="AF3633" s="2">
        <v>20271.969246695699</v>
      </c>
      <c r="AG3633" s="2">
        <v>18483.0567763322</v>
      </c>
      <c r="AH3633" s="2">
        <v>17318.290579607601</v>
      </c>
      <c r="AI3633" s="2">
        <v>21061.687673458</v>
      </c>
      <c r="AJ3633" s="2">
        <v>20488.755733314101</v>
      </c>
      <c r="AK3633" s="2">
        <v>25290.068727907099</v>
      </c>
      <c r="AL3633" s="2">
        <v>26114.442822629699</v>
      </c>
      <c r="AM3633" s="2">
        <v>24181.161827427299</v>
      </c>
      <c r="AN3633" s="2">
        <v>22067.899366856898</v>
      </c>
      <c r="AO3633" s="2">
        <v>22920.697209711299</v>
      </c>
      <c r="AP3633" s="2">
        <v>19651.7707526146</v>
      </c>
    </row>
    <row r="3634" spans="1:42" ht="14.5" x14ac:dyDescent="0.35">
      <c r="A3634" s="2" t="s">
        <v>24141</v>
      </c>
      <c r="B3634" s="2">
        <v>525.19738586454605</v>
      </c>
      <c r="C3634" s="2">
        <v>3.82433333333333</v>
      </c>
      <c r="D3634" s="2" t="s">
        <v>70</v>
      </c>
      <c r="E3634" s="2" t="s">
        <v>24142</v>
      </c>
      <c r="F3634" s="2">
        <v>209511</v>
      </c>
      <c r="G3634" s="3" t="str">
        <f>HYPERLINK("http://funmeta.oebiotech.com/network/209511", "http://funmeta.oebiotech.com/network/209511")</f>
        <v>http://funmeta.oebiotech.com/network/209511</v>
      </c>
      <c r="H3634" s="2" t="s">
        <v>24143</v>
      </c>
      <c r="I3634" s="2"/>
      <c r="J3634" s="2"/>
      <c r="K3634" s="2"/>
      <c r="L3634" s="2"/>
      <c r="M3634" s="2"/>
      <c r="N3634" s="2"/>
      <c r="O3634" s="2">
        <v>330164</v>
      </c>
      <c r="P3634" s="2"/>
      <c r="Q3634" s="2" t="s">
        <v>24144</v>
      </c>
      <c r="R3634" s="2" t="s">
        <v>24145</v>
      </c>
      <c r="S3634" s="2" t="s">
        <v>1444</v>
      </c>
      <c r="T3634" s="2" t="s">
        <v>23611</v>
      </c>
      <c r="U3634" s="2" t="s">
        <v>24146</v>
      </c>
      <c r="V3634" s="2" t="s">
        <v>59</v>
      </c>
      <c r="W3634" s="2">
        <v>38.5</v>
      </c>
      <c r="X3634" s="2">
        <v>0</v>
      </c>
      <c r="Y3634" s="2" t="s">
        <v>560</v>
      </c>
      <c r="Z3634" s="2" t="s">
        <v>24147</v>
      </c>
      <c r="AA3634" s="2">
        <v>1.8694232028972</v>
      </c>
      <c r="AB3634" s="2">
        <v>0.200829926483855</v>
      </c>
      <c r="AC3634" s="2">
        <v>14328.835923208901</v>
      </c>
      <c r="AD3634" s="2">
        <v>18323.3574626956</v>
      </c>
      <c r="AE3634" s="2">
        <v>18433.182782337499</v>
      </c>
      <c r="AF3634" s="2">
        <v>15307.303892589</v>
      </c>
      <c r="AG3634" s="2">
        <v>9121.5763529006199</v>
      </c>
      <c r="AH3634" s="2">
        <v>14355.3608655154</v>
      </c>
      <c r="AI3634" s="2">
        <v>16302.823059730001</v>
      </c>
      <c r="AJ3634" s="2">
        <v>12452.7685861806</v>
      </c>
      <c r="AK3634" s="2">
        <v>20155.937452865801</v>
      </c>
      <c r="AL3634" s="2">
        <v>17047.648503133099</v>
      </c>
      <c r="AM3634" s="2">
        <v>18142.8841994623</v>
      </c>
      <c r="AN3634" s="2">
        <v>20098.731977088701</v>
      </c>
      <c r="AO3634" s="2">
        <v>17814.052899998998</v>
      </c>
      <c r="AP3634" s="2">
        <v>16680.889743624801</v>
      </c>
    </row>
    <row r="3635" spans="1:42" ht="14.5" x14ac:dyDescent="0.35">
      <c r="A3635" s="2" t="s">
        <v>24148</v>
      </c>
      <c r="B3635" s="2">
        <v>118.065033242761</v>
      </c>
      <c r="C3635" s="2">
        <v>3.7334833333333299</v>
      </c>
      <c r="D3635" s="2" t="s">
        <v>34</v>
      </c>
      <c r="E3635" s="2" t="s">
        <v>24149</v>
      </c>
      <c r="F3635" s="2">
        <v>47192</v>
      </c>
      <c r="G3635" s="3" t="str">
        <f>HYPERLINK("http://funmeta.oebiotech.com/network/47192", "http://funmeta.oebiotech.com/network/47192")</f>
        <v>http://funmeta.oebiotech.com/network/47192</v>
      </c>
      <c r="H3635" s="2" t="s">
        <v>24150</v>
      </c>
      <c r="I3635" s="2">
        <v>286</v>
      </c>
      <c r="J3635" s="2"/>
      <c r="K3635" s="2">
        <v>16881</v>
      </c>
      <c r="L3635" s="2" t="s">
        <v>24151</v>
      </c>
      <c r="M3635" s="2" t="s">
        <v>24152</v>
      </c>
      <c r="N3635" s="2" t="s">
        <v>24153</v>
      </c>
      <c r="O3635" s="2">
        <v>798</v>
      </c>
      <c r="P3635" s="2" t="s">
        <v>24154</v>
      </c>
      <c r="Q3635" s="2" t="s">
        <v>24155</v>
      </c>
      <c r="R3635" s="2" t="s">
        <v>24156</v>
      </c>
      <c r="S3635" s="2" t="s">
        <v>491</v>
      </c>
      <c r="T3635" s="2" t="s">
        <v>2184</v>
      </c>
      <c r="U3635" s="2" t="s">
        <v>3838</v>
      </c>
      <c r="V3635" s="2" t="s">
        <v>42</v>
      </c>
      <c r="W3635" s="2">
        <v>53.1</v>
      </c>
      <c r="X3635" s="2">
        <v>68.400000000000006</v>
      </c>
      <c r="Y3635" s="2" t="s">
        <v>394</v>
      </c>
      <c r="Z3635" s="2" t="s">
        <v>24157</v>
      </c>
      <c r="AA3635" s="2">
        <v>-0.78951159497206702</v>
      </c>
      <c r="AB3635" s="2">
        <v>0.20077822395921399</v>
      </c>
      <c r="AC3635" s="2">
        <v>24345.359757875201</v>
      </c>
      <c r="AD3635" s="2">
        <v>27278.406212624501</v>
      </c>
      <c r="AE3635" s="2">
        <v>24498.264710490799</v>
      </c>
      <c r="AF3635" s="2">
        <v>23816.158240502598</v>
      </c>
      <c r="AG3635" s="2">
        <v>24270.289584792699</v>
      </c>
      <c r="AH3635" s="2">
        <v>24312.380965820601</v>
      </c>
      <c r="AI3635" s="2">
        <v>24202.202743448899</v>
      </c>
      <c r="AJ3635" s="2">
        <v>24972.862302195699</v>
      </c>
      <c r="AK3635" s="2">
        <v>28504.098914716302</v>
      </c>
      <c r="AL3635" s="2">
        <v>27220.194762229301</v>
      </c>
      <c r="AM3635" s="2">
        <v>28058.462327712801</v>
      </c>
      <c r="AN3635" s="2">
        <v>26238.141630906099</v>
      </c>
      <c r="AO3635" s="2">
        <v>27698.9915148611</v>
      </c>
      <c r="AP3635" s="2">
        <v>25950.548125321198</v>
      </c>
    </row>
    <row r="3636" spans="1:42" ht="14.5" x14ac:dyDescent="0.35">
      <c r="A3636" s="2" t="s">
        <v>24158</v>
      </c>
      <c r="B3636" s="2">
        <v>461.20164764553499</v>
      </c>
      <c r="C3636" s="2">
        <v>5.84148333333333</v>
      </c>
      <c r="D3636" s="2" t="s">
        <v>70</v>
      </c>
      <c r="E3636" s="2" t="s">
        <v>24159</v>
      </c>
      <c r="F3636" s="2">
        <v>207389</v>
      </c>
      <c r="G3636" s="3" t="str">
        <f>HYPERLINK("http://funmeta.oebiotech.com/network/207389", "http://funmeta.oebiotech.com/network/207389")</f>
        <v>http://funmeta.oebiotech.com/network/207389</v>
      </c>
      <c r="H3636" s="2" t="s">
        <v>24160</v>
      </c>
      <c r="I3636" s="2"/>
      <c r="J3636" s="2"/>
      <c r="K3636" s="2"/>
      <c r="L3636" s="2"/>
      <c r="M3636" s="2"/>
      <c r="N3636" s="2"/>
      <c r="O3636" s="2">
        <v>11333713</v>
      </c>
      <c r="P3636" s="2"/>
      <c r="Q3636" s="2" t="s">
        <v>24161</v>
      </c>
      <c r="R3636" s="2" t="s">
        <v>24162</v>
      </c>
      <c r="S3636" s="2" t="s">
        <v>41</v>
      </c>
      <c r="T3636" s="2" t="s">
        <v>41</v>
      </c>
      <c r="U3636" s="2" t="s">
        <v>41</v>
      </c>
      <c r="V3636" s="2" t="s">
        <v>59</v>
      </c>
      <c r="W3636" s="2">
        <v>38.1</v>
      </c>
      <c r="X3636" s="2">
        <v>0</v>
      </c>
      <c r="Y3636" s="2" t="s">
        <v>560</v>
      </c>
      <c r="Z3636" s="2" t="s">
        <v>24163</v>
      </c>
      <c r="AA3636" s="2">
        <v>1.35973352471747</v>
      </c>
      <c r="AB3636" s="2">
        <v>0.20076171834509901</v>
      </c>
      <c r="AC3636" s="2">
        <v>6479.2964969673303</v>
      </c>
      <c r="AD3636" s="2">
        <v>9466.0727646334508</v>
      </c>
      <c r="AE3636" s="2">
        <v>6100.3358705863502</v>
      </c>
      <c r="AF3636" s="2">
        <v>6130.2869547808104</v>
      </c>
      <c r="AG3636" s="2">
        <v>7438.5165442279404</v>
      </c>
      <c r="AH3636" s="2">
        <v>4833.23864433376</v>
      </c>
      <c r="AI3636" s="2">
        <v>8066.9117982804801</v>
      </c>
      <c r="AJ3636" s="2">
        <v>6306.4891695946599</v>
      </c>
      <c r="AK3636" s="2">
        <v>9219.8134697412606</v>
      </c>
      <c r="AL3636" s="2">
        <v>9556.8597936505103</v>
      </c>
      <c r="AM3636" s="2">
        <v>10388.2270388588</v>
      </c>
      <c r="AN3636" s="2">
        <v>9218.4143283884096</v>
      </c>
      <c r="AO3636" s="2">
        <v>9551.6495924916399</v>
      </c>
      <c r="AP3636" s="2">
        <v>8861.4723646700495</v>
      </c>
    </row>
    <row r="3637" spans="1:42" ht="14.5" x14ac:dyDescent="0.35">
      <c r="A3637" s="2" t="s">
        <v>24164</v>
      </c>
      <c r="B3637" s="2">
        <v>451.16093376445298</v>
      </c>
      <c r="C3637" s="2">
        <v>5.3391000000000002</v>
      </c>
      <c r="D3637" s="2" t="s">
        <v>70</v>
      </c>
      <c r="E3637" s="2" t="s">
        <v>24165</v>
      </c>
      <c r="F3637" s="2">
        <v>56200</v>
      </c>
      <c r="G3637" s="3" t="str">
        <f>HYPERLINK("http://funmeta.oebiotech.com/network/56200", "http://funmeta.oebiotech.com/network/56200")</f>
        <v>http://funmeta.oebiotech.com/network/56200</v>
      </c>
      <c r="H3637" s="2" t="s">
        <v>24166</v>
      </c>
      <c r="I3637" s="2">
        <v>87894</v>
      </c>
      <c r="J3637" s="2"/>
      <c r="K3637" s="2"/>
      <c r="L3637" s="2"/>
      <c r="M3637" s="2"/>
      <c r="N3637" s="2"/>
      <c r="O3637" s="2">
        <v>276280</v>
      </c>
      <c r="P3637" s="2" t="s">
        <v>24167</v>
      </c>
      <c r="Q3637" s="2" t="s">
        <v>24168</v>
      </c>
      <c r="R3637" s="2" t="s">
        <v>24169</v>
      </c>
      <c r="S3637" s="2" t="s">
        <v>148</v>
      </c>
      <c r="T3637" s="2" t="s">
        <v>24170</v>
      </c>
      <c r="U3637" s="2" t="s">
        <v>41</v>
      </c>
      <c r="V3637" s="2" t="s">
        <v>59</v>
      </c>
      <c r="W3637" s="2">
        <v>39.4</v>
      </c>
      <c r="X3637" s="2">
        <v>0</v>
      </c>
      <c r="Y3637" s="2" t="s">
        <v>560</v>
      </c>
      <c r="Z3637" s="2" t="s">
        <v>24171</v>
      </c>
      <c r="AA3637" s="2">
        <v>-8.1600394389058001E-2</v>
      </c>
      <c r="AB3637" s="2">
        <v>0.20074043703084399</v>
      </c>
      <c r="AC3637" s="2">
        <v>4499.3864271505699</v>
      </c>
      <c r="AD3637" s="2">
        <v>1610.43168387418</v>
      </c>
      <c r="AE3637" s="2">
        <v>5421.3101459747904</v>
      </c>
      <c r="AF3637" s="2">
        <v>4326.4102333148503</v>
      </c>
      <c r="AG3637" s="2">
        <v>3475.14333295291</v>
      </c>
      <c r="AH3637" s="2">
        <v>4127.1110835078798</v>
      </c>
      <c r="AI3637" s="2">
        <v>5501.1574372868399</v>
      </c>
      <c r="AJ3637" s="2">
        <v>4145.1863298661401</v>
      </c>
      <c r="AK3637" s="2">
        <v>2226.4323622243801</v>
      </c>
      <c r="AL3637" s="2">
        <v>737.32500714090804</v>
      </c>
      <c r="AM3637" s="2">
        <v>1889.84646120251</v>
      </c>
      <c r="AN3637" s="2">
        <v>1364.7178137594899</v>
      </c>
      <c r="AO3637" s="2">
        <v>1769.8118698123101</v>
      </c>
      <c r="AP3637" s="2">
        <v>1674.4565891054799</v>
      </c>
    </row>
    <row r="3638" spans="1:42" ht="14.5" x14ac:dyDescent="0.35">
      <c r="A3638" s="2" t="s">
        <v>24172</v>
      </c>
      <c r="B3638" s="2">
        <v>567.33827570563403</v>
      </c>
      <c r="C3638" s="2">
        <v>6.3111666666666704</v>
      </c>
      <c r="D3638" s="2" t="s">
        <v>70</v>
      </c>
      <c r="E3638" s="2" t="s">
        <v>24173</v>
      </c>
      <c r="F3638" s="2">
        <v>60814</v>
      </c>
      <c r="G3638" s="3" t="str">
        <f>HYPERLINK("http://funmeta.oebiotech.com/network/60814", "http://funmeta.oebiotech.com/network/60814")</f>
        <v>http://funmeta.oebiotech.com/network/60814</v>
      </c>
      <c r="H3638" s="2" t="s">
        <v>24174</v>
      </c>
      <c r="I3638" s="2">
        <v>92150</v>
      </c>
      <c r="J3638" s="2"/>
      <c r="K3638" s="2"/>
      <c r="L3638" s="2" t="s">
        <v>24175</v>
      </c>
      <c r="M3638" s="2"/>
      <c r="N3638" s="2"/>
      <c r="O3638" s="2">
        <v>443314</v>
      </c>
      <c r="P3638" s="2" t="s">
        <v>24176</v>
      </c>
      <c r="Q3638" s="2" t="s">
        <v>24177</v>
      </c>
      <c r="R3638" s="2" t="s">
        <v>24178</v>
      </c>
      <c r="S3638" s="2" t="s">
        <v>50</v>
      </c>
      <c r="T3638" s="2" t="s">
        <v>229</v>
      </c>
      <c r="U3638" s="2" t="s">
        <v>1914</v>
      </c>
      <c r="V3638" s="2" t="s">
        <v>59</v>
      </c>
      <c r="W3638" s="2">
        <v>41.1</v>
      </c>
      <c r="X3638" s="2">
        <v>11.6</v>
      </c>
      <c r="Y3638" s="2" t="s">
        <v>408</v>
      </c>
      <c r="Z3638" s="2" t="s">
        <v>24179</v>
      </c>
      <c r="AA3638" s="2">
        <v>-0.622129683730823</v>
      </c>
      <c r="AB3638" s="2">
        <v>0.20068870242477799</v>
      </c>
      <c r="AC3638" s="2">
        <v>73790.424601743201</v>
      </c>
      <c r="AD3638" s="2">
        <v>68007.885827921593</v>
      </c>
      <c r="AE3638" s="2">
        <v>68785.767511084094</v>
      </c>
      <c r="AF3638" s="2">
        <v>66987.440460893398</v>
      </c>
      <c r="AG3638" s="2">
        <v>69722.077732161997</v>
      </c>
      <c r="AH3638" s="2">
        <v>76847.096128362697</v>
      </c>
      <c r="AI3638" s="2">
        <v>76103.524299137993</v>
      </c>
      <c r="AJ3638" s="2">
        <v>84296.641478819001</v>
      </c>
      <c r="AK3638" s="2">
        <v>68214.709635232895</v>
      </c>
      <c r="AL3638" s="2">
        <v>61564.598294517702</v>
      </c>
      <c r="AM3638" s="2">
        <v>75665.685971952</v>
      </c>
      <c r="AN3638" s="2">
        <v>64683.332848676699</v>
      </c>
      <c r="AO3638" s="2">
        <v>64651.829627697698</v>
      </c>
      <c r="AP3638" s="2">
        <v>73267.158589452694</v>
      </c>
    </row>
    <row r="3639" spans="1:42" ht="14.5" x14ac:dyDescent="0.35">
      <c r="A3639" s="2" t="s">
        <v>24180</v>
      </c>
      <c r="B3639" s="2">
        <v>663.37081970472502</v>
      </c>
      <c r="C3639" s="2">
        <v>10.910600000000001</v>
      </c>
      <c r="D3639" s="2" t="s">
        <v>34</v>
      </c>
      <c r="E3639" s="2" t="s">
        <v>24181</v>
      </c>
      <c r="F3639" s="2">
        <v>57923</v>
      </c>
      <c r="G3639" s="3" t="str">
        <f>HYPERLINK("http://funmeta.oebiotech.com/network/57923", "http://funmeta.oebiotech.com/network/57923")</f>
        <v>http://funmeta.oebiotech.com/network/57923</v>
      </c>
      <c r="H3639" s="2" t="s">
        <v>24182</v>
      </c>
      <c r="I3639" s="2">
        <v>89501</v>
      </c>
      <c r="J3639" s="2"/>
      <c r="K3639" s="2"/>
      <c r="L3639" s="2"/>
      <c r="M3639" s="2"/>
      <c r="N3639" s="2"/>
      <c r="O3639" s="2">
        <v>85228887</v>
      </c>
      <c r="P3639" s="2" t="s">
        <v>24183</v>
      </c>
      <c r="Q3639" s="2" t="s">
        <v>24184</v>
      </c>
      <c r="R3639" s="2" t="s">
        <v>24185</v>
      </c>
      <c r="S3639" s="2" t="s">
        <v>50</v>
      </c>
      <c r="T3639" s="2" t="s">
        <v>124</v>
      </c>
      <c r="U3639" s="2" t="s">
        <v>567</v>
      </c>
      <c r="V3639" s="2" t="s">
        <v>59</v>
      </c>
      <c r="W3639" s="2">
        <v>37.200000000000003</v>
      </c>
      <c r="X3639" s="2">
        <v>0</v>
      </c>
      <c r="Y3639" s="2" t="s">
        <v>394</v>
      </c>
      <c r="Z3639" s="2" t="s">
        <v>24186</v>
      </c>
      <c r="AA3639" s="2">
        <v>-4.6337997068122503</v>
      </c>
      <c r="AB3639" s="2">
        <v>0.200520863398885</v>
      </c>
      <c r="AC3639" s="2">
        <v>3499.9602829147698</v>
      </c>
      <c r="AD3639" s="2">
        <v>6491.4203468768601</v>
      </c>
      <c r="AE3639" s="2">
        <v>3772.4696654150598</v>
      </c>
      <c r="AF3639" s="2">
        <v>3082.4565339351898</v>
      </c>
      <c r="AG3639" s="2">
        <v>3621.3118901421099</v>
      </c>
      <c r="AH3639" s="2">
        <v>3206.7674488299399</v>
      </c>
      <c r="AI3639" s="2">
        <v>3900.7717725692801</v>
      </c>
      <c r="AJ3639" s="2">
        <v>3415.9843865970302</v>
      </c>
      <c r="AK3639" s="2">
        <v>6583.0023150186398</v>
      </c>
      <c r="AL3639" s="2">
        <v>5120.6389012980899</v>
      </c>
      <c r="AM3639" s="2">
        <v>8741.2676221854708</v>
      </c>
      <c r="AN3639" s="2">
        <v>5920.8156645608397</v>
      </c>
      <c r="AO3639" s="2">
        <v>6064.8274979647904</v>
      </c>
      <c r="AP3639" s="2">
        <v>6517.97008023331</v>
      </c>
    </row>
    <row r="3640" spans="1:42" ht="14.5" x14ac:dyDescent="0.35">
      <c r="A3640" s="2" t="s">
        <v>24187</v>
      </c>
      <c r="B3640" s="2">
        <v>399.21651823180798</v>
      </c>
      <c r="C3640" s="2">
        <v>11.0630666666667</v>
      </c>
      <c r="D3640" s="2" t="s">
        <v>34</v>
      </c>
      <c r="E3640" s="2" t="s">
        <v>24188</v>
      </c>
      <c r="F3640" s="2">
        <v>205684</v>
      </c>
      <c r="G3640" s="3" t="str">
        <f>HYPERLINK("http://funmeta.oebiotech.com/network/205684", "http://funmeta.oebiotech.com/network/205684")</f>
        <v>http://funmeta.oebiotech.com/network/205684</v>
      </c>
      <c r="H3640" s="2" t="s">
        <v>24189</v>
      </c>
      <c r="I3640" s="2">
        <v>71455</v>
      </c>
      <c r="J3640" s="2"/>
      <c r="K3640" s="2">
        <v>80818</v>
      </c>
      <c r="L3640" s="2" t="s">
        <v>24190</v>
      </c>
      <c r="M3640" s="2"/>
      <c r="N3640" s="2"/>
      <c r="O3640" s="2">
        <v>43595</v>
      </c>
      <c r="P3640" s="2" t="s">
        <v>24191</v>
      </c>
      <c r="Q3640" s="2" t="s">
        <v>24192</v>
      </c>
      <c r="R3640" s="2" t="s">
        <v>24193</v>
      </c>
      <c r="S3640" s="2" t="s">
        <v>115</v>
      </c>
      <c r="T3640" s="2" t="s">
        <v>9908</v>
      </c>
      <c r="U3640" s="2" t="s">
        <v>9909</v>
      </c>
      <c r="V3640" s="2" t="s">
        <v>59</v>
      </c>
      <c r="W3640" s="2">
        <v>38.9</v>
      </c>
      <c r="X3640" s="2">
        <v>0</v>
      </c>
      <c r="Y3640" s="2" t="s">
        <v>141</v>
      </c>
      <c r="Z3640" s="2" t="s">
        <v>9196</v>
      </c>
      <c r="AA3640" s="2">
        <v>-0.197640224137307</v>
      </c>
      <c r="AB3640" s="2">
        <v>0.200500230768315</v>
      </c>
      <c r="AC3640" s="2">
        <v>5101.0844456510604</v>
      </c>
      <c r="AD3640" s="2">
        <v>2415.66967830056</v>
      </c>
      <c r="AE3640" s="2">
        <v>4547.6537628154201</v>
      </c>
      <c r="AF3640" s="2">
        <v>5055.4233074988797</v>
      </c>
      <c r="AG3640" s="2">
        <v>5458.0089614753597</v>
      </c>
      <c r="AH3640" s="2">
        <v>5534.5998555363403</v>
      </c>
      <c r="AI3640" s="2">
        <v>5018.6163211132998</v>
      </c>
      <c r="AJ3640" s="2">
        <v>4992.2044654670799</v>
      </c>
      <c r="AK3640" s="2">
        <v>2128.23786166539</v>
      </c>
      <c r="AL3640" s="2">
        <v>2540.16591213232</v>
      </c>
      <c r="AM3640" s="2">
        <v>2615.1302058727101</v>
      </c>
      <c r="AN3640" s="2">
        <v>2467.4915886787999</v>
      </c>
      <c r="AO3640" s="2">
        <v>2350.5811645570502</v>
      </c>
      <c r="AP3640" s="2">
        <v>2392.4113368970702</v>
      </c>
    </row>
    <row r="3641" spans="1:42" ht="14.5" x14ac:dyDescent="0.35">
      <c r="A3641" s="2" t="s">
        <v>24194</v>
      </c>
      <c r="B3641" s="2">
        <v>433.07495002964902</v>
      </c>
      <c r="C3641" s="2">
        <v>5.1153166666666703</v>
      </c>
      <c r="D3641" s="2" t="s">
        <v>70</v>
      </c>
      <c r="E3641" s="2" t="s">
        <v>24195</v>
      </c>
      <c r="F3641" s="2">
        <v>48724</v>
      </c>
      <c r="G3641" s="3" t="str">
        <f>HYPERLINK("http://funmeta.oebiotech.com/network/48724", "http://funmeta.oebiotech.com/network/48724")</f>
        <v>http://funmeta.oebiotech.com/network/48724</v>
      </c>
      <c r="H3641" s="2" t="s">
        <v>24196</v>
      </c>
      <c r="I3641" s="2">
        <v>58408</v>
      </c>
      <c r="J3641" s="2"/>
      <c r="K3641" s="2">
        <v>133530</v>
      </c>
      <c r="L3641" s="2"/>
      <c r="M3641" s="2"/>
      <c r="N3641" s="2"/>
      <c r="O3641" s="2">
        <v>153005</v>
      </c>
      <c r="P3641" s="2" t="s">
        <v>24197</v>
      </c>
      <c r="Q3641" s="2" t="s">
        <v>24198</v>
      </c>
      <c r="R3641" s="2" t="s">
        <v>24199</v>
      </c>
      <c r="S3641" s="2" t="s">
        <v>89</v>
      </c>
      <c r="T3641" s="2" t="s">
        <v>1773</v>
      </c>
      <c r="U3641" s="2" t="s">
        <v>21134</v>
      </c>
      <c r="V3641" s="2" t="s">
        <v>59</v>
      </c>
      <c r="W3641" s="2">
        <v>38.200000000000003</v>
      </c>
      <c r="X3641" s="2">
        <v>0</v>
      </c>
      <c r="Y3641" s="2" t="s">
        <v>560</v>
      </c>
      <c r="Z3641" s="2" t="s">
        <v>24200</v>
      </c>
      <c r="AA3641" s="2">
        <v>1.07995791267846</v>
      </c>
      <c r="AB3641" s="2">
        <v>0.200489207554049</v>
      </c>
      <c r="AC3641" s="2">
        <v>1506.5488196188701</v>
      </c>
      <c r="AD3641" s="2">
        <v>4373.7667716257502</v>
      </c>
      <c r="AE3641" s="2">
        <v>1229.2468932121301</v>
      </c>
      <c r="AF3641" s="2">
        <v>301.984654150864</v>
      </c>
      <c r="AG3641" s="2">
        <v>2443.9806346928299</v>
      </c>
      <c r="AH3641" s="2">
        <v>1862.2338126476</v>
      </c>
      <c r="AI3641" s="2">
        <v>1748.6263158254801</v>
      </c>
      <c r="AJ3641" s="2">
        <v>1453.22060718433</v>
      </c>
      <c r="AK3641" s="2">
        <v>3315.6204888979601</v>
      </c>
      <c r="AL3641" s="2">
        <v>4678.3386402441602</v>
      </c>
      <c r="AM3641" s="2">
        <v>5091.64562801387</v>
      </c>
      <c r="AN3641" s="2">
        <v>4724.8941988373699</v>
      </c>
      <c r="AO3641" s="2">
        <v>4505.5668513921701</v>
      </c>
      <c r="AP3641" s="2">
        <v>3926.5348223689698</v>
      </c>
    </row>
    <row r="3642" spans="1:42" ht="14.5" x14ac:dyDescent="0.35">
      <c r="A3642" s="2" t="s">
        <v>24201</v>
      </c>
      <c r="B3642" s="2">
        <v>417.20963534894997</v>
      </c>
      <c r="C3642" s="2">
        <v>4.8836000000000004</v>
      </c>
      <c r="D3642" s="2" t="s">
        <v>34</v>
      </c>
      <c r="E3642" s="2" t="s">
        <v>24202</v>
      </c>
      <c r="F3642" s="2">
        <v>52780</v>
      </c>
      <c r="G3642" s="3" t="str">
        <f>HYPERLINK("http://funmeta.oebiotech.com/network/52780", "http://funmeta.oebiotech.com/network/52780")</f>
        <v>http://funmeta.oebiotech.com/network/52780</v>
      </c>
      <c r="H3642" s="2" t="s">
        <v>24203</v>
      </c>
      <c r="I3642" s="2">
        <v>2481</v>
      </c>
      <c r="J3642" s="2"/>
      <c r="K3642" s="2">
        <v>9241</v>
      </c>
      <c r="L3642" s="2" t="s">
        <v>24204</v>
      </c>
      <c r="M3642" s="2"/>
      <c r="N3642" s="2"/>
      <c r="O3642" s="2">
        <v>5833</v>
      </c>
      <c r="P3642" s="2" t="s">
        <v>24205</v>
      </c>
      <c r="Q3642" s="2" t="s">
        <v>24206</v>
      </c>
      <c r="R3642" s="2" t="s">
        <v>24207</v>
      </c>
      <c r="S3642" s="2" t="s">
        <v>50</v>
      </c>
      <c r="T3642" s="2" t="s">
        <v>124</v>
      </c>
      <c r="U3642" s="2" t="s">
        <v>567</v>
      </c>
      <c r="V3642" s="2" t="s">
        <v>59</v>
      </c>
      <c r="W3642" s="2">
        <v>36</v>
      </c>
      <c r="X3642" s="2">
        <v>0</v>
      </c>
      <c r="Y3642" s="2" t="s">
        <v>394</v>
      </c>
      <c r="Z3642" s="2" t="s">
        <v>24208</v>
      </c>
      <c r="AA3642" s="2">
        <v>0.54880177861080304</v>
      </c>
      <c r="AB3642" s="2">
        <v>0.200471308572611</v>
      </c>
      <c r="AC3642" s="2">
        <v>15510.4662734618</v>
      </c>
      <c r="AD3642" s="2">
        <v>19020.6715307663</v>
      </c>
      <c r="AE3642" s="2">
        <v>15020.8223986186</v>
      </c>
      <c r="AF3642" s="2">
        <v>14174.3231086958</v>
      </c>
      <c r="AG3642" s="2">
        <v>14955.1782507438</v>
      </c>
      <c r="AH3642" s="2">
        <v>17954.8536815595</v>
      </c>
      <c r="AI3642" s="2">
        <v>14060.26410665</v>
      </c>
      <c r="AJ3642" s="2">
        <v>16897.3560945032</v>
      </c>
      <c r="AK3642" s="2">
        <v>21141.3398876787</v>
      </c>
      <c r="AL3642" s="2">
        <v>18543.608929845399</v>
      </c>
      <c r="AM3642" s="2">
        <v>16195.871676394499</v>
      </c>
      <c r="AN3642" s="2">
        <v>19830.116695591802</v>
      </c>
      <c r="AO3642" s="2">
        <v>20294.910757553302</v>
      </c>
      <c r="AP3642" s="2">
        <v>18118.181237534001</v>
      </c>
    </row>
    <row r="3643" spans="1:42" ht="14.5" x14ac:dyDescent="0.35">
      <c r="A3643" s="2" t="s">
        <v>24209</v>
      </c>
      <c r="B3643" s="2">
        <v>225.112550110879</v>
      </c>
      <c r="C3643" s="2">
        <v>6.1235166666666698</v>
      </c>
      <c r="D3643" s="2" t="s">
        <v>70</v>
      </c>
      <c r="E3643" s="2" t="s">
        <v>24210</v>
      </c>
      <c r="F3643" s="2">
        <v>3365</v>
      </c>
      <c r="G3643" s="3" t="str">
        <f>HYPERLINK("http://funmeta.oebiotech.com/network/3365", "http://funmeta.oebiotech.com/network/3365")</f>
        <v>http://funmeta.oebiotech.com/network/3365</v>
      </c>
      <c r="H3643" s="2" t="s">
        <v>24211</v>
      </c>
      <c r="I3643" s="2">
        <v>36075</v>
      </c>
      <c r="J3643" s="2" t="s">
        <v>24212</v>
      </c>
      <c r="K3643" s="2">
        <v>133220</v>
      </c>
      <c r="L3643" s="2"/>
      <c r="M3643" s="2"/>
      <c r="N3643" s="2"/>
      <c r="O3643" s="2">
        <v>6443968</v>
      </c>
      <c r="P3643" s="2"/>
      <c r="Q3643" s="2" t="s">
        <v>24213</v>
      </c>
      <c r="R3643" s="2" t="s">
        <v>24214</v>
      </c>
      <c r="S3643" s="2" t="s">
        <v>50</v>
      </c>
      <c r="T3643" s="2" t="s">
        <v>229</v>
      </c>
      <c r="U3643" s="2" t="s">
        <v>1360</v>
      </c>
      <c r="V3643" s="2" t="s">
        <v>59</v>
      </c>
      <c r="W3643" s="2">
        <v>43.9</v>
      </c>
      <c r="X3643" s="2">
        <v>29.2</v>
      </c>
      <c r="Y3643" s="2" t="s">
        <v>792</v>
      </c>
      <c r="Z3643" s="2" t="s">
        <v>24215</v>
      </c>
      <c r="AA3643" s="2">
        <v>-3.0183578833596898</v>
      </c>
      <c r="AB3643" s="2">
        <v>0.20046545806132701</v>
      </c>
      <c r="AC3643" s="2">
        <v>4783.4492705643797</v>
      </c>
      <c r="AD3643" s="2">
        <v>1943.88653703722</v>
      </c>
      <c r="AE3643" s="2">
        <v>5367.3493584121197</v>
      </c>
      <c r="AF3643" s="2">
        <v>5684.3599889945299</v>
      </c>
      <c r="AG3643" s="2">
        <v>4224.6718643570503</v>
      </c>
      <c r="AH3643" s="2">
        <v>3459.0031181644399</v>
      </c>
      <c r="AI3643" s="2">
        <v>4616.0612549237203</v>
      </c>
      <c r="AJ3643" s="2">
        <v>5349.2500385344201</v>
      </c>
      <c r="AK3643" s="2">
        <v>1998.9123008285601</v>
      </c>
      <c r="AL3643" s="2">
        <v>2193.51704339657</v>
      </c>
      <c r="AM3643" s="2">
        <v>2008.7403626197199</v>
      </c>
      <c r="AN3643" s="2">
        <v>2250.0903827321399</v>
      </c>
      <c r="AO3643" s="2">
        <v>1616.6166817272599</v>
      </c>
      <c r="AP3643" s="2">
        <v>1595.4424509190801</v>
      </c>
    </row>
    <row r="3644" spans="1:42" ht="14.5" x14ac:dyDescent="0.35">
      <c r="A3644" s="2" t="s">
        <v>24216</v>
      </c>
      <c r="B3644" s="2">
        <v>369.19157647302501</v>
      </c>
      <c r="C3644" s="2">
        <v>8.2980999999999998</v>
      </c>
      <c r="D3644" s="2" t="s">
        <v>70</v>
      </c>
      <c r="E3644" s="2" t="s">
        <v>24217</v>
      </c>
      <c r="F3644" s="2">
        <v>57843</v>
      </c>
      <c r="G3644" s="3" t="str">
        <f>HYPERLINK("http://funmeta.oebiotech.com/network/57843", "http://funmeta.oebiotech.com/network/57843")</f>
        <v>http://funmeta.oebiotech.com/network/57843</v>
      </c>
      <c r="H3644" s="2" t="s">
        <v>24218</v>
      </c>
      <c r="I3644" s="2"/>
      <c r="J3644" s="2"/>
      <c r="K3644" s="2"/>
      <c r="L3644" s="2"/>
      <c r="M3644" s="2"/>
      <c r="N3644" s="2"/>
      <c r="O3644" s="2">
        <v>85179199</v>
      </c>
      <c r="P3644" s="2" t="s">
        <v>24219</v>
      </c>
      <c r="Q3644" s="2" t="s">
        <v>24220</v>
      </c>
      <c r="R3644" s="2" t="s">
        <v>24221</v>
      </c>
      <c r="S3644" s="2" t="s">
        <v>50</v>
      </c>
      <c r="T3644" s="2" t="s">
        <v>201</v>
      </c>
      <c r="U3644" s="2" t="s">
        <v>241</v>
      </c>
      <c r="V3644" s="2" t="s">
        <v>59</v>
      </c>
      <c r="W3644" s="2">
        <v>38.299999999999997</v>
      </c>
      <c r="X3644" s="2">
        <v>0</v>
      </c>
      <c r="Y3644" s="2" t="s">
        <v>408</v>
      </c>
      <c r="Z3644" s="2" t="s">
        <v>24222</v>
      </c>
      <c r="AA3644" s="2">
        <v>-0.92658419575043005</v>
      </c>
      <c r="AB3644" s="2">
        <v>0.200404432339683</v>
      </c>
      <c r="AC3644" s="2">
        <v>3018.76458803678</v>
      </c>
      <c r="AD3644" s="2">
        <v>334.85717052981698</v>
      </c>
      <c r="AE3644" s="2">
        <v>3343.3844262574498</v>
      </c>
      <c r="AF3644" s="2">
        <v>3068.3354356120299</v>
      </c>
      <c r="AG3644" s="2">
        <v>2980.99360890557</v>
      </c>
      <c r="AH3644" s="2">
        <v>3106.8830045644299</v>
      </c>
      <c r="AI3644" s="2">
        <v>3201.2976069351098</v>
      </c>
      <c r="AJ3644" s="2">
        <v>2411.6934459460999</v>
      </c>
      <c r="AK3644" s="2">
        <v>705.55268632902096</v>
      </c>
      <c r="AL3644" s="2">
        <v>314.587273910524</v>
      </c>
      <c r="AM3644" s="2">
        <v>419.34997848859001</v>
      </c>
      <c r="AN3644" s="2">
        <v>315.757889235346</v>
      </c>
      <c r="AO3644" s="2">
        <v>253.895168109125</v>
      </c>
      <c r="AP3644" s="2">
        <v>2.7106294003980101E-5</v>
      </c>
    </row>
    <row r="3645" spans="1:42" ht="14.5" x14ac:dyDescent="0.35">
      <c r="A3645" s="2" t="s">
        <v>24223</v>
      </c>
      <c r="B3645" s="2">
        <v>345.13408930711199</v>
      </c>
      <c r="C3645" s="2">
        <v>5.0231500000000002</v>
      </c>
      <c r="D3645" s="2" t="s">
        <v>70</v>
      </c>
      <c r="E3645" s="2" t="s">
        <v>24224</v>
      </c>
      <c r="F3645" s="2">
        <v>274613</v>
      </c>
      <c r="G3645" s="3" t="str">
        <f>HYPERLINK("http://funmeta.oebiotech.com/network/274613", "http://funmeta.oebiotech.com/network/274613")</f>
        <v>http://funmeta.oebiotech.com/network/274613</v>
      </c>
      <c r="H3645" s="2"/>
      <c r="I3645" s="2">
        <v>64732</v>
      </c>
      <c r="J3645" s="2"/>
      <c r="K3645" s="2"/>
      <c r="L3645" s="2"/>
      <c r="M3645" s="2"/>
      <c r="N3645" s="2"/>
      <c r="O3645" s="2">
        <v>5354004</v>
      </c>
      <c r="P3645" s="2" t="s">
        <v>24225</v>
      </c>
      <c r="Q3645" s="2" t="s">
        <v>24226</v>
      </c>
      <c r="R3645" s="2" t="s">
        <v>24227</v>
      </c>
      <c r="S3645" s="2" t="s">
        <v>115</v>
      </c>
      <c r="T3645" s="2" t="s">
        <v>4730</v>
      </c>
      <c r="U3645" s="2" t="s">
        <v>41</v>
      </c>
      <c r="V3645" s="2" t="s">
        <v>59</v>
      </c>
      <c r="W3645" s="2">
        <v>38.5</v>
      </c>
      <c r="X3645" s="2">
        <v>0</v>
      </c>
      <c r="Y3645" s="2" t="s">
        <v>408</v>
      </c>
      <c r="Z3645" s="2" t="s">
        <v>24228</v>
      </c>
      <c r="AA3645" s="2">
        <v>-0.90852941246614805</v>
      </c>
      <c r="AB3645" s="2">
        <v>0.20034170427781101</v>
      </c>
      <c r="AC3645" s="2">
        <v>3688.32632274875</v>
      </c>
      <c r="AD3645" s="2">
        <v>6564.2456038561404</v>
      </c>
      <c r="AE3645" s="2">
        <v>3206.8839266179898</v>
      </c>
      <c r="AF3645" s="2">
        <v>3483.4369148057499</v>
      </c>
      <c r="AG3645" s="2">
        <v>3292.01828864148</v>
      </c>
      <c r="AH3645" s="2">
        <v>3782.1256209369599</v>
      </c>
      <c r="AI3645" s="2">
        <v>3979.36026441486</v>
      </c>
      <c r="AJ3645" s="2">
        <v>4386.1329210754702</v>
      </c>
      <c r="AK3645" s="2">
        <v>6486.5193741744597</v>
      </c>
      <c r="AL3645" s="2">
        <v>6947.43188359534</v>
      </c>
      <c r="AM3645" s="2">
        <v>5087.9816544533596</v>
      </c>
      <c r="AN3645" s="2">
        <v>6754.9415157677804</v>
      </c>
      <c r="AO3645" s="2">
        <v>6368.9082367408801</v>
      </c>
      <c r="AP3645" s="2">
        <v>7739.69095840505</v>
      </c>
    </row>
    <row r="3646" spans="1:42" ht="14.5" x14ac:dyDescent="0.35">
      <c r="A3646" s="2" t="s">
        <v>24229</v>
      </c>
      <c r="B3646" s="2">
        <v>124.039271390876</v>
      </c>
      <c r="C3646" s="2">
        <v>1.06171666666667</v>
      </c>
      <c r="D3646" s="2" t="s">
        <v>34</v>
      </c>
      <c r="E3646" s="2" t="s">
        <v>24230</v>
      </c>
      <c r="F3646" s="2">
        <v>2182</v>
      </c>
      <c r="G3646" s="3" t="str">
        <f>HYPERLINK("http://funmeta.oebiotech.com/network/2182", "http://funmeta.oebiotech.com/network/2182")</f>
        <v>http://funmeta.oebiotech.com/network/2182</v>
      </c>
      <c r="H3646" s="2" t="s">
        <v>24231</v>
      </c>
      <c r="I3646" s="2">
        <v>3248</v>
      </c>
      <c r="J3646" s="2" t="s">
        <v>24232</v>
      </c>
      <c r="K3646" s="2">
        <v>15745</v>
      </c>
      <c r="L3646" s="2" t="s">
        <v>24233</v>
      </c>
      <c r="M3646" s="2" t="s">
        <v>8841</v>
      </c>
      <c r="N3646" s="2" t="s">
        <v>8842</v>
      </c>
      <c r="O3646" s="2">
        <v>5280625</v>
      </c>
      <c r="P3646" s="2" t="s">
        <v>24234</v>
      </c>
      <c r="Q3646" s="2" t="s">
        <v>24235</v>
      </c>
      <c r="R3646" s="2" t="s">
        <v>24236</v>
      </c>
      <c r="S3646" s="2" t="s">
        <v>89</v>
      </c>
      <c r="T3646" s="2" t="s">
        <v>90</v>
      </c>
      <c r="U3646" s="2" t="s">
        <v>99</v>
      </c>
      <c r="V3646" s="2" t="s">
        <v>59</v>
      </c>
      <c r="W3646" s="2">
        <v>41.7</v>
      </c>
      <c r="X3646" s="2">
        <v>11.7</v>
      </c>
      <c r="Y3646" s="2" t="s">
        <v>266</v>
      </c>
      <c r="Z3646" s="2" t="s">
        <v>24237</v>
      </c>
      <c r="AA3646" s="2">
        <v>-0.237141797236394</v>
      </c>
      <c r="AB3646" s="2">
        <v>0.200326663572585</v>
      </c>
      <c r="AC3646" s="2">
        <v>18885.968661207098</v>
      </c>
      <c r="AD3646" s="2">
        <v>15959.2299166836</v>
      </c>
      <c r="AE3646" s="2">
        <v>19913.624344340999</v>
      </c>
      <c r="AF3646" s="2">
        <v>19402.5709112365</v>
      </c>
      <c r="AG3646" s="2">
        <v>18146.8752943773</v>
      </c>
      <c r="AH3646" s="2">
        <v>19192.2356360269</v>
      </c>
      <c r="AI3646" s="2">
        <v>17354.997993703098</v>
      </c>
      <c r="AJ3646" s="2">
        <v>19305.507787557799</v>
      </c>
      <c r="AK3646" s="2">
        <v>16289.8486057132</v>
      </c>
      <c r="AL3646" s="2">
        <v>16368.733976806099</v>
      </c>
      <c r="AM3646" s="2">
        <v>14890.3375408189</v>
      </c>
      <c r="AN3646" s="2">
        <v>16189.9035257589</v>
      </c>
      <c r="AO3646" s="2">
        <v>16546.634882764702</v>
      </c>
      <c r="AP3646" s="2">
        <v>15469.9209682397</v>
      </c>
    </row>
    <row r="3647" spans="1:42" ht="14.5" x14ac:dyDescent="0.35">
      <c r="A3647" s="2" t="s">
        <v>24238</v>
      </c>
      <c r="B3647" s="2">
        <v>310.09319714647199</v>
      </c>
      <c r="C3647" s="2">
        <v>3.6547999999999998</v>
      </c>
      <c r="D3647" s="2" t="s">
        <v>70</v>
      </c>
      <c r="E3647" s="2" t="s">
        <v>24239</v>
      </c>
      <c r="F3647" s="2">
        <v>55460</v>
      </c>
      <c r="G3647" s="3" t="str">
        <f>HYPERLINK("http://funmeta.oebiotech.com/network/55460", "http://funmeta.oebiotech.com/network/55460")</f>
        <v>http://funmeta.oebiotech.com/network/55460</v>
      </c>
      <c r="H3647" s="2" t="s">
        <v>24240</v>
      </c>
      <c r="I3647" s="2"/>
      <c r="J3647" s="2"/>
      <c r="K3647" s="2">
        <v>16267</v>
      </c>
      <c r="L3647" s="2" t="s">
        <v>24241</v>
      </c>
      <c r="M3647" s="2"/>
      <c r="N3647" s="2"/>
      <c r="O3647" s="2">
        <v>4475719</v>
      </c>
      <c r="P3647" s="2" t="s">
        <v>24242</v>
      </c>
      <c r="Q3647" s="2" t="s">
        <v>24243</v>
      </c>
      <c r="R3647" s="2" t="s">
        <v>24244</v>
      </c>
      <c r="S3647" s="2" t="s">
        <v>79</v>
      </c>
      <c r="T3647" s="2" t="s">
        <v>80</v>
      </c>
      <c r="U3647" s="2" t="s">
        <v>81</v>
      </c>
      <c r="V3647" s="2" t="s">
        <v>42</v>
      </c>
      <c r="W3647" s="2">
        <v>51.6</v>
      </c>
      <c r="X3647" s="2">
        <v>73.400000000000006</v>
      </c>
      <c r="Y3647" s="2" t="s">
        <v>118</v>
      </c>
      <c r="Z3647" s="2" t="s">
        <v>2010</v>
      </c>
      <c r="AA3647" s="2">
        <v>-9.0994510882139307E-2</v>
      </c>
      <c r="AB3647" s="2">
        <v>0.200267387087812</v>
      </c>
      <c r="AC3647" s="2">
        <v>13319.105610762001</v>
      </c>
      <c r="AD3647" s="2">
        <v>10370.036997601601</v>
      </c>
      <c r="AE3647" s="2">
        <v>12368.3581081435</v>
      </c>
      <c r="AF3647" s="2">
        <v>13915.4621180781</v>
      </c>
      <c r="AG3647" s="2">
        <v>12743.1734414565</v>
      </c>
      <c r="AH3647" s="2">
        <v>13226.7255524394</v>
      </c>
      <c r="AI3647" s="2">
        <v>14969.6170403081</v>
      </c>
      <c r="AJ3647" s="2">
        <v>12691.2974041464</v>
      </c>
      <c r="AK3647" s="2">
        <v>10841.7980351519</v>
      </c>
      <c r="AL3647" s="2">
        <v>9589.6218666275909</v>
      </c>
      <c r="AM3647" s="2">
        <v>10365.7709368785</v>
      </c>
      <c r="AN3647" s="2">
        <v>10747.596853821</v>
      </c>
      <c r="AO3647" s="2">
        <v>9884.0903690402993</v>
      </c>
      <c r="AP3647" s="2">
        <v>10791.343924090301</v>
      </c>
    </row>
    <row r="3648" spans="1:42" ht="14.5" x14ac:dyDescent="0.35">
      <c r="A3648" s="2" t="s">
        <v>24245</v>
      </c>
      <c r="B3648" s="2">
        <v>309.20475409105501</v>
      </c>
      <c r="C3648" s="2">
        <v>8.7648333333333301</v>
      </c>
      <c r="D3648" s="2" t="s">
        <v>34</v>
      </c>
      <c r="E3648" s="2" t="s">
        <v>24246</v>
      </c>
      <c r="F3648" s="2">
        <v>3622</v>
      </c>
      <c r="G3648" s="3" t="str">
        <f>HYPERLINK("http://funmeta.oebiotech.com/network/3622", "http://funmeta.oebiotech.com/network/3622")</f>
        <v>http://funmeta.oebiotech.com/network/3622</v>
      </c>
      <c r="H3648" s="2"/>
      <c r="I3648" s="2"/>
      <c r="J3648" s="2" t="s">
        <v>24247</v>
      </c>
      <c r="K3648" s="2"/>
      <c r="L3648" s="2"/>
      <c r="M3648" s="2"/>
      <c r="N3648" s="2"/>
      <c r="O3648" s="2">
        <v>101070489</v>
      </c>
      <c r="P3648" s="2"/>
      <c r="Q3648" s="2" t="s">
        <v>24248</v>
      </c>
      <c r="R3648" s="2" t="s">
        <v>24249</v>
      </c>
      <c r="S3648" s="2" t="s">
        <v>50</v>
      </c>
      <c r="T3648" s="2" t="s">
        <v>229</v>
      </c>
      <c r="U3648" s="2" t="s">
        <v>433</v>
      </c>
      <c r="V3648" s="2" t="s">
        <v>42</v>
      </c>
      <c r="W3648" s="2">
        <v>53.2</v>
      </c>
      <c r="X3648" s="2">
        <v>78.3</v>
      </c>
      <c r="Y3648" s="2" t="s">
        <v>141</v>
      </c>
      <c r="Z3648" s="2" t="s">
        <v>24250</v>
      </c>
      <c r="AA3648" s="2">
        <v>-3.92913001005327</v>
      </c>
      <c r="AB3648" s="2">
        <v>0.20008175179809301</v>
      </c>
      <c r="AC3648" s="2">
        <v>27804.924516591898</v>
      </c>
      <c r="AD3648" s="2">
        <v>24555.139690552998</v>
      </c>
      <c r="AE3648" s="2">
        <v>28432.262344983999</v>
      </c>
      <c r="AF3648" s="2">
        <v>28380.233382826002</v>
      </c>
      <c r="AG3648" s="2">
        <v>28327.751926663099</v>
      </c>
      <c r="AH3648" s="2">
        <v>27995.290151336201</v>
      </c>
      <c r="AI3648" s="2">
        <v>27129.3856489953</v>
      </c>
      <c r="AJ3648" s="2">
        <v>26564.6236447466</v>
      </c>
      <c r="AK3648" s="2">
        <v>28004.650025787902</v>
      </c>
      <c r="AL3648" s="2">
        <v>24204.7258696307</v>
      </c>
      <c r="AM3648" s="2">
        <v>23623.555193069002</v>
      </c>
      <c r="AN3648" s="2">
        <v>23922.164761719901</v>
      </c>
      <c r="AO3648" s="2">
        <v>23702.463785208402</v>
      </c>
      <c r="AP3648" s="2">
        <v>23873.278507901799</v>
      </c>
    </row>
    <row r="3649" spans="1:42" ht="14.5" x14ac:dyDescent="0.35">
      <c r="A3649" s="2" t="s">
        <v>24251</v>
      </c>
      <c r="B3649" s="2">
        <v>359.16360648202698</v>
      </c>
      <c r="C3649" s="2">
        <v>6.5888166666666699</v>
      </c>
      <c r="D3649" s="2" t="s">
        <v>34</v>
      </c>
      <c r="E3649" s="2" t="s">
        <v>24252</v>
      </c>
      <c r="F3649" s="2">
        <v>54679</v>
      </c>
      <c r="G3649" s="3" t="str">
        <f>HYPERLINK("http://funmeta.oebiotech.com/network/54679", "http://funmeta.oebiotech.com/network/54679")</f>
        <v>http://funmeta.oebiotech.com/network/54679</v>
      </c>
      <c r="H3649" s="2" t="s">
        <v>24253</v>
      </c>
      <c r="I3649" s="2">
        <v>86495</v>
      </c>
      <c r="J3649" s="2"/>
      <c r="K3649" s="2">
        <v>175838</v>
      </c>
      <c r="L3649" s="2"/>
      <c r="M3649" s="2"/>
      <c r="N3649" s="2"/>
      <c r="O3649" s="2">
        <v>102444980</v>
      </c>
      <c r="P3649" s="2" t="s">
        <v>24254</v>
      </c>
      <c r="Q3649" s="2" t="s">
        <v>24255</v>
      </c>
      <c r="R3649" s="2" t="s">
        <v>24256</v>
      </c>
      <c r="S3649" s="2" t="s">
        <v>115</v>
      </c>
      <c r="T3649" s="2" t="s">
        <v>1095</v>
      </c>
      <c r="U3649" s="2" t="s">
        <v>41</v>
      </c>
      <c r="V3649" s="2" t="s">
        <v>59</v>
      </c>
      <c r="W3649" s="2">
        <v>37</v>
      </c>
      <c r="X3649" s="2">
        <v>0</v>
      </c>
      <c r="Y3649" s="2" t="s">
        <v>266</v>
      </c>
      <c r="Z3649" s="2" t="s">
        <v>24257</v>
      </c>
      <c r="AA3649" s="2">
        <v>-1.5007036866847301</v>
      </c>
      <c r="AB3649" s="2">
        <v>0.200040224316788</v>
      </c>
      <c r="AC3649" s="2">
        <v>33013.702041113203</v>
      </c>
      <c r="AD3649" s="2">
        <v>27969.380588731601</v>
      </c>
      <c r="AE3649" s="2">
        <v>27189.968846881598</v>
      </c>
      <c r="AF3649" s="2">
        <v>33521.158280889103</v>
      </c>
      <c r="AG3649" s="2">
        <v>39547.0415542189</v>
      </c>
      <c r="AH3649" s="2">
        <v>31628.481553392001</v>
      </c>
      <c r="AI3649" s="2">
        <v>28493.7739474097</v>
      </c>
      <c r="AJ3649" s="2">
        <v>37701.788063887601</v>
      </c>
      <c r="AK3649" s="2">
        <v>31467.603503284601</v>
      </c>
      <c r="AL3649" s="2">
        <v>33735.695410960201</v>
      </c>
      <c r="AM3649" s="2">
        <v>29456.040255849799</v>
      </c>
      <c r="AN3649" s="2">
        <v>24745.3262888555</v>
      </c>
      <c r="AO3649" s="2">
        <v>26434.459344976502</v>
      </c>
      <c r="AP3649" s="2">
        <v>21977.158728463201</v>
      </c>
    </row>
    <row r="3650" spans="1:42" ht="14.5" x14ac:dyDescent="0.35">
      <c r="A3650" s="2" t="s">
        <v>24258</v>
      </c>
      <c r="B3650" s="2">
        <v>328.26298069843699</v>
      </c>
      <c r="C3650" s="2">
        <v>7.5713999999999997</v>
      </c>
      <c r="D3650" s="2" t="s">
        <v>34</v>
      </c>
      <c r="E3650" s="2" t="s">
        <v>24259</v>
      </c>
      <c r="F3650" s="2">
        <v>44994</v>
      </c>
      <c r="G3650" s="3" t="str">
        <f>HYPERLINK("http://funmeta.oebiotech.com/network/44994", "http://funmeta.oebiotech.com/network/44994")</f>
        <v>http://funmeta.oebiotech.com/network/44994</v>
      </c>
      <c r="H3650" s="2" t="s">
        <v>24260</v>
      </c>
      <c r="I3650" s="2">
        <v>1951</v>
      </c>
      <c r="J3650" s="2" t="s">
        <v>24261</v>
      </c>
      <c r="K3650" s="2">
        <v>4453</v>
      </c>
      <c r="L3650" s="2" t="s">
        <v>24262</v>
      </c>
      <c r="M3650" s="2"/>
      <c r="N3650" s="2"/>
      <c r="O3650" s="2">
        <v>40973</v>
      </c>
      <c r="P3650" s="2" t="s">
        <v>24263</v>
      </c>
      <c r="Q3650" s="2" t="s">
        <v>24264</v>
      </c>
      <c r="R3650" s="2" t="s">
        <v>24265</v>
      </c>
      <c r="S3650" s="2" t="s">
        <v>50</v>
      </c>
      <c r="T3650" s="2" t="s">
        <v>124</v>
      </c>
      <c r="U3650" s="2" t="s">
        <v>2093</v>
      </c>
      <c r="V3650" s="2" t="s">
        <v>42</v>
      </c>
      <c r="W3650" s="2">
        <v>50.6</v>
      </c>
      <c r="X3650" s="2">
        <v>66.599999999999994</v>
      </c>
      <c r="Y3650" s="2" t="s">
        <v>43</v>
      </c>
      <c r="Z3650" s="2" t="s">
        <v>24266</v>
      </c>
      <c r="AA3650" s="2">
        <v>-1.6452753556300801</v>
      </c>
      <c r="AB3650" s="2">
        <v>0.200027851642714</v>
      </c>
      <c r="AC3650" s="2">
        <v>29301.228560424301</v>
      </c>
      <c r="AD3650" s="2">
        <v>33300.175583936398</v>
      </c>
      <c r="AE3650" s="2">
        <v>32198.1622939193</v>
      </c>
      <c r="AF3650" s="2">
        <v>28873.953190910499</v>
      </c>
      <c r="AG3650" s="2">
        <v>27716.136782660698</v>
      </c>
      <c r="AH3650" s="2">
        <v>28901.532051525799</v>
      </c>
      <c r="AI3650" s="2">
        <v>30178.140069892201</v>
      </c>
      <c r="AJ3650" s="2">
        <v>27939.446973637499</v>
      </c>
      <c r="AK3650" s="2">
        <v>36912.728515296199</v>
      </c>
      <c r="AL3650" s="2">
        <v>34735.611443545102</v>
      </c>
      <c r="AM3650" s="2">
        <v>29350.5759813927</v>
      </c>
      <c r="AN3650" s="2">
        <v>33906.260801259203</v>
      </c>
      <c r="AO3650" s="2">
        <v>35346.134059105003</v>
      </c>
      <c r="AP3650" s="2">
        <v>29549.7427030203</v>
      </c>
    </row>
    <row r="3651" spans="1:42" ht="14.5" x14ac:dyDescent="0.35">
      <c r="A3651" s="2" t="s">
        <v>24267</v>
      </c>
      <c r="B3651" s="2">
        <v>303.05064603185502</v>
      </c>
      <c r="C3651" s="2">
        <v>3.95061666666667</v>
      </c>
      <c r="D3651" s="2" t="s">
        <v>70</v>
      </c>
      <c r="E3651" s="2" t="s">
        <v>24268</v>
      </c>
      <c r="F3651" s="2">
        <v>34889</v>
      </c>
      <c r="G3651" s="3" t="str">
        <f>HYPERLINK("http://funmeta.oebiotech.com/network/34889", "http://funmeta.oebiotech.com/network/34889")</f>
        <v>http://funmeta.oebiotech.com/network/34889</v>
      </c>
      <c r="H3651" s="2" t="s">
        <v>24269</v>
      </c>
      <c r="I3651" s="2">
        <v>3434</v>
      </c>
      <c r="J3651" s="2" t="s">
        <v>24270</v>
      </c>
      <c r="K3651" s="2">
        <v>17948</v>
      </c>
      <c r="L3651" s="2" t="s">
        <v>24271</v>
      </c>
      <c r="M3651" s="2" t="s">
        <v>1432</v>
      </c>
      <c r="N3651" s="2" t="s">
        <v>1433</v>
      </c>
      <c r="O3651" s="2">
        <v>439533</v>
      </c>
      <c r="P3651" s="2" t="s">
        <v>24272</v>
      </c>
      <c r="Q3651" s="2" t="s">
        <v>24273</v>
      </c>
      <c r="R3651" s="2" t="s">
        <v>24274</v>
      </c>
      <c r="S3651" s="2" t="s">
        <v>115</v>
      </c>
      <c r="T3651" s="2" t="s">
        <v>139</v>
      </c>
      <c r="U3651" s="2" t="s">
        <v>1437</v>
      </c>
      <c r="V3651" s="2" t="s">
        <v>42</v>
      </c>
      <c r="W3651" s="2">
        <v>56.9</v>
      </c>
      <c r="X3651" s="2">
        <v>91.8</v>
      </c>
      <c r="Y3651" s="2" t="s">
        <v>118</v>
      </c>
      <c r="Z3651" s="2" t="s">
        <v>24275</v>
      </c>
      <c r="AA3651" s="2">
        <v>-1.2506085233026301</v>
      </c>
      <c r="AB3651" s="2">
        <v>0.20002408116589901</v>
      </c>
      <c r="AC3651" s="2">
        <v>17271.130479200699</v>
      </c>
      <c r="AD3651" s="2">
        <v>20900.066364767401</v>
      </c>
      <c r="AE3651" s="2">
        <v>16523.0342476966</v>
      </c>
      <c r="AF3651" s="2">
        <v>18203.712498274999</v>
      </c>
      <c r="AG3651" s="2">
        <v>16503.828973131898</v>
      </c>
      <c r="AH3651" s="2">
        <v>14791.024975492101</v>
      </c>
      <c r="AI3651" s="2">
        <v>20194.054413903701</v>
      </c>
      <c r="AJ3651" s="2">
        <v>17411.1277667049</v>
      </c>
      <c r="AK3651" s="2">
        <v>23688.975470921599</v>
      </c>
      <c r="AL3651" s="2">
        <v>21451.229996060702</v>
      </c>
      <c r="AM3651" s="2">
        <v>21540.570583153702</v>
      </c>
      <c r="AN3651" s="2">
        <v>19927.334177683701</v>
      </c>
      <c r="AO3651" s="2">
        <v>17640.794018959499</v>
      </c>
      <c r="AP3651" s="2">
        <v>21151.4939418252</v>
      </c>
    </row>
    <row r="3652" spans="1:42" ht="14.5" x14ac:dyDescent="0.35">
      <c r="A3652" s="2" t="s">
        <v>24276</v>
      </c>
      <c r="B3652" s="2">
        <v>589.29938347677705</v>
      </c>
      <c r="C3652" s="2">
        <v>5.37571666666667</v>
      </c>
      <c r="D3652" s="2" t="s">
        <v>70</v>
      </c>
      <c r="E3652" s="2" t="s">
        <v>24277</v>
      </c>
      <c r="F3652" s="2">
        <v>204413</v>
      </c>
      <c r="G3652" s="3" t="str">
        <f>HYPERLINK("http://funmeta.oebiotech.com/network/204413", "http://funmeta.oebiotech.com/network/204413")</f>
        <v>http://funmeta.oebiotech.com/network/204413</v>
      </c>
      <c r="H3652" s="2" t="s">
        <v>24278</v>
      </c>
      <c r="I3652" s="2">
        <v>72384</v>
      </c>
      <c r="J3652" s="2"/>
      <c r="K3652" s="2"/>
      <c r="L3652" s="2" t="s">
        <v>24279</v>
      </c>
      <c r="M3652" s="2"/>
      <c r="N3652" s="2"/>
      <c r="O3652" s="2">
        <v>36565</v>
      </c>
      <c r="P3652" s="2" t="s">
        <v>24280</v>
      </c>
      <c r="Q3652" s="2" t="s">
        <v>24281</v>
      </c>
      <c r="R3652" s="2" t="s">
        <v>24282</v>
      </c>
      <c r="S3652" s="2" t="s">
        <v>148</v>
      </c>
      <c r="T3652" s="2" t="s">
        <v>149</v>
      </c>
      <c r="U3652" s="2" t="s">
        <v>150</v>
      </c>
      <c r="V3652" s="2" t="s">
        <v>59</v>
      </c>
      <c r="W3652" s="2">
        <v>39.4</v>
      </c>
      <c r="X3652" s="2">
        <v>0</v>
      </c>
      <c r="Y3652" s="2" t="s">
        <v>560</v>
      </c>
      <c r="Z3652" s="2" t="s">
        <v>24283</v>
      </c>
      <c r="AA3652" s="2">
        <v>0.41940346853504001</v>
      </c>
      <c r="AB3652" s="2">
        <v>0.20002333407201001</v>
      </c>
      <c r="AC3652" s="2">
        <v>3219.7807726179699</v>
      </c>
      <c r="AD3652" s="2">
        <v>394.62643039964399</v>
      </c>
      <c r="AE3652" s="2">
        <v>2625.59887648411</v>
      </c>
      <c r="AF3652" s="2">
        <v>3461.0348943981899</v>
      </c>
      <c r="AG3652" s="2">
        <v>3016.36849649344</v>
      </c>
      <c r="AH3652" s="2">
        <v>4752.6541075068999</v>
      </c>
      <c r="AI3652" s="2">
        <v>2852.5376468243899</v>
      </c>
      <c r="AJ3652" s="2">
        <v>2610.4906140008102</v>
      </c>
      <c r="AK3652" s="2">
        <v>287.67501410924302</v>
      </c>
      <c r="AL3652" s="2">
        <v>465.69522713199802</v>
      </c>
      <c r="AM3652" s="2">
        <v>40.844815842302502</v>
      </c>
      <c r="AN3652" s="2">
        <v>850.98862172235499</v>
      </c>
      <c r="AO3652" s="2">
        <v>79.562894816700293</v>
      </c>
      <c r="AP3652" s="2">
        <v>642.992008775268</v>
      </c>
    </row>
    <row r="3653" spans="1:42" ht="14.5" x14ac:dyDescent="0.35">
      <c r="A3653" s="2" t="s">
        <v>24284</v>
      </c>
      <c r="B3653" s="2">
        <v>263.08704368059699</v>
      </c>
      <c r="C3653" s="2">
        <v>0.76544999999999996</v>
      </c>
      <c r="D3653" s="2" t="s">
        <v>34</v>
      </c>
      <c r="E3653" s="2" t="s">
        <v>24285</v>
      </c>
      <c r="F3653" s="2">
        <v>51182</v>
      </c>
      <c r="G3653" s="3" t="str">
        <f>HYPERLINK("http://funmeta.oebiotech.com/network/51182", "http://funmeta.oebiotech.com/network/51182")</f>
        <v>http://funmeta.oebiotech.com/network/51182</v>
      </c>
      <c r="H3653" s="2" t="s">
        <v>24286</v>
      </c>
      <c r="I3653" s="2">
        <v>62013</v>
      </c>
      <c r="J3653" s="2"/>
      <c r="K3653" s="2"/>
      <c r="L3653" s="2"/>
      <c r="M3653" s="2"/>
      <c r="N3653" s="2"/>
      <c r="O3653" s="2">
        <v>25207301</v>
      </c>
      <c r="P3653" s="2"/>
      <c r="Q3653" s="2" t="s">
        <v>24287</v>
      </c>
      <c r="R3653" s="2" t="s">
        <v>24288</v>
      </c>
      <c r="S3653" s="2" t="s">
        <v>89</v>
      </c>
      <c r="T3653" s="2" t="s">
        <v>1600</v>
      </c>
      <c r="U3653" s="2" t="s">
        <v>3890</v>
      </c>
      <c r="V3653" s="2" t="s">
        <v>59</v>
      </c>
      <c r="W3653" s="2">
        <v>38</v>
      </c>
      <c r="X3653" s="2">
        <v>0</v>
      </c>
      <c r="Y3653" s="2" t="s">
        <v>394</v>
      </c>
      <c r="Z3653" s="2" t="s">
        <v>24289</v>
      </c>
      <c r="AA3653" s="2">
        <v>-1.27269068430041</v>
      </c>
      <c r="AB3653" s="2">
        <v>0.200021334318911</v>
      </c>
      <c r="AC3653" s="2">
        <v>3280.7561891785799</v>
      </c>
      <c r="AD3653" s="2">
        <v>245.92254370992001</v>
      </c>
      <c r="AE3653" s="2">
        <v>2442.8468208715399</v>
      </c>
      <c r="AF3653" s="2">
        <v>3424.8432237357301</v>
      </c>
      <c r="AG3653" s="2">
        <v>4610.8505972515004</v>
      </c>
      <c r="AH3653" s="2">
        <v>4729.2563862209099</v>
      </c>
      <c r="AI3653" s="2">
        <v>2850.9550952193699</v>
      </c>
      <c r="AJ3653" s="2">
        <v>1625.7850117724099</v>
      </c>
      <c r="AK3653" s="2">
        <v>2.7106294003980101E-5</v>
      </c>
      <c r="AL3653" s="2">
        <v>2.7106294003980101E-5</v>
      </c>
      <c r="AM3653" s="2">
        <v>2.7106294003980101E-5</v>
      </c>
      <c r="AN3653" s="2">
        <v>1475.53512672805</v>
      </c>
      <c r="AO3653" s="2">
        <v>2.7106294003980101E-5</v>
      </c>
      <c r="AP3653" s="2">
        <v>2.7106294003980101E-5</v>
      </c>
    </row>
    <row r="3654" spans="1:42" ht="14.5" x14ac:dyDescent="0.35">
      <c r="A3654" s="2" t="s">
        <v>24290</v>
      </c>
      <c r="B3654" s="2">
        <v>191.07050262256001</v>
      </c>
      <c r="C3654" s="2">
        <v>3.7682166666666701</v>
      </c>
      <c r="D3654" s="2" t="s">
        <v>70</v>
      </c>
      <c r="E3654" s="2" t="s">
        <v>24291</v>
      </c>
      <c r="F3654" s="2">
        <v>55368</v>
      </c>
      <c r="G3654" s="3" t="str">
        <f>HYPERLINK("http://funmeta.oebiotech.com/network/55368", "http://funmeta.oebiotech.com/network/55368")</f>
        <v>http://funmeta.oebiotech.com/network/55368</v>
      </c>
      <c r="H3654" s="2" t="s">
        <v>24292</v>
      </c>
      <c r="I3654" s="2">
        <v>87075</v>
      </c>
      <c r="J3654" s="2"/>
      <c r="K3654" s="2">
        <v>172433</v>
      </c>
      <c r="L3654" s="2"/>
      <c r="M3654" s="2"/>
      <c r="N3654" s="2"/>
      <c r="O3654" s="2">
        <v>12315505</v>
      </c>
      <c r="P3654" s="2"/>
      <c r="Q3654" s="2" t="s">
        <v>24293</v>
      </c>
      <c r="R3654" s="2" t="s">
        <v>24294</v>
      </c>
      <c r="S3654" s="2" t="s">
        <v>148</v>
      </c>
      <c r="T3654" s="2" t="s">
        <v>19471</v>
      </c>
      <c r="U3654" s="2" t="s">
        <v>41</v>
      </c>
      <c r="V3654" s="2" t="s">
        <v>59</v>
      </c>
      <c r="W3654" s="2">
        <v>44.1</v>
      </c>
      <c r="X3654" s="2">
        <v>28.7</v>
      </c>
      <c r="Y3654" s="2" t="s">
        <v>792</v>
      </c>
      <c r="Z3654" s="2" t="s">
        <v>23362</v>
      </c>
      <c r="AA3654" s="2">
        <v>-4.5043474957039598</v>
      </c>
      <c r="AB3654" s="2">
        <v>0.19989210294359699</v>
      </c>
      <c r="AC3654" s="2">
        <v>12674.099488516</v>
      </c>
      <c r="AD3654" s="2">
        <v>9874.4564702719908</v>
      </c>
      <c r="AE3654" s="2">
        <v>13133.053836544699</v>
      </c>
      <c r="AF3654" s="2">
        <v>13329.796648178701</v>
      </c>
      <c r="AG3654" s="2">
        <v>11782.9533753253</v>
      </c>
      <c r="AH3654" s="2">
        <v>12728.0969388912</v>
      </c>
      <c r="AI3654" s="2">
        <v>12511.7162501278</v>
      </c>
      <c r="AJ3654" s="2">
        <v>12558.979882028299</v>
      </c>
      <c r="AK3654" s="2">
        <v>10592.079272630701</v>
      </c>
      <c r="AL3654" s="2">
        <v>9334.6935849221409</v>
      </c>
      <c r="AM3654" s="2">
        <v>10302.267653834901</v>
      </c>
      <c r="AN3654" s="2">
        <v>9464.3648046105991</v>
      </c>
      <c r="AO3654" s="2">
        <v>9185.1910891167299</v>
      </c>
      <c r="AP3654" s="2">
        <v>10368.142416516899</v>
      </c>
    </row>
    <row r="3655" spans="1:42" ht="14.5" x14ac:dyDescent="0.35">
      <c r="A3655" s="2" t="s">
        <v>24295</v>
      </c>
      <c r="B3655" s="2">
        <v>227.138907986129</v>
      </c>
      <c r="C3655" s="2">
        <v>1.1287499999999999</v>
      </c>
      <c r="D3655" s="2" t="s">
        <v>34</v>
      </c>
      <c r="E3655" s="2" t="s">
        <v>24296</v>
      </c>
      <c r="F3655" s="2">
        <v>53932</v>
      </c>
      <c r="G3655" s="3" t="str">
        <f>HYPERLINK("http://funmeta.oebiotech.com/network/53932", "http://funmeta.oebiotech.com/network/53932")</f>
        <v>http://funmeta.oebiotech.com/network/53932</v>
      </c>
      <c r="H3655" s="2" t="s">
        <v>24297</v>
      </c>
      <c r="I3655" s="2"/>
      <c r="J3655" s="2"/>
      <c r="K3655" s="2"/>
      <c r="L3655" s="2"/>
      <c r="M3655" s="2"/>
      <c r="N3655" s="2"/>
      <c r="O3655" s="2">
        <v>61158802</v>
      </c>
      <c r="P3655" s="2" t="s">
        <v>24298</v>
      </c>
      <c r="Q3655" s="2" t="s">
        <v>24299</v>
      </c>
      <c r="R3655" s="2" t="s">
        <v>24300</v>
      </c>
      <c r="S3655" s="2" t="s">
        <v>89</v>
      </c>
      <c r="T3655" s="2" t="s">
        <v>90</v>
      </c>
      <c r="U3655" s="2" t="s">
        <v>99</v>
      </c>
      <c r="V3655" s="2" t="s">
        <v>59</v>
      </c>
      <c r="W3655" s="2">
        <v>41.1</v>
      </c>
      <c r="X3655" s="2">
        <v>9.98</v>
      </c>
      <c r="Y3655" s="2" t="s">
        <v>141</v>
      </c>
      <c r="Z3655" s="2" t="s">
        <v>24301</v>
      </c>
      <c r="AA3655" s="2">
        <v>-0.45421505223913999</v>
      </c>
      <c r="AB3655" s="2">
        <v>0.19982025976659901</v>
      </c>
      <c r="AC3655" s="2">
        <v>30124.075063081302</v>
      </c>
      <c r="AD3655" s="2">
        <v>33724.788921919098</v>
      </c>
      <c r="AE3655" s="2">
        <v>29295.277656005099</v>
      </c>
      <c r="AF3655" s="2">
        <v>31696.4921473346</v>
      </c>
      <c r="AG3655" s="2">
        <v>32206.614670986801</v>
      </c>
      <c r="AH3655" s="2">
        <v>29304.361479269999</v>
      </c>
      <c r="AI3655" s="2">
        <v>29808.5954561082</v>
      </c>
      <c r="AJ3655" s="2">
        <v>28433.108968783399</v>
      </c>
      <c r="AK3655" s="2">
        <v>31267.7264455681</v>
      </c>
      <c r="AL3655" s="2">
        <v>36606.185184011301</v>
      </c>
      <c r="AM3655" s="2">
        <v>33081.403590099901</v>
      </c>
      <c r="AN3655" s="2">
        <v>34878.066279191997</v>
      </c>
      <c r="AO3655" s="2">
        <v>35024.872710897398</v>
      </c>
      <c r="AP3655" s="2">
        <v>31490.479321746199</v>
      </c>
    </row>
    <row r="3656" spans="1:42" ht="14.5" x14ac:dyDescent="0.35">
      <c r="A3656" s="2" t="s">
        <v>24302</v>
      </c>
      <c r="B3656" s="2">
        <v>505.20737794254899</v>
      </c>
      <c r="C3656" s="2">
        <v>4.96875</v>
      </c>
      <c r="D3656" s="2" t="s">
        <v>70</v>
      </c>
      <c r="E3656" s="2" t="s">
        <v>24303</v>
      </c>
      <c r="F3656" s="2">
        <v>47729</v>
      </c>
      <c r="G3656" s="3" t="str">
        <f>HYPERLINK("http://funmeta.oebiotech.com/network/47729", "http://funmeta.oebiotech.com/network/47729")</f>
        <v>http://funmeta.oebiotech.com/network/47729</v>
      </c>
      <c r="H3656" s="2" t="s">
        <v>24304</v>
      </c>
      <c r="I3656" s="2">
        <v>2908</v>
      </c>
      <c r="J3656" s="2"/>
      <c r="K3656" s="2">
        <v>9671</v>
      </c>
      <c r="L3656" s="2" t="s">
        <v>24305</v>
      </c>
      <c r="M3656" s="2"/>
      <c r="N3656" s="2"/>
      <c r="O3656" s="2">
        <v>5546</v>
      </c>
      <c r="P3656" s="2" t="s">
        <v>24306</v>
      </c>
      <c r="Q3656" s="2" t="s">
        <v>24307</v>
      </c>
      <c r="R3656" s="2" t="s">
        <v>24308</v>
      </c>
      <c r="S3656" s="2" t="s">
        <v>491</v>
      </c>
      <c r="T3656" s="2" t="s">
        <v>4914</v>
      </c>
      <c r="U3656" s="2" t="s">
        <v>41</v>
      </c>
      <c r="V3656" s="2" t="s">
        <v>59</v>
      </c>
      <c r="W3656" s="2">
        <v>39.299999999999997</v>
      </c>
      <c r="X3656" s="2">
        <v>0</v>
      </c>
      <c r="Y3656" s="2" t="s">
        <v>560</v>
      </c>
      <c r="Z3656" s="2" t="s">
        <v>24309</v>
      </c>
      <c r="AA3656" s="2">
        <v>-1.05172307115648</v>
      </c>
      <c r="AB3656" s="2">
        <v>0.19981919110935101</v>
      </c>
      <c r="AC3656" s="2">
        <v>11256.6550784879</v>
      </c>
      <c r="AD3656" s="2">
        <v>14369.4332466838</v>
      </c>
      <c r="AE3656" s="2">
        <v>11003.8653580437</v>
      </c>
      <c r="AF3656" s="2">
        <v>12839.264888869</v>
      </c>
      <c r="AG3656" s="2">
        <v>11614.538295221901</v>
      </c>
      <c r="AH3656" s="2">
        <v>10996.6046682794</v>
      </c>
      <c r="AI3656" s="2">
        <v>9098.7712740897605</v>
      </c>
      <c r="AJ3656" s="2">
        <v>11986.8859864239</v>
      </c>
      <c r="AK3656" s="2">
        <v>15855.266709889</v>
      </c>
      <c r="AL3656" s="2">
        <v>14122.4044376893</v>
      </c>
      <c r="AM3656" s="2">
        <v>13645.7376018799</v>
      </c>
      <c r="AN3656" s="2">
        <v>14427.146960249</v>
      </c>
      <c r="AO3656" s="2">
        <v>13852.4921862303</v>
      </c>
      <c r="AP3656" s="2">
        <v>14313.551584165099</v>
      </c>
    </row>
    <row r="3657" spans="1:42" ht="14.5" x14ac:dyDescent="0.35">
      <c r="A3657" s="2" t="s">
        <v>24310</v>
      </c>
      <c r="B3657" s="2">
        <v>947.354550902818</v>
      </c>
      <c r="C3657" s="2">
        <v>8.0718333333333305</v>
      </c>
      <c r="D3657" s="2" t="s">
        <v>70</v>
      </c>
      <c r="E3657" s="2" t="s">
        <v>24311</v>
      </c>
      <c r="F3657" s="2">
        <v>207067</v>
      </c>
      <c r="G3657" s="3" t="str">
        <f>HYPERLINK("http://funmeta.oebiotech.com/network/207067", "http://funmeta.oebiotech.com/network/207067")</f>
        <v>http://funmeta.oebiotech.com/network/207067</v>
      </c>
      <c r="H3657" s="2" t="s">
        <v>24312</v>
      </c>
      <c r="I3657" s="2"/>
      <c r="J3657" s="2"/>
      <c r="K3657" s="2"/>
      <c r="L3657" s="2"/>
      <c r="M3657" s="2"/>
      <c r="N3657" s="2"/>
      <c r="O3657" s="2">
        <v>107839</v>
      </c>
      <c r="P3657" s="2"/>
      <c r="Q3657" s="2" t="s">
        <v>24313</v>
      </c>
      <c r="R3657" s="2" t="s">
        <v>24314</v>
      </c>
      <c r="S3657" s="2" t="s">
        <v>89</v>
      </c>
      <c r="T3657" s="2" t="s">
        <v>90</v>
      </c>
      <c r="U3657" s="2" t="s">
        <v>99</v>
      </c>
      <c r="V3657" s="2" t="s">
        <v>59</v>
      </c>
      <c r="W3657" s="2">
        <v>36.299999999999997</v>
      </c>
      <c r="X3657" s="2">
        <v>0</v>
      </c>
      <c r="Y3657" s="2" t="s">
        <v>408</v>
      </c>
      <c r="Z3657" s="2" t="s">
        <v>24315</v>
      </c>
      <c r="AA3657" s="2">
        <v>-3.21911836371972</v>
      </c>
      <c r="AB3657" s="2">
        <v>0.19976797374605401</v>
      </c>
      <c r="AC3657" s="2">
        <v>33374.879093960801</v>
      </c>
      <c r="AD3657" s="2">
        <v>37199.326265147</v>
      </c>
      <c r="AE3657" s="2">
        <v>33326.595731764501</v>
      </c>
      <c r="AF3657" s="2">
        <v>34662.4391971605</v>
      </c>
      <c r="AG3657" s="2">
        <v>35149.5622582332</v>
      </c>
      <c r="AH3657" s="2">
        <v>31200.320966774801</v>
      </c>
      <c r="AI3657" s="2">
        <v>33224.666885934297</v>
      </c>
      <c r="AJ3657" s="2">
        <v>32685.689523897701</v>
      </c>
      <c r="AK3657" s="2">
        <v>37570.8891638473</v>
      </c>
      <c r="AL3657" s="2">
        <v>38858.309798522801</v>
      </c>
      <c r="AM3657" s="2">
        <v>35603.122703109701</v>
      </c>
      <c r="AN3657" s="2">
        <v>41807.571749123897</v>
      </c>
      <c r="AO3657" s="2">
        <v>34777.284322255102</v>
      </c>
      <c r="AP3657" s="2">
        <v>34578.779854023</v>
      </c>
    </row>
    <row r="3658" spans="1:42" ht="14.5" x14ac:dyDescent="0.35">
      <c r="A3658" s="2" t="s">
        <v>24316</v>
      </c>
      <c r="B3658" s="2">
        <v>795.26763622011197</v>
      </c>
      <c r="C3658" s="2">
        <v>4.6492000000000004</v>
      </c>
      <c r="D3658" s="2" t="s">
        <v>70</v>
      </c>
      <c r="E3658" s="2" t="s">
        <v>24317</v>
      </c>
      <c r="F3658" s="2">
        <v>258015</v>
      </c>
      <c r="G3658" s="3" t="str">
        <f>HYPERLINK("http://funmeta.oebiotech.com/network/258015", "http://funmeta.oebiotech.com/network/258015")</f>
        <v>http://funmeta.oebiotech.com/network/258015</v>
      </c>
      <c r="H3658" s="2"/>
      <c r="I3658" s="2">
        <v>2040</v>
      </c>
      <c r="J3658" s="2"/>
      <c r="K3658" s="2"/>
      <c r="L3658" s="2" t="s">
        <v>24318</v>
      </c>
      <c r="M3658" s="2" t="s">
        <v>6739</v>
      </c>
      <c r="N3658" s="2" t="s">
        <v>6740</v>
      </c>
      <c r="O3658" s="2">
        <v>345501</v>
      </c>
      <c r="P3658" s="2" t="s">
        <v>24319</v>
      </c>
      <c r="Q3658" s="2" t="s">
        <v>24320</v>
      </c>
      <c r="R3658" s="2" t="s">
        <v>24321</v>
      </c>
      <c r="S3658" s="2" t="s">
        <v>1184</v>
      </c>
      <c r="T3658" s="2" t="s">
        <v>14631</v>
      </c>
      <c r="U3658" s="2" t="s">
        <v>41</v>
      </c>
      <c r="V3658" s="2" t="s">
        <v>59</v>
      </c>
      <c r="W3658" s="2">
        <v>39.200000000000003</v>
      </c>
      <c r="X3658" s="2">
        <v>0</v>
      </c>
      <c r="Y3658" s="2" t="s">
        <v>560</v>
      </c>
      <c r="Z3658" s="2" t="s">
        <v>24322</v>
      </c>
      <c r="AA3658" s="2">
        <v>2.2687783605176799</v>
      </c>
      <c r="AB3658" s="2">
        <v>0.19964024442577599</v>
      </c>
      <c r="AC3658" s="2">
        <v>13918.696968512901</v>
      </c>
      <c r="AD3658" s="2">
        <v>10647.365903297699</v>
      </c>
      <c r="AE3658" s="2">
        <v>14098.1087981332</v>
      </c>
      <c r="AF3658" s="2">
        <v>15026.907947854001</v>
      </c>
      <c r="AG3658" s="2">
        <v>14391.9919768778</v>
      </c>
      <c r="AH3658" s="2">
        <v>15075.5209294794</v>
      </c>
      <c r="AI3658" s="2">
        <v>12950.951897160599</v>
      </c>
      <c r="AJ3658" s="2">
        <v>11968.7002615726</v>
      </c>
      <c r="AK3658" s="2">
        <v>9868.0243943649493</v>
      </c>
      <c r="AL3658" s="2">
        <v>8616.79253061708</v>
      </c>
      <c r="AM3658" s="2">
        <v>12188.1754354942</v>
      </c>
      <c r="AN3658" s="2">
        <v>11536.7148060447</v>
      </c>
      <c r="AO3658" s="2">
        <v>9688.1492082699697</v>
      </c>
      <c r="AP3658" s="2">
        <v>11986.339044995</v>
      </c>
    </row>
    <row r="3659" spans="1:42" ht="14.5" x14ac:dyDescent="0.35">
      <c r="A3659" s="2" t="s">
        <v>24323</v>
      </c>
      <c r="B3659" s="2">
        <v>440.100856534071</v>
      </c>
      <c r="C3659" s="2">
        <v>4.2777833333333302</v>
      </c>
      <c r="D3659" s="2" t="s">
        <v>34</v>
      </c>
      <c r="E3659" s="2" t="s">
        <v>24324</v>
      </c>
      <c r="F3659" s="2">
        <v>205223</v>
      </c>
      <c r="G3659" s="3" t="str">
        <f>HYPERLINK("http://funmeta.oebiotech.com/network/205223", "http://funmeta.oebiotech.com/network/205223")</f>
        <v>http://funmeta.oebiotech.com/network/205223</v>
      </c>
      <c r="H3659" s="2" t="s">
        <v>24325</v>
      </c>
      <c r="I3659" s="2"/>
      <c r="J3659" s="2"/>
      <c r="K3659" s="2"/>
      <c r="L3659" s="2"/>
      <c r="M3659" s="2"/>
      <c r="N3659" s="2"/>
      <c r="O3659" s="2">
        <v>59152103</v>
      </c>
      <c r="P3659" s="2"/>
      <c r="Q3659" s="2" t="s">
        <v>24326</v>
      </c>
      <c r="R3659" s="2" t="s">
        <v>24327</v>
      </c>
      <c r="S3659" s="2" t="s">
        <v>41</v>
      </c>
      <c r="T3659" s="2" t="s">
        <v>41</v>
      </c>
      <c r="U3659" s="2" t="s">
        <v>41</v>
      </c>
      <c r="V3659" s="2" t="s">
        <v>59</v>
      </c>
      <c r="W3659" s="2">
        <v>36</v>
      </c>
      <c r="X3659" s="2">
        <v>0</v>
      </c>
      <c r="Y3659" s="2" t="s">
        <v>394</v>
      </c>
      <c r="Z3659" s="2" t="s">
        <v>24328</v>
      </c>
      <c r="AA3659" s="2">
        <v>2.2433679868519398</v>
      </c>
      <c r="AB3659" s="2">
        <v>0.199616958281957</v>
      </c>
      <c r="AC3659" s="2">
        <v>18237.0880212169</v>
      </c>
      <c r="AD3659" s="2">
        <v>21820.264897200901</v>
      </c>
      <c r="AE3659" s="2">
        <v>16276.6862605447</v>
      </c>
      <c r="AF3659" s="2">
        <v>18799.8487310407</v>
      </c>
      <c r="AG3659" s="2">
        <v>20498.068923657898</v>
      </c>
      <c r="AH3659" s="2">
        <v>18296.508089878</v>
      </c>
      <c r="AI3659" s="2">
        <v>18182.0776454027</v>
      </c>
      <c r="AJ3659" s="2">
        <v>17369.3384767772</v>
      </c>
      <c r="AK3659" s="2">
        <v>23547.0314458252</v>
      </c>
      <c r="AL3659" s="2">
        <v>22166.4899227241</v>
      </c>
      <c r="AM3659" s="2">
        <v>24854.749173056702</v>
      </c>
      <c r="AN3659" s="2">
        <v>20229.986005315299</v>
      </c>
      <c r="AO3659" s="2">
        <v>21159.583506147799</v>
      </c>
      <c r="AP3659" s="2">
        <v>18963.749330136201</v>
      </c>
    </row>
    <row r="3660" spans="1:42" ht="14.5" x14ac:dyDescent="0.35">
      <c r="A3660" s="2" t="s">
        <v>24329</v>
      </c>
      <c r="B3660" s="2">
        <v>583.33236269017402</v>
      </c>
      <c r="C3660" s="2">
        <v>5.37571666666667</v>
      </c>
      <c r="D3660" s="2" t="s">
        <v>70</v>
      </c>
      <c r="E3660" s="2" t="s">
        <v>24330</v>
      </c>
      <c r="F3660" s="2">
        <v>208238</v>
      </c>
      <c r="G3660" s="3" t="str">
        <f>HYPERLINK("http://funmeta.oebiotech.com/network/208238", "http://funmeta.oebiotech.com/network/208238")</f>
        <v>http://funmeta.oebiotech.com/network/208238</v>
      </c>
      <c r="H3660" s="2" t="s">
        <v>24331</v>
      </c>
      <c r="I3660" s="2">
        <v>427761</v>
      </c>
      <c r="J3660" s="2"/>
      <c r="K3660" s="2"/>
      <c r="L3660" s="2"/>
      <c r="M3660" s="2"/>
      <c r="N3660" s="2"/>
      <c r="O3660" s="2">
        <v>65997</v>
      </c>
      <c r="P3660" s="2"/>
      <c r="Q3660" s="2" t="s">
        <v>24332</v>
      </c>
      <c r="R3660" s="2" t="s">
        <v>24333</v>
      </c>
      <c r="S3660" s="2" t="s">
        <v>491</v>
      </c>
      <c r="T3660" s="2" t="s">
        <v>5190</v>
      </c>
      <c r="U3660" s="2" t="s">
        <v>5191</v>
      </c>
      <c r="V3660" s="2" t="s">
        <v>59</v>
      </c>
      <c r="W3660" s="2">
        <v>39.4</v>
      </c>
      <c r="X3660" s="2">
        <v>3.87</v>
      </c>
      <c r="Y3660" s="2" t="s">
        <v>560</v>
      </c>
      <c r="Z3660" s="2" t="s">
        <v>24334</v>
      </c>
      <c r="AA3660" s="2">
        <v>3.5010599983678001</v>
      </c>
      <c r="AB3660" s="2">
        <v>0.199506583732242</v>
      </c>
      <c r="AC3660" s="2">
        <v>70674.296250536296</v>
      </c>
      <c r="AD3660" s="2">
        <v>66289.282571059593</v>
      </c>
      <c r="AE3660" s="2">
        <v>74081.793254263204</v>
      </c>
      <c r="AF3660" s="2">
        <v>67234.314587797606</v>
      </c>
      <c r="AG3660" s="2">
        <v>73051.921660066102</v>
      </c>
      <c r="AH3660" s="2">
        <v>69426.234399147506</v>
      </c>
      <c r="AI3660" s="2">
        <v>70102.616042246693</v>
      </c>
      <c r="AJ3660" s="2">
        <v>70148.897559696605</v>
      </c>
      <c r="AK3660" s="2">
        <v>66114.482516466203</v>
      </c>
      <c r="AL3660" s="2">
        <v>60982.904257975802</v>
      </c>
      <c r="AM3660" s="2">
        <v>70802.330937887396</v>
      </c>
      <c r="AN3660" s="2">
        <v>63362.3934629656</v>
      </c>
      <c r="AO3660" s="2">
        <v>66164.946644865398</v>
      </c>
      <c r="AP3660" s="2">
        <v>70308.637606197095</v>
      </c>
    </row>
    <row r="3661" spans="1:42" ht="14.5" x14ac:dyDescent="0.35">
      <c r="A3661" s="2" t="s">
        <v>24335</v>
      </c>
      <c r="B3661" s="2">
        <v>251.136571427609</v>
      </c>
      <c r="C3661" s="2">
        <v>1.4587666666666701</v>
      </c>
      <c r="D3661" s="2" t="s">
        <v>34</v>
      </c>
      <c r="E3661" s="2" t="s">
        <v>24336</v>
      </c>
      <c r="F3661" s="2">
        <v>197068</v>
      </c>
      <c r="G3661" s="3" t="str">
        <f>HYPERLINK("http://funmeta.oebiotech.com/network/197068", "http://funmeta.oebiotech.com/network/197068")</f>
        <v>http://funmeta.oebiotech.com/network/197068</v>
      </c>
      <c r="H3661" s="2" t="s">
        <v>24337</v>
      </c>
      <c r="I3661" s="2"/>
      <c r="J3661" s="2"/>
      <c r="K3661" s="2"/>
      <c r="L3661" s="2"/>
      <c r="M3661" s="2"/>
      <c r="N3661" s="2"/>
      <c r="O3661" s="2">
        <v>134218393</v>
      </c>
      <c r="P3661" s="2" t="s">
        <v>24338</v>
      </c>
      <c r="Q3661" s="2" t="s">
        <v>24339</v>
      </c>
      <c r="R3661" s="2" t="s">
        <v>24340</v>
      </c>
      <c r="S3661" s="2" t="s">
        <v>89</v>
      </c>
      <c r="T3661" s="2" t="s">
        <v>90</v>
      </c>
      <c r="U3661" s="2" t="s">
        <v>99</v>
      </c>
      <c r="V3661" s="2" t="s">
        <v>59</v>
      </c>
      <c r="W3661" s="2">
        <v>43.4</v>
      </c>
      <c r="X3661" s="2">
        <v>20.3</v>
      </c>
      <c r="Y3661" s="2" t="s">
        <v>323</v>
      </c>
      <c r="Z3661" s="2" t="s">
        <v>2975</v>
      </c>
      <c r="AA3661" s="2">
        <v>-0.18304864657633199</v>
      </c>
      <c r="AB3661" s="2">
        <v>0.19947761706483899</v>
      </c>
      <c r="AC3661" s="2">
        <v>24414.488681998599</v>
      </c>
      <c r="AD3661" s="2">
        <v>27900.387035223299</v>
      </c>
      <c r="AE3661" s="2">
        <v>23356.0530827045</v>
      </c>
      <c r="AF3661" s="2">
        <v>25307.476517949301</v>
      </c>
      <c r="AG3661" s="2">
        <v>24600.153800190401</v>
      </c>
      <c r="AH3661" s="2">
        <v>23238.581725643999</v>
      </c>
      <c r="AI3661" s="2">
        <v>22655.093936883</v>
      </c>
      <c r="AJ3661" s="2">
        <v>27329.5730286203</v>
      </c>
      <c r="AK3661" s="2">
        <v>26408.444685071801</v>
      </c>
      <c r="AL3661" s="2">
        <v>30506.465495473502</v>
      </c>
      <c r="AM3661" s="2">
        <v>26514.863539669601</v>
      </c>
      <c r="AN3661" s="2">
        <v>28106.9218197277</v>
      </c>
      <c r="AO3661" s="2">
        <v>28766.948808413901</v>
      </c>
      <c r="AP3661" s="2">
        <v>27098.677862983601</v>
      </c>
    </row>
    <row r="3662" spans="1:42" ht="14.5" x14ac:dyDescent="0.35">
      <c r="A3662" s="2" t="s">
        <v>24341</v>
      </c>
      <c r="B3662" s="2">
        <v>319.04570854451902</v>
      </c>
      <c r="C3662" s="2">
        <v>4.4359166666666701</v>
      </c>
      <c r="D3662" s="2" t="s">
        <v>70</v>
      </c>
      <c r="E3662" s="2" t="s">
        <v>24342</v>
      </c>
      <c r="F3662" s="2">
        <v>55565</v>
      </c>
      <c r="G3662" s="3" t="str">
        <f>HYPERLINK("http://funmeta.oebiotech.com/network/55565", "http://funmeta.oebiotech.com/network/55565")</f>
        <v>http://funmeta.oebiotech.com/network/55565</v>
      </c>
      <c r="H3662" s="2" t="s">
        <v>24343</v>
      </c>
      <c r="I3662" s="2"/>
      <c r="J3662" s="2"/>
      <c r="K3662" s="2">
        <v>28917</v>
      </c>
      <c r="L3662" s="2"/>
      <c r="M3662" s="2"/>
      <c r="N3662" s="2"/>
      <c r="O3662" s="2">
        <v>5153580</v>
      </c>
      <c r="P3662" s="2" t="s">
        <v>24344</v>
      </c>
      <c r="Q3662" s="2" t="s">
        <v>24345</v>
      </c>
      <c r="R3662" s="2" t="s">
        <v>24346</v>
      </c>
      <c r="S3662" s="2" t="s">
        <v>115</v>
      </c>
      <c r="T3662" s="2" t="s">
        <v>139</v>
      </c>
      <c r="U3662" s="2" t="s">
        <v>1437</v>
      </c>
      <c r="V3662" s="2" t="s">
        <v>42</v>
      </c>
      <c r="W3662" s="2">
        <v>56.3</v>
      </c>
      <c r="X3662" s="2">
        <v>86</v>
      </c>
      <c r="Y3662" s="2" t="s">
        <v>792</v>
      </c>
      <c r="Z3662" s="2" t="s">
        <v>24347</v>
      </c>
      <c r="AA3662" s="2">
        <v>-0.72601926407903605</v>
      </c>
      <c r="AB3662" s="2">
        <v>0.19943053651845599</v>
      </c>
      <c r="AC3662" s="2">
        <v>29909.773588868498</v>
      </c>
      <c r="AD3662" s="2">
        <v>23985.962741853</v>
      </c>
      <c r="AE3662" s="2">
        <v>21745.5693212447</v>
      </c>
      <c r="AF3662" s="2">
        <v>27382.021760040199</v>
      </c>
      <c r="AG3662" s="2">
        <v>39786.336162858403</v>
      </c>
      <c r="AH3662" s="2">
        <v>25347.164929940998</v>
      </c>
      <c r="AI3662" s="2">
        <v>32547.8598579881</v>
      </c>
      <c r="AJ3662" s="2">
        <v>32649.689501138699</v>
      </c>
      <c r="AK3662" s="2">
        <v>20865.219021334</v>
      </c>
      <c r="AL3662" s="2">
        <v>37178.756154951101</v>
      </c>
      <c r="AM3662" s="2">
        <v>20425.175134550798</v>
      </c>
      <c r="AN3662" s="2">
        <v>23663.597161190799</v>
      </c>
      <c r="AO3662" s="2">
        <v>24227.003890634602</v>
      </c>
      <c r="AP3662" s="2">
        <v>17556.0250884569</v>
      </c>
    </row>
    <row r="3663" spans="1:42" ht="14.5" x14ac:dyDescent="0.35">
      <c r="A3663" s="2" t="s">
        <v>24348</v>
      </c>
      <c r="B3663" s="2">
        <v>997.46490432860401</v>
      </c>
      <c r="C3663" s="2">
        <v>10.7995</v>
      </c>
      <c r="D3663" s="2" t="s">
        <v>70</v>
      </c>
      <c r="E3663" s="2" t="s">
        <v>24349</v>
      </c>
      <c r="F3663" s="2">
        <v>62765</v>
      </c>
      <c r="G3663" s="3" t="str">
        <f>HYPERLINK("http://funmeta.oebiotech.com/network/62765", "http://funmeta.oebiotech.com/network/62765")</f>
        <v>http://funmeta.oebiotech.com/network/62765</v>
      </c>
      <c r="H3663" s="2" t="s">
        <v>24350</v>
      </c>
      <c r="I3663" s="2">
        <v>94060</v>
      </c>
      <c r="J3663" s="2"/>
      <c r="K3663" s="2"/>
      <c r="L3663" s="2"/>
      <c r="M3663" s="2"/>
      <c r="N3663" s="2"/>
      <c r="O3663" s="2">
        <v>73795903</v>
      </c>
      <c r="P3663" s="2"/>
      <c r="Q3663" s="2" t="s">
        <v>24351</v>
      </c>
      <c r="R3663" s="2" t="s">
        <v>24352</v>
      </c>
      <c r="S3663" s="2" t="s">
        <v>50</v>
      </c>
      <c r="T3663" s="2" t="s">
        <v>201</v>
      </c>
      <c r="U3663" s="2" t="s">
        <v>202</v>
      </c>
      <c r="V3663" s="2" t="s">
        <v>59</v>
      </c>
      <c r="W3663" s="2">
        <v>36.6</v>
      </c>
      <c r="X3663" s="2">
        <v>0</v>
      </c>
      <c r="Y3663" s="2" t="s">
        <v>408</v>
      </c>
      <c r="Z3663" s="2" t="s">
        <v>24353</v>
      </c>
      <c r="AA3663" s="2">
        <v>-8.2545740125872805E-2</v>
      </c>
      <c r="AB3663" s="2">
        <v>0.199281263071064</v>
      </c>
      <c r="AC3663" s="2">
        <v>22770.312468705499</v>
      </c>
      <c r="AD3663" s="2">
        <v>26403.045675728299</v>
      </c>
      <c r="AE3663" s="2">
        <v>23393.860499419599</v>
      </c>
      <c r="AF3663" s="2">
        <v>22275.3963848682</v>
      </c>
      <c r="AG3663" s="2">
        <v>20301.805820871101</v>
      </c>
      <c r="AH3663" s="2">
        <v>21564.711712257598</v>
      </c>
      <c r="AI3663" s="2">
        <v>26324.2272650372</v>
      </c>
      <c r="AJ3663" s="2">
        <v>22761.873129779098</v>
      </c>
      <c r="AK3663" s="2">
        <v>23412.745120952801</v>
      </c>
      <c r="AL3663" s="2">
        <v>26004.639048919998</v>
      </c>
      <c r="AM3663" s="2">
        <v>27036.0476437131</v>
      </c>
      <c r="AN3663" s="2">
        <v>26868.433933463501</v>
      </c>
      <c r="AO3663" s="2">
        <v>25715.6235536776</v>
      </c>
      <c r="AP3663" s="2">
        <v>29380.7847536427</v>
      </c>
    </row>
    <row r="3664" spans="1:42" ht="14.5" x14ac:dyDescent="0.35">
      <c r="A3664" s="2" t="s">
        <v>24354</v>
      </c>
      <c r="B3664" s="2">
        <v>518.27540081866096</v>
      </c>
      <c r="C3664" s="2">
        <v>8.1565333333333303</v>
      </c>
      <c r="D3664" s="2" t="s">
        <v>70</v>
      </c>
      <c r="E3664" s="2" t="s">
        <v>24355</v>
      </c>
      <c r="F3664" s="2">
        <v>10376</v>
      </c>
      <c r="G3664" s="3" t="str">
        <f>HYPERLINK("http://funmeta.oebiotech.com/network/10376", "http://funmeta.oebiotech.com/network/10376")</f>
        <v>http://funmeta.oebiotech.com/network/10376</v>
      </c>
      <c r="H3664" s="2"/>
      <c r="I3664" s="2"/>
      <c r="J3664" s="2" t="s">
        <v>24356</v>
      </c>
      <c r="K3664" s="2">
        <v>79356</v>
      </c>
      <c r="L3664" s="2"/>
      <c r="M3664" s="2"/>
      <c r="N3664" s="2"/>
      <c r="O3664" s="2">
        <v>86289891</v>
      </c>
      <c r="P3664" s="2"/>
      <c r="Q3664" s="2" t="s">
        <v>24357</v>
      </c>
      <c r="R3664" s="2" t="s">
        <v>24358</v>
      </c>
      <c r="S3664" s="2" t="s">
        <v>50</v>
      </c>
      <c r="T3664" s="2" t="s">
        <v>229</v>
      </c>
      <c r="U3664" s="2" t="s">
        <v>433</v>
      </c>
      <c r="V3664" s="2" t="s">
        <v>59</v>
      </c>
      <c r="W3664" s="2">
        <v>38.9</v>
      </c>
      <c r="X3664" s="2">
        <v>0.40400000000000003</v>
      </c>
      <c r="Y3664" s="2" t="s">
        <v>118</v>
      </c>
      <c r="Z3664" s="2" t="s">
        <v>24359</v>
      </c>
      <c r="AA3664" s="2">
        <v>-1.0399440439527401</v>
      </c>
      <c r="AB3664" s="2">
        <v>0.199265627614341</v>
      </c>
      <c r="AC3664" s="2">
        <v>9712.3873770839109</v>
      </c>
      <c r="AD3664" s="2">
        <v>6320.2412404154502</v>
      </c>
      <c r="AE3664" s="2">
        <v>7988.0028385341502</v>
      </c>
      <c r="AF3664" s="2">
        <v>10594.342205974701</v>
      </c>
      <c r="AG3664" s="2">
        <v>12566.373065691199</v>
      </c>
      <c r="AH3664" s="2">
        <v>10661.534128109</v>
      </c>
      <c r="AI3664" s="2">
        <v>9678.3747241872697</v>
      </c>
      <c r="AJ3664" s="2">
        <v>6785.6973000071603</v>
      </c>
      <c r="AK3664" s="2">
        <v>6101.0419149616901</v>
      </c>
      <c r="AL3664" s="2">
        <v>7203.5829720841302</v>
      </c>
      <c r="AM3664" s="2">
        <v>5870.5065578328104</v>
      </c>
      <c r="AN3664" s="2">
        <v>7364.7857350981703</v>
      </c>
      <c r="AO3664" s="2">
        <v>5523.5761282822896</v>
      </c>
      <c r="AP3664" s="2">
        <v>5857.9541342335897</v>
      </c>
    </row>
    <row r="3665" spans="1:42" ht="14.5" x14ac:dyDescent="0.35">
      <c r="A3665" s="2" t="s">
        <v>24360</v>
      </c>
      <c r="B3665" s="2">
        <v>268.16544053514502</v>
      </c>
      <c r="C3665" s="2">
        <v>1.06171666666667</v>
      </c>
      <c r="D3665" s="2" t="s">
        <v>34</v>
      </c>
      <c r="E3665" s="2" t="s">
        <v>24361</v>
      </c>
      <c r="F3665" s="2">
        <v>514000</v>
      </c>
      <c r="G3665" s="3" t="str">
        <f>HYPERLINK("http://funmeta.oebiotech.com/network/514000", "http://funmeta.oebiotech.com/network/514000")</f>
        <v>http://funmeta.oebiotech.com/network/514000</v>
      </c>
      <c r="H3665" s="2"/>
      <c r="I3665" s="2">
        <v>96347</v>
      </c>
      <c r="J3665" s="2"/>
      <c r="K3665" s="2"/>
      <c r="L3665" s="2"/>
      <c r="M3665" s="2"/>
      <c r="N3665" s="2"/>
      <c r="O3665" s="2">
        <v>221836</v>
      </c>
      <c r="P3665" s="2"/>
      <c r="Q3665" s="2" t="s">
        <v>24362</v>
      </c>
      <c r="R3665" s="2" t="s">
        <v>24363</v>
      </c>
      <c r="S3665" s="2" t="s">
        <v>148</v>
      </c>
      <c r="T3665" s="2" t="s">
        <v>149</v>
      </c>
      <c r="U3665" s="2" t="s">
        <v>14157</v>
      </c>
      <c r="V3665" s="2" t="s">
        <v>59</v>
      </c>
      <c r="W3665" s="2">
        <v>39</v>
      </c>
      <c r="X3665" s="2">
        <v>0</v>
      </c>
      <c r="Y3665" s="2" t="s">
        <v>43</v>
      </c>
      <c r="Z3665" s="2" t="s">
        <v>24364</v>
      </c>
      <c r="AA3665" s="2">
        <v>-0.509493094373621</v>
      </c>
      <c r="AB3665" s="2">
        <v>0.19917149756472299</v>
      </c>
      <c r="AC3665" s="2">
        <v>6189.5026038829801</v>
      </c>
      <c r="AD3665" s="2">
        <v>2940.7816713020402</v>
      </c>
      <c r="AE3665" s="2">
        <v>6365.9654821444401</v>
      </c>
      <c r="AF3665" s="2">
        <v>6212.1670726788698</v>
      </c>
      <c r="AG3665" s="2">
        <v>4674.4932667396697</v>
      </c>
      <c r="AH3665" s="2">
        <v>9234.4102920205605</v>
      </c>
      <c r="AI3665" s="2">
        <v>4468.2715323979201</v>
      </c>
      <c r="AJ3665" s="2">
        <v>6181.7079773163996</v>
      </c>
      <c r="AK3665" s="2">
        <v>3068.43744390556</v>
      </c>
      <c r="AL3665" s="2">
        <v>3424.6660934755701</v>
      </c>
      <c r="AM3665" s="2">
        <v>3850.7408430240898</v>
      </c>
      <c r="AN3665" s="2">
        <v>2990.6054238706602</v>
      </c>
      <c r="AO3665" s="2">
        <v>2916.6760165236401</v>
      </c>
      <c r="AP3665" s="2">
        <v>1393.5642070127401</v>
      </c>
    </row>
    <row r="3666" spans="1:42" ht="14.5" x14ac:dyDescent="0.35">
      <c r="A3666" s="2" t="s">
        <v>24365</v>
      </c>
      <c r="B3666" s="2">
        <v>208.09696223644301</v>
      </c>
      <c r="C3666" s="2">
        <v>6.1423166666666704</v>
      </c>
      <c r="D3666" s="2" t="s">
        <v>70</v>
      </c>
      <c r="E3666" s="2" t="s">
        <v>24366</v>
      </c>
      <c r="F3666" s="2">
        <v>203358</v>
      </c>
      <c r="G3666" s="3" t="str">
        <f>HYPERLINK("http://funmeta.oebiotech.com/network/203358", "http://funmeta.oebiotech.com/network/203358")</f>
        <v>http://funmeta.oebiotech.com/network/203358</v>
      </c>
      <c r="H3666" s="2" t="s">
        <v>24367</v>
      </c>
      <c r="I3666" s="2"/>
      <c r="J3666" s="2"/>
      <c r="K3666" s="2"/>
      <c r="L3666" s="2"/>
      <c r="M3666" s="2"/>
      <c r="N3666" s="2"/>
      <c r="O3666" s="2">
        <v>2112</v>
      </c>
      <c r="P3666" s="2"/>
      <c r="Q3666" s="2" t="s">
        <v>24368</v>
      </c>
      <c r="R3666" s="2" t="s">
        <v>24369</v>
      </c>
      <c r="S3666" s="2" t="s">
        <v>148</v>
      </c>
      <c r="T3666" s="2" t="s">
        <v>149</v>
      </c>
      <c r="U3666" s="2" t="s">
        <v>13117</v>
      </c>
      <c r="V3666" s="2" t="s">
        <v>59</v>
      </c>
      <c r="W3666" s="2">
        <v>43.6</v>
      </c>
      <c r="X3666" s="2">
        <v>28.6</v>
      </c>
      <c r="Y3666" s="2" t="s">
        <v>118</v>
      </c>
      <c r="Z3666" s="2" t="s">
        <v>664</v>
      </c>
      <c r="AA3666" s="2">
        <v>-4.5655302545264496</v>
      </c>
      <c r="AB3666" s="2">
        <v>0.19908278477644101</v>
      </c>
      <c r="AC3666" s="2">
        <v>22962.994011873099</v>
      </c>
      <c r="AD3666" s="2">
        <v>19660.806796816501</v>
      </c>
      <c r="AE3666" s="2">
        <v>21081.6760286998</v>
      </c>
      <c r="AF3666" s="2">
        <v>22893.396433252401</v>
      </c>
      <c r="AG3666" s="2">
        <v>23209.865245499401</v>
      </c>
      <c r="AH3666" s="2">
        <v>22126.764347046399</v>
      </c>
      <c r="AI3666" s="2">
        <v>22479.228203246101</v>
      </c>
      <c r="AJ3666" s="2">
        <v>25987.0338134946</v>
      </c>
      <c r="AK3666" s="2">
        <v>18074.018332973599</v>
      </c>
      <c r="AL3666" s="2">
        <v>19005.084753441999</v>
      </c>
      <c r="AM3666" s="2">
        <v>21012.128447812898</v>
      </c>
      <c r="AN3666" s="2">
        <v>20188.5680077332</v>
      </c>
      <c r="AO3666" s="2">
        <v>19135.123401309698</v>
      </c>
      <c r="AP3666" s="2">
        <v>20549.917837627501</v>
      </c>
    </row>
    <row r="3667" spans="1:42" ht="14.5" x14ac:dyDescent="0.35">
      <c r="A3667" s="2" t="s">
        <v>24370</v>
      </c>
      <c r="B3667" s="2">
        <v>525.326678977656</v>
      </c>
      <c r="C3667" s="2">
        <v>6.8011333333333299</v>
      </c>
      <c r="D3667" s="2" t="s">
        <v>70</v>
      </c>
      <c r="E3667" s="2" t="s">
        <v>24371</v>
      </c>
      <c r="F3667" s="2">
        <v>52720</v>
      </c>
      <c r="G3667" s="3" t="str">
        <f>HYPERLINK("http://funmeta.oebiotech.com/network/52720", "http://funmeta.oebiotech.com/network/52720")</f>
        <v>http://funmeta.oebiotech.com/network/52720</v>
      </c>
      <c r="H3667" s="2" t="s">
        <v>24372</v>
      </c>
      <c r="I3667" s="2">
        <v>2184</v>
      </c>
      <c r="J3667" s="2"/>
      <c r="K3667" s="2">
        <v>8597</v>
      </c>
      <c r="L3667" s="2" t="s">
        <v>24373</v>
      </c>
      <c r="M3667" s="2"/>
      <c r="N3667" s="2"/>
      <c r="O3667" s="2">
        <v>4976</v>
      </c>
      <c r="P3667" s="2" t="s">
        <v>24374</v>
      </c>
      <c r="Q3667" s="2" t="s">
        <v>24375</v>
      </c>
      <c r="R3667" s="2" t="s">
        <v>24376</v>
      </c>
      <c r="S3667" s="2" t="s">
        <v>148</v>
      </c>
      <c r="T3667" s="2" t="s">
        <v>21283</v>
      </c>
      <c r="U3667" s="2" t="s">
        <v>41</v>
      </c>
      <c r="V3667" s="2" t="s">
        <v>59</v>
      </c>
      <c r="W3667" s="2">
        <v>38.799999999999997</v>
      </c>
      <c r="X3667" s="2">
        <v>0</v>
      </c>
      <c r="Y3667" s="2" t="s">
        <v>560</v>
      </c>
      <c r="Z3667" s="2" t="s">
        <v>24377</v>
      </c>
      <c r="AA3667" s="2">
        <v>-1.6034411658126499</v>
      </c>
      <c r="AB3667" s="2">
        <v>0.19887394473007899</v>
      </c>
      <c r="AC3667" s="2">
        <v>799.65272436795601</v>
      </c>
      <c r="AD3667" s="2">
        <v>3606.38999457814</v>
      </c>
      <c r="AE3667" s="2">
        <v>378.21382353606998</v>
      </c>
      <c r="AF3667" s="2">
        <v>71.918607187274702</v>
      </c>
      <c r="AG3667" s="2">
        <v>1287.9997310871199</v>
      </c>
      <c r="AH3667" s="2">
        <v>822.09090800087301</v>
      </c>
      <c r="AI3667" s="2">
        <v>651.50727165141097</v>
      </c>
      <c r="AJ3667" s="2">
        <v>1586.18600474499</v>
      </c>
      <c r="AK3667" s="2">
        <v>4261.6766715173299</v>
      </c>
      <c r="AL3667" s="2">
        <v>4124.6246513072501</v>
      </c>
      <c r="AM3667" s="2">
        <v>3091.7774251179499</v>
      </c>
      <c r="AN3667" s="2">
        <v>4184.2552409630298</v>
      </c>
      <c r="AO3667" s="2">
        <v>3395.4414105973201</v>
      </c>
      <c r="AP3667" s="2">
        <v>2580.5645679659601</v>
      </c>
    </row>
    <row r="3668" spans="1:42" ht="14.5" x14ac:dyDescent="0.35">
      <c r="A3668" s="2" t="s">
        <v>24378</v>
      </c>
      <c r="B3668" s="2">
        <v>725.24046940026301</v>
      </c>
      <c r="C3668" s="2">
        <v>5.2831999999999999</v>
      </c>
      <c r="D3668" s="2" t="s">
        <v>70</v>
      </c>
      <c r="E3668" s="2" t="s">
        <v>24379</v>
      </c>
      <c r="F3668" s="2">
        <v>212249</v>
      </c>
      <c r="G3668" s="3" t="str">
        <f>HYPERLINK("http://funmeta.oebiotech.com/network/212249", "http://funmeta.oebiotech.com/network/212249")</f>
        <v>http://funmeta.oebiotech.com/network/212249</v>
      </c>
      <c r="H3668" s="2" t="s">
        <v>24380</v>
      </c>
      <c r="I3668" s="2"/>
      <c r="J3668" s="2"/>
      <c r="K3668" s="2">
        <v>9437</v>
      </c>
      <c r="L3668" s="2" t="s">
        <v>24381</v>
      </c>
      <c r="M3668" s="2"/>
      <c r="N3668" s="2"/>
      <c r="O3668" s="2"/>
      <c r="P3668" s="2"/>
      <c r="Q3668" s="2" t="s">
        <v>24382</v>
      </c>
      <c r="R3668" s="2" t="s">
        <v>24383</v>
      </c>
      <c r="S3668" s="2" t="s">
        <v>491</v>
      </c>
      <c r="T3668" s="2" t="s">
        <v>492</v>
      </c>
      <c r="U3668" s="2" t="s">
        <v>5931</v>
      </c>
      <c r="V3668" s="2" t="s">
        <v>59</v>
      </c>
      <c r="W3668" s="2">
        <v>41.3</v>
      </c>
      <c r="X3668" s="2">
        <v>24</v>
      </c>
      <c r="Y3668" s="2" t="s">
        <v>408</v>
      </c>
      <c r="Z3668" s="2" t="s">
        <v>24384</v>
      </c>
      <c r="AA3668" s="2">
        <v>-0.130826045430355</v>
      </c>
      <c r="AB3668" s="2">
        <v>0.198788933615626</v>
      </c>
      <c r="AC3668" s="2">
        <v>126781.21706686</v>
      </c>
      <c r="AD3668" s="2">
        <v>121317.047699363</v>
      </c>
      <c r="AE3668" s="2">
        <v>125773.44700521701</v>
      </c>
      <c r="AF3668" s="2">
        <v>137828.15884101001</v>
      </c>
      <c r="AG3668" s="2">
        <v>125763.819663467</v>
      </c>
      <c r="AH3668" s="2">
        <v>126430.557821152</v>
      </c>
      <c r="AI3668" s="2">
        <v>125652.2152813</v>
      </c>
      <c r="AJ3668" s="2">
        <v>119239.10378901599</v>
      </c>
      <c r="AK3668" s="2">
        <v>117088.014255446</v>
      </c>
      <c r="AL3668" s="2">
        <v>129221.42997520301</v>
      </c>
      <c r="AM3668" s="2">
        <v>117381.30630723199</v>
      </c>
      <c r="AN3668" s="2">
        <v>120433.693521459</v>
      </c>
      <c r="AO3668" s="2">
        <v>126353.485808638</v>
      </c>
      <c r="AP3668" s="2">
        <v>117424.356328202</v>
      </c>
    </row>
    <row r="3669" spans="1:42" ht="14.5" x14ac:dyDescent="0.35">
      <c r="A3669" s="2" t="s">
        <v>24385</v>
      </c>
      <c r="B3669" s="2">
        <v>485.022092036733</v>
      </c>
      <c r="C3669" s="2">
        <v>1.06171666666667</v>
      </c>
      <c r="D3669" s="2" t="s">
        <v>34</v>
      </c>
      <c r="E3669" s="2" t="s">
        <v>24386</v>
      </c>
      <c r="F3669" s="2">
        <v>47655</v>
      </c>
      <c r="G3669" s="3" t="str">
        <f>HYPERLINK("http://funmeta.oebiotech.com/network/47655", "http://funmeta.oebiotech.com/network/47655")</f>
        <v>http://funmeta.oebiotech.com/network/47655</v>
      </c>
      <c r="H3669" s="2" t="s">
        <v>24387</v>
      </c>
      <c r="I3669" s="2">
        <v>3538</v>
      </c>
      <c r="J3669" s="2"/>
      <c r="K3669" s="2">
        <v>16732</v>
      </c>
      <c r="L3669" s="2" t="s">
        <v>24388</v>
      </c>
      <c r="M3669" s="2" t="s">
        <v>24389</v>
      </c>
      <c r="N3669" s="2" t="s">
        <v>24390</v>
      </c>
      <c r="O3669" s="2">
        <v>123727</v>
      </c>
      <c r="P3669" s="2" t="s">
        <v>24391</v>
      </c>
      <c r="Q3669" s="2" t="s">
        <v>24392</v>
      </c>
      <c r="R3669" s="2" t="s">
        <v>24393</v>
      </c>
      <c r="S3669" s="2" t="s">
        <v>1444</v>
      </c>
      <c r="T3669" s="2" t="s">
        <v>4040</v>
      </c>
      <c r="U3669" s="2" t="s">
        <v>8914</v>
      </c>
      <c r="V3669" s="2" t="s">
        <v>59</v>
      </c>
      <c r="W3669" s="2">
        <v>39.1</v>
      </c>
      <c r="X3669" s="2">
        <v>0</v>
      </c>
      <c r="Y3669" s="2" t="s">
        <v>340</v>
      </c>
      <c r="Z3669" s="2" t="s">
        <v>24394</v>
      </c>
      <c r="AA3669" s="2">
        <v>-3.2434600549043502</v>
      </c>
      <c r="AB3669" s="2">
        <v>0.19866421128079301</v>
      </c>
      <c r="AC3669" s="2">
        <v>5826.4187479567599</v>
      </c>
      <c r="AD3669" s="2">
        <v>2918.0214195199301</v>
      </c>
      <c r="AE3669" s="2">
        <v>6318.9243662362996</v>
      </c>
      <c r="AF3669" s="2">
        <v>6848.0074478871202</v>
      </c>
      <c r="AG3669" s="2">
        <v>4551.0594690767903</v>
      </c>
      <c r="AH3669" s="2">
        <v>5276.3515360305</v>
      </c>
      <c r="AI3669" s="2">
        <v>6188.7307639131004</v>
      </c>
      <c r="AJ3669" s="2">
        <v>5775.43890459674</v>
      </c>
      <c r="AK3669" s="2">
        <v>4021.33823511951</v>
      </c>
      <c r="AL3669" s="2">
        <v>2839.2374736975898</v>
      </c>
      <c r="AM3669" s="2">
        <v>2125.47069348576</v>
      </c>
      <c r="AN3669" s="2">
        <v>1921.40243263713</v>
      </c>
      <c r="AO3669" s="2">
        <v>3623.85814592619</v>
      </c>
      <c r="AP3669" s="2">
        <v>2976.8215362534202</v>
      </c>
    </row>
    <row r="3670" spans="1:42" ht="14.5" x14ac:dyDescent="0.35">
      <c r="A3670" s="2" t="s">
        <v>24395</v>
      </c>
      <c r="B3670" s="2">
        <v>241.14407782251999</v>
      </c>
      <c r="C3670" s="2">
        <v>9.5617000000000001</v>
      </c>
      <c r="D3670" s="2" t="s">
        <v>70</v>
      </c>
      <c r="E3670" s="2" t="s">
        <v>24396</v>
      </c>
      <c r="F3670" s="2">
        <v>255561</v>
      </c>
      <c r="G3670" s="3" t="str">
        <f>HYPERLINK("http://funmeta.oebiotech.com/network/255561", "http://funmeta.oebiotech.com/network/255561")</f>
        <v>http://funmeta.oebiotech.com/network/255561</v>
      </c>
      <c r="H3670" s="2" t="s">
        <v>24397</v>
      </c>
      <c r="I3670" s="2"/>
      <c r="J3670" s="2"/>
      <c r="K3670" s="2"/>
      <c r="L3670" s="2"/>
      <c r="M3670" s="2"/>
      <c r="N3670" s="2"/>
      <c r="O3670" s="2">
        <v>25480</v>
      </c>
      <c r="P3670" s="2"/>
      <c r="Q3670" s="2" t="s">
        <v>24398</v>
      </c>
      <c r="R3670" s="2" t="s">
        <v>24399</v>
      </c>
      <c r="S3670" s="2" t="s">
        <v>50</v>
      </c>
      <c r="T3670" s="2" t="s">
        <v>229</v>
      </c>
      <c r="U3670" s="2" t="s">
        <v>433</v>
      </c>
      <c r="V3670" s="2" t="s">
        <v>42</v>
      </c>
      <c r="W3670" s="2">
        <v>50.5</v>
      </c>
      <c r="X3670" s="2">
        <v>56.4</v>
      </c>
      <c r="Y3670" s="2" t="s">
        <v>408</v>
      </c>
      <c r="Z3670" s="2" t="s">
        <v>24400</v>
      </c>
      <c r="AA3670" s="2">
        <v>-2.31932965500694</v>
      </c>
      <c r="AB3670" s="2">
        <v>0.198661758740144</v>
      </c>
      <c r="AC3670" s="2">
        <v>41250.942628835903</v>
      </c>
      <c r="AD3670" s="2">
        <v>32728.707041432499</v>
      </c>
      <c r="AE3670" s="2">
        <v>29713.682524584801</v>
      </c>
      <c r="AF3670" s="2">
        <v>29763.291218344799</v>
      </c>
      <c r="AG3670" s="2">
        <v>29334.2087811772</v>
      </c>
      <c r="AH3670" s="2">
        <v>63198.557552321399</v>
      </c>
      <c r="AI3670" s="2">
        <v>69101.621172888306</v>
      </c>
      <c r="AJ3670" s="2">
        <v>26394.294523698802</v>
      </c>
      <c r="AK3670" s="2">
        <v>35087.846659020899</v>
      </c>
      <c r="AL3670" s="2">
        <v>34913.664648296202</v>
      </c>
      <c r="AM3670" s="2">
        <v>31983.267705255599</v>
      </c>
      <c r="AN3670" s="2">
        <v>32890.266761628998</v>
      </c>
      <c r="AO3670" s="2">
        <v>30430.9815393963</v>
      </c>
      <c r="AP3670" s="2">
        <v>31066.214934996999</v>
      </c>
    </row>
    <row r="3671" spans="1:42" ht="14.5" x14ac:dyDescent="0.35">
      <c r="A3671" s="2" t="s">
        <v>24401</v>
      </c>
      <c r="B3671" s="2">
        <v>313.18079629568803</v>
      </c>
      <c r="C3671" s="2">
        <v>8.9954333333333292</v>
      </c>
      <c r="D3671" s="2" t="s">
        <v>70</v>
      </c>
      <c r="E3671" s="2" t="s">
        <v>24402</v>
      </c>
      <c r="F3671" s="2">
        <v>257825</v>
      </c>
      <c r="G3671" s="3" t="str">
        <f>HYPERLINK("http://funmeta.oebiotech.com/network/257825", "http://funmeta.oebiotech.com/network/257825")</f>
        <v>http://funmeta.oebiotech.com/network/257825</v>
      </c>
      <c r="H3671" s="2"/>
      <c r="I3671" s="2">
        <v>871</v>
      </c>
      <c r="J3671" s="2"/>
      <c r="K3671" s="2"/>
      <c r="L3671" s="2"/>
      <c r="M3671" s="2"/>
      <c r="N3671" s="2"/>
      <c r="O3671" s="2">
        <v>6437087</v>
      </c>
      <c r="P3671" s="2" t="s">
        <v>24403</v>
      </c>
      <c r="Q3671" s="2" t="s">
        <v>24404</v>
      </c>
      <c r="R3671" s="2" t="s">
        <v>24405</v>
      </c>
      <c r="S3671" s="2" t="s">
        <v>50</v>
      </c>
      <c r="T3671" s="2" t="s">
        <v>201</v>
      </c>
      <c r="U3671" s="2" t="s">
        <v>2195</v>
      </c>
      <c r="V3671" s="2" t="s">
        <v>59</v>
      </c>
      <c r="W3671" s="2">
        <v>41.5</v>
      </c>
      <c r="X3671" s="2">
        <v>12.2</v>
      </c>
      <c r="Y3671" s="2" t="s">
        <v>118</v>
      </c>
      <c r="Z3671" s="2" t="s">
        <v>12049</v>
      </c>
      <c r="AA3671" s="2">
        <v>-0.38819030894689699</v>
      </c>
      <c r="AB3671" s="2">
        <v>0.19859623736891399</v>
      </c>
      <c r="AC3671" s="2">
        <v>5802.0655765492002</v>
      </c>
      <c r="AD3671" s="2">
        <v>271.23075635909902</v>
      </c>
      <c r="AE3671" s="2">
        <v>1762.6096826782</v>
      </c>
      <c r="AF3671" s="2">
        <v>22455.706397001399</v>
      </c>
      <c r="AG3671" s="2">
        <v>2141.9278762859599</v>
      </c>
      <c r="AH3671" s="2">
        <v>4583.2252108768798</v>
      </c>
      <c r="AI3671" s="2">
        <v>1711.7195982986</v>
      </c>
      <c r="AJ3671" s="2">
        <v>2157.2046941541398</v>
      </c>
      <c r="AK3671" s="2">
        <v>2.7106294003980101E-5</v>
      </c>
      <c r="AL3671" s="2">
        <v>76.4323989203899</v>
      </c>
      <c r="AM3671" s="2">
        <v>2.7106294003980101E-5</v>
      </c>
      <c r="AN3671" s="2">
        <v>162.11886608422901</v>
      </c>
      <c r="AO3671" s="2">
        <v>1388.8331918310901</v>
      </c>
      <c r="AP3671" s="2">
        <v>2.7106294003980101E-5</v>
      </c>
    </row>
    <row r="3672" spans="1:42" ht="14.5" x14ac:dyDescent="0.35">
      <c r="A3672" s="2" t="s">
        <v>24406</v>
      </c>
      <c r="B3672" s="2">
        <v>493.18556714870698</v>
      </c>
      <c r="C3672" s="2">
        <v>4.5826500000000001</v>
      </c>
      <c r="D3672" s="2" t="s">
        <v>34</v>
      </c>
      <c r="E3672" s="2" t="s">
        <v>24407</v>
      </c>
      <c r="F3672" s="2">
        <v>54960</v>
      </c>
      <c r="G3672" s="3" t="str">
        <f>HYPERLINK("http://funmeta.oebiotech.com/network/54960", "http://funmeta.oebiotech.com/network/54960")</f>
        <v>http://funmeta.oebiotech.com/network/54960</v>
      </c>
      <c r="H3672" s="2" t="s">
        <v>24408</v>
      </c>
      <c r="I3672" s="2">
        <v>96316</v>
      </c>
      <c r="J3672" s="2"/>
      <c r="K3672" s="2"/>
      <c r="L3672" s="2"/>
      <c r="M3672" s="2"/>
      <c r="N3672" s="2"/>
      <c r="O3672" s="2">
        <v>431000</v>
      </c>
      <c r="P3672" s="2" t="s">
        <v>24409</v>
      </c>
      <c r="Q3672" s="2" t="s">
        <v>24410</v>
      </c>
      <c r="R3672" s="2" t="s">
        <v>24411</v>
      </c>
      <c r="S3672" s="2" t="s">
        <v>50</v>
      </c>
      <c r="T3672" s="2" t="s">
        <v>124</v>
      </c>
      <c r="U3672" s="2" t="s">
        <v>7796</v>
      </c>
      <c r="V3672" s="2" t="s">
        <v>59</v>
      </c>
      <c r="W3672" s="2">
        <v>36</v>
      </c>
      <c r="X3672" s="2">
        <v>0</v>
      </c>
      <c r="Y3672" s="2" t="s">
        <v>141</v>
      </c>
      <c r="Z3672" s="2" t="s">
        <v>24412</v>
      </c>
      <c r="AA3672" s="2">
        <v>-0.249200664146836</v>
      </c>
      <c r="AB3672" s="2">
        <v>0.19839903630733599</v>
      </c>
      <c r="AC3672" s="2">
        <v>5740.59196777544</v>
      </c>
      <c r="AD3672" s="2">
        <v>9180.6396261541795</v>
      </c>
      <c r="AE3672" s="2">
        <v>7314.0513395031503</v>
      </c>
      <c r="AF3672" s="2">
        <v>6096.4055387277403</v>
      </c>
      <c r="AG3672" s="2">
        <v>6045.6847283020597</v>
      </c>
      <c r="AH3672" s="2">
        <v>4779.1396743765699</v>
      </c>
      <c r="AI3672" s="2">
        <v>2967.74989975989</v>
      </c>
      <c r="AJ3672" s="2">
        <v>7240.5206259832303</v>
      </c>
      <c r="AK3672" s="2">
        <v>9507.48279966482</v>
      </c>
      <c r="AL3672" s="2">
        <v>11015.2825272635</v>
      </c>
      <c r="AM3672" s="2">
        <v>10683.999629346101</v>
      </c>
      <c r="AN3672" s="2">
        <v>9066.1525597550808</v>
      </c>
      <c r="AO3672" s="2">
        <v>7731.5818859641104</v>
      </c>
      <c r="AP3672" s="2">
        <v>7079.3383549315004</v>
      </c>
    </row>
    <row r="3673" spans="1:42" ht="14.5" x14ac:dyDescent="0.35">
      <c r="A3673" s="2" t="s">
        <v>24413</v>
      </c>
      <c r="B3673" s="2">
        <v>526.44705876140802</v>
      </c>
      <c r="C3673" s="2">
        <v>12.645483333333299</v>
      </c>
      <c r="D3673" s="2" t="s">
        <v>34</v>
      </c>
      <c r="E3673" s="2" t="s">
        <v>24414</v>
      </c>
      <c r="F3673" s="2">
        <v>10838</v>
      </c>
      <c r="G3673" s="3" t="str">
        <f>HYPERLINK("http://funmeta.oebiotech.com/network/10838", "http://funmeta.oebiotech.com/network/10838")</f>
        <v>http://funmeta.oebiotech.com/network/10838</v>
      </c>
      <c r="H3673" s="2" t="s">
        <v>24415</v>
      </c>
      <c r="I3673" s="2">
        <v>58673</v>
      </c>
      <c r="J3673" s="2" t="s">
        <v>24416</v>
      </c>
      <c r="K3673" s="2">
        <v>84702</v>
      </c>
      <c r="L3673" s="2"/>
      <c r="M3673" s="2"/>
      <c r="N3673" s="2"/>
      <c r="O3673" s="2">
        <v>53477973</v>
      </c>
      <c r="P3673" s="2"/>
      <c r="Q3673" s="2" t="s">
        <v>24417</v>
      </c>
      <c r="R3673" s="2" t="s">
        <v>24418</v>
      </c>
      <c r="S3673" s="2" t="s">
        <v>50</v>
      </c>
      <c r="T3673" s="2" t="s">
        <v>448</v>
      </c>
      <c r="U3673" s="2" t="s">
        <v>1864</v>
      </c>
      <c r="V3673" s="2" t="s">
        <v>59</v>
      </c>
      <c r="W3673" s="2">
        <v>39.4</v>
      </c>
      <c r="X3673" s="2">
        <v>4.5999999999999996</v>
      </c>
      <c r="Y3673" s="2" t="s">
        <v>43</v>
      </c>
      <c r="Z3673" s="2" t="s">
        <v>24419</v>
      </c>
      <c r="AA3673" s="2">
        <v>0.90150702361457102</v>
      </c>
      <c r="AB3673" s="2">
        <v>0.198322925046691</v>
      </c>
      <c r="AC3673" s="2">
        <v>4456.7782873774204</v>
      </c>
      <c r="AD3673" s="2">
        <v>1663.55940262544</v>
      </c>
      <c r="AE3673" s="2">
        <v>4498.4516520225798</v>
      </c>
      <c r="AF3673" s="2">
        <v>3859.0239148954001</v>
      </c>
      <c r="AG3673" s="2">
        <v>5018.0879522710802</v>
      </c>
      <c r="AH3673" s="2">
        <v>4818.3774089076896</v>
      </c>
      <c r="AI3673" s="2">
        <v>3678.4367255429802</v>
      </c>
      <c r="AJ3673" s="2">
        <v>4868.2920706247796</v>
      </c>
      <c r="AK3673" s="2">
        <v>2626.3921381442601</v>
      </c>
      <c r="AL3673" s="2">
        <v>1961.5571404476</v>
      </c>
      <c r="AM3673" s="2">
        <v>1980.1041416219</v>
      </c>
      <c r="AN3673" s="2">
        <v>1771.72347717719</v>
      </c>
      <c r="AO3673" s="2">
        <v>580.04036002766998</v>
      </c>
      <c r="AP3673" s="2">
        <v>1061.5391583340199</v>
      </c>
    </row>
    <row r="3674" spans="1:42" ht="14.5" x14ac:dyDescent="0.35">
      <c r="A3674" s="2" t="s">
        <v>24420</v>
      </c>
      <c r="B3674" s="2">
        <v>475.20942824339801</v>
      </c>
      <c r="C3674" s="2">
        <v>7.8272833333333303</v>
      </c>
      <c r="D3674" s="2" t="s">
        <v>34</v>
      </c>
      <c r="E3674" s="2" t="s">
        <v>24421</v>
      </c>
      <c r="F3674" s="2">
        <v>208838</v>
      </c>
      <c r="G3674" s="3" t="str">
        <f>HYPERLINK("http://funmeta.oebiotech.com/network/208838", "http://funmeta.oebiotech.com/network/208838")</f>
        <v>http://funmeta.oebiotech.com/network/208838</v>
      </c>
      <c r="H3674" s="2" t="s">
        <v>24422</v>
      </c>
      <c r="I3674" s="2"/>
      <c r="J3674" s="2"/>
      <c r="K3674" s="2"/>
      <c r="L3674" s="2"/>
      <c r="M3674" s="2"/>
      <c r="N3674" s="2"/>
      <c r="O3674" s="2">
        <v>15184</v>
      </c>
      <c r="P3674" s="2"/>
      <c r="Q3674" s="2" t="s">
        <v>24423</v>
      </c>
      <c r="R3674" s="2" t="s">
        <v>24424</v>
      </c>
      <c r="S3674" s="2" t="s">
        <v>1184</v>
      </c>
      <c r="T3674" s="2" t="s">
        <v>3051</v>
      </c>
      <c r="U3674" s="2" t="s">
        <v>41</v>
      </c>
      <c r="V3674" s="2" t="s">
        <v>59</v>
      </c>
      <c r="W3674" s="2">
        <v>39</v>
      </c>
      <c r="X3674" s="2">
        <v>11.6</v>
      </c>
      <c r="Y3674" s="2" t="s">
        <v>394</v>
      </c>
      <c r="Z3674" s="2" t="s">
        <v>24425</v>
      </c>
      <c r="AA3674" s="2">
        <v>4.0824174105335604</v>
      </c>
      <c r="AB3674" s="2">
        <v>0.19827611305267201</v>
      </c>
      <c r="AC3674" s="2">
        <v>8897.6839223418192</v>
      </c>
      <c r="AD3674" s="2">
        <v>12046.659377006799</v>
      </c>
      <c r="AE3674" s="2">
        <v>7685.6175207967899</v>
      </c>
      <c r="AF3674" s="2">
        <v>8838.5698856454292</v>
      </c>
      <c r="AG3674" s="2">
        <v>8557.7463728384591</v>
      </c>
      <c r="AH3674" s="2">
        <v>8718.5633379855099</v>
      </c>
      <c r="AI3674" s="2">
        <v>8410.9104105792194</v>
      </c>
      <c r="AJ3674" s="2">
        <v>11174.6960062055</v>
      </c>
      <c r="AK3674" s="2">
        <v>12008.96196776</v>
      </c>
      <c r="AL3674" s="2">
        <v>10686.547371671601</v>
      </c>
      <c r="AM3674" s="2">
        <v>12535.954123261001</v>
      </c>
      <c r="AN3674" s="2">
        <v>13047.418839734601</v>
      </c>
      <c r="AO3674" s="2">
        <v>10479.009533213801</v>
      </c>
      <c r="AP3674" s="2">
        <v>13522.0644264</v>
      </c>
    </row>
    <row r="3675" spans="1:42" ht="14.5" x14ac:dyDescent="0.35">
      <c r="A3675" s="2" t="s">
        <v>24426</v>
      </c>
      <c r="B3675" s="2">
        <v>529.21296911875902</v>
      </c>
      <c r="C3675" s="2">
        <v>3.7870499999999998</v>
      </c>
      <c r="D3675" s="2" t="s">
        <v>70</v>
      </c>
      <c r="E3675" s="2" t="s">
        <v>24427</v>
      </c>
      <c r="F3675" s="2">
        <v>55167</v>
      </c>
      <c r="G3675" s="3" t="str">
        <f>HYPERLINK("http://funmeta.oebiotech.com/network/55167", "http://funmeta.oebiotech.com/network/55167")</f>
        <v>http://funmeta.oebiotech.com/network/55167</v>
      </c>
      <c r="H3675" s="2" t="s">
        <v>24428</v>
      </c>
      <c r="I3675" s="2"/>
      <c r="J3675" s="2"/>
      <c r="K3675" s="2"/>
      <c r="L3675" s="2" t="s">
        <v>24429</v>
      </c>
      <c r="M3675" s="2"/>
      <c r="N3675" s="2"/>
      <c r="O3675" s="2">
        <v>3462225</v>
      </c>
      <c r="P3675" s="2" t="s">
        <v>24430</v>
      </c>
      <c r="Q3675" s="2" t="s">
        <v>24431</v>
      </c>
      <c r="R3675" s="2" t="s">
        <v>24432</v>
      </c>
      <c r="S3675" s="2" t="s">
        <v>39</v>
      </c>
      <c r="T3675" s="2" t="s">
        <v>22949</v>
      </c>
      <c r="U3675" s="2" t="s">
        <v>41</v>
      </c>
      <c r="V3675" s="2" t="s">
        <v>59</v>
      </c>
      <c r="W3675" s="2">
        <v>39</v>
      </c>
      <c r="X3675" s="2">
        <v>0</v>
      </c>
      <c r="Y3675" s="2" t="s">
        <v>560</v>
      </c>
      <c r="Z3675" s="2" t="s">
        <v>24433</v>
      </c>
      <c r="AA3675" s="2">
        <v>-0.58824422506142404</v>
      </c>
      <c r="AB3675" s="2">
        <v>0.19823991576803199</v>
      </c>
      <c r="AC3675" s="2">
        <v>8598.7691902144907</v>
      </c>
      <c r="AD3675" s="2">
        <v>11481.083077380499</v>
      </c>
      <c r="AE3675" s="2">
        <v>8789.6301879121893</v>
      </c>
      <c r="AF3675" s="2">
        <v>9330.4074005439506</v>
      </c>
      <c r="AG3675" s="2">
        <v>7972.8194184657996</v>
      </c>
      <c r="AH3675" s="2">
        <v>7563.3568079161696</v>
      </c>
      <c r="AI3675" s="2">
        <v>9173.8231282845209</v>
      </c>
      <c r="AJ3675" s="2">
        <v>8762.5781981643304</v>
      </c>
      <c r="AK3675" s="2">
        <v>11065.355066952699</v>
      </c>
      <c r="AL3675" s="2">
        <v>11072.2643379333</v>
      </c>
      <c r="AM3675" s="2">
        <v>11446.5252942851</v>
      </c>
      <c r="AN3675" s="2">
        <v>10821.7527279158</v>
      </c>
      <c r="AO3675" s="2">
        <v>11249.735992449099</v>
      </c>
      <c r="AP3675" s="2">
        <v>13230.865044746801</v>
      </c>
    </row>
    <row r="3676" spans="1:42" ht="14.5" x14ac:dyDescent="0.35">
      <c r="A3676" s="2" t="s">
        <v>24434</v>
      </c>
      <c r="B3676" s="2">
        <v>305.175701762291</v>
      </c>
      <c r="C3676" s="2">
        <v>8.8894000000000002</v>
      </c>
      <c r="D3676" s="2" t="s">
        <v>70</v>
      </c>
      <c r="E3676" s="2" t="s">
        <v>24435</v>
      </c>
      <c r="F3676" s="2">
        <v>266884</v>
      </c>
      <c r="G3676" s="3" t="str">
        <f>HYPERLINK("http://funmeta.oebiotech.com/network/266884", "http://funmeta.oebiotech.com/network/266884")</f>
        <v>http://funmeta.oebiotech.com/network/266884</v>
      </c>
      <c r="H3676" s="2"/>
      <c r="I3676" s="2">
        <v>44203</v>
      </c>
      <c r="J3676" s="2"/>
      <c r="K3676" s="2"/>
      <c r="L3676" s="2"/>
      <c r="M3676" s="2"/>
      <c r="N3676" s="2"/>
      <c r="O3676" s="2">
        <v>93868</v>
      </c>
      <c r="P3676" s="2" t="s">
        <v>24436</v>
      </c>
      <c r="Q3676" s="2" t="s">
        <v>24437</v>
      </c>
      <c r="R3676" s="2" t="s">
        <v>24438</v>
      </c>
      <c r="S3676" s="2" t="s">
        <v>50</v>
      </c>
      <c r="T3676" s="2" t="s">
        <v>201</v>
      </c>
      <c r="U3676" s="2" t="s">
        <v>265</v>
      </c>
      <c r="V3676" s="2" t="s">
        <v>59</v>
      </c>
      <c r="W3676" s="2">
        <v>39</v>
      </c>
      <c r="X3676" s="2">
        <v>0</v>
      </c>
      <c r="Y3676" s="2" t="s">
        <v>408</v>
      </c>
      <c r="Z3676" s="2" t="s">
        <v>24439</v>
      </c>
      <c r="AA3676" s="2">
        <v>-0.50394996891514598</v>
      </c>
      <c r="AB3676" s="2">
        <v>0.19820733969905099</v>
      </c>
      <c r="AC3676" s="2">
        <v>4162.3069650566904</v>
      </c>
      <c r="AD3676" s="2">
        <v>1556.7990678840599</v>
      </c>
      <c r="AE3676" s="2">
        <v>4504.2271445437</v>
      </c>
      <c r="AF3676" s="2">
        <v>3887.99052452142</v>
      </c>
      <c r="AG3676" s="2">
        <v>4052.8613987185799</v>
      </c>
      <c r="AH3676" s="2">
        <v>4274.43546942579</v>
      </c>
      <c r="AI3676" s="2">
        <v>4039.4455194472798</v>
      </c>
      <c r="AJ3676" s="2">
        <v>4214.8817336833699</v>
      </c>
      <c r="AK3676" s="2">
        <v>1893.9053999182299</v>
      </c>
      <c r="AL3676" s="2">
        <v>1319.6483818909101</v>
      </c>
      <c r="AM3676" s="2">
        <v>1584.4048471025401</v>
      </c>
      <c r="AN3676" s="2">
        <v>1455.5140920567801</v>
      </c>
      <c r="AO3676" s="2">
        <v>1669.91070078847</v>
      </c>
      <c r="AP3676" s="2">
        <v>1417.4109855474001</v>
      </c>
    </row>
    <row r="3677" spans="1:42" ht="14.5" x14ac:dyDescent="0.35">
      <c r="A3677" s="2" t="s">
        <v>24440</v>
      </c>
      <c r="B3677" s="2">
        <v>293.13584380396298</v>
      </c>
      <c r="C3677" s="2">
        <v>5.8281166666666699</v>
      </c>
      <c r="D3677" s="2" t="s">
        <v>34</v>
      </c>
      <c r="E3677" s="2" t="s">
        <v>24441</v>
      </c>
      <c r="F3677" s="2">
        <v>258425</v>
      </c>
      <c r="G3677" s="3" t="str">
        <f>HYPERLINK("http://funmeta.oebiotech.com/network/258425", "http://funmeta.oebiotech.com/network/258425")</f>
        <v>http://funmeta.oebiotech.com/network/258425</v>
      </c>
      <c r="H3677" s="2" t="s">
        <v>24442</v>
      </c>
      <c r="I3677" s="2">
        <v>6339</v>
      </c>
      <c r="J3677" s="2"/>
      <c r="K3677" s="2"/>
      <c r="L3677" s="2"/>
      <c r="M3677" s="2"/>
      <c r="N3677" s="2"/>
      <c r="O3677" s="2">
        <v>105116</v>
      </c>
      <c r="P3677" s="2" t="s">
        <v>24443</v>
      </c>
      <c r="Q3677" s="2" t="s">
        <v>24444</v>
      </c>
      <c r="R3677" s="2" t="s">
        <v>24445</v>
      </c>
      <c r="S3677" s="2" t="s">
        <v>491</v>
      </c>
      <c r="T3677" s="2" t="s">
        <v>7431</v>
      </c>
      <c r="U3677" s="2" t="s">
        <v>7432</v>
      </c>
      <c r="V3677" s="2" t="s">
        <v>59</v>
      </c>
      <c r="W3677" s="2">
        <v>38.6</v>
      </c>
      <c r="X3677" s="2">
        <v>0</v>
      </c>
      <c r="Y3677" s="2" t="s">
        <v>43</v>
      </c>
      <c r="Z3677" s="2" t="s">
        <v>24446</v>
      </c>
      <c r="AA3677" s="2">
        <v>0.65057497637180095</v>
      </c>
      <c r="AB3677" s="2">
        <v>0.19815835095509399</v>
      </c>
      <c r="AC3677" s="2">
        <v>4320.5936090245204</v>
      </c>
      <c r="AD3677" s="2">
        <v>1665.47534641622</v>
      </c>
      <c r="AE3677" s="2">
        <v>3975.7225819138398</v>
      </c>
      <c r="AF3677" s="2">
        <v>4641.5079657251899</v>
      </c>
      <c r="AG3677" s="2">
        <v>4280.4332963851402</v>
      </c>
      <c r="AH3677" s="2">
        <v>4293.0715943991599</v>
      </c>
      <c r="AI3677" s="2">
        <v>4545.82243658272</v>
      </c>
      <c r="AJ3677" s="2">
        <v>4187.0037791410996</v>
      </c>
      <c r="AK3677" s="2">
        <v>2196.4877396765501</v>
      </c>
      <c r="AL3677" s="2">
        <v>1168.99736438118</v>
      </c>
      <c r="AM3677" s="2">
        <v>1936.6090166423301</v>
      </c>
      <c r="AN3677" s="2">
        <v>1098.4399098577001</v>
      </c>
      <c r="AO3677" s="2">
        <v>1898.8450680486201</v>
      </c>
      <c r="AP3677" s="2">
        <v>1693.47297989094</v>
      </c>
    </row>
    <row r="3678" spans="1:42" ht="14.5" x14ac:dyDescent="0.35">
      <c r="A3678" s="2" t="s">
        <v>24447</v>
      </c>
      <c r="B3678" s="2">
        <v>361.29454073686998</v>
      </c>
      <c r="C3678" s="2">
        <v>5.2179000000000002</v>
      </c>
      <c r="D3678" s="2" t="s">
        <v>34</v>
      </c>
      <c r="E3678" s="2" t="s">
        <v>24448</v>
      </c>
      <c r="F3678" s="2">
        <v>211862</v>
      </c>
      <c r="G3678" s="3" t="str">
        <f>HYPERLINK("http://funmeta.oebiotech.com/network/211862", "http://funmeta.oebiotech.com/network/211862")</f>
        <v>http://funmeta.oebiotech.com/network/211862</v>
      </c>
      <c r="H3678" s="2" t="s">
        <v>24449</v>
      </c>
      <c r="I3678" s="2"/>
      <c r="J3678" s="2"/>
      <c r="K3678" s="2"/>
      <c r="L3678" s="2"/>
      <c r="M3678" s="2"/>
      <c r="N3678" s="2"/>
      <c r="O3678" s="2"/>
      <c r="P3678" s="2"/>
      <c r="Q3678" s="2" t="s">
        <v>24450</v>
      </c>
      <c r="R3678" s="2" t="s">
        <v>24451</v>
      </c>
      <c r="S3678" s="2" t="s">
        <v>491</v>
      </c>
      <c r="T3678" s="2" t="s">
        <v>1516</v>
      </c>
      <c r="U3678" s="2" t="s">
        <v>24452</v>
      </c>
      <c r="V3678" s="2" t="s">
        <v>59</v>
      </c>
      <c r="W3678" s="2">
        <v>37.5</v>
      </c>
      <c r="X3678" s="2">
        <v>0</v>
      </c>
      <c r="Y3678" s="2" t="s">
        <v>43</v>
      </c>
      <c r="Z3678" s="2" t="s">
        <v>24453</v>
      </c>
      <c r="AA3678" s="2">
        <v>-4.7994932726539803</v>
      </c>
      <c r="AB3678" s="2">
        <v>0.19813344531232999</v>
      </c>
      <c r="AC3678" s="2">
        <v>10075.4666963871</v>
      </c>
      <c r="AD3678" s="2">
        <v>7218.1744862985697</v>
      </c>
      <c r="AE3678" s="2">
        <v>9740.9841515573098</v>
      </c>
      <c r="AF3678" s="2">
        <v>11149.100142433799</v>
      </c>
      <c r="AG3678" s="2">
        <v>9460.3551025274792</v>
      </c>
      <c r="AH3678" s="2">
        <v>9015.5196355821608</v>
      </c>
      <c r="AI3678" s="2">
        <v>9612.2124505269694</v>
      </c>
      <c r="AJ3678" s="2">
        <v>11474.628695695001</v>
      </c>
      <c r="AK3678" s="2">
        <v>7628.8748505661597</v>
      </c>
      <c r="AL3678" s="2">
        <v>6936.18866917385</v>
      </c>
      <c r="AM3678" s="2">
        <v>7214.2234613727096</v>
      </c>
      <c r="AN3678" s="2">
        <v>7712.41600120154</v>
      </c>
      <c r="AO3678" s="2">
        <v>7131.61481700477</v>
      </c>
      <c r="AP3678" s="2">
        <v>6685.7291184723999</v>
      </c>
    </row>
    <row r="3679" spans="1:42" ht="14.5" x14ac:dyDescent="0.35">
      <c r="A3679" s="2" t="s">
        <v>24454</v>
      </c>
      <c r="B3679" s="2">
        <v>136.06170155202801</v>
      </c>
      <c r="C3679" s="2">
        <v>0.78071666666666695</v>
      </c>
      <c r="D3679" s="2" t="s">
        <v>34</v>
      </c>
      <c r="E3679" s="2" t="s">
        <v>24455</v>
      </c>
      <c r="F3679" s="2">
        <v>46837</v>
      </c>
      <c r="G3679" s="3" t="str">
        <f>HYPERLINK("http://funmeta.oebiotech.com/network/46837", "http://funmeta.oebiotech.com/network/46837")</f>
        <v>http://funmeta.oebiotech.com/network/46837</v>
      </c>
      <c r="H3679" s="2" t="s">
        <v>24456</v>
      </c>
      <c r="I3679" s="2">
        <v>85</v>
      </c>
      <c r="J3679" s="2"/>
      <c r="K3679" s="2">
        <v>16708</v>
      </c>
      <c r="L3679" s="2" t="s">
        <v>24457</v>
      </c>
      <c r="M3679" s="2" t="s">
        <v>24458</v>
      </c>
      <c r="N3679" s="2" t="s">
        <v>24459</v>
      </c>
      <c r="O3679" s="2">
        <v>190</v>
      </c>
      <c r="P3679" s="2" t="s">
        <v>24460</v>
      </c>
      <c r="Q3679" s="2" t="s">
        <v>24461</v>
      </c>
      <c r="R3679" s="2" t="s">
        <v>24462</v>
      </c>
      <c r="S3679" s="2" t="s">
        <v>491</v>
      </c>
      <c r="T3679" s="2" t="s">
        <v>7431</v>
      </c>
      <c r="U3679" s="2" t="s">
        <v>7432</v>
      </c>
      <c r="V3679" s="2" t="s">
        <v>59</v>
      </c>
      <c r="W3679" s="2">
        <v>44.7</v>
      </c>
      <c r="X3679" s="2">
        <v>34.5</v>
      </c>
      <c r="Y3679" s="2" t="s">
        <v>394</v>
      </c>
      <c r="Z3679" s="2" t="s">
        <v>24463</v>
      </c>
      <c r="AA3679" s="2">
        <v>-0.51878556265171105</v>
      </c>
      <c r="AB3679" s="2">
        <v>0.198071827819464</v>
      </c>
      <c r="AC3679" s="2">
        <v>89281.118528904306</v>
      </c>
      <c r="AD3679" s="2">
        <v>94814.8959240314</v>
      </c>
      <c r="AE3679" s="2">
        <v>94966.519799893897</v>
      </c>
      <c r="AF3679" s="2">
        <v>93785.951597423904</v>
      </c>
      <c r="AG3679" s="2">
        <v>92856.979096005001</v>
      </c>
      <c r="AH3679" s="2">
        <v>79147.605093153601</v>
      </c>
      <c r="AI3679" s="2">
        <v>83643.528136497305</v>
      </c>
      <c r="AJ3679" s="2">
        <v>91286.127450452404</v>
      </c>
      <c r="AK3679" s="2">
        <v>101030.692306479</v>
      </c>
      <c r="AL3679" s="2">
        <v>94983.716137324795</v>
      </c>
      <c r="AM3679" s="2">
        <v>98975.540333788405</v>
      </c>
      <c r="AN3679" s="2">
        <v>92450.548171319504</v>
      </c>
      <c r="AO3679" s="2">
        <v>88146.622241785706</v>
      </c>
      <c r="AP3679" s="2">
        <v>93302.256353490899</v>
      </c>
    </row>
    <row r="3680" spans="1:42" ht="14.5" x14ac:dyDescent="0.35">
      <c r="A3680" s="2" t="s">
        <v>24464</v>
      </c>
      <c r="B3680" s="2">
        <v>649.25012582888803</v>
      </c>
      <c r="C3680" s="2">
        <v>4.7402166666666696</v>
      </c>
      <c r="D3680" s="2" t="s">
        <v>70</v>
      </c>
      <c r="E3680" s="2" t="s">
        <v>24465</v>
      </c>
      <c r="F3680" s="2">
        <v>200307</v>
      </c>
      <c r="G3680" s="3" t="str">
        <f>HYPERLINK("http://funmeta.oebiotech.com/network/200307", "http://funmeta.oebiotech.com/network/200307")</f>
        <v>http://funmeta.oebiotech.com/network/200307</v>
      </c>
      <c r="H3680" s="2" t="s">
        <v>24466</v>
      </c>
      <c r="I3680" s="2">
        <v>448452</v>
      </c>
      <c r="J3680" s="2"/>
      <c r="K3680" s="2"/>
      <c r="L3680" s="2"/>
      <c r="M3680" s="2"/>
      <c r="N3680" s="2"/>
      <c r="O3680" s="2">
        <v>72441</v>
      </c>
      <c r="P3680" s="2"/>
      <c r="Q3680" s="2" t="s">
        <v>24467</v>
      </c>
      <c r="R3680" s="2" t="s">
        <v>24468</v>
      </c>
      <c r="S3680" s="2" t="s">
        <v>491</v>
      </c>
      <c r="T3680" s="2" t="s">
        <v>4914</v>
      </c>
      <c r="U3680" s="2" t="s">
        <v>41</v>
      </c>
      <c r="V3680" s="2" t="s">
        <v>59</v>
      </c>
      <c r="W3680" s="2">
        <v>38.9</v>
      </c>
      <c r="X3680" s="2">
        <v>0</v>
      </c>
      <c r="Y3680" s="2" t="s">
        <v>560</v>
      </c>
      <c r="Z3680" s="2" t="s">
        <v>24469</v>
      </c>
      <c r="AA3680" s="2">
        <v>-6.6506969721821504E-2</v>
      </c>
      <c r="AB3680" s="2">
        <v>0.19793253178949799</v>
      </c>
      <c r="AC3680" s="2">
        <v>6166.7849485649604</v>
      </c>
      <c r="AD3680" s="2">
        <v>9185.1400382093307</v>
      </c>
      <c r="AE3680" s="2">
        <v>6119.8043329333404</v>
      </c>
      <c r="AF3680" s="2">
        <v>6911.2360639586796</v>
      </c>
      <c r="AG3680" s="2">
        <v>5754.8669725621103</v>
      </c>
      <c r="AH3680" s="2">
        <v>6588.3356294631203</v>
      </c>
      <c r="AI3680" s="2">
        <v>6043.5550517416796</v>
      </c>
      <c r="AJ3680" s="2">
        <v>5582.9116407308402</v>
      </c>
      <c r="AK3680" s="2">
        <v>8026.5292464535896</v>
      </c>
      <c r="AL3680" s="2">
        <v>10686.7710124201</v>
      </c>
      <c r="AM3680" s="2">
        <v>9978.6216334071705</v>
      </c>
      <c r="AN3680" s="2">
        <v>7499.4197650252599</v>
      </c>
      <c r="AO3680" s="2">
        <v>10356.331243091099</v>
      </c>
      <c r="AP3680" s="2">
        <v>8563.1673288587408</v>
      </c>
    </row>
    <row r="3681" spans="1:42" ht="14.5" x14ac:dyDescent="0.35">
      <c r="A3681" s="2" t="s">
        <v>24470</v>
      </c>
      <c r="B3681" s="2">
        <v>562.31476179436197</v>
      </c>
      <c r="C3681" s="2">
        <v>9.7462666666666706</v>
      </c>
      <c r="D3681" s="2" t="s">
        <v>70</v>
      </c>
      <c r="E3681" s="2" t="s">
        <v>24471</v>
      </c>
      <c r="F3681" s="2">
        <v>19878</v>
      </c>
      <c r="G3681" s="3" t="str">
        <f>HYPERLINK("http://funmeta.oebiotech.com/network/19878", "http://funmeta.oebiotech.com/network/19878")</f>
        <v>http://funmeta.oebiotech.com/network/19878</v>
      </c>
      <c r="H3681" s="2" t="s">
        <v>24472</v>
      </c>
      <c r="I3681" s="2">
        <v>61697</v>
      </c>
      <c r="J3681" s="2" t="s">
        <v>24473</v>
      </c>
      <c r="K3681" s="2">
        <v>88698</v>
      </c>
      <c r="L3681" s="2" t="s">
        <v>1451</v>
      </c>
      <c r="M3681" s="2" t="s">
        <v>1452</v>
      </c>
      <c r="N3681" s="2" t="s">
        <v>1453</v>
      </c>
      <c r="O3681" s="2">
        <v>52924045</v>
      </c>
      <c r="P3681" s="2"/>
      <c r="Q3681" s="2" t="s">
        <v>24474</v>
      </c>
      <c r="R3681" s="2" t="s">
        <v>24475</v>
      </c>
      <c r="S3681" s="2" t="s">
        <v>50</v>
      </c>
      <c r="T3681" s="2" t="s">
        <v>51</v>
      </c>
      <c r="U3681" s="2" t="s">
        <v>168</v>
      </c>
      <c r="V3681" s="2" t="s">
        <v>42</v>
      </c>
      <c r="W3681" s="2">
        <v>57.9</v>
      </c>
      <c r="X3681" s="2">
        <v>91.9</v>
      </c>
      <c r="Y3681" s="2" t="s">
        <v>408</v>
      </c>
      <c r="Z3681" s="2" t="s">
        <v>11462</v>
      </c>
      <c r="AA3681" s="2">
        <v>-0.54238852669689297</v>
      </c>
      <c r="AB3681" s="2">
        <v>0.197572974711931</v>
      </c>
      <c r="AC3681" s="2">
        <v>29201.943953225498</v>
      </c>
      <c r="AD3681" s="2">
        <v>33999.754459804601</v>
      </c>
      <c r="AE3681" s="2">
        <v>31221.3895803634</v>
      </c>
      <c r="AF3681" s="2">
        <v>32263.325010984401</v>
      </c>
      <c r="AG3681" s="2">
        <v>28677.167852933399</v>
      </c>
      <c r="AH3681" s="2">
        <v>27358.705592013899</v>
      </c>
      <c r="AI3681" s="2">
        <v>25844.620650784502</v>
      </c>
      <c r="AJ3681" s="2">
        <v>29846.455032273599</v>
      </c>
      <c r="AK3681" s="2">
        <v>36773.047412030297</v>
      </c>
      <c r="AL3681" s="2">
        <v>38513.3116524781</v>
      </c>
      <c r="AM3681" s="2">
        <v>24014.5568958617</v>
      </c>
      <c r="AN3681" s="2">
        <v>33491.222896616302</v>
      </c>
      <c r="AO3681" s="2">
        <v>35056.363801793799</v>
      </c>
      <c r="AP3681" s="2">
        <v>36150.0241000475</v>
      </c>
    </row>
    <row r="3682" spans="1:42" ht="14.5" x14ac:dyDescent="0.35">
      <c r="A3682" s="2" t="s">
        <v>24476</v>
      </c>
      <c r="B3682" s="2">
        <v>224.20054906580799</v>
      </c>
      <c r="C3682" s="2">
        <v>11.670033333333301</v>
      </c>
      <c r="D3682" s="2" t="s">
        <v>34</v>
      </c>
      <c r="E3682" s="2" t="s">
        <v>24477</v>
      </c>
      <c r="F3682" s="2">
        <v>56750</v>
      </c>
      <c r="G3682" s="3" t="str">
        <f>HYPERLINK("http://funmeta.oebiotech.com/network/56750", "http://funmeta.oebiotech.com/network/56750")</f>
        <v>http://funmeta.oebiotech.com/network/56750</v>
      </c>
      <c r="H3682" s="2" t="s">
        <v>24478</v>
      </c>
      <c r="I3682" s="2">
        <v>88421</v>
      </c>
      <c r="J3682" s="2"/>
      <c r="K3682" s="2">
        <v>172146</v>
      </c>
      <c r="L3682" s="2"/>
      <c r="M3682" s="2"/>
      <c r="N3682" s="2"/>
      <c r="O3682" s="2">
        <v>5463913</v>
      </c>
      <c r="P3682" s="2" t="s">
        <v>24479</v>
      </c>
      <c r="Q3682" s="2" t="s">
        <v>24480</v>
      </c>
      <c r="R3682" s="2" t="s">
        <v>24481</v>
      </c>
      <c r="S3682" s="2" t="s">
        <v>50</v>
      </c>
      <c r="T3682" s="2" t="s">
        <v>201</v>
      </c>
      <c r="U3682" s="2" t="s">
        <v>636</v>
      </c>
      <c r="V3682" s="2" t="s">
        <v>59</v>
      </c>
      <c r="W3682" s="2">
        <v>40.299999999999997</v>
      </c>
      <c r="X3682" s="2">
        <v>6.6</v>
      </c>
      <c r="Y3682" s="2" t="s">
        <v>24482</v>
      </c>
      <c r="Z3682" s="2" t="s">
        <v>24483</v>
      </c>
      <c r="AA3682" s="2">
        <v>-1.65782682885392</v>
      </c>
      <c r="AB3682" s="2">
        <v>0.19747369979259899</v>
      </c>
      <c r="AC3682" s="2">
        <v>19815.912048813101</v>
      </c>
      <c r="AD3682" s="2">
        <v>14965.0940140518</v>
      </c>
      <c r="AE3682" s="2">
        <v>20662.716914318102</v>
      </c>
      <c r="AF3682" s="2">
        <v>16856.7129462538</v>
      </c>
      <c r="AG3682" s="2">
        <v>18109.829477617699</v>
      </c>
      <c r="AH3682" s="2">
        <v>22785.9660453488</v>
      </c>
      <c r="AI3682" s="2">
        <v>22513.462417144499</v>
      </c>
      <c r="AJ3682" s="2">
        <v>17966.7844921955</v>
      </c>
      <c r="AK3682" s="2">
        <v>11522.5066683478</v>
      </c>
      <c r="AL3682" s="2">
        <v>23210.8562446182</v>
      </c>
      <c r="AM3682" s="2">
        <v>13044.7442973746</v>
      </c>
      <c r="AN3682" s="2">
        <v>20352.489707895402</v>
      </c>
      <c r="AO3682" s="2">
        <v>10221.2437923298</v>
      </c>
      <c r="AP3682" s="2">
        <v>11438.7233737447</v>
      </c>
    </row>
    <row r="3683" spans="1:42" ht="14.5" x14ac:dyDescent="0.35">
      <c r="A3683" s="2" t="s">
        <v>24484</v>
      </c>
      <c r="B3683" s="2">
        <v>226.01191943636599</v>
      </c>
      <c r="C3683" s="2">
        <v>10.60355</v>
      </c>
      <c r="D3683" s="2" t="s">
        <v>34</v>
      </c>
      <c r="E3683" s="2" t="s">
        <v>24485</v>
      </c>
      <c r="F3683" s="2">
        <v>257275</v>
      </c>
      <c r="G3683" s="3" t="str">
        <f>HYPERLINK("http://funmeta.oebiotech.com/network/257275", "http://funmeta.oebiotech.com/network/257275")</f>
        <v>http://funmeta.oebiotech.com/network/257275</v>
      </c>
      <c r="H3683" s="2" t="s">
        <v>24486</v>
      </c>
      <c r="I3683" s="2"/>
      <c r="J3683" s="2"/>
      <c r="K3683" s="2">
        <v>131650</v>
      </c>
      <c r="L3683" s="2"/>
      <c r="M3683" s="2"/>
      <c r="N3683" s="2"/>
      <c r="O3683" s="2"/>
      <c r="P3683" s="2"/>
      <c r="Q3683" s="2" t="s">
        <v>24487</v>
      </c>
      <c r="R3683" s="2" t="s">
        <v>24488</v>
      </c>
      <c r="S3683" s="2" t="s">
        <v>89</v>
      </c>
      <c r="T3683" s="2" t="s">
        <v>4218</v>
      </c>
      <c r="U3683" s="2" t="s">
        <v>4219</v>
      </c>
      <c r="V3683" s="2" t="s">
        <v>59</v>
      </c>
      <c r="W3683" s="2">
        <v>38.9</v>
      </c>
      <c r="X3683" s="2">
        <v>0</v>
      </c>
      <c r="Y3683" s="2" t="s">
        <v>43</v>
      </c>
      <c r="Z3683" s="2" t="s">
        <v>24489</v>
      </c>
      <c r="AA3683" s="2">
        <v>3.86955277133641</v>
      </c>
      <c r="AB3683" s="2">
        <v>0.197438624603885</v>
      </c>
      <c r="AC3683" s="2">
        <v>21450.8101775416</v>
      </c>
      <c r="AD3683" s="2">
        <v>24463.700045346399</v>
      </c>
      <c r="AE3683" s="2">
        <v>22135.270665939101</v>
      </c>
      <c r="AF3683" s="2">
        <v>22496.632922401099</v>
      </c>
      <c r="AG3683" s="2">
        <v>20778.578094168101</v>
      </c>
      <c r="AH3683" s="2">
        <v>21107.1636605522</v>
      </c>
      <c r="AI3683" s="2">
        <v>20678.346907501498</v>
      </c>
      <c r="AJ3683" s="2">
        <v>21508.868814687801</v>
      </c>
      <c r="AK3683" s="2">
        <v>22466.1893647832</v>
      </c>
      <c r="AL3683" s="2">
        <v>23602.488165249801</v>
      </c>
      <c r="AM3683" s="2">
        <v>25084.344094986202</v>
      </c>
      <c r="AN3683" s="2">
        <v>24698.813657189501</v>
      </c>
      <c r="AO3683" s="2">
        <v>26020.254498405</v>
      </c>
      <c r="AP3683" s="2">
        <v>24910.110491464799</v>
      </c>
    </row>
    <row r="3684" spans="1:42" ht="14.5" x14ac:dyDescent="0.35">
      <c r="A3684" s="2" t="s">
        <v>24490</v>
      </c>
      <c r="B3684" s="2">
        <v>545.32476851813703</v>
      </c>
      <c r="C3684" s="2">
        <v>9.2149333333333292</v>
      </c>
      <c r="D3684" s="2" t="s">
        <v>34</v>
      </c>
      <c r="E3684" s="2" t="s">
        <v>24491</v>
      </c>
      <c r="F3684" s="2">
        <v>206196</v>
      </c>
      <c r="G3684" s="3" t="str">
        <f>HYPERLINK("http://funmeta.oebiotech.com/network/206196", "http://funmeta.oebiotech.com/network/206196")</f>
        <v>http://funmeta.oebiotech.com/network/206196</v>
      </c>
      <c r="H3684" s="2" t="s">
        <v>24492</v>
      </c>
      <c r="I3684" s="2">
        <v>322785</v>
      </c>
      <c r="J3684" s="2"/>
      <c r="K3684" s="2">
        <v>40953</v>
      </c>
      <c r="L3684" s="2"/>
      <c r="M3684" s="2"/>
      <c r="N3684" s="2"/>
      <c r="O3684" s="2">
        <v>156422</v>
      </c>
      <c r="P3684" s="2"/>
      <c r="Q3684" s="2" t="s">
        <v>24493</v>
      </c>
      <c r="R3684" s="2" t="s">
        <v>24494</v>
      </c>
      <c r="S3684" s="2" t="s">
        <v>491</v>
      </c>
      <c r="T3684" s="2" t="s">
        <v>3519</v>
      </c>
      <c r="U3684" s="2" t="s">
        <v>7152</v>
      </c>
      <c r="V3684" s="2" t="s">
        <v>59</v>
      </c>
      <c r="W3684" s="2">
        <v>38.299999999999997</v>
      </c>
      <c r="X3684" s="2">
        <v>0</v>
      </c>
      <c r="Y3684" s="2" t="s">
        <v>43</v>
      </c>
      <c r="Z3684" s="2" t="s">
        <v>24495</v>
      </c>
      <c r="AA3684" s="2">
        <v>2.4709737643543002</v>
      </c>
      <c r="AB3684" s="2">
        <v>0.19738841346004199</v>
      </c>
      <c r="AC3684" s="2">
        <v>3469.97743020502</v>
      </c>
      <c r="AD3684" s="2">
        <v>6239.5959959424299</v>
      </c>
      <c r="AE3684" s="2">
        <v>3833.2074050023898</v>
      </c>
      <c r="AF3684" s="2">
        <v>3673.0014898460299</v>
      </c>
      <c r="AG3684" s="2">
        <v>3907.6678785281401</v>
      </c>
      <c r="AH3684" s="2">
        <v>2463.12591714772</v>
      </c>
      <c r="AI3684" s="2">
        <v>3471.1184256831398</v>
      </c>
      <c r="AJ3684" s="2">
        <v>3471.7434650227101</v>
      </c>
      <c r="AK3684" s="2">
        <v>6396.7943925475001</v>
      </c>
      <c r="AL3684" s="2">
        <v>5495.9008092747699</v>
      </c>
      <c r="AM3684" s="2">
        <v>5330.2504773911996</v>
      </c>
      <c r="AN3684" s="2">
        <v>6222.1641053633703</v>
      </c>
      <c r="AO3684" s="2">
        <v>6929.4512546273099</v>
      </c>
      <c r="AP3684" s="2">
        <v>7063.0149364504096</v>
      </c>
    </row>
    <row r="3685" spans="1:42" ht="14.5" x14ac:dyDescent="0.35">
      <c r="A3685" s="2" t="s">
        <v>24496</v>
      </c>
      <c r="B3685" s="2">
        <v>343.22441695107301</v>
      </c>
      <c r="C3685" s="2">
        <v>11.0630666666667</v>
      </c>
      <c r="D3685" s="2" t="s">
        <v>34</v>
      </c>
      <c r="E3685" s="2" t="s">
        <v>24497</v>
      </c>
      <c r="F3685" s="2">
        <v>10489</v>
      </c>
      <c r="G3685" s="3" t="str">
        <f>HYPERLINK("http://funmeta.oebiotech.com/network/10489", "http://funmeta.oebiotech.com/network/10489")</f>
        <v>http://funmeta.oebiotech.com/network/10489</v>
      </c>
      <c r="H3685" s="2"/>
      <c r="I3685" s="2"/>
      <c r="J3685" s="2" t="s">
        <v>24498</v>
      </c>
      <c r="K3685" s="2"/>
      <c r="L3685" s="2"/>
      <c r="M3685" s="2"/>
      <c r="N3685" s="2"/>
      <c r="O3685" s="2">
        <v>137323862</v>
      </c>
      <c r="P3685" s="2"/>
      <c r="Q3685" s="2" t="s">
        <v>24499</v>
      </c>
      <c r="R3685" s="2" t="s">
        <v>24500</v>
      </c>
      <c r="S3685" s="2" t="s">
        <v>50</v>
      </c>
      <c r="T3685" s="2" t="s">
        <v>229</v>
      </c>
      <c r="U3685" s="2" t="s">
        <v>1283</v>
      </c>
      <c r="V3685" s="2" t="s">
        <v>59</v>
      </c>
      <c r="W3685" s="2">
        <v>36.299999999999997</v>
      </c>
      <c r="X3685" s="2">
        <v>0</v>
      </c>
      <c r="Y3685" s="2" t="s">
        <v>340</v>
      </c>
      <c r="Z3685" s="2" t="s">
        <v>24501</v>
      </c>
      <c r="AA3685" s="2">
        <v>-0.331168199753478</v>
      </c>
      <c r="AB3685" s="2">
        <v>0.197256974420044</v>
      </c>
      <c r="AC3685" s="2">
        <v>4819.5122847562197</v>
      </c>
      <c r="AD3685" s="2">
        <v>2240.4909471936398</v>
      </c>
      <c r="AE3685" s="2">
        <v>4527.4033505679099</v>
      </c>
      <c r="AF3685" s="2">
        <v>4712.1606359733496</v>
      </c>
      <c r="AG3685" s="2">
        <v>5000.8789900040902</v>
      </c>
      <c r="AH3685" s="2">
        <v>5246.5280416882297</v>
      </c>
      <c r="AI3685" s="2">
        <v>4608.2365941631097</v>
      </c>
      <c r="AJ3685" s="2">
        <v>4821.8660961406404</v>
      </c>
      <c r="AK3685" s="2">
        <v>2202.7840130651798</v>
      </c>
      <c r="AL3685" s="2">
        <v>2498.92034788004</v>
      </c>
      <c r="AM3685" s="2">
        <v>2228.0124105293098</v>
      </c>
      <c r="AN3685" s="2">
        <v>2070.3827922680198</v>
      </c>
      <c r="AO3685" s="2">
        <v>2136.3676577087099</v>
      </c>
      <c r="AP3685" s="2">
        <v>2306.4784617105902</v>
      </c>
    </row>
    <row r="3686" spans="1:42" ht="14.5" x14ac:dyDescent="0.35">
      <c r="A3686" s="2" t="s">
        <v>24502</v>
      </c>
      <c r="B3686" s="2">
        <v>1013.46148840365</v>
      </c>
      <c r="C3686" s="2">
        <v>11.4118166666667</v>
      </c>
      <c r="D3686" s="2" t="s">
        <v>70</v>
      </c>
      <c r="E3686" s="2" t="s">
        <v>24503</v>
      </c>
      <c r="F3686" s="2">
        <v>59365</v>
      </c>
      <c r="G3686" s="3" t="str">
        <f>HYPERLINK("http://funmeta.oebiotech.com/network/59365", "http://funmeta.oebiotech.com/network/59365")</f>
        <v>http://funmeta.oebiotech.com/network/59365</v>
      </c>
      <c r="H3686" s="2" t="s">
        <v>24504</v>
      </c>
      <c r="I3686" s="2">
        <v>90780</v>
      </c>
      <c r="J3686" s="2"/>
      <c r="K3686" s="2"/>
      <c r="L3686" s="2"/>
      <c r="M3686" s="2"/>
      <c r="N3686" s="2"/>
      <c r="O3686" s="2">
        <v>131751783</v>
      </c>
      <c r="P3686" s="2" t="s">
        <v>24505</v>
      </c>
      <c r="Q3686" s="2" t="s">
        <v>24506</v>
      </c>
      <c r="R3686" s="2" t="s">
        <v>24507</v>
      </c>
      <c r="S3686" s="2" t="s">
        <v>50</v>
      </c>
      <c r="T3686" s="2" t="s">
        <v>124</v>
      </c>
      <c r="U3686" s="2" t="s">
        <v>523</v>
      </c>
      <c r="V3686" s="2" t="s">
        <v>59</v>
      </c>
      <c r="W3686" s="2">
        <v>37.799999999999997</v>
      </c>
      <c r="X3686" s="2">
        <v>0</v>
      </c>
      <c r="Y3686" s="2" t="s">
        <v>118</v>
      </c>
      <c r="Z3686" s="2" t="s">
        <v>24508</v>
      </c>
      <c r="AA3686" s="2">
        <v>1.5681455133669699</v>
      </c>
      <c r="AB3686" s="2">
        <v>0.19723460734502199</v>
      </c>
      <c r="AC3686" s="2">
        <v>6697.0143664490897</v>
      </c>
      <c r="AD3686" s="2">
        <v>3362.46175288829</v>
      </c>
      <c r="AE3686" s="2">
        <v>7232.42905945848</v>
      </c>
      <c r="AF3686" s="2">
        <v>3497.3708408994898</v>
      </c>
      <c r="AG3686" s="2">
        <v>7211.0671384518801</v>
      </c>
      <c r="AH3686" s="2">
        <v>6266.7300005154502</v>
      </c>
      <c r="AI3686" s="2">
        <v>7791.9627439099504</v>
      </c>
      <c r="AJ3686" s="2">
        <v>8182.5264154592596</v>
      </c>
      <c r="AK3686" s="2">
        <v>3356.61357168723</v>
      </c>
      <c r="AL3686" s="2">
        <v>4195.4939344988297</v>
      </c>
      <c r="AM3686" s="2">
        <v>2974.2008510553701</v>
      </c>
      <c r="AN3686" s="2">
        <v>4787.8660930648803</v>
      </c>
      <c r="AO3686" s="2">
        <v>3792.3860372859899</v>
      </c>
      <c r="AP3686" s="2">
        <v>1068.21002973743</v>
      </c>
    </row>
    <row r="3687" spans="1:42" ht="14.5" x14ac:dyDescent="0.35">
      <c r="A3687" s="2" t="s">
        <v>24509</v>
      </c>
      <c r="B3687" s="2">
        <v>435.09188792069</v>
      </c>
      <c r="C3687" s="2">
        <v>4.4964333333333304</v>
      </c>
      <c r="D3687" s="2" t="s">
        <v>34</v>
      </c>
      <c r="E3687" s="2" t="s">
        <v>24510</v>
      </c>
      <c r="F3687" s="2">
        <v>32255</v>
      </c>
      <c r="G3687" s="3" t="str">
        <f>HYPERLINK("http://funmeta.oebiotech.com/network/32255", "http://funmeta.oebiotech.com/network/32255")</f>
        <v>http://funmeta.oebiotech.com/network/32255</v>
      </c>
      <c r="H3687" s="2"/>
      <c r="I3687" s="2">
        <v>50584</v>
      </c>
      <c r="J3687" s="2" t="s">
        <v>24511</v>
      </c>
      <c r="K3687" s="2"/>
      <c r="L3687" s="2"/>
      <c r="M3687" s="2"/>
      <c r="N3687" s="2"/>
      <c r="O3687" s="2">
        <v>5481224</v>
      </c>
      <c r="P3687" s="2"/>
      <c r="Q3687" s="2" t="s">
        <v>24512</v>
      </c>
      <c r="R3687" s="2" t="s">
        <v>24513</v>
      </c>
      <c r="S3687" s="2" t="s">
        <v>115</v>
      </c>
      <c r="T3687" s="2" t="s">
        <v>139</v>
      </c>
      <c r="U3687" s="2" t="s">
        <v>140</v>
      </c>
      <c r="V3687" s="2" t="s">
        <v>59</v>
      </c>
      <c r="W3687" s="2">
        <v>38.200000000000003</v>
      </c>
      <c r="X3687" s="2">
        <v>0</v>
      </c>
      <c r="Y3687" s="2" t="s">
        <v>394</v>
      </c>
      <c r="Z3687" s="2" t="s">
        <v>24514</v>
      </c>
      <c r="AA3687" s="2">
        <v>-0.69088724779208699</v>
      </c>
      <c r="AB3687" s="2">
        <v>0.19717493090907001</v>
      </c>
      <c r="AC3687" s="2">
        <v>18592.3844090926</v>
      </c>
      <c r="AD3687" s="2">
        <v>22254.071538103999</v>
      </c>
      <c r="AE3687" s="2">
        <v>17921.9800188685</v>
      </c>
      <c r="AF3687" s="2">
        <v>17970.768489223199</v>
      </c>
      <c r="AG3687" s="2">
        <v>16502.713712229499</v>
      </c>
      <c r="AH3687" s="2">
        <v>17555.2324655501</v>
      </c>
      <c r="AI3687" s="2">
        <v>20342.2305838783</v>
      </c>
      <c r="AJ3687" s="2">
        <v>21261.381184805901</v>
      </c>
      <c r="AK3687" s="2">
        <v>23985.327410710201</v>
      </c>
      <c r="AL3687" s="2">
        <v>23623.839345729299</v>
      </c>
      <c r="AM3687" s="2">
        <v>22808.550954207101</v>
      </c>
      <c r="AN3687" s="2">
        <v>22462.0093607327</v>
      </c>
      <c r="AO3687" s="2">
        <v>17643.7238330449</v>
      </c>
      <c r="AP3687" s="2">
        <v>23000.978324199699</v>
      </c>
    </row>
    <row r="3688" spans="1:42" ht="14.5" x14ac:dyDescent="0.35">
      <c r="A3688" s="2" t="s">
        <v>24515</v>
      </c>
      <c r="B3688" s="2">
        <v>491.20927451710298</v>
      </c>
      <c r="C3688" s="2">
        <v>4.3961833333333296</v>
      </c>
      <c r="D3688" s="2" t="s">
        <v>34</v>
      </c>
      <c r="E3688" s="2" t="s">
        <v>24516</v>
      </c>
      <c r="F3688" s="2">
        <v>53311</v>
      </c>
      <c r="G3688" s="3" t="str">
        <f>HYPERLINK("http://funmeta.oebiotech.com/network/53311", "http://funmeta.oebiotech.com/network/53311")</f>
        <v>http://funmeta.oebiotech.com/network/53311</v>
      </c>
      <c r="H3688" s="2" t="s">
        <v>24517</v>
      </c>
      <c r="I3688" s="2">
        <v>2327</v>
      </c>
      <c r="J3688" s="2"/>
      <c r="K3688" s="2">
        <v>4639</v>
      </c>
      <c r="L3688" s="2" t="s">
        <v>24518</v>
      </c>
      <c r="M3688" s="2"/>
      <c r="N3688" s="2"/>
      <c r="O3688" s="2">
        <v>13505</v>
      </c>
      <c r="P3688" s="2" t="s">
        <v>24519</v>
      </c>
      <c r="Q3688" s="2" t="s">
        <v>24520</v>
      </c>
      <c r="R3688" s="2" t="s">
        <v>24521</v>
      </c>
      <c r="S3688" s="2" t="s">
        <v>148</v>
      </c>
      <c r="T3688" s="2" t="s">
        <v>149</v>
      </c>
      <c r="U3688" s="2" t="s">
        <v>4987</v>
      </c>
      <c r="V3688" s="2" t="s">
        <v>59</v>
      </c>
      <c r="W3688" s="2">
        <v>38.6</v>
      </c>
      <c r="X3688" s="2">
        <v>0</v>
      </c>
      <c r="Y3688" s="2" t="s">
        <v>340</v>
      </c>
      <c r="Z3688" s="2" t="s">
        <v>24522</v>
      </c>
      <c r="AA3688" s="2">
        <v>-0.57897170641877804</v>
      </c>
      <c r="AB3688" s="2">
        <v>0.197141881090032</v>
      </c>
      <c r="AC3688" s="2">
        <v>14854.280803890901</v>
      </c>
      <c r="AD3688" s="2">
        <v>11564.371822094399</v>
      </c>
      <c r="AE3688" s="2">
        <v>16106.597773919</v>
      </c>
      <c r="AF3688" s="2">
        <v>15707.957782531301</v>
      </c>
      <c r="AG3688" s="2">
        <v>14827.6132979501</v>
      </c>
      <c r="AH3688" s="2">
        <v>13622.1374195237</v>
      </c>
      <c r="AI3688" s="2">
        <v>15007.8473262229</v>
      </c>
      <c r="AJ3688" s="2">
        <v>13853.531223198201</v>
      </c>
      <c r="AK3688" s="2">
        <v>11971.4714914092</v>
      </c>
      <c r="AL3688" s="2">
        <v>10303.5901562663</v>
      </c>
      <c r="AM3688" s="2">
        <v>10625.965978407299</v>
      </c>
      <c r="AN3688" s="2">
        <v>12372.286584977301</v>
      </c>
      <c r="AO3688" s="2">
        <v>9499.0595815712095</v>
      </c>
      <c r="AP3688" s="2">
        <v>14613.8571399353</v>
      </c>
    </row>
    <row r="3689" spans="1:42" ht="14.5" x14ac:dyDescent="0.35">
      <c r="A3689" s="2" t="s">
        <v>24523</v>
      </c>
      <c r="B3689" s="2">
        <v>119.085435307377</v>
      </c>
      <c r="C3689" s="2">
        <v>4.3632666666666697</v>
      </c>
      <c r="D3689" s="2" t="s">
        <v>34</v>
      </c>
      <c r="E3689" s="2" t="s">
        <v>24524</v>
      </c>
      <c r="F3689" s="2">
        <v>56915</v>
      </c>
      <c r="G3689" s="3" t="str">
        <f>HYPERLINK("http://funmeta.oebiotech.com/network/56915", "http://funmeta.oebiotech.com/network/56915")</f>
        <v>http://funmeta.oebiotech.com/network/56915</v>
      </c>
      <c r="H3689" s="2" t="s">
        <v>24525</v>
      </c>
      <c r="I3689" s="2">
        <v>69960</v>
      </c>
      <c r="J3689" s="2"/>
      <c r="K3689" s="2"/>
      <c r="L3689" s="2" t="s">
        <v>24526</v>
      </c>
      <c r="M3689" s="2"/>
      <c r="N3689" s="2"/>
      <c r="O3689" s="2">
        <v>12580</v>
      </c>
      <c r="P3689" s="2" t="s">
        <v>24527</v>
      </c>
      <c r="Q3689" s="2" t="s">
        <v>24528</v>
      </c>
      <c r="R3689" s="2" t="s">
        <v>24529</v>
      </c>
      <c r="S3689" s="2" t="s">
        <v>148</v>
      </c>
      <c r="T3689" s="2" t="s">
        <v>149</v>
      </c>
      <c r="U3689" s="2" t="s">
        <v>15271</v>
      </c>
      <c r="V3689" s="2" t="s">
        <v>59</v>
      </c>
      <c r="W3689" s="2">
        <v>46.6</v>
      </c>
      <c r="X3689" s="2">
        <v>38.6</v>
      </c>
      <c r="Y3689" s="2" t="s">
        <v>266</v>
      </c>
      <c r="Z3689" s="2" t="s">
        <v>24530</v>
      </c>
      <c r="AA3689" s="2">
        <v>-0.67196575500850098</v>
      </c>
      <c r="AB3689" s="2">
        <v>0.197041534911083</v>
      </c>
      <c r="AC3689" s="2">
        <v>92666.448640602495</v>
      </c>
      <c r="AD3689" s="2">
        <v>89514.882504744295</v>
      </c>
      <c r="AE3689" s="2">
        <v>92444.672702991302</v>
      </c>
      <c r="AF3689" s="2">
        <v>92534.182980585494</v>
      </c>
      <c r="AG3689" s="2">
        <v>94109.824184137498</v>
      </c>
      <c r="AH3689" s="2">
        <v>90517.375750762396</v>
      </c>
      <c r="AI3689" s="2">
        <v>92410.9255497228</v>
      </c>
      <c r="AJ3689" s="2">
        <v>93981.710675415699</v>
      </c>
      <c r="AK3689" s="2">
        <v>89373.778087340601</v>
      </c>
      <c r="AL3689" s="2">
        <v>88909.459294045097</v>
      </c>
      <c r="AM3689" s="2">
        <v>90616.896642559295</v>
      </c>
      <c r="AN3689" s="2">
        <v>87745.662436374798</v>
      </c>
      <c r="AO3689" s="2">
        <v>89249.798266642101</v>
      </c>
      <c r="AP3689" s="2">
        <v>91193.700301503806</v>
      </c>
    </row>
    <row r="3690" spans="1:42" ht="14.5" x14ac:dyDescent="0.35">
      <c r="A3690" s="2" t="s">
        <v>24531</v>
      </c>
      <c r="B3690" s="2">
        <v>410.16659903632899</v>
      </c>
      <c r="C3690" s="2">
        <v>5.26453333333333</v>
      </c>
      <c r="D3690" s="2" t="s">
        <v>70</v>
      </c>
      <c r="E3690" s="2" t="s">
        <v>24532</v>
      </c>
      <c r="F3690" s="2">
        <v>53339</v>
      </c>
      <c r="G3690" s="3" t="str">
        <f>HYPERLINK("http://funmeta.oebiotech.com/network/53339", "http://funmeta.oebiotech.com/network/53339")</f>
        <v>http://funmeta.oebiotech.com/network/53339</v>
      </c>
      <c r="H3690" s="2" t="s">
        <v>24533</v>
      </c>
      <c r="I3690" s="2"/>
      <c r="J3690" s="2"/>
      <c r="K3690" s="2">
        <v>9728</v>
      </c>
      <c r="L3690" s="2" t="s">
        <v>24534</v>
      </c>
      <c r="M3690" s="2"/>
      <c r="N3690" s="2"/>
      <c r="O3690" s="2">
        <v>23576</v>
      </c>
      <c r="P3690" s="2" t="s">
        <v>24535</v>
      </c>
      <c r="Q3690" s="2" t="s">
        <v>24536</v>
      </c>
      <c r="R3690" s="2" t="s">
        <v>24537</v>
      </c>
      <c r="S3690" s="2" t="s">
        <v>491</v>
      </c>
      <c r="T3690" s="2" t="s">
        <v>24538</v>
      </c>
      <c r="U3690" s="2" t="s">
        <v>41</v>
      </c>
      <c r="V3690" s="2" t="s">
        <v>59</v>
      </c>
      <c r="W3690" s="2">
        <v>37.700000000000003</v>
      </c>
      <c r="X3690" s="2">
        <v>0</v>
      </c>
      <c r="Y3690" s="2" t="s">
        <v>408</v>
      </c>
      <c r="Z3690" s="2" t="s">
        <v>24539</v>
      </c>
      <c r="AA3690" s="2">
        <v>-0.99478548447943105</v>
      </c>
      <c r="AB3690" s="2">
        <v>0.196956293974552</v>
      </c>
      <c r="AC3690" s="2">
        <v>5808.6228350763304</v>
      </c>
      <c r="AD3690" s="2">
        <v>3067.9630788461</v>
      </c>
      <c r="AE3690" s="2">
        <v>6313.95971031306</v>
      </c>
      <c r="AF3690" s="2">
        <v>4871.7314331112402</v>
      </c>
      <c r="AG3690" s="2">
        <v>4951.78123128058</v>
      </c>
      <c r="AH3690" s="2">
        <v>6121.2958395955402</v>
      </c>
      <c r="AI3690" s="2">
        <v>5751.4445483545096</v>
      </c>
      <c r="AJ3690" s="2">
        <v>6841.5242478030596</v>
      </c>
      <c r="AK3690" s="2">
        <v>3051.7925189976299</v>
      </c>
      <c r="AL3690" s="2">
        <v>2938.0243921214901</v>
      </c>
      <c r="AM3690" s="2">
        <v>3626.4277891250399</v>
      </c>
      <c r="AN3690" s="2">
        <v>3005.0614156637798</v>
      </c>
      <c r="AO3690" s="2">
        <v>3024.3813557009598</v>
      </c>
      <c r="AP3690" s="2">
        <v>2762.0910014677102</v>
      </c>
    </row>
    <row r="3691" spans="1:42" ht="14.5" x14ac:dyDescent="0.35">
      <c r="A3691" s="2" t="s">
        <v>24540</v>
      </c>
      <c r="B3691" s="2">
        <v>188.07050573199899</v>
      </c>
      <c r="C3691" s="2">
        <v>4.8488333333333298</v>
      </c>
      <c r="D3691" s="2" t="s">
        <v>34</v>
      </c>
      <c r="E3691" s="2" t="s">
        <v>24541</v>
      </c>
      <c r="F3691" s="2">
        <v>266267</v>
      </c>
      <c r="G3691" s="3" t="str">
        <f>HYPERLINK("http://funmeta.oebiotech.com/network/266267", "http://funmeta.oebiotech.com/network/266267")</f>
        <v>http://funmeta.oebiotech.com/network/266267</v>
      </c>
      <c r="H3691" s="2"/>
      <c r="I3691" s="2">
        <v>34509</v>
      </c>
      <c r="J3691" s="2"/>
      <c r="K3691" s="2"/>
      <c r="L3691" s="2"/>
      <c r="M3691" s="2"/>
      <c r="N3691" s="2"/>
      <c r="O3691" s="2">
        <v>22244</v>
      </c>
      <c r="P3691" s="2" t="s">
        <v>24542</v>
      </c>
      <c r="Q3691" s="2" t="s">
        <v>24543</v>
      </c>
      <c r="R3691" s="2" t="s">
        <v>24544</v>
      </c>
      <c r="S3691" s="2" t="s">
        <v>148</v>
      </c>
      <c r="T3691" s="2" t="s">
        <v>6221</v>
      </c>
      <c r="U3691" s="2" t="s">
        <v>23296</v>
      </c>
      <c r="V3691" s="2" t="s">
        <v>59</v>
      </c>
      <c r="W3691" s="2">
        <v>39</v>
      </c>
      <c r="X3691" s="2">
        <v>0</v>
      </c>
      <c r="Y3691" s="2" t="s">
        <v>266</v>
      </c>
      <c r="Z3691" s="2" t="s">
        <v>4869</v>
      </c>
      <c r="AA3691" s="2">
        <v>-0.53047570247381903</v>
      </c>
      <c r="AB3691" s="2">
        <v>0.19676144064669501</v>
      </c>
      <c r="AC3691" s="2">
        <v>8729.7716541821301</v>
      </c>
      <c r="AD3691" s="2">
        <v>6034.3401348137804</v>
      </c>
      <c r="AE3691" s="2">
        <v>8864.4322282802204</v>
      </c>
      <c r="AF3691" s="2">
        <v>8156.8231333346903</v>
      </c>
      <c r="AG3691" s="2">
        <v>8841.6769846576208</v>
      </c>
      <c r="AH3691" s="2">
        <v>8801.6262371186494</v>
      </c>
      <c r="AI3691" s="2">
        <v>9564.7000503479794</v>
      </c>
      <c r="AJ3691" s="2">
        <v>8149.3712913536201</v>
      </c>
      <c r="AK3691" s="2">
        <v>6019.7085001205896</v>
      </c>
      <c r="AL3691" s="2">
        <v>5843.7381733290404</v>
      </c>
      <c r="AM3691" s="2">
        <v>6661.82408766761</v>
      </c>
      <c r="AN3691" s="2">
        <v>6238.9083142950603</v>
      </c>
      <c r="AO3691" s="2">
        <v>5258.5196439921201</v>
      </c>
      <c r="AP3691" s="2">
        <v>6183.3420894782903</v>
      </c>
    </row>
    <row r="3692" spans="1:42" ht="14.5" x14ac:dyDescent="0.35">
      <c r="A3692" s="2" t="s">
        <v>24545</v>
      </c>
      <c r="B3692" s="2">
        <v>317.165131817016</v>
      </c>
      <c r="C3692" s="2">
        <v>6.5888166666666699</v>
      </c>
      <c r="D3692" s="2" t="s">
        <v>34</v>
      </c>
      <c r="E3692" s="2" t="s">
        <v>24546</v>
      </c>
      <c r="F3692" s="2">
        <v>206863</v>
      </c>
      <c r="G3692" s="3" t="str">
        <f>HYPERLINK("http://funmeta.oebiotech.com/network/206863", "http://funmeta.oebiotech.com/network/206863")</f>
        <v>http://funmeta.oebiotech.com/network/206863</v>
      </c>
      <c r="H3692" s="2" t="s">
        <v>24547</v>
      </c>
      <c r="I3692" s="2"/>
      <c r="J3692" s="2"/>
      <c r="K3692" s="2"/>
      <c r="L3692" s="2"/>
      <c r="M3692" s="2"/>
      <c r="N3692" s="2"/>
      <c r="O3692" s="2">
        <v>133038</v>
      </c>
      <c r="P3692" s="2"/>
      <c r="Q3692" s="2" t="s">
        <v>24548</v>
      </c>
      <c r="R3692" s="2" t="s">
        <v>24549</v>
      </c>
      <c r="S3692" s="2" t="s">
        <v>491</v>
      </c>
      <c r="T3692" s="2" t="s">
        <v>2184</v>
      </c>
      <c r="U3692" s="2" t="s">
        <v>8546</v>
      </c>
      <c r="V3692" s="2" t="s">
        <v>59</v>
      </c>
      <c r="W3692" s="2">
        <v>36.9</v>
      </c>
      <c r="X3692" s="2">
        <v>0</v>
      </c>
      <c r="Y3692" s="2" t="s">
        <v>1042</v>
      </c>
      <c r="Z3692" s="2" t="s">
        <v>24550</v>
      </c>
      <c r="AA3692" s="2">
        <v>-2.69091806598954</v>
      </c>
      <c r="AB3692" s="2">
        <v>0.19670984477078199</v>
      </c>
      <c r="AC3692" s="2">
        <v>51068.279157003999</v>
      </c>
      <c r="AD3692" s="2">
        <v>46400.926924539897</v>
      </c>
      <c r="AE3692" s="2">
        <v>57859.039296171301</v>
      </c>
      <c r="AF3692" s="2">
        <v>48443.297686880003</v>
      </c>
      <c r="AG3692" s="2">
        <v>52196.310113884603</v>
      </c>
      <c r="AH3692" s="2">
        <v>47522.605002221397</v>
      </c>
      <c r="AI3692" s="2">
        <v>45735.800616743203</v>
      </c>
      <c r="AJ3692" s="2">
        <v>54652.6222261234</v>
      </c>
      <c r="AK3692" s="2">
        <v>45500.479221399401</v>
      </c>
      <c r="AL3692" s="2">
        <v>47002.245815253104</v>
      </c>
      <c r="AM3692" s="2">
        <v>51777.519226683202</v>
      </c>
      <c r="AN3692" s="2">
        <v>42787.552044660602</v>
      </c>
      <c r="AO3692" s="2">
        <v>47967.090678444503</v>
      </c>
      <c r="AP3692" s="2">
        <v>43370.674560798499</v>
      </c>
    </row>
    <row r="3693" spans="1:42" ht="14.5" x14ac:dyDescent="0.35">
      <c r="A3693" s="2" t="s">
        <v>24551</v>
      </c>
      <c r="B3693" s="2">
        <v>539.35873384253102</v>
      </c>
      <c r="C3693" s="2">
        <v>6.8957833333333296</v>
      </c>
      <c r="D3693" s="2" t="s">
        <v>70</v>
      </c>
      <c r="E3693" s="2" t="s">
        <v>24552</v>
      </c>
      <c r="F3693" s="2">
        <v>63625</v>
      </c>
      <c r="G3693" s="3" t="str">
        <f>HYPERLINK("http://funmeta.oebiotech.com/network/63625", "http://funmeta.oebiotech.com/network/63625")</f>
        <v>http://funmeta.oebiotech.com/network/63625</v>
      </c>
      <c r="H3693" s="2" t="s">
        <v>24553</v>
      </c>
      <c r="I3693" s="2">
        <v>94961</v>
      </c>
      <c r="J3693" s="2"/>
      <c r="K3693" s="2"/>
      <c r="L3693" s="2"/>
      <c r="M3693" s="2"/>
      <c r="N3693" s="2"/>
      <c r="O3693" s="2">
        <v>61014</v>
      </c>
      <c r="P3693" s="2" t="s">
        <v>24554</v>
      </c>
      <c r="Q3693" s="2" t="s">
        <v>24555</v>
      </c>
      <c r="R3693" s="2" t="s">
        <v>24556</v>
      </c>
      <c r="S3693" s="2" t="s">
        <v>115</v>
      </c>
      <c r="T3693" s="2" t="s">
        <v>1384</v>
      </c>
      <c r="U3693" s="2" t="s">
        <v>41</v>
      </c>
      <c r="V3693" s="2" t="s">
        <v>59</v>
      </c>
      <c r="W3693" s="2">
        <v>39.299999999999997</v>
      </c>
      <c r="X3693" s="2">
        <v>0</v>
      </c>
      <c r="Y3693" s="2" t="s">
        <v>560</v>
      </c>
      <c r="Z3693" s="2" t="s">
        <v>24557</v>
      </c>
      <c r="AA3693" s="2">
        <v>-0.38557108503160697</v>
      </c>
      <c r="AB3693" s="2">
        <v>0.19658228391837901</v>
      </c>
      <c r="AC3693" s="2">
        <v>2790.64767623024</v>
      </c>
      <c r="AD3693" s="2">
        <v>231.34062231093199</v>
      </c>
      <c r="AE3693" s="2">
        <v>2692.6044867313399</v>
      </c>
      <c r="AF3693" s="2">
        <v>2754.1113067819001</v>
      </c>
      <c r="AG3693" s="2">
        <v>3102.3084614503</v>
      </c>
      <c r="AH3693" s="2">
        <v>2662.0054156317201</v>
      </c>
      <c r="AI3693" s="2">
        <v>2602.29057199606</v>
      </c>
      <c r="AJ3693" s="2">
        <v>2930.5658147901499</v>
      </c>
      <c r="AK3693" s="2">
        <v>457.98686394768799</v>
      </c>
      <c r="AL3693" s="2">
        <v>2.7106294003980101E-5</v>
      </c>
      <c r="AM3693" s="2">
        <v>501.02263838679897</v>
      </c>
      <c r="AN3693" s="2">
        <v>2.7106294003980101E-5</v>
      </c>
      <c r="AO3693" s="2">
        <v>232.61760878849901</v>
      </c>
      <c r="AP3693" s="2">
        <v>196.41656853001601</v>
      </c>
    </row>
    <row r="3694" spans="1:42" ht="14.5" x14ac:dyDescent="0.35">
      <c r="A3694" s="2" t="s">
        <v>24558</v>
      </c>
      <c r="B3694" s="2">
        <v>953.29147322023698</v>
      </c>
      <c r="C3694" s="2">
        <v>3.8059833333333302</v>
      </c>
      <c r="D3694" s="2" t="s">
        <v>70</v>
      </c>
      <c r="E3694" s="2" t="s">
        <v>24559</v>
      </c>
      <c r="F3694" s="2">
        <v>467794</v>
      </c>
      <c r="G3694" s="3" t="str">
        <f>HYPERLINK("http://funmeta.oebiotech.com/network/467794", "http://funmeta.oebiotech.com/network/467794")</f>
        <v>http://funmeta.oebiotech.com/network/467794</v>
      </c>
      <c r="H3694" s="2"/>
      <c r="I3694" s="2">
        <v>85154</v>
      </c>
      <c r="J3694" s="2"/>
      <c r="K3694" s="2"/>
      <c r="L3694" s="2"/>
      <c r="M3694" s="2"/>
      <c r="N3694" s="2"/>
      <c r="O3694" s="2">
        <v>444913</v>
      </c>
      <c r="P3694" s="2" t="s">
        <v>24560</v>
      </c>
      <c r="Q3694" s="2" t="s">
        <v>24561</v>
      </c>
      <c r="R3694" s="2" t="s">
        <v>24562</v>
      </c>
      <c r="S3694" s="2" t="s">
        <v>79</v>
      </c>
      <c r="T3694" s="2" t="s">
        <v>80</v>
      </c>
      <c r="U3694" s="2" t="s">
        <v>81</v>
      </c>
      <c r="V3694" s="2" t="s">
        <v>59</v>
      </c>
      <c r="W3694" s="2">
        <v>37</v>
      </c>
      <c r="X3694" s="2">
        <v>0</v>
      </c>
      <c r="Y3694" s="2" t="s">
        <v>751</v>
      </c>
      <c r="Z3694" s="2" t="s">
        <v>24563</v>
      </c>
      <c r="AA3694" s="2">
        <v>-7.8432972260634104</v>
      </c>
      <c r="AB3694" s="2">
        <v>0.19654151571616901</v>
      </c>
      <c r="AC3694" s="2">
        <v>4086.49164292044</v>
      </c>
      <c r="AD3694" s="2">
        <v>1143.21772166507</v>
      </c>
      <c r="AE3694" s="2">
        <v>3924.9434712953498</v>
      </c>
      <c r="AF3694" s="2">
        <v>2889.8341395911498</v>
      </c>
      <c r="AG3694" s="2">
        <v>5169.8836063537301</v>
      </c>
      <c r="AH3694" s="2">
        <v>3276.8848418664302</v>
      </c>
      <c r="AI3694" s="2">
        <v>3740.2982967981902</v>
      </c>
      <c r="AJ3694" s="2">
        <v>5517.1055016178098</v>
      </c>
      <c r="AK3694" s="2">
        <v>725.64608899828602</v>
      </c>
      <c r="AL3694" s="2">
        <v>2.7106294003980101E-5</v>
      </c>
      <c r="AM3694" s="2">
        <v>1111.2493854733</v>
      </c>
      <c r="AN3694" s="2">
        <v>2524.0755974896701</v>
      </c>
      <c r="AO3694" s="2">
        <v>1189.75234295378</v>
      </c>
      <c r="AP3694" s="2">
        <v>1308.58288796906</v>
      </c>
    </row>
    <row r="3695" spans="1:42" ht="14.5" x14ac:dyDescent="0.35">
      <c r="A3695" s="2" t="s">
        <v>24564</v>
      </c>
      <c r="B3695" s="2">
        <v>547.07464987158596</v>
      </c>
      <c r="C3695" s="2">
        <v>3.5301</v>
      </c>
      <c r="D3695" s="2" t="s">
        <v>34</v>
      </c>
      <c r="E3695" s="2" t="s">
        <v>24565</v>
      </c>
      <c r="F3695" s="2">
        <v>47520</v>
      </c>
      <c r="G3695" s="3" t="str">
        <f>HYPERLINK("http://funmeta.oebiotech.com/network/47520", "http://funmeta.oebiotech.com/network/47520")</f>
        <v>http://funmeta.oebiotech.com/network/47520</v>
      </c>
      <c r="H3695" s="2" t="s">
        <v>24566</v>
      </c>
      <c r="I3695" s="2">
        <v>330215</v>
      </c>
      <c r="J3695" s="2"/>
      <c r="K3695" s="2">
        <v>15700</v>
      </c>
      <c r="L3695" s="2" t="s">
        <v>24567</v>
      </c>
      <c r="M3695" s="2" t="s">
        <v>24568</v>
      </c>
      <c r="N3695" s="2" t="s">
        <v>24569</v>
      </c>
      <c r="O3695" s="2">
        <v>443210</v>
      </c>
      <c r="P3695" s="2" t="s">
        <v>24570</v>
      </c>
      <c r="Q3695" s="2" t="s">
        <v>24571</v>
      </c>
      <c r="R3695" s="2" t="s">
        <v>24572</v>
      </c>
      <c r="S3695" s="2" t="s">
        <v>1444</v>
      </c>
      <c r="T3695" s="2" t="s">
        <v>4040</v>
      </c>
      <c r="U3695" s="2" t="s">
        <v>4041</v>
      </c>
      <c r="V3695" s="2" t="s">
        <v>59</v>
      </c>
      <c r="W3695" s="2">
        <v>38.200000000000003</v>
      </c>
      <c r="X3695" s="2">
        <v>0</v>
      </c>
      <c r="Y3695" s="2" t="s">
        <v>141</v>
      </c>
      <c r="Z3695" s="2" t="s">
        <v>24573</v>
      </c>
      <c r="AA3695" s="2">
        <v>3.8684612525175099</v>
      </c>
      <c r="AB3695" s="2">
        <v>0.19649217517357001</v>
      </c>
      <c r="AC3695" s="2">
        <v>12847.6454253711</v>
      </c>
      <c r="AD3695" s="2">
        <v>10093.4864901287</v>
      </c>
      <c r="AE3695" s="2">
        <v>12173.5041062562</v>
      </c>
      <c r="AF3695" s="2">
        <v>12902.190752594401</v>
      </c>
      <c r="AG3695" s="2">
        <v>13572.731444248</v>
      </c>
      <c r="AH3695" s="2">
        <v>12255.949332096499</v>
      </c>
      <c r="AI3695" s="2">
        <v>13760.5298865678</v>
      </c>
      <c r="AJ3695" s="2">
        <v>12420.9670304638</v>
      </c>
      <c r="AK3695" s="2">
        <v>9939.0622227631302</v>
      </c>
      <c r="AL3695" s="2">
        <v>9391.9548944819508</v>
      </c>
      <c r="AM3695" s="2">
        <v>9599.0071035554101</v>
      </c>
      <c r="AN3695" s="2">
        <v>10766.0632274747</v>
      </c>
      <c r="AO3695" s="2">
        <v>10594.997000537</v>
      </c>
      <c r="AP3695" s="2">
        <v>10269.8344919599</v>
      </c>
    </row>
    <row r="3696" spans="1:42" ht="14.5" x14ac:dyDescent="0.35">
      <c r="A3696" s="2" t="s">
        <v>24574</v>
      </c>
      <c r="B3696" s="2">
        <v>270.06081378974801</v>
      </c>
      <c r="C3696" s="2">
        <v>1.4964</v>
      </c>
      <c r="D3696" s="2" t="s">
        <v>34</v>
      </c>
      <c r="E3696" s="2" t="s">
        <v>24575</v>
      </c>
      <c r="F3696" s="2">
        <v>198670</v>
      </c>
      <c r="G3696" s="3" t="str">
        <f>HYPERLINK("http://funmeta.oebiotech.com/network/198670", "http://funmeta.oebiotech.com/network/198670")</f>
        <v>http://funmeta.oebiotech.com/network/198670</v>
      </c>
      <c r="H3696" s="2" t="s">
        <v>24576</v>
      </c>
      <c r="I3696" s="2"/>
      <c r="J3696" s="2"/>
      <c r="K3696" s="2">
        <v>133093</v>
      </c>
      <c r="L3696" s="2"/>
      <c r="M3696" s="2"/>
      <c r="N3696" s="2"/>
      <c r="O3696" s="2">
        <v>78437958</v>
      </c>
      <c r="P3696" s="2"/>
      <c r="Q3696" s="2" t="s">
        <v>24577</v>
      </c>
      <c r="R3696" s="2" t="s">
        <v>24578</v>
      </c>
      <c r="S3696" s="2" t="s">
        <v>89</v>
      </c>
      <c r="T3696" s="2" t="s">
        <v>90</v>
      </c>
      <c r="U3696" s="2" t="s">
        <v>99</v>
      </c>
      <c r="V3696" s="2" t="s">
        <v>59</v>
      </c>
      <c r="W3696" s="2">
        <v>38.200000000000003</v>
      </c>
      <c r="X3696" s="2">
        <v>0</v>
      </c>
      <c r="Y3696" s="2" t="s">
        <v>340</v>
      </c>
      <c r="Z3696" s="2" t="s">
        <v>24579</v>
      </c>
      <c r="AA3696" s="2">
        <v>-1.9077556615331901</v>
      </c>
      <c r="AB3696" s="2">
        <v>0.19641021046135199</v>
      </c>
      <c r="AC3696" s="2">
        <v>4751.6480492897499</v>
      </c>
      <c r="AD3696" s="2">
        <v>2192.47079065975</v>
      </c>
      <c r="AE3696" s="2">
        <v>4633.9350712593696</v>
      </c>
      <c r="AF3696" s="2">
        <v>4659.45739788626</v>
      </c>
      <c r="AG3696" s="2">
        <v>5038.7281511682704</v>
      </c>
      <c r="AH3696" s="2">
        <v>5045.83553251991</v>
      </c>
      <c r="AI3696" s="2">
        <v>4642.7770380134498</v>
      </c>
      <c r="AJ3696" s="2">
        <v>4489.1551048912497</v>
      </c>
      <c r="AK3696" s="2">
        <v>2162.70234024601</v>
      </c>
      <c r="AL3696" s="2">
        <v>2164.0153707935301</v>
      </c>
      <c r="AM3696" s="2">
        <v>2207.7072679550201</v>
      </c>
      <c r="AN3696" s="2">
        <v>1836.3340615785901</v>
      </c>
      <c r="AO3696" s="2">
        <v>2405.6097838191699</v>
      </c>
      <c r="AP3696" s="2">
        <v>2378.45591956618</v>
      </c>
    </row>
    <row r="3697" spans="1:42" ht="14.5" x14ac:dyDescent="0.35">
      <c r="A3697" s="2" t="s">
        <v>24580</v>
      </c>
      <c r="B3697" s="2">
        <v>593.25285172569897</v>
      </c>
      <c r="C3697" s="2">
        <v>8.2685333333333304</v>
      </c>
      <c r="D3697" s="2" t="s">
        <v>70</v>
      </c>
      <c r="E3697" s="2" t="s">
        <v>24581</v>
      </c>
      <c r="F3697" s="2">
        <v>202427</v>
      </c>
      <c r="G3697" s="3" t="str">
        <f>HYPERLINK("http://funmeta.oebiotech.com/network/202427", "http://funmeta.oebiotech.com/network/202427")</f>
        <v>http://funmeta.oebiotech.com/network/202427</v>
      </c>
      <c r="H3697" s="2" t="s">
        <v>24582</v>
      </c>
      <c r="I3697" s="2"/>
      <c r="J3697" s="2"/>
      <c r="K3697" s="2"/>
      <c r="L3697" s="2"/>
      <c r="M3697" s="2"/>
      <c r="N3697" s="2"/>
      <c r="O3697" s="2">
        <v>13174931</v>
      </c>
      <c r="P3697" s="2"/>
      <c r="Q3697" s="2" t="s">
        <v>24583</v>
      </c>
      <c r="R3697" s="2" t="s">
        <v>24584</v>
      </c>
      <c r="S3697" s="2" t="s">
        <v>89</v>
      </c>
      <c r="T3697" s="2" t="s">
        <v>90</v>
      </c>
      <c r="U3697" s="2" t="s">
        <v>99</v>
      </c>
      <c r="V3697" s="2" t="s">
        <v>59</v>
      </c>
      <c r="W3697" s="2">
        <v>36.700000000000003</v>
      </c>
      <c r="X3697" s="2">
        <v>0</v>
      </c>
      <c r="Y3697" s="2" t="s">
        <v>751</v>
      </c>
      <c r="Z3697" s="2" t="s">
        <v>24585</v>
      </c>
      <c r="AA3697" s="2">
        <v>-3.7747593723859798</v>
      </c>
      <c r="AB3697" s="2">
        <v>0.196341696403184</v>
      </c>
      <c r="AC3697" s="2">
        <v>11638.4323053523</v>
      </c>
      <c r="AD3697" s="2">
        <v>15311.231348613301</v>
      </c>
      <c r="AE3697" s="2">
        <v>10684.551596691001</v>
      </c>
      <c r="AF3697" s="2">
        <v>10963.4429816501</v>
      </c>
      <c r="AG3697" s="2">
        <v>14630.8591969639</v>
      </c>
      <c r="AH3697" s="2">
        <v>12332.170351021001</v>
      </c>
      <c r="AI3697" s="2">
        <v>10314.3752560866</v>
      </c>
      <c r="AJ3697" s="2">
        <v>10905.194449701199</v>
      </c>
      <c r="AK3697" s="2">
        <v>19731.8038259231</v>
      </c>
      <c r="AL3697" s="2">
        <v>16504.861052458498</v>
      </c>
      <c r="AM3697" s="2">
        <v>14361.4986851334</v>
      </c>
      <c r="AN3697" s="2">
        <v>14052.2313222253</v>
      </c>
      <c r="AO3697" s="2">
        <v>14130.5524119536</v>
      </c>
      <c r="AP3697" s="2">
        <v>13086.440793985699</v>
      </c>
    </row>
    <row r="3698" spans="1:42" ht="14.5" x14ac:dyDescent="0.35">
      <c r="A3698" s="2" t="s">
        <v>24586</v>
      </c>
      <c r="B3698" s="2">
        <v>327.12944022901598</v>
      </c>
      <c r="C3698" s="2">
        <v>1.05673333333333</v>
      </c>
      <c r="D3698" s="2" t="s">
        <v>70</v>
      </c>
      <c r="E3698" s="2" t="s">
        <v>24587</v>
      </c>
      <c r="F3698" s="2">
        <v>46910</v>
      </c>
      <c r="G3698" s="3" t="str">
        <f>HYPERLINK("http://funmeta.oebiotech.com/network/46910", "http://funmeta.oebiotech.com/network/46910")</f>
        <v>http://funmeta.oebiotech.com/network/46910</v>
      </c>
      <c r="H3698" s="2" t="s">
        <v>24588</v>
      </c>
      <c r="I3698" s="2">
        <v>96239</v>
      </c>
      <c r="J3698" s="2"/>
      <c r="K3698" s="2">
        <v>42548</v>
      </c>
      <c r="L3698" s="2" t="s">
        <v>24589</v>
      </c>
      <c r="M3698" s="2" t="s">
        <v>24590</v>
      </c>
      <c r="N3698" s="2" t="s">
        <v>24591</v>
      </c>
      <c r="O3698" s="2">
        <v>439554</v>
      </c>
      <c r="P3698" s="2" t="s">
        <v>24592</v>
      </c>
      <c r="Q3698" s="2" t="s">
        <v>24593</v>
      </c>
      <c r="R3698" s="2" t="s">
        <v>24594</v>
      </c>
      <c r="S3698" s="2" t="s">
        <v>79</v>
      </c>
      <c r="T3698" s="2" t="s">
        <v>80</v>
      </c>
      <c r="U3698" s="2" t="s">
        <v>81</v>
      </c>
      <c r="V3698" s="2" t="s">
        <v>42</v>
      </c>
      <c r="W3698" s="2">
        <v>49.5</v>
      </c>
      <c r="X3698" s="2">
        <v>52.9</v>
      </c>
      <c r="Y3698" s="2" t="s">
        <v>560</v>
      </c>
      <c r="Z3698" s="2" t="s">
        <v>24595</v>
      </c>
      <c r="AA3698" s="2">
        <v>-0.70185410854085395</v>
      </c>
      <c r="AB3698" s="2">
        <v>0.196256813951037</v>
      </c>
      <c r="AC3698" s="2">
        <v>41605.004379161503</v>
      </c>
      <c r="AD3698" s="2">
        <v>37441.749036643901</v>
      </c>
      <c r="AE3698" s="2">
        <v>45487.895896028698</v>
      </c>
      <c r="AF3698" s="2">
        <v>41354.276055014103</v>
      </c>
      <c r="AG3698" s="2">
        <v>35824.3441046589</v>
      </c>
      <c r="AH3698" s="2">
        <v>43420.113761733199</v>
      </c>
      <c r="AI3698" s="2">
        <v>44866.075304246297</v>
      </c>
      <c r="AJ3698" s="2">
        <v>38677.3211532879</v>
      </c>
      <c r="AK3698" s="2">
        <v>38025.804596174799</v>
      </c>
      <c r="AL3698" s="2">
        <v>37218.405153825399</v>
      </c>
      <c r="AM3698" s="2">
        <v>35282.471272450399</v>
      </c>
      <c r="AN3698" s="2">
        <v>37260.3491694482</v>
      </c>
      <c r="AO3698" s="2">
        <v>40364.724934848899</v>
      </c>
      <c r="AP3698" s="2">
        <v>36498.739093115502</v>
      </c>
    </row>
    <row r="3699" spans="1:42" ht="14.5" x14ac:dyDescent="0.35">
      <c r="A3699" s="2" t="s">
        <v>24596</v>
      </c>
      <c r="B3699" s="2">
        <v>537.12678895545503</v>
      </c>
      <c r="C3699" s="2">
        <v>3.95061666666667</v>
      </c>
      <c r="D3699" s="2" t="s">
        <v>70</v>
      </c>
      <c r="E3699" s="2" t="s">
        <v>24597</v>
      </c>
      <c r="F3699" s="2">
        <v>61205</v>
      </c>
      <c r="G3699" s="3" t="str">
        <f>HYPERLINK("http://funmeta.oebiotech.com/network/61205", "http://funmeta.oebiotech.com/network/61205")</f>
        <v>http://funmeta.oebiotech.com/network/61205</v>
      </c>
      <c r="H3699" s="2" t="s">
        <v>24598</v>
      </c>
      <c r="I3699" s="2"/>
      <c r="J3699" s="2"/>
      <c r="K3699" s="2"/>
      <c r="L3699" s="2"/>
      <c r="M3699" s="2"/>
      <c r="N3699" s="2"/>
      <c r="O3699" s="2">
        <v>73981646</v>
      </c>
      <c r="P3699" s="2" t="s">
        <v>24599</v>
      </c>
      <c r="Q3699" s="2" t="s">
        <v>24600</v>
      </c>
      <c r="R3699" s="2" t="s">
        <v>24601</v>
      </c>
      <c r="S3699" s="2" t="s">
        <v>115</v>
      </c>
      <c r="T3699" s="2" t="s">
        <v>139</v>
      </c>
      <c r="U3699" s="2" t="s">
        <v>140</v>
      </c>
      <c r="V3699" s="2" t="s">
        <v>59</v>
      </c>
      <c r="W3699" s="2">
        <v>38.6</v>
      </c>
      <c r="X3699" s="2">
        <v>0</v>
      </c>
      <c r="Y3699" s="2" t="s">
        <v>792</v>
      </c>
      <c r="Z3699" s="2" t="s">
        <v>24602</v>
      </c>
      <c r="AA3699" s="2">
        <v>3.3632620534339299</v>
      </c>
      <c r="AB3699" s="2">
        <v>0.19622349147194301</v>
      </c>
      <c r="AC3699" s="2">
        <v>8074.8359752264796</v>
      </c>
      <c r="AD3699" s="2">
        <v>4870.8343423530496</v>
      </c>
      <c r="AE3699" s="2">
        <v>10428.942361008099</v>
      </c>
      <c r="AF3699" s="2">
        <v>7426.0334615072798</v>
      </c>
      <c r="AG3699" s="2">
        <v>6396.0950844532199</v>
      </c>
      <c r="AH3699" s="2">
        <v>7709.4822293185598</v>
      </c>
      <c r="AI3699" s="2">
        <v>9633.2359173811401</v>
      </c>
      <c r="AJ3699" s="2">
        <v>6855.2267976905996</v>
      </c>
      <c r="AK3699" s="2">
        <v>3357.0377951750202</v>
      </c>
      <c r="AL3699" s="2">
        <v>5646.6463401397496</v>
      </c>
      <c r="AM3699" s="2">
        <v>4894.1957458398501</v>
      </c>
      <c r="AN3699" s="2">
        <v>5609.6668830572798</v>
      </c>
      <c r="AO3699" s="2">
        <v>3915.8830797983901</v>
      </c>
      <c r="AP3699" s="2">
        <v>5801.5762101079999</v>
      </c>
    </row>
    <row r="3700" spans="1:42" ht="14.5" x14ac:dyDescent="0.35">
      <c r="A3700" s="2" t="s">
        <v>24603</v>
      </c>
      <c r="B3700" s="2">
        <v>477.39343110398698</v>
      </c>
      <c r="C3700" s="2">
        <v>14.154949999999999</v>
      </c>
      <c r="D3700" s="2" t="s">
        <v>34</v>
      </c>
      <c r="E3700" s="2" t="s">
        <v>24604</v>
      </c>
      <c r="F3700" s="2">
        <v>44423</v>
      </c>
      <c r="G3700" s="3" t="str">
        <f>HYPERLINK("http://funmeta.oebiotech.com/network/44423", "http://funmeta.oebiotech.com/network/44423")</f>
        <v>http://funmeta.oebiotech.com/network/44423</v>
      </c>
      <c r="H3700" s="2"/>
      <c r="I3700" s="2"/>
      <c r="J3700" s="2" t="s">
        <v>24605</v>
      </c>
      <c r="K3700" s="2"/>
      <c r="L3700" s="2"/>
      <c r="M3700" s="2"/>
      <c r="N3700" s="2"/>
      <c r="O3700" s="2"/>
      <c r="P3700" s="2"/>
      <c r="Q3700" s="2" t="s">
        <v>24606</v>
      </c>
      <c r="R3700" s="2" t="s">
        <v>24607</v>
      </c>
      <c r="S3700" s="2" t="s">
        <v>41</v>
      </c>
      <c r="T3700" s="2" t="s">
        <v>41</v>
      </c>
      <c r="U3700" s="2" t="s">
        <v>41</v>
      </c>
      <c r="V3700" s="2" t="s">
        <v>42</v>
      </c>
      <c r="W3700" s="2">
        <v>47.1</v>
      </c>
      <c r="X3700" s="2">
        <v>50.6</v>
      </c>
      <c r="Y3700" s="2" t="s">
        <v>394</v>
      </c>
      <c r="Z3700" s="2" t="s">
        <v>18874</v>
      </c>
      <c r="AA3700" s="2">
        <v>-0.85114469386577496</v>
      </c>
      <c r="AB3700" s="2">
        <v>0.19621558834229899</v>
      </c>
      <c r="AC3700" s="2">
        <v>20868.962201711802</v>
      </c>
      <c r="AD3700" s="2">
        <v>25347.916389316</v>
      </c>
      <c r="AE3700" s="2">
        <v>24848.7810122685</v>
      </c>
      <c r="AF3700" s="2">
        <v>21585.5575438495</v>
      </c>
      <c r="AG3700" s="2">
        <v>20351.966212554598</v>
      </c>
      <c r="AH3700" s="2">
        <v>16887.573257582098</v>
      </c>
      <c r="AI3700" s="2">
        <v>21254.729846184498</v>
      </c>
      <c r="AJ3700" s="2">
        <v>20285.1653378316</v>
      </c>
      <c r="AK3700" s="2">
        <v>32185.301327627199</v>
      </c>
      <c r="AL3700" s="2">
        <v>28045.5131506742</v>
      </c>
      <c r="AM3700" s="2">
        <v>22739.047209036398</v>
      </c>
      <c r="AN3700" s="2">
        <v>21821.852189969701</v>
      </c>
      <c r="AO3700" s="2">
        <v>21197.774958488699</v>
      </c>
      <c r="AP3700" s="2">
        <v>26098.009500099801</v>
      </c>
    </row>
    <row r="3701" spans="1:42" ht="14.5" x14ac:dyDescent="0.35">
      <c r="A3701" s="2" t="s">
        <v>24608</v>
      </c>
      <c r="B3701" s="2">
        <v>195.03155521379099</v>
      </c>
      <c r="C3701" s="2">
        <v>0.60526666666666695</v>
      </c>
      <c r="D3701" s="2" t="s">
        <v>34</v>
      </c>
      <c r="E3701" s="2" t="s">
        <v>24609</v>
      </c>
      <c r="F3701" s="2">
        <v>48759</v>
      </c>
      <c r="G3701" s="3" t="str">
        <f>HYPERLINK("http://funmeta.oebiotech.com/network/48759", "http://funmeta.oebiotech.com/network/48759")</f>
        <v>http://funmeta.oebiotech.com/network/48759</v>
      </c>
      <c r="H3701" s="2" t="s">
        <v>24610</v>
      </c>
      <c r="I3701" s="2">
        <v>3278</v>
      </c>
      <c r="J3701" s="2"/>
      <c r="K3701" s="2">
        <v>17566</v>
      </c>
      <c r="L3701" s="2" t="s">
        <v>24611</v>
      </c>
      <c r="M3701" s="2" t="s">
        <v>17784</v>
      </c>
      <c r="N3701" s="2" t="s">
        <v>17785</v>
      </c>
      <c r="O3701" s="2">
        <v>351795</v>
      </c>
      <c r="P3701" s="2" t="s">
        <v>24612</v>
      </c>
      <c r="Q3701" s="2" t="s">
        <v>24613</v>
      </c>
      <c r="R3701" s="2" t="s">
        <v>24614</v>
      </c>
      <c r="S3701" s="2" t="s">
        <v>491</v>
      </c>
      <c r="T3701" s="2" t="s">
        <v>2184</v>
      </c>
      <c r="U3701" s="2" t="s">
        <v>3838</v>
      </c>
      <c r="V3701" s="2" t="s">
        <v>59</v>
      </c>
      <c r="W3701" s="2">
        <v>39.299999999999997</v>
      </c>
      <c r="X3701" s="2">
        <v>1.76</v>
      </c>
      <c r="Y3701" s="2" t="s">
        <v>340</v>
      </c>
      <c r="Z3701" s="2" t="s">
        <v>24615</v>
      </c>
      <c r="AA3701" s="2">
        <v>-2.24985701901082</v>
      </c>
      <c r="AB3701" s="2">
        <v>0.196206003097665</v>
      </c>
      <c r="AC3701" s="2">
        <v>8439.1859405978794</v>
      </c>
      <c r="AD3701" s="2">
        <v>4972.8788108511899</v>
      </c>
      <c r="AE3701" s="2">
        <v>9664.2300785070802</v>
      </c>
      <c r="AF3701" s="2">
        <v>12066.8931620037</v>
      </c>
      <c r="AG3701" s="2">
        <v>7918.8571987130199</v>
      </c>
      <c r="AH3701" s="2">
        <v>6929.5118843678101</v>
      </c>
      <c r="AI3701" s="2">
        <v>8778.2416198241299</v>
      </c>
      <c r="AJ3701" s="2">
        <v>5277.3817001715697</v>
      </c>
      <c r="AK3701" s="2">
        <v>4570.4081936146904</v>
      </c>
      <c r="AL3701" s="2">
        <v>6208.7818335942602</v>
      </c>
      <c r="AM3701" s="2">
        <v>3387.2652055629601</v>
      </c>
      <c r="AN3701" s="2">
        <v>4596.3507917203397</v>
      </c>
      <c r="AO3701" s="2">
        <v>5113.0339746173104</v>
      </c>
      <c r="AP3701" s="2">
        <v>5961.4328659975699</v>
      </c>
    </row>
    <row r="3702" spans="1:42" ht="14.5" x14ac:dyDescent="0.35">
      <c r="A3702" s="2" t="s">
        <v>24616</v>
      </c>
      <c r="B3702" s="2">
        <v>399.030612931946</v>
      </c>
      <c r="C3702" s="2">
        <v>4.84418333333333</v>
      </c>
      <c r="D3702" s="2" t="s">
        <v>70</v>
      </c>
      <c r="E3702" s="2" t="s">
        <v>24617</v>
      </c>
      <c r="F3702" s="2">
        <v>202752</v>
      </c>
      <c r="G3702" s="3" t="str">
        <f>HYPERLINK("http://funmeta.oebiotech.com/network/202752", "http://funmeta.oebiotech.com/network/202752")</f>
        <v>http://funmeta.oebiotech.com/network/202752</v>
      </c>
      <c r="H3702" s="2" t="s">
        <v>24618</v>
      </c>
      <c r="I3702" s="2"/>
      <c r="J3702" s="2"/>
      <c r="K3702" s="2"/>
      <c r="L3702" s="2"/>
      <c r="M3702" s="2"/>
      <c r="N3702" s="2"/>
      <c r="O3702" s="2">
        <v>15953802</v>
      </c>
      <c r="P3702" s="2"/>
      <c r="Q3702" s="2" t="s">
        <v>24619</v>
      </c>
      <c r="R3702" s="2" t="s">
        <v>24620</v>
      </c>
      <c r="S3702" s="2" t="s">
        <v>79</v>
      </c>
      <c r="T3702" s="2" t="s">
        <v>80</v>
      </c>
      <c r="U3702" s="2" t="s">
        <v>249</v>
      </c>
      <c r="V3702" s="2" t="s">
        <v>59</v>
      </c>
      <c r="W3702" s="2">
        <v>38.700000000000003</v>
      </c>
      <c r="X3702" s="2">
        <v>1.38</v>
      </c>
      <c r="Y3702" s="2" t="s">
        <v>118</v>
      </c>
      <c r="Z3702" s="2" t="s">
        <v>24621</v>
      </c>
      <c r="AA3702" s="2">
        <v>-4.33566942076191</v>
      </c>
      <c r="AB3702" s="2">
        <v>0.196162066104208</v>
      </c>
      <c r="AC3702" s="2">
        <v>98404.050097242696</v>
      </c>
      <c r="AD3702" s="2">
        <v>103416.847800609</v>
      </c>
      <c r="AE3702" s="2">
        <v>99705.234693777893</v>
      </c>
      <c r="AF3702" s="2">
        <v>101409.043666521</v>
      </c>
      <c r="AG3702" s="2">
        <v>100992.17597236601</v>
      </c>
      <c r="AH3702" s="2">
        <v>96889.744669032196</v>
      </c>
      <c r="AI3702" s="2">
        <v>92768.422061926802</v>
      </c>
      <c r="AJ3702" s="2">
        <v>98659.679519832207</v>
      </c>
      <c r="AK3702" s="2">
        <v>105496.036063714</v>
      </c>
      <c r="AL3702" s="2">
        <v>101911.489849056</v>
      </c>
      <c r="AM3702" s="2">
        <v>109209.94537436101</v>
      </c>
      <c r="AN3702" s="2">
        <v>97641.402890236102</v>
      </c>
      <c r="AO3702" s="2">
        <v>109692.102147695</v>
      </c>
      <c r="AP3702" s="2">
        <v>96550.1104785926</v>
      </c>
    </row>
    <row r="3703" spans="1:42" ht="14.5" x14ac:dyDescent="0.35">
      <c r="A3703" s="2" t="s">
        <v>24622</v>
      </c>
      <c r="B3703" s="2">
        <v>681.34899640411004</v>
      </c>
      <c r="C3703" s="2">
        <v>10.386283333333299</v>
      </c>
      <c r="D3703" s="2" t="s">
        <v>70</v>
      </c>
      <c r="E3703" s="2" t="s">
        <v>24623</v>
      </c>
      <c r="F3703" s="2">
        <v>199519</v>
      </c>
      <c r="G3703" s="3" t="str">
        <f>HYPERLINK("http://funmeta.oebiotech.com/network/199519", "http://funmeta.oebiotech.com/network/199519")</f>
        <v>http://funmeta.oebiotech.com/network/199519</v>
      </c>
      <c r="H3703" s="2" t="s">
        <v>24624</v>
      </c>
      <c r="I3703" s="2">
        <v>45443</v>
      </c>
      <c r="J3703" s="2"/>
      <c r="K3703" s="2"/>
      <c r="L3703" s="2"/>
      <c r="M3703" s="2"/>
      <c r="N3703" s="2"/>
      <c r="O3703" s="2">
        <v>10382701</v>
      </c>
      <c r="P3703" s="2" t="s">
        <v>24625</v>
      </c>
      <c r="Q3703" s="2" t="s">
        <v>24626</v>
      </c>
      <c r="R3703" s="2" t="s">
        <v>24627</v>
      </c>
      <c r="S3703" s="2" t="s">
        <v>491</v>
      </c>
      <c r="T3703" s="2" t="s">
        <v>2184</v>
      </c>
      <c r="U3703" s="2" t="s">
        <v>2185</v>
      </c>
      <c r="V3703" s="2" t="s">
        <v>59</v>
      </c>
      <c r="W3703" s="2">
        <v>39.700000000000003</v>
      </c>
      <c r="X3703" s="2">
        <v>0</v>
      </c>
      <c r="Y3703" s="2" t="s">
        <v>560</v>
      </c>
      <c r="Z3703" s="2" t="s">
        <v>24628</v>
      </c>
      <c r="AA3703" s="2">
        <v>0.50430010989287399</v>
      </c>
      <c r="AB3703" s="2">
        <v>0.19610596283583601</v>
      </c>
      <c r="AC3703" s="2">
        <v>8112.72192010462</v>
      </c>
      <c r="AD3703" s="2">
        <v>5279.4727540502299</v>
      </c>
      <c r="AE3703" s="2">
        <v>8766.6234904567209</v>
      </c>
      <c r="AF3703" s="2">
        <v>8018.5220805612398</v>
      </c>
      <c r="AG3703" s="2">
        <v>7231.8714300553102</v>
      </c>
      <c r="AH3703" s="2">
        <v>8423.1284595438992</v>
      </c>
      <c r="AI3703" s="2">
        <v>6983.4729677360801</v>
      </c>
      <c r="AJ3703" s="2">
        <v>9252.7130922745</v>
      </c>
      <c r="AK3703" s="2">
        <v>5042.0518727540502</v>
      </c>
      <c r="AL3703" s="2">
        <v>4859.46723538883</v>
      </c>
      <c r="AM3703" s="2">
        <v>5142.16318131976</v>
      </c>
      <c r="AN3703" s="2">
        <v>5793.3752613889201</v>
      </c>
      <c r="AO3703" s="2">
        <v>4410.2662684896004</v>
      </c>
      <c r="AP3703" s="2">
        <v>6429.5127049601997</v>
      </c>
    </row>
    <row r="3704" spans="1:42" ht="14.5" x14ac:dyDescent="0.35">
      <c r="A3704" s="2" t="s">
        <v>24629</v>
      </c>
      <c r="B3704" s="2">
        <v>419.351549999756</v>
      </c>
      <c r="C3704" s="2">
        <v>11.561633333333299</v>
      </c>
      <c r="D3704" s="2" t="s">
        <v>34</v>
      </c>
      <c r="E3704" s="2" t="s">
        <v>24630</v>
      </c>
      <c r="F3704" s="2">
        <v>43534</v>
      </c>
      <c r="G3704" s="3" t="str">
        <f>HYPERLINK("http://funmeta.oebiotech.com/network/43534", "http://funmeta.oebiotech.com/network/43534")</f>
        <v>http://funmeta.oebiotech.com/network/43534</v>
      </c>
      <c r="H3704" s="2"/>
      <c r="I3704" s="2">
        <v>57643</v>
      </c>
      <c r="J3704" s="2" t="s">
        <v>24631</v>
      </c>
      <c r="K3704" s="2">
        <v>1294</v>
      </c>
      <c r="L3704" s="2" t="s">
        <v>24632</v>
      </c>
      <c r="M3704" s="2" t="s">
        <v>2454</v>
      </c>
      <c r="N3704" s="2" t="s">
        <v>2455</v>
      </c>
      <c r="O3704" s="2">
        <v>6453841</v>
      </c>
      <c r="P3704" s="2"/>
      <c r="Q3704" s="2" t="s">
        <v>24633</v>
      </c>
      <c r="R3704" s="2" t="s">
        <v>24634</v>
      </c>
      <c r="S3704" s="2" t="s">
        <v>50</v>
      </c>
      <c r="T3704" s="2" t="s">
        <v>124</v>
      </c>
      <c r="U3704" s="2" t="s">
        <v>125</v>
      </c>
      <c r="V3704" s="2" t="s">
        <v>59</v>
      </c>
      <c r="W3704" s="2">
        <v>38.200000000000003</v>
      </c>
      <c r="X3704" s="2">
        <v>0</v>
      </c>
      <c r="Y3704" s="2" t="s">
        <v>394</v>
      </c>
      <c r="Z3704" s="2" t="s">
        <v>20963</v>
      </c>
      <c r="AA3704" s="2">
        <v>-1.00817854023481</v>
      </c>
      <c r="AB3704" s="2">
        <v>0.19609404803480299</v>
      </c>
      <c r="AC3704" s="2">
        <v>13336.933183691301</v>
      </c>
      <c r="AD3704" s="2">
        <v>10373.652472584299</v>
      </c>
      <c r="AE3704" s="2">
        <v>14239.673649292799</v>
      </c>
      <c r="AF3704" s="2">
        <v>12769.629598760301</v>
      </c>
      <c r="AG3704" s="2">
        <v>13542.4067443474</v>
      </c>
      <c r="AH3704" s="2">
        <v>12660.3401826844</v>
      </c>
      <c r="AI3704" s="2">
        <v>12967.3097606104</v>
      </c>
      <c r="AJ3704" s="2">
        <v>13842.2391664525</v>
      </c>
      <c r="AK3704" s="2">
        <v>12756.831362159901</v>
      </c>
      <c r="AL3704" s="2">
        <v>9909.1289753963501</v>
      </c>
      <c r="AM3704" s="2">
        <v>10029.9989566235</v>
      </c>
      <c r="AN3704" s="2">
        <v>10269.3445285625</v>
      </c>
      <c r="AO3704" s="2">
        <v>8887.0683102991698</v>
      </c>
      <c r="AP3704" s="2">
        <v>10389.5427024645</v>
      </c>
    </row>
    <row r="3705" spans="1:42" ht="14.5" x14ac:dyDescent="0.35">
      <c r="A3705" s="2" t="s">
        <v>24635</v>
      </c>
      <c r="B3705" s="2">
        <v>469.26346248722098</v>
      </c>
      <c r="C3705" s="2">
        <v>8.7125000000000004</v>
      </c>
      <c r="D3705" s="2" t="s">
        <v>70</v>
      </c>
      <c r="E3705" s="2" t="s">
        <v>24636</v>
      </c>
      <c r="F3705" s="2">
        <v>204497</v>
      </c>
      <c r="G3705" s="3" t="str">
        <f>HYPERLINK("http://funmeta.oebiotech.com/network/204497", "http://funmeta.oebiotech.com/network/204497")</f>
        <v>http://funmeta.oebiotech.com/network/204497</v>
      </c>
      <c r="H3705" s="2" t="s">
        <v>24637</v>
      </c>
      <c r="I3705" s="2"/>
      <c r="J3705" s="2"/>
      <c r="K3705" s="2"/>
      <c r="L3705" s="2"/>
      <c r="M3705" s="2"/>
      <c r="N3705" s="2"/>
      <c r="O3705" s="2">
        <v>53356543</v>
      </c>
      <c r="P3705" s="2"/>
      <c r="Q3705" s="2" t="s">
        <v>24638</v>
      </c>
      <c r="R3705" s="2" t="s">
        <v>24639</v>
      </c>
      <c r="S3705" s="2" t="s">
        <v>148</v>
      </c>
      <c r="T3705" s="2" t="s">
        <v>149</v>
      </c>
      <c r="U3705" s="2" t="s">
        <v>3684</v>
      </c>
      <c r="V3705" s="2" t="s">
        <v>59</v>
      </c>
      <c r="W3705" s="2">
        <v>37.299999999999997</v>
      </c>
      <c r="X3705" s="2">
        <v>11.6</v>
      </c>
      <c r="Y3705" s="2" t="s">
        <v>408</v>
      </c>
      <c r="Z3705" s="2" t="s">
        <v>24640</v>
      </c>
      <c r="AA3705" s="2">
        <v>3.34626715080989</v>
      </c>
      <c r="AB3705" s="2">
        <v>0.19606343396282899</v>
      </c>
      <c r="AC3705" s="2">
        <v>183770.174659396</v>
      </c>
      <c r="AD3705" s="2">
        <v>189947.784387219</v>
      </c>
      <c r="AE3705" s="2">
        <v>184885.92796142999</v>
      </c>
      <c r="AF3705" s="2">
        <v>188169.40398495199</v>
      </c>
      <c r="AG3705" s="2">
        <v>185054.05172610699</v>
      </c>
      <c r="AH3705" s="2">
        <v>175354.18848714899</v>
      </c>
      <c r="AI3705" s="2">
        <v>190810.00017769801</v>
      </c>
      <c r="AJ3705" s="2">
        <v>178347.475619037</v>
      </c>
      <c r="AK3705" s="2">
        <v>195970.484200092</v>
      </c>
      <c r="AL3705" s="2">
        <v>188566.63432732801</v>
      </c>
      <c r="AM3705" s="2">
        <v>203379.462948623</v>
      </c>
      <c r="AN3705" s="2">
        <v>177859.46943800399</v>
      </c>
      <c r="AO3705" s="2">
        <v>190578.48148706899</v>
      </c>
      <c r="AP3705" s="2">
        <v>183332.17392220101</v>
      </c>
    </row>
    <row r="3706" spans="1:42" ht="14.5" x14ac:dyDescent="0.35">
      <c r="A3706" s="2" t="s">
        <v>24641</v>
      </c>
      <c r="B3706" s="2">
        <v>611.24588060404801</v>
      </c>
      <c r="C3706" s="2">
        <v>9.7855500000000006</v>
      </c>
      <c r="D3706" s="2" t="s">
        <v>34</v>
      </c>
      <c r="E3706" s="2" t="s">
        <v>24642</v>
      </c>
      <c r="F3706" s="2">
        <v>61093</v>
      </c>
      <c r="G3706" s="3" t="str">
        <f>HYPERLINK("http://funmeta.oebiotech.com/network/61093", "http://funmeta.oebiotech.com/network/61093")</f>
        <v>http://funmeta.oebiotech.com/network/61093</v>
      </c>
      <c r="H3706" s="2" t="s">
        <v>24643</v>
      </c>
      <c r="I3706" s="2">
        <v>92412</v>
      </c>
      <c r="J3706" s="2"/>
      <c r="K3706" s="2"/>
      <c r="L3706" s="2"/>
      <c r="M3706" s="2"/>
      <c r="N3706" s="2"/>
      <c r="O3706" s="2">
        <v>3825286</v>
      </c>
      <c r="P3706" s="2" t="s">
        <v>24644</v>
      </c>
      <c r="Q3706" s="2" t="s">
        <v>24645</v>
      </c>
      <c r="R3706" s="2" t="s">
        <v>24646</v>
      </c>
      <c r="S3706" s="2" t="s">
        <v>89</v>
      </c>
      <c r="T3706" s="2" t="s">
        <v>90</v>
      </c>
      <c r="U3706" s="2" t="s">
        <v>1248</v>
      </c>
      <c r="V3706" s="2" t="s">
        <v>59</v>
      </c>
      <c r="W3706" s="2">
        <v>37.9</v>
      </c>
      <c r="X3706" s="2">
        <v>0</v>
      </c>
      <c r="Y3706" s="2" t="s">
        <v>323</v>
      </c>
      <c r="Z3706" s="2" t="s">
        <v>24647</v>
      </c>
      <c r="AA3706" s="2">
        <v>-0.68367035116679598</v>
      </c>
      <c r="AB3706" s="2">
        <v>0.196041390217676</v>
      </c>
      <c r="AC3706" s="2">
        <v>10588.7838951134</v>
      </c>
      <c r="AD3706" s="2">
        <v>7910.8849781713798</v>
      </c>
      <c r="AE3706" s="2">
        <v>10947.653442986701</v>
      </c>
      <c r="AF3706" s="2">
        <v>10463.394950439601</v>
      </c>
      <c r="AG3706" s="2">
        <v>10831.223730006501</v>
      </c>
      <c r="AH3706" s="2">
        <v>11098.6869944875</v>
      </c>
      <c r="AI3706" s="2">
        <v>9937.4343370360093</v>
      </c>
      <c r="AJ3706" s="2">
        <v>10254.3099157242</v>
      </c>
      <c r="AK3706" s="2">
        <v>8215.6981883275894</v>
      </c>
      <c r="AL3706" s="2">
        <v>8255.7521949957809</v>
      </c>
      <c r="AM3706" s="2">
        <v>8646.5487507791295</v>
      </c>
      <c r="AN3706" s="2">
        <v>6846.7260343283097</v>
      </c>
      <c r="AO3706" s="2">
        <v>7919.7806996725303</v>
      </c>
      <c r="AP3706" s="2">
        <v>7580.8040009249298</v>
      </c>
    </row>
    <row r="3707" spans="1:42" ht="14.5" x14ac:dyDescent="0.35">
      <c r="A3707" s="2" t="s">
        <v>24648</v>
      </c>
      <c r="B3707" s="2">
        <v>388.02848154265899</v>
      </c>
      <c r="C3707" s="2">
        <v>4.9166499999999997</v>
      </c>
      <c r="D3707" s="2" t="s">
        <v>70</v>
      </c>
      <c r="E3707" s="2" t="s">
        <v>24649</v>
      </c>
      <c r="F3707" s="2">
        <v>201527</v>
      </c>
      <c r="G3707" s="3" t="str">
        <f>HYPERLINK("http://funmeta.oebiotech.com/network/201527", "http://funmeta.oebiotech.com/network/201527")</f>
        <v>http://funmeta.oebiotech.com/network/201527</v>
      </c>
      <c r="H3707" s="2" t="s">
        <v>24650</v>
      </c>
      <c r="I3707" s="2"/>
      <c r="J3707" s="2"/>
      <c r="K3707" s="2"/>
      <c r="L3707" s="2"/>
      <c r="M3707" s="2"/>
      <c r="N3707" s="2"/>
      <c r="O3707" s="2">
        <v>15764346</v>
      </c>
      <c r="P3707" s="2"/>
      <c r="Q3707" s="2" t="s">
        <v>24651</v>
      </c>
      <c r="R3707" s="2" t="s">
        <v>24652</v>
      </c>
      <c r="S3707" s="2" t="s">
        <v>41</v>
      </c>
      <c r="T3707" s="2" t="s">
        <v>41</v>
      </c>
      <c r="U3707" s="2" t="s">
        <v>41</v>
      </c>
      <c r="V3707" s="2" t="s">
        <v>59</v>
      </c>
      <c r="W3707" s="2">
        <v>36.4</v>
      </c>
      <c r="X3707" s="2">
        <v>0</v>
      </c>
      <c r="Y3707" s="2" t="s">
        <v>118</v>
      </c>
      <c r="Z3707" s="2" t="s">
        <v>24653</v>
      </c>
      <c r="AA3707" s="2">
        <v>-9.1201661582771695E-2</v>
      </c>
      <c r="AB3707" s="2">
        <v>0.19603196082176</v>
      </c>
      <c r="AC3707" s="2">
        <v>1452.19488745079</v>
      </c>
      <c r="AD3707" s="2">
        <v>4169.2095633808703</v>
      </c>
      <c r="AE3707" s="2">
        <v>2330.23240093908</v>
      </c>
      <c r="AF3707" s="2">
        <v>1877.10991373754</v>
      </c>
      <c r="AG3707" s="2">
        <v>1058.7486770964899</v>
      </c>
      <c r="AH3707" s="2">
        <v>626.19502178065397</v>
      </c>
      <c r="AI3707" s="2">
        <v>1217.8282941100199</v>
      </c>
      <c r="AJ3707" s="2">
        <v>1603.0550170409699</v>
      </c>
      <c r="AK3707" s="2">
        <v>5009.8946082030898</v>
      </c>
      <c r="AL3707" s="2">
        <v>3984.9648858444998</v>
      </c>
      <c r="AM3707" s="2">
        <v>4012.2448289972199</v>
      </c>
      <c r="AN3707" s="2">
        <v>3493.9110944446902</v>
      </c>
      <c r="AO3707" s="2">
        <v>3889.9853874699902</v>
      </c>
      <c r="AP3707" s="2">
        <v>4624.2565753257304</v>
      </c>
    </row>
    <row r="3708" spans="1:42" ht="14.5" x14ac:dyDescent="0.35">
      <c r="A3708" s="2" t="s">
        <v>24654</v>
      </c>
      <c r="B3708" s="2">
        <v>330.12740457300998</v>
      </c>
      <c r="C3708" s="2">
        <v>3.53996666666667</v>
      </c>
      <c r="D3708" s="2" t="s">
        <v>70</v>
      </c>
      <c r="E3708" s="2" t="s">
        <v>24655</v>
      </c>
      <c r="F3708" s="2">
        <v>204250</v>
      </c>
      <c r="G3708" s="3" t="str">
        <f>HYPERLINK("http://funmeta.oebiotech.com/network/204250", "http://funmeta.oebiotech.com/network/204250")</f>
        <v>http://funmeta.oebiotech.com/network/204250</v>
      </c>
      <c r="H3708" s="2" t="s">
        <v>24656</v>
      </c>
      <c r="I3708" s="2"/>
      <c r="J3708" s="2"/>
      <c r="K3708" s="2"/>
      <c r="L3708" s="2"/>
      <c r="M3708" s="2"/>
      <c r="N3708" s="2"/>
      <c r="O3708" s="2"/>
      <c r="P3708" s="2"/>
      <c r="Q3708" s="2" t="s">
        <v>24657</v>
      </c>
      <c r="R3708" s="2" t="s">
        <v>24658</v>
      </c>
      <c r="S3708" s="2" t="s">
        <v>41</v>
      </c>
      <c r="T3708" s="2" t="s">
        <v>41</v>
      </c>
      <c r="U3708" s="2" t="s">
        <v>41</v>
      </c>
      <c r="V3708" s="2" t="s">
        <v>59</v>
      </c>
      <c r="W3708" s="2">
        <v>36.200000000000003</v>
      </c>
      <c r="X3708" s="2">
        <v>0</v>
      </c>
      <c r="Y3708" s="2" t="s">
        <v>751</v>
      </c>
      <c r="Z3708" s="2" t="s">
        <v>24659</v>
      </c>
      <c r="AA3708" s="2">
        <v>2.7232588476188</v>
      </c>
      <c r="AB3708" s="2">
        <v>0.19585134498429299</v>
      </c>
      <c r="AC3708" s="2">
        <v>6770.3148313904103</v>
      </c>
      <c r="AD3708" s="2">
        <v>9464.2774942692504</v>
      </c>
      <c r="AE3708" s="2">
        <v>7063.6542960792804</v>
      </c>
      <c r="AF3708" s="2">
        <v>6915.7259824189896</v>
      </c>
      <c r="AG3708" s="2">
        <v>6547.47738025746</v>
      </c>
      <c r="AH3708" s="2">
        <v>6653.0243138022797</v>
      </c>
      <c r="AI3708" s="2">
        <v>6494.9877028271503</v>
      </c>
      <c r="AJ3708" s="2">
        <v>6947.0193129573199</v>
      </c>
      <c r="AK3708" s="2">
        <v>8239.1849870118695</v>
      </c>
      <c r="AL3708" s="2">
        <v>10106.656392949601</v>
      </c>
      <c r="AM3708" s="2">
        <v>9909.4158891427905</v>
      </c>
      <c r="AN3708" s="2">
        <v>9269.0696127325591</v>
      </c>
      <c r="AO3708" s="2">
        <v>9088.96684485269</v>
      </c>
      <c r="AP3708" s="2">
        <v>10172.371238926</v>
      </c>
    </row>
    <row r="3709" spans="1:42" ht="14.5" x14ac:dyDescent="0.35">
      <c r="A3709" s="2" t="s">
        <v>24660</v>
      </c>
      <c r="B3709" s="2">
        <v>587.343293668363</v>
      </c>
      <c r="C3709" s="2">
        <v>11.0263666666667</v>
      </c>
      <c r="D3709" s="2" t="s">
        <v>70</v>
      </c>
      <c r="E3709" s="2" t="s">
        <v>24661</v>
      </c>
      <c r="F3709" s="2">
        <v>258277</v>
      </c>
      <c r="G3709" s="3" t="str">
        <f>HYPERLINK("http://funmeta.oebiotech.com/network/258277", "http://funmeta.oebiotech.com/network/258277")</f>
        <v>http://funmeta.oebiotech.com/network/258277</v>
      </c>
      <c r="H3709" s="2"/>
      <c r="I3709" s="2">
        <v>3422</v>
      </c>
      <c r="J3709" s="2"/>
      <c r="K3709" s="2"/>
      <c r="L3709" s="2" t="s">
        <v>24662</v>
      </c>
      <c r="M3709" s="2"/>
      <c r="N3709" s="2"/>
      <c r="O3709" s="2">
        <v>90454</v>
      </c>
      <c r="P3709" s="2" t="s">
        <v>24663</v>
      </c>
      <c r="Q3709" s="2" t="s">
        <v>24664</v>
      </c>
      <c r="R3709" s="2" t="s">
        <v>24665</v>
      </c>
      <c r="S3709" s="2" t="s">
        <v>39</v>
      </c>
      <c r="T3709" s="2" t="s">
        <v>19154</v>
      </c>
      <c r="U3709" s="2" t="s">
        <v>41</v>
      </c>
      <c r="V3709" s="2" t="s">
        <v>59</v>
      </c>
      <c r="W3709" s="2">
        <v>36.6</v>
      </c>
      <c r="X3709" s="2">
        <v>0</v>
      </c>
      <c r="Y3709" s="2" t="s">
        <v>560</v>
      </c>
      <c r="Z3709" s="2" t="s">
        <v>24666</v>
      </c>
      <c r="AA3709" s="2">
        <v>7.0425021300734896</v>
      </c>
      <c r="AB3709" s="2">
        <v>0.19580925809479399</v>
      </c>
      <c r="AC3709" s="2">
        <v>6311.5441453220901</v>
      </c>
      <c r="AD3709" s="2">
        <v>9262.8129713877697</v>
      </c>
      <c r="AE3709" s="2">
        <v>7212.3271812025496</v>
      </c>
      <c r="AF3709" s="2">
        <v>6701.5672171086499</v>
      </c>
      <c r="AG3709" s="2">
        <v>7169.5713623096699</v>
      </c>
      <c r="AH3709" s="2">
        <v>6441.9522558176104</v>
      </c>
      <c r="AI3709" s="2">
        <v>5226.4556449000102</v>
      </c>
      <c r="AJ3709" s="2">
        <v>5117.3912105940299</v>
      </c>
      <c r="AK3709" s="2">
        <v>7823.0133501312903</v>
      </c>
      <c r="AL3709" s="2">
        <v>9204.3547199378499</v>
      </c>
      <c r="AM3709" s="2">
        <v>9236.0576345323407</v>
      </c>
      <c r="AN3709" s="2">
        <v>10518.868143351599</v>
      </c>
      <c r="AO3709" s="2">
        <v>10288.701064696301</v>
      </c>
      <c r="AP3709" s="2">
        <v>8505.8829156772208</v>
      </c>
    </row>
    <row r="3710" spans="1:42" ht="14.5" x14ac:dyDescent="0.35">
      <c r="A3710" s="2" t="s">
        <v>24667</v>
      </c>
      <c r="B3710" s="2">
        <v>402.215780066977</v>
      </c>
      <c r="C3710" s="2">
        <v>5.0723166666666701</v>
      </c>
      <c r="D3710" s="2" t="s">
        <v>34</v>
      </c>
      <c r="E3710" s="2" t="s">
        <v>24668</v>
      </c>
      <c r="F3710" s="2">
        <v>293575</v>
      </c>
      <c r="G3710" s="3" t="str">
        <f>HYPERLINK("http://funmeta.oebiotech.com/network/293575", "http://funmeta.oebiotech.com/network/293575")</f>
        <v>http://funmeta.oebiotech.com/network/293575</v>
      </c>
      <c r="H3710" s="2"/>
      <c r="I3710" s="2">
        <v>317520</v>
      </c>
      <c r="J3710" s="2"/>
      <c r="K3710" s="2"/>
      <c r="L3710" s="2"/>
      <c r="M3710" s="2"/>
      <c r="N3710" s="2"/>
      <c r="O3710" s="2">
        <v>9799979</v>
      </c>
      <c r="P3710" s="2"/>
      <c r="Q3710" s="2" t="s">
        <v>24669</v>
      </c>
      <c r="R3710" s="2" t="s">
        <v>24670</v>
      </c>
      <c r="S3710" s="2" t="s">
        <v>41</v>
      </c>
      <c r="T3710" s="2" t="s">
        <v>41</v>
      </c>
      <c r="U3710" s="2" t="s">
        <v>41</v>
      </c>
      <c r="V3710" s="2" t="s">
        <v>59</v>
      </c>
      <c r="W3710" s="2">
        <v>36.799999999999997</v>
      </c>
      <c r="X3710" s="2">
        <v>0</v>
      </c>
      <c r="Y3710" s="2" t="s">
        <v>323</v>
      </c>
      <c r="Z3710" s="2" t="s">
        <v>24671</v>
      </c>
      <c r="AA3710" s="2">
        <v>1.5352414189493899</v>
      </c>
      <c r="AB3710" s="2">
        <v>0.19575809101786801</v>
      </c>
      <c r="AC3710" s="2">
        <v>10195.224384703501</v>
      </c>
      <c r="AD3710" s="2">
        <v>6716.41805869167</v>
      </c>
      <c r="AE3710" s="2">
        <v>8987.3765495181397</v>
      </c>
      <c r="AF3710" s="2">
        <v>7312.7157840293603</v>
      </c>
      <c r="AG3710" s="2">
        <v>13032.1530248902</v>
      </c>
      <c r="AH3710" s="2">
        <v>10687.227622185301</v>
      </c>
      <c r="AI3710" s="2">
        <v>11076.585887499699</v>
      </c>
      <c r="AJ3710" s="2">
        <v>10075.2874400982</v>
      </c>
      <c r="AK3710" s="2">
        <v>4511.25551606103</v>
      </c>
      <c r="AL3710" s="2">
        <v>5669.5344985169004</v>
      </c>
      <c r="AM3710" s="2">
        <v>8156.6720742180396</v>
      </c>
      <c r="AN3710" s="2">
        <v>8023.1448532940103</v>
      </c>
      <c r="AO3710" s="2">
        <v>5676.12520349019</v>
      </c>
      <c r="AP3710" s="2">
        <v>8261.7762065698407</v>
      </c>
    </row>
    <row r="3711" spans="1:42" ht="14.5" x14ac:dyDescent="0.35">
      <c r="A3711" s="2" t="s">
        <v>24672</v>
      </c>
      <c r="B3711" s="2">
        <v>311.22146384865903</v>
      </c>
      <c r="C3711" s="2">
        <v>10.036016666666701</v>
      </c>
      <c r="D3711" s="2" t="s">
        <v>34</v>
      </c>
      <c r="E3711" s="2" t="s">
        <v>24673</v>
      </c>
      <c r="F3711" s="2">
        <v>7663</v>
      </c>
      <c r="G3711" s="3" t="str">
        <f>HYPERLINK("http://funmeta.oebiotech.com/network/7663", "http://funmeta.oebiotech.com/network/7663")</f>
        <v>http://funmeta.oebiotech.com/network/7663</v>
      </c>
      <c r="H3711" s="2" t="s">
        <v>24674</v>
      </c>
      <c r="I3711" s="2"/>
      <c r="J3711" s="2" t="s">
        <v>24675</v>
      </c>
      <c r="K3711" s="2"/>
      <c r="L3711" s="2"/>
      <c r="M3711" s="2"/>
      <c r="N3711" s="2"/>
      <c r="O3711" s="2">
        <v>53481666</v>
      </c>
      <c r="P3711" s="2"/>
      <c r="Q3711" s="2" t="s">
        <v>24676</v>
      </c>
      <c r="R3711" s="2" t="s">
        <v>24677</v>
      </c>
      <c r="S3711" s="2" t="s">
        <v>1677</v>
      </c>
      <c r="T3711" s="2" t="s">
        <v>1678</v>
      </c>
      <c r="U3711" s="2" t="s">
        <v>7289</v>
      </c>
      <c r="V3711" s="2" t="s">
        <v>59</v>
      </c>
      <c r="W3711" s="2">
        <v>39.1</v>
      </c>
      <c r="X3711" s="2">
        <v>0</v>
      </c>
      <c r="Y3711" s="2" t="s">
        <v>340</v>
      </c>
      <c r="Z3711" s="2" t="s">
        <v>24678</v>
      </c>
      <c r="AA3711" s="2">
        <v>-2.3821645923752</v>
      </c>
      <c r="AB3711" s="2">
        <v>0.19574058371852401</v>
      </c>
      <c r="AC3711" s="2">
        <v>14184.724437082101</v>
      </c>
      <c r="AD3711" s="2">
        <v>16858.554868441999</v>
      </c>
      <c r="AE3711" s="2">
        <v>14526.044150235</v>
      </c>
      <c r="AF3711" s="2">
        <v>14863.948756968501</v>
      </c>
      <c r="AG3711" s="2">
        <v>13877.2968283598</v>
      </c>
      <c r="AH3711" s="2">
        <v>14107.386486102199</v>
      </c>
      <c r="AI3711" s="2">
        <v>13828.793208842601</v>
      </c>
      <c r="AJ3711" s="2">
        <v>13904.8771919848</v>
      </c>
      <c r="AK3711" s="2">
        <v>17618.163125722102</v>
      </c>
      <c r="AL3711" s="2">
        <v>16889.9417485134</v>
      </c>
      <c r="AM3711" s="2">
        <v>16687.3808368389</v>
      </c>
      <c r="AN3711" s="2">
        <v>16275.337673432099</v>
      </c>
      <c r="AO3711" s="2">
        <v>17476.441497105701</v>
      </c>
      <c r="AP3711" s="2">
        <v>16204.06432904</v>
      </c>
    </row>
    <row r="3712" spans="1:42" ht="14.5" x14ac:dyDescent="0.35">
      <c r="A3712" s="2" t="s">
        <v>24679</v>
      </c>
      <c r="B3712" s="2">
        <v>497.18347190082602</v>
      </c>
      <c r="C3712" s="2">
        <v>1.4019333333333299</v>
      </c>
      <c r="D3712" s="2" t="s">
        <v>34</v>
      </c>
      <c r="E3712" s="2" t="s">
        <v>24680</v>
      </c>
      <c r="F3712" s="2">
        <v>200095</v>
      </c>
      <c r="G3712" s="3" t="str">
        <f>HYPERLINK("http://funmeta.oebiotech.com/network/200095", "http://funmeta.oebiotech.com/network/200095")</f>
        <v>http://funmeta.oebiotech.com/network/200095</v>
      </c>
      <c r="H3712" s="2" t="s">
        <v>24681</v>
      </c>
      <c r="I3712" s="2"/>
      <c r="J3712" s="2"/>
      <c r="K3712" s="2"/>
      <c r="L3712" s="2"/>
      <c r="M3712" s="2"/>
      <c r="N3712" s="2"/>
      <c r="O3712" s="2">
        <v>3036099</v>
      </c>
      <c r="P3712" s="2"/>
      <c r="Q3712" s="2" t="s">
        <v>24682</v>
      </c>
      <c r="R3712" s="2" t="s">
        <v>24683</v>
      </c>
      <c r="S3712" s="2" t="s">
        <v>41</v>
      </c>
      <c r="T3712" s="2" t="s">
        <v>41</v>
      </c>
      <c r="U3712" s="2" t="s">
        <v>41</v>
      </c>
      <c r="V3712" s="2" t="s">
        <v>59</v>
      </c>
      <c r="W3712" s="2">
        <v>36.799999999999997</v>
      </c>
      <c r="X3712" s="2">
        <v>0</v>
      </c>
      <c r="Y3712" s="2" t="s">
        <v>323</v>
      </c>
      <c r="Z3712" s="2" t="s">
        <v>24684</v>
      </c>
      <c r="AA3712" s="2">
        <v>1.18125090249246</v>
      </c>
      <c r="AB3712" s="2">
        <v>0.19563700114040999</v>
      </c>
      <c r="AC3712" s="2">
        <v>21067.2318898251</v>
      </c>
      <c r="AD3712" s="2">
        <v>24368.247432907901</v>
      </c>
      <c r="AE3712" s="2">
        <v>22531.220914445799</v>
      </c>
      <c r="AF3712" s="2">
        <v>20383.246534202699</v>
      </c>
      <c r="AG3712" s="2">
        <v>21207.215283293699</v>
      </c>
      <c r="AH3712" s="2">
        <v>20031.606482769399</v>
      </c>
      <c r="AI3712" s="2">
        <v>19165.8826462613</v>
      </c>
      <c r="AJ3712" s="2">
        <v>23084.2194779776</v>
      </c>
      <c r="AK3712" s="2">
        <v>23840.657788949498</v>
      </c>
      <c r="AL3712" s="2">
        <v>23396.6405824258</v>
      </c>
      <c r="AM3712" s="2">
        <v>24743.939154564399</v>
      </c>
      <c r="AN3712" s="2">
        <v>22669.455816471302</v>
      </c>
      <c r="AO3712" s="2">
        <v>24519.564170489801</v>
      </c>
      <c r="AP3712" s="2">
        <v>27039.227084546801</v>
      </c>
    </row>
    <row r="3713" spans="1:42" ht="14.5" x14ac:dyDescent="0.35">
      <c r="A3713" s="2" t="s">
        <v>24685</v>
      </c>
      <c r="B3713" s="2">
        <v>531.36755075946201</v>
      </c>
      <c r="C3713" s="2">
        <v>11.499883333333299</v>
      </c>
      <c r="D3713" s="2" t="s">
        <v>34</v>
      </c>
      <c r="E3713" s="2" t="s">
        <v>24686</v>
      </c>
      <c r="F3713" s="2">
        <v>36333</v>
      </c>
      <c r="G3713" s="3" t="str">
        <f>HYPERLINK("http://funmeta.oebiotech.com/network/36333", "http://funmeta.oebiotech.com/network/36333")</f>
        <v>http://funmeta.oebiotech.com/network/36333</v>
      </c>
      <c r="H3713" s="2"/>
      <c r="I3713" s="2">
        <v>53783</v>
      </c>
      <c r="J3713" s="2" t="s">
        <v>24687</v>
      </c>
      <c r="K3713" s="2"/>
      <c r="L3713" s="2"/>
      <c r="M3713" s="2"/>
      <c r="N3713" s="2"/>
      <c r="O3713" s="2">
        <v>42608289</v>
      </c>
      <c r="P3713" s="2"/>
      <c r="Q3713" s="2" t="s">
        <v>24688</v>
      </c>
      <c r="R3713" s="2" t="s">
        <v>24689</v>
      </c>
      <c r="S3713" s="2" t="s">
        <v>50</v>
      </c>
      <c r="T3713" s="2" t="s">
        <v>201</v>
      </c>
      <c r="U3713" s="2" t="s">
        <v>6839</v>
      </c>
      <c r="V3713" s="2" t="s">
        <v>59</v>
      </c>
      <c r="W3713" s="2">
        <v>38.9</v>
      </c>
      <c r="X3713" s="2">
        <v>3.62</v>
      </c>
      <c r="Y3713" s="2" t="s">
        <v>266</v>
      </c>
      <c r="Z3713" s="2" t="s">
        <v>24690</v>
      </c>
      <c r="AA3713" s="2">
        <v>-0.87674928323302803</v>
      </c>
      <c r="AB3713" s="2">
        <v>0.19562814267088099</v>
      </c>
      <c r="AC3713" s="2">
        <v>31065.2521022896</v>
      </c>
      <c r="AD3713" s="2">
        <v>27346.633702322601</v>
      </c>
      <c r="AE3713" s="2">
        <v>31898.430819196699</v>
      </c>
      <c r="AF3713" s="2">
        <v>31126.003469891399</v>
      </c>
      <c r="AG3713" s="2">
        <v>30739.705030401001</v>
      </c>
      <c r="AH3713" s="2">
        <v>30656.716674396499</v>
      </c>
      <c r="AI3713" s="2">
        <v>32573.962182095001</v>
      </c>
      <c r="AJ3713" s="2">
        <v>29396.6944377572</v>
      </c>
      <c r="AK3713" s="2">
        <v>26496.4448609381</v>
      </c>
      <c r="AL3713" s="2">
        <v>28127.9816921454</v>
      </c>
      <c r="AM3713" s="2">
        <v>28890.285591113599</v>
      </c>
      <c r="AN3713" s="2">
        <v>27044.272218224101</v>
      </c>
      <c r="AO3713" s="2">
        <v>22368.332549844501</v>
      </c>
      <c r="AP3713" s="2">
        <v>31152.4853016698</v>
      </c>
    </row>
    <row r="3714" spans="1:42" ht="14.5" x14ac:dyDescent="0.35">
      <c r="A3714" s="2" t="s">
        <v>24691</v>
      </c>
      <c r="B3714" s="2">
        <v>534.27047849626899</v>
      </c>
      <c r="C3714" s="2">
        <v>5.5617999999999999</v>
      </c>
      <c r="D3714" s="2" t="s">
        <v>70</v>
      </c>
      <c r="E3714" s="2" t="s">
        <v>24692</v>
      </c>
      <c r="F3714" s="2">
        <v>10383</v>
      </c>
      <c r="G3714" s="3" t="str">
        <f>HYPERLINK("http://funmeta.oebiotech.com/network/10383", "http://funmeta.oebiotech.com/network/10383")</f>
        <v>http://funmeta.oebiotech.com/network/10383</v>
      </c>
      <c r="H3714" s="2"/>
      <c r="I3714" s="2"/>
      <c r="J3714" s="2" t="s">
        <v>24693</v>
      </c>
      <c r="K3714" s="2">
        <v>78745</v>
      </c>
      <c r="L3714" s="2"/>
      <c r="M3714" s="2"/>
      <c r="N3714" s="2"/>
      <c r="O3714" s="2">
        <v>86289643</v>
      </c>
      <c r="P3714" s="2"/>
      <c r="Q3714" s="2" t="s">
        <v>24694</v>
      </c>
      <c r="R3714" s="2" t="s">
        <v>24695</v>
      </c>
      <c r="S3714" s="2" t="s">
        <v>491</v>
      </c>
      <c r="T3714" s="2" t="s">
        <v>2184</v>
      </c>
      <c r="U3714" s="2" t="s">
        <v>6137</v>
      </c>
      <c r="V3714" s="2" t="s">
        <v>59</v>
      </c>
      <c r="W3714" s="2">
        <v>40.200000000000003</v>
      </c>
      <c r="X3714" s="2">
        <v>7.22</v>
      </c>
      <c r="Y3714" s="2" t="s">
        <v>408</v>
      </c>
      <c r="Z3714" s="2" t="s">
        <v>24696</v>
      </c>
      <c r="AA3714" s="2">
        <v>-0.77046239707216602</v>
      </c>
      <c r="AB3714" s="2">
        <v>0.19560874517834601</v>
      </c>
      <c r="AC3714" s="2">
        <v>10185.845780125001</v>
      </c>
      <c r="AD3714" s="2">
        <v>6780.8146770294397</v>
      </c>
      <c r="AE3714" s="2">
        <v>11058.2178254227</v>
      </c>
      <c r="AF3714" s="2">
        <v>10009.799276841301</v>
      </c>
      <c r="AG3714" s="2">
        <v>11310.603630047201</v>
      </c>
      <c r="AH3714" s="2">
        <v>11992.874336233401</v>
      </c>
      <c r="AI3714" s="2">
        <v>8074.29909052733</v>
      </c>
      <c r="AJ3714" s="2">
        <v>8669.2805216778997</v>
      </c>
      <c r="AK3714" s="2">
        <v>5419.8456425415197</v>
      </c>
      <c r="AL3714" s="2">
        <v>5296.77545274777</v>
      </c>
      <c r="AM3714" s="2">
        <v>6860.25200698954</v>
      </c>
      <c r="AN3714" s="2">
        <v>9005.7001796434397</v>
      </c>
      <c r="AO3714" s="2">
        <v>9075.4972416434302</v>
      </c>
      <c r="AP3714" s="2">
        <v>5026.8175386109597</v>
      </c>
    </row>
    <row r="3715" spans="1:42" ht="14.5" x14ac:dyDescent="0.35">
      <c r="A3715" s="2" t="s">
        <v>24697</v>
      </c>
      <c r="B3715" s="2">
        <v>241.11810021859901</v>
      </c>
      <c r="C3715" s="2">
        <v>0.78071666666666695</v>
      </c>
      <c r="D3715" s="2" t="s">
        <v>34</v>
      </c>
      <c r="E3715" s="2" t="s">
        <v>24698</v>
      </c>
      <c r="F3715" s="2">
        <v>203975</v>
      </c>
      <c r="G3715" s="3" t="str">
        <f>HYPERLINK("http://funmeta.oebiotech.com/network/203975", "http://funmeta.oebiotech.com/network/203975")</f>
        <v>http://funmeta.oebiotech.com/network/203975</v>
      </c>
      <c r="H3715" s="2" t="s">
        <v>24699</v>
      </c>
      <c r="I3715" s="2">
        <v>44456</v>
      </c>
      <c r="J3715" s="2"/>
      <c r="K3715" s="2">
        <v>34556</v>
      </c>
      <c r="L3715" s="2" t="s">
        <v>24700</v>
      </c>
      <c r="M3715" s="2"/>
      <c r="N3715" s="2"/>
      <c r="O3715" s="2">
        <v>2314</v>
      </c>
      <c r="P3715" s="2" t="s">
        <v>24701</v>
      </c>
      <c r="Q3715" s="2" t="s">
        <v>24702</v>
      </c>
      <c r="R3715" s="2" t="s">
        <v>24703</v>
      </c>
      <c r="S3715" s="2" t="s">
        <v>491</v>
      </c>
      <c r="T3715" s="2" t="s">
        <v>2429</v>
      </c>
      <c r="U3715" s="2" t="s">
        <v>41</v>
      </c>
      <c r="V3715" s="2" t="s">
        <v>59</v>
      </c>
      <c r="W3715" s="2">
        <v>37.299999999999997</v>
      </c>
      <c r="X3715" s="2">
        <v>0</v>
      </c>
      <c r="Y3715" s="2" t="s">
        <v>43</v>
      </c>
      <c r="Z3715" s="2" t="s">
        <v>16023</v>
      </c>
      <c r="AA3715" s="2">
        <v>-0.82126452272336703</v>
      </c>
      <c r="AB3715" s="2">
        <v>0.195606358790677</v>
      </c>
      <c r="AC3715" s="2">
        <v>8964.4973039026008</v>
      </c>
      <c r="AD3715" s="2">
        <v>11917.542920932299</v>
      </c>
      <c r="AE3715" s="2">
        <v>9147.7675180822807</v>
      </c>
      <c r="AF3715" s="2">
        <v>7890.8934486026801</v>
      </c>
      <c r="AG3715" s="2">
        <v>10582.083363158699</v>
      </c>
      <c r="AH3715" s="2">
        <v>7762.6644267387201</v>
      </c>
      <c r="AI3715" s="2">
        <v>9058.6584515466402</v>
      </c>
      <c r="AJ3715" s="2">
        <v>9344.9166152865691</v>
      </c>
      <c r="AK3715" s="2">
        <v>12569.4608613687</v>
      </c>
      <c r="AL3715" s="2">
        <v>12567.572198330899</v>
      </c>
      <c r="AM3715" s="2">
        <v>11229.8600397095</v>
      </c>
      <c r="AN3715" s="2">
        <v>11713.7877124473</v>
      </c>
      <c r="AO3715" s="2">
        <v>12943.539865975999</v>
      </c>
      <c r="AP3715" s="2">
        <v>10481.036847761299</v>
      </c>
    </row>
    <row r="3716" spans="1:42" ht="14.5" x14ac:dyDescent="0.35">
      <c r="A3716" s="2" t="s">
        <v>24704</v>
      </c>
      <c r="B3716" s="2">
        <v>367.09720824510703</v>
      </c>
      <c r="C3716" s="2">
        <v>3.9323666666666699</v>
      </c>
      <c r="D3716" s="2" t="s">
        <v>70</v>
      </c>
      <c r="E3716" s="2" t="s">
        <v>24705</v>
      </c>
      <c r="F3716" s="2">
        <v>199625</v>
      </c>
      <c r="G3716" s="3" t="str">
        <f>HYPERLINK("http://funmeta.oebiotech.com/network/199625", "http://funmeta.oebiotech.com/network/199625")</f>
        <v>http://funmeta.oebiotech.com/network/199625</v>
      </c>
      <c r="H3716" s="2" t="s">
        <v>24706</v>
      </c>
      <c r="I3716" s="2"/>
      <c r="J3716" s="2"/>
      <c r="K3716" s="2"/>
      <c r="L3716" s="2"/>
      <c r="M3716" s="2"/>
      <c r="N3716" s="2"/>
      <c r="O3716" s="2">
        <v>10154340</v>
      </c>
      <c r="P3716" s="2"/>
      <c r="Q3716" s="2" t="s">
        <v>24707</v>
      </c>
      <c r="R3716" s="2" t="s">
        <v>24708</v>
      </c>
      <c r="S3716" s="2" t="s">
        <v>41</v>
      </c>
      <c r="T3716" s="2" t="s">
        <v>41</v>
      </c>
      <c r="U3716" s="2" t="s">
        <v>41</v>
      </c>
      <c r="V3716" s="2" t="s">
        <v>59</v>
      </c>
      <c r="W3716" s="2">
        <v>39.1</v>
      </c>
      <c r="X3716" s="2">
        <v>0</v>
      </c>
      <c r="Y3716" s="2" t="s">
        <v>560</v>
      </c>
      <c r="Z3716" s="2" t="s">
        <v>24709</v>
      </c>
      <c r="AA3716" s="2">
        <v>-1.01686854580777</v>
      </c>
      <c r="AB3716" s="2">
        <v>0.195601206518391</v>
      </c>
      <c r="AC3716" s="2">
        <v>33463.095723552702</v>
      </c>
      <c r="AD3716" s="2">
        <v>29494.686703792398</v>
      </c>
      <c r="AE3716" s="2">
        <v>34840.877023152898</v>
      </c>
      <c r="AF3716" s="2">
        <v>32742.623710165401</v>
      </c>
      <c r="AG3716" s="2">
        <v>35211.500541305497</v>
      </c>
      <c r="AH3716" s="2">
        <v>31290.401958754999</v>
      </c>
      <c r="AI3716" s="2">
        <v>27908.855364430299</v>
      </c>
      <c r="AJ3716" s="2">
        <v>38784.315743507301</v>
      </c>
      <c r="AK3716" s="2">
        <v>30696.127803520099</v>
      </c>
      <c r="AL3716" s="2">
        <v>29468.140185991699</v>
      </c>
      <c r="AM3716" s="2">
        <v>29774.8679890856</v>
      </c>
      <c r="AN3716" s="2">
        <v>27811.787182308701</v>
      </c>
      <c r="AO3716" s="2">
        <v>28525.2930618971</v>
      </c>
      <c r="AP3716" s="2">
        <v>30691.903999951199</v>
      </c>
    </row>
    <row r="3717" spans="1:42" ht="14.5" x14ac:dyDescent="0.35">
      <c r="A3717" s="2" t="s">
        <v>24710</v>
      </c>
      <c r="B3717" s="2">
        <v>574.07669336658898</v>
      </c>
      <c r="C3717" s="2">
        <v>3.6357833333333298</v>
      </c>
      <c r="D3717" s="2" t="s">
        <v>70</v>
      </c>
      <c r="E3717" s="2" t="s">
        <v>24711</v>
      </c>
      <c r="F3717" s="2">
        <v>203248</v>
      </c>
      <c r="G3717" s="3" t="str">
        <f>HYPERLINK("http://funmeta.oebiotech.com/network/203248", "http://funmeta.oebiotech.com/network/203248")</f>
        <v>http://funmeta.oebiotech.com/network/203248</v>
      </c>
      <c r="H3717" s="2" t="s">
        <v>24712</v>
      </c>
      <c r="I3717" s="2"/>
      <c r="J3717" s="2"/>
      <c r="K3717" s="2"/>
      <c r="L3717" s="2"/>
      <c r="M3717" s="2"/>
      <c r="N3717" s="2"/>
      <c r="O3717" s="2">
        <v>491022</v>
      </c>
      <c r="P3717" s="2"/>
      <c r="Q3717" s="2" t="s">
        <v>24713</v>
      </c>
      <c r="R3717" s="2" t="s">
        <v>24714</v>
      </c>
      <c r="S3717" s="2" t="s">
        <v>41</v>
      </c>
      <c r="T3717" s="2" t="s">
        <v>41</v>
      </c>
      <c r="U3717" s="2" t="s">
        <v>41</v>
      </c>
      <c r="V3717" s="2" t="s">
        <v>59</v>
      </c>
      <c r="W3717" s="2">
        <v>36.1</v>
      </c>
      <c r="X3717" s="2">
        <v>0</v>
      </c>
      <c r="Y3717" s="2" t="s">
        <v>118</v>
      </c>
      <c r="Z3717" s="2" t="s">
        <v>24715</v>
      </c>
      <c r="AA3717" s="2">
        <v>2.21548204855335</v>
      </c>
      <c r="AB3717" s="2">
        <v>0.19545076067058201</v>
      </c>
      <c r="AC3717" s="2">
        <v>4145.84208408011</v>
      </c>
      <c r="AD3717" s="2">
        <v>6773.0134992583198</v>
      </c>
      <c r="AE3717" s="2">
        <v>3869.21550429636</v>
      </c>
      <c r="AF3717" s="2">
        <v>4403.1449221305802</v>
      </c>
      <c r="AG3717" s="2">
        <v>4392.2102781248996</v>
      </c>
      <c r="AH3717" s="2">
        <v>3696.3090136108699</v>
      </c>
      <c r="AI3717" s="2">
        <v>4899.4565795465396</v>
      </c>
      <c r="AJ3717" s="2">
        <v>3614.7162067714098</v>
      </c>
      <c r="AK3717" s="2">
        <v>6040.8688362604098</v>
      </c>
      <c r="AL3717" s="2">
        <v>6429.9316742413603</v>
      </c>
      <c r="AM3717" s="2">
        <v>7151.8319534557704</v>
      </c>
      <c r="AN3717" s="2">
        <v>6889.3871902905603</v>
      </c>
      <c r="AO3717" s="2">
        <v>6987.9481045246603</v>
      </c>
      <c r="AP3717" s="2">
        <v>7138.1132367771597</v>
      </c>
    </row>
    <row r="3718" spans="1:42" ht="14.5" x14ac:dyDescent="0.35">
      <c r="A3718" s="2" t="s">
        <v>24716</v>
      </c>
      <c r="B3718" s="2">
        <v>729.27640491167801</v>
      </c>
      <c r="C3718" s="2">
        <v>8.4719666666666704</v>
      </c>
      <c r="D3718" s="2" t="s">
        <v>70</v>
      </c>
      <c r="E3718" s="2" t="s">
        <v>24717</v>
      </c>
      <c r="F3718" s="2">
        <v>203468</v>
      </c>
      <c r="G3718" s="3" t="str">
        <f>HYPERLINK("http://funmeta.oebiotech.com/network/203468", "http://funmeta.oebiotech.com/network/203468")</f>
        <v>http://funmeta.oebiotech.com/network/203468</v>
      </c>
      <c r="H3718" s="2" t="s">
        <v>24718</v>
      </c>
      <c r="I3718" s="2"/>
      <c r="J3718" s="2"/>
      <c r="K3718" s="2"/>
      <c r="L3718" s="2"/>
      <c r="M3718" s="2"/>
      <c r="N3718" s="2"/>
      <c r="O3718" s="2"/>
      <c r="P3718" s="2"/>
      <c r="Q3718" s="2" t="s">
        <v>24719</v>
      </c>
      <c r="R3718" s="2" t="s">
        <v>24720</v>
      </c>
      <c r="S3718" s="2" t="s">
        <v>41</v>
      </c>
      <c r="T3718" s="2" t="s">
        <v>41</v>
      </c>
      <c r="U3718" s="2" t="s">
        <v>41</v>
      </c>
      <c r="V3718" s="2" t="s">
        <v>59</v>
      </c>
      <c r="W3718" s="2">
        <v>36.9</v>
      </c>
      <c r="X3718" s="2">
        <v>0</v>
      </c>
      <c r="Y3718" s="2" t="s">
        <v>560</v>
      </c>
      <c r="Z3718" s="2" t="s">
        <v>24721</v>
      </c>
      <c r="AA3718" s="2">
        <v>2.5016138180402798</v>
      </c>
      <c r="AB3718" s="2">
        <v>0.19541380651753801</v>
      </c>
      <c r="AC3718" s="2">
        <v>5833.1002937848898</v>
      </c>
      <c r="AD3718" s="2">
        <v>8843.2885617791999</v>
      </c>
      <c r="AE3718" s="2">
        <v>5765.2355366588599</v>
      </c>
      <c r="AF3718" s="2">
        <v>5709.5462215055604</v>
      </c>
      <c r="AG3718" s="2">
        <v>6679.32189163763</v>
      </c>
      <c r="AH3718" s="2">
        <v>6423.1662980239198</v>
      </c>
      <c r="AI3718" s="2">
        <v>6302.97183306442</v>
      </c>
      <c r="AJ3718" s="2">
        <v>4118.3599818189596</v>
      </c>
      <c r="AK3718" s="2">
        <v>7557.66061352216</v>
      </c>
      <c r="AL3718" s="2">
        <v>9573.2682850726396</v>
      </c>
      <c r="AM3718" s="2">
        <v>7454.4719861653302</v>
      </c>
      <c r="AN3718" s="2">
        <v>10813.8535152247</v>
      </c>
      <c r="AO3718" s="2">
        <v>8756.1425400837106</v>
      </c>
      <c r="AP3718" s="2">
        <v>8904.3344306066701</v>
      </c>
    </row>
    <row r="3719" spans="1:42" ht="14.5" x14ac:dyDescent="0.35">
      <c r="A3719" s="2" t="s">
        <v>24722</v>
      </c>
      <c r="B3719" s="2">
        <v>277.17966406144399</v>
      </c>
      <c r="C3719" s="2">
        <v>10.831849999999999</v>
      </c>
      <c r="D3719" s="2" t="s">
        <v>34</v>
      </c>
      <c r="E3719" s="2" t="s">
        <v>24723</v>
      </c>
      <c r="F3719" s="2">
        <v>53623</v>
      </c>
      <c r="G3719" s="3" t="str">
        <f>HYPERLINK("http://funmeta.oebiotech.com/network/53623", "http://funmeta.oebiotech.com/network/53623")</f>
        <v>http://funmeta.oebiotech.com/network/53623</v>
      </c>
      <c r="H3719" s="2" t="s">
        <v>24724</v>
      </c>
      <c r="I3719" s="2">
        <v>3970</v>
      </c>
      <c r="J3719" s="2"/>
      <c r="K3719" s="2">
        <v>3988</v>
      </c>
      <c r="L3719" s="2"/>
      <c r="M3719" s="2"/>
      <c r="N3719" s="2"/>
      <c r="O3719" s="2">
        <v>2893</v>
      </c>
      <c r="P3719" s="2" t="s">
        <v>24725</v>
      </c>
      <c r="Q3719" s="2" t="s">
        <v>24726</v>
      </c>
      <c r="R3719" s="2" t="s">
        <v>24727</v>
      </c>
      <c r="S3719" s="2" t="s">
        <v>148</v>
      </c>
      <c r="T3719" s="2" t="s">
        <v>149</v>
      </c>
      <c r="U3719" s="2" t="s">
        <v>41</v>
      </c>
      <c r="V3719" s="2" t="s">
        <v>42</v>
      </c>
      <c r="W3719" s="2">
        <v>56.5</v>
      </c>
      <c r="X3719" s="2">
        <v>86.6</v>
      </c>
      <c r="Y3719" s="2" t="s">
        <v>394</v>
      </c>
      <c r="Z3719" s="2" t="s">
        <v>24728</v>
      </c>
      <c r="AA3719" s="2">
        <v>-0.56848126089685602</v>
      </c>
      <c r="AB3719" s="2">
        <v>0.19537225041734399</v>
      </c>
      <c r="AC3719" s="2">
        <v>11559.1501393341</v>
      </c>
      <c r="AD3719" s="2">
        <v>14714.7876034782</v>
      </c>
      <c r="AE3719" s="2">
        <v>11542.1298497427</v>
      </c>
      <c r="AF3719" s="2">
        <v>13950.4685082914</v>
      </c>
      <c r="AG3719" s="2">
        <v>12660.9159826184</v>
      </c>
      <c r="AH3719" s="2">
        <v>9694.8745849515799</v>
      </c>
      <c r="AI3719" s="2">
        <v>11125.4252494502</v>
      </c>
      <c r="AJ3719" s="2">
        <v>10381.086660950299</v>
      </c>
      <c r="AK3719" s="2">
        <v>14402.546145026199</v>
      </c>
      <c r="AL3719" s="2">
        <v>14981.8521650732</v>
      </c>
      <c r="AM3719" s="2">
        <v>14158.0784737586</v>
      </c>
      <c r="AN3719" s="2">
        <v>14551.7968223225</v>
      </c>
      <c r="AO3719" s="2">
        <v>16550.750861634901</v>
      </c>
      <c r="AP3719" s="2">
        <v>13643.7011530538</v>
      </c>
    </row>
    <row r="3720" spans="1:42" ht="14.5" x14ac:dyDescent="0.35">
      <c r="A3720" s="2" t="s">
        <v>24729</v>
      </c>
      <c r="B3720" s="2">
        <v>617.41964626476704</v>
      </c>
      <c r="C3720" s="2">
        <v>11.328566666666701</v>
      </c>
      <c r="D3720" s="2" t="s">
        <v>34</v>
      </c>
      <c r="E3720" s="2" t="s">
        <v>24730</v>
      </c>
      <c r="F3720" s="2">
        <v>61284</v>
      </c>
      <c r="G3720" s="3" t="str">
        <f>HYPERLINK("http://funmeta.oebiotech.com/network/61284", "http://funmeta.oebiotech.com/network/61284")</f>
        <v>http://funmeta.oebiotech.com/network/61284</v>
      </c>
      <c r="H3720" s="2" t="s">
        <v>24731</v>
      </c>
      <c r="I3720" s="2">
        <v>92604</v>
      </c>
      <c r="J3720" s="2"/>
      <c r="K3720" s="2">
        <v>176236</v>
      </c>
      <c r="L3720" s="2"/>
      <c r="M3720" s="2"/>
      <c r="N3720" s="2"/>
      <c r="O3720" s="2">
        <v>131752233</v>
      </c>
      <c r="P3720" s="2" t="s">
        <v>24732</v>
      </c>
      <c r="Q3720" s="2" t="s">
        <v>24733</v>
      </c>
      <c r="R3720" s="2" t="s">
        <v>24734</v>
      </c>
      <c r="S3720" s="2" t="s">
        <v>50</v>
      </c>
      <c r="T3720" s="2" t="s">
        <v>201</v>
      </c>
      <c r="U3720" s="2" t="s">
        <v>210</v>
      </c>
      <c r="V3720" s="2" t="s">
        <v>59</v>
      </c>
      <c r="W3720" s="2">
        <v>36.1</v>
      </c>
      <c r="X3720" s="2">
        <v>0</v>
      </c>
      <c r="Y3720" s="2" t="s">
        <v>394</v>
      </c>
      <c r="Z3720" s="2" t="s">
        <v>8600</v>
      </c>
      <c r="AA3720" s="2">
        <v>-0.65712614920229695</v>
      </c>
      <c r="AB3720" s="2">
        <v>0.19532581917070699</v>
      </c>
      <c r="AC3720" s="2">
        <v>2928.4048887361701</v>
      </c>
      <c r="AD3720" s="2">
        <v>181.71183904337201</v>
      </c>
      <c r="AE3720" s="2">
        <v>2729.5245827897902</v>
      </c>
      <c r="AF3720" s="2">
        <v>2724.5316564779901</v>
      </c>
      <c r="AG3720" s="2">
        <v>2368.7097490065198</v>
      </c>
      <c r="AH3720" s="2">
        <v>4821.9768317474</v>
      </c>
      <c r="AI3720" s="2">
        <v>2729.7352538401701</v>
      </c>
      <c r="AJ3720" s="2">
        <v>2195.9512585551702</v>
      </c>
      <c r="AK3720" s="2">
        <v>157.05319088346101</v>
      </c>
      <c r="AL3720" s="2">
        <v>255.19289157296501</v>
      </c>
      <c r="AM3720" s="2">
        <v>195.41443505134399</v>
      </c>
      <c r="AN3720" s="2">
        <v>108.66338794015699</v>
      </c>
      <c r="AO3720" s="2">
        <v>268.357148105367</v>
      </c>
      <c r="AP3720" s="2">
        <v>105.589980706937</v>
      </c>
    </row>
    <row r="3721" spans="1:42" ht="14.5" x14ac:dyDescent="0.35">
      <c r="A3721" s="2" t="s">
        <v>24735</v>
      </c>
      <c r="B3721" s="2">
        <v>959.47807850017705</v>
      </c>
      <c r="C3721" s="2">
        <v>9.8631833333333301</v>
      </c>
      <c r="D3721" s="2" t="s">
        <v>34</v>
      </c>
      <c r="E3721" s="2" t="s">
        <v>24736</v>
      </c>
      <c r="F3721" s="2">
        <v>226325</v>
      </c>
      <c r="G3721" s="3" t="str">
        <f>HYPERLINK("http://funmeta.oebiotech.com/network/226325", "http://funmeta.oebiotech.com/network/226325")</f>
        <v>http://funmeta.oebiotech.com/network/226325</v>
      </c>
      <c r="H3721" s="2" t="s">
        <v>24737</v>
      </c>
      <c r="I3721" s="2"/>
      <c r="J3721" s="2"/>
      <c r="K3721" s="2"/>
      <c r="L3721" s="2"/>
      <c r="M3721" s="2"/>
      <c r="N3721" s="2"/>
      <c r="O3721" s="2"/>
      <c r="P3721" s="2"/>
      <c r="Q3721" s="2" t="s">
        <v>24738</v>
      </c>
      <c r="R3721" s="2" t="s">
        <v>24739</v>
      </c>
      <c r="S3721" s="2" t="s">
        <v>41</v>
      </c>
      <c r="T3721" s="2" t="s">
        <v>41</v>
      </c>
      <c r="U3721" s="2" t="s">
        <v>41</v>
      </c>
      <c r="V3721" s="2" t="s">
        <v>59</v>
      </c>
      <c r="W3721" s="2">
        <v>38.299999999999997</v>
      </c>
      <c r="X3721" s="2">
        <v>0</v>
      </c>
      <c r="Y3721" s="2" t="s">
        <v>340</v>
      </c>
      <c r="Z3721" s="2" t="s">
        <v>24740</v>
      </c>
      <c r="AA3721" s="2">
        <v>-3.3243711335895201</v>
      </c>
      <c r="AB3721" s="2">
        <v>0.19520937377655101</v>
      </c>
      <c r="AC3721" s="2">
        <v>10170.758033944199</v>
      </c>
      <c r="AD3721" s="2">
        <v>7410.44791183502</v>
      </c>
      <c r="AE3721" s="2">
        <v>10795.119285306901</v>
      </c>
      <c r="AF3721" s="2">
        <v>9094.8915538117708</v>
      </c>
      <c r="AG3721" s="2">
        <v>10108.4054948055</v>
      </c>
      <c r="AH3721" s="2">
        <v>10907.686699571999</v>
      </c>
      <c r="AI3721" s="2">
        <v>10580.6520621609</v>
      </c>
      <c r="AJ3721" s="2">
        <v>9537.7931080082708</v>
      </c>
      <c r="AK3721" s="2">
        <v>7811.1646392890998</v>
      </c>
      <c r="AL3721" s="2">
        <v>7729.5915405767</v>
      </c>
      <c r="AM3721" s="2">
        <v>7618.3254556083502</v>
      </c>
      <c r="AN3721" s="2">
        <v>6621.9000912150896</v>
      </c>
      <c r="AO3721" s="2">
        <v>6510.2810483288804</v>
      </c>
      <c r="AP3721" s="2">
        <v>8171.4246959920001</v>
      </c>
    </row>
    <row r="3722" spans="1:42" ht="14.5" x14ac:dyDescent="0.35">
      <c r="A3722" s="2" t="s">
        <v>24741</v>
      </c>
      <c r="B3722" s="2">
        <v>759.60821618380101</v>
      </c>
      <c r="C3722" s="2">
        <v>14.792616666666699</v>
      </c>
      <c r="D3722" s="2" t="s">
        <v>34</v>
      </c>
      <c r="E3722" s="2" t="s">
        <v>24742</v>
      </c>
      <c r="F3722" s="2">
        <v>39957</v>
      </c>
      <c r="G3722" s="3" t="str">
        <f>HYPERLINK("http://funmeta.oebiotech.com/network/39957", "http://funmeta.oebiotech.com/network/39957")</f>
        <v>http://funmeta.oebiotech.com/network/39957</v>
      </c>
      <c r="H3722" s="2"/>
      <c r="I3722" s="2"/>
      <c r="J3722" s="2" t="s">
        <v>24743</v>
      </c>
      <c r="K3722" s="2"/>
      <c r="L3722" s="2"/>
      <c r="M3722" s="2"/>
      <c r="N3722" s="2"/>
      <c r="O3722" s="2">
        <v>134812535</v>
      </c>
      <c r="P3722" s="2"/>
      <c r="Q3722" s="2" t="s">
        <v>24744</v>
      </c>
      <c r="R3722" s="2" t="s">
        <v>24745</v>
      </c>
      <c r="S3722" s="2" t="s">
        <v>50</v>
      </c>
      <c r="T3722" s="2" t="s">
        <v>693</v>
      </c>
      <c r="U3722" s="2" t="s">
        <v>694</v>
      </c>
      <c r="V3722" s="2" t="s">
        <v>59</v>
      </c>
      <c r="W3722" s="2">
        <v>38.9</v>
      </c>
      <c r="X3722" s="2">
        <v>0</v>
      </c>
      <c r="Y3722" s="2" t="s">
        <v>43</v>
      </c>
      <c r="Z3722" s="2" t="s">
        <v>24746</v>
      </c>
      <c r="AA3722" s="2">
        <v>-1.47316165917951</v>
      </c>
      <c r="AB3722" s="2">
        <v>0.19507842638747999</v>
      </c>
      <c r="AC3722" s="2">
        <v>34079.418351014901</v>
      </c>
      <c r="AD3722" s="2">
        <v>38745.741455834002</v>
      </c>
      <c r="AE3722" s="2">
        <v>31117.019614869601</v>
      </c>
      <c r="AF3722" s="2">
        <v>33910.800221574696</v>
      </c>
      <c r="AG3722" s="2">
        <v>36706.606876123602</v>
      </c>
      <c r="AH3722" s="2">
        <v>32306.876132585301</v>
      </c>
      <c r="AI3722" s="2">
        <v>30337.654481969301</v>
      </c>
      <c r="AJ3722" s="2">
        <v>40097.552778966899</v>
      </c>
      <c r="AK3722" s="2">
        <v>46604.600076957897</v>
      </c>
      <c r="AL3722" s="2">
        <v>37030.605328385704</v>
      </c>
      <c r="AM3722" s="2">
        <v>39083.0765554463</v>
      </c>
      <c r="AN3722" s="2">
        <v>35831.910353305502</v>
      </c>
      <c r="AO3722" s="2">
        <v>38952.0602459074</v>
      </c>
      <c r="AP3722" s="2">
        <v>34972.196175001103</v>
      </c>
    </row>
    <row r="3723" spans="1:42" ht="14.5" x14ac:dyDescent="0.35">
      <c r="A3723" s="2" t="s">
        <v>24747</v>
      </c>
      <c r="B3723" s="2">
        <v>272.11245537578401</v>
      </c>
      <c r="C3723" s="2">
        <v>0.73473333333333302</v>
      </c>
      <c r="D3723" s="2" t="s">
        <v>34</v>
      </c>
      <c r="E3723" s="2" t="s">
        <v>24748</v>
      </c>
      <c r="F3723" s="2">
        <v>54396</v>
      </c>
      <c r="G3723" s="3" t="str">
        <f>HYPERLINK("http://funmeta.oebiotech.com/network/54396", "http://funmeta.oebiotech.com/network/54396")</f>
        <v>http://funmeta.oebiotech.com/network/54396</v>
      </c>
      <c r="H3723" s="2" t="s">
        <v>24749</v>
      </c>
      <c r="I3723" s="2"/>
      <c r="J3723" s="2"/>
      <c r="K3723" s="2">
        <v>18412</v>
      </c>
      <c r="L3723" s="2" t="s">
        <v>24750</v>
      </c>
      <c r="M3723" s="2" t="s">
        <v>12240</v>
      </c>
      <c r="N3723" s="2" t="s">
        <v>12241</v>
      </c>
      <c r="O3723" s="2">
        <v>440551</v>
      </c>
      <c r="P3723" s="2" t="s">
        <v>24751</v>
      </c>
      <c r="Q3723" s="2" t="s">
        <v>24752</v>
      </c>
      <c r="R3723" s="2" t="s">
        <v>24753</v>
      </c>
      <c r="S3723" s="2" t="s">
        <v>89</v>
      </c>
      <c r="T3723" s="2" t="s">
        <v>90</v>
      </c>
      <c r="U3723" s="2" t="s">
        <v>99</v>
      </c>
      <c r="V3723" s="2" t="s">
        <v>59</v>
      </c>
      <c r="W3723" s="2">
        <v>38.4</v>
      </c>
      <c r="X3723" s="2">
        <v>0</v>
      </c>
      <c r="Y3723" s="2" t="s">
        <v>43</v>
      </c>
      <c r="Z3723" s="2" t="s">
        <v>24754</v>
      </c>
      <c r="AA3723" s="2">
        <v>2.4544341439334798</v>
      </c>
      <c r="AB3723" s="2">
        <v>0.194974706429655</v>
      </c>
      <c r="AC3723" s="2">
        <v>29852.143508112698</v>
      </c>
      <c r="AD3723" s="2">
        <v>33617.014014021101</v>
      </c>
      <c r="AE3723" s="2">
        <v>31629.768898758699</v>
      </c>
      <c r="AF3723" s="2">
        <v>32440.506869272402</v>
      </c>
      <c r="AG3723" s="2">
        <v>29962.729200519901</v>
      </c>
      <c r="AH3723" s="2">
        <v>27089.8058265623</v>
      </c>
      <c r="AI3723" s="2">
        <v>28615.558705727799</v>
      </c>
      <c r="AJ3723" s="2">
        <v>29374.491547835201</v>
      </c>
      <c r="AK3723" s="2">
        <v>34533.866288222103</v>
      </c>
      <c r="AL3723" s="2">
        <v>31722.4617015642</v>
      </c>
      <c r="AM3723" s="2">
        <v>30014.581393160701</v>
      </c>
      <c r="AN3723" s="2">
        <v>33777.831172381397</v>
      </c>
      <c r="AO3723" s="2">
        <v>37631.904615660002</v>
      </c>
      <c r="AP3723" s="2">
        <v>34021.438913138401</v>
      </c>
    </row>
    <row r="3724" spans="1:42" ht="14.5" x14ac:dyDescent="0.35">
      <c r="A3724" s="2" t="s">
        <v>24755</v>
      </c>
      <c r="B3724" s="2">
        <v>641.23753575161095</v>
      </c>
      <c r="C3724" s="2">
        <v>6.1607333333333303</v>
      </c>
      <c r="D3724" s="2" t="s">
        <v>70</v>
      </c>
      <c r="E3724" s="2" t="s">
        <v>24756</v>
      </c>
      <c r="F3724" s="2">
        <v>48607</v>
      </c>
      <c r="G3724" s="3" t="str">
        <f>HYPERLINK("http://funmeta.oebiotech.com/network/48607", "http://funmeta.oebiotech.com/network/48607")</f>
        <v>http://funmeta.oebiotech.com/network/48607</v>
      </c>
      <c r="H3724" s="2" t="s">
        <v>24757</v>
      </c>
      <c r="I3724" s="2">
        <v>58310</v>
      </c>
      <c r="J3724" s="2"/>
      <c r="K3724" s="2">
        <v>137728</v>
      </c>
      <c r="L3724" s="2"/>
      <c r="M3724" s="2"/>
      <c r="N3724" s="2"/>
      <c r="O3724" s="2">
        <v>446569</v>
      </c>
      <c r="P3724" s="2" t="s">
        <v>24758</v>
      </c>
      <c r="Q3724" s="2" t="s">
        <v>24759</v>
      </c>
      <c r="R3724" s="2" t="s">
        <v>24760</v>
      </c>
      <c r="S3724" s="2" t="s">
        <v>89</v>
      </c>
      <c r="T3724" s="2" t="s">
        <v>90</v>
      </c>
      <c r="U3724" s="2" t="s">
        <v>99</v>
      </c>
      <c r="V3724" s="2" t="s">
        <v>59</v>
      </c>
      <c r="W3724" s="2">
        <v>38.6</v>
      </c>
      <c r="X3724" s="2">
        <v>16</v>
      </c>
      <c r="Y3724" s="2" t="s">
        <v>408</v>
      </c>
      <c r="Z3724" s="2" t="s">
        <v>24761</v>
      </c>
      <c r="AA3724" s="2">
        <v>-3.9766072269367001</v>
      </c>
      <c r="AB3724" s="2">
        <v>0.194934367733479</v>
      </c>
      <c r="AC3724" s="2">
        <v>256425.84868363099</v>
      </c>
      <c r="AD3724" s="2">
        <v>249727.109143821</v>
      </c>
      <c r="AE3724" s="2">
        <v>251496.83636748101</v>
      </c>
      <c r="AF3724" s="2">
        <v>250629.87660003899</v>
      </c>
      <c r="AG3724" s="2">
        <v>262436.98181942099</v>
      </c>
      <c r="AH3724" s="2">
        <v>261914.570347111</v>
      </c>
      <c r="AI3724" s="2">
        <v>239360.81853583601</v>
      </c>
      <c r="AJ3724" s="2">
        <v>272716.00843189599</v>
      </c>
      <c r="AK3724" s="2">
        <v>246636.699648193</v>
      </c>
      <c r="AL3724" s="2">
        <v>248855.22542978299</v>
      </c>
      <c r="AM3724" s="2">
        <v>262056.90831988599</v>
      </c>
      <c r="AN3724" s="2">
        <v>247363.78965654899</v>
      </c>
      <c r="AO3724" s="2">
        <v>243403.0753812</v>
      </c>
      <c r="AP3724" s="2">
        <v>250046.95642731301</v>
      </c>
    </row>
    <row r="3725" spans="1:42" ht="14.5" x14ac:dyDescent="0.35">
      <c r="A3725" s="2" t="s">
        <v>24762</v>
      </c>
      <c r="B3725" s="2">
        <v>901.25614165889897</v>
      </c>
      <c r="C3725" s="2">
        <v>4.22216666666667</v>
      </c>
      <c r="D3725" s="2" t="s">
        <v>70</v>
      </c>
      <c r="E3725" s="2" t="s">
        <v>24763</v>
      </c>
      <c r="F3725" s="2">
        <v>210953</v>
      </c>
      <c r="G3725" s="3" t="str">
        <f>HYPERLINK("http://funmeta.oebiotech.com/network/210953", "http://funmeta.oebiotech.com/network/210953")</f>
        <v>http://funmeta.oebiotech.com/network/210953</v>
      </c>
      <c r="H3725" s="2" t="s">
        <v>24764</v>
      </c>
      <c r="I3725" s="2"/>
      <c r="J3725" s="2"/>
      <c r="K3725" s="2">
        <v>124939</v>
      </c>
      <c r="L3725" s="2"/>
      <c r="M3725" s="2"/>
      <c r="N3725" s="2"/>
      <c r="O3725" s="2">
        <v>72336596</v>
      </c>
      <c r="P3725" s="2"/>
      <c r="Q3725" s="2" t="s">
        <v>24765</v>
      </c>
      <c r="R3725" s="2" t="s">
        <v>24766</v>
      </c>
      <c r="S3725" s="2" t="s">
        <v>89</v>
      </c>
      <c r="T3725" s="2" t="s">
        <v>90</v>
      </c>
      <c r="U3725" s="2" t="s">
        <v>99</v>
      </c>
      <c r="V3725" s="2" t="s">
        <v>59</v>
      </c>
      <c r="W3725" s="2">
        <v>37.1</v>
      </c>
      <c r="X3725" s="2">
        <v>0</v>
      </c>
      <c r="Y3725" s="2" t="s">
        <v>560</v>
      </c>
      <c r="Z3725" s="2" t="s">
        <v>24767</v>
      </c>
      <c r="AA3725" s="2">
        <v>3.59382462758786</v>
      </c>
      <c r="AB3725" s="2">
        <v>0.19490830718513899</v>
      </c>
      <c r="AC3725" s="2">
        <v>6254.7196961536301</v>
      </c>
      <c r="AD3725" s="2">
        <v>2668.7602417421299</v>
      </c>
      <c r="AE3725" s="2">
        <v>10722.4073085609</v>
      </c>
      <c r="AF3725" s="2">
        <v>4338.4954257791496</v>
      </c>
      <c r="AG3725" s="2">
        <v>7557.19417510127</v>
      </c>
      <c r="AH3725" s="2">
        <v>5474.5588010691499</v>
      </c>
      <c r="AI3725" s="2">
        <v>3934.9040483072099</v>
      </c>
      <c r="AJ3725" s="2">
        <v>5500.7584181041202</v>
      </c>
      <c r="AK3725" s="2">
        <v>2280.5448529622499</v>
      </c>
      <c r="AL3725" s="2">
        <v>2764.4520283932602</v>
      </c>
      <c r="AM3725" s="2">
        <v>4528.1065083986596</v>
      </c>
      <c r="AN3725" s="2">
        <v>2.7106294003980101E-5</v>
      </c>
      <c r="AO3725" s="2">
        <v>3295.4051796972199</v>
      </c>
      <c r="AP3725" s="2">
        <v>3144.0528538950798</v>
      </c>
    </row>
    <row r="3726" spans="1:42" ht="14.5" x14ac:dyDescent="0.35">
      <c r="A3726" s="2" t="s">
        <v>24768</v>
      </c>
      <c r="B3726" s="2">
        <v>345.20696881312898</v>
      </c>
      <c r="C3726" s="2">
        <v>9.7717833333333299</v>
      </c>
      <c r="D3726" s="2" t="s">
        <v>70</v>
      </c>
      <c r="E3726" s="2" t="s">
        <v>24769</v>
      </c>
      <c r="F3726" s="2">
        <v>255840</v>
      </c>
      <c r="G3726" s="3" t="str">
        <f>HYPERLINK("http://funmeta.oebiotech.com/network/255840", "http://funmeta.oebiotech.com/network/255840")</f>
        <v>http://funmeta.oebiotech.com/network/255840</v>
      </c>
      <c r="H3726" s="2" t="s">
        <v>24770</v>
      </c>
      <c r="I3726" s="2"/>
      <c r="J3726" s="2"/>
      <c r="K3726" s="2"/>
      <c r="L3726" s="2"/>
      <c r="M3726" s="2"/>
      <c r="N3726" s="2"/>
      <c r="O3726" s="2"/>
      <c r="P3726" s="2"/>
      <c r="Q3726" s="2" t="s">
        <v>24771</v>
      </c>
      <c r="R3726" s="2" t="s">
        <v>24772</v>
      </c>
      <c r="S3726" s="2" t="s">
        <v>50</v>
      </c>
      <c r="T3726" s="2" t="s">
        <v>201</v>
      </c>
      <c r="U3726" s="2" t="s">
        <v>241</v>
      </c>
      <c r="V3726" s="2" t="s">
        <v>42</v>
      </c>
      <c r="W3726" s="2">
        <v>49.1</v>
      </c>
      <c r="X3726" s="2">
        <v>53.4</v>
      </c>
      <c r="Y3726" s="2" t="s">
        <v>118</v>
      </c>
      <c r="Z3726" s="2" t="s">
        <v>2459</v>
      </c>
      <c r="AA3726" s="2">
        <v>-0.47425874300014698</v>
      </c>
      <c r="AB3726" s="2">
        <v>0.19486800300669299</v>
      </c>
      <c r="AC3726" s="2">
        <v>2708.6445144007098</v>
      </c>
      <c r="AD3726" s="2">
        <v>46.488222735089202</v>
      </c>
      <c r="AE3726" s="2">
        <v>1738.5876905943101</v>
      </c>
      <c r="AF3726" s="2">
        <v>3802.97998506248</v>
      </c>
      <c r="AG3726" s="2">
        <v>3448.2602632369099</v>
      </c>
      <c r="AH3726" s="2">
        <v>2449.2422927360599</v>
      </c>
      <c r="AI3726" s="2">
        <v>2030.6067466176701</v>
      </c>
      <c r="AJ3726" s="2">
        <v>2782.1901081568599</v>
      </c>
      <c r="AK3726" s="2">
        <v>2.7106294003980101E-5</v>
      </c>
      <c r="AL3726" s="2">
        <v>57.992705685255501</v>
      </c>
      <c r="AM3726" s="2">
        <v>2.7106294003980101E-5</v>
      </c>
      <c r="AN3726" s="2">
        <v>72.453959632669594</v>
      </c>
      <c r="AO3726" s="2">
        <v>148.48258977372799</v>
      </c>
      <c r="AP3726" s="2">
        <v>2.7106294003980101E-5</v>
      </c>
    </row>
    <row r="3727" spans="1:42" ht="14.5" x14ac:dyDescent="0.35">
      <c r="A3727" s="2" t="s">
        <v>24773</v>
      </c>
      <c r="B3727" s="2">
        <v>393.21281158581598</v>
      </c>
      <c r="C3727" s="2">
        <v>4.8801333333333297</v>
      </c>
      <c r="D3727" s="2" t="s">
        <v>70</v>
      </c>
      <c r="E3727" s="2" t="s">
        <v>24774</v>
      </c>
      <c r="F3727" s="2">
        <v>10316</v>
      </c>
      <c r="G3727" s="3" t="str">
        <f>HYPERLINK("http://funmeta.oebiotech.com/network/10316", "http://funmeta.oebiotech.com/network/10316")</f>
        <v>http://funmeta.oebiotech.com/network/10316</v>
      </c>
      <c r="H3727" s="2"/>
      <c r="I3727" s="2"/>
      <c r="J3727" s="2" t="s">
        <v>24775</v>
      </c>
      <c r="K3727" s="2">
        <v>79229</v>
      </c>
      <c r="L3727" s="2"/>
      <c r="M3727" s="2"/>
      <c r="N3727" s="2"/>
      <c r="O3727" s="2">
        <v>86289818</v>
      </c>
      <c r="P3727" s="2"/>
      <c r="Q3727" s="2" t="s">
        <v>24776</v>
      </c>
      <c r="R3727" s="2" t="s">
        <v>24777</v>
      </c>
      <c r="S3727" s="2" t="s">
        <v>79</v>
      </c>
      <c r="T3727" s="2" t="s">
        <v>80</v>
      </c>
      <c r="U3727" s="2" t="s">
        <v>81</v>
      </c>
      <c r="V3727" s="2" t="s">
        <v>59</v>
      </c>
      <c r="W3727" s="2">
        <v>40.5</v>
      </c>
      <c r="X3727" s="2">
        <v>9.16</v>
      </c>
      <c r="Y3727" s="2" t="s">
        <v>408</v>
      </c>
      <c r="Z3727" s="2" t="s">
        <v>24778</v>
      </c>
      <c r="AA3727" s="2">
        <v>-0.55898641207202204</v>
      </c>
      <c r="AB3727" s="2">
        <v>0.19484105023474399</v>
      </c>
      <c r="AC3727" s="2">
        <v>10493.561969590901</v>
      </c>
      <c r="AD3727" s="2">
        <v>13780.6714731099</v>
      </c>
      <c r="AE3727" s="2">
        <v>11780.5721958373</v>
      </c>
      <c r="AF3727" s="2">
        <v>9951.4746312949192</v>
      </c>
      <c r="AG3727" s="2">
        <v>11739.551682805</v>
      </c>
      <c r="AH3727" s="2">
        <v>8527.0417288806893</v>
      </c>
      <c r="AI3727" s="2">
        <v>10980.4636942326</v>
      </c>
      <c r="AJ3727" s="2">
        <v>9982.2678844947895</v>
      </c>
      <c r="AK3727" s="2">
        <v>13306.396910326799</v>
      </c>
      <c r="AL3727" s="2">
        <v>11171.232362585901</v>
      </c>
      <c r="AM3727" s="2">
        <v>16636.113753978399</v>
      </c>
      <c r="AN3727" s="2">
        <v>14940.945640898601</v>
      </c>
      <c r="AO3727" s="2">
        <v>13295.0961579824</v>
      </c>
      <c r="AP3727" s="2">
        <v>13334.244012887501</v>
      </c>
    </row>
    <row r="3728" spans="1:42" ht="14.5" x14ac:dyDescent="0.35">
      <c r="A3728" s="2" t="s">
        <v>24779</v>
      </c>
      <c r="B3728" s="2">
        <v>331.28406458577598</v>
      </c>
      <c r="C3728" s="2">
        <v>10.964833333333299</v>
      </c>
      <c r="D3728" s="2" t="s">
        <v>34</v>
      </c>
      <c r="E3728" s="2" t="s">
        <v>24780</v>
      </c>
      <c r="F3728" s="2">
        <v>10431</v>
      </c>
      <c r="G3728" s="3" t="str">
        <f>HYPERLINK("http://funmeta.oebiotech.com/network/10431", "http://funmeta.oebiotech.com/network/10431")</f>
        <v>http://funmeta.oebiotech.com/network/10431</v>
      </c>
      <c r="H3728" s="2" t="s">
        <v>24781</v>
      </c>
      <c r="I3728" s="2">
        <v>24076</v>
      </c>
      <c r="J3728" s="2" t="s">
        <v>24782</v>
      </c>
      <c r="K3728" s="2">
        <v>69081</v>
      </c>
      <c r="L3728" s="2"/>
      <c r="M3728" s="2"/>
      <c r="N3728" s="2"/>
      <c r="O3728" s="2">
        <v>14900</v>
      </c>
      <c r="P3728" s="2" t="s">
        <v>24783</v>
      </c>
      <c r="Q3728" s="2" t="s">
        <v>24784</v>
      </c>
      <c r="R3728" s="2" t="s">
        <v>24785</v>
      </c>
      <c r="S3728" s="2" t="s">
        <v>50</v>
      </c>
      <c r="T3728" s="2" t="s">
        <v>448</v>
      </c>
      <c r="U3728" s="2" t="s">
        <v>7051</v>
      </c>
      <c r="V3728" s="2" t="s">
        <v>42</v>
      </c>
      <c r="W3728" s="2">
        <v>57.3</v>
      </c>
      <c r="X3728" s="2">
        <v>90.3</v>
      </c>
      <c r="Y3728" s="2" t="s">
        <v>394</v>
      </c>
      <c r="Z3728" s="2" t="s">
        <v>24786</v>
      </c>
      <c r="AA3728" s="2">
        <v>-0.67077973214575903</v>
      </c>
      <c r="AB3728" s="2">
        <v>0.194805713933146</v>
      </c>
      <c r="AC3728" s="2">
        <v>9113.4884206037095</v>
      </c>
      <c r="AD3728" s="2">
        <v>6507.3589893808103</v>
      </c>
      <c r="AE3728" s="2">
        <v>9283.6411599241401</v>
      </c>
      <c r="AF3728" s="2">
        <v>8992.4282801895697</v>
      </c>
      <c r="AG3728" s="2">
        <v>8995.3354836059807</v>
      </c>
      <c r="AH3728" s="2">
        <v>10012.1493812265</v>
      </c>
      <c r="AI3728" s="2">
        <v>8311.3295655389702</v>
      </c>
      <c r="AJ3728" s="2">
        <v>9086.0466531370694</v>
      </c>
      <c r="AK3728" s="2">
        <v>6608.0243784718896</v>
      </c>
      <c r="AL3728" s="2">
        <v>6684.2049847637199</v>
      </c>
      <c r="AM3728" s="2">
        <v>6815.7864064373598</v>
      </c>
      <c r="AN3728" s="2">
        <v>6769.7620299957198</v>
      </c>
      <c r="AO3728" s="2">
        <v>6030.4966377815899</v>
      </c>
      <c r="AP3728" s="2">
        <v>6135.8794988345599</v>
      </c>
    </row>
    <row r="3729" spans="1:42" ht="14.5" x14ac:dyDescent="0.35">
      <c r="A3729" s="2" t="s">
        <v>24787</v>
      </c>
      <c r="B3729" s="2">
        <v>245.18970278088099</v>
      </c>
      <c r="C3729" s="2">
        <v>6.3760500000000002</v>
      </c>
      <c r="D3729" s="2" t="s">
        <v>34</v>
      </c>
      <c r="E3729" s="2" t="s">
        <v>24788</v>
      </c>
      <c r="F3729" s="2">
        <v>534689</v>
      </c>
      <c r="G3729" s="3" t="str">
        <f>HYPERLINK("http://funmeta.oebiotech.com/network/534689", "http://funmeta.oebiotech.com/network/534689")</f>
        <v>http://funmeta.oebiotech.com/network/534689</v>
      </c>
      <c r="H3729" s="2"/>
      <c r="I3729" s="2">
        <v>985124</v>
      </c>
      <c r="J3729" s="2"/>
      <c r="K3729" s="2"/>
      <c r="L3729" s="2"/>
      <c r="M3729" s="2"/>
      <c r="N3729" s="2"/>
      <c r="O3729" s="2">
        <v>51136386</v>
      </c>
      <c r="P3729" s="2"/>
      <c r="Q3729" s="2" t="s">
        <v>24789</v>
      </c>
      <c r="R3729" s="2" t="s">
        <v>24790</v>
      </c>
      <c r="S3729" s="2" t="s">
        <v>148</v>
      </c>
      <c r="T3729" s="2" t="s">
        <v>392</v>
      </c>
      <c r="U3729" s="2" t="s">
        <v>3450</v>
      </c>
      <c r="V3729" s="2" t="s">
        <v>59</v>
      </c>
      <c r="W3729" s="2">
        <v>37.799999999999997</v>
      </c>
      <c r="X3729" s="2">
        <v>0</v>
      </c>
      <c r="Y3729" s="2" t="s">
        <v>141</v>
      </c>
      <c r="Z3729" s="2" t="s">
        <v>24791</v>
      </c>
      <c r="AA3729" s="2">
        <v>-1.1024007128345099</v>
      </c>
      <c r="AB3729" s="2">
        <v>0.19469863931577799</v>
      </c>
      <c r="AC3729" s="2">
        <v>5595.7873729234698</v>
      </c>
      <c r="AD3729" s="2">
        <v>8369.8110358128397</v>
      </c>
      <c r="AE3729" s="2">
        <v>6053.2608725462196</v>
      </c>
      <c r="AF3729" s="2">
        <v>6454.0559491609501</v>
      </c>
      <c r="AG3729" s="2">
        <v>5946.2909297425904</v>
      </c>
      <c r="AH3729" s="2">
        <v>4673.3350469299703</v>
      </c>
      <c r="AI3729" s="2">
        <v>4554.6089854908896</v>
      </c>
      <c r="AJ3729" s="2">
        <v>5893.1724536702104</v>
      </c>
      <c r="AK3729" s="2">
        <v>8647.6256592298705</v>
      </c>
      <c r="AL3729" s="2">
        <v>8598.6828121980307</v>
      </c>
      <c r="AM3729" s="2">
        <v>9392.0189811867403</v>
      </c>
      <c r="AN3729" s="2">
        <v>8051.0306682293303</v>
      </c>
      <c r="AO3729" s="2">
        <v>8033.3164843089698</v>
      </c>
      <c r="AP3729" s="2">
        <v>7496.1916097240801</v>
      </c>
    </row>
    <row r="3730" spans="1:42" ht="14.5" x14ac:dyDescent="0.35">
      <c r="A3730" s="2" t="s">
        <v>24792</v>
      </c>
      <c r="B3730" s="2">
        <v>130.96640434802799</v>
      </c>
      <c r="C3730" s="2">
        <v>1.7029666666666701</v>
      </c>
      <c r="D3730" s="2" t="s">
        <v>34</v>
      </c>
      <c r="E3730" s="2" t="s">
        <v>24793</v>
      </c>
      <c r="F3730" s="2">
        <v>82351</v>
      </c>
      <c r="G3730" s="3" t="str">
        <f>HYPERLINK("http://funmeta.oebiotech.com/network/82351", "http://funmeta.oebiotech.com/network/82351")</f>
        <v>http://funmeta.oebiotech.com/network/82351</v>
      </c>
      <c r="H3730" s="2" t="s">
        <v>24794</v>
      </c>
      <c r="I3730" s="2">
        <v>66458</v>
      </c>
      <c r="J3730" s="2"/>
      <c r="K3730" s="2">
        <v>28967</v>
      </c>
      <c r="L3730" s="2" t="s">
        <v>24795</v>
      </c>
      <c r="M3730" s="2" t="s">
        <v>24796</v>
      </c>
      <c r="N3730" s="2" t="s">
        <v>24797</v>
      </c>
      <c r="O3730" s="2">
        <v>643775</v>
      </c>
      <c r="P3730" s="2"/>
      <c r="Q3730" s="2" t="s">
        <v>24798</v>
      </c>
      <c r="R3730" s="2" t="s">
        <v>24799</v>
      </c>
      <c r="S3730" s="2" t="s">
        <v>2811</v>
      </c>
      <c r="T3730" s="2" t="s">
        <v>6384</v>
      </c>
      <c r="U3730" s="2" t="s">
        <v>24800</v>
      </c>
      <c r="V3730" s="2" t="s">
        <v>59</v>
      </c>
      <c r="W3730" s="2">
        <v>36.799999999999997</v>
      </c>
      <c r="X3730" s="2">
        <v>15</v>
      </c>
      <c r="Y3730" s="2" t="s">
        <v>340</v>
      </c>
      <c r="Z3730" s="2" t="s">
        <v>24801</v>
      </c>
      <c r="AA3730" s="2">
        <v>3.8454021266808001</v>
      </c>
      <c r="AB3730" s="2">
        <v>0.194688713197123</v>
      </c>
      <c r="AC3730" s="2">
        <v>21449.649057548599</v>
      </c>
      <c r="AD3730" s="2">
        <v>24688.167197499799</v>
      </c>
      <c r="AE3730" s="2">
        <v>21255.1713488348</v>
      </c>
      <c r="AF3730" s="2">
        <v>22071.409438749699</v>
      </c>
      <c r="AG3730" s="2">
        <v>21171.790135990199</v>
      </c>
      <c r="AH3730" s="2">
        <v>21252.197921921299</v>
      </c>
      <c r="AI3730" s="2">
        <v>21972.1013488963</v>
      </c>
      <c r="AJ3730" s="2">
        <v>20975.224150899099</v>
      </c>
      <c r="AK3730" s="2">
        <v>26746.3497465275</v>
      </c>
      <c r="AL3730" s="2">
        <v>25853.652052076999</v>
      </c>
      <c r="AM3730" s="2">
        <v>23655.593476770799</v>
      </c>
      <c r="AN3730" s="2">
        <v>24882.280669691601</v>
      </c>
      <c r="AO3730" s="2">
        <v>25873.021787229602</v>
      </c>
      <c r="AP3730" s="2">
        <v>21118.105452702101</v>
      </c>
    </row>
    <row r="3731" spans="1:42" ht="14.5" x14ac:dyDescent="0.35">
      <c r="A3731" s="2" t="s">
        <v>24802</v>
      </c>
      <c r="B3731" s="2">
        <v>513.17665166744496</v>
      </c>
      <c r="C3731" s="2">
        <v>4.8801333333333297</v>
      </c>
      <c r="D3731" s="2" t="s">
        <v>70</v>
      </c>
      <c r="E3731" s="2" t="s">
        <v>24803</v>
      </c>
      <c r="F3731" s="2">
        <v>59584</v>
      </c>
      <c r="G3731" s="3" t="str">
        <f>HYPERLINK("http://funmeta.oebiotech.com/network/59584", "http://funmeta.oebiotech.com/network/59584")</f>
        <v>http://funmeta.oebiotech.com/network/59584</v>
      </c>
      <c r="H3731" s="2" t="s">
        <v>24804</v>
      </c>
      <c r="I3731" s="2">
        <v>90987</v>
      </c>
      <c r="J3731" s="2"/>
      <c r="K3731" s="2"/>
      <c r="L3731" s="2"/>
      <c r="M3731" s="2"/>
      <c r="N3731" s="2"/>
      <c r="O3731" s="2">
        <v>13970419</v>
      </c>
      <c r="P3731" s="2" t="s">
        <v>24805</v>
      </c>
      <c r="Q3731" s="2" t="s">
        <v>24806</v>
      </c>
      <c r="R3731" s="2" t="s">
        <v>24807</v>
      </c>
      <c r="S3731" s="2" t="s">
        <v>491</v>
      </c>
      <c r="T3731" s="2" t="s">
        <v>1341</v>
      </c>
      <c r="U3731" s="2" t="s">
        <v>41</v>
      </c>
      <c r="V3731" s="2" t="s">
        <v>59</v>
      </c>
      <c r="W3731" s="2">
        <v>38.9</v>
      </c>
      <c r="X3731" s="2">
        <v>0</v>
      </c>
      <c r="Y3731" s="2" t="s">
        <v>408</v>
      </c>
      <c r="Z3731" s="2" t="s">
        <v>10082</v>
      </c>
      <c r="AA3731" s="2">
        <v>6.6092335996995794E-2</v>
      </c>
      <c r="AB3731" s="2">
        <v>0.19452255276738001</v>
      </c>
      <c r="AC3731" s="2">
        <v>45367.2031618744</v>
      </c>
      <c r="AD3731" s="2">
        <v>40765.507080833799</v>
      </c>
      <c r="AE3731" s="2">
        <v>48717.446758638798</v>
      </c>
      <c r="AF3731" s="2">
        <v>48438.701044420697</v>
      </c>
      <c r="AG3731" s="2">
        <v>41609.149254752403</v>
      </c>
      <c r="AH3731" s="2">
        <v>45104.595637578299</v>
      </c>
      <c r="AI3731" s="2">
        <v>48714.826829346799</v>
      </c>
      <c r="AJ3731" s="2">
        <v>39618.499446509602</v>
      </c>
      <c r="AK3731" s="2">
        <v>42597.616133626303</v>
      </c>
      <c r="AL3731" s="2">
        <v>43940.512260850403</v>
      </c>
      <c r="AM3731" s="2">
        <v>38163.526148449899</v>
      </c>
      <c r="AN3731" s="2">
        <v>41578.641632528197</v>
      </c>
      <c r="AO3731" s="2">
        <v>34203.044937415398</v>
      </c>
      <c r="AP3731" s="2">
        <v>44109.701372132797</v>
      </c>
    </row>
    <row r="3732" spans="1:42" ht="14.5" x14ac:dyDescent="0.35">
      <c r="A3732" s="2" t="s">
        <v>24808</v>
      </c>
      <c r="B3732" s="2">
        <v>239.21153657378801</v>
      </c>
      <c r="C3732" s="2">
        <v>4.3961833333333296</v>
      </c>
      <c r="D3732" s="2" t="s">
        <v>34</v>
      </c>
      <c r="E3732" s="2" t="s">
        <v>24809</v>
      </c>
      <c r="F3732" s="2">
        <v>366227</v>
      </c>
      <c r="G3732" s="3" t="str">
        <f>HYPERLINK("http://funmeta.oebiotech.com/network/366227", "http://funmeta.oebiotech.com/network/366227")</f>
        <v>http://funmeta.oebiotech.com/network/366227</v>
      </c>
      <c r="H3732" s="2"/>
      <c r="I3732" s="2">
        <v>442026</v>
      </c>
      <c r="J3732" s="2"/>
      <c r="K3732" s="2"/>
      <c r="L3732" s="2"/>
      <c r="M3732" s="2"/>
      <c r="N3732" s="2"/>
      <c r="O3732" s="2">
        <v>9838022</v>
      </c>
      <c r="P3732" s="2"/>
      <c r="Q3732" s="2" t="s">
        <v>24810</v>
      </c>
      <c r="R3732" s="2" t="s">
        <v>24811</v>
      </c>
      <c r="S3732" s="2" t="s">
        <v>148</v>
      </c>
      <c r="T3732" s="2" t="s">
        <v>149</v>
      </c>
      <c r="U3732" s="2" t="s">
        <v>15271</v>
      </c>
      <c r="V3732" s="2" t="s">
        <v>59</v>
      </c>
      <c r="W3732" s="2">
        <v>38.700000000000003</v>
      </c>
      <c r="X3732" s="2">
        <v>0</v>
      </c>
      <c r="Y3732" s="2" t="s">
        <v>43</v>
      </c>
      <c r="Z3732" s="2" t="s">
        <v>24812</v>
      </c>
      <c r="AA3732" s="2">
        <v>-1.14531383451258</v>
      </c>
      <c r="AB3732" s="2">
        <v>0.194475365427249</v>
      </c>
      <c r="AC3732" s="2">
        <v>14976.363855851199</v>
      </c>
      <c r="AD3732" s="2">
        <v>17979.180784455599</v>
      </c>
      <c r="AE3732" s="2">
        <v>14811.043989649301</v>
      </c>
      <c r="AF3732" s="2">
        <v>15330.588583545799</v>
      </c>
      <c r="AG3732" s="2">
        <v>13814.741347133</v>
      </c>
      <c r="AH3732" s="2">
        <v>14902.463536061199</v>
      </c>
      <c r="AI3732" s="2">
        <v>15573.090985807299</v>
      </c>
      <c r="AJ3732" s="2">
        <v>15426.254692910499</v>
      </c>
      <c r="AK3732" s="2">
        <v>16500.216460022501</v>
      </c>
      <c r="AL3732" s="2">
        <v>16572.042374300301</v>
      </c>
      <c r="AM3732" s="2">
        <v>18906.662890234798</v>
      </c>
      <c r="AN3732" s="2">
        <v>17961.529988210699</v>
      </c>
      <c r="AO3732" s="2">
        <v>17552.112265486699</v>
      </c>
      <c r="AP3732" s="2">
        <v>20382.520728478899</v>
      </c>
    </row>
    <row r="3733" spans="1:42" ht="14.5" x14ac:dyDescent="0.35">
      <c r="A3733" s="2" t="s">
        <v>24813</v>
      </c>
      <c r="B3733" s="2">
        <v>913.57747487054701</v>
      </c>
      <c r="C3733" s="2">
        <v>9.8824666666666694</v>
      </c>
      <c r="D3733" s="2" t="s">
        <v>34</v>
      </c>
      <c r="E3733" s="2" t="s">
        <v>24814</v>
      </c>
      <c r="F3733" s="2">
        <v>50438</v>
      </c>
      <c r="G3733" s="3" t="str">
        <f>HYPERLINK("http://funmeta.oebiotech.com/network/50438", "http://funmeta.oebiotech.com/network/50438")</f>
        <v>http://funmeta.oebiotech.com/network/50438</v>
      </c>
      <c r="H3733" s="2" t="s">
        <v>24815</v>
      </c>
      <c r="I3733" s="2"/>
      <c r="J3733" s="2"/>
      <c r="K3733" s="2">
        <v>88416</v>
      </c>
      <c r="L3733" s="2" t="s">
        <v>5751</v>
      </c>
      <c r="M3733" s="2"/>
      <c r="N3733" s="2"/>
      <c r="O3733" s="2"/>
      <c r="P3733" s="2"/>
      <c r="Q3733" s="2" t="s">
        <v>24816</v>
      </c>
      <c r="R3733" s="2" t="s">
        <v>24817</v>
      </c>
      <c r="S3733" s="2" t="s">
        <v>50</v>
      </c>
      <c r="T3733" s="2" t="s">
        <v>51</v>
      </c>
      <c r="U3733" s="2" t="s">
        <v>52</v>
      </c>
      <c r="V3733" s="2" t="s">
        <v>59</v>
      </c>
      <c r="W3733" s="2">
        <v>38.799999999999997</v>
      </c>
      <c r="X3733" s="2">
        <v>0</v>
      </c>
      <c r="Y3733" s="2" t="s">
        <v>323</v>
      </c>
      <c r="Z3733" s="2" t="s">
        <v>24818</v>
      </c>
      <c r="AA3733" s="2">
        <v>-0.19681798801801101</v>
      </c>
      <c r="AB3733" s="2">
        <v>0.19446310641248399</v>
      </c>
      <c r="AC3733" s="2">
        <v>6151.58956098418</v>
      </c>
      <c r="AD3733" s="2">
        <v>8911.9622968531494</v>
      </c>
      <c r="AE3733" s="2">
        <v>6014.3541802869004</v>
      </c>
      <c r="AF3733" s="2">
        <v>6067.4893125433</v>
      </c>
      <c r="AG3733" s="2">
        <v>5843.6202127637698</v>
      </c>
      <c r="AH3733" s="2">
        <v>6693.2019417279698</v>
      </c>
      <c r="AI3733" s="2">
        <v>6347.8887666904102</v>
      </c>
      <c r="AJ3733" s="2">
        <v>5942.98295189275</v>
      </c>
      <c r="AK3733" s="2">
        <v>8871.0536862664394</v>
      </c>
      <c r="AL3733" s="2">
        <v>7785.4050976946701</v>
      </c>
      <c r="AM3733" s="2">
        <v>8474.6587306823003</v>
      </c>
      <c r="AN3733" s="2">
        <v>8694.5505826858498</v>
      </c>
      <c r="AO3733" s="2">
        <v>8853.7245778783108</v>
      </c>
      <c r="AP3733" s="2">
        <v>10792.3811059113</v>
      </c>
    </row>
    <row r="3734" spans="1:42" ht="14.5" x14ac:dyDescent="0.35">
      <c r="A3734" s="2" t="s">
        <v>24819</v>
      </c>
      <c r="B3734" s="2">
        <v>359.221002264883</v>
      </c>
      <c r="C3734" s="2">
        <v>9.8048666666666708</v>
      </c>
      <c r="D3734" s="2" t="s">
        <v>34</v>
      </c>
      <c r="E3734" s="2" t="s">
        <v>24820</v>
      </c>
      <c r="F3734" s="2">
        <v>5963</v>
      </c>
      <c r="G3734" s="3" t="str">
        <f>HYPERLINK("http://funmeta.oebiotech.com/network/5963", "http://funmeta.oebiotech.com/network/5963")</f>
        <v>http://funmeta.oebiotech.com/network/5963</v>
      </c>
      <c r="H3734" s="2" t="s">
        <v>24821</v>
      </c>
      <c r="I3734" s="2">
        <v>36430</v>
      </c>
      <c r="J3734" s="2" t="s">
        <v>24822</v>
      </c>
      <c r="K3734" s="2">
        <v>81564</v>
      </c>
      <c r="L3734" s="2" t="s">
        <v>24823</v>
      </c>
      <c r="M3734" s="2"/>
      <c r="N3734" s="2"/>
      <c r="O3734" s="2">
        <v>44251266</v>
      </c>
      <c r="P3734" s="2" t="s">
        <v>24824</v>
      </c>
      <c r="Q3734" s="2" t="s">
        <v>24825</v>
      </c>
      <c r="R3734" s="2" t="s">
        <v>24826</v>
      </c>
      <c r="S3734" s="2" t="s">
        <v>50</v>
      </c>
      <c r="T3734" s="2" t="s">
        <v>229</v>
      </c>
      <c r="U3734" s="2" t="s">
        <v>433</v>
      </c>
      <c r="V3734" s="2" t="s">
        <v>59</v>
      </c>
      <c r="W3734" s="2">
        <v>38.5</v>
      </c>
      <c r="X3734" s="2">
        <v>0</v>
      </c>
      <c r="Y3734" s="2" t="s">
        <v>141</v>
      </c>
      <c r="Z3734" s="2" t="s">
        <v>10980</v>
      </c>
      <c r="AA3734" s="2">
        <v>-1.81702227135183</v>
      </c>
      <c r="AB3734" s="2">
        <v>0.194461776846312</v>
      </c>
      <c r="AC3734" s="2">
        <v>6331.1312014538498</v>
      </c>
      <c r="AD3734" s="2">
        <v>3771.9795674633401</v>
      </c>
      <c r="AE3734" s="2">
        <v>6129.6997731389101</v>
      </c>
      <c r="AF3734" s="2">
        <v>6495.5771485110799</v>
      </c>
      <c r="AG3734" s="2">
        <v>6183.3107261036403</v>
      </c>
      <c r="AH3734" s="2">
        <v>6217.17699198845</v>
      </c>
      <c r="AI3734" s="2">
        <v>6369.1317491080199</v>
      </c>
      <c r="AJ3734" s="2">
        <v>6591.8908198729796</v>
      </c>
      <c r="AK3734" s="2">
        <v>3338.26604202504</v>
      </c>
      <c r="AL3734" s="2">
        <v>4271.0742200513496</v>
      </c>
      <c r="AM3734" s="2">
        <v>3896.3318543240698</v>
      </c>
      <c r="AN3734" s="2">
        <v>3930.0248198549598</v>
      </c>
      <c r="AO3734" s="2">
        <v>3071.3099200555898</v>
      </c>
      <c r="AP3734" s="2">
        <v>4124.8705484690499</v>
      </c>
    </row>
    <row r="3735" spans="1:42" ht="14.5" x14ac:dyDescent="0.35">
      <c r="A3735" s="2" t="s">
        <v>24827</v>
      </c>
      <c r="B3735" s="2">
        <v>653.31815060686404</v>
      </c>
      <c r="C3735" s="2">
        <v>8.11355</v>
      </c>
      <c r="D3735" s="2" t="s">
        <v>70</v>
      </c>
      <c r="E3735" s="2" t="s">
        <v>24828</v>
      </c>
      <c r="F3735" s="2">
        <v>267279</v>
      </c>
      <c r="G3735" s="3" t="str">
        <f>HYPERLINK("http://funmeta.oebiotech.com/network/267279", "http://funmeta.oebiotech.com/network/267279")</f>
        <v>http://funmeta.oebiotech.com/network/267279</v>
      </c>
      <c r="H3735" s="2"/>
      <c r="I3735" s="2">
        <v>45156</v>
      </c>
      <c r="J3735" s="2"/>
      <c r="K3735" s="2"/>
      <c r="L3735" s="2"/>
      <c r="M3735" s="2"/>
      <c r="N3735" s="2"/>
      <c r="O3735" s="2">
        <v>4273754</v>
      </c>
      <c r="P3735" s="2" t="s">
        <v>24829</v>
      </c>
      <c r="Q3735" s="2" t="s">
        <v>24830</v>
      </c>
      <c r="R3735" s="2" t="s">
        <v>24831</v>
      </c>
      <c r="S3735" s="2" t="s">
        <v>491</v>
      </c>
      <c r="T3735" s="2" t="s">
        <v>2184</v>
      </c>
      <c r="U3735" s="2" t="s">
        <v>2185</v>
      </c>
      <c r="V3735" s="2" t="s">
        <v>59</v>
      </c>
      <c r="W3735" s="2">
        <v>38.799999999999997</v>
      </c>
      <c r="X3735" s="2">
        <v>0</v>
      </c>
      <c r="Y3735" s="2" t="s">
        <v>560</v>
      </c>
      <c r="Z3735" s="2" t="s">
        <v>24832</v>
      </c>
      <c r="AA3735" s="2">
        <v>1.22025546557336</v>
      </c>
      <c r="AB3735" s="2">
        <v>0.194385443342595</v>
      </c>
      <c r="AC3735" s="2">
        <v>3666.8057522649001</v>
      </c>
      <c r="AD3735" s="2">
        <v>1079.87528830734</v>
      </c>
      <c r="AE3735" s="2">
        <v>3308.1632337466099</v>
      </c>
      <c r="AF3735" s="2">
        <v>4314.9486864116097</v>
      </c>
      <c r="AG3735" s="2">
        <v>4282.22769096916</v>
      </c>
      <c r="AH3735" s="2">
        <v>3626.17267128191</v>
      </c>
      <c r="AI3735" s="2">
        <v>3384.5015077127</v>
      </c>
      <c r="AJ3735" s="2">
        <v>3084.8207234674201</v>
      </c>
      <c r="AK3735" s="2">
        <v>660.615807511046</v>
      </c>
      <c r="AL3735" s="2">
        <v>1489.4026222242801</v>
      </c>
      <c r="AM3735" s="2">
        <v>799.50865136037703</v>
      </c>
      <c r="AN3735" s="2">
        <v>1075.0293581302999</v>
      </c>
      <c r="AO3735" s="2">
        <v>1459.62113970623</v>
      </c>
      <c r="AP3735" s="2">
        <v>995.07415091180303</v>
      </c>
    </row>
    <row r="3736" spans="1:42" ht="14.5" x14ac:dyDescent="0.35">
      <c r="A3736" s="2" t="s">
        <v>24833</v>
      </c>
      <c r="B3736" s="2">
        <v>581.40585894392905</v>
      </c>
      <c r="C3736" s="2">
        <v>14.6093666666667</v>
      </c>
      <c r="D3736" s="2" t="s">
        <v>70</v>
      </c>
      <c r="E3736" s="2" t="s">
        <v>24834</v>
      </c>
      <c r="F3736" s="2">
        <v>247564</v>
      </c>
      <c r="G3736" s="3" t="str">
        <f>HYPERLINK("http://funmeta.oebiotech.com/network/247564", "http://funmeta.oebiotech.com/network/247564")</f>
        <v>http://funmeta.oebiotech.com/network/247564</v>
      </c>
      <c r="H3736" s="2" t="s">
        <v>24835</v>
      </c>
      <c r="I3736" s="2"/>
      <c r="J3736" s="2"/>
      <c r="K3736" s="2"/>
      <c r="L3736" s="2"/>
      <c r="M3736" s="2"/>
      <c r="N3736" s="2"/>
      <c r="O3736" s="2"/>
      <c r="P3736" s="2"/>
      <c r="Q3736" s="2" t="s">
        <v>24836</v>
      </c>
      <c r="R3736" s="2" t="s">
        <v>24837</v>
      </c>
      <c r="S3736" s="2" t="s">
        <v>41</v>
      </c>
      <c r="T3736" s="2" t="s">
        <v>41</v>
      </c>
      <c r="U3736" s="2" t="s">
        <v>41</v>
      </c>
      <c r="V3736" s="2" t="s">
        <v>59</v>
      </c>
      <c r="W3736" s="2">
        <v>38.6</v>
      </c>
      <c r="X3736" s="2">
        <v>0</v>
      </c>
      <c r="Y3736" s="2" t="s">
        <v>118</v>
      </c>
      <c r="Z3736" s="2" t="s">
        <v>24838</v>
      </c>
      <c r="AA3736" s="2">
        <v>-5.7417332839498202E-2</v>
      </c>
      <c r="AB3736" s="2">
        <v>0.194346375913615</v>
      </c>
      <c r="AC3736" s="2">
        <v>3688.2914475954199</v>
      </c>
      <c r="AD3736" s="2">
        <v>1132.44300543297</v>
      </c>
      <c r="AE3736" s="2">
        <v>3651.3066505127199</v>
      </c>
      <c r="AF3736" s="2">
        <v>2961.4453201021101</v>
      </c>
      <c r="AG3736" s="2">
        <v>3646.0806502648802</v>
      </c>
      <c r="AH3736" s="2">
        <v>4178.70127381568</v>
      </c>
      <c r="AI3736" s="2">
        <v>3851.40473736894</v>
      </c>
      <c r="AJ3736" s="2">
        <v>3840.8100535082099</v>
      </c>
      <c r="AK3736" s="2">
        <v>935.85816052433802</v>
      </c>
      <c r="AL3736" s="2">
        <v>984.43898155031002</v>
      </c>
      <c r="AM3736" s="2">
        <v>1202.62140064442</v>
      </c>
      <c r="AN3736" s="2">
        <v>986.40747438921096</v>
      </c>
      <c r="AO3736" s="2">
        <v>1613.1634647496701</v>
      </c>
      <c r="AP3736" s="2">
        <v>1072.1685507398699</v>
      </c>
    </row>
    <row r="3737" spans="1:42" ht="14.5" x14ac:dyDescent="0.35">
      <c r="A3737" s="2" t="s">
        <v>24839</v>
      </c>
      <c r="B3737" s="2">
        <v>503.155827438193</v>
      </c>
      <c r="C3737" s="2">
        <v>5.9351500000000001</v>
      </c>
      <c r="D3737" s="2" t="s">
        <v>70</v>
      </c>
      <c r="E3737" s="2" t="s">
        <v>24840</v>
      </c>
      <c r="F3737" s="2">
        <v>29477</v>
      </c>
      <c r="G3737" s="3" t="str">
        <f>HYPERLINK("http://funmeta.oebiotech.com/network/29477", "http://funmeta.oebiotech.com/network/29477")</f>
        <v>http://funmeta.oebiotech.com/network/29477</v>
      </c>
      <c r="H3737" s="2"/>
      <c r="I3737" s="2"/>
      <c r="J3737" s="2" t="s">
        <v>24841</v>
      </c>
      <c r="K3737" s="2"/>
      <c r="L3737" s="2"/>
      <c r="M3737" s="2"/>
      <c r="N3737" s="2"/>
      <c r="O3737" s="2">
        <v>44257328</v>
      </c>
      <c r="P3737" s="2"/>
      <c r="Q3737" s="2" t="s">
        <v>24842</v>
      </c>
      <c r="R3737" s="2" t="s">
        <v>24843</v>
      </c>
      <c r="S3737" s="2" t="s">
        <v>115</v>
      </c>
      <c r="T3737" s="2" t="s">
        <v>1371</v>
      </c>
      <c r="U3737" s="2" t="s">
        <v>1372</v>
      </c>
      <c r="V3737" s="2" t="s">
        <v>59</v>
      </c>
      <c r="W3737" s="2">
        <v>38.1</v>
      </c>
      <c r="X3737" s="2">
        <v>0</v>
      </c>
      <c r="Y3737" s="2" t="s">
        <v>408</v>
      </c>
      <c r="Z3737" s="2" t="s">
        <v>24844</v>
      </c>
      <c r="AA3737" s="2">
        <v>-0.12624838407938499</v>
      </c>
      <c r="AB3737" s="2">
        <v>0.19434498232137501</v>
      </c>
      <c r="AC3737" s="2">
        <v>2400.2428469463498</v>
      </c>
      <c r="AD3737" s="2">
        <v>4975.4805532617102</v>
      </c>
      <c r="AE3737" s="2">
        <v>2606.27995966138</v>
      </c>
      <c r="AF3737" s="2">
        <v>2577.7723170938302</v>
      </c>
      <c r="AG3737" s="2">
        <v>2398.6353344642498</v>
      </c>
      <c r="AH3737" s="2">
        <v>2459.22010379011</v>
      </c>
      <c r="AI3737" s="2">
        <v>1961.7177186993199</v>
      </c>
      <c r="AJ3737" s="2">
        <v>2397.8316479692098</v>
      </c>
      <c r="AK3737" s="2">
        <v>4697.9612817755797</v>
      </c>
      <c r="AL3737" s="2">
        <v>4298.2964293996802</v>
      </c>
      <c r="AM3737" s="2">
        <v>4878.7830663060404</v>
      </c>
      <c r="AN3737" s="2">
        <v>5021.5811784621901</v>
      </c>
      <c r="AO3737" s="2">
        <v>5817.1986186253498</v>
      </c>
      <c r="AP3737" s="2">
        <v>5139.0627450014199</v>
      </c>
    </row>
    <row r="3738" spans="1:42" ht="14.5" x14ac:dyDescent="0.35">
      <c r="A3738" s="2" t="s">
        <v>24845</v>
      </c>
      <c r="B3738" s="2">
        <v>533.14795887496905</v>
      </c>
      <c r="C3738" s="2">
        <v>3.7887</v>
      </c>
      <c r="D3738" s="2" t="s">
        <v>34</v>
      </c>
      <c r="E3738" s="2" t="s">
        <v>24846</v>
      </c>
      <c r="F3738" s="2">
        <v>202754</v>
      </c>
      <c r="G3738" s="3" t="str">
        <f>HYPERLINK("http://funmeta.oebiotech.com/network/202754", "http://funmeta.oebiotech.com/network/202754")</f>
        <v>http://funmeta.oebiotech.com/network/202754</v>
      </c>
      <c r="H3738" s="2" t="s">
        <v>24847</v>
      </c>
      <c r="I3738" s="2">
        <v>341652</v>
      </c>
      <c r="J3738" s="2"/>
      <c r="K3738" s="2"/>
      <c r="L3738" s="2"/>
      <c r="M3738" s="2"/>
      <c r="N3738" s="2"/>
      <c r="O3738" s="2">
        <v>70088</v>
      </c>
      <c r="P3738" s="2"/>
      <c r="Q3738" s="2" t="s">
        <v>24848</v>
      </c>
      <c r="R3738" s="2" t="s">
        <v>24849</v>
      </c>
      <c r="S3738" s="2" t="s">
        <v>41</v>
      </c>
      <c r="T3738" s="2" t="s">
        <v>41</v>
      </c>
      <c r="U3738" s="2" t="s">
        <v>41</v>
      </c>
      <c r="V3738" s="2" t="s">
        <v>59</v>
      </c>
      <c r="W3738" s="2">
        <v>38.299999999999997</v>
      </c>
      <c r="X3738" s="2">
        <v>0</v>
      </c>
      <c r="Y3738" s="2" t="s">
        <v>340</v>
      </c>
      <c r="Z3738" s="2" t="s">
        <v>24850</v>
      </c>
      <c r="AA3738" s="2">
        <v>-2.4719862465725901</v>
      </c>
      <c r="AB3738" s="2">
        <v>0.19433321925719399</v>
      </c>
      <c r="AC3738" s="2">
        <v>4591.73892652623</v>
      </c>
      <c r="AD3738" s="2">
        <v>1400.40192489477</v>
      </c>
      <c r="AE3738" s="2">
        <v>2469.8782032465001</v>
      </c>
      <c r="AF3738" s="2">
        <v>2757.3437561076698</v>
      </c>
      <c r="AG3738" s="2">
        <v>6441.8590129183804</v>
      </c>
      <c r="AH3738" s="2">
        <v>5054.2870568081198</v>
      </c>
      <c r="AI3738" s="2">
        <v>3781.81119813131</v>
      </c>
      <c r="AJ3738" s="2">
        <v>7045.2543319454098</v>
      </c>
      <c r="AK3738" s="2">
        <v>1245.15421744118</v>
      </c>
      <c r="AL3738" s="2">
        <v>1464.91502305367</v>
      </c>
      <c r="AM3738" s="2">
        <v>930.04575345956698</v>
      </c>
      <c r="AN3738" s="2">
        <v>1810.4618443056199</v>
      </c>
      <c r="AO3738" s="2">
        <v>548.69942480521695</v>
      </c>
      <c r="AP3738" s="2">
        <v>2403.1352863033499</v>
      </c>
    </row>
    <row r="3739" spans="1:42" ht="14.5" x14ac:dyDescent="0.35">
      <c r="A3739" s="2" t="s">
        <v>24851</v>
      </c>
      <c r="B3739" s="2">
        <v>379.21024979057</v>
      </c>
      <c r="C3739" s="2">
        <v>9.1537000000000006</v>
      </c>
      <c r="D3739" s="2" t="s">
        <v>70</v>
      </c>
      <c r="E3739" s="2" t="s">
        <v>24852</v>
      </c>
      <c r="F3739" s="2">
        <v>48286</v>
      </c>
      <c r="G3739" s="3" t="str">
        <f>HYPERLINK("http://funmeta.oebiotech.com/network/48286", "http://funmeta.oebiotech.com/network/48286")</f>
        <v>http://funmeta.oebiotech.com/network/48286</v>
      </c>
      <c r="H3739" s="2" t="s">
        <v>24853</v>
      </c>
      <c r="I3739" s="2">
        <v>24110</v>
      </c>
      <c r="J3739" s="2"/>
      <c r="K3739" s="2">
        <v>48294</v>
      </c>
      <c r="L3739" s="2" t="s">
        <v>24854</v>
      </c>
      <c r="M3739" s="2" t="s">
        <v>17784</v>
      </c>
      <c r="N3739" s="2" t="s">
        <v>17785</v>
      </c>
      <c r="O3739" s="2">
        <v>150885</v>
      </c>
      <c r="P3739" s="2" t="s">
        <v>24855</v>
      </c>
      <c r="Q3739" s="2" t="s">
        <v>24856</v>
      </c>
      <c r="R3739" s="2" t="s">
        <v>24857</v>
      </c>
      <c r="S3739" s="2" t="s">
        <v>491</v>
      </c>
      <c r="T3739" s="2" t="s">
        <v>2184</v>
      </c>
      <c r="U3739" s="2" t="s">
        <v>5421</v>
      </c>
      <c r="V3739" s="2" t="s">
        <v>59</v>
      </c>
      <c r="W3739" s="2">
        <v>37.299999999999997</v>
      </c>
      <c r="X3739" s="2">
        <v>0</v>
      </c>
      <c r="Y3739" s="2" t="s">
        <v>560</v>
      </c>
      <c r="Z3739" s="2" t="s">
        <v>24858</v>
      </c>
      <c r="AA3739" s="2">
        <v>-9.7310025202556396</v>
      </c>
      <c r="AB3739" s="2">
        <v>0.19433019189314599</v>
      </c>
      <c r="AC3739" s="2">
        <v>2194.20215862041</v>
      </c>
      <c r="AD3739" s="2">
        <v>4740.1023075656703</v>
      </c>
      <c r="AE3739" s="2">
        <v>1932.7363967056301</v>
      </c>
      <c r="AF3739" s="2">
        <v>2240.4528670190798</v>
      </c>
      <c r="AG3739" s="2">
        <v>2323.33831112389</v>
      </c>
      <c r="AH3739" s="2">
        <v>2615.7886889267102</v>
      </c>
      <c r="AI3739" s="2">
        <v>2126.8443786914299</v>
      </c>
      <c r="AJ3739" s="2">
        <v>1926.0523092557301</v>
      </c>
      <c r="AK3739" s="2">
        <v>4631.4422580050496</v>
      </c>
      <c r="AL3739" s="2">
        <v>4284.7143264504202</v>
      </c>
      <c r="AM3739" s="2">
        <v>5185.9246306470104</v>
      </c>
      <c r="AN3739" s="2">
        <v>4465.3892613443304</v>
      </c>
      <c r="AO3739" s="2">
        <v>5256.2929809903399</v>
      </c>
      <c r="AP3739" s="2">
        <v>4616.8503879568698</v>
      </c>
    </row>
    <row r="3740" spans="1:42" ht="14.5" x14ac:dyDescent="0.35">
      <c r="A3740" s="2" t="s">
        <v>24859</v>
      </c>
      <c r="B3740" s="2">
        <v>913.48421472804296</v>
      </c>
      <c r="C3740" s="2">
        <v>4.7579333333333302</v>
      </c>
      <c r="D3740" s="2" t="s">
        <v>70</v>
      </c>
      <c r="E3740" s="2" t="s">
        <v>24860</v>
      </c>
      <c r="F3740" s="2">
        <v>225492</v>
      </c>
      <c r="G3740" s="3" t="str">
        <f>HYPERLINK("http://funmeta.oebiotech.com/network/225492", "http://funmeta.oebiotech.com/network/225492")</f>
        <v>http://funmeta.oebiotech.com/network/225492</v>
      </c>
      <c r="H3740" s="2" t="s">
        <v>24861</v>
      </c>
      <c r="I3740" s="2"/>
      <c r="J3740" s="2"/>
      <c r="K3740" s="2"/>
      <c r="L3740" s="2"/>
      <c r="M3740" s="2"/>
      <c r="N3740" s="2"/>
      <c r="O3740" s="2"/>
      <c r="P3740" s="2"/>
      <c r="Q3740" s="2" t="s">
        <v>24862</v>
      </c>
      <c r="R3740" s="2" t="s">
        <v>24863</v>
      </c>
      <c r="S3740" s="2" t="s">
        <v>41</v>
      </c>
      <c r="T3740" s="2" t="s">
        <v>41</v>
      </c>
      <c r="U3740" s="2" t="s">
        <v>41</v>
      </c>
      <c r="V3740" s="2" t="s">
        <v>59</v>
      </c>
      <c r="W3740" s="2">
        <v>37.200000000000003</v>
      </c>
      <c r="X3740" s="2">
        <v>0</v>
      </c>
      <c r="Y3740" s="2" t="s">
        <v>408</v>
      </c>
      <c r="Z3740" s="2" t="s">
        <v>24864</v>
      </c>
      <c r="AA3740" s="2">
        <v>-0.76981866470529903</v>
      </c>
      <c r="AB3740" s="2">
        <v>0.19421626528209299</v>
      </c>
      <c r="AC3740" s="2">
        <v>65855.084158015103</v>
      </c>
      <c r="AD3740" s="2">
        <v>60079.488167966898</v>
      </c>
      <c r="AE3740" s="2">
        <v>65969.736182140303</v>
      </c>
      <c r="AF3740" s="2">
        <v>71828.996585142406</v>
      </c>
      <c r="AG3740" s="2">
        <v>70672.665931294396</v>
      </c>
      <c r="AH3740" s="2">
        <v>71978.984443969006</v>
      </c>
      <c r="AI3740" s="2">
        <v>61689.4572385477</v>
      </c>
      <c r="AJ3740" s="2">
        <v>52990.6645669965</v>
      </c>
      <c r="AK3740" s="2">
        <v>54678.823333683002</v>
      </c>
      <c r="AL3740" s="2">
        <v>54091.077371728701</v>
      </c>
      <c r="AM3740" s="2">
        <v>67303.608687539803</v>
      </c>
      <c r="AN3740" s="2">
        <v>55578.500987022198</v>
      </c>
      <c r="AO3740" s="2">
        <v>64674.957709754803</v>
      </c>
      <c r="AP3740" s="2">
        <v>64149.960918073099</v>
      </c>
    </row>
    <row r="3741" spans="1:42" ht="14.5" x14ac:dyDescent="0.35">
      <c r="A3741" s="2" t="s">
        <v>24865</v>
      </c>
      <c r="B3741" s="2">
        <v>456.12602570999201</v>
      </c>
      <c r="C3741" s="2">
        <v>4.8173500000000002</v>
      </c>
      <c r="D3741" s="2" t="s">
        <v>34</v>
      </c>
      <c r="E3741" s="2" t="s">
        <v>24866</v>
      </c>
      <c r="F3741" s="2">
        <v>65014</v>
      </c>
      <c r="G3741" s="3" t="str">
        <f>HYPERLINK("http://funmeta.oebiotech.com/network/65014", "http://funmeta.oebiotech.com/network/65014")</f>
        <v>http://funmeta.oebiotech.com/network/65014</v>
      </c>
      <c r="H3741" s="2" t="s">
        <v>24867</v>
      </c>
      <c r="I3741" s="2">
        <v>96218</v>
      </c>
      <c r="J3741" s="2"/>
      <c r="K3741" s="2"/>
      <c r="L3741" s="2"/>
      <c r="M3741" s="2"/>
      <c r="N3741" s="2"/>
      <c r="O3741" s="2">
        <v>155656</v>
      </c>
      <c r="P3741" s="2" t="s">
        <v>24868</v>
      </c>
      <c r="Q3741" s="2" t="s">
        <v>24869</v>
      </c>
      <c r="R3741" s="2" t="s">
        <v>24870</v>
      </c>
      <c r="S3741" s="2" t="s">
        <v>79</v>
      </c>
      <c r="T3741" s="2" t="s">
        <v>80</v>
      </c>
      <c r="U3741" s="2" t="s">
        <v>81</v>
      </c>
      <c r="V3741" s="2" t="s">
        <v>59</v>
      </c>
      <c r="W3741" s="2">
        <v>38</v>
      </c>
      <c r="X3741" s="2">
        <v>0</v>
      </c>
      <c r="Y3741" s="2" t="s">
        <v>323</v>
      </c>
      <c r="Z3741" s="2" t="s">
        <v>24871</v>
      </c>
      <c r="AA3741" s="2">
        <v>-1.09962471279733</v>
      </c>
      <c r="AB3741" s="2">
        <v>0.194161076406032</v>
      </c>
      <c r="AC3741" s="2">
        <v>735.17923911927801</v>
      </c>
      <c r="AD3741" s="2">
        <v>3529.5700963460099</v>
      </c>
      <c r="AE3741" s="2">
        <v>1061.44104578835</v>
      </c>
      <c r="AF3741" s="2">
        <v>875.59373266011198</v>
      </c>
      <c r="AG3741" s="2">
        <v>794.45831357820998</v>
      </c>
      <c r="AH3741" s="2">
        <v>621.11129180521004</v>
      </c>
      <c r="AI3741" s="2">
        <v>554.415414269081</v>
      </c>
      <c r="AJ3741" s="2">
        <v>504.055636614702</v>
      </c>
      <c r="AK3741" s="2">
        <v>5602.2939429742</v>
      </c>
      <c r="AL3741" s="2">
        <v>3596.78222188169</v>
      </c>
      <c r="AM3741" s="2">
        <v>2776.69902251755</v>
      </c>
      <c r="AN3741" s="2">
        <v>3595.90377701953</v>
      </c>
      <c r="AO3741" s="2">
        <v>3051.41035830588</v>
      </c>
      <c r="AP3741" s="2">
        <v>2554.3312553772298</v>
      </c>
    </row>
    <row r="3742" spans="1:42" ht="14.5" x14ac:dyDescent="0.35">
      <c r="A3742" s="2" t="s">
        <v>24872</v>
      </c>
      <c r="B3742" s="2">
        <v>361.113842036042</v>
      </c>
      <c r="C3742" s="2">
        <v>1.65618333333333</v>
      </c>
      <c r="D3742" s="2" t="s">
        <v>70</v>
      </c>
      <c r="E3742" s="2" t="s">
        <v>24873</v>
      </c>
      <c r="F3742" s="2">
        <v>48657</v>
      </c>
      <c r="G3742" s="3" t="str">
        <f>HYPERLINK("http://funmeta.oebiotech.com/network/48657", "http://funmeta.oebiotech.com/network/48657")</f>
        <v>http://funmeta.oebiotech.com/network/48657</v>
      </c>
      <c r="H3742" s="2" t="s">
        <v>24874</v>
      </c>
      <c r="I3742" s="2">
        <v>58348</v>
      </c>
      <c r="J3742" s="2"/>
      <c r="K3742" s="2">
        <v>74064</v>
      </c>
      <c r="L3742" s="2"/>
      <c r="M3742" s="2"/>
      <c r="N3742" s="2"/>
      <c r="O3742" s="2">
        <v>308075</v>
      </c>
      <c r="P3742" s="2" t="s">
        <v>24875</v>
      </c>
      <c r="Q3742" s="2" t="s">
        <v>24876</v>
      </c>
      <c r="R3742" s="2" t="s">
        <v>24877</v>
      </c>
      <c r="S3742" s="2" t="s">
        <v>491</v>
      </c>
      <c r="T3742" s="2" t="s">
        <v>7431</v>
      </c>
      <c r="U3742" s="2" t="s">
        <v>7432</v>
      </c>
      <c r="V3742" s="2" t="s">
        <v>59</v>
      </c>
      <c r="W3742" s="2">
        <v>38.6</v>
      </c>
      <c r="X3742" s="2">
        <v>0</v>
      </c>
      <c r="Y3742" s="2" t="s">
        <v>560</v>
      </c>
      <c r="Z3742" s="2" t="s">
        <v>24878</v>
      </c>
      <c r="AA3742" s="2">
        <v>3.2295730320808</v>
      </c>
      <c r="AB3742" s="2">
        <v>0.19412498140017301</v>
      </c>
      <c r="AC3742" s="2">
        <v>11907.8321227423</v>
      </c>
      <c r="AD3742" s="2">
        <v>9157.2540229899696</v>
      </c>
      <c r="AE3742" s="2">
        <v>11954.034676138001</v>
      </c>
      <c r="AF3742" s="2">
        <v>12177.8673148909</v>
      </c>
      <c r="AG3742" s="2">
        <v>11548.662317948099</v>
      </c>
      <c r="AH3742" s="2">
        <v>11701.881831679901</v>
      </c>
      <c r="AI3742" s="2">
        <v>11536.479767668099</v>
      </c>
      <c r="AJ3742" s="2">
        <v>12528.0668281286</v>
      </c>
      <c r="AK3742" s="2">
        <v>8005.93956541834</v>
      </c>
      <c r="AL3742" s="2">
        <v>8711.0335256144099</v>
      </c>
      <c r="AM3742" s="2">
        <v>9469.9803785244894</v>
      </c>
      <c r="AN3742" s="2">
        <v>10774.0884199968</v>
      </c>
      <c r="AO3742" s="2">
        <v>8688.0662364714699</v>
      </c>
      <c r="AP3742" s="2">
        <v>9294.4160119142998</v>
      </c>
    </row>
    <row r="3743" spans="1:42" ht="14.5" x14ac:dyDescent="0.35">
      <c r="A3743" s="2" t="s">
        <v>24879</v>
      </c>
      <c r="B3743" s="2">
        <v>463.254945725759</v>
      </c>
      <c r="C3743" s="2">
        <v>4.5612000000000004</v>
      </c>
      <c r="D3743" s="2" t="s">
        <v>70</v>
      </c>
      <c r="E3743" s="2" t="s">
        <v>24880</v>
      </c>
      <c r="F3743" s="2">
        <v>256836</v>
      </c>
      <c r="G3743" s="3" t="str">
        <f>HYPERLINK("http://funmeta.oebiotech.com/network/256836", "http://funmeta.oebiotech.com/network/256836")</f>
        <v>http://funmeta.oebiotech.com/network/256836</v>
      </c>
      <c r="H3743" s="2" t="s">
        <v>24881</v>
      </c>
      <c r="I3743" s="2"/>
      <c r="J3743" s="2"/>
      <c r="K3743" s="2">
        <v>76537</v>
      </c>
      <c r="L3743" s="2"/>
      <c r="M3743" s="2"/>
      <c r="N3743" s="2"/>
      <c r="O3743" s="2"/>
      <c r="P3743" s="2"/>
      <c r="Q3743" s="2" t="s">
        <v>24882</v>
      </c>
      <c r="R3743" s="2" t="s">
        <v>24883</v>
      </c>
      <c r="S3743" s="2" t="s">
        <v>50</v>
      </c>
      <c r="T3743" s="2" t="s">
        <v>448</v>
      </c>
      <c r="U3743" s="2" t="s">
        <v>1864</v>
      </c>
      <c r="V3743" s="2" t="s">
        <v>59</v>
      </c>
      <c r="W3743" s="2">
        <v>39.4</v>
      </c>
      <c r="X3743" s="2">
        <v>0</v>
      </c>
      <c r="Y3743" s="2" t="s">
        <v>560</v>
      </c>
      <c r="Z3743" s="2" t="s">
        <v>24884</v>
      </c>
      <c r="AA3743" s="2">
        <v>0.160856015431045</v>
      </c>
      <c r="AB3743" s="2">
        <v>0.194105916339261</v>
      </c>
      <c r="AC3743" s="2">
        <v>6853.1001665931999</v>
      </c>
      <c r="AD3743" s="2">
        <v>9682.8588532232498</v>
      </c>
      <c r="AE3743" s="2">
        <v>7389.6663550388603</v>
      </c>
      <c r="AF3743" s="2">
        <v>7454.09509676981</v>
      </c>
      <c r="AG3743" s="2">
        <v>6437.2684969601196</v>
      </c>
      <c r="AH3743" s="2">
        <v>6538.7521207530799</v>
      </c>
      <c r="AI3743" s="2">
        <v>6793.704346726</v>
      </c>
      <c r="AJ3743" s="2">
        <v>6505.1145833113396</v>
      </c>
      <c r="AK3743" s="2">
        <v>9836.4334611908398</v>
      </c>
      <c r="AL3743" s="2">
        <v>8684.7723202828693</v>
      </c>
      <c r="AM3743" s="2">
        <v>9764.4199657901299</v>
      </c>
      <c r="AN3743" s="2">
        <v>8131.9482336012798</v>
      </c>
      <c r="AO3743" s="2">
        <v>10547.9343583591</v>
      </c>
      <c r="AP3743" s="2">
        <v>11131.644780115301</v>
      </c>
    </row>
    <row r="3744" spans="1:42" ht="14.5" x14ac:dyDescent="0.35">
      <c r="A3744" s="2" t="s">
        <v>24885</v>
      </c>
      <c r="B3744" s="2">
        <v>393.10932070526502</v>
      </c>
      <c r="C3744" s="2">
        <v>5.3005833333333303</v>
      </c>
      <c r="D3744" s="2" t="s">
        <v>34</v>
      </c>
      <c r="E3744" s="2" t="s">
        <v>24886</v>
      </c>
      <c r="F3744" s="2">
        <v>201190</v>
      </c>
      <c r="G3744" s="3" t="str">
        <f>HYPERLINK("http://funmeta.oebiotech.com/network/201190", "http://funmeta.oebiotech.com/network/201190")</f>
        <v>http://funmeta.oebiotech.com/network/201190</v>
      </c>
      <c r="H3744" s="2" t="s">
        <v>24887</v>
      </c>
      <c r="I3744" s="2"/>
      <c r="J3744" s="2"/>
      <c r="K3744" s="2"/>
      <c r="L3744" s="2"/>
      <c r="M3744" s="2"/>
      <c r="N3744" s="2"/>
      <c r="O3744" s="2">
        <v>11653580</v>
      </c>
      <c r="P3744" s="2"/>
      <c r="Q3744" s="2" t="s">
        <v>24888</v>
      </c>
      <c r="R3744" s="2" t="s">
        <v>24889</v>
      </c>
      <c r="S3744" s="2" t="s">
        <v>491</v>
      </c>
      <c r="T3744" s="2" t="s">
        <v>2238</v>
      </c>
      <c r="U3744" s="2" t="s">
        <v>6482</v>
      </c>
      <c r="V3744" s="2" t="s">
        <v>59</v>
      </c>
      <c r="W3744" s="2">
        <v>37.700000000000003</v>
      </c>
      <c r="X3744" s="2">
        <v>0</v>
      </c>
      <c r="Y3744" s="2" t="s">
        <v>323</v>
      </c>
      <c r="Z3744" s="2" t="s">
        <v>24890</v>
      </c>
      <c r="AA3744" s="2">
        <v>3.06235788386818</v>
      </c>
      <c r="AB3744" s="2">
        <v>0.19399446471802201</v>
      </c>
      <c r="AC3744" s="2">
        <v>7841.2688224759704</v>
      </c>
      <c r="AD3744" s="2">
        <v>5016.3866922701</v>
      </c>
      <c r="AE3744" s="2">
        <v>8790.4992655996793</v>
      </c>
      <c r="AF3744" s="2">
        <v>8800.9157960680495</v>
      </c>
      <c r="AG3744" s="2">
        <v>7629.0532106973296</v>
      </c>
      <c r="AH3744" s="2">
        <v>7335.7825267426497</v>
      </c>
      <c r="AI3744" s="2">
        <v>6380.1875596733998</v>
      </c>
      <c r="AJ3744" s="2">
        <v>8111.1745760747099</v>
      </c>
      <c r="AK3744" s="2">
        <v>4566.4740920874601</v>
      </c>
      <c r="AL3744" s="2">
        <v>4542.9203292788798</v>
      </c>
      <c r="AM3744" s="2">
        <v>5103.2392073367</v>
      </c>
      <c r="AN3744" s="2">
        <v>6617.6317017456004</v>
      </c>
      <c r="AO3744" s="2">
        <v>4775.4375954201596</v>
      </c>
      <c r="AP3744" s="2">
        <v>4492.6172277518099</v>
      </c>
    </row>
    <row r="3745" spans="1:42" ht="14.5" x14ac:dyDescent="0.35">
      <c r="A3745" s="2" t="s">
        <v>24891</v>
      </c>
      <c r="B3745" s="2">
        <v>925.40689018973001</v>
      </c>
      <c r="C3745" s="2">
        <v>4.4359166666666701</v>
      </c>
      <c r="D3745" s="2" t="s">
        <v>70</v>
      </c>
      <c r="E3745" s="2" t="s">
        <v>24892</v>
      </c>
      <c r="F3745" s="2">
        <v>212148</v>
      </c>
      <c r="G3745" s="3" t="str">
        <f>HYPERLINK("http://funmeta.oebiotech.com/network/212148", "http://funmeta.oebiotech.com/network/212148")</f>
        <v>http://funmeta.oebiotech.com/network/212148</v>
      </c>
      <c r="H3745" s="2" t="s">
        <v>24893</v>
      </c>
      <c r="I3745" s="2"/>
      <c r="J3745" s="2"/>
      <c r="K3745" s="2">
        <v>141487</v>
      </c>
      <c r="L3745" s="2"/>
      <c r="M3745" s="2"/>
      <c r="N3745" s="2"/>
      <c r="O3745" s="2"/>
      <c r="P3745" s="2"/>
      <c r="Q3745" s="2" t="s">
        <v>24894</v>
      </c>
      <c r="R3745" s="2" t="s">
        <v>24895</v>
      </c>
      <c r="S3745" s="2" t="s">
        <v>491</v>
      </c>
      <c r="T3745" s="2" t="s">
        <v>1516</v>
      </c>
      <c r="U3745" s="2" t="s">
        <v>19544</v>
      </c>
      <c r="V3745" s="2" t="s">
        <v>59</v>
      </c>
      <c r="W3745" s="2">
        <v>36.6</v>
      </c>
      <c r="X3745" s="2">
        <v>0</v>
      </c>
      <c r="Y3745" s="2" t="s">
        <v>560</v>
      </c>
      <c r="Z3745" s="2" t="s">
        <v>24896</v>
      </c>
      <c r="AA3745" s="2">
        <v>-2.5757747342288102</v>
      </c>
      <c r="AB3745" s="2">
        <v>0.193778154134958</v>
      </c>
      <c r="AC3745" s="2">
        <v>12046.917944335</v>
      </c>
      <c r="AD3745" s="2">
        <v>7941.3927857385797</v>
      </c>
      <c r="AE3745" s="2">
        <v>9098.10229997647</v>
      </c>
      <c r="AF3745" s="2">
        <v>15657.211043172199</v>
      </c>
      <c r="AG3745" s="2">
        <v>12241.9869936535</v>
      </c>
      <c r="AH3745" s="2">
        <v>10537.722244079199</v>
      </c>
      <c r="AI3745" s="2">
        <v>15855.960753023801</v>
      </c>
      <c r="AJ3745" s="2">
        <v>8890.5243321051203</v>
      </c>
      <c r="AK3745" s="2">
        <v>7429.0128168870697</v>
      </c>
      <c r="AL3745" s="2">
        <v>7450.8998919244996</v>
      </c>
      <c r="AM3745" s="2">
        <v>7977.0380650240104</v>
      </c>
      <c r="AN3745" s="2">
        <v>7808.6342496613697</v>
      </c>
      <c r="AO3745" s="2">
        <v>4133.1272183442097</v>
      </c>
      <c r="AP3745" s="2">
        <v>12849.6444725903</v>
      </c>
    </row>
    <row r="3746" spans="1:42" ht="14.5" x14ac:dyDescent="0.35">
      <c r="A3746" s="2" t="s">
        <v>24897</v>
      </c>
      <c r="B3746" s="2">
        <v>255.174066072084</v>
      </c>
      <c r="C3746" s="2">
        <v>4.3453166666666698</v>
      </c>
      <c r="D3746" s="2" t="s">
        <v>34</v>
      </c>
      <c r="E3746" s="2" t="s">
        <v>24898</v>
      </c>
      <c r="F3746" s="2">
        <v>266775</v>
      </c>
      <c r="G3746" s="3" t="str">
        <f>HYPERLINK("http://funmeta.oebiotech.com/network/266775", "http://funmeta.oebiotech.com/network/266775")</f>
        <v>http://funmeta.oebiotech.com/network/266775</v>
      </c>
      <c r="H3746" s="2"/>
      <c r="I3746" s="2">
        <v>43951</v>
      </c>
      <c r="J3746" s="2"/>
      <c r="K3746" s="2"/>
      <c r="L3746" s="2"/>
      <c r="M3746" s="2"/>
      <c r="N3746" s="2"/>
      <c r="O3746" s="2">
        <v>6710633</v>
      </c>
      <c r="P3746" s="2" t="s">
        <v>24899</v>
      </c>
      <c r="Q3746" s="2" t="s">
        <v>24900</v>
      </c>
      <c r="R3746" s="2" t="s">
        <v>24901</v>
      </c>
      <c r="S3746" s="2" t="s">
        <v>79</v>
      </c>
      <c r="T3746" s="2" t="s">
        <v>80</v>
      </c>
      <c r="U3746" s="2" t="s">
        <v>2820</v>
      </c>
      <c r="V3746" s="2" t="s">
        <v>59</v>
      </c>
      <c r="W3746" s="2">
        <v>38.700000000000003</v>
      </c>
      <c r="X3746" s="2">
        <v>0</v>
      </c>
      <c r="Y3746" s="2" t="s">
        <v>266</v>
      </c>
      <c r="Z3746" s="2" t="s">
        <v>24902</v>
      </c>
      <c r="AA3746" s="2">
        <v>-1.0128926310823601</v>
      </c>
      <c r="AB3746" s="2">
        <v>0.193758557629125</v>
      </c>
      <c r="AC3746" s="2">
        <v>13238.915676393601</v>
      </c>
      <c r="AD3746" s="2">
        <v>16198.8197032224</v>
      </c>
      <c r="AE3746" s="2">
        <v>11969.1797286445</v>
      </c>
      <c r="AF3746" s="2">
        <v>12507.9567258761</v>
      </c>
      <c r="AG3746" s="2">
        <v>14174.5325690102</v>
      </c>
      <c r="AH3746" s="2">
        <v>13376.166180935301</v>
      </c>
      <c r="AI3746" s="2">
        <v>15418.7016053277</v>
      </c>
      <c r="AJ3746" s="2">
        <v>11986.9572485681</v>
      </c>
      <c r="AK3746" s="2">
        <v>16541.737502550699</v>
      </c>
      <c r="AL3746" s="2">
        <v>17006.532387089999</v>
      </c>
      <c r="AM3746" s="2">
        <v>15859.989397686701</v>
      </c>
      <c r="AN3746" s="2">
        <v>16514.3805201791</v>
      </c>
      <c r="AO3746" s="2">
        <v>14835.822355709301</v>
      </c>
      <c r="AP3746" s="2">
        <v>16434.456056118299</v>
      </c>
    </row>
    <row r="3747" spans="1:42" ht="14.5" x14ac:dyDescent="0.35">
      <c r="A3747" s="2" t="s">
        <v>24903</v>
      </c>
      <c r="B3747" s="2">
        <v>433.14750678804501</v>
      </c>
      <c r="C3747" s="2">
        <v>3.7494000000000001</v>
      </c>
      <c r="D3747" s="2" t="s">
        <v>70</v>
      </c>
      <c r="E3747" s="2" t="s">
        <v>24904</v>
      </c>
      <c r="F3747" s="2">
        <v>53411</v>
      </c>
      <c r="G3747" s="3" t="str">
        <f>HYPERLINK("http://funmeta.oebiotech.com/network/53411", "http://funmeta.oebiotech.com/network/53411")</f>
        <v>http://funmeta.oebiotech.com/network/53411</v>
      </c>
      <c r="H3747" s="2" t="s">
        <v>24905</v>
      </c>
      <c r="I3747" s="2"/>
      <c r="J3747" s="2"/>
      <c r="K3747" s="2">
        <v>3380</v>
      </c>
      <c r="L3747" s="2"/>
      <c r="M3747" s="2"/>
      <c r="N3747" s="2"/>
      <c r="O3747" s="2">
        <v>44093</v>
      </c>
      <c r="P3747" s="2" t="s">
        <v>24906</v>
      </c>
      <c r="Q3747" s="2" t="s">
        <v>24907</v>
      </c>
      <c r="R3747" s="2" t="s">
        <v>24908</v>
      </c>
      <c r="S3747" s="2" t="s">
        <v>89</v>
      </c>
      <c r="T3747" s="2" t="s">
        <v>90</v>
      </c>
      <c r="U3747" s="2" t="s">
        <v>99</v>
      </c>
      <c r="V3747" s="2" t="s">
        <v>59</v>
      </c>
      <c r="W3747" s="2">
        <v>38.6</v>
      </c>
      <c r="X3747" s="2">
        <v>0</v>
      </c>
      <c r="Y3747" s="2" t="s">
        <v>560</v>
      </c>
      <c r="Z3747" s="2" t="s">
        <v>24909</v>
      </c>
      <c r="AA3747" s="2">
        <v>0.586268179770154</v>
      </c>
      <c r="AB3747" s="2">
        <v>0.193720792963092</v>
      </c>
      <c r="AC3747" s="2">
        <v>5229.3273693939</v>
      </c>
      <c r="AD3747" s="2">
        <v>7900.4459319244197</v>
      </c>
      <c r="AE3747" s="2">
        <v>4765.8660433404702</v>
      </c>
      <c r="AF3747" s="2">
        <v>5054.3267808563196</v>
      </c>
      <c r="AG3747" s="2">
        <v>4494.6824112485301</v>
      </c>
      <c r="AH3747" s="2">
        <v>5553.8181329240497</v>
      </c>
      <c r="AI3747" s="2">
        <v>5093.6777189800196</v>
      </c>
      <c r="AJ3747" s="2">
        <v>6413.5931290140297</v>
      </c>
      <c r="AK3747" s="2">
        <v>7722.6863405215299</v>
      </c>
      <c r="AL3747" s="2">
        <v>7866.6830468963399</v>
      </c>
      <c r="AM3747" s="2">
        <v>7956.4263678130701</v>
      </c>
      <c r="AN3747" s="2">
        <v>7480.1737164624401</v>
      </c>
      <c r="AO3747" s="2">
        <v>7449.1040557395399</v>
      </c>
      <c r="AP3747" s="2">
        <v>8927.6020641135692</v>
      </c>
    </row>
    <row r="3748" spans="1:42" ht="14.5" x14ac:dyDescent="0.35">
      <c r="A3748" s="2" t="s">
        <v>24910</v>
      </c>
      <c r="B3748" s="2">
        <v>531.20506436983999</v>
      </c>
      <c r="C3748" s="2">
        <v>6.1053333333333297</v>
      </c>
      <c r="D3748" s="2" t="s">
        <v>70</v>
      </c>
      <c r="E3748" s="2" t="s">
        <v>24911</v>
      </c>
      <c r="F3748" s="2">
        <v>267235</v>
      </c>
      <c r="G3748" s="3" t="str">
        <f>HYPERLINK("http://funmeta.oebiotech.com/network/267235", "http://funmeta.oebiotech.com/network/267235")</f>
        <v>http://funmeta.oebiotech.com/network/267235</v>
      </c>
      <c r="H3748" s="2"/>
      <c r="I3748" s="2">
        <v>45070</v>
      </c>
      <c r="J3748" s="2"/>
      <c r="K3748" s="2"/>
      <c r="L3748" s="2"/>
      <c r="M3748" s="2"/>
      <c r="N3748" s="2"/>
      <c r="O3748" s="2">
        <v>848487</v>
      </c>
      <c r="P3748" s="2" t="s">
        <v>24912</v>
      </c>
      <c r="Q3748" s="2" t="s">
        <v>24913</v>
      </c>
      <c r="R3748" s="2" t="s">
        <v>24914</v>
      </c>
      <c r="S3748" s="2" t="s">
        <v>491</v>
      </c>
      <c r="T3748" s="2" t="s">
        <v>20066</v>
      </c>
      <c r="U3748" s="2" t="s">
        <v>41</v>
      </c>
      <c r="V3748" s="2" t="s">
        <v>59</v>
      </c>
      <c r="W3748" s="2">
        <v>38.200000000000003</v>
      </c>
      <c r="X3748" s="2">
        <v>0</v>
      </c>
      <c r="Y3748" s="2" t="s">
        <v>560</v>
      </c>
      <c r="Z3748" s="2" t="s">
        <v>24915</v>
      </c>
      <c r="AA3748" s="2">
        <v>2.4152193505966002</v>
      </c>
      <c r="AB3748" s="2">
        <v>0.19368755826175299</v>
      </c>
      <c r="AC3748" s="2">
        <v>11808.696854264201</v>
      </c>
      <c r="AD3748" s="2">
        <v>8668.0614848160403</v>
      </c>
      <c r="AE3748" s="2">
        <v>11946.2470435327</v>
      </c>
      <c r="AF3748" s="2">
        <v>12914.768496667801</v>
      </c>
      <c r="AG3748" s="2">
        <v>14496.4369147493</v>
      </c>
      <c r="AH3748" s="2">
        <v>12118.083693640299</v>
      </c>
      <c r="AI3748" s="2">
        <v>10307.1854893159</v>
      </c>
      <c r="AJ3748" s="2">
        <v>9069.4594876789706</v>
      </c>
      <c r="AK3748" s="2">
        <v>8566.9492686719295</v>
      </c>
      <c r="AL3748" s="2">
        <v>8415.6064225248392</v>
      </c>
      <c r="AM3748" s="2">
        <v>8621.2717194533998</v>
      </c>
      <c r="AN3748" s="2">
        <v>9526.3080253060707</v>
      </c>
      <c r="AO3748" s="2">
        <v>8125.2715322084996</v>
      </c>
      <c r="AP3748" s="2">
        <v>8752.9619407315095</v>
      </c>
    </row>
    <row r="3749" spans="1:42" ht="14.5" x14ac:dyDescent="0.35">
      <c r="A3749" s="2" t="s">
        <v>24916</v>
      </c>
      <c r="B3749" s="2">
        <v>911.42328705769705</v>
      </c>
      <c r="C3749" s="2">
        <v>4.3632666666666697</v>
      </c>
      <c r="D3749" s="2" t="s">
        <v>34</v>
      </c>
      <c r="E3749" s="2" t="s">
        <v>24917</v>
      </c>
      <c r="F3749" s="2">
        <v>52313</v>
      </c>
      <c r="G3749" s="3" t="str">
        <f>HYPERLINK("http://funmeta.oebiotech.com/network/52313", "http://funmeta.oebiotech.com/network/52313")</f>
        <v>http://funmeta.oebiotech.com/network/52313</v>
      </c>
      <c r="H3749" s="2" t="s">
        <v>24918</v>
      </c>
      <c r="I3749" s="2"/>
      <c r="J3749" s="2"/>
      <c r="K3749" s="2"/>
      <c r="L3749" s="2"/>
      <c r="M3749" s="2"/>
      <c r="N3749" s="2"/>
      <c r="O3749" s="2">
        <v>53481820</v>
      </c>
      <c r="P3749" s="2"/>
      <c r="Q3749" s="2" t="s">
        <v>24919</v>
      </c>
      <c r="R3749" s="2" t="s">
        <v>24920</v>
      </c>
      <c r="S3749" s="2" t="s">
        <v>50</v>
      </c>
      <c r="T3749" s="2" t="s">
        <v>51</v>
      </c>
      <c r="U3749" s="2" t="s">
        <v>1989</v>
      </c>
      <c r="V3749" s="2" t="s">
        <v>59</v>
      </c>
      <c r="W3749" s="2">
        <v>37.9</v>
      </c>
      <c r="X3749" s="2">
        <v>0</v>
      </c>
      <c r="Y3749" s="2" t="s">
        <v>340</v>
      </c>
      <c r="Z3749" s="2" t="s">
        <v>24921</v>
      </c>
      <c r="AA3749" s="2">
        <v>-0.38593125472773898</v>
      </c>
      <c r="AB3749" s="2">
        <v>0.193618265232746</v>
      </c>
      <c r="AC3749" s="2">
        <v>37777.371416656599</v>
      </c>
      <c r="AD3749" s="2">
        <v>32358.923977702001</v>
      </c>
      <c r="AE3749" s="2">
        <v>32326.959673341</v>
      </c>
      <c r="AF3749" s="2">
        <v>43596.309373278898</v>
      </c>
      <c r="AG3749" s="2">
        <v>45760.097556965498</v>
      </c>
      <c r="AH3749" s="2">
        <v>30813.534425416001</v>
      </c>
      <c r="AI3749" s="2">
        <v>42812.079678011702</v>
      </c>
      <c r="AJ3749" s="2">
        <v>31355.247792926701</v>
      </c>
      <c r="AK3749" s="2">
        <v>29925.031999798601</v>
      </c>
      <c r="AL3749" s="2">
        <v>38530.831939391603</v>
      </c>
      <c r="AM3749" s="2">
        <v>29877.282313744701</v>
      </c>
      <c r="AN3749" s="2">
        <v>31455.070316027799</v>
      </c>
      <c r="AO3749" s="2">
        <v>27198.388454323798</v>
      </c>
      <c r="AP3749" s="2">
        <v>37166.9388429256</v>
      </c>
    </row>
    <row r="3750" spans="1:42" ht="14.5" x14ac:dyDescent="0.35">
      <c r="A3750" s="2" t="s">
        <v>24922</v>
      </c>
      <c r="B3750" s="2">
        <v>283.15487707217397</v>
      </c>
      <c r="C3750" s="2">
        <v>4.6673166666666699</v>
      </c>
      <c r="D3750" s="2" t="s">
        <v>70</v>
      </c>
      <c r="E3750" s="2" t="s">
        <v>24923</v>
      </c>
      <c r="F3750" s="2">
        <v>7559</v>
      </c>
      <c r="G3750" s="3" t="str">
        <f>HYPERLINK("http://funmeta.oebiotech.com/network/7559", "http://funmeta.oebiotech.com/network/7559")</f>
        <v>http://funmeta.oebiotech.com/network/7559</v>
      </c>
      <c r="H3750" s="2" t="s">
        <v>24924</v>
      </c>
      <c r="I3750" s="2">
        <v>92981</v>
      </c>
      <c r="J3750" s="2" t="s">
        <v>24925</v>
      </c>
      <c r="K3750" s="2"/>
      <c r="L3750" s="2"/>
      <c r="M3750" s="2"/>
      <c r="N3750" s="2"/>
      <c r="O3750" s="2">
        <v>54611954</v>
      </c>
      <c r="P3750" s="2" t="s">
        <v>24926</v>
      </c>
      <c r="Q3750" s="2" t="s">
        <v>24927</v>
      </c>
      <c r="R3750" s="2" t="s">
        <v>24928</v>
      </c>
      <c r="S3750" s="2" t="s">
        <v>50</v>
      </c>
      <c r="T3750" s="2" t="s">
        <v>229</v>
      </c>
      <c r="U3750" s="2" t="s">
        <v>16559</v>
      </c>
      <c r="V3750" s="2" t="s">
        <v>59</v>
      </c>
      <c r="W3750" s="2">
        <v>39</v>
      </c>
      <c r="X3750" s="2">
        <v>0</v>
      </c>
      <c r="Y3750" s="2" t="s">
        <v>408</v>
      </c>
      <c r="Z3750" s="2" t="s">
        <v>12715</v>
      </c>
      <c r="AA3750" s="2">
        <v>-0.92528098580433005</v>
      </c>
      <c r="AB3750" s="2">
        <v>0.19361113472362401</v>
      </c>
      <c r="AC3750" s="2">
        <v>1024.78341628414</v>
      </c>
      <c r="AD3750" s="2">
        <v>3568.6343738759601</v>
      </c>
      <c r="AE3750" s="2">
        <v>994.18784644715595</v>
      </c>
      <c r="AF3750" s="2">
        <v>1524.72318096091</v>
      </c>
      <c r="AG3750" s="2">
        <v>647.46982518462801</v>
      </c>
      <c r="AH3750" s="2">
        <v>903.83429669327495</v>
      </c>
      <c r="AI3750" s="2">
        <v>747.12931058635502</v>
      </c>
      <c r="AJ3750" s="2">
        <v>1331.3560378325001</v>
      </c>
      <c r="AK3750" s="2">
        <v>3077.70615176816</v>
      </c>
      <c r="AL3750" s="2">
        <v>3152.1372156303</v>
      </c>
      <c r="AM3750" s="2">
        <v>4092.95155989978</v>
      </c>
      <c r="AN3750" s="2">
        <v>3889.0138577108501</v>
      </c>
      <c r="AO3750" s="2">
        <v>3667.70730258106</v>
      </c>
      <c r="AP3750" s="2">
        <v>3532.2901556656102</v>
      </c>
    </row>
    <row r="3751" spans="1:42" ht="14.5" x14ac:dyDescent="0.35">
      <c r="A3751" s="2" t="s">
        <v>24929</v>
      </c>
      <c r="B3751" s="2">
        <v>669.46882977313305</v>
      </c>
      <c r="C3751" s="2">
        <v>14.3138666666667</v>
      </c>
      <c r="D3751" s="2" t="s">
        <v>34</v>
      </c>
      <c r="E3751" s="2" t="s">
        <v>24930</v>
      </c>
      <c r="F3751" s="2">
        <v>248562</v>
      </c>
      <c r="G3751" s="3" t="str">
        <f>HYPERLINK("http://funmeta.oebiotech.com/network/248562", "http://funmeta.oebiotech.com/network/248562")</f>
        <v>http://funmeta.oebiotech.com/network/248562</v>
      </c>
      <c r="H3751" s="2" t="s">
        <v>24931</v>
      </c>
      <c r="I3751" s="2"/>
      <c r="J3751" s="2"/>
      <c r="K3751" s="2"/>
      <c r="L3751" s="2"/>
      <c r="M3751" s="2"/>
      <c r="N3751" s="2"/>
      <c r="O3751" s="2"/>
      <c r="P3751" s="2"/>
      <c r="Q3751" s="2" t="s">
        <v>24932</v>
      </c>
      <c r="R3751" s="2" t="s">
        <v>24933</v>
      </c>
      <c r="S3751" s="2" t="s">
        <v>41</v>
      </c>
      <c r="T3751" s="2" t="s">
        <v>41</v>
      </c>
      <c r="U3751" s="2" t="s">
        <v>41</v>
      </c>
      <c r="V3751" s="2" t="s">
        <v>59</v>
      </c>
      <c r="W3751" s="2">
        <v>36.299999999999997</v>
      </c>
      <c r="X3751" s="2">
        <v>0</v>
      </c>
      <c r="Y3751" s="2" t="s">
        <v>323</v>
      </c>
      <c r="Z3751" s="2" t="s">
        <v>24934</v>
      </c>
      <c r="AA3751" s="2">
        <v>-1.9263685816263401</v>
      </c>
      <c r="AB3751" s="2">
        <v>0.19357920661704101</v>
      </c>
      <c r="AC3751" s="2">
        <v>5088.6335698450603</v>
      </c>
      <c r="AD3751" s="2">
        <v>2504.01530940865</v>
      </c>
      <c r="AE3751" s="2">
        <v>4846.4033625357697</v>
      </c>
      <c r="AF3751" s="2">
        <v>4482.7446397684198</v>
      </c>
      <c r="AG3751" s="2">
        <v>5748.0407508034004</v>
      </c>
      <c r="AH3751" s="2">
        <v>5458.0796056181698</v>
      </c>
      <c r="AI3751" s="2">
        <v>4588.0208787338897</v>
      </c>
      <c r="AJ3751" s="2">
        <v>5408.5121816106903</v>
      </c>
      <c r="AK3751" s="2">
        <v>2579.6253106456202</v>
      </c>
      <c r="AL3751" s="2">
        <v>2032.48407897688</v>
      </c>
      <c r="AM3751" s="2">
        <v>2639.8445767284202</v>
      </c>
      <c r="AN3751" s="2">
        <v>2072.56345806531</v>
      </c>
      <c r="AO3751" s="2">
        <v>3132.0286265005898</v>
      </c>
      <c r="AP3751" s="2">
        <v>2567.54580553507</v>
      </c>
    </row>
    <row r="3752" spans="1:42" ht="14.5" x14ac:dyDescent="0.35">
      <c r="A3752" s="2" t="s">
        <v>24935</v>
      </c>
      <c r="B3752" s="2">
        <v>211.13329280184399</v>
      </c>
      <c r="C3752" s="2">
        <v>8.0060000000000002</v>
      </c>
      <c r="D3752" s="2" t="s">
        <v>70</v>
      </c>
      <c r="E3752" s="2" t="s">
        <v>24936</v>
      </c>
      <c r="F3752" s="2">
        <v>2161</v>
      </c>
      <c r="G3752" s="3" t="str">
        <f>HYPERLINK("http://funmeta.oebiotech.com/network/2161", "http://funmeta.oebiotech.com/network/2161")</f>
        <v>http://funmeta.oebiotech.com/network/2161</v>
      </c>
      <c r="H3752" s="2"/>
      <c r="I3752" s="2">
        <v>35852</v>
      </c>
      <c r="J3752" s="2" t="s">
        <v>24937</v>
      </c>
      <c r="K3752" s="2">
        <v>19143</v>
      </c>
      <c r="L3752" s="2" t="s">
        <v>24938</v>
      </c>
      <c r="M3752" s="2" t="s">
        <v>5653</v>
      </c>
      <c r="N3752" s="2" t="s">
        <v>5654</v>
      </c>
      <c r="O3752" s="2">
        <v>9548789</v>
      </c>
      <c r="P3752" s="2"/>
      <c r="Q3752" s="2" t="s">
        <v>24939</v>
      </c>
      <c r="R3752" s="2" t="s">
        <v>24940</v>
      </c>
      <c r="S3752" s="2" t="s">
        <v>50</v>
      </c>
      <c r="T3752" s="2" t="s">
        <v>229</v>
      </c>
      <c r="U3752" s="2" t="s">
        <v>433</v>
      </c>
      <c r="V3752" s="2" t="s">
        <v>59</v>
      </c>
      <c r="W3752" s="2">
        <v>42.6</v>
      </c>
      <c r="X3752" s="2">
        <v>20.5</v>
      </c>
      <c r="Y3752" s="2" t="s">
        <v>118</v>
      </c>
      <c r="Z3752" s="2" t="s">
        <v>14286</v>
      </c>
      <c r="AA3752" s="2">
        <v>-3.1830973624974401</v>
      </c>
      <c r="AB3752" s="2">
        <v>0.193378809934523</v>
      </c>
      <c r="AC3752" s="2">
        <v>6585.9096687864403</v>
      </c>
      <c r="AD3752" s="2">
        <v>4098.5044485139397</v>
      </c>
      <c r="AE3752" s="2">
        <v>6197.9964578766903</v>
      </c>
      <c r="AF3752" s="2">
        <v>6424.47724311398</v>
      </c>
      <c r="AG3752" s="2">
        <v>7050.4145314380703</v>
      </c>
      <c r="AH3752" s="2">
        <v>6555.6161118375603</v>
      </c>
      <c r="AI3752" s="2">
        <v>6745.6662156762904</v>
      </c>
      <c r="AJ3752" s="2">
        <v>6541.2874527760796</v>
      </c>
      <c r="AK3752" s="2">
        <v>4091.7203946579498</v>
      </c>
      <c r="AL3752" s="2">
        <v>4203.6674685699099</v>
      </c>
      <c r="AM3752" s="2">
        <v>4129.4252393914903</v>
      </c>
      <c r="AN3752" s="2">
        <v>4195.5925495915999</v>
      </c>
      <c r="AO3752" s="2">
        <v>4073.4790230147901</v>
      </c>
      <c r="AP3752" s="2">
        <v>3897.1420158578899</v>
      </c>
    </row>
    <row r="3753" spans="1:42" ht="14.5" x14ac:dyDescent="0.35">
      <c r="A3753" s="2" t="s">
        <v>24941</v>
      </c>
      <c r="B3753" s="2">
        <v>307.18812548658502</v>
      </c>
      <c r="C3753" s="2">
        <v>9.8244000000000007</v>
      </c>
      <c r="D3753" s="2" t="s">
        <v>34</v>
      </c>
      <c r="E3753" s="2" t="s">
        <v>24942</v>
      </c>
      <c r="F3753" s="2">
        <v>212358</v>
      </c>
      <c r="G3753" s="3" t="str">
        <f>HYPERLINK("http://funmeta.oebiotech.com/network/212358", "http://funmeta.oebiotech.com/network/212358")</f>
        <v>http://funmeta.oebiotech.com/network/212358</v>
      </c>
      <c r="H3753" s="2" t="s">
        <v>24943</v>
      </c>
      <c r="I3753" s="2"/>
      <c r="J3753" s="2"/>
      <c r="K3753" s="2"/>
      <c r="L3753" s="2"/>
      <c r="M3753" s="2"/>
      <c r="N3753" s="2"/>
      <c r="O3753" s="2"/>
      <c r="P3753" s="2"/>
      <c r="Q3753" s="2" t="s">
        <v>24944</v>
      </c>
      <c r="R3753" s="2" t="s">
        <v>24945</v>
      </c>
      <c r="S3753" s="2" t="s">
        <v>41</v>
      </c>
      <c r="T3753" s="2" t="s">
        <v>41</v>
      </c>
      <c r="U3753" s="2" t="s">
        <v>41</v>
      </c>
      <c r="V3753" s="2" t="s">
        <v>59</v>
      </c>
      <c r="W3753" s="2">
        <v>38.6</v>
      </c>
      <c r="X3753" s="2">
        <v>0</v>
      </c>
      <c r="Y3753" s="2" t="s">
        <v>323</v>
      </c>
      <c r="Z3753" s="2" t="s">
        <v>24946</v>
      </c>
      <c r="AA3753" s="2">
        <v>0.51172069005130905</v>
      </c>
      <c r="AB3753" s="2">
        <v>0.19333011168679901</v>
      </c>
      <c r="AC3753" s="2">
        <v>12196.542805778599</v>
      </c>
      <c r="AD3753" s="2">
        <v>14939.032132284599</v>
      </c>
      <c r="AE3753" s="2">
        <v>12324.1453082722</v>
      </c>
      <c r="AF3753" s="2">
        <v>12901.6687647743</v>
      </c>
      <c r="AG3753" s="2">
        <v>11959.7390956746</v>
      </c>
      <c r="AH3753" s="2">
        <v>12247.952563397101</v>
      </c>
      <c r="AI3753" s="2">
        <v>12148.1977352748</v>
      </c>
      <c r="AJ3753" s="2">
        <v>11597.553367278801</v>
      </c>
      <c r="AK3753" s="2">
        <v>16354.9215493347</v>
      </c>
      <c r="AL3753" s="2">
        <v>15508.5086566667</v>
      </c>
      <c r="AM3753" s="2">
        <v>14411.4435513155</v>
      </c>
      <c r="AN3753" s="2">
        <v>14125.5135365154</v>
      </c>
      <c r="AO3753" s="2">
        <v>15330.2544000178</v>
      </c>
      <c r="AP3753" s="2">
        <v>13903.551099857599</v>
      </c>
    </row>
    <row r="3754" spans="1:42" ht="14.5" x14ac:dyDescent="0.35">
      <c r="A3754" s="2" t="s">
        <v>24947</v>
      </c>
      <c r="B3754" s="2">
        <v>435.215796706709</v>
      </c>
      <c r="C3754" s="2">
        <v>5.9690166666666702</v>
      </c>
      <c r="D3754" s="2" t="s">
        <v>34</v>
      </c>
      <c r="E3754" s="2" t="s">
        <v>24948</v>
      </c>
      <c r="F3754" s="2">
        <v>34673</v>
      </c>
      <c r="G3754" s="3" t="str">
        <f>HYPERLINK("http://funmeta.oebiotech.com/network/34673", "http://funmeta.oebiotech.com/network/34673")</f>
        <v>http://funmeta.oebiotech.com/network/34673</v>
      </c>
      <c r="H3754" s="2"/>
      <c r="I3754" s="2">
        <v>52982</v>
      </c>
      <c r="J3754" s="2" t="s">
        <v>24949</v>
      </c>
      <c r="K3754" s="2">
        <v>66151</v>
      </c>
      <c r="L3754" s="2"/>
      <c r="M3754" s="2"/>
      <c r="N3754" s="2"/>
      <c r="O3754" s="2">
        <v>11982641</v>
      </c>
      <c r="P3754" s="2"/>
      <c r="Q3754" s="2" t="s">
        <v>24950</v>
      </c>
      <c r="R3754" s="2" t="s">
        <v>24951</v>
      </c>
      <c r="S3754" s="2" t="s">
        <v>115</v>
      </c>
      <c r="T3754" s="2" t="s">
        <v>139</v>
      </c>
      <c r="U3754" s="2" t="s">
        <v>1437</v>
      </c>
      <c r="V3754" s="2" t="s">
        <v>59</v>
      </c>
      <c r="W3754" s="2">
        <v>46.1</v>
      </c>
      <c r="X3754" s="2">
        <v>42.7</v>
      </c>
      <c r="Y3754" s="2" t="s">
        <v>141</v>
      </c>
      <c r="Z3754" s="2" t="s">
        <v>17174</v>
      </c>
      <c r="AA3754" s="2">
        <v>-1.7774249012276899</v>
      </c>
      <c r="AB3754" s="2">
        <v>0.19324013993785599</v>
      </c>
      <c r="AC3754" s="2">
        <v>39507.965378164801</v>
      </c>
      <c r="AD3754" s="2">
        <v>34505.779800877397</v>
      </c>
      <c r="AE3754" s="2">
        <v>38078.963295102199</v>
      </c>
      <c r="AF3754" s="2">
        <v>32300.2139844425</v>
      </c>
      <c r="AG3754" s="2">
        <v>43880.962984298101</v>
      </c>
      <c r="AH3754" s="2">
        <v>37815.514933832499</v>
      </c>
      <c r="AI3754" s="2">
        <v>34938.293737651402</v>
      </c>
      <c r="AJ3754" s="2">
        <v>50033.843333662298</v>
      </c>
      <c r="AK3754" s="2">
        <v>37828.388046704698</v>
      </c>
      <c r="AL3754" s="2">
        <v>33982.0230791633</v>
      </c>
      <c r="AM3754" s="2">
        <v>29916.377259457098</v>
      </c>
      <c r="AN3754" s="2">
        <v>36468.116873831503</v>
      </c>
      <c r="AO3754" s="2">
        <v>34712.715886330203</v>
      </c>
      <c r="AP3754" s="2">
        <v>34127.057659777704</v>
      </c>
    </row>
    <row r="3755" spans="1:42" ht="14.5" x14ac:dyDescent="0.35">
      <c r="A3755" s="2" t="s">
        <v>24952</v>
      </c>
      <c r="B3755" s="2">
        <v>221.153447494717</v>
      </c>
      <c r="C3755" s="2">
        <v>5.8468499999999999</v>
      </c>
      <c r="D3755" s="2" t="s">
        <v>34</v>
      </c>
      <c r="E3755" s="2" t="s">
        <v>24953</v>
      </c>
      <c r="F3755" s="2">
        <v>1448</v>
      </c>
      <c r="G3755" s="3" t="str">
        <f>HYPERLINK("http://funmeta.oebiotech.com/network/1448", "http://funmeta.oebiotech.com/network/1448")</f>
        <v>http://funmeta.oebiotech.com/network/1448</v>
      </c>
      <c r="H3755" s="2"/>
      <c r="I3755" s="2"/>
      <c r="J3755" s="2" t="s">
        <v>24954</v>
      </c>
      <c r="K3755" s="2"/>
      <c r="L3755" s="2"/>
      <c r="M3755" s="2"/>
      <c r="N3755" s="2"/>
      <c r="O3755" s="2">
        <v>14309406</v>
      </c>
      <c r="P3755" s="2"/>
      <c r="Q3755" s="2" t="s">
        <v>24955</v>
      </c>
      <c r="R3755" s="2" t="s">
        <v>24956</v>
      </c>
      <c r="S3755" s="2" t="s">
        <v>50</v>
      </c>
      <c r="T3755" s="2" t="s">
        <v>229</v>
      </c>
      <c r="U3755" s="2" t="s">
        <v>433</v>
      </c>
      <c r="V3755" s="2" t="s">
        <v>42</v>
      </c>
      <c r="W3755" s="2">
        <v>49.9</v>
      </c>
      <c r="X3755" s="2">
        <v>57.4</v>
      </c>
      <c r="Y3755" s="2" t="s">
        <v>24957</v>
      </c>
      <c r="Z3755" s="2" t="s">
        <v>24958</v>
      </c>
      <c r="AA3755" s="2">
        <v>-0.721419264032511</v>
      </c>
      <c r="AB3755" s="2">
        <v>0.19323722199603799</v>
      </c>
      <c r="AC3755" s="2">
        <v>29730.448668874</v>
      </c>
      <c r="AD3755" s="2">
        <v>26832.946258469699</v>
      </c>
      <c r="AE3755" s="2">
        <v>29431.3241773013</v>
      </c>
      <c r="AF3755" s="2">
        <v>30912.569974598999</v>
      </c>
      <c r="AG3755" s="2">
        <v>30417.623598046401</v>
      </c>
      <c r="AH3755" s="2">
        <v>30647.808189906998</v>
      </c>
      <c r="AI3755" s="2">
        <v>29127.863254977699</v>
      </c>
      <c r="AJ3755" s="2">
        <v>27845.5028184125</v>
      </c>
      <c r="AK3755" s="2">
        <v>26106.393474858301</v>
      </c>
      <c r="AL3755" s="2">
        <v>27305.620030948099</v>
      </c>
      <c r="AM3755" s="2">
        <v>26447.389003532899</v>
      </c>
      <c r="AN3755" s="2">
        <v>28178.167524734501</v>
      </c>
      <c r="AO3755" s="2">
        <v>25934.260988572201</v>
      </c>
      <c r="AP3755" s="2">
        <v>27025.8465281723</v>
      </c>
    </row>
    <row r="3756" spans="1:42" ht="14.5" x14ac:dyDescent="0.35">
      <c r="A3756" s="2" t="s">
        <v>24959</v>
      </c>
      <c r="B3756" s="2">
        <v>704.38439713155901</v>
      </c>
      <c r="C3756" s="2">
        <v>8.91496666666667</v>
      </c>
      <c r="D3756" s="2" t="s">
        <v>34</v>
      </c>
      <c r="E3756" s="2" t="s">
        <v>24960</v>
      </c>
      <c r="F3756" s="2">
        <v>38964</v>
      </c>
      <c r="G3756" s="3" t="str">
        <f>HYPERLINK("http://funmeta.oebiotech.com/network/38964", "http://funmeta.oebiotech.com/network/38964")</f>
        <v>http://funmeta.oebiotech.com/network/38964</v>
      </c>
      <c r="H3756" s="2"/>
      <c r="I3756" s="2">
        <v>53922</v>
      </c>
      <c r="J3756" s="2" t="s">
        <v>24961</v>
      </c>
      <c r="K3756" s="2">
        <v>38221</v>
      </c>
      <c r="L3756" s="2" t="s">
        <v>24962</v>
      </c>
      <c r="M3756" s="2"/>
      <c r="N3756" s="2"/>
      <c r="O3756" s="2">
        <v>2733487</v>
      </c>
      <c r="P3756" s="2" t="s">
        <v>24963</v>
      </c>
      <c r="Q3756" s="2" t="s">
        <v>24964</v>
      </c>
      <c r="R3756" s="2" t="s">
        <v>24965</v>
      </c>
      <c r="S3756" s="2" t="s">
        <v>89</v>
      </c>
      <c r="T3756" s="2" t="s">
        <v>90</v>
      </c>
      <c r="U3756" s="2" t="s">
        <v>1669</v>
      </c>
      <c r="V3756" s="2" t="s">
        <v>59</v>
      </c>
      <c r="W3756" s="2">
        <v>37.799999999999997</v>
      </c>
      <c r="X3756" s="2">
        <v>0</v>
      </c>
      <c r="Y3756" s="2" t="s">
        <v>141</v>
      </c>
      <c r="Z3756" s="2" t="s">
        <v>1670</v>
      </c>
      <c r="AA3756" s="2">
        <v>-1.0879142144290701</v>
      </c>
      <c r="AB3756" s="2">
        <v>0.193183235665185</v>
      </c>
      <c r="AC3756" s="2">
        <v>13682.999056873499</v>
      </c>
      <c r="AD3756" s="2">
        <v>10489.7890051185</v>
      </c>
      <c r="AE3756" s="2">
        <v>14879.275387121301</v>
      </c>
      <c r="AF3756" s="2">
        <v>15110.971150994899</v>
      </c>
      <c r="AG3756" s="2">
        <v>13141.3566963179</v>
      </c>
      <c r="AH3756" s="2">
        <v>11712.507232608699</v>
      </c>
      <c r="AI3756" s="2">
        <v>12404.8760620476</v>
      </c>
      <c r="AJ3756" s="2">
        <v>14849.007812150399</v>
      </c>
      <c r="AK3756" s="2">
        <v>8515.6053443457695</v>
      </c>
      <c r="AL3756" s="2">
        <v>10727.0263156082</v>
      </c>
      <c r="AM3756" s="2">
        <v>11157.9004254012</v>
      </c>
      <c r="AN3756" s="2">
        <v>10829.4894706136</v>
      </c>
      <c r="AO3756" s="2">
        <v>12646.4466764521</v>
      </c>
      <c r="AP3756" s="2">
        <v>9062.2657982901601</v>
      </c>
    </row>
    <row r="3757" spans="1:42" ht="14.5" x14ac:dyDescent="0.35">
      <c r="A3757" s="2" t="s">
        <v>24966</v>
      </c>
      <c r="B3757" s="2">
        <v>275.20056334016601</v>
      </c>
      <c r="C3757" s="2">
        <v>9.39025</v>
      </c>
      <c r="D3757" s="2" t="s">
        <v>34</v>
      </c>
      <c r="E3757" s="2" t="s">
        <v>24967</v>
      </c>
      <c r="F3757" s="2">
        <v>2602</v>
      </c>
      <c r="G3757" s="3" t="str">
        <f>HYPERLINK("http://funmeta.oebiotech.com/network/2602", "http://funmeta.oebiotech.com/network/2602")</f>
        <v>http://funmeta.oebiotech.com/network/2602</v>
      </c>
      <c r="H3757" s="2"/>
      <c r="I3757" s="2"/>
      <c r="J3757" s="2" t="s">
        <v>24968</v>
      </c>
      <c r="K3757" s="2"/>
      <c r="L3757" s="2"/>
      <c r="M3757" s="2"/>
      <c r="N3757" s="2"/>
      <c r="O3757" s="2">
        <v>137323824</v>
      </c>
      <c r="P3757" s="2"/>
      <c r="Q3757" s="2" t="s">
        <v>24969</v>
      </c>
      <c r="R3757" s="2" t="s">
        <v>24970</v>
      </c>
      <c r="S3757" s="2" t="s">
        <v>50</v>
      </c>
      <c r="T3757" s="2" t="s">
        <v>229</v>
      </c>
      <c r="U3757" s="2" t="s">
        <v>433</v>
      </c>
      <c r="V3757" s="2" t="s">
        <v>42</v>
      </c>
      <c r="W3757" s="2">
        <v>49.6</v>
      </c>
      <c r="X3757" s="2">
        <v>51.5</v>
      </c>
      <c r="Y3757" s="2" t="s">
        <v>394</v>
      </c>
      <c r="Z3757" s="2" t="s">
        <v>20915</v>
      </c>
      <c r="AA3757" s="2">
        <v>2.49284943514167E-2</v>
      </c>
      <c r="AB3757" s="2">
        <v>0.19315435630047501</v>
      </c>
      <c r="AC3757" s="2">
        <v>22485.287357614401</v>
      </c>
      <c r="AD3757" s="2">
        <v>19646.784775845499</v>
      </c>
      <c r="AE3757" s="2">
        <v>22357.878849690402</v>
      </c>
      <c r="AF3757" s="2">
        <v>21580.799386088798</v>
      </c>
      <c r="AG3757" s="2">
        <v>22513.253156467501</v>
      </c>
      <c r="AH3757" s="2">
        <v>22408.492291714301</v>
      </c>
      <c r="AI3757" s="2">
        <v>22470.485606866299</v>
      </c>
      <c r="AJ3757" s="2">
        <v>23580.814854859102</v>
      </c>
      <c r="AK3757" s="2">
        <v>21410.515042888099</v>
      </c>
      <c r="AL3757" s="2">
        <v>20649.559684620199</v>
      </c>
      <c r="AM3757" s="2">
        <v>18927.142661799699</v>
      </c>
      <c r="AN3757" s="2">
        <v>18394.382702214501</v>
      </c>
      <c r="AO3757" s="2">
        <v>19095.568043731299</v>
      </c>
      <c r="AP3757" s="2">
        <v>19403.5405198193</v>
      </c>
    </row>
    <row r="3758" spans="1:42" ht="14.5" x14ac:dyDescent="0.35">
      <c r="A3758" s="2" t="s">
        <v>24971</v>
      </c>
      <c r="B3758" s="2">
        <v>403.12428414856498</v>
      </c>
      <c r="C3758" s="2">
        <v>4.09636666666667</v>
      </c>
      <c r="D3758" s="2" t="s">
        <v>70</v>
      </c>
      <c r="E3758" s="2" t="s">
        <v>24972</v>
      </c>
      <c r="F3758" s="2">
        <v>64632</v>
      </c>
      <c r="G3758" s="3" t="str">
        <f>HYPERLINK("http://funmeta.oebiotech.com/network/64632", "http://funmeta.oebiotech.com/network/64632")</f>
        <v>http://funmeta.oebiotech.com/network/64632</v>
      </c>
      <c r="H3758" s="2" t="s">
        <v>24973</v>
      </c>
      <c r="I3758" s="2"/>
      <c r="J3758" s="2"/>
      <c r="K3758" s="2"/>
      <c r="L3758" s="2"/>
      <c r="M3758" s="2"/>
      <c r="N3758" s="2"/>
      <c r="O3758" s="2">
        <v>131753164</v>
      </c>
      <c r="P3758" s="2" t="s">
        <v>24974</v>
      </c>
      <c r="Q3758" s="2" t="s">
        <v>24975</v>
      </c>
      <c r="R3758" s="2" t="s">
        <v>24976</v>
      </c>
      <c r="S3758" s="2" t="s">
        <v>50</v>
      </c>
      <c r="T3758" s="2" t="s">
        <v>201</v>
      </c>
      <c r="U3758" s="2" t="s">
        <v>202</v>
      </c>
      <c r="V3758" s="2" t="s">
        <v>59</v>
      </c>
      <c r="W3758" s="2">
        <v>44.2</v>
      </c>
      <c r="X3758" s="2">
        <v>25.6</v>
      </c>
      <c r="Y3758" s="2" t="s">
        <v>118</v>
      </c>
      <c r="Z3758" s="2" t="s">
        <v>24977</v>
      </c>
      <c r="AA3758" s="2">
        <v>-0.74481698676145702</v>
      </c>
      <c r="AB3758" s="2">
        <v>0.193135142676466</v>
      </c>
      <c r="AC3758" s="2">
        <v>7257.5601057200902</v>
      </c>
      <c r="AD3758" s="2">
        <v>4360.7840297528301</v>
      </c>
      <c r="AE3758" s="2">
        <v>6077.4656129383602</v>
      </c>
      <c r="AF3758" s="2">
        <v>8957.58513743195</v>
      </c>
      <c r="AG3758" s="2">
        <v>8672.6739704226893</v>
      </c>
      <c r="AH3758" s="2">
        <v>6876.9580133433401</v>
      </c>
      <c r="AI3758" s="2">
        <v>5292.5413333125298</v>
      </c>
      <c r="AJ3758" s="2">
        <v>7668.1365668716498</v>
      </c>
      <c r="AK3758" s="2">
        <v>3962.0917059896001</v>
      </c>
      <c r="AL3758" s="2">
        <v>4160.3611790839605</v>
      </c>
      <c r="AM3758" s="2">
        <v>4561.7844417553497</v>
      </c>
      <c r="AN3758" s="2">
        <v>4383.0558042119301</v>
      </c>
      <c r="AO3758" s="2">
        <v>4362.9979229855498</v>
      </c>
      <c r="AP3758" s="2">
        <v>4734.4131244905902</v>
      </c>
    </row>
    <row r="3759" spans="1:42" ht="14.5" x14ac:dyDescent="0.35">
      <c r="A3759" s="2" t="s">
        <v>24978</v>
      </c>
      <c r="B3759" s="2">
        <v>347.14985211484702</v>
      </c>
      <c r="C3759" s="2">
        <v>5.1153166666666703</v>
      </c>
      <c r="D3759" s="2" t="s">
        <v>70</v>
      </c>
      <c r="E3759" s="2" t="s">
        <v>24979</v>
      </c>
      <c r="F3759" s="2">
        <v>48474</v>
      </c>
      <c r="G3759" s="3" t="str">
        <f>HYPERLINK("http://funmeta.oebiotech.com/network/48474", "http://funmeta.oebiotech.com/network/48474")</f>
        <v>http://funmeta.oebiotech.com/network/48474</v>
      </c>
      <c r="H3759" s="2" t="s">
        <v>24980</v>
      </c>
      <c r="I3759" s="2">
        <v>58292</v>
      </c>
      <c r="J3759" s="2"/>
      <c r="K3759" s="2">
        <v>544560</v>
      </c>
      <c r="L3759" s="2" t="s">
        <v>24981</v>
      </c>
      <c r="M3759" s="2"/>
      <c r="N3759" s="2"/>
      <c r="O3759" s="2">
        <v>115089</v>
      </c>
      <c r="P3759" s="2" t="s">
        <v>24982</v>
      </c>
      <c r="Q3759" s="2" t="s">
        <v>24983</v>
      </c>
      <c r="R3759" s="2" t="s">
        <v>24984</v>
      </c>
      <c r="S3759" s="2" t="s">
        <v>1184</v>
      </c>
      <c r="T3759" s="2" t="s">
        <v>4551</v>
      </c>
      <c r="U3759" s="2" t="s">
        <v>4552</v>
      </c>
      <c r="V3759" s="2" t="s">
        <v>59</v>
      </c>
      <c r="W3759" s="2">
        <v>38.6</v>
      </c>
      <c r="X3759" s="2">
        <v>0</v>
      </c>
      <c r="Y3759" s="2" t="s">
        <v>408</v>
      </c>
      <c r="Z3759" s="2" t="s">
        <v>24985</v>
      </c>
      <c r="AA3759" s="2">
        <v>-0.52933303162392498</v>
      </c>
      <c r="AB3759" s="2">
        <v>0.19303695293261</v>
      </c>
      <c r="AC3759" s="2">
        <v>7449.1965174782399</v>
      </c>
      <c r="AD3759" s="2">
        <v>4734.7877400513598</v>
      </c>
      <c r="AE3759" s="2">
        <v>7460.4737199731098</v>
      </c>
      <c r="AF3759" s="2">
        <v>7911.3298785581301</v>
      </c>
      <c r="AG3759" s="2">
        <v>6609.0654815686503</v>
      </c>
      <c r="AH3759" s="2">
        <v>6698.4384451935503</v>
      </c>
      <c r="AI3759" s="2">
        <v>8077.8968111014101</v>
      </c>
      <c r="AJ3759" s="2">
        <v>7937.9747684745998</v>
      </c>
      <c r="AK3759" s="2">
        <v>4694.1170907571604</v>
      </c>
      <c r="AL3759" s="2">
        <v>4395.3828344499698</v>
      </c>
      <c r="AM3759" s="2">
        <v>4181.2775103756003</v>
      </c>
      <c r="AN3759" s="2">
        <v>4350.5157053844196</v>
      </c>
      <c r="AO3759" s="2">
        <v>4536.1542781362004</v>
      </c>
      <c r="AP3759" s="2">
        <v>6251.2790212048103</v>
      </c>
    </row>
    <row r="3760" spans="1:42" ht="14.5" x14ac:dyDescent="0.35">
      <c r="A3760" s="2" t="s">
        <v>24986</v>
      </c>
      <c r="B3760" s="2">
        <v>857.32336168222605</v>
      </c>
      <c r="C3760" s="2">
        <v>7.7220166666666703</v>
      </c>
      <c r="D3760" s="2" t="s">
        <v>70</v>
      </c>
      <c r="E3760" s="2" t="s">
        <v>24987</v>
      </c>
      <c r="F3760" s="2">
        <v>266599</v>
      </c>
      <c r="G3760" s="3" t="str">
        <f>HYPERLINK("http://funmeta.oebiotech.com/network/266599", "http://funmeta.oebiotech.com/network/266599")</f>
        <v>http://funmeta.oebiotech.com/network/266599</v>
      </c>
      <c r="H3760" s="2"/>
      <c r="I3760" s="2">
        <v>43652</v>
      </c>
      <c r="J3760" s="2"/>
      <c r="K3760" s="2"/>
      <c r="L3760" s="2"/>
      <c r="M3760" s="2"/>
      <c r="N3760" s="2"/>
      <c r="O3760" s="2">
        <v>54721972</v>
      </c>
      <c r="P3760" s="2" t="s">
        <v>24988</v>
      </c>
      <c r="Q3760" s="2" t="s">
        <v>24989</v>
      </c>
      <c r="R3760" s="2" t="s">
        <v>24990</v>
      </c>
      <c r="S3760" s="2" t="s">
        <v>50</v>
      </c>
      <c r="T3760" s="2" t="s">
        <v>201</v>
      </c>
      <c r="U3760" s="2" t="s">
        <v>210</v>
      </c>
      <c r="V3760" s="2" t="s">
        <v>59</v>
      </c>
      <c r="W3760" s="2">
        <v>36.4</v>
      </c>
      <c r="X3760" s="2">
        <v>0</v>
      </c>
      <c r="Y3760" s="2" t="s">
        <v>118</v>
      </c>
      <c r="Z3760" s="2" t="s">
        <v>24991</v>
      </c>
      <c r="AA3760" s="2">
        <v>-0.43895609766014898</v>
      </c>
      <c r="AB3760" s="2">
        <v>0.192934207294997</v>
      </c>
      <c r="AC3760" s="2">
        <v>4191.1215737437797</v>
      </c>
      <c r="AD3760" s="2">
        <v>6827.9373036872703</v>
      </c>
      <c r="AE3760" s="2">
        <v>3826.5714598608902</v>
      </c>
      <c r="AF3760" s="2">
        <v>4479.5875446226901</v>
      </c>
      <c r="AG3760" s="2">
        <v>3305.1448324441299</v>
      </c>
      <c r="AH3760" s="2">
        <v>4908.9159680390203</v>
      </c>
      <c r="AI3760" s="2">
        <v>4714.7734254628704</v>
      </c>
      <c r="AJ3760" s="2">
        <v>3911.7362120330699</v>
      </c>
      <c r="AK3760" s="2">
        <v>7290.6462494521802</v>
      </c>
      <c r="AL3760" s="2">
        <v>7561.2693844075702</v>
      </c>
      <c r="AM3760" s="2">
        <v>5919.2991848208803</v>
      </c>
      <c r="AN3760" s="2">
        <v>6917.4169822356298</v>
      </c>
      <c r="AO3760" s="2">
        <v>6643.6880053181703</v>
      </c>
      <c r="AP3760" s="2">
        <v>6635.3040158891799</v>
      </c>
    </row>
    <row r="3761" spans="1:42" ht="14.5" x14ac:dyDescent="0.35">
      <c r="A3761" s="2" t="s">
        <v>24992</v>
      </c>
      <c r="B3761" s="2">
        <v>284.98594604648503</v>
      </c>
      <c r="C3761" s="2">
        <v>0.62124999999999997</v>
      </c>
      <c r="D3761" s="2" t="s">
        <v>34</v>
      </c>
      <c r="E3761" s="2" t="s">
        <v>24993</v>
      </c>
      <c r="F3761" s="2">
        <v>213080</v>
      </c>
      <c r="G3761" s="3" t="str">
        <f>HYPERLINK("http://funmeta.oebiotech.com/network/213080", "http://funmeta.oebiotech.com/network/213080")</f>
        <v>http://funmeta.oebiotech.com/network/213080</v>
      </c>
      <c r="H3761" s="2" t="s">
        <v>24994</v>
      </c>
      <c r="I3761" s="2"/>
      <c r="J3761" s="2"/>
      <c r="K3761" s="2"/>
      <c r="L3761" s="2"/>
      <c r="M3761" s="2"/>
      <c r="N3761" s="2"/>
      <c r="O3761" s="2"/>
      <c r="P3761" s="2"/>
      <c r="Q3761" s="2" t="s">
        <v>24995</v>
      </c>
      <c r="R3761" s="2" t="s">
        <v>24996</v>
      </c>
      <c r="S3761" s="2" t="s">
        <v>41</v>
      </c>
      <c r="T3761" s="2" t="s">
        <v>41</v>
      </c>
      <c r="U3761" s="2" t="s">
        <v>41</v>
      </c>
      <c r="V3761" s="2" t="s">
        <v>59</v>
      </c>
      <c r="W3761" s="2">
        <v>37.6</v>
      </c>
      <c r="X3761" s="2">
        <v>0</v>
      </c>
      <c r="Y3761" s="2" t="s">
        <v>323</v>
      </c>
      <c r="Z3761" s="2" t="s">
        <v>24997</v>
      </c>
      <c r="AA3761" s="2">
        <v>2.4007169313000798</v>
      </c>
      <c r="AB3761" s="2">
        <v>0.192790539122452</v>
      </c>
      <c r="AC3761" s="2">
        <v>22656.642456388599</v>
      </c>
      <c r="AD3761" s="2">
        <v>18689.966517832501</v>
      </c>
      <c r="AE3761" s="2">
        <v>25564.930942816402</v>
      </c>
      <c r="AF3761" s="2">
        <v>28303.122507979901</v>
      </c>
      <c r="AG3761" s="2">
        <v>21169.424796919699</v>
      </c>
      <c r="AH3761" s="2">
        <v>18647.435279778299</v>
      </c>
      <c r="AI3761" s="2">
        <v>23477.910041356201</v>
      </c>
      <c r="AJ3761" s="2">
        <v>18777.031169481201</v>
      </c>
      <c r="AK3761" s="2">
        <v>18680.2523316853</v>
      </c>
      <c r="AL3761" s="2">
        <v>19830.7202890685</v>
      </c>
      <c r="AM3761" s="2">
        <v>19289.029152016301</v>
      </c>
      <c r="AN3761" s="2">
        <v>19138.628245237502</v>
      </c>
      <c r="AO3761" s="2">
        <v>17459.4864301409</v>
      </c>
      <c r="AP3761" s="2">
        <v>17741.682658846501</v>
      </c>
    </row>
    <row r="3762" spans="1:42" ht="14.5" x14ac:dyDescent="0.35">
      <c r="A3762" s="2" t="s">
        <v>24998</v>
      </c>
      <c r="B3762" s="2">
        <v>516.07566236033006</v>
      </c>
      <c r="C3762" s="2">
        <v>5.00538333333333</v>
      </c>
      <c r="D3762" s="2" t="s">
        <v>70</v>
      </c>
      <c r="E3762" s="2" t="s">
        <v>24999</v>
      </c>
      <c r="F3762" s="2">
        <v>81729</v>
      </c>
      <c r="G3762" s="3" t="str">
        <f>HYPERLINK("http://funmeta.oebiotech.com/network/81729", "http://funmeta.oebiotech.com/network/81729")</f>
        <v>http://funmeta.oebiotech.com/network/81729</v>
      </c>
      <c r="H3762" s="2" t="s">
        <v>25000</v>
      </c>
      <c r="I3762" s="2">
        <v>63896</v>
      </c>
      <c r="J3762" s="2"/>
      <c r="K3762" s="2">
        <v>55451</v>
      </c>
      <c r="L3762" s="2" t="s">
        <v>25001</v>
      </c>
      <c r="M3762" s="2" t="s">
        <v>25002</v>
      </c>
      <c r="N3762" s="2" t="s">
        <v>25003</v>
      </c>
      <c r="O3762" s="2">
        <v>23724672</v>
      </c>
      <c r="P3762" s="2"/>
      <c r="Q3762" s="2" t="s">
        <v>25004</v>
      </c>
      <c r="R3762" s="2" t="s">
        <v>25005</v>
      </c>
      <c r="S3762" s="2" t="s">
        <v>1444</v>
      </c>
      <c r="T3762" s="2" t="s">
        <v>4937</v>
      </c>
      <c r="U3762" s="2" t="s">
        <v>5723</v>
      </c>
      <c r="V3762" s="2" t="s">
        <v>59</v>
      </c>
      <c r="W3762" s="2">
        <v>36.1</v>
      </c>
      <c r="X3762" s="2">
        <v>0</v>
      </c>
      <c r="Y3762" s="2" t="s">
        <v>751</v>
      </c>
      <c r="Z3762" s="2" t="s">
        <v>25006</v>
      </c>
      <c r="AA3762" s="2">
        <v>-4.7430064384465602</v>
      </c>
      <c r="AB3762" s="2">
        <v>0.19268569793357099</v>
      </c>
      <c r="AC3762" s="2">
        <v>6178.7719406873002</v>
      </c>
      <c r="AD3762" s="2">
        <v>9507.1840339756909</v>
      </c>
      <c r="AE3762" s="2">
        <v>4742.9141661329804</v>
      </c>
      <c r="AF3762" s="2">
        <v>3622.96139599251</v>
      </c>
      <c r="AG3762" s="2">
        <v>6637.9424123935496</v>
      </c>
      <c r="AH3762" s="2">
        <v>5791.5495957554504</v>
      </c>
      <c r="AI3762" s="2">
        <v>7333.8989248017897</v>
      </c>
      <c r="AJ3762" s="2">
        <v>8943.3651490475295</v>
      </c>
      <c r="AK3762" s="2">
        <v>9403.1955513664598</v>
      </c>
      <c r="AL3762" s="2">
        <v>9459.7036045220393</v>
      </c>
      <c r="AM3762" s="2">
        <v>10937.7566913642</v>
      </c>
      <c r="AN3762" s="2">
        <v>6934.1679582015404</v>
      </c>
      <c r="AO3762" s="2">
        <v>11168.1669023592</v>
      </c>
      <c r="AP3762" s="2">
        <v>9140.1134960406707</v>
      </c>
    </row>
    <row r="3763" spans="1:42" ht="14.5" x14ac:dyDescent="0.35">
      <c r="A3763" s="2" t="s">
        <v>25007</v>
      </c>
      <c r="B3763" s="2">
        <v>265.105496339144</v>
      </c>
      <c r="C3763" s="2">
        <v>5.5431833333333298</v>
      </c>
      <c r="D3763" s="2" t="s">
        <v>70</v>
      </c>
      <c r="E3763" s="2" t="s">
        <v>25008</v>
      </c>
      <c r="F3763" s="2">
        <v>212380</v>
      </c>
      <c r="G3763" s="3" t="str">
        <f>HYPERLINK("http://funmeta.oebiotech.com/network/212380", "http://funmeta.oebiotech.com/network/212380")</f>
        <v>http://funmeta.oebiotech.com/network/212380</v>
      </c>
      <c r="H3763" s="2" t="s">
        <v>25009</v>
      </c>
      <c r="I3763" s="2"/>
      <c r="J3763" s="2"/>
      <c r="K3763" s="2"/>
      <c r="L3763" s="2"/>
      <c r="M3763" s="2"/>
      <c r="N3763" s="2"/>
      <c r="O3763" s="2">
        <v>85669800</v>
      </c>
      <c r="P3763" s="2"/>
      <c r="Q3763" s="2" t="s">
        <v>25010</v>
      </c>
      <c r="R3763" s="2" t="s">
        <v>25011</v>
      </c>
      <c r="S3763" s="2" t="s">
        <v>41</v>
      </c>
      <c r="T3763" s="2" t="s">
        <v>41</v>
      </c>
      <c r="U3763" s="2" t="s">
        <v>41</v>
      </c>
      <c r="V3763" s="2" t="s">
        <v>59</v>
      </c>
      <c r="W3763" s="2">
        <v>39.200000000000003</v>
      </c>
      <c r="X3763" s="2">
        <v>0</v>
      </c>
      <c r="Y3763" s="2" t="s">
        <v>408</v>
      </c>
      <c r="Z3763" s="2" t="s">
        <v>25012</v>
      </c>
      <c r="AA3763" s="2">
        <v>0.15645074073948101</v>
      </c>
      <c r="AB3763" s="2">
        <v>0.19264835290115301</v>
      </c>
      <c r="AC3763" s="2">
        <v>2584.5380689399699</v>
      </c>
      <c r="AD3763" s="2">
        <v>119.526460374265</v>
      </c>
      <c r="AE3763" s="2">
        <v>2750.8011127678001</v>
      </c>
      <c r="AF3763" s="2">
        <v>2212.0459120473201</v>
      </c>
      <c r="AG3763" s="2">
        <v>2506.8003813206001</v>
      </c>
      <c r="AH3763" s="2">
        <v>2918.1184312443802</v>
      </c>
      <c r="AI3763" s="2">
        <v>2646.9507313041099</v>
      </c>
      <c r="AJ3763" s="2">
        <v>2472.5118449556098</v>
      </c>
      <c r="AK3763" s="2">
        <v>2.7106294003980101E-5</v>
      </c>
      <c r="AL3763" s="2">
        <v>140.70674421783599</v>
      </c>
      <c r="AM3763" s="2">
        <v>211.59040526722401</v>
      </c>
      <c r="AN3763" s="2">
        <v>2.7106294003980101E-5</v>
      </c>
      <c r="AO3763" s="2">
        <v>364.86153144165002</v>
      </c>
      <c r="AP3763" s="2">
        <v>2.7106294003980101E-5</v>
      </c>
    </row>
    <row r="3764" spans="1:42" ht="14.5" x14ac:dyDescent="0.35">
      <c r="A3764" s="2" t="s">
        <v>25013</v>
      </c>
      <c r="B3764" s="2">
        <v>819.27112941614098</v>
      </c>
      <c r="C3764" s="2">
        <v>5.37571666666667</v>
      </c>
      <c r="D3764" s="2" t="s">
        <v>70</v>
      </c>
      <c r="E3764" s="2" t="s">
        <v>25014</v>
      </c>
      <c r="F3764" s="2">
        <v>57632</v>
      </c>
      <c r="G3764" s="3" t="str">
        <f>HYPERLINK("http://funmeta.oebiotech.com/network/57632", "http://funmeta.oebiotech.com/network/57632")</f>
        <v>http://funmeta.oebiotech.com/network/57632</v>
      </c>
      <c r="H3764" s="2" t="s">
        <v>25015</v>
      </c>
      <c r="I3764" s="2">
        <v>89235</v>
      </c>
      <c r="J3764" s="2"/>
      <c r="K3764" s="2"/>
      <c r="L3764" s="2"/>
      <c r="M3764" s="2"/>
      <c r="N3764" s="2"/>
      <c r="O3764" s="2">
        <v>74978145</v>
      </c>
      <c r="P3764" s="2"/>
      <c r="Q3764" s="2" t="s">
        <v>25016</v>
      </c>
      <c r="R3764" s="2" t="s">
        <v>25017</v>
      </c>
      <c r="S3764" s="2" t="s">
        <v>115</v>
      </c>
      <c r="T3764" s="2" t="s">
        <v>139</v>
      </c>
      <c r="U3764" s="2" t="s">
        <v>140</v>
      </c>
      <c r="V3764" s="2" t="s">
        <v>59</v>
      </c>
      <c r="W3764" s="2">
        <v>43.4</v>
      </c>
      <c r="X3764" s="2">
        <v>25.8</v>
      </c>
      <c r="Y3764" s="2" t="s">
        <v>751</v>
      </c>
      <c r="Z3764" s="2" t="s">
        <v>25018</v>
      </c>
      <c r="AA3764" s="2">
        <v>-0.68408172724594696</v>
      </c>
      <c r="AB3764" s="2">
        <v>0.19260400085221699</v>
      </c>
      <c r="AC3764" s="2">
        <v>118202.524688119</v>
      </c>
      <c r="AD3764" s="2">
        <v>122894.656343956</v>
      </c>
      <c r="AE3764" s="2">
        <v>120745.901159828</v>
      </c>
      <c r="AF3764" s="2">
        <v>114655.36268021799</v>
      </c>
      <c r="AG3764" s="2">
        <v>120286.993302331</v>
      </c>
      <c r="AH3764" s="2">
        <v>120765.712336439</v>
      </c>
      <c r="AI3764" s="2">
        <v>110348.508972221</v>
      </c>
      <c r="AJ3764" s="2">
        <v>122412.669677674</v>
      </c>
      <c r="AK3764" s="2">
        <v>125399.09974127301</v>
      </c>
      <c r="AL3764" s="2">
        <v>121600.95930704501</v>
      </c>
      <c r="AM3764" s="2">
        <v>121791.62356364301</v>
      </c>
      <c r="AN3764" s="2">
        <v>127936.96849185599</v>
      </c>
      <c r="AO3764" s="2">
        <v>117689.108586159</v>
      </c>
      <c r="AP3764" s="2">
        <v>122950.17837375699</v>
      </c>
    </row>
    <row r="3765" spans="1:42" ht="14.5" x14ac:dyDescent="0.35">
      <c r="A3765" s="2" t="s">
        <v>25019</v>
      </c>
      <c r="B3765" s="2">
        <v>341.12351659317397</v>
      </c>
      <c r="C3765" s="2">
        <v>4.3281833333333299</v>
      </c>
      <c r="D3765" s="2" t="s">
        <v>70</v>
      </c>
      <c r="E3765" s="2" t="s">
        <v>25020</v>
      </c>
      <c r="F3765" s="2">
        <v>35334</v>
      </c>
      <c r="G3765" s="3" t="str">
        <f>HYPERLINK("http://funmeta.oebiotech.com/network/35334", "http://funmeta.oebiotech.com/network/35334")</f>
        <v>http://funmeta.oebiotech.com/network/35334</v>
      </c>
      <c r="H3765" s="2"/>
      <c r="I3765" s="2"/>
      <c r="J3765" s="2" t="s">
        <v>25021</v>
      </c>
      <c r="K3765" s="2"/>
      <c r="L3765" s="2"/>
      <c r="M3765" s="2"/>
      <c r="N3765" s="2"/>
      <c r="O3765" s="2">
        <v>21603216</v>
      </c>
      <c r="P3765" s="2"/>
      <c r="Q3765" s="2" t="s">
        <v>25022</v>
      </c>
      <c r="R3765" s="2" t="s">
        <v>25023</v>
      </c>
      <c r="S3765" s="2" t="s">
        <v>50</v>
      </c>
      <c r="T3765" s="2" t="s">
        <v>201</v>
      </c>
      <c r="U3765" s="2" t="s">
        <v>202</v>
      </c>
      <c r="V3765" s="2" t="s">
        <v>42</v>
      </c>
      <c r="W3765" s="2">
        <v>52.7</v>
      </c>
      <c r="X3765" s="2">
        <v>72.900000000000006</v>
      </c>
      <c r="Y3765" s="2" t="s">
        <v>751</v>
      </c>
      <c r="Z3765" s="2" t="s">
        <v>13144</v>
      </c>
      <c r="AA3765" s="2">
        <v>-1.87324023774355</v>
      </c>
      <c r="AB3765" s="2">
        <v>0.19249783907474399</v>
      </c>
      <c r="AC3765" s="2">
        <v>56996.353421339401</v>
      </c>
      <c r="AD3765" s="2">
        <v>62055.3647864921</v>
      </c>
      <c r="AE3765" s="2">
        <v>57541.896010180797</v>
      </c>
      <c r="AF3765" s="2">
        <v>58199.483944457999</v>
      </c>
      <c r="AG3765" s="2">
        <v>62786.041457954001</v>
      </c>
      <c r="AH3765" s="2">
        <v>58044.894564647897</v>
      </c>
      <c r="AI3765" s="2">
        <v>51845.681985791001</v>
      </c>
      <c r="AJ3765" s="2">
        <v>53560.122565004996</v>
      </c>
      <c r="AK3765" s="2">
        <v>54400.688001336202</v>
      </c>
      <c r="AL3765" s="2">
        <v>59928.978973289697</v>
      </c>
      <c r="AM3765" s="2">
        <v>68997.919940860404</v>
      </c>
      <c r="AN3765" s="2">
        <v>68836.135211310597</v>
      </c>
      <c r="AO3765" s="2">
        <v>62739.4489714144</v>
      </c>
      <c r="AP3765" s="2">
        <v>57429.017620741302</v>
      </c>
    </row>
    <row r="3766" spans="1:42" ht="14.5" x14ac:dyDescent="0.35">
      <c r="A3766" s="2" t="s">
        <v>25024</v>
      </c>
      <c r="B3766" s="2">
        <v>765.35463985375497</v>
      </c>
      <c r="C3766" s="2">
        <v>9.6226833333333293</v>
      </c>
      <c r="D3766" s="2" t="s">
        <v>70</v>
      </c>
      <c r="E3766" s="2" t="s">
        <v>25025</v>
      </c>
      <c r="F3766" s="2">
        <v>51909</v>
      </c>
      <c r="G3766" s="3" t="str">
        <f>HYPERLINK("http://funmeta.oebiotech.com/network/51909", "http://funmeta.oebiotech.com/network/51909")</f>
        <v>http://funmeta.oebiotech.com/network/51909</v>
      </c>
      <c r="H3766" s="2" t="s">
        <v>25026</v>
      </c>
      <c r="I3766" s="2"/>
      <c r="J3766" s="2"/>
      <c r="K3766" s="2"/>
      <c r="L3766" s="2"/>
      <c r="M3766" s="2"/>
      <c r="N3766" s="2"/>
      <c r="O3766" s="2"/>
      <c r="P3766" s="2" t="s">
        <v>25027</v>
      </c>
      <c r="Q3766" s="2" t="s">
        <v>25028</v>
      </c>
      <c r="R3766" s="2" t="s">
        <v>25029</v>
      </c>
      <c r="S3766" s="2" t="s">
        <v>79</v>
      </c>
      <c r="T3766" s="2" t="s">
        <v>80</v>
      </c>
      <c r="U3766" s="2" t="s">
        <v>81</v>
      </c>
      <c r="V3766" s="2" t="s">
        <v>59</v>
      </c>
      <c r="W3766" s="2">
        <v>38.299999999999997</v>
      </c>
      <c r="X3766" s="2">
        <v>0</v>
      </c>
      <c r="Y3766" s="2" t="s">
        <v>560</v>
      </c>
      <c r="Z3766" s="2" t="s">
        <v>25030</v>
      </c>
      <c r="AA3766" s="2">
        <v>1.23858021994501</v>
      </c>
      <c r="AB3766" s="2">
        <v>0.19248427691880399</v>
      </c>
      <c r="AC3766" s="2">
        <v>4758.9715017379203</v>
      </c>
      <c r="AD3766" s="2">
        <v>2082.2673463291198</v>
      </c>
      <c r="AE3766" s="2">
        <v>5928.9903561212204</v>
      </c>
      <c r="AF3766" s="2">
        <v>4859.3950482240498</v>
      </c>
      <c r="AG3766" s="2">
        <v>3590.7952223037</v>
      </c>
      <c r="AH3766" s="2">
        <v>4465.9235326735297</v>
      </c>
      <c r="AI3766" s="2">
        <v>5065.2511941735202</v>
      </c>
      <c r="AJ3766" s="2">
        <v>4643.4736569315</v>
      </c>
      <c r="AK3766" s="2">
        <v>2308.0895723972899</v>
      </c>
      <c r="AL3766" s="2">
        <v>1376.2013789529301</v>
      </c>
      <c r="AM3766" s="2">
        <v>2603.2194228717399</v>
      </c>
      <c r="AN3766" s="2">
        <v>1606.3311992977799</v>
      </c>
      <c r="AO3766" s="2">
        <v>2708.8922014622399</v>
      </c>
      <c r="AP3766" s="2">
        <v>1890.8703029927599</v>
      </c>
    </row>
    <row r="3767" spans="1:42" ht="14.5" x14ac:dyDescent="0.35">
      <c r="A3767" s="2" t="s">
        <v>25031</v>
      </c>
      <c r="B3767" s="2">
        <v>571.25486600508702</v>
      </c>
      <c r="C3767" s="2">
        <v>7.0835499999999998</v>
      </c>
      <c r="D3767" s="2" t="s">
        <v>70</v>
      </c>
      <c r="E3767" s="2" t="s">
        <v>25032</v>
      </c>
      <c r="F3767" s="2">
        <v>205304</v>
      </c>
      <c r="G3767" s="3" t="str">
        <f>HYPERLINK("http://funmeta.oebiotech.com/network/205304", "http://funmeta.oebiotech.com/network/205304")</f>
        <v>http://funmeta.oebiotech.com/network/205304</v>
      </c>
      <c r="H3767" s="2" t="s">
        <v>25033</v>
      </c>
      <c r="I3767" s="2"/>
      <c r="J3767" s="2"/>
      <c r="K3767" s="2"/>
      <c r="L3767" s="2" t="s">
        <v>25034</v>
      </c>
      <c r="M3767" s="2"/>
      <c r="N3767" s="2"/>
      <c r="O3767" s="2">
        <v>443423</v>
      </c>
      <c r="P3767" s="2"/>
      <c r="Q3767" s="2" t="s">
        <v>25035</v>
      </c>
      <c r="R3767" s="2" t="s">
        <v>25036</v>
      </c>
      <c r="S3767" s="2" t="s">
        <v>491</v>
      </c>
      <c r="T3767" s="2" t="s">
        <v>2251</v>
      </c>
      <c r="U3767" s="2" t="s">
        <v>2252</v>
      </c>
      <c r="V3767" s="2" t="s">
        <v>59</v>
      </c>
      <c r="W3767" s="2">
        <v>38.9</v>
      </c>
      <c r="X3767" s="2">
        <v>0</v>
      </c>
      <c r="Y3767" s="2" t="s">
        <v>560</v>
      </c>
      <c r="Z3767" s="2" t="s">
        <v>25037</v>
      </c>
      <c r="AA3767" s="2">
        <v>-2.3458669442483502</v>
      </c>
      <c r="AB3767" s="2">
        <v>0.192433068311994</v>
      </c>
      <c r="AC3767" s="2">
        <v>4206.5988292116099</v>
      </c>
      <c r="AD3767" s="2">
        <v>1360.53775717496</v>
      </c>
      <c r="AE3767" s="2">
        <v>5862.80296223405</v>
      </c>
      <c r="AF3767" s="2">
        <v>4331.88090544643</v>
      </c>
      <c r="AG3767" s="2">
        <v>4759.5600399814602</v>
      </c>
      <c r="AH3767" s="2">
        <v>3979.30775159007</v>
      </c>
      <c r="AI3767" s="2">
        <v>2305.9311429775198</v>
      </c>
      <c r="AJ3767" s="2">
        <v>4000.1101730401301</v>
      </c>
      <c r="AK3767" s="2">
        <v>1481.6239820912001</v>
      </c>
      <c r="AL3767" s="2">
        <v>2237.7872399606699</v>
      </c>
      <c r="AM3767" s="2">
        <v>2011.83115065636</v>
      </c>
      <c r="AN3767" s="2">
        <v>1516.5791735689199</v>
      </c>
      <c r="AO3767" s="2">
        <v>720.03920098958099</v>
      </c>
      <c r="AP3767" s="2">
        <v>195.36579578300299</v>
      </c>
    </row>
    <row r="3768" spans="1:42" ht="14.5" x14ac:dyDescent="0.35">
      <c r="A3768" s="2" t="s">
        <v>25038</v>
      </c>
      <c r="B3768" s="2">
        <v>457.19285088297499</v>
      </c>
      <c r="C3768" s="2">
        <v>3.8614999999999999</v>
      </c>
      <c r="D3768" s="2" t="s">
        <v>70</v>
      </c>
      <c r="E3768" s="2" t="s">
        <v>25039</v>
      </c>
      <c r="F3768" s="2">
        <v>64594</v>
      </c>
      <c r="G3768" s="3" t="str">
        <f>HYPERLINK("http://funmeta.oebiotech.com/network/64594", "http://funmeta.oebiotech.com/network/64594")</f>
        <v>http://funmeta.oebiotech.com/network/64594</v>
      </c>
      <c r="H3768" s="2" t="s">
        <v>25040</v>
      </c>
      <c r="I3768" s="2">
        <v>95896</v>
      </c>
      <c r="J3768" s="2"/>
      <c r="K3768" s="2">
        <v>167952</v>
      </c>
      <c r="L3768" s="2"/>
      <c r="M3768" s="2"/>
      <c r="N3768" s="2"/>
      <c r="O3768" s="2">
        <v>131753153</v>
      </c>
      <c r="P3768" s="2" t="s">
        <v>25041</v>
      </c>
      <c r="Q3768" s="2" t="s">
        <v>25042</v>
      </c>
      <c r="R3768" s="2" t="s">
        <v>25043</v>
      </c>
      <c r="S3768" s="2" t="s">
        <v>50</v>
      </c>
      <c r="T3768" s="2" t="s">
        <v>229</v>
      </c>
      <c r="U3768" s="2" t="s">
        <v>230</v>
      </c>
      <c r="V3768" s="2" t="s">
        <v>42</v>
      </c>
      <c r="W3768" s="2">
        <v>49.6</v>
      </c>
      <c r="X3768" s="2">
        <v>55.4</v>
      </c>
      <c r="Y3768" s="2" t="s">
        <v>408</v>
      </c>
      <c r="Z3768" s="2" t="s">
        <v>25044</v>
      </c>
      <c r="AA3768" s="2">
        <v>0.45165957423533698</v>
      </c>
      <c r="AB3768" s="2">
        <v>0.192431592005954</v>
      </c>
      <c r="AC3768" s="2">
        <v>6554.1768732270002</v>
      </c>
      <c r="AD3768" s="2">
        <v>3975.2753984207602</v>
      </c>
      <c r="AE3768" s="2">
        <v>7071.1910209603402</v>
      </c>
      <c r="AF3768" s="2">
        <v>6281.0241394293898</v>
      </c>
      <c r="AG3768" s="2">
        <v>5980.7601357807298</v>
      </c>
      <c r="AH3768" s="2">
        <v>5913.6951186633196</v>
      </c>
      <c r="AI3768" s="2">
        <v>6618.5815838250401</v>
      </c>
      <c r="AJ3768" s="2">
        <v>7459.80924070318</v>
      </c>
      <c r="AK3768" s="2">
        <v>3718.2886846592</v>
      </c>
      <c r="AL3768" s="2">
        <v>3754.4488544446999</v>
      </c>
      <c r="AM3768" s="2">
        <v>3751.1374495496002</v>
      </c>
      <c r="AN3768" s="2">
        <v>3880.2980077833799</v>
      </c>
      <c r="AO3768" s="2">
        <v>4166.4132358409597</v>
      </c>
      <c r="AP3768" s="2">
        <v>4581.0661582467501</v>
      </c>
    </row>
    <row r="3769" spans="1:42" ht="14.5" x14ac:dyDescent="0.35">
      <c r="A3769" s="2" t="s">
        <v>25045</v>
      </c>
      <c r="B3769" s="2">
        <v>391.17414636710703</v>
      </c>
      <c r="C3769" s="2">
        <v>5.4735333333333296</v>
      </c>
      <c r="D3769" s="2" t="s">
        <v>34</v>
      </c>
      <c r="E3769" s="2" t="s">
        <v>25046</v>
      </c>
      <c r="F3769" s="2">
        <v>210523</v>
      </c>
      <c r="G3769" s="3" t="str">
        <f>HYPERLINK("http://funmeta.oebiotech.com/network/210523", "http://funmeta.oebiotech.com/network/210523")</f>
        <v>http://funmeta.oebiotech.com/network/210523</v>
      </c>
      <c r="H3769" s="2" t="s">
        <v>25047</v>
      </c>
      <c r="I3769" s="2"/>
      <c r="J3769" s="2"/>
      <c r="K3769" s="2"/>
      <c r="L3769" s="2"/>
      <c r="M3769" s="2"/>
      <c r="N3769" s="2"/>
      <c r="O3769" s="2">
        <v>9841481</v>
      </c>
      <c r="P3769" s="2"/>
      <c r="Q3769" s="2" t="s">
        <v>25048</v>
      </c>
      <c r="R3769" s="2" t="s">
        <v>25049</v>
      </c>
      <c r="S3769" s="2" t="s">
        <v>89</v>
      </c>
      <c r="T3769" s="2" t="s">
        <v>90</v>
      </c>
      <c r="U3769" s="2" t="s">
        <v>99</v>
      </c>
      <c r="V3769" s="2" t="s">
        <v>59</v>
      </c>
      <c r="W3769" s="2">
        <v>38.700000000000003</v>
      </c>
      <c r="X3769" s="2">
        <v>0</v>
      </c>
      <c r="Y3769" s="2" t="s">
        <v>340</v>
      </c>
      <c r="Z3769" s="2" t="s">
        <v>25050</v>
      </c>
      <c r="AA3769" s="2">
        <v>-0.19053431660277201</v>
      </c>
      <c r="AB3769" s="2">
        <v>0.192424760357603</v>
      </c>
      <c r="AC3769" s="2">
        <v>6304.0056630284598</v>
      </c>
      <c r="AD3769" s="2">
        <v>9227.3094238161502</v>
      </c>
      <c r="AE3769" s="2">
        <v>6829.1029779145802</v>
      </c>
      <c r="AF3769" s="2">
        <v>6667.1150184193903</v>
      </c>
      <c r="AG3769" s="2">
        <v>7162.2544126323801</v>
      </c>
      <c r="AH3769" s="2">
        <v>5200.1018266864103</v>
      </c>
      <c r="AI3769" s="2">
        <v>5303.2681057421896</v>
      </c>
      <c r="AJ3769" s="2">
        <v>6662.1916367758304</v>
      </c>
      <c r="AK3769" s="2">
        <v>10449.0647577418</v>
      </c>
      <c r="AL3769" s="2">
        <v>7115.5353135316</v>
      </c>
      <c r="AM3769" s="2">
        <v>9471.1046435684293</v>
      </c>
      <c r="AN3769" s="2">
        <v>9749.4974518085401</v>
      </c>
      <c r="AO3769" s="2">
        <v>8441.9337094576404</v>
      </c>
      <c r="AP3769" s="2">
        <v>10136.7206667889</v>
      </c>
    </row>
    <row r="3770" spans="1:42" ht="14.5" x14ac:dyDescent="0.35">
      <c r="A3770" s="2" t="s">
        <v>25051</v>
      </c>
      <c r="B3770" s="2">
        <v>318.15456198313399</v>
      </c>
      <c r="C3770" s="2">
        <v>3.7704833333333299</v>
      </c>
      <c r="D3770" s="2" t="s">
        <v>34</v>
      </c>
      <c r="E3770" s="2" t="s">
        <v>25052</v>
      </c>
      <c r="F3770" s="2">
        <v>267131</v>
      </c>
      <c r="G3770" s="3" t="str">
        <f>HYPERLINK("http://funmeta.oebiotech.com/network/267131", "http://funmeta.oebiotech.com/network/267131")</f>
        <v>http://funmeta.oebiotech.com/network/267131</v>
      </c>
      <c r="H3770" s="2"/>
      <c r="I3770" s="2">
        <v>44847</v>
      </c>
      <c r="J3770" s="2"/>
      <c r="K3770" s="2"/>
      <c r="L3770" s="2" t="s">
        <v>25053</v>
      </c>
      <c r="M3770" s="2" t="s">
        <v>22392</v>
      </c>
      <c r="N3770" s="2" t="s">
        <v>22393</v>
      </c>
      <c r="O3770" s="2">
        <v>159278</v>
      </c>
      <c r="P3770" s="2" t="s">
        <v>25054</v>
      </c>
      <c r="Q3770" s="2" t="s">
        <v>25055</v>
      </c>
      <c r="R3770" s="2" t="s">
        <v>25056</v>
      </c>
      <c r="S3770" s="2" t="s">
        <v>79</v>
      </c>
      <c r="T3770" s="2" t="s">
        <v>80</v>
      </c>
      <c r="U3770" s="2" t="s">
        <v>81</v>
      </c>
      <c r="V3770" s="2" t="s">
        <v>59</v>
      </c>
      <c r="W3770" s="2">
        <v>39.299999999999997</v>
      </c>
      <c r="X3770" s="2">
        <v>0</v>
      </c>
      <c r="Y3770" s="2" t="s">
        <v>25057</v>
      </c>
      <c r="Z3770" s="2" t="s">
        <v>25058</v>
      </c>
      <c r="AA3770" s="2">
        <v>-0.55486033774580501</v>
      </c>
      <c r="AB3770" s="2">
        <v>0.192179271352696</v>
      </c>
      <c r="AC3770" s="2">
        <v>6437.82210259556</v>
      </c>
      <c r="AD3770" s="2">
        <v>9129.8128864086902</v>
      </c>
      <c r="AE3770" s="2">
        <v>6003.4685455090203</v>
      </c>
      <c r="AF3770" s="2">
        <v>7977.6948511166602</v>
      </c>
      <c r="AG3770" s="2">
        <v>5577.7836907913197</v>
      </c>
      <c r="AH3770" s="2">
        <v>6014.2860242843199</v>
      </c>
      <c r="AI3770" s="2">
        <v>6707.9656355740299</v>
      </c>
      <c r="AJ3770" s="2">
        <v>6345.7338682980098</v>
      </c>
      <c r="AK3770" s="2">
        <v>8891.0113872821494</v>
      </c>
      <c r="AL3770" s="2">
        <v>8328.9078925335307</v>
      </c>
      <c r="AM3770" s="2">
        <v>9227.6439398308794</v>
      </c>
      <c r="AN3770" s="2">
        <v>9505.7523946457604</v>
      </c>
      <c r="AO3770" s="2">
        <v>8843.3009092520406</v>
      </c>
      <c r="AP3770" s="2">
        <v>9982.2607949077992</v>
      </c>
    </row>
    <row r="3771" spans="1:42" ht="14.5" x14ac:dyDescent="0.35">
      <c r="A3771" s="2" t="s">
        <v>25059</v>
      </c>
      <c r="B3771" s="2">
        <v>290.11643244016199</v>
      </c>
      <c r="C3771" s="2">
        <v>3.8609</v>
      </c>
      <c r="D3771" s="2" t="s">
        <v>34</v>
      </c>
      <c r="E3771" s="2" t="s">
        <v>25060</v>
      </c>
      <c r="F3771" s="2">
        <v>202159</v>
      </c>
      <c r="G3771" s="3" t="str">
        <f>HYPERLINK("http://funmeta.oebiotech.com/network/202159", "http://funmeta.oebiotech.com/network/202159")</f>
        <v>http://funmeta.oebiotech.com/network/202159</v>
      </c>
      <c r="H3771" s="2" t="s">
        <v>25061</v>
      </c>
      <c r="I3771" s="2"/>
      <c r="J3771" s="2"/>
      <c r="K3771" s="2"/>
      <c r="L3771" s="2"/>
      <c r="M3771" s="2"/>
      <c r="N3771" s="2"/>
      <c r="O3771" s="2">
        <v>10401034</v>
      </c>
      <c r="P3771" s="2"/>
      <c r="Q3771" s="2" t="s">
        <v>25062</v>
      </c>
      <c r="R3771" s="2" t="s">
        <v>25063</v>
      </c>
      <c r="S3771" s="2" t="s">
        <v>89</v>
      </c>
      <c r="T3771" s="2" t="s">
        <v>90</v>
      </c>
      <c r="U3771" s="2" t="s">
        <v>99</v>
      </c>
      <c r="V3771" s="2" t="s">
        <v>59</v>
      </c>
      <c r="W3771" s="2">
        <v>36.200000000000003</v>
      </c>
      <c r="X3771" s="2">
        <v>0</v>
      </c>
      <c r="Y3771" s="2" t="s">
        <v>43</v>
      </c>
      <c r="Z3771" s="2" t="s">
        <v>25064</v>
      </c>
      <c r="AA3771" s="2">
        <v>-1.73142262961043</v>
      </c>
      <c r="AB3771" s="2">
        <v>0.192059888021719</v>
      </c>
      <c r="AC3771" s="2">
        <v>7928.7073828714701</v>
      </c>
      <c r="AD3771" s="2">
        <v>10545.037239547801</v>
      </c>
      <c r="AE3771" s="2">
        <v>7938.4728937759701</v>
      </c>
      <c r="AF3771" s="2">
        <v>8420.0896234661595</v>
      </c>
      <c r="AG3771" s="2">
        <v>8525.2504260551905</v>
      </c>
      <c r="AH3771" s="2">
        <v>7260.4482059206803</v>
      </c>
      <c r="AI3771" s="2">
        <v>8122.5474590765198</v>
      </c>
      <c r="AJ3771" s="2">
        <v>7305.4356889342998</v>
      </c>
      <c r="AK3771" s="2">
        <v>11264.5970205302</v>
      </c>
      <c r="AL3771" s="2">
        <v>10585.362279986901</v>
      </c>
      <c r="AM3771" s="2">
        <v>9480.9354075140891</v>
      </c>
      <c r="AN3771" s="2">
        <v>11006.012026743199</v>
      </c>
      <c r="AO3771" s="2">
        <v>10619.655835901</v>
      </c>
      <c r="AP3771" s="2">
        <v>10313.660866611301</v>
      </c>
    </row>
    <row r="3772" spans="1:42" ht="14.5" x14ac:dyDescent="0.35">
      <c r="A3772" s="2" t="s">
        <v>25065</v>
      </c>
      <c r="B3772" s="2">
        <v>555.35237585180698</v>
      </c>
      <c r="C3772" s="2">
        <v>5.2831999999999999</v>
      </c>
      <c r="D3772" s="2" t="s">
        <v>70</v>
      </c>
      <c r="E3772" s="2" t="s">
        <v>25066</v>
      </c>
      <c r="F3772" s="2">
        <v>52785</v>
      </c>
      <c r="G3772" s="3" t="str">
        <f>HYPERLINK("http://funmeta.oebiotech.com/network/52785", "http://funmeta.oebiotech.com/network/52785")</f>
        <v>http://funmeta.oebiotech.com/network/52785</v>
      </c>
      <c r="H3772" s="2" t="s">
        <v>25067</v>
      </c>
      <c r="I3772" s="2">
        <v>2969</v>
      </c>
      <c r="J3772" s="2"/>
      <c r="K3772" s="2">
        <v>84116</v>
      </c>
      <c r="L3772" s="2"/>
      <c r="M3772" s="2"/>
      <c r="N3772" s="2"/>
      <c r="O3772" s="2">
        <v>5282443</v>
      </c>
      <c r="P3772" s="2" t="s">
        <v>25068</v>
      </c>
      <c r="Q3772" s="2" t="s">
        <v>25069</v>
      </c>
      <c r="R3772" s="2" t="s">
        <v>25070</v>
      </c>
      <c r="S3772" s="2" t="s">
        <v>148</v>
      </c>
      <c r="T3772" s="2" t="s">
        <v>149</v>
      </c>
      <c r="U3772" s="2" t="s">
        <v>2874</v>
      </c>
      <c r="V3772" s="2" t="s">
        <v>59</v>
      </c>
      <c r="W3772" s="2">
        <v>38.299999999999997</v>
      </c>
      <c r="X3772" s="2">
        <v>0</v>
      </c>
      <c r="Y3772" s="2" t="s">
        <v>560</v>
      </c>
      <c r="Z3772" s="2" t="s">
        <v>25071</v>
      </c>
      <c r="AA3772" s="2">
        <v>5.49081927176971</v>
      </c>
      <c r="AB3772" s="2">
        <v>0.192011497369421</v>
      </c>
      <c r="AC3772" s="2">
        <v>2503.05426572229</v>
      </c>
      <c r="AD3772" s="2">
        <v>2.7106294003980101E-5</v>
      </c>
      <c r="AE3772" s="2">
        <v>3090.0268906472202</v>
      </c>
      <c r="AF3772" s="2">
        <v>2915.05282264282</v>
      </c>
      <c r="AG3772" s="2">
        <v>2943.9671902722998</v>
      </c>
      <c r="AH3772" s="2">
        <v>1807.22478742824</v>
      </c>
      <c r="AI3772" s="2">
        <v>2157.7002460142098</v>
      </c>
      <c r="AJ3772" s="2">
        <v>2104.3536573289798</v>
      </c>
      <c r="AK3772" s="2">
        <v>2.7106294003980101E-5</v>
      </c>
      <c r="AL3772" s="2">
        <v>2.7106294003980101E-5</v>
      </c>
      <c r="AM3772" s="2">
        <v>2.7106294003980101E-5</v>
      </c>
      <c r="AN3772" s="2">
        <v>2.7106294003980101E-5</v>
      </c>
      <c r="AO3772" s="2">
        <v>2.7106294003980101E-5</v>
      </c>
      <c r="AP3772" s="2">
        <v>2.7106294003980101E-5</v>
      </c>
    </row>
    <row r="3773" spans="1:42" ht="14.5" x14ac:dyDescent="0.35">
      <c r="A3773" s="2" t="s">
        <v>25072</v>
      </c>
      <c r="B3773" s="2">
        <v>871.24385686722701</v>
      </c>
      <c r="C3773" s="2">
        <v>5.5993333333333304</v>
      </c>
      <c r="D3773" s="2" t="s">
        <v>70</v>
      </c>
      <c r="E3773" s="2" t="s">
        <v>25073</v>
      </c>
      <c r="F3773" s="2">
        <v>204215</v>
      </c>
      <c r="G3773" s="3" t="str">
        <f>HYPERLINK("http://funmeta.oebiotech.com/network/204215", "http://funmeta.oebiotech.com/network/204215")</f>
        <v>http://funmeta.oebiotech.com/network/204215</v>
      </c>
      <c r="H3773" s="2" t="s">
        <v>25074</v>
      </c>
      <c r="I3773" s="2"/>
      <c r="J3773" s="2"/>
      <c r="K3773" s="2"/>
      <c r="L3773" s="2"/>
      <c r="M3773" s="2"/>
      <c r="N3773" s="2"/>
      <c r="O3773" s="2">
        <v>93248</v>
      </c>
      <c r="P3773" s="2"/>
      <c r="Q3773" s="2" t="s">
        <v>25075</v>
      </c>
      <c r="R3773" s="2" t="s">
        <v>25076</v>
      </c>
      <c r="S3773" s="2" t="s">
        <v>41</v>
      </c>
      <c r="T3773" s="2" t="s">
        <v>41</v>
      </c>
      <c r="U3773" s="2" t="s">
        <v>41</v>
      </c>
      <c r="V3773" s="2" t="s">
        <v>59</v>
      </c>
      <c r="W3773" s="2">
        <v>36.700000000000003</v>
      </c>
      <c r="X3773" s="2">
        <v>0</v>
      </c>
      <c r="Y3773" s="2" t="s">
        <v>560</v>
      </c>
      <c r="Z3773" s="2" t="s">
        <v>25077</v>
      </c>
      <c r="AA3773" s="2">
        <v>3.8277711992777799</v>
      </c>
      <c r="AB3773" s="2">
        <v>0.191921963974689</v>
      </c>
      <c r="AC3773" s="2">
        <v>2585.6830264124701</v>
      </c>
      <c r="AD3773" s="2">
        <v>2.7106294003980101E-5</v>
      </c>
      <c r="AE3773" s="2">
        <v>3742.2652432161499</v>
      </c>
      <c r="AF3773" s="2">
        <v>2460.6844943411502</v>
      </c>
      <c r="AG3773" s="2">
        <v>1834.0925761431199</v>
      </c>
      <c r="AH3773" s="2">
        <v>3032.2406850204402</v>
      </c>
      <c r="AI3773" s="2">
        <v>2710.0692882081098</v>
      </c>
      <c r="AJ3773" s="2">
        <v>1734.7458715458499</v>
      </c>
      <c r="AK3773" s="2">
        <v>2.7106294003980101E-5</v>
      </c>
      <c r="AL3773" s="2">
        <v>2.7106294003980101E-5</v>
      </c>
      <c r="AM3773" s="2">
        <v>2.7106294003980101E-5</v>
      </c>
      <c r="AN3773" s="2">
        <v>2.7106294003980101E-5</v>
      </c>
      <c r="AO3773" s="2">
        <v>2.7106294003980101E-5</v>
      </c>
      <c r="AP3773" s="2">
        <v>2.7106294003980101E-5</v>
      </c>
    </row>
    <row r="3774" spans="1:42" ht="14.5" x14ac:dyDescent="0.35">
      <c r="A3774" s="2" t="s">
        <v>25078</v>
      </c>
      <c r="B3774" s="2">
        <v>367.21221980376299</v>
      </c>
      <c r="C3774" s="2">
        <v>4.9873666666666701</v>
      </c>
      <c r="D3774" s="2" t="s">
        <v>70</v>
      </c>
      <c r="E3774" s="2" t="s">
        <v>25079</v>
      </c>
      <c r="F3774" s="2">
        <v>57830</v>
      </c>
      <c r="G3774" s="3" t="str">
        <f>HYPERLINK("http://funmeta.oebiotech.com/network/57830", "http://funmeta.oebiotech.com/network/57830")</f>
        <v>http://funmeta.oebiotech.com/network/57830</v>
      </c>
      <c r="H3774" s="2" t="s">
        <v>25080</v>
      </c>
      <c r="I3774" s="2">
        <v>84966</v>
      </c>
      <c r="J3774" s="2"/>
      <c r="K3774" s="2"/>
      <c r="L3774" s="2" t="s">
        <v>25081</v>
      </c>
      <c r="M3774" s="2"/>
      <c r="N3774" s="2"/>
      <c r="O3774" s="2">
        <v>5275725</v>
      </c>
      <c r="P3774" s="2" t="s">
        <v>25082</v>
      </c>
      <c r="Q3774" s="2" t="s">
        <v>25083</v>
      </c>
      <c r="R3774" s="2" t="s">
        <v>25084</v>
      </c>
      <c r="S3774" s="2" t="s">
        <v>148</v>
      </c>
      <c r="T3774" s="2" t="s">
        <v>392</v>
      </c>
      <c r="U3774" s="2" t="s">
        <v>3450</v>
      </c>
      <c r="V3774" s="2" t="s">
        <v>59</v>
      </c>
      <c r="W3774" s="2">
        <v>38.5</v>
      </c>
      <c r="X3774" s="2">
        <v>0</v>
      </c>
      <c r="Y3774" s="2" t="s">
        <v>408</v>
      </c>
      <c r="Z3774" s="2" t="s">
        <v>6682</v>
      </c>
      <c r="AA3774" s="2">
        <v>-1.2181533974116601</v>
      </c>
      <c r="AB3774" s="2">
        <v>0.191860577071571</v>
      </c>
      <c r="AC3774" s="2">
        <v>18401.980906528901</v>
      </c>
      <c r="AD3774" s="2">
        <v>15498.733185881099</v>
      </c>
      <c r="AE3774" s="2">
        <v>18117.376375477201</v>
      </c>
      <c r="AF3774" s="2">
        <v>18899.410736782898</v>
      </c>
      <c r="AG3774" s="2">
        <v>17239.988733807</v>
      </c>
      <c r="AH3774" s="2">
        <v>19350.935041602799</v>
      </c>
      <c r="AI3774" s="2">
        <v>19062.811046320501</v>
      </c>
      <c r="AJ3774" s="2">
        <v>17741.363505183199</v>
      </c>
      <c r="AK3774" s="2">
        <v>15987.0388613779</v>
      </c>
      <c r="AL3774" s="2">
        <v>14552.831271597101</v>
      </c>
      <c r="AM3774" s="2">
        <v>16585.627946272802</v>
      </c>
      <c r="AN3774" s="2">
        <v>15655.271623910499</v>
      </c>
      <c r="AO3774" s="2">
        <v>13561.749291837699</v>
      </c>
      <c r="AP3774" s="2">
        <v>16649.8801202906</v>
      </c>
    </row>
    <row r="3775" spans="1:42" ht="14.5" x14ac:dyDescent="0.35">
      <c r="A3775" s="2" t="s">
        <v>25085</v>
      </c>
      <c r="B3775" s="2">
        <v>134.08102517368701</v>
      </c>
      <c r="C3775" s="2">
        <v>0.73473333333333302</v>
      </c>
      <c r="D3775" s="2" t="s">
        <v>34</v>
      </c>
      <c r="E3775" s="2" t="s">
        <v>25086</v>
      </c>
      <c r="F3775" s="2">
        <v>348</v>
      </c>
      <c r="G3775" s="3" t="str">
        <f>HYPERLINK("http://funmeta.oebiotech.com/network/348", "http://funmeta.oebiotech.com/network/348")</f>
        <v>http://funmeta.oebiotech.com/network/348</v>
      </c>
      <c r="H3775" s="2" t="s">
        <v>25087</v>
      </c>
      <c r="I3775" s="2">
        <v>120</v>
      </c>
      <c r="J3775" s="2" t="s">
        <v>25088</v>
      </c>
      <c r="K3775" s="2">
        <v>16530</v>
      </c>
      <c r="L3775" s="2" t="s">
        <v>25089</v>
      </c>
      <c r="M3775" s="2" t="s">
        <v>25090</v>
      </c>
      <c r="N3775" s="2" t="s">
        <v>25091</v>
      </c>
      <c r="O3775" s="2">
        <v>49</v>
      </c>
      <c r="P3775" s="2" t="s">
        <v>25092</v>
      </c>
      <c r="Q3775" s="2" t="s">
        <v>25093</v>
      </c>
      <c r="R3775" s="2" t="s">
        <v>25094</v>
      </c>
      <c r="S3775" s="2" t="s">
        <v>89</v>
      </c>
      <c r="T3775" s="2" t="s">
        <v>2718</v>
      </c>
      <c r="U3775" s="2" t="s">
        <v>25095</v>
      </c>
      <c r="V3775" s="2" t="s">
        <v>59</v>
      </c>
      <c r="W3775" s="2">
        <v>38.5</v>
      </c>
      <c r="X3775" s="2">
        <v>0</v>
      </c>
      <c r="Y3775" s="2" t="s">
        <v>43</v>
      </c>
      <c r="Z3775" s="2" t="s">
        <v>25096</v>
      </c>
      <c r="AA3775" s="2">
        <v>-1.24493631372972</v>
      </c>
      <c r="AB3775" s="2">
        <v>0.19183984889007499</v>
      </c>
      <c r="AC3775" s="2">
        <v>8446.2390182699801</v>
      </c>
      <c r="AD3775" s="2">
        <v>5655.0964790386597</v>
      </c>
      <c r="AE3775" s="2">
        <v>9338.7580232764103</v>
      </c>
      <c r="AF3775" s="2">
        <v>8998.1623273719197</v>
      </c>
      <c r="AG3775" s="2">
        <v>8407.9851643459606</v>
      </c>
      <c r="AH3775" s="2">
        <v>9172.8089954645002</v>
      </c>
      <c r="AI3775" s="2">
        <v>7350.0641826646897</v>
      </c>
      <c r="AJ3775" s="2">
        <v>7409.65541649639</v>
      </c>
      <c r="AK3775" s="2">
        <v>5343.76869921659</v>
      </c>
      <c r="AL3775" s="2">
        <v>5891.8825167922296</v>
      </c>
      <c r="AM3775" s="2">
        <v>6905.6974154693298</v>
      </c>
      <c r="AN3775" s="2">
        <v>4520.3112690473499</v>
      </c>
      <c r="AO3775" s="2">
        <v>6450.4818651177802</v>
      </c>
      <c r="AP3775" s="2">
        <v>4818.4371085886896</v>
      </c>
    </row>
    <row r="3776" spans="1:42" ht="14.5" x14ac:dyDescent="0.35">
      <c r="A3776" s="2" t="s">
        <v>25097</v>
      </c>
      <c r="B3776" s="2">
        <v>601.228272016917</v>
      </c>
      <c r="C3776" s="2">
        <v>5.4683000000000002</v>
      </c>
      <c r="D3776" s="2" t="s">
        <v>70</v>
      </c>
      <c r="E3776" s="2" t="s">
        <v>25098</v>
      </c>
      <c r="F3776" s="2">
        <v>254828</v>
      </c>
      <c r="G3776" s="3" t="str">
        <f>HYPERLINK("http://funmeta.oebiotech.com/network/254828", "http://funmeta.oebiotech.com/network/254828")</f>
        <v>http://funmeta.oebiotech.com/network/254828</v>
      </c>
      <c r="H3776" s="2" t="s">
        <v>25099</v>
      </c>
      <c r="I3776" s="2"/>
      <c r="J3776" s="2"/>
      <c r="K3776" s="2"/>
      <c r="L3776" s="2"/>
      <c r="M3776" s="2"/>
      <c r="N3776" s="2"/>
      <c r="O3776" s="2"/>
      <c r="P3776" s="2"/>
      <c r="Q3776" s="2" t="s">
        <v>25100</v>
      </c>
      <c r="R3776" s="2" t="s">
        <v>25101</v>
      </c>
      <c r="S3776" s="2" t="s">
        <v>1184</v>
      </c>
      <c r="T3776" s="2" t="s">
        <v>3333</v>
      </c>
      <c r="U3776" s="2" t="s">
        <v>3334</v>
      </c>
      <c r="V3776" s="2" t="s">
        <v>42</v>
      </c>
      <c r="W3776" s="2">
        <v>52.4</v>
      </c>
      <c r="X3776" s="2">
        <v>71</v>
      </c>
      <c r="Y3776" s="2" t="s">
        <v>408</v>
      </c>
      <c r="Z3776" s="2" t="s">
        <v>25102</v>
      </c>
      <c r="AA3776" s="2">
        <v>-1.3990651662345199</v>
      </c>
      <c r="AB3776" s="2">
        <v>0.191826165246133</v>
      </c>
      <c r="AC3776" s="2">
        <v>130535.243778756</v>
      </c>
      <c r="AD3776" s="2">
        <v>125338.855198679</v>
      </c>
      <c r="AE3776" s="2">
        <v>131389.66202145701</v>
      </c>
      <c r="AF3776" s="2">
        <v>135640.14816240899</v>
      </c>
      <c r="AG3776" s="2">
        <v>123980.116278624</v>
      </c>
      <c r="AH3776" s="2">
        <v>128688.72605578401</v>
      </c>
      <c r="AI3776" s="2">
        <v>127200.12531437101</v>
      </c>
      <c r="AJ3776" s="2">
        <v>136312.68483989101</v>
      </c>
      <c r="AK3776" s="2">
        <v>124152.00577819601</v>
      </c>
      <c r="AL3776" s="2">
        <v>120134.215145343</v>
      </c>
      <c r="AM3776" s="2">
        <v>126563.32755518099</v>
      </c>
      <c r="AN3776" s="2">
        <v>135108.26946459399</v>
      </c>
      <c r="AO3776" s="2">
        <v>118744.36194756599</v>
      </c>
      <c r="AP3776" s="2">
        <v>127330.951301191</v>
      </c>
    </row>
    <row r="3777" spans="1:42" ht="14.5" x14ac:dyDescent="0.35">
      <c r="A3777" s="2" t="s">
        <v>25103</v>
      </c>
      <c r="B3777" s="2">
        <v>365.19333803502201</v>
      </c>
      <c r="C3777" s="2">
        <v>11.924616666666701</v>
      </c>
      <c r="D3777" s="2" t="s">
        <v>34</v>
      </c>
      <c r="E3777" s="2" t="s">
        <v>25104</v>
      </c>
      <c r="F3777" s="2">
        <v>207334</v>
      </c>
      <c r="G3777" s="3" t="str">
        <f>HYPERLINK("http://funmeta.oebiotech.com/network/207334", "http://funmeta.oebiotech.com/network/207334")</f>
        <v>http://funmeta.oebiotech.com/network/207334</v>
      </c>
      <c r="H3777" s="2" t="s">
        <v>25105</v>
      </c>
      <c r="I3777" s="2"/>
      <c r="J3777" s="2"/>
      <c r="K3777" s="2"/>
      <c r="L3777" s="2"/>
      <c r="M3777" s="2"/>
      <c r="N3777" s="2"/>
      <c r="O3777" s="2">
        <v>58774169</v>
      </c>
      <c r="P3777" s="2"/>
      <c r="Q3777" s="2" t="s">
        <v>25106</v>
      </c>
      <c r="R3777" s="2" t="s">
        <v>25107</v>
      </c>
      <c r="S3777" s="2" t="s">
        <v>41</v>
      </c>
      <c r="T3777" s="2" t="s">
        <v>41</v>
      </c>
      <c r="U3777" s="2" t="s">
        <v>41</v>
      </c>
      <c r="V3777" s="2" t="s">
        <v>59</v>
      </c>
      <c r="W3777" s="2">
        <v>38.6</v>
      </c>
      <c r="X3777" s="2">
        <v>0</v>
      </c>
      <c r="Y3777" s="2" t="s">
        <v>43</v>
      </c>
      <c r="Z3777" s="2" t="s">
        <v>25108</v>
      </c>
      <c r="AA3777" s="2">
        <v>0.45607099410938001</v>
      </c>
      <c r="AB3777" s="2">
        <v>0.19160661093294101</v>
      </c>
      <c r="AC3777" s="2">
        <v>7791.6718185522996</v>
      </c>
      <c r="AD3777" s="2">
        <v>5109.0624846197898</v>
      </c>
      <c r="AE3777" s="2">
        <v>8345.5434069021794</v>
      </c>
      <c r="AF3777" s="2">
        <v>7815.5432550975802</v>
      </c>
      <c r="AG3777" s="2">
        <v>8277.1332147438807</v>
      </c>
      <c r="AH3777" s="2">
        <v>6999.4247074692203</v>
      </c>
      <c r="AI3777" s="2">
        <v>7914.9630816655199</v>
      </c>
      <c r="AJ3777" s="2">
        <v>7397.4232454353896</v>
      </c>
      <c r="AK3777" s="2">
        <v>6235.3066791132596</v>
      </c>
      <c r="AL3777" s="2">
        <v>5930.5549339488198</v>
      </c>
      <c r="AM3777" s="2">
        <v>4761.8844554666402</v>
      </c>
      <c r="AN3777" s="2">
        <v>5314.39476800795</v>
      </c>
      <c r="AO3777" s="2">
        <v>4557.7880825499997</v>
      </c>
      <c r="AP3777" s="2">
        <v>3854.4459886320801</v>
      </c>
    </row>
    <row r="3778" spans="1:42" ht="14.5" x14ac:dyDescent="0.35">
      <c r="A3778" s="2" t="s">
        <v>25109</v>
      </c>
      <c r="B3778" s="2">
        <v>225.14835037538501</v>
      </c>
      <c r="C3778" s="2">
        <v>4.4289500000000004</v>
      </c>
      <c r="D3778" s="2" t="s">
        <v>34</v>
      </c>
      <c r="E3778" s="2" t="s">
        <v>25110</v>
      </c>
      <c r="F3778" s="2">
        <v>62096</v>
      </c>
      <c r="G3778" s="3" t="str">
        <f>HYPERLINK("http://funmeta.oebiotech.com/network/62096", "http://funmeta.oebiotech.com/network/62096")</f>
        <v>http://funmeta.oebiotech.com/network/62096</v>
      </c>
      <c r="H3778" s="2" t="s">
        <v>25111</v>
      </c>
      <c r="I3778" s="2">
        <v>93389</v>
      </c>
      <c r="J3778" s="2"/>
      <c r="K3778" s="2">
        <v>168487</v>
      </c>
      <c r="L3778" s="2"/>
      <c r="M3778" s="2"/>
      <c r="N3778" s="2"/>
      <c r="O3778" s="2">
        <v>51136538</v>
      </c>
      <c r="P3778" s="2"/>
      <c r="Q3778" s="2" t="s">
        <v>25112</v>
      </c>
      <c r="R3778" s="2" t="s">
        <v>25113</v>
      </c>
      <c r="S3778" s="2" t="s">
        <v>50</v>
      </c>
      <c r="T3778" s="2" t="s">
        <v>201</v>
      </c>
      <c r="U3778" s="2" t="s">
        <v>636</v>
      </c>
      <c r="V3778" s="2" t="s">
        <v>42</v>
      </c>
      <c r="W3778" s="2">
        <v>52.5</v>
      </c>
      <c r="X3778" s="2">
        <v>66.599999999999994</v>
      </c>
      <c r="Y3778" s="2" t="s">
        <v>1115</v>
      </c>
      <c r="Z3778" s="2" t="s">
        <v>25114</v>
      </c>
      <c r="AA3778" s="2">
        <v>-0.704344913401309</v>
      </c>
      <c r="AB3778" s="2">
        <v>0.19145826170330299</v>
      </c>
      <c r="AC3778" s="2">
        <v>580217.91646291898</v>
      </c>
      <c r="AD3778" s="2">
        <v>587552.554936114</v>
      </c>
      <c r="AE3778" s="2">
        <v>576490.71630102699</v>
      </c>
      <c r="AF3778" s="2">
        <v>593772.72044307995</v>
      </c>
      <c r="AG3778" s="2">
        <v>579527.02702446096</v>
      </c>
      <c r="AH3778" s="2">
        <v>561765.22378349595</v>
      </c>
      <c r="AI3778" s="2">
        <v>577273.85835737304</v>
      </c>
      <c r="AJ3778" s="2">
        <v>592477.95286807802</v>
      </c>
      <c r="AK3778" s="2">
        <v>585596.42846263305</v>
      </c>
      <c r="AL3778" s="2">
        <v>578726.36654248904</v>
      </c>
      <c r="AM3778" s="2">
        <v>598515.06657442404</v>
      </c>
      <c r="AN3778" s="2">
        <v>584389.81371991697</v>
      </c>
      <c r="AO3778" s="2">
        <v>574872.22076533898</v>
      </c>
      <c r="AP3778" s="2">
        <v>603215.433551881</v>
      </c>
    </row>
    <row r="3779" spans="1:42" ht="14.5" x14ac:dyDescent="0.35">
      <c r="A3779" s="2" t="s">
        <v>25115</v>
      </c>
      <c r="B3779" s="2">
        <v>673.27121249420497</v>
      </c>
      <c r="C3779" s="2">
        <v>5.26453333333333</v>
      </c>
      <c r="D3779" s="2" t="s">
        <v>70</v>
      </c>
      <c r="E3779" s="2" t="s">
        <v>25116</v>
      </c>
      <c r="F3779" s="2">
        <v>209295</v>
      </c>
      <c r="G3779" s="3" t="str">
        <f>HYPERLINK("http://funmeta.oebiotech.com/network/209295", "http://funmeta.oebiotech.com/network/209295")</f>
        <v>http://funmeta.oebiotech.com/network/209295</v>
      </c>
      <c r="H3779" s="2" t="s">
        <v>25117</v>
      </c>
      <c r="I3779" s="2"/>
      <c r="J3779" s="2"/>
      <c r="K3779" s="2"/>
      <c r="L3779" s="2"/>
      <c r="M3779" s="2"/>
      <c r="N3779" s="2"/>
      <c r="O3779" s="2">
        <v>53463585</v>
      </c>
      <c r="P3779" s="2"/>
      <c r="Q3779" s="2" t="s">
        <v>25118</v>
      </c>
      <c r="R3779" s="2" t="s">
        <v>25119</v>
      </c>
      <c r="S3779" s="2" t="s">
        <v>1444</v>
      </c>
      <c r="T3779" s="2" t="s">
        <v>3595</v>
      </c>
      <c r="U3779" s="2" t="s">
        <v>41</v>
      </c>
      <c r="V3779" s="2" t="s">
        <v>42</v>
      </c>
      <c r="W3779" s="2">
        <v>46.7</v>
      </c>
      <c r="X3779" s="2">
        <v>62.2</v>
      </c>
      <c r="Y3779" s="2" t="s">
        <v>560</v>
      </c>
      <c r="Z3779" s="2" t="s">
        <v>25120</v>
      </c>
      <c r="AA3779" s="2">
        <v>1.8560079964099001</v>
      </c>
      <c r="AB3779" s="2">
        <v>0.191424585391996</v>
      </c>
      <c r="AC3779" s="2">
        <v>137372.790908422</v>
      </c>
      <c r="AD3779" s="2">
        <v>142241.58224680499</v>
      </c>
      <c r="AE3779" s="2">
        <v>135281.80961053001</v>
      </c>
      <c r="AF3779" s="2">
        <v>133296.41652823801</v>
      </c>
      <c r="AG3779" s="2">
        <v>136758.67853755999</v>
      </c>
      <c r="AH3779" s="2">
        <v>141420.794961573</v>
      </c>
      <c r="AI3779" s="2">
        <v>140222.54406553501</v>
      </c>
      <c r="AJ3779" s="2">
        <v>137256.50174709799</v>
      </c>
      <c r="AK3779" s="2">
        <v>135322.53632552299</v>
      </c>
      <c r="AL3779" s="2">
        <v>150234.20688262899</v>
      </c>
      <c r="AM3779" s="2">
        <v>138219.789872911</v>
      </c>
      <c r="AN3779" s="2">
        <v>147671.02299808501</v>
      </c>
      <c r="AO3779" s="2">
        <v>137902.26429554899</v>
      </c>
      <c r="AP3779" s="2">
        <v>144099.67310613301</v>
      </c>
    </row>
    <row r="3780" spans="1:42" ht="14.5" x14ac:dyDescent="0.35">
      <c r="A3780" s="2" t="s">
        <v>25121</v>
      </c>
      <c r="B3780" s="2">
        <v>435.18777816641602</v>
      </c>
      <c r="C3780" s="2">
        <v>4.4179500000000003</v>
      </c>
      <c r="D3780" s="2" t="s">
        <v>70</v>
      </c>
      <c r="E3780" s="2" t="s">
        <v>25122</v>
      </c>
      <c r="F3780" s="2">
        <v>61263</v>
      </c>
      <c r="G3780" s="3" t="str">
        <f>HYPERLINK("http://funmeta.oebiotech.com/network/61263", "http://funmeta.oebiotech.com/network/61263")</f>
        <v>http://funmeta.oebiotech.com/network/61263</v>
      </c>
      <c r="H3780" s="2" t="s">
        <v>25123</v>
      </c>
      <c r="I3780" s="2">
        <v>92582</v>
      </c>
      <c r="J3780" s="2"/>
      <c r="K3780" s="2"/>
      <c r="L3780" s="2"/>
      <c r="M3780" s="2"/>
      <c r="N3780" s="2"/>
      <c r="O3780" s="2">
        <v>2733977</v>
      </c>
      <c r="P3780" s="2" t="s">
        <v>25124</v>
      </c>
      <c r="Q3780" s="2" t="s">
        <v>25125</v>
      </c>
      <c r="R3780" s="2" t="s">
        <v>25126</v>
      </c>
      <c r="S3780" s="2" t="s">
        <v>89</v>
      </c>
      <c r="T3780" s="2" t="s">
        <v>25127</v>
      </c>
      <c r="U3780" s="2" t="s">
        <v>25128</v>
      </c>
      <c r="V3780" s="2" t="s">
        <v>59</v>
      </c>
      <c r="W3780" s="2">
        <v>38.4</v>
      </c>
      <c r="X3780" s="2">
        <v>0</v>
      </c>
      <c r="Y3780" s="2" t="s">
        <v>560</v>
      </c>
      <c r="Z3780" s="2" t="s">
        <v>25129</v>
      </c>
      <c r="AA3780" s="2">
        <v>-0.63337097946688103</v>
      </c>
      <c r="AB3780" s="2">
        <v>0.191401141274716</v>
      </c>
      <c r="AC3780" s="2">
        <v>37978.971715028703</v>
      </c>
      <c r="AD3780" s="2">
        <v>41795.3998069964</v>
      </c>
      <c r="AE3780" s="2">
        <v>35703.906561831398</v>
      </c>
      <c r="AF3780" s="2">
        <v>42004.078429543297</v>
      </c>
      <c r="AG3780" s="2">
        <v>38735.383876662301</v>
      </c>
      <c r="AH3780" s="2">
        <v>39697.959430889001</v>
      </c>
      <c r="AI3780" s="2">
        <v>38469.343816635701</v>
      </c>
      <c r="AJ3780" s="2">
        <v>33263.1581746105</v>
      </c>
      <c r="AK3780" s="2">
        <v>39904.969454010301</v>
      </c>
      <c r="AL3780" s="2">
        <v>42939.280608372603</v>
      </c>
      <c r="AM3780" s="2">
        <v>44986.749549175402</v>
      </c>
      <c r="AN3780" s="2">
        <v>40054.978412760902</v>
      </c>
      <c r="AO3780" s="2">
        <v>41054.964448685598</v>
      </c>
      <c r="AP3780" s="2">
        <v>41831.456368973697</v>
      </c>
    </row>
    <row r="3781" spans="1:42" ht="14.5" x14ac:dyDescent="0.35">
      <c r="A3781" s="2" t="s">
        <v>25130</v>
      </c>
      <c r="B3781" s="2">
        <v>137.05960305534001</v>
      </c>
      <c r="C3781" s="2">
        <v>5.01</v>
      </c>
      <c r="D3781" s="2" t="s">
        <v>34</v>
      </c>
      <c r="E3781" s="2" t="s">
        <v>25131</v>
      </c>
      <c r="F3781" s="2">
        <v>202334</v>
      </c>
      <c r="G3781" s="3" t="str">
        <f>HYPERLINK("http://funmeta.oebiotech.com/network/202334", "http://funmeta.oebiotech.com/network/202334")</f>
        <v>http://funmeta.oebiotech.com/network/202334</v>
      </c>
      <c r="H3781" s="2" t="s">
        <v>25132</v>
      </c>
      <c r="I3781" s="2"/>
      <c r="J3781" s="2"/>
      <c r="K3781" s="2"/>
      <c r="L3781" s="2"/>
      <c r="M3781" s="2"/>
      <c r="N3781" s="2"/>
      <c r="O3781" s="2">
        <v>14753409</v>
      </c>
      <c r="P3781" s="2"/>
      <c r="Q3781" s="2" t="s">
        <v>25133</v>
      </c>
      <c r="R3781" s="2" t="s">
        <v>25134</v>
      </c>
      <c r="S3781" s="2" t="s">
        <v>491</v>
      </c>
      <c r="T3781" s="2" t="s">
        <v>12134</v>
      </c>
      <c r="U3781" s="2" t="s">
        <v>14916</v>
      </c>
      <c r="V3781" s="2" t="s">
        <v>42</v>
      </c>
      <c r="W3781" s="2">
        <v>49</v>
      </c>
      <c r="X3781" s="2">
        <v>48.1</v>
      </c>
      <c r="Y3781" s="2" t="s">
        <v>141</v>
      </c>
      <c r="Z3781" s="2" t="s">
        <v>9402</v>
      </c>
      <c r="AA3781" s="2">
        <v>-0.667740107310965</v>
      </c>
      <c r="AB3781" s="2">
        <v>0.191320534861117</v>
      </c>
      <c r="AC3781" s="2">
        <v>100949.180840538</v>
      </c>
      <c r="AD3781" s="2">
        <v>95703.423551858097</v>
      </c>
      <c r="AE3781" s="2">
        <v>100812.60491448001</v>
      </c>
      <c r="AF3781" s="2">
        <v>108651.20001744</v>
      </c>
      <c r="AG3781" s="2">
        <v>99304.003835093798</v>
      </c>
      <c r="AH3781" s="2">
        <v>99855.397987202596</v>
      </c>
      <c r="AI3781" s="2">
        <v>96397.089194364802</v>
      </c>
      <c r="AJ3781" s="2">
        <v>100674.78909464501</v>
      </c>
      <c r="AK3781" s="2">
        <v>94632.536207913203</v>
      </c>
      <c r="AL3781" s="2">
        <v>91167.383806783298</v>
      </c>
      <c r="AM3781" s="2">
        <v>95432.474608629098</v>
      </c>
      <c r="AN3781" s="2">
        <v>107705.449843166</v>
      </c>
      <c r="AO3781" s="2">
        <v>87931.383493475194</v>
      </c>
      <c r="AP3781" s="2">
        <v>97351.313351181496</v>
      </c>
    </row>
    <row r="3782" spans="1:42" ht="14.5" x14ac:dyDescent="0.35">
      <c r="A3782" s="2" t="s">
        <v>25135</v>
      </c>
      <c r="B3782" s="2">
        <v>301.09303034535998</v>
      </c>
      <c r="C3782" s="2">
        <v>1.73258333333333</v>
      </c>
      <c r="D3782" s="2" t="s">
        <v>70</v>
      </c>
      <c r="E3782" s="2" t="s">
        <v>25136</v>
      </c>
      <c r="F3782" s="2">
        <v>2669</v>
      </c>
      <c r="G3782" s="3" t="str">
        <f>HYPERLINK("http://funmeta.oebiotech.com/network/2669", "http://funmeta.oebiotech.com/network/2669")</f>
        <v>http://funmeta.oebiotech.com/network/2669</v>
      </c>
      <c r="H3782" s="2"/>
      <c r="I3782" s="2"/>
      <c r="J3782" s="2" t="s">
        <v>25137</v>
      </c>
      <c r="K3782" s="2"/>
      <c r="L3782" s="2"/>
      <c r="M3782" s="2"/>
      <c r="N3782" s="2"/>
      <c r="O3782" s="2">
        <v>129725053</v>
      </c>
      <c r="P3782" s="2"/>
      <c r="Q3782" s="2" t="s">
        <v>25138</v>
      </c>
      <c r="R3782" s="2" t="s">
        <v>25139</v>
      </c>
      <c r="S3782" s="2" t="s">
        <v>50</v>
      </c>
      <c r="T3782" s="2" t="s">
        <v>229</v>
      </c>
      <c r="U3782" s="2" t="s">
        <v>433</v>
      </c>
      <c r="V3782" s="2" t="s">
        <v>59</v>
      </c>
      <c r="W3782" s="2">
        <v>43.5</v>
      </c>
      <c r="X3782" s="2">
        <v>23</v>
      </c>
      <c r="Y3782" s="2" t="s">
        <v>408</v>
      </c>
      <c r="Z3782" s="2" t="s">
        <v>25140</v>
      </c>
      <c r="AA3782" s="2">
        <v>0.543724202977385</v>
      </c>
      <c r="AB3782" s="2">
        <v>0.19128368374719701</v>
      </c>
      <c r="AC3782" s="2">
        <v>11816.340590465399</v>
      </c>
      <c r="AD3782" s="2">
        <v>9237.6175006186495</v>
      </c>
      <c r="AE3782" s="2">
        <v>11974.9387685734</v>
      </c>
      <c r="AF3782" s="2">
        <v>11801.141605949701</v>
      </c>
      <c r="AG3782" s="2">
        <v>10378.690513101599</v>
      </c>
      <c r="AH3782" s="2">
        <v>12356.675694389</v>
      </c>
      <c r="AI3782" s="2">
        <v>12025.488385757901</v>
      </c>
      <c r="AJ3782" s="2">
        <v>12361.1085750205</v>
      </c>
      <c r="AK3782" s="2">
        <v>9316.7917041341298</v>
      </c>
      <c r="AL3782" s="2">
        <v>9449.3856916848708</v>
      </c>
      <c r="AM3782" s="2">
        <v>9091.1249234212592</v>
      </c>
      <c r="AN3782" s="2">
        <v>8915.0259342538793</v>
      </c>
      <c r="AO3782" s="2">
        <v>9487.7840592873599</v>
      </c>
      <c r="AP3782" s="2">
        <v>9165.5926909304198</v>
      </c>
    </row>
    <row r="3783" spans="1:42" ht="14.5" x14ac:dyDescent="0.35">
      <c r="A3783" s="2" t="s">
        <v>25141</v>
      </c>
      <c r="B3783" s="2">
        <v>193.08619261959399</v>
      </c>
      <c r="C3783" s="2">
        <v>7.9924333333333299</v>
      </c>
      <c r="D3783" s="2" t="s">
        <v>70</v>
      </c>
      <c r="E3783" s="2" t="s">
        <v>25142</v>
      </c>
      <c r="F3783" s="2">
        <v>81959</v>
      </c>
      <c r="G3783" s="3" t="str">
        <f>HYPERLINK("http://funmeta.oebiotech.com/network/81959", "http://funmeta.oebiotech.com/network/81959")</f>
        <v>http://funmeta.oebiotech.com/network/81959</v>
      </c>
      <c r="H3783" s="2" t="s">
        <v>25143</v>
      </c>
      <c r="I3783" s="2"/>
      <c r="J3783" s="2"/>
      <c r="K3783" s="2"/>
      <c r="L3783" s="2"/>
      <c r="M3783" s="2"/>
      <c r="N3783" s="2"/>
      <c r="O3783" s="2">
        <v>55250550</v>
      </c>
      <c r="P3783" s="2"/>
      <c r="Q3783" s="2" t="s">
        <v>25144</v>
      </c>
      <c r="R3783" s="2" t="s">
        <v>25145</v>
      </c>
      <c r="S3783" s="2" t="s">
        <v>148</v>
      </c>
      <c r="T3783" s="2" t="s">
        <v>149</v>
      </c>
      <c r="U3783" s="2" t="s">
        <v>21041</v>
      </c>
      <c r="V3783" s="2" t="s">
        <v>59</v>
      </c>
      <c r="W3783" s="2">
        <v>41.4</v>
      </c>
      <c r="X3783" s="2">
        <v>13.5</v>
      </c>
      <c r="Y3783" s="2" t="s">
        <v>118</v>
      </c>
      <c r="Z3783" s="2" t="s">
        <v>25146</v>
      </c>
      <c r="AA3783" s="2">
        <v>-4.25183063186872</v>
      </c>
      <c r="AB3783" s="2">
        <v>0.19109928282729499</v>
      </c>
      <c r="AC3783" s="2">
        <v>66941.690074719998</v>
      </c>
      <c r="AD3783" s="2">
        <v>70940.214876408296</v>
      </c>
      <c r="AE3783" s="2">
        <v>64393.863822281201</v>
      </c>
      <c r="AF3783" s="2">
        <v>68665.411781078496</v>
      </c>
      <c r="AG3783" s="2">
        <v>70361.890131263906</v>
      </c>
      <c r="AH3783" s="2">
        <v>66765.4636194583</v>
      </c>
      <c r="AI3783" s="2">
        <v>68142.274400833994</v>
      </c>
      <c r="AJ3783" s="2">
        <v>63321.236693403996</v>
      </c>
      <c r="AK3783" s="2">
        <v>75440.675577110407</v>
      </c>
      <c r="AL3783" s="2">
        <v>69420.459892108396</v>
      </c>
      <c r="AM3783" s="2">
        <v>70799.882158328197</v>
      </c>
      <c r="AN3783" s="2">
        <v>74087.851793556707</v>
      </c>
      <c r="AO3783" s="2">
        <v>67560.225006503199</v>
      </c>
      <c r="AP3783" s="2">
        <v>68332.194830842796</v>
      </c>
    </row>
    <row r="3784" spans="1:42" ht="14.5" x14ac:dyDescent="0.35">
      <c r="A3784" s="2" t="s">
        <v>25147</v>
      </c>
      <c r="B3784" s="2">
        <v>477.35807448645397</v>
      </c>
      <c r="C3784" s="2">
        <v>13.501899999999999</v>
      </c>
      <c r="D3784" s="2" t="s">
        <v>70</v>
      </c>
      <c r="E3784" s="2" t="s">
        <v>25148</v>
      </c>
      <c r="F3784" s="2">
        <v>58130</v>
      </c>
      <c r="G3784" s="3" t="str">
        <f>HYPERLINK("http://funmeta.oebiotech.com/network/58130", "http://funmeta.oebiotech.com/network/58130")</f>
        <v>http://funmeta.oebiotech.com/network/58130</v>
      </c>
      <c r="H3784" s="2" t="s">
        <v>25149</v>
      </c>
      <c r="I3784" s="2">
        <v>89657</v>
      </c>
      <c r="J3784" s="2"/>
      <c r="K3784" s="2"/>
      <c r="L3784" s="2"/>
      <c r="M3784" s="2"/>
      <c r="N3784" s="2"/>
      <c r="O3784" s="2">
        <v>10320624</v>
      </c>
      <c r="P3784" s="2"/>
      <c r="Q3784" s="2" t="s">
        <v>25150</v>
      </c>
      <c r="R3784" s="2" t="s">
        <v>25151</v>
      </c>
      <c r="S3784" s="2" t="s">
        <v>50</v>
      </c>
      <c r="T3784" s="2" t="s">
        <v>201</v>
      </c>
      <c r="U3784" s="2" t="s">
        <v>241</v>
      </c>
      <c r="V3784" s="2" t="s">
        <v>59</v>
      </c>
      <c r="W3784" s="2">
        <v>38</v>
      </c>
      <c r="X3784" s="2">
        <v>1.06</v>
      </c>
      <c r="Y3784" s="2" t="s">
        <v>286</v>
      </c>
      <c r="Z3784" s="2" t="s">
        <v>25152</v>
      </c>
      <c r="AA3784" s="2">
        <v>-1.09580258847277</v>
      </c>
      <c r="AB3784" s="2">
        <v>0.19109771804463699</v>
      </c>
      <c r="AC3784" s="2">
        <v>27147.147210531199</v>
      </c>
      <c r="AD3784" s="2">
        <v>23511.797633889099</v>
      </c>
      <c r="AE3784" s="2">
        <v>24810.5577198215</v>
      </c>
      <c r="AF3784" s="2">
        <v>26012.147331794498</v>
      </c>
      <c r="AG3784" s="2">
        <v>26267.411637927598</v>
      </c>
      <c r="AH3784" s="2">
        <v>31677.0642465848</v>
      </c>
      <c r="AI3784" s="2">
        <v>29097.746353471299</v>
      </c>
      <c r="AJ3784" s="2">
        <v>25017.955973587399</v>
      </c>
      <c r="AK3784" s="2">
        <v>25689.660345870299</v>
      </c>
      <c r="AL3784" s="2">
        <v>23052.8730790181</v>
      </c>
      <c r="AM3784" s="2">
        <v>24074.547602753999</v>
      </c>
      <c r="AN3784" s="2">
        <v>22210.618247206101</v>
      </c>
      <c r="AO3784" s="2">
        <v>21240.243464214302</v>
      </c>
      <c r="AP3784" s="2">
        <v>24802.843064271499</v>
      </c>
    </row>
    <row r="3785" spans="1:42" ht="14.5" x14ac:dyDescent="0.35">
      <c r="A3785" s="2" t="s">
        <v>25153</v>
      </c>
      <c r="B3785" s="2">
        <v>1039.35294073512</v>
      </c>
      <c r="C3785" s="2">
        <v>7.7996333333333299</v>
      </c>
      <c r="D3785" s="2" t="s">
        <v>70</v>
      </c>
      <c r="E3785" s="2" t="s">
        <v>25154</v>
      </c>
      <c r="F3785" s="2">
        <v>257636</v>
      </c>
      <c r="G3785" s="3" t="str">
        <f>HYPERLINK("http://funmeta.oebiotech.com/network/257636", "http://funmeta.oebiotech.com/network/257636")</f>
        <v>http://funmeta.oebiotech.com/network/257636</v>
      </c>
      <c r="H3785" s="2" t="s">
        <v>25155</v>
      </c>
      <c r="I3785" s="2">
        <v>821912</v>
      </c>
      <c r="J3785" s="2"/>
      <c r="K3785" s="2"/>
      <c r="L3785" s="2"/>
      <c r="M3785" s="2"/>
      <c r="N3785" s="2"/>
      <c r="O3785" s="2">
        <v>46199646</v>
      </c>
      <c r="P3785" s="2"/>
      <c r="Q3785" s="2" t="s">
        <v>25156</v>
      </c>
      <c r="R3785" s="2" t="s">
        <v>25157</v>
      </c>
      <c r="S3785" s="2" t="s">
        <v>491</v>
      </c>
      <c r="T3785" s="2" t="s">
        <v>2184</v>
      </c>
      <c r="U3785" s="2" t="s">
        <v>3858</v>
      </c>
      <c r="V3785" s="2" t="s">
        <v>59</v>
      </c>
      <c r="W3785" s="2">
        <v>36.5</v>
      </c>
      <c r="X3785" s="2">
        <v>0</v>
      </c>
      <c r="Y3785" s="2" t="s">
        <v>560</v>
      </c>
      <c r="Z3785" s="2" t="s">
        <v>25158</v>
      </c>
      <c r="AA3785" s="2">
        <v>-3.8691627542949698</v>
      </c>
      <c r="AB3785" s="2">
        <v>0.19100544978756201</v>
      </c>
      <c r="AC3785" s="2">
        <v>9329.3645819526391</v>
      </c>
      <c r="AD3785" s="2">
        <v>12202.9007055535</v>
      </c>
      <c r="AE3785" s="2">
        <v>9204.1473082394205</v>
      </c>
      <c r="AF3785" s="2">
        <v>8078.3812383999502</v>
      </c>
      <c r="AG3785" s="2">
        <v>8562.2413769593495</v>
      </c>
      <c r="AH3785" s="2">
        <v>9101.9001052951298</v>
      </c>
      <c r="AI3785" s="2">
        <v>10385.7229231487</v>
      </c>
      <c r="AJ3785" s="2">
        <v>10643.794539673299</v>
      </c>
      <c r="AK3785" s="2">
        <v>13170.745156117</v>
      </c>
      <c r="AL3785" s="2">
        <v>11631.043504839899</v>
      </c>
      <c r="AM3785" s="2">
        <v>11087.225942467099</v>
      </c>
      <c r="AN3785" s="2">
        <v>14041.553547007399</v>
      </c>
      <c r="AO3785" s="2">
        <v>11626.1421974935</v>
      </c>
      <c r="AP3785" s="2">
        <v>11660.6938853963</v>
      </c>
    </row>
    <row r="3786" spans="1:42" ht="14.5" x14ac:dyDescent="0.35">
      <c r="A3786" s="2" t="s">
        <v>25159</v>
      </c>
      <c r="B3786" s="2">
        <v>198.185030618985</v>
      </c>
      <c r="C3786" s="2">
        <v>11.670033333333301</v>
      </c>
      <c r="D3786" s="2" t="s">
        <v>34</v>
      </c>
      <c r="E3786" s="2" t="s">
        <v>25160</v>
      </c>
      <c r="F3786" s="2">
        <v>61553</v>
      </c>
      <c r="G3786" s="3" t="str">
        <f>HYPERLINK("http://funmeta.oebiotech.com/network/61553", "http://funmeta.oebiotech.com/network/61553")</f>
        <v>http://funmeta.oebiotech.com/network/61553</v>
      </c>
      <c r="H3786" s="2" t="s">
        <v>25161</v>
      </c>
      <c r="I3786" s="2">
        <v>92864</v>
      </c>
      <c r="J3786" s="2"/>
      <c r="K3786" s="2">
        <v>171896</v>
      </c>
      <c r="L3786" s="2"/>
      <c r="M3786" s="2"/>
      <c r="N3786" s="2"/>
      <c r="O3786" s="2">
        <v>131752305</v>
      </c>
      <c r="P3786" s="2" t="s">
        <v>25162</v>
      </c>
      <c r="Q3786" s="2" t="s">
        <v>25163</v>
      </c>
      <c r="R3786" s="2" t="s">
        <v>25164</v>
      </c>
      <c r="S3786" s="2" t="s">
        <v>491</v>
      </c>
      <c r="T3786" s="2" t="s">
        <v>23891</v>
      </c>
      <c r="U3786" s="2" t="s">
        <v>41</v>
      </c>
      <c r="V3786" s="2" t="s">
        <v>59</v>
      </c>
      <c r="W3786" s="2">
        <v>45</v>
      </c>
      <c r="X3786" s="2">
        <v>29.1</v>
      </c>
      <c r="Y3786" s="2" t="s">
        <v>330</v>
      </c>
      <c r="Z3786" s="2" t="s">
        <v>18631</v>
      </c>
      <c r="AA3786" s="2">
        <v>-1.16664070805784</v>
      </c>
      <c r="AB3786" s="2">
        <v>0.19095548884542399</v>
      </c>
      <c r="AC3786" s="2">
        <v>21306.7301841304</v>
      </c>
      <c r="AD3786" s="2">
        <v>16340.656461147901</v>
      </c>
      <c r="AE3786" s="2">
        <v>23459.959514317499</v>
      </c>
      <c r="AF3786" s="2">
        <v>17793.733009722098</v>
      </c>
      <c r="AG3786" s="2">
        <v>18538.5499713299</v>
      </c>
      <c r="AH3786" s="2">
        <v>23837.169282823299</v>
      </c>
      <c r="AI3786" s="2">
        <v>25625.055355318698</v>
      </c>
      <c r="AJ3786" s="2">
        <v>18585.9139712707</v>
      </c>
      <c r="AK3786" s="2">
        <v>12871.442203451599</v>
      </c>
      <c r="AL3786" s="2">
        <v>25361.072065788299</v>
      </c>
      <c r="AM3786" s="2">
        <v>13951.146501917699</v>
      </c>
      <c r="AN3786" s="2">
        <v>22468.391105889699</v>
      </c>
      <c r="AO3786" s="2">
        <v>11137.402735314099</v>
      </c>
      <c r="AP3786" s="2">
        <v>12254.4841545258</v>
      </c>
    </row>
    <row r="3787" spans="1:42" ht="14.5" x14ac:dyDescent="0.35">
      <c r="A3787" s="2" t="s">
        <v>25165</v>
      </c>
      <c r="B3787" s="2">
        <v>630.30244253194405</v>
      </c>
      <c r="C3787" s="2">
        <v>9.7462666666666706</v>
      </c>
      <c r="D3787" s="2" t="s">
        <v>70</v>
      </c>
      <c r="E3787" s="2" t="s">
        <v>25166</v>
      </c>
      <c r="F3787" s="2">
        <v>200235</v>
      </c>
      <c r="G3787" s="3" t="str">
        <f>HYPERLINK("http://funmeta.oebiotech.com/network/200235", "http://funmeta.oebiotech.com/network/200235")</f>
        <v>http://funmeta.oebiotech.com/network/200235</v>
      </c>
      <c r="H3787" s="2" t="s">
        <v>25167</v>
      </c>
      <c r="I3787" s="2"/>
      <c r="J3787" s="2"/>
      <c r="K3787" s="2">
        <v>93755</v>
      </c>
      <c r="L3787" s="2"/>
      <c r="M3787" s="2"/>
      <c r="N3787" s="2"/>
      <c r="O3787" s="2">
        <v>433449</v>
      </c>
      <c r="P3787" s="2"/>
      <c r="Q3787" s="2" t="s">
        <v>25168</v>
      </c>
      <c r="R3787" s="2" t="s">
        <v>25169</v>
      </c>
      <c r="S3787" s="2" t="s">
        <v>115</v>
      </c>
      <c r="T3787" s="2" t="s">
        <v>6130</v>
      </c>
      <c r="U3787" s="2" t="s">
        <v>41</v>
      </c>
      <c r="V3787" s="2" t="s">
        <v>59</v>
      </c>
      <c r="W3787" s="2">
        <v>39</v>
      </c>
      <c r="X3787" s="2">
        <v>0.17599999999999999</v>
      </c>
      <c r="Y3787" s="2" t="s">
        <v>408</v>
      </c>
      <c r="Z3787" s="2" t="s">
        <v>25170</v>
      </c>
      <c r="AA3787" s="2">
        <v>-1.3252713132010101</v>
      </c>
      <c r="AB3787" s="2">
        <v>0.190940948774139</v>
      </c>
      <c r="AC3787" s="2">
        <v>10439.5197076571</v>
      </c>
      <c r="AD3787" s="2">
        <v>13617.1659445511</v>
      </c>
      <c r="AE3787" s="2">
        <v>10597.5840957404</v>
      </c>
      <c r="AF3787" s="2">
        <v>12248.452119564099</v>
      </c>
      <c r="AG3787" s="2">
        <v>9503.0312529139101</v>
      </c>
      <c r="AH3787" s="2">
        <v>10508.396764450499</v>
      </c>
      <c r="AI3787" s="2">
        <v>10154.224848857401</v>
      </c>
      <c r="AJ3787" s="2">
        <v>9625.4291644163095</v>
      </c>
      <c r="AK3787" s="2">
        <v>13296.906607926199</v>
      </c>
      <c r="AL3787" s="2">
        <v>15671.9257605492</v>
      </c>
      <c r="AM3787" s="2">
        <v>12089.385462369701</v>
      </c>
      <c r="AN3787" s="2">
        <v>12052.5809667428</v>
      </c>
      <c r="AO3787" s="2">
        <v>12398.2582379795</v>
      </c>
      <c r="AP3787" s="2">
        <v>16193.9386317389</v>
      </c>
    </row>
    <row r="3788" spans="1:42" ht="14.5" x14ac:dyDescent="0.35">
      <c r="A3788" s="2" t="s">
        <v>25171</v>
      </c>
      <c r="B3788" s="2">
        <v>263.05258343979699</v>
      </c>
      <c r="C3788" s="2">
        <v>4.0871833333333303</v>
      </c>
      <c r="D3788" s="2" t="s">
        <v>34</v>
      </c>
      <c r="E3788" s="2" t="s">
        <v>25172</v>
      </c>
      <c r="F3788" s="2">
        <v>47633</v>
      </c>
      <c r="G3788" s="3" t="str">
        <f>HYPERLINK("http://funmeta.oebiotech.com/network/47633", "http://funmeta.oebiotech.com/network/47633")</f>
        <v>http://funmeta.oebiotech.com/network/47633</v>
      </c>
      <c r="H3788" s="2" t="s">
        <v>25173</v>
      </c>
      <c r="I3788" s="2">
        <v>3393</v>
      </c>
      <c r="J3788" s="2"/>
      <c r="K3788" s="2">
        <v>16298</v>
      </c>
      <c r="L3788" s="2" t="s">
        <v>25174</v>
      </c>
      <c r="M3788" s="2" t="s">
        <v>25175</v>
      </c>
      <c r="N3788" s="2" t="s">
        <v>25176</v>
      </c>
      <c r="O3788" s="2">
        <v>130418</v>
      </c>
      <c r="P3788" s="2" t="s">
        <v>25177</v>
      </c>
      <c r="Q3788" s="2" t="s">
        <v>25178</v>
      </c>
      <c r="R3788" s="2" t="s">
        <v>25179</v>
      </c>
      <c r="S3788" s="2" t="s">
        <v>79</v>
      </c>
      <c r="T3788" s="2" t="s">
        <v>80</v>
      </c>
      <c r="U3788" s="2" t="s">
        <v>81</v>
      </c>
      <c r="V3788" s="2" t="s">
        <v>59</v>
      </c>
      <c r="W3788" s="2">
        <v>39.5</v>
      </c>
      <c r="X3788" s="2">
        <v>0</v>
      </c>
      <c r="Y3788" s="2" t="s">
        <v>394</v>
      </c>
      <c r="Z3788" s="2" t="s">
        <v>25180</v>
      </c>
      <c r="AA3788" s="2">
        <v>-0.23537639222434401</v>
      </c>
      <c r="AB3788" s="2">
        <v>0.19087399434305899</v>
      </c>
      <c r="AC3788" s="2">
        <v>5097.2667161705203</v>
      </c>
      <c r="AD3788" s="2">
        <v>2198.1384558697</v>
      </c>
      <c r="AE3788" s="2">
        <v>5556.3801581421403</v>
      </c>
      <c r="AF3788" s="2">
        <v>3886.6400070191698</v>
      </c>
      <c r="AG3788" s="2">
        <v>6685.67988398531</v>
      </c>
      <c r="AH3788" s="2">
        <v>4394.5080105543102</v>
      </c>
      <c r="AI3788" s="2">
        <v>3562.7052523991301</v>
      </c>
      <c r="AJ3788" s="2">
        <v>6497.6869849230898</v>
      </c>
      <c r="AK3788" s="2">
        <v>1690.99422972098</v>
      </c>
      <c r="AL3788" s="2">
        <v>3698.1971802623898</v>
      </c>
      <c r="AM3788" s="2">
        <v>1563.3685320647701</v>
      </c>
      <c r="AN3788" s="2">
        <v>2255.33370936439</v>
      </c>
      <c r="AO3788" s="2">
        <v>2526.93356806578</v>
      </c>
      <c r="AP3788" s="2">
        <v>1454.0035157398599</v>
      </c>
    </row>
    <row r="3789" spans="1:42" ht="14.5" x14ac:dyDescent="0.35">
      <c r="A3789" s="2" t="s">
        <v>25181</v>
      </c>
      <c r="B3789" s="2">
        <v>382.10763683651498</v>
      </c>
      <c r="C3789" s="2">
        <v>4.5423999999999998</v>
      </c>
      <c r="D3789" s="2" t="s">
        <v>70</v>
      </c>
      <c r="E3789" s="2" t="s">
        <v>25182</v>
      </c>
      <c r="F3789" s="2">
        <v>201117</v>
      </c>
      <c r="G3789" s="3" t="str">
        <f>HYPERLINK("http://funmeta.oebiotech.com/network/201117", "http://funmeta.oebiotech.com/network/201117")</f>
        <v>http://funmeta.oebiotech.com/network/201117</v>
      </c>
      <c r="H3789" s="2" t="s">
        <v>25183</v>
      </c>
      <c r="I3789" s="2">
        <v>346518</v>
      </c>
      <c r="J3789" s="2"/>
      <c r="K3789" s="2"/>
      <c r="L3789" s="2"/>
      <c r="M3789" s="2"/>
      <c r="N3789" s="2"/>
      <c r="O3789" s="2">
        <v>75883</v>
      </c>
      <c r="P3789" s="2"/>
      <c r="Q3789" s="2" t="s">
        <v>25184</v>
      </c>
      <c r="R3789" s="2" t="s">
        <v>25185</v>
      </c>
      <c r="S3789" s="2" t="s">
        <v>491</v>
      </c>
      <c r="T3789" s="2" t="s">
        <v>19122</v>
      </c>
      <c r="U3789" s="2" t="s">
        <v>25186</v>
      </c>
      <c r="V3789" s="2" t="s">
        <v>59</v>
      </c>
      <c r="W3789" s="2">
        <v>40.9</v>
      </c>
      <c r="X3789" s="2">
        <v>16</v>
      </c>
      <c r="Y3789" s="2" t="s">
        <v>118</v>
      </c>
      <c r="Z3789" s="2" t="s">
        <v>25187</v>
      </c>
      <c r="AA3789" s="2">
        <v>-2.2049725098409501</v>
      </c>
      <c r="AB3789" s="2">
        <v>0.19077606461386101</v>
      </c>
      <c r="AC3789" s="2">
        <v>86541.742661963406</v>
      </c>
      <c r="AD3789" s="2">
        <v>90576.783203226194</v>
      </c>
      <c r="AE3789" s="2">
        <v>84378.048189896406</v>
      </c>
      <c r="AF3789" s="2">
        <v>83985.779443216903</v>
      </c>
      <c r="AG3789" s="2">
        <v>89884.831635700393</v>
      </c>
      <c r="AH3789" s="2">
        <v>85426.733099263394</v>
      </c>
      <c r="AI3789" s="2">
        <v>86614.560697357694</v>
      </c>
      <c r="AJ3789" s="2">
        <v>88960.502906345893</v>
      </c>
      <c r="AK3789" s="2">
        <v>87893.039161597393</v>
      </c>
      <c r="AL3789" s="2">
        <v>88950.9124094367</v>
      </c>
      <c r="AM3789" s="2">
        <v>94957.052402265501</v>
      </c>
      <c r="AN3789" s="2">
        <v>92235.566954642796</v>
      </c>
      <c r="AO3789" s="2">
        <v>85877.006608872805</v>
      </c>
      <c r="AP3789" s="2">
        <v>93547.121682541707</v>
      </c>
    </row>
    <row r="3790" spans="1:42" ht="14.5" x14ac:dyDescent="0.35">
      <c r="A3790" s="2" t="s">
        <v>25188</v>
      </c>
      <c r="B3790" s="2">
        <v>431.20597102326599</v>
      </c>
      <c r="C3790" s="2">
        <v>6.26755</v>
      </c>
      <c r="D3790" s="2" t="s">
        <v>34</v>
      </c>
      <c r="E3790" s="2" t="s">
        <v>25189</v>
      </c>
      <c r="F3790" s="2">
        <v>46626</v>
      </c>
      <c r="G3790" s="3" t="str">
        <f>HYPERLINK("http://funmeta.oebiotech.com/network/46626", "http://funmeta.oebiotech.com/network/46626")</f>
        <v>http://funmeta.oebiotech.com/network/46626</v>
      </c>
      <c r="H3790" s="2" t="s">
        <v>25190</v>
      </c>
      <c r="I3790" s="2"/>
      <c r="J3790" s="2" t="s">
        <v>25191</v>
      </c>
      <c r="K3790" s="2">
        <v>36489</v>
      </c>
      <c r="L3790" s="2" t="s">
        <v>25192</v>
      </c>
      <c r="M3790" s="2" t="s">
        <v>9308</v>
      </c>
      <c r="N3790" s="2" t="s">
        <v>9309</v>
      </c>
      <c r="O3790" s="2">
        <v>440713</v>
      </c>
      <c r="P3790" s="2" t="s">
        <v>25193</v>
      </c>
      <c r="Q3790" s="2" t="s">
        <v>25194</v>
      </c>
      <c r="R3790" s="2" t="s">
        <v>25195</v>
      </c>
      <c r="S3790" s="2" t="s">
        <v>50</v>
      </c>
      <c r="T3790" s="2" t="s">
        <v>124</v>
      </c>
      <c r="U3790" s="2" t="s">
        <v>523</v>
      </c>
      <c r="V3790" s="2" t="s">
        <v>42</v>
      </c>
      <c r="W3790" s="2">
        <v>54.2</v>
      </c>
      <c r="X3790" s="2">
        <v>77.599999999999994</v>
      </c>
      <c r="Y3790" s="2" t="s">
        <v>266</v>
      </c>
      <c r="Z3790" s="2" t="s">
        <v>14221</v>
      </c>
      <c r="AA3790" s="2">
        <v>-1.0234259457167001</v>
      </c>
      <c r="AB3790" s="2">
        <v>0.19074798662954501</v>
      </c>
      <c r="AC3790" s="2">
        <v>1732719.6267815901</v>
      </c>
      <c r="AD3790" s="2">
        <v>1751245.8747218701</v>
      </c>
      <c r="AE3790" s="2">
        <v>1702066.68038514</v>
      </c>
      <c r="AF3790" s="2">
        <v>1767121.17721826</v>
      </c>
      <c r="AG3790" s="2">
        <v>1781631.80684298</v>
      </c>
      <c r="AH3790" s="2">
        <v>1683747.63366058</v>
      </c>
      <c r="AI3790" s="2">
        <v>1660186.1139668401</v>
      </c>
      <c r="AJ3790" s="2">
        <v>1801564.34861574</v>
      </c>
      <c r="AK3790" s="2">
        <v>1630935.5504814901</v>
      </c>
      <c r="AL3790" s="2">
        <v>1860232.09484229</v>
      </c>
      <c r="AM3790" s="2">
        <v>1732110.2336651599</v>
      </c>
      <c r="AN3790" s="2">
        <v>1703728.36349228</v>
      </c>
      <c r="AO3790" s="2">
        <v>1764836.90353377</v>
      </c>
      <c r="AP3790" s="2">
        <v>1815632.1023162301</v>
      </c>
    </row>
    <row r="3791" spans="1:42" ht="14.5" x14ac:dyDescent="0.35">
      <c r="A3791" s="2" t="s">
        <v>25196</v>
      </c>
      <c r="B3791" s="2">
        <v>821.342126126464</v>
      </c>
      <c r="C3791" s="2">
        <v>7.9212833333333297</v>
      </c>
      <c r="D3791" s="2" t="s">
        <v>70</v>
      </c>
      <c r="E3791" s="2" t="s">
        <v>25197</v>
      </c>
      <c r="F3791" s="2">
        <v>27477</v>
      </c>
      <c r="G3791" s="3" t="str">
        <f>HYPERLINK("http://funmeta.oebiotech.com/network/27477", "http://funmeta.oebiotech.com/network/27477")</f>
        <v>http://funmeta.oebiotech.com/network/27477</v>
      </c>
      <c r="H3791" s="2"/>
      <c r="I3791" s="2"/>
      <c r="J3791" s="2" t="s">
        <v>25198</v>
      </c>
      <c r="K3791" s="2"/>
      <c r="L3791" s="2"/>
      <c r="M3791" s="2"/>
      <c r="N3791" s="2"/>
      <c r="O3791" s="2"/>
      <c r="P3791" s="2"/>
      <c r="Q3791" s="2" t="s">
        <v>25199</v>
      </c>
      <c r="R3791" s="2" t="s">
        <v>25200</v>
      </c>
      <c r="S3791" s="2" t="s">
        <v>50</v>
      </c>
      <c r="T3791" s="2" t="s">
        <v>51</v>
      </c>
      <c r="U3791" s="2" t="s">
        <v>738</v>
      </c>
      <c r="V3791" s="2" t="s">
        <v>59</v>
      </c>
      <c r="W3791" s="2">
        <v>38.1</v>
      </c>
      <c r="X3791" s="2">
        <v>0</v>
      </c>
      <c r="Y3791" s="2" t="s">
        <v>408</v>
      </c>
      <c r="Z3791" s="2" t="s">
        <v>25201</v>
      </c>
      <c r="AA3791" s="2">
        <v>-2.28898599672686</v>
      </c>
      <c r="AB3791" s="2">
        <v>0.190656244848662</v>
      </c>
      <c r="AC3791" s="2">
        <v>10670.0759173602</v>
      </c>
      <c r="AD3791" s="2">
        <v>7543.2478605038104</v>
      </c>
      <c r="AE3791" s="2">
        <v>10050.7407441047</v>
      </c>
      <c r="AF3791" s="2">
        <v>9980.0388906621592</v>
      </c>
      <c r="AG3791" s="2">
        <v>11234.134423286099</v>
      </c>
      <c r="AH3791" s="2">
        <v>11012.7265912244</v>
      </c>
      <c r="AI3791" s="2">
        <v>9286.6443340370006</v>
      </c>
      <c r="AJ3791" s="2">
        <v>12456.170520846799</v>
      </c>
      <c r="AK3791" s="2">
        <v>10004.754616055099</v>
      </c>
      <c r="AL3791" s="2">
        <v>5900.2706804775198</v>
      </c>
      <c r="AM3791" s="2">
        <v>9098.36067626554</v>
      </c>
      <c r="AN3791" s="2">
        <v>7854.7257120845698</v>
      </c>
      <c r="AO3791" s="2">
        <v>6300.0793898658203</v>
      </c>
      <c r="AP3791" s="2">
        <v>6101.29608827432</v>
      </c>
    </row>
    <row r="3792" spans="1:42" ht="14.5" x14ac:dyDescent="0.35">
      <c r="A3792" s="2" t="s">
        <v>25202</v>
      </c>
      <c r="B3792" s="2">
        <v>219.13377145039399</v>
      </c>
      <c r="C3792" s="2">
        <v>1.34713333333333</v>
      </c>
      <c r="D3792" s="2" t="s">
        <v>34</v>
      </c>
      <c r="E3792" s="2" t="s">
        <v>25203</v>
      </c>
      <c r="F3792" s="2">
        <v>52741</v>
      </c>
      <c r="G3792" s="3" t="str">
        <f>HYPERLINK("http://funmeta.oebiotech.com/network/52741", "http://funmeta.oebiotech.com/network/52741")</f>
        <v>http://funmeta.oebiotech.com/network/52741</v>
      </c>
      <c r="H3792" s="2" t="s">
        <v>25204</v>
      </c>
      <c r="I3792" s="2">
        <v>43245</v>
      </c>
      <c r="J3792" s="2"/>
      <c r="K3792" s="2">
        <v>199389</v>
      </c>
      <c r="L3792" s="2"/>
      <c r="M3792" s="2"/>
      <c r="N3792" s="2"/>
      <c r="O3792" s="2">
        <v>4064</v>
      </c>
      <c r="P3792" s="2" t="s">
        <v>25205</v>
      </c>
      <c r="Q3792" s="2" t="s">
        <v>25206</v>
      </c>
      <c r="R3792" s="2" t="s">
        <v>25207</v>
      </c>
      <c r="S3792" s="2" t="s">
        <v>89</v>
      </c>
      <c r="T3792" s="2" t="s">
        <v>90</v>
      </c>
      <c r="U3792" s="2" t="s">
        <v>99</v>
      </c>
      <c r="V3792" s="2" t="s">
        <v>59</v>
      </c>
      <c r="W3792" s="2">
        <v>38.4</v>
      </c>
      <c r="X3792" s="2">
        <v>0</v>
      </c>
      <c r="Y3792" s="2" t="s">
        <v>266</v>
      </c>
      <c r="Z3792" s="2" t="s">
        <v>25208</v>
      </c>
      <c r="AA3792" s="2">
        <v>-0.74290188903683296</v>
      </c>
      <c r="AB3792" s="2">
        <v>0.190642184498691</v>
      </c>
      <c r="AC3792" s="2">
        <v>4619.5915395791499</v>
      </c>
      <c r="AD3792" s="2">
        <v>2155.8000226275899</v>
      </c>
      <c r="AE3792" s="2">
        <v>4830.8597666430796</v>
      </c>
      <c r="AF3792" s="2">
        <v>3922.6946189118198</v>
      </c>
      <c r="AG3792" s="2">
        <v>4581.4033174924098</v>
      </c>
      <c r="AH3792" s="2">
        <v>5328.7848156056398</v>
      </c>
      <c r="AI3792" s="2">
        <v>4361.5805327287899</v>
      </c>
      <c r="AJ3792" s="2">
        <v>4692.2261860931903</v>
      </c>
      <c r="AK3792" s="2">
        <v>2107.1618816923101</v>
      </c>
      <c r="AL3792" s="2">
        <v>2243.3237871759902</v>
      </c>
      <c r="AM3792" s="2">
        <v>1910.3441258376999</v>
      </c>
      <c r="AN3792" s="2">
        <v>2030.2615921762799</v>
      </c>
      <c r="AO3792" s="2">
        <v>2237.9340831181698</v>
      </c>
      <c r="AP3792" s="2">
        <v>2405.7746657651201</v>
      </c>
    </row>
    <row r="3793" spans="1:42" ht="14.5" x14ac:dyDescent="0.35">
      <c r="A3793" s="2" t="s">
        <v>25209</v>
      </c>
      <c r="B3793" s="2">
        <v>501.15725592448803</v>
      </c>
      <c r="C3793" s="2">
        <v>4.0024166666666696</v>
      </c>
      <c r="D3793" s="2" t="s">
        <v>34</v>
      </c>
      <c r="E3793" s="2" t="s">
        <v>25210</v>
      </c>
      <c r="F3793" s="2">
        <v>62077</v>
      </c>
      <c r="G3793" s="3" t="str">
        <f>HYPERLINK("http://funmeta.oebiotech.com/network/62077", "http://funmeta.oebiotech.com/network/62077")</f>
        <v>http://funmeta.oebiotech.com/network/62077</v>
      </c>
      <c r="H3793" s="2" t="s">
        <v>25211</v>
      </c>
      <c r="I3793" s="2">
        <v>93369</v>
      </c>
      <c r="J3793" s="2"/>
      <c r="K3793" s="2"/>
      <c r="L3793" s="2"/>
      <c r="M3793" s="2"/>
      <c r="N3793" s="2"/>
      <c r="O3793" s="2">
        <v>10552637</v>
      </c>
      <c r="P3793" s="2" t="s">
        <v>25212</v>
      </c>
      <c r="Q3793" s="2" t="s">
        <v>25213</v>
      </c>
      <c r="R3793" s="2" t="s">
        <v>25214</v>
      </c>
      <c r="S3793" s="2" t="s">
        <v>79</v>
      </c>
      <c r="T3793" s="2" t="s">
        <v>80</v>
      </c>
      <c r="U3793" s="2" t="s">
        <v>81</v>
      </c>
      <c r="V3793" s="2" t="s">
        <v>59</v>
      </c>
      <c r="W3793" s="2">
        <v>37.5</v>
      </c>
      <c r="X3793" s="2">
        <v>0</v>
      </c>
      <c r="Y3793" s="2" t="s">
        <v>323</v>
      </c>
      <c r="Z3793" s="2" t="s">
        <v>18433</v>
      </c>
      <c r="AA3793" s="2">
        <v>-1.2668582584400701</v>
      </c>
      <c r="AB3793" s="2">
        <v>0.190516759045327</v>
      </c>
      <c r="AC3793" s="2">
        <v>4273.1052057707002</v>
      </c>
      <c r="AD3793" s="2">
        <v>7268.0378618883396</v>
      </c>
      <c r="AE3793" s="2">
        <v>3827.7884171819001</v>
      </c>
      <c r="AF3793" s="2">
        <v>4442.5110823027899</v>
      </c>
      <c r="AG3793" s="2">
        <v>4707.3956340158602</v>
      </c>
      <c r="AH3793" s="2">
        <v>4417.0312543523696</v>
      </c>
      <c r="AI3793" s="2">
        <v>4172.3555098739398</v>
      </c>
      <c r="AJ3793" s="2">
        <v>4071.5493368973698</v>
      </c>
      <c r="AK3793" s="2">
        <v>6465.63368036468</v>
      </c>
      <c r="AL3793" s="2">
        <v>8361.8515320386796</v>
      </c>
      <c r="AM3793" s="2">
        <v>5345.4589914736098</v>
      </c>
      <c r="AN3793" s="2">
        <v>9590.3965899105406</v>
      </c>
      <c r="AO3793" s="2">
        <v>5526.5380420473803</v>
      </c>
      <c r="AP3793" s="2">
        <v>8318.3483354951495</v>
      </c>
    </row>
    <row r="3794" spans="1:42" ht="14.5" x14ac:dyDescent="0.35">
      <c r="A3794" s="2" t="s">
        <v>25215</v>
      </c>
      <c r="B3794" s="2">
        <v>541.477161748649</v>
      </c>
      <c r="C3794" s="2">
        <v>14.575049999999999</v>
      </c>
      <c r="D3794" s="2" t="s">
        <v>34</v>
      </c>
      <c r="E3794" s="2" t="s">
        <v>25216</v>
      </c>
      <c r="F3794" s="2">
        <v>36629</v>
      </c>
      <c r="G3794" s="3" t="str">
        <f>HYPERLINK("http://funmeta.oebiotech.com/network/36629", "http://funmeta.oebiotech.com/network/36629")</f>
        <v>http://funmeta.oebiotech.com/network/36629</v>
      </c>
      <c r="H3794" s="2" t="s">
        <v>25217</v>
      </c>
      <c r="I3794" s="2">
        <v>53819</v>
      </c>
      <c r="J3794" s="2" t="s">
        <v>25218</v>
      </c>
      <c r="K3794" s="2">
        <v>48716</v>
      </c>
      <c r="L3794" s="2" t="s">
        <v>25219</v>
      </c>
      <c r="M3794" s="2" t="s">
        <v>1167</v>
      </c>
      <c r="N3794" s="2" t="s">
        <v>1168</v>
      </c>
      <c r="O3794" s="2">
        <v>6440490</v>
      </c>
      <c r="P3794" s="2" t="s">
        <v>25220</v>
      </c>
      <c r="Q3794" s="2" t="s">
        <v>25221</v>
      </c>
      <c r="R3794" s="2" t="s">
        <v>25222</v>
      </c>
      <c r="S3794" s="2" t="s">
        <v>50</v>
      </c>
      <c r="T3794" s="2" t="s">
        <v>201</v>
      </c>
      <c r="U3794" s="2" t="s">
        <v>1634</v>
      </c>
      <c r="V3794" s="2" t="s">
        <v>59</v>
      </c>
      <c r="W3794" s="2">
        <v>37.700000000000003</v>
      </c>
      <c r="X3794" s="2">
        <v>0</v>
      </c>
      <c r="Y3794" s="2" t="s">
        <v>394</v>
      </c>
      <c r="Z3794" s="2" t="s">
        <v>25223</v>
      </c>
      <c r="AA3794" s="2">
        <v>0.70936925668152495</v>
      </c>
      <c r="AB3794" s="2">
        <v>0.19048325682740699</v>
      </c>
      <c r="AC3794" s="2">
        <v>6248.3926577049797</v>
      </c>
      <c r="AD3794" s="2">
        <v>8911.7322441911692</v>
      </c>
      <c r="AE3794" s="2">
        <v>6945.9686439700999</v>
      </c>
      <c r="AF3794" s="2">
        <v>6834.9553988924499</v>
      </c>
      <c r="AG3794" s="2">
        <v>6639.37933273013</v>
      </c>
      <c r="AH3794" s="2">
        <v>5143.2077417994697</v>
      </c>
      <c r="AI3794" s="2">
        <v>5956.1549681894303</v>
      </c>
      <c r="AJ3794" s="2">
        <v>5970.68986064828</v>
      </c>
      <c r="AK3794" s="2">
        <v>10200.2002279672</v>
      </c>
      <c r="AL3794" s="2">
        <v>9188.0808116909702</v>
      </c>
      <c r="AM3794" s="2">
        <v>8615.5360226749508</v>
      </c>
      <c r="AN3794" s="2">
        <v>8229.1103352515292</v>
      </c>
      <c r="AO3794" s="2">
        <v>8322.3328160828005</v>
      </c>
      <c r="AP3794" s="2">
        <v>8915.1332514795395</v>
      </c>
    </row>
    <row r="3795" spans="1:42" ht="14.5" x14ac:dyDescent="0.35">
      <c r="A3795" s="2" t="s">
        <v>25224</v>
      </c>
      <c r="B3795" s="2">
        <v>815.388329521591</v>
      </c>
      <c r="C3795" s="2">
        <v>13.282016666666699</v>
      </c>
      <c r="D3795" s="2" t="s">
        <v>70</v>
      </c>
      <c r="E3795" s="2" t="s">
        <v>25225</v>
      </c>
      <c r="F3795" s="2">
        <v>227963</v>
      </c>
      <c r="G3795" s="3" t="str">
        <f>HYPERLINK("http://funmeta.oebiotech.com/network/227963", "http://funmeta.oebiotech.com/network/227963")</f>
        <v>http://funmeta.oebiotech.com/network/227963</v>
      </c>
      <c r="H3795" s="2" t="s">
        <v>25226</v>
      </c>
      <c r="I3795" s="2"/>
      <c r="J3795" s="2"/>
      <c r="K3795" s="2"/>
      <c r="L3795" s="2"/>
      <c r="M3795" s="2"/>
      <c r="N3795" s="2"/>
      <c r="O3795" s="2"/>
      <c r="P3795" s="2"/>
      <c r="Q3795" s="2" t="s">
        <v>25227</v>
      </c>
      <c r="R3795" s="2" t="s">
        <v>25228</v>
      </c>
      <c r="S3795" s="2" t="s">
        <v>41</v>
      </c>
      <c r="T3795" s="2" t="s">
        <v>41</v>
      </c>
      <c r="U3795" s="2" t="s">
        <v>41</v>
      </c>
      <c r="V3795" s="2" t="s">
        <v>59</v>
      </c>
      <c r="W3795" s="2">
        <v>38.5</v>
      </c>
      <c r="X3795" s="2">
        <v>0</v>
      </c>
      <c r="Y3795" s="2" t="s">
        <v>751</v>
      </c>
      <c r="Z3795" s="2" t="s">
        <v>25229</v>
      </c>
      <c r="AA3795" s="2">
        <v>-2.7078741378125701</v>
      </c>
      <c r="AB3795" s="2">
        <v>0.19046256062138101</v>
      </c>
      <c r="AC3795" s="2">
        <v>18274.645426765201</v>
      </c>
      <c r="AD3795" s="2">
        <v>14664.3315313168</v>
      </c>
      <c r="AE3795" s="2">
        <v>20893.6886265293</v>
      </c>
      <c r="AF3795" s="2">
        <v>14749.605382197</v>
      </c>
      <c r="AG3795" s="2">
        <v>17412.472647471899</v>
      </c>
      <c r="AH3795" s="2">
        <v>19737.2556518448</v>
      </c>
      <c r="AI3795" s="2">
        <v>19393.693735119901</v>
      </c>
      <c r="AJ3795" s="2">
        <v>17461.156517428499</v>
      </c>
      <c r="AK3795" s="2">
        <v>18573.304470807401</v>
      </c>
      <c r="AL3795" s="2">
        <v>15727.6966324157</v>
      </c>
      <c r="AM3795" s="2">
        <v>13739.559485375599</v>
      </c>
      <c r="AN3795" s="2">
        <v>12020.6928676893</v>
      </c>
      <c r="AO3795" s="2">
        <v>14840.3196978998</v>
      </c>
      <c r="AP3795" s="2">
        <v>13084.4160337129</v>
      </c>
    </row>
    <row r="3796" spans="1:42" ht="14.5" x14ac:dyDescent="0.35">
      <c r="A3796" s="2" t="s">
        <v>25230</v>
      </c>
      <c r="B3796" s="2">
        <v>562.31600037711996</v>
      </c>
      <c r="C3796" s="2">
        <v>12.073600000000001</v>
      </c>
      <c r="D3796" s="2" t="s">
        <v>34</v>
      </c>
      <c r="E3796" s="2" t="s">
        <v>25231</v>
      </c>
      <c r="F3796" s="2">
        <v>43517</v>
      </c>
      <c r="G3796" s="3" t="str">
        <f>HYPERLINK("http://funmeta.oebiotech.com/network/43517", "http://funmeta.oebiotech.com/network/43517")</f>
        <v>http://funmeta.oebiotech.com/network/43517</v>
      </c>
      <c r="H3796" s="2"/>
      <c r="I3796" s="2">
        <v>57626</v>
      </c>
      <c r="J3796" s="2" t="s">
        <v>25232</v>
      </c>
      <c r="K3796" s="2">
        <v>19549</v>
      </c>
      <c r="L3796" s="2"/>
      <c r="M3796" s="2"/>
      <c r="N3796" s="2"/>
      <c r="O3796" s="2">
        <v>21122088</v>
      </c>
      <c r="P3796" s="2"/>
      <c r="Q3796" s="2" t="s">
        <v>25233</v>
      </c>
      <c r="R3796" s="2" t="s">
        <v>25234</v>
      </c>
      <c r="S3796" s="2" t="s">
        <v>50</v>
      </c>
      <c r="T3796" s="2" t="s">
        <v>124</v>
      </c>
      <c r="U3796" s="2" t="s">
        <v>125</v>
      </c>
      <c r="V3796" s="2" t="s">
        <v>59</v>
      </c>
      <c r="W3796" s="2">
        <v>37.9</v>
      </c>
      <c r="X3796" s="2">
        <v>0</v>
      </c>
      <c r="Y3796" s="2" t="s">
        <v>43</v>
      </c>
      <c r="Z3796" s="2" t="s">
        <v>25235</v>
      </c>
      <c r="AA3796" s="2">
        <v>3.7759930155602199</v>
      </c>
      <c r="AB3796" s="2">
        <v>0.19027348693850399</v>
      </c>
      <c r="AC3796" s="2">
        <v>5235.9588717877295</v>
      </c>
      <c r="AD3796" s="2">
        <v>1761.2903302347099</v>
      </c>
      <c r="AE3796" s="2">
        <v>9580.4731152413806</v>
      </c>
      <c r="AF3796" s="2">
        <v>2715.7989762355201</v>
      </c>
      <c r="AG3796" s="2">
        <v>4152.4501146003804</v>
      </c>
      <c r="AH3796" s="2">
        <v>4435.4177050419203</v>
      </c>
      <c r="AI3796" s="2">
        <v>7650.0790576147101</v>
      </c>
      <c r="AJ3796" s="2">
        <v>2881.53426199247</v>
      </c>
      <c r="AK3796" s="2">
        <v>997.71281258795295</v>
      </c>
      <c r="AL3796" s="2">
        <v>2052.5649828311698</v>
      </c>
      <c r="AM3796" s="2">
        <v>2315.2245478465602</v>
      </c>
      <c r="AN3796" s="2">
        <v>1173.48017021644</v>
      </c>
      <c r="AO3796" s="2">
        <v>1807.56418088857</v>
      </c>
      <c r="AP3796" s="2">
        <v>2221.1952870375699</v>
      </c>
    </row>
    <row r="3797" spans="1:42" ht="14.5" x14ac:dyDescent="0.35">
      <c r="A3797" s="2" t="s">
        <v>25236</v>
      </c>
      <c r="B3797" s="2">
        <v>423.14677186187498</v>
      </c>
      <c r="C3797" s="2">
        <v>0.78071666666666695</v>
      </c>
      <c r="D3797" s="2" t="s">
        <v>34</v>
      </c>
      <c r="E3797" s="2" t="s">
        <v>25237</v>
      </c>
      <c r="F3797" s="2">
        <v>204458</v>
      </c>
      <c r="G3797" s="3" t="str">
        <f>HYPERLINK("http://funmeta.oebiotech.com/network/204458", "http://funmeta.oebiotech.com/network/204458")</f>
        <v>http://funmeta.oebiotech.com/network/204458</v>
      </c>
      <c r="H3797" s="2" t="s">
        <v>25238</v>
      </c>
      <c r="I3797" s="2"/>
      <c r="J3797" s="2"/>
      <c r="K3797" s="2"/>
      <c r="L3797" s="2"/>
      <c r="M3797" s="2"/>
      <c r="N3797" s="2"/>
      <c r="O3797" s="2">
        <v>66799609</v>
      </c>
      <c r="P3797" s="2"/>
      <c r="Q3797" s="2" t="s">
        <v>25239</v>
      </c>
      <c r="R3797" s="2" t="s">
        <v>25240</v>
      </c>
      <c r="S3797" s="2" t="s">
        <v>491</v>
      </c>
      <c r="T3797" s="2" t="s">
        <v>2238</v>
      </c>
      <c r="U3797" s="2" t="s">
        <v>15117</v>
      </c>
      <c r="V3797" s="2" t="s">
        <v>59</v>
      </c>
      <c r="W3797" s="2">
        <v>38.4</v>
      </c>
      <c r="X3797" s="2">
        <v>0</v>
      </c>
      <c r="Y3797" s="2" t="s">
        <v>43</v>
      </c>
      <c r="Z3797" s="2" t="s">
        <v>25241</v>
      </c>
      <c r="AA3797" s="2">
        <v>-1.68043104397678</v>
      </c>
      <c r="AB3797" s="2">
        <v>0.19019788494413301</v>
      </c>
      <c r="AC3797" s="2">
        <v>10064.988359232801</v>
      </c>
      <c r="AD3797" s="2">
        <v>13457.691345547501</v>
      </c>
      <c r="AE3797" s="2">
        <v>10418.994019801599</v>
      </c>
      <c r="AF3797" s="2">
        <v>8802.8951907258106</v>
      </c>
      <c r="AG3797" s="2">
        <v>11156.8955006423</v>
      </c>
      <c r="AH3797" s="2">
        <v>8212.20023461245</v>
      </c>
      <c r="AI3797" s="2">
        <v>11176.145402563299</v>
      </c>
      <c r="AJ3797" s="2">
        <v>10622.7998070511</v>
      </c>
      <c r="AK3797" s="2">
        <v>15310.8522340707</v>
      </c>
      <c r="AL3797" s="2">
        <v>12109.350914865299</v>
      </c>
      <c r="AM3797" s="2">
        <v>13573.445750962699</v>
      </c>
      <c r="AN3797" s="2">
        <v>10716.068394993599</v>
      </c>
      <c r="AO3797" s="2">
        <v>11971.2582877921</v>
      </c>
      <c r="AP3797" s="2">
        <v>17065.172490600598</v>
      </c>
    </row>
    <row r="3798" spans="1:42" ht="14.5" x14ac:dyDescent="0.35">
      <c r="A3798" s="2" t="s">
        <v>25242</v>
      </c>
      <c r="B3798" s="2">
        <v>569.31638252321204</v>
      </c>
      <c r="C3798" s="2">
        <v>6.1053333333333297</v>
      </c>
      <c r="D3798" s="2" t="s">
        <v>70</v>
      </c>
      <c r="E3798" s="2" t="s">
        <v>25243</v>
      </c>
      <c r="F3798" s="2">
        <v>46724</v>
      </c>
      <c r="G3798" s="3" t="str">
        <f>HYPERLINK("http://funmeta.oebiotech.com/network/46724", "http://funmeta.oebiotech.com/network/46724")</f>
        <v>http://funmeta.oebiotech.com/network/46724</v>
      </c>
      <c r="H3798" s="2"/>
      <c r="I3798" s="2"/>
      <c r="J3798" s="2" t="s">
        <v>25244</v>
      </c>
      <c r="K3798" s="2"/>
      <c r="L3798" s="2"/>
      <c r="M3798" s="2"/>
      <c r="N3798" s="2"/>
      <c r="O3798" s="2"/>
      <c r="P3798" s="2"/>
      <c r="Q3798" s="2" t="s">
        <v>25245</v>
      </c>
      <c r="R3798" s="2" t="s">
        <v>25246</v>
      </c>
      <c r="S3798" s="2" t="s">
        <v>50</v>
      </c>
      <c r="T3798" s="2" t="s">
        <v>124</v>
      </c>
      <c r="U3798" s="2" t="s">
        <v>723</v>
      </c>
      <c r="V3798" s="2" t="s">
        <v>59</v>
      </c>
      <c r="W3798" s="2">
        <v>44.5</v>
      </c>
      <c r="X3798" s="2">
        <v>40.5</v>
      </c>
      <c r="Y3798" s="2" t="s">
        <v>408</v>
      </c>
      <c r="Z3798" s="2" t="s">
        <v>25247</v>
      </c>
      <c r="AA3798" s="2">
        <v>1.9442363687983699</v>
      </c>
      <c r="AB3798" s="2">
        <v>0.19014497600163599</v>
      </c>
      <c r="AC3798" s="2">
        <v>29978.593810142</v>
      </c>
      <c r="AD3798" s="2">
        <v>33028.203031548903</v>
      </c>
      <c r="AE3798" s="2">
        <v>31187.444451705898</v>
      </c>
      <c r="AF3798" s="2">
        <v>29270.012015838201</v>
      </c>
      <c r="AG3798" s="2">
        <v>30740.900157440399</v>
      </c>
      <c r="AH3798" s="2">
        <v>29968.6931527366</v>
      </c>
      <c r="AI3798" s="2">
        <v>28934.416039256401</v>
      </c>
      <c r="AJ3798" s="2">
        <v>29770.097043874299</v>
      </c>
      <c r="AK3798" s="2">
        <v>33329.312445663098</v>
      </c>
      <c r="AL3798" s="2">
        <v>30007.200046107901</v>
      </c>
      <c r="AM3798" s="2">
        <v>33542.413736016802</v>
      </c>
      <c r="AN3798" s="2">
        <v>35330.387189987101</v>
      </c>
      <c r="AO3798" s="2">
        <v>32990.184113347103</v>
      </c>
      <c r="AP3798" s="2">
        <v>32969.720658171202</v>
      </c>
    </row>
    <row r="3799" spans="1:42" ht="14.5" x14ac:dyDescent="0.35">
      <c r="A3799" s="2" t="s">
        <v>25248</v>
      </c>
      <c r="B3799" s="2">
        <v>200.055712131071</v>
      </c>
      <c r="C3799" s="2">
        <v>1.4272166666666699</v>
      </c>
      <c r="D3799" s="2" t="s">
        <v>70</v>
      </c>
      <c r="E3799" s="2" t="s">
        <v>25249</v>
      </c>
      <c r="F3799" s="2">
        <v>209790</v>
      </c>
      <c r="G3799" s="3" t="str">
        <f>HYPERLINK("http://funmeta.oebiotech.com/network/209790", "http://funmeta.oebiotech.com/network/209790")</f>
        <v>http://funmeta.oebiotech.com/network/209790</v>
      </c>
      <c r="H3799" s="2" t="s">
        <v>25250</v>
      </c>
      <c r="I3799" s="2"/>
      <c r="J3799" s="2"/>
      <c r="K3799" s="2"/>
      <c r="L3799" s="2"/>
      <c r="M3799" s="2"/>
      <c r="N3799" s="2"/>
      <c r="O3799" s="2">
        <v>954</v>
      </c>
      <c r="P3799" s="2"/>
      <c r="Q3799" s="2" t="s">
        <v>25251</v>
      </c>
      <c r="R3799" s="2" t="s">
        <v>25252</v>
      </c>
      <c r="S3799" s="2" t="s">
        <v>89</v>
      </c>
      <c r="T3799" s="2" t="s">
        <v>90</v>
      </c>
      <c r="U3799" s="2" t="s">
        <v>99</v>
      </c>
      <c r="V3799" s="2" t="s">
        <v>42</v>
      </c>
      <c r="W3799" s="2">
        <v>49.1</v>
      </c>
      <c r="X3799" s="2">
        <v>52.9</v>
      </c>
      <c r="Y3799" s="2" t="s">
        <v>751</v>
      </c>
      <c r="Z3799" s="2" t="s">
        <v>25253</v>
      </c>
      <c r="AA3799" s="2">
        <v>-3.3499504145493599</v>
      </c>
      <c r="AB3799" s="2">
        <v>0.190086620134677</v>
      </c>
      <c r="AC3799" s="2">
        <v>6553.5051807326599</v>
      </c>
      <c r="AD3799" s="2">
        <v>4079.06454688653</v>
      </c>
      <c r="AE3799" s="2">
        <v>6131.2032831983097</v>
      </c>
      <c r="AF3799" s="2">
        <v>6417.7205278017</v>
      </c>
      <c r="AG3799" s="2">
        <v>6028.6993428699998</v>
      </c>
      <c r="AH3799" s="2">
        <v>6933.0170004629999</v>
      </c>
      <c r="AI3799" s="2">
        <v>6589.19685574908</v>
      </c>
      <c r="AJ3799" s="2">
        <v>7221.1940743138803</v>
      </c>
      <c r="AK3799" s="2">
        <v>3925.6955145652901</v>
      </c>
      <c r="AL3799" s="2">
        <v>3725.5885433233602</v>
      </c>
      <c r="AM3799" s="2">
        <v>3839.1891884809602</v>
      </c>
      <c r="AN3799" s="2">
        <v>4158.8361581462796</v>
      </c>
      <c r="AO3799" s="2">
        <v>4558.3283890210796</v>
      </c>
      <c r="AP3799" s="2">
        <v>4266.74948778218</v>
      </c>
    </row>
    <row r="3800" spans="1:42" ht="14.5" x14ac:dyDescent="0.35">
      <c r="A3800" s="2" t="s">
        <v>25254</v>
      </c>
      <c r="B3800" s="2">
        <v>629.15077547865496</v>
      </c>
      <c r="C3800" s="2">
        <v>3.5784166666666701</v>
      </c>
      <c r="D3800" s="2" t="s">
        <v>70</v>
      </c>
      <c r="E3800" s="2" t="s">
        <v>25255</v>
      </c>
      <c r="F3800" s="2">
        <v>62599</v>
      </c>
      <c r="G3800" s="3" t="str">
        <f>HYPERLINK("http://funmeta.oebiotech.com/network/62599", "http://funmeta.oebiotech.com/network/62599")</f>
        <v>http://funmeta.oebiotech.com/network/62599</v>
      </c>
      <c r="H3800" s="2" t="s">
        <v>25256</v>
      </c>
      <c r="I3800" s="2">
        <v>93898</v>
      </c>
      <c r="J3800" s="2"/>
      <c r="K3800" s="2"/>
      <c r="L3800" s="2"/>
      <c r="M3800" s="2"/>
      <c r="N3800" s="2"/>
      <c r="O3800" s="2">
        <v>14345585</v>
      </c>
      <c r="P3800" s="2" t="s">
        <v>25257</v>
      </c>
      <c r="Q3800" s="2" t="s">
        <v>25258</v>
      </c>
      <c r="R3800" s="2" t="s">
        <v>25259</v>
      </c>
      <c r="S3800" s="2" t="s">
        <v>79</v>
      </c>
      <c r="T3800" s="2" t="s">
        <v>80</v>
      </c>
      <c r="U3800" s="2" t="s">
        <v>81</v>
      </c>
      <c r="V3800" s="2" t="s">
        <v>59</v>
      </c>
      <c r="W3800" s="2">
        <v>38.6</v>
      </c>
      <c r="X3800" s="2">
        <v>0</v>
      </c>
      <c r="Y3800" s="2" t="s">
        <v>118</v>
      </c>
      <c r="Z3800" s="2" t="s">
        <v>25260</v>
      </c>
      <c r="AA3800" s="2">
        <v>-0.66387244525614697</v>
      </c>
      <c r="AB3800" s="2">
        <v>0.19006434448590201</v>
      </c>
      <c r="AC3800" s="2">
        <v>8286.1442877254394</v>
      </c>
      <c r="AD3800" s="2">
        <v>5282.1522152370098</v>
      </c>
      <c r="AE3800" s="2">
        <v>8838.0505321026994</v>
      </c>
      <c r="AF3800" s="2">
        <v>6924.2402431426499</v>
      </c>
      <c r="AG3800" s="2">
        <v>11183.9179979368</v>
      </c>
      <c r="AH3800" s="2">
        <v>8268.4973745192892</v>
      </c>
      <c r="AI3800" s="2">
        <v>7001.0815389640202</v>
      </c>
      <c r="AJ3800" s="2">
        <v>7501.0780396871796</v>
      </c>
      <c r="AK3800" s="2">
        <v>5459.4548659474103</v>
      </c>
      <c r="AL3800" s="2">
        <v>6442.6188511785404</v>
      </c>
      <c r="AM3800" s="2">
        <v>5379.1367913246104</v>
      </c>
      <c r="AN3800" s="2">
        <v>3975.3887592147098</v>
      </c>
      <c r="AO3800" s="2">
        <v>4343.0470817536298</v>
      </c>
      <c r="AP3800" s="2">
        <v>6093.2669420031598</v>
      </c>
    </row>
    <row r="3801" spans="1:42" ht="14.5" x14ac:dyDescent="0.35">
      <c r="A3801" s="2" t="s">
        <v>25261</v>
      </c>
      <c r="B3801" s="2">
        <v>397.20066494707902</v>
      </c>
      <c r="C3801" s="2">
        <v>10.3798166666667</v>
      </c>
      <c r="D3801" s="2" t="s">
        <v>34</v>
      </c>
      <c r="E3801" s="2" t="s">
        <v>25262</v>
      </c>
      <c r="F3801" s="2">
        <v>514763</v>
      </c>
      <c r="G3801" s="3" t="str">
        <f>HYPERLINK("http://funmeta.oebiotech.com/network/514763", "http://funmeta.oebiotech.com/network/514763")</f>
        <v>http://funmeta.oebiotech.com/network/514763</v>
      </c>
      <c r="H3801" s="2"/>
      <c r="I3801" s="2">
        <v>96423</v>
      </c>
      <c r="J3801" s="2"/>
      <c r="K3801" s="2"/>
      <c r="L3801" s="2"/>
      <c r="M3801" s="2"/>
      <c r="N3801" s="2"/>
      <c r="O3801" s="2">
        <v>49855250</v>
      </c>
      <c r="P3801" s="2" t="s">
        <v>25263</v>
      </c>
      <c r="Q3801" s="2" t="s">
        <v>25264</v>
      </c>
      <c r="R3801" s="2" t="s">
        <v>25265</v>
      </c>
      <c r="S3801" s="2" t="s">
        <v>115</v>
      </c>
      <c r="T3801" s="2" t="s">
        <v>116</v>
      </c>
      <c r="U3801" s="2" t="s">
        <v>41</v>
      </c>
      <c r="V3801" s="2" t="s">
        <v>59</v>
      </c>
      <c r="W3801" s="2">
        <v>38.799999999999997</v>
      </c>
      <c r="X3801" s="2">
        <v>0</v>
      </c>
      <c r="Y3801" s="2" t="s">
        <v>340</v>
      </c>
      <c r="Z3801" s="2" t="s">
        <v>25266</v>
      </c>
      <c r="AA3801" s="2">
        <v>1.76041803951334</v>
      </c>
      <c r="AB3801" s="2">
        <v>0.19005068295567201</v>
      </c>
      <c r="AC3801" s="2">
        <v>5228.2810636736504</v>
      </c>
      <c r="AD3801" s="2">
        <v>2764.2706605706098</v>
      </c>
      <c r="AE3801" s="2">
        <v>4939.5050169260503</v>
      </c>
      <c r="AF3801" s="2">
        <v>5185.7390578654704</v>
      </c>
      <c r="AG3801" s="2">
        <v>4960.6163835998304</v>
      </c>
      <c r="AH3801" s="2">
        <v>5147.6107374929798</v>
      </c>
      <c r="AI3801" s="2">
        <v>5039.6183229461403</v>
      </c>
      <c r="AJ3801" s="2">
        <v>6096.59686321141</v>
      </c>
      <c r="AK3801" s="2">
        <v>2773.4027737713</v>
      </c>
      <c r="AL3801" s="2">
        <v>2206.6706400445601</v>
      </c>
      <c r="AM3801" s="2">
        <v>3126.7098343504199</v>
      </c>
      <c r="AN3801" s="2">
        <v>2735.0524165390798</v>
      </c>
      <c r="AO3801" s="2">
        <v>2936.2623338988601</v>
      </c>
      <c r="AP3801" s="2">
        <v>2807.5259648194601</v>
      </c>
    </row>
    <row r="3802" spans="1:42" ht="14.5" x14ac:dyDescent="0.35">
      <c r="A3802" s="2" t="s">
        <v>25267</v>
      </c>
      <c r="B3802" s="2">
        <v>509.09089838088801</v>
      </c>
      <c r="C3802" s="2">
        <v>3.95061666666667</v>
      </c>
      <c r="D3802" s="2" t="s">
        <v>70</v>
      </c>
      <c r="E3802" s="2" t="s">
        <v>25268</v>
      </c>
      <c r="F3802" s="2">
        <v>206402</v>
      </c>
      <c r="G3802" s="3" t="str">
        <f>HYPERLINK("http://funmeta.oebiotech.com/network/206402", "http://funmeta.oebiotech.com/network/206402")</f>
        <v>http://funmeta.oebiotech.com/network/206402</v>
      </c>
      <c r="H3802" s="2" t="s">
        <v>25269</v>
      </c>
      <c r="I3802" s="2"/>
      <c r="J3802" s="2"/>
      <c r="K3802" s="2">
        <v>68534</v>
      </c>
      <c r="L3802" s="2"/>
      <c r="M3802" s="2"/>
      <c r="N3802" s="2"/>
      <c r="O3802" s="2">
        <v>15951529</v>
      </c>
      <c r="P3802" s="2"/>
      <c r="Q3802" s="2" t="s">
        <v>25270</v>
      </c>
      <c r="R3802" s="2" t="s">
        <v>25271</v>
      </c>
      <c r="S3802" s="2" t="s">
        <v>491</v>
      </c>
      <c r="T3802" s="2" t="s">
        <v>3479</v>
      </c>
      <c r="U3802" s="2" t="s">
        <v>13711</v>
      </c>
      <c r="V3802" s="2" t="s">
        <v>59</v>
      </c>
      <c r="W3802" s="2">
        <v>41.2</v>
      </c>
      <c r="X3802" s="2">
        <v>19.2</v>
      </c>
      <c r="Y3802" s="2" t="s">
        <v>408</v>
      </c>
      <c r="Z3802" s="2" t="s">
        <v>25272</v>
      </c>
      <c r="AA3802" s="2">
        <v>-0.676891367867125</v>
      </c>
      <c r="AB3802" s="2">
        <v>0.18997109135986001</v>
      </c>
      <c r="AC3802" s="2">
        <v>9093.3961856281694</v>
      </c>
      <c r="AD3802" s="2">
        <v>11784.554482883599</v>
      </c>
      <c r="AE3802" s="2">
        <v>8279.0867953682991</v>
      </c>
      <c r="AF3802" s="2">
        <v>7770.0009722760597</v>
      </c>
      <c r="AG3802" s="2">
        <v>9271.3428174105793</v>
      </c>
      <c r="AH3802" s="2">
        <v>10197.4123518134</v>
      </c>
      <c r="AI3802" s="2">
        <v>8620.0093206168604</v>
      </c>
      <c r="AJ3802" s="2">
        <v>10422.524856283801</v>
      </c>
      <c r="AK3802" s="2">
        <v>11502.3096971375</v>
      </c>
      <c r="AL3802" s="2">
        <v>12165.8618567342</v>
      </c>
      <c r="AM3802" s="2">
        <v>11407.0983151988</v>
      </c>
      <c r="AN3802" s="2">
        <v>11597.272079636799</v>
      </c>
      <c r="AO3802" s="2">
        <v>11783.2912977831</v>
      </c>
      <c r="AP3802" s="2">
        <v>12251.4936508111</v>
      </c>
    </row>
    <row r="3803" spans="1:42" ht="14.5" x14ac:dyDescent="0.35">
      <c r="A3803" s="2" t="s">
        <v>25273</v>
      </c>
      <c r="B3803" s="2">
        <v>280.13090883644998</v>
      </c>
      <c r="C3803" s="2">
        <v>11.670033333333301</v>
      </c>
      <c r="D3803" s="2" t="s">
        <v>34</v>
      </c>
      <c r="E3803" s="2" t="s">
        <v>25274</v>
      </c>
      <c r="F3803" s="2">
        <v>9003</v>
      </c>
      <c r="G3803" s="3" t="str">
        <f>HYPERLINK("http://funmeta.oebiotech.com/network/9003", "http://funmeta.oebiotech.com/network/9003")</f>
        <v>http://funmeta.oebiotech.com/network/9003</v>
      </c>
      <c r="H3803" s="2"/>
      <c r="I3803" s="2"/>
      <c r="J3803" s="2" t="s">
        <v>25275</v>
      </c>
      <c r="K3803" s="2"/>
      <c r="L3803" s="2"/>
      <c r="M3803" s="2"/>
      <c r="N3803" s="2"/>
      <c r="O3803" s="2"/>
      <c r="P3803" s="2"/>
      <c r="Q3803" s="2" t="s">
        <v>25276</v>
      </c>
      <c r="R3803" s="2" t="s">
        <v>25277</v>
      </c>
      <c r="S3803" s="2" t="s">
        <v>89</v>
      </c>
      <c r="T3803" s="2" t="s">
        <v>90</v>
      </c>
      <c r="U3803" s="2" t="s">
        <v>99</v>
      </c>
      <c r="V3803" s="2" t="s">
        <v>59</v>
      </c>
      <c r="W3803" s="2">
        <v>41</v>
      </c>
      <c r="X3803" s="2">
        <v>6.55</v>
      </c>
      <c r="Y3803" s="2" t="s">
        <v>340</v>
      </c>
      <c r="Z3803" s="2" t="s">
        <v>25278</v>
      </c>
      <c r="AA3803" s="2">
        <v>-0.17765490061766201</v>
      </c>
      <c r="AB3803" s="2">
        <v>0.18985883172906701</v>
      </c>
      <c r="AC3803" s="2">
        <v>9232.8173592703606</v>
      </c>
      <c r="AD3803" s="2">
        <v>5633.7024571248603</v>
      </c>
      <c r="AE3803" s="2">
        <v>10513.0558235028</v>
      </c>
      <c r="AF3803" s="2">
        <v>7083.4516140538099</v>
      </c>
      <c r="AG3803" s="2">
        <v>8642.9087045842807</v>
      </c>
      <c r="AH3803" s="2">
        <v>10678.9262640992</v>
      </c>
      <c r="AI3803" s="2">
        <v>10692.027330094499</v>
      </c>
      <c r="AJ3803" s="2">
        <v>7786.53441928757</v>
      </c>
      <c r="AK3803" s="2">
        <v>3446.6477487468301</v>
      </c>
      <c r="AL3803" s="2">
        <v>9450.8040787399095</v>
      </c>
      <c r="AM3803" s="2">
        <v>4662.7045462734804</v>
      </c>
      <c r="AN3803" s="2">
        <v>8647.8714680096491</v>
      </c>
      <c r="AO3803" s="2">
        <v>3084.4513794597801</v>
      </c>
      <c r="AP3803" s="2">
        <v>4509.7355215195403</v>
      </c>
    </row>
    <row r="3804" spans="1:42" ht="14.5" x14ac:dyDescent="0.35">
      <c r="A3804" s="2" t="s">
        <v>25279</v>
      </c>
      <c r="B3804" s="2">
        <v>167.033887127024</v>
      </c>
      <c r="C3804" s="2">
        <v>3.165</v>
      </c>
      <c r="D3804" s="2" t="s">
        <v>70</v>
      </c>
      <c r="E3804" s="2" t="s">
        <v>25280</v>
      </c>
      <c r="F3804" s="2">
        <v>47056</v>
      </c>
      <c r="G3804" s="3" t="str">
        <f>HYPERLINK("http://funmeta.oebiotech.com/network/47056", "http://funmeta.oebiotech.com/network/47056")</f>
        <v>http://funmeta.oebiotech.com/network/47056</v>
      </c>
      <c r="H3804" s="2" t="s">
        <v>25281</v>
      </c>
      <c r="I3804" s="2">
        <v>5471</v>
      </c>
      <c r="J3804" s="2"/>
      <c r="K3804" s="2">
        <v>30816</v>
      </c>
      <c r="L3804" s="2" t="s">
        <v>25282</v>
      </c>
      <c r="M3804" s="2" t="s">
        <v>3346</v>
      </c>
      <c r="N3804" s="2" t="s">
        <v>3347</v>
      </c>
      <c r="O3804" s="2">
        <v>8468</v>
      </c>
      <c r="P3804" s="2" t="s">
        <v>25283</v>
      </c>
      <c r="Q3804" s="2" t="s">
        <v>25284</v>
      </c>
      <c r="R3804" s="2" t="s">
        <v>25285</v>
      </c>
      <c r="S3804" s="2" t="s">
        <v>148</v>
      </c>
      <c r="T3804" s="2" t="s">
        <v>149</v>
      </c>
      <c r="U3804" s="2" t="s">
        <v>1593</v>
      </c>
      <c r="V3804" s="2" t="s">
        <v>42</v>
      </c>
      <c r="W3804" s="2">
        <v>55.1</v>
      </c>
      <c r="X3804" s="2">
        <v>87</v>
      </c>
      <c r="Y3804" s="2" t="s">
        <v>118</v>
      </c>
      <c r="Z3804" s="2" t="s">
        <v>5671</v>
      </c>
      <c r="AA3804" s="2">
        <v>-6.5172640771745503</v>
      </c>
      <c r="AB3804" s="2">
        <v>0.18980960881397799</v>
      </c>
      <c r="AC3804" s="2">
        <v>7174.7887045336101</v>
      </c>
      <c r="AD3804" s="2">
        <v>4713.8426468983798</v>
      </c>
      <c r="AE3804" s="2">
        <v>7082.4008282014001</v>
      </c>
      <c r="AF3804" s="2">
        <v>6921.9240897415102</v>
      </c>
      <c r="AG3804" s="2">
        <v>7721.7375983169804</v>
      </c>
      <c r="AH3804" s="2">
        <v>7108.6167103573198</v>
      </c>
      <c r="AI3804" s="2">
        <v>6707.61529606156</v>
      </c>
      <c r="AJ3804" s="2">
        <v>7506.4377045229003</v>
      </c>
      <c r="AK3804" s="2">
        <v>4282.6693115780799</v>
      </c>
      <c r="AL3804" s="2">
        <v>5338.9119835501297</v>
      </c>
      <c r="AM3804" s="2">
        <v>4312.0795278190199</v>
      </c>
      <c r="AN3804" s="2">
        <v>5114.2891729980402</v>
      </c>
      <c r="AO3804" s="2">
        <v>4495.4534323334801</v>
      </c>
      <c r="AP3804" s="2">
        <v>4739.6524531115501</v>
      </c>
    </row>
    <row r="3805" spans="1:42" ht="14.5" x14ac:dyDescent="0.35">
      <c r="A3805" s="2" t="s">
        <v>25286</v>
      </c>
      <c r="B3805" s="2">
        <v>469.20693024576099</v>
      </c>
      <c r="C3805" s="2">
        <v>4.3281833333333299</v>
      </c>
      <c r="D3805" s="2" t="s">
        <v>70</v>
      </c>
      <c r="E3805" s="2" t="s">
        <v>25287</v>
      </c>
      <c r="F3805" s="2">
        <v>200972</v>
      </c>
      <c r="G3805" s="3" t="str">
        <f>HYPERLINK("http://funmeta.oebiotech.com/network/200972", "http://funmeta.oebiotech.com/network/200972")</f>
        <v>http://funmeta.oebiotech.com/network/200972</v>
      </c>
      <c r="H3805" s="2" t="s">
        <v>25288</v>
      </c>
      <c r="I3805" s="2"/>
      <c r="J3805" s="2"/>
      <c r="K3805" s="2">
        <v>110174</v>
      </c>
      <c r="L3805" s="2"/>
      <c r="M3805" s="2"/>
      <c r="N3805" s="2"/>
      <c r="O3805" s="2">
        <v>263976</v>
      </c>
      <c r="P3805" s="2"/>
      <c r="Q3805" s="2" t="s">
        <v>25289</v>
      </c>
      <c r="R3805" s="2" t="s">
        <v>25290</v>
      </c>
      <c r="S3805" s="2" t="s">
        <v>1444</v>
      </c>
      <c r="T3805" s="2" t="s">
        <v>3595</v>
      </c>
      <c r="U3805" s="2" t="s">
        <v>21777</v>
      </c>
      <c r="V3805" s="2" t="s">
        <v>59</v>
      </c>
      <c r="W3805" s="2">
        <v>39.4</v>
      </c>
      <c r="X3805" s="2">
        <v>0</v>
      </c>
      <c r="Y3805" s="2" t="s">
        <v>560</v>
      </c>
      <c r="Z3805" s="2" t="s">
        <v>25291</v>
      </c>
      <c r="AA3805" s="2">
        <v>0.75990467304099696</v>
      </c>
      <c r="AB3805" s="2">
        <v>0.18980326747882501</v>
      </c>
      <c r="AC3805" s="2">
        <v>4716.6989137317796</v>
      </c>
      <c r="AD3805" s="2">
        <v>1975.3122028302701</v>
      </c>
      <c r="AE3805" s="2">
        <v>4960.2583421159297</v>
      </c>
      <c r="AF3805" s="2">
        <v>3582.69804951573</v>
      </c>
      <c r="AG3805" s="2">
        <v>5688.8082290233297</v>
      </c>
      <c r="AH3805" s="2">
        <v>4624.5424597306701</v>
      </c>
      <c r="AI3805" s="2">
        <v>3702.5179452867201</v>
      </c>
      <c r="AJ3805" s="2">
        <v>5741.36845671829</v>
      </c>
      <c r="AK3805" s="2">
        <v>2137.9090974075598</v>
      </c>
      <c r="AL3805" s="2">
        <v>2214.1106853188398</v>
      </c>
      <c r="AM3805" s="2">
        <v>876.58045732929804</v>
      </c>
      <c r="AN3805" s="2">
        <v>1560.7741840849801</v>
      </c>
      <c r="AO3805" s="2">
        <v>1589.61469928058</v>
      </c>
      <c r="AP3805" s="2">
        <v>3472.8840935603498</v>
      </c>
    </row>
    <row r="3806" spans="1:42" ht="14.5" x14ac:dyDescent="0.35">
      <c r="A3806" s="2" t="s">
        <v>25292</v>
      </c>
      <c r="B3806" s="2">
        <v>158.15380826055801</v>
      </c>
      <c r="C3806" s="2">
        <v>14.7418833333333</v>
      </c>
      <c r="D3806" s="2" t="s">
        <v>34</v>
      </c>
      <c r="E3806" s="2" t="s">
        <v>25293</v>
      </c>
      <c r="F3806" s="2">
        <v>6341</v>
      </c>
      <c r="G3806" s="3" t="str">
        <f>HYPERLINK("http://funmeta.oebiotech.com/network/6341", "http://funmeta.oebiotech.com/network/6341")</f>
        <v>http://funmeta.oebiotech.com/network/6341</v>
      </c>
      <c r="H3806" s="2" t="s">
        <v>25294</v>
      </c>
      <c r="I3806" s="2">
        <v>90242</v>
      </c>
      <c r="J3806" s="2" t="s">
        <v>25295</v>
      </c>
      <c r="K3806" s="2"/>
      <c r="L3806" s="2"/>
      <c r="M3806" s="2"/>
      <c r="N3806" s="2"/>
      <c r="O3806" s="2">
        <v>5364586</v>
      </c>
      <c r="P3806" s="2" t="s">
        <v>25296</v>
      </c>
      <c r="Q3806" s="2" t="s">
        <v>25297</v>
      </c>
      <c r="R3806" s="2" t="s">
        <v>25298</v>
      </c>
      <c r="S3806" s="2" t="s">
        <v>50</v>
      </c>
      <c r="T3806" s="2" t="s">
        <v>229</v>
      </c>
      <c r="U3806" s="2" t="s">
        <v>1283</v>
      </c>
      <c r="V3806" s="2" t="s">
        <v>59</v>
      </c>
      <c r="W3806" s="2">
        <v>42.5</v>
      </c>
      <c r="X3806" s="2">
        <v>15.3</v>
      </c>
      <c r="Y3806" s="2" t="s">
        <v>43</v>
      </c>
      <c r="Z3806" s="2" t="s">
        <v>25299</v>
      </c>
      <c r="AA3806" s="2">
        <v>-0.94491873506883395</v>
      </c>
      <c r="AB3806" s="2">
        <v>0.18980204189757399</v>
      </c>
      <c r="AC3806" s="2">
        <v>41959.297405411198</v>
      </c>
      <c r="AD3806" s="2">
        <v>44904.603016115398</v>
      </c>
      <c r="AE3806" s="2">
        <v>41375.138367738997</v>
      </c>
      <c r="AF3806" s="2">
        <v>41666.158249416199</v>
      </c>
      <c r="AG3806" s="2">
        <v>43416.089612138698</v>
      </c>
      <c r="AH3806" s="2">
        <v>42380.067725411704</v>
      </c>
      <c r="AI3806" s="2">
        <v>42826.252119952303</v>
      </c>
      <c r="AJ3806" s="2">
        <v>40092.078357809201</v>
      </c>
      <c r="AK3806" s="2">
        <v>47144.879033267302</v>
      </c>
      <c r="AL3806" s="2">
        <v>44322.648994829302</v>
      </c>
      <c r="AM3806" s="2">
        <v>43898.191933604598</v>
      </c>
      <c r="AN3806" s="2">
        <v>44548.614147687003</v>
      </c>
      <c r="AO3806" s="2">
        <v>45456.786463431497</v>
      </c>
      <c r="AP3806" s="2">
        <v>44056.497523872997</v>
      </c>
    </row>
    <row r="3807" spans="1:42" ht="14.5" x14ac:dyDescent="0.35">
      <c r="A3807" s="2" t="s">
        <v>25300</v>
      </c>
      <c r="B3807" s="2">
        <v>570.34217620325296</v>
      </c>
      <c r="C3807" s="2">
        <v>8.6366999999999994</v>
      </c>
      <c r="D3807" s="2" t="s">
        <v>34</v>
      </c>
      <c r="E3807" s="2" t="s">
        <v>25301</v>
      </c>
      <c r="F3807" s="2">
        <v>266809</v>
      </c>
      <c r="G3807" s="3" t="str">
        <f>HYPERLINK("http://funmeta.oebiotech.com/network/266809", "http://funmeta.oebiotech.com/network/266809")</f>
        <v>http://funmeta.oebiotech.com/network/266809</v>
      </c>
      <c r="H3807" s="2"/>
      <c r="I3807" s="2">
        <v>44018</v>
      </c>
      <c r="J3807" s="2"/>
      <c r="K3807" s="2"/>
      <c r="L3807" s="2"/>
      <c r="M3807" s="2"/>
      <c r="N3807" s="2"/>
      <c r="O3807" s="2">
        <v>6710688</v>
      </c>
      <c r="P3807" s="2"/>
      <c r="Q3807" s="2" t="s">
        <v>25302</v>
      </c>
      <c r="R3807" s="2" t="s">
        <v>25303</v>
      </c>
      <c r="S3807" s="2" t="s">
        <v>41</v>
      </c>
      <c r="T3807" s="2" t="s">
        <v>41</v>
      </c>
      <c r="U3807" s="2" t="s">
        <v>41</v>
      </c>
      <c r="V3807" s="2" t="s">
        <v>59</v>
      </c>
      <c r="W3807" s="2">
        <v>37.299999999999997</v>
      </c>
      <c r="X3807" s="2">
        <v>0</v>
      </c>
      <c r="Y3807" s="2" t="s">
        <v>43</v>
      </c>
      <c r="Z3807" s="2" t="s">
        <v>25304</v>
      </c>
      <c r="AA3807" s="2">
        <v>-0.63927065567751296</v>
      </c>
      <c r="AB3807" s="2">
        <v>0.189790711217034</v>
      </c>
      <c r="AC3807" s="2">
        <v>720.53135262912997</v>
      </c>
      <c r="AD3807" s="2">
        <v>3278.1787634273501</v>
      </c>
      <c r="AE3807" s="2">
        <v>1026.2697295752801</v>
      </c>
      <c r="AF3807" s="2">
        <v>719.08222613284795</v>
      </c>
      <c r="AG3807" s="2">
        <v>919.17241246417495</v>
      </c>
      <c r="AH3807" s="2">
        <v>925.42004074342105</v>
      </c>
      <c r="AI3807" s="2">
        <v>733.24367975276004</v>
      </c>
      <c r="AJ3807" s="2">
        <v>2.7106294003980101E-5</v>
      </c>
      <c r="AK3807" s="2">
        <v>4310.8706386419699</v>
      </c>
      <c r="AL3807" s="2">
        <v>2478.98566540719</v>
      </c>
      <c r="AM3807" s="2">
        <v>3837.41320062251</v>
      </c>
      <c r="AN3807" s="2">
        <v>3380.3144235998102</v>
      </c>
      <c r="AO3807" s="2">
        <v>3210.71483215633</v>
      </c>
      <c r="AP3807" s="2">
        <v>2450.7738201362699</v>
      </c>
    </row>
    <row r="3808" spans="1:42" ht="14.5" x14ac:dyDescent="0.35">
      <c r="A3808" s="2" t="s">
        <v>25305</v>
      </c>
      <c r="B3808" s="2">
        <v>364.159938848651</v>
      </c>
      <c r="C3808" s="2">
        <v>1.29345</v>
      </c>
      <c r="D3808" s="2" t="s">
        <v>34</v>
      </c>
      <c r="E3808" s="2" t="s">
        <v>25306</v>
      </c>
      <c r="F3808" s="2">
        <v>60263</v>
      </c>
      <c r="G3808" s="3" t="str">
        <f>HYPERLINK("http://funmeta.oebiotech.com/network/60263", "http://funmeta.oebiotech.com/network/60263")</f>
        <v>http://funmeta.oebiotech.com/network/60263</v>
      </c>
      <c r="H3808" s="2" t="s">
        <v>25307</v>
      </c>
      <c r="I3808" s="2"/>
      <c r="J3808" s="2"/>
      <c r="K3808" s="2"/>
      <c r="L3808" s="2" t="s">
        <v>25308</v>
      </c>
      <c r="M3808" s="2"/>
      <c r="N3808" s="2"/>
      <c r="O3808" s="2">
        <v>348157</v>
      </c>
      <c r="P3808" s="2" t="s">
        <v>25309</v>
      </c>
      <c r="Q3808" s="2" t="s">
        <v>25310</v>
      </c>
      <c r="R3808" s="2" t="s">
        <v>25311</v>
      </c>
      <c r="S3808" s="2" t="s">
        <v>50</v>
      </c>
      <c r="T3808" s="2" t="s">
        <v>201</v>
      </c>
      <c r="U3808" s="2" t="s">
        <v>202</v>
      </c>
      <c r="V3808" s="2" t="s">
        <v>42</v>
      </c>
      <c r="W3808" s="2">
        <v>48.3</v>
      </c>
      <c r="X3808" s="2">
        <v>47.5</v>
      </c>
      <c r="Y3808" s="2" t="s">
        <v>43</v>
      </c>
      <c r="Z3808" s="2" t="s">
        <v>13125</v>
      </c>
      <c r="AA3808" s="2">
        <v>-0.77706566857145898</v>
      </c>
      <c r="AB3808" s="2">
        <v>0.189623959184057</v>
      </c>
      <c r="AC3808" s="2">
        <v>42678.175797549098</v>
      </c>
      <c r="AD3808" s="2">
        <v>38773.9174966836</v>
      </c>
      <c r="AE3808" s="2">
        <v>46876.958688413499</v>
      </c>
      <c r="AF3808" s="2">
        <v>47173.615241421197</v>
      </c>
      <c r="AG3808" s="2">
        <v>41347.781026558201</v>
      </c>
      <c r="AH3808" s="2">
        <v>41070.536557872998</v>
      </c>
      <c r="AI3808" s="2">
        <v>38760.214289983996</v>
      </c>
      <c r="AJ3808" s="2">
        <v>40839.948981044901</v>
      </c>
      <c r="AK3808" s="2">
        <v>39111.975159963797</v>
      </c>
      <c r="AL3808" s="2">
        <v>37639.757510005897</v>
      </c>
      <c r="AM3808" s="2">
        <v>37604.111073114102</v>
      </c>
      <c r="AN3808" s="2">
        <v>40896.214196124602</v>
      </c>
      <c r="AO3808" s="2">
        <v>35918.781141800202</v>
      </c>
      <c r="AP3808" s="2">
        <v>41472.665899093001</v>
      </c>
    </row>
    <row r="3809" spans="1:42" ht="14.5" x14ac:dyDescent="0.35">
      <c r="A3809" s="2" t="s">
        <v>25312</v>
      </c>
      <c r="B3809" s="2">
        <v>455.16926285375001</v>
      </c>
      <c r="C3809" s="2">
        <v>5.0778999999999996</v>
      </c>
      <c r="D3809" s="2" t="s">
        <v>70</v>
      </c>
      <c r="E3809" s="2" t="s">
        <v>25313</v>
      </c>
      <c r="F3809" s="2">
        <v>273755</v>
      </c>
      <c r="G3809" s="3" t="str">
        <f>HYPERLINK("http://funmeta.oebiotech.com/network/273755", "http://funmeta.oebiotech.com/network/273755")</f>
        <v>http://funmeta.oebiotech.com/network/273755</v>
      </c>
      <c r="H3809" s="2"/>
      <c r="I3809" s="2">
        <v>63059</v>
      </c>
      <c r="J3809" s="2"/>
      <c r="K3809" s="2"/>
      <c r="L3809" s="2"/>
      <c r="M3809" s="2"/>
      <c r="N3809" s="2"/>
      <c r="O3809" s="2">
        <v>5282440</v>
      </c>
      <c r="P3809" s="2" t="s">
        <v>25314</v>
      </c>
      <c r="Q3809" s="2" t="s">
        <v>25315</v>
      </c>
      <c r="R3809" s="2" t="s">
        <v>25316</v>
      </c>
      <c r="S3809" s="2" t="s">
        <v>115</v>
      </c>
      <c r="T3809" s="2" t="s">
        <v>116</v>
      </c>
      <c r="U3809" s="2" t="s">
        <v>25317</v>
      </c>
      <c r="V3809" s="2" t="s">
        <v>59</v>
      </c>
      <c r="W3809" s="2">
        <v>37.9</v>
      </c>
      <c r="X3809" s="2">
        <v>0</v>
      </c>
      <c r="Y3809" s="2" t="s">
        <v>560</v>
      </c>
      <c r="Z3809" s="2" t="s">
        <v>25318</v>
      </c>
      <c r="AA3809" s="2">
        <v>-7.0498116863293099</v>
      </c>
      <c r="AB3809" s="2">
        <v>0.18955750164975199</v>
      </c>
      <c r="AC3809" s="2">
        <v>4200.6725056916603</v>
      </c>
      <c r="AD3809" s="2">
        <v>1770.6333362328501</v>
      </c>
      <c r="AE3809" s="2">
        <v>4300.1443372328404</v>
      </c>
      <c r="AF3809" s="2">
        <v>4279.1550677943997</v>
      </c>
      <c r="AG3809" s="2">
        <v>4186.4984100547999</v>
      </c>
      <c r="AH3809" s="2">
        <v>4893.7521475244603</v>
      </c>
      <c r="AI3809" s="2">
        <v>3565.3424124723301</v>
      </c>
      <c r="AJ3809" s="2">
        <v>3979.1426590711299</v>
      </c>
      <c r="AK3809" s="2">
        <v>1526.64241591678</v>
      </c>
      <c r="AL3809" s="2">
        <v>1550.86335463818</v>
      </c>
      <c r="AM3809" s="2">
        <v>2010.9694335131401</v>
      </c>
      <c r="AN3809" s="2">
        <v>1692.9547531092201</v>
      </c>
      <c r="AO3809" s="2">
        <v>2036.8955430639401</v>
      </c>
      <c r="AP3809" s="2">
        <v>1805.47451715583</v>
      </c>
    </row>
    <row r="3810" spans="1:42" ht="14.5" x14ac:dyDescent="0.35">
      <c r="A3810" s="2" t="s">
        <v>25319</v>
      </c>
      <c r="B3810" s="2">
        <v>853.30315331752695</v>
      </c>
      <c r="C3810" s="2">
        <v>8.1823666666666703</v>
      </c>
      <c r="D3810" s="2" t="s">
        <v>70</v>
      </c>
      <c r="E3810" s="2" t="s">
        <v>25320</v>
      </c>
      <c r="F3810" s="2">
        <v>52988</v>
      </c>
      <c r="G3810" s="3" t="str">
        <f>HYPERLINK("http://funmeta.oebiotech.com/network/52988", "http://funmeta.oebiotech.com/network/52988")</f>
        <v>http://funmeta.oebiotech.com/network/52988</v>
      </c>
      <c r="H3810" s="2" t="s">
        <v>25321</v>
      </c>
      <c r="I3810" s="2">
        <v>1345</v>
      </c>
      <c r="J3810" s="2"/>
      <c r="K3810" s="2">
        <v>6997</v>
      </c>
      <c r="L3810" s="2" t="s">
        <v>25322</v>
      </c>
      <c r="M3810" s="2"/>
      <c r="N3810" s="2"/>
      <c r="O3810" s="2">
        <v>34633</v>
      </c>
      <c r="P3810" s="2" t="s">
        <v>25323</v>
      </c>
      <c r="Q3810" s="2" t="s">
        <v>25324</v>
      </c>
      <c r="R3810" s="2" t="s">
        <v>25325</v>
      </c>
      <c r="S3810" s="2" t="s">
        <v>491</v>
      </c>
      <c r="T3810" s="2" t="s">
        <v>25326</v>
      </c>
      <c r="U3810" s="2" t="s">
        <v>25327</v>
      </c>
      <c r="V3810" s="2" t="s">
        <v>59</v>
      </c>
      <c r="W3810" s="2">
        <v>36.299999999999997</v>
      </c>
      <c r="X3810" s="2">
        <v>0</v>
      </c>
      <c r="Y3810" s="2" t="s">
        <v>560</v>
      </c>
      <c r="Z3810" s="2" t="s">
        <v>25328</v>
      </c>
      <c r="AA3810" s="2">
        <v>-3.18950871616086</v>
      </c>
      <c r="AB3810" s="2">
        <v>0.18952134539125601</v>
      </c>
      <c r="AC3810" s="2">
        <v>16983.467277874599</v>
      </c>
      <c r="AD3810" s="2">
        <v>14135.422689659101</v>
      </c>
      <c r="AE3810" s="2">
        <v>16323.2226620777</v>
      </c>
      <c r="AF3810" s="2">
        <v>16830.083662272998</v>
      </c>
      <c r="AG3810" s="2">
        <v>17715.472859884299</v>
      </c>
      <c r="AH3810" s="2">
        <v>15697.3286232469</v>
      </c>
      <c r="AI3810" s="2">
        <v>17586.329495876998</v>
      </c>
      <c r="AJ3810" s="2">
        <v>17748.366363888999</v>
      </c>
      <c r="AK3810" s="2">
        <v>16002.370460189801</v>
      </c>
      <c r="AL3810" s="2">
        <v>14995.404929610801</v>
      </c>
      <c r="AM3810" s="2">
        <v>13121.0577089247</v>
      </c>
      <c r="AN3810" s="2">
        <v>12590.514423364</v>
      </c>
      <c r="AO3810" s="2">
        <v>13711.112220991599</v>
      </c>
      <c r="AP3810" s="2">
        <v>14392.076394874</v>
      </c>
    </row>
    <row r="3811" spans="1:42" ht="14.5" x14ac:dyDescent="0.35">
      <c r="A3811" s="2" t="s">
        <v>25329</v>
      </c>
      <c r="B3811" s="2">
        <v>497.17460201397301</v>
      </c>
      <c r="C3811" s="2">
        <v>10.24235</v>
      </c>
      <c r="D3811" s="2" t="s">
        <v>70</v>
      </c>
      <c r="E3811" s="2" t="s">
        <v>25330</v>
      </c>
      <c r="F3811" s="2">
        <v>199323</v>
      </c>
      <c r="G3811" s="3" t="str">
        <f>HYPERLINK("http://funmeta.oebiotech.com/network/199323", "http://funmeta.oebiotech.com/network/199323")</f>
        <v>http://funmeta.oebiotech.com/network/199323</v>
      </c>
      <c r="H3811" s="2" t="s">
        <v>25331</v>
      </c>
      <c r="I3811" s="2">
        <v>333450</v>
      </c>
      <c r="J3811" s="2"/>
      <c r="K3811" s="2"/>
      <c r="L3811" s="2"/>
      <c r="M3811" s="2"/>
      <c r="N3811" s="2"/>
      <c r="O3811" s="2">
        <v>6825</v>
      </c>
      <c r="P3811" s="2"/>
      <c r="Q3811" s="2" t="s">
        <v>25332</v>
      </c>
      <c r="R3811" s="2" t="s">
        <v>25333</v>
      </c>
      <c r="S3811" s="2" t="s">
        <v>148</v>
      </c>
      <c r="T3811" s="2" t="s">
        <v>6221</v>
      </c>
      <c r="U3811" s="2" t="s">
        <v>20983</v>
      </c>
      <c r="V3811" s="2" t="s">
        <v>59</v>
      </c>
      <c r="W3811" s="2">
        <v>38.4</v>
      </c>
      <c r="X3811" s="2">
        <v>0</v>
      </c>
      <c r="Y3811" s="2" t="s">
        <v>560</v>
      </c>
      <c r="Z3811" s="2" t="s">
        <v>25334</v>
      </c>
      <c r="AA3811" s="2">
        <v>2.9195697852665901</v>
      </c>
      <c r="AB3811" s="2">
        <v>0.18947859619068699</v>
      </c>
      <c r="AC3811" s="2">
        <v>3151.4081642321198</v>
      </c>
      <c r="AD3811" s="2">
        <v>735.32908565365301</v>
      </c>
      <c r="AE3811" s="2">
        <v>3416.34782954103</v>
      </c>
      <c r="AF3811" s="2">
        <v>2880.5908937580498</v>
      </c>
      <c r="AG3811" s="2">
        <v>3150.3781227753698</v>
      </c>
      <c r="AH3811" s="2">
        <v>2991.10195906832</v>
      </c>
      <c r="AI3811" s="2">
        <v>3616.9298088558799</v>
      </c>
      <c r="AJ3811" s="2">
        <v>2853.10037139407</v>
      </c>
      <c r="AK3811" s="2">
        <v>1047.10624610995</v>
      </c>
      <c r="AL3811" s="2">
        <v>430.10021749855503</v>
      </c>
      <c r="AM3811" s="2">
        <v>951.98707389852598</v>
      </c>
      <c r="AN3811" s="2">
        <v>443.21594382404498</v>
      </c>
      <c r="AO3811" s="2">
        <v>666.95554250222006</v>
      </c>
      <c r="AP3811" s="2">
        <v>872.60949008861996</v>
      </c>
    </row>
    <row r="3812" spans="1:42" ht="14.5" x14ac:dyDescent="0.35">
      <c r="A3812" s="2" t="s">
        <v>25335</v>
      </c>
      <c r="B3812" s="2">
        <v>528.29469672990194</v>
      </c>
      <c r="C3812" s="2">
        <v>5.0723166666666701</v>
      </c>
      <c r="D3812" s="2" t="s">
        <v>34</v>
      </c>
      <c r="E3812" s="2" t="s">
        <v>25336</v>
      </c>
      <c r="F3812" s="2">
        <v>219641</v>
      </c>
      <c r="G3812" s="3" t="str">
        <f>HYPERLINK("http://funmeta.oebiotech.com/network/219641", "http://funmeta.oebiotech.com/network/219641")</f>
        <v>http://funmeta.oebiotech.com/network/219641</v>
      </c>
      <c r="H3812" s="2" t="s">
        <v>25337</v>
      </c>
      <c r="I3812" s="2"/>
      <c r="J3812" s="2"/>
      <c r="K3812" s="2"/>
      <c r="L3812" s="2"/>
      <c r="M3812" s="2"/>
      <c r="N3812" s="2"/>
      <c r="O3812" s="2"/>
      <c r="P3812" s="2"/>
      <c r="Q3812" s="2" t="s">
        <v>25338</v>
      </c>
      <c r="R3812" s="2" t="s">
        <v>25339</v>
      </c>
      <c r="S3812" s="2" t="s">
        <v>41</v>
      </c>
      <c r="T3812" s="2" t="s">
        <v>41</v>
      </c>
      <c r="U3812" s="2" t="s">
        <v>41</v>
      </c>
      <c r="V3812" s="2" t="s">
        <v>59</v>
      </c>
      <c r="W3812" s="2">
        <v>36.9</v>
      </c>
      <c r="X3812" s="2">
        <v>0</v>
      </c>
      <c r="Y3812" s="2" t="s">
        <v>43</v>
      </c>
      <c r="Z3812" s="2" t="s">
        <v>25340</v>
      </c>
      <c r="AA3812" s="2">
        <v>2.91419489331241</v>
      </c>
      <c r="AB3812" s="2">
        <v>0.18941423476612201</v>
      </c>
      <c r="AC3812" s="2">
        <v>7631.5495472573602</v>
      </c>
      <c r="AD3812" s="2">
        <v>4851.92476317008</v>
      </c>
      <c r="AE3812" s="2">
        <v>7890.1350832347298</v>
      </c>
      <c r="AF3812" s="2">
        <v>8831.5079004006893</v>
      </c>
      <c r="AG3812" s="2">
        <v>6455.5858185253901</v>
      </c>
      <c r="AH3812" s="2">
        <v>7207.3564060525996</v>
      </c>
      <c r="AI3812" s="2">
        <v>7302.7480843277699</v>
      </c>
      <c r="AJ3812" s="2">
        <v>8101.96399100296</v>
      </c>
      <c r="AK3812" s="2">
        <v>6149.6657802503496</v>
      </c>
      <c r="AL3812" s="2">
        <v>5383.2245777676098</v>
      </c>
      <c r="AM3812" s="2">
        <v>5387.7644366651102</v>
      </c>
      <c r="AN3812" s="2">
        <v>4352.2827542391597</v>
      </c>
      <c r="AO3812" s="2">
        <v>4838.3127760019497</v>
      </c>
      <c r="AP3812" s="2">
        <v>3000.2982540962798</v>
      </c>
    </row>
    <row r="3813" spans="1:42" ht="14.5" x14ac:dyDescent="0.35">
      <c r="A3813" s="2" t="s">
        <v>25341</v>
      </c>
      <c r="B3813" s="2">
        <v>721.25986612757697</v>
      </c>
      <c r="C3813" s="2">
        <v>9.3321500000000004</v>
      </c>
      <c r="D3813" s="2" t="s">
        <v>34</v>
      </c>
      <c r="E3813" s="2" t="s">
        <v>25342</v>
      </c>
      <c r="F3813" s="2">
        <v>204329</v>
      </c>
      <c r="G3813" s="3" t="str">
        <f>HYPERLINK("http://funmeta.oebiotech.com/network/204329", "http://funmeta.oebiotech.com/network/204329")</f>
        <v>http://funmeta.oebiotech.com/network/204329</v>
      </c>
      <c r="H3813" s="2" t="s">
        <v>25343</v>
      </c>
      <c r="I3813" s="2"/>
      <c r="J3813" s="2"/>
      <c r="K3813" s="2"/>
      <c r="L3813" s="2"/>
      <c r="M3813" s="2"/>
      <c r="N3813" s="2"/>
      <c r="O3813" s="2">
        <v>20774280</v>
      </c>
      <c r="P3813" s="2"/>
      <c r="Q3813" s="2" t="s">
        <v>25344</v>
      </c>
      <c r="R3813" s="2" t="s">
        <v>25345</v>
      </c>
      <c r="S3813" s="2" t="s">
        <v>148</v>
      </c>
      <c r="T3813" s="2" t="s">
        <v>149</v>
      </c>
      <c r="U3813" s="2" t="s">
        <v>25346</v>
      </c>
      <c r="V3813" s="2" t="s">
        <v>59</v>
      </c>
      <c r="W3813" s="2">
        <v>36.299999999999997</v>
      </c>
      <c r="X3813" s="2">
        <v>0</v>
      </c>
      <c r="Y3813" s="2" t="s">
        <v>43</v>
      </c>
      <c r="Z3813" s="2" t="s">
        <v>25347</v>
      </c>
      <c r="AA3813" s="2">
        <v>3.8452545113721999</v>
      </c>
      <c r="AB3813" s="2">
        <v>0.189399568725167</v>
      </c>
      <c r="AC3813" s="2">
        <v>4180.6275242224501</v>
      </c>
      <c r="AD3813" s="2">
        <v>1771.28569141913</v>
      </c>
      <c r="AE3813" s="2">
        <v>4070.6235373138602</v>
      </c>
      <c r="AF3813" s="2">
        <v>3909.8356896752398</v>
      </c>
      <c r="AG3813" s="2">
        <v>4225.3285845242999</v>
      </c>
      <c r="AH3813" s="2">
        <v>3974.32815326337</v>
      </c>
      <c r="AI3813" s="2">
        <v>4275.1884693769298</v>
      </c>
      <c r="AJ3813" s="2">
        <v>4628.4607111810201</v>
      </c>
      <c r="AK3813" s="2">
        <v>1617.3094365101399</v>
      </c>
      <c r="AL3813" s="2">
        <v>2167.9839682433599</v>
      </c>
      <c r="AM3813" s="2">
        <v>1908.4312244498301</v>
      </c>
      <c r="AN3813" s="2">
        <v>1913.2533455400101</v>
      </c>
      <c r="AO3813" s="2">
        <v>1263.64591808004</v>
      </c>
      <c r="AP3813" s="2">
        <v>1757.09025569141</v>
      </c>
    </row>
    <row r="3814" spans="1:42" ht="14.5" x14ac:dyDescent="0.35">
      <c r="A3814" s="2" t="s">
        <v>25348</v>
      </c>
      <c r="B3814" s="2">
        <v>307.16700363476201</v>
      </c>
      <c r="C3814" s="2">
        <v>9.7855500000000006</v>
      </c>
      <c r="D3814" s="2" t="s">
        <v>34</v>
      </c>
      <c r="E3814" s="2" t="s">
        <v>25349</v>
      </c>
      <c r="F3814" s="2">
        <v>8516</v>
      </c>
      <c r="G3814" s="3" t="str">
        <f>HYPERLINK("http://funmeta.oebiotech.com/network/8516", "http://funmeta.oebiotech.com/network/8516")</f>
        <v>http://funmeta.oebiotech.com/network/8516</v>
      </c>
      <c r="H3814" s="2"/>
      <c r="I3814" s="2"/>
      <c r="J3814" s="2" t="s">
        <v>25350</v>
      </c>
      <c r="K3814" s="2"/>
      <c r="L3814" s="2"/>
      <c r="M3814" s="2"/>
      <c r="N3814" s="2"/>
      <c r="O3814" s="2"/>
      <c r="P3814" s="2"/>
      <c r="Q3814" s="2" t="s">
        <v>25351</v>
      </c>
      <c r="R3814" s="2" t="s">
        <v>25352</v>
      </c>
      <c r="S3814" s="2" t="s">
        <v>50</v>
      </c>
      <c r="T3814" s="2" t="s">
        <v>229</v>
      </c>
      <c r="U3814" s="2" t="s">
        <v>1914</v>
      </c>
      <c r="V3814" s="2" t="s">
        <v>59</v>
      </c>
      <c r="W3814" s="2">
        <v>37.700000000000003</v>
      </c>
      <c r="X3814" s="2">
        <v>0</v>
      </c>
      <c r="Y3814" s="2" t="s">
        <v>394</v>
      </c>
      <c r="Z3814" s="2" t="s">
        <v>25353</v>
      </c>
      <c r="AA3814" s="2">
        <v>-0.195457962669254</v>
      </c>
      <c r="AB3814" s="2">
        <v>0.189314868333298</v>
      </c>
      <c r="AC3814" s="2">
        <v>5945.4696291253404</v>
      </c>
      <c r="AD3814" s="2">
        <v>8461.3984217487905</v>
      </c>
      <c r="AE3814" s="2">
        <v>6214.9400607814996</v>
      </c>
      <c r="AF3814" s="2">
        <v>6321.7248110270802</v>
      </c>
      <c r="AG3814" s="2">
        <v>5965.1915946497902</v>
      </c>
      <c r="AH3814" s="2">
        <v>5848.2956978828297</v>
      </c>
      <c r="AI3814" s="2">
        <v>6062.2607807170998</v>
      </c>
      <c r="AJ3814" s="2">
        <v>5260.4048296937199</v>
      </c>
      <c r="AK3814" s="2">
        <v>9242.8222877574499</v>
      </c>
      <c r="AL3814" s="2">
        <v>9056.6786293630994</v>
      </c>
      <c r="AM3814" s="2">
        <v>8003.0731183260496</v>
      </c>
      <c r="AN3814" s="2">
        <v>8261.0389550757409</v>
      </c>
      <c r="AO3814" s="2">
        <v>8585.3308242335406</v>
      </c>
      <c r="AP3814" s="2">
        <v>7619.4467157368399</v>
      </c>
    </row>
    <row r="3815" spans="1:42" ht="14.5" x14ac:dyDescent="0.35">
      <c r="A3815" s="2" t="s">
        <v>25354</v>
      </c>
      <c r="B3815" s="2">
        <v>327.12340032207698</v>
      </c>
      <c r="C3815" s="2">
        <v>4.4359166666666701</v>
      </c>
      <c r="D3815" s="2" t="s">
        <v>70</v>
      </c>
      <c r="E3815" s="2" t="s">
        <v>25355</v>
      </c>
      <c r="F3815" s="2">
        <v>57538</v>
      </c>
      <c r="G3815" s="3" t="str">
        <f>HYPERLINK("http://funmeta.oebiotech.com/network/57538", "http://funmeta.oebiotech.com/network/57538")</f>
        <v>http://funmeta.oebiotech.com/network/57538</v>
      </c>
      <c r="H3815" s="2" t="s">
        <v>25356</v>
      </c>
      <c r="I3815" s="2">
        <v>89148</v>
      </c>
      <c r="J3815" s="2"/>
      <c r="K3815" s="2">
        <v>175388</v>
      </c>
      <c r="L3815" s="2"/>
      <c r="M3815" s="2"/>
      <c r="N3815" s="2"/>
      <c r="O3815" s="2">
        <v>14055878</v>
      </c>
      <c r="P3815" s="2"/>
      <c r="Q3815" s="2" t="s">
        <v>25357</v>
      </c>
      <c r="R3815" s="2" t="s">
        <v>25358</v>
      </c>
      <c r="S3815" s="2" t="s">
        <v>115</v>
      </c>
      <c r="T3815" s="2" t="s">
        <v>758</v>
      </c>
      <c r="U3815" s="2" t="s">
        <v>6655</v>
      </c>
      <c r="V3815" s="2" t="s">
        <v>42</v>
      </c>
      <c r="W3815" s="2">
        <v>54.5</v>
      </c>
      <c r="X3815" s="2">
        <v>78</v>
      </c>
      <c r="Y3815" s="2" t="s">
        <v>751</v>
      </c>
      <c r="Z3815" s="2" t="s">
        <v>25359</v>
      </c>
      <c r="AA3815" s="2">
        <v>-1.1468739364830201</v>
      </c>
      <c r="AB3815" s="2">
        <v>0.189291458311244</v>
      </c>
      <c r="AC3815" s="2">
        <v>52285.7741204392</v>
      </c>
      <c r="AD3815" s="2">
        <v>48369.098156741602</v>
      </c>
      <c r="AE3815" s="2">
        <v>51291.7084289009</v>
      </c>
      <c r="AF3815" s="2">
        <v>58754.682644615103</v>
      </c>
      <c r="AG3815" s="2">
        <v>50657.267790290301</v>
      </c>
      <c r="AH3815" s="2">
        <v>48670.446049752703</v>
      </c>
      <c r="AI3815" s="2">
        <v>54031.424960597004</v>
      </c>
      <c r="AJ3815" s="2">
        <v>50309.114848479097</v>
      </c>
      <c r="AK3815" s="2">
        <v>49038.448705087001</v>
      </c>
      <c r="AL3815" s="2">
        <v>50795.063061239503</v>
      </c>
      <c r="AM3815" s="2">
        <v>46440.870254084199</v>
      </c>
      <c r="AN3815" s="2">
        <v>49689.1036463442</v>
      </c>
      <c r="AO3815" s="2">
        <v>46173.688562734103</v>
      </c>
      <c r="AP3815" s="2">
        <v>48077.414710960598</v>
      </c>
    </row>
    <row r="3816" spans="1:42" ht="14.5" x14ac:dyDescent="0.35">
      <c r="A3816" s="2" t="s">
        <v>25360</v>
      </c>
      <c r="B3816" s="2">
        <v>358.36760490581702</v>
      </c>
      <c r="C3816" s="2">
        <v>10.6603666666667</v>
      </c>
      <c r="D3816" s="2" t="s">
        <v>34</v>
      </c>
      <c r="E3816" s="2" t="s">
        <v>25361</v>
      </c>
      <c r="F3816" s="2">
        <v>68</v>
      </c>
      <c r="G3816" s="3" t="str">
        <f>HYPERLINK("http://funmeta.oebiotech.com/network/68", "http://funmeta.oebiotech.com/network/68")</f>
        <v>http://funmeta.oebiotech.com/network/68</v>
      </c>
      <c r="H3816" s="2" t="s">
        <v>25362</v>
      </c>
      <c r="I3816" s="2">
        <v>260</v>
      </c>
      <c r="J3816" s="2" t="s">
        <v>25363</v>
      </c>
      <c r="K3816" s="2">
        <v>28941</v>
      </c>
      <c r="L3816" s="2" t="s">
        <v>25364</v>
      </c>
      <c r="M3816" s="2" t="s">
        <v>25365</v>
      </c>
      <c r="N3816" s="2" t="s">
        <v>25366</v>
      </c>
      <c r="O3816" s="2">
        <v>8215</v>
      </c>
      <c r="P3816" s="2" t="s">
        <v>25367</v>
      </c>
      <c r="Q3816" s="2" t="s">
        <v>25368</v>
      </c>
      <c r="R3816" s="2" t="s">
        <v>25369</v>
      </c>
      <c r="S3816" s="2" t="s">
        <v>50</v>
      </c>
      <c r="T3816" s="2" t="s">
        <v>229</v>
      </c>
      <c r="U3816" s="2" t="s">
        <v>433</v>
      </c>
      <c r="V3816" s="2" t="s">
        <v>59</v>
      </c>
      <c r="W3816" s="2">
        <v>45.9</v>
      </c>
      <c r="X3816" s="2">
        <v>34.200000000000003</v>
      </c>
      <c r="Y3816" s="2" t="s">
        <v>43</v>
      </c>
      <c r="Z3816" s="2" t="s">
        <v>25370</v>
      </c>
      <c r="AA3816" s="2">
        <v>-1.03214562270039</v>
      </c>
      <c r="AB3816" s="2">
        <v>0.189232799645697</v>
      </c>
      <c r="AC3816" s="2">
        <v>82925.271522046896</v>
      </c>
      <c r="AD3816" s="2">
        <v>72874.060221600797</v>
      </c>
      <c r="AE3816" s="2">
        <v>67497.247058764304</v>
      </c>
      <c r="AF3816" s="2">
        <v>75288.413433024703</v>
      </c>
      <c r="AG3816" s="2">
        <v>68137.100901280399</v>
      </c>
      <c r="AH3816" s="2">
        <v>127520.975471</v>
      </c>
      <c r="AI3816" s="2">
        <v>71258.141251548601</v>
      </c>
      <c r="AJ3816" s="2">
        <v>87849.7510166633</v>
      </c>
      <c r="AK3816" s="2">
        <v>48760.700954708896</v>
      </c>
      <c r="AL3816" s="2">
        <v>75325.250500588096</v>
      </c>
      <c r="AM3816" s="2">
        <v>50814.590773690099</v>
      </c>
      <c r="AN3816" s="2">
        <v>108998.26243334</v>
      </c>
      <c r="AO3816" s="2">
        <v>78780.5614789643</v>
      </c>
      <c r="AP3816" s="2">
        <v>74564.995188313405</v>
      </c>
    </row>
    <row r="3817" spans="1:42" ht="14.5" x14ac:dyDescent="0.35">
      <c r="A3817" s="2" t="s">
        <v>25371</v>
      </c>
      <c r="B3817" s="2">
        <v>125.0708507419</v>
      </c>
      <c r="C3817" s="2">
        <v>0.76544999999999996</v>
      </c>
      <c r="D3817" s="2" t="s">
        <v>34</v>
      </c>
      <c r="E3817" s="2" t="s">
        <v>25372</v>
      </c>
      <c r="F3817" s="2">
        <v>48253</v>
      </c>
      <c r="G3817" s="3" t="str">
        <f>HYPERLINK("http://funmeta.oebiotech.com/network/48253", "http://funmeta.oebiotech.com/network/48253")</f>
        <v>http://funmeta.oebiotech.com/network/48253</v>
      </c>
      <c r="H3817" s="2" t="s">
        <v>25373</v>
      </c>
      <c r="I3817" s="2">
        <v>58224</v>
      </c>
      <c r="J3817" s="2"/>
      <c r="K3817" s="2">
        <v>28104</v>
      </c>
      <c r="L3817" s="2" t="s">
        <v>25374</v>
      </c>
      <c r="M3817" s="2" t="s">
        <v>15688</v>
      </c>
      <c r="N3817" s="2" t="s">
        <v>15689</v>
      </c>
      <c r="O3817" s="2">
        <v>193545</v>
      </c>
      <c r="P3817" s="2" t="s">
        <v>25375</v>
      </c>
      <c r="Q3817" s="2" t="s">
        <v>25376</v>
      </c>
      <c r="R3817" s="2" t="s">
        <v>25377</v>
      </c>
      <c r="S3817" s="2" t="s">
        <v>491</v>
      </c>
      <c r="T3817" s="2" t="s">
        <v>3519</v>
      </c>
      <c r="U3817" s="2" t="s">
        <v>7268</v>
      </c>
      <c r="V3817" s="2" t="s">
        <v>59</v>
      </c>
      <c r="W3817" s="2">
        <v>38.799999999999997</v>
      </c>
      <c r="X3817" s="2">
        <v>0</v>
      </c>
      <c r="Y3817" s="2" t="s">
        <v>394</v>
      </c>
      <c r="Z3817" s="2" t="s">
        <v>25378</v>
      </c>
      <c r="AA3817" s="2">
        <v>-0.71395457736013301</v>
      </c>
      <c r="AB3817" s="2">
        <v>0.18915299340709399</v>
      </c>
      <c r="AC3817" s="2">
        <v>5459.7641097588503</v>
      </c>
      <c r="AD3817" s="2">
        <v>2957.9243103251401</v>
      </c>
      <c r="AE3817" s="2">
        <v>5470.0568631402402</v>
      </c>
      <c r="AF3817" s="2">
        <v>6380.8700759186904</v>
      </c>
      <c r="AG3817" s="2">
        <v>4546.72613940676</v>
      </c>
      <c r="AH3817" s="2">
        <v>5822.3815284209404</v>
      </c>
      <c r="AI3817" s="2">
        <v>5068.0393281954903</v>
      </c>
      <c r="AJ3817" s="2">
        <v>5470.5107234710104</v>
      </c>
      <c r="AK3817" s="2">
        <v>3377.1907955673701</v>
      </c>
      <c r="AL3817" s="2">
        <v>2784.1141668191599</v>
      </c>
      <c r="AM3817" s="2">
        <v>2834.1289129993802</v>
      </c>
      <c r="AN3817" s="2">
        <v>2779.4489112982501</v>
      </c>
      <c r="AO3817" s="2">
        <v>2520.3327379838802</v>
      </c>
      <c r="AP3817" s="2">
        <v>3452.33033728281</v>
      </c>
    </row>
    <row r="3818" spans="1:42" ht="14.5" x14ac:dyDescent="0.35">
      <c r="A3818" s="2" t="s">
        <v>25379</v>
      </c>
      <c r="B3818" s="2">
        <v>564.17240583339799</v>
      </c>
      <c r="C3818" s="2">
        <v>3.8797333333333301</v>
      </c>
      <c r="D3818" s="2" t="s">
        <v>70</v>
      </c>
      <c r="E3818" s="2" t="s">
        <v>25380</v>
      </c>
      <c r="F3818" s="2">
        <v>54300</v>
      </c>
      <c r="G3818" s="3" t="str">
        <f>HYPERLINK("http://funmeta.oebiotech.com/network/54300", "http://funmeta.oebiotech.com/network/54300")</f>
        <v>http://funmeta.oebiotech.com/network/54300</v>
      </c>
      <c r="H3818" s="2" t="s">
        <v>25381</v>
      </c>
      <c r="I3818" s="2">
        <v>86195</v>
      </c>
      <c r="J3818" s="2"/>
      <c r="K3818" s="2"/>
      <c r="L3818" s="2"/>
      <c r="M3818" s="2"/>
      <c r="N3818" s="2"/>
      <c r="O3818" s="2">
        <v>131750851</v>
      </c>
      <c r="P3818" s="2" t="s">
        <v>25382</v>
      </c>
      <c r="Q3818" s="2" t="s">
        <v>25383</v>
      </c>
      <c r="R3818" s="2" t="s">
        <v>25384</v>
      </c>
      <c r="S3818" s="2" t="s">
        <v>50</v>
      </c>
      <c r="T3818" s="2" t="s">
        <v>448</v>
      </c>
      <c r="U3818" s="2" t="s">
        <v>449</v>
      </c>
      <c r="V3818" s="2" t="s">
        <v>59</v>
      </c>
      <c r="W3818" s="2">
        <v>38.299999999999997</v>
      </c>
      <c r="X3818" s="2">
        <v>0</v>
      </c>
      <c r="Y3818" s="2" t="s">
        <v>408</v>
      </c>
      <c r="Z3818" s="2" t="s">
        <v>25385</v>
      </c>
      <c r="AA3818" s="2">
        <v>0.273922406113002</v>
      </c>
      <c r="AB3818" s="2">
        <v>0.18908148475355599</v>
      </c>
      <c r="AC3818" s="2">
        <v>9734.1890766275701</v>
      </c>
      <c r="AD3818" s="2">
        <v>6617.7262141700503</v>
      </c>
      <c r="AE3818" s="2">
        <v>13286.424852984601</v>
      </c>
      <c r="AF3818" s="2">
        <v>8923.72829298951</v>
      </c>
      <c r="AG3818" s="2">
        <v>9056.9959181718896</v>
      </c>
      <c r="AH3818" s="2">
        <v>9160.7289511327999</v>
      </c>
      <c r="AI3818" s="2">
        <v>7219.43536699782</v>
      </c>
      <c r="AJ3818" s="2">
        <v>10757.821077488799</v>
      </c>
      <c r="AK3818" s="2">
        <v>5979.3063451072903</v>
      </c>
      <c r="AL3818" s="2">
        <v>6928.8187999087104</v>
      </c>
      <c r="AM3818" s="2">
        <v>6478.8927981603201</v>
      </c>
      <c r="AN3818" s="2">
        <v>6340.6733691042</v>
      </c>
      <c r="AO3818" s="2">
        <v>6209.3073747349199</v>
      </c>
      <c r="AP3818" s="2">
        <v>7769.3585980048701</v>
      </c>
    </row>
    <row r="3819" spans="1:42" ht="14.5" x14ac:dyDescent="0.35">
      <c r="A3819" s="2" t="s">
        <v>25386</v>
      </c>
      <c r="B3819" s="2">
        <v>272.05389473751399</v>
      </c>
      <c r="C3819" s="2">
        <v>4.6673166666666699</v>
      </c>
      <c r="D3819" s="2" t="s">
        <v>70</v>
      </c>
      <c r="E3819" s="2" t="s">
        <v>25387</v>
      </c>
      <c r="F3819" s="2">
        <v>52706</v>
      </c>
      <c r="G3819" s="3" t="str">
        <f>HYPERLINK("http://funmeta.oebiotech.com/network/52706", "http://funmeta.oebiotech.com/network/52706")</f>
        <v>http://funmeta.oebiotech.com/network/52706</v>
      </c>
      <c r="H3819" s="2" t="s">
        <v>25388</v>
      </c>
      <c r="I3819" s="2">
        <v>43355</v>
      </c>
      <c r="J3819" s="2"/>
      <c r="K3819" s="2">
        <v>63630</v>
      </c>
      <c r="L3819" s="2" t="s">
        <v>25389</v>
      </c>
      <c r="M3819" s="2"/>
      <c r="N3819" s="2"/>
      <c r="O3819" s="2">
        <v>4659569</v>
      </c>
      <c r="P3819" s="2" t="s">
        <v>25390</v>
      </c>
      <c r="Q3819" s="2" t="s">
        <v>25391</v>
      </c>
      <c r="R3819" s="2" t="s">
        <v>25392</v>
      </c>
      <c r="S3819" s="2" t="s">
        <v>148</v>
      </c>
      <c r="T3819" s="2" t="s">
        <v>149</v>
      </c>
      <c r="U3819" s="2" t="s">
        <v>25393</v>
      </c>
      <c r="V3819" s="2" t="s">
        <v>59</v>
      </c>
      <c r="W3819" s="2">
        <v>36.799999999999997</v>
      </c>
      <c r="X3819" s="2">
        <v>0</v>
      </c>
      <c r="Y3819" s="2" t="s">
        <v>286</v>
      </c>
      <c r="Z3819" s="2" t="s">
        <v>25394</v>
      </c>
      <c r="AA3819" s="2">
        <v>-9.3431885918679107</v>
      </c>
      <c r="AB3819" s="2">
        <v>0.18899416383418499</v>
      </c>
      <c r="AC3819" s="2">
        <v>18639.271395097901</v>
      </c>
      <c r="AD3819" s="2">
        <v>15999.602649291101</v>
      </c>
      <c r="AE3819" s="2">
        <v>18206.3502744787</v>
      </c>
      <c r="AF3819" s="2">
        <v>18541.737080885901</v>
      </c>
      <c r="AG3819" s="2">
        <v>18585.3989623712</v>
      </c>
      <c r="AH3819" s="2">
        <v>18126.507597759399</v>
      </c>
      <c r="AI3819" s="2">
        <v>18930.843048244798</v>
      </c>
      <c r="AJ3819" s="2">
        <v>19444.791406847398</v>
      </c>
      <c r="AK3819" s="2">
        <v>15572.901320449801</v>
      </c>
      <c r="AL3819" s="2">
        <v>17627.822918800899</v>
      </c>
      <c r="AM3819" s="2">
        <v>16058.519274697101</v>
      </c>
      <c r="AN3819" s="2">
        <v>15328.220241511601</v>
      </c>
      <c r="AO3819" s="2">
        <v>16418.136569572402</v>
      </c>
      <c r="AP3819" s="2">
        <v>14992.015570714901</v>
      </c>
    </row>
    <row r="3820" spans="1:42" ht="14.5" x14ac:dyDescent="0.35">
      <c r="A3820" s="2" t="s">
        <v>25395</v>
      </c>
      <c r="B3820" s="2">
        <v>485.01592296497603</v>
      </c>
      <c r="C3820" s="2">
        <v>0.83808333333333296</v>
      </c>
      <c r="D3820" s="2" t="s">
        <v>70</v>
      </c>
      <c r="E3820" s="2" t="s">
        <v>25396</v>
      </c>
      <c r="F3820" s="2">
        <v>205365</v>
      </c>
      <c r="G3820" s="3" t="str">
        <f>HYPERLINK("http://funmeta.oebiotech.com/network/205365", "http://funmeta.oebiotech.com/network/205365")</f>
        <v>http://funmeta.oebiotech.com/network/205365</v>
      </c>
      <c r="H3820" s="2" t="s">
        <v>25397</v>
      </c>
      <c r="I3820" s="2">
        <v>72206</v>
      </c>
      <c r="J3820" s="2"/>
      <c r="K3820" s="2">
        <v>38621</v>
      </c>
      <c r="L3820" s="2" t="s">
        <v>25398</v>
      </c>
      <c r="M3820" s="2"/>
      <c r="N3820" s="2"/>
      <c r="O3820" s="2">
        <v>17522</v>
      </c>
      <c r="P3820" s="2" t="s">
        <v>25399</v>
      </c>
      <c r="Q3820" s="2" t="s">
        <v>25400</v>
      </c>
      <c r="R3820" s="2" t="s">
        <v>25401</v>
      </c>
      <c r="S3820" s="2" t="s">
        <v>89</v>
      </c>
      <c r="T3820" s="2" t="s">
        <v>15082</v>
      </c>
      <c r="U3820" s="2" t="s">
        <v>15083</v>
      </c>
      <c r="V3820" s="2" t="s">
        <v>59</v>
      </c>
      <c r="W3820" s="2">
        <v>38.5</v>
      </c>
      <c r="X3820" s="2">
        <v>0</v>
      </c>
      <c r="Y3820" s="2" t="s">
        <v>560</v>
      </c>
      <c r="Z3820" s="2" t="s">
        <v>25402</v>
      </c>
      <c r="AA3820" s="2">
        <v>-1.23909854192114</v>
      </c>
      <c r="AB3820" s="2">
        <v>0.18890213987502</v>
      </c>
      <c r="AC3820" s="2">
        <v>8389.7348104643206</v>
      </c>
      <c r="AD3820" s="2">
        <v>5754.2997959786499</v>
      </c>
      <c r="AE3820" s="2">
        <v>8086.2757468353502</v>
      </c>
      <c r="AF3820" s="2">
        <v>8442.3964509693706</v>
      </c>
      <c r="AG3820" s="2">
        <v>7886.6152542706304</v>
      </c>
      <c r="AH3820" s="2">
        <v>8295.1577898401301</v>
      </c>
      <c r="AI3820" s="2">
        <v>9703.8856137818493</v>
      </c>
      <c r="AJ3820" s="2">
        <v>7924.0780070886103</v>
      </c>
      <c r="AK3820" s="2">
        <v>6588.6847136475299</v>
      </c>
      <c r="AL3820" s="2">
        <v>6001.0855686224704</v>
      </c>
      <c r="AM3820" s="2">
        <v>4434.1592549384304</v>
      </c>
      <c r="AN3820" s="2">
        <v>6362.5636733336796</v>
      </c>
      <c r="AO3820" s="2">
        <v>5651.2934280928202</v>
      </c>
      <c r="AP3820" s="2">
        <v>5488.0121372369904</v>
      </c>
    </row>
    <row r="3821" spans="1:42" ht="14.5" x14ac:dyDescent="0.35">
      <c r="A3821" s="2" t="s">
        <v>25403</v>
      </c>
      <c r="B3821" s="2">
        <v>379.155776551477</v>
      </c>
      <c r="C3821" s="2">
        <v>11.0078333333333</v>
      </c>
      <c r="D3821" s="2" t="s">
        <v>70</v>
      </c>
      <c r="E3821" s="2" t="s">
        <v>25404</v>
      </c>
      <c r="F3821" s="2">
        <v>256998</v>
      </c>
      <c r="G3821" s="3" t="str">
        <f>HYPERLINK("http://funmeta.oebiotech.com/network/256998", "http://funmeta.oebiotech.com/network/256998")</f>
        <v>http://funmeta.oebiotech.com/network/256998</v>
      </c>
      <c r="H3821" s="2" t="s">
        <v>25405</v>
      </c>
      <c r="I3821" s="2"/>
      <c r="J3821" s="2"/>
      <c r="K3821" s="2"/>
      <c r="L3821" s="2"/>
      <c r="M3821" s="2"/>
      <c r="N3821" s="2"/>
      <c r="O3821" s="2"/>
      <c r="P3821" s="2"/>
      <c r="Q3821" s="2" t="s">
        <v>25406</v>
      </c>
      <c r="R3821" s="2" t="s">
        <v>25407</v>
      </c>
      <c r="S3821" s="2" t="s">
        <v>89</v>
      </c>
      <c r="T3821" s="2" t="s">
        <v>90</v>
      </c>
      <c r="U3821" s="2" t="s">
        <v>99</v>
      </c>
      <c r="V3821" s="2" t="s">
        <v>59</v>
      </c>
      <c r="W3821" s="2">
        <v>37.9</v>
      </c>
      <c r="X3821" s="2">
        <v>0</v>
      </c>
      <c r="Y3821" s="2" t="s">
        <v>408</v>
      </c>
      <c r="Z3821" s="2" t="s">
        <v>25408</v>
      </c>
      <c r="AA3821" s="2">
        <v>3.9823893325309698</v>
      </c>
      <c r="AB3821" s="2">
        <v>0.188827278417214</v>
      </c>
      <c r="AC3821" s="2">
        <v>36140.158617427704</v>
      </c>
      <c r="AD3821" s="2">
        <v>27229.255561888898</v>
      </c>
      <c r="AE3821" s="2">
        <v>25290.806374855099</v>
      </c>
      <c r="AF3821" s="2">
        <v>27551.0739020336</v>
      </c>
      <c r="AG3821" s="2">
        <v>26792.849833214699</v>
      </c>
      <c r="AH3821" s="2">
        <v>86161.300550966203</v>
      </c>
      <c r="AI3821" s="2">
        <v>24888.977879121601</v>
      </c>
      <c r="AJ3821" s="2">
        <v>26155.9431643752</v>
      </c>
      <c r="AK3821" s="2">
        <v>16251.908717309499</v>
      </c>
      <c r="AL3821" s="2">
        <v>26186.032766611501</v>
      </c>
      <c r="AM3821" s="2">
        <v>27189.910946358301</v>
      </c>
      <c r="AN3821" s="2">
        <v>33793.371666056402</v>
      </c>
      <c r="AO3821" s="2">
        <v>28555.8629633458</v>
      </c>
      <c r="AP3821" s="2">
        <v>31398.446311651802</v>
      </c>
    </row>
    <row r="3822" spans="1:42" ht="14.5" x14ac:dyDescent="0.35">
      <c r="A3822" s="2" t="s">
        <v>25409</v>
      </c>
      <c r="B3822" s="2">
        <v>465.17631277635002</v>
      </c>
      <c r="C3822" s="2">
        <v>6.8957833333333296</v>
      </c>
      <c r="D3822" s="2" t="s">
        <v>70</v>
      </c>
      <c r="E3822" s="2" t="s">
        <v>25410</v>
      </c>
      <c r="F3822" s="2">
        <v>58812</v>
      </c>
      <c r="G3822" s="3" t="str">
        <f>HYPERLINK("http://funmeta.oebiotech.com/network/58812", "http://funmeta.oebiotech.com/network/58812")</f>
        <v>http://funmeta.oebiotech.com/network/58812</v>
      </c>
      <c r="H3822" s="2" t="s">
        <v>25411</v>
      </c>
      <c r="I3822" s="2">
        <v>90264</v>
      </c>
      <c r="J3822" s="2"/>
      <c r="K3822" s="2"/>
      <c r="L3822" s="2"/>
      <c r="M3822" s="2"/>
      <c r="N3822" s="2"/>
      <c r="O3822" s="2">
        <v>3018539</v>
      </c>
      <c r="P3822" s="2" t="s">
        <v>25412</v>
      </c>
      <c r="Q3822" s="2" t="s">
        <v>25413</v>
      </c>
      <c r="R3822" s="2" t="s">
        <v>25414</v>
      </c>
      <c r="S3822" s="2" t="s">
        <v>89</v>
      </c>
      <c r="T3822" s="2" t="s">
        <v>90</v>
      </c>
      <c r="U3822" s="2" t="s">
        <v>1248</v>
      </c>
      <c r="V3822" s="2" t="s">
        <v>59</v>
      </c>
      <c r="W3822" s="2">
        <v>38.5</v>
      </c>
      <c r="X3822" s="2">
        <v>0</v>
      </c>
      <c r="Y3822" s="2" t="s">
        <v>408</v>
      </c>
      <c r="Z3822" s="2" t="s">
        <v>25415</v>
      </c>
      <c r="AA3822" s="2">
        <v>-0.73289839984872496</v>
      </c>
      <c r="AB3822" s="2">
        <v>0.18860035481672</v>
      </c>
      <c r="AC3822" s="2">
        <v>3136.4652229473099</v>
      </c>
      <c r="AD3822" s="2">
        <v>742.15515344007599</v>
      </c>
      <c r="AE3822" s="2">
        <v>3217.5984973825002</v>
      </c>
      <c r="AF3822" s="2">
        <v>3324.8249535627101</v>
      </c>
      <c r="AG3822" s="2">
        <v>2726.9748815784801</v>
      </c>
      <c r="AH3822" s="2">
        <v>3316.5463766605899</v>
      </c>
      <c r="AI3822" s="2">
        <v>3289.8008508440198</v>
      </c>
      <c r="AJ3822" s="2">
        <v>2943.04577765556</v>
      </c>
      <c r="AK3822" s="2">
        <v>1274.9873219573999</v>
      </c>
      <c r="AL3822" s="2">
        <v>299.303699885394</v>
      </c>
      <c r="AM3822" s="2">
        <v>629.46977809563202</v>
      </c>
      <c r="AN3822" s="2">
        <v>653.67195948927304</v>
      </c>
      <c r="AO3822" s="2">
        <v>640.33303219079903</v>
      </c>
      <c r="AP3822" s="2">
        <v>955.16512902195802</v>
      </c>
    </row>
    <row r="3823" spans="1:42" ht="14.5" x14ac:dyDescent="0.35">
      <c r="A3823" s="2" t="s">
        <v>25416</v>
      </c>
      <c r="B3823" s="2">
        <v>532.38491848609704</v>
      </c>
      <c r="C3823" s="2">
        <v>10.871216666666699</v>
      </c>
      <c r="D3823" s="2" t="s">
        <v>34</v>
      </c>
      <c r="E3823" s="2" t="s">
        <v>25417</v>
      </c>
      <c r="F3823" s="2">
        <v>202719</v>
      </c>
      <c r="G3823" s="3" t="str">
        <f>HYPERLINK("http://funmeta.oebiotech.com/network/202719", "http://funmeta.oebiotech.com/network/202719")</f>
        <v>http://funmeta.oebiotech.com/network/202719</v>
      </c>
      <c r="H3823" s="2" t="s">
        <v>25418</v>
      </c>
      <c r="I3823" s="2">
        <v>318431</v>
      </c>
      <c r="J3823" s="2"/>
      <c r="K3823" s="2"/>
      <c r="L3823" s="2"/>
      <c r="M3823" s="2"/>
      <c r="N3823" s="2"/>
      <c r="O3823" s="2">
        <v>133914</v>
      </c>
      <c r="P3823" s="2"/>
      <c r="Q3823" s="2" t="s">
        <v>25419</v>
      </c>
      <c r="R3823" s="2" t="s">
        <v>25420</v>
      </c>
      <c r="S3823" s="2" t="s">
        <v>89</v>
      </c>
      <c r="T3823" s="2" t="s">
        <v>90</v>
      </c>
      <c r="U3823" s="2" t="s">
        <v>1248</v>
      </c>
      <c r="V3823" s="2" t="s">
        <v>59</v>
      </c>
      <c r="W3823" s="2">
        <v>39</v>
      </c>
      <c r="X3823" s="2">
        <v>0</v>
      </c>
      <c r="Y3823" s="2" t="s">
        <v>43</v>
      </c>
      <c r="Z3823" s="2" t="s">
        <v>25421</v>
      </c>
      <c r="AA3823" s="2">
        <v>1.0195305489142801</v>
      </c>
      <c r="AB3823" s="2">
        <v>0.18857959415985501</v>
      </c>
      <c r="AC3823" s="2">
        <v>7867.3149306139303</v>
      </c>
      <c r="AD3823" s="2">
        <v>11153.808252385399</v>
      </c>
      <c r="AE3823" s="2">
        <v>8409.0217534601707</v>
      </c>
      <c r="AF3823" s="2">
        <v>7999.47791076677</v>
      </c>
      <c r="AG3823" s="2">
        <v>7144.2262582225403</v>
      </c>
      <c r="AH3823" s="2">
        <v>8517.7745165077795</v>
      </c>
      <c r="AI3823" s="2">
        <v>8246.9815006742992</v>
      </c>
      <c r="AJ3823" s="2">
        <v>6886.4076440520403</v>
      </c>
      <c r="AK3823" s="2">
        <v>7948.0226149190503</v>
      </c>
      <c r="AL3823" s="2">
        <v>14380.4231701835</v>
      </c>
      <c r="AM3823" s="2">
        <v>12125.560750360401</v>
      </c>
      <c r="AN3823" s="2">
        <v>12737.3988686873</v>
      </c>
      <c r="AO3823" s="2">
        <v>10959.5353693099</v>
      </c>
      <c r="AP3823" s="2">
        <v>8771.9087408524301</v>
      </c>
    </row>
    <row r="3824" spans="1:42" ht="14.5" x14ac:dyDescent="0.35">
      <c r="A3824" s="2" t="s">
        <v>25422</v>
      </c>
      <c r="B3824" s="2">
        <v>210.18497537433501</v>
      </c>
      <c r="C3824" s="2">
        <v>11.670033333333301</v>
      </c>
      <c r="D3824" s="2" t="s">
        <v>34</v>
      </c>
      <c r="E3824" s="2" t="s">
        <v>25423</v>
      </c>
      <c r="F3824" s="2">
        <v>56210</v>
      </c>
      <c r="G3824" s="3" t="str">
        <f>HYPERLINK("http://funmeta.oebiotech.com/network/56210", "http://funmeta.oebiotech.com/network/56210")</f>
        <v>http://funmeta.oebiotech.com/network/56210</v>
      </c>
      <c r="H3824" s="2" t="s">
        <v>25424</v>
      </c>
      <c r="I3824" s="2">
        <v>87904</v>
      </c>
      <c r="J3824" s="2"/>
      <c r="K3824" s="2"/>
      <c r="L3824" s="2"/>
      <c r="M3824" s="2"/>
      <c r="N3824" s="2"/>
      <c r="O3824" s="2">
        <v>93199</v>
      </c>
      <c r="P3824" s="2" t="s">
        <v>25425</v>
      </c>
      <c r="Q3824" s="2" t="s">
        <v>25426</v>
      </c>
      <c r="R3824" s="2" t="s">
        <v>25427</v>
      </c>
      <c r="S3824" s="2" t="s">
        <v>50</v>
      </c>
      <c r="T3824" s="2" t="s">
        <v>201</v>
      </c>
      <c r="U3824" s="2" t="s">
        <v>265</v>
      </c>
      <c r="V3824" s="2" t="s">
        <v>59</v>
      </c>
      <c r="W3824" s="2">
        <v>45.5</v>
      </c>
      <c r="X3824" s="2">
        <v>32.200000000000003</v>
      </c>
      <c r="Y3824" s="2" t="s">
        <v>25428</v>
      </c>
      <c r="Z3824" s="2" t="s">
        <v>25429</v>
      </c>
      <c r="AA3824" s="2">
        <v>-1.3812889402671999</v>
      </c>
      <c r="AB3824" s="2">
        <v>0.188548326429894</v>
      </c>
      <c r="AC3824" s="2">
        <v>19100.107652636201</v>
      </c>
      <c r="AD3824" s="2">
        <v>14542.210801339799</v>
      </c>
      <c r="AE3824" s="2">
        <v>20863.691659534499</v>
      </c>
      <c r="AF3824" s="2">
        <v>15918.5413953729</v>
      </c>
      <c r="AG3824" s="2">
        <v>17186.008417065601</v>
      </c>
      <c r="AH3824" s="2">
        <v>21760.520296082199</v>
      </c>
      <c r="AI3824" s="2">
        <v>21653.4227439817</v>
      </c>
      <c r="AJ3824" s="2">
        <v>17218.4614037803</v>
      </c>
      <c r="AK3824" s="2">
        <v>11179.609221365299</v>
      </c>
      <c r="AL3824" s="2">
        <v>22181.341543425799</v>
      </c>
      <c r="AM3824" s="2">
        <v>12921.4177692143</v>
      </c>
      <c r="AN3824" s="2">
        <v>20116.119619359899</v>
      </c>
      <c r="AO3824" s="2">
        <v>9946.8217673498802</v>
      </c>
      <c r="AP3824" s="2">
        <v>10907.9548873235</v>
      </c>
    </row>
    <row r="3825" spans="1:42" ht="14.5" x14ac:dyDescent="0.35">
      <c r="A3825" s="2" t="s">
        <v>25430</v>
      </c>
      <c r="B3825" s="2">
        <v>361.23444290573599</v>
      </c>
      <c r="C3825" s="2">
        <v>10.871216666666699</v>
      </c>
      <c r="D3825" s="2" t="s">
        <v>34</v>
      </c>
      <c r="E3825" s="2" t="s">
        <v>25431</v>
      </c>
      <c r="F3825" s="2">
        <v>3677</v>
      </c>
      <c r="G3825" s="3" t="str">
        <f>HYPERLINK("http://funmeta.oebiotech.com/network/3677", "http://funmeta.oebiotech.com/network/3677")</f>
        <v>http://funmeta.oebiotech.com/network/3677</v>
      </c>
      <c r="H3825" s="2"/>
      <c r="I3825" s="2">
        <v>36125</v>
      </c>
      <c r="J3825" s="2" t="s">
        <v>25432</v>
      </c>
      <c r="K3825" s="2"/>
      <c r="L3825" s="2"/>
      <c r="M3825" s="2"/>
      <c r="N3825" s="2"/>
      <c r="O3825" s="2">
        <v>5283055</v>
      </c>
      <c r="P3825" s="2" t="s">
        <v>25433</v>
      </c>
      <c r="Q3825" s="2" t="s">
        <v>25434</v>
      </c>
      <c r="R3825" s="2" t="s">
        <v>25435</v>
      </c>
      <c r="S3825" s="2" t="s">
        <v>50</v>
      </c>
      <c r="T3825" s="2" t="s">
        <v>229</v>
      </c>
      <c r="U3825" s="2" t="s">
        <v>766</v>
      </c>
      <c r="V3825" s="2" t="s">
        <v>59</v>
      </c>
      <c r="W3825" s="2">
        <v>38.700000000000003</v>
      </c>
      <c r="X3825" s="2">
        <v>0</v>
      </c>
      <c r="Y3825" s="2" t="s">
        <v>323</v>
      </c>
      <c r="Z3825" s="2" t="s">
        <v>3664</v>
      </c>
      <c r="AA3825" s="2">
        <v>-1.4407954640210201</v>
      </c>
      <c r="AB3825" s="2">
        <v>0.18833706234525899</v>
      </c>
      <c r="AC3825" s="2">
        <v>2837.4749741964001</v>
      </c>
      <c r="AD3825" s="2">
        <v>5545.1372319069496</v>
      </c>
      <c r="AE3825" s="2">
        <v>2884.3006548013</v>
      </c>
      <c r="AF3825" s="2">
        <v>2807.7723777122601</v>
      </c>
      <c r="AG3825" s="2">
        <v>2791.6077657803498</v>
      </c>
      <c r="AH3825" s="2">
        <v>3268.8297704647298</v>
      </c>
      <c r="AI3825" s="2">
        <v>2703.9830463746498</v>
      </c>
      <c r="AJ3825" s="2">
        <v>2568.3562300450999</v>
      </c>
      <c r="AK3825" s="2">
        <v>4212.0994650394396</v>
      </c>
      <c r="AL3825" s="2">
        <v>4529.6528751186697</v>
      </c>
      <c r="AM3825" s="2">
        <v>7723.1769644324104</v>
      </c>
      <c r="AN3825" s="2">
        <v>5970.2527965255704</v>
      </c>
      <c r="AO3825" s="2">
        <v>5492.4425068344699</v>
      </c>
      <c r="AP3825" s="2">
        <v>5343.1987834911597</v>
      </c>
    </row>
    <row r="3826" spans="1:42" ht="14.5" x14ac:dyDescent="0.35">
      <c r="A3826" s="2" t="s">
        <v>25436</v>
      </c>
      <c r="B3826" s="2">
        <v>339.07189790867398</v>
      </c>
      <c r="C3826" s="2">
        <v>3.82433333333333</v>
      </c>
      <c r="D3826" s="2" t="s">
        <v>70</v>
      </c>
      <c r="E3826" s="2" t="s">
        <v>25437</v>
      </c>
      <c r="F3826" s="2">
        <v>56644</v>
      </c>
      <c r="G3826" s="3" t="str">
        <f>HYPERLINK("http://funmeta.oebiotech.com/network/56644", "http://funmeta.oebiotech.com/network/56644")</f>
        <v>http://funmeta.oebiotech.com/network/56644</v>
      </c>
      <c r="H3826" s="2" t="s">
        <v>25438</v>
      </c>
      <c r="I3826" s="2">
        <v>88283</v>
      </c>
      <c r="J3826" s="2"/>
      <c r="K3826" s="2"/>
      <c r="L3826" s="2"/>
      <c r="M3826" s="2"/>
      <c r="N3826" s="2"/>
      <c r="O3826" s="2">
        <v>108764</v>
      </c>
      <c r="P3826" s="2" t="s">
        <v>25439</v>
      </c>
      <c r="Q3826" s="2" t="s">
        <v>25440</v>
      </c>
      <c r="R3826" s="2" t="s">
        <v>25441</v>
      </c>
      <c r="S3826" s="2" t="s">
        <v>5916</v>
      </c>
      <c r="T3826" s="2" t="s">
        <v>5917</v>
      </c>
      <c r="U3826" s="2" t="s">
        <v>5918</v>
      </c>
      <c r="V3826" s="2" t="s">
        <v>59</v>
      </c>
      <c r="W3826" s="2">
        <v>38.200000000000003</v>
      </c>
      <c r="X3826" s="2">
        <v>0</v>
      </c>
      <c r="Y3826" s="2" t="s">
        <v>560</v>
      </c>
      <c r="Z3826" s="2" t="s">
        <v>25442</v>
      </c>
      <c r="AA3826" s="2">
        <v>-3.31327325362258</v>
      </c>
      <c r="AB3826" s="2">
        <v>0.18825516122944799</v>
      </c>
      <c r="AC3826" s="2">
        <v>8173.5350847353902</v>
      </c>
      <c r="AD3826" s="2">
        <v>5560.1705416405002</v>
      </c>
      <c r="AE3826" s="2">
        <v>7964.20101449098</v>
      </c>
      <c r="AF3826" s="2">
        <v>8082.9650758905</v>
      </c>
      <c r="AG3826" s="2">
        <v>9289.1509096922491</v>
      </c>
      <c r="AH3826" s="2">
        <v>6869.6915161359702</v>
      </c>
      <c r="AI3826" s="2">
        <v>7566.5917774743602</v>
      </c>
      <c r="AJ3826" s="2">
        <v>9268.6102147282909</v>
      </c>
      <c r="AK3826" s="2">
        <v>5042.76669150013</v>
      </c>
      <c r="AL3826" s="2">
        <v>6037.8022172566198</v>
      </c>
      <c r="AM3826" s="2">
        <v>5982.3669044778999</v>
      </c>
      <c r="AN3826" s="2">
        <v>5842.48260843345</v>
      </c>
      <c r="AO3826" s="2">
        <v>5047.0602063275901</v>
      </c>
      <c r="AP3826" s="2">
        <v>5408.5446218473398</v>
      </c>
    </row>
    <row r="3827" spans="1:42" ht="14.5" x14ac:dyDescent="0.35">
      <c r="A3827" s="2" t="s">
        <v>25443</v>
      </c>
      <c r="B3827" s="2">
        <v>700.33188670430104</v>
      </c>
      <c r="C3827" s="2">
        <v>6.1607333333333303</v>
      </c>
      <c r="D3827" s="2" t="s">
        <v>70</v>
      </c>
      <c r="E3827" s="2" t="s">
        <v>25444</v>
      </c>
      <c r="F3827" s="2">
        <v>219723</v>
      </c>
      <c r="G3827" s="3" t="str">
        <f>HYPERLINK("http://funmeta.oebiotech.com/network/219723", "http://funmeta.oebiotech.com/network/219723")</f>
        <v>http://funmeta.oebiotech.com/network/219723</v>
      </c>
      <c r="H3827" s="2" t="s">
        <v>25445</v>
      </c>
      <c r="I3827" s="2"/>
      <c r="J3827" s="2"/>
      <c r="K3827" s="2"/>
      <c r="L3827" s="2"/>
      <c r="M3827" s="2"/>
      <c r="N3827" s="2"/>
      <c r="O3827" s="2"/>
      <c r="P3827" s="2"/>
      <c r="Q3827" s="2" t="s">
        <v>25446</v>
      </c>
      <c r="R3827" s="2" t="s">
        <v>25447</v>
      </c>
      <c r="S3827" s="2" t="s">
        <v>41</v>
      </c>
      <c r="T3827" s="2" t="s">
        <v>41</v>
      </c>
      <c r="U3827" s="2" t="s">
        <v>41</v>
      </c>
      <c r="V3827" s="2" t="s">
        <v>59</v>
      </c>
      <c r="W3827" s="2">
        <v>36.5</v>
      </c>
      <c r="X3827" s="2">
        <v>0</v>
      </c>
      <c r="Y3827" s="2" t="s">
        <v>751</v>
      </c>
      <c r="Z3827" s="2" t="s">
        <v>25448</v>
      </c>
      <c r="AA3827" s="2">
        <v>4.0432712050896598</v>
      </c>
      <c r="AB3827" s="2">
        <v>0.18816083292758801</v>
      </c>
      <c r="AC3827" s="2">
        <v>28195.570151724802</v>
      </c>
      <c r="AD3827" s="2">
        <v>31399.416834178799</v>
      </c>
      <c r="AE3827" s="2">
        <v>29239.171684766901</v>
      </c>
      <c r="AF3827" s="2">
        <v>28126.203824825399</v>
      </c>
      <c r="AG3827" s="2">
        <v>30236.846624293699</v>
      </c>
      <c r="AH3827" s="2">
        <v>26862.754588353499</v>
      </c>
      <c r="AI3827" s="2">
        <v>27669.930595508002</v>
      </c>
      <c r="AJ3827" s="2">
        <v>27038.513592601201</v>
      </c>
      <c r="AK3827" s="2">
        <v>31132.9764856004</v>
      </c>
      <c r="AL3827" s="2">
        <v>29650.107570008498</v>
      </c>
      <c r="AM3827" s="2">
        <v>33562.031048812103</v>
      </c>
      <c r="AN3827" s="2">
        <v>33023.406651999299</v>
      </c>
      <c r="AO3827" s="2">
        <v>28631.2185064968</v>
      </c>
      <c r="AP3827" s="2">
        <v>32396.760742155999</v>
      </c>
    </row>
    <row r="3828" spans="1:42" ht="14.5" x14ac:dyDescent="0.35">
      <c r="A3828" s="2" t="s">
        <v>25449</v>
      </c>
      <c r="B3828" s="2">
        <v>287.06702795649397</v>
      </c>
      <c r="C3828" s="2">
        <v>4.4179500000000003</v>
      </c>
      <c r="D3828" s="2" t="s">
        <v>70</v>
      </c>
      <c r="E3828" s="2" t="s">
        <v>25450</v>
      </c>
      <c r="F3828" s="2">
        <v>197318</v>
      </c>
      <c r="G3828" s="3" t="str">
        <f>HYPERLINK("http://funmeta.oebiotech.com/network/197318", "http://funmeta.oebiotech.com/network/197318")</f>
        <v>http://funmeta.oebiotech.com/network/197318</v>
      </c>
      <c r="H3828" s="2" t="s">
        <v>25451</v>
      </c>
      <c r="I3828" s="2"/>
      <c r="J3828" s="2"/>
      <c r="K3828" s="2"/>
      <c r="L3828" s="2"/>
      <c r="M3828" s="2"/>
      <c r="N3828" s="2"/>
      <c r="O3828" s="2">
        <v>5251220</v>
      </c>
      <c r="P3828" s="2"/>
      <c r="Q3828" s="2" t="s">
        <v>25452</v>
      </c>
      <c r="R3828" s="2" t="s">
        <v>25453</v>
      </c>
      <c r="S3828" s="2" t="s">
        <v>41</v>
      </c>
      <c r="T3828" s="2" t="s">
        <v>41</v>
      </c>
      <c r="U3828" s="2" t="s">
        <v>41</v>
      </c>
      <c r="V3828" s="2" t="s">
        <v>59</v>
      </c>
      <c r="W3828" s="2">
        <v>41.8</v>
      </c>
      <c r="X3828" s="2">
        <v>13.8</v>
      </c>
      <c r="Y3828" s="2" t="s">
        <v>408</v>
      </c>
      <c r="Z3828" s="2" t="s">
        <v>25454</v>
      </c>
      <c r="AA3828" s="2">
        <v>-1.3099665782546599</v>
      </c>
      <c r="AB3828" s="2">
        <v>0.188157218558204</v>
      </c>
      <c r="AC3828" s="2">
        <v>9363.9513003775191</v>
      </c>
      <c r="AD3828" s="2">
        <v>6795.8506175433704</v>
      </c>
      <c r="AE3828" s="2">
        <v>9697.3018141985995</v>
      </c>
      <c r="AF3828" s="2">
        <v>10114.355093145199</v>
      </c>
      <c r="AG3828" s="2">
        <v>8622.5121289882209</v>
      </c>
      <c r="AH3828" s="2">
        <v>8500.9095444629493</v>
      </c>
      <c r="AI3828" s="2">
        <v>10149.187830774699</v>
      </c>
      <c r="AJ3828" s="2">
        <v>9099.4413906954705</v>
      </c>
      <c r="AK3828" s="2">
        <v>6815.8655510866702</v>
      </c>
      <c r="AL3828" s="2">
        <v>6585.2120924107303</v>
      </c>
      <c r="AM3828" s="2">
        <v>6964.67953582061</v>
      </c>
      <c r="AN3828" s="2">
        <v>7463.9927327412297</v>
      </c>
      <c r="AO3828" s="2">
        <v>5840.6357851307703</v>
      </c>
      <c r="AP3828" s="2">
        <v>7104.7180080702401</v>
      </c>
    </row>
    <row r="3829" spans="1:42" ht="14.5" x14ac:dyDescent="0.35">
      <c r="A3829" s="2" t="s">
        <v>25455</v>
      </c>
      <c r="B3829" s="2">
        <v>371.13454582482001</v>
      </c>
      <c r="C3829" s="2">
        <v>3.5784166666666701</v>
      </c>
      <c r="D3829" s="2" t="s">
        <v>70</v>
      </c>
      <c r="E3829" s="2" t="s">
        <v>25456</v>
      </c>
      <c r="F3829" s="2">
        <v>58732</v>
      </c>
      <c r="G3829" s="3" t="str">
        <f>HYPERLINK("http://funmeta.oebiotech.com/network/58732", "http://funmeta.oebiotech.com/network/58732")</f>
        <v>http://funmeta.oebiotech.com/network/58732</v>
      </c>
      <c r="H3829" s="2" t="s">
        <v>25457</v>
      </c>
      <c r="I3829" s="2">
        <v>90181</v>
      </c>
      <c r="J3829" s="2"/>
      <c r="K3829" s="2">
        <v>172553</v>
      </c>
      <c r="L3829" s="2"/>
      <c r="M3829" s="2"/>
      <c r="N3829" s="2"/>
      <c r="O3829" s="2">
        <v>131751619</v>
      </c>
      <c r="P3829" s="2"/>
      <c r="Q3829" s="2" t="s">
        <v>25458</v>
      </c>
      <c r="R3829" s="2" t="s">
        <v>25459</v>
      </c>
      <c r="S3829" s="2" t="s">
        <v>79</v>
      </c>
      <c r="T3829" s="2" t="s">
        <v>80</v>
      </c>
      <c r="U3829" s="2" t="s">
        <v>81</v>
      </c>
      <c r="V3829" s="2" t="s">
        <v>59</v>
      </c>
      <c r="W3829" s="2">
        <v>38.6</v>
      </c>
      <c r="X3829" s="2">
        <v>0</v>
      </c>
      <c r="Y3829" s="2" t="s">
        <v>408</v>
      </c>
      <c r="Z3829" s="2" t="s">
        <v>6056</v>
      </c>
      <c r="AA3829" s="2">
        <v>-0.64417078712797604</v>
      </c>
      <c r="AB3829" s="2">
        <v>0.188126320411938</v>
      </c>
      <c r="AC3829" s="2">
        <v>6744.3666013739903</v>
      </c>
      <c r="AD3829" s="2">
        <v>4237.7075018628202</v>
      </c>
      <c r="AE3829" s="2">
        <v>6107.65678348859</v>
      </c>
      <c r="AF3829" s="2">
        <v>7317.15691591835</v>
      </c>
      <c r="AG3829" s="2">
        <v>6675.1193459873302</v>
      </c>
      <c r="AH3829" s="2">
        <v>7152.4491668299697</v>
      </c>
      <c r="AI3829" s="2">
        <v>6343.1135514051002</v>
      </c>
      <c r="AJ3829" s="2">
        <v>6870.7038446145998</v>
      </c>
      <c r="AK3829" s="2">
        <v>3704.8127452373401</v>
      </c>
      <c r="AL3829" s="2">
        <v>4374.6821688981199</v>
      </c>
      <c r="AM3829" s="2">
        <v>4462.2375629571397</v>
      </c>
      <c r="AN3829" s="2">
        <v>4532.3708030423004</v>
      </c>
      <c r="AO3829" s="2">
        <v>3263.66934320375</v>
      </c>
      <c r="AP3829" s="2">
        <v>5088.4723878382702</v>
      </c>
    </row>
    <row r="3830" spans="1:42" ht="14.5" x14ac:dyDescent="0.35">
      <c r="A3830" s="2" t="s">
        <v>25460</v>
      </c>
      <c r="B3830" s="2">
        <v>658.524795097847</v>
      </c>
      <c r="C3830" s="2">
        <v>13.4561833333333</v>
      </c>
      <c r="D3830" s="2" t="s">
        <v>34</v>
      </c>
      <c r="E3830" s="2" t="s">
        <v>25461</v>
      </c>
      <c r="F3830" s="2">
        <v>248274</v>
      </c>
      <c r="G3830" s="3" t="str">
        <f>HYPERLINK("http://funmeta.oebiotech.com/network/248274", "http://funmeta.oebiotech.com/network/248274")</f>
        <v>http://funmeta.oebiotech.com/network/248274</v>
      </c>
      <c r="H3830" s="2" t="s">
        <v>25462</v>
      </c>
      <c r="I3830" s="2"/>
      <c r="J3830" s="2"/>
      <c r="K3830" s="2"/>
      <c r="L3830" s="2"/>
      <c r="M3830" s="2"/>
      <c r="N3830" s="2"/>
      <c r="O3830" s="2"/>
      <c r="P3830" s="2"/>
      <c r="Q3830" s="2" t="s">
        <v>25463</v>
      </c>
      <c r="R3830" s="2" t="s">
        <v>25464</v>
      </c>
      <c r="S3830" s="2" t="s">
        <v>41</v>
      </c>
      <c r="T3830" s="2" t="s">
        <v>41</v>
      </c>
      <c r="U3830" s="2" t="s">
        <v>41</v>
      </c>
      <c r="V3830" s="2" t="s">
        <v>59</v>
      </c>
      <c r="W3830" s="2">
        <v>38.200000000000003</v>
      </c>
      <c r="X3830" s="2">
        <v>0</v>
      </c>
      <c r="Y3830" s="2" t="s">
        <v>43</v>
      </c>
      <c r="Z3830" s="2" t="s">
        <v>25465</v>
      </c>
      <c r="AA3830" s="2">
        <v>-0.701913217872977</v>
      </c>
      <c r="AB3830" s="2">
        <v>0.18807466446704099</v>
      </c>
      <c r="AC3830" s="2">
        <v>2659.7883342752698</v>
      </c>
      <c r="AD3830" s="2">
        <v>272.92566207825502</v>
      </c>
      <c r="AE3830" s="2">
        <v>2031.46599931892</v>
      </c>
      <c r="AF3830" s="2">
        <v>2374.7800178258599</v>
      </c>
      <c r="AG3830" s="2">
        <v>2905.62997841479</v>
      </c>
      <c r="AH3830" s="2">
        <v>3082.9453008061</v>
      </c>
      <c r="AI3830" s="2">
        <v>2510.9702043386001</v>
      </c>
      <c r="AJ3830" s="2">
        <v>3052.9385049473299</v>
      </c>
      <c r="AK3830" s="2">
        <v>385.037738008323</v>
      </c>
      <c r="AL3830" s="2">
        <v>340.04889324495298</v>
      </c>
      <c r="AM3830" s="2">
        <v>2.7106294003980101E-5</v>
      </c>
      <c r="AN3830" s="2">
        <v>344.37611696154198</v>
      </c>
      <c r="AO3830" s="2">
        <v>336.82611667586599</v>
      </c>
      <c r="AP3830" s="2">
        <v>231.26508047255101</v>
      </c>
    </row>
    <row r="3831" spans="1:42" ht="14.5" x14ac:dyDescent="0.35">
      <c r="A3831" s="2" t="s">
        <v>25466</v>
      </c>
      <c r="B3831" s="2">
        <v>278.13840668875099</v>
      </c>
      <c r="C3831" s="2">
        <v>8.7271833333333309</v>
      </c>
      <c r="D3831" s="2" t="s">
        <v>34</v>
      </c>
      <c r="E3831" s="2" t="s">
        <v>25467</v>
      </c>
      <c r="F3831" s="2">
        <v>266676</v>
      </c>
      <c r="G3831" s="3" t="str">
        <f>HYPERLINK("http://funmeta.oebiotech.com/network/266676", "http://funmeta.oebiotech.com/network/266676")</f>
        <v>http://funmeta.oebiotech.com/network/266676</v>
      </c>
      <c r="H3831" s="2"/>
      <c r="I3831" s="2">
        <v>43761</v>
      </c>
      <c r="J3831" s="2"/>
      <c r="K3831" s="2"/>
      <c r="L3831" s="2"/>
      <c r="M3831" s="2"/>
      <c r="N3831" s="2"/>
      <c r="O3831" s="2">
        <v>68477</v>
      </c>
      <c r="P3831" s="2" t="s">
        <v>25468</v>
      </c>
      <c r="Q3831" s="2" t="s">
        <v>25469</v>
      </c>
      <c r="R3831" s="2" t="s">
        <v>25470</v>
      </c>
      <c r="S3831" s="2" t="s">
        <v>491</v>
      </c>
      <c r="T3831" s="2" t="s">
        <v>2251</v>
      </c>
      <c r="U3831" s="2" t="s">
        <v>2252</v>
      </c>
      <c r="V3831" s="2" t="s">
        <v>59</v>
      </c>
      <c r="W3831" s="2">
        <v>39.299999999999997</v>
      </c>
      <c r="X3831" s="2">
        <v>0</v>
      </c>
      <c r="Y3831" s="2" t="s">
        <v>43</v>
      </c>
      <c r="Z3831" s="2" t="s">
        <v>25471</v>
      </c>
      <c r="AA3831" s="2">
        <v>-1.06815616476613</v>
      </c>
      <c r="AB3831" s="2">
        <v>0.18802361026876999</v>
      </c>
      <c r="AC3831" s="2">
        <v>6798.3750749660503</v>
      </c>
      <c r="AD3831" s="2">
        <v>4312.7678297930797</v>
      </c>
      <c r="AE3831" s="2">
        <v>7240.0187846561603</v>
      </c>
      <c r="AF3831" s="2">
        <v>7199.64108466367</v>
      </c>
      <c r="AG3831" s="2">
        <v>6953.7033423354396</v>
      </c>
      <c r="AH3831" s="2">
        <v>6269.6236069397801</v>
      </c>
      <c r="AI3831" s="2">
        <v>5950.1499777478502</v>
      </c>
      <c r="AJ3831" s="2">
        <v>7177.1136534534198</v>
      </c>
      <c r="AK3831" s="2">
        <v>3463.8407518433601</v>
      </c>
      <c r="AL3831" s="2">
        <v>4125.2745119533201</v>
      </c>
      <c r="AM3831" s="2">
        <v>4478.7748009122597</v>
      </c>
      <c r="AN3831" s="2">
        <v>4962.4805102098398</v>
      </c>
      <c r="AO3831" s="2">
        <v>4159.7205296552502</v>
      </c>
      <c r="AP3831" s="2">
        <v>4686.5158741844698</v>
      </c>
    </row>
    <row r="3832" spans="1:42" ht="14.5" x14ac:dyDescent="0.35">
      <c r="A3832" s="2" t="s">
        <v>25472</v>
      </c>
      <c r="B3832" s="2">
        <v>723.17201384094403</v>
      </c>
      <c r="C3832" s="2">
        <v>5.1341999999999999</v>
      </c>
      <c r="D3832" s="2" t="s">
        <v>70</v>
      </c>
      <c r="E3832" s="2" t="s">
        <v>25473</v>
      </c>
      <c r="F3832" s="2">
        <v>274640</v>
      </c>
      <c r="G3832" s="3" t="str">
        <f>HYPERLINK("http://funmeta.oebiotech.com/network/274640", "http://funmeta.oebiotech.com/network/274640")</f>
        <v>http://funmeta.oebiotech.com/network/274640</v>
      </c>
      <c r="H3832" s="2"/>
      <c r="I3832" s="2">
        <v>64794</v>
      </c>
      <c r="J3832" s="2"/>
      <c r="K3832" s="2"/>
      <c r="L3832" s="2"/>
      <c r="M3832" s="2"/>
      <c r="N3832" s="2"/>
      <c r="O3832" s="2">
        <v>88590000</v>
      </c>
      <c r="P3832" s="2" t="s">
        <v>25474</v>
      </c>
      <c r="Q3832" s="2" t="s">
        <v>25475</v>
      </c>
      <c r="R3832" s="2" t="s">
        <v>25476</v>
      </c>
      <c r="S3832" s="2" t="s">
        <v>50</v>
      </c>
      <c r="T3832" s="2" t="s">
        <v>201</v>
      </c>
      <c r="U3832" s="2" t="s">
        <v>265</v>
      </c>
      <c r="V3832" s="2" t="s">
        <v>59</v>
      </c>
      <c r="W3832" s="2">
        <v>38</v>
      </c>
      <c r="X3832" s="2">
        <v>0</v>
      </c>
      <c r="Y3832" s="2" t="s">
        <v>408</v>
      </c>
      <c r="Z3832" s="2" t="s">
        <v>25477</v>
      </c>
      <c r="AA3832" s="2">
        <v>-0.88652055459379697</v>
      </c>
      <c r="AB3832" s="2">
        <v>0.18798562815366199</v>
      </c>
      <c r="AC3832" s="2">
        <v>69834.317312720203</v>
      </c>
      <c r="AD3832" s="2">
        <v>75095.462051057199</v>
      </c>
      <c r="AE3832" s="2">
        <v>67008.152115891004</v>
      </c>
      <c r="AF3832" s="2">
        <v>61378.318243112903</v>
      </c>
      <c r="AG3832" s="2">
        <v>70503.730556049893</v>
      </c>
      <c r="AH3832" s="2">
        <v>78860.587729027495</v>
      </c>
      <c r="AI3832" s="2">
        <v>68229.394586517898</v>
      </c>
      <c r="AJ3832" s="2">
        <v>73025.720645722293</v>
      </c>
      <c r="AK3832" s="2">
        <v>64170.786915426703</v>
      </c>
      <c r="AL3832" s="2">
        <v>75145.644087604494</v>
      </c>
      <c r="AM3832" s="2">
        <v>75176.288726314102</v>
      </c>
      <c r="AN3832" s="2">
        <v>79900.961103866604</v>
      </c>
      <c r="AO3832" s="2">
        <v>81328.821365413402</v>
      </c>
      <c r="AP3832" s="2">
        <v>74850.270107717894</v>
      </c>
    </row>
    <row r="3833" spans="1:42" ht="14.5" x14ac:dyDescent="0.35">
      <c r="A3833" s="2" t="s">
        <v>25478</v>
      </c>
      <c r="B3833" s="2">
        <v>433.235837094651</v>
      </c>
      <c r="C3833" s="2">
        <v>11.263299999999999</v>
      </c>
      <c r="D3833" s="2" t="s">
        <v>70</v>
      </c>
      <c r="E3833" s="2" t="s">
        <v>25479</v>
      </c>
      <c r="F3833" s="2">
        <v>49559</v>
      </c>
      <c r="G3833" s="3" t="str">
        <f>HYPERLINK("http://funmeta.oebiotech.com/network/49559", "http://funmeta.oebiotech.com/network/49559")</f>
        <v>http://funmeta.oebiotech.com/network/49559</v>
      </c>
      <c r="H3833" s="2" t="s">
        <v>25480</v>
      </c>
      <c r="I3833" s="2"/>
      <c r="J3833" s="2"/>
      <c r="K3833" s="2"/>
      <c r="L3833" s="2"/>
      <c r="M3833" s="2"/>
      <c r="N3833" s="2"/>
      <c r="O3833" s="2">
        <v>129661864</v>
      </c>
      <c r="P3833" s="2"/>
      <c r="Q3833" s="2" t="s">
        <v>25481</v>
      </c>
      <c r="R3833" s="2" t="s">
        <v>25482</v>
      </c>
      <c r="S3833" s="2" t="s">
        <v>50</v>
      </c>
      <c r="T3833" s="2" t="s">
        <v>51</v>
      </c>
      <c r="U3833" s="2" t="s">
        <v>273</v>
      </c>
      <c r="V3833" s="2" t="s">
        <v>59</v>
      </c>
      <c r="W3833" s="2">
        <v>39.700000000000003</v>
      </c>
      <c r="X3833" s="2">
        <v>5.55</v>
      </c>
      <c r="Y3833" s="2" t="s">
        <v>118</v>
      </c>
      <c r="Z3833" s="2" t="s">
        <v>25483</v>
      </c>
      <c r="AA3833" s="2">
        <v>-0.52203678840996903</v>
      </c>
      <c r="AB3833" s="2">
        <v>0.187832724111096</v>
      </c>
      <c r="AC3833" s="2">
        <v>4839.1306076463998</v>
      </c>
      <c r="AD3833" s="2">
        <v>2240.57737688833</v>
      </c>
      <c r="AE3833" s="2">
        <v>5394.9237001091997</v>
      </c>
      <c r="AF3833" s="2">
        <v>5223.6991537008398</v>
      </c>
      <c r="AG3833" s="2">
        <v>5967.9522278268896</v>
      </c>
      <c r="AH3833" s="2">
        <v>4326.5089451881404</v>
      </c>
      <c r="AI3833" s="2">
        <v>4208.8826753109497</v>
      </c>
      <c r="AJ3833" s="2">
        <v>3912.8169437423498</v>
      </c>
      <c r="AK3833" s="2">
        <v>2422.67305782838</v>
      </c>
      <c r="AL3833" s="2">
        <v>3265.54223497875</v>
      </c>
      <c r="AM3833" s="2">
        <v>2417.8344596156599</v>
      </c>
      <c r="AN3833" s="2">
        <v>2085.5480966710802</v>
      </c>
      <c r="AO3833" s="2">
        <v>2124.0339593215199</v>
      </c>
      <c r="AP3833" s="2">
        <v>1127.83245291457</v>
      </c>
    </row>
    <row r="3834" spans="1:42" ht="14.5" x14ac:dyDescent="0.35">
      <c r="A3834" s="2" t="s">
        <v>25484</v>
      </c>
      <c r="B3834" s="2">
        <v>865.41795368765895</v>
      </c>
      <c r="C3834" s="2">
        <v>4.2777833333333302</v>
      </c>
      <c r="D3834" s="2" t="s">
        <v>34</v>
      </c>
      <c r="E3834" s="2" t="s">
        <v>25485</v>
      </c>
      <c r="F3834" s="2">
        <v>63578</v>
      </c>
      <c r="G3834" s="3" t="str">
        <f>HYPERLINK("http://funmeta.oebiotech.com/network/63578", "http://funmeta.oebiotech.com/network/63578")</f>
        <v>http://funmeta.oebiotech.com/network/63578</v>
      </c>
      <c r="H3834" s="2" t="s">
        <v>25486</v>
      </c>
      <c r="I3834" s="2">
        <v>94915</v>
      </c>
      <c r="J3834" s="2"/>
      <c r="K3834" s="2"/>
      <c r="L3834" s="2"/>
      <c r="M3834" s="2"/>
      <c r="N3834" s="2"/>
      <c r="O3834" s="2">
        <v>131752558</v>
      </c>
      <c r="P3834" s="2" t="s">
        <v>25487</v>
      </c>
      <c r="Q3834" s="2" t="s">
        <v>25488</v>
      </c>
      <c r="R3834" s="2" t="s">
        <v>25489</v>
      </c>
      <c r="S3834" s="2" t="s">
        <v>50</v>
      </c>
      <c r="T3834" s="2" t="s">
        <v>124</v>
      </c>
      <c r="U3834" s="2" t="s">
        <v>523</v>
      </c>
      <c r="V3834" s="2" t="s">
        <v>59</v>
      </c>
      <c r="W3834" s="2">
        <v>37.6</v>
      </c>
      <c r="X3834" s="2">
        <v>0</v>
      </c>
      <c r="Y3834" s="2" t="s">
        <v>568</v>
      </c>
      <c r="Z3834" s="2" t="s">
        <v>25490</v>
      </c>
      <c r="AA3834" s="2">
        <v>-1.50474399080357</v>
      </c>
      <c r="AB3834" s="2">
        <v>0.18777235217599</v>
      </c>
      <c r="AC3834" s="2">
        <v>49004.346256472403</v>
      </c>
      <c r="AD3834" s="2">
        <v>53722.888303391599</v>
      </c>
      <c r="AE3834" s="2">
        <v>58491.095973369702</v>
      </c>
      <c r="AF3834" s="2">
        <v>50707.0774413935</v>
      </c>
      <c r="AG3834" s="2">
        <v>43583.484830998197</v>
      </c>
      <c r="AH3834" s="2">
        <v>47722.365460560999</v>
      </c>
      <c r="AI3834" s="2">
        <v>44964.033215570802</v>
      </c>
      <c r="AJ3834" s="2">
        <v>48558.020616941198</v>
      </c>
      <c r="AK3834" s="2">
        <v>51026.302653547304</v>
      </c>
      <c r="AL3834" s="2">
        <v>59508.783613326101</v>
      </c>
      <c r="AM3834" s="2">
        <v>51365.664548978501</v>
      </c>
      <c r="AN3834" s="2">
        <v>56228.5122952581</v>
      </c>
      <c r="AO3834" s="2">
        <v>50716.733581975102</v>
      </c>
      <c r="AP3834" s="2">
        <v>53491.333127264799</v>
      </c>
    </row>
    <row r="3835" spans="1:42" ht="14.5" x14ac:dyDescent="0.35">
      <c r="A3835" s="2" t="s">
        <v>25491</v>
      </c>
      <c r="B3835" s="2">
        <v>161.05964911496901</v>
      </c>
      <c r="C3835" s="2">
        <v>4.0871833333333303</v>
      </c>
      <c r="D3835" s="2" t="s">
        <v>34</v>
      </c>
      <c r="E3835" s="2" t="s">
        <v>25492</v>
      </c>
      <c r="F3835" s="2">
        <v>64122</v>
      </c>
      <c r="G3835" s="3" t="str">
        <f>HYPERLINK("http://funmeta.oebiotech.com/network/64122", "http://funmeta.oebiotech.com/network/64122")</f>
        <v>http://funmeta.oebiotech.com/network/64122</v>
      </c>
      <c r="H3835" s="2" t="s">
        <v>25493</v>
      </c>
      <c r="I3835" s="2">
        <v>95445</v>
      </c>
      <c r="J3835" s="2"/>
      <c r="K3835" s="2"/>
      <c r="L3835" s="2"/>
      <c r="M3835" s="2"/>
      <c r="N3835" s="2"/>
      <c r="O3835" s="2">
        <v>10511153</v>
      </c>
      <c r="P3835" s="2" t="s">
        <v>25494</v>
      </c>
      <c r="Q3835" s="2" t="s">
        <v>25495</v>
      </c>
      <c r="R3835" s="2" t="s">
        <v>25496</v>
      </c>
      <c r="S3835" s="2" t="s">
        <v>491</v>
      </c>
      <c r="T3835" s="2" t="s">
        <v>19122</v>
      </c>
      <c r="U3835" s="2" t="s">
        <v>41</v>
      </c>
      <c r="V3835" s="2" t="s">
        <v>42</v>
      </c>
      <c r="W3835" s="2">
        <v>50.6</v>
      </c>
      <c r="X3835" s="2">
        <v>62.9</v>
      </c>
      <c r="Y3835" s="2" t="s">
        <v>394</v>
      </c>
      <c r="Z3835" s="2" t="s">
        <v>25497</v>
      </c>
      <c r="AA3835" s="2">
        <v>-0.35496312980683897</v>
      </c>
      <c r="AB3835" s="2">
        <v>0.187699980420723</v>
      </c>
      <c r="AC3835" s="2">
        <v>9252.7682786947007</v>
      </c>
      <c r="AD3835" s="2">
        <v>12003.9563184364</v>
      </c>
      <c r="AE3835" s="2">
        <v>8412.8971534837092</v>
      </c>
      <c r="AF3835" s="2">
        <v>9792.4798688278697</v>
      </c>
      <c r="AG3835" s="2">
        <v>9436.6823722168301</v>
      </c>
      <c r="AH3835" s="2">
        <v>8057.7702604582601</v>
      </c>
      <c r="AI3835" s="2">
        <v>9530.2561434079307</v>
      </c>
      <c r="AJ3835" s="2">
        <v>10286.5238737736</v>
      </c>
      <c r="AK3835" s="2">
        <v>12844.587965905799</v>
      </c>
      <c r="AL3835" s="2">
        <v>11364.435817527799</v>
      </c>
      <c r="AM3835" s="2">
        <v>11481.2307026219</v>
      </c>
      <c r="AN3835" s="2">
        <v>11965.7509273084</v>
      </c>
      <c r="AO3835" s="2">
        <v>10706.546456968101</v>
      </c>
      <c r="AP3835" s="2">
        <v>13661.1860402865</v>
      </c>
    </row>
    <row r="3836" spans="1:42" ht="14.5" x14ac:dyDescent="0.35">
      <c r="A3836" s="2" t="s">
        <v>25498</v>
      </c>
      <c r="B3836" s="2">
        <v>195.14904349614801</v>
      </c>
      <c r="C3836" s="2">
        <v>3.7704833333333299</v>
      </c>
      <c r="D3836" s="2" t="s">
        <v>34</v>
      </c>
      <c r="E3836" s="2" t="s">
        <v>25499</v>
      </c>
      <c r="F3836" s="2">
        <v>267201</v>
      </c>
      <c r="G3836" s="3" t="str">
        <f>HYPERLINK("http://funmeta.oebiotech.com/network/267201", "http://funmeta.oebiotech.com/network/267201")</f>
        <v>http://funmeta.oebiotech.com/network/267201</v>
      </c>
      <c r="H3836" s="2"/>
      <c r="I3836" s="2">
        <v>44986</v>
      </c>
      <c r="J3836" s="2"/>
      <c r="K3836" s="2"/>
      <c r="L3836" s="2"/>
      <c r="M3836" s="2"/>
      <c r="N3836" s="2"/>
      <c r="O3836" s="2">
        <v>81103</v>
      </c>
      <c r="P3836" s="2" t="s">
        <v>25500</v>
      </c>
      <c r="Q3836" s="2" t="s">
        <v>25501</v>
      </c>
      <c r="R3836" s="2" t="s">
        <v>25502</v>
      </c>
      <c r="S3836" s="2" t="s">
        <v>148</v>
      </c>
      <c r="T3836" s="2" t="s">
        <v>149</v>
      </c>
      <c r="U3836" s="2" t="s">
        <v>4630</v>
      </c>
      <c r="V3836" s="2" t="s">
        <v>59</v>
      </c>
      <c r="W3836" s="2">
        <v>38.1</v>
      </c>
      <c r="X3836" s="2">
        <v>0</v>
      </c>
      <c r="Y3836" s="2" t="s">
        <v>43</v>
      </c>
      <c r="Z3836" s="2" t="s">
        <v>22779</v>
      </c>
      <c r="AA3836" s="2">
        <v>-0.82510776196987601</v>
      </c>
      <c r="AB3836" s="2">
        <v>0.18768276279955101</v>
      </c>
      <c r="AC3836" s="2">
        <v>1350.6115931126701</v>
      </c>
      <c r="AD3836" s="2">
        <v>3691.4669297758401</v>
      </c>
      <c r="AE3836" s="2">
        <v>1206.5324609756599</v>
      </c>
      <c r="AF3836" s="2">
        <v>1432.3519061903501</v>
      </c>
      <c r="AG3836" s="2">
        <v>1696.95869483457</v>
      </c>
      <c r="AH3836" s="2">
        <v>1176.61831933963</v>
      </c>
      <c r="AI3836" s="2">
        <v>1239.65870826375</v>
      </c>
      <c r="AJ3836" s="2">
        <v>1351.54946907205</v>
      </c>
      <c r="AK3836" s="2">
        <v>3601.2394159794198</v>
      </c>
      <c r="AL3836" s="2">
        <v>3952.2870059495999</v>
      </c>
      <c r="AM3836" s="2">
        <v>3545.4359745890101</v>
      </c>
      <c r="AN3836" s="2">
        <v>3493.2341542714198</v>
      </c>
      <c r="AO3836" s="2">
        <v>3856.7437641558299</v>
      </c>
      <c r="AP3836" s="2">
        <v>3699.8612637097499</v>
      </c>
    </row>
    <row r="3837" spans="1:42" ht="14.5" x14ac:dyDescent="0.35">
      <c r="A3837" s="2" t="s">
        <v>25503</v>
      </c>
      <c r="B3837" s="2">
        <v>949.50657191264099</v>
      </c>
      <c r="C3837" s="2">
        <v>5.8651</v>
      </c>
      <c r="D3837" s="2" t="s">
        <v>34</v>
      </c>
      <c r="E3837" s="2" t="s">
        <v>25504</v>
      </c>
      <c r="F3837" s="2">
        <v>231571</v>
      </c>
      <c r="G3837" s="3" t="str">
        <f>HYPERLINK("http://funmeta.oebiotech.com/network/231571", "http://funmeta.oebiotech.com/network/231571")</f>
        <v>http://funmeta.oebiotech.com/network/231571</v>
      </c>
      <c r="H3837" s="2" t="s">
        <v>25505</v>
      </c>
      <c r="I3837" s="2"/>
      <c r="J3837" s="2"/>
      <c r="K3837" s="2"/>
      <c r="L3837" s="2"/>
      <c r="M3837" s="2"/>
      <c r="N3837" s="2"/>
      <c r="O3837" s="2"/>
      <c r="P3837" s="2"/>
      <c r="Q3837" s="2" t="s">
        <v>25506</v>
      </c>
      <c r="R3837" s="2" t="s">
        <v>25507</v>
      </c>
      <c r="S3837" s="2" t="s">
        <v>41</v>
      </c>
      <c r="T3837" s="2" t="s">
        <v>41</v>
      </c>
      <c r="U3837" s="2" t="s">
        <v>41</v>
      </c>
      <c r="V3837" s="2" t="s">
        <v>59</v>
      </c>
      <c r="W3837" s="2">
        <v>36.5</v>
      </c>
      <c r="X3837" s="2">
        <v>0</v>
      </c>
      <c r="Y3837" s="2" t="s">
        <v>394</v>
      </c>
      <c r="Z3837" s="2" t="s">
        <v>25508</v>
      </c>
      <c r="AA3837" s="2">
        <v>1.7463815964520899</v>
      </c>
      <c r="AB3837" s="2">
        <v>0.18766841050084801</v>
      </c>
      <c r="AC3837" s="2">
        <v>7662.1509451281499</v>
      </c>
      <c r="AD3837" s="2">
        <v>3608.63869360438</v>
      </c>
      <c r="AE3837" s="2">
        <v>12541.2196417746</v>
      </c>
      <c r="AF3837" s="2">
        <v>10604.3375910253</v>
      </c>
      <c r="AG3837" s="2">
        <v>5536.9702136247897</v>
      </c>
      <c r="AH3837" s="2">
        <v>5495.2741750998302</v>
      </c>
      <c r="AI3837" s="2">
        <v>8166.8065299218497</v>
      </c>
      <c r="AJ3837" s="2">
        <v>3628.2975193225302</v>
      </c>
      <c r="AK3837" s="2">
        <v>3209.2082022217201</v>
      </c>
      <c r="AL3837" s="2">
        <v>1595.4552471064001</v>
      </c>
      <c r="AM3837" s="2">
        <v>1445.7894403416101</v>
      </c>
      <c r="AN3837" s="2">
        <v>8740.5487443757393</v>
      </c>
      <c r="AO3837" s="2">
        <v>5210.3906326398001</v>
      </c>
      <c r="AP3837" s="2">
        <v>1450.4398949410199</v>
      </c>
    </row>
    <row r="3838" spans="1:42" ht="14.5" x14ac:dyDescent="0.35">
      <c r="A3838" s="2" t="s">
        <v>25509</v>
      </c>
      <c r="B3838" s="2">
        <v>563.13694244065096</v>
      </c>
      <c r="C3838" s="2">
        <v>5.0231500000000002</v>
      </c>
      <c r="D3838" s="2" t="s">
        <v>70</v>
      </c>
      <c r="E3838" s="2" t="s">
        <v>25510</v>
      </c>
      <c r="F3838" s="2">
        <v>30430</v>
      </c>
      <c r="G3838" s="3" t="str">
        <f>HYPERLINK("http://funmeta.oebiotech.com/network/30430", "http://funmeta.oebiotech.com/network/30430")</f>
        <v>http://funmeta.oebiotech.com/network/30430</v>
      </c>
      <c r="H3838" s="2" t="s">
        <v>25511</v>
      </c>
      <c r="I3838" s="2">
        <v>44510</v>
      </c>
      <c r="J3838" s="2" t="s">
        <v>25512</v>
      </c>
      <c r="K3838" s="2">
        <v>15932</v>
      </c>
      <c r="L3838" s="2" t="s">
        <v>25513</v>
      </c>
      <c r="M3838" s="2" t="s">
        <v>824</v>
      </c>
      <c r="N3838" s="2" t="s">
        <v>4398</v>
      </c>
      <c r="O3838" s="2">
        <v>5280746</v>
      </c>
      <c r="P3838" s="2" t="s">
        <v>25514</v>
      </c>
      <c r="Q3838" s="2" t="s">
        <v>25515</v>
      </c>
      <c r="R3838" s="2" t="s">
        <v>25516</v>
      </c>
      <c r="S3838" s="2" t="s">
        <v>115</v>
      </c>
      <c r="T3838" s="2" t="s">
        <v>139</v>
      </c>
      <c r="U3838" s="2" t="s">
        <v>140</v>
      </c>
      <c r="V3838" s="2" t="s">
        <v>59</v>
      </c>
      <c r="W3838" s="2">
        <v>36.1</v>
      </c>
      <c r="X3838" s="2">
        <v>0</v>
      </c>
      <c r="Y3838" s="2" t="s">
        <v>118</v>
      </c>
      <c r="Z3838" s="2" t="s">
        <v>25517</v>
      </c>
      <c r="AA3838" s="2">
        <v>-6.5349868591198401</v>
      </c>
      <c r="AB3838" s="2">
        <v>0.187615659797852</v>
      </c>
      <c r="AC3838" s="2">
        <v>9147.1460396646107</v>
      </c>
      <c r="AD3838" s="2">
        <v>6311.1356244854496</v>
      </c>
      <c r="AE3838" s="2">
        <v>9120.3229237482901</v>
      </c>
      <c r="AF3838" s="2">
        <v>9891.1306023208308</v>
      </c>
      <c r="AG3838" s="2">
        <v>6879.6220370150604</v>
      </c>
      <c r="AH3838" s="2">
        <v>10449.905369263501</v>
      </c>
      <c r="AI3838" s="2">
        <v>8767.4594482927096</v>
      </c>
      <c r="AJ3838" s="2">
        <v>9774.43585734724</v>
      </c>
      <c r="AK3838" s="2">
        <v>5541.5541513201897</v>
      </c>
      <c r="AL3838" s="2">
        <v>7751.3652042664598</v>
      </c>
      <c r="AM3838" s="2">
        <v>6270.4543125465898</v>
      </c>
      <c r="AN3838" s="2">
        <v>7099.3426421109498</v>
      </c>
      <c r="AO3838" s="2">
        <v>5495.2135329394196</v>
      </c>
      <c r="AP3838" s="2">
        <v>5708.8839037291</v>
      </c>
    </row>
    <row r="3839" spans="1:42" ht="14.5" x14ac:dyDescent="0.35">
      <c r="A3839" s="2" t="s">
        <v>25518</v>
      </c>
      <c r="B3839" s="2">
        <v>329.08755343188398</v>
      </c>
      <c r="C3839" s="2">
        <v>6.0864833333333301</v>
      </c>
      <c r="D3839" s="2" t="s">
        <v>70</v>
      </c>
      <c r="E3839" s="2" t="s">
        <v>25519</v>
      </c>
      <c r="F3839" s="2">
        <v>61869</v>
      </c>
      <c r="G3839" s="3" t="str">
        <f>HYPERLINK("http://funmeta.oebiotech.com/network/61869", "http://funmeta.oebiotech.com/network/61869")</f>
        <v>http://funmeta.oebiotech.com/network/61869</v>
      </c>
      <c r="H3839" s="2" t="s">
        <v>25520</v>
      </c>
      <c r="I3839" s="2"/>
      <c r="J3839" s="2"/>
      <c r="K3839" s="2">
        <v>168240</v>
      </c>
      <c r="L3839" s="2"/>
      <c r="M3839" s="2"/>
      <c r="N3839" s="2"/>
      <c r="O3839" s="2">
        <v>12444645</v>
      </c>
      <c r="P3839" s="2" t="s">
        <v>25521</v>
      </c>
      <c r="Q3839" s="2" t="s">
        <v>25522</v>
      </c>
      <c r="R3839" s="2" t="s">
        <v>25523</v>
      </c>
      <c r="S3839" s="2" t="s">
        <v>148</v>
      </c>
      <c r="T3839" s="2" t="s">
        <v>149</v>
      </c>
      <c r="U3839" s="2" t="s">
        <v>1593</v>
      </c>
      <c r="V3839" s="2" t="s">
        <v>59</v>
      </c>
      <c r="W3839" s="2">
        <v>44</v>
      </c>
      <c r="X3839" s="2">
        <v>27.5</v>
      </c>
      <c r="Y3839" s="2" t="s">
        <v>286</v>
      </c>
      <c r="Z3839" s="2" t="s">
        <v>6734</v>
      </c>
      <c r="AA3839" s="2">
        <v>-0.88805839375363005</v>
      </c>
      <c r="AB3839" s="2">
        <v>0.18754124664447799</v>
      </c>
      <c r="AC3839" s="2">
        <v>2740.83418956892</v>
      </c>
      <c r="AD3839" s="2">
        <v>5313.5916460320104</v>
      </c>
      <c r="AE3839" s="2">
        <v>3073.9081662342201</v>
      </c>
      <c r="AF3839" s="2">
        <v>2130.9813058330401</v>
      </c>
      <c r="AG3839" s="2">
        <v>2972.5804378943499</v>
      </c>
      <c r="AH3839" s="2">
        <v>3269.3746373563099</v>
      </c>
      <c r="AI3839" s="2">
        <v>3438.4643752083798</v>
      </c>
      <c r="AJ3839" s="2">
        <v>1559.6962148872301</v>
      </c>
      <c r="AK3839" s="2">
        <v>5586.8457865238997</v>
      </c>
      <c r="AL3839" s="2">
        <v>6189.8840993644799</v>
      </c>
      <c r="AM3839" s="2">
        <v>4279.0995257669902</v>
      </c>
      <c r="AN3839" s="2">
        <v>5430.1789005151604</v>
      </c>
      <c r="AO3839" s="2">
        <v>4873.1036174501696</v>
      </c>
      <c r="AP3839" s="2">
        <v>5522.43794657135</v>
      </c>
    </row>
    <row r="3840" spans="1:42" ht="14.5" x14ac:dyDescent="0.35">
      <c r="A3840" s="2" t="s">
        <v>25524</v>
      </c>
      <c r="B3840" s="2">
        <v>149.06370683896199</v>
      </c>
      <c r="C3840" s="2">
        <v>0.71894999999999998</v>
      </c>
      <c r="D3840" s="2" t="s">
        <v>34</v>
      </c>
      <c r="E3840" s="2" t="s">
        <v>25525</v>
      </c>
      <c r="F3840" s="2">
        <v>207524</v>
      </c>
      <c r="G3840" s="3" t="str">
        <f>HYPERLINK("http://funmeta.oebiotech.com/network/207524", "http://funmeta.oebiotech.com/network/207524")</f>
        <v>http://funmeta.oebiotech.com/network/207524</v>
      </c>
      <c r="H3840" s="2" t="s">
        <v>25526</v>
      </c>
      <c r="I3840" s="2"/>
      <c r="J3840" s="2"/>
      <c r="K3840" s="2"/>
      <c r="L3840" s="2"/>
      <c r="M3840" s="2"/>
      <c r="N3840" s="2"/>
      <c r="O3840" s="2">
        <v>49937</v>
      </c>
      <c r="P3840" s="2"/>
      <c r="Q3840" s="2" t="s">
        <v>25527</v>
      </c>
      <c r="R3840" s="2" t="s">
        <v>25528</v>
      </c>
      <c r="S3840" s="2" t="s">
        <v>41</v>
      </c>
      <c r="T3840" s="2" t="s">
        <v>41</v>
      </c>
      <c r="U3840" s="2" t="s">
        <v>41</v>
      </c>
      <c r="V3840" s="2" t="s">
        <v>59</v>
      </c>
      <c r="W3840" s="2">
        <v>37.1</v>
      </c>
      <c r="X3840" s="2">
        <v>0</v>
      </c>
      <c r="Y3840" s="2" t="s">
        <v>141</v>
      </c>
      <c r="Z3840" s="2" t="s">
        <v>25529</v>
      </c>
      <c r="AA3840" s="2">
        <v>3.7923471206310899</v>
      </c>
      <c r="AB3840" s="2">
        <v>0.18752139330916401</v>
      </c>
      <c r="AC3840" s="2">
        <v>87830.749887456201</v>
      </c>
      <c r="AD3840" s="2">
        <v>80491.015679741395</v>
      </c>
      <c r="AE3840" s="2">
        <v>85662.134195743798</v>
      </c>
      <c r="AF3840" s="2">
        <v>78630.613166870695</v>
      </c>
      <c r="AG3840" s="2">
        <v>93271.114897689506</v>
      </c>
      <c r="AH3840" s="2">
        <v>76582.500919496102</v>
      </c>
      <c r="AI3840" s="2">
        <v>103227.640479466</v>
      </c>
      <c r="AJ3840" s="2">
        <v>89610.495665470793</v>
      </c>
      <c r="AK3840" s="2">
        <v>74892.9347792271</v>
      </c>
      <c r="AL3840" s="2">
        <v>68283.383840514303</v>
      </c>
      <c r="AM3840" s="2">
        <v>95950.312580487502</v>
      </c>
      <c r="AN3840" s="2">
        <v>69183.6284847309</v>
      </c>
      <c r="AO3840" s="2">
        <v>98027.530878102902</v>
      </c>
      <c r="AP3840" s="2">
        <v>76608.3035153854</v>
      </c>
    </row>
    <row r="3841" spans="1:42" ht="14.5" x14ac:dyDescent="0.35">
      <c r="A3841" s="2" t="s">
        <v>25530</v>
      </c>
      <c r="B3841" s="2">
        <v>477.231062899763</v>
      </c>
      <c r="C3841" s="2">
        <v>3.9315333333333302</v>
      </c>
      <c r="D3841" s="2" t="s">
        <v>34</v>
      </c>
      <c r="E3841" s="2" t="s">
        <v>25531</v>
      </c>
      <c r="F3841" s="2">
        <v>54792</v>
      </c>
      <c r="G3841" s="3" t="str">
        <f>HYPERLINK("http://funmeta.oebiotech.com/network/54792", "http://funmeta.oebiotech.com/network/54792")</f>
        <v>http://funmeta.oebiotech.com/network/54792</v>
      </c>
      <c r="H3841" s="2" t="s">
        <v>25532</v>
      </c>
      <c r="I3841" s="2">
        <v>86592</v>
      </c>
      <c r="J3841" s="2"/>
      <c r="K3841" s="2"/>
      <c r="L3841" s="2"/>
      <c r="M3841" s="2"/>
      <c r="N3841" s="2"/>
      <c r="O3841" s="2">
        <v>51063134</v>
      </c>
      <c r="P3841" s="2" t="s">
        <v>25533</v>
      </c>
      <c r="Q3841" s="2" t="s">
        <v>25534</v>
      </c>
      <c r="R3841" s="2" t="s">
        <v>25535</v>
      </c>
      <c r="S3841" s="2" t="s">
        <v>79</v>
      </c>
      <c r="T3841" s="2" t="s">
        <v>80</v>
      </c>
      <c r="U3841" s="2" t="s">
        <v>81</v>
      </c>
      <c r="V3841" s="2" t="s">
        <v>59</v>
      </c>
      <c r="W3841" s="2">
        <v>37.4</v>
      </c>
      <c r="X3841" s="2">
        <v>0</v>
      </c>
      <c r="Y3841" s="2" t="s">
        <v>323</v>
      </c>
      <c r="Z3841" s="2" t="s">
        <v>1237</v>
      </c>
      <c r="AA3841" s="2">
        <v>0.94704254398201404</v>
      </c>
      <c r="AB3841" s="2">
        <v>0.18748459563243999</v>
      </c>
      <c r="AC3841" s="2">
        <v>3317.9471389732598</v>
      </c>
      <c r="AD3841" s="2">
        <v>5877.2346612944602</v>
      </c>
      <c r="AE3841" s="2">
        <v>3519.2995264739802</v>
      </c>
      <c r="AF3841" s="2">
        <v>3401.6140131554198</v>
      </c>
      <c r="AG3841" s="2">
        <v>3458.6554350419601</v>
      </c>
      <c r="AH3841" s="2">
        <v>2408.38291497715</v>
      </c>
      <c r="AI3841" s="2">
        <v>4137.3310505900699</v>
      </c>
      <c r="AJ3841" s="2">
        <v>2982.3998936009598</v>
      </c>
      <c r="AK3841" s="2">
        <v>5441.9502366335901</v>
      </c>
      <c r="AL3841" s="2">
        <v>5971.80636506881</v>
      </c>
      <c r="AM3841" s="2">
        <v>6417.7966888607698</v>
      </c>
      <c r="AN3841" s="2">
        <v>4538.8581817501099</v>
      </c>
      <c r="AO3841" s="2">
        <v>6389.7273500063102</v>
      </c>
      <c r="AP3841" s="2">
        <v>6503.2691454471897</v>
      </c>
    </row>
    <row r="3842" spans="1:42" ht="14.5" x14ac:dyDescent="0.35">
      <c r="A3842" s="2" t="s">
        <v>25536</v>
      </c>
      <c r="B3842" s="2">
        <v>579.223199668338</v>
      </c>
      <c r="C3842" s="2">
        <v>4.8984333333333296</v>
      </c>
      <c r="D3842" s="2" t="s">
        <v>70</v>
      </c>
      <c r="E3842" s="2" t="s">
        <v>25537</v>
      </c>
      <c r="F3842" s="2">
        <v>62085</v>
      </c>
      <c r="G3842" s="3" t="str">
        <f>HYPERLINK("http://funmeta.oebiotech.com/network/62085", "http://funmeta.oebiotech.com/network/62085")</f>
        <v>http://funmeta.oebiotech.com/network/62085</v>
      </c>
      <c r="H3842" s="2" t="s">
        <v>25538</v>
      </c>
      <c r="I3842" s="2">
        <v>93377</v>
      </c>
      <c r="J3842" s="2"/>
      <c r="K3842" s="2">
        <v>172521</v>
      </c>
      <c r="L3842" s="2"/>
      <c r="M3842" s="2"/>
      <c r="N3842" s="2"/>
      <c r="O3842" s="2">
        <v>131752440</v>
      </c>
      <c r="P3842" s="2"/>
      <c r="Q3842" s="2" t="s">
        <v>25539</v>
      </c>
      <c r="R3842" s="2" t="s">
        <v>25540</v>
      </c>
      <c r="S3842" s="2" t="s">
        <v>115</v>
      </c>
      <c r="T3842" s="2" t="s">
        <v>17772</v>
      </c>
      <c r="U3842" s="2" t="s">
        <v>41</v>
      </c>
      <c r="V3842" s="2" t="s">
        <v>59</v>
      </c>
      <c r="W3842" s="2">
        <v>39.1</v>
      </c>
      <c r="X3842" s="2">
        <v>0</v>
      </c>
      <c r="Y3842" s="2" t="s">
        <v>560</v>
      </c>
      <c r="Z3842" s="2" t="s">
        <v>25541</v>
      </c>
      <c r="AA3842" s="2">
        <v>-0.63983117032686498</v>
      </c>
      <c r="AB3842" s="2">
        <v>0.18744148580594699</v>
      </c>
      <c r="AC3842" s="2">
        <v>22191.7414451443</v>
      </c>
      <c r="AD3842" s="2">
        <v>25920.0217371461</v>
      </c>
      <c r="AE3842" s="2">
        <v>25141.033947053402</v>
      </c>
      <c r="AF3842" s="2">
        <v>21334.7188629089</v>
      </c>
      <c r="AG3842" s="2">
        <v>22473.038245740499</v>
      </c>
      <c r="AH3842" s="2">
        <v>20363.859258471599</v>
      </c>
      <c r="AI3842" s="2">
        <v>20556.583137735801</v>
      </c>
      <c r="AJ3842" s="2">
        <v>23281.2152189554</v>
      </c>
      <c r="AK3842" s="2">
        <v>30991.120852670701</v>
      </c>
      <c r="AL3842" s="2">
        <v>25369.603043078601</v>
      </c>
      <c r="AM3842" s="2">
        <v>25820.008032555899</v>
      </c>
      <c r="AN3842" s="2">
        <v>25667.273263278199</v>
      </c>
      <c r="AO3842" s="2">
        <v>26501.9471416864</v>
      </c>
      <c r="AP3842" s="2">
        <v>21170.178089606801</v>
      </c>
    </row>
    <row r="3843" spans="1:42" ht="14.5" x14ac:dyDescent="0.35">
      <c r="A3843" s="2" t="s">
        <v>25542</v>
      </c>
      <c r="B3843" s="2">
        <v>353.00414422116899</v>
      </c>
      <c r="C3843" s="2">
        <v>9.3131500000000003</v>
      </c>
      <c r="D3843" s="2" t="s">
        <v>70</v>
      </c>
      <c r="E3843" s="2" t="s">
        <v>25543</v>
      </c>
      <c r="F3843" s="2">
        <v>1890</v>
      </c>
      <c r="G3843" s="3" t="str">
        <f>HYPERLINK("http://funmeta.oebiotech.com/network/1890", "http://funmeta.oebiotech.com/network/1890")</f>
        <v>http://funmeta.oebiotech.com/network/1890</v>
      </c>
      <c r="H3843" s="2" t="s">
        <v>25544</v>
      </c>
      <c r="I3843" s="2">
        <v>74705</v>
      </c>
      <c r="J3843" s="2" t="s">
        <v>25545</v>
      </c>
      <c r="K3843" s="2">
        <v>15899</v>
      </c>
      <c r="L3843" s="2" t="s">
        <v>25546</v>
      </c>
      <c r="M3843" s="2" t="s">
        <v>890</v>
      </c>
      <c r="N3843" s="2" t="s">
        <v>891</v>
      </c>
      <c r="O3843" s="2">
        <v>439418</v>
      </c>
      <c r="P3843" s="2" t="s">
        <v>25547</v>
      </c>
      <c r="Q3843" s="2" t="s">
        <v>25548</v>
      </c>
      <c r="R3843" s="2" t="s">
        <v>25549</v>
      </c>
      <c r="S3843" s="2" t="s">
        <v>79</v>
      </c>
      <c r="T3843" s="2" t="s">
        <v>18840</v>
      </c>
      <c r="U3843" s="2" t="s">
        <v>18841</v>
      </c>
      <c r="V3843" s="2" t="s">
        <v>59</v>
      </c>
      <c r="W3843" s="2">
        <v>39.1</v>
      </c>
      <c r="X3843" s="2">
        <v>0</v>
      </c>
      <c r="Y3843" s="2" t="s">
        <v>408</v>
      </c>
      <c r="Z3843" s="2" t="s">
        <v>25550</v>
      </c>
      <c r="AA3843" s="2">
        <v>-0.90437592710598802</v>
      </c>
      <c r="AB3843" s="2">
        <v>0.18724243056367701</v>
      </c>
      <c r="AC3843" s="2">
        <v>36216.848592892697</v>
      </c>
      <c r="AD3843" s="2">
        <v>39263.957854696302</v>
      </c>
      <c r="AE3843" s="2">
        <v>36945.438475620504</v>
      </c>
      <c r="AF3843" s="2">
        <v>37686.150395213903</v>
      </c>
      <c r="AG3843" s="2">
        <v>36199.3410853635</v>
      </c>
      <c r="AH3843" s="2">
        <v>35962.515660727702</v>
      </c>
      <c r="AI3843" s="2">
        <v>36302.410779276899</v>
      </c>
      <c r="AJ3843" s="2">
        <v>34205.235161153701</v>
      </c>
      <c r="AK3843" s="2">
        <v>41820.107039698203</v>
      </c>
      <c r="AL3843" s="2">
        <v>38942.310074614201</v>
      </c>
      <c r="AM3843" s="2">
        <v>40325.469686545097</v>
      </c>
      <c r="AN3843" s="2">
        <v>37686.552241013298</v>
      </c>
      <c r="AO3843" s="2">
        <v>39432.7417772427</v>
      </c>
      <c r="AP3843" s="2">
        <v>37376.566309064503</v>
      </c>
    </row>
    <row r="3844" spans="1:42" ht="14.5" x14ac:dyDescent="0.35">
      <c r="A3844" s="2" t="s">
        <v>25551</v>
      </c>
      <c r="B3844" s="2">
        <v>783.34182062940204</v>
      </c>
      <c r="C3844" s="2">
        <v>8.5837666666666692</v>
      </c>
      <c r="D3844" s="2" t="s">
        <v>70</v>
      </c>
      <c r="E3844" s="2" t="s">
        <v>25552</v>
      </c>
      <c r="F3844" s="2">
        <v>52528</v>
      </c>
      <c r="G3844" s="3" t="str">
        <f>HYPERLINK("http://funmeta.oebiotech.com/network/52528", "http://funmeta.oebiotech.com/network/52528")</f>
        <v>http://funmeta.oebiotech.com/network/52528</v>
      </c>
      <c r="H3844" s="2" t="s">
        <v>25553</v>
      </c>
      <c r="I3844" s="2">
        <v>1571</v>
      </c>
      <c r="J3844" s="2"/>
      <c r="K3844" s="2">
        <v>175128</v>
      </c>
      <c r="L3844" s="2"/>
      <c r="M3844" s="2"/>
      <c r="N3844" s="2"/>
      <c r="O3844" s="2">
        <v>155763</v>
      </c>
      <c r="P3844" s="2" t="s">
        <v>25554</v>
      </c>
      <c r="Q3844" s="2" t="s">
        <v>25555</v>
      </c>
      <c r="R3844" s="2" t="s">
        <v>25556</v>
      </c>
      <c r="S3844" s="2" t="s">
        <v>491</v>
      </c>
      <c r="T3844" s="2" t="s">
        <v>2184</v>
      </c>
      <c r="U3844" s="2" t="s">
        <v>8546</v>
      </c>
      <c r="V3844" s="2" t="s">
        <v>59</v>
      </c>
      <c r="W3844" s="2">
        <v>37.6</v>
      </c>
      <c r="X3844" s="2">
        <v>0</v>
      </c>
      <c r="Y3844" s="2" t="s">
        <v>560</v>
      </c>
      <c r="Z3844" s="2" t="s">
        <v>25557</v>
      </c>
      <c r="AA3844" s="2">
        <v>2.4001441284332601</v>
      </c>
      <c r="AB3844" s="2">
        <v>0.18712356663557</v>
      </c>
      <c r="AC3844" s="2">
        <v>49840.591885802001</v>
      </c>
      <c r="AD3844" s="2">
        <v>46205.405764333198</v>
      </c>
      <c r="AE3844" s="2">
        <v>50889.396375039803</v>
      </c>
      <c r="AF3844" s="2">
        <v>48472.328021617999</v>
      </c>
      <c r="AG3844" s="2">
        <v>49519.532811797297</v>
      </c>
      <c r="AH3844" s="2">
        <v>51021.033225650499</v>
      </c>
      <c r="AI3844" s="2">
        <v>49599.582175039497</v>
      </c>
      <c r="AJ3844" s="2">
        <v>49541.678705666702</v>
      </c>
      <c r="AK3844" s="2">
        <v>44386.0594494529</v>
      </c>
      <c r="AL3844" s="2">
        <v>44168.943065730004</v>
      </c>
      <c r="AM3844" s="2">
        <v>51235.2199667276</v>
      </c>
      <c r="AN3844" s="2">
        <v>45130.409094428098</v>
      </c>
      <c r="AO3844" s="2">
        <v>49283.110890166899</v>
      </c>
      <c r="AP3844" s="2">
        <v>43028.692119493797</v>
      </c>
    </row>
    <row r="3845" spans="1:42" ht="14.5" x14ac:dyDescent="0.35">
      <c r="A3845" s="2" t="s">
        <v>25558</v>
      </c>
      <c r="B3845" s="2">
        <v>443.18328107316199</v>
      </c>
      <c r="C3845" s="2">
        <v>5.5805999999999996</v>
      </c>
      <c r="D3845" s="2" t="s">
        <v>70</v>
      </c>
      <c r="E3845" s="2" t="s">
        <v>25559</v>
      </c>
      <c r="F3845" s="2">
        <v>212913</v>
      </c>
      <c r="G3845" s="3" t="str">
        <f>HYPERLINK("http://funmeta.oebiotech.com/network/212913", "http://funmeta.oebiotech.com/network/212913")</f>
        <v>http://funmeta.oebiotech.com/network/212913</v>
      </c>
      <c r="H3845" s="2" t="s">
        <v>25560</v>
      </c>
      <c r="I3845" s="2"/>
      <c r="J3845" s="2"/>
      <c r="K3845" s="2"/>
      <c r="L3845" s="2"/>
      <c r="M3845" s="2"/>
      <c r="N3845" s="2"/>
      <c r="O3845" s="2">
        <v>22639411</v>
      </c>
      <c r="P3845" s="2"/>
      <c r="Q3845" s="2" t="s">
        <v>25561</v>
      </c>
      <c r="R3845" s="2" t="s">
        <v>25562</v>
      </c>
      <c r="S3845" s="2" t="s">
        <v>41</v>
      </c>
      <c r="T3845" s="2" t="s">
        <v>41</v>
      </c>
      <c r="U3845" s="2" t="s">
        <v>41</v>
      </c>
      <c r="V3845" s="2" t="s">
        <v>59</v>
      </c>
      <c r="W3845" s="2">
        <v>36.4</v>
      </c>
      <c r="X3845" s="2">
        <v>0</v>
      </c>
      <c r="Y3845" s="2" t="s">
        <v>118</v>
      </c>
      <c r="Z3845" s="2" t="s">
        <v>25563</v>
      </c>
      <c r="AA3845" s="2">
        <v>2.0402561823472398</v>
      </c>
      <c r="AB3845" s="2">
        <v>0.18707665832634501</v>
      </c>
      <c r="AC3845" s="2">
        <v>9386.5332942691603</v>
      </c>
      <c r="AD3845" s="2">
        <v>6764.6981492432296</v>
      </c>
      <c r="AE3845" s="2">
        <v>10134.5770401259</v>
      </c>
      <c r="AF3845" s="2">
        <v>8742.30687282695</v>
      </c>
      <c r="AG3845" s="2">
        <v>9732.0310084006305</v>
      </c>
      <c r="AH3845" s="2">
        <v>8386.2345635823203</v>
      </c>
      <c r="AI3845" s="2">
        <v>9460.1964914239306</v>
      </c>
      <c r="AJ3845" s="2">
        <v>9863.8537892552504</v>
      </c>
      <c r="AK3845" s="2">
        <v>7032.5336600006704</v>
      </c>
      <c r="AL3845" s="2">
        <v>6113.6605387707305</v>
      </c>
      <c r="AM3845" s="2">
        <v>5600.7132911915096</v>
      </c>
      <c r="AN3845" s="2">
        <v>8122.7376448898003</v>
      </c>
      <c r="AO3845" s="2">
        <v>6613.1098058214702</v>
      </c>
      <c r="AP3845" s="2">
        <v>7105.4339547852096</v>
      </c>
    </row>
    <row r="3846" spans="1:42" ht="14.5" x14ac:dyDescent="0.35">
      <c r="A3846" s="2" t="s">
        <v>25564</v>
      </c>
      <c r="B3846" s="2">
        <v>800.548354936397</v>
      </c>
      <c r="C3846" s="2">
        <v>14.81725</v>
      </c>
      <c r="D3846" s="2" t="s">
        <v>70</v>
      </c>
      <c r="E3846" s="2" t="s">
        <v>25565</v>
      </c>
      <c r="F3846" s="2">
        <v>19386</v>
      </c>
      <c r="G3846" s="3" t="str">
        <f>HYPERLINK("http://funmeta.oebiotech.com/network/19386", "http://funmeta.oebiotech.com/network/19386")</f>
        <v>http://funmeta.oebiotech.com/network/19386</v>
      </c>
      <c r="H3846" s="2" t="s">
        <v>25566</v>
      </c>
      <c r="I3846" s="2">
        <v>59331</v>
      </c>
      <c r="J3846" s="2" t="s">
        <v>25567</v>
      </c>
      <c r="K3846" s="2">
        <v>89517</v>
      </c>
      <c r="L3846" s="2" t="s">
        <v>335</v>
      </c>
      <c r="M3846" s="2" t="s">
        <v>336</v>
      </c>
      <c r="N3846" s="2" t="s">
        <v>337</v>
      </c>
      <c r="O3846" s="2">
        <v>53478605</v>
      </c>
      <c r="P3846" s="2"/>
      <c r="Q3846" s="2" t="s">
        <v>25568</v>
      </c>
      <c r="R3846" s="2" t="s">
        <v>25569</v>
      </c>
      <c r="S3846" s="2" t="s">
        <v>50</v>
      </c>
      <c r="T3846" s="2" t="s">
        <v>51</v>
      </c>
      <c r="U3846" s="2" t="s">
        <v>168</v>
      </c>
      <c r="V3846" s="2" t="s">
        <v>59</v>
      </c>
      <c r="W3846" s="2">
        <v>37.4</v>
      </c>
      <c r="X3846" s="2">
        <v>0</v>
      </c>
      <c r="Y3846" s="2" t="s">
        <v>408</v>
      </c>
      <c r="Z3846" s="2" t="s">
        <v>25570</v>
      </c>
      <c r="AA3846" s="2">
        <v>4.8269347184396301</v>
      </c>
      <c r="AB3846" s="2">
        <v>0.18703097196687299</v>
      </c>
      <c r="AC3846" s="2">
        <v>42640.637242854697</v>
      </c>
      <c r="AD3846" s="2">
        <v>39644.685415405598</v>
      </c>
      <c r="AE3846" s="2">
        <v>44817.660445917398</v>
      </c>
      <c r="AF3846" s="2">
        <v>40863.873429683401</v>
      </c>
      <c r="AG3846" s="2">
        <v>41317.878885960301</v>
      </c>
      <c r="AH3846" s="2">
        <v>42636.411512706502</v>
      </c>
      <c r="AI3846" s="2">
        <v>41878.499787483903</v>
      </c>
      <c r="AJ3846" s="2">
        <v>44329.499395376501</v>
      </c>
      <c r="AK3846" s="2">
        <v>38889.573196556797</v>
      </c>
      <c r="AL3846" s="2">
        <v>39849.812244388799</v>
      </c>
      <c r="AM3846" s="2">
        <v>38345.835991179403</v>
      </c>
      <c r="AN3846" s="2">
        <v>39716.028698508897</v>
      </c>
      <c r="AO3846" s="2">
        <v>41554.322945524298</v>
      </c>
      <c r="AP3846" s="2">
        <v>39512.539416275402</v>
      </c>
    </row>
    <row r="3847" spans="1:42" ht="14.5" x14ac:dyDescent="0.35">
      <c r="A3847" s="2" t="s">
        <v>25571</v>
      </c>
      <c r="B3847" s="2">
        <v>503.14044392853498</v>
      </c>
      <c r="C3847" s="2">
        <v>2.8180833333333299</v>
      </c>
      <c r="D3847" s="2" t="s">
        <v>70</v>
      </c>
      <c r="E3847" s="2" t="s">
        <v>25572</v>
      </c>
      <c r="F3847" s="2">
        <v>55055</v>
      </c>
      <c r="G3847" s="3" t="str">
        <f>HYPERLINK("http://funmeta.oebiotech.com/network/55055", "http://funmeta.oebiotech.com/network/55055")</f>
        <v>http://funmeta.oebiotech.com/network/55055</v>
      </c>
      <c r="H3847" s="2" t="s">
        <v>25573</v>
      </c>
      <c r="I3847" s="2">
        <v>86818</v>
      </c>
      <c r="J3847" s="2"/>
      <c r="K3847" s="2"/>
      <c r="L3847" s="2"/>
      <c r="M3847" s="2"/>
      <c r="N3847" s="2"/>
      <c r="O3847" s="2">
        <v>131750981</v>
      </c>
      <c r="P3847" s="2"/>
      <c r="Q3847" s="2" t="s">
        <v>25574</v>
      </c>
      <c r="R3847" s="2" t="s">
        <v>25575</v>
      </c>
      <c r="S3847" s="2" t="s">
        <v>115</v>
      </c>
      <c r="T3847" s="2" t="s">
        <v>116</v>
      </c>
      <c r="U3847" s="2" t="s">
        <v>117</v>
      </c>
      <c r="V3847" s="2" t="s">
        <v>59</v>
      </c>
      <c r="W3847" s="2">
        <v>38.700000000000003</v>
      </c>
      <c r="X3847" s="2">
        <v>0</v>
      </c>
      <c r="Y3847" s="2" t="s">
        <v>408</v>
      </c>
      <c r="Z3847" s="2" t="s">
        <v>12958</v>
      </c>
      <c r="AA3847" s="2">
        <v>-0.404262941630608</v>
      </c>
      <c r="AB3847" s="2">
        <v>0.18685462475891201</v>
      </c>
      <c r="AC3847" s="2">
        <v>30628.806939488699</v>
      </c>
      <c r="AD3847" s="2">
        <v>27836.851971190801</v>
      </c>
      <c r="AE3847" s="2">
        <v>30290.490116148401</v>
      </c>
      <c r="AF3847" s="2">
        <v>30306.467283665999</v>
      </c>
      <c r="AG3847" s="2">
        <v>30832.220179856002</v>
      </c>
      <c r="AH3847" s="2">
        <v>30499.1325412283</v>
      </c>
      <c r="AI3847" s="2">
        <v>30311.560720475602</v>
      </c>
      <c r="AJ3847" s="2">
        <v>31532.9707955581</v>
      </c>
      <c r="AK3847" s="2">
        <v>29317.928394256502</v>
      </c>
      <c r="AL3847" s="2">
        <v>29320.195162636901</v>
      </c>
      <c r="AM3847" s="2">
        <v>27285.663784496999</v>
      </c>
      <c r="AN3847" s="2">
        <v>28017.937330033899</v>
      </c>
      <c r="AO3847" s="2">
        <v>25436.000599012601</v>
      </c>
      <c r="AP3847" s="2">
        <v>27643.386556707901</v>
      </c>
    </row>
    <row r="3848" spans="1:42" ht="14.5" x14ac:dyDescent="0.35">
      <c r="A3848" s="2" t="s">
        <v>25576</v>
      </c>
      <c r="B3848" s="2">
        <v>228.17438161758</v>
      </c>
      <c r="C3848" s="2">
        <v>6.1473000000000004</v>
      </c>
      <c r="D3848" s="2" t="s">
        <v>34</v>
      </c>
      <c r="E3848" s="2" t="s">
        <v>25577</v>
      </c>
      <c r="F3848" s="2">
        <v>53423</v>
      </c>
      <c r="G3848" s="3" t="str">
        <f>HYPERLINK("http://funmeta.oebiotech.com/network/53423", "http://funmeta.oebiotech.com/network/53423")</f>
        <v>http://funmeta.oebiotech.com/network/53423</v>
      </c>
      <c r="H3848" s="2" t="s">
        <v>25578</v>
      </c>
      <c r="I3848" s="2">
        <v>66779</v>
      </c>
      <c r="J3848" s="2"/>
      <c r="K3848" s="2">
        <v>4474</v>
      </c>
      <c r="L3848" s="2" t="s">
        <v>25579</v>
      </c>
      <c r="M3848" s="2"/>
      <c r="N3848" s="2"/>
      <c r="O3848" s="2">
        <v>3033053</v>
      </c>
      <c r="P3848" s="2" t="s">
        <v>25580</v>
      </c>
      <c r="Q3848" s="2" t="s">
        <v>25581</v>
      </c>
      <c r="R3848" s="2" t="s">
        <v>25582</v>
      </c>
      <c r="S3848" s="2" t="s">
        <v>148</v>
      </c>
      <c r="T3848" s="2" t="s">
        <v>19471</v>
      </c>
      <c r="U3848" s="2" t="s">
        <v>41</v>
      </c>
      <c r="V3848" s="2" t="s">
        <v>59</v>
      </c>
      <c r="W3848" s="2">
        <v>46.8</v>
      </c>
      <c r="X3848" s="2">
        <v>39.4</v>
      </c>
      <c r="Y3848" s="2" t="s">
        <v>141</v>
      </c>
      <c r="Z3848" s="2" t="s">
        <v>25583</v>
      </c>
      <c r="AA3848" s="2">
        <v>-1.2011454258093699</v>
      </c>
      <c r="AB3848" s="2">
        <v>0.18679358757974701</v>
      </c>
      <c r="AC3848" s="2">
        <v>55655.266512907001</v>
      </c>
      <c r="AD3848" s="2">
        <v>52108.763201180198</v>
      </c>
      <c r="AE3848" s="2">
        <v>56244.112737149902</v>
      </c>
      <c r="AF3848" s="2">
        <v>54320.316721668598</v>
      </c>
      <c r="AG3848" s="2">
        <v>55731.596311757399</v>
      </c>
      <c r="AH3848" s="2">
        <v>54598.428574789003</v>
      </c>
      <c r="AI3848" s="2">
        <v>52848.011270500901</v>
      </c>
      <c r="AJ3848" s="2">
        <v>60189.133461576297</v>
      </c>
      <c r="AK3848" s="2">
        <v>51119.042841784198</v>
      </c>
      <c r="AL3848" s="2">
        <v>52280.556981891299</v>
      </c>
      <c r="AM3848" s="2">
        <v>49193.998830509401</v>
      </c>
      <c r="AN3848" s="2">
        <v>54069.691734396103</v>
      </c>
      <c r="AO3848" s="2">
        <v>54926.429815966498</v>
      </c>
      <c r="AP3848" s="2">
        <v>51062.859002533798</v>
      </c>
    </row>
    <row r="3849" spans="1:42" ht="14.5" x14ac:dyDescent="0.35">
      <c r="A3849" s="2" t="s">
        <v>25584</v>
      </c>
      <c r="B3849" s="2">
        <v>279.08633046333301</v>
      </c>
      <c r="C3849" s="2">
        <v>4.0024166666666696</v>
      </c>
      <c r="D3849" s="2" t="s">
        <v>34</v>
      </c>
      <c r="E3849" s="2" t="s">
        <v>25585</v>
      </c>
      <c r="F3849" s="2">
        <v>205019</v>
      </c>
      <c r="G3849" s="3" t="str">
        <f>HYPERLINK("http://funmeta.oebiotech.com/network/205019", "http://funmeta.oebiotech.com/network/205019")</f>
        <v>http://funmeta.oebiotech.com/network/205019</v>
      </c>
      <c r="H3849" s="2" t="s">
        <v>25586</v>
      </c>
      <c r="I3849" s="2"/>
      <c r="J3849" s="2"/>
      <c r="K3849" s="2"/>
      <c r="L3849" s="2"/>
      <c r="M3849" s="2"/>
      <c r="N3849" s="2"/>
      <c r="O3849" s="2">
        <v>18914028</v>
      </c>
      <c r="P3849" s="2"/>
      <c r="Q3849" s="2" t="s">
        <v>25587</v>
      </c>
      <c r="R3849" s="2" t="s">
        <v>25588</v>
      </c>
      <c r="S3849" s="2" t="s">
        <v>491</v>
      </c>
      <c r="T3849" s="2" t="s">
        <v>4517</v>
      </c>
      <c r="U3849" s="2" t="s">
        <v>4518</v>
      </c>
      <c r="V3849" s="2" t="s">
        <v>59</v>
      </c>
      <c r="W3849" s="2">
        <v>37</v>
      </c>
      <c r="X3849" s="2">
        <v>0</v>
      </c>
      <c r="Y3849" s="2" t="s">
        <v>43</v>
      </c>
      <c r="Z3849" s="2" t="s">
        <v>25589</v>
      </c>
      <c r="AA3849" s="2">
        <v>4.0137921632879401</v>
      </c>
      <c r="AB3849" s="2">
        <v>0.18678887715426301</v>
      </c>
      <c r="AC3849" s="2">
        <v>7660.8239646838101</v>
      </c>
      <c r="AD3849" s="2">
        <v>10273.4690592322</v>
      </c>
      <c r="AE3849" s="2">
        <v>6887.5756619793901</v>
      </c>
      <c r="AF3849" s="2">
        <v>9087.8219173669204</v>
      </c>
      <c r="AG3849" s="2">
        <v>7052.4755778958597</v>
      </c>
      <c r="AH3849" s="2">
        <v>6697.8660595412503</v>
      </c>
      <c r="AI3849" s="2">
        <v>8519.0879570418692</v>
      </c>
      <c r="AJ3849" s="2">
        <v>7720.1166142775501</v>
      </c>
      <c r="AK3849" s="2">
        <v>9940.7504001873695</v>
      </c>
      <c r="AL3849" s="2">
        <v>10992.8145621577</v>
      </c>
      <c r="AM3849" s="2">
        <v>9502.4952374937202</v>
      </c>
      <c r="AN3849" s="2">
        <v>10460.1373293709</v>
      </c>
      <c r="AO3849" s="2">
        <v>10803.3749744327</v>
      </c>
      <c r="AP3849" s="2">
        <v>9941.2418517508195</v>
      </c>
    </row>
    <row r="3850" spans="1:42" ht="14.5" x14ac:dyDescent="0.35">
      <c r="A3850" s="2" t="s">
        <v>25590</v>
      </c>
      <c r="B3850" s="2">
        <v>433.24397292914898</v>
      </c>
      <c r="C3850" s="2">
        <v>5.6539333333333301</v>
      </c>
      <c r="D3850" s="2" t="s">
        <v>70</v>
      </c>
      <c r="E3850" s="2" t="s">
        <v>25591</v>
      </c>
      <c r="F3850" s="2">
        <v>51835</v>
      </c>
      <c r="G3850" s="3" t="str">
        <f>HYPERLINK("http://funmeta.oebiotech.com/network/51835", "http://funmeta.oebiotech.com/network/51835")</f>
        <v>http://funmeta.oebiotech.com/network/51835</v>
      </c>
      <c r="H3850" s="2" t="s">
        <v>25592</v>
      </c>
      <c r="I3850" s="2"/>
      <c r="J3850" s="2"/>
      <c r="K3850" s="2">
        <v>139312</v>
      </c>
      <c r="L3850" s="2" t="s">
        <v>16897</v>
      </c>
      <c r="M3850" s="2"/>
      <c r="N3850" s="2"/>
      <c r="O3850" s="2">
        <v>6439819</v>
      </c>
      <c r="P3850" s="2" t="s">
        <v>25593</v>
      </c>
      <c r="Q3850" s="2" t="s">
        <v>25594</v>
      </c>
      <c r="R3850" s="2" t="s">
        <v>25595</v>
      </c>
      <c r="S3850" s="2" t="s">
        <v>50</v>
      </c>
      <c r="T3850" s="2" t="s">
        <v>229</v>
      </c>
      <c r="U3850" s="2" t="s">
        <v>766</v>
      </c>
      <c r="V3850" s="2" t="s">
        <v>59</v>
      </c>
      <c r="W3850" s="2">
        <v>45.8</v>
      </c>
      <c r="X3850" s="2">
        <v>34.5</v>
      </c>
      <c r="Y3850" s="2" t="s">
        <v>408</v>
      </c>
      <c r="Z3850" s="2" t="s">
        <v>25596</v>
      </c>
      <c r="AA3850" s="2">
        <v>-0.85881683889373694</v>
      </c>
      <c r="AB3850" s="2">
        <v>0.18674377585918001</v>
      </c>
      <c r="AC3850" s="2">
        <v>15229.4619772923</v>
      </c>
      <c r="AD3850" s="2">
        <v>17993.534680346202</v>
      </c>
      <c r="AE3850" s="2">
        <v>15008.630492894001</v>
      </c>
      <c r="AF3850" s="2">
        <v>14141.2006998695</v>
      </c>
      <c r="AG3850" s="2">
        <v>15824.471616544701</v>
      </c>
      <c r="AH3850" s="2">
        <v>15429.8625482429</v>
      </c>
      <c r="AI3850" s="2">
        <v>14957.833917661001</v>
      </c>
      <c r="AJ3850" s="2">
        <v>16014.7725885416</v>
      </c>
      <c r="AK3850" s="2">
        <v>16346.1870339285</v>
      </c>
      <c r="AL3850" s="2">
        <v>19018.838869747</v>
      </c>
      <c r="AM3850" s="2">
        <v>18527.6654311403</v>
      </c>
      <c r="AN3850" s="2">
        <v>19687.142883598499</v>
      </c>
      <c r="AO3850" s="2">
        <v>17468.241734986699</v>
      </c>
      <c r="AP3850" s="2">
        <v>16913.132128676101</v>
      </c>
    </row>
    <row r="3851" spans="1:42" ht="14.5" x14ac:dyDescent="0.35">
      <c r="A3851" s="2" t="s">
        <v>25597</v>
      </c>
      <c r="B3851" s="2">
        <v>641.44012044426097</v>
      </c>
      <c r="C3851" s="2">
        <v>11.270016666666701</v>
      </c>
      <c r="D3851" s="2" t="s">
        <v>34</v>
      </c>
      <c r="E3851" s="2" t="s">
        <v>25598</v>
      </c>
      <c r="F3851" s="2">
        <v>53502</v>
      </c>
      <c r="G3851" s="3" t="str">
        <f>HYPERLINK("http://funmeta.oebiotech.com/network/53502", "http://funmeta.oebiotech.com/network/53502")</f>
        <v>http://funmeta.oebiotech.com/network/53502</v>
      </c>
      <c r="H3851" s="2" t="s">
        <v>25599</v>
      </c>
      <c r="I3851" s="2">
        <v>85497</v>
      </c>
      <c r="J3851" s="2"/>
      <c r="K3851" s="2">
        <v>775157</v>
      </c>
      <c r="L3851" s="2" t="s">
        <v>25600</v>
      </c>
      <c r="M3851" s="2"/>
      <c r="N3851" s="2"/>
      <c r="O3851" s="2">
        <v>50192</v>
      </c>
      <c r="P3851" s="2" t="s">
        <v>25601</v>
      </c>
      <c r="Q3851" s="2" t="s">
        <v>25602</v>
      </c>
      <c r="R3851" s="2" t="s">
        <v>25603</v>
      </c>
      <c r="S3851" s="2" t="s">
        <v>50</v>
      </c>
      <c r="T3851" s="2" t="s">
        <v>124</v>
      </c>
      <c r="U3851" s="2" t="s">
        <v>8787</v>
      </c>
      <c r="V3851" s="2" t="s">
        <v>59</v>
      </c>
      <c r="W3851" s="2">
        <v>37.700000000000003</v>
      </c>
      <c r="X3851" s="2">
        <v>0</v>
      </c>
      <c r="Y3851" s="2" t="s">
        <v>340</v>
      </c>
      <c r="Z3851" s="2" t="s">
        <v>25604</v>
      </c>
      <c r="AA3851" s="2">
        <v>-0.239214929557133</v>
      </c>
      <c r="AB3851" s="2">
        <v>0.18667435133701499</v>
      </c>
      <c r="AC3851" s="2">
        <v>16482.331531099499</v>
      </c>
      <c r="AD3851" s="2">
        <v>19761.4079562222</v>
      </c>
      <c r="AE3851" s="2">
        <v>16630.563858900201</v>
      </c>
      <c r="AF3851" s="2">
        <v>16307.8214495872</v>
      </c>
      <c r="AG3851" s="2">
        <v>16536.868682060202</v>
      </c>
      <c r="AH3851" s="2">
        <v>17857.4338654565</v>
      </c>
      <c r="AI3851" s="2">
        <v>15833.698921933699</v>
      </c>
      <c r="AJ3851" s="2">
        <v>15727.602408659401</v>
      </c>
      <c r="AK3851" s="2">
        <v>18605.627308175001</v>
      </c>
      <c r="AL3851" s="2">
        <v>23118.161185031298</v>
      </c>
      <c r="AM3851" s="2">
        <v>16812.195717099701</v>
      </c>
      <c r="AN3851" s="2">
        <v>19095.785940911901</v>
      </c>
      <c r="AO3851" s="2">
        <v>18593.004237417601</v>
      </c>
      <c r="AP3851" s="2">
        <v>22343.673348697899</v>
      </c>
    </row>
    <row r="3852" spans="1:42" ht="14.5" x14ac:dyDescent="0.35">
      <c r="A3852" s="2" t="s">
        <v>25605</v>
      </c>
      <c r="B3852" s="2">
        <v>341.21114171989802</v>
      </c>
      <c r="C3852" s="2">
        <v>10.984450000000001</v>
      </c>
      <c r="D3852" s="2" t="s">
        <v>34</v>
      </c>
      <c r="E3852" s="2" t="s">
        <v>25606</v>
      </c>
      <c r="F3852" s="2">
        <v>5393</v>
      </c>
      <c r="G3852" s="3" t="str">
        <f>HYPERLINK("http://funmeta.oebiotech.com/network/5393", "http://funmeta.oebiotech.com/network/5393")</f>
        <v>http://funmeta.oebiotech.com/network/5393</v>
      </c>
      <c r="H3852" s="2"/>
      <c r="I3852" s="2"/>
      <c r="J3852" s="2" t="s">
        <v>25607</v>
      </c>
      <c r="K3852" s="2"/>
      <c r="L3852" s="2"/>
      <c r="M3852" s="2"/>
      <c r="N3852" s="2"/>
      <c r="O3852" s="2">
        <v>131840808</v>
      </c>
      <c r="P3852" s="2"/>
      <c r="Q3852" s="2" t="s">
        <v>25608</v>
      </c>
      <c r="R3852" s="2" t="s">
        <v>25609</v>
      </c>
      <c r="S3852" s="2" t="s">
        <v>50</v>
      </c>
      <c r="T3852" s="2" t="s">
        <v>229</v>
      </c>
      <c r="U3852" s="2" t="s">
        <v>433</v>
      </c>
      <c r="V3852" s="2" t="s">
        <v>59</v>
      </c>
      <c r="W3852" s="2">
        <v>48.1</v>
      </c>
      <c r="X3852" s="2">
        <v>43.9</v>
      </c>
      <c r="Y3852" s="2" t="s">
        <v>141</v>
      </c>
      <c r="Z3852" s="2" t="s">
        <v>7078</v>
      </c>
      <c r="AA3852" s="2">
        <v>5.7310809996980502E-2</v>
      </c>
      <c r="AB3852" s="2">
        <v>0.18660608011172899</v>
      </c>
      <c r="AC3852" s="2">
        <v>16686.633933348301</v>
      </c>
      <c r="AD3852" s="2">
        <v>13844.720170505199</v>
      </c>
      <c r="AE3852" s="2">
        <v>16667.651019275199</v>
      </c>
      <c r="AF3852" s="2">
        <v>16149.3130308297</v>
      </c>
      <c r="AG3852" s="2">
        <v>16719.528688869901</v>
      </c>
      <c r="AH3852" s="2">
        <v>17319.5969971009</v>
      </c>
      <c r="AI3852" s="2">
        <v>15850.3302440918</v>
      </c>
      <c r="AJ3852" s="2">
        <v>17413.383619922399</v>
      </c>
      <c r="AK3852" s="2">
        <v>11756.8067690767</v>
      </c>
      <c r="AL3852" s="2">
        <v>12963.7148684271</v>
      </c>
      <c r="AM3852" s="2">
        <v>14816.492720678099</v>
      </c>
      <c r="AN3852" s="2">
        <v>15982.919409100399</v>
      </c>
      <c r="AO3852" s="2">
        <v>13329.379318794099</v>
      </c>
      <c r="AP3852" s="2">
        <v>14219.0079369548</v>
      </c>
    </row>
    <row r="3853" spans="1:42" ht="14.5" x14ac:dyDescent="0.35">
      <c r="A3853" s="2" t="s">
        <v>25610</v>
      </c>
      <c r="B3853" s="2">
        <v>277.14404796253802</v>
      </c>
      <c r="C3853" s="2">
        <v>6.7633666666666699</v>
      </c>
      <c r="D3853" s="2" t="s">
        <v>70</v>
      </c>
      <c r="E3853" s="2" t="s">
        <v>25611</v>
      </c>
      <c r="F3853" s="2">
        <v>59906</v>
      </c>
      <c r="G3853" s="3" t="str">
        <f>HYPERLINK("http://funmeta.oebiotech.com/network/59906", "http://funmeta.oebiotech.com/network/59906")</f>
        <v>http://funmeta.oebiotech.com/network/59906</v>
      </c>
      <c r="H3853" s="2" t="s">
        <v>25612</v>
      </c>
      <c r="I3853" s="2">
        <v>91270</v>
      </c>
      <c r="J3853" s="2"/>
      <c r="K3853" s="2"/>
      <c r="L3853" s="2"/>
      <c r="M3853" s="2"/>
      <c r="N3853" s="2"/>
      <c r="O3853" s="2">
        <v>12308753</v>
      </c>
      <c r="P3853" s="2" t="s">
        <v>25613</v>
      </c>
      <c r="Q3853" s="2" t="s">
        <v>25614</v>
      </c>
      <c r="R3853" s="2" t="s">
        <v>25615</v>
      </c>
      <c r="S3853" s="2" t="s">
        <v>79</v>
      </c>
      <c r="T3853" s="2" t="s">
        <v>80</v>
      </c>
      <c r="U3853" s="2" t="s">
        <v>2820</v>
      </c>
      <c r="V3853" s="2" t="s">
        <v>42</v>
      </c>
      <c r="W3853" s="2">
        <v>51.6</v>
      </c>
      <c r="X3853" s="2">
        <v>65.8</v>
      </c>
      <c r="Y3853" s="2" t="s">
        <v>408</v>
      </c>
      <c r="Z3853" s="2" t="s">
        <v>21425</v>
      </c>
      <c r="AA3853" s="2">
        <v>-2.08828622002616</v>
      </c>
      <c r="AB3853" s="2">
        <v>0.186600319023352</v>
      </c>
      <c r="AC3853" s="2">
        <v>1759.1418465536301</v>
      </c>
      <c r="AD3853" s="2">
        <v>4230.02158117203</v>
      </c>
      <c r="AE3853" s="2">
        <v>1630.4292256168601</v>
      </c>
      <c r="AF3853" s="2">
        <v>1169.93042171194</v>
      </c>
      <c r="AG3853" s="2">
        <v>2616.2424976001698</v>
      </c>
      <c r="AH3853" s="2">
        <v>1107.5364436218999</v>
      </c>
      <c r="AI3853" s="2">
        <v>2147.0423124724598</v>
      </c>
      <c r="AJ3853" s="2">
        <v>1883.6701782984701</v>
      </c>
      <c r="AK3853" s="2">
        <v>5061.2919515371696</v>
      </c>
      <c r="AL3853" s="2">
        <v>4685.9147919463503</v>
      </c>
      <c r="AM3853" s="2">
        <v>4025.0293117636302</v>
      </c>
      <c r="AN3853" s="2">
        <v>4029.7456739162499</v>
      </c>
      <c r="AO3853" s="2">
        <v>3697.66534420978</v>
      </c>
      <c r="AP3853" s="2">
        <v>3880.48241365901</v>
      </c>
    </row>
    <row r="3854" spans="1:42" ht="14.5" x14ac:dyDescent="0.35">
      <c r="A3854" s="2" t="s">
        <v>25616</v>
      </c>
      <c r="B3854" s="2">
        <v>579.09197318512599</v>
      </c>
      <c r="C3854" s="2">
        <v>1.6372</v>
      </c>
      <c r="D3854" s="2" t="s">
        <v>70</v>
      </c>
      <c r="E3854" s="2" t="s">
        <v>25617</v>
      </c>
      <c r="F3854" s="2">
        <v>212079</v>
      </c>
      <c r="G3854" s="3" t="str">
        <f>HYPERLINK("http://funmeta.oebiotech.com/network/212079", "http://funmeta.oebiotech.com/network/212079")</f>
        <v>http://funmeta.oebiotech.com/network/212079</v>
      </c>
      <c r="H3854" s="2" t="s">
        <v>25618</v>
      </c>
      <c r="I3854" s="2"/>
      <c r="J3854" s="2"/>
      <c r="K3854" s="2"/>
      <c r="L3854" s="2"/>
      <c r="M3854" s="2"/>
      <c r="N3854" s="2"/>
      <c r="O3854" s="2">
        <v>12856218</v>
      </c>
      <c r="P3854" s="2"/>
      <c r="Q3854" s="2" t="s">
        <v>25619</v>
      </c>
      <c r="R3854" s="2" t="s">
        <v>25620</v>
      </c>
      <c r="S3854" s="2" t="s">
        <v>41</v>
      </c>
      <c r="T3854" s="2" t="s">
        <v>41</v>
      </c>
      <c r="U3854" s="2" t="s">
        <v>41</v>
      </c>
      <c r="V3854" s="2" t="s">
        <v>59</v>
      </c>
      <c r="W3854" s="2">
        <v>37.200000000000003</v>
      </c>
      <c r="X3854" s="2">
        <v>0</v>
      </c>
      <c r="Y3854" s="2" t="s">
        <v>560</v>
      </c>
      <c r="Z3854" s="2" t="s">
        <v>25621</v>
      </c>
      <c r="AA3854" s="2">
        <v>0.79260424894287895</v>
      </c>
      <c r="AB3854" s="2">
        <v>0.186421217775283</v>
      </c>
      <c r="AC3854" s="2">
        <v>11483.706707965201</v>
      </c>
      <c r="AD3854" s="2">
        <v>8754.2870180119808</v>
      </c>
      <c r="AE3854" s="2">
        <v>11482.9860506765</v>
      </c>
      <c r="AF3854" s="2">
        <v>11529.2681642346</v>
      </c>
      <c r="AG3854" s="2">
        <v>11151.2008772064</v>
      </c>
      <c r="AH3854" s="2">
        <v>10164.157120014699</v>
      </c>
      <c r="AI3854" s="2">
        <v>12209.6483399564</v>
      </c>
      <c r="AJ3854" s="2">
        <v>12364.979695702399</v>
      </c>
      <c r="AK3854" s="2">
        <v>8272.03470784823</v>
      </c>
      <c r="AL3854" s="2">
        <v>8588.8966293044396</v>
      </c>
      <c r="AM3854" s="2">
        <v>7457.1475716560099</v>
      </c>
      <c r="AN3854" s="2">
        <v>10675.2681820778</v>
      </c>
      <c r="AO3854" s="2">
        <v>8253.4322273650996</v>
      </c>
      <c r="AP3854" s="2">
        <v>9278.9427898202994</v>
      </c>
    </row>
    <row r="3855" spans="1:42" ht="14.5" x14ac:dyDescent="0.35">
      <c r="A3855" s="2" t="s">
        <v>25622</v>
      </c>
      <c r="B3855" s="2">
        <v>121.025594270551</v>
      </c>
      <c r="C3855" s="2">
        <v>6.1053333333333297</v>
      </c>
      <c r="D3855" s="2" t="s">
        <v>70</v>
      </c>
      <c r="E3855" s="2" t="s">
        <v>25623</v>
      </c>
      <c r="F3855" s="2">
        <v>209611</v>
      </c>
      <c r="G3855" s="3" t="str">
        <f>HYPERLINK("http://funmeta.oebiotech.com/network/209611", "http://funmeta.oebiotech.com/network/209611")</f>
        <v>http://funmeta.oebiotech.com/network/209611</v>
      </c>
      <c r="H3855" s="2" t="s">
        <v>25624</v>
      </c>
      <c r="I3855" s="2">
        <v>72993</v>
      </c>
      <c r="J3855" s="2"/>
      <c r="K3855" s="2">
        <v>77701</v>
      </c>
      <c r="L3855" s="2" t="s">
        <v>25625</v>
      </c>
      <c r="M3855" s="2"/>
      <c r="N3855" s="2"/>
      <c r="O3855" s="2">
        <v>6375</v>
      </c>
      <c r="P3855" s="2" t="s">
        <v>25626</v>
      </c>
      <c r="Q3855" s="2" t="s">
        <v>25627</v>
      </c>
      <c r="R3855" s="2" t="s">
        <v>25628</v>
      </c>
      <c r="S3855" s="2" t="s">
        <v>25629</v>
      </c>
      <c r="T3855" s="2" t="s">
        <v>25630</v>
      </c>
      <c r="U3855" s="2" t="s">
        <v>25631</v>
      </c>
      <c r="V3855" s="2" t="s">
        <v>59</v>
      </c>
      <c r="W3855" s="2">
        <v>36.5</v>
      </c>
      <c r="X3855" s="2">
        <v>5.62</v>
      </c>
      <c r="Y3855" s="2" t="s">
        <v>560</v>
      </c>
      <c r="Z3855" s="2" t="s">
        <v>25632</v>
      </c>
      <c r="AA3855" s="2">
        <v>0.93435807273291904</v>
      </c>
      <c r="AB3855" s="2">
        <v>0.186401125050835</v>
      </c>
      <c r="AC3855" s="2">
        <v>7211.1234414588798</v>
      </c>
      <c r="AD3855" s="2">
        <v>4920.86426611761</v>
      </c>
      <c r="AE3855" s="2">
        <v>7301.0093073012704</v>
      </c>
      <c r="AF3855" s="2">
        <v>7252.5178720066397</v>
      </c>
      <c r="AG3855" s="2">
        <v>7209.5868191213403</v>
      </c>
      <c r="AH3855" s="2">
        <v>7077.7137051871296</v>
      </c>
      <c r="AI3855" s="2">
        <v>7130.4906779798603</v>
      </c>
      <c r="AJ3855" s="2">
        <v>7295.4222671570597</v>
      </c>
      <c r="AK3855" s="2">
        <v>4738.5407032884204</v>
      </c>
      <c r="AL3855" s="2">
        <v>4949.7504634023098</v>
      </c>
      <c r="AM3855" s="2">
        <v>5100.2487743900101</v>
      </c>
      <c r="AN3855" s="2">
        <v>5037.7986158232297</v>
      </c>
      <c r="AO3855" s="2">
        <v>4931.2732932118797</v>
      </c>
      <c r="AP3855" s="2">
        <v>4767.5737465898001</v>
      </c>
    </row>
    <row r="3856" spans="1:42" ht="14.5" x14ac:dyDescent="0.35">
      <c r="A3856" s="2" t="s">
        <v>25633</v>
      </c>
      <c r="B3856" s="2">
        <v>179.07034698067801</v>
      </c>
      <c r="C3856" s="2">
        <v>1.06171666666667</v>
      </c>
      <c r="D3856" s="2" t="s">
        <v>34</v>
      </c>
      <c r="E3856" s="2" t="s">
        <v>25634</v>
      </c>
      <c r="F3856" s="2">
        <v>47032</v>
      </c>
      <c r="G3856" s="3" t="str">
        <f>HYPERLINK("http://funmeta.oebiotech.com/network/47032", "http://funmeta.oebiotech.com/network/47032")</f>
        <v>http://funmeta.oebiotech.com/network/47032</v>
      </c>
      <c r="H3856" s="2" t="s">
        <v>25635</v>
      </c>
      <c r="I3856" s="2">
        <v>24093</v>
      </c>
      <c r="J3856" s="2"/>
      <c r="K3856" s="2">
        <v>86655</v>
      </c>
      <c r="L3856" s="2"/>
      <c r="M3856" s="2"/>
      <c r="N3856" s="2"/>
      <c r="O3856" s="2">
        <v>7139</v>
      </c>
      <c r="P3856" s="2" t="s">
        <v>25636</v>
      </c>
      <c r="Q3856" s="2" t="s">
        <v>25637</v>
      </c>
      <c r="R3856" s="2" t="s">
        <v>25638</v>
      </c>
      <c r="S3856" s="2" t="s">
        <v>148</v>
      </c>
      <c r="T3856" s="2" t="s">
        <v>149</v>
      </c>
      <c r="U3856" s="2" t="s">
        <v>4297</v>
      </c>
      <c r="V3856" s="2" t="s">
        <v>59</v>
      </c>
      <c r="W3856" s="2">
        <v>39.700000000000003</v>
      </c>
      <c r="X3856" s="2">
        <v>0</v>
      </c>
      <c r="Y3856" s="2" t="s">
        <v>25428</v>
      </c>
      <c r="Z3856" s="2" t="s">
        <v>25639</v>
      </c>
      <c r="AA3856" s="2">
        <v>0.38948442745824402</v>
      </c>
      <c r="AB3856" s="2">
        <v>0.18634392013701601</v>
      </c>
      <c r="AC3856" s="2">
        <v>15528.1371934984</v>
      </c>
      <c r="AD3856" s="2">
        <v>13043.1390360194</v>
      </c>
      <c r="AE3856" s="2">
        <v>15323.107006271101</v>
      </c>
      <c r="AF3856" s="2">
        <v>14739.653994475801</v>
      </c>
      <c r="AG3856" s="2">
        <v>16303.168946453799</v>
      </c>
      <c r="AH3856" s="2">
        <v>15346.959666958401</v>
      </c>
      <c r="AI3856" s="2">
        <v>15527.1487050326</v>
      </c>
      <c r="AJ3856" s="2">
        <v>15928.784841798501</v>
      </c>
      <c r="AK3856" s="2">
        <v>11889.4444616905</v>
      </c>
      <c r="AL3856" s="2">
        <v>12875.3246138458</v>
      </c>
      <c r="AM3856" s="2">
        <v>13508.325582175101</v>
      </c>
      <c r="AN3856" s="2">
        <v>13538.2817032933</v>
      </c>
      <c r="AO3856" s="2">
        <v>13378.620169702501</v>
      </c>
      <c r="AP3856" s="2">
        <v>13068.8376854092</v>
      </c>
    </row>
    <row r="3857" spans="1:42" ht="14.5" x14ac:dyDescent="0.35">
      <c r="A3857" s="2" t="s">
        <v>25640</v>
      </c>
      <c r="B3857" s="2">
        <v>417.22821699026298</v>
      </c>
      <c r="C3857" s="2">
        <v>9.8749333333333293</v>
      </c>
      <c r="D3857" s="2" t="s">
        <v>70</v>
      </c>
      <c r="E3857" s="5" t="s">
        <v>25641</v>
      </c>
      <c r="F3857" s="2">
        <v>256775</v>
      </c>
      <c r="G3857" s="3" t="str">
        <f>HYPERLINK("http://funmeta.oebiotech.com/network/256775", "http://funmeta.oebiotech.com/network/256775")</f>
        <v>http://funmeta.oebiotech.com/network/256775</v>
      </c>
      <c r="H3857" s="2" t="s">
        <v>25642</v>
      </c>
      <c r="I3857" s="2"/>
      <c r="J3857" s="2"/>
      <c r="K3857" s="2"/>
      <c r="L3857" s="2"/>
      <c r="M3857" s="2"/>
      <c r="N3857" s="2"/>
      <c r="O3857" s="2"/>
      <c r="P3857" s="2"/>
      <c r="Q3857" s="2" t="s">
        <v>25643</v>
      </c>
      <c r="R3857" s="2" t="s">
        <v>25644</v>
      </c>
      <c r="S3857" s="2" t="s">
        <v>50</v>
      </c>
      <c r="T3857" s="2" t="s">
        <v>229</v>
      </c>
      <c r="U3857" s="2" t="s">
        <v>1360</v>
      </c>
      <c r="V3857" s="2" t="s">
        <v>59</v>
      </c>
      <c r="W3857" s="2">
        <v>38.6</v>
      </c>
      <c r="X3857" s="2">
        <v>0</v>
      </c>
      <c r="Y3857" s="2" t="s">
        <v>560</v>
      </c>
      <c r="Z3857" s="2" t="s">
        <v>25645</v>
      </c>
      <c r="AA3857" s="2">
        <v>-0.108516548580036</v>
      </c>
      <c r="AB3857" s="2">
        <v>0.18632934545218099</v>
      </c>
      <c r="AC3857" s="2">
        <v>124.737183895003</v>
      </c>
      <c r="AD3857" s="2">
        <v>2421.02149512594</v>
      </c>
      <c r="AE3857" s="2">
        <v>336.91275159888102</v>
      </c>
      <c r="AF3857" s="2">
        <v>169.500525452273</v>
      </c>
      <c r="AG3857" s="2">
        <v>85.055770284128499</v>
      </c>
      <c r="AH3857" s="2">
        <v>75.582409571902403</v>
      </c>
      <c r="AI3857" s="2">
        <v>2.7106294003980101E-5</v>
      </c>
      <c r="AJ3857" s="2">
        <v>81.371619356538005</v>
      </c>
      <c r="AK3857" s="2">
        <v>2662.4005970355201</v>
      </c>
      <c r="AL3857" s="2">
        <v>2199.53128342333</v>
      </c>
      <c r="AM3857" s="2">
        <v>2463.3647781243399</v>
      </c>
      <c r="AN3857" s="2">
        <v>2363.0955910573298</v>
      </c>
      <c r="AO3857" s="2">
        <v>2583.5109671733198</v>
      </c>
      <c r="AP3857" s="2">
        <v>2254.2257539418101</v>
      </c>
    </row>
    <row r="3858" spans="1:42" ht="14.5" x14ac:dyDescent="0.35">
      <c r="A3858" s="2" t="s">
        <v>25646</v>
      </c>
      <c r="B3858" s="2">
        <v>303.23156366109299</v>
      </c>
      <c r="C3858" s="2">
        <v>10.60355</v>
      </c>
      <c r="D3858" s="2" t="s">
        <v>34</v>
      </c>
      <c r="E3858" s="2" t="s">
        <v>25647</v>
      </c>
      <c r="F3858" s="2">
        <v>4113</v>
      </c>
      <c r="G3858" s="3" t="str">
        <f>HYPERLINK("http://funmeta.oebiotech.com/network/4113", "http://funmeta.oebiotech.com/network/4113")</f>
        <v>http://funmeta.oebiotech.com/network/4113</v>
      </c>
      <c r="H3858" s="2" t="s">
        <v>25648</v>
      </c>
      <c r="I3858" s="2">
        <v>75049</v>
      </c>
      <c r="J3858" s="2" t="s">
        <v>25649</v>
      </c>
      <c r="K3858" s="2">
        <v>132276</v>
      </c>
      <c r="L3858" s="2"/>
      <c r="M3858" s="2"/>
      <c r="N3858" s="2"/>
      <c r="O3858" s="2">
        <v>40490664</v>
      </c>
      <c r="P3858" s="2" t="s">
        <v>25650</v>
      </c>
      <c r="Q3858" s="2" t="s">
        <v>25651</v>
      </c>
      <c r="R3858" s="2" t="s">
        <v>25652</v>
      </c>
      <c r="S3858" s="2" t="s">
        <v>50</v>
      </c>
      <c r="T3858" s="2" t="s">
        <v>229</v>
      </c>
      <c r="U3858" s="2" t="s">
        <v>766</v>
      </c>
      <c r="V3858" s="2" t="s">
        <v>59</v>
      </c>
      <c r="W3858" s="2">
        <v>38.799999999999997</v>
      </c>
      <c r="X3858" s="2">
        <v>0</v>
      </c>
      <c r="Y3858" s="2" t="s">
        <v>141</v>
      </c>
      <c r="Z3858" s="2" t="s">
        <v>5184</v>
      </c>
      <c r="AA3858" s="2">
        <v>-0.91487093721209301</v>
      </c>
      <c r="AB3858" s="2">
        <v>0.18622965059336899</v>
      </c>
      <c r="AC3858" s="2">
        <v>3810.7071786352899</v>
      </c>
      <c r="AD3858" s="2">
        <v>1496.66665158555</v>
      </c>
      <c r="AE3858" s="2">
        <v>3938.7747390490799</v>
      </c>
      <c r="AF3858" s="2">
        <v>4207.2640197682804</v>
      </c>
      <c r="AG3858" s="2">
        <v>3577.59941912259</v>
      </c>
      <c r="AH3858" s="2">
        <v>3466.27068694231</v>
      </c>
      <c r="AI3858" s="2">
        <v>3869.2089721810898</v>
      </c>
      <c r="AJ3858" s="2">
        <v>3805.1252347484201</v>
      </c>
      <c r="AK3858" s="2">
        <v>1422.0179775129</v>
      </c>
      <c r="AL3858" s="2">
        <v>1576.52590483106</v>
      </c>
      <c r="AM3858" s="2">
        <v>1199.87835021204</v>
      </c>
      <c r="AN3858" s="2">
        <v>1791.2896465635999</v>
      </c>
      <c r="AO3858" s="2">
        <v>1549.49322033722</v>
      </c>
      <c r="AP3858" s="2">
        <v>1440.79481005651</v>
      </c>
    </row>
    <row r="3859" spans="1:42" ht="14.5" x14ac:dyDescent="0.35">
      <c r="A3859" s="2" t="s">
        <v>25653</v>
      </c>
      <c r="B3859" s="2">
        <v>405.11884737637502</v>
      </c>
      <c r="C3859" s="2">
        <v>5.00538333333333</v>
      </c>
      <c r="D3859" s="2" t="s">
        <v>70</v>
      </c>
      <c r="E3859" s="5" t="s">
        <v>25654</v>
      </c>
      <c r="F3859" s="2">
        <v>58970</v>
      </c>
      <c r="G3859" s="3" t="str">
        <f>HYPERLINK("http://funmeta.oebiotech.com/network/58970", "http://funmeta.oebiotech.com/network/58970")</f>
        <v>http://funmeta.oebiotech.com/network/58970</v>
      </c>
      <c r="H3859" s="2" t="s">
        <v>25655</v>
      </c>
      <c r="I3859" s="2">
        <v>90406</v>
      </c>
      <c r="J3859" s="2"/>
      <c r="K3859" s="2"/>
      <c r="L3859" s="2"/>
      <c r="M3859" s="2"/>
      <c r="N3859" s="2"/>
      <c r="O3859" s="2">
        <v>101603125</v>
      </c>
      <c r="P3859" s="2" t="s">
        <v>25656</v>
      </c>
      <c r="Q3859" s="2" t="s">
        <v>25657</v>
      </c>
      <c r="R3859" s="2" t="s">
        <v>25658</v>
      </c>
      <c r="S3859" s="2" t="s">
        <v>50</v>
      </c>
      <c r="T3859" s="2" t="s">
        <v>201</v>
      </c>
      <c r="U3859" s="2" t="s">
        <v>241</v>
      </c>
      <c r="V3859" s="2" t="s">
        <v>59</v>
      </c>
      <c r="W3859" s="2">
        <v>38.9</v>
      </c>
      <c r="X3859" s="2">
        <v>0</v>
      </c>
      <c r="Y3859" s="2" t="s">
        <v>408</v>
      </c>
      <c r="Z3859" s="2" t="s">
        <v>25659</v>
      </c>
      <c r="AA3859" s="2">
        <v>-0.71773657860988604</v>
      </c>
      <c r="AB3859" s="2">
        <v>0.18619023296846701</v>
      </c>
      <c r="AC3859" s="2">
        <v>14308.3546303932</v>
      </c>
      <c r="AD3859" s="2">
        <v>17304.328546996599</v>
      </c>
      <c r="AE3859" s="2">
        <v>14429.212666380599</v>
      </c>
      <c r="AF3859" s="2">
        <v>14999.353204114301</v>
      </c>
      <c r="AG3859" s="2">
        <v>15698.3283593989</v>
      </c>
      <c r="AH3859" s="2">
        <v>13070.5663485478</v>
      </c>
      <c r="AI3859" s="2">
        <v>14333.0964026561</v>
      </c>
      <c r="AJ3859" s="2">
        <v>13319.5708012615</v>
      </c>
      <c r="AK3859" s="2">
        <v>15361.7267472116</v>
      </c>
      <c r="AL3859" s="2">
        <v>19785.753332157699</v>
      </c>
      <c r="AM3859" s="2">
        <v>16998.751615343899</v>
      </c>
      <c r="AN3859" s="2">
        <v>18932.598657404</v>
      </c>
      <c r="AO3859" s="2">
        <v>16123.3561924441</v>
      </c>
      <c r="AP3859" s="2">
        <v>16623.784737418198</v>
      </c>
    </row>
    <row r="3860" spans="1:42" ht="14.5" x14ac:dyDescent="0.35">
      <c r="A3860" s="2" t="s">
        <v>25660</v>
      </c>
      <c r="B3860" s="2">
        <v>118.086102702134</v>
      </c>
      <c r="C3860" s="2">
        <v>0.76544999999999996</v>
      </c>
      <c r="D3860" s="2" t="s">
        <v>34</v>
      </c>
      <c r="E3860" s="2" t="s">
        <v>25661</v>
      </c>
      <c r="F3860" s="2">
        <v>517</v>
      </c>
      <c r="G3860" s="3" t="str">
        <f>HYPERLINK("http://funmeta.oebiotech.com/network/517", "http://funmeta.oebiotech.com/network/517")</f>
        <v>http://funmeta.oebiotech.com/network/517</v>
      </c>
      <c r="H3860" s="2" t="s">
        <v>25662</v>
      </c>
      <c r="I3860" s="2">
        <v>34698</v>
      </c>
      <c r="J3860" s="2" t="s">
        <v>25663</v>
      </c>
      <c r="K3860" s="2">
        <v>35936</v>
      </c>
      <c r="L3860" s="2"/>
      <c r="M3860" s="2"/>
      <c r="N3860" s="2"/>
      <c r="O3860" s="2">
        <v>61138</v>
      </c>
      <c r="P3860" s="2" t="s">
        <v>25664</v>
      </c>
      <c r="Q3860" s="2" t="s">
        <v>25665</v>
      </c>
      <c r="R3860" s="2" t="s">
        <v>25666</v>
      </c>
      <c r="S3860" s="2" t="s">
        <v>50</v>
      </c>
      <c r="T3860" s="2" t="s">
        <v>229</v>
      </c>
      <c r="U3860" s="2" t="s">
        <v>433</v>
      </c>
      <c r="V3860" s="2" t="s">
        <v>59</v>
      </c>
      <c r="W3860" s="2">
        <v>47.1</v>
      </c>
      <c r="X3860" s="2">
        <v>39.1</v>
      </c>
      <c r="Y3860" s="2" t="s">
        <v>440</v>
      </c>
      <c r="Z3860" s="2" t="s">
        <v>25667</v>
      </c>
      <c r="AA3860" s="2">
        <v>-1.5224372500322401</v>
      </c>
      <c r="AB3860" s="2">
        <v>0.186082012333872</v>
      </c>
      <c r="AC3860" s="2">
        <v>84361.3420571389</v>
      </c>
      <c r="AD3860" s="2">
        <v>88153.827589266395</v>
      </c>
      <c r="AE3860" s="2">
        <v>88201.934831009799</v>
      </c>
      <c r="AF3860" s="2">
        <v>83182.849837084694</v>
      </c>
      <c r="AG3860" s="2">
        <v>85567.432835760002</v>
      </c>
      <c r="AH3860" s="2">
        <v>83164.303038266604</v>
      </c>
      <c r="AI3860" s="2">
        <v>82332.263084288206</v>
      </c>
      <c r="AJ3860" s="2">
        <v>83719.268716424194</v>
      </c>
      <c r="AK3860" s="2">
        <v>83437.312415498003</v>
      </c>
      <c r="AL3860" s="2">
        <v>90205.671664610898</v>
      </c>
      <c r="AM3860" s="2">
        <v>91886.533844132602</v>
      </c>
      <c r="AN3860" s="2">
        <v>90527.371371855101</v>
      </c>
      <c r="AO3860" s="2">
        <v>85950.570160100106</v>
      </c>
      <c r="AP3860" s="2">
        <v>86915.506079401399</v>
      </c>
    </row>
    <row r="3861" spans="1:42" ht="14.5" x14ac:dyDescent="0.35">
      <c r="A3861" s="2" t="s">
        <v>25668</v>
      </c>
      <c r="B3861" s="2">
        <v>560.45172929083299</v>
      </c>
      <c r="C3861" s="2">
        <v>14.18965</v>
      </c>
      <c r="D3861" s="2" t="s">
        <v>34</v>
      </c>
      <c r="E3861" s="2" t="s">
        <v>25669</v>
      </c>
      <c r="F3861" s="2">
        <v>247612</v>
      </c>
      <c r="G3861" s="3" t="str">
        <f>HYPERLINK("http://funmeta.oebiotech.com/network/247612", "http://funmeta.oebiotech.com/network/247612")</f>
        <v>http://funmeta.oebiotech.com/network/247612</v>
      </c>
      <c r="H3861" s="2" t="s">
        <v>25670</v>
      </c>
      <c r="I3861" s="2"/>
      <c r="J3861" s="2"/>
      <c r="K3861" s="2"/>
      <c r="L3861" s="2"/>
      <c r="M3861" s="2"/>
      <c r="N3861" s="2"/>
      <c r="O3861" s="2"/>
      <c r="P3861" s="2"/>
      <c r="Q3861" s="2" t="s">
        <v>25671</v>
      </c>
      <c r="R3861" s="2" t="s">
        <v>25672</v>
      </c>
      <c r="S3861" s="2" t="s">
        <v>41</v>
      </c>
      <c r="T3861" s="2" t="s">
        <v>41</v>
      </c>
      <c r="U3861" s="2" t="s">
        <v>41</v>
      </c>
      <c r="V3861" s="2" t="s">
        <v>59</v>
      </c>
      <c r="W3861" s="2">
        <v>39.1</v>
      </c>
      <c r="X3861" s="2">
        <v>0</v>
      </c>
      <c r="Y3861" s="2" t="s">
        <v>470</v>
      </c>
      <c r="Z3861" s="2" t="s">
        <v>25673</v>
      </c>
      <c r="AA3861" s="2">
        <v>-0.64606259966869695</v>
      </c>
      <c r="AB3861" s="2">
        <v>0.185979005416509</v>
      </c>
      <c r="AC3861" s="2">
        <v>13666.7046004854</v>
      </c>
      <c r="AD3861" s="2">
        <v>10723.805332035299</v>
      </c>
      <c r="AE3861" s="2">
        <v>12660.326294244</v>
      </c>
      <c r="AF3861" s="2">
        <v>11457.318117423099</v>
      </c>
      <c r="AG3861" s="2">
        <v>14218.893404206399</v>
      </c>
      <c r="AH3861" s="2">
        <v>13584.0560775135</v>
      </c>
      <c r="AI3861" s="2">
        <v>15214.8960069766</v>
      </c>
      <c r="AJ3861" s="2">
        <v>14864.7377025488</v>
      </c>
      <c r="AK3861" s="2">
        <v>11600.630473380301</v>
      </c>
      <c r="AL3861" s="2">
        <v>9357.8787343460208</v>
      </c>
      <c r="AM3861" s="2">
        <v>11169.5696492107</v>
      </c>
      <c r="AN3861" s="2">
        <v>9128.7159710415599</v>
      </c>
      <c r="AO3861" s="2">
        <v>11211.2246014056</v>
      </c>
      <c r="AP3861" s="2">
        <v>11874.812562827499</v>
      </c>
    </row>
    <row r="3862" spans="1:42" ht="14.5" x14ac:dyDescent="0.35">
      <c r="A3862" s="2" t="s">
        <v>25674</v>
      </c>
      <c r="B3862" s="2">
        <v>138.06608570945301</v>
      </c>
      <c r="C3862" s="2">
        <v>11.727933333333301</v>
      </c>
      <c r="D3862" s="2" t="s">
        <v>34</v>
      </c>
      <c r="E3862" s="2" t="s">
        <v>25675</v>
      </c>
      <c r="F3862" s="2">
        <v>204044</v>
      </c>
      <c r="G3862" s="3" t="str">
        <f>HYPERLINK("http://funmeta.oebiotech.com/network/204044", "http://funmeta.oebiotech.com/network/204044")</f>
        <v>http://funmeta.oebiotech.com/network/204044</v>
      </c>
      <c r="H3862" s="2" t="s">
        <v>25676</v>
      </c>
      <c r="I3862" s="2"/>
      <c r="J3862" s="2"/>
      <c r="K3862" s="2"/>
      <c r="L3862" s="2"/>
      <c r="M3862" s="2"/>
      <c r="N3862" s="2"/>
      <c r="O3862" s="2"/>
      <c r="P3862" s="2"/>
      <c r="Q3862" s="2" t="s">
        <v>25677</v>
      </c>
      <c r="R3862" s="2" t="s">
        <v>25678</v>
      </c>
      <c r="S3862" s="2" t="s">
        <v>491</v>
      </c>
      <c r="T3862" s="2" t="s">
        <v>25679</v>
      </c>
      <c r="U3862" s="2" t="s">
        <v>41</v>
      </c>
      <c r="V3862" s="2" t="s">
        <v>59</v>
      </c>
      <c r="W3862" s="2">
        <v>38.4</v>
      </c>
      <c r="X3862" s="2">
        <v>0</v>
      </c>
      <c r="Y3862" s="2" t="s">
        <v>43</v>
      </c>
      <c r="Z3862" s="2" t="s">
        <v>25680</v>
      </c>
      <c r="AA3862" s="2">
        <v>-0.85458608750973797</v>
      </c>
      <c r="AB3862" s="2">
        <v>0.185957594117965</v>
      </c>
      <c r="AC3862" s="2">
        <v>11888.594418533999</v>
      </c>
      <c r="AD3862" s="2">
        <v>9449.0137221812292</v>
      </c>
      <c r="AE3862" s="2">
        <v>12045.6009834667</v>
      </c>
      <c r="AF3862" s="2">
        <v>12467.3893281776</v>
      </c>
      <c r="AG3862" s="2">
        <v>12297.6952195063</v>
      </c>
      <c r="AH3862" s="2">
        <v>11573.3635823163</v>
      </c>
      <c r="AI3862" s="2">
        <v>11472.889808587201</v>
      </c>
      <c r="AJ3862" s="2">
        <v>11474.627589149601</v>
      </c>
      <c r="AK3862" s="2">
        <v>10204.081082192701</v>
      </c>
      <c r="AL3862" s="2">
        <v>9414.2730469128801</v>
      </c>
      <c r="AM3862" s="2">
        <v>8448.1994039146102</v>
      </c>
      <c r="AN3862" s="2">
        <v>10043.077320299601</v>
      </c>
      <c r="AO3862" s="2">
        <v>9352.2431002109097</v>
      </c>
      <c r="AP3862" s="2">
        <v>9232.2083795566796</v>
      </c>
    </row>
    <row r="3863" spans="1:42" ht="14.5" x14ac:dyDescent="0.35">
      <c r="A3863" s="2" t="s">
        <v>25681</v>
      </c>
      <c r="B3863" s="2">
        <v>511.12175665759497</v>
      </c>
      <c r="C3863" s="2">
        <v>3.5208166666666698</v>
      </c>
      <c r="D3863" s="2" t="s">
        <v>70</v>
      </c>
      <c r="E3863" s="2" t="s">
        <v>25682</v>
      </c>
      <c r="F3863" s="2">
        <v>293609</v>
      </c>
      <c r="G3863" s="3" t="str">
        <f>HYPERLINK("http://funmeta.oebiotech.com/network/293609", "http://funmeta.oebiotech.com/network/293609")</f>
        <v>http://funmeta.oebiotech.com/network/293609</v>
      </c>
      <c r="H3863" s="2"/>
      <c r="I3863" s="2">
        <v>317558</v>
      </c>
      <c r="J3863" s="2"/>
      <c r="K3863" s="2"/>
      <c r="L3863" s="2"/>
      <c r="M3863" s="2"/>
      <c r="N3863" s="2"/>
      <c r="O3863" s="2">
        <v>9869142</v>
      </c>
      <c r="P3863" s="2"/>
      <c r="Q3863" s="2" t="s">
        <v>25683</v>
      </c>
      <c r="R3863" s="2" t="s">
        <v>25684</v>
      </c>
      <c r="S3863" s="2" t="s">
        <v>148</v>
      </c>
      <c r="T3863" s="2" t="s">
        <v>149</v>
      </c>
      <c r="U3863" s="2" t="s">
        <v>5024</v>
      </c>
      <c r="V3863" s="2" t="s">
        <v>59</v>
      </c>
      <c r="W3863" s="2">
        <v>36.1</v>
      </c>
      <c r="X3863" s="2">
        <v>0</v>
      </c>
      <c r="Y3863" s="2" t="s">
        <v>408</v>
      </c>
      <c r="Z3863" s="2" t="s">
        <v>25685</v>
      </c>
      <c r="AA3863" s="2">
        <v>5.4781558075800003</v>
      </c>
      <c r="AB3863" s="2">
        <v>0.185945662327656</v>
      </c>
      <c r="AC3863" s="2">
        <v>7741.5595749021304</v>
      </c>
      <c r="AD3863" s="2">
        <v>5370.6089046176603</v>
      </c>
      <c r="AE3863" s="2">
        <v>7497.6148078526103</v>
      </c>
      <c r="AF3863" s="2">
        <v>8658.3169791543005</v>
      </c>
      <c r="AG3863" s="2">
        <v>7438.1608195433901</v>
      </c>
      <c r="AH3863" s="2">
        <v>7469.4300577008298</v>
      </c>
      <c r="AI3863" s="2">
        <v>7463.6662256057398</v>
      </c>
      <c r="AJ3863" s="2">
        <v>7922.1685595559402</v>
      </c>
      <c r="AK3863" s="2">
        <v>5541.7160074166304</v>
      </c>
      <c r="AL3863" s="2">
        <v>5565.7441667825096</v>
      </c>
      <c r="AM3863" s="2">
        <v>5498.9469428216698</v>
      </c>
      <c r="AN3863" s="2">
        <v>4767.7875373622401</v>
      </c>
      <c r="AO3863" s="2">
        <v>5245.9072178298802</v>
      </c>
      <c r="AP3863" s="2">
        <v>5603.5515554930198</v>
      </c>
    </row>
    <row r="3864" spans="1:42" ht="14.5" x14ac:dyDescent="0.35">
      <c r="A3864" s="2" t="s">
        <v>25686</v>
      </c>
      <c r="B3864" s="2">
        <v>825.34037063329095</v>
      </c>
      <c r="C3864" s="2">
        <v>4.8488333333333298</v>
      </c>
      <c r="D3864" s="2" t="s">
        <v>34</v>
      </c>
      <c r="E3864" s="2" t="s">
        <v>25687</v>
      </c>
      <c r="F3864" s="2">
        <v>203126</v>
      </c>
      <c r="G3864" s="3" t="str">
        <f>HYPERLINK("http://funmeta.oebiotech.com/network/203126", "http://funmeta.oebiotech.com/network/203126")</f>
        <v>http://funmeta.oebiotech.com/network/203126</v>
      </c>
      <c r="H3864" s="2" t="s">
        <v>25688</v>
      </c>
      <c r="I3864" s="2"/>
      <c r="J3864" s="2"/>
      <c r="K3864" s="2"/>
      <c r="L3864" s="2"/>
      <c r="M3864" s="2"/>
      <c r="N3864" s="2"/>
      <c r="O3864" s="2">
        <v>382513</v>
      </c>
      <c r="P3864" s="2"/>
      <c r="Q3864" s="2" t="s">
        <v>25689</v>
      </c>
      <c r="R3864" s="2" t="s">
        <v>25690</v>
      </c>
      <c r="S3864" s="2" t="s">
        <v>115</v>
      </c>
      <c r="T3864" s="2" t="s">
        <v>2840</v>
      </c>
      <c r="U3864" s="2" t="s">
        <v>41</v>
      </c>
      <c r="V3864" s="2" t="s">
        <v>59</v>
      </c>
      <c r="W3864" s="2">
        <v>36.6</v>
      </c>
      <c r="X3864" s="2">
        <v>0</v>
      </c>
      <c r="Y3864" s="2" t="s">
        <v>394</v>
      </c>
      <c r="Z3864" s="2" t="s">
        <v>25691</v>
      </c>
      <c r="AA3864" s="2">
        <v>-4.4578496159924699</v>
      </c>
      <c r="AB3864" s="2">
        <v>0.18593138456317501</v>
      </c>
      <c r="AC3864" s="2">
        <v>8700.7289490083294</v>
      </c>
      <c r="AD3864" s="2">
        <v>5199.3751916362098</v>
      </c>
      <c r="AE3864" s="2">
        <v>9998.5919498866497</v>
      </c>
      <c r="AF3864" s="2">
        <v>9861.1081547368703</v>
      </c>
      <c r="AG3864" s="2">
        <v>5234.8078703983201</v>
      </c>
      <c r="AH3864" s="2">
        <v>11486.387803780201</v>
      </c>
      <c r="AI3864" s="2">
        <v>8530.8373698916803</v>
      </c>
      <c r="AJ3864" s="2">
        <v>7092.6405453562302</v>
      </c>
      <c r="AK3864" s="2">
        <v>6693.4910645699201</v>
      </c>
      <c r="AL3864" s="2">
        <v>2982.9286074090301</v>
      </c>
      <c r="AM3864" s="2">
        <v>2887.5082685511902</v>
      </c>
      <c r="AN3864" s="2">
        <v>3657.2065152954501</v>
      </c>
      <c r="AO3864" s="2">
        <v>7615.1017524191302</v>
      </c>
      <c r="AP3864" s="2">
        <v>7360.01494157256</v>
      </c>
    </row>
    <row r="3865" spans="1:42" ht="14.5" x14ac:dyDescent="0.35">
      <c r="A3865" s="2" t="s">
        <v>25692</v>
      </c>
      <c r="B3865" s="2">
        <v>196.01670400150601</v>
      </c>
      <c r="C3865" s="2">
        <v>8.8588333333333296</v>
      </c>
      <c r="D3865" s="2" t="s">
        <v>34</v>
      </c>
      <c r="E3865" s="2" t="s">
        <v>25693</v>
      </c>
      <c r="F3865" s="2">
        <v>202420</v>
      </c>
      <c r="G3865" s="3" t="str">
        <f>HYPERLINK("http://funmeta.oebiotech.com/network/202420", "http://funmeta.oebiotech.com/network/202420")</f>
        <v>http://funmeta.oebiotech.com/network/202420</v>
      </c>
      <c r="H3865" s="2" t="s">
        <v>25694</v>
      </c>
      <c r="I3865" s="2"/>
      <c r="J3865" s="2"/>
      <c r="K3865" s="2"/>
      <c r="L3865" s="2"/>
      <c r="M3865" s="2"/>
      <c r="N3865" s="2"/>
      <c r="O3865" s="2"/>
      <c r="P3865" s="2"/>
      <c r="Q3865" s="2" t="s">
        <v>25695</v>
      </c>
      <c r="R3865" s="2" t="s">
        <v>25696</v>
      </c>
      <c r="S3865" s="2" t="s">
        <v>491</v>
      </c>
      <c r="T3865" s="2" t="s">
        <v>20731</v>
      </c>
      <c r="U3865" s="2" t="s">
        <v>41</v>
      </c>
      <c r="V3865" s="2" t="s">
        <v>59</v>
      </c>
      <c r="W3865" s="2">
        <v>38.200000000000003</v>
      </c>
      <c r="X3865" s="2">
        <v>4.41</v>
      </c>
      <c r="Y3865" s="2" t="s">
        <v>394</v>
      </c>
      <c r="Z3865" s="2" t="s">
        <v>25697</v>
      </c>
      <c r="AA3865" s="2">
        <v>-4.2041091401537498</v>
      </c>
      <c r="AB3865" s="2">
        <v>0.18579839360379399</v>
      </c>
      <c r="AC3865" s="2">
        <v>28894.3949820214</v>
      </c>
      <c r="AD3865" s="2">
        <v>31991.392121934099</v>
      </c>
      <c r="AE3865" s="2">
        <v>29217.316843672899</v>
      </c>
      <c r="AF3865" s="2">
        <v>29615.047482121299</v>
      </c>
      <c r="AG3865" s="2">
        <v>29427.0331795124</v>
      </c>
      <c r="AH3865" s="2">
        <v>28312.8257199648</v>
      </c>
      <c r="AI3865" s="2">
        <v>29456.4241575534</v>
      </c>
      <c r="AJ3865" s="2">
        <v>27337.7225093038</v>
      </c>
      <c r="AK3865" s="2">
        <v>35625.2401156419</v>
      </c>
      <c r="AL3865" s="2">
        <v>31734.454481627301</v>
      </c>
      <c r="AM3865" s="2">
        <v>31028.2332649538</v>
      </c>
      <c r="AN3865" s="2">
        <v>30896.270787596099</v>
      </c>
      <c r="AO3865" s="2">
        <v>32829.2518609369</v>
      </c>
      <c r="AP3865" s="2">
        <v>29834.902220848398</v>
      </c>
    </row>
    <row r="3866" spans="1:42" ht="14.5" x14ac:dyDescent="0.35">
      <c r="A3866" s="2" t="s">
        <v>25698</v>
      </c>
      <c r="B3866" s="2">
        <v>933.40680853983895</v>
      </c>
      <c r="C3866" s="2">
        <v>10.28895</v>
      </c>
      <c r="D3866" s="2" t="s">
        <v>70</v>
      </c>
      <c r="E3866" s="2" t="s">
        <v>25699</v>
      </c>
      <c r="F3866" s="2">
        <v>200288</v>
      </c>
      <c r="G3866" s="3" t="str">
        <f>HYPERLINK("http://funmeta.oebiotech.com/network/200288", "http://funmeta.oebiotech.com/network/200288")</f>
        <v>http://funmeta.oebiotech.com/network/200288</v>
      </c>
      <c r="H3866" s="2" t="s">
        <v>25700</v>
      </c>
      <c r="I3866" s="2"/>
      <c r="J3866" s="2"/>
      <c r="K3866" s="2"/>
      <c r="L3866" s="2"/>
      <c r="M3866" s="2"/>
      <c r="N3866" s="2"/>
      <c r="O3866" s="2">
        <v>5737</v>
      </c>
      <c r="P3866" s="2"/>
      <c r="Q3866" s="2" t="s">
        <v>25701</v>
      </c>
      <c r="R3866" s="2" t="s">
        <v>25702</v>
      </c>
      <c r="S3866" s="2" t="s">
        <v>89</v>
      </c>
      <c r="T3866" s="2" t="s">
        <v>1600</v>
      </c>
      <c r="U3866" s="2" t="s">
        <v>3890</v>
      </c>
      <c r="V3866" s="2" t="s">
        <v>59</v>
      </c>
      <c r="W3866" s="2">
        <v>38.5</v>
      </c>
      <c r="X3866" s="2">
        <v>0</v>
      </c>
      <c r="Y3866" s="2" t="s">
        <v>560</v>
      </c>
      <c r="Z3866" s="2" t="s">
        <v>25703</v>
      </c>
      <c r="AA3866" s="2">
        <v>0.56495862528527896</v>
      </c>
      <c r="AB3866" s="2">
        <v>0.185758848961879</v>
      </c>
      <c r="AC3866" s="2">
        <v>8053.2810440090698</v>
      </c>
      <c r="AD3866" s="2">
        <v>5472.4965418907896</v>
      </c>
      <c r="AE3866" s="2">
        <v>6887.7477985073001</v>
      </c>
      <c r="AF3866" s="2">
        <v>8136.7235652085601</v>
      </c>
      <c r="AG3866" s="2">
        <v>7693.5317321541997</v>
      </c>
      <c r="AH3866" s="2">
        <v>8487.9622144813602</v>
      </c>
      <c r="AI3866" s="2">
        <v>8293.9399027252693</v>
      </c>
      <c r="AJ3866" s="2">
        <v>8819.7810509777191</v>
      </c>
      <c r="AK3866" s="2">
        <v>4443.3779799063004</v>
      </c>
      <c r="AL3866" s="2">
        <v>5082.1470695242597</v>
      </c>
      <c r="AM3866" s="2">
        <v>4756.0103588556703</v>
      </c>
      <c r="AN3866" s="2">
        <v>6481.3631648307401</v>
      </c>
      <c r="AO3866" s="2">
        <v>6057.9418232356002</v>
      </c>
      <c r="AP3866" s="2">
        <v>6014.1388549921903</v>
      </c>
    </row>
    <row r="3867" spans="1:42" ht="14.5" x14ac:dyDescent="0.35">
      <c r="A3867" s="2" t="s">
        <v>25704</v>
      </c>
      <c r="B3867" s="2">
        <v>423.144701572977</v>
      </c>
      <c r="C3867" s="2">
        <v>5.6176666666666701</v>
      </c>
      <c r="D3867" s="2" t="s">
        <v>70</v>
      </c>
      <c r="E3867" s="2" t="s">
        <v>25705</v>
      </c>
      <c r="F3867" s="2">
        <v>33959</v>
      </c>
      <c r="G3867" s="3" t="str">
        <f>HYPERLINK("http://funmeta.oebiotech.com/network/33959", "http://funmeta.oebiotech.com/network/33959")</f>
        <v>http://funmeta.oebiotech.com/network/33959</v>
      </c>
      <c r="H3867" s="2"/>
      <c r="I3867" s="2">
        <v>52272</v>
      </c>
      <c r="J3867" s="2" t="s">
        <v>25706</v>
      </c>
      <c r="K3867" s="2">
        <v>9915</v>
      </c>
      <c r="L3867" s="2" t="s">
        <v>25707</v>
      </c>
      <c r="M3867" s="2"/>
      <c r="N3867" s="2"/>
      <c r="O3867" s="2">
        <v>73447</v>
      </c>
      <c r="P3867" s="2"/>
      <c r="Q3867" s="2" t="s">
        <v>25708</v>
      </c>
      <c r="R3867" s="2" t="s">
        <v>25709</v>
      </c>
      <c r="S3867" s="2" t="s">
        <v>115</v>
      </c>
      <c r="T3867" s="2" t="s">
        <v>575</v>
      </c>
      <c r="U3867" s="2" t="s">
        <v>576</v>
      </c>
      <c r="V3867" s="2" t="s">
        <v>59</v>
      </c>
      <c r="W3867" s="2">
        <v>38.200000000000003</v>
      </c>
      <c r="X3867" s="2">
        <v>0</v>
      </c>
      <c r="Y3867" s="2" t="s">
        <v>408</v>
      </c>
      <c r="Z3867" s="2" t="s">
        <v>25710</v>
      </c>
      <c r="AA3867" s="2">
        <v>-0.59527254535891205</v>
      </c>
      <c r="AB3867" s="2">
        <v>0.18566039135953999</v>
      </c>
      <c r="AC3867" s="2">
        <v>7425.9047094594598</v>
      </c>
      <c r="AD3867" s="2">
        <v>4932.3192748588699</v>
      </c>
      <c r="AE3867" s="2">
        <v>7412.9121127280796</v>
      </c>
      <c r="AF3867" s="2">
        <v>7679.1443176641496</v>
      </c>
      <c r="AG3867" s="2">
        <v>7481.9755326325203</v>
      </c>
      <c r="AH3867" s="2">
        <v>7663.70176365104</v>
      </c>
      <c r="AI3867" s="2">
        <v>6936.8835968376497</v>
      </c>
      <c r="AJ3867" s="2">
        <v>7380.8109332433496</v>
      </c>
      <c r="AK3867" s="2">
        <v>5334.6973433721496</v>
      </c>
      <c r="AL3867" s="2">
        <v>5442.5955599107301</v>
      </c>
      <c r="AM3867" s="2">
        <v>4820.2683194964302</v>
      </c>
      <c r="AN3867" s="2">
        <v>5172.2241202267796</v>
      </c>
      <c r="AO3867" s="2">
        <v>3221.5077422695099</v>
      </c>
      <c r="AP3867" s="2">
        <v>5602.6225638776205</v>
      </c>
    </row>
    <row r="3868" spans="1:42" ht="14.5" x14ac:dyDescent="0.35">
      <c r="A3868" s="2" t="s">
        <v>25711</v>
      </c>
      <c r="B3868" s="2">
        <v>297.11886696287399</v>
      </c>
      <c r="C3868" s="2">
        <v>1.6372</v>
      </c>
      <c r="D3868" s="2" t="s">
        <v>70</v>
      </c>
      <c r="E3868" s="2" t="s">
        <v>25712</v>
      </c>
      <c r="F3868" s="2">
        <v>63951</v>
      </c>
      <c r="G3868" s="3" t="str">
        <f>HYPERLINK("http://funmeta.oebiotech.com/network/63951", "http://funmeta.oebiotech.com/network/63951")</f>
        <v>http://funmeta.oebiotech.com/network/63951</v>
      </c>
      <c r="H3868" s="2" t="s">
        <v>25713</v>
      </c>
      <c r="I3868" s="2">
        <v>95284</v>
      </c>
      <c r="J3868" s="2"/>
      <c r="K3868" s="2">
        <v>168736</v>
      </c>
      <c r="L3868" s="2"/>
      <c r="M3868" s="2"/>
      <c r="N3868" s="2"/>
      <c r="O3868" s="2">
        <v>78171387</v>
      </c>
      <c r="P3868" s="2" t="s">
        <v>25714</v>
      </c>
      <c r="Q3868" s="2" t="s">
        <v>25715</v>
      </c>
      <c r="R3868" s="2" t="s">
        <v>25716</v>
      </c>
      <c r="S3868" s="2" t="s">
        <v>79</v>
      </c>
      <c r="T3868" s="2" t="s">
        <v>80</v>
      </c>
      <c r="U3868" s="2" t="s">
        <v>81</v>
      </c>
      <c r="V3868" s="2" t="s">
        <v>42</v>
      </c>
      <c r="W3868" s="2">
        <v>50.7</v>
      </c>
      <c r="X3868" s="2">
        <v>55.6</v>
      </c>
      <c r="Y3868" s="2" t="s">
        <v>408</v>
      </c>
      <c r="Z3868" s="2" t="s">
        <v>25717</v>
      </c>
      <c r="AA3868" s="2">
        <v>-0.94750353133638199</v>
      </c>
      <c r="AB3868" s="2">
        <v>0.18557934536753601</v>
      </c>
      <c r="AC3868" s="2">
        <v>87343.5908124134</v>
      </c>
      <c r="AD3868" s="2">
        <v>92393.2954489494</v>
      </c>
      <c r="AE3868" s="2">
        <v>87256.423716458594</v>
      </c>
      <c r="AF3868" s="2">
        <v>91117.242535310797</v>
      </c>
      <c r="AG3868" s="2">
        <v>82362.3573637917</v>
      </c>
      <c r="AH3868" s="2">
        <v>83396.469001804406</v>
      </c>
      <c r="AI3868" s="2">
        <v>87995.140858374099</v>
      </c>
      <c r="AJ3868" s="2">
        <v>91933.911398740602</v>
      </c>
      <c r="AK3868" s="2">
        <v>84325.610850335506</v>
      </c>
      <c r="AL3868" s="2">
        <v>90780.569735065204</v>
      </c>
      <c r="AM3868" s="2">
        <v>85695.361043366298</v>
      </c>
      <c r="AN3868" s="2">
        <v>102340.754351155</v>
      </c>
      <c r="AO3868" s="2">
        <v>93874.3108419747</v>
      </c>
      <c r="AP3868" s="2">
        <v>97343.165871799996</v>
      </c>
    </row>
    <row r="3869" spans="1:42" ht="14.5" x14ac:dyDescent="0.35">
      <c r="A3869" s="2" t="s">
        <v>25718</v>
      </c>
      <c r="B3869" s="2">
        <v>411.23850671581499</v>
      </c>
      <c r="C3869" s="2">
        <v>7.4323499999999996</v>
      </c>
      <c r="D3869" s="2" t="s">
        <v>70</v>
      </c>
      <c r="E3869" s="2" t="s">
        <v>25719</v>
      </c>
      <c r="F3869" s="2">
        <v>3673</v>
      </c>
      <c r="G3869" s="3" t="str">
        <f>HYPERLINK("http://funmeta.oebiotech.com/network/3673", "http://funmeta.oebiotech.com/network/3673")</f>
        <v>http://funmeta.oebiotech.com/network/3673</v>
      </c>
      <c r="H3869" s="2"/>
      <c r="I3869" s="2">
        <v>36121</v>
      </c>
      <c r="J3869" s="2" t="s">
        <v>25720</v>
      </c>
      <c r="K3869" s="2"/>
      <c r="L3869" s="2"/>
      <c r="M3869" s="2"/>
      <c r="N3869" s="2"/>
      <c r="O3869" s="2">
        <v>5283051</v>
      </c>
      <c r="P3869" s="2" t="s">
        <v>25721</v>
      </c>
      <c r="Q3869" s="2" t="s">
        <v>25722</v>
      </c>
      <c r="R3869" s="2" t="s">
        <v>25723</v>
      </c>
      <c r="S3869" s="2" t="s">
        <v>50</v>
      </c>
      <c r="T3869" s="2" t="s">
        <v>229</v>
      </c>
      <c r="U3869" s="2" t="s">
        <v>766</v>
      </c>
      <c r="V3869" s="2" t="s">
        <v>59</v>
      </c>
      <c r="W3869" s="2">
        <v>39.1</v>
      </c>
      <c r="X3869" s="2">
        <v>0</v>
      </c>
      <c r="Y3869" s="2" t="s">
        <v>408</v>
      </c>
      <c r="Z3869" s="2" t="s">
        <v>25724</v>
      </c>
      <c r="AA3869" s="2">
        <v>-0.87467731310374697</v>
      </c>
      <c r="AB3869" s="2">
        <v>0.185519079301563</v>
      </c>
      <c r="AC3869" s="2">
        <v>3870.2856706900998</v>
      </c>
      <c r="AD3869" s="2">
        <v>1011.87393758575</v>
      </c>
      <c r="AE3869" s="2">
        <v>3413.0095572455202</v>
      </c>
      <c r="AF3869" s="2">
        <v>1971.31914413961</v>
      </c>
      <c r="AG3869" s="2">
        <v>5712.6641396966897</v>
      </c>
      <c r="AH3869" s="2">
        <v>5155.4672513222404</v>
      </c>
      <c r="AI3869" s="2">
        <v>2845.4808220475102</v>
      </c>
      <c r="AJ3869" s="2">
        <v>4123.7731096890102</v>
      </c>
      <c r="AK3869" s="2">
        <v>421.41177249159603</v>
      </c>
      <c r="AL3869" s="2">
        <v>3037.8078627075101</v>
      </c>
      <c r="AM3869" s="2">
        <v>1115.9587564379599</v>
      </c>
      <c r="AN3869" s="2">
        <v>328.23922804895801</v>
      </c>
      <c r="AO3869" s="2">
        <v>360.30898713494298</v>
      </c>
      <c r="AP3869" s="2">
        <v>807.517018693556</v>
      </c>
    </row>
    <row r="3870" spans="1:42" ht="14.5" x14ac:dyDescent="0.35">
      <c r="A3870" s="2" t="s">
        <v>25725</v>
      </c>
      <c r="B3870" s="2">
        <v>721.37911002713304</v>
      </c>
      <c r="C3870" s="2">
        <v>10.2647666666667</v>
      </c>
      <c r="D3870" s="2" t="s">
        <v>34</v>
      </c>
      <c r="E3870" s="2" t="s">
        <v>25726</v>
      </c>
      <c r="F3870" s="2">
        <v>43732</v>
      </c>
      <c r="G3870" s="3" t="str">
        <f>HYPERLINK("http://funmeta.oebiotech.com/network/43732", "http://funmeta.oebiotech.com/network/43732")</f>
        <v>http://funmeta.oebiotech.com/network/43732</v>
      </c>
      <c r="H3870" s="2"/>
      <c r="I3870" s="2">
        <v>985392</v>
      </c>
      <c r="J3870" s="2" t="s">
        <v>25727</v>
      </c>
      <c r="K3870" s="2">
        <v>540114</v>
      </c>
      <c r="L3870" s="2"/>
      <c r="M3870" s="2"/>
      <c r="N3870" s="2"/>
      <c r="O3870" s="2">
        <v>6441104</v>
      </c>
      <c r="P3870" s="2"/>
      <c r="Q3870" s="2" t="s">
        <v>25728</v>
      </c>
      <c r="R3870" s="2" t="s">
        <v>25729</v>
      </c>
      <c r="S3870" s="2" t="s">
        <v>50</v>
      </c>
      <c r="T3870" s="2" t="s">
        <v>124</v>
      </c>
      <c r="U3870" s="2" t="s">
        <v>523</v>
      </c>
      <c r="V3870" s="2" t="s">
        <v>59</v>
      </c>
      <c r="W3870" s="2">
        <v>36</v>
      </c>
      <c r="X3870" s="2">
        <v>0</v>
      </c>
      <c r="Y3870" s="2" t="s">
        <v>394</v>
      </c>
      <c r="Z3870" s="2" t="s">
        <v>25730</v>
      </c>
      <c r="AA3870" s="2">
        <v>-0.35850231989310199</v>
      </c>
      <c r="AB3870" s="2">
        <v>0.18534596353459001</v>
      </c>
      <c r="AC3870" s="2">
        <v>2808.80968857076</v>
      </c>
      <c r="AD3870" s="2">
        <v>5686.2256731641701</v>
      </c>
      <c r="AE3870" s="2">
        <v>3582.5375905077799</v>
      </c>
      <c r="AF3870" s="2">
        <v>1848.40317280454</v>
      </c>
      <c r="AG3870" s="2">
        <v>2170.44692814374</v>
      </c>
      <c r="AH3870" s="2">
        <v>3967.8614710756201</v>
      </c>
      <c r="AI3870" s="2">
        <v>3743.7211606270098</v>
      </c>
      <c r="AJ3870" s="2">
        <v>1539.88780826585</v>
      </c>
      <c r="AK3870" s="2">
        <v>8398.8460732854292</v>
      </c>
      <c r="AL3870" s="2">
        <v>5858.7623972411802</v>
      </c>
      <c r="AM3870" s="2">
        <v>5204.0263771324098</v>
      </c>
      <c r="AN3870" s="2">
        <v>5398.1812228408098</v>
      </c>
      <c r="AO3870" s="2">
        <v>4923.6261286499102</v>
      </c>
      <c r="AP3870" s="2">
        <v>4333.9118398353003</v>
      </c>
    </row>
    <row r="3871" spans="1:42" ht="14.5" x14ac:dyDescent="0.35">
      <c r="A3871" s="2" t="s">
        <v>25731</v>
      </c>
      <c r="B3871" s="2">
        <v>632.20531588689403</v>
      </c>
      <c r="C3871" s="2">
        <v>4.1151</v>
      </c>
      <c r="D3871" s="2" t="s">
        <v>70</v>
      </c>
      <c r="E3871" s="2" t="s">
        <v>25732</v>
      </c>
      <c r="F3871" s="2">
        <v>47245</v>
      </c>
      <c r="G3871" s="3" t="str">
        <f>HYPERLINK("http://funmeta.oebiotech.com/network/47245", "http://funmeta.oebiotech.com/network/47245")</f>
        <v>http://funmeta.oebiotech.com/network/47245</v>
      </c>
      <c r="H3871" s="2" t="s">
        <v>25733</v>
      </c>
      <c r="I3871" s="2">
        <v>5788</v>
      </c>
      <c r="J3871" s="2"/>
      <c r="K3871" s="2"/>
      <c r="L3871" s="2"/>
      <c r="M3871" s="2"/>
      <c r="N3871" s="2"/>
      <c r="O3871" s="2">
        <v>123914</v>
      </c>
      <c r="P3871" s="2" t="s">
        <v>25734</v>
      </c>
      <c r="Q3871" s="2" t="s">
        <v>25735</v>
      </c>
      <c r="R3871" s="2" t="s">
        <v>25736</v>
      </c>
      <c r="S3871" s="2" t="s">
        <v>79</v>
      </c>
      <c r="T3871" s="2" t="s">
        <v>80</v>
      </c>
      <c r="U3871" s="2" t="s">
        <v>81</v>
      </c>
      <c r="V3871" s="2" t="s">
        <v>59</v>
      </c>
      <c r="W3871" s="2">
        <v>36.4</v>
      </c>
      <c r="X3871" s="2">
        <v>0</v>
      </c>
      <c r="Y3871" s="2" t="s">
        <v>118</v>
      </c>
      <c r="Z3871" s="2" t="s">
        <v>25737</v>
      </c>
      <c r="AA3871" s="2">
        <v>1.52285852261199</v>
      </c>
      <c r="AB3871" s="2">
        <v>0.18531526040749899</v>
      </c>
      <c r="AC3871" s="2">
        <v>14487.880481203199</v>
      </c>
      <c r="AD3871" s="2">
        <v>10835.525935900399</v>
      </c>
      <c r="AE3871" s="2">
        <v>12692.390306835499</v>
      </c>
      <c r="AF3871" s="2">
        <v>11843.466080042699</v>
      </c>
      <c r="AG3871" s="2">
        <v>11444.2557170743</v>
      </c>
      <c r="AH3871" s="2">
        <v>14857.197348692</v>
      </c>
      <c r="AI3871" s="2">
        <v>20341.428719467502</v>
      </c>
      <c r="AJ3871" s="2">
        <v>15748.5447151074</v>
      </c>
      <c r="AK3871" s="2">
        <v>11054.5982846754</v>
      </c>
      <c r="AL3871" s="2">
        <v>12374.3925421145</v>
      </c>
      <c r="AM3871" s="2">
        <v>10093.9353160602</v>
      </c>
      <c r="AN3871" s="2">
        <v>10533.394441644101</v>
      </c>
      <c r="AO3871" s="2">
        <v>9581.5551293923909</v>
      </c>
      <c r="AP3871" s="2">
        <v>11375.2799015156</v>
      </c>
    </row>
    <row r="3872" spans="1:42" ht="14.5" x14ac:dyDescent="0.35">
      <c r="A3872" s="2" t="s">
        <v>25738</v>
      </c>
      <c r="B3872" s="2">
        <v>451.03812239229001</v>
      </c>
      <c r="C3872" s="2">
        <v>8.0060000000000002</v>
      </c>
      <c r="D3872" s="2" t="s">
        <v>70</v>
      </c>
      <c r="E3872" s="2" t="s">
        <v>25739</v>
      </c>
      <c r="F3872" s="2">
        <v>208666</v>
      </c>
      <c r="G3872" s="3" t="str">
        <f>HYPERLINK("http://funmeta.oebiotech.com/network/208666", "http://funmeta.oebiotech.com/network/208666")</f>
        <v>http://funmeta.oebiotech.com/network/208666</v>
      </c>
      <c r="H3872" s="2" t="s">
        <v>25740</v>
      </c>
      <c r="I3872" s="2"/>
      <c r="J3872" s="2"/>
      <c r="K3872" s="2"/>
      <c r="L3872" s="2"/>
      <c r="M3872" s="2"/>
      <c r="N3872" s="2"/>
      <c r="O3872" s="2"/>
      <c r="P3872" s="2"/>
      <c r="Q3872" s="2" t="s">
        <v>25741</v>
      </c>
      <c r="R3872" s="2" t="s">
        <v>25742</v>
      </c>
      <c r="S3872" s="2" t="s">
        <v>148</v>
      </c>
      <c r="T3872" s="2" t="s">
        <v>149</v>
      </c>
      <c r="U3872" s="2" t="s">
        <v>1593</v>
      </c>
      <c r="V3872" s="2" t="s">
        <v>59</v>
      </c>
      <c r="W3872" s="2">
        <v>39.1</v>
      </c>
      <c r="X3872" s="2">
        <v>0</v>
      </c>
      <c r="Y3872" s="2" t="s">
        <v>560</v>
      </c>
      <c r="Z3872" s="2" t="s">
        <v>25743</v>
      </c>
      <c r="AA3872" s="2">
        <v>0.50213019535836001</v>
      </c>
      <c r="AB3872" s="2">
        <v>0.18497545876937299</v>
      </c>
      <c r="AC3872" s="2">
        <v>58490.021320342101</v>
      </c>
      <c r="AD3872" s="2">
        <v>62222.876082772797</v>
      </c>
      <c r="AE3872" s="2">
        <v>57905.508974374199</v>
      </c>
      <c r="AF3872" s="2">
        <v>57510.503345721299</v>
      </c>
      <c r="AG3872" s="2">
        <v>62024.035053819098</v>
      </c>
      <c r="AH3872" s="2">
        <v>58508.322988182903</v>
      </c>
      <c r="AI3872" s="2">
        <v>60786.679898255999</v>
      </c>
      <c r="AJ3872" s="2">
        <v>54205.077661699201</v>
      </c>
      <c r="AK3872" s="2">
        <v>66469.780355209004</v>
      </c>
      <c r="AL3872" s="2">
        <v>63795.598777961502</v>
      </c>
      <c r="AM3872" s="2">
        <v>61835.652517382499</v>
      </c>
      <c r="AN3872" s="2">
        <v>61829.309906292801</v>
      </c>
      <c r="AO3872" s="2">
        <v>60948.903448008801</v>
      </c>
      <c r="AP3872" s="2">
        <v>58458.011491781901</v>
      </c>
    </row>
    <row r="3873" spans="1:42" ht="14.5" x14ac:dyDescent="0.35">
      <c r="A3873" s="2" t="s">
        <v>25744</v>
      </c>
      <c r="B3873" s="2">
        <v>795.26683355298201</v>
      </c>
      <c r="C3873" s="2">
        <v>5.0778999999999996</v>
      </c>
      <c r="D3873" s="2" t="s">
        <v>70</v>
      </c>
      <c r="E3873" s="2" t="s">
        <v>25745</v>
      </c>
      <c r="F3873" s="2">
        <v>267469</v>
      </c>
      <c r="G3873" s="3" t="str">
        <f>HYPERLINK("http://funmeta.oebiotech.com/network/267469", "http://funmeta.oebiotech.com/network/267469")</f>
        <v>http://funmeta.oebiotech.com/network/267469</v>
      </c>
      <c r="H3873" s="2"/>
      <c r="I3873" s="2">
        <v>45527</v>
      </c>
      <c r="J3873" s="2"/>
      <c r="K3873" s="2"/>
      <c r="L3873" s="2"/>
      <c r="M3873" s="2"/>
      <c r="N3873" s="2"/>
      <c r="O3873" s="2">
        <v>6419753</v>
      </c>
      <c r="P3873" s="2" t="s">
        <v>25746</v>
      </c>
      <c r="Q3873" s="2" t="s">
        <v>25747</v>
      </c>
      <c r="R3873" s="2" t="s">
        <v>25748</v>
      </c>
      <c r="S3873" s="2" t="s">
        <v>491</v>
      </c>
      <c r="T3873" s="2" t="s">
        <v>3519</v>
      </c>
      <c r="U3873" s="2" t="s">
        <v>7268</v>
      </c>
      <c r="V3873" s="2" t="s">
        <v>59</v>
      </c>
      <c r="W3873" s="2">
        <v>38.4</v>
      </c>
      <c r="X3873" s="2">
        <v>0</v>
      </c>
      <c r="Y3873" s="2" t="s">
        <v>560</v>
      </c>
      <c r="Z3873" s="2" t="s">
        <v>25749</v>
      </c>
      <c r="AA3873" s="2">
        <v>-2.0984253679251301</v>
      </c>
      <c r="AB3873" s="2">
        <v>0.184957232440353</v>
      </c>
      <c r="AC3873" s="2">
        <v>19036.762455933698</v>
      </c>
      <c r="AD3873" s="2">
        <v>22429.971522954798</v>
      </c>
      <c r="AE3873" s="2">
        <v>19380.235464716599</v>
      </c>
      <c r="AF3873" s="2">
        <v>16295.418800982099</v>
      </c>
      <c r="AG3873" s="2">
        <v>22336.8868860324</v>
      </c>
      <c r="AH3873" s="2">
        <v>18471.663622484601</v>
      </c>
      <c r="AI3873" s="2">
        <v>18657.141689722699</v>
      </c>
      <c r="AJ3873" s="2">
        <v>19079.228271664098</v>
      </c>
      <c r="AK3873" s="2">
        <v>24936.596733342602</v>
      </c>
      <c r="AL3873" s="2">
        <v>24037.814195615501</v>
      </c>
      <c r="AM3873" s="2">
        <v>21893.4704879415</v>
      </c>
      <c r="AN3873" s="2">
        <v>21966.925711656</v>
      </c>
      <c r="AO3873" s="2">
        <v>23142.204564222498</v>
      </c>
      <c r="AP3873" s="2">
        <v>18602.817444950499</v>
      </c>
    </row>
    <row r="3874" spans="1:42" ht="14.5" x14ac:dyDescent="0.35">
      <c r="A3874" s="2" t="s">
        <v>25750</v>
      </c>
      <c r="B3874" s="2">
        <v>396.17643648123698</v>
      </c>
      <c r="C3874" s="2">
        <v>1.7029666666666701</v>
      </c>
      <c r="D3874" s="2" t="s">
        <v>34</v>
      </c>
      <c r="E3874" s="2" t="s">
        <v>25751</v>
      </c>
      <c r="F3874" s="2">
        <v>62778</v>
      </c>
      <c r="G3874" s="3" t="str">
        <f>HYPERLINK("http://funmeta.oebiotech.com/network/62778", "http://funmeta.oebiotech.com/network/62778")</f>
        <v>http://funmeta.oebiotech.com/network/62778</v>
      </c>
      <c r="H3874" s="2" t="s">
        <v>25752</v>
      </c>
      <c r="I3874" s="2">
        <v>94072</v>
      </c>
      <c r="J3874" s="2"/>
      <c r="K3874" s="2"/>
      <c r="L3874" s="2"/>
      <c r="M3874" s="2"/>
      <c r="N3874" s="2"/>
      <c r="O3874" s="2">
        <v>131752664</v>
      </c>
      <c r="P3874" s="2" t="s">
        <v>25753</v>
      </c>
      <c r="Q3874" s="2" t="s">
        <v>25754</v>
      </c>
      <c r="R3874" s="2" t="s">
        <v>25755</v>
      </c>
      <c r="S3874" s="2" t="s">
        <v>89</v>
      </c>
      <c r="T3874" s="2" t="s">
        <v>90</v>
      </c>
      <c r="U3874" s="2" t="s">
        <v>99</v>
      </c>
      <c r="V3874" s="2" t="s">
        <v>59</v>
      </c>
      <c r="W3874" s="2">
        <v>37.700000000000003</v>
      </c>
      <c r="X3874" s="2">
        <v>2.68</v>
      </c>
      <c r="Y3874" s="2" t="s">
        <v>323</v>
      </c>
      <c r="Z3874" s="2" t="s">
        <v>25756</v>
      </c>
      <c r="AA3874" s="2">
        <v>-4.5745389201156303</v>
      </c>
      <c r="AB3874" s="2">
        <v>0.18494338104213801</v>
      </c>
      <c r="AC3874" s="2">
        <v>16961.8412509269</v>
      </c>
      <c r="AD3874" s="2">
        <v>14157.5211235265</v>
      </c>
      <c r="AE3874" s="2">
        <v>16641.967629819599</v>
      </c>
      <c r="AF3874" s="2">
        <v>15559.6767776421</v>
      </c>
      <c r="AG3874" s="2">
        <v>16775.4184957701</v>
      </c>
      <c r="AH3874" s="2">
        <v>16633.6866721843</v>
      </c>
      <c r="AI3874" s="2">
        <v>19101.027520076001</v>
      </c>
      <c r="AJ3874" s="2">
        <v>17059.270410069301</v>
      </c>
      <c r="AK3874" s="2">
        <v>13303.466497826001</v>
      </c>
      <c r="AL3874" s="2">
        <v>12651.8971247915</v>
      </c>
      <c r="AM3874" s="2">
        <v>14334.376777649901</v>
      </c>
      <c r="AN3874" s="2">
        <v>14523.317461959899</v>
      </c>
      <c r="AO3874" s="2">
        <v>14538.579839313799</v>
      </c>
      <c r="AP3874" s="2">
        <v>15593.4890396177</v>
      </c>
    </row>
    <row r="3875" spans="1:42" ht="14.5" x14ac:dyDescent="0.35">
      <c r="A3875" s="2" t="s">
        <v>25757</v>
      </c>
      <c r="B3875" s="2">
        <v>537.32725553523505</v>
      </c>
      <c r="C3875" s="2">
        <v>5.0778999999999996</v>
      </c>
      <c r="D3875" s="2" t="s">
        <v>70</v>
      </c>
      <c r="E3875" s="2" t="s">
        <v>25758</v>
      </c>
      <c r="F3875" s="2">
        <v>201134</v>
      </c>
      <c r="G3875" s="3" t="str">
        <f>HYPERLINK("http://funmeta.oebiotech.com/network/201134", "http://funmeta.oebiotech.com/network/201134")</f>
        <v>http://funmeta.oebiotech.com/network/201134</v>
      </c>
      <c r="H3875" s="2" t="s">
        <v>25759</v>
      </c>
      <c r="I3875" s="2"/>
      <c r="J3875" s="2"/>
      <c r="K3875" s="2"/>
      <c r="L3875" s="2"/>
      <c r="M3875" s="2"/>
      <c r="N3875" s="2"/>
      <c r="O3875" s="2">
        <v>85327393</v>
      </c>
      <c r="P3875" s="2"/>
      <c r="Q3875" s="2" t="s">
        <v>25760</v>
      </c>
      <c r="R3875" s="2" t="s">
        <v>25761</v>
      </c>
      <c r="S3875" s="2" t="s">
        <v>41</v>
      </c>
      <c r="T3875" s="2" t="s">
        <v>41</v>
      </c>
      <c r="U3875" s="2" t="s">
        <v>41</v>
      </c>
      <c r="V3875" s="2" t="s">
        <v>59</v>
      </c>
      <c r="W3875" s="2">
        <v>38.700000000000003</v>
      </c>
      <c r="X3875" s="2">
        <v>13.8</v>
      </c>
      <c r="Y3875" s="2" t="s">
        <v>751</v>
      </c>
      <c r="Z3875" s="2" t="s">
        <v>25762</v>
      </c>
      <c r="AA3875" s="2">
        <v>4.6958388396901602</v>
      </c>
      <c r="AB3875" s="2">
        <v>0.184707582625834</v>
      </c>
      <c r="AC3875" s="2">
        <v>28295.955912588201</v>
      </c>
      <c r="AD3875" s="2">
        <v>31939.5703743124</v>
      </c>
      <c r="AE3875" s="2">
        <v>27664.174345885</v>
      </c>
      <c r="AF3875" s="2">
        <v>28845.1215058854</v>
      </c>
      <c r="AG3875" s="2">
        <v>27750.318659983299</v>
      </c>
      <c r="AH3875" s="2">
        <v>28501.518397771499</v>
      </c>
      <c r="AI3875" s="2">
        <v>27129.403506374299</v>
      </c>
      <c r="AJ3875" s="2">
        <v>29885.199059629798</v>
      </c>
      <c r="AK3875" s="2">
        <v>30947.055563203699</v>
      </c>
      <c r="AL3875" s="2">
        <v>32977.853161433799</v>
      </c>
      <c r="AM3875" s="2">
        <v>30559.8809587451</v>
      </c>
      <c r="AN3875" s="2">
        <v>38481.310839534599</v>
      </c>
      <c r="AO3875" s="2">
        <v>28654.442067806998</v>
      </c>
      <c r="AP3875" s="2">
        <v>30016.8796551501</v>
      </c>
    </row>
    <row r="3876" spans="1:42" ht="14.5" x14ac:dyDescent="0.35">
      <c r="A3876" s="2" t="s">
        <v>25763</v>
      </c>
      <c r="B3876" s="2">
        <v>385.22301043163401</v>
      </c>
      <c r="C3876" s="2">
        <v>7.6856999999999998</v>
      </c>
      <c r="D3876" s="2" t="s">
        <v>70</v>
      </c>
      <c r="E3876" s="2" t="s">
        <v>25764</v>
      </c>
      <c r="F3876" s="2">
        <v>7914</v>
      </c>
      <c r="G3876" s="3" t="str">
        <f>HYPERLINK("http://funmeta.oebiotech.com/network/7914", "http://funmeta.oebiotech.com/network/7914")</f>
        <v>http://funmeta.oebiotech.com/network/7914</v>
      </c>
      <c r="H3876" s="2"/>
      <c r="I3876" s="2"/>
      <c r="J3876" s="2" t="s">
        <v>25765</v>
      </c>
      <c r="K3876" s="2"/>
      <c r="L3876" s="2"/>
      <c r="M3876" s="2"/>
      <c r="N3876" s="2"/>
      <c r="O3876" s="2"/>
      <c r="P3876" s="2"/>
      <c r="Q3876" s="2" t="s">
        <v>25766</v>
      </c>
      <c r="R3876" s="2" t="s">
        <v>25767</v>
      </c>
      <c r="S3876" s="2" t="s">
        <v>41</v>
      </c>
      <c r="T3876" s="2" t="s">
        <v>41</v>
      </c>
      <c r="U3876" s="2" t="s">
        <v>41</v>
      </c>
      <c r="V3876" s="2" t="s">
        <v>59</v>
      </c>
      <c r="W3876" s="2">
        <v>46.7</v>
      </c>
      <c r="X3876" s="2">
        <v>39.700000000000003</v>
      </c>
      <c r="Y3876" s="2" t="s">
        <v>118</v>
      </c>
      <c r="Z3876" s="2" t="s">
        <v>13680</v>
      </c>
      <c r="AA3876" s="2">
        <v>-0.43125461652892899</v>
      </c>
      <c r="AB3876" s="2">
        <v>0.18455874473525199</v>
      </c>
      <c r="AC3876" s="2">
        <v>3722.14923106675</v>
      </c>
      <c r="AD3876" s="2">
        <v>1364.6769784962501</v>
      </c>
      <c r="AE3876" s="2">
        <v>4737.9106057937097</v>
      </c>
      <c r="AF3876" s="2">
        <v>3807.5343706997501</v>
      </c>
      <c r="AG3876" s="2">
        <v>3132.64528757787</v>
      </c>
      <c r="AH3876" s="2">
        <v>3695.2641395292699</v>
      </c>
      <c r="AI3876" s="2">
        <v>3613.1001826000802</v>
      </c>
      <c r="AJ3876" s="2">
        <v>3346.4408001998099</v>
      </c>
      <c r="AK3876" s="2">
        <v>1326.9729548713799</v>
      </c>
      <c r="AL3876" s="2">
        <v>1454.8683025369101</v>
      </c>
      <c r="AM3876" s="2">
        <v>1841.6108896138101</v>
      </c>
      <c r="AN3876" s="2">
        <v>1319.0359799134201</v>
      </c>
      <c r="AO3876" s="2">
        <v>1119.78221731554</v>
      </c>
      <c r="AP3876" s="2">
        <v>1125.79152672644</v>
      </c>
    </row>
    <row r="3877" spans="1:42" ht="14.5" x14ac:dyDescent="0.35">
      <c r="A3877" s="2" t="s">
        <v>25768</v>
      </c>
      <c r="B3877" s="2">
        <v>361.273220425217</v>
      </c>
      <c r="C3877" s="2">
        <v>12.0039833333333</v>
      </c>
      <c r="D3877" s="2" t="s">
        <v>34</v>
      </c>
      <c r="E3877" s="2" t="s">
        <v>25769</v>
      </c>
      <c r="F3877" s="2">
        <v>267143</v>
      </c>
      <c r="G3877" s="3" t="str">
        <f>HYPERLINK("http://funmeta.oebiotech.com/network/267143", "http://funmeta.oebiotech.com/network/267143")</f>
        <v>http://funmeta.oebiotech.com/network/267143</v>
      </c>
      <c r="H3877" s="2"/>
      <c r="I3877" s="2">
        <v>44872</v>
      </c>
      <c r="J3877" s="2"/>
      <c r="K3877" s="2"/>
      <c r="L3877" s="2"/>
      <c r="M3877" s="2"/>
      <c r="N3877" s="2"/>
      <c r="O3877" s="2">
        <v>53394706</v>
      </c>
      <c r="P3877" s="2" t="s">
        <v>25770</v>
      </c>
      <c r="Q3877" s="2" t="s">
        <v>25771</v>
      </c>
      <c r="R3877" s="2" t="s">
        <v>25772</v>
      </c>
      <c r="S3877" s="2" t="s">
        <v>50</v>
      </c>
      <c r="T3877" s="2" t="s">
        <v>229</v>
      </c>
      <c r="U3877" s="2" t="s">
        <v>1914</v>
      </c>
      <c r="V3877" s="2" t="s">
        <v>59</v>
      </c>
      <c r="W3877" s="2">
        <v>40.6</v>
      </c>
      <c r="X3877" s="2">
        <v>11.3</v>
      </c>
      <c r="Y3877" s="2" t="s">
        <v>394</v>
      </c>
      <c r="Z3877" s="2" t="s">
        <v>25773</v>
      </c>
      <c r="AA3877" s="2">
        <v>-1.3906928893365</v>
      </c>
      <c r="AB3877" s="2">
        <v>0.18437173349351699</v>
      </c>
      <c r="AC3877" s="2">
        <v>2301.62728390747</v>
      </c>
      <c r="AD3877" s="2">
        <v>46.331830822959702</v>
      </c>
      <c r="AE3877" s="2">
        <v>2409.5753591100802</v>
      </c>
      <c r="AF3877" s="2">
        <v>2345.0088920712501</v>
      </c>
      <c r="AG3877" s="2">
        <v>2370.4939417780902</v>
      </c>
      <c r="AH3877" s="2">
        <v>1931.73055972869</v>
      </c>
      <c r="AI3877" s="2">
        <v>2058.5508852134399</v>
      </c>
      <c r="AJ3877" s="2">
        <v>2694.40406554327</v>
      </c>
      <c r="AK3877" s="2">
        <v>2.7106294003980101E-5</v>
      </c>
      <c r="AL3877" s="2">
        <v>2.7106294003980101E-5</v>
      </c>
      <c r="AM3877" s="2">
        <v>2.7106294003980101E-5</v>
      </c>
      <c r="AN3877" s="2">
        <v>2.7106294003980101E-5</v>
      </c>
      <c r="AO3877" s="2">
        <v>136.44162244407701</v>
      </c>
      <c r="AP3877" s="2">
        <v>141.54925406850501</v>
      </c>
    </row>
    <row r="3878" spans="1:42" ht="14.5" x14ac:dyDescent="0.35">
      <c r="A3878" s="2" t="s">
        <v>25774</v>
      </c>
      <c r="B3878" s="2">
        <v>445.09383190187901</v>
      </c>
      <c r="C3878" s="2">
        <v>2.1595499999999999</v>
      </c>
      <c r="D3878" s="2" t="s">
        <v>70</v>
      </c>
      <c r="E3878" s="2" t="s">
        <v>25775</v>
      </c>
      <c r="F3878" s="2">
        <v>31737</v>
      </c>
      <c r="G3878" s="3" t="str">
        <f>HYPERLINK("http://funmeta.oebiotech.com/network/31737", "http://funmeta.oebiotech.com/network/31737")</f>
        <v>http://funmeta.oebiotech.com/network/31737</v>
      </c>
      <c r="H3878" s="2"/>
      <c r="I3878" s="2">
        <v>50066</v>
      </c>
      <c r="J3878" s="2" t="s">
        <v>25776</v>
      </c>
      <c r="K3878" s="2"/>
      <c r="L3878" s="2"/>
      <c r="M3878" s="2"/>
      <c r="N3878" s="2"/>
      <c r="O3878" s="2">
        <v>44258733</v>
      </c>
      <c r="P3878" s="2"/>
      <c r="Q3878" s="2" t="s">
        <v>25777</v>
      </c>
      <c r="R3878" s="2" t="s">
        <v>25778</v>
      </c>
      <c r="S3878" s="2" t="s">
        <v>115</v>
      </c>
      <c r="T3878" s="2" t="s">
        <v>139</v>
      </c>
      <c r="U3878" s="2" t="s">
        <v>8586</v>
      </c>
      <c r="V3878" s="2" t="s">
        <v>59</v>
      </c>
      <c r="W3878" s="2">
        <v>36.4</v>
      </c>
      <c r="X3878" s="2">
        <v>0</v>
      </c>
      <c r="Y3878" s="2" t="s">
        <v>408</v>
      </c>
      <c r="Z3878" s="2" t="s">
        <v>25779</v>
      </c>
      <c r="AA3878" s="2">
        <v>2.3514468604996202</v>
      </c>
      <c r="AB3878" s="2">
        <v>0.18430671010548999</v>
      </c>
      <c r="AC3878" s="2">
        <v>12376.168426099999</v>
      </c>
      <c r="AD3878" s="2">
        <v>14974.1264271979</v>
      </c>
      <c r="AE3878" s="2">
        <v>12150.9849614042</v>
      </c>
      <c r="AF3878" s="2">
        <v>10929.764932423101</v>
      </c>
      <c r="AG3878" s="2">
        <v>13197.490692452</v>
      </c>
      <c r="AH3878" s="2">
        <v>11615.6294428074</v>
      </c>
      <c r="AI3878" s="2">
        <v>12816.1568762976</v>
      </c>
      <c r="AJ3878" s="2">
        <v>13546.9836512158</v>
      </c>
      <c r="AK3878" s="2">
        <v>14661.494786625</v>
      </c>
      <c r="AL3878" s="2">
        <v>15130.279743647799</v>
      </c>
      <c r="AM3878" s="2">
        <v>14553.620426740799</v>
      </c>
      <c r="AN3878" s="2">
        <v>14458.1167719246</v>
      </c>
      <c r="AO3878" s="2">
        <v>14750.930191438099</v>
      </c>
      <c r="AP3878" s="2">
        <v>16290.316642811</v>
      </c>
    </row>
    <row r="3879" spans="1:42" ht="14.5" x14ac:dyDescent="0.35">
      <c r="A3879" s="2" t="s">
        <v>25780</v>
      </c>
      <c r="B3879" s="2">
        <v>769.47339471025896</v>
      </c>
      <c r="C3879" s="2">
        <v>13.4092</v>
      </c>
      <c r="D3879" s="2" t="s">
        <v>70</v>
      </c>
      <c r="E3879" s="2" t="s">
        <v>25781</v>
      </c>
      <c r="F3879" s="2">
        <v>209559</v>
      </c>
      <c r="G3879" s="3" t="str">
        <f>HYPERLINK("http://funmeta.oebiotech.com/network/209559", "http://funmeta.oebiotech.com/network/209559")</f>
        <v>http://funmeta.oebiotech.com/network/209559</v>
      </c>
      <c r="H3879" s="2" t="s">
        <v>25782</v>
      </c>
      <c r="I3879" s="2"/>
      <c r="J3879" s="2"/>
      <c r="K3879" s="2"/>
      <c r="L3879" s="2"/>
      <c r="M3879" s="2"/>
      <c r="N3879" s="2"/>
      <c r="O3879" s="2">
        <v>4490</v>
      </c>
      <c r="P3879" s="2"/>
      <c r="Q3879" s="2" t="s">
        <v>25783</v>
      </c>
      <c r="R3879" s="2" t="s">
        <v>25784</v>
      </c>
      <c r="S3879" s="2" t="s">
        <v>79</v>
      </c>
      <c r="T3879" s="2" t="s">
        <v>80</v>
      </c>
      <c r="U3879" s="2" t="s">
        <v>249</v>
      </c>
      <c r="V3879" s="2" t="s">
        <v>42</v>
      </c>
      <c r="W3879" s="2">
        <v>50.2</v>
      </c>
      <c r="X3879" s="2">
        <v>59.5</v>
      </c>
      <c r="Y3879" s="2" t="s">
        <v>408</v>
      </c>
      <c r="Z3879" s="2" t="s">
        <v>25785</v>
      </c>
      <c r="AA3879" s="2">
        <v>-1.3404936006164001</v>
      </c>
      <c r="AB3879" s="2">
        <v>0.18429494964995199</v>
      </c>
      <c r="AC3879" s="2">
        <v>45325.161925781402</v>
      </c>
      <c r="AD3879" s="2">
        <v>49532.656276307003</v>
      </c>
      <c r="AE3879" s="2">
        <v>45893.077227727503</v>
      </c>
      <c r="AF3879" s="2">
        <v>44016.951207523198</v>
      </c>
      <c r="AG3879" s="2">
        <v>43406.839450918596</v>
      </c>
      <c r="AH3879" s="2">
        <v>51691.565201846002</v>
      </c>
      <c r="AI3879" s="2">
        <v>39802.656516812902</v>
      </c>
      <c r="AJ3879" s="2">
        <v>47139.881949859897</v>
      </c>
      <c r="AK3879" s="2">
        <v>52487.609411555197</v>
      </c>
      <c r="AL3879" s="2">
        <v>50972.420140653201</v>
      </c>
      <c r="AM3879" s="2">
        <v>43735.606467867001</v>
      </c>
      <c r="AN3879" s="2">
        <v>49773.701338889099</v>
      </c>
      <c r="AO3879" s="2">
        <v>48722.389082396097</v>
      </c>
      <c r="AP3879" s="2">
        <v>51504.211216481599</v>
      </c>
    </row>
    <row r="3880" spans="1:42" ht="14.5" x14ac:dyDescent="0.35">
      <c r="A3880" s="2" t="s">
        <v>25786</v>
      </c>
      <c r="B3880" s="2">
        <v>844.519891520128</v>
      </c>
      <c r="C3880" s="2">
        <v>10.113516666666699</v>
      </c>
      <c r="D3880" s="2" t="s">
        <v>34</v>
      </c>
      <c r="E3880" s="2" t="s">
        <v>25787</v>
      </c>
      <c r="F3880" s="2">
        <v>1568</v>
      </c>
      <c r="G3880" s="3" t="str">
        <f>HYPERLINK("http://funmeta.oebiotech.com/network/1568", "http://funmeta.oebiotech.com/network/1568")</f>
        <v>http://funmeta.oebiotech.com/network/1568</v>
      </c>
      <c r="H3880" s="2"/>
      <c r="I3880" s="2"/>
      <c r="J3880" s="2" t="s">
        <v>25788</v>
      </c>
      <c r="K3880" s="2"/>
      <c r="L3880" s="2"/>
      <c r="M3880" s="2"/>
      <c r="N3880" s="2"/>
      <c r="O3880" s="2">
        <v>10259894</v>
      </c>
      <c r="P3880" s="2"/>
      <c r="Q3880" s="2" t="s">
        <v>25789</v>
      </c>
      <c r="R3880" s="2" t="s">
        <v>25790</v>
      </c>
      <c r="S3880" s="2" t="s">
        <v>50</v>
      </c>
      <c r="T3880" s="2" t="s">
        <v>229</v>
      </c>
      <c r="U3880" s="2" t="s">
        <v>433</v>
      </c>
      <c r="V3880" s="2" t="s">
        <v>59</v>
      </c>
      <c r="W3880" s="2">
        <v>42.6</v>
      </c>
      <c r="X3880" s="2">
        <v>17.7</v>
      </c>
      <c r="Y3880" s="2" t="s">
        <v>43</v>
      </c>
      <c r="Z3880" s="2" t="s">
        <v>25791</v>
      </c>
      <c r="AA3880" s="2">
        <v>-0.80060510270001795</v>
      </c>
      <c r="AB3880" s="2">
        <v>0.184203972091495</v>
      </c>
      <c r="AC3880" s="2">
        <v>39041.502146783503</v>
      </c>
      <c r="AD3880" s="2">
        <v>34966.812876284399</v>
      </c>
      <c r="AE3880" s="2">
        <v>39566.830657066697</v>
      </c>
      <c r="AF3880" s="2">
        <v>39946.518459718602</v>
      </c>
      <c r="AG3880" s="2">
        <v>38529.241578672198</v>
      </c>
      <c r="AH3880" s="2">
        <v>40584.766615511398</v>
      </c>
      <c r="AI3880" s="2">
        <v>36230.530848474198</v>
      </c>
      <c r="AJ3880" s="2">
        <v>39391.124721257998</v>
      </c>
      <c r="AK3880" s="2">
        <v>28137.940444321401</v>
      </c>
      <c r="AL3880" s="2">
        <v>39989.240991311803</v>
      </c>
      <c r="AM3880" s="2">
        <v>37099.678008156297</v>
      </c>
      <c r="AN3880" s="2">
        <v>32495.131291777099</v>
      </c>
      <c r="AO3880" s="2">
        <v>39509.812613692397</v>
      </c>
      <c r="AP3880" s="2">
        <v>32569.073908447499</v>
      </c>
    </row>
    <row r="3881" spans="1:42" ht="14.5" x14ac:dyDescent="0.35">
      <c r="A3881" s="2" t="s">
        <v>25792</v>
      </c>
      <c r="B3881" s="2">
        <v>251.16396438881199</v>
      </c>
      <c r="C3881" s="2">
        <v>5.0879333333333303</v>
      </c>
      <c r="D3881" s="2" t="s">
        <v>34</v>
      </c>
      <c r="E3881" s="2" t="s">
        <v>25793</v>
      </c>
      <c r="F3881" s="2">
        <v>53446</v>
      </c>
      <c r="G3881" s="3" t="str">
        <f>HYPERLINK("http://funmeta.oebiotech.com/network/53446", "http://funmeta.oebiotech.com/network/53446")</f>
        <v>http://funmeta.oebiotech.com/network/53446</v>
      </c>
      <c r="H3881" s="2" t="s">
        <v>25794</v>
      </c>
      <c r="I3881" s="2">
        <v>3023</v>
      </c>
      <c r="J3881" s="2"/>
      <c r="K3881" s="2">
        <v>5296</v>
      </c>
      <c r="L3881" s="2" t="s">
        <v>25795</v>
      </c>
      <c r="M3881" s="2" t="s">
        <v>22831</v>
      </c>
      <c r="N3881" s="2" t="s">
        <v>22832</v>
      </c>
      <c r="O3881" s="2">
        <v>3463</v>
      </c>
      <c r="P3881" s="2" t="s">
        <v>25796</v>
      </c>
      <c r="Q3881" s="2" t="s">
        <v>25797</v>
      </c>
      <c r="R3881" s="2" t="s">
        <v>25798</v>
      </c>
      <c r="S3881" s="2" t="s">
        <v>148</v>
      </c>
      <c r="T3881" s="2" t="s">
        <v>3772</v>
      </c>
      <c r="U3881" s="2" t="s">
        <v>41</v>
      </c>
      <c r="V3881" s="2" t="s">
        <v>59</v>
      </c>
      <c r="W3881" s="2">
        <v>38.200000000000003</v>
      </c>
      <c r="X3881" s="2">
        <v>0</v>
      </c>
      <c r="Y3881" s="2" t="s">
        <v>394</v>
      </c>
      <c r="Z3881" s="2" t="s">
        <v>16148</v>
      </c>
      <c r="AA3881" s="2">
        <v>-0.82591130752321096</v>
      </c>
      <c r="AB3881" s="2">
        <v>0.184202191799792</v>
      </c>
      <c r="AC3881" s="2">
        <v>8750.3147916381095</v>
      </c>
      <c r="AD3881" s="2">
        <v>6130.2901307210896</v>
      </c>
      <c r="AE3881" s="2">
        <v>9257.6405627365893</v>
      </c>
      <c r="AF3881" s="2">
        <v>8679.1170574178905</v>
      </c>
      <c r="AG3881" s="2">
        <v>10943.221853548799</v>
      </c>
      <c r="AH3881" s="2">
        <v>7777.0087279689797</v>
      </c>
      <c r="AI3881" s="2">
        <v>8172.8446503306304</v>
      </c>
      <c r="AJ3881" s="2">
        <v>7672.0558978257704</v>
      </c>
      <c r="AK3881" s="2">
        <v>5664.6838367472801</v>
      </c>
      <c r="AL3881" s="2">
        <v>5815.4342424021097</v>
      </c>
      <c r="AM3881" s="2">
        <v>6522.6711627439199</v>
      </c>
      <c r="AN3881" s="2">
        <v>5981.3810179082002</v>
      </c>
      <c r="AO3881" s="2">
        <v>6183.8493868526903</v>
      </c>
      <c r="AP3881" s="2">
        <v>6613.7211376723299</v>
      </c>
    </row>
    <row r="3882" spans="1:42" ht="14.5" x14ac:dyDescent="0.35">
      <c r="A3882" s="2" t="s">
        <v>25799</v>
      </c>
      <c r="B3882" s="2">
        <v>869.59325226985402</v>
      </c>
      <c r="C3882" s="2">
        <v>8.7089333333333308</v>
      </c>
      <c r="D3882" s="2" t="s">
        <v>34</v>
      </c>
      <c r="E3882" s="2" t="s">
        <v>25800</v>
      </c>
      <c r="F3882" s="2">
        <v>220383</v>
      </c>
      <c r="G3882" s="3" t="str">
        <f>HYPERLINK("http://funmeta.oebiotech.com/network/220383", "http://funmeta.oebiotech.com/network/220383")</f>
        <v>http://funmeta.oebiotech.com/network/220383</v>
      </c>
      <c r="H3882" s="2" t="s">
        <v>25801</v>
      </c>
      <c r="I3882" s="2"/>
      <c r="J3882" s="2"/>
      <c r="K3882" s="2"/>
      <c r="L3882" s="2"/>
      <c r="M3882" s="2"/>
      <c r="N3882" s="2"/>
      <c r="O3882" s="2"/>
      <c r="P3882" s="2"/>
      <c r="Q3882" s="2" t="s">
        <v>25802</v>
      </c>
      <c r="R3882" s="2" t="s">
        <v>25803</v>
      </c>
      <c r="S3882" s="2" t="s">
        <v>41</v>
      </c>
      <c r="T3882" s="2" t="s">
        <v>41</v>
      </c>
      <c r="U3882" s="2" t="s">
        <v>41</v>
      </c>
      <c r="V3882" s="2" t="s">
        <v>59</v>
      </c>
      <c r="W3882" s="2">
        <v>36.5</v>
      </c>
      <c r="X3882" s="2">
        <v>0</v>
      </c>
      <c r="Y3882" s="2" t="s">
        <v>394</v>
      </c>
      <c r="Z3882" s="2" t="s">
        <v>25804</v>
      </c>
      <c r="AA3882" s="2">
        <v>3.48345168892783</v>
      </c>
      <c r="AB3882" s="2">
        <v>0.18418746133443001</v>
      </c>
      <c r="AC3882" s="2">
        <v>39765.023050535499</v>
      </c>
      <c r="AD3882" s="2">
        <v>45038.602691771797</v>
      </c>
      <c r="AE3882" s="2">
        <v>31730.141143774901</v>
      </c>
      <c r="AF3882" s="2">
        <v>44117.208494697399</v>
      </c>
      <c r="AG3882" s="2">
        <v>42148.215209709102</v>
      </c>
      <c r="AH3882" s="2">
        <v>39465.702192086203</v>
      </c>
      <c r="AI3882" s="2">
        <v>39894.688716746998</v>
      </c>
      <c r="AJ3882" s="2">
        <v>41234.182546198499</v>
      </c>
      <c r="AK3882" s="2">
        <v>51026.113867128501</v>
      </c>
      <c r="AL3882" s="2">
        <v>56018.7048309405</v>
      </c>
      <c r="AM3882" s="2">
        <v>46450.720769672698</v>
      </c>
      <c r="AN3882" s="2">
        <v>37589.562550359398</v>
      </c>
      <c r="AO3882" s="2">
        <v>40924.3844009124</v>
      </c>
      <c r="AP3882" s="2">
        <v>38222.129731617497</v>
      </c>
    </row>
    <row r="3883" spans="1:42" ht="14.5" x14ac:dyDescent="0.35">
      <c r="A3883" s="2" t="s">
        <v>25805</v>
      </c>
      <c r="B3883" s="2">
        <v>272.01734558852797</v>
      </c>
      <c r="C3883" s="2">
        <v>3.3347333333333302</v>
      </c>
      <c r="D3883" s="2" t="s">
        <v>70</v>
      </c>
      <c r="E3883" s="2" t="s">
        <v>25806</v>
      </c>
      <c r="F3883" s="2">
        <v>47462</v>
      </c>
      <c r="G3883" s="3" t="str">
        <f>HYPERLINK("http://funmeta.oebiotech.com/network/47462", "http://funmeta.oebiotech.com/network/47462")</f>
        <v>http://funmeta.oebiotech.com/network/47462</v>
      </c>
      <c r="H3883" s="2" t="s">
        <v>25807</v>
      </c>
      <c r="I3883" s="2">
        <v>63480</v>
      </c>
      <c r="J3883" s="2"/>
      <c r="K3883" s="2">
        <v>17798</v>
      </c>
      <c r="L3883" s="2" t="s">
        <v>25808</v>
      </c>
      <c r="M3883" s="2" t="s">
        <v>25809</v>
      </c>
      <c r="N3883" s="2" t="s">
        <v>25810</v>
      </c>
      <c r="O3883" s="2">
        <v>193475</v>
      </c>
      <c r="P3883" s="2" t="s">
        <v>25811</v>
      </c>
      <c r="Q3883" s="2" t="s">
        <v>25812</v>
      </c>
      <c r="R3883" s="2" t="s">
        <v>25813</v>
      </c>
      <c r="S3883" s="2" t="s">
        <v>89</v>
      </c>
      <c r="T3883" s="2" t="s">
        <v>90</v>
      </c>
      <c r="U3883" s="2" t="s">
        <v>99</v>
      </c>
      <c r="V3883" s="2" t="s">
        <v>59</v>
      </c>
      <c r="W3883" s="2">
        <v>39.6</v>
      </c>
      <c r="X3883" s="2">
        <v>3.39</v>
      </c>
      <c r="Y3883" s="2" t="s">
        <v>408</v>
      </c>
      <c r="Z3883" s="2" t="s">
        <v>25814</v>
      </c>
      <c r="AA3883" s="2">
        <v>-1.5222212621057101</v>
      </c>
      <c r="AB3883" s="2">
        <v>0.18413688995619401</v>
      </c>
      <c r="AC3883" s="2">
        <v>24409.758864065199</v>
      </c>
      <c r="AD3883" s="2">
        <v>27227.969994363099</v>
      </c>
      <c r="AE3883" s="2">
        <v>24416.334315279099</v>
      </c>
      <c r="AF3883" s="2">
        <v>24573.698361400999</v>
      </c>
      <c r="AG3883" s="2">
        <v>24743.195875648798</v>
      </c>
      <c r="AH3883" s="2">
        <v>23333.183479150499</v>
      </c>
      <c r="AI3883" s="2">
        <v>26185.509656538699</v>
      </c>
      <c r="AJ3883" s="2">
        <v>23206.631496372898</v>
      </c>
      <c r="AK3883" s="2">
        <v>26147.327231451101</v>
      </c>
      <c r="AL3883" s="2">
        <v>25887.219447723699</v>
      </c>
      <c r="AM3883" s="2">
        <v>28665.590838746299</v>
      </c>
      <c r="AN3883" s="2">
        <v>29130.033068884</v>
      </c>
      <c r="AO3883" s="2">
        <v>26283.076565014999</v>
      </c>
      <c r="AP3883" s="2">
        <v>27254.572814358598</v>
      </c>
    </row>
    <row r="3884" spans="1:42" ht="14.5" x14ac:dyDescent="0.35">
      <c r="A3884" s="2" t="s">
        <v>25815</v>
      </c>
      <c r="B3884" s="2">
        <v>505.22162072413897</v>
      </c>
      <c r="C3884" s="2">
        <v>5.3519166666666704</v>
      </c>
      <c r="D3884" s="2" t="s">
        <v>34</v>
      </c>
      <c r="E3884" s="2" t="s">
        <v>25816</v>
      </c>
      <c r="F3884" s="2">
        <v>219631</v>
      </c>
      <c r="G3884" s="3" t="str">
        <f>HYPERLINK("http://funmeta.oebiotech.com/network/219631", "http://funmeta.oebiotech.com/network/219631")</f>
        <v>http://funmeta.oebiotech.com/network/219631</v>
      </c>
      <c r="H3884" s="2" t="s">
        <v>25817</v>
      </c>
      <c r="I3884" s="2"/>
      <c r="J3884" s="2"/>
      <c r="K3884" s="2"/>
      <c r="L3884" s="2"/>
      <c r="M3884" s="2"/>
      <c r="N3884" s="2"/>
      <c r="O3884" s="2"/>
      <c r="P3884" s="2"/>
      <c r="Q3884" s="2" t="s">
        <v>25818</v>
      </c>
      <c r="R3884" s="2" t="s">
        <v>25819</v>
      </c>
      <c r="S3884" s="2" t="s">
        <v>41</v>
      </c>
      <c r="T3884" s="2" t="s">
        <v>41</v>
      </c>
      <c r="U3884" s="2" t="s">
        <v>41</v>
      </c>
      <c r="V3884" s="2" t="s">
        <v>59</v>
      </c>
      <c r="W3884" s="2">
        <v>38.9</v>
      </c>
      <c r="X3884" s="2">
        <v>0</v>
      </c>
      <c r="Y3884" s="2" t="s">
        <v>141</v>
      </c>
      <c r="Z3884" s="2" t="s">
        <v>25820</v>
      </c>
      <c r="AA3884" s="2">
        <v>3.6579741860698798</v>
      </c>
      <c r="AB3884" s="2">
        <v>0.18395923392522001</v>
      </c>
      <c r="AC3884" s="2">
        <v>49725.429690174897</v>
      </c>
      <c r="AD3884" s="2">
        <v>44637.417944747896</v>
      </c>
      <c r="AE3884" s="2">
        <v>50517.494417716902</v>
      </c>
      <c r="AF3884" s="2">
        <v>52262.2632338396</v>
      </c>
      <c r="AG3884" s="2">
        <v>49716.307800530398</v>
      </c>
      <c r="AH3884" s="2">
        <v>40233.0803669944</v>
      </c>
      <c r="AI3884" s="2">
        <v>50445.027129708797</v>
      </c>
      <c r="AJ3884" s="2">
        <v>55178.405192259503</v>
      </c>
      <c r="AK3884" s="2">
        <v>41014.055024681802</v>
      </c>
      <c r="AL3884" s="2">
        <v>48204.281547096303</v>
      </c>
      <c r="AM3884" s="2">
        <v>44839.4634202491</v>
      </c>
      <c r="AN3884" s="2">
        <v>54955.043209642703</v>
      </c>
      <c r="AO3884" s="2">
        <v>36967.0807103849</v>
      </c>
      <c r="AP3884" s="2">
        <v>41844.583756432803</v>
      </c>
    </row>
    <row r="3885" spans="1:42" ht="14.5" x14ac:dyDescent="0.35">
      <c r="A3885" s="2" t="s">
        <v>25821</v>
      </c>
      <c r="B3885" s="2">
        <v>609.30282502121804</v>
      </c>
      <c r="C3885" s="2">
        <v>9.7086333333333297</v>
      </c>
      <c r="D3885" s="2" t="s">
        <v>34</v>
      </c>
      <c r="E3885" s="2" t="s">
        <v>25822</v>
      </c>
      <c r="F3885" s="2">
        <v>24896</v>
      </c>
      <c r="G3885" s="3" t="str">
        <f>HYPERLINK("http://funmeta.oebiotech.com/network/24896", "http://funmeta.oebiotech.com/network/24896")</f>
        <v>http://funmeta.oebiotech.com/network/24896</v>
      </c>
      <c r="H3885" s="2"/>
      <c r="I3885" s="2"/>
      <c r="J3885" s="2" t="s">
        <v>25823</v>
      </c>
      <c r="K3885" s="2"/>
      <c r="L3885" s="2"/>
      <c r="M3885" s="2"/>
      <c r="N3885" s="2"/>
      <c r="O3885" s="2">
        <v>52928624</v>
      </c>
      <c r="P3885" s="2"/>
      <c r="Q3885" s="2" t="s">
        <v>25824</v>
      </c>
      <c r="R3885" s="2" t="s">
        <v>25825</v>
      </c>
      <c r="S3885" s="2" t="s">
        <v>50</v>
      </c>
      <c r="T3885" s="2" t="s">
        <v>51</v>
      </c>
      <c r="U3885" s="2" t="s">
        <v>52</v>
      </c>
      <c r="V3885" s="2" t="s">
        <v>59</v>
      </c>
      <c r="W3885" s="2">
        <v>37.4</v>
      </c>
      <c r="X3885" s="2">
        <v>0</v>
      </c>
      <c r="Y3885" s="2" t="s">
        <v>323</v>
      </c>
      <c r="Z3885" s="2" t="s">
        <v>25826</v>
      </c>
      <c r="AA3885" s="2">
        <v>3.05407615145492</v>
      </c>
      <c r="AB3885" s="2">
        <v>0.18385837419821999</v>
      </c>
      <c r="AC3885" s="2">
        <v>10013.4159924367</v>
      </c>
      <c r="AD3885" s="2">
        <v>7207.2573302944302</v>
      </c>
      <c r="AE3885" s="2">
        <v>11175.746402618101</v>
      </c>
      <c r="AF3885" s="2">
        <v>9596.9794269139093</v>
      </c>
      <c r="AG3885" s="2">
        <v>11367.9932795805</v>
      </c>
      <c r="AH3885" s="2">
        <v>9322.2001913150907</v>
      </c>
      <c r="AI3885" s="2">
        <v>8373.52461053753</v>
      </c>
      <c r="AJ3885" s="2">
        <v>10244.052043654799</v>
      </c>
      <c r="AK3885" s="2">
        <v>9410.8566478625798</v>
      </c>
      <c r="AL3885" s="2">
        <v>7815.8032447789701</v>
      </c>
      <c r="AM3885" s="2">
        <v>6715.3397583202204</v>
      </c>
      <c r="AN3885" s="2">
        <v>5451.3164898676896</v>
      </c>
      <c r="AO3885" s="2">
        <v>6750.2395121099398</v>
      </c>
      <c r="AP3885" s="2">
        <v>7099.9883288271803</v>
      </c>
    </row>
    <row r="3886" spans="1:42" ht="14.5" x14ac:dyDescent="0.35">
      <c r="A3886" s="2" t="s">
        <v>25827</v>
      </c>
      <c r="B3886" s="2">
        <v>370.29491570287098</v>
      </c>
      <c r="C3886" s="2">
        <v>10.5845</v>
      </c>
      <c r="D3886" s="2" t="s">
        <v>34</v>
      </c>
      <c r="E3886" s="2" t="s">
        <v>25828</v>
      </c>
      <c r="F3886" s="2">
        <v>2928</v>
      </c>
      <c r="G3886" s="3" t="str">
        <f>HYPERLINK("http://funmeta.oebiotech.com/network/2928", "http://funmeta.oebiotech.com/network/2928")</f>
        <v>http://funmeta.oebiotech.com/network/2928</v>
      </c>
      <c r="H3886" s="2"/>
      <c r="I3886" s="2"/>
      <c r="J3886" s="2" t="s">
        <v>25829</v>
      </c>
      <c r="K3886" s="2"/>
      <c r="L3886" s="2"/>
      <c r="M3886" s="2"/>
      <c r="N3886" s="2"/>
      <c r="O3886" s="2">
        <v>52921869</v>
      </c>
      <c r="P3886" s="2"/>
      <c r="Q3886" s="2" t="s">
        <v>25830</v>
      </c>
      <c r="R3886" s="2" t="s">
        <v>25831</v>
      </c>
      <c r="S3886" s="2" t="s">
        <v>50</v>
      </c>
      <c r="T3886" s="2" t="s">
        <v>229</v>
      </c>
      <c r="U3886" s="2" t="s">
        <v>433</v>
      </c>
      <c r="V3886" s="2" t="s">
        <v>59</v>
      </c>
      <c r="W3886" s="2">
        <v>39.6</v>
      </c>
      <c r="X3886" s="2">
        <v>4.62</v>
      </c>
      <c r="Y3886" s="2" t="s">
        <v>43</v>
      </c>
      <c r="Z3886" s="2" t="s">
        <v>9698</v>
      </c>
      <c r="AA3886" s="2">
        <v>-0.76494307824496599</v>
      </c>
      <c r="AB3886" s="2">
        <v>0.183821479370779</v>
      </c>
      <c r="AC3886" s="2">
        <v>4738.4997976553695</v>
      </c>
      <c r="AD3886" s="2">
        <v>2364.5987789411101</v>
      </c>
      <c r="AE3886" s="2">
        <v>4613.7297202008904</v>
      </c>
      <c r="AF3886" s="2">
        <v>4266.9875491908097</v>
      </c>
      <c r="AG3886" s="2">
        <v>4736.4153634755403</v>
      </c>
      <c r="AH3886" s="2">
        <v>5237.9828807207005</v>
      </c>
      <c r="AI3886" s="2">
        <v>4071.5137442094701</v>
      </c>
      <c r="AJ3886" s="2">
        <v>5504.36952813479</v>
      </c>
      <c r="AK3886" s="2">
        <v>2650.5580508520202</v>
      </c>
      <c r="AL3886" s="2">
        <v>2771.1667329472102</v>
      </c>
      <c r="AM3886" s="2">
        <v>2321.04646558989</v>
      </c>
      <c r="AN3886" s="2">
        <v>2750.2711597011198</v>
      </c>
      <c r="AO3886" s="2">
        <v>2094.9801541411598</v>
      </c>
      <c r="AP3886" s="2">
        <v>1599.5701104152599</v>
      </c>
    </row>
    <row r="3887" spans="1:42" ht="14.5" x14ac:dyDescent="0.35">
      <c r="A3887" s="2" t="s">
        <v>25832</v>
      </c>
      <c r="B3887" s="2">
        <v>477.175581145195</v>
      </c>
      <c r="C3887" s="2">
        <v>4.4710000000000001</v>
      </c>
      <c r="D3887" s="2" t="s">
        <v>70</v>
      </c>
      <c r="E3887" s="2" t="s">
        <v>25833</v>
      </c>
      <c r="F3887" s="2">
        <v>59690</v>
      </c>
      <c r="G3887" s="3" t="str">
        <f>HYPERLINK("http://funmeta.oebiotech.com/network/59690", "http://funmeta.oebiotech.com/network/59690")</f>
        <v>http://funmeta.oebiotech.com/network/59690</v>
      </c>
      <c r="H3887" s="2" t="s">
        <v>25834</v>
      </c>
      <c r="I3887" s="2"/>
      <c r="J3887" s="2"/>
      <c r="K3887" s="2"/>
      <c r="L3887" s="2"/>
      <c r="M3887" s="2"/>
      <c r="N3887" s="2"/>
      <c r="O3887" s="2">
        <v>71317586</v>
      </c>
      <c r="P3887" s="2" t="s">
        <v>25835</v>
      </c>
      <c r="Q3887" s="2" t="s">
        <v>25836</v>
      </c>
      <c r="R3887" s="2" t="s">
        <v>25837</v>
      </c>
      <c r="S3887" s="2" t="s">
        <v>50</v>
      </c>
      <c r="T3887" s="2" t="s">
        <v>201</v>
      </c>
      <c r="U3887" s="2" t="s">
        <v>636</v>
      </c>
      <c r="V3887" s="2" t="s">
        <v>59</v>
      </c>
      <c r="W3887" s="2">
        <v>42.3</v>
      </c>
      <c r="X3887" s="2">
        <v>24.5</v>
      </c>
      <c r="Y3887" s="2" t="s">
        <v>408</v>
      </c>
      <c r="Z3887" s="2" t="s">
        <v>16708</v>
      </c>
      <c r="AA3887" s="2">
        <v>-2.4054399798107502</v>
      </c>
      <c r="AB3887" s="2">
        <v>0.183766100746692</v>
      </c>
      <c r="AC3887" s="2">
        <v>14815.797399978999</v>
      </c>
      <c r="AD3887" s="2">
        <v>10584.9325138779</v>
      </c>
      <c r="AE3887" s="2">
        <v>12375.0281122299</v>
      </c>
      <c r="AF3887" s="2">
        <v>18336.389241450299</v>
      </c>
      <c r="AG3887" s="2">
        <v>18014.0525969218</v>
      </c>
      <c r="AH3887" s="2">
        <v>13402.686531675499</v>
      </c>
      <c r="AI3887" s="2">
        <v>17142.254512428801</v>
      </c>
      <c r="AJ3887" s="2">
        <v>9624.3734051679294</v>
      </c>
      <c r="AK3887" s="2">
        <v>7261.10189791015</v>
      </c>
      <c r="AL3887" s="2">
        <v>6859.3587722290504</v>
      </c>
      <c r="AM3887" s="2">
        <v>16482.092006317002</v>
      </c>
      <c r="AN3887" s="2">
        <v>7737.0574620800498</v>
      </c>
      <c r="AO3887" s="2">
        <v>12195.697056208601</v>
      </c>
      <c r="AP3887" s="2">
        <v>12974.2878885224</v>
      </c>
    </row>
    <row r="3888" spans="1:42" ht="14.5" x14ac:dyDescent="0.35">
      <c r="A3888" s="2" t="s">
        <v>25838</v>
      </c>
      <c r="B3888" s="2">
        <v>672.28877186509101</v>
      </c>
      <c r="C3888" s="2">
        <v>7.7650499999999996</v>
      </c>
      <c r="D3888" s="2" t="s">
        <v>70</v>
      </c>
      <c r="E3888" s="2" t="s">
        <v>25839</v>
      </c>
      <c r="F3888" s="2">
        <v>209632</v>
      </c>
      <c r="G3888" s="3" t="str">
        <f>HYPERLINK("http://funmeta.oebiotech.com/network/209632", "http://funmeta.oebiotech.com/network/209632")</f>
        <v>http://funmeta.oebiotech.com/network/209632</v>
      </c>
      <c r="H3888" s="2" t="s">
        <v>25840</v>
      </c>
      <c r="I3888" s="2"/>
      <c r="J3888" s="2"/>
      <c r="K3888" s="2"/>
      <c r="L3888" s="2"/>
      <c r="M3888" s="2"/>
      <c r="N3888" s="2"/>
      <c r="O3888" s="2">
        <v>10462316</v>
      </c>
      <c r="P3888" s="2"/>
      <c r="Q3888" s="2" t="s">
        <v>25841</v>
      </c>
      <c r="R3888" s="2" t="s">
        <v>25842</v>
      </c>
      <c r="S3888" s="2" t="s">
        <v>41</v>
      </c>
      <c r="T3888" s="2" t="s">
        <v>41</v>
      </c>
      <c r="U3888" s="2" t="s">
        <v>41</v>
      </c>
      <c r="V3888" s="2" t="s">
        <v>59</v>
      </c>
      <c r="W3888" s="2">
        <v>36.4</v>
      </c>
      <c r="X3888" s="2">
        <v>0</v>
      </c>
      <c r="Y3888" s="2" t="s">
        <v>751</v>
      </c>
      <c r="Z3888" s="2" t="s">
        <v>25843</v>
      </c>
      <c r="AA3888" s="2">
        <v>3.8234714925013402</v>
      </c>
      <c r="AB3888" s="2">
        <v>0.18365606808457499</v>
      </c>
      <c r="AC3888" s="2">
        <v>2751.5773578779799</v>
      </c>
      <c r="AD3888" s="2">
        <v>502.19900770556097</v>
      </c>
      <c r="AE3888" s="2">
        <v>2888.7340850759301</v>
      </c>
      <c r="AF3888" s="2">
        <v>3091.6742509904602</v>
      </c>
      <c r="AG3888" s="2">
        <v>2752.85689703258</v>
      </c>
      <c r="AH3888" s="2">
        <v>2294.8474372928299</v>
      </c>
      <c r="AI3888" s="2">
        <v>2825.6095779706998</v>
      </c>
      <c r="AJ3888" s="2">
        <v>2655.7418989053899</v>
      </c>
      <c r="AK3888" s="2">
        <v>550.84881828356095</v>
      </c>
      <c r="AL3888" s="2">
        <v>830.56655794112396</v>
      </c>
      <c r="AM3888" s="2">
        <v>484.650122502199</v>
      </c>
      <c r="AN3888" s="2">
        <v>370.42625155613501</v>
      </c>
      <c r="AO3888" s="2">
        <v>505.89712072034098</v>
      </c>
      <c r="AP3888" s="2">
        <v>270.80517523000901</v>
      </c>
    </row>
    <row r="3889" spans="1:42" ht="14.5" x14ac:dyDescent="0.35">
      <c r="A3889" s="2" t="s">
        <v>25844</v>
      </c>
      <c r="B3889" s="2">
        <v>280.11763135270002</v>
      </c>
      <c r="C3889" s="2">
        <v>8.6366999999999994</v>
      </c>
      <c r="D3889" s="2" t="s">
        <v>34</v>
      </c>
      <c r="E3889" s="2" t="s">
        <v>25845</v>
      </c>
      <c r="F3889" s="2">
        <v>199167</v>
      </c>
      <c r="G3889" s="3" t="str">
        <f>HYPERLINK("http://funmeta.oebiotech.com/network/199167", "http://funmeta.oebiotech.com/network/199167")</f>
        <v>http://funmeta.oebiotech.com/network/199167</v>
      </c>
      <c r="H3889" s="2" t="s">
        <v>25846</v>
      </c>
      <c r="I3889" s="2"/>
      <c r="J3889" s="2"/>
      <c r="K3889" s="2">
        <v>168011</v>
      </c>
      <c r="L3889" s="2"/>
      <c r="M3889" s="2"/>
      <c r="N3889" s="2"/>
      <c r="O3889" s="2">
        <v>253856</v>
      </c>
      <c r="P3889" s="2"/>
      <c r="Q3889" s="2" t="s">
        <v>25847</v>
      </c>
      <c r="R3889" s="2" t="s">
        <v>25848</v>
      </c>
      <c r="S3889" s="2" t="s">
        <v>115</v>
      </c>
      <c r="T3889" s="2" t="s">
        <v>758</v>
      </c>
      <c r="U3889" s="2" t="s">
        <v>6655</v>
      </c>
      <c r="V3889" s="2" t="s">
        <v>42</v>
      </c>
      <c r="W3889" s="2">
        <v>47.3</v>
      </c>
      <c r="X3889" s="2">
        <v>46.5</v>
      </c>
      <c r="Y3889" s="2" t="s">
        <v>43</v>
      </c>
      <c r="Z3889" s="2" t="s">
        <v>25849</v>
      </c>
      <c r="AA3889" s="2">
        <v>-1.21229808278066</v>
      </c>
      <c r="AB3889" s="2">
        <v>0.18340209672622501</v>
      </c>
      <c r="AC3889" s="2">
        <v>3183.8428604804199</v>
      </c>
      <c r="AD3889" s="2">
        <v>741.72055280287202</v>
      </c>
      <c r="AE3889" s="2">
        <v>2370.5054455652098</v>
      </c>
      <c r="AF3889" s="2">
        <v>3405.02479455704</v>
      </c>
      <c r="AG3889" s="2">
        <v>3505.2809434634801</v>
      </c>
      <c r="AH3889" s="2">
        <v>3941.3077848505</v>
      </c>
      <c r="AI3889" s="2">
        <v>3215.9572255964399</v>
      </c>
      <c r="AJ3889" s="2">
        <v>2664.9809688498299</v>
      </c>
      <c r="AK3889" s="2">
        <v>2.7106294003980101E-5</v>
      </c>
      <c r="AL3889" s="2">
        <v>1842.94501386053</v>
      </c>
      <c r="AM3889" s="2">
        <v>2.7106294003980101E-5</v>
      </c>
      <c r="AN3889" s="2">
        <v>1042.7054728437899</v>
      </c>
      <c r="AO3889" s="2">
        <v>714.75089627904299</v>
      </c>
      <c r="AP3889" s="2">
        <v>849.92187962128401</v>
      </c>
    </row>
    <row r="3890" spans="1:42" ht="14.5" x14ac:dyDescent="0.35">
      <c r="A3890" s="2" t="s">
        <v>25850</v>
      </c>
      <c r="B3890" s="2">
        <v>131.04906661876799</v>
      </c>
      <c r="C3890" s="2">
        <v>4.5826500000000001</v>
      </c>
      <c r="D3890" s="2" t="s">
        <v>34</v>
      </c>
      <c r="E3890" s="2" t="s">
        <v>25851</v>
      </c>
      <c r="F3890" s="2">
        <v>47304</v>
      </c>
      <c r="G3890" s="3" t="str">
        <f>HYPERLINK("http://funmeta.oebiotech.com/network/47304", "http://funmeta.oebiotech.com/network/47304")</f>
        <v>http://funmeta.oebiotech.com/network/47304</v>
      </c>
      <c r="H3890" s="2" t="s">
        <v>25852</v>
      </c>
      <c r="I3890" s="2">
        <v>310</v>
      </c>
      <c r="J3890" s="2"/>
      <c r="K3890" s="2">
        <v>35697</v>
      </c>
      <c r="L3890" s="2" t="s">
        <v>25853</v>
      </c>
      <c r="M3890" s="2"/>
      <c r="N3890" s="2"/>
      <c r="O3890" s="2">
        <v>444539</v>
      </c>
      <c r="P3890" s="2" t="s">
        <v>25854</v>
      </c>
      <c r="Q3890" s="2" t="s">
        <v>25855</v>
      </c>
      <c r="R3890" s="2" t="s">
        <v>25856</v>
      </c>
      <c r="S3890" s="2" t="s">
        <v>115</v>
      </c>
      <c r="T3890" s="2" t="s">
        <v>116</v>
      </c>
      <c r="U3890" s="2" t="s">
        <v>25317</v>
      </c>
      <c r="V3890" s="2" t="s">
        <v>42</v>
      </c>
      <c r="W3890" s="2">
        <v>48.8</v>
      </c>
      <c r="X3890" s="2">
        <v>48</v>
      </c>
      <c r="Y3890" s="2" t="s">
        <v>141</v>
      </c>
      <c r="Z3890" s="2" t="s">
        <v>12632</v>
      </c>
      <c r="AA3890" s="2">
        <v>-0.50405732565912797</v>
      </c>
      <c r="AB3890" s="2">
        <v>0.18333363774492101</v>
      </c>
      <c r="AC3890" s="2">
        <v>51940.667962557804</v>
      </c>
      <c r="AD3890" s="2">
        <v>55680.283756001198</v>
      </c>
      <c r="AE3890" s="2">
        <v>48731.237800402298</v>
      </c>
      <c r="AF3890" s="2">
        <v>55587.153005210697</v>
      </c>
      <c r="AG3890" s="2">
        <v>53136.363664445002</v>
      </c>
      <c r="AH3890" s="2">
        <v>49459.3545575635</v>
      </c>
      <c r="AI3890" s="2">
        <v>52924.304998756903</v>
      </c>
      <c r="AJ3890" s="2">
        <v>51805.5937489684</v>
      </c>
      <c r="AK3890" s="2">
        <v>56576.452176256797</v>
      </c>
      <c r="AL3890" s="2">
        <v>54880.579770869503</v>
      </c>
      <c r="AM3890" s="2">
        <v>53503.332867462501</v>
      </c>
      <c r="AN3890" s="2">
        <v>60677.092792576099</v>
      </c>
      <c r="AO3890" s="2">
        <v>51769.691626621898</v>
      </c>
      <c r="AP3890" s="2">
        <v>56674.5533022202</v>
      </c>
    </row>
    <row r="3891" spans="1:42" ht="14.5" x14ac:dyDescent="0.35">
      <c r="A3891" s="2" t="s">
        <v>25857</v>
      </c>
      <c r="B3891" s="2">
        <v>471.08550950033703</v>
      </c>
      <c r="C3891" s="2">
        <v>5.0778999999999996</v>
      </c>
      <c r="D3891" s="2" t="s">
        <v>70</v>
      </c>
      <c r="E3891" s="2" t="s">
        <v>25858</v>
      </c>
      <c r="F3891" s="2">
        <v>47142</v>
      </c>
      <c r="G3891" s="3" t="str">
        <f>HYPERLINK("http://funmeta.oebiotech.com/network/47142", "http://funmeta.oebiotech.com/network/47142")</f>
        <v>http://funmeta.oebiotech.com/network/47142</v>
      </c>
      <c r="H3891" s="2" t="s">
        <v>25859</v>
      </c>
      <c r="I3891" s="2">
        <v>5628</v>
      </c>
      <c r="J3891" s="2"/>
      <c r="K3891" s="2">
        <v>143243</v>
      </c>
      <c r="L3891" s="2"/>
      <c r="M3891" s="2"/>
      <c r="N3891" s="2"/>
      <c r="O3891" s="2">
        <v>53477713</v>
      </c>
      <c r="P3891" s="2" t="s">
        <v>25860</v>
      </c>
      <c r="Q3891" s="2" t="s">
        <v>25861</v>
      </c>
      <c r="R3891" s="2" t="s">
        <v>25862</v>
      </c>
      <c r="S3891" s="2" t="s">
        <v>89</v>
      </c>
      <c r="T3891" s="2" t="s">
        <v>90</v>
      </c>
      <c r="U3891" s="2" t="s">
        <v>99</v>
      </c>
      <c r="V3891" s="2" t="s">
        <v>59</v>
      </c>
      <c r="W3891" s="2">
        <v>38.4</v>
      </c>
      <c r="X3891" s="2">
        <v>0</v>
      </c>
      <c r="Y3891" s="2" t="s">
        <v>408</v>
      </c>
      <c r="Z3891" s="2" t="s">
        <v>25863</v>
      </c>
      <c r="AA3891" s="2">
        <v>-1.4059326143597399</v>
      </c>
      <c r="AB3891" s="2">
        <v>0.183249015057004</v>
      </c>
      <c r="AC3891" s="2">
        <v>9205.4287370286693</v>
      </c>
      <c r="AD3891" s="2">
        <v>11994.365759840701</v>
      </c>
      <c r="AE3891" s="2">
        <v>8079.6647964373697</v>
      </c>
      <c r="AF3891" s="2">
        <v>8682.5011999283906</v>
      </c>
      <c r="AG3891" s="2">
        <v>9499.8952436381405</v>
      </c>
      <c r="AH3891" s="2">
        <v>9750.6295405139008</v>
      </c>
      <c r="AI3891" s="2">
        <v>8510.6731552529309</v>
      </c>
      <c r="AJ3891" s="2">
        <v>10709.2084864013</v>
      </c>
      <c r="AK3891" s="2">
        <v>11757.6418269596</v>
      </c>
      <c r="AL3891" s="2">
        <v>11548.5326461692</v>
      </c>
      <c r="AM3891" s="2">
        <v>11835.019623901801</v>
      </c>
      <c r="AN3891" s="2">
        <v>14533.889193445901</v>
      </c>
      <c r="AO3891" s="2">
        <v>12007.834687541599</v>
      </c>
      <c r="AP3891" s="2">
        <v>10283.276581026301</v>
      </c>
    </row>
    <row r="3892" spans="1:42" ht="14.5" x14ac:dyDescent="0.35">
      <c r="A3892" s="2" t="s">
        <v>25864</v>
      </c>
      <c r="B3892" s="2">
        <v>305.012181413203</v>
      </c>
      <c r="C3892" s="2">
        <v>1.0192000000000001</v>
      </c>
      <c r="D3892" s="2" t="s">
        <v>70</v>
      </c>
      <c r="E3892" s="2" t="s">
        <v>25865</v>
      </c>
      <c r="F3892" s="2">
        <v>258405</v>
      </c>
      <c r="G3892" s="3" t="str">
        <f>HYPERLINK("http://funmeta.oebiotech.com/network/258405", "http://funmeta.oebiotech.com/network/258405")</f>
        <v>http://funmeta.oebiotech.com/network/258405</v>
      </c>
      <c r="H3892" s="2" t="s">
        <v>25866</v>
      </c>
      <c r="I3892" s="2">
        <v>5927</v>
      </c>
      <c r="J3892" s="2"/>
      <c r="K3892" s="2"/>
      <c r="L3892" s="2" t="s">
        <v>25867</v>
      </c>
      <c r="M3892" s="2" t="s">
        <v>25868</v>
      </c>
      <c r="N3892" s="2" t="s">
        <v>25869</v>
      </c>
      <c r="O3892" s="2">
        <v>439270</v>
      </c>
      <c r="P3892" s="2" t="s">
        <v>25870</v>
      </c>
      <c r="Q3892" s="2" t="s">
        <v>25871</v>
      </c>
      <c r="R3892" s="2" t="s">
        <v>25872</v>
      </c>
      <c r="S3892" s="2" t="s">
        <v>89</v>
      </c>
      <c r="T3892" s="2" t="s">
        <v>90</v>
      </c>
      <c r="U3892" s="2" t="s">
        <v>99</v>
      </c>
      <c r="V3892" s="2" t="s">
        <v>59</v>
      </c>
      <c r="W3892" s="2">
        <v>38.4</v>
      </c>
      <c r="X3892" s="2">
        <v>0</v>
      </c>
      <c r="Y3892" s="2" t="s">
        <v>560</v>
      </c>
      <c r="Z3892" s="2" t="s">
        <v>25873</v>
      </c>
      <c r="AA3892" s="2">
        <v>0.98173639060444295</v>
      </c>
      <c r="AB3892" s="2">
        <v>0.18315692127390101</v>
      </c>
      <c r="AC3892" s="2">
        <v>5995.1290471152297</v>
      </c>
      <c r="AD3892" s="2">
        <v>2890.4156456518599</v>
      </c>
      <c r="AE3892" s="2">
        <v>5056.7106127609704</v>
      </c>
      <c r="AF3892" s="2">
        <v>8414.61098591072</v>
      </c>
      <c r="AG3892" s="2">
        <v>5421.8720808070502</v>
      </c>
      <c r="AH3892" s="2">
        <v>8010.2349863215004</v>
      </c>
      <c r="AI3892" s="2">
        <v>6526.0859070018496</v>
      </c>
      <c r="AJ3892" s="2">
        <v>2541.2597098893002</v>
      </c>
      <c r="AK3892" s="2">
        <v>3946.2119404013501</v>
      </c>
      <c r="AL3892" s="2">
        <v>1411.2477250842101</v>
      </c>
      <c r="AM3892" s="2">
        <v>3615.3221844253699</v>
      </c>
      <c r="AN3892" s="2">
        <v>1896.7032009862901</v>
      </c>
      <c r="AO3892" s="2">
        <v>3268.6306875984801</v>
      </c>
      <c r="AP3892" s="2">
        <v>3204.3781354154398</v>
      </c>
    </row>
    <row r="3893" spans="1:42" ht="14.5" x14ac:dyDescent="0.35">
      <c r="A3893" s="2" t="s">
        <v>25874</v>
      </c>
      <c r="B3893" s="2">
        <v>287.22260010350499</v>
      </c>
      <c r="C3893" s="2">
        <v>7.4513499999999997</v>
      </c>
      <c r="D3893" s="2" t="s">
        <v>70</v>
      </c>
      <c r="E3893" s="2" t="s">
        <v>25875</v>
      </c>
      <c r="F3893" s="2">
        <v>62</v>
      </c>
      <c r="G3893" s="3" t="str">
        <f>HYPERLINK("http://funmeta.oebiotech.com/network/62", "http://funmeta.oebiotech.com/network/62")</f>
        <v>http://funmeta.oebiotech.com/network/62</v>
      </c>
      <c r="H3893" s="2" t="s">
        <v>25876</v>
      </c>
      <c r="I3893" s="2">
        <v>4205</v>
      </c>
      <c r="J3893" s="2" t="s">
        <v>25877</v>
      </c>
      <c r="K3893" s="2">
        <v>42504</v>
      </c>
      <c r="L3893" s="2" t="s">
        <v>25878</v>
      </c>
      <c r="M3893" s="2"/>
      <c r="N3893" s="2"/>
      <c r="O3893" s="2">
        <v>13849</v>
      </c>
      <c r="P3893" s="2" t="s">
        <v>25879</v>
      </c>
      <c r="Q3893" s="2" t="s">
        <v>25880</v>
      </c>
      <c r="R3893" s="2" t="s">
        <v>25881</v>
      </c>
      <c r="S3893" s="2" t="s">
        <v>50</v>
      </c>
      <c r="T3893" s="2" t="s">
        <v>229</v>
      </c>
      <c r="U3893" s="2" t="s">
        <v>433</v>
      </c>
      <c r="V3893" s="2" t="s">
        <v>59</v>
      </c>
      <c r="W3893" s="2">
        <v>42.4</v>
      </c>
      <c r="X3893" s="2">
        <v>14.3</v>
      </c>
      <c r="Y3893" s="2" t="s">
        <v>408</v>
      </c>
      <c r="Z3893" s="2" t="s">
        <v>25882</v>
      </c>
      <c r="AA3893" s="2">
        <v>-0.75536394647918903</v>
      </c>
      <c r="AB3893" s="2">
        <v>0.18315426626935699</v>
      </c>
      <c r="AC3893" s="2">
        <v>24087.890195152198</v>
      </c>
      <c r="AD3893" s="2">
        <v>21358.485435477702</v>
      </c>
      <c r="AE3893" s="2">
        <v>25465.5768369488</v>
      </c>
      <c r="AF3893" s="2">
        <v>24934.3840870561</v>
      </c>
      <c r="AG3893" s="2">
        <v>23544.564601278002</v>
      </c>
      <c r="AH3893" s="2">
        <v>24508.811383994002</v>
      </c>
      <c r="AI3893" s="2">
        <v>23214.448362322801</v>
      </c>
      <c r="AJ3893" s="2">
        <v>22859.5558993132</v>
      </c>
      <c r="AK3893" s="2">
        <v>22131.7628902818</v>
      </c>
      <c r="AL3893" s="2">
        <v>21833.617669704101</v>
      </c>
      <c r="AM3893" s="2">
        <v>22750.1736504453</v>
      </c>
      <c r="AN3893" s="2">
        <v>21017.849824616002</v>
      </c>
      <c r="AO3893" s="2">
        <v>19314.484388071502</v>
      </c>
      <c r="AP3893" s="2">
        <v>21103.024189747601</v>
      </c>
    </row>
    <row r="3894" spans="1:42" ht="14.5" x14ac:dyDescent="0.35">
      <c r="A3894" s="2" t="s">
        <v>25883</v>
      </c>
      <c r="B3894" s="2">
        <v>503.371300922508</v>
      </c>
      <c r="C3894" s="2">
        <v>12.645483333333299</v>
      </c>
      <c r="D3894" s="2" t="s">
        <v>34</v>
      </c>
      <c r="E3894" s="2" t="s">
        <v>25884</v>
      </c>
      <c r="F3894" s="2">
        <v>61273</v>
      </c>
      <c r="G3894" s="3" t="str">
        <f>HYPERLINK("http://funmeta.oebiotech.com/network/61273", "http://funmeta.oebiotech.com/network/61273")</f>
        <v>http://funmeta.oebiotech.com/network/61273</v>
      </c>
      <c r="H3894" s="2" t="s">
        <v>25885</v>
      </c>
      <c r="I3894" s="2"/>
      <c r="J3894" s="2"/>
      <c r="K3894" s="2"/>
      <c r="L3894" s="2"/>
      <c r="M3894" s="2"/>
      <c r="N3894" s="2"/>
      <c r="O3894" s="2">
        <v>15602270</v>
      </c>
      <c r="P3894" s="2" t="s">
        <v>25886</v>
      </c>
      <c r="Q3894" s="2" t="s">
        <v>25887</v>
      </c>
      <c r="R3894" s="2" t="s">
        <v>25888</v>
      </c>
      <c r="S3894" s="2" t="s">
        <v>50</v>
      </c>
      <c r="T3894" s="2" t="s">
        <v>201</v>
      </c>
      <c r="U3894" s="2" t="s">
        <v>210</v>
      </c>
      <c r="V3894" s="2" t="s">
        <v>59</v>
      </c>
      <c r="W3894" s="2">
        <v>37.4</v>
      </c>
      <c r="X3894" s="2">
        <v>0</v>
      </c>
      <c r="Y3894" s="2" t="s">
        <v>394</v>
      </c>
      <c r="Z3894" s="2" t="s">
        <v>25889</v>
      </c>
      <c r="AA3894" s="2">
        <v>-3.5834658798072199</v>
      </c>
      <c r="AB3894" s="2">
        <v>0.18311811627552699</v>
      </c>
      <c r="AC3894" s="2">
        <v>3278.4215565862701</v>
      </c>
      <c r="AD3894" s="2">
        <v>1010.18420230267</v>
      </c>
      <c r="AE3894" s="2">
        <v>3614.9238182039298</v>
      </c>
      <c r="AF3894" s="2">
        <v>2856.02553100453</v>
      </c>
      <c r="AG3894" s="2">
        <v>3169.74455587692</v>
      </c>
      <c r="AH3894" s="2">
        <v>3594.1127341572301</v>
      </c>
      <c r="AI3894" s="2">
        <v>3196.1196644953802</v>
      </c>
      <c r="AJ3894" s="2">
        <v>3239.6030357796099</v>
      </c>
      <c r="AK3894" s="2">
        <v>1489.0805368332301</v>
      </c>
      <c r="AL3894" s="2">
        <v>1380.6539916503</v>
      </c>
      <c r="AM3894" s="2">
        <v>620.56462415999499</v>
      </c>
      <c r="AN3894" s="2">
        <v>908.28182602481695</v>
      </c>
      <c r="AO3894" s="2">
        <v>915.55580682267203</v>
      </c>
      <c r="AP3894" s="2">
        <v>746.96842832499101</v>
      </c>
    </row>
    <row r="3895" spans="1:42" ht="14.5" x14ac:dyDescent="0.35">
      <c r="A3895" s="2" t="s">
        <v>25890</v>
      </c>
      <c r="B3895" s="2">
        <v>483.15115963928503</v>
      </c>
      <c r="C3895" s="2">
        <v>4.9166499999999997</v>
      </c>
      <c r="D3895" s="2" t="s">
        <v>70</v>
      </c>
      <c r="E3895" s="2" t="s">
        <v>25891</v>
      </c>
      <c r="F3895" s="2">
        <v>61567</v>
      </c>
      <c r="G3895" s="3" t="str">
        <f>HYPERLINK("http://funmeta.oebiotech.com/network/61567", "http://funmeta.oebiotech.com/network/61567")</f>
        <v>http://funmeta.oebiotech.com/network/61567</v>
      </c>
      <c r="H3895" s="2" t="s">
        <v>25892</v>
      </c>
      <c r="I3895" s="2">
        <v>92874</v>
      </c>
      <c r="J3895" s="2"/>
      <c r="K3895" s="2">
        <v>172481</v>
      </c>
      <c r="L3895" s="2"/>
      <c r="M3895" s="2"/>
      <c r="N3895" s="2"/>
      <c r="O3895" s="2">
        <v>12310086</v>
      </c>
      <c r="P3895" s="2"/>
      <c r="Q3895" s="2" t="s">
        <v>25893</v>
      </c>
      <c r="R3895" s="2" t="s">
        <v>25894</v>
      </c>
      <c r="S3895" s="2" t="s">
        <v>89</v>
      </c>
      <c r="T3895" s="2" t="s">
        <v>90</v>
      </c>
      <c r="U3895" s="2" t="s">
        <v>22612</v>
      </c>
      <c r="V3895" s="2" t="s">
        <v>59</v>
      </c>
      <c r="W3895" s="2">
        <v>39.4</v>
      </c>
      <c r="X3895" s="2">
        <v>0</v>
      </c>
      <c r="Y3895" s="2" t="s">
        <v>560</v>
      </c>
      <c r="Z3895" s="2" t="s">
        <v>25895</v>
      </c>
      <c r="AA3895" s="2">
        <v>0.74301890839725004</v>
      </c>
      <c r="AB3895" s="2">
        <v>0.182842687768554</v>
      </c>
      <c r="AC3895" s="2">
        <v>4055.6432580023302</v>
      </c>
      <c r="AD3895" s="2">
        <v>6662.7056404695204</v>
      </c>
      <c r="AE3895" s="2">
        <v>3469.8276025925802</v>
      </c>
      <c r="AF3895" s="2">
        <v>5248.8559693487496</v>
      </c>
      <c r="AG3895" s="2">
        <v>3809.3255298905901</v>
      </c>
      <c r="AH3895" s="2">
        <v>3072.6689210699301</v>
      </c>
      <c r="AI3895" s="2">
        <v>5329.1855079786001</v>
      </c>
      <c r="AJ3895" s="2">
        <v>3403.9960171335101</v>
      </c>
      <c r="AK3895" s="2">
        <v>6191.8375642107903</v>
      </c>
      <c r="AL3895" s="2">
        <v>6410.7468815899501</v>
      </c>
      <c r="AM3895" s="2">
        <v>6584.93808944373</v>
      </c>
      <c r="AN3895" s="2">
        <v>5602.9152187402697</v>
      </c>
      <c r="AO3895" s="2">
        <v>7034.2454920439304</v>
      </c>
      <c r="AP3895" s="2">
        <v>8151.5505967884501</v>
      </c>
    </row>
    <row r="3896" spans="1:42" ht="14.5" x14ac:dyDescent="0.35">
      <c r="A3896" s="2" t="s">
        <v>25896</v>
      </c>
      <c r="B3896" s="2">
        <v>289.05277715413001</v>
      </c>
      <c r="C3896" s="2">
        <v>0.78071666666666695</v>
      </c>
      <c r="D3896" s="2" t="s">
        <v>34</v>
      </c>
      <c r="E3896" s="2" t="s">
        <v>25897</v>
      </c>
      <c r="F3896" s="2">
        <v>200374</v>
      </c>
      <c r="G3896" s="3" t="str">
        <f>HYPERLINK("http://funmeta.oebiotech.com/network/200374", "http://funmeta.oebiotech.com/network/200374")</f>
        <v>http://funmeta.oebiotech.com/network/200374</v>
      </c>
      <c r="H3896" s="2" t="s">
        <v>25898</v>
      </c>
      <c r="I3896" s="2"/>
      <c r="J3896" s="2"/>
      <c r="K3896" s="2"/>
      <c r="L3896" s="2"/>
      <c r="M3896" s="2"/>
      <c r="N3896" s="2"/>
      <c r="O3896" s="2">
        <v>45030936</v>
      </c>
      <c r="P3896" s="2"/>
      <c r="Q3896" s="2" t="s">
        <v>25899</v>
      </c>
      <c r="R3896" s="2" t="s">
        <v>25900</v>
      </c>
      <c r="S3896" s="2" t="s">
        <v>41</v>
      </c>
      <c r="T3896" s="2" t="s">
        <v>41</v>
      </c>
      <c r="U3896" s="2" t="s">
        <v>41</v>
      </c>
      <c r="V3896" s="2" t="s">
        <v>59</v>
      </c>
      <c r="W3896" s="2">
        <v>36.1</v>
      </c>
      <c r="X3896" s="2">
        <v>0</v>
      </c>
      <c r="Y3896" s="2" t="s">
        <v>568</v>
      </c>
      <c r="Z3896" s="2" t="s">
        <v>25901</v>
      </c>
      <c r="AA3896" s="2">
        <v>3.1468274029391901</v>
      </c>
      <c r="AB3896" s="2">
        <v>0.18274530748318599</v>
      </c>
      <c r="AC3896" s="2">
        <v>12139.5740823046</v>
      </c>
      <c r="AD3896" s="2">
        <v>9365.0252281997491</v>
      </c>
      <c r="AE3896" s="2">
        <v>12625.4592458016</v>
      </c>
      <c r="AF3896" s="2">
        <v>10390.496866392899</v>
      </c>
      <c r="AG3896" s="2">
        <v>12438.343888609101</v>
      </c>
      <c r="AH3896" s="2">
        <v>11575.421387296101</v>
      </c>
      <c r="AI3896" s="2">
        <v>11786.6705991243</v>
      </c>
      <c r="AJ3896" s="2">
        <v>14021.052506603801</v>
      </c>
      <c r="AK3896" s="2">
        <v>10520.339556798799</v>
      </c>
      <c r="AL3896" s="2">
        <v>10459.2351912744</v>
      </c>
      <c r="AM3896" s="2">
        <v>9281.1940450136299</v>
      </c>
      <c r="AN3896" s="2">
        <v>8195.4672560211802</v>
      </c>
      <c r="AO3896" s="2">
        <v>7730.3761386347796</v>
      </c>
      <c r="AP3896" s="2">
        <v>10003.539181455701</v>
      </c>
    </row>
    <row r="3897" spans="1:42" ht="14.5" x14ac:dyDescent="0.35">
      <c r="A3897" s="2" t="s">
        <v>25902</v>
      </c>
      <c r="B3897" s="2">
        <v>473.16633876047501</v>
      </c>
      <c r="C3897" s="2">
        <v>1.82663333333333</v>
      </c>
      <c r="D3897" s="2" t="s">
        <v>70</v>
      </c>
      <c r="E3897" s="2" t="s">
        <v>25903</v>
      </c>
      <c r="F3897" s="2">
        <v>47048</v>
      </c>
      <c r="G3897" s="3" t="str">
        <f>HYPERLINK("http://funmeta.oebiotech.com/network/47048", "http://funmeta.oebiotech.com/network/47048")</f>
        <v>http://funmeta.oebiotech.com/network/47048</v>
      </c>
      <c r="H3897" s="2" t="s">
        <v>25904</v>
      </c>
      <c r="I3897" s="2">
        <v>247</v>
      </c>
      <c r="J3897" s="2"/>
      <c r="K3897" s="2">
        <v>63931</v>
      </c>
      <c r="L3897" s="2" t="s">
        <v>25905</v>
      </c>
      <c r="M3897" s="2" t="s">
        <v>23498</v>
      </c>
      <c r="N3897" s="2" t="s">
        <v>23499</v>
      </c>
      <c r="O3897" s="2">
        <v>445040</v>
      </c>
      <c r="P3897" s="2" t="s">
        <v>25906</v>
      </c>
      <c r="Q3897" s="2" t="s">
        <v>25907</v>
      </c>
      <c r="R3897" s="2" t="s">
        <v>25908</v>
      </c>
      <c r="S3897" s="2" t="s">
        <v>491</v>
      </c>
      <c r="T3897" s="2" t="s">
        <v>4914</v>
      </c>
      <c r="U3897" s="2" t="s">
        <v>4915</v>
      </c>
      <c r="V3897" s="2" t="s">
        <v>59</v>
      </c>
      <c r="W3897" s="2">
        <v>39.1</v>
      </c>
      <c r="X3897" s="2">
        <v>0</v>
      </c>
      <c r="Y3897" s="2" t="s">
        <v>560</v>
      </c>
      <c r="Z3897" s="2" t="s">
        <v>25909</v>
      </c>
      <c r="AA3897" s="2">
        <v>2.6081687399076001</v>
      </c>
      <c r="AB3897" s="2">
        <v>0.18266082116347601</v>
      </c>
      <c r="AC3897" s="2">
        <v>7297.30284793795</v>
      </c>
      <c r="AD3897" s="2">
        <v>4772.1558876823401</v>
      </c>
      <c r="AE3897" s="2">
        <v>7225.6235284607701</v>
      </c>
      <c r="AF3897" s="2">
        <v>7853.3530064451497</v>
      </c>
      <c r="AG3897" s="2">
        <v>7386.8308165452099</v>
      </c>
      <c r="AH3897" s="2">
        <v>6459.7520127592397</v>
      </c>
      <c r="AI3897" s="2">
        <v>6729.4816468172203</v>
      </c>
      <c r="AJ3897" s="2">
        <v>8128.7760766001002</v>
      </c>
      <c r="AK3897" s="2">
        <v>4040.6806968318801</v>
      </c>
      <c r="AL3897" s="2">
        <v>3970.0055398337299</v>
      </c>
      <c r="AM3897" s="2">
        <v>4029.6803837303</v>
      </c>
      <c r="AN3897" s="2">
        <v>5652.2076617507901</v>
      </c>
      <c r="AO3897" s="2">
        <v>6110.5606679064304</v>
      </c>
      <c r="AP3897" s="2">
        <v>4829.8003760409301</v>
      </c>
    </row>
    <row r="3898" spans="1:42" ht="14.5" x14ac:dyDescent="0.35">
      <c r="A3898" s="2" t="s">
        <v>25910</v>
      </c>
      <c r="B3898" s="2">
        <v>357.20559226732797</v>
      </c>
      <c r="C3898" s="2">
        <v>9.0083833333333292</v>
      </c>
      <c r="D3898" s="2" t="s">
        <v>34</v>
      </c>
      <c r="E3898" s="2" t="s">
        <v>25911</v>
      </c>
      <c r="F3898" s="2">
        <v>45047</v>
      </c>
      <c r="G3898" s="3" t="str">
        <f>HYPERLINK("http://funmeta.oebiotech.com/network/45047", "http://funmeta.oebiotech.com/network/45047")</f>
        <v>http://funmeta.oebiotech.com/network/45047</v>
      </c>
      <c r="H3898" s="2" t="s">
        <v>25912</v>
      </c>
      <c r="I3898" s="2"/>
      <c r="J3898" s="2" t="s">
        <v>25913</v>
      </c>
      <c r="K3898" s="2">
        <v>6888</v>
      </c>
      <c r="L3898" s="2"/>
      <c r="M3898" s="2"/>
      <c r="N3898" s="2"/>
      <c r="O3898" s="2">
        <v>6741</v>
      </c>
      <c r="P3898" s="2" t="s">
        <v>25914</v>
      </c>
      <c r="Q3898" s="2" t="s">
        <v>25915</v>
      </c>
      <c r="R3898" s="2" t="s">
        <v>25916</v>
      </c>
      <c r="S3898" s="2" t="s">
        <v>50</v>
      </c>
      <c r="T3898" s="2" t="s">
        <v>124</v>
      </c>
      <c r="U3898" s="2" t="s">
        <v>1136</v>
      </c>
      <c r="V3898" s="2" t="s">
        <v>42</v>
      </c>
      <c r="W3898" s="2">
        <v>52.1</v>
      </c>
      <c r="X3898" s="2">
        <v>68.3</v>
      </c>
      <c r="Y3898" s="2" t="s">
        <v>141</v>
      </c>
      <c r="Z3898" s="2" t="s">
        <v>7111</v>
      </c>
      <c r="AA3898" s="2">
        <v>-1.18527931823204</v>
      </c>
      <c r="AB3898" s="2">
        <v>0.18265995115028599</v>
      </c>
      <c r="AC3898" s="2">
        <v>34419.541964100303</v>
      </c>
      <c r="AD3898" s="2">
        <v>37005.243711250499</v>
      </c>
      <c r="AE3898" s="2">
        <v>33283.6327457527</v>
      </c>
      <c r="AF3898" s="2">
        <v>34675.720930279298</v>
      </c>
      <c r="AG3898" s="2">
        <v>33907.719366613303</v>
      </c>
      <c r="AH3898" s="2">
        <v>35582.533991250602</v>
      </c>
      <c r="AI3898" s="2">
        <v>35612.869608475899</v>
      </c>
      <c r="AJ3898" s="2">
        <v>33454.775142229701</v>
      </c>
      <c r="AK3898" s="2">
        <v>36396.1130752631</v>
      </c>
      <c r="AL3898" s="2">
        <v>37516.123715445501</v>
      </c>
      <c r="AM3898" s="2">
        <v>37623.850463939903</v>
      </c>
      <c r="AN3898" s="2">
        <v>36327.189171758502</v>
      </c>
      <c r="AO3898" s="2">
        <v>36241.790130800102</v>
      </c>
      <c r="AP3898" s="2">
        <v>37926.395710295801</v>
      </c>
    </row>
    <row r="3899" spans="1:42" ht="14.5" x14ac:dyDescent="0.35">
      <c r="A3899" s="2" t="s">
        <v>25917</v>
      </c>
      <c r="B3899" s="2">
        <v>413.06767455619098</v>
      </c>
      <c r="C3899" s="2">
        <v>1.5991</v>
      </c>
      <c r="D3899" s="2" t="s">
        <v>70</v>
      </c>
      <c r="E3899" s="2" t="s">
        <v>25918</v>
      </c>
      <c r="F3899" s="2">
        <v>32079</v>
      </c>
      <c r="G3899" s="3" t="str">
        <f>HYPERLINK("http://funmeta.oebiotech.com/network/32079", "http://funmeta.oebiotech.com/network/32079")</f>
        <v>http://funmeta.oebiotech.com/network/32079</v>
      </c>
      <c r="H3899" s="2"/>
      <c r="I3899" s="2">
        <v>50408</v>
      </c>
      <c r="J3899" s="2" t="s">
        <v>25919</v>
      </c>
      <c r="K3899" s="2"/>
      <c r="L3899" s="2"/>
      <c r="M3899" s="2"/>
      <c r="N3899" s="2"/>
      <c r="O3899" s="2">
        <v>10526707</v>
      </c>
      <c r="P3899" s="2"/>
      <c r="Q3899" s="2" t="s">
        <v>25920</v>
      </c>
      <c r="R3899" s="2" t="s">
        <v>25921</v>
      </c>
      <c r="S3899" s="2" t="s">
        <v>115</v>
      </c>
      <c r="T3899" s="2" t="s">
        <v>139</v>
      </c>
      <c r="U3899" s="2" t="s">
        <v>1806</v>
      </c>
      <c r="V3899" s="2" t="s">
        <v>59</v>
      </c>
      <c r="W3899" s="2">
        <v>41.1</v>
      </c>
      <c r="X3899" s="2">
        <v>13.7</v>
      </c>
      <c r="Y3899" s="2" t="s">
        <v>751</v>
      </c>
      <c r="Z3899" s="2" t="s">
        <v>25922</v>
      </c>
      <c r="AA3899" s="2">
        <v>2.3102114289004301</v>
      </c>
      <c r="AB3899" s="2">
        <v>0.18245175559830201</v>
      </c>
      <c r="AC3899" s="2">
        <v>24015.2474353295</v>
      </c>
      <c r="AD3899" s="2">
        <v>27139.7757866594</v>
      </c>
      <c r="AE3899" s="2">
        <v>24621.478031101298</v>
      </c>
      <c r="AF3899" s="2">
        <v>24978.289795772402</v>
      </c>
      <c r="AG3899" s="2">
        <v>23832.184480244901</v>
      </c>
      <c r="AH3899" s="2">
        <v>22891.185262567498</v>
      </c>
      <c r="AI3899" s="2">
        <v>23835.108330332201</v>
      </c>
      <c r="AJ3899" s="2">
        <v>23933.238711958798</v>
      </c>
      <c r="AK3899" s="2">
        <v>26657.997743509499</v>
      </c>
      <c r="AL3899" s="2">
        <v>25155.659738299801</v>
      </c>
      <c r="AM3899" s="2">
        <v>24450.8022706302</v>
      </c>
      <c r="AN3899" s="2">
        <v>30266.723104310298</v>
      </c>
      <c r="AO3899" s="2">
        <v>26564.7828925873</v>
      </c>
      <c r="AP3899" s="2">
        <v>29742.6889706193</v>
      </c>
    </row>
    <row r="3900" spans="1:42" ht="14.5" x14ac:dyDescent="0.35">
      <c r="A3900" s="2" t="s">
        <v>25923</v>
      </c>
      <c r="B3900" s="2">
        <v>439.01903659778202</v>
      </c>
      <c r="C3900" s="2">
        <v>9.9627166666666707</v>
      </c>
      <c r="D3900" s="2" t="s">
        <v>70</v>
      </c>
      <c r="E3900" s="2" t="s">
        <v>25924</v>
      </c>
      <c r="F3900" s="2">
        <v>200787</v>
      </c>
      <c r="G3900" s="3" t="str">
        <f>HYPERLINK("http://funmeta.oebiotech.com/network/200787", "http://funmeta.oebiotech.com/network/200787")</f>
        <v>http://funmeta.oebiotech.com/network/200787</v>
      </c>
      <c r="H3900" s="2" t="s">
        <v>25925</v>
      </c>
      <c r="I3900" s="2">
        <v>452491</v>
      </c>
      <c r="J3900" s="2"/>
      <c r="K3900" s="2">
        <v>143170</v>
      </c>
      <c r="L3900" s="2"/>
      <c r="M3900" s="2"/>
      <c r="N3900" s="2"/>
      <c r="O3900" s="2">
        <v>65093</v>
      </c>
      <c r="P3900" s="2"/>
      <c r="Q3900" s="2" t="s">
        <v>25926</v>
      </c>
      <c r="R3900" s="2" t="s">
        <v>25927</v>
      </c>
      <c r="S3900" s="2" t="s">
        <v>491</v>
      </c>
      <c r="T3900" s="2" t="s">
        <v>2238</v>
      </c>
      <c r="U3900" s="2" t="s">
        <v>41</v>
      </c>
      <c r="V3900" s="2" t="s">
        <v>59</v>
      </c>
      <c r="W3900" s="2">
        <v>36.299999999999997</v>
      </c>
      <c r="X3900" s="2">
        <v>0</v>
      </c>
      <c r="Y3900" s="2" t="s">
        <v>560</v>
      </c>
      <c r="Z3900" s="2" t="s">
        <v>25928</v>
      </c>
      <c r="AA3900" s="2">
        <v>1.2101506000736399</v>
      </c>
      <c r="AB3900" s="2">
        <v>0.182447463238541</v>
      </c>
      <c r="AC3900" s="2">
        <v>25916.1184623275</v>
      </c>
      <c r="AD3900" s="2">
        <v>29053.682444974402</v>
      </c>
      <c r="AE3900" s="2">
        <v>26404.844781661599</v>
      </c>
      <c r="AF3900" s="2">
        <v>27786.4844251508</v>
      </c>
      <c r="AG3900" s="2">
        <v>25194.502896321199</v>
      </c>
      <c r="AH3900" s="2">
        <v>26300.978036609202</v>
      </c>
      <c r="AI3900" s="2">
        <v>24772.073011852201</v>
      </c>
      <c r="AJ3900" s="2">
        <v>25037.827622370201</v>
      </c>
      <c r="AK3900" s="2">
        <v>32596.901948797102</v>
      </c>
      <c r="AL3900" s="2">
        <v>28494.4713811154</v>
      </c>
      <c r="AM3900" s="2">
        <v>26891.601738103702</v>
      </c>
      <c r="AN3900" s="2">
        <v>27204.5488665997</v>
      </c>
      <c r="AO3900" s="2">
        <v>30603.180635806501</v>
      </c>
      <c r="AP3900" s="2">
        <v>28531.390099423901</v>
      </c>
    </row>
    <row r="3901" spans="1:42" ht="14.5" x14ac:dyDescent="0.35">
      <c r="A3901" s="2" t="s">
        <v>25929</v>
      </c>
      <c r="B3901" s="2">
        <v>176.97187971195899</v>
      </c>
      <c r="C3901" s="2">
        <v>1.7029666666666701</v>
      </c>
      <c r="D3901" s="2" t="s">
        <v>34</v>
      </c>
      <c r="E3901" s="2" t="s">
        <v>25930</v>
      </c>
      <c r="F3901" s="2">
        <v>208729</v>
      </c>
      <c r="G3901" s="3" t="str">
        <f>HYPERLINK("http://funmeta.oebiotech.com/network/208729", "http://funmeta.oebiotech.com/network/208729")</f>
        <v>http://funmeta.oebiotech.com/network/208729</v>
      </c>
      <c r="H3901" s="2" t="s">
        <v>25931</v>
      </c>
      <c r="I3901" s="2"/>
      <c r="J3901" s="2"/>
      <c r="K3901" s="2">
        <v>43945</v>
      </c>
      <c r="L3901" s="2"/>
      <c r="M3901" s="2"/>
      <c r="N3901" s="2"/>
      <c r="O3901" s="2">
        <v>16124</v>
      </c>
      <c r="P3901" s="2"/>
      <c r="Q3901" s="2" t="s">
        <v>25932</v>
      </c>
      <c r="R3901" s="2" t="s">
        <v>25933</v>
      </c>
      <c r="S3901" s="2" t="s">
        <v>89</v>
      </c>
      <c r="T3901" s="2" t="s">
        <v>6048</v>
      </c>
      <c r="U3901" s="2" t="s">
        <v>12523</v>
      </c>
      <c r="V3901" s="2" t="s">
        <v>59</v>
      </c>
      <c r="W3901" s="2">
        <v>40.6</v>
      </c>
      <c r="X3901" s="2">
        <v>9.51</v>
      </c>
      <c r="Y3901" s="2" t="s">
        <v>394</v>
      </c>
      <c r="Z3901" s="2" t="s">
        <v>25934</v>
      </c>
      <c r="AA3901" s="2">
        <v>3.6491004988796001</v>
      </c>
      <c r="AB3901" s="2">
        <v>0.182383062392344</v>
      </c>
      <c r="AC3901" s="2">
        <v>25949.7715894715</v>
      </c>
      <c r="AD3901" s="2">
        <v>29199.033610357299</v>
      </c>
      <c r="AE3901" s="2">
        <v>26601.559044525999</v>
      </c>
      <c r="AF3901" s="2">
        <v>27029.086093959198</v>
      </c>
      <c r="AG3901" s="2">
        <v>26336.348322889098</v>
      </c>
      <c r="AH3901" s="2">
        <v>25438.101527557199</v>
      </c>
      <c r="AI3901" s="2">
        <v>25555.690225848899</v>
      </c>
      <c r="AJ3901" s="2">
        <v>24737.844322048801</v>
      </c>
      <c r="AK3901" s="2">
        <v>31587.5441671222</v>
      </c>
      <c r="AL3901" s="2">
        <v>30322.6161219852</v>
      </c>
      <c r="AM3901" s="2">
        <v>29271.503256959</v>
      </c>
      <c r="AN3901" s="2">
        <v>28916.180100674199</v>
      </c>
      <c r="AO3901" s="2">
        <v>30844.9068244255</v>
      </c>
      <c r="AP3901" s="2">
        <v>24251.451190977601</v>
      </c>
    </row>
    <row r="3902" spans="1:42" ht="14.5" x14ac:dyDescent="0.35">
      <c r="A3902" s="2" t="s">
        <v>25935</v>
      </c>
      <c r="B3902" s="2">
        <v>576.33114462630499</v>
      </c>
      <c r="C3902" s="2">
        <v>12.323966666666699</v>
      </c>
      <c r="D3902" s="2" t="s">
        <v>34</v>
      </c>
      <c r="E3902" s="2" t="s">
        <v>25936</v>
      </c>
      <c r="F3902" s="2">
        <v>27892</v>
      </c>
      <c r="G3902" s="3" t="str">
        <f>HYPERLINK("http://funmeta.oebiotech.com/network/27892", "http://funmeta.oebiotech.com/network/27892")</f>
        <v>http://funmeta.oebiotech.com/network/27892</v>
      </c>
      <c r="H3902" s="2"/>
      <c r="I3902" s="2"/>
      <c r="J3902" s="2" t="s">
        <v>25937</v>
      </c>
      <c r="K3902" s="2"/>
      <c r="L3902" s="2"/>
      <c r="M3902" s="2"/>
      <c r="N3902" s="2"/>
      <c r="O3902" s="2">
        <v>134812349</v>
      </c>
      <c r="P3902" s="2"/>
      <c r="Q3902" s="2" t="s">
        <v>25938</v>
      </c>
      <c r="R3902" s="2" t="s">
        <v>25939</v>
      </c>
      <c r="S3902" s="2" t="s">
        <v>50</v>
      </c>
      <c r="T3902" s="2" t="s">
        <v>51</v>
      </c>
      <c r="U3902" s="2" t="s">
        <v>257</v>
      </c>
      <c r="V3902" s="2" t="s">
        <v>59</v>
      </c>
      <c r="W3902" s="2">
        <v>37.9</v>
      </c>
      <c r="X3902" s="2">
        <v>0</v>
      </c>
      <c r="Y3902" s="2" t="s">
        <v>141</v>
      </c>
      <c r="Z3902" s="2" t="s">
        <v>25940</v>
      </c>
      <c r="AA3902" s="2">
        <v>2.6113136620574502</v>
      </c>
      <c r="AB3902" s="2">
        <v>0.182352570829699</v>
      </c>
      <c r="AC3902" s="2">
        <v>3859.9826242363301</v>
      </c>
      <c r="AD3902" s="2">
        <v>1146.5083872247701</v>
      </c>
      <c r="AE3902" s="2">
        <v>5425.9731861093096</v>
      </c>
      <c r="AF3902" s="2">
        <v>4017.1914128097801</v>
      </c>
      <c r="AG3902" s="2">
        <v>4103.0474777198597</v>
      </c>
      <c r="AH3902" s="2">
        <v>2527.9173389935299</v>
      </c>
      <c r="AI3902" s="2">
        <v>2428.8530242051402</v>
      </c>
      <c r="AJ3902" s="2">
        <v>4656.9133055803504</v>
      </c>
      <c r="AK3902" s="2">
        <v>1459.2887469186001</v>
      </c>
      <c r="AL3902" s="2">
        <v>2904.8323642054202</v>
      </c>
      <c r="AM3902" s="2">
        <v>2.7106294003980101E-5</v>
      </c>
      <c r="AN3902" s="2">
        <v>1420.5058955222901</v>
      </c>
      <c r="AO3902" s="2">
        <v>1094.42326248973</v>
      </c>
      <c r="AP3902" s="2">
        <v>2.7106294003980101E-5</v>
      </c>
    </row>
    <row r="3903" spans="1:42" ht="14.5" x14ac:dyDescent="0.35">
      <c r="A3903" s="2" t="s">
        <v>25941</v>
      </c>
      <c r="B3903" s="2">
        <v>212.117722920852</v>
      </c>
      <c r="C3903" s="2">
        <v>1.97685</v>
      </c>
      <c r="D3903" s="2" t="s">
        <v>34</v>
      </c>
      <c r="E3903" s="2" t="s">
        <v>25942</v>
      </c>
      <c r="F3903" s="2">
        <v>200728</v>
      </c>
      <c r="G3903" s="3" t="str">
        <f>HYPERLINK("http://funmeta.oebiotech.com/network/200728", "http://funmeta.oebiotech.com/network/200728")</f>
        <v>http://funmeta.oebiotech.com/network/200728</v>
      </c>
      <c r="H3903" s="2" t="s">
        <v>25943</v>
      </c>
      <c r="I3903" s="2"/>
      <c r="J3903" s="2"/>
      <c r="K3903" s="2"/>
      <c r="L3903" s="2"/>
      <c r="M3903" s="2"/>
      <c r="N3903" s="2"/>
      <c r="O3903" s="2">
        <v>201136</v>
      </c>
      <c r="P3903" s="2"/>
      <c r="Q3903" s="2" t="s">
        <v>25944</v>
      </c>
      <c r="R3903" s="2" t="s">
        <v>25945</v>
      </c>
      <c r="S3903" s="2" t="s">
        <v>491</v>
      </c>
      <c r="T3903" s="2" t="s">
        <v>3519</v>
      </c>
      <c r="U3903" s="2" t="s">
        <v>7268</v>
      </c>
      <c r="V3903" s="2" t="s">
        <v>59</v>
      </c>
      <c r="W3903" s="2">
        <v>37.799999999999997</v>
      </c>
      <c r="X3903" s="2">
        <v>0.46</v>
      </c>
      <c r="Y3903" s="2" t="s">
        <v>43</v>
      </c>
      <c r="Z3903" s="2" t="s">
        <v>25946</v>
      </c>
      <c r="AA3903" s="2">
        <v>-2.5810392399883599</v>
      </c>
      <c r="AB3903" s="2">
        <v>0.182192354395978</v>
      </c>
      <c r="AC3903" s="2">
        <v>40051.098846136403</v>
      </c>
      <c r="AD3903" s="2">
        <v>42994.566798761101</v>
      </c>
      <c r="AE3903" s="2">
        <v>40082.678935134703</v>
      </c>
      <c r="AF3903" s="2">
        <v>39751.146472096698</v>
      </c>
      <c r="AG3903" s="2">
        <v>39852.160494493597</v>
      </c>
      <c r="AH3903" s="2">
        <v>39904.476561009396</v>
      </c>
      <c r="AI3903" s="2">
        <v>38868.138745757104</v>
      </c>
      <c r="AJ3903" s="2">
        <v>41847.991868326601</v>
      </c>
      <c r="AK3903" s="2">
        <v>39561.933502681801</v>
      </c>
      <c r="AL3903" s="2">
        <v>43049.662894378998</v>
      </c>
      <c r="AM3903" s="2">
        <v>44362.416054867201</v>
      </c>
      <c r="AN3903" s="2">
        <v>44653.166411071899</v>
      </c>
      <c r="AO3903" s="2">
        <v>42770.366200337303</v>
      </c>
      <c r="AP3903" s="2">
        <v>43569.855729229203</v>
      </c>
    </row>
    <row r="3904" spans="1:42" ht="14.5" x14ac:dyDescent="0.35">
      <c r="A3904" s="2" t="s">
        <v>25947</v>
      </c>
      <c r="B3904" s="2">
        <v>429.19014197287902</v>
      </c>
      <c r="C3904" s="2">
        <v>6.9616666666666696</v>
      </c>
      <c r="D3904" s="2" t="s">
        <v>34</v>
      </c>
      <c r="E3904" s="2" t="s">
        <v>25948</v>
      </c>
      <c r="F3904" s="2">
        <v>46630</v>
      </c>
      <c r="G3904" s="3" t="str">
        <f>HYPERLINK("http://funmeta.oebiotech.com/network/46630", "http://funmeta.oebiotech.com/network/46630")</f>
        <v>http://funmeta.oebiotech.com/network/46630</v>
      </c>
      <c r="H3904" s="2" t="s">
        <v>25949</v>
      </c>
      <c r="I3904" s="2">
        <v>7063</v>
      </c>
      <c r="J3904" s="2" t="s">
        <v>25950</v>
      </c>
      <c r="K3904" s="2">
        <v>28919</v>
      </c>
      <c r="L3904" s="2" t="s">
        <v>25951</v>
      </c>
      <c r="M3904" s="2" t="s">
        <v>2454</v>
      </c>
      <c r="N3904" s="2" t="s">
        <v>2455</v>
      </c>
      <c r="O3904" s="2">
        <v>115255</v>
      </c>
      <c r="P3904" s="2" t="s">
        <v>25952</v>
      </c>
      <c r="Q3904" s="2" t="s">
        <v>25953</v>
      </c>
      <c r="R3904" s="2" t="s">
        <v>25954</v>
      </c>
      <c r="S3904" s="2" t="s">
        <v>50</v>
      </c>
      <c r="T3904" s="2" t="s">
        <v>124</v>
      </c>
      <c r="U3904" s="2" t="s">
        <v>523</v>
      </c>
      <c r="V3904" s="2" t="s">
        <v>42</v>
      </c>
      <c r="W3904" s="2">
        <v>52.5</v>
      </c>
      <c r="X3904" s="2">
        <v>75.5</v>
      </c>
      <c r="Y3904" s="2" t="s">
        <v>141</v>
      </c>
      <c r="Z3904" s="2" t="s">
        <v>25955</v>
      </c>
      <c r="AA3904" s="2">
        <v>-1.4291891072405001</v>
      </c>
      <c r="AB3904" s="2">
        <v>0.182097732370059</v>
      </c>
      <c r="AC3904" s="2">
        <v>42812.915847671997</v>
      </c>
      <c r="AD3904" s="2">
        <v>39318.471669268903</v>
      </c>
      <c r="AE3904" s="2">
        <v>41647.567009485501</v>
      </c>
      <c r="AF3904" s="2">
        <v>40812.657945488201</v>
      </c>
      <c r="AG3904" s="2">
        <v>43636.160929778198</v>
      </c>
      <c r="AH3904" s="2">
        <v>44751.709911086196</v>
      </c>
      <c r="AI3904" s="2">
        <v>43672.986625125101</v>
      </c>
      <c r="AJ3904" s="2">
        <v>42356.412665069001</v>
      </c>
      <c r="AK3904" s="2">
        <v>39217.608530464197</v>
      </c>
      <c r="AL3904" s="2">
        <v>41079.299555619502</v>
      </c>
      <c r="AM3904" s="2">
        <v>44046.850773584898</v>
      </c>
      <c r="AN3904" s="2">
        <v>35426.9307351514</v>
      </c>
      <c r="AO3904" s="2">
        <v>36782.458477717802</v>
      </c>
      <c r="AP3904" s="2">
        <v>39357.681943075899</v>
      </c>
    </row>
    <row r="3905" spans="1:42" ht="14.5" x14ac:dyDescent="0.35">
      <c r="A3905" s="2" t="s">
        <v>25956</v>
      </c>
      <c r="B3905" s="2">
        <v>877.491083149416</v>
      </c>
      <c r="C3905" s="2">
        <v>9.9781666666666702</v>
      </c>
      <c r="D3905" s="2" t="s">
        <v>34</v>
      </c>
      <c r="E3905" s="2" t="s">
        <v>25957</v>
      </c>
      <c r="F3905" s="2">
        <v>57851</v>
      </c>
      <c r="G3905" s="3" t="str">
        <f>HYPERLINK("http://funmeta.oebiotech.com/network/57851", "http://funmeta.oebiotech.com/network/57851")</f>
        <v>http://funmeta.oebiotech.com/network/57851</v>
      </c>
      <c r="H3905" s="2" t="s">
        <v>25958</v>
      </c>
      <c r="I3905" s="2">
        <v>89440</v>
      </c>
      <c r="J3905" s="2"/>
      <c r="K3905" s="2"/>
      <c r="L3905" s="2"/>
      <c r="M3905" s="2"/>
      <c r="N3905" s="2"/>
      <c r="O3905" s="2">
        <v>131751469</v>
      </c>
      <c r="P3905" s="2" t="s">
        <v>25959</v>
      </c>
      <c r="Q3905" s="2" t="s">
        <v>25960</v>
      </c>
      <c r="R3905" s="2" t="s">
        <v>25961</v>
      </c>
      <c r="S3905" s="2" t="s">
        <v>50</v>
      </c>
      <c r="T3905" s="2" t="s">
        <v>201</v>
      </c>
      <c r="U3905" s="2" t="s">
        <v>210</v>
      </c>
      <c r="V3905" s="2" t="s">
        <v>59</v>
      </c>
      <c r="W3905" s="2">
        <v>38.4</v>
      </c>
      <c r="X3905" s="2">
        <v>0</v>
      </c>
      <c r="Y3905" s="2" t="s">
        <v>323</v>
      </c>
      <c r="Z3905" s="2" t="s">
        <v>25962</v>
      </c>
      <c r="AA3905" s="2">
        <v>-1.0640072730307299</v>
      </c>
      <c r="AB3905" s="2">
        <v>0.18198662402139501</v>
      </c>
      <c r="AC3905" s="2">
        <v>21139.120597057499</v>
      </c>
      <c r="AD3905" s="2">
        <v>24368.032222563601</v>
      </c>
      <c r="AE3905" s="2">
        <v>21401.681840070702</v>
      </c>
      <c r="AF3905" s="2">
        <v>18541.894246347099</v>
      </c>
      <c r="AG3905" s="2">
        <v>21044.459857424899</v>
      </c>
      <c r="AH3905" s="2">
        <v>21452.799999242699</v>
      </c>
      <c r="AI3905" s="2">
        <v>21628.399470058201</v>
      </c>
      <c r="AJ3905" s="2">
        <v>22765.488169201199</v>
      </c>
      <c r="AK3905" s="2">
        <v>28841.250834197901</v>
      </c>
      <c r="AL3905" s="2">
        <v>25054.1222108086</v>
      </c>
      <c r="AM3905" s="2">
        <v>23409.701313503901</v>
      </c>
      <c r="AN3905" s="2">
        <v>22583.124434779798</v>
      </c>
      <c r="AO3905" s="2">
        <v>23478.3018027648</v>
      </c>
      <c r="AP3905" s="2">
        <v>22841.692739326401</v>
      </c>
    </row>
    <row r="3906" spans="1:42" ht="14.5" x14ac:dyDescent="0.35">
      <c r="A3906" s="2" t="s">
        <v>25963</v>
      </c>
      <c r="B3906" s="2">
        <v>487.19713157172299</v>
      </c>
      <c r="C3906" s="2">
        <v>5.9351500000000001</v>
      </c>
      <c r="D3906" s="2" t="s">
        <v>70</v>
      </c>
      <c r="E3906" s="2" t="s">
        <v>25964</v>
      </c>
      <c r="F3906" s="2">
        <v>212011</v>
      </c>
      <c r="G3906" s="3" t="str">
        <f>HYPERLINK("http://funmeta.oebiotech.com/network/212011", "http://funmeta.oebiotech.com/network/212011")</f>
        <v>http://funmeta.oebiotech.com/network/212011</v>
      </c>
      <c r="H3906" s="2" t="s">
        <v>25965</v>
      </c>
      <c r="I3906" s="2"/>
      <c r="J3906" s="2"/>
      <c r="K3906" s="2"/>
      <c r="L3906" s="2"/>
      <c r="M3906" s="2"/>
      <c r="N3906" s="2"/>
      <c r="O3906" s="2"/>
      <c r="P3906" s="2"/>
      <c r="Q3906" s="2" t="s">
        <v>25966</v>
      </c>
      <c r="R3906" s="2" t="s">
        <v>25967</v>
      </c>
      <c r="S3906" s="2" t="s">
        <v>41</v>
      </c>
      <c r="T3906" s="2" t="s">
        <v>41</v>
      </c>
      <c r="U3906" s="2" t="s">
        <v>41</v>
      </c>
      <c r="V3906" s="2" t="s">
        <v>59</v>
      </c>
      <c r="W3906" s="2">
        <v>38.200000000000003</v>
      </c>
      <c r="X3906" s="2">
        <v>0</v>
      </c>
      <c r="Y3906" s="2" t="s">
        <v>408</v>
      </c>
      <c r="Z3906" s="2" t="s">
        <v>25968</v>
      </c>
      <c r="AA3906" s="2">
        <v>-0.50790982961488895</v>
      </c>
      <c r="AB3906" s="2">
        <v>0.18194761198127199</v>
      </c>
      <c r="AC3906" s="2">
        <v>2949.2052590867102</v>
      </c>
      <c r="AD3906" s="2">
        <v>659.12599938267294</v>
      </c>
      <c r="AE3906" s="2">
        <v>2437.9737268969102</v>
      </c>
      <c r="AF3906" s="2">
        <v>3641.5510482005898</v>
      </c>
      <c r="AG3906" s="2">
        <v>3300.5625667192699</v>
      </c>
      <c r="AH3906" s="2">
        <v>2522.2440545017798</v>
      </c>
      <c r="AI3906" s="2">
        <v>2663.5933983063401</v>
      </c>
      <c r="AJ3906" s="2">
        <v>3129.3067598953799</v>
      </c>
      <c r="AK3906" s="2">
        <v>755.32569267528095</v>
      </c>
      <c r="AL3906" s="2">
        <v>693.84273563030695</v>
      </c>
      <c r="AM3906" s="2">
        <v>1131.4523523795499</v>
      </c>
      <c r="AN3906" s="2">
        <v>2.7106294003980101E-5</v>
      </c>
      <c r="AO3906" s="2">
        <v>838.92230875405005</v>
      </c>
      <c r="AP3906" s="2">
        <v>535.21287975055702</v>
      </c>
    </row>
    <row r="3907" spans="1:42" ht="14.5" x14ac:dyDescent="0.35">
      <c r="A3907" s="2" t="s">
        <v>25969</v>
      </c>
      <c r="B3907" s="2">
        <v>152.07042608004099</v>
      </c>
      <c r="C3907" s="2">
        <v>0.78071666666666695</v>
      </c>
      <c r="D3907" s="2" t="s">
        <v>34</v>
      </c>
      <c r="E3907" s="2" t="s">
        <v>25970</v>
      </c>
      <c r="F3907" s="2">
        <v>56803</v>
      </c>
      <c r="G3907" s="3" t="str">
        <f>HYPERLINK("http://funmeta.oebiotech.com/network/56803", "http://funmeta.oebiotech.com/network/56803")</f>
        <v>http://funmeta.oebiotech.com/network/56803</v>
      </c>
      <c r="H3907" s="2" t="s">
        <v>25971</v>
      </c>
      <c r="I3907" s="2">
        <v>328569</v>
      </c>
      <c r="J3907" s="2"/>
      <c r="K3907" s="2">
        <v>38085</v>
      </c>
      <c r="L3907" s="2"/>
      <c r="M3907" s="2"/>
      <c r="N3907" s="2"/>
      <c r="O3907" s="2">
        <v>6885</v>
      </c>
      <c r="P3907" s="2" t="s">
        <v>25972</v>
      </c>
      <c r="Q3907" s="2" t="s">
        <v>25973</v>
      </c>
      <c r="R3907" s="2" t="s">
        <v>25974</v>
      </c>
      <c r="S3907" s="2" t="s">
        <v>491</v>
      </c>
      <c r="T3907" s="2" t="s">
        <v>12209</v>
      </c>
      <c r="U3907" s="2" t="s">
        <v>12210</v>
      </c>
      <c r="V3907" s="2" t="s">
        <v>59</v>
      </c>
      <c r="W3907" s="2">
        <v>38.5</v>
      </c>
      <c r="X3907" s="2">
        <v>0</v>
      </c>
      <c r="Y3907" s="2" t="s">
        <v>43</v>
      </c>
      <c r="Z3907" s="2" t="s">
        <v>25975</v>
      </c>
      <c r="AA3907" s="2">
        <v>-1.33457025875465</v>
      </c>
      <c r="AB3907" s="2">
        <v>0.181828058549587</v>
      </c>
      <c r="AC3907" s="2">
        <v>7341.8823806763903</v>
      </c>
      <c r="AD3907" s="2">
        <v>9841.5501234665808</v>
      </c>
      <c r="AE3907" s="2">
        <v>6710.6669094601502</v>
      </c>
      <c r="AF3907" s="2">
        <v>7546.7753526077104</v>
      </c>
      <c r="AG3907" s="2">
        <v>7092.2256726287796</v>
      </c>
      <c r="AH3907" s="2">
        <v>7992.6361427708398</v>
      </c>
      <c r="AI3907" s="2">
        <v>7510.7584293007603</v>
      </c>
      <c r="AJ3907" s="2">
        <v>7198.2317772900997</v>
      </c>
      <c r="AK3907" s="2">
        <v>10622.0010974424</v>
      </c>
      <c r="AL3907" s="2">
        <v>11332.1186362873</v>
      </c>
      <c r="AM3907" s="2">
        <v>9109.2322727690898</v>
      </c>
      <c r="AN3907" s="2">
        <v>9077.8324309643394</v>
      </c>
      <c r="AO3907" s="2">
        <v>8859.2605892847696</v>
      </c>
      <c r="AP3907" s="2">
        <v>10048.8557140516</v>
      </c>
    </row>
    <row r="3908" spans="1:42" ht="14.5" x14ac:dyDescent="0.35">
      <c r="A3908" s="2" t="s">
        <v>25976</v>
      </c>
      <c r="B3908" s="2">
        <v>697.24836003816301</v>
      </c>
      <c r="C3908" s="2">
        <v>5.8600666666666701</v>
      </c>
      <c r="D3908" s="2" t="s">
        <v>70</v>
      </c>
      <c r="E3908" s="2" t="s">
        <v>25977</v>
      </c>
      <c r="F3908" s="2">
        <v>207073</v>
      </c>
      <c r="G3908" s="3" t="str">
        <f>HYPERLINK("http://funmeta.oebiotech.com/network/207073", "http://funmeta.oebiotech.com/network/207073")</f>
        <v>http://funmeta.oebiotech.com/network/207073</v>
      </c>
      <c r="H3908" s="2" t="s">
        <v>25978</v>
      </c>
      <c r="I3908" s="2"/>
      <c r="J3908" s="2"/>
      <c r="K3908" s="2"/>
      <c r="L3908" s="2"/>
      <c r="M3908" s="2"/>
      <c r="N3908" s="2"/>
      <c r="O3908" s="2">
        <v>78299124</v>
      </c>
      <c r="P3908" s="2"/>
      <c r="Q3908" s="2" t="s">
        <v>25979</v>
      </c>
      <c r="R3908" s="2" t="s">
        <v>25980</v>
      </c>
      <c r="S3908" s="2" t="s">
        <v>41</v>
      </c>
      <c r="T3908" s="2" t="s">
        <v>41</v>
      </c>
      <c r="U3908" s="2" t="s">
        <v>41</v>
      </c>
      <c r="V3908" s="2" t="s">
        <v>59</v>
      </c>
      <c r="W3908" s="2">
        <v>39.1</v>
      </c>
      <c r="X3908" s="2">
        <v>0</v>
      </c>
      <c r="Y3908" s="2" t="s">
        <v>560</v>
      </c>
      <c r="Z3908" s="2" t="s">
        <v>25981</v>
      </c>
      <c r="AA3908" s="2">
        <v>1.2399313539727601</v>
      </c>
      <c r="AB3908" s="2">
        <v>0.18176827707141699</v>
      </c>
      <c r="AC3908" s="2">
        <v>13283.166122230999</v>
      </c>
      <c r="AD3908" s="2">
        <v>10568.0361369491</v>
      </c>
      <c r="AE3908" s="2">
        <v>13947.1519380892</v>
      </c>
      <c r="AF3908" s="2">
        <v>12911.7240988624</v>
      </c>
      <c r="AG3908" s="2">
        <v>14816.1990151628</v>
      </c>
      <c r="AH3908" s="2">
        <v>11460.681697910601</v>
      </c>
      <c r="AI3908" s="2">
        <v>14193.6004785391</v>
      </c>
      <c r="AJ3908" s="2">
        <v>12369.6395048217</v>
      </c>
      <c r="AK3908" s="2">
        <v>10553.725653059</v>
      </c>
      <c r="AL3908" s="2">
        <v>9559.8842058169703</v>
      </c>
      <c r="AM3908" s="2">
        <v>12147.319694002899</v>
      </c>
      <c r="AN3908" s="2">
        <v>9642.7916185184604</v>
      </c>
      <c r="AO3908" s="2">
        <v>10821.011946794401</v>
      </c>
      <c r="AP3908" s="2">
        <v>10683.483703502699</v>
      </c>
    </row>
    <row r="3909" spans="1:42" ht="14.5" x14ac:dyDescent="0.35">
      <c r="A3909" s="2" t="s">
        <v>25982</v>
      </c>
      <c r="B3909" s="2">
        <v>433.36728400204998</v>
      </c>
      <c r="C3909" s="2">
        <v>14.575049999999999</v>
      </c>
      <c r="D3909" s="2" t="s">
        <v>34</v>
      </c>
      <c r="E3909" s="2" t="s">
        <v>25983</v>
      </c>
      <c r="F3909" s="2">
        <v>52045</v>
      </c>
      <c r="G3909" s="3" t="str">
        <f>HYPERLINK("http://funmeta.oebiotech.com/network/52045", "http://funmeta.oebiotech.com/network/52045")</f>
        <v>http://funmeta.oebiotech.com/network/52045</v>
      </c>
      <c r="H3909" s="2" t="s">
        <v>25984</v>
      </c>
      <c r="I3909" s="2"/>
      <c r="J3909" s="2"/>
      <c r="K3909" s="2"/>
      <c r="L3909" s="2"/>
      <c r="M3909" s="2"/>
      <c r="N3909" s="2"/>
      <c r="O3909" s="2">
        <v>53481467</v>
      </c>
      <c r="P3909" s="2"/>
      <c r="Q3909" s="2" t="s">
        <v>25985</v>
      </c>
      <c r="R3909" s="2" t="s">
        <v>25986</v>
      </c>
      <c r="S3909" s="2" t="s">
        <v>50</v>
      </c>
      <c r="T3909" s="2" t="s">
        <v>201</v>
      </c>
      <c r="U3909" s="2" t="s">
        <v>5622</v>
      </c>
      <c r="V3909" s="2" t="s">
        <v>59</v>
      </c>
      <c r="W3909" s="2">
        <v>36.5</v>
      </c>
      <c r="X3909" s="2">
        <v>0</v>
      </c>
      <c r="Y3909" s="2" t="s">
        <v>394</v>
      </c>
      <c r="Z3909" s="2" t="s">
        <v>25152</v>
      </c>
      <c r="AA3909" s="2">
        <v>-0.78135748040791397</v>
      </c>
      <c r="AB3909" s="2">
        <v>0.181665764594792</v>
      </c>
      <c r="AC3909" s="2">
        <v>27058.770276512802</v>
      </c>
      <c r="AD3909" s="2">
        <v>31292.679582335699</v>
      </c>
      <c r="AE3909" s="2">
        <v>34506.307824526899</v>
      </c>
      <c r="AF3909" s="2">
        <v>25377.6861286438</v>
      </c>
      <c r="AG3909" s="2">
        <v>28365.8982583424</v>
      </c>
      <c r="AH3909" s="2">
        <v>25281.835368829401</v>
      </c>
      <c r="AI3909" s="2">
        <v>25182.864010701502</v>
      </c>
      <c r="AJ3909" s="2">
        <v>23638.030068033</v>
      </c>
      <c r="AK3909" s="2">
        <v>38071.278785301503</v>
      </c>
      <c r="AL3909" s="2">
        <v>28591.776350541801</v>
      </c>
      <c r="AM3909" s="2">
        <v>29849.129071695301</v>
      </c>
      <c r="AN3909" s="2">
        <v>28171.6658480654</v>
      </c>
      <c r="AO3909" s="2">
        <v>30425.236925011501</v>
      </c>
      <c r="AP3909" s="2">
        <v>32646.990513398901</v>
      </c>
    </row>
    <row r="3910" spans="1:42" ht="14.5" x14ac:dyDescent="0.35">
      <c r="A3910" s="2" t="s">
        <v>25987</v>
      </c>
      <c r="B3910" s="2">
        <v>452.25715026703199</v>
      </c>
      <c r="C3910" s="2">
        <v>0.78071666666666695</v>
      </c>
      <c r="D3910" s="2" t="s">
        <v>34</v>
      </c>
      <c r="E3910" s="2" t="s">
        <v>25988</v>
      </c>
      <c r="F3910" s="2">
        <v>204685</v>
      </c>
      <c r="G3910" s="3" t="str">
        <f>HYPERLINK("http://funmeta.oebiotech.com/network/204685", "http://funmeta.oebiotech.com/network/204685")</f>
        <v>http://funmeta.oebiotech.com/network/204685</v>
      </c>
      <c r="H3910" s="2" t="s">
        <v>25989</v>
      </c>
      <c r="I3910" s="2"/>
      <c r="J3910" s="2"/>
      <c r="K3910" s="2"/>
      <c r="L3910" s="2"/>
      <c r="M3910" s="2"/>
      <c r="N3910" s="2"/>
      <c r="O3910" s="2">
        <v>49830398</v>
      </c>
      <c r="P3910" s="2"/>
      <c r="Q3910" s="2" t="s">
        <v>25990</v>
      </c>
      <c r="R3910" s="2" t="s">
        <v>25991</v>
      </c>
      <c r="S3910" s="2" t="s">
        <v>491</v>
      </c>
      <c r="T3910" s="2" t="s">
        <v>5190</v>
      </c>
      <c r="U3910" s="2" t="s">
        <v>5191</v>
      </c>
      <c r="V3910" s="2" t="s">
        <v>59</v>
      </c>
      <c r="W3910" s="2">
        <v>37.799999999999997</v>
      </c>
      <c r="X3910" s="2">
        <v>0</v>
      </c>
      <c r="Y3910" s="2" t="s">
        <v>394</v>
      </c>
      <c r="Z3910" s="2" t="s">
        <v>25992</v>
      </c>
      <c r="AA3910" s="2">
        <v>0.63601115630182703</v>
      </c>
      <c r="AB3910" s="2">
        <v>0.181405483940942</v>
      </c>
      <c r="AC3910" s="2">
        <v>8553.5796128186794</v>
      </c>
      <c r="AD3910" s="2">
        <v>11585.7226167026</v>
      </c>
      <c r="AE3910" s="2">
        <v>10164.126907112201</v>
      </c>
      <c r="AF3910" s="2">
        <v>6533.4562058778802</v>
      </c>
      <c r="AG3910" s="2">
        <v>7947.8903895119302</v>
      </c>
      <c r="AH3910" s="2">
        <v>5843.6156018100701</v>
      </c>
      <c r="AI3910" s="2">
        <v>10052.3865104016</v>
      </c>
      <c r="AJ3910" s="2">
        <v>10780.0020621984</v>
      </c>
      <c r="AK3910" s="2">
        <v>12032.857232266</v>
      </c>
      <c r="AL3910" s="2">
        <v>11456.320466343899</v>
      </c>
      <c r="AM3910" s="2">
        <v>11441.665939729701</v>
      </c>
      <c r="AN3910" s="2">
        <v>9983.53353279966</v>
      </c>
      <c r="AO3910" s="2">
        <v>13296.991354976401</v>
      </c>
      <c r="AP3910" s="2">
        <v>11302.9671740999</v>
      </c>
    </row>
    <row r="3911" spans="1:42" ht="14.5" x14ac:dyDescent="0.35">
      <c r="A3911" s="2" t="s">
        <v>25993</v>
      </c>
      <c r="B3911" s="2">
        <v>193.15865467468799</v>
      </c>
      <c r="C3911" s="2">
        <v>4.6661999999999999</v>
      </c>
      <c r="D3911" s="2" t="s">
        <v>34</v>
      </c>
      <c r="E3911" s="2" t="s">
        <v>25994</v>
      </c>
      <c r="F3911" s="2">
        <v>58662</v>
      </c>
      <c r="G3911" s="3" t="str">
        <f>HYPERLINK("http://funmeta.oebiotech.com/network/58662", "http://funmeta.oebiotech.com/network/58662")</f>
        <v>http://funmeta.oebiotech.com/network/58662</v>
      </c>
      <c r="H3911" s="2" t="s">
        <v>25995</v>
      </c>
      <c r="I3911" s="2">
        <v>90125</v>
      </c>
      <c r="J3911" s="2"/>
      <c r="K3911" s="2"/>
      <c r="L3911" s="2"/>
      <c r="M3911" s="2"/>
      <c r="N3911" s="2"/>
      <c r="O3911" s="2">
        <v>14109911</v>
      </c>
      <c r="P3911" s="2" t="s">
        <v>25996</v>
      </c>
      <c r="Q3911" s="2" t="s">
        <v>25997</v>
      </c>
      <c r="R3911" s="2" t="s">
        <v>25998</v>
      </c>
      <c r="S3911" s="2" t="s">
        <v>79</v>
      </c>
      <c r="T3911" s="2" t="s">
        <v>80</v>
      </c>
      <c r="U3911" s="2" t="s">
        <v>2820</v>
      </c>
      <c r="V3911" s="2" t="s">
        <v>42</v>
      </c>
      <c r="W3911" s="2">
        <v>49.7</v>
      </c>
      <c r="X3911" s="2">
        <v>55.1</v>
      </c>
      <c r="Y3911" s="2" t="s">
        <v>394</v>
      </c>
      <c r="Z3911" s="2" t="s">
        <v>25429</v>
      </c>
      <c r="AA3911" s="2">
        <v>-0.19265156910173301</v>
      </c>
      <c r="AB3911" s="2">
        <v>0.181393408301016</v>
      </c>
      <c r="AC3911" s="2">
        <v>23246.872269686799</v>
      </c>
      <c r="AD3911" s="2">
        <v>25935.252576030802</v>
      </c>
      <c r="AE3911" s="2">
        <v>22208.1233346882</v>
      </c>
      <c r="AF3911" s="2">
        <v>22704.853557476399</v>
      </c>
      <c r="AG3911" s="2">
        <v>22792.0342897679</v>
      </c>
      <c r="AH3911" s="2">
        <v>23007.6661736764</v>
      </c>
      <c r="AI3911" s="2">
        <v>23601.450509031201</v>
      </c>
      <c r="AJ3911" s="2">
        <v>25167.105753480599</v>
      </c>
      <c r="AK3911" s="2">
        <v>24550.6338600622</v>
      </c>
      <c r="AL3911" s="2">
        <v>25489.703234178902</v>
      </c>
      <c r="AM3911" s="2">
        <v>28094.0522911431</v>
      </c>
      <c r="AN3911" s="2">
        <v>26126.534071993799</v>
      </c>
      <c r="AO3911" s="2">
        <v>25853.152236039699</v>
      </c>
      <c r="AP3911" s="2">
        <v>25497.439762767299</v>
      </c>
    </row>
    <row r="3912" spans="1:42" ht="14.5" x14ac:dyDescent="0.35">
      <c r="A3912" s="2" t="s">
        <v>25999</v>
      </c>
      <c r="B3912" s="2">
        <v>244.07900798181299</v>
      </c>
      <c r="C3912" s="2">
        <v>0.71894999999999998</v>
      </c>
      <c r="D3912" s="2" t="s">
        <v>34</v>
      </c>
      <c r="E3912" s="2" t="s">
        <v>26000</v>
      </c>
      <c r="F3912" s="2">
        <v>46936</v>
      </c>
      <c r="G3912" s="3" t="str">
        <f>HYPERLINK("http://funmeta.oebiotech.com/network/46936", "http://funmeta.oebiotech.com/network/46936")</f>
        <v>http://funmeta.oebiotech.com/network/46936</v>
      </c>
      <c r="H3912" s="2" t="s">
        <v>26001</v>
      </c>
      <c r="I3912" s="2">
        <v>3356</v>
      </c>
      <c r="J3912" s="2"/>
      <c r="K3912" s="2">
        <v>506227</v>
      </c>
      <c r="L3912" s="2" t="s">
        <v>26002</v>
      </c>
      <c r="M3912" s="2" t="s">
        <v>26003</v>
      </c>
      <c r="N3912" s="2" t="s">
        <v>26004</v>
      </c>
      <c r="O3912" s="2">
        <v>439174</v>
      </c>
      <c r="P3912" s="2" t="s">
        <v>26005</v>
      </c>
      <c r="Q3912" s="2" t="s">
        <v>26006</v>
      </c>
      <c r="R3912" s="2" t="s">
        <v>26007</v>
      </c>
      <c r="S3912" s="2" t="s">
        <v>79</v>
      </c>
      <c r="T3912" s="2" t="s">
        <v>80</v>
      </c>
      <c r="U3912" s="2" t="s">
        <v>81</v>
      </c>
      <c r="V3912" s="2" t="s">
        <v>59</v>
      </c>
      <c r="W3912" s="2">
        <v>38.200000000000003</v>
      </c>
      <c r="X3912" s="2">
        <v>0</v>
      </c>
      <c r="Y3912" s="2" t="s">
        <v>323</v>
      </c>
      <c r="Z3912" s="2" t="s">
        <v>26008</v>
      </c>
      <c r="AA3912" s="2">
        <v>-0.67801094556688302</v>
      </c>
      <c r="AB3912" s="2">
        <v>0.18138706233004101</v>
      </c>
      <c r="AC3912" s="2">
        <v>15748.4690614008</v>
      </c>
      <c r="AD3912" s="2">
        <v>19518.194395869599</v>
      </c>
      <c r="AE3912" s="2">
        <v>13197.717103795099</v>
      </c>
      <c r="AF3912" s="2">
        <v>13510.0212785078</v>
      </c>
      <c r="AG3912" s="2">
        <v>19955.1448586392</v>
      </c>
      <c r="AH3912" s="2">
        <v>14270.7500379014</v>
      </c>
      <c r="AI3912" s="2">
        <v>15073.3939146794</v>
      </c>
      <c r="AJ3912" s="2">
        <v>18483.7871748818</v>
      </c>
      <c r="AK3912" s="2">
        <v>16670.337869608</v>
      </c>
      <c r="AL3912" s="2">
        <v>20097.003590882799</v>
      </c>
      <c r="AM3912" s="2">
        <v>23768.1050071098</v>
      </c>
      <c r="AN3912" s="2">
        <v>16462.303783736901</v>
      </c>
      <c r="AO3912" s="2">
        <v>22414.025872963201</v>
      </c>
      <c r="AP3912" s="2">
        <v>17697.390250916898</v>
      </c>
    </row>
    <row r="3913" spans="1:42" ht="14.5" x14ac:dyDescent="0.35">
      <c r="A3913" s="2" t="s">
        <v>26009</v>
      </c>
      <c r="B3913" s="2">
        <v>271.15401682005802</v>
      </c>
      <c r="C3913" s="2">
        <v>3.6063166666666699</v>
      </c>
      <c r="D3913" s="2" t="s">
        <v>34</v>
      </c>
      <c r="E3913" s="2" t="s">
        <v>26010</v>
      </c>
      <c r="F3913" s="2">
        <v>2950</v>
      </c>
      <c r="G3913" s="3" t="str">
        <f>HYPERLINK("http://funmeta.oebiotech.com/network/2950", "http://funmeta.oebiotech.com/network/2950")</f>
        <v>http://funmeta.oebiotech.com/network/2950</v>
      </c>
      <c r="H3913" s="2"/>
      <c r="I3913" s="2"/>
      <c r="J3913" s="2" t="s">
        <v>26011</v>
      </c>
      <c r="K3913" s="2"/>
      <c r="L3913" s="2"/>
      <c r="M3913" s="2"/>
      <c r="N3913" s="2"/>
      <c r="O3913" s="2"/>
      <c r="P3913" s="2"/>
      <c r="Q3913" s="2" t="s">
        <v>26012</v>
      </c>
      <c r="R3913" s="2" t="s">
        <v>26013</v>
      </c>
      <c r="S3913" s="2" t="s">
        <v>50</v>
      </c>
      <c r="T3913" s="2" t="s">
        <v>448</v>
      </c>
      <c r="U3913" s="2" t="s">
        <v>7051</v>
      </c>
      <c r="V3913" s="2" t="s">
        <v>59</v>
      </c>
      <c r="W3913" s="2">
        <v>39.1</v>
      </c>
      <c r="X3913" s="2">
        <v>0</v>
      </c>
      <c r="Y3913" s="2" t="s">
        <v>141</v>
      </c>
      <c r="Z3913" s="2" t="s">
        <v>26014</v>
      </c>
      <c r="AA3913" s="2">
        <v>5.7548494075962103E-2</v>
      </c>
      <c r="AB3913" s="2">
        <v>0.181379921101993</v>
      </c>
      <c r="AC3913" s="2">
        <v>6854.4834431618801</v>
      </c>
      <c r="AD3913" s="2">
        <v>4626.4742665400099</v>
      </c>
      <c r="AE3913" s="2">
        <v>6768.13868014934</v>
      </c>
      <c r="AF3913" s="2">
        <v>7197.5503826552103</v>
      </c>
      <c r="AG3913" s="2">
        <v>7120.9630101790799</v>
      </c>
      <c r="AH3913" s="2">
        <v>6685.9007003653196</v>
      </c>
      <c r="AI3913" s="2">
        <v>6242.0123653391902</v>
      </c>
      <c r="AJ3913" s="2">
        <v>7112.3355202831299</v>
      </c>
      <c r="AK3913" s="2">
        <v>4435.5675148567498</v>
      </c>
      <c r="AL3913" s="2">
        <v>4529.6888969295796</v>
      </c>
      <c r="AM3913" s="2">
        <v>4621.30871193041</v>
      </c>
      <c r="AN3913" s="2">
        <v>5180.10717253845</v>
      </c>
      <c r="AO3913" s="2">
        <v>4554.8222239697998</v>
      </c>
      <c r="AP3913" s="2">
        <v>4437.3510790150704</v>
      </c>
    </row>
    <row r="3914" spans="1:42" ht="14.5" x14ac:dyDescent="0.35">
      <c r="A3914" s="2" t="s">
        <v>26015</v>
      </c>
      <c r="B3914" s="2">
        <v>363.21405503604097</v>
      </c>
      <c r="C3914" s="2">
        <v>9.5044666666666693</v>
      </c>
      <c r="D3914" s="2" t="s">
        <v>34</v>
      </c>
      <c r="E3914" s="2" t="s">
        <v>26016</v>
      </c>
      <c r="F3914" s="2">
        <v>255859</v>
      </c>
      <c r="G3914" s="3" t="str">
        <f>HYPERLINK("http://funmeta.oebiotech.com/network/255859", "http://funmeta.oebiotech.com/network/255859")</f>
        <v>http://funmeta.oebiotech.com/network/255859</v>
      </c>
      <c r="H3914" s="2" t="s">
        <v>26017</v>
      </c>
      <c r="I3914" s="2"/>
      <c r="J3914" s="2"/>
      <c r="K3914" s="2"/>
      <c r="L3914" s="2"/>
      <c r="M3914" s="2"/>
      <c r="N3914" s="2"/>
      <c r="O3914" s="2">
        <v>23252256</v>
      </c>
      <c r="P3914" s="2"/>
      <c r="Q3914" s="2" t="s">
        <v>26018</v>
      </c>
      <c r="R3914" s="2" t="s">
        <v>26019</v>
      </c>
      <c r="S3914" s="2" t="s">
        <v>50</v>
      </c>
      <c r="T3914" s="2" t="s">
        <v>201</v>
      </c>
      <c r="U3914" s="2" t="s">
        <v>636</v>
      </c>
      <c r="V3914" s="2" t="s">
        <v>59</v>
      </c>
      <c r="W3914" s="2">
        <v>39.1</v>
      </c>
      <c r="X3914" s="2">
        <v>0.64400000000000002</v>
      </c>
      <c r="Y3914" s="2" t="s">
        <v>323</v>
      </c>
      <c r="Z3914" s="2" t="s">
        <v>26020</v>
      </c>
      <c r="AA3914" s="2">
        <v>-0.41081052044834598</v>
      </c>
      <c r="AB3914" s="2">
        <v>0.18126304958313699</v>
      </c>
      <c r="AC3914" s="2">
        <v>5690.4151199856096</v>
      </c>
      <c r="AD3914" s="2">
        <v>3279.3870705528998</v>
      </c>
      <c r="AE3914" s="2">
        <v>6874.2653042666398</v>
      </c>
      <c r="AF3914" s="2">
        <v>5479.14627045419</v>
      </c>
      <c r="AG3914" s="2">
        <v>5154.9081477226</v>
      </c>
      <c r="AH3914" s="2">
        <v>5229.5739371871095</v>
      </c>
      <c r="AI3914" s="2">
        <v>4870.12423843343</v>
      </c>
      <c r="AJ3914" s="2">
        <v>6534.4728218496903</v>
      </c>
      <c r="AK3914" s="2">
        <v>2685.8624755976398</v>
      </c>
      <c r="AL3914" s="2">
        <v>3488.2418866808298</v>
      </c>
      <c r="AM3914" s="2">
        <v>3264.4752093764801</v>
      </c>
      <c r="AN3914" s="2">
        <v>3959.2592424920899</v>
      </c>
      <c r="AO3914" s="2">
        <v>3499.1107204612199</v>
      </c>
      <c r="AP3914" s="2">
        <v>2779.3728887091402</v>
      </c>
    </row>
    <row r="3915" spans="1:42" ht="14.5" x14ac:dyDescent="0.35">
      <c r="A3915" s="2" t="s">
        <v>26021</v>
      </c>
      <c r="B3915" s="2">
        <v>400.37833734768901</v>
      </c>
      <c r="C3915" s="2">
        <v>10.341383333333299</v>
      </c>
      <c r="D3915" s="2" t="s">
        <v>34</v>
      </c>
      <c r="E3915" s="2" t="s">
        <v>26022</v>
      </c>
      <c r="F3915" s="2">
        <v>1779</v>
      </c>
      <c r="G3915" s="3" t="str">
        <f>HYPERLINK("http://funmeta.oebiotech.com/network/1779", "http://funmeta.oebiotech.com/network/1779")</f>
        <v>http://funmeta.oebiotech.com/network/1779</v>
      </c>
      <c r="H3915" s="2"/>
      <c r="I3915" s="2">
        <v>74592</v>
      </c>
      <c r="J3915" s="2" t="s">
        <v>26023</v>
      </c>
      <c r="K3915" s="2"/>
      <c r="L3915" s="2"/>
      <c r="M3915" s="2"/>
      <c r="N3915" s="2"/>
      <c r="O3915" s="2">
        <v>5312782</v>
      </c>
      <c r="P3915" s="2"/>
      <c r="Q3915" s="2" t="s">
        <v>26024</v>
      </c>
      <c r="R3915" s="2" t="s">
        <v>26025</v>
      </c>
      <c r="S3915" s="2" t="s">
        <v>50</v>
      </c>
      <c r="T3915" s="2" t="s">
        <v>229</v>
      </c>
      <c r="U3915" s="2" t="s">
        <v>433</v>
      </c>
      <c r="V3915" s="2" t="s">
        <v>59</v>
      </c>
      <c r="W3915" s="2">
        <v>45.9</v>
      </c>
      <c r="X3915" s="2">
        <v>33.5</v>
      </c>
      <c r="Y3915" s="2" t="s">
        <v>43</v>
      </c>
      <c r="Z3915" s="2" t="s">
        <v>26026</v>
      </c>
      <c r="AA3915" s="2">
        <v>-0.47997582698602798</v>
      </c>
      <c r="AB3915" s="2">
        <v>0.18121665507774301</v>
      </c>
      <c r="AC3915" s="2">
        <v>6310.6152148933597</v>
      </c>
      <c r="AD3915" s="2">
        <v>11358.090537980999</v>
      </c>
      <c r="AE3915" s="2">
        <v>6279.3055986378004</v>
      </c>
      <c r="AF3915" s="2">
        <v>3608.2875534949999</v>
      </c>
      <c r="AG3915" s="2">
        <v>6518.1493371440802</v>
      </c>
      <c r="AH3915" s="2">
        <v>2704.2588510841902</v>
      </c>
      <c r="AI3915" s="2">
        <v>5610.4542314608798</v>
      </c>
      <c r="AJ3915" s="2">
        <v>13143.2357175382</v>
      </c>
      <c r="AK3915" s="2">
        <v>11213.167635572399</v>
      </c>
      <c r="AL3915" s="2">
        <v>25499.1196279586</v>
      </c>
      <c r="AM3915" s="2">
        <v>7863.6320657812003</v>
      </c>
      <c r="AN3915" s="2">
        <v>8864.2639947121697</v>
      </c>
      <c r="AO3915" s="2">
        <v>5110.9250287210098</v>
      </c>
      <c r="AP3915" s="2">
        <v>9597.4348751405105</v>
      </c>
    </row>
    <row r="3916" spans="1:42" ht="14.5" x14ac:dyDescent="0.35">
      <c r="A3916" s="2" t="s">
        <v>26027</v>
      </c>
      <c r="B3916" s="2">
        <v>675.21368156036704</v>
      </c>
      <c r="C3916" s="2">
        <v>2.06823333333333</v>
      </c>
      <c r="D3916" s="2" t="s">
        <v>70</v>
      </c>
      <c r="E3916" s="2" t="s">
        <v>26028</v>
      </c>
      <c r="F3916" s="2">
        <v>58733</v>
      </c>
      <c r="G3916" s="3" t="str">
        <f>HYPERLINK("http://funmeta.oebiotech.com/network/58733", "http://funmeta.oebiotech.com/network/58733")</f>
        <v>http://funmeta.oebiotech.com/network/58733</v>
      </c>
      <c r="H3916" s="2" t="s">
        <v>26029</v>
      </c>
      <c r="I3916" s="2">
        <v>90182</v>
      </c>
      <c r="J3916" s="2"/>
      <c r="K3916" s="2"/>
      <c r="L3916" s="2"/>
      <c r="M3916" s="2"/>
      <c r="N3916" s="2"/>
      <c r="O3916" s="2">
        <v>131751620</v>
      </c>
      <c r="P3916" s="2" t="s">
        <v>26030</v>
      </c>
      <c r="Q3916" s="2" t="s">
        <v>26031</v>
      </c>
      <c r="R3916" s="2" t="s">
        <v>26032</v>
      </c>
      <c r="S3916" s="2" t="s">
        <v>79</v>
      </c>
      <c r="T3916" s="2" t="s">
        <v>80</v>
      </c>
      <c r="U3916" s="2" t="s">
        <v>81</v>
      </c>
      <c r="V3916" s="2" t="s">
        <v>59</v>
      </c>
      <c r="W3916" s="2">
        <v>38.700000000000003</v>
      </c>
      <c r="X3916" s="2">
        <v>0</v>
      </c>
      <c r="Y3916" s="2" t="s">
        <v>751</v>
      </c>
      <c r="Z3916" s="2" t="s">
        <v>26033</v>
      </c>
      <c r="AA3916" s="2">
        <v>-0.72949416305999004</v>
      </c>
      <c r="AB3916" s="2">
        <v>0.181187905754013</v>
      </c>
      <c r="AC3916" s="2">
        <v>4550.5663776267802</v>
      </c>
      <c r="AD3916" s="2">
        <v>2196.4012994699101</v>
      </c>
      <c r="AE3916" s="2">
        <v>4135.1396771173104</v>
      </c>
      <c r="AF3916" s="2">
        <v>5279.3200746422899</v>
      </c>
      <c r="AG3916" s="2">
        <v>5371.1762355904802</v>
      </c>
      <c r="AH3916" s="2">
        <v>4895.2675868174701</v>
      </c>
      <c r="AI3916" s="2">
        <v>3596.8381467429999</v>
      </c>
      <c r="AJ3916" s="2">
        <v>4025.6565448501301</v>
      </c>
      <c r="AK3916" s="2">
        <v>1892.72596247412</v>
      </c>
      <c r="AL3916" s="2">
        <v>2640.6873734076498</v>
      </c>
      <c r="AM3916" s="2">
        <v>1559.7826740493999</v>
      </c>
      <c r="AN3916" s="2">
        <v>2110.3559793385698</v>
      </c>
      <c r="AO3916" s="2">
        <v>2528.93030574366</v>
      </c>
      <c r="AP3916" s="2">
        <v>2445.9255018060799</v>
      </c>
    </row>
    <row r="3917" spans="1:42" ht="14.5" x14ac:dyDescent="0.35">
      <c r="A3917" s="2" t="s">
        <v>26034</v>
      </c>
      <c r="B3917" s="2">
        <v>751.42676444988194</v>
      </c>
      <c r="C3917" s="2">
        <v>10.7995</v>
      </c>
      <c r="D3917" s="2" t="s">
        <v>70</v>
      </c>
      <c r="E3917" s="2" t="s">
        <v>26035</v>
      </c>
      <c r="F3917" s="2">
        <v>63877</v>
      </c>
      <c r="G3917" s="3" t="str">
        <f>HYPERLINK("http://funmeta.oebiotech.com/network/63877", "http://funmeta.oebiotech.com/network/63877")</f>
        <v>http://funmeta.oebiotech.com/network/63877</v>
      </c>
      <c r="H3917" s="2" t="s">
        <v>26036</v>
      </c>
      <c r="I3917" s="2"/>
      <c r="J3917" s="2"/>
      <c r="K3917" s="2"/>
      <c r="L3917" s="2"/>
      <c r="M3917" s="2"/>
      <c r="N3917" s="2"/>
      <c r="O3917" s="2"/>
      <c r="P3917" s="2" t="s">
        <v>26037</v>
      </c>
      <c r="Q3917" s="2" t="s">
        <v>26038</v>
      </c>
      <c r="R3917" s="2" t="s">
        <v>26039</v>
      </c>
      <c r="S3917" s="2" t="s">
        <v>50</v>
      </c>
      <c r="T3917" s="2" t="s">
        <v>124</v>
      </c>
      <c r="U3917" s="2" t="s">
        <v>523</v>
      </c>
      <c r="V3917" s="2" t="s">
        <v>59</v>
      </c>
      <c r="W3917" s="2">
        <v>38.700000000000003</v>
      </c>
      <c r="X3917" s="2">
        <v>0</v>
      </c>
      <c r="Y3917" s="2" t="s">
        <v>118</v>
      </c>
      <c r="Z3917" s="2" t="s">
        <v>7275</v>
      </c>
      <c r="AA3917" s="2">
        <v>-0.86549023430405703</v>
      </c>
      <c r="AB3917" s="2">
        <v>0.18112629766194899</v>
      </c>
      <c r="AC3917" s="2">
        <v>5204.27248358</v>
      </c>
      <c r="AD3917" s="2">
        <v>2796.0301289070198</v>
      </c>
      <c r="AE3917" s="2">
        <v>4841.6484337786396</v>
      </c>
      <c r="AF3917" s="2">
        <v>4319.9701106818002</v>
      </c>
      <c r="AG3917" s="2">
        <v>5808.5166836409899</v>
      </c>
      <c r="AH3917" s="2">
        <v>5573.5398085657098</v>
      </c>
      <c r="AI3917" s="2">
        <v>4674.1381116930897</v>
      </c>
      <c r="AJ3917" s="2">
        <v>6007.8217531197497</v>
      </c>
      <c r="AK3917" s="2">
        <v>2758.63344456915</v>
      </c>
      <c r="AL3917" s="2">
        <v>2251.0760876244499</v>
      </c>
      <c r="AM3917" s="2">
        <v>3595.0830698599102</v>
      </c>
      <c r="AN3917" s="2">
        <v>2161.6746620384702</v>
      </c>
      <c r="AO3917" s="2">
        <v>2419.5792381040701</v>
      </c>
      <c r="AP3917" s="2">
        <v>3590.1342712460701</v>
      </c>
    </row>
    <row r="3918" spans="1:42" ht="14.5" x14ac:dyDescent="0.35">
      <c r="A3918" s="2" t="s">
        <v>26040</v>
      </c>
      <c r="B3918" s="2">
        <v>320.06197852458803</v>
      </c>
      <c r="C3918" s="2">
        <v>1.1107833333333299</v>
      </c>
      <c r="D3918" s="2" t="s">
        <v>70</v>
      </c>
      <c r="E3918" s="2" t="s">
        <v>26041</v>
      </c>
      <c r="F3918" s="2">
        <v>52214</v>
      </c>
      <c r="G3918" s="3" t="str">
        <f>HYPERLINK("http://funmeta.oebiotech.com/network/52214", "http://funmeta.oebiotech.com/network/52214")</f>
        <v>http://funmeta.oebiotech.com/network/52214</v>
      </c>
      <c r="H3918" s="2" t="s">
        <v>26042</v>
      </c>
      <c r="I3918" s="2"/>
      <c r="J3918" s="2"/>
      <c r="K3918" s="2"/>
      <c r="L3918" s="2"/>
      <c r="M3918" s="2"/>
      <c r="N3918" s="2"/>
      <c r="O3918" s="2">
        <v>21125622</v>
      </c>
      <c r="P3918" s="2" t="s">
        <v>26043</v>
      </c>
      <c r="Q3918" s="2" t="s">
        <v>26044</v>
      </c>
      <c r="R3918" s="2" t="s">
        <v>26045</v>
      </c>
      <c r="S3918" s="2" t="s">
        <v>89</v>
      </c>
      <c r="T3918" s="2" t="s">
        <v>90</v>
      </c>
      <c r="U3918" s="2" t="s">
        <v>99</v>
      </c>
      <c r="V3918" s="2" t="s">
        <v>42</v>
      </c>
      <c r="W3918" s="2">
        <v>49.9</v>
      </c>
      <c r="X3918" s="2">
        <v>54.3</v>
      </c>
      <c r="Y3918" s="2" t="s">
        <v>792</v>
      </c>
      <c r="Z3918" s="2" t="s">
        <v>26046</v>
      </c>
      <c r="AA3918" s="2">
        <v>-1.06121808621665</v>
      </c>
      <c r="AB3918" s="2">
        <v>0.18108934527824899</v>
      </c>
      <c r="AC3918" s="2">
        <v>23261.402669759202</v>
      </c>
      <c r="AD3918" s="2">
        <v>20013.091678063101</v>
      </c>
      <c r="AE3918" s="2">
        <v>24118.904093282101</v>
      </c>
      <c r="AF3918" s="2">
        <v>23023.524582494101</v>
      </c>
      <c r="AG3918" s="2">
        <v>22751.5929454748</v>
      </c>
      <c r="AH3918" s="2">
        <v>20893.062105573099</v>
      </c>
      <c r="AI3918" s="2">
        <v>25226.467453965699</v>
      </c>
      <c r="AJ3918" s="2">
        <v>23554.864837765199</v>
      </c>
      <c r="AK3918" s="2">
        <v>19608.8814569471</v>
      </c>
      <c r="AL3918" s="2">
        <v>19643.727390709799</v>
      </c>
      <c r="AM3918" s="2">
        <v>17454.045645710499</v>
      </c>
      <c r="AN3918" s="2">
        <v>23893.382455572799</v>
      </c>
      <c r="AO3918" s="2">
        <v>17954.535888662202</v>
      </c>
      <c r="AP3918" s="2">
        <v>21523.977230775999</v>
      </c>
    </row>
    <row r="3919" spans="1:42" ht="14.5" x14ac:dyDescent="0.35">
      <c r="A3919" s="2" t="s">
        <v>26047</v>
      </c>
      <c r="B3919" s="2">
        <v>305.210924428223</v>
      </c>
      <c r="C3919" s="2">
        <v>11.3090333333333</v>
      </c>
      <c r="D3919" s="2" t="s">
        <v>34</v>
      </c>
      <c r="E3919" s="2" t="s">
        <v>26048</v>
      </c>
      <c r="F3919" s="2">
        <v>202642</v>
      </c>
      <c r="G3919" s="3" t="str">
        <f>HYPERLINK("http://funmeta.oebiotech.com/network/202642", "http://funmeta.oebiotech.com/network/202642")</f>
        <v>http://funmeta.oebiotech.com/network/202642</v>
      </c>
      <c r="H3919" s="2" t="s">
        <v>26049</v>
      </c>
      <c r="I3919" s="2"/>
      <c r="J3919" s="2"/>
      <c r="K3919" s="2"/>
      <c r="L3919" s="2"/>
      <c r="M3919" s="2"/>
      <c r="N3919" s="2"/>
      <c r="O3919" s="2">
        <v>242495</v>
      </c>
      <c r="P3919" s="2"/>
      <c r="Q3919" s="2" t="s">
        <v>26050</v>
      </c>
      <c r="R3919" s="2" t="s">
        <v>26051</v>
      </c>
      <c r="S3919" s="2" t="s">
        <v>50</v>
      </c>
      <c r="T3919" s="2" t="s">
        <v>124</v>
      </c>
      <c r="U3919" s="2" t="s">
        <v>2373</v>
      </c>
      <c r="V3919" s="2" t="s">
        <v>59</v>
      </c>
      <c r="W3919" s="2">
        <v>45.9</v>
      </c>
      <c r="X3919" s="2">
        <v>36.6</v>
      </c>
      <c r="Y3919" s="2" t="s">
        <v>394</v>
      </c>
      <c r="Z3919" s="2" t="s">
        <v>26052</v>
      </c>
      <c r="AA3919" s="2">
        <v>-0.64680450331213202</v>
      </c>
      <c r="AB3919" s="2">
        <v>0.18101327607183401</v>
      </c>
      <c r="AC3919" s="2">
        <v>5455.7041353435097</v>
      </c>
      <c r="AD3919" s="2">
        <v>3124.9566138261298</v>
      </c>
      <c r="AE3919" s="2">
        <v>5832.8991936433104</v>
      </c>
      <c r="AF3919" s="2">
        <v>6270.86554678837</v>
      </c>
      <c r="AG3919" s="2">
        <v>4986.8029654287302</v>
      </c>
      <c r="AH3919" s="2">
        <v>5238.9010712343697</v>
      </c>
      <c r="AI3919" s="2">
        <v>4337.8681292155798</v>
      </c>
      <c r="AJ3919" s="2">
        <v>6066.8879057507002</v>
      </c>
      <c r="AK3919" s="2">
        <v>2830.66282693018</v>
      </c>
      <c r="AL3919" s="2">
        <v>3617.1061470220102</v>
      </c>
      <c r="AM3919" s="2">
        <v>3303.13787248785</v>
      </c>
      <c r="AN3919" s="2">
        <v>3106.26182247408</v>
      </c>
      <c r="AO3919" s="2">
        <v>3025.83113177005</v>
      </c>
      <c r="AP3919" s="2">
        <v>2866.73988227259</v>
      </c>
    </row>
    <row r="3920" spans="1:42" ht="14.5" x14ac:dyDescent="0.35">
      <c r="A3920" s="2" t="s">
        <v>26053</v>
      </c>
      <c r="B3920" s="2">
        <v>565.24864915169098</v>
      </c>
      <c r="C3920" s="2">
        <v>4.4710000000000001</v>
      </c>
      <c r="D3920" s="2" t="s">
        <v>70</v>
      </c>
      <c r="E3920" s="2" t="s">
        <v>26054</v>
      </c>
      <c r="F3920" s="2">
        <v>53835</v>
      </c>
      <c r="G3920" s="3" t="str">
        <f>HYPERLINK("http://funmeta.oebiotech.com/network/53835", "http://funmeta.oebiotech.com/network/53835")</f>
        <v>http://funmeta.oebiotech.com/network/53835</v>
      </c>
      <c r="H3920" s="2" t="s">
        <v>26055</v>
      </c>
      <c r="I3920" s="2">
        <v>85713</v>
      </c>
      <c r="J3920" s="2"/>
      <c r="K3920" s="2"/>
      <c r="L3920" s="2"/>
      <c r="M3920" s="2"/>
      <c r="N3920" s="2"/>
      <c r="O3920" s="2">
        <v>9814348</v>
      </c>
      <c r="P3920" s="2" t="s">
        <v>26056</v>
      </c>
      <c r="Q3920" s="2" t="s">
        <v>26057</v>
      </c>
      <c r="R3920" s="2" t="s">
        <v>26058</v>
      </c>
      <c r="S3920" s="2" t="s">
        <v>89</v>
      </c>
      <c r="T3920" s="2" t="s">
        <v>90</v>
      </c>
      <c r="U3920" s="2" t="s">
        <v>99</v>
      </c>
      <c r="V3920" s="2" t="s">
        <v>59</v>
      </c>
      <c r="W3920" s="2">
        <v>39.5</v>
      </c>
      <c r="X3920" s="2">
        <v>0</v>
      </c>
      <c r="Y3920" s="2" t="s">
        <v>560</v>
      </c>
      <c r="Z3920" s="2" t="s">
        <v>26059</v>
      </c>
      <c r="AA3920" s="2">
        <v>-0.322312053464413</v>
      </c>
      <c r="AB3920" s="2">
        <v>0.18087730269451499</v>
      </c>
      <c r="AC3920" s="2">
        <v>4990.9723294031301</v>
      </c>
      <c r="AD3920" s="2">
        <v>2408.8125370285702</v>
      </c>
      <c r="AE3920" s="2">
        <v>3876.6783886214198</v>
      </c>
      <c r="AF3920" s="2">
        <v>6026.2213534168995</v>
      </c>
      <c r="AG3920" s="2">
        <v>4853.6022631488404</v>
      </c>
      <c r="AH3920" s="2">
        <v>6067.8152400424897</v>
      </c>
      <c r="AI3920" s="2">
        <v>3086.22124448462</v>
      </c>
      <c r="AJ3920" s="2">
        <v>6035.29548670453</v>
      </c>
      <c r="AK3920" s="2">
        <v>2672.5661249157101</v>
      </c>
      <c r="AL3920" s="2">
        <v>3233.4638666429901</v>
      </c>
      <c r="AM3920" s="2">
        <v>2028.3589059662099</v>
      </c>
      <c r="AN3920" s="2">
        <v>2366.9275085791401</v>
      </c>
      <c r="AO3920" s="2">
        <v>1711.2987051646001</v>
      </c>
      <c r="AP3920" s="2">
        <v>2440.2601109027501</v>
      </c>
    </row>
    <row r="3921" spans="1:42" ht="14.5" x14ac:dyDescent="0.35">
      <c r="A3921" s="2" t="s">
        <v>26060</v>
      </c>
      <c r="B3921" s="2">
        <v>159.149183137839</v>
      </c>
      <c r="C3921" s="2">
        <v>0.55359999999999998</v>
      </c>
      <c r="D3921" s="2" t="s">
        <v>34</v>
      </c>
      <c r="E3921" s="2" t="s">
        <v>26061</v>
      </c>
      <c r="F3921" s="2">
        <v>212694</v>
      </c>
      <c r="G3921" s="3" t="str">
        <f>HYPERLINK("http://funmeta.oebiotech.com/network/212694", "http://funmeta.oebiotech.com/network/212694")</f>
        <v>http://funmeta.oebiotech.com/network/212694</v>
      </c>
      <c r="H3921" s="2" t="s">
        <v>26062</v>
      </c>
      <c r="I3921" s="2">
        <v>1164</v>
      </c>
      <c r="J3921" s="2"/>
      <c r="K3921" s="2"/>
      <c r="L3921" s="2" t="s">
        <v>26063</v>
      </c>
      <c r="M3921" s="2" t="s">
        <v>11852</v>
      </c>
      <c r="N3921" s="2" t="s">
        <v>11853</v>
      </c>
      <c r="O3921" s="2">
        <v>8424</v>
      </c>
      <c r="P3921" s="2" t="s">
        <v>26064</v>
      </c>
      <c r="Q3921" s="2" t="s">
        <v>26065</v>
      </c>
      <c r="R3921" s="2" t="s">
        <v>26066</v>
      </c>
      <c r="S3921" s="2" t="s">
        <v>39</v>
      </c>
      <c r="T3921" s="2" t="s">
        <v>26067</v>
      </c>
      <c r="U3921" s="2" t="s">
        <v>41</v>
      </c>
      <c r="V3921" s="2" t="s">
        <v>59</v>
      </c>
      <c r="W3921" s="2">
        <v>38.200000000000003</v>
      </c>
      <c r="X3921" s="2">
        <v>0</v>
      </c>
      <c r="Y3921" s="2" t="s">
        <v>43</v>
      </c>
      <c r="Z3921" s="2" t="s">
        <v>26068</v>
      </c>
      <c r="AA3921" s="2">
        <v>-4.6044389233257502E-2</v>
      </c>
      <c r="AB3921" s="2">
        <v>0.18072322268242699</v>
      </c>
      <c r="AC3921" s="2">
        <v>3328.29767402894</v>
      </c>
      <c r="AD3921" s="2">
        <v>1127.05598731489</v>
      </c>
      <c r="AE3921" s="2">
        <v>3322.7712110830598</v>
      </c>
      <c r="AF3921" s="2">
        <v>3854.6691420386501</v>
      </c>
      <c r="AG3921" s="2">
        <v>3250.1364143779101</v>
      </c>
      <c r="AH3921" s="2">
        <v>3013.21014104195</v>
      </c>
      <c r="AI3921" s="2">
        <v>3409.39660381371</v>
      </c>
      <c r="AJ3921" s="2">
        <v>3119.6025318183702</v>
      </c>
      <c r="AK3921" s="2">
        <v>1480.04573738311</v>
      </c>
      <c r="AL3921" s="2">
        <v>731.47776497121095</v>
      </c>
      <c r="AM3921" s="2">
        <v>1083.17146184126</v>
      </c>
      <c r="AN3921" s="2">
        <v>1201.12450651823</v>
      </c>
      <c r="AO3921" s="2">
        <v>940.04270897856497</v>
      </c>
      <c r="AP3921" s="2">
        <v>1326.4737441969701</v>
      </c>
    </row>
    <row r="3922" spans="1:42" ht="14.5" x14ac:dyDescent="0.35">
      <c r="A3922" s="2" t="s">
        <v>26069</v>
      </c>
      <c r="B3922" s="2">
        <v>447.029367457788</v>
      </c>
      <c r="C3922" s="2">
        <v>6.98973333333333</v>
      </c>
      <c r="D3922" s="2" t="s">
        <v>70</v>
      </c>
      <c r="E3922" s="2" t="s">
        <v>26070</v>
      </c>
      <c r="F3922" s="2">
        <v>256881</v>
      </c>
      <c r="G3922" s="3" t="str">
        <f>HYPERLINK("http://funmeta.oebiotech.com/network/256881", "http://funmeta.oebiotech.com/network/256881")</f>
        <v>http://funmeta.oebiotech.com/network/256881</v>
      </c>
      <c r="H3922" s="2" t="s">
        <v>26071</v>
      </c>
      <c r="I3922" s="2"/>
      <c r="J3922" s="2"/>
      <c r="K3922" s="2">
        <v>58939</v>
      </c>
      <c r="L3922" s="2"/>
      <c r="M3922" s="2"/>
      <c r="N3922" s="2"/>
      <c r="O3922" s="2"/>
      <c r="P3922" s="2"/>
      <c r="Q3922" s="2" t="s">
        <v>26072</v>
      </c>
      <c r="R3922" s="2" t="s">
        <v>26073</v>
      </c>
      <c r="S3922" s="2" t="s">
        <v>491</v>
      </c>
      <c r="T3922" s="2" t="s">
        <v>4517</v>
      </c>
      <c r="U3922" s="2" t="s">
        <v>4518</v>
      </c>
      <c r="V3922" s="2" t="s">
        <v>59</v>
      </c>
      <c r="W3922" s="2">
        <v>38.200000000000003</v>
      </c>
      <c r="X3922" s="2">
        <v>0</v>
      </c>
      <c r="Y3922" s="2" t="s">
        <v>751</v>
      </c>
      <c r="Z3922" s="2" t="s">
        <v>26074</v>
      </c>
      <c r="AA3922" s="2">
        <v>-1.07134802707641</v>
      </c>
      <c r="AB3922" s="2">
        <v>0.18068881990118399</v>
      </c>
      <c r="AC3922" s="2">
        <v>16797.465975176201</v>
      </c>
      <c r="AD3922" s="2">
        <v>20273.308152994701</v>
      </c>
      <c r="AE3922" s="2">
        <v>17686.1940172211</v>
      </c>
      <c r="AF3922" s="2">
        <v>20483.1423379439</v>
      </c>
      <c r="AG3922" s="2">
        <v>17230.425704856902</v>
      </c>
      <c r="AH3922" s="2">
        <v>13810.6821510952</v>
      </c>
      <c r="AI3922" s="2">
        <v>12901.483940812101</v>
      </c>
      <c r="AJ3922" s="2">
        <v>18672.867699128099</v>
      </c>
      <c r="AK3922" s="2">
        <v>20883.908990853401</v>
      </c>
      <c r="AL3922" s="2">
        <v>19545.0662937528</v>
      </c>
      <c r="AM3922" s="2">
        <v>22919.815567965699</v>
      </c>
      <c r="AN3922" s="2">
        <v>20963.987079083701</v>
      </c>
      <c r="AO3922" s="2">
        <v>18203.385453307601</v>
      </c>
      <c r="AP3922" s="2">
        <v>19123.685533005199</v>
      </c>
    </row>
    <row r="3923" spans="1:42" ht="14.5" x14ac:dyDescent="0.35">
      <c r="A3923" s="2" t="s">
        <v>26075</v>
      </c>
      <c r="B3923" s="2">
        <v>853.36942641797202</v>
      </c>
      <c r="C3923" s="2">
        <v>10.7807333333333</v>
      </c>
      <c r="D3923" s="2" t="s">
        <v>70</v>
      </c>
      <c r="E3923" s="2" t="s">
        <v>26076</v>
      </c>
      <c r="F3923" s="2">
        <v>60767</v>
      </c>
      <c r="G3923" s="3" t="str">
        <f>HYPERLINK("http://funmeta.oebiotech.com/network/60767", "http://funmeta.oebiotech.com/network/60767")</f>
        <v>http://funmeta.oebiotech.com/network/60767</v>
      </c>
      <c r="H3923" s="2" t="s">
        <v>26077</v>
      </c>
      <c r="I3923" s="2">
        <v>92096</v>
      </c>
      <c r="J3923" s="2"/>
      <c r="K3923" s="2"/>
      <c r="L3923" s="2"/>
      <c r="M3923" s="2"/>
      <c r="N3923" s="2"/>
      <c r="O3923" s="2">
        <v>20831779</v>
      </c>
      <c r="P3923" s="2" t="s">
        <v>26078</v>
      </c>
      <c r="Q3923" s="2" t="s">
        <v>26079</v>
      </c>
      <c r="R3923" s="2" t="s">
        <v>26080</v>
      </c>
      <c r="S3923" s="2" t="s">
        <v>50</v>
      </c>
      <c r="T3923" s="2" t="s">
        <v>201</v>
      </c>
      <c r="U3923" s="2" t="s">
        <v>202</v>
      </c>
      <c r="V3923" s="2" t="s">
        <v>59</v>
      </c>
      <c r="W3923" s="2">
        <v>38.700000000000003</v>
      </c>
      <c r="X3923" s="2">
        <v>0</v>
      </c>
      <c r="Y3923" s="2" t="s">
        <v>118</v>
      </c>
      <c r="Z3923" s="2" t="s">
        <v>26081</v>
      </c>
      <c r="AA3923" s="2">
        <v>-1.93842588622187</v>
      </c>
      <c r="AB3923" s="2">
        <v>0.180683059036403</v>
      </c>
      <c r="AC3923" s="2">
        <v>2958.3046359725499</v>
      </c>
      <c r="AD3923" s="2">
        <v>429.89312662536202</v>
      </c>
      <c r="AE3923" s="2">
        <v>1590.74338639966</v>
      </c>
      <c r="AF3923" s="2">
        <v>1823.92286766045</v>
      </c>
      <c r="AG3923" s="2">
        <v>2441.2483168157</v>
      </c>
      <c r="AH3923" s="2">
        <v>4090.0893465131498</v>
      </c>
      <c r="AI3923" s="2">
        <v>4112.0521096376797</v>
      </c>
      <c r="AJ3923" s="2">
        <v>3691.7717888086599</v>
      </c>
      <c r="AK3923" s="2">
        <v>551.07113620478003</v>
      </c>
      <c r="AL3923" s="2">
        <v>2.7106294003980101E-5</v>
      </c>
      <c r="AM3923" s="2">
        <v>879.188965496116</v>
      </c>
      <c r="AN3923" s="2">
        <v>295.96288484148801</v>
      </c>
      <c r="AO3923" s="2">
        <v>456.09328107656597</v>
      </c>
      <c r="AP3923" s="2">
        <v>397.04246502692502</v>
      </c>
    </row>
    <row r="3924" spans="1:42" ht="14.5" x14ac:dyDescent="0.35">
      <c r="A3924" s="2" t="s">
        <v>26082</v>
      </c>
      <c r="B3924" s="2">
        <v>569.31250650693801</v>
      </c>
      <c r="C3924" s="2">
        <v>9.5046666666666706</v>
      </c>
      <c r="D3924" s="2" t="s">
        <v>70</v>
      </c>
      <c r="E3924" s="2" t="s">
        <v>26083</v>
      </c>
      <c r="F3924" s="2">
        <v>82705</v>
      </c>
      <c r="G3924" s="3" t="str">
        <f>HYPERLINK("http://funmeta.oebiotech.com/network/82705", "http://funmeta.oebiotech.com/network/82705")</f>
        <v>http://funmeta.oebiotech.com/network/82705</v>
      </c>
      <c r="H3924" s="2" t="s">
        <v>26084</v>
      </c>
      <c r="I3924" s="2"/>
      <c r="J3924" s="2"/>
      <c r="K3924" s="2"/>
      <c r="L3924" s="2"/>
      <c r="M3924" s="2"/>
      <c r="N3924" s="2"/>
      <c r="O3924" s="2">
        <v>11742124</v>
      </c>
      <c r="P3924" s="2"/>
      <c r="Q3924" s="2" t="s">
        <v>26085</v>
      </c>
      <c r="R3924" s="2" t="s">
        <v>26086</v>
      </c>
      <c r="S3924" s="2" t="s">
        <v>491</v>
      </c>
      <c r="T3924" s="2" t="s">
        <v>2184</v>
      </c>
      <c r="U3924" s="2" t="s">
        <v>5421</v>
      </c>
      <c r="V3924" s="2" t="s">
        <v>59</v>
      </c>
      <c r="W3924" s="2">
        <v>37.5</v>
      </c>
      <c r="X3924" s="2">
        <v>0</v>
      </c>
      <c r="Y3924" s="2" t="s">
        <v>560</v>
      </c>
      <c r="Z3924" s="2" t="s">
        <v>26087</v>
      </c>
      <c r="AA3924" s="2">
        <v>3.26560518478674</v>
      </c>
      <c r="AB3924" s="2">
        <v>0.180593811355516</v>
      </c>
      <c r="AC3924" s="2">
        <v>1292.2712450302399</v>
      </c>
      <c r="AD3924" s="2">
        <v>3763.5464017883601</v>
      </c>
      <c r="AE3924" s="2">
        <v>1228.9151878029099</v>
      </c>
      <c r="AF3924" s="2">
        <v>876.599756845363</v>
      </c>
      <c r="AG3924" s="2">
        <v>2108.75109604826</v>
      </c>
      <c r="AH3924" s="2">
        <v>790.04688828621204</v>
      </c>
      <c r="AI3924" s="2">
        <v>1323.6552023833401</v>
      </c>
      <c r="AJ3924" s="2">
        <v>1425.6593388153599</v>
      </c>
      <c r="AK3924" s="2">
        <v>3844.14970260976</v>
      </c>
      <c r="AL3924" s="2">
        <v>4615.1084236390298</v>
      </c>
      <c r="AM3924" s="2">
        <v>2561.87538569666</v>
      </c>
      <c r="AN3924" s="2">
        <v>4344.9153905826497</v>
      </c>
      <c r="AO3924" s="2">
        <v>4696.1417610641201</v>
      </c>
      <c r="AP3924" s="2">
        <v>2519.0877471379199</v>
      </c>
    </row>
    <row r="3925" spans="1:42" ht="14.5" x14ac:dyDescent="0.35">
      <c r="A3925" s="2" t="s">
        <v>26088</v>
      </c>
      <c r="B3925" s="2">
        <v>334.19017368867497</v>
      </c>
      <c r="C3925" s="2">
        <v>6.4662166666666696</v>
      </c>
      <c r="D3925" s="2" t="s">
        <v>34</v>
      </c>
      <c r="E3925" s="2" t="s">
        <v>26089</v>
      </c>
      <c r="F3925" s="2">
        <v>256861</v>
      </c>
      <c r="G3925" s="3" t="str">
        <f>HYPERLINK("http://funmeta.oebiotech.com/network/256861", "http://funmeta.oebiotech.com/network/256861")</f>
        <v>http://funmeta.oebiotech.com/network/256861</v>
      </c>
      <c r="H3925" s="2" t="s">
        <v>26090</v>
      </c>
      <c r="I3925" s="2"/>
      <c r="J3925" s="2"/>
      <c r="K3925" s="2"/>
      <c r="L3925" s="2"/>
      <c r="M3925" s="2"/>
      <c r="N3925" s="2"/>
      <c r="O3925" s="2"/>
      <c r="P3925" s="2"/>
      <c r="Q3925" s="2" t="s">
        <v>26091</v>
      </c>
      <c r="R3925" s="2" t="s">
        <v>26092</v>
      </c>
      <c r="S3925" s="2" t="s">
        <v>50</v>
      </c>
      <c r="T3925" s="2" t="s">
        <v>229</v>
      </c>
      <c r="U3925" s="2" t="s">
        <v>1360</v>
      </c>
      <c r="V3925" s="2" t="s">
        <v>59</v>
      </c>
      <c r="W3925" s="2">
        <v>36.200000000000003</v>
      </c>
      <c r="X3925" s="2">
        <v>0</v>
      </c>
      <c r="Y3925" s="2" t="s">
        <v>340</v>
      </c>
      <c r="Z3925" s="2" t="s">
        <v>26093</v>
      </c>
      <c r="AA3925" s="2">
        <v>-1.0305420761603501</v>
      </c>
      <c r="AB3925" s="2">
        <v>0.18037308782698899</v>
      </c>
      <c r="AC3925" s="2">
        <v>5637.5182021404898</v>
      </c>
      <c r="AD3925" s="2">
        <v>8560.8113093895608</v>
      </c>
      <c r="AE3925" s="2">
        <v>4105.8768503727897</v>
      </c>
      <c r="AF3925" s="2">
        <v>5786.2657179828902</v>
      </c>
      <c r="AG3925" s="2">
        <v>6548.9220697716601</v>
      </c>
      <c r="AH3925" s="2">
        <v>8456.5703497211907</v>
      </c>
      <c r="AI3925" s="2">
        <v>5386.6867554561104</v>
      </c>
      <c r="AJ3925" s="2">
        <v>3540.7874695383098</v>
      </c>
      <c r="AK3925" s="2">
        <v>8986.4243174538897</v>
      </c>
      <c r="AL3925" s="2">
        <v>9415.8270651732601</v>
      </c>
      <c r="AM3925" s="2">
        <v>9504.5546121614698</v>
      </c>
      <c r="AN3925" s="2">
        <v>7742.30654185202</v>
      </c>
      <c r="AO3925" s="2">
        <v>6628.1341860753701</v>
      </c>
      <c r="AP3925" s="2">
        <v>9087.6211336213291</v>
      </c>
    </row>
    <row r="3926" spans="1:42" ht="14.5" x14ac:dyDescent="0.35">
      <c r="A3926" s="2" t="s">
        <v>26094</v>
      </c>
      <c r="B3926" s="2">
        <v>234.12345691114501</v>
      </c>
      <c r="C3926" s="2">
        <v>3.84351666666667</v>
      </c>
      <c r="D3926" s="2" t="s">
        <v>34</v>
      </c>
      <c r="E3926" s="2" t="s">
        <v>26095</v>
      </c>
      <c r="F3926" s="2">
        <v>256815</v>
      </c>
      <c r="G3926" s="3" t="str">
        <f>HYPERLINK("http://funmeta.oebiotech.com/network/256815", "http://funmeta.oebiotech.com/network/256815")</f>
        <v>http://funmeta.oebiotech.com/network/256815</v>
      </c>
      <c r="H3926" s="2" t="s">
        <v>26096</v>
      </c>
      <c r="I3926" s="2"/>
      <c r="J3926" s="2"/>
      <c r="K3926" s="2"/>
      <c r="L3926" s="2"/>
      <c r="M3926" s="2"/>
      <c r="N3926" s="2"/>
      <c r="O3926" s="2"/>
      <c r="P3926" s="2"/>
      <c r="Q3926" s="2" t="s">
        <v>26097</v>
      </c>
      <c r="R3926" s="2" t="s">
        <v>26098</v>
      </c>
      <c r="S3926" s="2" t="s">
        <v>50</v>
      </c>
      <c r="T3926" s="2" t="s">
        <v>229</v>
      </c>
      <c r="U3926" s="2" t="s">
        <v>433</v>
      </c>
      <c r="V3926" s="2" t="s">
        <v>42</v>
      </c>
      <c r="W3926" s="2">
        <v>48.4</v>
      </c>
      <c r="X3926" s="2">
        <v>54.2</v>
      </c>
      <c r="Y3926" s="2" t="s">
        <v>323</v>
      </c>
      <c r="Z3926" s="2" t="s">
        <v>26099</v>
      </c>
      <c r="AA3926" s="2">
        <v>3.86846922140262</v>
      </c>
      <c r="AB3926" s="2">
        <v>0.18020210860230401</v>
      </c>
      <c r="AC3926" s="2">
        <v>2855.66864877025</v>
      </c>
      <c r="AD3926" s="2">
        <v>645.82302982410204</v>
      </c>
      <c r="AE3926" s="2">
        <v>2597.1658890109502</v>
      </c>
      <c r="AF3926" s="2">
        <v>3404.3659511917299</v>
      </c>
      <c r="AG3926" s="2">
        <v>2479.35986300167</v>
      </c>
      <c r="AH3926" s="2">
        <v>2857.2090687217401</v>
      </c>
      <c r="AI3926" s="2">
        <v>2891.1420435974801</v>
      </c>
      <c r="AJ3926" s="2">
        <v>2904.7690770979302</v>
      </c>
      <c r="AK3926" s="2">
        <v>469.85417956099701</v>
      </c>
      <c r="AL3926" s="2">
        <v>891.69891684707204</v>
      </c>
      <c r="AM3926" s="2">
        <v>31.662232649078099</v>
      </c>
      <c r="AN3926" s="2">
        <v>904.06707870108005</v>
      </c>
      <c r="AO3926" s="2">
        <v>894.62595772829104</v>
      </c>
      <c r="AP3926" s="2">
        <v>683.02981345809701</v>
      </c>
    </row>
    <row r="3927" spans="1:42" ht="14.5" x14ac:dyDescent="0.35">
      <c r="A3927" s="2" t="s">
        <v>26100</v>
      </c>
      <c r="B3927" s="2">
        <v>543.29663308761701</v>
      </c>
      <c r="C3927" s="2">
        <v>8.3517666666666699</v>
      </c>
      <c r="D3927" s="2" t="s">
        <v>70</v>
      </c>
      <c r="E3927" s="2" t="s">
        <v>26101</v>
      </c>
      <c r="F3927" s="2">
        <v>205338</v>
      </c>
      <c r="G3927" s="3" t="str">
        <f>HYPERLINK("http://funmeta.oebiotech.com/network/205338", "http://funmeta.oebiotech.com/network/205338")</f>
        <v>http://funmeta.oebiotech.com/network/205338</v>
      </c>
      <c r="H3927" s="2" t="s">
        <v>26102</v>
      </c>
      <c r="I3927" s="2"/>
      <c r="J3927" s="2"/>
      <c r="K3927" s="2"/>
      <c r="L3927" s="2"/>
      <c r="M3927" s="2"/>
      <c r="N3927" s="2"/>
      <c r="O3927" s="2">
        <v>4482419</v>
      </c>
      <c r="P3927" s="2"/>
      <c r="Q3927" s="2" t="s">
        <v>26103</v>
      </c>
      <c r="R3927" s="2" t="s">
        <v>26104</v>
      </c>
      <c r="S3927" s="2" t="s">
        <v>50</v>
      </c>
      <c r="T3927" s="2" t="s">
        <v>124</v>
      </c>
      <c r="U3927" s="2" t="s">
        <v>5245</v>
      </c>
      <c r="V3927" s="2" t="s">
        <v>59</v>
      </c>
      <c r="W3927" s="2">
        <v>38.200000000000003</v>
      </c>
      <c r="X3927" s="2">
        <v>0</v>
      </c>
      <c r="Y3927" s="2" t="s">
        <v>408</v>
      </c>
      <c r="Z3927" s="2" t="s">
        <v>26105</v>
      </c>
      <c r="AA3927" s="2">
        <v>0.584295413178053</v>
      </c>
      <c r="AB3927" s="2">
        <v>0.18008448230888</v>
      </c>
      <c r="AC3927" s="2">
        <v>9969.1312221555308</v>
      </c>
      <c r="AD3927" s="2">
        <v>13063.872640146201</v>
      </c>
      <c r="AE3927" s="2">
        <v>10160.3117742215</v>
      </c>
      <c r="AF3927" s="2">
        <v>9249.5031948177693</v>
      </c>
      <c r="AG3927" s="2">
        <v>11944.4295022898</v>
      </c>
      <c r="AH3927" s="2">
        <v>9905.8563552357791</v>
      </c>
      <c r="AI3927" s="2">
        <v>9137.83153382202</v>
      </c>
      <c r="AJ3927" s="2">
        <v>9416.8549725463108</v>
      </c>
      <c r="AK3927" s="2">
        <v>11450.138735317199</v>
      </c>
      <c r="AL3927" s="2">
        <v>15612.693128000699</v>
      </c>
      <c r="AM3927" s="2">
        <v>11800.718643865401</v>
      </c>
      <c r="AN3927" s="2">
        <v>13217.0946539666</v>
      </c>
      <c r="AO3927" s="2">
        <v>15894.759984398799</v>
      </c>
      <c r="AP3927" s="2">
        <v>10407.830695328799</v>
      </c>
    </row>
    <row r="3928" spans="1:42" ht="14.5" x14ac:dyDescent="0.35">
      <c r="A3928" s="2" t="s">
        <v>26106</v>
      </c>
      <c r="B3928" s="2">
        <v>275.20038527043403</v>
      </c>
      <c r="C3928" s="2">
        <v>11.4806166666667</v>
      </c>
      <c r="D3928" s="2" t="s">
        <v>34</v>
      </c>
      <c r="E3928" s="2" t="s">
        <v>26107</v>
      </c>
      <c r="F3928" s="2">
        <v>3322</v>
      </c>
      <c r="G3928" s="3" t="str">
        <f>HYPERLINK("http://funmeta.oebiotech.com/network/3322", "http://funmeta.oebiotech.com/network/3322")</f>
        <v>http://funmeta.oebiotech.com/network/3322</v>
      </c>
      <c r="H3928" s="2"/>
      <c r="I3928" s="2">
        <v>45173</v>
      </c>
      <c r="J3928" s="2" t="s">
        <v>26108</v>
      </c>
      <c r="K3928" s="2">
        <v>142251</v>
      </c>
      <c r="L3928" s="2"/>
      <c r="M3928" s="2"/>
      <c r="N3928" s="2"/>
      <c r="O3928" s="2">
        <v>11380794</v>
      </c>
      <c r="P3928" s="2" t="s">
        <v>26109</v>
      </c>
      <c r="Q3928" s="2" t="s">
        <v>26110</v>
      </c>
      <c r="R3928" s="2" t="s">
        <v>26111</v>
      </c>
      <c r="S3928" s="2" t="s">
        <v>50</v>
      </c>
      <c r="T3928" s="2" t="s">
        <v>229</v>
      </c>
      <c r="U3928" s="2" t="s">
        <v>1360</v>
      </c>
      <c r="V3928" s="2" t="s">
        <v>59</v>
      </c>
      <c r="W3928" s="2">
        <v>39.200000000000003</v>
      </c>
      <c r="X3928" s="2">
        <v>0</v>
      </c>
      <c r="Y3928" s="2" t="s">
        <v>141</v>
      </c>
      <c r="Z3928" s="2" t="s">
        <v>21562</v>
      </c>
      <c r="AA3928" s="2">
        <v>-0.58601626468532098</v>
      </c>
      <c r="AB3928" s="2">
        <v>0.18008101771066201</v>
      </c>
      <c r="AC3928" s="2">
        <v>2487.9416994777898</v>
      </c>
      <c r="AD3928" s="2">
        <v>327.271092969135</v>
      </c>
      <c r="AE3928" s="2">
        <v>2728.0281046770901</v>
      </c>
      <c r="AF3928" s="2">
        <v>2377.4418590938499</v>
      </c>
      <c r="AG3928" s="2">
        <v>2142.3023200897701</v>
      </c>
      <c r="AH3928" s="2">
        <v>2524.7868086475</v>
      </c>
      <c r="AI3928" s="2">
        <v>2472.5262501725101</v>
      </c>
      <c r="AJ3928" s="2">
        <v>2682.5648541860201</v>
      </c>
      <c r="AK3928" s="2">
        <v>197.95730402831299</v>
      </c>
      <c r="AL3928" s="2">
        <v>526.38670956003205</v>
      </c>
      <c r="AM3928" s="2">
        <v>104.176749494302</v>
      </c>
      <c r="AN3928" s="2">
        <v>418.28460933363903</v>
      </c>
      <c r="AO3928" s="2">
        <v>560.18785981797805</v>
      </c>
      <c r="AP3928" s="2">
        <v>156.63332558054699</v>
      </c>
    </row>
    <row r="3929" spans="1:42" ht="14.5" x14ac:dyDescent="0.35">
      <c r="A3929" s="2" t="s">
        <v>26112</v>
      </c>
      <c r="B3929" s="2">
        <v>637.26424959698295</v>
      </c>
      <c r="C3929" s="2">
        <v>7.1594666666666704</v>
      </c>
      <c r="D3929" s="2" t="s">
        <v>70</v>
      </c>
      <c r="E3929" s="2" t="s">
        <v>26113</v>
      </c>
      <c r="F3929" s="2">
        <v>24884</v>
      </c>
      <c r="G3929" s="3" t="str">
        <f>HYPERLINK("http://funmeta.oebiotech.com/network/24884", "http://funmeta.oebiotech.com/network/24884")</f>
        <v>http://funmeta.oebiotech.com/network/24884</v>
      </c>
      <c r="H3929" s="2"/>
      <c r="I3929" s="2"/>
      <c r="J3929" s="2" t="s">
        <v>26114</v>
      </c>
      <c r="K3929" s="2"/>
      <c r="L3929" s="2"/>
      <c r="M3929" s="2"/>
      <c r="N3929" s="2"/>
      <c r="O3929" s="2">
        <v>52928612</v>
      </c>
      <c r="P3929" s="2"/>
      <c r="Q3929" s="2" t="s">
        <v>26115</v>
      </c>
      <c r="R3929" s="2" t="s">
        <v>26116</v>
      </c>
      <c r="S3929" s="2" t="s">
        <v>50</v>
      </c>
      <c r="T3929" s="2" t="s">
        <v>51</v>
      </c>
      <c r="U3929" s="2" t="s">
        <v>52</v>
      </c>
      <c r="V3929" s="2" t="s">
        <v>42</v>
      </c>
      <c r="W3929" s="2">
        <v>49.1</v>
      </c>
      <c r="X3929" s="2">
        <v>59.8</v>
      </c>
      <c r="Y3929" s="2" t="s">
        <v>408</v>
      </c>
      <c r="Z3929" s="2" t="s">
        <v>26117</v>
      </c>
      <c r="AA3929" s="2">
        <v>1.99778711472068</v>
      </c>
      <c r="AB3929" s="2">
        <v>0.18005692537597401</v>
      </c>
      <c r="AC3929" s="2">
        <v>5925.6760089833297</v>
      </c>
      <c r="AD3929" s="2">
        <v>9553.0287048502596</v>
      </c>
      <c r="AE3929" s="2">
        <v>6209.8593928706396</v>
      </c>
      <c r="AF3929" s="2">
        <v>5876.8888386867302</v>
      </c>
      <c r="AG3929" s="2">
        <v>6481.7305533185699</v>
      </c>
      <c r="AH3929" s="2">
        <v>5552.3182851731599</v>
      </c>
      <c r="AI3929" s="2">
        <v>4497.7760783290896</v>
      </c>
      <c r="AJ3929" s="2">
        <v>6935.4829055217897</v>
      </c>
      <c r="AK3929" s="2">
        <v>6595.2411338222</v>
      </c>
      <c r="AL3929" s="2">
        <v>16828.978365916799</v>
      </c>
      <c r="AM3929" s="2">
        <v>9175.7214941242491</v>
      </c>
      <c r="AN3929" s="2">
        <v>7837.2260407379299</v>
      </c>
      <c r="AO3929" s="2">
        <v>9156.0993847810005</v>
      </c>
      <c r="AP3929" s="2">
        <v>7724.9058097193601</v>
      </c>
    </row>
    <row r="3930" spans="1:42" ht="14.5" x14ac:dyDescent="0.35">
      <c r="A3930" s="2" t="s">
        <v>26118</v>
      </c>
      <c r="B3930" s="2">
        <v>278.06656907650699</v>
      </c>
      <c r="C3930" s="2">
        <v>4.0250666666666701</v>
      </c>
      <c r="D3930" s="2" t="s">
        <v>70</v>
      </c>
      <c r="E3930" s="2" t="s">
        <v>26119</v>
      </c>
      <c r="F3930" s="2">
        <v>54217</v>
      </c>
      <c r="G3930" s="3" t="str">
        <f>HYPERLINK("http://funmeta.oebiotech.com/network/54217", "http://funmeta.oebiotech.com/network/54217")</f>
        <v>http://funmeta.oebiotech.com/network/54217</v>
      </c>
      <c r="H3930" s="2" t="s">
        <v>26120</v>
      </c>
      <c r="I3930" s="2">
        <v>86112</v>
      </c>
      <c r="J3930" s="2"/>
      <c r="K3930" s="2">
        <v>174662</v>
      </c>
      <c r="L3930" s="2"/>
      <c r="M3930" s="2"/>
      <c r="N3930" s="2"/>
      <c r="O3930" s="2">
        <v>24891369</v>
      </c>
      <c r="P3930" s="2"/>
      <c r="Q3930" s="2" t="s">
        <v>26121</v>
      </c>
      <c r="R3930" s="2" t="s">
        <v>26122</v>
      </c>
      <c r="S3930" s="2" t="s">
        <v>89</v>
      </c>
      <c r="T3930" s="2" t="s">
        <v>90</v>
      </c>
      <c r="U3930" s="2" t="s">
        <v>99</v>
      </c>
      <c r="V3930" s="2" t="s">
        <v>42</v>
      </c>
      <c r="W3930" s="2">
        <v>50.9</v>
      </c>
      <c r="X3930" s="2">
        <v>61.8</v>
      </c>
      <c r="Y3930" s="2" t="s">
        <v>118</v>
      </c>
      <c r="Z3930" s="2" t="s">
        <v>26123</v>
      </c>
      <c r="AA3930" s="2">
        <v>-1.58248388955546</v>
      </c>
      <c r="AB3930" s="2">
        <v>0.17974378746629899</v>
      </c>
      <c r="AC3930" s="2">
        <v>11569.784713061201</v>
      </c>
      <c r="AD3930" s="2">
        <v>9152.5911496797307</v>
      </c>
      <c r="AE3930" s="2">
        <v>12624.5355521212</v>
      </c>
      <c r="AF3930" s="2">
        <v>11327.7592917415</v>
      </c>
      <c r="AG3930" s="2">
        <v>10539.104267689199</v>
      </c>
      <c r="AH3930" s="2">
        <v>11169.770909430399</v>
      </c>
      <c r="AI3930" s="2">
        <v>11330.496735532401</v>
      </c>
      <c r="AJ3930" s="2">
        <v>12427.0415218526</v>
      </c>
      <c r="AK3930" s="2">
        <v>9458.5502437780597</v>
      </c>
      <c r="AL3930" s="2">
        <v>9202.9278759987992</v>
      </c>
      <c r="AM3930" s="2">
        <v>10267.0554389232</v>
      </c>
      <c r="AN3930" s="2">
        <v>8656.0411540541409</v>
      </c>
      <c r="AO3930" s="2">
        <v>8799.5727574277407</v>
      </c>
      <c r="AP3930" s="2">
        <v>8531.3994278964092</v>
      </c>
    </row>
    <row r="3931" spans="1:42" ht="14.5" x14ac:dyDescent="0.35">
      <c r="A3931" s="2" t="s">
        <v>26124</v>
      </c>
      <c r="B3931" s="2">
        <v>151.00004884904601</v>
      </c>
      <c r="C3931" s="2">
        <v>1.1294500000000001</v>
      </c>
      <c r="D3931" s="2" t="s">
        <v>70</v>
      </c>
      <c r="E3931" s="2" t="s">
        <v>26125</v>
      </c>
      <c r="F3931" s="2">
        <v>206594</v>
      </c>
      <c r="G3931" s="3" t="str">
        <f>HYPERLINK("http://funmeta.oebiotech.com/network/206594", "http://funmeta.oebiotech.com/network/206594")</f>
        <v>http://funmeta.oebiotech.com/network/206594</v>
      </c>
      <c r="H3931" s="2" t="s">
        <v>26126</v>
      </c>
      <c r="I3931" s="2"/>
      <c r="J3931" s="2"/>
      <c r="K3931" s="2"/>
      <c r="L3931" s="2"/>
      <c r="M3931" s="2"/>
      <c r="N3931" s="2"/>
      <c r="O3931" s="2">
        <v>40818</v>
      </c>
      <c r="P3931" s="2"/>
      <c r="Q3931" s="2" t="s">
        <v>26127</v>
      </c>
      <c r="R3931" s="2" t="s">
        <v>26128</v>
      </c>
      <c r="S3931" s="2" t="s">
        <v>79</v>
      </c>
      <c r="T3931" s="2" t="s">
        <v>18840</v>
      </c>
      <c r="U3931" s="2" t="s">
        <v>26129</v>
      </c>
      <c r="V3931" s="2" t="s">
        <v>59</v>
      </c>
      <c r="W3931" s="2">
        <v>42.4</v>
      </c>
      <c r="X3931" s="2">
        <v>17.399999999999999</v>
      </c>
      <c r="Y3931" s="2" t="s">
        <v>118</v>
      </c>
      <c r="Z3931" s="2" t="s">
        <v>26130</v>
      </c>
      <c r="AA3931" s="2">
        <v>2.56189498158504</v>
      </c>
      <c r="AB3931" s="2">
        <v>0.17961021205783201</v>
      </c>
      <c r="AC3931" s="2">
        <v>29592.0291461304</v>
      </c>
      <c r="AD3931" s="2">
        <v>32625.475434911001</v>
      </c>
      <c r="AE3931" s="2">
        <v>29807.9838447691</v>
      </c>
      <c r="AF3931" s="2">
        <v>29541.010271642099</v>
      </c>
      <c r="AG3931" s="2">
        <v>28862.194774124699</v>
      </c>
      <c r="AH3931" s="2">
        <v>28745.2209092064</v>
      </c>
      <c r="AI3931" s="2">
        <v>29139.735193773598</v>
      </c>
      <c r="AJ3931" s="2">
        <v>31456.029883266499</v>
      </c>
      <c r="AK3931" s="2">
        <v>33452.124726866001</v>
      </c>
      <c r="AL3931" s="2">
        <v>36557.818293132899</v>
      </c>
      <c r="AM3931" s="2">
        <v>30941.934497531402</v>
      </c>
      <c r="AN3931" s="2">
        <v>32343.165149473301</v>
      </c>
      <c r="AO3931" s="2">
        <v>31466.595782807999</v>
      </c>
      <c r="AP3931" s="2">
        <v>30991.214159654501</v>
      </c>
    </row>
    <row r="3932" spans="1:42" ht="14.5" x14ac:dyDescent="0.35">
      <c r="A3932" s="2" t="s">
        <v>26131</v>
      </c>
      <c r="B3932" s="2">
        <v>273.07660918902798</v>
      </c>
      <c r="C3932" s="2">
        <v>5.0231500000000002</v>
      </c>
      <c r="D3932" s="2" t="s">
        <v>70</v>
      </c>
      <c r="E3932" s="2" t="s">
        <v>26132</v>
      </c>
      <c r="F3932" s="2">
        <v>34015</v>
      </c>
      <c r="G3932" s="3" t="str">
        <f>HYPERLINK("http://funmeta.oebiotech.com/network/34015", "http://funmeta.oebiotech.com/network/34015")</f>
        <v>http://funmeta.oebiotech.com/network/34015</v>
      </c>
      <c r="H3932" s="2" t="s">
        <v>26133</v>
      </c>
      <c r="I3932" s="2">
        <v>3405</v>
      </c>
      <c r="J3932" s="2" t="s">
        <v>26134</v>
      </c>
      <c r="K3932" s="2">
        <v>17276</v>
      </c>
      <c r="L3932" s="2" t="s">
        <v>26135</v>
      </c>
      <c r="M3932" s="2" t="s">
        <v>1432</v>
      </c>
      <c r="N3932" s="2" t="s">
        <v>1433</v>
      </c>
      <c r="O3932" s="2">
        <v>4788</v>
      </c>
      <c r="P3932" s="2" t="s">
        <v>26136</v>
      </c>
      <c r="Q3932" s="2" t="s">
        <v>26137</v>
      </c>
      <c r="R3932" s="2" t="s">
        <v>26138</v>
      </c>
      <c r="S3932" s="2" t="s">
        <v>115</v>
      </c>
      <c r="T3932" s="2" t="s">
        <v>12600</v>
      </c>
      <c r="U3932" s="2" t="s">
        <v>12601</v>
      </c>
      <c r="V3932" s="2" t="s">
        <v>59</v>
      </c>
      <c r="W3932" s="2">
        <v>38.9</v>
      </c>
      <c r="X3932" s="2">
        <v>0</v>
      </c>
      <c r="Y3932" s="2" t="s">
        <v>286</v>
      </c>
      <c r="Z3932" s="2" t="s">
        <v>15852</v>
      </c>
      <c r="AA3932" s="2">
        <v>-0.86807564214117905</v>
      </c>
      <c r="AB3932" s="2">
        <v>0.17953305306344</v>
      </c>
      <c r="AC3932" s="2">
        <v>3345.0252851314599</v>
      </c>
      <c r="AD3932" s="2">
        <v>1154.54390965017</v>
      </c>
      <c r="AE3932" s="2">
        <v>3041.5999184747898</v>
      </c>
      <c r="AF3932" s="2">
        <v>3549.23838039968</v>
      </c>
      <c r="AG3932" s="2">
        <v>3375.0568865310702</v>
      </c>
      <c r="AH3932" s="2">
        <v>3906.7554519096798</v>
      </c>
      <c r="AI3932" s="2">
        <v>3213.8052574292801</v>
      </c>
      <c r="AJ3932" s="2">
        <v>2983.69581604424</v>
      </c>
      <c r="AK3932" s="2">
        <v>877.71036725376302</v>
      </c>
      <c r="AL3932" s="2">
        <v>1711.0284349342901</v>
      </c>
      <c r="AM3932" s="2">
        <v>1276.13225200638</v>
      </c>
      <c r="AN3932" s="2">
        <v>1174.8466013591801</v>
      </c>
      <c r="AO3932" s="2">
        <v>952.00719654133798</v>
      </c>
      <c r="AP3932" s="2">
        <v>935.53860580604396</v>
      </c>
    </row>
    <row r="3933" spans="1:42" ht="14.5" x14ac:dyDescent="0.35">
      <c r="A3933" s="2" t="s">
        <v>26139</v>
      </c>
      <c r="B3933" s="2">
        <v>643.25749953528896</v>
      </c>
      <c r="C3933" s="2">
        <v>3.9884499999999998</v>
      </c>
      <c r="D3933" s="2" t="s">
        <v>70</v>
      </c>
      <c r="E3933" s="2" t="s">
        <v>26140</v>
      </c>
      <c r="F3933" s="2">
        <v>61738</v>
      </c>
      <c r="G3933" s="3" t="str">
        <f>HYPERLINK("http://funmeta.oebiotech.com/network/61738", "http://funmeta.oebiotech.com/network/61738")</f>
        <v>http://funmeta.oebiotech.com/network/61738</v>
      </c>
      <c r="H3933" s="2" t="s">
        <v>26141</v>
      </c>
      <c r="I3933" s="2">
        <v>93060</v>
      </c>
      <c r="J3933" s="2"/>
      <c r="K3933" s="2"/>
      <c r="L3933" s="2"/>
      <c r="M3933" s="2"/>
      <c r="N3933" s="2"/>
      <c r="O3933" s="2">
        <v>5458879</v>
      </c>
      <c r="P3933" s="2"/>
      <c r="Q3933" s="2" t="s">
        <v>26142</v>
      </c>
      <c r="R3933" s="2" t="s">
        <v>26143</v>
      </c>
      <c r="S3933" s="2" t="s">
        <v>491</v>
      </c>
      <c r="T3933" s="2" t="s">
        <v>2184</v>
      </c>
      <c r="U3933" s="2" t="s">
        <v>5421</v>
      </c>
      <c r="V3933" s="2" t="s">
        <v>59</v>
      </c>
      <c r="W3933" s="2">
        <v>38.1</v>
      </c>
      <c r="X3933" s="2">
        <v>4.19E-2</v>
      </c>
      <c r="Y3933" s="2" t="s">
        <v>560</v>
      </c>
      <c r="Z3933" s="2" t="s">
        <v>26144</v>
      </c>
      <c r="AA3933" s="2">
        <v>2.0039568267272498</v>
      </c>
      <c r="AB3933" s="2">
        <v>0.17950476303900101</v>
      </c>
      <c r="AC3933" s="2">
        <v>33395.617029464498</v>
      </c>
      <c r="AD3933" s="2">
        <v>30024.907608941001</v>
      </c>
      <c r="AE3933" s="2">
        <v>32956.574690484398</v>
      </c>
      <c r="AF3933" s="2">
        <v>34181.548784868501</v>
      </c>
      <c r="AG3933" s="2">
        <v>29557.5317253514</v>
      </c>
      <c r="AH3933" s="2">
        <v>32271.359218518501</v>
      </c>
      <c r="AI3933" s="2">
        <v>37229.581389521903</v>
      </c>
      <c r="AJ3933" s="2">
        <v>34177.106368042601</v>
      </c>
      <c r="AK3933" s="2">
        <v>29567.729052071401</v>
      </c>
      <c r="AL3933" s="2">
        <v>27490.670823345699</v>
      </c>
      <c r="AM3933" s="2">
        <v>30638.3104761918</v>
      </c>
      <c r="AN3933" s="2">
        <v>30416.0891687148</v>
      </c>
      <c r="AO3933" s="2">
        <v>29047.5581483524</v>
      </c>
      <c r="AP3933" s="2">
        <v>32989.087984969898</v>
      </c>
    </row>
    <row r="3934" spans="1:42" ht="14.5" x14ac:dyDescent="0.35">
      <c r="A3934" s="2" t="s">
        <v>26145</v>
      </c>
      <c r="B3934" s="2">
        <v>335.18528708405</v>
      </c>
      <c r="C3934" s="2">
        <v>4.2938999999999998</v>
      </c>
      <c r="D3934" s="2" t="s">
        <v>34</v>
      </c>
      <c r="E3934" s="2" t="s">
        <v>26146</v>
      </c>
      <c r="F3934" s="2">
        <v>289856</v>
      </c>
      <c r="G3934" s="3" t="str">
        <f>HYPERLINK("http://funmeta.oebiotech.com/network/289856", "http://funmeta.oebiotech.com/network/289856")</f>
        <v>http://funmeta.oebiotech.com/network/289856</v>
      </c>
      <c r="H3934" s="2"/>
      <c r="I3934" s="2">
        <v>984975</v>
      </c>
      <c r="J3934" s="2"/>
      <c r="K3934" s="2"/>
      <c r="L3934" s="2"/>
      <c r="M3934" s="2"/>
      <c r="N3934" s="2"/>
      <c r="O3934" s="2">
        <v>14656910</v>
      </c>
      <c r="P3934" s="2"/>
      <c r="Q3934" s="2" t="s">
        <v>26147</v>
      </c>
      <c r="R3934" s="2" t="s">
        <v>26148</v>
      </c>
      <c r="S3934" s="2" t="s">
        <v>50</v>
      </c>
      <c r="T3934" s="2" t="s">
        <v>201</v>
      </c>
      <c r="U3934" s="2" t="s">
        <v>1217</v>
      </c>
      <c r="V3934" s="2" t="s">
        <v>59</v>
      </c>
      <c r="W3934" s="2">
        <v>38.700000000000003</v>
      </c>
      <c r="X3934" s="2">
        <v>0</v>
      </c>
      <c r="Y3934" s="2" t="s">
        <v>394</v>
      </c>
      <c r="Z3934" s="2" t="s">
        <v>26149</v>
      </c>
      <c r="AA3934" s="2">
        <v>-3.97380115322934E-2</v>
      </c>
      <c r="AB3934" s="2">
        <v>0.179424929546076</v>
      </c>
      <c r="AC3934" s="2">
        <v>19644.205858101399</v>
      </c>
      <c r="AD3934" s="2">
        <v>22828.338981187899</v>
      </c>
      <c r="AE3934" s="2">
        <v>21278.997252358098</v>
      </c>
      <c r="AF3934" s="2">
        <v>20046.208334082999</v>
      </c>
      <c r="AG3934" s="2">
        <v>20437.832227974799</v>
      </c>
      <c r="AH3934" s="2">
        <v>18082.318490211099</v>
      </c>
      <c r="AI3934" s="2">
        <v>19842.607880271898</v>
      </c>
      <c r="AJ3934" s="2">
        <v>18177.270963709601</v>
      </c>
      <c r="AK3934" s="2">
        <v>23474.7060942797</v>
      </c>
      <c r="AL3934" s="2">
        <v>21182.986935917499</v>
      </c>
      <c r="AM3934" s="2">
        <v>19800.8856654132</v>
      </c>
      <c r="AN3934" s="2">
        <v>23782.229101901001</v>
      </c>
      <c r="AO3934" s="2">
        <v>21884.058677530302</v>
      </c>
      <c r="AP3934" s="2">
        <v>26845.167412085899</v>
      </c>
    </row>
    <row r="3935" spans="1:42" ht="14.5" x14ac:dyDescent="0.35">
      <c r="A3935" s="2" t="s">
        <v>26150</v>
      </c>
      <c r="B3935" s="2">
        <v>381.08041099262101</v>
      </c>
      <c r="C3935" s="2">
        <v>4.0778333333333299</v>
      </c>
      <c r="D3935" s="2" t="s">
        <v>70</v>
      </c>
      <c r="E3935" s="2" t="s">
        <v>26151</v>
      </c>
      <c r="F3935" s="2">
        <v>202345</v>
      </c>
      <c r="G3935" s="3" t="str">
        <f>HYPERLINK("http://funmeta.oebiotech.com/network/202345", "http://funmeta.oebiotech.com/network/202345")</f>
        <v>http://funmeta.oebiotech.com/network/202345</v>
      </c>
      <c r="H3935" s="2" t="s">
        <v>26152</v>
      </c>
      <c r="I3935" s="2"/>
      <c r="J3935" s="2"/>
      <c r="K3935" s="2">
        <v>70981</v>
      </c>
      <c r="L3935" s="2"/>
      <c r="M3935" s="2"/>
      <c r="N3935" s="2"/>
      <c r="O3935" s="2"/>
      <c r="P3935" s="2"/>
      <c r="Q3935" s="2" t="s">
        <v>26153</v>
      </c>
      <c r="R3935" s="2" t="s">
        <v>26154</v>
      </c>
      <c r="S3935" s="2" t="s">
        <v>491</v>
      </c>
      <c r="T3935" s="2" t="s">
        <v>4914</v>
      </c>
      <c r="U3935" s="2" t="s">
        <v>4915</v>
      </c>
      <c r="V3935" s="2" t="s">
        <v>59</v>
      </c>
      <c r="W3935" s="2">
        <v>38.700000000000003</v>
      </c>
      <c r="X3935" s="2">
        <v>0</v>
      </c>
      <c r="Y3935" s="2" t="s">
        <v>560</v>
      </c>
      <c r="Z3935" s="2" t="s">
        <v>26155</v>
      </c>
      <c r="AA3935" s="2">
        <v>-2.5162284238343902</v>
      </c>
      <c r="AB3935" s="2">
        <v>0.17939120978164599</v>
      </c>
      <c r="AC3935" s="2">
        <v>2144.3202849425102</v>
      </c>
      <c r="AD3935" s="2">
        <v>4404.1350606363003</v>
      </c>
      <c r="AE3935" s="2">
        <v>2451.3124180166401</v>
      </c>
      <c r="AF3935" s="2">
        <v>1820.7434173811901</v>
      </c>
      <c r="AG3935" s="2">
        <v>1966.74383385441</v>
      </c>
      <c r="AH3935" s="2">
        <v>1910.7695926823801</v>
      </c>
      <c r="AI3935" s="2">
        <v>2250.0956484509002</v>
      </c>
      <c r="AJ3935" s="2">
        <v>2466.2567992695099</v>
      </c>
      <c r="AK3935" s="2">
        <v>4655.1814995817404</v>
      </c>
      <c r="AL3935" s="2">
        <v>5018.8978790415404</v>
      </c>
      <c r="AM3935" s="2">
        <v>5019.0970006276002</v>
      </c>
      <c r="AN3935" s="2">
        <v>3571.5810150954599</v>
      </c>
      <c r="AO3935" s="2">
        <v>3927.7414212119002</v>
      </c>
      <c r="AP3935" s="2">
        <v>4232.3115482595804</v>
      </c>
    </row>
    <row r="3936" spans="1:42" ht="14.5" x14ac:dyDescent="0.35">
      <c r="A3936" s="2" t="s">
        <v>26156</v>
      </c>
      <c r="B3936" s="2">
        <v>449.14330963901699</v>
      </c>
      <c r="C3936" s="2">
        <v>4.5143500000000003</v>
      </c>
      <c r="D3936" s="2" t="s">
        <v>34</v>
      </c>
      <c r="E3936" s="2" t="s">
        <v>26157</v>
      </c>
      <c r="F3936" s="2">
        <v>202529</v>
      </c>
      <c r="G3936" s="3" t="str">
        <f>HYPERLINK("http://funmeta.oebiotech.com/network/202529", "http://funmeta.oebiotech.com/network/202529")</f>
        <v>http://funmeta.oebiotech.com/network/202529</v>
      </c>
      <c r="H3936" s="2" t="s">
        <v>26158</v>
      </c>
      <c r="I3936" s="2"/>
      <c r="J3936" s="2"/>
      <c r="K3936" s="2"/>
      <c r="L3936" s="2"/>
      <c r="M3936" s="2"/>
      <c r="N3936" s="2"/>
      <c r="O3936" s="2">
        <v>10048096</v>
      </c>
      <c r="P3936" s="2"/>
      <c r="Q3936" s="2" t="s">
        <v>26159</v>
      </c>
      <c r="R3936" s="2" t="s">
        <v>26160</v>
      </c>
      <c r="S3936" s="2" t="s">
        <v>41</v>
      </c>
      <c r="T3936" s="2" t="s">
        <v>41</v>
      </c>
      <c r="U3936" s="2" t="s">
        <v>41</v>
      </c>
      <c r="V3936" s="2" t="s">
        <v>59</v>
      </c>
      <c r="W3936" s="2">
        <v>37.5</v>
      </c>
      <c r="X3936" s="2">
        <v>0</v>
      </c>
      <c r="Y3936" s="2" t="s">
        <v>323</v>
      </c>
      <c r="Z3936" s="2" t="s">
        <v>26161</v>
      </c>
      <c r="AA3936" s="2">
        <v>0.36258474791693501</v>
      </c>
      <c r="AB3936" s="2">
        <v>0.17936478749913201</v>
      </c>
      <c r="AC3936" s="2">
        <v>8756.2160429945507</v>
      </c>
      <c r="AD3936" s="2">
        <v>11489.893294683599</v>
      </c>
      <c r="AE3936" s="2">
        <v>9039.5681440314802</v>
      </c>
      <c r="AF3936" s="2">
        <v>7737.1517467980402</v>
      </c>
      <c r="AG3936" s="2">
        <v>10046.071463840301</v>
      </c>
      <c r="AH3936" s="2">
        <v>7279.6703396079001</v>
      </c>
      <c r="AI3936" s="2">
        <v>8710.8969880438108</v>
      </c>
      <c r="AJ3936" s="2">
        <v>9723.9375756457393</v>
      </c>
      <c r="AK3936" s="2">
        <v>11288.287319807399</v>
      </c>
      <c r="AL3936" s="2">
        <v>11868.052229332299</v>
      </c>
      <c r="AM3936" s="2">
        <v>10344.9949923493</v>
      </c>
      <c r="AN3936" s="2">
        <v>10075.5181295242</v>
      </c>
      <c r="AO3936" s="2">
        <v>11562.732761806299</v>
      </c>
      <c r="AP3936" s="2">
        <v>13799.7743352821</v>
      </c>
    </row>
    <row r="3937" spans="1:42" ht="14.5" x14ac:dyDescent="0.35">
      <c r="A3937" s="2" t="s">
        <v>26162</v>
      </c>
      <c r="B3937" s="2">
        <v>235.130093650302</v>
      </c>
      <c r="C3937" s="2">
        <v>6.0057166666666699</v>
      </c>
      <c r="D3937" s="2" t="s">
        <v>34</v>
      </c>
      <c r="E3937" s="2" t="s">
        <v>26163</v>
      </c>
      <c r="F3937" s="2">
        <v>279671</v>
      </c>
      <c r="G3937" s="3" t="str">
        <f>HYPERLINK("http://funmeta.oebiotech.com/network/279671", "http://funmeta.oebiotech.com/network/279671")</f>
        <v>http://funmeta.oebiotech.com/network/279671</v>
      </c>
      <c r="H3937" s="2"/>
      <c r="I3937" s="2">
        <v>72391</v>
      </c>
      <c r="J3937" s="2"/>
      <c r="K3937" s="2"/>
      <c r="L3937" s="2" t="s">
        <v>26164</v>
      </c>
      <c r="M3937" s="2"/>
      <c r="N3937" s="2"/>
      <c r="O3937" s="2">
        <v>9576037</v>
      </c>
      <c r="P3937" s="2" t="s">
        <v>26165</v>
      </c>
      <c r="Q3937" s="2" t="s">
        <v>26166</v>
      </c>
      <c r="R3937" s="2" t="s">
        <v>26167</v>
      </c>
      <c r="S3937" s="2" t="s">
        <v>491</v>
      </c>
      <c r="T3937" s="2" t="s">
        <v>6511</v>
      </c>
      <c r="U3937" s="2" t="s">
        <v>26168</v>
      </c>
      <c r="V3937" s="2" t="s">
        <v>59</v>
      </c>
      <c r="W3937" s="2">
        <v>38.9</v>
      </c>
      <c r="X3937" s="2">
        <v>0</v>
      </c>
      <c r="Y3937" s="2" t="s">
        <v>43</v>
      </c>
      <c r="Z3937" s="2" t="s">
        <v>26169</v>
      </c>
      <c r="AA3937" s="2">
        <v>-0.42320390801376101</v>
      </c>
      <c r="AB3937" s="2">
        <v>0.17933881495171999</v>
      </c>
      <c r="AC3937" s="2">
        <v>5364.4618446963696</v>
      </c>
      <c r="AD3937" s="2">
        <v>7729.1439262550102</v>
      </c>
      <c r="AE3937" s="2">
        <v>5552.3577259549202</v>
      </c>
      <c r="AF3937" s="2">
        <v>5580.8680497548803</v>
      </c>
      <c r="AG3937" s="2">
        <v>4915.1942922608396</v>
      </c>
      <c r="AH3937" s="2">
        <v>5842.9748507261902</v>
      </c>
      <c r="AI3937" s="2">
        <v>5428.03939689035</v>
      </c>
      <c r="AJ3937" s="2">
        <v>4867.3367525910398</v>
      </c>
      <c r="AK3937" s="2">
        <v>9106.3698521247006</v>
      </c>
      <c r="AL3937" s="2">
        <v>7990.2830152545503</v>
      </c>
      <c r="AM3937" s="2">
        <v>6982.6282648165698</v>
      </c>
      <c r="AN3937" s="2">
        <v>7829.00002469622</v>
      </c>
      <c r="AO3937" s="2">
        <v>7709.8787858823498</v>
      </c>
      <c r="AP3937" s="2">
        <v>6756.7036147556601</v>
      </c>
    </row>
    <row r="3938" spans="1:42" ht="14.5" x14ac:dyDescent="0.35">
      <c r="A3938" s="2" t="s">
        <v>26170</v>
      </c>
      <c r="B3938" s="2">
        <v>479.204988900415</v>
      </c>
      <c r="C3938" s="2">
        <v>6.57588333333333</v>
      </c>
      <c r="D3938" s="2" t="s">
        <v>70</v>
      </c>
      <c r="E3938" s="2" t="s">
        <v>26171</v>
      </c>
      <c r="F3938" s="2">
        <v>267561</v>
      </c>
      <c r="G3938" s="3" t="str">
        <f>HYPERLINK("http://funmeta.oebiotech.com/network/267561", "http://funmeta.oebiotech.com/network/267561")</f>
        <v>http://funmeta.oebiotech.com/network/267561</v>
      </c>
      <c r="H3938" s="2"/>
      <c r="I3938" s="2">
        <v>45704</v>
      </c>
      <c r="J3938" s="2"/>
      <c r="K3938" s="2"/>
      <c r="L3938" s="2"/>
      <c r="M3938" s="2"/>
      <c r="N3938" s="2"/>
      <c r="O3938" s="2">
        <v>10207075</v>
      </c>
      <c r="P3938" s="2"/>
      <c r="Q3938" s="2" t="s">
        <v>26172</v>
      </c>
      <c r="R3938" s="2" t="s">
        <v>26173</v>
      </c>
      <c r="S3938" s="2" t="s">
        <v>50</v>
      </c>
      <c r="T3938" s="2" t="s">
        <v>229</v>
      </c>
      <c r="U3938" s="2" t="s">
        <v>766</v>
      </c>
      <c r="V3938" s="2" t="s">
        <v>59</v>
      </c>
      <c r="W3938" s="2">
        <v>36.9</v>
      </c>
      <c r="X3938" s="2">
        <v>0</v>
      </c>
      <c r="Y3938" s="2" t="s">
        <v>751</v>
      </c>
      <c r="Z3938" s="2" t="s">
        <v>26174</v>
      </c>
      <c r="AA3938" s="2">
        <v>-0.18749690232154001</v>
      </c>
      <c r="AB3938" s="2">
        <v>0.17929131650017499</v>
      </c>
      <c r="AC3938" s="2">
        <v>1060.24653097081</v>
      </c>
      <c r="AD3938" s="2">
        <v>3450.9146096916602</v>
      </c>
      <c r="AE3938" s="2">
        <v>1745.13531543007</v>
      </c>
      <c r="AF3938" s="2">
        <v>1656.6175897957201</v>
      </c>
      <c r="AG3938" s="2">
        <v>974.64601700427602</v>
      </c>
      <c r="AH3938" s="2">
        <v>867.07932140495905</v>
      </c>
      <c r="AI3938" s="2">
        <v>359.38598501355699</v>
      </c>
      <c r="AJ3938" s="2">
        <v>758.61495717627599</v>
      </c>
      <c r="AK3938" s="2">
        <v>4425.7245332986404</v>
      </c>
      <c r="AL3938" s="2">
        <v>3162.06986180384</v>
      </c>
      <c r="AM3938" s="2">
        <v>4509.3249145869004</v>
      </c>
      <c r="AN3938" s="2">
        <v>2755.3309615046601</v>
      </c>
      <c r="AO3938" s="2">
        <v>2951.5033984526399</v>
      </c>
      <c r="AP3938" s="2">
        <v>2901.5339885032799</v>
      </c>
    </row>
    <row r="3939" spans="1:42" ht="14.5" x14ac:dyDescent="0.35">
      <c r="A3939" s="2" t="s">
        <v>26175</v>
      </c>
      <c r="B3939" s="2">
        <v>346.12406580381298</v>
      </c>
      <c r="C3939" s="2">
        <v>1.06171666666667</v>
      </c>
      <c r="D3939" s="2" t="s">
        <v>34</v>
      </c>
      <c r="E3939" s="2" t="s">
        <v>26176</v>
      </c>
      <c r="F3939" s="2">
        <v>198630</v>
      </c>
      <c r="G3939" s="3" t="str">
        <f>HYPERLINK("http://funmeta.oebiotech.com/network/198630", "http://funmeta.oebiotech.com/network/198630")</f>
        <v>http://funmeta.oebiotech.com/network/198630</v>
      </c>
      <c r="H3939" s="2" t="s">
        <v>26177</v>
      </c>
      <c r="I3939" s="2"/>
      <c r="J3939" s="2"/>
      <c r="K3939" s="2">
        <v>19928</v>
      </c>
      <c r="L3939" s="2"/>
      <c r="M3939" s="2"/>
      <c r="N3939" s="2"/>
      <c r="O3939" s="2">
        <v>171198</v>
      </c>
      <c r="P3939" s="2"/>
      <c r="Q3939" s="2" t="s">
        <v>26178</v>
      </c>
      <c r="R3939" s="2" t="s">
        <v>26179</v>
      </c>
      <c r="S3939" s="2" t="s">
        <v>1444</v>
      </c>
      <c r="T3939" s="2" t="s">
        <v>10689</v>
      </c>
      <c r="U3939" s="2" t="s">
        <v>41</v>
      </c>
      <c r="V3939" s="2" t="s">
        <v>59</v>
      </c>
      <c r="W3939" s="2">
        <v>36.5</v>
      </c>
      <c r="X3939" s="2">
        <v>0</v>
      </c>
      <c r="Y3939" s="2" t="s">
        <v>394</v>
      </c>
      <c r="Z3939" s="2" t="s">
        <v>26180</v>
      </c>
      <c r="AA3939" s="2">
        <v>-1.2320695095435299</v>
      </c>
      <c r="AB3939" s="2">
        <v>0.179280965653354</v>
      </c>
      <c r="AC3939" s="2">
        <v>15104.300890431899</v>
      </c>
      <c r="AD3939" s="2">
        <v>17716.206837330399</v>
      </c>
      <c r="AE3939" s="2">
        <v>16403.3023408136</v>
      </c>
      <c r="AF3939" s="2">
        <v>14262.1456444167</v>
      </c>
      <c r="AG3939" s="2">
        <v>13842.097848376099</v>
      </c>
      <c r="AH3939" s="2">
        <v>16701.321029127099</v>
      </c>
      <c r="AI3939" s="2">
        <v>14895.361010999601</v>
      </c>
      <c r="AJ3939" s="2">
        <v>14521.577468858</v>
      </c>
      <c r="AK3939" s="2">
        <v>17399.095470043001</v>
      </c>
      <c r="AL3939" s="2">
        <v>17589.802684331102</v>
      </c>
      <c r="AM3939" s="2">
        <v>17854.127278290602</v>
      </c>
      <c r="AN3939" s="2">
        <v>19211.758361768902</v>
      </c>
      <c r="AO3939" s="2">
        <v>17904.419063462501</v>
      </c>
      <c r="AP3939" s="2">
        <v>16338.0381660861</v>
      </c>
    </row>
    <row r="3940" spans="1:42" ht="14.5" x14ac:dyDescent="0.35">
      <c r="A3940" s="2" t="s">
        <v>26181</v>
      </c>
      <c r="B3940" s="2">
        <v>815.24191566284105</v>
      </c>
      <c r="C3940" s="2">
        <v>4.7039999999999997</v>
      </c>
      <c r="D3940" s="2" t="s">
        <v>70</v>
      </c>
      <c r="E3940" s="2" t="s">
        <v>26182</v>
      </c>
      <c r="F3940" s="2">
        <v>200552</v>
      </c>
      <c r="G3940" s="3" t="str">
        <f>HYPERLINK("http://funmeta.oebiotech.com/network/200552", "http://funmeta.oebiotech.com/network/200552")</f>
        <v>http://funmeta.oebiotech.com/network/200552</v>
      </c>
      <c r="H3940" s="2" t="s">
        <v>26183</v>
      </c>
      <c r="I3940" s="2"/>
      <c r="J3940" s="2"/>
      <c r="K3940" s="2"/>
      <c r="L3940" s="2"/>
      <c r="M3940" s="2"/>
      <c r="N3940" s="2"/>
      <c r="O3940" s="2">
        <v>11338777</v>
      </c>
      <c r="P3940" s="2"/>
      <c r="Q3940" s="2" t="s">
        <v>26184</v>
      </c>
      <c r="R3940" s="2" t="s">
        <v>26185</v>
      </c>
      <c r="S3940" s="2" t="s">
        <v>115</v>
      </c>
      <c r="T3940" s="2" t="s">
        <v>7439</v>
      </c>
      <c r="U3940" s="2" t="s">
        <v>41</v>
      </c>
      <c r="V3940" s="2" t="s">
        <v>59</v>
      </c>
      <c r="W3940" s="2">
        <v>37.6</v>
      </c>
      <c r="X3940" s="2">
        <v>0</v>
      </c>
      <c r="Y3940" s="2" t="s">
        <v>560</v>
      </c>
      <c r="Z3940" s="2" t="s">
        <v>26186</v>
      </c>
      <c r="AA3940" s="2">
        <v>0.78883036560627096</v>
      </c>
      <c r="AB3940" s="2">
        <v>0.17918140898235599</v>
      </c>
      <c r="AC3940" s="2">
        <v>10415.789899211601</v>
      </c>
      <c r="AD3940" s="2">
        <v>7287.94104233691</v>
      </c>
      <c r="AE3940" s="2">
        <v>9580.5714920368391</v>
      </c>
      <c r="AF3940" s="2">
        <v>12282.1304947636</v>
      </c>
      <c r="AG3940" s="2">
        <v>9740.03862010987</v>
      </c>
      <c r="AH3940" s="2">
        <v>10405.5112755506</v>
      </c>
      <c r="AI3940" s="2">
        <v>11487.9833059225</v>
      </c>
      <c r="AJ3940" s="2">
        <v>8998.5042068862094</v>
      </c>
      <c r="AK3940" s="2">
        <v>6482.01624270914</v>
      </c>
      <c r="AL3940" s="2">
        <v>5198.28931299133</v>
      </c>
      <c r="AM3940" s="2">
        <v>5647.96946580242</v>
      </c>
      <c r="AN3940" s="2">
        <v>8727.95622252475</v>
      </c>
      <c r="AO3940" s="2">
        <v>6367.07294878623</v>
      </c>
      <c r="AP3940" s="2">
        <v>11304.342061207601</v>
      </c>
    </row>
    <row r="3941" spans="1:42" ht="14.5" x14ac:dyDescent="0.35">
      <c r="A3941" s="2" t="s">
        <v>26187</v>
      </c>
      <c r="B3941" s="2">
        <v>340.13987251039202</v>
      </c>
      <c r="C3941" s="2">
        <v>5.71</v>
      </c>
      <c r="D3941" s="2" t="s">
        <v>70</v>
      </c>
      <c r="E3941" s="2" t="s">
        <v>26188</v>
      </c>
      <c r="F3941" s="2">
        <v>57132</v>
      </c>
      <c r="G3941" s="3" t="str">
        <f>HYPERLINK("http://funmeta.oebiotech.com/network/57132", "http://funmeta.oebiotech.com/network/57132")</f>
        <v>http://funmeta.oebiotech.com/network/57132</v>
      </c>
      <c r="H3941" s="2" t="s">
        <v>26189</v>
      </c>
      <c r="I3941" s="2"/>
      <c r="J3941" s="2"/>
      <c r="K3941" s="2"/>
      <c r="L3941" s="2"/>
      <c r="M3941" s="2"/>
      <c r="N3941" s="2"/>
      <c r="O3941" s="2">
        <v>131751337</v>
      </c>
      <c r="P3941" s="2" t="s">
        <v>26190</v>
      </c>
      <c r="Q3941" s="2" t="s">
        <v>26191</v>
      </c>
      <c r="R3941" s="2" t="s">
        <v>26192</v>
      </c>
      <c r="S3941" s="2" t="s">
        <v>79</v>
      </c>
      <c r="T3941" s="2" t="s">
        <v>80</v>
      </c>
      <c r="U3941" s="2" t="s">
        <v>81</v>
      </c>
      <c r="V3941" s="2" t="s">
        <v>59</v>
      </c>
      <c r="W3941" s="2">
        <v>38.700000000000003</v>
      </c>
      <c r="X3941" s="2">
        <v>0</v>
      </c>
      <c r="Y3941" s="2" t="s">
        <v>118</v>
      </c>
      <c r="Z3941" s="2" t="s">
        <v>26193</v>
      </c>
      <c r="AA3941" s="2">
        <v>-0.888580395610158</v>
      </c>
      <c r="AB3941" s="2">
        <v>0.17916107814391599</v>
      </c>
      <c r="AC3941" s="2">
        <v>1144.26498573765</v>
      </c>
      <c r="AD3941" s="2">
        <v>3311.0321701081898</v>
      </c>
      <c r="AE3941" s="2">
        <v>1383.1800341253299</v>
      </c>
      <c r="AF3941" s="2">
        <v>1049.08902959636</v>
      </c>
      <c r="AG3941" s="2">
        <v>1008.53125872282</v>
      </c>
      <c r="AH3941" s="2">
        <v>1140.84032136612</v>
      </c>
      <c r="AI3941" s="2">
        <v>983.75103380512303</v>
      </c>
      <c r="AJ3941" s="2">
        <v>1300.1982368101401</v>
      </c>
      <c r="AK3941" s="2">
        <v>3780.1909931681998</v>
      </c>
      <c r="AL3941" s="2">
        <v>3380.7027789984299</v>
      </c>
      <c r="AM3941" s="2">
        <v>3214.4856526498302</v>
      </c>
      <c r="AN3941" s="2">
        <v>2743.8757592904399</v>
      </c>
      <c r="AO3941" s="2">
        <v>3228.7270743414101</v>
      </c>
      <c r="AP3941" s="2">
        <v>3518.2107622008298</v>
      </c>
    </row>
    <row r="3942" spans="1:42" ht="14.5" x14ac:dyDescent="0.35">
      <c r="A3942" s="2" t="s">
        <v>26194</v>
      </c>
      <c r="B3942" s="2">
        <v>789.390071782164</v>
      </c>
      <c r="C3942" s="2">
        <v>4.4179500000000003</v>
      </c>
      <c r="D3942" s="2" t="s">
        <v>70</v>
      </c>
      <c r="E3942" s="2" t="s">
        <v>26195</v>
      </c>
      <c r="F3942" s="2">
        <v>211941</v>
      </c>
      <c r="G3942" s="3" t="str">
        <f>HYPERLINK("http://funmeta.oebiotech.com/network/211941", "http://funmeta.oebiotech.com/network/211941")</f>
        <v>http://funmeta.oebiotech.com/network/211941</v>
      </c>
      <c r="H3942" s="2" t="s">
        <v>26196</v>
      </c>
      <c r="I3942" s="2">
        <v>43483</v>
      </c>
      <c r="J3942" s="2"/>
      <c r="K3942" s="2">
        <v>9233</v>
      </c>
      <c r="L3942" s="2"/>
      <c r="M3942" s="2"/>
      <c r="N3942" s="2"/>
      <c r="O3942" s="2">
        <v>5265</v>
      </c>
      <c r="P3942" s="2" t="s">
        <v>26197</v>
      </c>
      <c r="Q3942" s="2" t="s">
        <v>26198</v>
      </c>
      <c r="R3942" s="2" t="s">
        <v>26199</v>
      </c>
      <c r="S3942" s="2" t="s">
        <v>79</v>
      </c>
      <c r="T3942" s="2" t="s">
        <v>80</v>
      </c>
      <c r="U3942" s="2" t="s">
        <v>2820</v>
      </c>
      <c r="V3942" s="2" t="s">
        <v>59</v>
      </c>
      <c r="W3942" s="2">
        <v>36.700000000000003</v>
      </c>
      <c r="X3942" s="2">
        <v>0</v>
      </c>
      <c r="Y3942" s="2" t="s">
        <v>560</v>
      </c>
      <c r="Z3942" s="2" t="s">
        <v>26200</v>
      </c>
      <c r="AA3942" s="2">
        <v>-5.6457367073749998</v>
      </c>
      <c r="AB3942" s="2">
        <v>0.178995074294347</v>
      </c>
      <c r="AC3942" s="2">
        <v>9327.5106036254601</v>
      </c>
      <c r="AD3942" s="2">
        <v>6559.31447211878</v>
      </c>
      <c r="AE3942" s="2">
        <v>9137.9379853711507</v>
      </c>
      <c r="AF3942" s="2">
        <v>9125.4423947129799</v>
      </c>
      <c r="AG3942" s="2">
        <v>9537.6706293852803</v>
      </c>
      <c r="AH3942" s="2">
        <v>9383.7817975162106</v>
      </c>
      <c r="AI3942" s="2">
        <v>6788.3041898794199</v>
      </c>
      <c r="AJ3942" s="2">
        <v>11991.926624887699</v>
      </c>
      <c r="AK3942" s="2">
        <v>6134.6860136290898</v>
      </c>
      <c r="AL3942" s="2">
        <v>7667.4474071144996</v>
      </c>
      <c r="AM3942" s="2">
        <v>5916.1352314358301</v>
      </c>
      <c r="AN3942" s="2">
        <v>5692.4187898410601</v>
      </c>
      <c r="AO3942" s="2">
        <v>6105.0663487981301</v>
      </c>
      <c r="AP3942" s="2">
        <v>7840.1330418940697</v>
      </c>
    </row>
    <row r="3943" spans="1:42" ht="14.5" x14ac:dyDescent="0.35">
      <c r="A3943" s="2" t="s">
        <v>26201</v>
      </c>
      <c r="B3943" s="2">
        <v>227.10635565003599</v>
      </c>
      <c r="C3943" s="2">
        <v>8.1570833333333308</v>
      </c>
      <c r="D3943" s="2" t="s">
        <v>34</v>
      </c>
      <c r="E3943" s="2" t="s">
        <v>26202</v>
      </c>
      <c r="F3943" s="2">
        <v>208938</v>
      </c>
      <c r="G3943" s="3" t="str">
        <f>HYPERLINK("http://funmeta.oebiotech.com/network/208938", "http://funmeta.oebiotech.com/network/208938")</f>
        <v>http://funmeta.oebiotech.com/network/208938</v>
      </c>
      <c r="H3943" s="2" t="s">
        <v>26203</v>
      </c>
      <c r="I3943" s="2"/>
      <c r="J3943" s="2"/>
      <c r="K3943" s="2">
        <v>39076</v>
      </c>
      <c r="L3943" s="2"/>
      <c r="M3943" s="2"/>
      <c r="N3943" s="2"/>
      <c r="O3943" s="2">
        <v>70807</v>
      </c>
      <c r="P3943" s="2"/>
      <c r="Q3943" s="2" t="s">
        <v>26204</v>
      </c>
      <c r="R3943" s="2" t="s">
        <v>26205</v>
      </c>
      <c r="S3943" s="2" t="s">
        <v>491</v>
      </c>
      <c r="T3943" s="2" t="s">
        <v>9777</v>
      </c>
      <c r="U3943" s="2" t="s">
        <v>9778</v>
      </c>
      <c r="V3943" s="2" t="s">
        <v>59</v>
      </c>
      <c r="W3943" s="2">
        <v>38.4</v>
      </c>
      <c r="X3943" s="2">
        <v>0</v>
      </c>
      <c r="Y3943" s="2" t="s">
        <v>43</v>
      </c>
      <c r="Z3943" s="2" t="s">
        <v>26206</v>
      </c>
      <c r="AA3943" s="2">
        <v>1.67959193623251</v>
      </c>
      <c r="AB3943" s="2">
        <v>0.178626662116385</v>
      </c>
      <c r="AC3943" s="2">
        <v>3255.0077942136199</v>
      </c>
      <c r="AD3943" s="2">
        <v>984.45405138478395</v>
      </c>
      <c r="AE3943" s="2">
        <v>3842.9924880303402</v>
      </c>
      <c r="AF3943" s="2">
        <v>2992.0819821482801</v>
      </c>
      <c r="AG3943" s="2">
        <v>3797.9964949872401</v>
      </c>
      <c r="AH3943" s="2">
        <v>3924.5732606002798</v>
      </c>
      <c r="AI3943" s="2">
        <v>2239.4213756939198</v>
      </c>
      <c r="AJ3943" s="2">
        <v>2732.9811638216602</v>
      </c>
      <c r="AK3943" s="2">
        <v>1116.67937388066</v>
      </c>
      <c r="AL3943" s="2">
        <v>1506.9251406232099</v>
      </c>
      <c r="AM3943" s="2">
        <v>934.53192829205796</v>
      </c>
      <c r="AN3943" s="2">
        <v>922.32038849797004</v>
      </c>
      <c r="AO3943" s="2">
        <v>926.36300470836397</v>
      </c>
      <c r="AP3943" s="2">
        <v>499.90447230644099</v>
      </c>
    </row>
    <row r="3944" spans="1:42" ht="14.5" x14ac:dyDescent="0.35">
      <c r="A3944" s="2" t="s">
        <v>26207</v>
      </c>
      <c r="B3944" s="2">
        <v>426.13641520615897</v>
      </c>
      <c r="C3944" s="2">
        <v>3.3278166666666702</v>
      </c>
      <c r="D3944" s="2" t="s">
        <v>34</v>
      </c>
      <c r="E3944" s="2" t="s">
        <v>26208</v>
      </c>
      <c r="F3944" s="2">
        <v>198709</v>
      </c>
      <c r="G3944" s="3" t="str">
        <f>HYPERLINK("http://funmeta.oebiotech.com/network/198709", "http://funmeta.oebiotech.com/network/198709")</f>
        <v>http://funmeta.oebiotech.com/network/198709</v>
      </c>
      <c r="H3944" s="2" t="s">
        <v>26209</v>
      </c>
      <c r="I3944" s="2"/>
      <c r="J3944" s="2"/>
      <c r="K3944" s="2"/>
      <c r="L3944" s="2"/>
      <c r="M3944" s="2"/>
      <c r="N3944" s="2"/>
      <c r="O3944" s="2">
        <v>133077</v>
      </c>
      <c r="P3944" s="2"/>
      <c r="Q3944" s="2" t="s">
        <v>26210</v>
      </c>
      <c r="R3944" s="2" t="s">
        <v>26211</v>
      </c>
      <c r="S3944" s="2" t="s">
        <v>148</v>
      </c>
      <c r="T3944" s="2" t="s">
        <v>149</v>
      </c>
      <c r="U3944" s="2" t="s">
        <v>3473</v>
      </c>
      <c r="V3944" s="2" t="s">
        <v>59</v>
      </c>
      <c r="W3944" s="2">
        <v>36.200000000000003</v>
      </c>
      <c r="X3944" s="2">
        <v>0</v>
      </c>
      <c r="Y3944" s="2" t="s">
        <v>394</v>
      </c>
      <c r="Z3944" s="2" t="s">
        <v>26212</v>
      </c>
      <c r="AA3944" s="2">
        <v>3.9357386539409398</v>
      </c>
      <c r="AB3944" s="2">
        <v>0.17858406256274201</v>
      </c>
      <c r="AC3944" s="2">
        <v>11260.318409367401</v>
      </c>
      <c r="AD3944" s="2">
        <v>8748.9058039920092</v>
      </c>
      <c r="AE3944" s="2">
        <v>11555.0948301485</v>
      </c>
      <c r="AF3944" s="2">
        <v>10486.973549247699</v>
      </c>
      <c r="AG3944" s="2">
        <v>12566.2823163052</v>
      </c>
      <c r="AH3944" s="2">
        <v>11053.0847500617</v>
      </c>
      <c r="AI3944" s="2">
        <v>11297.351223039601</v>
      </c>
      <c r="AJ3944" s="2">
        <v>10603.123787401601</v>
      </c>
      <c r="AK3944" s="2">
        <v>8308.2235767833608</v>
      </c>
      <c r="AL3944" s="2">
        <v>10397.222126955199</v>
      </c>
      <c r="AM3944" s="2">
        <v>7930.2288586281302</v>
      </c>
      <c r="AN3944" s="2">
        <v>9083.1007305313906</v>
      </c>
      <c r="AO3944" s="2">
        <v>7448.1240142677998</v>
      </c>
      <c r="AP3944" s="2">
        <v>9326.5355167861708</v>
      </c>
    </row>
    <row r="3945" spans="1:42" ht="14.5" x14ac:dyDescent="0.35">
      <c r="A3945" s="2" t="s">
        <v>26213</v>
      </c>
      <c r="B3945" s="2">
        <v>332.15689470366402</v>
      </c>
      <c r="C3945" s="2">
        <v>7.7732999999999999</v>
      </c>
      <c r="D3945" s="2" t="s">
        <v>34</v>
      </c>
      <c r="E3945" s="2" t="s">
        <v>26214</v>
      </c>
      <c r="F3945" s="2">
        <v>208902</v>
      </c>
      <c r="G3945" s="3" t="str">
        <f>HYPERLINK("http://funmeta.oebiotech.com/network/208902", "http://funmeta.oebiotech.com/network/208902")</f>
        <v>http://funmeta.oebiotech.com/network/208902</v>
      </c>
      <c r="H3945" s="2" t="s">
        <v>26215</v>
      </c>
      <c r="I3945" s="2">
        <v>406766</v>
      </c>
      <c r="J3945" s="2"/>
      <c r="K3945" s="2"/>
      <c r="L3945" s="2"/>
      <c r="M3945" s="2"/>
      <c r="N3945" s="2"/>
      <c r="O3945" s="2">
        <v>59603622</v>
      </c>
      <c r="P3945" s="2"/>
      <c r="Q3945" s="2" t="s">
        <v>26216</v>
      </c>
      <c r="R3945" s="2" t="s">
        <v>26217</v>
      </c>
      <c r="S3945" s="2" t="s">
        <v>1677</v>
      </c>
      <c r="T3945" s="2" t="s">
        <v>1678</v>
      </c>
      <c r="U3945" s="2" t="s">
        <v>1679</v>
      </c>
      <c r="V3945" s="2" t="s">
        <v>59</v>
      </c>
      <c r="W3945" s="2">
        <v>36.4</v>
      </c>
      <c r="X3945" s="2">
        <v>0</v>
      </c>
      <c r="Y3945" s="2" t="s">
        <v>43</v>
      </c>
      <c r="Z3945" s="2" t="s">
        <v>26218</v>
      </c>
      <c r="AA3945" s="2">
        <v>-2.8732376929995</v>
      </c>
      <c r="AB3945" s="2">
        <v>0.17850593141208199</v>
      </c>
      <c r="AC3945" s="2">
        <v>67965.395310876498</v>
      </c>
      <c r="AD3945" s="2">
        <v>63910.500806056603</v>
      </c>
      <c r="AE3945" s="2">
        <v>65648.778987264493</v>
      </c>
      <c r="AF3945" s="2">
        <v>69958.302189821203</v>
      </c>
      <c r="AG3945" s="2">
        <v>73192.162973403698</v>
      </c>
      <c r="AH3945" s="2">
        <v>67519.856881025495</v>
      </c>
      <c r="AI3945" s="2">
        <v>62736.158531307803</v>
      </c>
      <c r="AJ3945" s="2">
        <v>68737.112302435999</v>
      </c>
      <c r="AK3945" s="2">
        <v>57206.173611140002</v>
      </c>
      <c r="AL3945" s="2">
        <v>67601.165151614798</v>
      </c>
      <c r="AM3945" s="2">
        <v>68280.785346070596</v>
      </c>
      <c r="AN3945" s="2">
        <v>63963.619734605403</v>
      </c>
      <c r="AO3945" s="2">
        <v>63319.962431350301</v>
      </c>
      <c r="AP3945" s="2">
        <v>63091.298561558702</v>
      </c>
    </row>
    <row r="3946" spans="1:42" ht="14.5" x14ac:dyDescent="0.35">
      <c r="A3946" s="2" t="s">
        <v>26219</v>
      </c>
      <c r="B3946" s="2">
        <v>233.08070373000299</v>
      </c>
      <c r="C3946" s="2">
        <v>4.1410833333333299</v>
      </c>
      <c r="D3946" s="2" t="s">
        <v>34</v>
      </c>
      <c r="E3946" s="2" t="s">
        <v>26220</v>
      </c>
      <c r="F3946" s="2">
        <v>266818</v>
      </c>
      <c r="G3946" s="3" t="str">
        <f>HYPERLINK("http://funmeta.oebiotech.com/network/266818", "http://funmeta.oebiotech.com/network/266818")</f>
        <v>http://funmeta.oebiotech.com/network/266818</v>
      </c>
      <c r="H3946" s="2"/>
      <c r="I3946" s="2">
        <v>44031</v>
      </c>
      <c r="J3946" s="2"/>
      <c r="K3946" s="2"/>
      <c r="L3946" s="2" t="s">
        <v>26221</v>
      </c>
      <c r="M3946" s="2"/>
      <c r="N3946" s="2"/>
      <c r="O3946" s="2">
        <v>54680783</v>
      </c>
      <c r="P3946" s="2" t="s">
        <v>26222</v>
      </c>
      <c r="Q3946" s="2" t="s">
        <v>26223</v>
      </c>
      <c r="R3946" s="2" t="s">
        <v>26224</v>
      </c>
      <c r="S3946" s="2" t="s">
        <v>491</v>
      </c>
      <c r="T3946" s="2" t="s">
        <v>2251</v>
      </c>
      <c r="U3946" s="2" t="s">
        <v>41</v>
      </c>
      <c r="V3946" s="2" t="s">
        <v>59</v>
      </c>
      <c r="W3946" s="2">
        <v>38.4</v>
      </c>
      <c r="X3946" s="2">
        <v>0</v>
      </c>
      <c r="Y3946" s="2" t="s">
        <v>141</v>
      </c>
      <c r="Z3946" s="2" t="s">
        <v>26225</v>
      </c>
      <c r="AA3946" s="2">
        <v>-0.52609008032539495</v>
      </c>
      <c r="AB3946" s="2">
        <v>0.17846600911819899</v>
      </c>
      <c r="AC3946" s="2">
        <v>3711.6015908391</v>
      </c>
      <c r="AD3946" s="2">
        <v>5986.4602807135598</v>
      </c>
      <c r="AE3946" s="2">
        <v>4289.0538745304102</v>
      </c>
      <c r="AF3946" s="2">
        <v>4609.5531294277898</v>
      </c>
      <c r="AG3946" s="2">
        <v>3507.8662405560099</v>
      </c>
      <c r="AH3946" s="2">
        <v>3607.6913625311599</v>
      </c>
      <c r="AI3946" s="2">
        <v>3415.06506450505</v>
      </c>
      <c r="AJ3946" s="2">
        <v>2840.3798734841598</v>
      </c>
      <c r="AK3946" s="2">
        <v>5303.5280688658204</v>
      </c>
      <c r="AL3946" s="2">
        <v>6096.4383808018601</v>
      </c>
      <c r="AM3946" s="2">
        <v>6378.5401322787602</v>
      </c>
      <c r="AN3946" s="2">
        <v>6062.6507396975103</v>
      </c>
      <c r="AO3946" s="2">
        <v>5823.0245030380702</v>
      </c>
      <c r="AP3946" s="2">
        <v>6254.5798595993501</v>
      </c>
    </row>
    <row r="3947" spans="1:42" ht="14.5" x14ac:dyDescent="0.35">
      <c r="A3947" s="2" t="s">
        <v>26226</v>
      </c>
      <c r="B3947" s="2">
        <v>336.19524774151603</v>
      </c>
      <c r="C3947" s="2">
        <v>6.2166833333333296</v>
      </c>
      <c r="D3947" s="2" t="s">
        <v>34</v>
      </c>
      <c r="E3947" s="2" t="s">
        <v>26227</v>
      </c>
      <c r="F3947" s="2">
        <v>210920</v>
      </c>
      <c r="G3947" s="3" t="str">
        <f>HYPERLINK("http://funmeta.oebiotech.com/network/210920", "http://funmeta.oebiotech.com/network/210920")</f>
        <v>http://funmeta.oebiotech.com/network/210920</v>
      </c>
      <c r="H3947" s="2" t="s">
        <v>26228</v>
      </c>
      <c r="I3947" s="2">
        <v>43453</v>
      </c>
      <c r="J3947" s="2"/>
      <c r="K3947" s="2"/>
      <c r="L3947" s="2"/>
      <c r="M3947" s="2"/>
      <c r="N3947" s="2"/>
      <c r="O3947" s="2">
        <v>5059</v>
      </c>
      <c r="P3947" s="2" t="s">
        <v>26229</v>
      </c>
      <c r="Q3947" s="2" t="s">
        <v>26230</v>
      </c>
      <c r="R3947" s="2" t="s">
        <v>26231</v>
      </c>
      <c r="S3947" s="2" t="s">
        <v>491</v>
      </c>
      <c r="T3947" s="2" t="s">
        <v>1516</v>
      </c>
      <c r="U3947" s="2" t="s">
        <v>41</v>
      </c>
      <c r="V3947" s="2" t="s">
        <v>59</v>
      </c>
      <c r="W3947" s="2">
        <v>38.1</v>
      </c>
      <c r="X3947" s="2">
        <v>0</v>
      </c>
      <c r="Y3947" s="2" t="s">
        <v>394</v>
      </c>
      <c r="Z3947" s="2" t="s">
        <v>26232</v>
      </c>
      <c r="AA3947" s="2">
        <v>-1.6639476169107399</v>
      </c>
      <c r="AB3947" s="2">
        <v>0.178120841647053</v>
      </c>
      <c r="AC3947" s="2">
        <v>31810.157768896799</v>
      </c>
      <c r="AD3947" s="2">
        <v>28555.681437807001</v>
      </c>
      <c r="AE3947" s="2">
        <v>32187.749452682201</v>
      </c>
      <c r="AF3947" s="2">
        <v>30888.185548458499</v>
      </c>
      <c r="AG3947" s="2">
        <v>33482.295005097003</v>
      </c>
      <c r="AH3947" s="2">
        <v>28695.057296819501</v>
      </c>
      <c r="AI3947" s="2">
        <v>30320.875790796501</v>
      </c>
      <c r="AJ3947" s="2">
        <v>35286.7835195273</v>
      </c>
      <c r="AK3947" s="2">
        <v>26506.515989674499</v>
      </c>
      <c r="AL3947" s="2">
        <v>31059.4193677937</v>
      </c>
      <c r="AM3947" s="2">
        <v>27894.4865121412</v>
      </c>
      <c r="AN3947" s="2">
        <v>30071.528004823602</v>
      </c>
      <c r="AO3947" s="2">
        <v>26247.870022690098</v>
      </c>
      <c r="AP3947" s="2">
        <v>29554.268729719101</v>
      </c>
    </row>
    <row r="3948" spans="1:42" ht="14.5" x14ac:dyDescent="0.35">
      <c r="A3948" s="2" t="s">
        <v>26233</v>
      </c>
      <c r="B3948" s="2">
        <v>607.14332267903103</v>
      </c>
      <c r="C3948" s="2">
        <v>4.0250666666666701</v>
      </c>
      <c r="D3948" s="2" t="s">
        <v>70</v>
      </c>
      <c r="E3948" s="2" t="s">
        <v>26234</v>
      </c>
      <c r="F3948" s="2">
        <v>56466</v>
      </c>
      <c r="G3948" s="3" t="str">
        <f>HYPERLINK("http://funmeta.oebiotech.com/network/56466", "http://funmeta.oebiotech.com/network/56466")</f>
        <v>http://funmeta.oebiotech.com/network/56466</v>
      </c>
      <c r="H3948" s="2" t="s">
        <v>26235</v>
      </c>
      <c r="I3948" s="2">
        <v>88113</v>
      </c>
      <c r="J3948" s="2"/>
      <c r="K3948" s="2"/>
      <c r="L3948" s="2"/>
      <c r="M3948" s="2"/>
      <c r="N3948" s="2"/>
      <c r="O3948" s="2">
        <v>14332863</v>
      </c>
      <c r="P3948" s="2"/>
      <c r="Q3948" s="2" t="s">
        <v>26236</v>
      </c>
      <c r="R3948" s="2" t="s">
        <v>26237</v>
      </c>
      <c r="S3948" s="2" t="s">
        <v>115</v>
      </c>
      <c r="T3948" s="2" t="s">
        <v>139</v>
      </c>
      <c r="U3948" s="2" t="s">
        <v>957</v>
      </c>
      <c r="V3948" s="2" t="s">
        <v>59</v>
      </c>
      <c r="W3948" s="2">
        <v>36.6</v>
      </c>
      <c r="X3948" s="2">
        <v>0</v>
      </c>
      <c r="Y3948" s="2" t="s">
        <v>408</v>
      </c>
      <c r="Z3948" s="2" t="s">
        <v>26238</v>
      </c>
      <c r="AA3948" s="2">
        <v>-4.2548261796377602</v>
      </c>
      <c r="AB3948" s="2">
        <v>0.178046703725599</v>
      </c>
      <c r="AC3948" s="2">
        <v>10616.077862463</v>
      </c>
      <c r="AD3948" s="2">
        <v>14092.5195435325</v>
      </c>
      <c r="AE3948" s="2">
        <v>11906.6475965634</v>
      </c>
      <c r="AF3948" s="2">
        <v>9958.3810517947404</v>
      </c>
      <c r="AG3948" s="2">
        <v>10660.023324292</v>
      </c>
      <c r="AH3948" s="2">
        <v>4600.7761966084599</v>
      </c>
      <c r="AI3948" s="2">
        <v>11832.2875998502</v>
      </c>
      <c r="AJ3948" s="2">
        <v>14738.3514056691</v>
      </c>
      <c r="AK3948" s="2">
        <v>13463.0920125058</v>
      </c>
      <c r="AL3948" s="2">
        <v>15042.5765966856</v>
      </c>
      <c r="AM3948" s="2">
        <v>12477.696197567</v>
      </c>
      <c r="AN3948" s="2">
        <v>14921.4490994144</v>
      </c>
      <c r="AO3948" s="2">
        <v>12949.477494991001</v>
      </c>
      <c r="AP3948" s="2">
        <v>15700.8258600312</v>
      </c>
    </row>
    <row r="3949" spans="1:42" ht="14.5" x14ac:dyDescent="0.35">
      <c r="A3949" s="2" t="s">
        <v>26239</v>
      </c>
      <c r="B3949" s="2">
        <v>911.20106189829005</v>
      </c>
      <c r="C3949" s="2">
        <v>3.82433333333333</v>
      </c>
      <c r="D3949" s="2" t="s">
        <v>70</v>
      </c>
      <c r="E3949" s="2" t="s">
        <v>26240</v>
      </c>
      <c r="F3949" s="2">
        <v>28913</v>
      </c>
      <c r="G3949" s="3" t="str">
        <f>HYPERLINK("http://funmeta.oebiotech.com/network/28913", "http://funmeta.oebiotech.com/network/28913")</f>
        <v>http://funmeta.oebiotech.com/network/28913</v>
      </c>
      <c r="H3949" s="2" t="s">
        <v>26241</v>
      </c>
      <c r="I3949" s="2">
        <v>47309</v>
      </c>
      <c r="J3949" s="2" t="s">
        <v>26242</v>
      </c>
      <c r="K3949" s="2">
        <v>136553</v>
      </c>
      <c r="L3949" s="2"/>
      <c r="M3949" s="2"/>
      <c r="N3949" s="2"/>
      <c r="O3949" s="2">
        <v>467296</v>
      </c>
      <c r="P3949" s="2" t="s">
        <v>26243</v>
      </c>
      <c r="Q3949" s="2" t="s">
        <v>26244</v>
      </c>
      <c r="R3949" s="2" t="s">
        <v>26245</v>
      </c>
      <c r="S3949" s="2" t="s">
        <v>115</v>
      </c>
      <c r="T3949" s="2" t="s">
        <v>139</v>
      </c>
      <c r="U3949" s="2" t="s">
        <v>1437</v>
      </c>
      <c r="V3949" s="2" t="s">
        <v>59</v>
      </c>
      <c r="W3949" s="2">
        <v>37.200000000000003</v>
      </c>
      <c r="X3949" s="2">
        <v>0</v>
      </c>
      <c r="Y3949" s="2" t="s">
        <v>560</v>
      </c>
      <c r="Z3949" s="2" t="s">
        <v>26246</v>
      </c>
      <c r="AA3949" s="2">
        <v>-3.2397578618718699</v>
      </c>
      <c r="AB3949" s="2">
        <v>0.17802673500027499</v>
      </c>
      <c r="AC3949" s="2">
        <v>11565.1634210746</v>
      </c>
      <c r="AD3949" s="2">
        <v>14850.119485379701</v>
      </c>
      <c r="AE3949" s="2">
        <v>8029.8293283066296</v>
      </c>
      <c r="AF3949" s="2">
        <v>13452.7456314341</v>
      </c>
      <c r="AG3949" s="2">
        <v>10095.461421207699</v>
      </c>
      <c r="AH3949" s="2">
        <v>11755.5192201515</v>
      </c>
      <c r="AI3949" s="2">
        <v>14534.1649062212</v>
      </c>
      <c r="AJ3949" s="2">
        <v>11523.260019126201</v>
      </c>
      <c r="AK3949" s="2">
        <v>12232.111839962599</v>
      </c>
      <c r="AL3949" s="2">
        <v>14128.840880681</v>
      </c>
      <c r="AM3949" s="2">
        <v>16985.232118714601</v>
      </c>
      <c r="AN3949" s="2">
        <v>12662.409627425301</v>
      </c>
      <c r="AO3949" s="2">
        <v>15803.5790392453</v>
      </c>
      <c r="AP3949" s="2">
        <v>17288.543406249701</v>
      </c>
    </row>
    <row r="3950" spans="1:42" ht="14.5" x14ac:dyDescent="0.35">
      <c r="A3950" s="2" t="s">
        <v>26247</v>
      </c>
      <c r="B3950" s="2">
        <v>439.218180374599</v>
      </c>
      <c r="C3950" s="2">
        <v>5.5617999999999999</v>
      </c>
      <c r="D3950" s="2" t="s">
        <v>70</v>
      </c>
      <c r="E3950" s="2" t="s">
        <v>26248</v>
      </c>
      <c r="F3950" s="2">
        <v>47955</v>
      </c>
      <c r="G3950" s="3" t="str">
        <f>HYPERLINK("http://funmeta.oebiotech.com/network/47955", "http://funmeta.oebiotech.com/network/47955")</f>
        <v>http://funmeta.oebiotech.com/network/47955</v>
      </c>
      <c r="H3950" s="2" t="s">
        <v>26249</v>
      </c>
      <c r="I3950" s="2"/>
      <c r="J3950" s="2"/>
      <c r="K3950" s="2">
        <v>67045</v>
      </c>
      <c r="L3950" s="2"/>
      <c r="M3950" s="2"/>
      <c r="N3950" s="2"/>
      <c r="O3950" s="2">
        <v>10255824</v>
      </c>
      <c r="P3950" s="2" t="s">
        <v>26250</v>
      </c>
      <c r="Q3950" s="2" t="s">
        <v>26251</v>
      </c>
      <c r="R3950" s="2" t="s">
        <v>26252</v>
      </c>
      <c r="S3950" s="2" t="s">
        <v>50</v>
      </c>
      <c r="T3950" s="2" t="s">
        <v>124</v>
      </c>
      <c r="U3950" s="2" t="s">
        <v>9313</v>
      </c>
      <c r="V3950" s="2" t="s">
        <v>59</v>
      </c>
      <c r="W3950" s="2">
        <v>36.1</v>
      </c>
      <c r="X3950" s="2">
        <v>0</v>
      </c>
      <c r="Y3950" s="2" t="s">
        <v>751</v>
      </c>
      <c r="Z3950" s="2" t="s">
        <v>26253</v>
      </c>
      <c r="AA3950" s="2">
        <v>4.7943623991344699</v>
      </c>
      <c r="AB3950" s="2">
        <v>0.17796168492140901</v>
      </c>
      <c r="AC3950" s="2">
        <v>42463.439154535597</v>
      </c>
      <c r="AD3950" s="2">
        <v>46412.883853723702</v>
      </c>
      <c r="AE3950" s="2">
        <v>44826.266618220201</v>
      </c>
      <c r="AF3950" s="2">
        <v>41061.314970467203</v>
      </c>
      <c r="AG3950" s="2">
        <v>40505.164560336103</v>
      </c>
      <c r="AH3950" s="2">
        <v>40190.505889194501</v>
      </c>
      <c r="AI3950" s="2">
        <v>46070.5097445922</v>
      </c>
      <c r="AJ3950" s="2">
        <v>42126.873144403398</v>
      </c>
      <c r="AK3950" s="2">
        <v>45461.9635736196</v>
      </c>
      <c r="AL3950" s="2">
        <v>42341.9532876062</v>
      </c>
      <c r="AM3950" s="2">
        <v>52049.704536796096</v>
      </c>
      <c r="AN3950" s="2">
        <v>44194.947995558898</v>
      </c>
      <c r="AO3950" s="2">
        <v>42604.219316281902</v>
      </c>
      <c r="AP3950" s="2">
        <v>51824.514412479497</v>
      </c>
    </row>
    <row r="3951" spans="1:42" ht="14.5" x14ac:dyDescent="0.35">
      <c r="A3951" s="2" t="s">
        <v>26254</v>
      </c>
      <c r="B3951" s="2">
        <v>517.096667070325</v>
      </c>
      <c r="C3951" s="2">
        <v>4.7218999999999998</v>
      </c>
      <c r="D3951" s="2" t="s">
        <v>70</v>
      </c>
      <c r="E3951" s="2" t="s">
        <v>26255</v>
      </c>
      <c r="F3951" s="2">
        <v>28941</v>
      </c>
      <c r="G3951" s="3" t="str">
        <f>HYPERLINK("http://funmeta.oebiotech.com/network/28941", "http://funmeta.oebiotech.com/network/28941")</f>
        <v>http://funmeta.oebiotech.com/network/28941</v>
      </c>
      <c r="H3951" s="2" t="s">
        <v>26256</v>
      </c>
      <c r="I3951" s="2">
        <v>47337</v>
      </c>
      <c r="J3951" s="2" t="s">
        <v>26257</v>
      </c>
      <c r="K3951" s="2"/>
      <c r="L3951" s="2"/>
      <c r="M3951" s="2"/>
      <c r="N3951" s="2"/>
      <c r="O3951" s="2">
        <v>9804842</v>
      </c>
      <c r="P3951" s="2" t="s">
        <v>26258</v>
      </c>
      <c r="Q3951" s="2" t="s">
        <v>26259</v>
      </c>
      <c r="R3951" s="2" t="s">
        <v>26260</v>
      </c>
      <c r="S3951" s="2" t="s">
        <v>115</v>
      </c>
      <c r="T3951" s="2" t="s">
        <v>139</v>
      </c>
      <c r="U3951" s="2" t="s">
        <v>1437</v>
      </c>
      <c r="V3951" s="2" t="s">
        <v>59</v>
      </c>
      <c r="W3951" s="2">
        <v>36.700000000000003</v>
      </c>
      <c r="X3951" s="2">
        <v>0</v>
      </c>
      <c r="Y3951" s="2" t="s">
        <v>408</v>
      </c>
      <c r="Z3951" s="2" t="s">
        <v>26261</v>
      </c>
      <c r="AA3951" s="2">
        <v>-4.4423930118764803</v>
      </c>
      <c r="AB3951" s="2">
        <v>0.17792322910872599</v>
      </c>
      <c r="AC3951" s="2">
        <v>10136.518658327301</v>
      </c>
      <c r="AD3951" s="2">
        <v>12899.9080230911</v>
      </c>
      <c r="AE3951" s="2">
        <v>9324.5533762876003</v>
      </c>
      <c r="AF3951" s="2">
        <v>9702.7146733060599</v>
      </c>
      <c r="AG3951" s="2">
        <v>11358.8697732281</v>
      </c>
      <c r="AH3951" s="2">
        <v>10805.161527635701</v>
      </c>
      <c r="AI3951" s="2">
        <v>10029.341158635099</v>
      </c>
      <c r="AJ3951" s="2">
        <v>9598.4714408713608</v>
      </c>
      <c r="AK3951" s="2">
        <v>14080.113893378701</v>
      </c>
      <c r="AL3951" s="2">
        <v>12224.7761044211</v>
      </c>
      <c r="AM3951" s="2">
        <v>15681.361055854601</v>
      </c>
      <c r="AN3951" s="2">
        <v>11606.0984336806</v>
      </c>
      <c r="AO3951" s="2">
        <v>12722.0936129124</v>
      </c>
      <c r="AP3951" s="2">
        <v>11085.005038299099</v>
      </c>
    </row>
    <row r="3952" spans="1:42" ht="14.5" x14ac:dyDescent="0.35">
      <c r="A3952" s="2" t="s">
        <v>26262</v>
      </c>
      <c r="B3952" s="2">
        <v>605.26036402739203</v>
      </c>
      <c r="C3952" s="2">
        <v>7.1594666666666704</v>
      </c>
      <c r="D3952" s="2" t="s">
        <v>70</v>
      </c>
      <c r="E3952" s="2" t="s">
        <v>26263</v>
      </c>
      <c r="F3952" s="2">
        <v>64981</v>
      </c>
      <c r="G3952" s="3" t="str">
        <f>HYPERLINK("http://funmeta.oebiotech.com/network/64981", "http://funmeta.oebiotech.com/network/64981")</f>
        <v>http://funmeta.oebiotech.com/network/64981</v>
      </c>
      <c r="H3952" s="2" t="s">
        <v>26264</v>
      </c>
      <c r="I3952" s="2">
        <v>44224</v>
      </c>
      <c r="J3952" s="2"/>
      <c r="K3952" s="2">
        <v>75250</v>
      </c>
      <c r="L3952" s="2"/>
      <c r="M3952" s="2"/>
      <c r="N3952" s="2"/>
      <c r="O3952" s="2">
        <v>4831</v>
      </c>
      <c r="P3952" s="2" t="s">
        <v>26265</v>
      </c>
      <c r="Q3952" s="2" t="s">
        <v>26266</v>
      </c>
      <c r="R3952" s="2" t="s">
        <v>26267</v>
      </c>
      <c r="S3952" s="2" t="s">
        <v>491</v>
      </c>
      <c r="T3952" s="2" t="s">
        <v>5190</v>
      </c>
      <c r="U3952" s="2" t="s">
        <v>5191</v>
      </c>
      <c r="V3952" s="2" t="s">
        <v>59</v>
      </c>
      <c r="W3952" s="2">
        <v>38.799999999999997</v>
      </c>
      <c r="X3952" s="2">
        <v>0</v>
      </c>
      <c r="Y3952" s="2" t="s">
        <v>560</v>
      </c>
      <c r="Z3952" s="2" t="s">
        <v>26268</v>
      </c>
      <c r="AA3952" s="2">
        <v>2.2458838630816498</v>
      </c>
      <c r="AB3952" s="2">
        <v>0.17791829233120501</v>
      </c>
      <c r="AC3952" s="2">
        <v>1308.0436867016001</v>
      </c>
      <c r="AD3952" s="2">
        <v>3719.3613401472799</v>
      </c>
      <c r="AE3952" s="2">
        <v>1927.11847504825</v>
      </c>
      <c r="AF3952" s="2">
        <v>662.25361564467903</v>
      </c>
      <c r="AG3952" s="2">
        <v>326.669809607258</v>
      </c>
      <c r="AH3952" s="2">
        <v>1695.6643466558701</v>
      </c>
      <c r="AI3952" s="2">
        <v>1687.46564413642</v>
      </c>
      <c r="AJ3952" s="2">
        <v>1549.0902291171501</v>
      </c>
      <c r="AK3952" s="2">
        <v>4211.0065762879904</v>
      </c>
      <c r="AL3952" s="2">
        <v>3467.0148267690902</v>
      </c>
      <c r="AM3952" s="2">
        <v>3873.17951632729</v>
      </c>
      <c r="AN3952" s="2">
        <v>2933.08565212249</v>
      </c>
      <c r="AO3952" s="2">
        <v>2691.7965530056699</v>
      </c>
      <c r="AP3952" s="2">
        <v>5140.08491637117</v>
      </c>
    </row>
    <row r="3953" spans="1:42" ht="14.5" x14ac:dyDescent="0.35">
      <c r="A3953" s="2" t="s">
        <v>26269</v>
      </c>
      <c r="B3953" s="2">
        <v>522.32137338821599</v>
      </c>
      <c r="C3953" s="2">
        <v>8.4891833333333295</v>
      </c>
      <c r="D3953" s="2" t="s">
        <v>34</v>
      </c>
      <c r="E3953" s="2" t="s">
        <v>26270</v>
      </c>
      <c r="F3953" s="2">
        <v>22479</v>
      </c>
      <c r="G3953" s="3" t="str">
        <f>HYPERLINK("http://funmeta.oebiotech.com/network/22479", "http://funmeta.oebiotech.com/network/22479")</f>
        <v>http://funmeta.oebiotech.com/network/22479</v>
      </c>
      <c r="H3953" s="2"/>
      <c r="I3953" s="2"/>
      <c r="J3953" s="2" t="s">
        <v>26271</v>
      </c>
      <c r="K3953" s="2"/>
      <c r="L3953" s="2"/>
      <c r="M3953" s="2"/>
      <c r="N3953" s="2"/>
      <c r="O3953" s="2">
        <v>137323952</v>
      </c>
      <c r="P3953" s="2"/>
      <c r="Q3953" s="2" t="s">
        <v>26272</v>
      </c>
      <c r="R3953" s="2" t="s">
        <v>26273</v>
      </c>
      <c r="S3953" s="2" t="s">
        <v>50</v>
      </c>
      <c r="T3953" s="2" t="s">
        <v>51</v>
      </c>
      <c r="U3953" s="2" t="s">
        <v>66</v>
      </c>
      <c r="V3953" s="2" t="s">
        <v>59</v>
      </c>
      <c r="W3953" s="2">
        <v>37.9</v>
      </c>
      <c r="X3953" s="2">
        <v>0.42</v>
      </c>
      <c r="Y3953" s="2" t="s">
        <v>141</v>
      </c>
      <c r="Z3953" s="2" t="s">
        <v>5735</v>
      </c>
      <c r="AA3953" s="2">
        <v>4.3440143203864601</v>
      </c>
      <c r="AB3953" s="2">
        <v>0.177888508699201</v>
      </c>
      <c r="AC3953" s="2">
        <v>28605.981862811001</v>
      </c>
      <c r="AD3953" s="2">
        <v>24674.480329762599</v>
      </c>
      <c r="AE3953" s="2">
        <v>26595.1765899858</v>
      </c>
      <c r="AF3953" s="2">
        <v>29089.048316021301</v>
      </c>
      <c r="AG3953" s="2">
        <v>31234.295146568398</v>
      </c>
      <c r="AH3953" s="2">
        <v>30984.492068906398</v>
      </c>
      <c r="AI3953" s="2">
        <v>26431.842455510901</v>
      </c>
      <c r="AJ3953" s="2">
        <v>27301.036599873201</v>
      </c>
      <c r="AK3953" s="2">
        <v>20331.898756684899</v>
      </c>
      <c r="AL3953" s="2">
        <v>27686.351562582298</v>
      </c>
      <c r="AM3953" s="2">
        <v>18619.306768980099</v>
      </c>
      <c r="AN3953" s="2">
        <v>28649.5813138874</v>
      </c>
      <c r="AO3953" s="2">
        <v>23757.305882445002</v>
      </c>
      <c r="AP3953" s="2">
        <v>29002.437693995798</v>
      </c>
    </row>
    <row r="3954" spans="1:42" ht="14.5" x14ac:dyDescent="0.35">
      <c r="A3954" s="2" t="s">
        <v>26274</v>
      </c>
      <c r="B3954" s="2">
        <v>897.51756268632096</v>
      </c>
      <c r="C3954" s="2">
        <v>12.78355</v>
      </c>
      <c r="D3954" s="2" t="s">
        <v>34</v>
      </c>
      <c r="E3954" s="2" t="s">
        <v>26275</v>
      </c>
      <c r="F3954" s="2">
        <v>210846</v>
      </c>
      <c r="G3954" s="3" t="str">
        <f>HYPERLINK("http://funmeta.oebiotech.com/network/210846", "http://funmeta.oebiotech.com/network/210846")</f>
        <v>http://funmeta.oebiotech.com/network/210846</v>
      </c>
      <c r="H3954" s="2" t="s">
        <v>26276</v>
      </c>
      <c r="I3954" s="2"/>
      <c r="J3954" s="2"/>
      <c r="K3954" s="2"/>
      <c r="L3954" s="2"/>
      <c r="M3954" s="2"/>
      <c r="N3954" s="2"/>
      <c r="O3954" s="2">
        <v>343425</v>
      </c>
      <c r="P3954" s="2"/>
      <c r="Q3954" s="2" t="s">
        <v>26277</v>
      </c>
      <c r="R3954" s="2" t="s">
        <v>26278</v>
      </c>
      <c r="S3954" s="2" t="s">
        <v>50</v>
      </c>
      <c r="T3954" s="2" t="s">
        <v>201</v>
      </c>
      <c r="U3954" s="2" t="s">
        <v>210</v>
      </c>
      <c r="V3954" s="2" t="s">
        <v>59</v>
      </c>
      <c r="W3954" s="2">
        <v>37.5</v>
      </c>
      <c r="X3954" s="2">
        <v>0</v>
      </c>
      <c r="Y3954" s="2" t="s">
        <v>394</v>
      </c>
      <c r="Z3954" s="2" t="s">
        <v>26279</v>
      </c>
      <c r="AA3954" s="2">
        <v>-3.40217577932171</v>
      </c>
      <c r="AB3954" s="2">
        <v>0.177706366680671</v>
      </c>
      <c r="AC3954" s="2">
        <v>13664.9758502523</v>
      </c>
      <c r="AD3954" s="2">
        <v>17390.836249648699</v>
      </c>
      <c r="AE3954" s="2">
        <v>11555.408394262</v>
      </c>
      <c r="AF3954" s="2">
        <v>14012.0534076851</v>
      </c>
      <c r="AG3954" s="2">
        <v>13471.040847291601</v>
      </c>
      <c r="AH3954" s="2">
        <v>13734.2508672975</v>
      </c>
      <c r="AI3954" s="2">
        <v>13652.152808578599</v>
      </c>
      <c r="AJ3954" s="2">
        <v>15564.9487763991</v>
      </c>
      <c r="AK3954" s="2">
        <v>16438.953905509501</v>
      </c>
      <c r="AL3954" s="2">
        <v>11533.1294113411</v>
      </c>
      <c r="AM3954" s="2">
        <v>17371.032625856398</v>
      </c>
      <c r="AN3954" s="2">
        <v>14856.4130353908</v>
      </c>
      <c r="AO3954" s="2">
        <v>21451.241617121999</v>
      </c>
      <c r="AP3954" s="2">
        <v>22694.246902672701</v>
      </c>
    </row>
    <row r="3955" spans="1:42" ht="14.5" x14ac:dyDescent="0.35">
      <c r="A3955" s="2" t="s">
        <v>26280</v>
      </c>
      <c r="B3955" s="2">
        <v>417.24573156027299</v>
      </c>
      <c r="C3955" s="2">
        <v>4.7703833333333296</v>
      </c>
      <c r="D3955" s="2" t="s">
        <v>34</v>
      </c>
      <c r="E3955" s="2" t="s">
        <v>26281</v>
      </c>
      <c r="F3955" s="2">
        <v>207197</v>
      </c>
      <c r="G3955" s="3" t="str">
        <f>HYPERLINK("http://funmeta.oebiotech.com/network/207197", "http://funmeta.oebiotech.com/network/207197")</f>
        <v>http://funmeta.oebiotech.com/network/207197</v>
      </c>
      <c r="H3955" s="2" t="s">
        <v>26282</v>
      </c>
      <c r="I3955" s="2"/>
      <c r="J3955" s="2"/>
      <c r="K3955" s="2"/>
      <c r="L3955" s="2"/>
      <c r="M3955" s="2"/>
      <c r="N3955" s="2"/>
      <c r="O3955" s="2">
        <v>18220317</v>
      </c>
      <c r="P3955" s="2"/>
      <c r="Q3955" s="2" t="s">
        <v>26283</v>
      </c>
      <c r="R3955" s="2" t="s">
        <v>26284</v>
      </c>
      <c r="S3955" s="2" t="s">
        <v>89</v>
      </c>
      <c r="T3955" s="2" t="s">
        <v>90</v>
      </c>
      <c r="U3955" s="2" t="s">
        <v>99</v>
      </c>
      <c r="V3955" s="2" t="s">
        <v>59</v>
      </c>
      <c r="W3955" s="2">
        <v>38</v>
      </c>
      <c r="X3955" s="2">
        <v>0</v>
      </c>
      <c r="Y3955" s="2" t="s">
        <v>394</v>
      </c>
      <c r="Z3955" s="2" t="s">
        <v>26285</v>
      </c>
      <c r="AA3955" s="2">
        <v>0.29395628136473401</v>
      </c>
      <c r="AB3955" s="2">
        <v>0.177618400603518</v>
      </c>
      <c r="AC3955" s="2">
        <v>61039.775486176499</v>
      </c>
      <c r="AD3955" s="2">
        <v>56123.934608489799</v>
      </c>
      <c r="AE3955" s="2">
        <v>57565.500449257001</v>
      </c>
      <c r="AF3955" s="2">
        <v>66211.770789347094</v>
      </c>
      <c r="AG3955" s="2">
        <v>66430.839743583507</v>
      </c>
      <c r="AH3955" s="2">
        <v>65447.171266687103</v>
      </c>
      <c r="AI3955" s="2">
        <v>57625.409010481002</v>
      </c>
      <c r="AJ3955" s="2">
        <v>52957.961657703599</v>
      </c>
      <c r="AK3955" s="2">
        <v>59869.308851112801</v>
      </c>
      <c r="AL3955" s="2">
        <v>65350.974999406702</v>
      </c>
      <c r="AM3955" s="2">
        <v>57008.610351722702</v>
      </c>
      <c r="AN3955" s="2">
        <v>49054.992354636299</v>
      </c>
      <c r="AO3955" s="2">
        <v>56100.9902692287</v>
      </c>
      <c r="AP3955" s="2">
        <v>49358.730824831902</v>
      </c>
    </row>
    <row r="3956" spans="1:42" ht="14.5" x14ac:dyDescent="0.35">
      <c r="A3956" s="2" t="s">
        <v>26286</v>
      </c>
      <c r="B3956" s="2">
        <v>381.17349696109102</v>
      </c>
      <c r="C3956" s="2">
        <v>13.134399999999999</v>
      </c>
      <c r="D3956" s="2" t="s">
        <v>70</v>
      </c>
      <c r="E3956" s="2" t="s">
        <v>26287</v>
      </c>
      <c r="F3956" s="2">
        <v>59637</v>
      </c>
      <c r="G3956" s="3" t="str">
        <f>HYPERLINK("http://funmeta.oebiotech.com/network/59637", "http://funmeta.oebiotech.com/network/59637")</f>
        <v>http://funmeta.oebiotech.com/network/59637</v>
      </c>
      <c r="H3956" s="2" t="s">
        <v>26288</v>
      </c>
      <c r="I3956" s="2"/>
      <c r="J3956" s="2"/>
      <c r="K3956" s="2"/>
      <c r="L3956" s="2"/>
      <c r="M3956" s="2"/>
      <c r="N3956" s="2"/>
      <c r="O3956" s="2">
        <v>131751866</v>
      </c>
      <c r="P3956" s="2" t="s">
        <v>26289</v>
      </c>
      <c r="Q3956" s="2" t="s">
        <v>26290</v>
      </c>
      <c r="R3956" s="2" t="s">
        <v>26291</v>
      </c>
      <c r="S3956" s="2" t="s">
        <v>50</v>
      </c>
      <c r="T3956" s="2" t="s">
        <v>201</v>
      </c>
      <c r="U3956" s="2" t="s">
        <v>636</v>
      </c>
      <c r="V3956" s="2" t="s">
        <v>59</v>
      </c>
      <c r="W3956" s="2">
        <v>38</v>
      </c>
      <c r="X3956" s="2">
        <v>0</v>
      </c>
      <c r="Y3956" s="2" t="s">
        <v>408</v>
      </c>
      <c r="Z3956" s="2" t="s">
        <v>26292</v>
      </c>
      <c r="AA3956" s="2">
        <v>-1.8492269082347601</v>
      </c>
      <c r="AB3956" s="2">
        <v>0.177598268243922</v>
      </c>
      <c r="AC3956" s="2">
        <v>10740.807660046101</v>
      </c>
      <c r="AD3956" s="2">
        <v>8213.6685792436692</v>
      </c>
      <c r="AE3956" s="2">
        <v>10724.1598259979</v>
      </c>
      <c r="AF3956" s="2">
        <v>9828.13631886242</v>
      </c>
      <c r="AG3956" s="2">
        <v>10872.216201277</v>
      </c>
      <c r="AH3956" s="2">
        <v>10460.9726253425</v>
      </c>
      <c r="AI3956" s="2">
        <v>10617.4918122908</v>
      </c>
      <c r="AJ3956" s="2">
        <v>11941.869176505999</v>
      </c>
      <c r="AK3956" s="2">
        <v>6857.7715801191798</v>
      </c>
      <c r="AL3956" s="2">
        <v>8718.4661637623394</v>
      </c>
      <c r="AM3956" s="2">
        <v>8177.1980015713998</v>
      </c>
      <c r="AN3956" s="2">
        <v>7768.8598339279897</v>
      </c>
      <c r="AO3956" s="2">
        <v>10256.351075348201</v>
      </c>
      <c r="AP3956" s="2">
        <v>7503.3648207328997</v>
      </c>
    </row>
    <row r="3957" spans="1:42" ht="14.5" x14ac:dyDescent="0.35">
      <c r="A3957" s="2" t="s">
        <v>26293</v>
      </c>
      <c r="B3957" s="2">
        <v>377.17441618073298</v>
      </c>
      <c r="C3957" s="2">
        <v>5.6059000000000001</v>
      </c>
      <c r="D3957" s="2" t="s">
        <v>34</v>
      </c>
      <c r="E3957" s="2" t="s">
        <v>26294</v>
      </c>
      <c r="F3957" s="2">
        <v>60895</v>
      </c>
      <c r="G3957" s="3" t="str">
        <f>HYPERLINK("http://funmeta.oebiotech.com/network/60895", "http://funmeta.oebiotech.com/network/60895")</f>
        <v>http://funmeta.oebiotech.com/network/60895</v>
      </c>
      <c r="H3957" s="2" t="s">
        <v>26295</v>
      </c>
      <c r="I3957" s="2">
        <v>92247</v>
      </c>
      <c r="J3957" s="2"/>
      <c r="K3957" s="2">
        <v>143868</v>
      </c>
      <c r="L3957" s="2"/>
      <c r="M3957" s="2"/>
      <c r="N3957" s="2"/>
      <c r="O3957" s="2">
        <v>67261902</v>
      </c>
      <c r="P3957" s="2"/>
      <c r="Q3957" s="2" t="s">
        <v>26296</v>
      </c>
      <c r="R3957" s="2" t="s">
        <v>26297</v>
      </c>
      <c r="S3957" s="2" t="s">
        <v>491</v>
      </c>
      <c r="T3957" s="2" t="s">
        <v>2251</v>
      </c>
      <c r="U3957" s="2" t="s">
        <v>2252</v>
      </c>
      <c r="V3957" s="2" t="s">
        <v>59</v>
      </c>
      <c r="W3957" s="2">
        <v>37.5</v>
      </c>
      <c r="X3957" s="2">
        <v>0</v>
      </c>
      <c r="Y3957" s="2" t="s">
        <v>266</v>
      </c>
      <c r="Z3957" s="2" t="s">
        <v>26298</v>
      </c>
      <c r="AA3957" s="2">
        <v>-0.810549719683893</v>
      </c>
      <c r="AB3957" s="2">
        <v>0.17741703496308001</v>
      </c>
      <c r="AC3957" s="2">
        <v>17914.028570185801</v>
      </c>
      <c r="AD3957" s="2">
        <v>22058.235007345302</v>
      </c>
      <c r="AE3957" s="2">
        <v>17784.1900647248</v>
      </c>
      <c r="AF3957" s="2">
        <v>14984.0982278469</v>
      </c>
      <c r="AG3957" s="2">
        <v>23857.611806195298</v>
      </c>
      <c r="AH3957" s="2">
        <v>13243.2996698266</v>
      </c>
      <c r="AI3957" s="2">
        <v>15925.7560881095</v>
      </c>
      <c r="AJ3957" s="2">
        <v>21689.215564411501</v>
      </c>
      <c r="AK3957" s="2">
        <v>28433.832937615301</v>
      </c>
      <c r="AL3957" s="2">
        <v>17611.165733080099</v>
      </c>
      <c r="AM3957" s="2">
        <v>22949.344626502399</v>
      </c>
      <c r="AN3957" s="2">
        <v>22825.806246583499</v>
      </c>
      <c r="AO3957" s="2">
        <v>19529.971102518499</v>
      </c>
      <c r="AP3957" s="2">
        <v>20999.2893977723</v>
      </c>
    </row>
    <row r="3958" spans="1:42" ht="14.5" x14ac:dyDescent="0.35">
      <c r="A3958" s="2" t="s">
        <v>26299</v>
      </c>
      <c r="B3958" s="2">
        <v>215.053790742633</v>
      </c>
      <c r="C3958" s="2">
        <v>1.7892666666666699</v>
      </c>
      <c r="D3958" s="2" t="s">
        <v>70</v>
      </c>
      <c r="E3958" s="2" t="s">
        <v>26300</v>
      </c>
      <c r="F3958" s="2">
        <v>56944</v>
      </c>
      <c r="G3958" s="3" t="str">
        <f>HYPERLINK("http://funmeta.oebiotech.com/network/56944", "http://funmeta.oebiotech.com/network/56944")</f>
        <v>http://funmeta.oebiotech.com/network/56944</v>
      </c>
      <c r="H3958" s="2" t="s">
        <v>26301</v>
      </c>
      <c r="I3958" s="2">
        <v>88601</v>
      </c>
      <c r="J3958" s="2"/>
      <c r="K3958" s="2">
        <v>174196</v>
      </c>
      <c r="L3958" s="2"/>
      <c r="M3958" s="2"/>
      <c r="N3958" s="2"/>
      <c r="O3958" s="2">
        <v>14540699</v>
      </c>
      <c r="P3958" s="2"/>
      <c r="Q3958" s="2" t="s">
        <v>26302</v>
      </c>
      <c r="R3958" s="2" t="s">
        <v>26303</v>
      </c>
      <c r="S3958" s="2" t="s">
        <v>79</v>
      </c>
      <c r="T3958" s="2" t="s">
        <v>80</v>
      </c>
      <c r="U3958" s="2" t="s">
        <v>249</v>
      </c>
      <c r="V3958" s="2" t="s">
        <v>59</v>
      </c>
      <c r="W3958" s="2">
        <v>37.1</v>
      </c>
      <c r="X3958" s="2">
        <v>0</v>
      </c>
      <c r="Y3958" s="2" t="s">
        <v>751</v>
      </c>
      <c r="Z3958" s="2" t="s">
        <v>26304</v>
      </c>
      <c r="AA3958" s="2">
        <v>0.77401379954501304</v>
      </c>
      <c r="AB3958" s="2">
        <v>0.17736698093404099</v>
      </c>
      <c r="AC3958" s="2">
        <v>4609.74203840673</v>
      </c>
      <c r="AD3958" s="2">
        <v>2516.7997736761099</v>
      </c>
      <c r="AE3958" s="2">
        <v>4658.1836794808096</v>
      </c>
      <c r="AF3958" s="2">
        <v>4924.7845201161599</v>
      </c>
      <c r="AG3958" s="2">
        <v>4577.4947152662999</v>
      </c>
      <c r="AH3958" s="2">
        <v>4427.6880708345698</v>
      </c>
      <c r="AI3958" s="2">
        <v>4520.6648413061703</v>
      </c>
      <c r="AJ3958" s="2">
        <v>4549.6364034363996</v>
      </c>
      <c r="AK3958" s="2">
        <v>2395.80577758134</v>
      </c>
      <c r="AL3958" s="2">
        <v>2774.65455516461</v>
      </c>
      <c r="AM3958" s="2">
        <v>2404.6693205885499</v>
      </c>
      <c r="AN3958" s="2">
        <v>2797.1685949329899</v>
      </c>
      <c r="AO3958" s="2">
        <v>2232.9572568850199</v>
      </c>
      <c r="AP3958" s="2">
        <v>2495.5431369041798</v>
      </c>
    </row>
    <row r="3959" spans="1:42" ht="14.5" x14ac:dyDescent="0.35">
      <c r="A3959" s="2" t="s">
        <v>26305</v>
      </c>
      <c r="B3959" s="2">
        <v>649.21266683548299</v>
      </c>
      <c r="C3959" s="2">
        <v>2.6784333333333299</v>
      </c>
      <c r="D3959" s="2" t="s">
        <v>34</v>
      </c>
      <c r="E3959" s="2" t="s">
        <v>26306</v>
      </c>
      <c r="F3959" s="2">
        <v>213176</v>
      </c>
      <c r="G3959" s="3" t="str">
        <f>HYPERLINK("http://funmeta.oebiotech.com/network/213176", "http://funmeta.oebiotech.com/network/213176")</f>
        <v>http://funmeta.oebiotech.com/network/213176</v>
      </c>
      <c r="H3959" s="2" t="s">
        <v>26307</v>
      </c>
      <c r="I3959" s="2"/>
      <c r="J3959" s="2"/>
      <c r="K3959" s="2"/>
      <c r="L3959" s="2"/>
      <c r="M3959" s="2"/>
      <c r="N3959" s="2"/>
      <c r="O3959" s="2"/>
      <c r="P3959" s="2"/>
      <c r="Q3959" s="2" t="s">
        <v>26308</v>
      </c>
      <c r="R3959" s="2" t="s">
        <v>26309</v>
      </c>
      <c r="S3959" s="2" t="s">
        <v>41</v>
      </c>
      <c r="T3959" s="2" t="s">
        <v>41</v>
      </c>
      <c r="U3959" s="2" t="s">
        <v>41</v>
      </c>
      <c r="V3959" s="2" t="s">
        <v>59</v>
      </c>
      <c r="W3959" s="2">
        <v>39.299999999999997</v>
      </c>
      <c r="X3959" s="2">
        <v>0</v>
      </c>
      <c r="Y3959" s="2" t="s">
        <v>323</v>
      </c>
      <c r="Z3959" s="2" t="s">
        <v>26310</v>
      </c>
      <c r="AA3959" s="2">
        <v>-0.16709829418436201</v>
      </c>
      <c r="AB3959" s="2">
        <v>0.177356343872247</v>
      </c>
      <c r="AC3959" s="2">
        <v>35815.035259972501</v>
      </c>
      <c r="AD3959" s="2">
        <v>39044.920938539697</v>
      </c>
      <c r="AE3959" s="2">
        <v>33795.2417328382</v>
      </c>
      <c r="AF3959" s="2">
        <v>36997.468249227597</v>
      </c>
      <c r="AG3959" s="2">
        <v>38268.256238498703</v>
      </c>
      <c r="AH3959" s="2">
        <v>32317.696852041801</v>
      </c>
      <c r="AI3959" s="2">
        <v>36252.240600367099</v>
      </c>
      <c r="AJ3959" s="2">
        <v>37259.307886861498</v>
      </c>
      <c r="AK3959" s="2">
        <v>35939.3360052594</v>
      </c>
      <c r="AL3959" s="2">
        <v>39872.647707547301</v>
      </c>
      <c r="AM3959" s="2">
        <v>40934.328854137202</v>
      </c>
      <c r="AN3959" s="2">
        <v>39303.851872676001</v>
      </c>
      <c r="AO3959" s="2">
        <v>37482.311415557502</v>
      </c>
      <c r="AP3959" s="2">
        <v>40737.049776060703</v>
      </c>
    </row>
    <row r="3960" spans="1:42" ht="14.5" x14ac:dyDescent="0.35">
      <c r="A3960" s="2" t="s">
        <v>26311</v>
      </c>
      <c r="B3960" s="2">
        <v>735.24825713232804</v>
      </c>
      <c r="C3960" s="2">
        <v>7.1973833333333301</v>
      </c>
      <c r="D3960" s="2" t="s">
        <v>70</v>
      </c>
      <c r="E3960" s="2" t="s">
        <v>26312</v>
      </c>
      <c r="F3960" s="2">
        <v>208841</v>
      </c>
      <c r="G3960" s="3" t="str">
        <f>HYPERLINK("http://funmeta.oebiotech.com/network/208841", "http://funmeta.oebiotech.com/network/208841")</f>
        <v>http://funmeta.oebiotech.com/network/208841</v>
      </c>
      <c r="H3960" s="2" t="s">
        <v>26313</v>
      </c>
      <c r="I3960" s="2"/>
      <c r="J3960" s="2"/>
      <c r="K3960" s="2"/>
      <c r="L3960" s="2"/>
      <c r="M3960" s="2"/>
      <c r="N3960" s="2"/>
      <c r="O3960" s="2">
        <v>475289</v>
      </c>
      <c r="P3960" s="2"/>
      <c r="Q3960" s="2" t="s">
        <v>26314</v>
      </c>
      <c r="R3960" s="2" t="s">
        <v>26315</v>
      </c>
      <c r="S3960" s="2" t="s">
        <v>41</v>
      </c>
      <c r="T3960" s="2" t="s">
        <v>41</v>
      </c>
      <c r="U3960" s="2" t="s">
        <v>41</v>
      </c>
      <c r="V3960" s="2" t="s">
        <v>59</v>
      </c>
      <c r="W3960" s="2">
        <v>38.4</v>
      </c>
      <c r="X3960" s="2">
        <v>0</v>
      </c>
      <c r="Y3960" s="2" t="s">
        <v>560</v>
      </c>
      <c r="Z3960" s="2" t="s">
        <v>26316</v>
      </c>
      <c r="AA3960" s="2">
        <v>-1.90656514211033</v>
      </c>
      <c r="AB3960" s="2">
        <v>0.17727235635063099</v>
      </c>
      <c r="AC3960" s="2">
        <v>3844.1801323535101</v>
      </c>
      <c r="AD3960" s="2">
        <v>1352.3445266849101</v>
      </c>
      <c r="AE3960" s="2">
        <v>3482.3384198147301</v>
      </c>
      <c r="AF3960" s="2">
        <v>3829.9584077039399</v>
      </c>
      <c r="AG3960" s="2">
        <v>2634.7024662764802</v>
      </c>
      <c r="AH3960" s="2">
        <v>5835.7171303590603</v>
      </c>
      <c r="AI3960" s="2">
        <v>4269.3791818933196</v>
      </c>
      <c r="AJ3960" s="2">
        <v>3012.98518807355</v>
      </c>
      <c r="AK3960" s="2">
        <v>992.98098297529498</v>
      </c>
      <c r="AL3960" s="2">
        <v>1931.4460823359</v>
      </c>
      <c r="AM3960" s="2">
        <v>1770.9344898614299</v>
      </c>
      <c r="AN3960" s="2">
        <v>1035.56552070108</v>
      </c>
      <c r="AO3960" s="2">
        <v>422.174525849048</v>
      </c>
      <c r="AP3960" s="2">
        <v>1960.96555838672</v>
      </c>
    </row>
    <row r="3961" spans="1:42" ht="14.5" x14ac:dyDescent="0.35">
      <c r="A3961" s="2" t="s">
        <v>26317</v>
      </c>
      <c r="B3961" s="2">
        <v>394.32908868068398</v>
      </c>
      <c r="C3961" s="2">
        <v>10.890933333333299</v>
      </c>
      <c r="D3961" s="2" t="s">
        <v>34</v>
      </c>
      <c r="E3961" s="2" t="s">
        <v>26318</v>
      </c>
      <c r="F3961" s="2">
        <v>45866</v>
      </c>
      <c r="G3961" s="3" t="str">
        <f>HYPERLINK("http://funmeta.oebiotech.com/network/45866", "http://funmeta.oebiotech.com/network/45866")</f>
        <v>http://funmeta.oebiotech.com/network/45866</v>
      </c>
      <c r="H3961" s="2" t="s">
        <v>26319</v>
      </c>
      <c r="I3961" s="2">
        <v>209</v>
      </c>
      <c r="J3961" s="2" t="s">
        <v>26320</v>
      </c>
      <c r="K3961" s="2">
        <v>16325</v>
      </c>
      <c r="L3961" s="2" t="s">
        <v>26321</v>
      </c>
      <c r="M3961" s="2" t="s">
        <v>4185</v>
      </c>
      <c r="N3961" s="2" t="s">
        <v>4186</v>
      </c>
      <c r="O3961" s="2">
        <v>9903</v>
      </c>
      <c r="P3961" s="2" t="s">
        <v>26322</v>
      </c>
      <c r="Q3961" s="2" t="s">
        <v>26323</v>
      </c>
      <c r="R3961" s="2" t="s">
        <v>26324</v>
      </c>
      <c r="S3961" s="2" t="s">
        <v>50</v>
      </c>
      <c r="T3961" s="2" t="s">
        <v>124</v>
      </c>
      <c r="U3961" s="2" t="s">
        <v>125</v>
      </c>
      <c r="V3961" s="2" t="s">
        <v>59</v>
      </c>
      <c r="W3961" s="2">
        <v>37.5</v>
      </c>
      <c r="X3961" s="2">
        <v>0</v>
      </c>
      <c r="Y3961" s="2" t="s">
        <v>43</v>
      </c>
      <c r="Z3961" s="2" t="s">
        <v>26325</v>
      </c>
      <c r="AA3961" s="2">
        <v>-6.5958162879558202</v>
      </c>
      <c r="AB3961" s="2">
        <v>0.17720222911781899</v>
      </c>
      <c r="AC3961" s="2">
        <v>3198.4885714474299</v>
      </c>
      <c r="AD3961" s="2">
        <v>5688.2873805710196</v>
      </c>
      <c r="AE3961" s="2">
        <v>2952.4999775401998</v>
      </c>
      <c r="AF3961" s="2">
        <v>2804.9347358447399</v>
      </c>
      <c r="AG3961" s="2">
        <v>2674.0338504046699</v>
      </c>
      <c r="AH3961" s="2">
        <v>3984.7801318183701</v>
      </c>
      <c r="AI3961" s="2">
        <v>3062.7963213426201</v>
      </c>
      <c r="AJ3961" s="2">
        <v>3711.8864117339899</v>
      </c>
      <c r="AK3961" s="2">
        <v>5550.2263754015903</v>
      </c>
      <c r="AL3961" s="2">
        <v>4720.2872215836096</v>
      </c>
      <c r="AM3961" s="2">
        <v>4701.1470500927999</v>
      </c>
      <c r="AN3961" s="2">
        <v>5264.3055761326796</v>
      </c>
      <c r="AO3961" s="2">
        <v>5968.6015937845496</v>
      </c>
      <c r="AP3961" s="2">
        <v>7925.1564664308798</v>
      </c>
    </row>
    <row r="3962" spans="1:42" ht="14.5" x14ac:dyDescent="0.35">
      <c r="A3962" s="2" t="s">
        <v>26326</v>
      </c>
      <c r="B3962" s="2">
        <v>597.37635757546195</v>
      </c>
      <c r="C3962" s="2">
        <v>12.1619166666667</v>
      </c>
      <c r="D3962" s="2" t="s">
        <v>34</v>
      </c>
      <c r="E3962" s="2" t="s">
        <v>26327</v>
      </c>
      <c r="F3962" s="2">
        <v>24900</v>
      </c>
      <c r="G3962" s="3" t="str">
        <f>HYPERLINK("http://funmeta.oebiotech.com/network/24900", "http://funmeta.oebiotech.com/network/24900")</f>
        <v>http://funmeta.oebiotech.com/network/24900</v>
      </c>
      <c r="H3962" s="2"/>
      <c r="I3962" s="2"/>
      <c r="J3962" s="2" t="s">
        <v>26328</v>
      </c>
      <c r="K3962" s="2"/>
      <c r="L3962" s="2"/>
      <c r="M3962" s="2"/>
      <c r="N3962" s="2"/>
      <c r="O3962" s="2">
        <v>52928628</v>
      </c>
      <c r="P3962" s="2"/>
      <c r="Q3962" s="2" t="s">
        <v>26329</v>
      </c>
      <c r="R3962" s="2" t="s">
        <v>26330</v>
      </c>
      <c r="S3962" s="2" t="s">
        <v>50</v>
      </c>
      <c r="T3962" s="2" t="s">
        <v>51</v>
      </c>
      <c r="U3962" s="2" t="s">
        <v>52</v>
      </c>
      <c r="V3962" s="2" t="s">
        <v>59</v>
      </c>
      <c r="W3962" s="2">
        <v>37.9</v>
      </c>
      <c r="X3962" s="2">
        <v>0</v>
      </c>
      <c r="Y3962" s="2" t="s">
        <v>141</v>
      </c>
      <c r="Z3962" s="2" t="s">
        <v>26331</v>
      </c>
      <c r="AA3962" s="2">
        <v>0.238432714600778</v>
      </c>
      <c r="AB3962" s="2">
        <v>0.17719943002453001</v>
      </c>
      <c r="AC3962" s="2">
        <v>3136.4819164209798</v>
      </c>
      <c r="AD3962" s="2">
        <v>661.98816903793795</v>
      </c>
      <c r="AE3962" s="2">
        <v>2750.1473715788302</v>
      </c>
      <c r="AF3962" s="2">
        <v>3000.5553989834202</v>
      </c>
      <c r="AG3962" s="2">
        <v>2388.5470397854901</v>
      </c>
      <c r="AH3962" s="2">
        <v>3512.5608085968402</v>
      </c>
      <c r="AI3962" s="2">
        <v>1800.4552371750599</v>
      </c>
      <c r="AJ3962" s="2">
        <v>5366.6256424062103</v>
      </c>
      <c r="AK3962" s="2">
        <v>824.45900529090704</v>
      </c>
      <c r="AL3962" s="2">
        <v>402.27593109106601</v>
      </c>
      <c r="AM3962" s="2">
        <v>728.721566744097</v>
      </c>
      <c r="AN3962" s="2">
        <v>314.88562437181099</v>
      </c>
      <c r="AO3962" s="2">
        <v>351.00275908762899</v>
      </c>
      <c r="AP3962" s="2">
        <v>1350.5841276421199</v>
      </c>
    </row>
    <row r="3963" spans="1:42" ht="14.5" x14ac:dyDescent="0.35">
      <c r="A3963" s="2" t="s">
        <v>26332</v>
      </c>
      <c r="B3963" s="2">
        <v>254.91655529888101</v>
      </c>
      <c r="C3963" s="2">
        <v>1.50383333333333</v>
      </c>
      <c r="D3963" s="2" t="s">
        <v>70</v>
      </c>
      <c r="E3963" s="2" t="s">
        <v>26333</v>
      </c>
      <c r="F3963" s="2">
        <v>211550</v>
      </c>
      <c r="G3963" s="3" t="str">
        <f>HYPERLINK("http://funmeta.oebiotech.com/network/211550", "http://funmeta.oebiotech.com/network/211550")</f>
        <v>http://funmeta.oebiotech.com/network/211550</v>
      </c>
      <c r="H3963" s="2" t="s">
        <v>26334</v>
      </c>
      <c r="I3963" s="2"/>
      <c r="J3963" s="2"/>
      <c r="K3963" s="2"/>
      <c r="L3963" s="2"/>
      <c r="M3963" s="2"/>
      <c r="N3963" s="2"/>
      <c r="O3963" s="2">
        <v>18521482</v>
      </c>
      <c r="P3963" s="2"/>
      <c r="Q3963" s="2" t="s">
        <v>26335</v>
      </c>
      <c r="R3963" s="2" t="s">
        <v>26336</v>
      </c>
      <c r="S3963" s="2" t="s">
        <v>41</v>
      </c>
      <c r="T3963" s="2" t="s">
        <v>41</v>
      </c>
      <c r="U3963" s="2" t="s">
        <v>41</v>
      </c>
      <c r="V3963" s="2" t="s">
        <v>59</v>
      </c>
      <c r="W3963" s="2">
        <v>36.1</v>
      </c>
      <c r="X3963" s="2">
        <v>0</v>
      </c>
      <c r="Y3963" s="2" t="s">
        <v>751</v>
      </c>
      <c r="Z3963" s="2" t="s">
        <v>26337</v>
      </c>
      <c r="AA3963" s="2">
        <v>-3.7650194688713099</v>
      </c>
      <c r="AB3963" s="2">
        <v>0.177194363543868</v>
      </c>
      <c r="AC3963" s="2">
        <v>17292.817099545398</v>
      </c>
      <c r="AD3963" s="2">
        <v>19859.997559940999</v>
      </c>
      <c r="AE3963" s="2">
        <v>17249.042789908301</v>
      </c>
      <c r="AF3963" s="2">
        <v>16226.2071971238</v>
      </c>
      <c r="AG3963" s="2">
        <v>17122.013207178701</v>
      </c>
      <c r="AH3963" s="2">
        <v>17846.886763172199</v>
      </c>
      <c r="AI3963" s="2">
        <v>17838.737105460801</v>
      </c>
      <c r="AJ3963" s="2">
        <v>17474.015534428301</v>
      </c>
      <c r="AK3963" s="2">
        <v>20890.9353472045</v>
      </c>
      <c r="AL3963" s="2">
        <v>21310.016388192402</v>
      </c>
      <c r="AM3963" s="2">
        <v>18925.838261173001</v>
      </c>
      <c r="AN3963" s="2">
        <v>17834.988359649298</v>
      </c>
      <c r="AO3963" s="2">
        <v>20691.7306249455</v>
      </c>
      <c r="AP3963" s="2">
        <v>19506.4763784813</v>
      </c>
    </row>
    <row r="3964" spans="1:42" ht="14.5" x14ac:dyDescent="0.35">
      <c r="A3964" s="2" t="s">
        <v>26338</v>
      </c>
      <c r="B3964" s="2">
        <v>243.122598003702</v>
      </c>
      <c r="C3964" s="2">
        <v>3.9315333333333302</v>
      </c>
      <c r="D3964" s="2" t="s">
        <v>34</v>
      </c>
      <c r="E3964" s="2" t="s">
        <v>26339</v>
      </c>
      <c r="F3964" s="2">
        <v>205889</v>
      </c>
      <c r="G3964" s="3" t="str">
        <f>HYPERLINK("http://funmeta.oebiotech.com/network/205889", "http://funmeta.oebiotech.com/network/205889")</f>
        <v>http://funmeta.oebiotech.com/network/205889</v>
      </c>
      <c r="H3964" s="2" t="s">
        <v>26340</v>
      </c>
      <c r="I3964" s="2"/>
      <c r="J3964" s="2"/>
      <c r="K3964" s="2"/>
      <c r="L3964" s="2"/>
      <c r="M3964" s="2"/>
      <c r="N3964" s="2"/>
      <c r="O3964" s="2">
        <v>16891</v>
      </c>
      <c r="P3964" s="2"/>
      <c r="Q3964" s="2" t="s">
        <v>26341</v>
      </c>
      <c r="R3964" s="2" t="s">
        <v>26342</v>
      </c>
      <c r="S3964" s="2" t="s">
        <v>89</v>
      </c>
      <c r="T3964" s="2" t="s">
        <v>90</v>
      </c>
      <c r="U3964" s="2" t="s">
        <v>22612</v>
      </c>
      <c r="V3964" s="2" t="s">
        <v>59</v>
      </c>
      <c r="W3964" s="2">
        <v>39.9</v>
      </c>
      <c r="X3964" s="2">
        <v>4.0999999999999996</v>
      </c>
      <c r="Y3964" s="2" t="s">
        <v>394</v>
      </c>
      <c r="Z3964" s="2" t="s">
        <v>26343</v>
      </c>
      <c r="AA3964" s="2">
        <v>-0.42171356376057501</v>
      </c>
      <c r="AB3964" s="2">
        <v>0.177076499879986</v>
      </c>
      <c r="AC3964" s="2">
        <v>15955.4115132436</v>
      </c>
      <c r="AD3964" s="2">
        <v>18800.956341876899</v>
      </c>
      <c r="AE3964" s="2">
        <v>15766.557238085999</v>
      </c>
      <c r="AF3964" s="2">
        <v>16012.9931835806</v>
      </c>
      <c r="AG3964" s="2">
        <v>18239.803965220301</v>
      </c>
      <c r="AH3964" s="2">
        <v>14710.2902346105</v>
      </c>
      <c r="AI3964" s="2">
        <v>13841.267609754999</v>
      </c>
      <c r="AJ3964" s="2">
        <v>17161.5568482091</v>
      </c>
      <c r="AK3964" s="2">
        <v>17353.8415947176</v>
      </c>
      <c r="AL3964" s="2">
        <v>20958.229978787698</v>
      </c>
      <c r="AM3964" s="2">
        <v>18810.523819495302</v>
      </c>
      <c r="AN3964" s="2">
        <v>18988.435554941902</v>
      </c>
      <c r="AO3964" s="2">
        <v>17686.841684727598</v>
      </c>
      <c r="AP3964" s="2">
        <v>19007.8654185911</v>
      </c>
    </row>
    <row r="3965" spans="1:42" ht="14.5" x14ac:dyDescent="0.35">
      <c r="A3965" s="2" t="s">
        <v>26344</v>
      </c>
      <c r="B3965" s="2">
        <v>240.159179732772</v>
      </c>
      <c r="C3965" s="2">
        <v>4.9308666666666703</v>
      </c>
      <c r="D3965" s="2" t="s">
        <v>34</v>
      </c>
      <c r="E3965" s="2" t="s">
        <v>26345</v>
      </c>
      <c r="F3965" s="2">
        <v>47727</v>
      </c>
      <c r="G3965" s="3" t="str">
        <f>HYPERLINK("http://funmeta.oebiotech.com/network/47727", "http://funmeta.oebiotech.com/network/47727")</f>
        <v>http://funmeta.oebiotech.com/network/47727</v>
      </c>
      <c r="H3965" s="2" t="s">
        <v>26346</v>
      </c>
      <c r="I3965" s="2">
        <v>799</v>
      </c>
      <c r="J3965" s="2"/>
      <c r="K3965" s="2">
        <v>2549</v>
      </c>
      <c r="L3965" s="2" t="s">
        <v>26347</v>
      </c>
      <c r="M3965" s="2"/>
      <c r="N3965" s="2"/>
      <c r="O3965" s="2">
        <v>2083</v>
      </c>
      <c r="P3965" s="2" t="s">
        <v>26348</v>
      </c>
      <c r="Q3965" s="2" t="s">
        <v>26349</v>
      </c>
      <c r="R3965" s="2" t="s">
        <v>26350</v>
      </c>
      <c r="S3965" s="2" t="s">
        <v>148</v>
      </c>
      <c r="T3965" s="2" t="s">
        <v>149</v>
      </c>
      <c r="U3965" s="2" t="s">
        <v>26351</v>
      </c>
      <c r="V3965" s="2" t="s">
        <v>59</v>
      </c>
      <c r="W3965" s="2">
        <v>37.799999999999997</v>
      </c>
      <c r="X3965" s="2">
        <v>0</v>
      </c>
      <c r="Y3965" s="2" t="s">
        <v>266</v>
      </c>
      <c r="Z3965" s="2" t="s">
        <v>26352</v>
      </c>
      <c r="AA3965" s="2">
        <v>-1.0045328218702501</v>
      </c>
      <c r="AB3965" s="2">
        <v>0.17695209927549499</v>
      </c>
      <c r="AC3965" s="2">
        <v>6277.7659162457703</v>
      </c>
      <c r="AD3965" s="2">
        <v>4092.5129912965499</v>
      </c>
      <c r="AE3965" s="2">
        <v>6954.5741705544397</v>
      </c>
      <c r="AF3965" s="2">
        <v>6293.68149665283</v>
      </c>
      <c r="AG3965" s="2">
        <v>6184.9371215975898</v>
      </c>
      <c r="AH3965" s="2">
        <v>5713.8093457269197</v>
      </c>
      <c r="AI3965" s="2">
        <v>5870.4910902623897</v>
      </c>
      <c r="AJ3965" s="2">
        <v>6649.1022726804404</v>
      </c>
      <c r="AK3965" s="2">
        <v>4528.7731282000104</v>
      </c>
      <c r="AL3965" s="2">
        <v>3809.8480481122301</v>
      </c>
      <c r="AM3965" s="2">
        <v>4681.9924677864101</v>
      </c>
      <c r="AN3965" s="2">
        <v>4047.8784346095299</v>
      </c>
      <c r="AO3965" s="2">
        <v>3758.6113983714499</v>
      </c>
      <c r="AP3965" s="2">
        <v>3727.9744706996898</v>
      </c>
    </row>
    <row r="3966" spans="1:42" ht="14.5" x14ac:dyDescent="0.35">
      <c r="A3966" s="2" t="s">
        <v>26353</v>
      </c>
      <c r="B3966" s="2">
        <v>403.12261227745199</v>
      </c>
      <c r="C3966" s="2">
        <v>2.3296000000000001</v>
      </c>
      <c r="D3966" s="2" t="s">
        <v>70</v>
      </c>
      <c r="E3966" s="2" t="s">
        <v>26354</v>
      </c>
      <c r="F3966" s="2">
        <v>534678</v>
      </c>
      <c r="G3966" s="3" t="str">
        <f>HYPERLINK("http://funmeta.oebiotech.com/network/534678", "http://funmeta.oebiotech.com/network/534678")</f>
        <v>http://funmeta.oebiotech.com/network/534678</v>
      </c>
      <c r="H3966" s="2"/>
      <c r="I3966" s="2">
        <v>985011</v>
      </c>
      <c r="J3966" s="2"/>
      <c r="K3966" s="2"/>
      <c r="L3966" s="2"/>
      <c r="M3966" s="2"/>
      <c r="N3966" s="2"/>
      <c r="O3966" s="2">
        <v>179396</v>
      </c>
      <c r="P3966" s="2"/>
      <c r="Q3966" s="2" t="s">
        <v>26355</v>
      </c>
      <c r="R3966" s="2" t="s">
        <v>26356</v>
      </c>
      <c r="S3966" s="2" t="s">
        <v>50</v>
      </c>
      <c r="T3966" s="2" t="s">
        <v>201</v>
      </c>
      <c r="U3966" s="2" t="s">
        <v>202</v>
      </c>
      <c r="V3966" s="2" t="s">
        <v>59</v>
      </c>
      <c r="W3966" s="2">
        <v>37.6</v>
      </c>
      <c r="X3966" s="2">
        <v>0</v>
      </c>
      <c r="Y3966" s="2" t="s">
        <v>118</v>
      </c>
      <c r="Z3966" s="2" t="s">
        <v>24977</v>
      </c>
      <c r="AA3966" s="2">
        <v>-4.8817615616118601</v>
      </c>
      <c r="AB3966" s="2">
        <v>0.176789674617197</v>
      </c>
      <c r="AC3966" s="2">
        <v>22671.272597106301</v>
      </c>
      <c r="AD3966" s="2">
        <v>25083.635661362699</v>
      </c>
      <c r="AE3966" s="2">
        <v>23552.183853978499</v>
      </c>
      <c r="AF3966" s="2">
        <v>22143.681660272301</v>
      </c>
      <c r="AG3966" s="2">
        <v>23198.583078114199</v>
      </c>
      <c r="AH3966" s="2">
        <v>23302.208278091101</v>
      </c>
      <c r="AI3966" s="2">
        <v>22320.717891155698</v>
      </c>
      <c r="AJ3966" s="2">
        <v>21510.260821025899</v>
      </c>
      <c r="AK3966" s="2">
        <v>24655.832193400802</v>
      </c>
      <c r="AL3966" s="2">
        <v>24745.193235742201</v>
      </c>
      <c r="AM3966" s="2">
        <v>25101.485467455699</v>
      </c>
      <c r="AN3966" s="2">
        <v>25819.380693721901</v>
      </c>
      <c r="AO3966" s="2">
        <v>23950.1840046016</v>
      </c>
      <c r="AP3966" s="2">
        <v>26229.738373253898</v>
      </c>
    </row>
    <row r="3967" spans="1:42" ht="14.5" x14ac:dyDescent="0.35">
      <c r="A3967" s="2" t="s">
        <v>26357</v>
      </c>
      <c r="B3967" s="2">
        <v>823.14408764581901</v>
      </c>
      <c r="C3967" s="2">
        <v>1.69431666666667</v>
      </c>
      <c r="D3967" s="2" t="s">
        <v>70</v>
      </c>
      <c r="E3967" s="2" t="s">
        <v>26358</v>
      </c>
      <c r="F3967" s="2">
        <v>207298</v>
      </c>
      <c r="G3967" s="3" t="str">
        <f>HYPERLINK("http://funmeta.oebiotech.com/network/207298", "http://funmeta.oebiotech.com/network/207298")</f>
        <v>http://funmeta.oebiotech.com/network/207298</v>
      </c>
      <c r="H3967" s="2" t="s">
        <v>26359</v>
      </c>
      <c r="I3967" s="2"/>
      <c r="J3967" s="2"/>
      <c r="K3967" s="2"/>
      <c r="L3967" s="2"/>
      <c r="M3967" s="2"/>
      <c r="N3967" s="2"/>
      <c r="O3967" s="2">
        <v>10070301</v>
      </c>
      <c r="P3967" s="2"/>
      <c r="Q3967" s="2" t="s">
        <v>26360</v>
      </c>
      <c r="R3967" s="2" t="s">
        <v>26361</v>
      </c>
      <c r="S3967" s="2" t="s">
        <v>148</v>
      </c>
      <c r="T3967" s="2" t="s">
        <v>149</v>
      </c>
      <c r="U3967" s="2" t="s">
        <v>17602</v>
      </c>
      <c r="V3967" s="2" t="s">
        <v>59</v>
      </c>
      <c r="W3967" s="2">
        <v>36</v>
      </c>
      <c r="X3967" s="2">
        <v>0</v>
      </c>
      <c r="Y3967" s="2" t="s">
        <v>560</v>
      </c>
      <c r="Z3967" s="2" t="s">
        <v>26362</v>
      </c>
      <c r="AA3967" s="2">
        <v>1.6815396171841199</v>
      </c>
      <c r="AB3967" s="2">
        <v>0.176585158587163</v>
      </c>
      <c r="AC3967" s="2">
        <v>3804.0850630350601</v>
      </c>
      <c r="AD3967" s="2">
        <v>6135.6883384745797</v>
      </c>
      <c r="AE3967" s="2">
        <v>4384.2257872475602</v>
      </c>
      <c r="AF3967" s="2">
        <v>3664.3085360867199</v>
      </c>
      <c r="AG3967" s="2">
        <v>3816.3194860578701</v>
      </c>
      <c r="AH3967" s="2">
        <v>3255.85007170165</v>
      </c>
      <c r="AI3967" s="2">
        <v>3514.2956175448899</v>
      </c>
      <c r="AJ3967" s="2">
        <v>4189.5108795716897</v>
      </c>
      <c r="AK3967" s="2">
        <v>5647.9344344130996</v>
      </c>
      <c r="AL3967" s="2">
        <v>5397.5856273712998</v>
      </c>
      <c r="AM3967" s="2">
        <v>5476.7516459075996</v>
      </c>
      <c r="AN3967" s="2">
        <v>7259.0999982646999</v>
      </c>
      <c r="AO3967" s="2">
        <v>7321.5436164784396</v>
      </c>
      <c r="AP3967" s="2">
        <v>5711.2147084123299</v>
      </c>
    </row>
    <row r="3968" spans="1:42" ht="14.5" x14ac:dyDescent="0.35">
      <c r="A3968" s="2" t="s">
        <v>26363</v>
      </c>
      <c r="B3968" s="2">
        <v>358.12962491135198</v>
      </c>
      <c r="C3968" s="2">
        <v>3.9884499999999998</v>
      </c>
      <c r="D3968" s="2" t="s">
        <v>70</v>
      </c>
      <c r="E3968" s="2" t="s">
        <v>26364</v>
      </c>
      <c r="F3968" s="2">
        <v>209896</v>
      </c>
      <c r="G3968" s="3" t="str">
        <f>HYPERLINK("http://funmeta.oebiotech.com/network/209896", "http://funmeta.oebiotech.com/network/209896")</f>
        <v>http://funmeta.oebiotech.com/network/209896</v>
      </c>
      <c r="H3968" s="2" t="s">
        <v>26365</v>
      </c>
      <c r="I3968" s="2"/>
      <c r="J3968" s="2"/>
      <c r="K3968" s="2"/>
      <c r="L3968" s="2"/>
      <c r="M3968" s="2"/>
      <c r="N3968" s="2"/>
      <c r="O3968" s="2"/>
      <c r="P3968" s="2"/>
      <c r="Q3968" s="2" t="s">
        <v>26366</v>
      </c>
      <c r="R3968" s="2" t="s">
        <v>26367</v>
      </c>
      <c r="S3968" s="2" t="s">
        <v>41</v>
      </c>
      <c r="T3968" s="2" t="s">
        <v>41</v>
      </c>
      <c r="U3968" s="2" t="s">
        <v>41</v>
      </c>
      <c r="V3968" s="2" t="s">
        <v>59</v>
      </c>
      <c r="W3968" s="2">
        <v>39.5</v>
      </c>
      <c r="X3968" s="2">
        <v>40.1</v>
      </c>
      <c r="Y3968" s="2" t="s">
        <v>118</v>
      </c>
      <c r="Z3968" s="2" t="s">
        <v>26368</v>
      </c>
      <c r="AA3968" s="2">
        <v>3.8836783773192003E-2</v>
      </c>
      <c r="AB3968" s="2">
        <v>0.17652464374716001</v>
      </c>
      <c r="AC3968" s="2">
        <v>41861.289104304502</v>
      </c>
      <c r="AD3968" s="2">
        <v>37883.2220199234</v>
      </c>
      <c r="AE3968" s="2">
        <v>40667.3251168114</v>
      </c>
      <c r="AF3968" s="2">
        <v>40942.153895374402</v>
      </c>
      <c r="AG3968" s="2">
        <v>45516.991697017402</v>
      </c>
      <c r="AH3968" s="2">
        <v>40660.569195490098</v>
      </c>
      <c r="AI3968" s="2">
        <v>37016.564113727698</v>
      </c>
      <c r="AJ3968" s="2">
        <v>46364.130607406099</v>
      </c>
      <c r="AK3968" s="2">
        <v>32693.188533292599</v>
      </c>
      <c r="AL3968" s="2">
        <v>35688.167585204901</v>
      </c>
      <c r="AM3968" s="2">
        <v>41276.9347839619</v>
      </c>
      <c r="AN3968" s="2">
        <v>43167.252869884702</v>
      </c>
      <c r="AO3968" s="2">
        <v>37851.817720465602</v>
      </c>
      <c r="AP3968" s="2">
        <v>36621.970626730697</v>
      </c>
    </row>
    <row r="3969" spans="1:42" ht="14.5" x14ac:dyDescent="0.35">
      <c r="A3969" s="2" t="s">
        <v>26369</v>
      </c>
      <c r="B3969" s="2">
        <v>457.13168380273402</v>
      </c>
      <c r="C3969" s="2">
        <v>3.6251333333333302</v>
      </c>
      <c r="D3969" s="2" t="s">
        <v>34</v>
      </c>
      <c r="E3969" s="2" t="s">
        <v>26370</v>
      </c>
      <c r="F3969" s="2">
        <v>81990</v>
      </c>
      <c r="G3969" s="3" t="str">
        <f>HYPERLINK("http://funmeta.oebiotech.com/network/81990", "http://funmeta.oebiotech.com/network/81990")</f>
        <v>http://funmeta.oebiotech.com/network/81990</v>
      </c>
      <c r="H3969" s="2" t="s">
        <v>26371</v>
      </c>
      <c r="I3969" s="2"/>
      <c r="J3969" s="2"/>
      <c r="K3969" s="2">
        <v>88689</v>
      </c>
      <c r="L3969" s="2"/>
      <c r="M3969" s="2"/>
      <c r="N3969" s="2"/>
      <c r="O3969" s="2">
        <v>124202071</v>
      </c>
      <c r="P3969" s="2"/>
      <c r="Q3969" s="2" t="s">
        <v>26372</v>
      </c>
      <c r="R3969" s="2" t="s">
        <v>26373</v>
      </c>
      <c r="S3969" s="2" t="s">
        <v>79</v>
      </c>
      <c r="T3969" s="2" t="s">
        <v>80</v>
      </c>
      <c r="U3969" s="2" t="s">
        <v>81</v>
      </c>
      <c r="V3969" s="2" t="s">
        <v>59</v>
      </c>
      <c r="W3969" s="2">
        <v>40.1</v>
      </c>
      <c r="X3969" s="2">
        <v>5.7</v>
      </c>
      <c r="Y3969" s="2" t="s">
        <v>323</v>
      </c>
      <c r="Z3969" s="2" t="s">
        <v>26374</v>
      </c>
      <c r="AA3969" s="2">
        <v>8.4889639843284001E-2</v>
      </c>
      <c r="AB3969" s="2">
        <v>0.176520763563457</v>
      </c>
      <c r="AC3969" s="2">
        <v>33764.795748472003</v>
      </c>
      <c r="AD3969" s="2">
        <v>36700.423713951699</v>
      </c>
      <c r="AE3969" s="2">
        <v>35426.274088739301</v>
      </c>
      <c r="AF3969" s="2">
        <v>30552.7651752944</v>
      </c>
      <c r="AG3969" s="2">
        <v>34749.370187710301</v>
      </c>
      <c r="AH3969" s="2">
        <v>33349.8192482948</v>
      </c>
      <c r="AI3969" s="2">
        <v>34165.530847469803</v>
      </c>
      <c r="AJ3969" s="2">
        <v>34345.014943323098</v>
      </c>
      <c r="AK3969" s="2">
        <v>34623.643469586699</v>
      </c>
      <c r="AL3969" s="2">
        <v>35445.642411327899</v>
      </c>
      <c r="AM3969" s="2">
        <v>35966.6580097197</v>
      </c>
      <c r="AN3969" s="2">
        <v>39141.964854031103</v>
      </c>
      <c r="AO3969" s="2">
        <v>37568.549681240002</v>
      </c>
      <c r="AP3969" s="2">
        <v>37456.083857804799</v>
      </c>
    </row>
    <row r="3970" spans="1:42" ht="14.5" x14ac:dyDescent="0.35">
      <c r="A3970" s="2" t="s">
        <v>26375</v>
      </c>
      <c r="B3970" s="2">
        <v>417.152834981806</v>
      </c>
      <c r="C3970" s="2">
        <v>4.4179500000000003</v>
      </c>
      <c r="D3970" s="2" t="s">
        <v>70</v>
      </c>
      <c r="E3970" s="2" t="s">
        <v>26376</v>
      </c>
      <c r="F3970" s="2">
        <v>82289</v>
      </c>
      <c r="G3970" s="3" t="str">
        <f>HYPERLINK("http://funmeta.oebiotech.com/network/82289", "http://funmeta.oebiotech.com/network/82289")</f>
        <v>http://funmeta.oebiotech.com/network/82289</v>
      </c>
      <c r="H3970" s="2" t="s">
        <v>26377</v>
      </c>
      <c r="I3970" s="2">
        <v>71196</v>
      </c>
      <c r="J3970" s="2"/>
      <c r="K3970" s="2">
        <v>20302</v>
      </c>
      <c r="L3970" s="2" t="s">
        <v>26378</v>
      </c>
      <c r="M3970" s="2" t="s">
        <v>21036</v>
      </c>
      <c r="N3970" s="2" t="s">
        <v>21037</v>
      </c>
      <c r="O3970" s="2">
        <v>9543177</v>
      </c>
      <c r="P3970" s="2"/>
      <c r="Q3970" s="2" t="s">
        <v>26379</v>
      </c>
      <c r="R3970" s="2" t="s">
        <v>26380</v>
      </c>
      <c r="S3970" s="2" t="s">
        <v>148</v>
      </c>
      <c r="T3970" s="2" t="s">
        <v>149</v>
      </c>
      <c r="U3970" s="2" t="s">
        <v>4630</v>
      </c>
      <c r="V3970" s="2" t="s">
        <v>59</v>
      </c>
      <c r="W3970" s="2">
        <v>38.6</v>
      </c>
      <c r="X3970" s="2">
        <v>0</v>
      </c>
      <c r="Y3970" s="2" t="s">
        <v>560</v>
      </c>
      <c r="Z3970" s="2" t="s">
        <v>26381</v>
      </c>
      <c r="AA3970" s="2">
        <v>6.9260809680994295E-2</v>
      </c>
      <c r="AB3970" s="2">
        <v>0.176508645135873</v>
      </c>
      <c r="AC3970" s="2">
        <v>7875.0033986460703</v>
      </c>
      <c r="AD3970" s="2">
        <v>5300.3186278144904</v>
      </c>
      <c r="AE3970" s="2">
        <v>7816.9648465779601</v>
      </c>
      <c r="AF3970" s="2">
        <v>6804.8666806791098</v>
      </c>
      <c r="AG3970" s="2">
        <v>8171.4237991096097</v>
      </c>
      <c r="AH3970" s="2">
        <v>8515.5169256194204</v>
      </c>
      <c r="AI3970" s="2">
        <v>7591.7913650534201</v>
      </c>
      <c r="AJ3970" s="2">
        <v>8349.45677483689</v>
      </c>
      <c r="AK3970" s="2">
        <v>5228.3212279167301</v>
      </c>
      <c r="AL3970" s="2">
        <v>7047.8106093554297</v>
      </c>
      <c r="AM3970" s="2">
        <v>6559.2306053484899</v>
      </c>
      <c r="AN3970" s="2">
        <v>3426.5425215254299</v>
      </c>
      <c r="AO3970" s="2">
        <v>3943.53864988537</v>
      </c>
      <c r="AP3970" s="2">
        <v>5596.4681528554702</v>
      </c>
    </row>
    <row r="3971" spans="1:42" ht="14.5" x14ac:dyDescent="0.35">
      <c r="A3971" s="2" t="s">
        <v>26382</v>
      </c>
      <c r="B3971" s="2">
        <v>347.11462277042</v>
      </c>
      <c r="C3971" s="2">
        <v>6.8767666666666702</v>
      </c>
      <c r="D3971" s="2" t="s">
        <v>70</v>
      </c>
      <c r="E3971" s="2" t="s">
        <v>26383</v>
      </c>
      <c r="F3971" s="2">
        <v>58729</v>
      </c>
      <c r="G3971" s="3" t="str">
        <f>HYPERLINK("http://funmeta.oebiotech.com/network/58729", "http://funmeta.oebiotech.com/network/58729")</f>
        <v>http://funmeta.oebiotech.com/network/58729</v>
      </c>
      <c r="H3971" s="2" t="s">
        <v>26384</v>
      </c>
      <c r="I3971" s="2">
        <v>90178</v>
      </c>
      <c r="J3971" s="2"/>
      <c r="K3971" s="2">
        <v>169659</v>
      </c>
      <c r="L3971" s="2"/>
      <c r="M3971" s="2"/>
      <c r="N3971" s="2"/>
      <c r="O3971" s="2">
        <v>131751617</v>
      </c>
      <c r="P3971" s="2" t="s">
        <v>26385</v>
      </c>
      <c r="Q3971" s="2" t="s">
        <v>26386</v>
      </c>
      <c r="R3971" s="2" t="s">
        <v>26387</v>
      </c>
      <c r="S3971" s="2" t="s">
        <v>79</v>
      </c>
      <c r="T3971" s="2" t="s">
        <v>80</v>
      </c>
      <c r="U3971" s="2" t="s">
        <v>81</v>
      </c>
      <c r="V3971" s="2" t="s">
        <v>59</v>
      </c>
      <c r="W3971" s="2">
        <v>41.2</v>
      </c>
      <c r="X3971" s="2">
        <v>15.1</v>
      </c>
      <c r="Y3971" s="2" t="s">
        <v>751</v>
      </c>
      <c r="Z3971" s="2" t="s">
        <v>26388</v>
      </c>
      <c r="AA3971" s="2">
        <v>2.7209581485286498</v>
      </c>
      <c r="AB3971" s="2">
        <v>0.17650524000364901</v>
      </c>
      <c r="AC3971" s="2">
        <v>2082.3681469293301</v>
      </c>
      <c r="AD3971" s="2">
        <v>2.7106294003980101E-5</v>
      </c>
      <c r="AE3971" s="2">
        <v>2426.5763770939702</v>
      </c>
      <c r="AF3971" s="2">
        <v>2148.0971042020101</v>
      </c>
      <c r="AG3971" s="2">
        <v>1770.4894865666099</v>
      </c>
      <c r="AH3971" s="2">
        <v>2368.9344126232299</v>
      </c>
      <c r="AI3971" s="2">
        <v>1583.04831669853</v>
      </c>
      <c r="AJ3971" s="2">
        <v>2197.0631843916499</v>
      </c>
      <c r="AK3971" s="2">
        <v>2.7106294003980101E-5</v>
      </c>
      <c r="AL3971" s="2">
        <v>2.7106294003980101E-5</v>
      </c>
      <c r="AM3971" s="2">
        <v>2.7106294003980101E-5</v>
      </c>
      <c r="AN3971" s="2">
        <v>2.7106294003980101E-5</v>
      </c>
      <c r="AO3971" s="2">
        <v>2.7106294003980101E-5</v>
      </c>
      <c r="AP3971" s="2">
        <v>2.7106294003980101E-5</v>
      </c>
    </row>
    <row r="3972" spans="1:42" ht="14.5" x14ac:dyDescent="0.35">
      <c r="A3972" s="2" t="s">
        <v>26389</v>
      </c>
      <c r="B3972" s="2">
        <v>527.21310772617505</v>
      </c>
      <c r="C3972" s="2">
        <v>5.2266333333333304</v>
      </c>
      <c r="D3972" s="2" t="s">
        <v>70</v>
      </c>
      <c r="E3972" s="2" t="s">
        <v>26390</v>
      </c>
      <c r="F3972" s="2">
        <v>63790</v>
      </c>
      <c r="G3972" s="3" t="str">
        <f>HYPERLINK("http://funmeta.oebiotech.com/network/63790", "http://funmeta.oebiotech.com/network/63790")</f>
        <v>http://funmeta.oebiotech.com/network/63790</v>
      </c>
      <c r="H3972" s="2" t="s">
        <v>26391</v>
      </c>
      <c r="I3972" s="2"/>
      <c r="J3972" s="2"/>
      <c r="K3972" s="2"/>
      <c r="L3972" s="2"/>
      <c r="M3972" s="2"/>
      <c r="N3972" s="2"/>
      <c r="O3972" s="2">
        <v>10324645</v>
      </c>
      <c r="P3972" s="2" t="s">
        <v>26392</v>
      </c>
      <c r="Q3972" s="2" t="s">
        <v>26393</v>
      </c>
      <c r="R3972" s="2" t="s">
        <v>26394</v>
      </c>
      <c r="S3972" s="2" t="s">
        <v>50</v>
      </c>
      <c r="T3972" s="2" t="s">
        <v>201</v>
      </c>
      <c r="U3972" s="2" t="s">
        <v>202</v>
      </c>
      <c r="V3972" s="2" t="s">
        <v>59</v>
      </c>
      <c r="W3972" s="2">
        <v>44.3</v>
      </c>
      <c r="X3972" s="2">
        <v>29.8</v>
      </c>
      <c r="Y3972" s="2" t="s">
        <v>118</v>
      </c>
      <c r="Z3972" s="2" t="s">
        <v>26395</v>
      </c>
      <c r="AA3972" s="2">
        <v>-0.55361533083185499</v>
      </c>
      <c r="AB3972" s="2">
        <v>0.17630730866372701</v>
      </c>
      <c r="AC3972" s="2">
        <v>43344.849855443201</v>
      </c>
      <c r="AD3972" s="2">
        <v>39080.094032911002</v>
      </c>
      <c r="AE3972" s="2">
        <v>49603.843829555801</v>
      </c>
      <c r="AF3972" s="2">
        <v>44627.785639711197</v>
      </c>
      <c r="AG3972" s="2">
        <v>44336.581994760898</v>
      </c>
      <c r="AH3972" s="2">
        <v>34694.717949449798</v>
      </c>
      <c r="AI3972" s="2">
        <v>40327.256569837496</v>
      </c>
      <c r="AJ3972" s="2">
        <v>46478.913149344</v>
      </c>
      <c r="AK3972" s="2">
        <v>39614.066247673603</v>
      </c>
      <c r="AL3972" s="2">
        <v>35336.092295639297</v>
      </c>
      <c r="AM3972" s="2">
        <v>38725.081973237102</v>
      </c>
      <c r="AN3972" s="2">
        <v>44438.262247671701</v>
      </c>
      <c r="AO3972" s="2">
        <v>36306.3261644554</v>
      </c>
      <c r="AP3972" s="2">
        <v>40060.735268789103</v>
      </c>
    </row>
    <row r="3973" spans="1:42" ht="14.5" x14ac:dyDescent="0.35">
      <c r="A3973" s="2" t="s">
        <v>26396</v>
      </c>
      <c r="B3973" s="2">
        <v>219.174292246324</v>
      </c>
      <c r="C3973" s="2">
        <v>9.8048666666666708</v>
      </c>
      <c r="D3973" s="2" t="s">
        <v>34</v>
      </c>
      <c r="E3973" s="2" t="s">
        <v>26397</v>
      </c>
      <c r="F3973" s="2">
        <v>55635</v>
      </c>
      <c r="G3973" s="3" t="str">
        <f>HYPERLINK("http://funmeta.oebiotech.com/network/55635", "http://funmeta.oebiotech.com/network/55635")</f>
        <v>http://funmeta.oebiotech.com/network/55635</v>
      </c>
      <c r="H3973" s="2" t="s">
        <v>26398</v>
      </c>
      <c r="I3973" s="2"/>
      <c r="J3973" s="2"/>
      <c r="K3973" s="2">
        <v>138759</v>
      </c>
      <c r="L3973" s="2"/>
      <c r="M3973" s="2"/>
      <c r="N3973" s="2"/>
      <c r="O3973" s="2">
        <v>85213626</v>
      </c>
      <c r="P3973" s="2" t="s">
        <v>26399</v>
      </c>
      <c r="Q3973" s="2" t="s">
        <v>26400</v>
      </c>
      <c r="R3973" s="2" t="s">
        <v>26401</v>
      </c>
      <c r="S3973" s="2" t="s">
        <v>79</v>
      </c>
      <c r="T3973" s="2" t="s">
        <v>80</v>
      </c>
      <c r="U3973" s="2" t="s">
        <v>2820</v>
      </c>
      <c r="V3973" s="2" t="s">
        <v>42</v>
      </c>
      <c r="W3973" s="2">
        <v>53.3</v>
      </c>
      <c r="X3973" s="2">
        <v>73.3</v>
      </c>
      <c r="Y3973" s="2" t="s">
        <v>141</v>
      </c>
      <c r="Z3973" s="2" t="s">
        <v>26402</v>
      </c>
      <c r="AA3973" s="2">
        <v>-0.209640838819524</v>
      </c>
      <c r="AB3973" s="2">
        <v>0.17630085701784501</v>
      </c>
      <c r="AC3973" s="2">
        <v>130872.641498791</v>
      </c>
      <c r="AD3973" s="2">
        <v>125584.445967547</v>
      </c>
      <c r="AE3973" s="2">
        <v>127651.67256634</v>
      </c>
      <c r="AF3973" s="2">
        <v>129365.631669895</v>
      </c>
      <c r="AG3973" s="2">
        <v>137419.43107829301</v>
      </c>
      <c r="AH3973" s="2">
        <v>140505.193182357</v>
      </c>
      <c r="AI3973" s="2">
        <v>132316.400098263</v>
      </c>
      <c r="AJ3973" s="2">
        <v>117977.520397596</v>
      </c>
      <c r="AK3973" s="2">
        <v>133206.014351897</v>
      </c>
      <c r="AL3973" s="2">
        <v>130327.80466301</v>
      </c>
      <c r="AM3973" s="2">
        <v>123968.71857872</v>
      </c>
      <c r="AN3973" s="2">
        <v>120055.24348038599</v>
      </c>
      <c r="AO3973" s="2">
        <v>127716.83024784199</v>
      </c>
      <c r="AP3973" s="2">
        <v>118232.064483426</v>
      </c>
    </row>
    <row r="3974" spans="1:42" ht="14.5" x14ac:dyDescent="0.35">
      <c r="A3974" s="2" t="s">
        <v>26403</v>
      </c>
      <c r="B3974" s="2">
        <v>459.20028652994802</v>
      </c>
      <c r="C3974" s="2">
        <v>5.84148333333333</v>
      </c>
      <c r="D3974" s="2" t="s">
        <v>70</v>
      </c>
      <c r="E3974" s="2" t="s">
        <v>26404</v>
      </c>
      <c r="F3974" s="2">
        <v>200184</v>
      </c>
      <c r="G3974" s="3" t="str">
        <f>HYPERLINK("http://funmeta.oebiotech.com/network/200184", "http://funmeta.oebiotech.com/network/200184")</f>
        <v>http://funmeta.oebiotech.com/network/200184</v>
      </c>
      <c r="H3974" s="2" t="s">
        <v>26405</v>
      </c>
      <c r="I3974" s="2">
        <v>434251</v>
      </c>
      <c r="J3974" s="2"/>
      <c r="K3974" s="2">
        <v>83536</v>
      </c>
      <c r="L3974" s="2"/>
      <c r="M3974" s="2"/>
      <c r="N3974" s="2"/>
      <c r="O3974" s="2">
        <v>4296</v>
      </c>
      <c r="P3974" s="2"/>
      <c r="Q3974" s="2" t="s">
        <v>26406</v>
      </c>
      <c r="R3974" s="2" t="s">
        <v>26407</v>
      </c>
      <c r="S3974" s="2" t="s">
        <v>491</v>
      </c>
      <c r="T3974" s="2" t="s">
        <v>5190</v>
      </c>
      <c r="U3974" s="2" t="s">
        <v>5191</v>
      </c>
      <c r="V3974" s="2" t="s">
        <v>59</v>
      </c>
      <c r="W3974" s="2">
        <v>38.799999999999997</v>
      </c>
      <c r="X3974" s="2">
        <v>0</v>
      </c>
      <c r="Y3974" s="2" t="s">
        <v>560</v>
      </c>
      <c r="Z3974" s="2" t="s">
        <v>26408</v>
      </c>
      <c r="AA3974" s="2">
        <v>3.0351373601696401</v>
      </c>
      <c r="AB3974" s="2">
        <v>0.17624078187516901</v>
      </c>
      <c r="AC3974" s="2">
        <v>6284.1023692872404</v>
      </c>
      <c r="AD3974" s="2">
        <v>8524.3044451933292</v>
      </c>
      <c r="AE3974" s="2">
        <v>6574.7729578506496</v>
      </c>
      <c r="AF3974" s="2">
        <v>6569.0920171418102</v>
      </c>
      <c r="AG3974" s="2">
        <v>6301.46117512408</v>
      </c>
      <c r="AH3974" s="2">
        <v>5068.2401221502296</v>
      </c>
      <c r="AI3974" s="2">
        <v>6454.3088604615996</v>
      </c>
      <c r="AJ3974" s="2">
        <v>6736.73908299508</v>
      </c>
      <c r="AK3974" s="2">
        <v>8242.7570284788908</v>
      </c>
      <c r="AL3974" s="2">
        <v>7873.0722613306598</v>
      </c>
      <c r="AM3974" s="2">
        <v>9325.5754814713291</v>
      </c>
      <c r="AN3974" s="2">
        <v>8714.6576218237205</v>
      </c>
      <c r="AO3974" s="2">
        <v>8215.5581387800103</v>
      </c>
      <c r="AP3974" s="2">
        <v>8774.2061392753603</v>
      </c>
    </row>
    <row r="3975" spans="1:42" ht="14.5" x14ac:dyDescent="0.35">
      <c r="A3975" s="2" t="s">
        <v>26409</v>
      </c>
      <c r="B3975" s="2">
        <v>367.01987504686298</v>
      </c>
      <c r="C3975" s="2">
        <v>4.8984333333333296</v>
      </c>
      <c r="D3975" s="2" t="s">
        <v>70</v>
      </c>
      <c r="E3975" s="2" t="s">
        <v>26410</v>
      </c>
      <c r="F3975" s="2">
        <v>46939</v>
      </c>
      <c r="G3975" s="3" t="str">
        <f>HYPERLINK("http://funmeta.oebiotech.com/network/46939", "http://funmeta.oebiotech.com/network/46939")</f>
        <v>http://funmeta.oebiotech.com/network/46939</v>
      </c>
      <c r="H3975" s="2" t="s">
        <v>26411</v>
      </c>
      <c r="I3975" s="2"/>
      <c r="J3975" s="2"/>
      <c r="K3975" s="2">
        <v>15842</v>
      </c>
      <c r="L3975" s="2" t="s">
        <v>26412</v>
      </c>
      <c r="M3975" s="2" t="s">
        <v>15342</v>
      </c>
      <c r="N3975" s="2" t="s">
        <v>15343</v>
      </c>
      <c r="O3975" s="2"/>
      <c r="P3975" s="2" t="s">
        <v>26413</v>
      </c>
      <c r="Q3975" s="2" t="s">
        <v>26414</v>
      </c>
      <c r="R3975" s="2" t="s">
        <v>26415</v>
      </c>
      <c r="S3975" s="2" t="s">
        <v>1444</v>
      </c>
      <c r="T3975" s="2" t="s">
        <v>4040</v>
      </c>
      <c r="U3975" s="2" t="s">
        <v>8914</v>
      </c>
      <c r="V3975" s="2" t="s">
        <v>59</v>
      </c>
      <c r="W3975" s="2">
        <v>43.7</v>
      </c>
      <c r="X3975" s="2">
        <v>26.5</v>
      </c>
      <c r="Y3975" s="2" t="s">
        <v>118</v>
      </c>
      <c r="Z3975" s="2" t="s">
        <v>26416</v>
      </c>
      <c r="AA3975" s="2">
        <v>3.9551781568291902</v>
      </c>
      <c r="AB3975" s="2">
        <v>0.17623788778621099</v>
      </c>
      <c r="AC3975" s="2">
        <v>35965.149926690901</v>
      </c>
      <c r="AD3975" s="2">
        <v>33166.696097555403</v>
      </c>
      <c r="AE3975" s="2">
        <v>35669.816463282201</v>
      </c>
      <c r="AF3975" s="2">
        <v>38230.310073609697</v>
      </c>
      <c r="AG3975" s="2">
        <v>35126.820220203699</v>
      </c>
      <c r="AH3975" s="2">
        <v>36750.192740359802</v>
      </c>
      <c r="AI3975" s="2">
        <v>34437.235885702103</v>
      </c>
      <c r="AJ3975" s="2">
        <v>35576.524176987798</v>
      </c>
      <c r="AK3975" s="2">
        <v>35773.495895340799</v>
      </c>
      <c r="AL3975" s="2">
        <v>31369.648932371099</v>
      </c>
      <c r="AM3975" s="2">
        <v>33563.323563603997</v>
      </c>
      <c r="AN3975" s="2">
        <v>31757.529429066199</v>
      </c>
      <c r="AO3975" s="2">
        <v>32828.877285164301</v>
      </c>
      <c r="AP3975" s="2">
        <v>33707.301479786001</v>
      </c>
    </row>
    <row r="3976" spans="1:42" ht="14.5" x14ac:dyDescent="0.35">
      <c r="A3976" s="2" t="s">
        <v>26417</v>
      </c>
      <c r="B3976" s="2">
        <v>400.96397218137298</v>
      </c>
      <c r="C3976" s="2">
        <v>1.3109999999999999</v>
      </c>
      <c r="D3976" s="2" t="s">
        <v>34</v>
      </c>
      <c r="E3976" s="2" t="s">
        <v>26418</v>
      </c>
      <c r="F3976" s="2">
        <v>53481</v>
      </c>
      <c r="G3976" s="3" t="str">
        <f>HYPERLINK("http://funmeta.oebiotech.com/network/53481", "http://funmeta.oebiotech.com/network/53481")</f>
        <v>http://funmeta.oebiotech.com/network/53481</v>
      </c>
      <c r="H3976" s="2" t="s">
        <v>26419</v>
      </c>
      <c r="I3976" s="2"/>
      <c r="J3976" s="2"/>
      <c r="K3976" s="2">
        <v>261649</v>
      </c>
      <c r="L3976" s="2" t="s">
        <v>26420</v>
      </c>
      <c r="M3976" s="2"/>
      <c r="N3976" s="2"/>
      <c r="O3976" s="2">
        <v>53629521</v>
      </c>
      <c r="P3976" s="2" t="s">
        <v>26421</v>
      </c>
      <c r="Q3976" s="2" t="s">
        <v>26422</v>
      </c>
      <c r="R3976" s="2" t="s">
        <v>26423</v>
      </c>
      <c r="S3976" s="2" t="s">
        <v>148</v>
      </c>
      <c r="T3976" s="2" t="s">
        <v>41</v>
      </c>
      <c r="U3976" s="2" t="s">
        <v>41</v>
      </c>
      <c r="V3976" s="2" t="s">
        <v>59</v>
      </c>
      <c r="W3976" s="2">
        <v>37.5</v>
      </c>
      <c r="X3976" s="2">
        <v>0</v>
      </c>
      <c r="Y3976" s="2" t="s">
        <v>340</v>
      </c>
      <c r="Z3976" s="2" t="s">
        <v>26424</v>
      </c>
      <c r="AA3976" s="2">
        <v>4.5076421794438799</v>
      </c>
      <c r="AB3976" s="2">
        <v>0.17608048890255801</v>
      </c>
      <c r="AC3976" s="2">
        <v>21937.862719008899</v>
      </c>
      <c r="AD3976" s="2">
        <v>25132.964570029399</v>
      </c>
      <c r="AE3976" s="2">
        <v>20965.107197363901</v>
      </c>
      <c r="AF3976" s="2">
        <v>23454.0034762205</v>
      </c>
      <c r="AG3976" s="2">
        <v>21811.4208640873</v>
      </c>
      <c r="AH3976" s="2">
        <v>23391.254220806699</v>
      </c>
      <c r="AI3976" s="2">
        <v>24037.485411605699</v>
      </c>
      <c r="AJ3976" s="2">
        <v>17967.905143969099</v>
      </c>
      <c r="AK3976" s="2">
        <v>25850.869143196702</v>
      </c>
      <c r="AL3976" s="2">
        <v>23367.4076070011</v>
      </c>
      <c r="AM3976" s="2">
        <v>23511.266883828699</v>
      </c>
      <c r="AN3976" s="2">
        <v>28483.551136904</v>
      </c>
      <c r="AO3976" s="2">
        <v>26168.535219355301</v>
      </c>
      <c r="AP3976" s="2">
        <v>23416.1574298905</v>
      </c>
    </row>
    <row r="3977" spans="1:42" ht="14.5" x14ac:dyDescent="0.35">
      <c r="A3977" s="2" t="s">
        <v>26425</v>
      </c>
      <c r="B3977" s="2">
        <v>528.33166315725305</v>
      </c>
      <c r="C3977" s="2">
        <v>4.3289999999999997</v>
      </c>
      <c r="D3977" s="2" t="s">
        <v>34</v>
      </c>
      <c r="E3977" s="2" t="s">
        <v>26426</v>
      </c>
      <c r="F3977" s="2">
        <v>23668</v>
      </c>
      <c r="G3977" s="3" t="str">
        <f>HYPERLINK("http://funmeta.oebiotech.com/network/23668", "http://funmeta.oebiotech.com/network/23668")</f>
        <v>http://funmeta.oebiotech.com/network/23668</v>
      </c>
      <c r="H3977" s="2" t="s">
        <v>26427</v>
      </c>
      <c r="I3977" s="2">
        <v>40878</v>
      </c>
      <c r="J3977" s="2" t="s">
        <v>26428</v>
      </c>
      <c r="K3977" s="2">
        <v>72952</v>
      </c>
      <c r="L3977" s="2"/>
      <c r="M3977" s="2"/>
      <c r="N3977" s="2"/>
      <c r="O3977" s="2">
        <v>9547135</v>
      </c>
      <c r="P3977" s="2"/>
      <c r="Q3977" s="2" t="s">
        <v>26429</v>
      </c>
      <c r="R3977" s="2" t="s">
        <v>26430</v>
      </c>
      <c r="S3977" s="2" t="s">
        <v>50</v>
      </c>
      <c r="T3977" s="2" t="s">
        <v>51</v>
      </c>
      <c r="U3977" s="2" t="s">
        <v>738</v>
      </c>
      <c r="V3977" s="2" t="s">
        <v>59</v>
      </c>
      <c r="W3977" s="2">
        <v>37.4</v>
      </c>
      <c r="X3977" s="2">
        <v>0</v>
      </c>
      <c r="Y3977" s="2" t="s">
        <v>43</v>
      </c>
      <c r="Z3977" s="2" t="s">
        <v>26431</v>
      </c>
      <c r="AA3977" s="2">
        <v>4.0523830400345</v>
      </c>
      <c r="AB3977" s="2">
        <v>0.17588291590393801</v>
      </c>
      <c r="AC3977" s="2">
        <v>2375.6559809601299</v>
      </c>
      <c r="AD3977" s="2">
        <v>4789.1293573151897</v>
      </c>
      <c r="AE3977" s="2">
        <v>1896.9382690239199</v>
      </c>
      <c r="AF3977" s="2">
        <v>2231.46581538175</v>
      </c>
      <c r="AG3977" s="2">
        <v>1891.32255907377</v>
      </c>
      <c r="AH3977" s="2">
        <v>1735.0050735232901</v>
      </c>
      <c r="AI3977" s="2">
        <v>3938.3707801314399</v>
      </c>
      <c r="AJ3977" s="2">
        <v>2560.83338862661</v>
      </c>
      <c r="AK3977" s="2">
        <v>4085.2574333006201</v>
      </c>
      <c r="AL3977" s="2">
        <v>6274.9716609689403</v>
      </c>
      <c r="AM3977" s="2">
        <v>4301.5580892974704</v>
      </c>
      <c r="AN3977" s="2">
        <v>4280.6912612751003</v>
      </c>
      <c r="AO3977" s="2">
        <v>4234.3036303259296</v>
      </c>
      <c r="AP3977" s="2">
        <v>5557.9940687230601</v>
      </c>
    </row>
    <row r="3978" spans="1:42" ht="14.5" x14ac:dyDescent="0.35">
      <c r="A3978" s="2" t="s">
        <v>26432</v>
      </c>
      <c r="B3978" s="2">
        <v>733.41358216895696</v>
      </c>
      <c r="C3978" s="2">
        <v>10.471816666666699</v>
      </c>
      <c r="D3978" s="2" t="s">
        <v>34</v>
      </c>
      <c r="E3978" s="2" t="s">
        <v>26433</v>
      </c>
      <c r="F3978" s="2">
        <v>59228</v>
      </c>
      <c r="G3978" s="3" t="str">
        <f>HYPERLINK("http://funmeta.oebiotech.com/network/59228", "http://funmeta.oebiotech.com/network/59228")</f>
        <v>http://funmeta.oebiotech.com/network/59228</v>
      </c>
      <c r="H3978" s="2" t="s">
        <v>26434</v>
      </c>
      <c r="I3978" s="2">
        <v>90646</v>
      </c>
      <c r="J3978" s="2"/>
      <c r="K3978" s="2"/>
      <c r="L3978" s="2"/>
      <c r="M3978" s="2"/>
      <c r="N3978" s="2"/>
      <c r="O3978" s="2">
        <v>131751717</v>
      </c>
      <c r="P3978" s="2" t="s">
        <v>26435</v>
      </c>
      <c r="Q3978" s="2" t="s">
        <v>26436</v>
      </c>
      <c r="R3978" s="2" t="s">
        <v>26437</v>
      </c>
      <c r="S3978" s="2" t="s">
        <v>50</v>
      </c>
      <c r="T3978" s="2" t="s">
        <v>124</v>
      </c>
      <c r="U3978" s="2" t="s">
        <v>523</v>
      </c>
      <c r="V3978" s="2" t="s">
        <v>59</v>
      </c>
      <c r="W3978" s="2">
        <v>47.1</v>
      </c>
      <c r="X3978" s="2">
        <v>41.3</v>
      </c>
      <c r="Y3978" s="2" t="s">
        <v>470</v>
      </c>
      <c r="Z3978" s="2" t="s">
        <v>26438</v>
      </c>
      <c r="AA3978" s="2">
        <v>0.329473462617208</v>
      </c>
      <c r="AB3978" s="2">
        <v>0.17587164857909601</v>
      </c>
      <c r="AC3978" s="2">
        <v>68947.413163073797</v>
      </c>
      <c r="AD3978" s="2">
        <v>73226.571995108199</v>
      </c>
      <c r="AE3978" s="2">
        <v>65016.524830984999</v>
      </c>
      <c r="AF3978" s="2">
        <v>61815.1876483292</v>
      </c>
      <c r="AG3978" s="2">
        <v>66869.006069319294</v>
      </c>
      <c r="AH3978" s="2">
        <v>69834.444464037602</v>
      </c>
      <c r="AI3978" s="2">
        <v>76002.764790830697</v>
      </c>
      <c r="AJ3978" s="2">
        <v>74146.551174941196</v>
      </c>
      <c r="AK3978" s="2">
        <v>75371.084176238204</v>
      </c>
      <c r="AL3978" s="2">
        <v>67158.552057538807</v>
      </c>
      <c r="AM3978" s="2">
        <v>71450.471636822695</v>
      </c>
      <c r="AN3978" s="2">
        <v>73856.475911385307</v>
      </c>
      <c r="AO3978" s="2">
        <v>75196.243155442702</v>
      </c>
      <c r="AP3978" s="2">
        <v>76326.605033221698</v>
      </c>
    </row>
    <row r="3979" spans="1:42" ht="14.5" x14ac:dyDescent="0.35">
      <c r="A3979" s="2" t="s">
        <v>26439</v>
      </c>
      <c r="B3979" s="2">
        <v>629.27188289514402</v>
      </c>
      <c r="C3979" s="2">
        <v>11.3090333333333</v>
      </c>
      <c r="D3979" s="2" t="s">
        <v>34</v>
      </c>
      <c r="E3979" s="2" t="s">
        <v>26440</v>
      </c>
      <c r="F3979" s="2">
        <v>48250</v>
      </c>
      <c r="G3979" s="3" t="str">
        <f>HYPERLINK("http://funmeta.oebiotech.com/network/48250", "http://funmeta.oebiotech.com/network/48250")</f>
        <v>http://funmeta.oebiotech.com/network/48250</v>
      </c>
      <c r="H3979" s="2" t="s">
        <v>26441</v>
      </c>
      <c r="I3979" s="2">
        <v>7021</v>
      </c>
      <c r="J3979" s="2"/>
      <c r="K3979" s="2">
        <v>4260</v>
      </c>
      <c r="L3979" s="2" t="s">
        <v>26442</v>
      </c>
      <c r="M3979" s="2" t="s">
        <v>1978</v>
      </c>
      <c r="N3979" s="2" t="s">
        <v>1979</v>
      </c>
      <c r="O3979" s="2">
        <v>440784</v>
      </c>
      <c r="P3979" s="2" t="s">
        <v>26443</v>
      </c>
      <c r="Q3979" s="2" t="s">
        <v>26444</v>
      </c>
      <c r="R3979" s="2" t="s">
        <v>26445</v>
      </c>
      <c r="S3979" s="2" t="s">
        <v>491</v>
      </c>
      <c r="T3979" s="2" t="s">
        <v>492</v>
      </c>
      <c r="U3979" s="2" t="s">
        <v>11690</v>
      </c>
      <c r="V3979" s="2" t="s">
        <v>59</v>
      </c>
      <c r="W3979" s="2">
        <v>38.4</v>
      </c>
      <c r="X3979" s="2">
        <v>0</v>
      </c>
      <c r="Y3979" s="2" t="s">
        <v>340</v>
      </c>
      <c r="Z3979" s="2" t="s">
        <v>26446</v>
      </c>
      <c r="AA3979" s="2">
        <v>-2.8972355129545901</v>
      </c>
      <c r="AB3979" s="2">
        <v>0.175838921131304</v>
      </c>
      <c r="AC3979" s="2">
        <v>4717.9429232860703</v>
      </c>
      <c r="AD3979" s="2">
        <v>2337.5276716205699</v>
      </c>
      <c r="AE3979" s="2">
        <v>5166.5071799687203</v>
      </c>
      <c r="AF3979" s="2">
        <v>4067.3541451747001</v>
      </c>
      <c r="AG3979" s="2">
        <v>4616.1748234652496</v>
      </c>
      <c r="AH3979" s="2">
        <v>4592.6922192329603</v>
      </c>
      <c r="AI3979" s="2">
        <v>4651.1092680166803</v>
      </c>
      <c r="AJ3979" s="2">
        <v>5213.8199038581197</v>
      </c>
      <c r="AK3979" s="2">
        <v>2239.9968751934598</v>
      </c>
      <c r="AL3979" s="2">
        <v>4147.1422868969303</v>
      </c>
      <c r="AM3979" s="2">
        <v>1290.8130426088101</v>
      </c>
      <c r="AN3979" s="2">
        <v>2124.9308853174002</v>
      </c>
      <c r="AO3979" s="2">
        <v>2870.3735188416199</v>
      </c>
      <c r="AP3979" s="2">
        <v>1351.90942086523</v>
      </c>
    </row>
    <row r="3980" spans="1:42" ht="14.5" x14ac:dyDescent="0.35">
      <c r="A3980" s="2" t="s">
        <v>26447</v>
      </c>
      <c r="B3980" s="2">
        <v>155.033927568959</v>
      </c>
      <c r="C3980" s="2">
        <v>2.5449000000000002</v>
      </c>
      <c r="D3980" s="2" t="s">
        <v>34</v>
      </c>
      <c r="E3980" s="2" t="s">
        <v>26448</v>
      </c>
      <c r="F3980" s="2">
        <v>257242</v>
      </c>
      <c r="G3980" s="3" t="str">
        <f>HYPERLINK("http://funmeta.oebiotech.com/network/257242", "http://funmeta.oebiotech.com/network/257242")</f>
        <v>http://funmeta.oebiotech.com/network/257242</v>
      </c>
      <c r="H3980" s="2" t="s">
        <v>26449</v>
      </c>
      <c r="I3980" s="2"/>
      <c r="J3980" s="2"/>
      <c r="K3980" s="2"/>
      <c r="L3980" s="2"/>
      <c r="M3980" s="2"/>
      <c r="N3980" s="2"/>
      <c r="O3980" s="2"/>
      <c r="P3980" s="2"/>
      <c r="Q3980" s="2" t="s">
        <v>26450</v>
      </c>
      <c r="R3980" s="2" t="s">
        <v>26451</v>
      </c>
      <c r="S3980" s="2" t="s">
        <v>89</v>
      </c>
      <c r="T3980" s="2" t="s">
        <v>894</v>
      </c>
      <c r="U3980" s="2" t="s">
        <v>895</v>
      </c>
      <c r="V3980" s="2" t="s">
        <v>59</v>
      </c>
      <c r="W3980" s="2">
        <v>39.4</v>
      </c>
      <c r="X3980" s="2">
        <v>0</v>
      </c>
      <c r="Y3980" s="2" t="s">
        <v>394</v>
      </c>
      <c r="Z3980" s="2" t="s">
        <v>26452</v>
      </c>
      <c r="AA3980" s="2">
        <v>-1.7416741931355999</v>
      </c>
      <c r="AB3980" s="2">
        <v>0.17572445587348401</v>
      </c>
      <c r="AC3980" s="2">
        <v>9799.9986204106899</v>
      </c>
      <c r="AD3980" s="2">
        <v>7560.1096196067501</v>
      </c>
      <c r="AE3980" s="2">
        <v>9320.2424050161208</v>
      </c>
      <c r="AF3980" s="2">
        <v>9510.71540179355</v>
      </c>
      <c r="AG3980" s="2">
        <v>9452.3667024605093</v>
      </c>
      <c r="AH3980" s="2">
        <v>9905.09127386814</v>
      </c>
      <c r="AI3980" s="2">
        <v>9989.7888940202101</v>
      </c>
      <c r="AJ3980" s="2">
        <v>10621.7870453056</v>
      </c>
      <c r="AK3980" s="2">
        <v>6590.9435712107297</v>
      </c>
      <c r="AL3980" s="2">
        <v>7114.34797159962</v>
      </c>
      <c r="AM3980" s="2">
        <v>7497.9136969409401</v>
      </c>
      <c r="AN3980" s="2">
        <v>7916.4373694564802</v>
      </c>
      <c r="AO3980" s="2">
        <v>7879.4522412660999</v>
      </c>
      <c r="AP3980" s="2">
        <v>8361.5628671666109</v>
      </c>
    </row>
    <row r="3981" spans="1:42" ht="14.5" x14ac:dyDescent="0.35">
      <c r="A3981" s="2" t="s">
        <v>26453</v>
      </c>
      <c r="B3981" s="2">
        <v>312.32564024729498</v>
      </c>
      <c r="C3981" s="2">
        <v>14.3348333333333</v>
      </c>
      <c r="D3981" s="2" t="s">
        <v>34</v>
      </c>
      <c r="E3981" s="2" t="s">
        <v>26454</v>
      </c>
      <c r="F3981" s="2">
        <v>6707</v>
      </c>
      <c r="G3981" s="3" t="str">
        <f>HYPERLINK("http://funmeta.oebiotech.com/network/6707", "http://funmeta.oebiotech.com/network/6707")</f>
        <v>http://funmeta.oebiotech.com/network/6707</v>
      </c>
      <c r="H3981" s="2"/>
      <c r="I3981" s="2">
        <v>46533</v>
      </c>
      <c r="J3981" s="2" t="s">
        <v>26455</v>
      </c>
      <c r="K3981" s="2"/>
      <c r="L3981" s="2"/>
      <c r="M3981" s="2"/>
      <c r="N3981" s="2"/>
      <c r="O3981" s="2">
        <v>11369906</v>
      </c>
      <c r="P3981" s="2"/>
      <c r="Q3981" s="2" t="s">
        <v>26456</v>
      </c>
      <c r="R3981" s="2" t="s">
        <v>26457</v>
      </c>
      <c r="S3981" s="2" t="s">
        <v>50</v>
      </c>
      <c r="T3981" s="2" t="s">
        <v>229</v>
      </c>
      <c r="U3981" s="2" t="s">
        <v>1007</v>
      </c>
      <c r="V3981" s="2" t="s">
        <v>59</v>
      </c>
      <c r="W3981" s="2">
        <v>42.3</v>
      </c>
      <c r="X3981" s="2">
        <v>16.399999999999999</v>
      </c>
      <c r="Y3981" s="2" t="s">
        <v>43</v>
      </c>
      <c r="Z3981" s="2" t="s">
        <v>21792</v>
      </c>
      <c r="AA3981" s="2">
        <v>-1.53290105436462</v>
      </c>
      <c r="AB3981" s="2">
        <v>0.17558752107228801</v>
      </c>
      <c r="AC3981" s="2">
        <v>45796.880023644102</v>
      </c>
      <c r="AD3981" s="2">
        <v>38518.295589408903</v>
      </c>
      <c r="AE3981" s="2">
        <v>50188.906481913597</v>
      </c>
      <c r="AF3981" s="2">
        <v>28299.959543892201</v>
      </c>
      <c r="AG3981" s="2">
        <v>38682.001643727599</v>
      </c>
      <c r="AH3981" s="2">
        <v>55130.494276672798</v>
      </c>
      <c r="AI3981" s="2">
        <v>64191.448578523698</v>
      </c>
      <c r="AJ3981" s="2">
        <v>38288.469617134797</v>
      </c>
      <c r="AK3981" s="2">
        <v>24506.585487549099</v>
      </c>
      <c r="AL3981" s="2">
        <v>60960.1267075621</v>
      </c>
      <c r="AM3981" s="2">
        <v>33010.922832808501</v>
      </c>
      <c r="AN3981" s="2">
        <v>47959.081148371697</v>
      </c>
      <c r="AO3981" s="2">
        <v>30828.271762930599</v>
      </c>
      <c r="AP3981" s="2">
        <v>33844.785597231603</v>
      </c>
    </row>
    <row r="3982" spans="1:42" ht="14.5" x14ac:dyDescent="0.35">
      <c r="A3982" s="2" t="s">
        <v>26458</v>
      </c>
      <c r="B3982" s="2">
        <v>583.39636826057199</v>
      </c>
      <c r="C3982" s="2">
        <v>13.8293</v>
      </c>
      <c r="D3982" s="2" t="s">
        <v>34</v>
      </c>
      <c r="E3982" s="2" t="s">
        <v>26459</v>
      </c>
      <c r="F3982" s="2">
        <v>256967</v>
      </c>
      <c r="G3982" s="3" t="str">
        <f>HYPERLINK("http://funmeta.oebiotech.com/network/256967", "http://funmeta.oebiotech.com/network/256967")</f>
        <v>http://funmeta.oebiotech.com/network/256967</v>
      </c>
      <c r="H3982" s="2" t="s">
        <v>26460</v>
      </c>
      <c r="I3982" s="2"/>
      <c r="J3982" s="2"/>
      <c r="K3982" s="2"/>
      <c r="L3982" s="2"/>
      <c r="M3982" s="2"/>
      <c r="N3982" s="2"/>
      <c r="O3982" s="2">
        <v>75967394</v>
      </c>
      <c r="P3982" s="2"/>
      <c r="Q3982" s="2" t="s">
        <v>26461</v>
      </c>
      <c r="R3982" s="2" t="s">
        <v>26462</v>
      </c>
      <c r="S3982" s="2" t="s">
        <v>50</v>
      </c>
      <c r="T3982" s="2" t="s">
        <v>124</v>
      </c>
      <c r="U3982" s="2" t="s">
        <v>523</v>
      </c>
      <c r="V3982" s="2" t="s">
        <v>59</v>
      </c>
      <c r="W3982" s="2">
        <v>37.9</v>
      </c>
      <c r="X3982" s="2">
        <v>0</v>
      </c>
      <c r="Y3982" s="2" t="s">
        <v>323</v>
      </c>
      <c r="Z3982" s="2" t="s">
        <v>26463</v>
      </c>
      <c r="AA3982" s="2">
        <v>-0.96703296248275294</v>
      </c>
      <c r="AB3982" s="2">
        <v>0.17549579560817899</v>
      </c>
      <c r="AC3982" s="2">
        <v>4318.4586966030402</v>
      </c>
      <c r="AD3982" s="2">
        <v>2202.2792337609199</v>
      </c>
      <c r="AE3982" s="2">
        <v>4441.0148739927399</v>
      </c>
      <c r="AF3982" s="2">
        <v>4121.8569091600302</v>
      </c>
      <c r="AG3982" s="2">
        <v>4176.3664605099902</v>
      </c>
      <c r="AH3982" s="2">
        <v>4576.9422285126202</v>
      </c>
      <c r="AI3982" s="2">
        <v>3607.3345988188498</v>
      </c>
      <c r="AJ3982" s="2">
        <v>4987.23710862403</v>
      </c>
      <c r="AK3982" s="2">
        <v>1834.6290598420201</v>
      </c>
      <c r="AL3982" s="2">
        <v>2322.0568356907202</v>
      </c>
      <c r="AM3982" s="2">
        <v>1972.45912462158</v>
      </c>
      <c r="AN3982" s="2">
        <v>2471.6071483774299</v>
      </c>
      <c r="AO3982" s="2">
        <v>2278.2229593421898</v>
      </c>
      <c r="AP3982" s="2">
        <v>2334.70027469156</v>
      </c>
    </row>
    <row r="3983" spans="1:42" ht="14.5" x14ac:dyDescent="0.35">
      <c r="A3983" s="2" t="s">
        <v>26464</v>
      </c>
      <c r="B3983" s="2">
        <v>332.13189705137199</v>
      </c>
      <c r="C3983" s="2">
        <v>1.29345</v>
      </c>
      <c r="D3983" s="2" t="s">
        <v>34</v>
      </c>
      <c r="E3983" s="2" t="s">
        <v>26465</v>
      </c>
      <c r="F3983" s="2">
        <v>57875</v>
      </c>
      <c r="G3983" s="3" t="str">
        <f>HYPERLINK("http://funmeta.oebiotech.com/network/57875", "http://funmeta.oebiotech.com/network/57875")</f>
        <v>http://funmeta.oebiotech.com/network/57875</v>
      </c>
      <c r="H3983" s="2" t="s">
        <v>26466</v>
      </c>
      <c r="I3983" s="2"/>
      <c r="J3983" s="2"/>
      <c r="K3983" s="2"/>
      <c r="L3983" s="2"/>
      <c r="M3983" s="2"/>
      <c r="N3983" s="2"/>
      <c r="O3983" s="2">
        <v>75039122</v>
      </c>
      <c r="P3983" s="2" t="s">
        <v>26467</v>
      </c>
      <c r="Q3983" s="2" t="s">
        <v>26468</v>
      </c>
      <c r="R3983" s="2" t="s">
        <v>26469</v>
      </c>
      <c r="S3983" s="2" t="s">
        <v>115</v>
      </c>
      <c r="T3983" s="2" t="s">
        <v>16891</v>
      </c>
      <c r="U3983" s="2" t="s">
        <v>41</v>
      </c>
      <c r="V3983" s="2" t="s">
        <v>59</v>
      </c>
      <c r="W3983" s="2">
        <v>37.200000000000003</v>
      </c>
      <c r="X3983" s="2">
        <v>0</v>
      </c>
      <c r="Y3983" s="2" t="s">
        <v>394</v>
      </c>
      <c r="Z3983" s="2" t="s">
        <v>26470</v>
      </c>
      <c r="AA3983" s="2">
        <v>1.7797657869253301</v>
      </c>
      <c r="AB3983" s="2">
        <v>0.17537583788495301</v>
      </c>
      <c r="AC3983" s="2">
        <v>9099.2946451325806</v>
      </c>
      <c r="AD3983" s="2">
        <v>6930.0134008806199</v>
      </c>
      <c r="AE3983" s="2">
        <v>8828.4319514141007</v>
      </c>
      <c r="AF3983" s="2">
        <v>9264.8174270580494</v>
      </c>
      <c r="AG3983" s="2">
        <v>9202.0805275594994</v>
      </c>
      <c r="AH3983" s="2">
        <v>9404.4894430652603</v>
      </c>
      <c r="AI3983" s="2">
        <v>8911.0225555619108</v>
      </c>
      <c r="AJ3983" s="2">
        <v>8984.9259661366505</v>
      </c>
      <c r="AK3983" s="2">
        <v>6196.9563454423896</v>
      </c>
      <c r="AL3983" s="2">
        <v>6378.9435555849104</v>
      </c>
      <c r="AM3983" s="2">
        <v>6718.65239972156</v>
      </c>
      <c r="AN3983" s="2">
        <v>6991.5971934169002</v>
      </c>
      <c r="AO3983" s="2">
        <v>7682.4285840416997</v>
      </c>
      <c r="AP3983" s="2">
        <v>7611.5023270762404</v>
      </c>
    </row>
    <row r="3984" spans="1:42" ht="14.5" x14ac:dyDescent="0.35">
      <c r="A3984" s="2" t="s">
        <v>26471</v>
      </c>
      <c r="B3984" s="2">
        <v>283.20529042113202</v>
      </c>
      <c r="C3984" s="2">
        <v>7.8272833333333303</v>
      </c>
      <c r="D3984" s="2" t="s">
        <v>34</v>
      </c>
      <c r="E3984" s="2" t="s">
        <v>26472</v>
      </c>
      <c r="F3984" s="2">
        <v>37385</v>
      </c>
      <c r="G3984" s="3" t="str">
        <f>HYPERLINK("http://funmeta.oebiotech.com/network/37385", "http://funmeta.oebiotech.com/network/37385")</f>
        <v>http://funmeta.oebiotech.com/network/37385</v>
      </c>
      <c r="H3984" s="2" t="s">
        <v>26473</v>
      </c>
      <c r="I3984" s="2">
        <v>2277</v>
      </c>
      <c r="J3984" s="2" t="s">
        <v>26474</v>
      </c>
      <c r="K3984" s="2">
        <v>15367</v>
      </c>
      <c r="L3984" s="2" t="s">
        <v>26475</v>
      </c>
      <c r="M3984" s="2" t="s">
        <v>26476</v>
      </c>
      <c r="N3984" s="2" t="s">
        <v>26477</v>
      </c>
      <c r="O3984" s="2">
        <v>444795</v>
      </c>
      <c r="P3984" s="2" t="s">
        <v>26478</v>
      </c>
      <c r="Q3984" s="2" t="s">
        <v>26479</v>
      </c>
      <c r="R3984" s="2" t="s">
        <v>26480</v>
      </c>
      <c r="S3984" s="2" t="s">
        <v>50</v>
      </c>
      <c r="T3984" s="2" t="s">
        <v>201</v>
      </c>
      <c r="U3984" s="2" t="s">
        <v>2195</v>
      </c>
      <c r="V3984" s="2" t="s">
        <v>59</v>
      </c>
      <c r="W3984" s="2">
        <v>37.1</v>
      </c>
      <c r="X3984" s="2">
        <v>0</v>
      </c>
      <c r="Y3984" s="2" t="s">
        <v>141</v>
      </c>
      <c r="Z3984" s="2" t="s">
        <v>8502</v>
      </c>
      <c r="AA3984" s="2">
        <v>-1.1707378175834799</v>
      </c>
      <c r="AB3984" s="2">
        <v>0.17530740466965899</v>
      </c>
      <c r="AC3984" s="2">
        <v>12257.6594471348</v>
      </c>
      <c r="AD3984" s="2">
        <v>9837.9243430139395</v>
      </c>
      <c r="AE3984" s="2">
        <v>11985.5088848626</v>
      </c>
      <c r="AF3984" s="2">
        <v>12578.8090836216</v>
      </c>
      <c r="AG3984" s="2">
        <v>11356.410792995501</v>
      </c>
      <c r="AH3984" s="2">
        <v>13153.389315221601</v>
      </c>
      <c r="AI3984" s="2">
        <v>10908.0456017999</v>
      </c>
      <c r="AJ3984" s="2">
        <v>13563.793004307699</v>
      </c>
      <c r="AK3984" s="2">
        <v>8728.2393833950591</v>
      </c>
      <c r="AL3984" s="2">
        <v>10743.5126125517</v>
      </c>
      <c r="AM3984" s="2">
        <v>10495.983154969501</v>
      </c>
      <c r="AN3984" s="2">
        <v>9725.7603982117907</v>
      </c>
      <c r="AO3984" s="2">
        <v>9925.6258627480602</v>
      </c>
      <c r="AP3984" s="2">
        <v>9408.4246462075098</v>
      </c>
    </row>
    <row r="3985" spans="1:42" ht="14.5" x14ac:dyDescent="0.35">
      <c r="A3985" s="2" t="s">
        <v>26481</v>
      </c>
      <c r="B3985" s="2">
        <v>310.13969908699602</v>
      </c>
      <c r="C3985" s="2">
        <v>1.7583166666666701</v>
      </c>
      <c r="D3985" s="2" t="s">
        <v>34</v>
      </c>
      <c r="E3985" s="2" t="s">
        <v>26482</v>
      </c>
      <c r="F3985" s="2">
        <v>53845</v>
      </c>
      <c r="G3985" s="3" t="str">
        <f>HYPERLINK("http://funmeta.oebiotech.com/network/53845", "http://funmeta.oebiotech.com/network/53845")</f>
        <v>http://funmeta.oebiotech.com/network/53845</v>
      </c>
      <c r="H3985" s="2" t="s">
        <v>26483</v>
      </c>
      <c r="I3985" s="2">
        <v>23670</v>
      </c>
      <c r="J3985" s="2"/>
      <c r="K3985" s="2">
        <v>141432</v>
      </c>
      <c r="L3985" s="2"/>
      <c r="M3985" s="2"/>
      <c r="N3985" s="2"/>
      <c r="O3985" s="2">
        <v>9972600</v>
      </c>
      <c r="P3985" s="2" t="s">
        <v>26484</v>
      </c>
      <c r="Q3985" s="2" t="s">
        <v>26485</v>
      </c>
      <c r="R3985" s="2" t="s">
        <v>26486</v>
      </c>
      <c r="S3985" s="2" t="s">
        <v>89</v>
      </c>
      <c r="T3985" s="2" t="s">
        <v>90</v>
      </c>
      <c r="U3985" s="2" t="s">
        <v>99</v>
      </c>
      <c r="V3985" s="2" t="s">
        <v>42</v>
      </c>
      <c r="W3985" s="2">
        <v>50.3</v>
      </c>
      <c r="X3985" s="2">
        <v>60.5</v>
      </c>
      <c r="Y3985" s="2" t="s">
        <v>394</v>
      </c>
      <c r="Z3985" s="2" t="s">
        <v>26487</v>
      </c>
      <c r="AA3985" s="2">
        <v>-0.15548846752352</v>
      </c>
      <c r="AB3985" s="2">
        <v>0.17529684265078399</v>
      </c>
      <c r="AC3985" s="2">
        <v>3328.74258752061</v>
      </c>
      <c r="AD3985" s="2">
        <v>1226.31291939077</v>
      </c>
      <c r="AE3985" s="2">
        <v>3701.9533748389099</v>
      </c>
      <c r="AF3985" s="2">
        <v>2755.46300113695</v>
      </c>
      <c r="AG3985" s="2">
        <v>3026.0913187768601</v>
      </c>
      <c r="AH3985" s="2">
        <v>3412.7429963693098</v>
      </c>
      <c r="AI3985" s="2">
        <v>3572.3720075542201</v>
      </c>
      <c r="AJ3985" s="2">
        <v>3503.8328264474198</v>
      </c>
      <c r="AK3985" s="2">
        <v>1281.8607020975401</v>
      </c>
      <c r="AL3985" s="2">
        <v>725.10427198372997</v>
      </c>
      <c r="AM3985" s="2">
        <v>1542.79484763358</v>
      </c>
      <c r="AN3985" s="2">
        <v>1195.8358290677199</v>
      </c>
      <c r="AO3985" s="2">
        <v>1193.49388384389</v>
      </c>
      <c r="AP3985" s="2">
        <v>1418.7879817181699</v>
      </c>
    </row>
    <row r="3986" spans="1:42" ht="14.5" x14ac:dyDescent="0.35">
      <c r="A3986" s="2" t="s">
        <v>26488</v>
      </c>
      <c r="B3986" s="2">
        <v>297.134018569533</v>
      </c>
      <c r="C3986" s="2">
        <v>4.2405333333333299</v>
      </c>
      <c r="D3986" s="2" t="s">
        <v>70</v>
      </c>
      <c r="E3986" s="2" t="s">
        <v>26489</v>
      </c>
      <c r="F3986" s="2">
        <v>273623</v>
      </c>
      <c r="G3986" s="3" t="str">
        <f>HYPERLINK("http://funmeta.oebiotech.com/network/273623", "http://funmeta.oebiotech.com/network/273623")</f>
        <v>http://funmeta.oebiotech.com/network/273623</v>
      </c>
      <c r="H3986" s="2" t="s">
        <v>26490</v>
      </c>
      <c r="I3986" s="2">
        <v>62375</v>
      </c>
      <c r="J3986" s="2"/>
      <c r="K3986" s="2"/>
      <c r="L3986" s="2" t="s">
        <v>26491</v>
      </c>
      <c r="M3986" s="2"/>
      <c r="N3986" s="2"/>
      <c r="O3986" s="2">
        <v>135398661</v>
      </c>
      <c r="P3986" s="2" t="s">
        <v>26492</v>
      </c>
      <c r="Q3986" s="2" t="s">
        <v>26493</v>
      </c>
      <c r="R3986" s="2" t="s">
        <v>26494</v>
      </c>
      <c r="S3986" s="2" t="s">
        <v>491</v>
      </c>
      <c r="T3986" s="2" t="s">
        <v>7431</v>
      </c>
      <c r="U3986" s="2" t="s">
        <v>7432</v>
      </c>
      <c r="V3986" s="2" t="s">
        <v>59</v>
      </c>
      <c r="W3986" s="2">
        <v>38.700000000000003</v>
      </c>
      <c r="X3986" s="2">
        <v>0</v>
      </c>
      <c r="Y3986" s="2" t="s">
        <v>560</v>
      </c>
      <c r="Z3986" s="2" t="s">
        <v>26495</v>
      </c>
      <c r="AA3986" s="2">
        <v>3.3692345016218899</v>
      </c>
      <c r="AB3986" s="2">
        <v>0.175109963799056</v>
      </c>
      <c r="AC3986" s="2">
        <v>5616.8717366145502</v>
      </c>
      <c r="AD3986" s="2">
        <v>7785.99334827655</v>
      </c>
      <c r="AE3986" s="2">
        <v>5654.36806884416</v>
      </c>
      <c r="AF3986" s="2">
        <v>4805.2493990822804</v>
      </c>
      <c r="AG3986" s="2">
        <v>5730.7691937915197</v>
      </c>
      <c r="AH3986" s="2">
        <v>5255.9931234565202</v>
      </c>
      <c r="AI3986" s="2">
        <v>5694.8546187927304</v>
      </c>
      <c r="AJ3986" s="2">
        <v>6559.9960157200703</v>
      </c>
      <c r="AK3986" s="2">
        <v>7480.7267441554104</v>
      </c>
      <c r="AL3986" s="2">
        <v>8232.5402568066802</v>
      </c>
      <c r="AM3986" s="2">
        <v>8234.2567634047791</v>
      </c>
      <c r="AN3986" s="2">
        <v>7652.7087037521596</v>
      </c>
      <c r="AO3986" s="2">
        <v>7514.37874570438</v>
      </c>
      <c r="AP3986" s="2">
        <v>7601.3488758358899</v>
      </c>
    </row>
    <row r="3987" spans="1:42" ht="14.5" x14ac:dyDescent="0.35">
      <c r="A3987" s="2" t="s">
        <v>26496</v>
      </c>
      <c r="B3987" s="2">
        <v>661.26065029863003</v>
      </c>
      <c r="C3987" s="2">
        <v>9.6037999999999997</v>
      </c>
      <c r="D3987" s="2" t="s">
        <v>70</v>
      </c>
      <c r="E3987" s="2" t="s">
        <v>26497</v>
      </c>
      <c r="F3987" s="2">
        <v>204597</v>
      </c>
      <c r="G3987" s="3" t="str">
        <f>HYPERLINK("http://funmeta.oebiotech.com/network/204597", "http://funmeta.oebiotech.com/network/204597")</f>
        <v>http://funmeta.oebiotech.com/network/204597</v>
      </c>
      <c r="H3987" s="2" t="s">
        <v>26498</v>
      </c>
      <c r="I3987" s="2"/>
      <c r="J3987" s="2"/>
      <c r="K3987" s="2"/>
      <c r="L3987" s="2"/>
      <c r="M3987" s="2"/>
      <c r="N3987" s="2"/>
      <c r="O3987" s="2">
        <v>10232719</v>
      </c>
      <c r="P3987" s="2"/>
      <c r="Q3987" s="2" t="s">
        <v>26499</v>
      </c>
      <c r="R3987" s="2" t="s">
        <v>26500</v>
      </c>
      <c r="S3987" s="2" t="s">
        <v>491</v>
      </c>
      <c r="T3987" s="2" t="s">
        <v>7584</v>
      </c>
      <c r="U3987" s="2" t="s">
        <v>7585</v>
      </c>
      <c r="V3987" s="2" t="s">
        <v>42</v>
      </c>
      <c r="W3987" s="2">
        <v>50.3</v>
      </c>
      <c r="X3987" s="2">
        <v>63.5</v>
      </c>
      <c r="Y3987" s="2" t="s">
        <v>408</v>
      </c>
      <c r="Z3987" s="2" t="s">
        <v>26501</v>
      </c>
      <c r="AA3987" s="2">
        <v>-3.8562839345077098</v>
      </c>
      <c r="AB3987" s="2">
        <v>0.175107498710348</v>
      </c>
      <c r="AC3987" s="2">
        <v>3863.2144386813102</v>
      </c>
      <c r="AD3987" s="2">
        <v>1352.5637397463699</v>
      </c>
      <c r="AE3987" s="2">
        <v>5638.4742996692303</v>
      </c>
      <c r="AF3987" s="2">
        <v>4853.2904623507802</v>
      </c>
      <c r="AG3987" s="2">
        <v>4491.6814718153</v>
      </c>
      <c r="AH3987" s="2">
        <v>3264.1554516696401</v>
      </c>
      <c r="AI3987" s="2">
        <v>2291.8237115112202</v>
      </c>
      <c r="AJ3987" s="2">
        <v>2639.8612350716899</v>
      </c>
      <c r="AK3987" s="2">
        <v>1339.0301296739401</v>
      </c>
      <c r="AL3987" s="2">
        <v>1707.0763380845499</v>
      </c>
      <c r="AM3987" s="2">
        <v>1141.92580951339</v>
      </c>
      <c r="AN3987" s="2">
        <v>290.582158881765</v>
      </c>
      <c r="AO3987" s="2">
        <v>2440.0722064129</v>
      </c>
      <c r="AP3987" s="2">
        <v>1196.6957959116501</v>
      </c>
    </row>
    <row r="3988" spans="1:42" ht="14.5" x14ac:dyDescent="0.35">
      <c r="A3988" s="2" t="s">
        <v>26502</v>
      </c>
      <c r="B3988" s="2">
        <v>399.10319692148499</v>
      </c>
      <c r="C3988" s="2">
        <v>5.8977166666666703</v>
      </c>
      <c r="D3988" s="2" t="s">
        <v>70</v>
      </c>
      <c r="E3988" s="2" t="s">
        <v>26503</v>
      </c>
      <c r="F3988" s="2">
        <v>211020</v>
      </c>
      <c r="G3988" s="3" t="str">
        <f>HYPERLINK("http://funmeta.oebiotech.com/network/211020", "http://funmeta.oebiotech.com/network/211020")</f>
        <v>http://funmeta.oebiotech.com/network/211020</v>
      </c>
      <c r="H3988" s="2" t="s">
        <v>26504</v>
      </c>
      <c r="I3988" s="2">
        <v>43485</v>
      </c>
      <c r="J3988" s="2"/>
      <c r="K3988" s="2">
        <v>141154</v>
      </c>
      <c r="L3988" s="2"/>
      <c r="M3988" s="2"/>
      <c r="N3988" s="2"/>
      <c r="O3988" s="2">
        <v>5094</v>
      </c>
      <c r="P3988" s="2" t="s">
        <v>26505</v>
      </c>
      <c r="Q3988" s="2" t="s">
        <v>26506</v>
      </c>
      <c r="R3988" s="2" t="s">
        <v>26507</v>
      </c>
      <c r="S3988" s="2" t="s">
        <v>491</v>
      </c>
      <c r="T3988" s="2" t="s">
        <v>3519</v>
      </c>
      <c r="U3988" s="2" t="s">
        <v>7268</v>
      </c>
      <c r="V3988" s="2" t="s">
        <v>59</v>
      </c>
      <c r="W3988" s="2">
        <v>38.5</v>
      </c>
      <c r="X3988" s="2">
        <v>0</v>
      </c>
      <c r="Y3988" s="2" t="s">
        <v>560</v>
      </c>
      <c r="Z3988" s="2" t="s">
        <v>26508</v>
      </c>
      <c r="AA3988" s="2">
        <v>3.4086839126603299</v>
      </c>
      <c r="AB3988" s="2">
        <v>0.17503302368016399</v>
      </c>
      <c r="AC3988" s="2">
        <v>493.11231139448</v>
      </c>
      <c r="AD3988" s="2">
        <v>2657.4036298750798</v>
      </c>
      <c r="AE3988" s="2">
        <v>629.39284767633899</v>
      </c>
      <c r="AF3988" s="2">
        <v>201.15939431042599</v>
      </c>
      <c r="AG3988" s="2">
        <v>684.42819199747498</v>
      </c>
      <c r="AH3988" s="2">
        <v>455.22999725003098</v>
      </c>
      <c r="AI3988" s="2">
        <v>520.52034622948395</v>
      </c>
      <c r="AJ3988" s="2">
        <v>467.94309090312299</v>
      </c>
      <c r="AK3988" s="2">
        <v>2984.4480749345598</v>
      </c>
      <c r="AL3988" s="2">
        <v>3724.9416877997</v>
      </c>
      <c r="AM3988" s="2">
        <v>2419.2108160514599</v>
      </c>
      <c r="AN3988" s="2">
        <v>2571.4844500650502</v>
      </c>
      <c r="AO3988" s="2">
        <v>2371.8500272579699</v>
      </c>
      <c r="AP3988" s="2">
        <v>1872.48672314174</v>
      </c>
    </row>
    <row r="3989" spans="1:42" ht="14.5" x14ac:dyDescent="0.35">
      <c r="A3989" s="2" t="s">
        <v>26509</v>
      </c>
      <c r="B3989" s="2">
        <v>360.09349311943299</v>
      </c>
      <c r="C3989" s="2">
        <v>4.7218999999999998</v>
      </c>
      <c r="D3989" s="2" t="s">
        <v>70</v>
      </c>
      <c r="E3989" s="2" t="s">
        <v>26510</v>
      </c>
      <c r="F3989" s="2">
        <v>82077</v>
      </c>
      <c r="G3989" s="3" t="str">
        <f>HYPERLINK("http://funmeta.oebiotech.com/network/82077", "http://funmeta.oebiotech.com/network/82077")</f>
        <v>http://funmeta.oebiotech.com/network/82077</v>
      </c>
      <c r="H3989" s="2" t="s">
        <v>26511</v>
      </c>
      <c r="I3989" s="2"/>
      <c r="J3989" s="2"/>
      <c r="K3989" s="2">
        <v>16126</v>
      </c>
      <c r="L3989" s="2" t="s">
        <v>26512</v>
      </c>
      <c r="M3989" s="2"/>
      <c r="N3989" s="2"/>
      <c r="O3989" s="2">
        <v>440484</v>
      </c>
      <c r="P3989" s="2"/>
      <c r="Q3989" s="2" t="s">
        <v>26513</v>
      </c>
      <c r="R3989" s="2" t="s">
        <v>26514</v>
      </c>
      <c r="S3989" s="2" t="s">
        <v>79</v>
      </c>
      <c r="T3989" s="2" t="s">
        <v>80</v>
      </c>
      <c r="U3989" s="2" t="s">
        <v>81</v>
      </c>
      <c r="V3989" s="2" t="s">
        <v>59</v>
      </c>
      <c r="W3989" s="2">
        <v>37.9</v>
      </c>
      <c r="X3989" s="2">
        <v>0</v>
      </c>
      <c r="Y3989" s="2" t="s">
        <v>751</v>
      </c>
      <c r="Z3989" s="2" t="s">
        <v>26515</v>
      </c>
      <c r="AA3989" s="2">
        <v>-0.33302606325532202</v>
      </c>
      <c r="AB3989" s="2">
        <v>0.174894173999629</v>
      </c>
      <c r="AC3989" s="2">
        <v>29014.105206935201</v>
      </c>
      <c r="AD3989" s="2">
        <v>31719.405866799199</v>
      </c>
      <c r="AE3989" s="2">
        <v>27791.8102176352</v>
      </c>
      <c r="AF3989" s="2">
        <v>29989.718999584798</v>
      </c>
      <c r="AG3989" s="2">
        <v>28628.570856625702</v>
      </c>
      <c r="AH3989" s="2">
        <v>28022.419709890699</v>
      </c>
      <c r="AI3989" s="2">
        <v>30363.381143211402</v>
      </c>
      <c r="AJ3989" s="2">
        <v>29288.7303146632</v>
      </c>
      <c r="AK3989" s="2">
        <v>33509.229229564902</v>
      </c>
      <c r="AL3989" s="2">
        <v>28888.044357825998</v>
      </c>
      <c r="AM3989" s="2">
        <v>32579.894789021098</v>
      </c>
      <c r="AN3989" s="2">
        <v>32711.465101005699</v>
      </c>
      <c r="AO3989" s="2">
        <v>31050.0978989082</v>
      </c>
      <c r="AP3989" s="2">
        <v>31577.703824469201</v>
      </c>
    </row>
    <row r="3990" spans="1:42" ht="14.5" x14ac:dyDescent="0.35">
      <c r="A3990" s="2" t="s">
        <v>26516</v>
      </c>
      <c r="B3990" s="2">
        <v>415.320555029074</v>
      </c>
      <c r="C3990" s="2">
        <v>8.3059499999999993</v>
      </c>
      <c r="D3990" s="2" t="s">
        <v>34</v>
      </c>
      <c r="E3990" s="2" t="s">
        <v>26517</v>
      </c>
      <c r="F3990" s="2">
        <v>44493</v>
      </c>
      <c r="G3990" s="3" t="str">
        <f>HYPERLINK("http://funmeta.oebiotech.com/network/44493", "http://funmeta.oebiotech.com/network/44493")</f>
        <v>http://funmeta.oebiotech.com/network/44493</v>
      </c>
      <c r="H3990" s="2"/>
      <c r="I3990" s="2">
        <v>43646</v>
      </c>
      <c r="J3990" s="2" t="s">
        <v>26518</v>
      </c>
      <c r="K3990" s="2">
        <v>4629</v>
      </c>
      <c r="L3990" s="2" t="s">
        <v>26519</v>
      </c>
      <c r="M3990" s="2"/>
      <c r="N3990" s="2"/>
      <c r="O3990" s="2">
        <v>99474</v>
      </c>
      <c r="P3990" s="2" t="s">
        <v>26520</v>
      </c>
      <c r="Q3990" s="2" t="s">
        <v>26521</v>
      </c>
      <c r="R3990" s="2" t="s">
        <v>26522</v>
      </c>
      <c r="S3990" s="2" t="s">
        <v>50</v>
      </c>
      <c r="T3990" s="2" t="s">
        <v>201</v>
      </c>
      <c r="U3990" s="2" t="s">
        <v>210</v>
      </c>
      <c r="V3990" s="2" t="s">
        <v>59</v>
      </c>
      <c r="W3990" s="2">
        <v>38.6</v>
      </c>
      <c r="X3990" s="2">
        <v>0</v>
      </c>
      <c r="Y3990" s="2" t="s">
        <v>266</v>
      </c>
      <c r="Z3990" s="2" t="s">
        <v>26523</v>
      </c>
      <c r="AA3990" s="2">
        <v>-0.28145009964227302</v>
      </c>
      <c r="AB3990" s="2">
        <v>0.17478204734611599</v>
      </c>
      <c r="AC3990" s="2">
        <v>1640.5425620708099</v>
      </c>
      <c r="AD3990" s="2">
        <v>4051.17998652286</v>
      </c>
      <c r="AE3990" s="2">
        <v>1446.41057088311</v>
      </c>
      <c r="AF3990" s="2">
        <v>1206.96642669773</v>
      </c>
      <c r="AG3990" s="2">
        <v>1817.09592711444</v>
      </c>
      <c r="AH3990" s="2">
        <v>2219.6309250921599</v>
      </c>
      <c r="AI3990" s="2">
        <v>2633.6279891158101</v>
      </c>
      <c r="AJ3990" s="2">
        <v>519.52353352158195</v>
      </c>
      <c r="AK3990" s="2">
        <v>3360.8558816968002</v>
      </c>
      <c r="AL3990" s="2">
        <v>3314.6807057000301</v>
      </c>
      <c r="AM3990" s="2">
        <v>4675.3062161564903</v>
      </c>
      <c r="AN3990" s="2">
        <v>5667.8708543409803</v>
      </c>
      <c r="AO3990" s="2">
        <v>2894.7514740818401</v>
      </c>
      <c r="AP3990" s="2">
        <v>4393.6147871610501</v>
      </c>
    </row>
    <row r="3991" spans="1:42" ht="14.5" x14ac:dyDescent="0.35">
      <c r="A3991" s="2" t="s">
        <v>26524</v>
      </c>
      <c r="B3991" s="2">
        <v>239.236737534837</v>
      </c>
      <c r="C3991" s="2">
        <v>10.283666666666701</v>
      </c>
      <c r="D3991" s="2" t="s">
        <v>34</v>
      </c>
      <c r="E3991" s="2" t="s">
        <v>26525</v>
      </c>
      <c r="F3991" s="2">
        <v>6554</v>
      </c>
      <c r="G3991" s="3" t="str">
        <f>HYPERLINK("http://funmeta.oebiotech.com/network/6554", "http://funmeta.oebiotech.com/network/6554")</f>
        <v>http://funmeta.oebiotech.com/network/6554</v>
      </c>
      <c r="H3991" s="2" t="s">
        <v>26526</v>
      </c>
      <c r="I3991" s="2">
        <v>75364</v>
      </c>
      <c r="J3991" s="2" t="s">
        <v>26527</v>
      </c>
      <c r="K3991" s="2">
        <v>17585</v>
      </c>
      <c r="L3991" s="2" t="s">
        <v>26528</v>
      </c>
      <c r="M3991" s="2"/>
      <c r="N3991" s="2"/>
      <c r="O3991" s="2">
        <v>5280541</v>
      </c>
      <c r="P3991" s="2"/>
      <c r="Q3991" s="2" t="s">
        <v>26529</v>
      </c>
      <c r="R3991" s="2" t="s">
        <v>26530</v>
      </c>
      <c r="S3991" s="2" t="s">
        <v>50</v>
      </c>
      <c r="T3991" s="2" t="s">
        <v>229</v>
      </c>
      <c r="U3991" s="2" t="s">
        <v>1007</v>
      </c>
      <c r="V3991" s="2" t="s">
        <v>59</v>
      </c>
      <c r="W3991" s="2">
        <v>45.6</v>
      </c>
      <c r="X3991" s="2">
        <v>33.1</v>
      </c>
      <c r="Y3991" s="2" t="s">
        <v>394</v>
      </c>
      <c r="Z3991" s="2" t="s">
        <v>26531</v>
      </c>
      <c r="AA3991" s="2">
        <v>-0.85832645098263105</v>
      </c>
      <c r="AB3991" s="2">
        <v>0.17475034900310299</v>
      </c>
      <c r="AC3991" s="2">
        <v>4980.9878647627402</v>
      </c>
      <c r="AD3991" s="2">
        <v>2947.38595681996</v>
      </c>
      <c r="AE3991" s="2">
        <v>5245.83011347093</v>
      </c>
      <c r="AF3991" s="2">
        <v>5204.1731343565098</v>
      </c>
      <c r="AG3991" s="2">
        <v>4938.1847172055996</v>
      </c>
      <c r="AH3991" s="2">
        <v>5089.8508124886202</v>
      </c>
      <c r="AI3991" s="2">
        <v>4719.4756998050598</v>
      </c>
      <c r="AJ3991" s="2">
        <v>4688.4127112496999</v>
      </c>
      <c r="AK3991" s="2">
        <v>3186.76499185393</v>
      </c>
      <c r="AL3991" s="2">
        <v>2907.37390695156</v>
      </c>
      <c r="AM3991" s="2">
        <v>2993.0574894854399</v>
      </c>
      <c r="AN3991" s="2">
        <v>2999.5684566834698</v>
      </c>
      <c r="AO3991" s="2">
        <v>2914.5067860827398</v>
      </c>
      <c r="AP3991" s="2">
        <v>2683.0441098626002</v>
      </c>
    </row>
    <row r="3992" spans="1:42" ht="14.5" x14ac:dyDescent="0.35">
      <c r="A3992" s="2" t="s">
        <v>26532</v>
      </c>
      <c r="B3992" s="2">
        <v>456.02334596853802</v>
      </c>
      <c r="C3992" s="2">
        <v>3.6547999999999998</v>
      </c>
      <c r="D3992" s="2" t="s">
        <v>70</v>
      </c>
      <c r="E3992" s="2" t="s">
        <v>26533</v>
      </c>
      <c r="F3992" s="2">
        <v>57732</v>
      </c>
      <c r="G3992" s="3" t="str">
        <f>HYPERLINK("http://funmeta.oebiotech.com/network/57732", "http://funmeta.oebiotech.com/network/57732")</f>
        <v>http://funmeta.oebiotech.com/network/57732</v>
      </c>
      <c r="H3992" s="2" t="s">
        <v>26534</v>
      </c>
      <c r="I3992" s="2">
        <v>89325</v>
      </c>
      <c r="J3992" s="2"/>
      <c r="K3992" s="2">
        <v>172702</v>
      </c>
      <c r="L3992" s="2"/>
      <c r="M3992" s="2"/>
      <c r="N3992" s="2"/>
      <c r="O3992" s="2">
        <v>53461850</v>
      </c>
      <c r="P3992" s="2" t="s">
        <v>26535</v>
      </c>
      <c r="Q3992" s="2" t="s">
        <v>26536</v>
      </c>
      <c r="R3992" s="2" t="s">
        <v>26537</v>
      </c>
      <c r="S3992" s="2" t="s">
        <v>115</v>
      </c>
      <c r="T3992" s="2" t="s">
        <v>16891</v>
      </c>
      <c r="U3992" s="2" t="s">
        <v>41</v>
      </c>
      <c r="V3992" s="2" t="s">
        <v>59</v>
      </c>
      <c r="W3992" s="2">
        <v>38.5</v>
      </c>
      <c r="X3992" s="2">
        <v>0</v>
      </c>
      <c r="Y3992" s="2" t="s">
        <v>751</v>
      </c>
      <c r="Z3992" s="2" t="s">
        <v>26538</v>
      </c>
      <c r="AA3992" s="2">
        <v>-3.28245283923901</v>
      </c>
      <c r="AB3992" s="2">
        <v>0.174681932729992</v>
      </c>
      <c r="AC3992" s="2">
        <v>2226.2485516576598</v>
      </c>
      <c r="AD3992" s="2">
        <v>160.62763246266999</v>
      </c>
      <c r="AE3992" s="2">
        <v>1766.9529970345</v>
      </c>
      <c r="AF3992" s="2">
        <v>2325.6685246649499</v>
      </c>
      <c r="AG3992" s="2">
        <v>2227.63202059779</v>
      </c>
      <c r="AH3992" s="2">
        <v>2423.2864681729902</v>
      </c>
      <c r="AI3992" s="2">
        <v>2751.0184684589899</v>
      </c>
      <c r="AJ3992" s="2">
        <v>1862.93283101673</v>
      </c>
      <c r="AK3992" s="2">
        <v>318.134965541231</v>
      </c>
      <c r="AL3992" s="2">
        <v>243.55481539229399</v>
      </c>
      <c r="AM3992" s="2">
        <v>68.720502682589498</v>
      </c>
      <c r="AN3992" s="2">
        <v>228.45275088483999</v>
      </c>
      <c r="AO3992" s="2">
        <v>22.921647995249302</v>
      </c>
      <c r="AP3992" s="2">
        <v>81.9811122798139</v>
      </c>
    </row>
    <row r="3993" spans="1:42" ht="14.5" x14ac:dyDescent="0.35">
      <c r="A3993" s="2" t="s">
        <v>26539</v>
      </c>
      <c r="B3993" s="2">
        <v>231.065003345565</v>
      </c>
      <c r="C3993" s="2">
        <v>4.5991</v>
      </c>
      <c r="D3993" s="2" t="s">
        <v>34</v>
      </c>
      <c r="E3993" s="2" t="s">
        <v>26540</v>
      </c>
      <c r="F3993" s="2">
        <v>211627</v>
      </c>
      <c r="G3993" s="3" t="str">
        <f>HYPERLINK("http://funmeta.oebiotech.com/network/211627", "http://funmeta.oebiotech.com/network/211627")</f>
        <v>http://funmeta.oebiotech.com/network/211627</v>
      </c>
      <c r="H3993" s="2" t="s">
        <v>26541</v>
      </c>
      <c r="I3993" s="2"/>
      <c r="J3993" s="2"/>
      <c r="K3993" s="2"/>
      <c r="L3993" s="2"/>
      <c r="M3993" s="2"/>
      <c r="N3993" s="2"/>
      <c r="O3993" s="2">
        <v>87845781</v>
      </c>
      <c r="P3993" s="2"/>
      <c r="Q3993" s="2" t="s">
        <v>26542</v>
      </c>
      <c r="R3993" s="2" t="s">
        <v>26543</v>
      </c>
      <c r="S3993" s="2" t="s">
        <v>41</v>
      </c>
      <c r="T3993" s="2" t="s">
        <v>41</v>
      </c>
      <c r="U3993" s="2" t="s">
        <v>41</v>
      </c>
      <c r="V3993" s="2" t="s">
        <v>59</v>
      </c>
      <c r="W3993" s="2">
        <v>39.1</v>
      </c>
      <c r="X3993" s="2">
        <v>0</v>
      </c>
      <c r="Y3993" s="2" t="s">
        <v>394</v>
      </c>
      <c r="Z3993" s="2" t="s">
        <v>26544</v>
      </c>
      <c r="AA3993" s="2">
        <v>-2.1412683535178001</v>
      </c>
      <c r="AB3993" s="2">
        <v>0.17463493735301999</v>
      </c>
      <c r="AC3993" s="2">
        <v>7252.3368683958097</v>
      </c>
      <c r="AD3993" s="2">
        <v>9453.3432332246302</v>
      </c>
      <c r="AE3993" s="2">
        <v>6401.4725785029004</v>
      </c>
      <c r="AF3993" s="2">
        <v>7906.5632459287299</v>
      </c>
      <c r="AG3993" s="2">
        <v>6555.6612979269603</v>
      </c>
      <c r="AH3993" s="2">
        <v>7191.9333070036701</v>
      </c>
      <c r="AI3993" s="2">
        <v>7850.1267359659796</v>
      </c>
      <c r="AJ3993" s="2">
        <v>7608.2640450466197</v>
      </c>
      <c r="AK3993" s="2">
        <v>9733.3193190159</v>
      </c>
      <c r="AL3993" s="2">
        <v>9530.2364102722495</v>
      </c>
      <c r="AM3993" s="2">
        <v>9713.7058477030205</v>
      </c>
      <c r="AN3993" s="2">
        <v>9795.9958111981396</v>
      </c>
      <c r="AO3993" s="2">
        <v>9409.5652201599005</v>
      </c>
      <c r="AP3993" s="2">
        <v>8537.2367909985896</v>
      </c>
    </row>
    <row r="3994" spans="1:42" ht="14.5" x14ac:dyDescent="0.35">
      <c r="A3994" s="2" t="s">
        <v>26545</v>
      </c>
      <c r="B3994" s="2">
        <v>339.05732681462001</v>
      </c>
      <c r="C3994" s="2">
        <v>3.6738166666666698</v>
      </c>
      <c r="D3994" s="2" t="s">
        <v>70</v>
      </c>
      <c r="E3994" s="2" t="s">
        <v>26546</v>
      </c>
      <c r="F3994" s="2">
        <v>211618</v>
      </c>
      <c r="G3994" s="3" t="str">
        <f>HYPERLINK("http://funmeta.oebiotech.com/network/211618", "http://funmeta.oebiotech.com/network/211618")</f>
        <v>http://funmeta.oebiotech.com/network/211618</v>
      </c>
      <c r="H3994" s="2" t="s">
        <v>26547</v>
      </c>
      <c r="I3994" s="2"/>
      <c r="J3994" s="2"/>
      <c r="K3994" s="2"/>
      <c r="L3994" s="2"/>
      <c r="M3994" s="2"/>
      <c r="N3994" s="2"/>
      <c r="O3994" s="2">
        <v>11580187</v>
      </c>
      <c r="P3994" s="2"/>
      <c r="Q3994" s="2" t="s">
        <v>26548</v>
      </c>
      <c r="R3994" s="2" t="s">
        <v>26549</v>
      </c>
      <c r="S3994" s="2" t="s">
        <v>89</v>
      </c>
      <c r="T3994" s="2" t="s">
        <v>90</v>
      </c>
      <c r="U3994" s="2" t="s">
        <v>1248</v>
      </c>
      <c r="V3994" s="2" t="s">
        <v>59</v>
      </c>
      <c r="W3994" s="2">
        <v>42.4</v>
      </c>
      <c r="X3994" s="2">
        <v>17.3</v>
      </c>
      <c r="Y3994" s="2" t="s">
        <v>408</v>
      </c>
      <c r="Z3994" s="2" t="s">
        <v>26550</v>
      </c>
      <c r="AA3994" s="2">
        <v>1.45311138333162</v>
      </c>
      <c r="AB3994" s="2">
        <v>0.174599370720838</v>
      </c>
      <c r="AC3994" s="2">
        <v>5543.0665676521803</v>
      </c>
      <c r="AD3994" s="2">
        <v>3406.3788173316202</v>
      </c>
      <c r="AE3994" s="2">
        <v>5554.9798328808001</v>
      </c>
      <c r="AF3994" s="2">
        <v>5693.3984998078704</v>
      </c>
      <c r="AG3994" s="2">
        <v>5179.8142512081604</v>
      </c>
      <c r="AH3994" s="2">
        <v>6643.37774742699</v>
      </c>
      <c r="AI3994" s="2">
        <v>4848.2172802548002</v>
      </c>
      <c r="AJ3994" s="2">
        <v>5338.6117943344898</v>
      </c>
      <c r="AK3994" s="2">
        <v>3615.0806388925498</v>
      </c>
      <c r="AL3994" s="2">
        <v>3295.44193552864</v>
      </c>
      <c r="AM3994" s="2">
        <v>3292.1815952803599</v>
      </c>
      <c r="AN3994" s="2">
        <v>3613.6264888703699</v>
      </c>
      <c r="AO3994" s="2">
        <v>3271.5515687207999</v>
      </c>
      <c r="AP3994" s="2">
        <v>3350.3906766970099</v>
      </c>
    </row>
    <row r="3995" spans="1:42" ht="14.5" x14ac:dyDescent="0.35">
      <c r="A3995" s="2" t="s">
        <v>26551</v>
      </c>
      <c r="B3995" s="2">
        <v>447.09253251397502</v>
      </c>
      <c r="C3995" s="2">
        <v>4.1877333333333304</v>
      </c>
      <c r="D3995" s="2" t="s">
        <v>70</v>
      </c>
      <c r="E3995" s="2" t="s">
        <v>26552</v>
      </c>
      <c r="F3995" s="2">
        <v>64356</v>
      </c>
      <c r="G3995" s="3" t="str">
        <f>HYPERLINK("http://funmeta.oebiotech.com/network/64356", "http://funmeta.oebiotech.com/network/64356")</f>
        <v>http://funmeta.oebiotech.com/network/64356</v>
      </c>
      <c r="H3995" s="2" t="s">
        <v>26553</v>
      </c>
      <c r="I3995" s="2">
        <v>95674</v>
      </c>
      <c r="J3995" s="2"/>
      <c r="K3995" s="2">
        <v>172642</v>
      </c>
      <c r="L3995" s="2"/>
      <c r="M3995" s="2"/>
      <c r="N3995" s="2"/>
      <c r="O3995" s="2">
        <v>131753088</v>
      </c>
      <c r="P3995" s="2" t="s">
        <v>26554</v>
      </c>
      <c r="Q3995" s="2" t="s">
        <v>26555</v>
      </c>
      <c r="R3995" s="2" t="s">
        <v>26556</v>
      </c>
      <c r="S3995" s="2" t="s">
        <v>115</v>
      </c>
      <c r="T3995" s="2" t="s">
        <v>139</v>
      </c>
      <c r="U3995" s="2" t="s">
        <v>1806</v>
      </c>
      <c r="V3995" s="2" t="s">
        <v>59</v>
      </c>
      <c r="W3995" s="2">
        <v>38.6</v>
      </c>
      <c r="X3995" s="2">
        <v>0</v>
      </c>
      <c r="Y3995" s="2" t="s">
        <v>408</v>
      </c>
      <c r="Z3995" s="2" t="s">
        <v>26557</v>
      </c>
      <c r="AA3995" s="2">
        <v>-1.8714710984579399</v>
      </c>
      <c r="AB3995" s="2">
        <v>0.174563272107784</v>
      </c>
      <c r="AC3995" s="2">
        <v>5929.7214211788796</v>
      </c>
      <c r="AD3995" s="2">
        <v>3002.84494102089</v>
      </c>
      <c r="AE3995" s="2">
        <v>9320.8754831296392</v>
      </c>
      <c r="AF3995" s="2">
        <v>5368.6839725731897</v>
      </c>
      <c r="AG3995" s="2">
        <v>3533.09077167846</v>
      </c>
      <c r="AH3995" s="2">
        <v>6685.0530765719404</v>
      </c>
      <c r="AI3995" s="2">
        <v>4244.0559503249397</v>
      </c>
      <c r="AJ3995" s="2">
        <v>6426.56927279508</v>
      </c>
      <c r="AK3995" s="2">
        <v>2643.9170165547998</v>
      </c>
      <c r="AL3995" s="2">
        <v>2749.6958548060302</v>
      </c>
      <c r="AM3995" s="2">
        <v>2028.1696448580501</v>
      </c>
      <c r="AN3995" s="2">
        <v>1373.07682771595</v>
      </c>
      <c r="AO3995" s="2">
        <v>4353.6219257469502</v>
      </c>
      <c r="AP3995" s="2">
        <v>4868.5883764435403</v>
      </c>
    </row>
    <row r="3996" spans="1:42" ht="14.5" x14ac:dyDescent="0.35">
      <c r="A3996" s="2" t="s">
        <v>26558</v>
      </c>
      <c r="B3996" s="2">
        <v>508.18209682865898</v>
      </c>
      <c r="C3996" s="2">
        <v>2.0493000000000001</v>
      </c>
      <c r="D3996" s="2" t="s">
        <v>70</v>
      </c>
      <c r="E3996" s="2" t="s">
        <v>26559</v>
      </c>
      <c r="F3996" s="2">
        <v>208522</v>
      </c>
      <c r="G3996" s="3" t="str">
        <f>HYPERLINK("http://funmeta.oebiotech.com/network/208522", "http://funmeta.oebiotech.com/network/208522")</f>
        <v>http://funmeta.oebiotech.com/network/208522</v>
      </c>
      <c r="H3996" s="2" t="s">
        <v>26560</v>
      </c>
      <c r="I3996" s="2"/>
      <c r="J3996" s="2"/>
      <c r="K3996" s="2"/>
      <c r="L3996" s="2"/>
      <c r="M3996" s="2"/>
      <c r="N3996" s="2"/>
      <c r="O3996" s="2">
        <v>3080969</v>
      </c>
      <c r="P3996" s="2"/>
      <c r="Q3996" s="2" t="s">
        <v>26561</v>
      </c>
      <c r="R3996" s="2" t="s">
        <v>26562</v>
      </c>
      <c r="S3996" s="2" t="s">
        <v>79</v>
      </c>
      <c r="T3996" s="2" t="s">
        <v>80</v>
      </c>
      <c r="U3996" s="2" t="s">
        <v>2820</v>
      </c>
      <c r="V3996" s="2" t="s">
        <v>59</v>
      </c>
      <c r="W3996" s="2">
        <v>41.5</v>
      </c>
      <c r="X3996" s="2">
        <v>19.100000000000001</v>
      </c>
      <c r="Y3996" s="2" t="s">
        <v>408</v>
      </c>
      <c r="Z3996" s="2" t="s">
        <v>26563</v>
      </c>
      <c r="AA3996" s="2">
        <v>-3.6161853975486999</v>
      </c>
      <c r="AB3996" s="2">
        <v>0.17450882118776101</v>
      </c>
      <c r="AC3996" s="2">
        <v>14115.760768219399</v>
      </c>
      <c r="AD3996" s="2">
        <v>11567.534395345299</v>
      </c>
      <c r="AE3996" s="2">
        <v>13833.8574310201</v>
      </c>
      <c r="AF3996" s="2">
        <v>14338.6946343893</v>
      </c>
      <c r="AG3996" s="2">
        <v>14319.190883053099</v>
      </c>
      <c r="AH3996" s="2">
        <v>13729.991557887701</v>
      </c>
      <c r="AI3996" s="2">
        <v>13594.717582986001</v>
      </c>
      <c r="AJ3996" s="2">
        <v>14878.112519980201</v>
      </c>
      <c r="AK3996" s="2">
        <v>9764.6255988513603</v>
      </c>
      <c r="AL3996" s="2">
        <v>11654.495797137601</v>
      </c>
      <c r="AM3996" s="2">
        <v>11226.952968768601</v>
      </c>
      <c r="AN3996" s="2">
        <v>14221.659231863499</v>
      </c>
      <c r="AO3996" s="2">
        <v>10886.6287695684</v>
      </c>
      <c r="AP3996" s="2">
        <v>11650.8440058826</v>
      </c>
    </row>
    <row r="3997" spans="1:42" ht="14.5" x14ac:dyDescent="0.35">
      <c r="A3997" s="2" t="s">
        <v>26564</v>
      </c>
      <c r="B3997" s="2">
        <v>234.112114560425</v>
      </c>
      <c r="C3997" s="2">
        <v>6.0057166666666699</v>
      </c>
      <c r="D3997" s="2" t="s">
        <v>34</v>
      </c>
      <c r="E3997" s="2" t="s">
        <v>26565</v>
      </c>
      <c r="F3997" s="2">
        <v>257901</v>
      </c>
      <c r="G3997" s="3" t="str">
        <f>HYPERLINK("http://funmeta.oebiotech.com/network/257901", "http://funmeta.oebiotech.com/network/257901")</f>
        <v>http://funmeta.oebiotech.com/network/257901</v>
      </c>
      <c r="H3997" s="2"/>
      <c r="I3997" s="2">
        <v>1371</v>
      </c>
      <c r="J3997" s="2"/>
      <c r="K3997" s="2"/>
      <c r="L3997" s="2"/>
      <c r="M3997" s="2"/>
      <c r="N3997" s="2"/>
      <c r="O3997" s="2">
        <v>32176</v>
      </c>
      <c r="P3997" s="2" t="s">
        <v>26566</v>
      </c>
      <c r="Q3997" s="2" t="s">
        <v>26567</v>
      </c>
      <c r="R3997" s="2" t="s">
        <v>26568</v>
      </c>
      <c r="S3997" s="2" t="s">
        <v>148</v>
      </c>
      <c r="T3997" s="2" t="s">
        <v>6221</v>
      </c>
      <c r="U3997" s="2" t="s">
        <v>41</v>
      </c>
      <c r="V3997" s="2" t="s">
        <v>59</v>
      </c>
      <c r="W3997" s="2">
        <v>38.9</v>
      </c>
      <c r="X3997" s="2">
        <v>0</v>
      </c>
      <c r="Y3997" s="2" t="s">
        <v>43</v>
      </c>
      <c r="Z3997" s="2" t="s">
        <v>26569</v>
      </c>
      <c r="AA3997" s="2">
        <v>-1.64390653283303</v>
      </c>
      <c r="AB3997" s="2">
        <v>0.174498270938169</v>
      </c>
      <c r="AC3997" s="2">
        <v>6330.0217769513702</v>
      </c>
      <c r="AD3997" s="2">
        <v>8619.1651203572201</v>
      </c>
      <c r="AE3997" s="2">
        <v>7342.1351617503797</v>
      </c>
      <c r="AF3997" s="2">
        <v>6350.5277195670496</v>
      </c>
      <c r="AG3997" s="2">
        <v>6646.62070246037</v>
      </c>
      <c r="AH3997" s="2">
        <v>5722.8568197510704</v>
      </c>
      <c r="AI3997" s="2">
        <v>5924.1328208838004</v>
      </c>
      <c r="AJ3997" s="2">
        <v>5993.85743729557</v>
      </c>
      <c r="AK3997" s="2">
        <v>9365.6783234498198</v>
      </c>
      <c r="AL3997" s="2">
        <v>8317.42611193218</v>
      </c>
      <c r="AM3997" s="2">
        <v>8303.2321208263402</v>
      </c>
      <c r="AN3997" s="2">
        <v>9013.5852932029502</v>
      </c>
      <c r="AO3997" s="2">
        <v>7377.2261179566103</v>
      </c>
      <c r="AP3997" s="2">
        <v>9337.8427547754309</v>
      </c>
    </row>
    <row r="3998" spans="1:42" ht="14.5" x14ac:dyDescent="0.35">
      <c r="A3998" s="2" t="s">
        <v>26570</v>
      </c>
      <c r="B3998" s="2">
        <v>137.13248310720499</v>
      </c>
      <c r="C3998" s="2">
        <v>1.0433666666666701</v>
      </c>
      <c r="D3998" s="2" t="s">
        <v>34</v>
      </c>
      <c r="E3998" s="2" t="s">
        <v>26571</v>
      </c>
      <c r="F3998" s="2">
        <v>35359</v>
      </c>
      <c r="G3998" s="3" t="str">
        <f>HYPERLINK("http://funmeta.oebiotech.com/network/35359", "http://funmeta.oebiotech.com/network/35359")</f>
        <v>http://funmeta.oebiotech.com/network/35359</v>
      </c>
      <c r="H3998" s="2" t="s">
        <v>26572</v>
      </c>
      <c r="I3998" s="2">
        <v>41087</v>
      </c>
      <c r="J3998" s="2" t="s">
        <v>26573</v>
      </c>
      <c r="K3998" s="2">
        <v>15382</v>
      </c>
      <c r="L3998" s="2" t="s">
        <v>26574</v>
      </c>
      <c r="M3998" s="2" t="s">
        <v>7753</v>
      </c>
      <c r="N3998" s="2" t="s">
        <v>7754</v>
      </c>
      <c r="O3998" s="2">
        <v>440917</v>
      </c>
      <c r="P3998" s="2" t="s">
        <v>26575</v>
      </c>
      <c r="Q3998" s="2" t="s">
        <v>26576</v>
      </c>
      <c r="R3998" s="2" t="s">
        <v>26577</v>
      </c>
      <c r="S3998" s="2" t="s">
        <v>50</v>
      </c>
      <c r="T3998" s="2" t="s">
        <v>201</v>
      </c>
      <c r="U3998" s="2" t="s">
        <v>265</v>
      </c>
      <c r="V3998" s="2" t="s">
        <v>59</v>
      </c>
      <c r="W3998" s="2">
        <v>38.700000000000003</v>
      </c>
      <c r="X3998" s="2">
        <v>0</v>
      </c>
      <c r="Y3998" s="2" t="s">
        <v>394</v>
      </c>
      <c r="Z3998" s="2" t="s">
        <v>14310</v>
      </c>
      <c r="AA3998" s="2">
        <v>4.5267776529066397E-2</v>
      </c>
      <c r="AB3998" s="2">
        <v>0.174425886031293</v>
      </c>
      <c r="AC3998" s="2">
        <v>14247.889961998801</v>
      </c>
      <c r="AD3998" s="2">
        <v>11753.5533327306</v>
      </c>
      <c r="AE3998" s="2">
        <v>12171.646034982101</v>
      </c>
      <c r="AF3998" s="2">
        <v>13805.643162026599</v>
      </c>
      <c r="AG3998" s="2">
        <v>14707.9376179625</v>
      </c>
      <c r="AH3998" s="2">
        <v>14359.381587776499</v>
      </c>
      <c r="AI3998" s="2">
        <v>15535.2409754988</v>
      </c>
      <c r="AJ3998" s="2">
        <v>14907.490393746501</v>
      </c>
      <c r="AK3998" s="2">
        <v>12589.8016151584</v>
      </c>
      <c r="AL3998" s="2">
        <v>12808.757912696899</v>
      </c>
      <c r="AM3998" s="2">
        <v>10868.741841638501</v>
      </c>
      <c r="AN3998" s="2">
        <v>11192.831169663499</v>
      </c>
      <c r="AO3998" s="2">
        <v>11976.377514141701</v>
      </c>
      <c r="AP3998" s="2">
        <v>11084.8099430845</v>
      </c>
    </row>
    <row r="3999" spans="1:42" ht="14.5" x14ac:dyDescent="0.35">
      <c r="A3999" s="2" t="s">
        <v>26578</v>
      </c>
      <c r="B3999" s="2">
        <v>160.10797307622099</v>
      </c>
      <c r="C3999" s="2">
        <v>1.06171666666667</v>
      </c>
      <c r="D3999" s="2" t="s">
        <v>34</v>
      </c>
      <c r="E3999" s="2" t="s">
        <v>26579</v>
      </c>
      <c r="F3999" s="2">
        <v>197266</v>
      </c>
      <c r="G3999" s="3" t="str">
        <f>HYPERLINK("http://funmeta.oebiotech.com/network/197266", "http://funmeta.oebiotech.com/network/197266")</f>
        <v>http://funmeta.oebiotech.com/network/197266</v>
      </c>
      <c r="H3999" s="2" t="s">
        <v>26580</v>
      </c>
      <c r="I3999" s="2">
        <v>43384</v>
      </c>
      <c r="J3999" s="2"/>
      <c r="K3999" s="2">
        <v>27592</v>
      </c>
      <c r="L3999" s="2" t="s">
        <v>26581</v>
      </c>
      <c r="M3999" s="2" t="s">
        <v>26582</v>
      </c>
      <c r="N3999" s="2" t="s">
        <v>26583</v>
      </c>
      <c r="O3999" s="2">
        <v>126041</v>
      </c>
      <c r="P3999" s="2" t="s">
        <v>26584</v>
      </c>
      <c r="Q3999" s="2" t="s">
        <v>26585</v>
      </c>
      <c r="R3999" s="2" t="s">
        <v>26586</v>
      </c>
      <c r="S3999" s="2" t="s">
        <v>89</v>
      </c>
      <c r="T3999" s="2" t="s">
        <v>90</v>
      </c>
      <c r="U3999" s="2" t="s">
        <v>99</v>
      </c>
      <c r="V3999" s="2" t="s">
        <v>59</v>
      </c>
      <c r="W3999" s="2">
        <v>39.299999999999997</v>
      </c>
      <c r="X3999" s="2">
        <v>0</v>
      </c>
      <c r="Y3999" s="2" t="s">
        <v>43</v>
      </c>
      <c r="Z3999" s="2" t="s">
        <v>26587</v>
      </c>
      <c r="AA3999" s="2">
        <v>-0.56324922754886098</v>
      </c>
      <c r="AB3999" s="2">
        <v>0.17425506586310399</v>
      </c>
      <c r="AC3999" s="2">
        <v>7986.5941149494802</v>
      </c>
      <c r="AD3999" s="2">
        <v>5623.5974414611801</v>
      </c>
      <c r="AE3999" s="2">
        <v>9292.8658763092299</v>
      </c>
      <c r="AF3999" s="2">
        <v>7705.9784165824203</v>
      </c>
      <c r="AG3999" s="2">
        <v>6707.8930440466202</v>
      </c>
      <c r="AH3999" s="2">
        <v>9144.0851867567108</v>
      </c>
      <c r="AI3999" s="2">
        <v>6916.8355583558796</v>
      </c>
      <c r="AJ3999" s="2">
        <v>8151.9066076460304</v>
      </c>
      <c r="AK3999" s="2">
        <v>5724.9587271124901</v>
      </c>
      <c r="AL3999" s="2">
        <v>5714.6928983526504</v>
      </c>
      <c r="AM3999" s="2">
        <v>5708.9164212784399</v>
      </c>
      <c r="AN3999" s="2">
        <v>6059.9126178359202</v>
      </c>
      <c r="AO3999" s="2">
        <v>5789.4069162915002</v>
      </c>
      <c r="AP3999" s="2">
        <v>4743.6970678961097</v>
      </c>
    </row>
    <row r="4000" spans="1:42" ht="14.5" x14ac:dyDescent="0.35">
      <c r="A4000" s="2" t="s">
        <v>26588</v>
      </c>
      <c r="B4000" s="2">
        <v>258.144855624505</v>
      </c>
      <c r="C4000" s="2">
        <v>1.43973333333333</v>
      </c>
      <c r="D4000" s="2" t="s">
        <v>34</v>
      </c>
      <c r="E4000" s="2" t="s">
        <v>26589</v>
      </c>
      <c r="F4000" s="2">
        <v>48175</v>
      </c>
      <c r="G4000" s="3" t="str">
        <f>HYPERLINK("http://funmeta.oebiotech.com/network/48175", "http://funmeta.oebiotech.com/network/48175")</f>
        <v>http://funmeta.oebiotech.com/network/48175</v>
      </c>
      <c r="H4000" s="2" t="s">
        <v>26590</v>
      </c>
      <c r="I4000" s="2"/>
      <c r="J4000" s="2"/>
      <c r="K4000" s="2">
        <v>88494</v>
      </c>
      <c r="L4000" s="2"/>
      <c r="M4000" s="2"/>
      <c r="N4000" s="2"/>
      <c r="O4000" s="2">
        <v>7015684</v>
      </c>
      <c r="P4000" s="2" t="s">
        <v>26591</v>
      </c>
      <c r="Q4000" s="2" t="s">
        <v>26592</v>
      </c>
      <c r="R4000" s="2" t="s">
        <v>26593</v>
      </c>
      <c r="S4000" s="2" t="s">
        <v>89</v>
      </c>
      <c r="T4000" s="2" t="s">
        <v>90</v>
      </c>
      <c r="U4000" s="2" t="s">
        <v>99</v>
      </c>
      <c r="V4000" s="2" t="s">
        <v>59</v>
      </c>
      <c r="W4000" s="2">
        <v>38.799999999999997</v>
      </c>
      <c r="X4000" s="2">
        <v>0</v>
      </c>
      <c r="Y4000" s="2" t="s">
        <v>141</v>
      </c>
      <c r="Z4000" s="2" t="s">
        <v>26594</v>
      </c>
      <c r="AA4000" s="2">
        <v>8.3914202692200499E-2</v>
      </c>
      <c r="AB4000" s="2">
        <v>0.17406117005392799</v>
      </c>
      <c r="AC4000" s="2">
        <v>3772.0974290481099</v>
      </c>
      <c r="AD4000" s="2">
        <v>1632.9319013538</v>
      </c>
      <c r="AE4000" s="2">
        <v>4035.1003594983999</v>
      </c>
      <c r="AF4000" s="2">
        <v>3602.3780446953401</v>
      </c>
      <c r="AG4000" s="2">
        <v>3166.9404467611498</v>
      </c>
      <c r="AH4000" s="2">
        <v>4971.4928548159696</v>
      </c>
      <c r="AI4000" s="2">
        <v>3403.80149319463</v>
      </c>
      <c r="AJ4000" s="2">
        <v>3452.8713753232</v>
      </c>
      <c r="AK4000" s="2">
        <v>1748.8213046616399</v>
      </c>
      <c r="AL4000" s="2">
        <v>1601.2897893235299</v>
      </c>
      <c r="AM4000" s="2">
        <v>1608.3719028708199</v>
      </c>
      <c r="AN4000" s="2">
        <v>1699.98451141802</v>
      </c>
      <c r="AO4000" s="2">
        <v>1463.01819300082</v>
      </c>
      <c r="AP4000" s="2">
        <v>1676.1057068479899</v>
      </c>
    </row>
    <row r="4001" spans="1:42" ht="14.5" x14ac:dyDescent="0.35">
      <c r="A4001" s="2" t="s">
        <v>26595</v>
      </c>
      <c r="B4001" s="2">
        <v>495.08305146831498</v>
      </c>
      <c r="C4001" s="2">
        <v>8.3740000000000006</v>
      </c>
      <c r="D4001" s="2" t="s">
        <v>70</v>
      </c>
      <c r="E4001" s="2" t="s">
        <v>26596</v>
      </c>
      <c r="F4001" s="2">
        <v>212226</v>
      </c>
      <c r="G4001" s="3" t="str">
        <f>HYPERLINK("http://funmeta.oebiotech.com/network/212226", "http://funmeta.oebiotech.com/network/212226")</f>
        <v>http://funmeta.oebiotech.com/network/212226</v>
      </c>
      <c r="H4001" s="2" t="s">
        <v>26597</v>
      </c>
      <c r="I4001" s="2"/>
      <c r="J4001" s="2"/>
      <c r="K4001" s="2"/>
      <c r="L4001" s="2"/>
      <c r="M4001" s="2"/>
      <c r="N4001" s="2"/>
      <c r="O4001" s="2">
        <v>11511576</v>
      </c>
      <c r="P4001" s="2"/>
      <c r="Q4001" s="2" t="s">
        <v>26598</v>
      </c>
      <c r="R4001" s="2" t="s">
        <v>26599</v>
      </c>
      <c r="S4001" s="2" t="s">
        <v>491</v>
      </c>
      <c r="T4001" s="2" t="s">
        <v>2238</v>
      </c>
      <c r="U4001" s="2" t="s">
        <v>6482</v>
      </c>
      <c r="V4001" s="2" t="s">
        <v>59</v>
      </c>
      <c r="W4001" s="2">
        <v>37.700000000000003</v>
      </c>
      <c r="X4001" s="2">
        <v>0</v>
      </c>
      <c r="Y4001" s="2" t="s">
        <v>408</v>
      </c>
      <c r="Z4001" s="2" t="s">
        <v>26600</v>
      </c>
      <c r="AA4001" s="2">
        <v>-0.99650214718617702</v>
      </c>
      <c r="AB4001" s="2">
        <v>0.17376072429807099</v>
      </c>
      <c r="AC4001" s="2">
        <v>2162.9353522911201</v>
      </c>
      <c r="AD4001" s="2">
        <v>125.003893365219</v>
      </c>
      <c r="AE4001" s="2">
        <v>2441.1966803814998</v>
      </c>
      <c r="AF4001" s="2">
        <v>1773.8826811520801</v>
      </c>
      <c r="AG4001" s="2">
        <v>2440.2137079467502</v>
      </c>
      <c r="AH4001" s="2">
        <v>1643.4589647175701</v>
      </c>
      <c r="AI4001" s="2">
        <v>2342.4449515711199</v>
      </c>
      <c r="AJ4001" s="2">
        <v>2336.4151279777202</v>
      </c>
      <c r="AK4001" s="2">
        <v>2.7106294003980101E-5</v>
      </c>
      <c r="AL4001" s="2">
        <v>124.19661454441101</v>
      </c>
      <c r="AM4001" s="2">
        <v>183.19044179247399</v>
      </c>
      <c r="AN4001" s="2">
        <v>221.97839508405599</v>
      </c>
      <c r="AO4001" s="2">
        <v>220.65785455778399</v>
      </c>
      <c r="AP4001" s="2">
        <v>2.7106294003980101E-5</v>
      </c>
    </row>
    <row r="4002" spans="1:42" ht="14.5" x14ac:dyDescent="0.35">
      <c r="A4002" s="2" t="s">
        <v>26601</v>
      </c>
      <c r="B4002" s="2">
        <v>529.09621224859802</v>
      </c>
      <c r="C4002" s="2">
        <v>5.0964166666666699</v>
      </c>
      <c r="D4002" s="2" t="s">
        <v>70</v>
      </c>
      <c r="E4002" s="2" t="s">
        <v>26602</v>
      </c>
      <c r="F4002" s="2">
        <v>54757</v>
      </c>
      <c r="G4002" s="3" t="str">
        <f>HYPERLINK("http://funmeta.oebiotech.com/network/54757", "http://funmeta.oebiotech.com/network/54757")</f>
        <v>http://funmeta.oebiotech.com/network/54757</v>
      </c>
      <c r="H4002" s="2" t="s">
        <v>26603</v>
      </c>
      <c r="I4002" s="2"/>
      <c r="J4002" s="2"/>
      <c r="K4002" s="2"/>
      <c r="L4002" s="2"/>
      <c r="M4002" s="2"/>
      <c r="N4002" s="2"/>
      <c r="O4002" s="2">
        <v>74978317</v>
      </c>
      <c r="P4002" s="2" t="s">
        <v>26604</v>
      </c>
      <c r="Q4002" s="2" t="s">
        <v>26605</v>
      </c>
      <c r="R4002" s="2" t="s">
        <v>26606</v>
      </c>
      <c r="S4002" s="2" t="s">
        <v>115</v>
      </c>
      <c r="T4002" s="2" t="s">
        <v>139</v>
      </c>
      <c r="U4002" s="2" t="s">
        <v>140</v>
      </c>
      <c r="V4002" s="2" t="s">
        <v>59</v>
      </c>
      <c r="W4002" s="2">
        <v>36.700000000000003</v>
      </c>
      <c r="X4002" s="2">
        <v>0</v>
      </c>
      <c r="Y4002" s="2" t="s">
        <v>751</v>
      </c>
      <c r="Z4002" s="2" t="s">
        <v>26607</v>
      </c>
      <c r="AA4002" s="2">
        <v>-4.6560802886826096</v>
      </c>
      <c r="AB4002" s="2">
        <v>0.173756979240066</v>
      </c>
      <c r="AC4002" s="2">
        <v>9064.5071843673304</v>
      </c>
      <c r="AD4002" s="2">
        <v>6814.9874343915999</v>
      </c>
      <c r="AE4002" s="2">
        <v>9019.4041983573006</v>
      </c>
      <c r="AF4002" s="2">
        <v>9423.9762457665893</v>
      </c>
      <c r="AG4002" s="2">
        <v>8623.1380740496807</v>
      </c>
      <c r="AH4002" s="2">
        <v>9980.5046895643409</v>
      </c>
      <c r="AI4002" s="2">
        <v>7460.5191921239102</v>
      </c>
      <c r="AJ4002" s="2">
        <v>9879.5007063421708</v>
      </c>
      <c r="AK4002" s="2">
        <v>6444.4984694389796</v>
      </c>
      <c r="AL4002" s="2">
        <v>7015.3807707492697</v>
      </c>
      <c r="AM4002" s="2">
        <v>6906.5120879348096</v>
      </c>
      <c r="AN4002" s="2">
        <v>6529.0116360579896</v>
      </c>
      <c r="AO4002" s="2">
        <v>6954.1077398971702</v>
      </c>
      <c r="AP4002" s="2">
        <v>7040.4139022713798</v>
      </c>
    </row>
    <row r="4003" spans="1:42" ht="14.5" x14ac:dyDescent="0.35">
      <c r="A4003" s="2" t="s">
        <v>26608</v>
      </c>
      <c r="B4003" s="2">
        <v>459.17184368915002</v>
      </c>
      <c r="C4003" s="2">
        <v>1.6372</v>
      </c>
      <c r="D4003" s="2" t="s">
        <v>70</v>
      </c>
      <c r="E4003" s="2" t="s">
        <v>26609</v>
      </c>
      <c r="F4003" s="2">
        <v>62415</v>
      </c>
      <c r="G4003" s="3" t="str">
        <f>HYPERLINK("http://funmeta.oebiotech.com/network/62415", "http://funmeta.oebiotech.com/network/62415")</f>
        <v>http://funmeta.oebiotech.com/network/62415</v>
      </c>
      <c r="H4003" s="2" t="s">
        <v>26610</v>
      </c>
      <c r="I4003" s="2">
        <v>93711</v>
      </c>
      <c r="J4003" s="2"/>
      <c r="K4003" s="2">
        <v>174184</v>
      </c>
      <c r="L4003" s="2"/>
      <c r="M4003" s="2"/>
      <c r="N4003" s="2"/>
      <c r="O4003" s="2">
        <v>14101166</v>
      </c>
      <c r="P4003" s="2"/>
      <c r="Q4003" s="2" t="s">
        <v>26611</v>
      </c>
      <c r="R4003" s="2" t="s">
        <v>26612</v>
      </c>
      <c r="S4003" s="2" t="s">
        <v>89</v>
      </c>
      <c r="T4003" s="2" t="s">
        <v>90</v>
      </c>
      <c r="U4003" s="2" t="s">
        <v>99</v>
      </c>
      <c r="V4003" s="2" t="s">
        <v>42</v>
      </c>
      <c r="W4003" s="2">
        <v>47.6</v>
      </c>
      <c r="X4003" s="2">
        <v>47</v>
      </c>
      <c r="Y4003" s="2" t="s">
        <v>560</v>
      </c>
      <c r="Z4003" s="2" t="s">
        <v>26613</v>
      </c>
      <c r="AA4003" s="2">
        <v>-3.0922463619871099</v>
      </c>
      <c r="AB4003" s="2">
        <v>0.173737256809566</v>
      </c>
      <c r="AC4003" s="2">
        <v>28422.625554093702</v>
      </c>
      <c r="AD4003" s="2">
        <v>25394.247447627102</v>
      </c>
      <c r="AE4003" s="2">
        <v>28096.386685677</v>
      </c>
      <c r="AF4003" s="2">
        <v>27138.341715847801</v>
      </c>
      <c r="AG4003" s="2">
        <v>28160.499128199299</v>
      </c>
      <c r="AH4003" s="2">
        <v>25978.494697536298</v>
      </c>
      <c r="AI4003" s="2">
        <v>30133.575986288299</v>
      </c>
      <c r="AJ4003" s="2">
        <v>31028.455111013202</v>
      </c>
      <c r="AK4003" s="2">
        <v>25462.760073948601</v>
      </c>
      <c r="AL4003" s="2">
        <v>24497.680237733101</v>
      </c>
      <c r="AM4003" s="2">
        <v>23480.546032810402</v>
      </c>
      <c r="AN4003" s="2">
        <v>24022.916159730201</v>
      </c>
      <c r="AO4003" s="2">
        <v>26071.4156967987</v>
      </c>
      <c r="AP4003" s="2">
        <v>28830.166484741301</v>
      </c>
    </row>
    <row r="4004" spans="1:42" ht="14.5" x14ac:dyDescent="0.35">
      <c r="A4004" s="2" t="s">
        <v>26614</v>
      </c>
      <c r="B4004" s="2">
        <v>323.01335259865198</v>
      </c>
      <c r="C4004" s="2">
        <v>5.99163333333333</v>
      </c>
      <c r="D4004" s="2" t="s">
        <v>70</v>
      </c>
      <c r="E4004" s="2" t="s">
        <v>26615</v>
      </c>
      <c r="F4004" s="2">
        <v>63414</v>
      </c>
      <c r="G4004" s="3" t="str">
        <f>HYPERLINK("http://funmeta.oebiotech.com/network/63414", "http://funmeta.oebiotech.com/network/63414")</f>
        <v>http://funmeta.oebiotech.com/network/63414</v>
      </c>
      <c r="H4004" s="2" t="s">
        <v>26616</v>
      </c>
      <c r="I4004" s="2">
        <v>94727</v>
      </c>
      <c r="J4004" s="2"/>
      <c r="K4004" s="2"/>
      <c r="L4004" s="2"/>
      <c r="M4004" s="2"/>
      <c r="N4004" s="2"/>
      <c r="O4004" s="2">
        <v>104890</v>
      </c>
      <c r="P4004" s="2" t="s">
        <v>26617</v>
      </c>
      <c r="Q4004" s="2" t="s">
        <v>26618</v>
      </c>
      <c r="R4004" s="2" t="s">
        <v>26619</v>
      </c>
      <c r="S4004" s="2" t="s">
        <v>89</v>
      </c>
      <c r="T4004" s="2" t="s">
        <v>90</v>
      </c>
      <c r="U4004" s="2" t="s">
        <v>99</v>
      </c>
      <c r="V4004" s="2" t="s">
        <v>59</v>
      </c>
      <c r="W4004" s="2">
        <v>39</v>
      </c>
      <c r="X4004" s="2">
        <v>0</v>
      </c>
      <c r="Y4004" s="2" t="s">
        <v>560</v>
      </c>
      <c r="Z4004" s="2" t="s">
        <v>26620</v>
      </c>
      <c r="AA4004" s="2">
        <v>2.47796334461923</v>
      </c>
      <c r="AB4004" s="2">
        <v>0.17366364588510799</v>
      </c>
      <c r="AC4004" s="2">
        <v>31058.6592900953</v>
      </c>
      <c r="AD4004" s="2">
        <v>33814.762569645201</v>
      </c>
      <c r="AE4004" s="2">
        <v>31931.388569777999</v>
      </c>
      <c r="AF4004" s="2">
        <v>30596.8800433865</v>
      </c>
      <c r="AG4004" s="2">
        <v>33276.956915256596</v>
      </c>
      <c r="AH4004" s="2">
        <v>30750.645268271099</v>
      </c>
      <c r="AI4004" s="2">
        <v>29730.574556713</v>
      </c>
      <c r="AJ4004" s="2">
        <v>30065.510387166902</v>
      </c>
      <c r="AK4004" s="2">
        <v>35177.8590311425</v>
      </c>
      <c r="AL4004" s="2">
        <v>35579.071818236102</v>
      </c>
      <c r="AM4004" s="2">
        <v>34116.870770124799</v>
      </c>
      <c r="AN4004" s="2">
        <v>33422.307412998598</v>
      </c>
      <c r="AO4004" s="2">
        <v>33230.291669911298</v>
      </c>
      <c r="AP4004" s="2">
        <v>31362.174715457801</v>
      </c>
    </row>
    <row r="4005" spans="1:42" ht="14.5" x14ac:dyDescent="0.35">
      <c r="A4005" s="2" t="s">
        <v>26621</v>
      </c>
      <c r="B4005" s="2">
        <v>525.03133578017196</v>
      </c>
      <c r="C4005" s="2">
        <v>1.5611666666666699</v>
      </c>
      <c r="D4005" s="2" t="s">
        <v>70</v>
      </c>
      <c r="E4005" s="2" t="s">
        <v>26622</v>
      </c>
      <c r="F4005" s="2">
        <v>201910</v>
      </c>
      <c r="G4005" s="3" t="str">
        <f>HYPERLINK("http://funmeta.oebiotech.com/network/201910", "http://funmeta.oebiotech.com/network/201910")</f>
        <v>http://funmeta.oebiotech.com/network/201910</v>
      </c>
      <c r="H4005" s="2" t="s">
        <v>26623</v>
      </c>
      <c r="I4005" s="2"/>
      <c r="J4005" s="2"/>
      <c r="K4005" s="2"/>
      <c r="L4005" s="2"/>
      <c r="M4005" s="2"/>
      <c r="N4005" s="2"/>
      <c r="O4005" s="2">
        <v>9547950</v>
      </c>
      <c r="P4005" s="2"/>
      <c r="Q4005" s="2" t="s">
        <v>26624</v>
      </c>
      <c r="R4005" s="2" t="s">
        <v>26625</v>
      </c>
      <c r="S4005" s="2" t="s">
        <v>491</v>
      </c>
      <c r="T4005" s="2" t="s">
        <v>2238</v>
      </c>
      <c r="U4005" s="2" t="s">
        <v>15117</v>
      </c>
      <c r="V4005" s="2" t="s">
        <v>59</v>
      </c>
      <c r="W4005" s="2">
        <v>38.700000000000003</v>
      </c>
      <c r="X4005" s="2">
        <v>0</v>
      </c>
      <c r="Y4005" s="2" t="s">
        <v>560</v>
      </c>
      <c r="Z4005" s="2" t="s">
        <v>26626</v>
      </c>
      <c r="AA4005" s="2">
        <v>-0.69267237718007002</v>
      </c>
      <c r="AB4005" s="2">
        <v>0.173479350295865</v>
      </c>
      <c r="AC4005" s="2">
        <v>2999.80764750867</v>
      </c>
      <c r="AD4005" s="2">
        <v>953.43923855814899</v>
      </c>
      <c r="AE4005" s="2">
        <v>2824.9913682912202</v>
      </c>
      <c r="AF4005" s="2">
        <v>2543.6492290149599</v>
      </c>
      <c r="AG4005" s="2">
        <v>3260.2100231047698</v>
      </c>
      <c r="AH4005" s="2">
        <v>3550.5155672451601</v>
      </c>
      <c r="AI4005" s="2">
        <v>3014.9178539281802</v>
      </c>
      <c r="AJ4005" s="2">
        <v>2804.5618434677199</v>
      </c>
      <c r="AK4005" s="2">
        <v>746.01572199633597</v>
      </c>
      <c r="AL4005" s="2">
        <v>695.12456505740602</v>
      </c>
      <c r="AM4005" s="2">
        <v>905.08383513020397</v>
      </c>
      <c r="AN4005" s="2">
        <v>1136.33836666514</v>
      </c>
      <c r="AO4005" s="2">
        <v>1233.00108564893</v>
      </c>
      <c r="AP4005" s="2">
        <v>1005.07185685088</v>
      </c>
    </row>
    <row r="4006" spans="1:42" ht="14.5" x14ac:dyDescent="0.35">
      <c r="A4006" s="2" t="s">
        <v>26627</v>
      </c>
      <c r="B4006" s="2">
        <v>133.10520825766699</v>
      </c>
      <c r="C4006" s="2">
        <v>1.29345</v>
      </c>
      <c r="D4006" s="2" t="s">
        <v>34</v>
      </c>
      <c r="E4006" s="2" t="s">
        <v>26628</v>
      </c>
      <c r="F4006" s="2">
        <v>56685</v>
      </c>
      <c r="G4006" s="3" t="str">
        <f>HYPERLINK("http://funmeta.oebiotech.com/network/56685", "http://funmeta.oebiotech.com/network/56685")</f>
        <v>http://funmeta.oebiotech.com/network/56685</v>
      </c>
      <c r="H4006" s="2" t="s">
        <v>26629</v>
      </c>
      <c r="I4006" s="2">
        <v>88347</v>
      </c>
      <c r="J4006" s="2"/>
      <c r="K4006" s="2">
        <v>169377</v>
      </c>
      <c r="L4006" s="2"/>
      <c r="M4006" s="2"/>
      <c r="N4006" s="2"/>
      <c r="O4006" s="2">
        <v>522071</v>
      </c>
      <c r="P4006" s="2" t="s">
        <v>26630</v>
      </c>
      <c r="Q4006" s="2" t="s">
        <v>26631</v>
      </c>
      <c r="R4006" s="2" t="s">
        <v>26632</v>
      </c>
      <c r="S4006" s="2" t="s">
        <v>5916</v>
      </c>
      <c r="T4006" s="2" t="s">
        <v>17266</v>
      </c>
      <c r="U4006" s="2" t="s">
        <v>17267</v>
      </c>
      <c r="V4006" s="2" t="s">
        <v>59</v>
      </c>
      <c r="W4006" s="2">
        <v>37.1</v>
      </c>
      <c r="X4006" s="2">
        <v>0</v>
      </c>
      <c r="Y4006" s="2" t="s">
        <v>394</v>
      </c>
      <c r="Z4006" s="2" t="s">
        <v>26633</v>
      </c>
      <c r="AA4006" s="2">
        <v>4.9986842195436596</v>
      </c>
      <c r="AB4006" s="2">
        <v>0.17342832842133801</v>
      </c>
      <c r="AC4006" s="2">
        <v>8600.2875058237096</v>
      </c>
      <c r="AD4006" s="2">
        <v>6487.4751932791496</v>
      </c>
      <c r="AE4006" s="2">
        <v>8812.1808034722799</v>
      </c>
      <c r="AF4006" s="2">
        <v>8616.6879808960693</v>
      </c>
      <c r="AG4006" s="2">
        <v>8443.9544751530102</v>
      </c>
      <c r="AH4006" s="2">
        <v>9382.8585065673706</v>
      </c>
      <c r="AI4006" s="2">
        <v>7594.9708672227698</v>
      </c>
      <c r="AJ4006" s="2">
        <v>8751.0724016307395</v>
      </c>
      <c r="AK4006" s="2">
        <v>6160.2376437913099</v>
      </c>
      <c r="AL4006" s="2">
        <v>6165.0087182826401</v>
      </c>
      <c r="AM4006" s="2">
        <v>6610.1847394218103</v>
      </c>
      <c r="AN4006" s="2">
        <v>6478.1731360325603</v>
      </c>
      <c r="AO4006" s="2">
        <v>6686.43909037914</v>
      </c>
      <c r="AP4006" s="2">
        <v>6824.8078317674399</v>
      </c>
    </row>
    <row r="4007" spans="1:42" ht="14.5" x14ac:dyDescent="0.35">
      <c r="A4007" s="2" t="s">
        <v>26634</v>
      </c>
      <c r="B4007" s="2">
        <v>607.23852392459298</v>
      </c>
      <c r="C4007" s="2">
        <v>4.7218999999999998</v>
      </c>
      <c r="D4007" s="2" t="s">
        <v>70</v>
      </c>
      <c r="E4007" s="2" t="s">
        <v>26635</v>
      </c>
      <c r="F4007" s="2">
        <v>213162</v>
      </c>
      <c r="G4007" s="3" t="str">
        <f>HYPERLINK("http://funmeta.oebiotech.com/network/213162", "http://funmeta.oebiotech.com/network/213162")</f>
        <v>http://funmeta.oebiotech.com/network/213162</v>
      </c>
      <c r="H4007" s="2" t="s">
        <v>26636</v>
      </c>
      <c r="I4007" s="2">
        <v>64877</v>
      </c>
      <c r="J4007" s="2"/>
      <c r="K4007" s="2">
        <v>142430</v>
      </c>
      <c r="L4007" s="2"/>
      <c r="M4007" s="2"/>
      <c r="N4007" s="2"/>
      <c r="O4007" s="2">
        <v>5712</v>
      </c>
      <c r="P4007" s="2" t="s">
        <v>26637</v>
      </c>
      <c r="Q4007" s="2" t="s">
        <v>26638</v>
      </c>
      <c r="R4007" s="2" t="s">
        <v>26639</v>
      </c>
      <c r="S4007" s="2" t="s">
        <v>491</v>
      </c>
      <c r="T4007" s="2" t="s">
        <v>26640</v>
      </c>
      <c r="U4007" s="2" t="s">
        <v>26641</v>
      </c>
      <c r="V4007" s="2" t="s">
        <v>59</v>
      </c>
      <c r="W4007" s="2">
        <v>37.299999999999997</v>
      </c>
      <c r="X4007" s="2">
        <v>0</v>
      </c>
      <c r="Y4007" s="2" t="s">
        <v>560</v>
      </c>
      <c r="Z4007" s="2" t="s">
        <v>26642</v>
      </c>
      <c r="AA4007" s="2">
        <v>5.6635860396825004</v>
      </c>
      <c r="AB4007" s="2">
        <v>0.17333356180794901</v>
      </c>
      <c r="AC4007" s="2">
        <v>16498.085807719399</v>
      </c>
      <c r="AD4007" s="2">
        <v>18822.562031768099</v>
      </c>
      <c r="AE4007" s="2">
        <v>17221.384842603598</v>
      </c>
      <c r="AF4007" s="2">
        <v>16321.657943391099</v>
      </c>
      <c r="AG4007" s="2">
        <v>16132.1622222203</v>
      </c>
      <c r="AH4007" s="2">
        <v>17296.944634127802</v>
      </c>
      <c r="AI4007" s="2">
        <v>16212.0617577172</v>
      </c>
      <c r="AJ4007" s="2">
        <v>15804.303446256399</v>
      </c>
      <c r="AK4007" s="2">
        <v>18120.980334180898</v>
      </c>
      <c r="AL4007" s="2">
        <v>19101.304553812901</v>
      </c>
      <c r="AM4007" s="2">
        <v>19160.5946994146</v>
      </c>
      <c r="AN4007" s="2">
        <v>17985.751406431202</v>
      </c>
      <c r="AO4007" s="2">
        <v>18171.6393818008</v>
      </c>
      <c r="AP4007" s="2">
        <v>20395.101814968399</v>
      </c>
    </row>
    <row r="4008" spans="1:42" ht="14.5" x14ac:dyDescent="0.35">
      <c r="A4008" s="2" t="s">
        <v>26643</v>
      </c>
      <c r="B4008" s="2">
        <v>167.07023853302201</v>
      </c>
      <c r="C4008" s="2">
        <v>1.97685</v>
      </c>
      <c r="D4008" s="2" t="s">
        <v>34</v>
      </c>
      <c r="E4008" s="2" t="s">
        <v>26644</v>
      </c>
      <c r="F4008" s="2">
        <v>47611</v>
      </c>
      <c r="G4008" s="3" t="str">
        <f>HYPERLINK("http://funmeta.oebiotech.com/network/47611", "http://funmeta.oebiotech.com/network/47611")</f>
        <v>http://funmeta.oebiotech.com/network/47611</v>
      </c>
      <c r="H4008" s="2" t="s">
        <v>26645</v>
      </c>
      <c r="I4008" s="2">
        <v>698</v>
      </c>
      <c r="J4008" s="2"/>
      <c r="K4008" s="2"/>
      <c r="L4008" s="2" t="s">
        <v>26646</v>
      </c>
      <c r="M4008" s="2" t="s">
        <v>22392</v>
      </c>
      <c r="N4008" s="2" t="s">
        <v>22393</v>
      </c>
      <c r="O4008" s="2">
        <v>10805</v>
      </c>
      <c r="P4008" s="2" t="s">
        <v>26647</v>
      </c>
      <c r="Q4008" s="2" t="s">
        <v>26648</v>
      </c>
      <c r="R4008" s="2" t="s">
        <v>26649</v>
      </c>
      <c r="S4008" s="2" t="s">
        <v>148</v>
      </c>
      <c r="T4008" s="2" t="s">
        <v>392</v>
      </c>
      <c r="U4008" s="2" t="s">
        <v>3450</v>
      </c>
      <c r="V4008" s="2" t="s">
        <v>42</v>
      </c>
      <c r="W4008" s="2">
        <v>52.8</v>
      </c>
      <c r="X4008" s="2">
        <v>70.3</v>
      </c>
      <c r="Y4008" s="2" t="s">
        <v>141</v>
      </c>
      <c r="Z4008" s="2" t="s">
        <v>26650</v>
      </c>
      <c r="AA4008" s="2">
        <v>-0.17427846867903399</v>
      </c>
      <c r="AB4008" s="2">
        <v>0.17324836277564601</v>
      </c>
      <c r="AC4008" s="2">
        <v>11790.2584654818</v>
      </c>
      <c r="AD4008" s="2">
        <v>9553.0660464574594</v>
      </c>
      <c r="AE4008" s="2">
        <v>12464.5205627048</v>
      </c>
      <c r="AF4008" s="2">
        <v>12156.586905638</v>
      </c>
      <c r="AG4008" s="2">
        <v>10700.1095325715</v>
      </c>
      <c r="AH4008" s="2">
        <v>11870.995764849</v>
      </c>
      <c r="AI4008" s="2">
        <v>11677.3425275072</v>
      </c>
      <c r="AJ4008" s="2">
        <v>11871.9954996205</v>
      </c>
      <c r="AK4008" s="2">
        <v>10179.8452685472</v>
      </c>
      <c r="AL4008" s="2">
        <v>9311.2999840587308</v>
      </c>
      <c r="AM4008" s="2">
        <v>9284.7295738213797</v>
      </c>
      <c r="AN4008" s="2">
        <v>9307.1850715033397</v>
      </c>
      <c r="AO4008" s="2">
        <v>8609.0263719103004</v>
      </c>
      <c r="AP4008" s="2">
        <v>10626.3100089038</v>
      </c>
    </row>
    <row r="4009" spans="1:42" ht="14.5" x14ac:dyDescent="0.35">
      <c r="A4009" s="2" t="s">
        <v>26651</v>
      </c>
      <c r="B4009" s="2">
        <v>545.21640667545796</v>
      </c>
      <c r="C4009" s="2">
        <v>5.6725000000000003</v>
      </c>
      <c r="D4009" s="2" t="s">
        <v>70</v>
      </c>
      <c r="E4009" s="2" t="s">
        <v>26652</v>
      </c>
      <c r="F4009" s="2">
        <v>4544</v>
      </c>
      <c r="G4009" s="3" t="str">
        <f>HYPERLINK("http://funmeta.oebiotech.com/network/4544", "http://funmeta.oebiotech.com/network/4544")</f>
        <v>http://funmeta.oebiotech.com/network/4544</v>
      </c>
      <c r="H4009" s="2"/>
      <c r="I4009" s="2">
        <v>36426</v>
      </c>
      <c r="J4009" s="2" t="s">
        <v>26653</v>
      </c>
      <c r="K4009" s="2"/>
      <c r="L4009" s="2"/>
      <c r="M4009" s="2"/>
      <c r="N4009" s="2"/>
      <c r="O4009" s="2">
        <v>5283258</v>
      </c>
      <c r="P4009" s="2"/>
      <c r="Q4009" s="2" t="s">
        <v>26654</v>
      </c>
      <c r="R4009" s="2" t="s">
        <v>26655</v>
      </c>
      <c r="S4009" s="2" t="s">
        <v>50</v>
      </c>
      <c r="T4009" s="2" t="s">
        <v>229</v>
      </c>
      <c r="U4009" s="2" t="s">
        <v>766</v>
      </c>
      <c r="V4009" s="2" t="s">
        <v>59</v>
      </c>
      <c r="W4009" s="2">
        <v>38.1</v>
      </c>
      <c r="X4009" s="2">
        <v>0</v>
      </c>
      <c r="Y4009" s="2" t="s">
        <v>408</v>
      </c>
      <c r="Z4009" s="2" t="s">
        <v>26656</v>
      </c>
      <c r="AA4009" s="2">
        <v>1.0154826431563</v>
      </c>
      <c r="AB4009" s="2">
        <v>0.17324696497288</v>
      </c>
      <c r="AC4009" s="2">
        <v>32879.426547618001</v>
      </c>
      <c r="AD4009" s="2">
        <v>29549.977667626001</v>
      </c>
      <c r="AE4009" s="2">
        <v>31862.393524670799</v>
      </c>
      <c r="AF4009" s="2">
        <v>32502.321593766501</v>
      </c>
      <c r="AG4009" s="2">
        <v>33748.719275099698</v>
      </c>
      <c r="AH4009" s="2">
        <v>30270.909948623601</v>
      </c>
      <c r="AI4009" s="2">
        <v>32571.399469626402</v>
      </c>
      <c r="AJ4009" s="2">
        <v>36320.815473921197</v>
      </c>
      <c r="AK4009" s="2">
        <v>27102.955732148599</v>
      </c>
      <c r="AL4009" s="2">
        <v>34530.080501096498</v>
      </c>
      <c r="AM4009" s="2">
        <v>31325.399904718401</v>
      </c>
      <c r="AN4009" s="2">
        <v>26751.032300549701</v>
      </c>
      <c r="AO4009" s="2">
        <v>28729.9736235161</v>
      </c>
      <c r="AP4009" s="2">
        <v>28860.423943726899</v>
      </c>
    </row>
    <row r="4010" spans="1:42" ht="14.5" x14ac:dyDescent="0.35">
      <c r="A4010" s="2" t="s">
        <v>26657</v>
      </c>
      <c r="B4010" s="2">
        <v>369.015822761751</v>
      </c>
      <c r="C4010" s="2">
        <v>9.5480833333333308</v>
      </c>
      <c r="D4010" s="2" t="s">
        <v>70</v>
      </c>
      <c r="E4010" s="2" t="s">
        <v>26658</v>
      </c>
      <c r="F4010" s="2">
        <v>206242</v>
      </c>
      <c r="G4010" s="3" t="str">
        <f>HYPERLINK("http://funmeta.oebiotech.com/network/206242", "http://funmeta.oebiotech.com/network/206242")</f>
        <v>http://funmeta.oebiotech.com/network/206242</v>
      </c>
      <c r="H4010" s="2" t="s">
        <v>26659</v>
      </c>
      <c r="I4010" s="2"/>
      <c r="J4010" s="2"/>
      <c r="K4010" s="2"/>
      <c r="L4010" s="2"/>
      <c r="M4010" s="2"/>
      <c r="N4010" s="2"/>
      <c r="O4010" s="2"/>
      <c r="P4010" s="2"/>
      <c r="Q4010" s="2" t="s">
        <v>26660</v>
      </c>
      <c r="R4010" s="2" t="s">
        <v>26661</v>
      </c>
      <c r="S4010" s="2" t="s">
        <v>1444</v>
      </c>
      <c r="T4010" s="2" t="s">
        <v>10689</v>
      </c>
      <c r="U4010" s="2" t="s">
        <v>10690</v>
      </c>
      <c r="V4010" s="2" t="s">
        <v>59</v>
      </c>
      <c r="W4010" s="2">
        <v>36.4</v>
      </c>
      <c r="X4010" s="2">
        <v>0</v>
      </c>
      <c r="Y4010" s="2" t="s">
        <v>408</v>
      </c>
      <c r="Z4010" s="2" t="s">
        <v>26662</v>
      </c>
      <c r="AA4010" s="2">
        <v>-1.5076369693242</v>
      </c>
      <c r="AB4010" s="2">
        <v>0.173196150095145</v>
      </c>
      <c r="AC4010" s="2">
        <v>17043.488309680699</v>
      </c>
      <c r="AD4010" s="2">
        <v>19439.677741932199</v>
      </c>
      <c r="AE4010" s="2">
        <v>17537.872731822601</v>
      </c>
      <c r="AF4010" s="2">
        <v>17650.980872948701</v>
      </c>
      <c r="AG4010" s="2">
        <v>17940.100815128098</v>
      </c>
      <c r="AH4010" s="2">
        <v>16847.9116840938</v>
      </c>
      <c r="AI4010" s="2">
        <v>16492.985249826899</v>
      </c>
      <c r="AJ4010" s="2">
        <v>15791.0785042639</v>
      </c>
      <c r="AK4010" s="2">
        <v>19311.495844263402</v>
      </c>
      <c r="AL4010" s="2">
        <v>19971.709282272601</v>
      </c>
      <c r="AM4010" s="2">
        <v>19925.1565878904</v>
      </c>
      <c r="AN4010" s="2">
        <v>19609.0677577403</v>
      </c>
      <c r="AO4010" s="2">
        <v>20256.311592647198</v>
      </c>
      <c r="AP4010" s="2">
        <v>17564.325386779299</v>
      </c>
    </row>
    <row r="4011" spans="1:42" ht="14.5" x14ac:dyDescent="0.35">
      <c r="A4011" s="2" t="s">
        <v>26663</v>
      </c>
      <c r="B4011" s="2">
        <v>751.241742646587</v>
      </c>
      <c r="C4011" s="2">
        <v>8.7125000000000004</v>
      </c>
      <c r="D4011" s="2" t="s">
        <v>70</v>
      </c>
      <c r="E4011" s="2" t="s">
        <v>26664</v>
      </c>
      <c r="F4011" s="2">
        <v>63527</v>
      </c>
      <c r="G4011" s="3" t="str">
        <f>HYPERLINK("http://funmeta.oebiotech.com/network/63527", "http://funmeta.oebiotech.com/network/63527")</f>
        <v>http://funmeta.oebiotech.com/network/63527</v>
      </c>
      <c r="H4011" s="2" t="s">
        <v>26665</v>
      </c>
      <c r="I4011" s="2"/>
      <c r="J4011" s="2"/>
      <c r="K4011" s="2"/>
      <c r="L4011" s="2"/>
      <c r="M4011" s="2"/>
      <c r="N4011" s="2"/>
      <c r="O4011" s="2">
        <v>131752796</v>
      </c>
      <c r="P4011" s="2" t="s">
        <v>26666</v>
      </c>
      <c r="Q4011" s="2" t="s">
        <v>26667</v>
      </c>
      <c r="R4011" s="2" t="s">
        <v>26668</v>
      </c>
      <c r="S4011" s="2" t="s">
        <v>79</v>
      </c>
      <c r="T4011" s="2" t="s">
        <v>80</v>
      </c>
      <c r="U4011" s="2" t="s">
        <v>81</v>
      </c>
      <c r="V4011" s="2" t="s">
        <v>59</v>
      </c>
      <c r="W4011" s="2">
        <v>37.1</v>
      </c>
      <c r="X4011" s="2">
        <v>0</v>
      </c>
      <c r="Y4011" s="2" t="s">
        <v>751</v>
      </c>
      <c r="Z4011" s="2" t="s">
        <v>26669</v>
      </c>
      <c r="AA4011" s="2">
        <v>-4.8625971534293502</v>
      </c>
      <c r="AB4011" s="2">
        <v>0.17317320059725599</v>
      </c>
      <c r="AC4011" s="2">
        <v>147941.218893271</v>
      </c>
      <c r="AD4011" s="2">
        <v>152983.155797591</v>
      </c>
      <c r="AE4011" s="2">
        <v>146693.66056579701</v>
      </c>
      <c r="AF4011" s="2">
        <v>152178.61493386401</v>
      </c>
      <c r="AG4011" s="2">
        <v>149238.237195497</v>
      </c>
      <c r="AH4011" s="2">
        <v>143139.55454656901</v>
      </c>
      <c r="AI4011" s="2">
        <v>154556.873705901</v>
      </c>
      <c r="AJ4011" s="2">
        <v>141840.37241199799</v>
      </c>
      <c r="AK4011" s="2">
        <v>154296.24686782301</v>
      </c>
      <c r="AL4011" s="2">
        <v>160542.18297798399</v>
      </c>
      <c r="AM4011" s="2">
        <v>159916.145525364</v>
      </c>
      <c r="AN4011" s="2">
        <v>141974.14094856501</v>
      </c>
      <c r="AO4011" s="2">
        <v>156075.31677322701</v>
      </c>
      <c r="AP4011" s="2">
        <v>145094.90169258599</v>
      </c>
    </row>
    <row r="4012" spans="1:42" ht="14.5" x14ac:dyDescent="0.35">
      <c r="A4012" s="2" t="s">
        <v>26670</v>
      </c>
      <c r="B4012" s="2">
        <v>369.01994652869598</v>
      </c>
      <c r="C4012" s="2">
        <v>4.7039999999999997</v>
      </c>
      <c r="D4012" s="2" t="s">
        <v>70</v>
      </c>
      <c r="E4012" s="2" t="s">
        <v>26671</v>
      </c>
      <c r="F4012" s="2">
        <v>256895</v>
      </c>
      <c r="G4012" s="3" t="str">
        <f>HYPERLINK("http://funmeta.oebiotech.com/network/256895", "http://funmeta.oebiotech.com/network/256895")</f>
        <v>http://funmeta.oebiotech.com/network/256895</v>
      </c>
      <c r="H4012" s="2" t="s">
        <v>26672</v>
      </c>
      <c r="I4012" s="2"/>
      <c r="J4012" s="2"/>
      <c r="K4012" s="2"/>
      <c r="L4012" s="2"/>
      <c r="M4012" s="2"/>
      <c r="N4012" s="2"/>
      <c r="O4012" s="2">
        <v>4480095</v>
      </c>
      <c r="P4012" s="2"/>
      <c r="Q4012" s="2" t="s">
        <v>26673</v>
      </c>
      <c r="R4012" s="2" t="s">
        <v>26674</v>
      </c>
      <c r="S4012" s="2" t="s">
        <v>79</v>
      </c>
      <c r="T4012" s="2" t="s">
        <v>80</v>
      </c>
      <c r="U4012" s="2" t="s">
        <v>81</v>
      </c>
      <c r="V4012" s="2" t="s">
        <v>59</v>
      </c>
      <c r="W4012" s="2">
        <v>37.700000000000003</v>
      </c>
      <c r="X4012" s="2">
        <v>2.09</v>
      </c>
      <c r="Y4012" s="2" t="s">
        <v>751</v>
      </c>
      <c r="Z4012" s="2" t="s">
        <v>26675</v>
      </c>
      <c r="AA4012" s="2">
        <v>1.4814842927274601</v>
      </c>
      <c r="AB4012" s="2">
        <v>0.17307327545713999</v>
      </c>
      <c r="AC4012" s="2">
        <v>64651.578199041804</v>
      </c>
      <c r="AD4012" s="2">
        <v>68917.008687434005</v>
      </c>
      <c r="AE4012" s="2">
        <v>64639.372997984297</v>
      </c>
      <c r="AF4012" s="2">
        <v>62241.8622030158</v>
      </c>
      <c r="AG4012" s="2">
        <v>65665.390162371201</v>
      </c>
      <c r="AH4012" s="2">
        <v>67956.737807569996</v>
      </c>
      <c r="AI4012" s="2">
        <v>63460.266082027898</v>
      </c>
      <c r="AJ4012" s="2">
        <v>63945.839941281702</v>
      </c>
      <c r="AK4012" s="2">
        <v>73728.440423484601</v>
      </c>
      <c r="AL4012" s="2">
        <v>67573.815081597495</v>
      </c>
      <c r="AM4012" s="2">
        <v>77187.8956226671</v>
      </c>
      <c r="AN4012" s="2">
        <v>64668.143885895697</v>
      </c>
      <c r="AO4012" s="2">
        <v>69824.917850552505</v>
      </c>
      <c r="AP4012" s="2">
        <v>60518.839260406799</v>
      </c>
    </row>
    <row r="4013" spans="1:42" ht="14.5" x14ac:dyDescent="0.35">
      <c r="A4013" s="2" t="s">
        <v>26676</v>
      </c>
      <c r="B4013" s="2">
        <v>479.37272526806697</v>
      </c>
      <c r="C4013" s="2">
        <v>14.784283333333301</v>
      </c>
      <c r="D4013" s="2" t="s">
        <v>34</v>
      </c>
      <c r="E4013" s="2" t="s">
        <v>26677</v>
      </c>
      <c r="F4013" s="2">
        <v>44195</v>
      </c>
      <c r="G4013" s="3" t="str">
        <f>HYPERLINK("http://funmeta.oebiotech.com/network/44195", "http://funmeta.oebiotech.com/network/44195")</f>
        <v>http://funmeta.oebiotech.com/network/44195</v>
      </c>
      <c r="H4013" s="2"/>
      <c r="I4013" s="2"/>
      <c r="J4013" s="2" t="s">
        <v>26678</v>
      </c>
      <c r="K4013" s="2"/>
      <c r="L4013" s="2"/>
      <c r="M4013" s="2"/>
      <c r="N4013" s="2"/>
      <c r="O4013" s="2"/>
      <c r="P4013" s="2"/>
      <c r="Q4013" s="2" t="s">
        <v>26679</v>
      </c>
      <c r="R4013" s="2" t="s">
        <v>26680</v>
      </c>
      <c r="S4013" s="2" t="s">
        <v>41</v>
      </c>
      <c r="T4013" s="2" t="s">
        <v>41</v>
      </c>
      <c r="U4013" s="2" t="s">
        <v>41</v>
      </c>
      <c r="V4013" s="2" t="s">
        <v>59</v>
      </c>
      <c r="W4013" s="2">
        <v>42.5</v>
      </c>
      <c r="X4013" s="2">
        <v>16.7</v>
      </c>
      <c r="Y4013" s="2" t="s">
        <v>394</v>
      </c>
      <c r="Z4013" s="2" t="s">
        <v>13831</v>
      </c>
      <c r="AA4013" s="2">
        <v>-0.785727604183585</v>
      </c>
      <c r="AB4013" s="2">
        <v>0.172971184242629</v>
      </c>
      <c r="AC4013" s="2">
        <v>32764.659094773298</v>
      </c>
      <c r="AD4013" s="2">
        <v>36295.043101150302</v>
      </c>
      <c r="AE4013" s="2">
        <v>33112.610651609699</v>
      </c>
      <c r="AF4013" s="2">
        <v>32099.844433458398</v>
      </c>
      <c r="AG4013" s="2">
        <v>34060.940861317198</v>
      </c>
      <c r="AH4013" s="2">
        <v>32688.109830093599</v>
      </c>
      <c r="AI4013" s="2">
        <v>31093.220839630001</v>
      </c>
      <c r="AJ4013" s="2">
        <v>33533.227952531102</v>
      </c>
      <c r="AK4013" s="2">
        <v>41837.0554534162</v>
      </c>
      <c r="AL4013" s="2">
        <v>35395.0717610703</v>
      </c>
      <c r="AM4013" s="2">
        <v>32205.236508755501</v>
      </c>
      <c r="AN4013" s="2">
        <v>33639.477472698702</v>
      </c>
      <c r="AO4013" s="2">
        <v>34474.330891697602</v>
      </c>
      <c r="AP4013" s="2">
        <v>40219.086519263299</v>
      </c>
    </row>
    <row r="4014" spans="1:42" ht="14.5" x14ac:dyDescent="0.35">
      <c r="A4014" s="2" t="s">
        <v>26681</v>
      </c>
      <c r="B4014" s="2">
        <v>535.17866604196001</v>
      </c>
      <c r="C4014" s="2">
        <v>4.0691166666666696</v>
      </c>
      <c r="D4014" s="2" t="s">
        <v>34</v>
      </c>
      <c r="E4014" s="2" t="s">
        <v>26682</v>
      </c>
      <c r="F4014" s="2">
        <v>63146</v>
      </c>
      <c r="G4014" s="3" t="str">
        <f>HYPERLINK("http://funmeta.oebiotech.com/network/63146", "http://funmeta.oebiotech.com/network/63146")</f>
        <v>http://funmeta.oebiotech.com/network/63146</v>
      </c>
      <c r="H4014" s="2" t="s">
        <v>26683</v>
      </c>
      <c r="I4014" s="2">
        <v>94453</v>
      </c>
      <c r="J4014" s="2"/>
      <c r="K4014" s="2">
        <v>168546</v>
      </c>
      <c r="L4014" s="2"/>
      <c r="M4014" s="2"/>
      <c r="N4014" s="2"/>
      <c r="O4014" s="2">
        <v>22298557</v>
      </c>
      <c r="P4014" s="2"/>
      <c r="Q4014" s="2" t="s">
        <v>26684</v>
      </c>
      <c r="R4014" s="2" t="s">
        <v>26685</v>
      </c>
      <c r="S4014" s="2" t="s">
        <v>115</v>
      </c>
      <c r="T4014" s="2" t="s">
        <v>4730</v>
      </c>
      <c r="U4014" s="2" t="s">
        <v>4731</v>
      </c>
      <c r="V4014" s="2" t="s">
        <v>59</v>
      </c>
      <c r="W4014" s="2">
        <v>42.9</v>
      </c>
      <c r="X4014" s="2">
        <v>26.5</v>
      </c>
      <c r="Y4014" s="2" t="s">
        <v>141</v>
      </c>
      <c r="Z4014" s="2" t="s">
        <v>26686</v>
      </c>
      <c r="AA4014" s="2">
        <v>-4.2318997447085396</v>
      </c>
      <c r="AB4014" s="2">
        <v>0.17295514738777401</v>
      </c>
      <c r="AC4014" s="2">
        <v>122503.826380338</v>
      </c>
      <c r="AD4014" s="2">
        <v>127418.27882022</v>
      </c>
      <c r="AE4014" s="2">
        <v>119597.52802275</v>
      </c>
      <c r="AF4014" s="2">
        <v>125315.846219432</v>
      </c>
      <c r="AG4014" s="2">
        <v>122982.725772319</v>
      </c>
      <c r="AH4014" s="2">
        <v>119634.498395603</v>
      </c>
      <c r="AI4014" s="2">
        <v>130201.13937415399</v>
      </c>
      <c r="AJ4014" s="2">
        <v>117291.220497769</v>
      </c>
      <c r="AK4014" s="2">
        <v>127521.873578991</v>
      </c>
      <c r="AL4014" s="2">
        <v>121359.829051812</v>
      </c>
      <c r="AM4014" s="2">
        <v>126355.220925324</v>
      </c>
      <c r="AN4014" s="2">
        <v>134165.76547262899</v>
      </c>
      <c r="AO4014" s="2">
        <v>117317.08571481099</v>
      </c>
      <c r="AP4014" s="2">
        <v>137789.89817775099</v>
      </c>
    </row>
    <row r="4015" spans="1:42" ht="14.5" x14ac:dyDescent="0.35">
      <c r="A4015" s="2" t="s">
        <v>26687</v>
      </c>
      <c r="B4015" s="2">
        <v>570.23681200221199</v>
      </c>
      <c r="C4015" s="2">
        <v>4.89903333333333</v>
      </c>
      <c r="D4015" s="2" t="s">
        <v>34</v>
      </c>
      <c r="E4015" s="2" t="s">
        <v>26688</v>
      </c>
      <c r="F4015" s="2">
        <v>266560</v>
      </c>
      <c r="G4015" s="3" t="str">
        <f>HYPERLINK("http://funmeta.oebiotech.com/network/266560", "http://funmeta.oebiotech.com/network/266560")</f>
        <v>http://funmeta.oebiotech.com/network/266560</v>
      </c>
      <c r="H4015" s="2"/>
      <c r="I4015" s="2">
        <v>43581</v>
      </c>
      <c r="J4015" s="2"/>
      <c r="K4015" s="2"/>
      <c r="L4015" s="2" t="s">
        <v>26689</v>
      </c>
      <c r="M4015" s="2" t="s">
        <v>14621</v>
      </c>
      <c r="N4015" s="2" t="s">
        <v>14622</v>
      </c>
      <c r="O4015" s="2">
        <v>149755</v>
      </c>
      <c r="P4015" s="2" t="s">
        <v>26690</v>
      </c>
      <c r="Q4015" s="2" t="s">
        <v>26691</v>
      </c>
      <c r="R4015" s="2" t="s">
        <v>26692</v>
      </c>
      <c r="S4015" s="2" t="s">
        <v>115</v>
      </c>
      <c r="T4015" s="2" t="s">
        <v>2840</v>
      </c>
      <c r="U4015" s="2" t="s">
        <v>41</v>
      </c>
      <c r="V4015" s="2" t="s">
        <v>59</v>
      </c>
      <c r="W4015" s="2">
        <v>38.200000000000003</v>
      </c>
      <c r="X4015" s="2">
        <v>4.9800000000000004</v>
      </c>
      <c r="Y4015" s="2" t="s">
        <v>67</v>
      </c>
      <c r="Z4015" s="2" t="s">
        <v>10546</v>
      </c>
      <c r="AA4015" s="2">
        <v>6.0419706413627496</v>
      </c>
      <c r="AB4015" s="2">
        <v>0.17288114237705701</v>
      </c>
      <c r="AC4015" s="2">
        <v>144751.365142947</v>
      </c>
      <c r="AD4015" s="2">
        <v>149871.53805293</v>
      </c>
      <c r="AE4015" s="2">
        <v>144740.70065667701</v>
      </c>
      <c r="AF4015" s="2">
        <v>144486.59939302801</v>
      </c>
      <c r="AG4015" s="2">
        <v>155930.238260618</v>
      </c>
      <c r="AH4015" s="2">
        <v>138703.529066332</v>
      </c>
      <c r="AI4015" s="2">
        <v>140460.53132421701</v>
      </c>
      <c r="AJ4015" s="2">
        <v>144186.59215681101</v>
      </c>
      <c r="AK4015" s="2">
        <v>136438.16447273601</v>
      </c>
      <c r="AL4015" s="2">
        <v>148359.27146765401</v>
      </c>
      <c r="AM4015" s="2">
        <v>154055.50295157399</v>
      </c>
      <c r="AN4015" s="2">
        <v>157748.29675811401</v>
      </c>
      <c r="AO4015" s="2">
        <v>149630.77614379299</v>
      </c>
      <c r="AP4015" s="2">
        <v>152997.21652371</v>
      </c>
    </row>
    <row r="4016" spans="1:42" ht="14.5" x14ac:dyDescent="0.35">
      <c r="A4016" s="2" t="s">
        <v>26693</v>
      </c>
      <c r="B4016" s="2">
        <v>594.13784928872701</v>
      </c>
      <c r="C4016" s="2">
        <v>3.7682166666666701</v>
      </c>
      <c r="D4016" s="2" t="s">
        <v>70</v>
      </c>
      <c r="E4016" s="2" t="s">
        <v>26694</v>
      </c>
      <c r="F4016" s="2">
        <v>254936</v>
      </c>
      <c r="G4016" s="3" t="str">
        <f>HYPERLINK("http://funmeta.oebiotech.com/network/254936", "http://funmeta.oebiotech.com/network/254936")</f>
        <v>http://funmeta.oebiotech.com/network/254936</v>
      </c>
      <c r="H4016" s="2" t="s">
        <v>26695</v>
      </c>
      <c r="I4016" s="2"/>
      <c r="J4016" s="2"/>
      <c r="K4016" s="2"/>
      <c r="L4016" s="2"/>
      <c r="M4016" s="2"/>
      <c r="N4016" s="2"/>
      <c r="O4016" s="2"/>
      <c r="P4016" s="2"/>
      <c r="Q4016" s="2" t="s">
        <v>26696</v>
      </c>
      <c r="R4016" s="2" t="s">
        <v>26697</v>
      </c>
      <c r="S4016" s="2" t="s">
        <v>115</v>
      </c>
      <c r="T4016" s="2" t="s">
        <v>139</v>
      </c>
      <c r="U4016" s="2" t="s">
        <v>140</v>
      </c>
      <c r="V4016" s="2" t="s">
        <v>59</v>
      </c>
      <c r="W4016" s="2">
        <v>45.2</v>
      </c>
      <c r="X4016" s="2">
        <v>32.5</v>
      </c>
      <c r="Y4016" s="2" t="s">
        <v>408</v>
      </c>
      <c r="Z4016" s="2" t="s">
        <v>26698</v>
      </c>
      <c r="AA4016" s="2">
        <v>-7.3202109472975299E-2</v>
      </c>
      <c r="AB4016" s="2">
        <v>0.17285508979279299</v>
      </c>
      <c r="AC4016" s="2">
        <v>115468.995815815</v>
      </c>
      <c r="AD4016" s="2">
        <v>123664.128844062</v>
      </c>
      <c r="AE4016" s="2">
        <v>102623.56688814401</v>
      </c>
      <c r="AF4016" s="2">
        <v>111798.503537018</v>
      </c>
      <c r="AG4016" s="2">
        <v>142553.83632273</v>
      </c>
      <c r="AH4016" s="2">
        <v>114736.92368139399</v>
      </c>
      <c r="AI4016" s="2">
        <v>111370.874022277</v>
      </c>
      <c r="AJ4016" s="2">
        <v>109730.270443325</v>
      </c>
      <c r="AK4016" s="2">
        <v>92488.201505307297</v>
      </c>
      <c r="AL4016" s="2">
        <v>152564.73138334599</v>
      </c>
      <c r="AM4016" s="2">
        <v>119728.45694326</v>
      </c>
      <c r="AN4016" s="2">
        <v>119455.701215063</v>
      </c>
      <c r="AO4016" s="2">
        <v>141281.05894497599</v>
      </c>
      <c r="AP4016" s="2">
        <v>116466.623072421</v>
      </c>
    </row>
    <row r="4017" spans="1:42" ht="14.5" x14ac:dyDescent="0.35">
      <c r="A4017" s="2" t="s">
        <v>26699</v>
      </c>
      <c r="B4017" s="2">
        <v>375.17878713663799</v>
      </c>
      <c r="C4017" s="2">
        <v>8.7726333333333297</v>
      </c>
      <c r="D4017" s="2" t="s">
        <v>70</v>
      </c>
      <c r="E4017" s="2" t="s">
        <v>26700</v>
      </c>
      <c r="F4017" s="2">
        <v>199468</v>
      </c>
      <c r="G4017" s="3" t="str">
        <f>HYPERLINK("http://funmeta.oebiotech.com/network/199468", "http://funmeta.oebiotech.com/network/199468")</f>
        <v>http://funmeta.oebiotech.com/network/199468</v>
      </c>
      <c r="H4017" s="2" t="s">
        <v>26701</v>
      </c>
      <c r="I4017" s="2"/>
      <c r="J4017" s="2"/>
      <c r="K4017" s="2"/>
      <c r="L4017" s="2"/>
      <c r="M4017" s="2"/>
      <c r="N4017" s="2"/>
      <c r="O4017" s="2">
        <v>53462756</v>
      </c>
      <c r="P4017" s="2"/>
      <c r="Q4017" s="2" t="s">
        <v>26702</v>
      </c>
      <c r="R4017" s="2" t="s">
        <v>26703</v>
      </c>
      <c r="S4017" s="2" t="s">
        <v>41</v>
      </c>
      <c r="T4017" s="2" t="s">
        <v>41</v>
      </c>
      <c r="U4017" s="2" t="s">
        <v>41</v>
      </c>
      <c r="V4017" s="2" t="s">
        <v>59</v>
      </c>
      <c r="W4017" s="2">
        <v>38.700000000000003</v>
      </c>
      <c r="X4017" s="2">
        <v>0</v>
      </c>
      <c r="Y4017" s="2" t="s">
        <v>118</v>
      </c>
      <c r="Z4017" s="2" t="s">
        <v>26704</v>
      </c>
      <c r="AA4017" s="2">
        <v>0.42609761864097101</v>
      </c>
      <c r="AB4017" s="2">
        <v>0.172785053192656</v>
      </c>
      <c r="AC4017" s="2">
        <v>2351.72247236569</v>
      </c>
      <c r="AD4017" s="2">
        <v>325.85207525464898</v>
      </c>
      <c r="AE4017" s="2">
        <v>2828.4426987187499</v>
      </c>
      <c r="AF4017" s="2">
        <v>2388.1453777046199</v>
      </c>
      <c r="AG4017" s="2">
        <v>1722.4692482980599</v>
      </c>
      <c r="AH4017" s="2">
        <v>2246.5453552796798</v>
      </c>
      <c r="AI4017" s="2">
        <v>2679.2339265502401</v>
      </c>
      <c r="AJ4017" s="2">
        <v>2245.49822764278</v>
      </c>
      <c r="AK4017" s="2">
        <v>366.01395909382302</v>
      </c>
      <c r="AL4017" s="2">
        <v>503.11399933247702</v>
      </c>
      <c r="AM4017" s="2">
        <v>243.15857188394699</v>
      </c>
      <c r="AN4017" s="2">
        <v>238.021626555545</v>
      </c>
      <c r="AO4017" s="2">
        <v>351.42269144636703</v>
      </c>
      <c r="AP4017" s="2">
        <v>253.38160321573301</v>
      </c>
    </row>
    <row r="4018" spans="1:42" ht="14.5" x14ac:dyDescent="0.35">
      <c r="A4018" s="2" t="s">
        <v>26705</v>
      </c>
      <c r="B4018" s="2">
        <v>463.23155550027002</v>
      </c>
      <c r="C4018" s="2">
        <v>9.0738666666666692</v>
      </c>
      <c r="D4018" s="2" t="s">
        <v>70</v>
      </c>
      <c r="E4018" s="2" t="s">
        <v>26706</v>
      </c>
      <c r="F4018" s="2">
        <v>47554</v>
      </c>
      <c r="G4018" s="3" t="str">
        <f>HYPERLINK("http://funmeta.oebiotech.com/network/47554", "http://funmeta.oebiotech.com/network/47554")</f>
        <v>http://funmeta.oebiotech.com/network/47554</v>
      </c>
      <c r="H4018" s="2" t="s">
        <v>26707</v>
      </c>
      <c r="I4018" s="2">
        <v>73</v>
      </c>
      <c r="J4018" s="2"/>
      <c r="K4018" s="2">
        <v>16796</v>
      </c>
      <c r="L4018" s="2" t="s">
        <v>26708</v>
      </c>
      <c r="M4018" s="2" t="s">
        <v>26709</v>
      </c>
      <c r="N4018" s="2" t="s">
        <v>26710</v>
      </c>
      <c r="O4018" s="2">
        <v>896</v>
      </c>
      <c r="P4018" s="2" t="s">
        <v>26711</v>
      </c>
      <c r="Q4018" s="2" t="s">
        <v>26712</v>
      </c>
      <c r="R4018" s="2" t="s">
        <v>26713</v>
      </c>
      <c r="S4018" s="2" t="s">
        <v>491</v>
      </c>
      <c r="T4018" s="2" t="s">
        <v>2184</v>
      </c>
      <c r="U4018" s="2" t="s">
        <v>3838</v>
      </c>
      <c r="V4018" s="2" t="s">
        <v>59</v>
      </c>
      <c r="W4018" s="2">
        <v>37.700000000000003</v>
      </c>
      <c r="X4018" s="2">
        <v>0</v>
      </c>
      <c r="Y4018" s="2" t="s">
        <v>560</v>
      </c>
      <c r="Z4018" s="2" t="s">
        <v>26714</v>
      </c>
      <c r="AA4018" s="2">
        <v>-7.5899826208158903</v>
      </c>
      <c r="AB4018" s="2">
        <v>0.17257210431085401</v>
      </c>
      <c r="AC4018" s="2">
        <v>2418.6588698112</v>
      </c>
      <c r="AD4018" s="2">
        <v>272.85783968645597</v>
      </c>
      <c r="AE4018" s="2">
        <v>2607.1485715163699</v>
      </c>
      <c r="AF4018" s="2">
        <v>2349.4428069318201</v>
      </c>
      <c r="AG4018" s="2">
        <v>1810.8174697532099</v>
      </c>
      <c r="AH4018" s="2">
        <v>3752.98097296897</v>
      </c>
      <c r="AI4018" s="2">
        <v>2151.6338696593398</v>
      </c>
      <c r="AJ4018" s="2">
        <v>1839.9295280374899</v>
      </c>
      <c r="AK4018" s="2">
        <v>102.175954206927</v>
      </c>
      <c r="AL4018" s="2">
        <v>239.77867359299401</v>
      </c>
      <c r="AM4018" s="2">
        <v>670.64926622565201</v>
      </c>
      <c r="AN4018" s="2">
        <v>149.25117908676799</v>
      </c>
      <c r="AO4018" s="2">
        <v>356.71145063214902</v>
      </c>
      <c r="AP4018" s="2">
        <v>118.58051437424901</v>
      </c>
    </row>
    <row r="4019" spans="1:42" ht="14.5" x14ac:dyDescent="0.35">
      <c r="A4019" s="2" t="s">
        <v>26715</v>
      </c>
      <c r="B4019" s="2">
        <v>285.09778076941302</v>
      </c>
      <c r="C4019" s="2">
        <v>3.4826666666666699</v>
      </c>
      <c r="D4019" s="2" t="s">
        <v>70</v>
      </c>
      <c r="E4019" s="2" t="s">
        <v>26716</v>
      </c>
      <c r="F4019" s="2">
        <v>2620</v>
      </c>
      <c r="G4019" s="3" t="str">
        <f>HYPERLINK("http://funmeta.oebiotech.com/network/2620", "http://funmeta.oebiotech.com/network/2620")</f>
        <v>http://funmeta.oebiotech.com/network/2620</v>
      </c>
      <c r="H4019" s="2" t="s">
        <v>26717</v>
      </c>
      <c r="I4019" s="2">
        <v>45041</v>
      </c>
      <c r="J4019" s="2" t="s">
        <v>26718</v>
      </c>
      <c r="K4019" s="2">
        <v>41254</v>
      </c>
      <c r="L4019" s="2"/>
      <c r="M4019" s="2"/>
      <c r="N4019" s="2"/>
      <c r="O4019" s="2">
        <v>123979</v>
      </c>
      <c r="P4019" s="2" t="s">
        <v>26719</v>
      </c>
      <c r="Q4019" s="2" t="s">
        <v>26720</v>
      </c>
      <c r="R4019" s="2" t="s">
        <v>26721</v>
      </c>
      <c r="S4019" s="2" t="s">
        <v>50</v>
      </c>
      <c r="T4019" s="2" t="s">
        <v>229</v>
      </c>
      <c r="U4019" s="2" t="s">
        <v>433</v>
      </c>
      <c r="V4019" s="2" t="s">
        <v>59</v>
      </c>
      <c r="W4019" s="2">
        <v>39</v>
      </c>
      <c r="X4019" s="2">
        <v>0</v>
      </c>
      <c r="Y4019" s="2" t="s">
        <v>408</v>
      </c>
      <c r="Z4019" s="2" t="s">
        <v>26722</v>
      </c>
      <c r="AA4019" s="2">
        <v>-0.81512574491867795</v>
      </c>
      <c r="AB4019" s="2">
        <v>0.17252106196283401</v>
      </c>
      <c r="AC4019" s="2">
        <v>3000.5320176135201</v>
      </c>
      <c r="AD4019" s="2">
        <v>1008.48760121594</v>
      </c>
      <c r="AE4019" s="2">
        <v>2960.5139652787302</v>
      </c>
      <c r="AF4019" s="2">
        <v>2894.78511247598</v>
      </c>
      <c r="AG4019" s="2">
        <v>2737.0543000007201</v>
      </c>
      <c r="AH4019" s="2">
        <v>3084.7002228576098</v>
      </c>
      <c r="AI4019" s="2">
        <v>3483.9930261668901</v>
      </c>
      <c r="AJ4019" s="2">
        <v>2842.14547890121</v>
      </c>
      <c r="AK4019" s="2">
        <v>916.03921429715604</v>
      </c>
      <c r="AL4019" s="2">
        <v>973.62269870343198</v>
      </c>
      <c r="AM4019" s="2">
        <v>1153.56457458464</v>
      </c>
      <c r="AN4019" s="2">
        <v>1022.2957135195199</v>
      </c>
      <c r="AO4019" s="2">
        <v>1008.320638559</v>
      </c>
      <c r="AP4019" s="2">
        <v>977.08276763186905</v>
      </c>
    </row>
    <row r="4020" spans="1:42" ht="14.5" x14ac:dyDescent="0.35">
      <c r="A4020" s="2" t="s">
        <v>26723</v>
      </c>
      <c r="B4020" s="2">
        <v>233.117095242066</v>
      </c>
      <c r="C4020" s="2">
        <v>4.6832000000000003</v>
      </c>
      <c r="D4020" s="2" t="s">
        <v>34</v>
      </c>
      <c r="E4020" s="2" t="s">
        <v>26724</v>
      </c>
      <c r="F4020" s="2">
        <v>467792</v>
      </c>
      <c r="G4020" s="3" t="str">
        <f>HYPERLINK("http://funmeta.oebiotech.com/network/467792", "http://funmeta.oebiotech.com/network/467792")</f>
        <v>http://funmeta.oebiotech.com/network/467792</v>
      </c>
      <c r="H4020" s="2"/>
      <c r="I4020" s="2">
        <v>85151</v>
      </c>
      <c r="J4020" s="2"/>
      <c r="K4020" s="2"/>
      <c r="L4020" s="2"/>
      <c r="M4020" s="2"/>
      <c r="N4020" s="2"/>
      <c r="O4020" s="2">
        <v>15940870</v>
      </c>
      <c r="P4020" s="2" t="s">
        <v>26725</v>
      </c>
      <c r="Q4020" s="2" t="s">
        <v>26726</v>
      </c>
      <c r="R4020" s="2" t="s">
        <v>26727</v>
      </c>
      <c r="S4020" s="2" t="s">
        <v>115</v>
      </c>
      <c r="T4020" s="2" t="s">
        <v>17772</v>
      </c>
      <c r="U4020" s="2" t="s">
        <v>41</v>
      </c>
      <c r="V4020" s="2" t="s">
        <v>59</v>
      </c>
      <c r="W4020" s="2">
        <v>38.6</v>
      </c>
      <c r="X4020" s="2">
        <v>0</v>
      </c>
      <c r="Y4020" s="2" t="s">
        <v>266</v>
      </c>
      <c r="Z4020" s="2" t="s">
        <v>26728</v>
      </c>
      <c r="AA4020" s="2">
        <v>-0.54095801276697897</v>
      </c>
      <c r="AB4020" s="2">
        <v>0.172500247126252</v>
      </c>
      <c r="AC4020" s="2">
        <v>4388.5030864990804</v>
      </c>
      <c r="AD4020" s="2">
        <v>2241.6287361877298</v>
      </c>
      <c r="AE4020" s="2">
        <v>3840.2258294732701</v>
      </c>
      <c r="AF4020" s="2">
        <v>4211.9045390219098</v>
      </c>
      <c r="AG4020" s="2">
        <v>5558.3672187539996</v>
      </c>
      <c r="AH4020" s="2">
        <v>4642.2129096164999</v>
      </c>
      <c r="AI4020" s="2">
        <v>4363.0441606773202</v>
      </c>
      <c r="AJ4020" s="2">
        <v>3715.2638614514999</v>
      </c>
      <c r="AK4020" s="2">
        <v>2211.0295514179102</v>
      </c>
      <c r="AL4020" s="2">
        <v>2784.2734718761699</v>
      </c>
      <c r="AM4020" s="2">
        <v>1984.20428276403</v>
      </c>
      <c r="AN4020" s="2">
        <v>2629.4776349221002</v>
      </c>
      <c r="AO4020" s="2">
        <v>1994.77178831333</v>
      </c>
      <c r="AP4020" s="2">
        <v>1846.0156878328601</v>
      </c>
    </row>
    <row r="4021" spans="1:42" ht="14.5" x14ac:dyDescent="0.35">
      <c r="A4021" s="2" t="s">
        <v>26729</v>
      </c>
      <c r="B4021" s="2">
        <v>322.09589815082501</v>
      </c>
      <c r="C4021" s="2">
        <v>1.7029666666666701</v>
      </c>
      <c r="D4021" s="2" t="s">
        <v>34</v>
      </c>
      <c r="E4021" s="2" t="s">
        <v>26730</v>
      </c>
      <c r="F4021" s="2">
        <v>203455</v>
      </c>
      <c r="G4021" s="3" t="str">
        <f>HYPERLINK("http://funmeta.oebiotech.com/network/203455", "http://funmeta.oebiotech.com/network/203455")</f>
        <v>http://funmeta.oebiotech.com/network/203455</v>
      </c>
      <c r="H4021" s="2" t="s">
        <v>26731</v>
      </c>
      <c r="I4021" s="2"/>
      <c r="J4021" s="2"/>
      <c r="K4021" s="2"/>
      <c r="L4021" s="2"/>
      <c r="M4021" s="2"/>
      <c r="N4021" s="2"/>
      <c r="O4021" s="2">
        <v>50515</v>
      </c>
      <c r="P4021" s="2"/>
      <c r="Q4021" s="2" t="s">
        <v>26732</v>
      </c>
      <c r="R4021" s="2" t="s">
        <v>26733</v>
      </c>
      <c r="S4021" s="2" t="s">
        <v>491</v>
      </c>
      <c r="T4021" s="2" t="s">
        <v>13817</v>
      </c>
      <c r="U4021" s="2" t="s">
        <v>13818</v>
      </c>
      <c r="V4021" s="2" t="s">
        <v>59</v>
      </c>
      <c r="W4021" s="2">
        <v>37.1</v>
      </c>
      <c r="X4021" s="2">
        <v>0</v>
      </c>
      <c r="Y4021" s="2" t="s">
        <v>340</v>
      </c>
      <c r="Z4021" s="2" t="s">
        <v>26734</v>
      </c>
      <c r="AA4021" s="2">
        <v>2.3426244104133902</v>
      </c>
      <c r="AB4021" s="2">
        <v>0.172422989542489</v>
      </c>
      <c r="AC4021" s="2">
        <v>2283.7099629630702</v>
      </c>
      <c r="AD4021" s="2">
        <v>4311.8738442434897</v>
      </c>
      <c r="AE4021" s="2">
        <v>2061.1966087440201</v>
      </c>
      <c r="AF4021" s="2">
        <v>2247.0346435230199</v>
      </c>
      <c r="AG4021" s="2">
        <v>2162.41147353819</v>
      </c>
      <c r="AH4021" s="2">
        <v>2001.89128442779</v>
      </c>
      <c r="AI4021" s="2">
        <v>2579.7677084234201</v>
      </c>
      <c r="AJ4021" s="2">
        <v>2649.9580591220001</v>
      </c>
      <c r="AK4021" s="2">
        <v>3924.7264571043602</v>
      </c>
      <c r="AL4021" s="2">
        <v>4805.9986147847103</v>
      </c>
      <c r="AM4021" s="2">
        <v>3903.3961193170198</v>
      </c>
      <c r="AN4021" s="2">
        <v>4582.7998157260699</v>
      </c>
      <c r="AO4021" s="2">
        <v>4193.8436642182996</v>
      </c>
      <c r="AP4021" s="2">
        <v>4460.4783943105003</v>
      </c>
    </row>
    <row r="4022" spans="1:42" ht="14.5" x14ac:dyDescent="0.35">
      <c r="A4022" s="2" t="s">
        <v>26735</v>
      </c>
      <c r="B4022" s="2">
        <v>330.07536667078398</v>
      </c>
      <c r="C4022" s="2">
        <v>3.6357833333333298</v>
      </c>
      <c r="D4022" s="2" t="s">
        <v>70</v>
      </c>
      <c r="E4022" s="2" t="s">
        <v>26736</v>
      </c>
      <c r="F4022" s="2">
        <v>207152</v>
      </c>
      <c r="G4022" s="3" t="str">
        <f>HYPERLINK("http://funmeta.oebiotech.com/network/207152", "http://funmeta.oebiotech.com/network/207152")</f>
        <v>http://funmeta.oebiotech.com/network/207152</v>
      </c>
      <c r="H4022" s="2" t="s">
        <v>26737</v>
      </c>
      <c r="I4022" s="2"/>
      <c r="J4022" s="2"/>
      <c r="K4022" s="2"/>
      <c r="L4022" s="2"/>
      <c r="M4022" s="2"/>
      <c r="N4022" s="2"/>
      <c r="O4022" s="2">
        <v>23582776</v>
      </c>
      <c r="P4022" s="2"/>
      <c r="Q4022" s="2" t="s">
        <v>26738</v>
      </c>
      <c r="R4022" s="2" t="s">
        <v>26739</v>
      </c>
      <c r="S4022" s="2" t="s">
        <v>41</v>
      </c>
      <c r="T4022" s="2" t="s">
        <v>41</v>
      </c>
      <c r="U4022" s="2" t="s">
        <v>41</v>
      </c>
      <c r="V4022" s="2" t="s">
        <v>59</v>
      </c>
      <c r="W4022" s="2">
        <v>38.5</v>
      </c>
      <c r="X4022" s="2">
        <v>0</v>
      </c>
      <c r="Y4022" s="2" t="s">
        <v>118</v>
      </c>
      <c r="Z4022" s="2" t="s">
        <v>26740</v>
      </c>
      <c r="AA4022" s="2">
        <v>1.6749737387235899</v>
      </c>
      <c r="AB4022" s="2">
        <v>0.17235889929092299</v>
      </c>
      <c r="AC4022" s="2">
        <v>135.23498665206799</v>
      </c>
      <c r="AD4022" s="2">
        <v>2107.2315104218501</v>
      </c>
      <c r="AE4022" s="2">
        <v>178.04030967873399</v>
      </c>
      <c r="AF4022" s="2">
        <v>2.7106294003980101E-5</v>
      </c>
      <c r="AG4022" s="2">
        <v>164.977653737656</v>
      </c>
      <c r="AH4022" s="2">
        <v>293.88248706753501</v>
      </c>
      <c r="AI4022" s="2">
        <v>174.50941521589701</v>
      </c>
      <c r="AJ4022" s="2">
        <v>2.7106294003980101E-5</v>
      </c>
      <c r="AK4022" s="2">
        <v>2059.1233377726298</v>
      </c>
      <c r="AL4022" s="2">
        <v>2106.3671667511298</v>
      </c>
      <c r="AM4022" s="2">
        <v>1992.14687340213</v>
      </c>
      <c r="AN4022" s="2">
        <v>2344.7188598214502</v>
      </c>
      <c r="AO4022" s="2">
        <v>1800.66045562197</v>
      </c>
      <c r="AP4022" s="2">
        <v>2340.3723691617802</v>
      </c>
    </row>
    <row r="4023" spans="1:42" ht="14.5" x14ac:dyDescent="0.35">
      <c r="A4023" s="2" t="s">
        <v>26741</v>
      </c>
      <c r="B4023" s="2">
        <v>221.04488824205799</v>
      </c>
      <c r="C4023" s="2">
        <v>4.5612000000000004</v>
      </c>
      <c r="D4023" s="2" t="s">
        <v>70</v>
      </c>
      <c r="E4023" s="2" t="s">
        <v>26742</v>
      </c>
      <c r="F4023" s="2">
        <v>54653</v>
      </c>
      <c r="G4023" s="3" t="str">
        <f>HYPERLINK("http://funmeta.oebiotech.com/network/54653", "http://funmeta.oebiotech.com/network/54653")</f>
        <v>http://funmeta.oebiotech.com/network/54653</v>
      </c>
      <c r="H4023" s="2" t="s">
        <v>26743</v>
      </c>
      <c r="I4023" s="2">
        <v>43808</v>
      </c>
      <c r="J4023" s="2"/>
      <c r="K4023" s="2">
        <v>5679</v>
      </c>
      <c r="L4023" s="2" t="s">
        <v>26744</v>
      </c>
      <c r="M4023" s="2"/>
      <c r="N4023" s="2"/>
      <c r="O4023" s="2">
        <v>10748</v>
      </c>
      <c r="P4023" s="2" t="s">
        <v>26745</v>
      </c>
      <c r="Q4023" s="2" t="s">
        <v>26746</v>
      </c>
      <c r="R4023" s="2" t="s">
        <v>26747</v>
      </c>
      <c r="S4023" s="2" t="s">
        <v>115</v>
      </c>
      <c r="T4023" s="2" t="s">
        <v>758</v>
      </c>
      <c r="U4023" s="2" t="s">
        <v>41</v>
      </c>
      <c r="V4023" s="2" t="s">
        <v>59</v>
      </c>
      <c r="W4023" s="2">
        <v>38.5</v>
      </c>
      <c r="X4023" s="2">
        <v>0</v>
      </c>
      <c r="Y4023" s="2" t="s">
        <v>408</v>
      </c>
      <c r="Z4023" s="2" t="s">
        <v>10002</v>
      </c>
      <c r="AA4023" s="2">
        <v>-3.7418524273231202</v>
      </c>
      <c r="AB4023" s="2">
        <v>0.17212883382657099</v>
      </c>
      <c r="AC4023" s="2">
        <v>7554.9569949964498</v>
      </c>
      <c r="AD4023" s="2">
        <v>5507.1328313775703</v>
      </c>
      <c r="AE4023" s="2">
        <v>8246.8202977995206</v>
      </c>
      <c r="AF4023" s="2">
        <v>7851.02817887935</v>
      </c>
      <c r="AG4023" s="2">
        <v>7653.00220687403</v>
      </c>
      <c r="AH4023" s="2">
        <v>7567.7245723322603</v>
      </c>
      <c r="AI4023" s="2">
        <v>6987.8253442222804</v>
      </c>
      <c r="AJ4023" s="2">
        <v>7023.3413698712702</v>
      </c>
      <c r="AK4023" s="2">
        <v>5914.9334055497702</v>
      </c>
      <c r="AL4023" s="2">
        <v>5219.0972005992899</v>
      </c>
      <c r="AM4023" s="2">
        <v>5531.20993708468</v>
      </c>
      <c r="AN4023" s="2">
        <v>5316.3150386498701</v>
      </c>
      <c r="AO4023" s="2">
        <v>5678.4984001847997</v>
      </c>
      <c r="AP4023" s="2">
        <v>5382.7430061970399</v>
      </c>
    </row>
    <row r="4024" spans="1:42" ht="14.5" x14ac:dyDescent="0.35">
      <c r="A4024" s="2" t="s">
        <v>26748</v>
      </c>
      <c r="B4024" s="2">
        <v>498.25496198667702</v>
      </c>
      <c r="C4024" s="2">
        <v>4.7359166666666699</v>
      </c>
      <c r="D4024" s="2" t="s">
        <v>34</v>
      </c>
      <c r="E4024" s="2" t="s">
        <v>26749</v>
      </c>
      <c r="F4024" s="2">
        <v>205225</v>
      </c>
      <c r="G4024" s="3" t="str">
        <f>HYPERLINK("http://funmeta.oebiotech.com/network/205225", "http://funmeta.oebiotech.com/network/205225")</f>
        <v>http://funmeta.oebiotech.com/network/205225</v>
      </c>
      <c r="H4024" s="2" t="s">
        <v>26750</v>
      </c>
      <c r="I4024" s="2"/>
      <c r="J4024" s="2"/>
      <c r="K4024" s="2"/>
      <c r="L4024" s="2"/>
      <c r="M4024" s="2"/>
      <c r="N4024" s="2"/>
      <c r="O4024" s="2">
        <v>135565596</v>
      </c>
      <c r="P4024" s="2"/>
      <c r="Q4024" s="2" t="s">
        <v>26751</v>
      </c>
      <c r="R4024" s="2" t="s">
        <v>26752</v>
      </c>
      <c r="S4024" s="2" t="s">
        <v>41</v>
      </c>
      <c r="T4024" s="2" t="s">
        <v>41</v>
      </c>
      <c r="U4024" s="2" t="s">
        <v>41</v>
      </c>
      <c r="V4024" s="2" t="s">
        <v>59</v>
      </c>
      <c r="W4024" s="2">
        <v>36.1</v>
      </c>
      <c r="X4024" s="2">
        <v>0</v>
      </c>
      <c r="Y4024" s="2" t="s">
        <v>43</v>
      </c>
      <c r="Z4024" s="2" t="s">
        <v>26753</v>
      </c>
      <c r="AA4024" s="2">
        <v>-4.6123494746334499</v>
      </c>
      <c r="AB4024" s="2">
        <v>0.17208503304571801</v>
      </c>
      <c r="AC4024" s="2">
        <v>2503.0090594800999</v>
      </c>
      <c r="AD4024" s="2">
        <v>328.73679096458102</v>
      </c>
      <c r="AE4024" s="2">
        <v>3455.00365571571</v>
      </c>
      <c r="AF4024" s="2">
        <v>1618.0313860333899</v>
      </c>
      <c r="AG4024" s="2">
        <v>2086.9690022628502</v>
      </c>
      <c r="AH4024" s="2">
        <v>2436.4484741397901</v>
      </c>
      <c r="AI4024" s="2">
        <v>2004.9722776774399</v>
      </c>
      <c r="AJ4024" s="2">
        <v>3416.6295610514198</v>
      </c>
      <c r="AK4024" s="2">
        <v>2.7106294003980101E-5</v>
      </c>
      <c r="AL4024" s="2">
        <v>618.03850982798599</v>
      </c>
      <c r="AM4024" s="2">
        <v>2.7106294003980101E-5</v>
      </c>
      <c r="AN4024" s="2">
        <v>769.47719924520095</v>
      </c>
      <c r="AO4024" s="2">
        <v>584.90495539541803</v>
      </c>
      <c r="AP4024" s="2">
        <v>2.7106294003980101E-5</v>
      </c>
    </row>
    <row r="4025" spans="1:42" ht="14.5" x14ac:dyDescent="0.35">
      <c r="A4025" s="2" t="s">
        <v>26754</v>
      </c>
      <c r="B4025" s="2">
        <v>401.23215403148799</v>
      </c>
      <c r="C4025" s="2">
        <v>11.0825666666667</v>
      </c>
      <c r="D4025" s="2" t="s">
        <v>34</v>
      </c>
      <c r="E4025" s="2" t="s">
        <v>26755</v>
      </c>
      <c r="F4025" s="2">
        <v>54990</v>
      </c>
      <c r="G4025" s="3" t="str">
        <f>HYPERLINK("http://funmeta.oebiotech.com/network/54990", "http://funmeta.oebiotech.com/network/54990")</f>
        <v>http://funmeta.oebiotech.com/network/54990</v>
      </c>
      <c r="H4025" s="2" t="s">
        <v>26756</v>
      </c>
      <c r="I4025" s="2">
        <v>86765</v>
      </c>
      <c r="J4025" s="2"/>
      <c r="K4025" s="2">
        <v>175980</v>
      </c>
      <c r="L4025" s="2"/>
      <c r="M4025" s="2"/>
      <c r="N4025" s="2"/>
      <c r="O4025" s="2">
        <v>495442</v>
      </c>
      <c r="P4025" s="2" t="s">
        <v>26757</v>
      </c>
      <c r="Q4025" s="2" t="s">
        <v>26758</v>
      </c>
      <c r="R4025" s="2" t="s">
        <v>26759</v>
      </c>
      <c r="S4025" s="2" t="s">
        <v>115</v>
      </c>
      <c r="T4025" s="2" t="s">
        <v>758</v>
      </c>
      <c r="U4025" s="2" t="s">
        <v>41</v>
      </c>
      <c r="V4025" s="2" t="s">
        <v>59</v>
      </c>
      <c r="W4025" s="2">
        <v>39</v>
      </c>
      <c r="X4025" s="2">
        <v>0</v>
      </c>
      <c r="Y4025" s="2" t="s">
        <v>394</v>
      </c>
      <c r="Z4025" s="2" t="s">
        <v>6366</v>
      </c>
      <c r="AA4025" s="2">
        <v>-0.24117573444457399</v>
      </c>
      <c r="AB4025" s="2">
        <v>0.17204331276234999</v>
      </c>
      <c r="AC4025" s="2">
        <v>9539.0209157202698</v>
      </c>
      <c r="AD4025" s="2">
        <v>11728.2496874516</v>
      </c>
      <c r="AE4025" s="2">
        <v>8889.9891876439196</v>
      </c>
      <c r="AF4025" s="2">
        <v>9590.2807117683606</v>
      </c>
      <c r="AG4025" s="2">
        <v>10344.6887180251</v>
      </c>
      <c r="AH4025" s="2">
        <v>9486.23619843099</v>
      </c>
      <c r="AI4025" s="2">
        <v>9309.7051937545493</v>
      </c>
      <c r="AJ4025" s="2">
        <v>9613.2254846986998</v>
      </c>
      <c r="AK4025" s="2">
        <v>10291.2443062609</v>
      </c>
      <c r="AL4025" s="2">
        <v>12386.3336246415</v>
      </c>
      <c r="AM4025" s="2">
        <v>12108.5267820277</v>
      </c>
      <c r="AN4025" s="2">
        <v>11913.1415655204</v>
      </c>
      <c r="AO4025" s="2">
        <v>11893.3903095569</v>
      </c>
      <c r="AP4025" s="2">
        <v>11776.861536701999</v>
      </c>
    </row>
    <row r="4026" spans="1:42" ht="14.5" x14ac:dyDescent="0.35">
      <c r="A4026" s="2" t="s">
        <v>26760</v>
      </c>
      <c r="B4026" s="2">
        <v>745.32852307734504</v>
      </c>
      <c r="C4026" s="2">
        <v>4.8801333333333297</v>
      </c>
      <c r="D4026" s="2" t="s">
        <v>70</v>
      </c>
      <c r="E4026" s="2" t="s">
        <v>26761</v>
      </c>
      <c r="F4026" s="2">
        <v>53467</v>
      </c>
      <c r="G4026" s="3" t="str">
        <f>HYPERLINK("http://funmeta.oebiotech.com/network/53467", "http://funmeta.oebiotech.com/network/53467")</f>
        <v>http://funmeta.oebiotech.com/network/53467</v>
      </c>
      <c r="H4026" s="2" t="s">
        <v>26762</v>
      </c>
      <c r="I4026" s="2">
        <v>85484</v>
      </c>
      <c r="J4026" s="2"/>
      <c r="K4026" s="2"/>
      <c r="L4026" s="2"/>
      <c r="M4026" s="2"/>
      <c r="N4026" s="2"/>
      <c r="O4026" s="2">
        <v>147912</v>
      </c>
      <c r="P4026" s="2" t="s">
        <v>26763</v>
      </c>
      <c r="Q4026" s="2" t="s">
        <v>26764</v>
      </c>
      <c r="R4026" s="2" t="s">
        <v>26765</v>
      </c>
      <c r="S4026" s="2" t="s">
        <v>491</v>
      </c>
      <c r="T4026" s="2" t="s">
        <v>5190</v>
      </c>
      <c r="U4026" s="2" t="s">
        <v>5191</v>
      </c>
      <c r="V4026" s="2" t="s">
        <v>59</v>
      </c>
      <c r="W4026" s="2">
        <v>38.1</v>
      </c>
      <c r="X4026" s="2">
        <v>0</v>
      </c>
      <c r="Y4026" s="2" t="s">
        <v>408</v>
      </c>
      <c r="Z4026" s="2" t="s">
        <v>26766</v>
      </c>
      <c r="AA4026" s="2">
        <v>0.87373669657090602</v>
      </c>
      <c r="AB4026" s="2">
        <v>0.17195883846148699</v>
      </c>
      <c r="AC4026" s="2">
        <v>1997.29417065805</v>
      </c>
      <c r="AD4026" s="2">
        <v>4159.3358760297097</v>
      </c>
      <c r="AE4026" s="2">
        <v>2244.2497945401901</v>
      </c>
      <c r="AF4026" s="2">
        <v>1564.4015043798699</v>
      </c>
      <c r="AG4026" s="2">
        <v>2011.9360258224001</v>
      </c>
      <c r="AH4026" s="2">
        <v>2097.2045931016501</v>
      </c>
      <c r="AI4026" s="2">
        <v>2650.5589101763899</v>
      </c>
      <c r="AJ4026" s="2">
        <v>1415.4141959278199</v>
      </c>
      <c r="AK4026" s="2">
        <v>3648.1264839672299</v>
      </c>
      <c r="AL4026" s="2">
        <v>4499.5149602389001</v>
      </c>
      <c r="AM4026" s="2">
        <v>4556.9488225428504</v>
      </c>
      <c r="AN4026" s="2">
        <v>3514.0708973483802</v>
      </c>
      <c r="AO4026" s="2">
        <v>3532.5553015318801</v>
      </c>
      <c r="AP4026" s="2">
        <v>5204.7987905490399</v>
      </c>
    </row>
    <row r="4027" spans="1:42" ht="14.5" x14ac:dyDescent="0.35">
      <c r="A4027" s="2" t="s">
        <v>26767</v>
      </c>
      <c r="B4027" s="2">
        <v>391.18276819813002</v>
      </c>
      <c r="C4027" s="2">
        <v>11.827999999999999</v>
      </c>
      <c r="D4027" s="2" t="s">
        <v>34</v>
      </c>
      <c r="E4027" s="2" t="s">
        <v>26768</v>
      </c>
      <c r="F4027" s="2">
        <v>255143</v>
      </c>
      <c r="G4027" s="3" t="str">
        <f>HYPERLINK("http://funmeta.oebiotech.com/network/255143", "http://funmeta.oebiotech.com/network/255143")</f>
        <v>http://funmeta.oebiotech.com/network/255143</v>
      </c>
      <c r="H4027" s="2" t="s">
        <v>26769</v>
      </c>
      <c r="I4027" s="2"/>
      <c r="J4027" s="2"/>
      <c r="K4027" s="2"/>
      <c r="L4027" s="2"/>
      <c r="M4027" s="2"/>
      <c r="N4027" s="2"/>
      <c r="O4027" s="2">
        <v>18744842</v>
      </c>
      <c r="P4027" s="2"/>
      <c r="Q4027" s="2" t="s">
        <v>26770</v>
      </c>
      <c r="R4027" s="2" t="s">
        <v>26771</v>
      </c>
      <c r="S4027" s="2" t="s">
        <v>89</v>
      </c>
      <c r="T4027" s="2" t="s">
        <v>90</v>
      </c>
      <c r="U4027" s="2" t="s">
        <v>99</v>
      </c>
      <c r="V4027" s="2" t="s">
        <v>59</v>
      </c>
      <c r="W4027" s="2">
        <v>39</v>
      </c>
      <c r="X4027" s="2">
        <v>0</v>
      </c>
      <c r="Y4027" s="2" t="s">
        <v>394</v>
      </c>
      <c r="Z4027" s="2" t="s">
        <v>26772</v>
      </c>
      <c r="AA4027" s="2">
        <v>1.0968323440680601</v>
      </c>
      <c r="AB4027" s="2">
        <v>0.171888852057313</v>
      </c>
      <c r="AC4027" s="2">
        <v>2337.17923167442</v>
      </c>
      <c r="AD4027" s="2">
        <v>314.34728959932602</v>
      </c>
      <c r="AE4027" s="2">
        <v>2600.4668590619299</v>
      </c>
      <c r="AF4027" s="2">
        <v>2057.1902837389998</v>
      </c>
      <c r="AG4027" s="2">
        <v>2430.1499728495501</v>
      </c>
      <c r="AH4027" s="2">
        <v>2169.4793959079798</v>
      </c>
      <c r="AI4027" s="2">
        <v>2896.1439348929198</v>
      </c>
      <c r="AJ4027" s="2">
        <v>1869.6449435951299</v>
      </c>
      <c r="AK4027" s="2">
        <v>2.7106294003980101E-5</v>
      </c>
      <c r="AL4027" s="2">
        <v>351.55682525317098</v>
      </c>
      <c r="AM4027" s="2">
        <v>266.29298449996799</v>
      </c>
      <c r="AN4027" s="2">
        <v>161.67456717183001</v>
      </c>
      <c r="AO4027" s="2">
        <v>703.11489436060003</v>
      </c>
      <c r="AP4027" s="2">
        <v>403.44443920409498</v>
      </c>
    </row>
    <row r="4028" spans="1:42" ht="14.5" x14ac:dyDescent="0.35">
      <c r="A4028" s="2" t="s">
        <v>26773</v>
      </c>
      <c r="B4028" s="2">
        <v>245.13828600418199</v>
      </c>
      <c r="C4028" s="2">
        <v>11.0825666666667</v>
      </c>
      <c r="D4028" s="2" t="s">
        <v>34</v>
      </c>
      <c r="E4028" s="2" t="s">
        <v>26774</v>
      </c>
      <c r="F4028" s="2">
        <v>56805</v>
      </c>
      <c r="G4028" s="3" t="str">
        <f>HYPERLINK("http://funmeta.oebiotech.com/network/56805", "http://funmeta.oebiotech.com/network/56805")</f>
        <v>http://funmeta.oebiotech.com/network/56805</v>
      </c>
      <c r="H4028" s="2" t="s">
        <v>26775</v>
      </c>
      <c r="I4028" s="2">
        <v>88485</v>
      </c>
      <c r="J4028" s="2"/>
      <c r="K4028" s="2">
        <v>168411</v>
      </c>
      <c r="L4028" s="2"/>
      <c r="M4028" s="2"/>
      <c r="N4028" s="2"/>
      <c r="O4028" s="2">
        <v>24847855</v>
      </c>
      <c r="P4028" s="2" t="s">
        <v>26776</v>
      </c>
      <c r="Q4028" s="2" t="s">
        <v>26777</v>
      </c>
      <c r="R4028" s="2" t="s">
        <v>26778</v>
      </c>
      <c r="S4028" s="2" t="s">
        <v>89</v>
      </c>
      <c r="T4028" s="2" t="s">
        <v>2718</v>
      </c>
      <c r="U4028" s="2" t="s">
        <v>11268</v>
      </c>
      <c r="V4028" s="2" t="s">
        <v>59</v>
      </c>
      <c r="W4028" s="2">
        <v>43</v>
      </c>
      <c r="X4028" s="2">
        <v>17.7</v>
      </c>
      <c r="Y4028" s="2" t="s">
        <v>394</v>
      </c>
      <c r="Z4028" s="2" t="s">
        <v>14339</v>
      </c>
      <c r="AA4028" s="2">
        <v>-0.26283838718479302</v>
      </c>
      <c r="AB4028" s="2">
        <v>0.17182849473852399</v>
      </c>
      <c r="AC4028" s="2">
        <v>3563.1737596674802</v>
      </c>
      <c r="AD4028" s="2">
        <v>5533.8935107679899</v>
      </c>
      <c r="AE4028" s="2">
        <v>3414.31761007357</v>
      </c>
      <c r="AF4028" s="2">
        <v>3387.5047710604899</v>
      </c>
      <c r="AG4028" s="2">
        <v>3551.2652717173701</v>
      </c>
      <c r="AH4028" s="2">
        <v>3910.04679660685</v>
      </c>
      <c r="AI4028" s="2">
        <v>3578.6463844175801</v>
      </c>
      <c r="AJ4028" s="2">
        <v>3537.261724129</v>
      </c>
      <c r="AK4028" s="2">
        <v>5363.1464643785703</v>
      </c>
      <c r="AL4028" s="2">
        <v>5395.1297945574997</v>
      </c>
      <c r="AM4028" s="2">
        <v>5645.5529364909698</v>
      </c>
      <c r="AN4028" s="2">
        <v>5376.00948456894</v>
      </c>
      <c r="AO4028" s="2">
        <v>5489.5094611413897</v>
      </c>
      <c r="AP4028" s="2">
        <v>5934.01292347055</v>
      </c>
    </row>
    <row r="4029" spans="1:42" ht="14.5" x14ac:dyDescent="0.35">
      <c r="A4029" s="2" t="s">
        <v>26779</v>
      </c>
      <c r="B4029" s="2">
        <v>297.18443866584198</v>
      </c>
      <c r="C4029" s="2">
        <v>7.5153999999999996</v>
      </c>
      <c r="D4029" s="2" t="s">
        <v>34</v>
      </c>
      <c r="E4029" s="2" t="s">
        <v>26780</v>
      </c>
      <c r="F4029" s="2">
        <v>53237</v>
      </c>
      <c r="G4029" s="3" t="str">
        <f>HYPERLINK("http://funmeta.oebiotech.com/network/53237", "http://funmeta.oebiotech.com/network/53237")</f>
        <v>http://funmeta.oebiotech.com/network/53237</v>
      </c>
      <c r="H4029" s="2" t="s">
        <v>26781</v>
      </c>
      <c r="I4029" s="2">
        <v>66838</v>
      </c>
      <c r="J4029" s="2"/>
      <c r="K4029" s="2">
        <v>4953</v>
      </c>
      <c r="L4029" s="2" t="s">
        <v>26782</v>
      </c>
      <c r="M4029" s="2"/>
      <c r="N4029" s="2"/>
      <c r="O4029" s="2">
        <v>60198</v>
      </c>
      <c r="P4029" s="2" t="s">
        <v>26783</v>
      </c>
      <c r="Q4029" s="2" t="s">
        <v>26784</v>
      </c>
      <c r="R4029" s="2" t="s">
        <v>26785</v>
      </c>
      <c r="S4029" s="2" t="s">
        <v>50</v>
      </c>
      <c r="T4029" s="2" t="s">
        <v>124</v>
      </c>
      <c r="U4029" s="2" t="s">
        <v>2373</v>
      </c>
      <c r="V4029" s="2" t="s">
        <v>42</v>
      </c>
      <c r="W4029" s="2">
        <v>48.8</v>
      </c>
      <c r="X4029" s="2">
        <v>53.6</v>
      </c>
      <c r="Y4029" s="2" t="s">
        <v>266</v>
      </c>
      <c r="Z4029" s="2" t="s">
        <v>14420</v>
      </c>
      <c r="AA4029" s="2">
        <v>-1.5793730185775201</v>
      </c>
      <c r="AB4029" s="2">
        <v>0.17182160426186499</v>
      </c>
      <c r="AC4029" s="2">
        <v>62862.696774345401</v>
      </c>
      <c r="AD4029" s="2">
        <v>66844.757684803597</v>
      </c>
      <c r="AE4029" s="2">
        <v>62561.4756844609</v>
      </c>
      <c r="AF4029" s="2">
        <v>66017.445330020695</v>
      </c>
      <c r="AG4029" s="2">
        <v>61817.332822823599</v>
      </c>
      <c r="AH4029" s="2">
        <v>59764.035845050101</v>
      </c>
      <c r="AI4029" s="2">
        <v>62864.581288622197</v>
      </c>
      <c r="AJ4029" s="2">
        <v>64151.309675094803</v>
      </c>
      <c r="AK4029" s="2">
        <v>59273.560242304498</v>
      </c>
      <c r="AL4029" s="2">
        <v>73175.058285682899</v>
      </c>
      <c r="AM4029" s="2">
        <v>70580.064540394902</v>
      </c>
      <c r="AN4029" s="2">
        <v>69091.476979602696</v>
      </c>
      <c r="AO4029" s="2">
        <v>63316.963673432299</v>
      </c>
      <c r="AP4029" s="2">
        <v>65631.422387404295</v>
      </c>
    </row>
    <row r="4030" spans="1:42" ht="14.5" x14ac:dyDescent="0.35">
      <c r="A4030" s="2" t="s">
        <v>26786</v>
      </c>
      <c r="B4030" s="2">
        <v>335.06170048942198</v>
      </c>
      <c r="C4030" s="2">
        <v>1.1665333333333301</v>
      </c>
      <c r="D4030" s="2" t="s">
        <v>70</v>
      </c>
      <c r="E4030" s="2" t="s">
        <v>26787</v>
      </c>
      <c r="F4030" s="2">
        <v>207219</v>
      </c>
      <c r="G4030" s="3" t="str">
        <f>HYPERLINK("http://funmeta.oebiotech.com/network/207219", "http://funmeta.oebiotech.com/network/207219")</f>
        <v>http://funmeta.oebiotech.com/network/207219</v>
      </c>
      <c r="H4030" s="2" t="s">
        <v>26788</v>
      </c>
      <c r="I4030" s="2"/>
      <c r="J4030" s="2"/>
      <c r="K4030" s="2"/>
      <c r="L4030" s="2"/>
      <c r="M4030" s="2"/>
      <c r="N4030" s="2"/>
      <c r="O4030" s="2"/>
      <c r="P4030" s="2"/>
      <c r="Q4030" s="2" t="s">
        <v>26789</v>
      </c>
      <c r="R4030" s="2" t="s">
        <v>26790</v>
      </c>
      <c r="S4030" s="2" t="s">
        <v>41</v>
      </c>
      <c r="T4030" s="2" t="s">
        <v>41</v>
      </c>
      <c r="U4030" s="2" t="s">
        <v>41</v>
      </c>
      <c r="V4030" s="2" t="s">
        <v>59</v>
      </c>
      <c r="W4030" s="2">
        <v>38</v>
      </c>
      <c r="X4030" s="2">
        <v>0</v>
      </c>
      <c r="Y4030" s="2" t="s">
        <v>751</v>
      </c>
      <c r="Z4030" s="2" t="s">
        <v>26791</v>
      </c>
      <c r="AA4030" s="2">
        <v>-0.80321593469479302</v>
      </c>
      <c r="AB4030" s="2">
        <v>0.171557785998287</v>
      </c>
      <c r="AC4030" s="2">
        <v>10783.514768584701</v>
      </c>
      <c r="AD4030" s="2">
        <v>8445.2874201230807</v>
      </c>
      <c r="AE4030" s="2">
        <v>9491.9031671474604</v>
      </c>
      <c r="AF4030" s="2">
        <v>10467.519072507899</v>
      </c>
      <c r="AG4030" s="2">
        <v>11486.012711405199</v>
      </c>
      <c r="AH4030" s="2">
        <v>10355.4965777732</v>
      </c>
      <c r="AI4030" s="2">
        <v>10343.8332990212</v>
      </c>
      <c r="AJ4030" s="2">
        <v>12556.323783653301</v>
      </c>
      <c r="AK4030" s="2">
        <v>8002.2800058973799</v>
      </c>
      <c r="AL4030" s="2">
        <v>8017.20784793247</v>
      </c>
      <c r="AM4030" s="2">
        <v>7944.1668059117201</v>
      </c>
      <c r="AN4030" s="2">
        <v>8945.2119925033894</v>
      </c>
      <c r="AO4030" s="2">
        <v>8319.7561644140897</v>
      </c>
      <c r="AP4030" s="2">
        <v>9443.1017040794595</v>
      </c>
    </row>
    <row r="4031" spans="1:42" ht="14.5" x14ac:dyDescent="0.35">
      <c r="A4031" s="2" t="s">
        <v>26792</v>
      </c>
      <c r="B4031" s="2">
        <v>433.11299775194999</v>
      </c>
      <c r="C4031" s="2">
        <v>4.6832000000000003</v>
      </c>
      <c r="D4031" s="2" t="s">
        <v>34</v>
      </c>
      <c r="E4031" s="2" t="s">
        <v>26793</v>
      </c>
      <c r="F4031" s="2">
        <v>213087</v>
      </c>
      <c r="G4031" s="3" t="str">
        <f>HYPERLINK("http://funmeta.oebiotech.com/network/213087", "http://funmeta.oebiotech.com/network/213087")</f>
        <v>http://funmeta.oebiotech.com/network/213087</v>
      </c>
      <c r="H4031" s="2" t="s">
        <v>26794</v>
      </c>
      <c r="I4031" s="2"/>
      <c r="J4031" s="2"/>
      <c r="K4031" s="2"/>
      <c r="L4031" s="2"/>
      <c r="M4031" s="2"/>
      <c r="N4031" s="2"/>
      <c r="O4031" s="2">
        <v>5378180</v>
      </c>
      <c r="P4031" s="2"/>
      <c r="Q4031" s="2" t="s">
        <v>26795</v>
      </c>
      <c r="R4031" s="2" t="s">
        <v>26796</v>
      </c>
      <c r="S4031" s="2" t="s">
        <v>115</v>
      </c>
      <c r="T4031" s="2" t="s">
        <v>139</v>
      </c>
      <c r="U4031" s="2" t="s">
        <v>140</v>
      </c>
      <c r="V4031" s="2" t="s">
        <v>42</v>
      </c>
      <c r="W4031" s="2">
        <v>51.9</v>
      </c>
      <c r="X4031" s="2">
        <v>67.2</v>
      </c>
      <c r="Y4031" s="2" t="s">
        <v>67</v>
      </c>
      <c r="Z4031" s="2" t="s">
        <v>1373</v>
      </c>
      <c r="AA4031" s="2">
        <v>0.17237208221734299</v>
      </c>
      <c r="AB4031" s="2">
        <v>0.17150923851878</v>
      </c>
      <c r="AC4031" s="2">
        <v>77623.535385629206</v>
      </c>
      <c r="AD4031" s="2">
        <v>81594.165449123699</v>
      </c>
      <c r="AE4031" s="2">
        <v>80340.790731285102</v>
      </c>
      <c r="AF4031" s="2">
        <v>82881.884309846399</v>
      </c>
      <c r="AG4031" s="2">
        <v>79731.069775041295</v>
      </c>
      <c r="AH4031" s="2">
        <v>71369.288945285502</v>
      </c>
      <c r="AI4031" s="2">
        <v>73733.108552606893</v>
      </c>
      <c r="AJ4031" s="2">
        <v>77685.069999710104</v>
      </c>
      <c r="AK4031" s="2">
        <v>79757.235151691493</v>
      </c>
      <c r="AL4031" s="2">
        <v>79061.200498428996</v>
      </c>
      <c r="AM4031" s="2">
        <v>87674.843859304499</v>
      </c>
      <c r="AN4031" s="2">
        <v>79210.345140364501</v>
      </c>
      <c r="AO4031" s="2">
        <v>82067.740845225097</v>
      </c>
      <c r="AP4031" s="2">
        <v>81793.627199727402</v>
      </c>
    </row>
    <row r="4032" spans="1:42" ht="14.5" x14ac:dyDescent="0.35">
      <c r="A4032" s="2" t="s">
        <v>26797</v>
      </c>
      <c r="B4032" s="2">
        <v>401.17720402542</v>
      </c>
      <c r="C4032" s="2">
        <v>8.3740000000000006</v>
      </c>
      <c r="D4032" s="2" t="s">
        <v>70</v>
      </c>
      <c r="E4032" s="2" t="s">
        <v>26798</v>
      </c>
      <c r="F4032" s="2">
        <v>207954</v>
      </c>
      <c r="G4032" s="3" t="str">
        <f>HYPERLINK("http://funmeta.oebiotech.com/network/207954", "http://funmeta.oebiotech.com/network/207954")</f>
        <v>http://funmeta.oebiotech.com/network/207954</v>
      </c>
      <c r="H4032" s="2" t="s">
        <v>26799</v>
      </c>
      <c r="I4032" s="2"/>
      <c r="J4032" s="2"/>
      <c r="K4032" s="2"/>
      <c r="L4032" s="2"/>
      <c r="M4032" s="2"/>
      <c r="N4032" s="2"/>
      <c r="O4032" s="2">
        <v>499988</v>
      </c>
      <c r="P4032" s="2"/>
      <c r="Q4032" s="2" t="s">
        <v>26800</v>
      </c>
      <c r="R4032" s="2" t="s">
        <v>26801</v>
      </c>
      <c r="S4032" s="2" t="s">
        <v>50</v>
      </c>
      <c r="T4032" s="2" t="s">
        <v>124</v>
      </c>
      <c r="U4032" s="2" t="s">
        <v>929</v>
      </c>
      <c r="V4032" s="2" t="s">
        <v>59</v>
      </c>
      <c r="W4032" s="2">
        <v>38.5</v>
      </c>
      <c r="X4032" s="2">
        <v>0</v>
      </c>
      <c r="Y4032" s="2" t="s">
        <v>751</v>
      </c>
      <c r="Z4032" s="2" t="s">
        <v>26802</v>
      </c>
      <c r="AA4032" s="2">
        <v>0.54326712508626795</v>
      </c>
      <c r="AB4032" s="2">
        <v>0.17145957509153201</v>
      </c>
      <c r="AC4032" s="2">
        <v>2705.59419762895</v>
      </c>
      <c r="AD4032" s="2">
        <v>2.7106294003980101E-5</v>
      </c>
      <c r="AE4032" s="2">
        <v>1028.0590116583801</v>
      </c>
      <c r="AF4032" s="2">
        <v>6604.2818108079</v>
      </c>
      <c r="AG4032" s="2">
        <v>2738.3548618896598</v>
      </c>
      <c r="AH4032" s="2">
        <v>3132.8917862769199</v>
      </c>
      <c r="AI4032" s="2">
        <v>884.15953694072095</v>
      </c>
      <c r="AJ4032" s="2">
        <v>1845.81817820012</v>
      </c>
      <c r="AK4032" s="2">
        <v>2.7106294003980101E-5</v>
      </c>
      <c r="AL4032" s="2">
        <v>2.7106294003980101E-5</v>
      </c>
      <c r="AM4032" s="2">
        <v>2.7106294003980101E-5</v>
      </c>
      <c r="AN4032" s="2">
        <v>2.7106294003980101E-5</v>
      </c>
      <c r="AO4032" s="2">
        <v>2.7106294003980101E-5</v>
      </c>
      <c r="AP4032" s="2">
        <v>2.7106294003980101E-5</v>
      </c>
    </row>
    <row r="4033" spans="1:42" ht="14.5" x14ac:dyDescent="0.35">
      <c r="A4033" s="2" t="s">
        <v>26803</v>
      </c>
      <c r="B4033" s="2">
        <v>291.15840463169701</v>
      </c>
      <c r="C4033" s="2">
        <v>5.7736666666666698</v>
      </c>
      <c r="D4033" s="2" t="s">
        <v>34</v>
      </c>
      <c r="E4033" s="2" t="s">
        <v>26804</v>
      </c>
      <c r="F4033" s="2">
        <v>257202</v>
      </c>
      <c r="G4033" s="3" t="str">
        <f>HYPERLINK("http://funmeta.oebiotech.com/network/257202", "http://funmeta.oebiotech.com/network/257202")</f>
        <v>http://funmeta.oebiotech.com/network/257202</v>
      </c>
      <c r="H4033" s="2" t="s">
        <v>26805</v>
      </c>
      <c r="I4033" s="2"/>
      <c r="J4033" s="2"/>
      <c r="K4033" s="2"/>
      <c r="L4033" s="2"/>
      <c r="M4033" s="2"/>
      <c r="N4033" s="2"/>
      <c r="O4033" s="2">
        <v>25200807</v>
      </c>
      <c r="P4033" s="2"/>
      <c r="Q4033" s="2" t="s">
        <v>26806</v>
      </c>
      <c r="R4033" s="2" t="s">
        <v>26807</v>
      </c>
      <c r="S4033" s="2" t="s">
        <v>89</v>
      </c>
      <c r="T4033" s="2" t="s">
        <v>90</v>
      </c>
      <c r="U4033" s="2" t="s">
        <v>99</v>
      </c>
      <c r="V4033" s="2" t="s">
        <v>59</v>
      </c>
      <c r="W4033" s="2">
        <v>37.9</v>
      </c>
      <c r="X4033" s="2">
        <v>0</v>
      </c>
      <c r="Y4033" s="2" t="s">
        <v>43</v>
      </c>
      <c r="Z4033" s="2" t="s">
        <v>26808</v>
      </c>
      <c r="AA4033" s="2">
        <v>2.4226667259726602</v>
      </c>
      <c r="AB4033" s="2">
        <v>0.171369812827255</v>
      </c>
      <c r="AC4033" s="2">
        <v>3087.0701850492101</v>
      </c>
      <c r="AD4033" s="2">
        <v>5291.6544757969396</v>
      </c>
      <c r="AE4033" s="2">
        <v>2733.1362552332098</v>
      </c>
      <c r="AF4033" s="2">
        <v>3777.5234068463201</v>
      </c>
      <c r="AG4033" s="2">
        <v>3306.27283135061</v>
      </c>
      <c r="AH4033" s="2">
        <v>2793.8118628463899</v>
      </c>
      <c r="AI4033" s="2">
        <v>3558.7088736593</v>
      </c>
      <c r="AJ4033" s="2">
        <v>2352.9678803594202</v>
      </c>
      <c r="AK4033" s="2">
        <v>4397.4600249691102</v>
      </c>
      <c r="AL4033" s="2">
        <v>6518.74482915115</v>
      </c>
      <c r="AM4033" s="2">
        <v>5596.4562307286096</v>
      </c>
      <c r="AN4033" s="2">
        <v>5474.5843033976198</v>
      </c>
      <c r="AO4033" s="2">
        <v>5244.5197083665098</v>
      </c>
      <c r="AP4033" s="2">
        <v>4518.1617581686096</v>
      </c>
    </row>
    <row r="4034" spans="1:42" ht="14.5" x14ac:dyDescent="0.35">
      <c r="A4034" s="2" t="s">
        <v>26809</v>
      </c>
      <c r="B4034" s="2">
        <v>541.18520718143702</v>
      </c>
      <c r="C4034" s="2">
        <v>5.04155</v>
      </c>
      <c r="D4034" s="2" t="s">
        <v>70</v>
      </c>
      <c r="E4034" s="2" t="s">
        <v>26810</v>
      </c>
      <c r="F4034" s="2">
        <v>63189</v>
      </c>
      <c r="G4034" s="3" t="str">
        <f>HYPERLINK("http://funmeta.oebiotech.com/network/63189", "http://funmeta.oebiotech.com/network/63189")</f>
        <v>http://funmeta.oebiotech.com/network/63189</v>
      </c>
      <c r="H4034" s="2" t="s">
        <v>26811</v>
      </c>
      <c r="I4034" s="2">
        <v>94497</v>
      </c>
      <c r="J4034" s="2"/>
      <c r="K4034" s="2"/>
      <c r="L4034" s="2"/>
      <c r="M4034" s="2"/>
      <c r="N4034" s="2"/>
      <c r="O4034" s="2">
        <v>131752767</v>
      </c>
      <c r="P4034" s="2"/>
      <c r="Q4034" s="2" t="s">
        <v>26812</v>
      </c>
      <c r="R4034" s="2" t="s">
        <v>26813</v>
      </c>
      <c r="S4034" s="2" t="s">
        <v>148</v>
      </c>
      <c r="T4034" s="2" t="s">
        <v>149</v>
      </c>
      <c r="U4034" s="2" t="s">
        <v>4630</v>
      </c>
      <c r="V4034" s="2" t="s">
        <v>59</v>
      </c>
      <c r="W4034" s="2">
        <v>37.700000000000003</v>
      </c>
      <c r="X4034" s="2">
        <v>0</v>
      </c>
      <c r="Y4034" s="2" t="s">
        <v>560</v>
      </c>
      <c r="Z4034" s="2" t="s">
        <v>26814</v>
      </c>
      <c r="AA4034" s="2">
        <v>2.03070998912162</v>
      </c>
      <c r="AB4034" s="2">
        <v>0.17132541768877599</v>
      </c>
      <c r="AC4034" s="2">
        <v>27779.004092042102</v>
      </c>
      <c r="AD4034" s="2">
        <v>30963.082011075399</v>
      </c>
      <c r="AE4034" s="2">
        <v>26629.1147386216</v>
      </c>
      <c r="AF4034" s="2">
        <v>31402.687381805699</v>
      </c>
      <c r="AG4034" s="2">
        <v>25964.621637436299</v>
      </c>
      <c r="AH4034" s="2">
        <v>27938.3427894874</v>
      </c>
      <c r="AI4034" s="2">
        <v>27801.6820082956</v>
      </c>
      <c r="AJ4034" s="2">
        <v>26937.575996605901</v>
      </c>
      <c r="AK4034" s="2">
        <v>35589.804541060097</v>
      </c>
      <c r="AL4034" s="2">
        <v>30439.116274239499</v>
      </c>
      <c r="AM4034" s="2">
        <v>31569.236187695999</v>
      </c>
      <c r="AN4034" s="2">
        <v>30253.396166136099</v>
      </c>
      <c r="AO4034" s="2">
        <v>30242.692712860699</v>
      </c>
      <c r="AP4034" s="2">
        <v>27684.2461844602</v>
      </c>
    </row>
    <row r="4035" spans="1:42" ht="14.5" x14ac:dyDescent="0.35">
      <c r="A4035" s="2" t="s">
        <v>26815</v>
      </c>
      <c r="B4035" s="2">
        <v>543.36789518478702</v>
      </c>
      <c r="C4035" s="2">
        <v>9.9015833333333294</v>
      </c>
      <c r="D4035" s="2" t="s">
        <v>34</v>
      </c>
      <c r="E4035" s="2" t="s">
        <v>26816</v>
      </c>
      <c r="F4035" s="2">
        <v>213081</v>
      </c>
      <c r="G4035" s="3" t="str">
        <f>HYPERLINK("http://funmeta.oebiotech.com/network/213081", "http://funmeta.oebiotech.com/network/213081")</f>
        <v>http://funmeta.oebiotech.com/network/213081</v>
      </c>
      <c r="H4035" s="2" t="s">
        <v>26817</v>
      </c>
      <c r="I4035" s="2"/>
      <c r="J4035" s="2"/>
      <c r="K4035" s="2"/>
      <c r="L4035" s="2"/>
      <c r="M4035" s="2"/>
      <c r="N4035" s="2"/>
      <c r="O4035" s="2">
        <v>92023817</v>
      </c>
      <c r="P4035" s="2"/>
      <c r="Q4035" s="2" t="s">
        <v>26818</v>
      </c>
      <c r="R4035" s="2" t="s">
        <v>26819</v>
      </c>
      <c r="S4035" s="2" t="s">
        <v>50</v>
      </c>
      <c r="T4035" s="2" t="s">
        <v>124</v>
      </c>
      <c r="U4035" s="2" t="s">
        <v>982</v>
      </c>
      <c r="V4035" s="2" t="s">
        <v>59</v>
      </c>
      <c r="W4035" s="2">
        <v>38.6</v>
      </c>
      <c r="X4035" s="2">
        <v>0</v>
      </c>
      <c r="Y4035" s="2" t="s">
        <v>141</v>
      </c>
      <c r="Z4035" s="2" t="s">
        <v>26820</v>
      </c>
      <c r="AA4035" s="2">
        <v>-0.21516050482995</v>
      </c>
      <c r="AB4035" s="2">
        <v>0.17115599290480099</v>
      </c>
      <c r="AC4035" s="2">
        <v>12853.653449331599</v>
      </c>
      <c r="AD4035" s="2">
        <v>10511.5145446971</v>
      </c>
      <c r="AE4035" s="2">
        <v>11519.3814078266</v>
      </c>
      <c r="AF4035" s="2">
        <v>12401.546401981601</v>
      </c>
      <c r="AG4035" s="2">
        <v>12509.504189679799</v>
      </c>
      <c r="AH4035" s="2">
        <v>14525.777322132801</v>
      </c>
      <c r="AI4035" s="2">
        <v>13162.707998564099</v>
      </c>
      <c r="AJ4035" s="2">
        <v>13003.003375804499</v>
      </c>
      <c r="AK4035" s="2">
        <v>10160.552312866899</v>
      </c>
      <c r="AL4035" s="2">
        <v>10292.100681408399</v>
      </c>
      <c r="AM4035" s="2">
        <v>10013.1295461153</v>
      </c>
      <c r="AN4035" s="2">
        <v>9753.4607908393591</v>
      </c>
      <c r="AO4035" s="2">
        <v>11157.0754867415</v>
      </c>
      <c r="AP4035" s="2">
        <v>11692.768450211001</v>
      </c>
    </row>
    <row r="4036" spans="1:42" ht="14.5" x14ac:dyDescent="0.35">
      <c r="A4036" s="2" t="s">
        <v>26821</v>
      </c>
      <c r="B4036" s="2">
        <v>473.12913965410303</v>
      </c>
      <c r="C4036" s="2">
        <v>1.4463666666666699</v>
      </c>
      <c r="D4036" s="2" t="s">
        <v>70</v>
      </c>
      <c r="E4036" s="2" t="s">
        <v>26822</v>
      </c>
      <c r="F4036" s="2">
        <v>57896</v>
      </c>
      <c r="G4036" s="3" t="str">
        <f>HYPERLINK("http://funmeta.oebiotech.com/network/57896", "http://funmeta.oebiotech.com/network/57896")</f>
        <v>http://funmeta.oebiotech.com/network/57896</v>
      </c>
      <c r="H4036" s="2" t="s">
        <v>26823</v>
      </c>
      <c r="I4036" s="2">
        <v>89479</v>
      </c>
      <c r="J4036" s="2"/>
      <c r="K4036" s="2">
        <v>169593</v>
      </c>
      <c r="L4036" s="2"/>
      <c r="M4036" s="2"/>
      <c r="N4036" s="2"/>
      <c r="O4036" s="2">
        <v>131751480</v>
      </c>
      <c r="P4036" s="2"/>
      <c r="Q4036" s="2" t="s">
        <v>26824</v>
      </c>
      <c r="R4036" s="2" t="s">
        <v>26825</v>
      </c>
      <c r="S4036" s="2" t="s">
        <v>115</v>
      </c>
      <c r="T4036" s="2" t="s">
        <v>116</v>
      </c>
      <c r="U4036" s="2" t="s">
        <v>117</v>
      </c>
      <c r="V4036" s="2" t="s">
        <v>59</v>
      </c>
      <c r="W4036" s="2">
        <v>42.9</v>
      </c>
      <c r="X4036" s="2">
        <v>21.6</v>
      </c>
      <c r="Y4036" s="2" t="s">
        <v>118</v>
      </c>
      <c r="Z4036" s="2" t="s">
        <v>26826</v>
      </c>
      <c r="AA4036" s="2">
        <v>-1.95049391333017</v>
      </c>
      <c r="AB4036" s="2">
        <v>0.17098840775905799</v>
      </c>
      <c r="AC4036" s="2">
        <v>15188.859699422401</v>
      </c>
      <c r="AD4036" s="2">
        <v>12822.849843960899</v>
      </c>
      <c r="AE4036" s="2">
        <v>13818.2301555431</v>
      </c>
      <c r="AF4036" s="2">
        <v>15165.7296077422</v>
      </c>
      <c r="AG4036" s="2">
        <v>14390.7598207476</v>
      </c>
      <c r="AH4036" s="2">
        <v>15910.8229896914</v>
      </c>
      <c r="AI4036" s="2">
        <v>16163.616038567299</v>
      </c>
      <c r="AJ4036" s="2">
        <v>15683.9995842429</v>
      </c>
      <c r="AK4036" s="2">
        <v>12377.257605000001</v>
      </c>
      <c r="AL4036" s="2">
        <v>12300.9645048821</v>
      </c>
      <c r="AM4036" s="2">
        <v>12218.236375128999</v>
      </c>
      <c r="AN4036" s="2">
        <v>12176.921373528699</v>
      </c>
      <c r="AO4036" s="2">
        <v>14382.5410307196</v>
      </c>
      <c r="AP4036" s="2">
        <v>13481.178174506</v>
      </c>
    </row>
    <row r="4037" spans="1:42" ht="14.5" x14ac:dyDescent="0.35">
      <c r="A4037" s="2" t="s">
        <v>26827</v>
      </c>
      <c r="B4037" s="2">
        <v>197.04491915815399</v>
      </c>
      <c r="C4037" s="2">
        <v>2.24525</v>
      </c>
      <c r="D4037" s="2" t="s">
        <v>70</v>
      </c>
      <c r="E4037" s="2" t="s">
        <v>26828</v>
      </c>
      <c r="F4037" s="2">
        <v>7615</v>
      </c>
      <c r="G4037" s="3" t="str">
        <f>HYPERLINK("http://funmeta.oebiotech.com/network/7615", "http://funmeta.oebiotech.com/network/7615")</f>
        <v>http://funmeta.oebiotech.com/network/7615</v>
      </c>
      <c r="H4037" s="2" t="s">
        <v>26829</v>
      </c>
      <c r="I4037" s="2">
        <v>88423</v>
      </c>
      <c r="J4037" s="2" t="s">
        <v>26830</v>
      </c>
      <c r="K4037" s="2"/>
      <c r="L4037" s="2"/>
      <c r="M4037" s="2"/>
      <c r="N4037" s="2"/>
      <c r="O4037" s="2">
        <v>5355414</v>
      </c>
      <c r="P4037" s="2" t="s">
        <v>26831</v>
      </c>
      <c r="Q4037" s="2" t="s">
        <v>26832</v>
      </c>
      <c r="R4037" s="2" t="s">
        <v>26833</v>
      </c>
      <c r="S4037" s="2" t="s">
        <v>50</v>
      </c>
      <c r="T4037" s="2" t="s">
        <v>229</v>
      </c>
      <c r="U4037" s="2" t="s">
        <v>1914</v>
      </c>
      <c r="V4037" s="2" t="s">
        <v>59</v>
      </c>
      <c r="W4037" s="2">
        <v>46.5</v>
      </c>
      <c r="X4037" s="2">
        <v>38.299999999999997</v>
      </c>
      <c r="Y4037" s="2" t="s">
        <v>408</v>
      </c>
      <c r="Z4037" s="2" t="s">
        <v>26834</v>
      </c>
      <c r="AA4037" s="2">
        <v>-4.1291552268339</v>
      </c>
      <c r="AB4037" s="2">
        <v>0.17083421864241999</v>
      </c>
      <c r="AC4037" s="2">
        <v>9382.8477853397108</v>
      </c>
      <c r="AD4037" s="2">
        <v>7250.2423701508997</v>
      </c>
      <c r="AE4037" s="2">
        <v>9386.3749756955494</v>
      </c>
      <c r="AF4037" s="2">
        <v>8771.2273998280198</v>
      </c>
      <c r="AG4037" s="2">
        <v>10050.308506723401</v>
      </c>
      <c r="AH4037" s="2">
        <v>9503.6839830531608</v>
      </c>
      <c r="AI4037" s="2">
        <v>8317.9493140287104</v>
      </c>
      <c r="AJ4037" s="2">
        <v>10267.5425327094</v>
      </c>
      <c r="AK4037" s="2">
        <v>6779.1839727529396</v>
      </c>
      <c r="AL4037" s="2">
        <v>7316.3011641903904</v>
      </c>
      <c r="AM4037" s="2">
        <v>7826.1141798737799</v>
      </c>
      <c r="AN4037" s="2">
        <v>7480.2647698771198</v>
      </c>
      <c r="AO4037" s="2">
        <v>7033.0271664676402</v>
      </c>
      <c r="AP4037" s="2">
        <v>7066.56296774355</v>
      </c>
    </row>
    <row r="4038" spans="1:42" ht="14.5" x14ac:dyDescent="0.35">
      <c r="A4038" s="2" t="s">
        <v>26835</v>
      </c>
      <c r="B4038" s="2">
        <v>200.23707527900601</v>
      </c>
      <c r="C4038" s="2">
        <v>8.6717666666666702</v>
      </c>
      <c r="D4038" s="2" t="s">
        <v>34</v>
      </c>
      <c r="E4038" s="2" t="s">
        <v>26836</v>
      </c>
      <c r="F4038" s="2">
        <v>9442</v>
      </c>
      <c r="G4038" s="3" t="str">
        <f>HYPERLINK("http://funmeta.oebiotech.com/network/9442", "http://funmeta.oebiotech.com/network/9442")</f>
        <v>http://funmeta.oebiotech.com/network/9442</v>
      </c>
      <c r="H4038" s="2" t="s">
        <v>26837</v>
      </c>
      <c r="I4038" s="2">
        <v>87295</v>
      </c>
      <c r="J4038" s="2" t="s">
        <v>26838</v>
      </c>
      <c r="K4038" s="2"/>
      <c r="L4038" s="2"/>
      <c r="M4038" s="2"/>
      <c r="N4038" s="2"/>
      <c r="O4038" s="2">
        <v>17095</v>
      </c>
      <c r="P4038" s="2" t="s">
        <v>26839</v>
      </c>
      <c r="Q4038" s="2" t="s">
        <v>26840</v>
      </c>
      <c r="R4038" s="2" t="s">
        <v>26841</v>
      </c>
      <c r="S4038" s="2" t="s">
        <v>3194</v>
      </c>
      <c r="T4038" s="2" t="s">
        <v>3195</v>
      </c>
      <c r="U4038" s="2" t="s">
        <v>3196</v>
      </c>
      <c r="V4038" s="2" t="s">
        <v>59</v>
      </c>
      <c r="W4038" s="2">
        <v>40.5</v>
      </c>
      <c r="X4038" s="2">
        <v>6.46</v>
      </c>
      <c r="Y4038" s="2" t="s">
        <v>43</v>
      </c>
      <c r="Z4038" s="2" t="s">
        <v>26842</v>
      </c>
      <c r="AA4038" s="2">
        <v>-1.1036279116424099</v>
      </c>
      <c r="AB4038" s="2">
        <v>0.17065171155449099</v>
      </c>
      <c r="AC4038" s="2">
        <v>28416.3847717918</v>
      </c>
      <c r="AD4038" s="2">
        <v>32777.523617526298</v>
      </c>
      <c r="AE4038" s="2">
        <v>33909.542475127702</v>
      </c>
      <c r="AF4038" s="2">
        <v>27950.6219513336</v>
      </c>
      <c r="AG4038" s="2">
        <v>29245.771783198201</v>
      </c>
      <c r="AH4038" s="2">
        <v>20428.983703970702</v>
      </c>
      <c r="AI4038" s="2">
        <v>26754.794607520798</v>
      </c>
      <c r="AJ4038" s="2">
        <v>32208.594109599901</v>
      </c>
      <c r="AK4038" s="2">
        <v>31817.040175711001</v>
      </c>
      <c r="AL4038" s="2">
        <v>40081.360075891404</v>
      </c>
      <c r="AM4038" s="2">
        <v>30942.1188509559</v>
      </c>
      <c r="AN4038" s="2">
        <v>32171.584751859999</v>
      </c>
      <c r="AO4038" s="2">
        <v>25798.566257544098</v>
      </c>
      <c r="AP4038" s="2">
        <v>35854.471593195398</v>
      </c>
    </row>
    <row r="4039" spans="1:42" ht="14.5" x14ac:dyDescent="0.35">
      <c r="A4039" s="2" t="s">
        <v>26843</v>
      </c>
      <c r="B4039" s="2">
        <v>227.08202661471</v>
      </c>
      <c r="C4039" s="2">
        <v>5.6357333333333299</v>
      </c>
      <c r="D4039" s="2" t="s">
        <v>70</v>
      </c>
      <c r="E4039" s="2" t="s">
        <v>26844</v>
      </c>
      <c r="F4039" s="2">
        <v>203851</v>
      </c>
      <c r="G4039" s="3" t="str">
        <f>HYPERLINK("http://funmeta.oebiotech.com/network/203851", "http://funmeta.oebiotech.com/network/203851")</f>
        <v>http://funmeta.oebiotech.com/network/203851</v>
      </c>
      <c r="H4039" s="2" t="s">
        <v>26845</v>
      </c>
      <c r="I4039" s="2">
        <v>43490</v>
      </c>
      <c r="J4039" s="2"/>
      <c r="K4039" s="2">
        <v>190358</v>
      </c>
      <c r="L4039" s="2" t="s">
        <v>26846</v>
      </c>
      <c r="M4039" s="2"/>
      <c r="N4039" s="2"/>
      <c r="O4039" s="2">
        <v>2272</v>
      </c>
      <c r="P4039" s="2" t="s">
        <v>26847</v>
      </c>
      <c r="Q4039" s="2" t="s">
        <v>26848</v>
      </c>
      <c r="R4039" s="2" t="s">
        <v>26849</v>
      </c>
      <c r="S4039" s="2" t="s">
        <v>491</v>
      </c>
      <c r="T4039" s="2" t="s">
        <v>13250</v>
      </c>
      <c r="U4039" s="2" t="s">
        <v>41</v>
      </c>
      <c r="V4039" s="2" t="s">
        <v>59</v>
      </c>
      <c r="W4039" s="2">
        <v>38.6</v>
      </c>
      <c r="X4039" s="2">
        <v>0</v>
      </c>
      <c r="Y4039" s="2" t="s">
        <v>408</v>
      </c>
      <c r="Z4039" s="2" t="s">
        <v>26850</v>
      </c>
      <c r="AA4039" s="2">
        <v>-3.1556003459156998</v>
      </c>
      <c r="AB4039" s="2">
        <v>0.17064360606585899</v>
      </c>
      <c r="AC4039" s="2">
        <v>4398.5467007448997</v>
      </c>
      <c r="AD4039" s="2">
        <v>2301.9121580483902</v>
      </c>
      <c r="AE4039" s="2">
        <v>4211.5307683349502</v>
      </c>
      <c r="AF4039" s="2">
        <v>5052.5703235969504</v>
      </c>
      <c r="AG4039" s="2">
        <v>5327.9348004332996</v>
      </c>
      <c r="AH4039" s="2">
        <v>4187.2174322564097</v>
      </c>
      <c r="AI4039" s="2">
        <v>3878.93182640847</v>
      </c>
      <c r="AJ4039" s="2">
        <v>3733.0950534393</v>
      </c>
      <c r="AK4039" s="2">
        <v>2246.1220319090298</v>
      </c>
      <c r="AL4039" s="2">
        <v>2560.56894414416</v>
      </c>
      <c r="AM4039" s="2">
        <v>2564.2400763433302</v>
      </c>
      <c r="AN4039" s="2">
        <v>2633.34897078311</v>
      </c>
      <c r="AO4039" s="2">
        <v>1575.5378423857501</v>
      </c>
      <c r="AP4039" s="2">
        <v>2231.6550827249798</v>
      </c>
    </row>
    <row r="4040" spans="1:42" ht="14.5" x14ac:dyDescent="0.35">
      <c r="A4040" s="2" t="s">
        <v>26851</v>
      </c>
      <c r="B4040" s="2">
        <v>439.32026593101898</v>
      </c>
      <c r="C4040" s="2">
        <v>6.4480000000000004</v>
      </c>
      <c r="D4040" s="2" t="s">
        <v>34</v>
      </c>
      <c r="E4040" s="2" t="s">
        <v>26852</v>
      </c>
      <c r="F4040" s="2">
        <v>18152</v>
      </c>
      <c r="G4040" s="3" t="str">
        <f>HYPERLINK("http://funmeta.oebiotech.com/network/18152", "http://funmeta.oebiotech.com/network/18152")</f>
        <v>http://funmeta.oebiotech.com/network/18152</v>
      </c>
      <c r="H4040" s="2"/>
      <c r="I4040" s="2"/>
      <c r="J4040" s="2" t="s">
        <v>26853</v>
      </c>
      <c r="K4040" s="2"/>
      <c r="L4040" s="2"/>
      <c r="M4040" s="2"/>
      <c r="N4040" s="2"/>
      <c r="O4040" s="2">
        <v>137323910</v>
      </c>
      <c r="P4040" s="2"/>
      <c r="Q4040" s="2" t="s">
        <v>26854</v>
      </c>
      <c r="R4040" s="2" t="s">
        <v>26855</v>
      </c>
      <c r="S4040" s="2" t="s">
        <v>50</v>
      </c>
      <c r="T4040" s="2" t="s">
        <v>51</v>
      </c>
      <c r="U4040" s="2" t="s">
        <v>41</v>
      </c>
      <c r="V4040" s="2" t="s">
        <v>59</v>
      </c>
      <c r="W4040" s="2">
        <v>37.799999999999997</v>
      </c>
      <c r="X4040" s="2">
        <v>0</v>
      </c>
      <c r="Y4040" s="2" t="s">
        <v>394</v>
      </c>
      <c r="Z4040" s="2" t="s">
        <v>26856</v>
      </c>
      <c r="AA4040" s="2">
        <v>4.4800250342793699</v>
      </c>
      <c r="AB4040" s="2">
        <v>0.17061424731927499</v>
      </c>
      <c r="AC4040" s="2">
        <v>3281.8081510931502</v>
      </c>
      <c r="AD4040" s="2">
        <v>1111.4612633443401</v>
      </c>
      <c r="AE4040" s="2">
        <v>2907.7411340941899</v>
      </c>
      <c r="AF4040" s="2">
        <v>2789.9035361191</v>
      </c>
      <c r="AG4040" s="2">
        <v>3571.14117333386</v>
      </c>
      <c r="AH4040" s="2">
        <v>4582.62634710573</v>
      </c>
      <c r="AI4040" s="2">
        <v>3558.70250527282</v>
      </c>
      <c r="AJ4040" s="2">
        <v>2280.7342106331998</v>
      </c>
      <c r="AK4040" s="2">
        <v>772.01035696304996</v>
      </c>
      <c r="AL4040" s="2">
        <v>1441.9499713646701</v>
      </c>
      <c r="AM4040" s="2">
        <v>1248.83863243271</v>
      </c>
      <c r="AN4040" s="2">
        <v>1210.1294305347301</v>
      </c>
      <c r="AO4040" s="2">
        <v>485.811272131105</v>
      </c>
      <c r="AP4040" s="2">
        <v>1510.02791663978</v>
      </c>
    </row>
    <row r="4041" spans="1:42" ht="14.5" x14ac:dyDescent="0.35">
      <c r="A4041" s="2" t="s">
        <v>26857</v>
      </c>
      <c r="B4041" s="2">
        <v>368.15840141426702</v>
      </c>
      <c r="C4041" s="2">
        <v>10.0553333333333</v>
      </c>
      <c r="D4041" s="2" t="s">
        <v>34</v>
      </c>
      <c r="E4041" s="2" t="s">
        <v>26858</v>
      </c>
      <c r="F4041" s="2">
        <v>201667</v>
      </c>
      <c r="G4041" s="3" t="str">
        <f>HYPERLINK("http://funmeta.oebiotech.com/network/201667", "http://funmeta.oebiotech.com/network/201667")</f>
        <v>http://funmeta.oebiotech.com/network/201667</v>
      </c>
      <c r="H4041" s="2" t="s">
        <v>26859</v>
      </c>
      <c r="I4041" s="2"/>
      <c r="J4041" s="2"/>
      <c r="K4041" s="2"/>
      <c r="L4041" s="2"/>
      <c r="M4041" s="2"/>
      <c r="N4041" s="2"/>
      <c r="O4041" s="2">
        <v>486407</v>
      </c>
      <c r="P4041" s="2"/>
      <c r="Q4041" s="2" t="s">
        <v>26860</v>
      </c>
      <c r="R4041" s="2" t="s">
        <v>26861</v>
      </c>
      <c r="S4041" s="2" t="s">
        <v>41</v>
      </c>
      <c r="T4041" s="2" t="s">
        <v>41</v>
      </c>
      <c r="U4041" s="2" t="s">
        <v>41</v>
      </c>
      <c r="V4041" s="2" t="s">
        <v>59</v>
      </c>
      <c r="W4041" s="2">
        <v>40.6</v>
      </c>
      <c r="X4041" s="2">
        <v>16.5</v>
      </c>
      <c r="Y4041" s="2" t="s">
        <v>323</v>
      </c>
      <c r="Z4041" s="2" t="s">
        <v>26862</v>
      </c>
      <c r="AA4041" s="2">
        <v>-2.9345194960123901</v>
      </c>
      <c r="AB4041" s="2">
        <v>0.17060294804315701</v>
      </c>
      <c r="AC4041" s="2">
        <v>4481.9481137485</v>
      </c>
      <c r="AD4041" s="2">
        <v>6547.4075026605897</v>
      </c>
      <c r="AE4041" s="2">
        <v>4539.2825004958804</v>
      </c>
      <c r="AF4041" s="2">
        <v>4862.1442302244404</v>
      </c>
      <c r="AG4041" s="2">
        <v>4683.39396367466</v>
      </c>
      <c r="AH4041" s="2">
        <v>3887.1606879410101</v>
      </c>
      <c r="AI4041" s="2">
        <v>4174.8462997922597</v>
      </c>
      <c r="AJ4041" s="2">
        <v>4744.86100036274</v>
      </c>
      <c r="AK4041" s="2">
        <v>5922.5129169459697</v>
      </c>
      <c r="AL4041" s="2">
        <v>6944.9220945521001</v>
      </c>
      <c r="AM4041" s="2">
        <v>6147.48571742683</v>
      </c>
      <c r="AN4041" s="2">
        <v>7031.9435825304099</v>
      </c>
      <c r="AO4041" s="2">
        <v>7090.0606886220203</v>
      </c>
      <c r="AP4041" s="2">
        <v>6147.5200158862099</v>
      </c>
    </row>
    <row r="4042" spans="1:42" ht="14.5" x14ac:dyDescent="0.35">
      <c r="A4042" s="2" t="s">
        <v>26863</v>
      </c>
      <c r="B4042" s="2">
        <v>597.27972215142597</v>
      </c>
      <c r="C4042" s="2">
        <v>5.00538333333333</v>
      </c>
      <c r="D4042" s="2" t="s">
        <v>70</v>
      </c>
      <c r="E4042" s="2" t="s">
        <v>26864</v>
      </c>
      <c r="F4042" s="2">
        <v>207412</v>
      </c>
      <c r="G4042" s="3" t="str">
        <f>HYPERLINK("http://funmeta.oebiotech.com/network/207412", "http://funmeta.oebiotech.com/network/207412")</f>
        <v>http://funmeta.oebiotech.com/network/207412</v>
      </c>
      <c r="H4042" s="2" t="s">
        <v>26865</v>
      </c>
      <c r="I4042" s="2"/>
      <c r="J4042" s="2"/>
      <c r="K4042" s="2"/>
      <c r="L4042" s="2"/>
      <c r="M4042" s="2"/>
      <c r="N4042" s="2"/>
      <c r="O4042" s="2">
        <v>13020984</v>
      </c>
      <c r="P4042" s="2"/>
      <c r="Q4042" s="2" t="s">
        <v>26866</v>
      </c>
      <c r="R4042" s="2" t="s">
        <v>26867</v>
      </c>
      <c r="S4042" s="2" t="s">
        <v>89</v>
      </c>
      <c r="T4042" s="2" t="s">
        <v>90</v>
      </c>
      <c r="U4042" s="2" t="s">
        <v>99</v>
      </c>
      <c r="V4042" s="2" t="s">
        <v>59</v>
      </c>
      <c r="W4042" s="2">
        <v>36.700000000000003</v>
      </c>
      <c r="X4042" s="2">
        <v>0</v>
      </c>
      <c r="Y4042" s="2" t="s">
        <v>408</v>
      </c>
      <c r="Z4042" s="2" t="s">
        <v>26868</v>
      </c>
      <c r="AA4042" s="2">
        <v>1.1823525784208599</v>
      </c>
      <c r="AB4042" s="2">
        <v>0.17048729483165401</v>
      </c>
      <c r="AC4042" s="2">
        <v>8112.8424061572596</v>
      </c>
      <c r="AD4042" s="2">
        <v>10980.8370639648</v>
      </c>
      <c r="AE4042" s="2">
        <v>9088.0739914251608</v>
      </c>
      <c r="AF4042" s="2">
        <v>8760.3228737827194</v>
      </c>
      <c r="AG4042" s="2">
        <v>6866.9085334170504</v>
      </c>
      <c r="AH4042" s="2">
        <v>9039.7149687787005</v>
      </c>
      <c r="AI4042" s="2">
        <v>7788.8893992556896</v>
      </c>
      <c r="AJ4042" s="2">
        <v>7133.1446702842304</v>
      </c>
      <c r="AK4042" s="2">
        <v>8036.0730227202603</v>
      </c>
      <c r="AL4042" s="2">
        <v>14372.7075678151</v>
      </c>
      <c r="AM4042" s="2">
        <v>10135.512475850601</v>
      </c>
      <c r="AN4042" s="2">
        <v>12888.5932630759</v>
      </c>
      <c r="AO4042" s="2">
        <v>10660.598608468399</v>
      </c>
      <c r="AP4042" s="2">
        <v>9791.5374458583101</v>
      </c>
    </row>
    <row r="4043" spans="1:42" ht="14.5" x14ac:dyDescent="0.35">
      <c r="A4043" s="2" t="s">
        <v>26869</v>
      </c>
      <c r="B4043" s="2">
        <v>977.48819939934401</v>
      </c>
      <c r="C4043" s="2">
        <v>10.3798166666667</v>
      </c>
      <c r="D4043" s="2" t="s">
        <v>34</v>
      </c>
      <c r="E4043" s="2" t="s">
        <v>26870</v>
      </c>
      <c r="F4043" s="2">
        <v>228788</v>
      </c>
      <c r="G4043" s="3" t="str">
        <f>HYPERLINK("http://funmeta.oebiotech.com/network/228788", "http://funmeta.oebiotech.com/network/228788")</f>
        <v>http://funmeta.oebiotech.com/network/228788</v>
      </c>
      <c r="H4043" s="2" t="s">
        <v>26871</v>
      </c>
      <c r="I4043" s="2"/>
      <c r="J4043" s="2"/>
      <c r="K4043" s="2"/>
      <c r="L4043" s="2"/>
      <c r="M4043" s="2"/>
      <c r="N4043" s="2"/>
      <c r="O4043" s="2"/>
      <c r="P4043" s="2"/>
      <c r="Q4043" s="2" t="s">
        <v>26872</v>
      </c>
      <c r="R4043" s="2" t="s">
        <v>26873</v>
      </c>
      <c r="S4043" s="2" t="s">
        <v>41</v>
      </c>
      <c r="T4043" s="2" t="s">
        <v>41</v>
      </c>
      <c r="U4043" s="2" t="s">
        <v>41</v>
      </c>
      <c r="V4043" s="2" t="s">
        <v>42</v>
      </c>
      <c r="W4043" s="2">
        <v>47.6</v>
      </c>
      <c r="X4043" s="2">
        <v>48.7</v>
      </c>
      <c r="Y4043" s="2" t="s">
        <v>340</v>
      </c>
      <c r="Z4043" s="2" t="s">
        <v>4952</v>
      </c>
      <c r="AA4043" s="2">
        <v>-3.7334271324577801</v>
      </c>
      <c r="AB4043" s="2">
        <v>0.170245328220544</v>
      </c>
      <c r="AC4043" s="2">
        <v>91265.329581386497</v>
      </c>
      <c r="AD4043" s="2">
        <v>86550.591882968802</v>
      </c>
      <c r="AE4043" s="2">
        <v>89714.203052152501</v>
      </c>
      <c r="AF4043" s="2">
        <v>92312.4086032177</v>
      </c>
      <c r="AG4043" s="2">
        <v>102743.719568809</v>
      </c>
      <c r="AH4043" s="2">
        <v>84711.023900341097</v>
      </c>
      <c r="AI4043" s="2">
        <v>88599.802522136597</v>
      </c>
      <c r="AJ4043" s="2">
        <v>89510.819841662</v>
      </c>
      <c r="AK4043" s="2">
        <v>88000.125708401596</v>
      </c>
      <c r="AL4043" s="2">
        <v>77037.895594174799</v>
      </c>
      <c r="AM4043" s="2">
        <v>86067.142168664795</v>
      </c>
      <c r="AN4043" s="2">
        <v>94435.681492121701</v>
      </c>
      <c r="AO4043" s="2">
        <v>86370.673269606705</v>
      </c>
      <c r="AP4043" s="2">
        <v>87392.033064843301</v>
      </c>
    </row>
    <row r="4044" spans="1:42" ht="14.5" x14ac:dyDescent="0.35">
      <c r="A4044" s="2" t="s">
        <v>26874</v>
      </c>
      <c r="B4044" s="2">
        <v>280.26337125463999</v>
      </c>
      <c r="C4044" s="2">
        <v>11.004099999999999</v>
      </c>
      <c r="D4044" s="2" t="s">
        <v>34</v>
      </c>
      <c r="E4044" s="2" t="s">
        <v>26875</v>
      </c>
      <c r="F4044" s="2">
        <v>198616</v>
      </c>
      <c r="G4044" s="3" t="str">
        <f>HYPERLINK("http://funmeta.oebiotech.com/network/198616", "http://funmeta.oebiotech.com/network/198616")</f>
        <v>http://funmeta.oebiotech.com/network/198616</v>
      </c>
      <c r="H4044" s="2" t="s">
        <v>26876</v>
      </c>
      <c r="I4044" s="2"/>
      <c r="J4044" s="2"/>
      <c r="K4044" s="2"/>
      <c r="L4044" s="2"/>
      <c r="M4044" s="2"/>
      <c r="N4044" s="2"/>
      <c r="O4044" s="2">
        <v>6449795</v>
      </c>
      <c r="P4044" s="2"/>
      <c r="Q4044" s="2" t="s">
        <v>26877</v>
      </c>
      <c r="R4044" s="2" t="s">
        <v>26878</v>
      </c>
      <c r="S4044" s="2" t="s">
        <v>1677</v>
      </c>
      <c r="T4044" s="2" t="s">
        <v>1678</v>
      </c>
      <c r="U4044" s="2" t="s">
        <v>1679</v>
      </c>
      <c r="V4044" s="2" t="s">
        <v>42</v>
      </c>
      <c r="W4044" s="2">
        <v>50.7</v>
      </c>
      <c r="X4044" s="2">
        <v>57.7</v>
      </c>
      <c r="Y4044" s="2" t="s">
        <v>141</v>
      </c>
      <c r="Z4044" s="2" t="s">
        <v>15226</v>
      </c>
      <c r="AA4044" s="2">
        <v>-0.403212665292496</v>
      </c>
      <c r="AB4044" s="2">
        <v>0.170015718628864</v>
      </c>
      <c r="AC4044" s="2">
        <v>19021.914774745601</v>
      </c>
      <c r="AD4044" s="2">
        <v>22882.129336976501</v>
      </c>
      <c r="AE4044" s="2">
        <v>18546.945222389801</v>
      </c>
      <c r="AF4044" s="2">
        <v>16485.9145808633</v>
      </c>
      <c r="AG4044" s="2">
        <v>17568.499857336101</v>
      </c>
      <c r="AH4044" s="2">
        <v>21727.871006561501</v>
      </c>
      <c r="AI4044" s="2">
        <v>22626.396088268899</v>
      </c>
      <c r="AJ4044" s="2">
        <v>17175.8618930538</v>
      </c>
      <c r="AK4044" s="2">
        <v>16880.579769933101</v>
      </c>
      <c r="AL4044" s="2">
        <v>27168.124387130301</v>
      </c>
      <c r="AM4044" s="2">
        <v>23464.849085840298</v>
      </c>
      <c r="AN4044" s="2">
        <v>29629.4384547185</v>
      </c>
      <c r="AO4044" s="2">
        <v>20320.245674212099</v>
      </c>
      <c r="AP4044" s="2">
        <v>19829.538650024999</v>
      </c>
    </row>
    <row r="4045" spans="1:42" ht="14.5" x14ac:dyDescent="0.35">
      <c r="A4045" s="2" t="s">
        <v>26879</v>
      </c>
      <c r="B4045" s="2">
        <v>556.143348509362</v>
      </c>
      <c r="C4045" s="2">
        <v>3.82433333333333</v>
      </c>
      <c r="D4045" s="2" t="s">
        <v>70</v>
      </c>
      <c r="E4045" s="2" t="s">
        <v>26880</v>
      </c>
      <c r="F4045" s="2">
        <v>59101</v>
      </c>
      <c r="G4045" s="3" t="str">
        <f>HYPERLINK("http://funmeta.oebiotech.com/network/59101", "http://funmeta.oebiotech.com/network/59101")</f>
        <v>http://funmeta.oebiotech.com/network/59101</v>
      </c>
      <c r="H4045" s="2" t="s">
        <v>26881</v>
      </c>
      <c r="I4045" s="2">
        <v>90527</v>
      </c>
      <c r="J4045" s="2"/>
      <c r="K4045" s="2">
        <v>168612</v>
      </c>
      <c r="L4045" s="2"/>
      <c r="M4045" s="2"/>
      <c r="N4045" s="2"/>
      <c r="O4045" s="2">
        <v>131751684</v>
      </c>
      <c r="P4045" s="2"/>
      <c r="Q4045" s="2" t="s">
        <v>26882</v>
      </c>
      <c r="R4045" s="2" t="s">
        <v>26883</v>
      </c>
      <c r="S4045" s="2" t="s">
        <v>115</v>
      </c>
      <c r="T4045" s="2" t="s">
        <v>116</v>
      </c>
      <c r="U4045" s="2" t="s">
        <v>117</v>
      </c>
      <c r="V4045" s="2" t="s">
        <v>59</v>
      </c>
      <c r="W4045" s="2">
        <v>37</v>
      </c>
      <c r="X4045" s="2">
        <v>0</v>
      </c>
      <c r="Y4045" s="2" t="s">
        <v>751</v>
      </c>
      <c r="Z4045" s="2" t="s">
        <v>26884</v>
      </c>
      <c r="AA4045" s="2">
        <v>-4.6949396420602998</v>
      </c>
      <c r="AB4045" s="2">
        <v>0.169996010513985</v>
      </c>
      <c r="AC4045" s="2">
        <v>5705.9963652020697</v>
      </c>
      <c r="AD4045" s="2">
        <v>3508.38286679356</v>
      </c>
      <c r="AE4045" s="2">
        <v>5414.9781387519097</v>
      </c>
      <c r="AF4045" s="2">
        <v>6174.94126419036</v>
      </c>
      <c r="AG4045" s="2">
        <v>5753.5254491256001</v>
      </c>
      <c r="AH4045" s="2">
        <v>5199.3813289817299</v>
      </c>
      <c r="AI4045" s="2">
        <v>6197.0582119705005</v>
      </c>
      <c r="AJ4045" s="2">
        <v>5496.0937981923298</v>
      </c>
      <c r="AK4045" s="2">
        <v>2861.9150615594199</v>
      </c>
      <c r="AL4045" s="2">
        <v>4788.2509998962896</v>
      </c>
      <c r="AM4045" s="2">
        <v>3355.6327504104702</v>
      </c>
      <c r="AN4045" s="2">
        <v>3876.1163268689902</v>
      </c>
      <c r="AO4045" s="2">
        <v>2200.4201231387501</v>
      </c>
      <c r="AP4045" s="2">
        <v>3967.9619388874698</v>
      </c>
    </row>
    <row r="4046" spans="1:42" ht="14.5" x14ac:dyDescent="0.35">
      <c r="A4046" s="2" t="s">
        <v>26885</v>
      </c>
      <c r="B4046" s="2">
        <v>509.125343371192</v>
      </c>
      <c r="C4046" s="2">
        <v>4.4710000000000001</v>
      </c>
      <c r="D4046" s="2" t="s">
        <v>70</v>
      </c>
      <c r="E4046" s="2" t="s">
        <v>26886</v>
      </c>
      <c r="F4046" s="2">
        <v>255964</v>
      </c>
      <c r="G4046" s="3" t="str">
        <f>HYPERLINK("http://funmeta.oebiotech.com/network/255964", "http://funmeta.oebiotech.com/network/255964")</f>
        <v>http://funmeta.oebiotech.com/network/255964</v>
      </c>
      <c r="H4046" s="2" t="s">
        <v>26887</v>
      </c>
      <c r="I4046" s="2"/>
      <c r="J4046" s="2"/>
      <c r="K4046" s="2">
        <v>2772</v>
      </c>
      <c r="L4046" s="2" t="s">
        <v>26888</v>
      </c>
      <c r="M4046" s="2"/>
      <c r="N4046" s="2"/>
      <c r="O4046" s="2">
        <v>441647</v>
      </c>
      <c r="P4046" s="2"/>
      <c r="Q4046" s="2" t="s">
        <v>26889</v>
      </c>
      <c r="R4046" s="2" t="s">
        <v>26890</v>
      </c>
      <c r="S4046" s="2" t="s">
        <v>115</v>
      </c>
      <c r="T4046" s="2" t="s">
        <v>139</v>
      </c>
      <c r="U4046" s="2" t="s">
        <v>19912</v>
      </c>
      <c r="V4046" s="2" t="s">
        <v>59</v>
      </c>
      <c r="W4046" s="2">
        <v>38.9</v>
      </c>
      <c r="X4046" s="2">
        <v>0</v>
      </c>
      <c r="Y4046" s="2" t="s">
        <v>560</v>
      </c>
      <c r="Z4046" s="2" t="s">
        <v>26891</v>
      </c>
      <c r="AA4046" s="2">
        <v>2.2585181362520999</v>
      </c>
      <c r="AB4046" s="2">
        <v>0.16990687964685899</v>
      </c>
      <c r="AC4046" s="2">
        <v>7674.9379818454599</v>
      </c>
      <c r="AD4046" s="2">
        <v>5205.2953199227204</v>
      </c>
      <c r="AE4046" s="2">
        <v>7731.8402317516702</v>
      </c>
      <c r="AF4046" s="2">
        <v>7811.3606351520802</v>
      </c>
      <c r="AG4046" s="2">
        <v>7168.1480859475596</v>
      </c>
      <c r="AH4046" s="2">
        <v>9103.9462101334102</v>
      </c>
      <c r="AI4046" s="2">
        <v>6463.7252895197798</v>
      </c>
      <c r="AJ4046" s="2">
        <v>7770.6074385682496</v>
      </c>
      <c r="AK4046" s="2">
        <v>5665.3012236068798</v>
      </c>
      <c r="AL4046" s="2">
        <v>6636.47144220673</v>
      </c>
      <c r="AM4046" s="2">
        <v>6911.4173197995297</v>
      </c>
      <c r="AN4046" s="2">
        <v>3999.0493168253402</v>
      </c>
      <c r="AO4046" s="2">
        <v>4176.2384206898196</v>
      </c>
      <c r="AP4046" s="2">
        <v>3843.2941964080001</v>
      </c>
    </row>
    <row r="4047" spans="1:42" ht="14.5" x14ac:dyDescent="0.35">
      <c r="A4047" s="2" t="s">
        <v>26892</v>
      </c>
      <c r="B4047" s="2">
        <v>351.10227462165699</v>
      </c>
      <c r="C4047" s="2">
        <v>4.1524000000000001</v>
      </c>
      <c r="D4047" s="2" t="s">
        <v>70</v>
      </c>
      <c r="E4047" s="2" t="s">
        <v>26893</v>
      </c>
      <c r="F4047" s="2">
        <v>52601</v>
      </c>
      <c r="G4047" s="3" t="str">
        <f>HYPERLINK("http://funmeta.oebiotech.com/network/52601", "http://funmeta.oebiotech.com/network/52601")</f>
        <v>http://funmeta.oebiotech.com/network/52601</v>
      </c>
      <c r="H4047" s="2" t="s">
        <v>26894</v>
      </c>
      <c r="I4047" s="2">
        <v>2708</v>
      </c>
      <c r="J4047" s="2"/>
      <c r="K4047" s="2">
        <v>46081</v>
      </c>
      <c r="L4047" s="2" t="s">
        <v>26895</v>
      </c>
      <c r="M4047" s="2"/>
      <c r="N4047" s="2"/>
      <c r="O4047" s="2">
        <v>3365</v>
      </c>
      <c r="P4047" s="2" t="s">
        <v>26896</v>
      </c>
      <c r="Q4047" s="2" t="s">
        <v>26897</v>
      </c>
      <c r="R4047" s="2" t="s">
        <v>26898</v>
      </c>
      <c r="S4047" s="2" t="s">
        <v>148</v>
      </c>
      <c r="T4047" s="2" t="s">
        <v>149</v>
      </c>
      <c r="U4047" s="2" t="s">
        <v>8963</v>
      </c>
      <c r="V4047" s="2" t="s">
        <v>59</v>
      </c>
      <c r="W4047" s="2">
        <v>39.1</v>
      </c>
      <c r="X4047" s="2">
        <v>0</v>
      </c>
      <c r="Y4047" s="2" t="s">
        <v>408</v>
      </c>
      <c r="Z4047" s="2" t="s">
        <v>26899</v>
      </c>
      <c r="AA4047" s="2">
        <v>2.0510857262728902E-2</v>
      </c>
      <c r="AB4047" s="2">
        <v>0.169814786731465</v>
      </c>
      <c r="AC4047" s="2">
        <v>7219.0071097031996</v>
      </c>
      <c r="AD4047" s="2">
        <v>4765.0298074088196</v>
      </c>
      <c r="AE4047" s="2">
        <v>5599.7769915179697</v>
      </c>
      <c r="AF4047" s="2">
        <v>6911.61071580936</v>
      </c>
      <c r="AG4047" s="2">
        <v>7269.20890905756</v>
      </c>
      <c r="AH4047" s="2">
        <v>7088.3992200866396</v>
      </c>
      <c r="AI4047" s="2">
        <v>6910.5566375898497</v>
      </c>
      <c r="AJ4047" s="2">
        <v>9534.4901841578394</v>
      </c>
      <c r="AK4047" s="2">
        <v>4414.2046207040403</v>
      </c>
      <c r="AL4047" s="2">
        <v>4005.8638864066302</v>
      </c>
      <c r="AM4047" s="2">
        <v>3611.0701629414598</v>
      </c>
      <c r="AN4047" s="2">
        <v>5506.3662176494499</v>
      </c>
      <c r="AO4047" s="2">
        <v>5158.5157918835903</v>
      </c>
      <c r="AP4047" s="2">
        <v>5894.1581648677402</v>
      </c>
    </row>
    <row r="4048" spans="1:42" ht="14.5" x14ac:dyDescent="0.35">
      <c r="A4048" s="2" t="s">
        <v>26900</v>
      </c>
      <c r="B4048" s="2">
        <v>479.32065830711798</v>
      </c>
      <c r="C4048" s="2">
        <v>4.8173500000000002</v>
      </c>
      <c r="D4048" s="2" t="s">
        <v>34</v>
      </c>
      <c r="E4048" s="2" t="s">
        <v>26901</v>
      </c>
      <c r="F4048" s="2">
        <v>213032</v>
      </c>
      <c r="G4048" s="3" t="str">
        <f>HYPERLINK("http://funmeta.oebiotech.com/network/213032", "http://funmeta.oebiotech.com/network/213032")</f>
        <v>http://funmeta.oebiotech.com/network/213032</v>
      </c>
      <c r="H4048" s="2" t="s">
        <v>26902</v>
      </c>
      <c r="I4048" s="2"/>
      <c r="J4048" s="2"/>
      <c r="K4048" s="2"/>
      <c r="L4048" s="2"/>
      <c r="M4048" s="2"/>
      <c r="N4048" s="2"/>
      <c r="O4048" s="2">
        <v>170820</v>
      </c>
      <c r="P4048" s="2"/>
      <c r="Q4048" s="2" t="s">
        <v>26903</v>
      </c>
      <c r="R4048" s="2" t="s">
        <v>26904</v>
      </c>
      <c r="S4048" s="2" t="s">
        <v>79</v>
      </c>
      <c r="T4048" s="2" t="s">
        <v>80</v>
      </c>
      <c r="U4048" s="2" t="s">
        <v>81</v>
      </c>
      <c r="V4048" s="2" t="s">
        <v>59</v>
      </c>
      <c r="W4048" s="2">
        <v>37.700000000000003</v>
      </c>
      <c r="X4048" s="2">
        <v>0</v>
      </c>
      <c r="Y4048" s="2" t="s">
        <v>43</v>
      </c>
      <c r="Z4048" s="2" t="s">
        <v>26905</v>
      </c>
      <c r="AA4048" s="2">
        <v>4.0846020966552397</v>
      </c>
      <c r="AB4048" s="2">
        <v>0.16977753693525599</v>
      </c>
      <c r="AC4048" s="2">
        <v>3076.1104561717698</v>
      </c>
      <c r="AD4048" s="2">
        <v>452.09434562586699</v>
      </c>
      <c r="AE4048" s="2">
        <v>3729.1567051564198</v>
      </c>
      <c r="AF4048" s="2">
        <v>1527.8656769466299</v>
      </c>
      <c r="AG4048" s="2">
        <v>1921.80815797693</v>
      </c>
      <c r="AH4048" s="2">
        <v>2975.80266728892</v>
      </c>
      <c r="AI4048" s="2">
        <v>2322.5476252103299</v>
      </c>
      <c r="AJ4048" s="2">
        <v>5979.4819044513897</v>
      </c>
      <c r="AK4048" s="2">
        <v>2712.56593822373</v>
      </c>
      <c r="AL4048" s="2">
        <v>2.7106294003980101E-5</v>
      </c>
      <c r="AM4048" s="2">
        <v>2.7106294003980101E-5</v>
      </c>
      <c r="AN4048" s="2">
        <v>2.7106294003980101E-5</v>
      </c>
      <c r="AO4048" s="2">
        <v>2.7106294003980101E-5</v>
      </c>
      <c r="AP4048" s="2">
        <v>2.7106294003980101E-5</v>
      </c>
    </row>
    <row r="4049" spans="1:42" ht="14.5" x14ac:dyDescent="0.35">
      <c r="A4049" s="2" t="s">
        <v>26906</v>
      </c>
      <c r="B4049" s="2">
        <v>251.10645599605999</v>
      </c>
      <c r="C4049" s="2">
        <v>5.48966666666667</v>
      </c>
      <c r="D4049" s="2" t="s">
        <v>34</v>
      </c>
      <c r="E4049" s="2" t="s">
        <v>26907</v>
      </c>
      <c r="F4049" s="2">
        <v>200117</v>
      </c>
      <c r="G4049" s="3" t="str">
        <f>HYPERLINK("http://funmeta.oebiotech.com/network/200117", "http://funmeta.oebiotech.com/network/200117")</f>
        <v>http://funmeta.oebiotech.com/network/200117</v>
      </c>
      <c r="H4049" s="2" t="s">
        <v>26908</v>
      </c>
      <c r="I4049" s="2"/>
      <c r="J4049" s="2"/>
      <c r="K4049" s="2"/>
      <c r="L4049" s="2"/>
      <c r="M4049" s="2"/>
      <c r="N4049" s="2"/>
      <c r="O4049" s="2">
        <v>3547512</v>
      </c>
      <c r="P4049" s="2"/>
      <c r="Q4049" s="2" t="s">
        <v>26909</v>
      </c>
      <c r="R4049" s="2" t="s">
        <v>26910</v>
      </c>
      <c r="S4049" s="2" t="s">
        <v>41</v>
      </c>
      <c r="T4049" s="2" t="s">
        <v>41</v>
      </c>
      <c r="U4049" s="2" t="s">
        <v>41</v>
      </c>
      <c r="V4049" s="2" t="s">
        <v>59</v>
      </c>
      <c r="W4049" s="2">
        <v>37.299999999999997</v>
      </c>
      <c r="X4049" s="2">
        <v>0</v>
      </c>
      <c r="Y4049" s="2" t="s">
        <v>43</v>
      </c>
      <c r="Z4049" s="2" t="s">
        <v>26911</v>
      </c>
      <c r="AA4049" s="2">
        <v>1.9371765949331601</v>
      </c>
      <c r="AB4049" s="2">
        <v>0.16971821967817999</v>
      </c>
      <c r="AC4049" s="2">
        <v>1930.2479692007701</v>
      </c>
      <c r="AD4049" s="2">
        <v>2.7106294003980101E-5</v>
      </c>
      <c r="AE4049" s="2">
        <v>1831.88074914246</v>
      </c>
      <c r="AF4049" s="2">
        <v>1788.5317893635699</v>
      </c>
      <c r="AG4049" s="2">
        <v>1866.9451051224501</v>
      </c>
      <c r="AH4049" s="2">
        <v>2564.4198514609702</v>
      </c>
      <c r="AI4049" s="2">
        <v>1710.3436387665799</v>
      </c>
      <c r="AJ4049" s="2">
        <v>1819.36668134861</v>
      </c>
      <c r="AK4049" s="2">
        <v>2.7106294003980101E-5</v>
      </c>
      <c r="AL4049" s="2">
        <v>2.7106294003980101E-5</v>
      </c>
      <c r="AM4049" s="2">
        <v>2.7106294003980101E-5</v>
      </c>
      <c r="AN4049" s="2">
        <v>2.7106294003980101E-5</v>
      </c>
      <c r="AO4049" s="2">
        <v>2.7106294003980101E-5</v>
      </c>
      <c r="AP4049" s="2">
        <v>2.7106294003980101E-5</v>
      </c>
    </row>
    <row r="4050" spans="1:42" ht="14.5" x14ac:dyDescent="0.35">
      <c r="A4050" s="2" t="s">
        <v>26912</v>
      </c>
      <c r="B4050" s="2">
        <v>571.14394766615999</v>
      </c>
      <c r="C4050" s="2">
        <v>4.3103166666666697</v>
      </c>
      <c r="D4050" s="2" t="s">
        <v>70</v>
      </c>
      <c r="E4050" s="2" t="s">
        <v>26913</v>
      </c>
      <c r="F4050" s="2">
        <v>29085</v>
      </c>
      <c r="G4050" s="3" t="str">
        <f>HYPERLINK("http://funmeta.oebiotech.com/network/29085", "http://funmeta.oebiotech.com/network/29085")</f>
        <v>http://funmeta.oebiotech.com/network/29085</v>
      </c>
      <c r="H4050" s="2"/>
      <c r="I4050" s="2">
        <v>47481</v>
      </c>
      <c r="J4050" s="2" t="s">
        <v>26914</v>
      </c>
      <c r="K4050" s="2">
        <v>140769</v>
      </c>
      <c r="L4050" s="2"/>
      <c r="M4050" s="2"/>
      <c r="N4050" s="2"/>
      <c r="O4050" s="2">
        <v>44257191</v>
      </c>
      <c r="P4050" s="2"/>
      <c r="Q4050" s="2" t="s">
        <v>26915</v>
      </c>
      <c r="R4050" s="2" t="s">
        <v>26916</v>
      </c>
      <c r="S4050" s="2" t="s">
        <v>115</v>
      </c>
      <c r="T4050" s="2" t="s">
        <v>139</v>
      </c>
      <c r="U4050" s="2" t="s">
        <v>140</v>
      </c>
      <c r="V4050" s="2" t="s">
        <v>59</v>
      </c>
      <c r="W4050" s="2">
        <v>36.700000000000003</v>
      </c>
      <c r="X4050" s="2">
        <v>0</v>
      </c>
      <c r="Y4050" s="2" t="s">
        <v>408</v>
      </c>
      <c r="Z4050" s="2" t="s">
        <v>26917</v>
      </c>
      <c r="AA4050" s="2">
        <v>-3.3580940341840901</v>
      </c>
      <c r="AB4050" s="2">
        <v>0.16968258433816999</v>
      </c>
      <c r="AC4050" s="2">
        <v>9908.5497901780709</v>
      </c>
      <c r="AD4050" s="2">
        <v>12976.138958453999</v>
      </c>
      <c r="AE4050" s="2">
        <v>9863.4537011944903</v>
      </c>
      <c r="AF4050" s="2">
        <v>11704.1890945747</v>
      </c>
      <c r="AG4050" s="2">
        <v>8531.5988648642997</v>
      </c>
      <c r="AH4050" s="2">
        <v>11942.168488801601</v>
      </c>
      <c r="AI4050" s="2">
        <v>10224.2924394033</v>
      </c>
      <c r="AJ4050" s="2">
        <v>7185.5961522300304</v>
      </c>
      <c r="AK4050" s="2">
        <v>12896.2788556577</v>
      </c>
      <c r="AL4050" s="2">
        <v>9198.0848888089604</v>
      </c>
      <c r="AM4050" s="2">
        <v>14114.9134653113</v>
      </c>
      <c r="AN4050" s="2">
        <v>15351.7458685335</v>
      </c>
      <c r="AO4050" s="2">
        <v>10956.964139387201</v>
      </c>
      <c r="AP4050" s="2">
        <v>15338.8465330251</v>
      </c>
    </row>
    <row r="4051" spans="1:42" ht="14.5" x14ac:dyDescent="0.35">
      <c r="A4051" s="2" t="s">
        <v>26918</v>
      </c>
      <c r="B4051" s="2">
        <v>765.12785461700503</v>
      </c>
      <c r="C4051" s="2">
        <v>4.7218999999999998</v>
      </c>
      <c r="D4051" s="2" t="s">
        <v>70</v>
      </c>
      <c r="E4051" s="2" t="s">
        <v>26919</v>
      </c>
      <c r="F4051" s="2">
        <v>63701</v>
      </c>
      <c r="G4051" s="3" t="str">
        <f>HYPERLINK("http://funmeta.oebiotech.com/network/63701", "http://funmeta.oebiotech.com/network/63701")</f>
        <v>http://funmeta.oebiotech.com/network/63701</v>
      </c>
      <c r="H4051" s="2" t="s">
        <v>26920</v>
      </c>
      <c r="I4051" s="2">
        <v>95037</v>
      </c>
      <c r="J4051" s="2"/>
      <c r="K4051" s="2"/>
      <c r="L4051" s="2"/>
      <c r="M4051" s="2"/>
      <c r="N4051" s="2"/>
      <c r="O4051" s="2">
        <v>131752851</v>
      </c>
      <c r="P4051" s="2" t="s">
        <v>26921</v>
      </c>
      <c r="Q4051" s="2" t="s">
        <v>26922</v>
      </c>
      <c r="R4051" s="2" t="s">
        <v>26923</v>
      </c>
      <c r="S4051" s="2" t="s">
        <v>115</v>
      </c>
      <c r="T4051" s="2" t="s">
        <v>9908</v>
      </c>
      <c r="U4051" s="2" t="s">
        <v>26924</v>
      </c>
      <c r="V4051" s="2" t="s">
        <v>59</v>
      </c>
      <c r="W4051" s="2">
        <v>37.299999999999997</v>
      </c>
      <c r="X4051" s="2">
        <v>0</v>
      </c>
      <c r="Y4051" s="2" t="s">
        <v>751</v>
      </c>
      <c r="Z4051" s="2" t="s">
        <v>26925</v>
      </c>
      <c r="AA4051" s="2">
        <v>-3.82284694149102</v>
      </c>
      <c r="AB4051" s="2">
        <v>0.16954308915538799</v>
      </c>
      <c r="AC4051" s="2">
        <v>4306.8145375854401</v>
      </c>
      <c r="AD4051" s="2">
        <v>1952.3390041820301</v>
      </c>
      <c r="AE4051" s="2">
        <v>2820.32114644576</v>
      </c>
      <c r="AF4051" s="2">
        <v>4467.5824416304904</v>
      </c>
      <c r="AG4051" s="2">
        <v>3841.4534514535299</v>
      </c>
      <c r="AH4051" s="2">
        <v>3879.3076966378799</v>
      </c>
      <c r="AI4051" s="2">
        <v>5126.7588968186301</v>
      </c>
      <c r="AJ4051" s="2">
        <v>5705.4635925263301</v>
      </c>
      <c r="AK4051" s="2">
        <v>2911.8335257201602</v>
      </c>
      <c r="AL4051" s="2">
        <v>2422.1519606752399</v>
      </c>
      <c r="AM4051" s="2">
        <v>1604.70700414761</v>
      </c>
      <c r="AN4051" s="2">
        <v>1010.79163297158</v>
      </c>
      <c r="AO4051" s="2">
        <v>2803.6167266111702</v>
      </c>
      <c r="AP4051" s="2">
        <v>960.93317496644602</v>
      </c>
    </row>
    <row r="4052" spans="1:42" ht="14.5" x14ac:dyDescent="0.35">
      <c r="A4052" s="2" t="s">
        <v>26926</v>
      </c>
      <c r="B4052" s="2">
        <v>663.27612596787696</v>
      </c>
      <c r="C4052" s="2">
        <v>10.208016666666699</v>
      </c>
      <c r="D4052" s="2" t="s">
        <v>70</v>
      </c>
      <c r="E4052" s="2" t="s">
        <v>26927</v>
      </c>
      <c r="F4052" s="2">
        <v>210365</v>
      </c>
      <c r="G4052" s="3" t="str">
        <f>HYPERLINK("http://funmeta.oebiotech.com/network/210365", "http://funmeta.oebiotech.com/network/210365")</f>
        <v>http://funmeta.oebiotech.com/network/210365</v>
      </c>
      <c r="H4052" s="2" t="s">
        <v>26928</v>
      </c>
      <c r="I4052" s="2"/>
      <c r="J4052" s="2"/>
      <c r="K4052" s="2"/>
      <c r="L4052" s="2"/>
      <c r="M4052" s="2"/>
      <c r="N4052" s="2"/>
      <c r="O4052" s="2"/>
      <c r="P4052" s="2"/>
      <c r="Q4052" s="2" t="s">
        <v>26929</v>
      </c>
      <c r="R4052" s="2" t="s">
        <v>26930</v>
      </c>
      <c r="S4052" s="2" t="s">
        <v>50</v>
      </c>
      <c r="T4052" s="2" t="s">
        <v>51</v>
      </c>
      <c r="U4052" s="2" t="s">
        <v>52</v>
      </c>
      <c r="V4052" s="2" t="s">
        <v>59</v>
      </c>
      <c r="W4052" s="2">
        <v>37.700000000000003</v>
      </c>
      <c r="X4052" s="2">
        <v>0.97599999999999998</v>
      </c>
      <c r="Y4052" s="2" t="s">
        <v>408</v>
      </c>
      <c r="Z4052" s="2" t="s">
        <v>26931</v>
      </c>
      <c r="AA4052" s="2">
        <v>-4.1898039416840103</v>
      </c>
      <c r="AB4052" s="2">
        <v>0.16947965163315301</v>
      </c>
      <c r="AC4052" s="2">
        <v>3281.87537268298</v>
      </c>
      <c r="AD4052" s="2">
        <v>1012.94865580079</v>
      </c>
      <c r="AE4052" s="2">
        <v>4737.1931883703</v>
      </c>
      <c r="AF4052" s="2">
        <v>3379.1545229718899</v>
      </c>
      <c r="AG4052" s="2">
        <v>3564.48344842386</v>
      </c>
      <c r="AH4052" s="2">
        <v>2684.7282202575502</v>
      </c>
      <c r="AI4052" s="2">
        <v>1711.83395148971</v>
      </c>
      <c r="AJ4052" s="2">
        <v>3613.8589045845802</v>
      </c>
      <c r="AK4052" s="2">
        <v>1102.68161265914</v>
      </c>
      <c r="AL4052" s="2">
        <v>1600.68960587225</v>
      </c>
      <c r="AM4052" s="2">
        <v>2.7106294003980101E-5</v>
      </c>
      <c r="AN4052" s="2">
        <v>846.08022082287198</v>
      </c>
      <c r="AO4052" s="2">
        <v>1910.94148676957</v>
      </c>
      <c r="AP4052" s="2">
        <v>617.29898157464197</v>
      </c>
    </row>
    <row r="4053" spans="1:42" ht="14.5" x14ac:dyDescent="0.35">
      <c r="A4053" s="2" t="s">
        <v>26932</v>
      </c>
      <c r="B4053" s="2">
        <v>467.11697499054901</v>
      </c>
      <c r="C4053" s="2">
        <v>4.2251833333333302</v>
      </c>
      <c r="D4053" s="2" t="s">
        <v>34</v>
      </c>
      <c r="E4053" s="2" t="s">
        <v>26933</v>
      </c>
      <c r="F4053" s="2">
        <v>64322</v>
      </c>
      <c r="G4053" s="3" t="str">
        <f>HYPERLINK("http://funmeta.oebiotech.com/network/64322", "http://funmeta.oebiotech.com/network/64322")</f>
        <v>http://funmeta.oebiotech.com/network/64322</v>
      </c>
      <c r="H4053" s="2" t="s">
        <v>26934</v>
      </c>
      <c r="I4053" s="2">
        <v>95640</v>
      </c>
      <c r="J4053" s="2"/>
      <c r="K4053" s="2">
        <v>168057</v>
      </c>
      <c r="L4053" s="2"/>
      <c r="M4053" s="2"/>
      <c r="N4053" s="2"/>
      <c r="O4053" s="2">
        <v>131753072</v>
      </c>
      <c r="P4053" s="2"/>
      <c r="Q4053" s="2" t="s">
        <v>26935</v>
      </c>
      <c r="R4053" s="2" t="s">
        <v>26936</v>
      </c>
      <c r="S4053" s="2" t="s">
        <v>79</v>
      </c>
      <c r="T4053" s="2" t="s">
        <v>80</v>
      </c>
      <c r="U4053" s="2" t="s">
        <v>81</v>
      </c>
      <c r="V4053" s="2" t="s">
        <v>59</v>
      </c>
      <c r="W4053" s="2">
        <v>38.1</v>
      </c>
      <c r="X4053" s="2">
        <v>0</v>
      </c>
      <c r="Y4053" s="2" t="s">
        <v>340</v>
      </c>
      <c r="Z4053" s="2" t="s">
        <v>26937</v>
      </c>
      <c r="AA4053" s="2">
        <v>1.92911955787839</v>
      </c>
      <c r="AB4053" s="2">
        <v>0.16944125256969</v>
      </c>
      <c r="AC4053" s="2">
        <v>2322.0433225829802</v>
      </c>
      <c r="AD4053" s="2">
        <v>4410.8159128800098</v>
      </c>
      <c r="AE4053" s="2">
        <v>2839.78245826068</v>
      </c>
      <c r="AF4053" s="2">
        <v>2218.8636809076202</v>
      </c>
      <c r="AG4053" s="2">
        <v>1466.5410316805501</v>
      </c>
      <c r="AH4053" s="2">
        <v>2055.5453651818202</v>
      </c>
      <c r="AI4053" s="2">
        <v>2836.0672615721901</v>
      </c>
      <c r="AJ4053" s="2">
        <v>2515.4601378949901</v>
      </c>
      <c r="AK4053" s="2">
        <v>4434.9353992443102</v>
      </c>
      <c r="AL4053" s="2">
        <v>4910.1425171335104</v>
      </c>
      <c r="AM4053" s="2">
        <v>3428.9152730931901</v>
      </c>
      <c r="AN4053" s="2">
        <v>4938.6473168448701</v>
      </c>
      <c r="AO4053" s="2">
        <v>4715.0397460106597</v>
      </c>
      <c r="AP4053" s="2">
        <v>4037.2152249534902</v>
      </c>
    </row>
    <row r="4054" spans="1:42" ht="14.5" x14ac:dyDescent="0.35">
      <c r="A4054" s="2" t="s">
        <v>26938</v>
      </c>
      <c r="B4054" s="2">
        <v>357.07294642077102</v>
      </c>
      <c r="C4054" s="2">
        <v>3.45603333333333</v>
      </c>
      <c r="D4054" s="2" t="s">
        <v>34</v>
      </c>
      <c r="E4054" s="2" t="s">
        <v>26939</v>
      </c>
      <c r="F4054" s="2">
        <v>534697</v>
      </c>
      <c r="G4054" s="3" t="str">
        <f>HYPERLINK("http://funmeta.oebiotech.com/network/534697", "http://funmeta.oebiotech.com/network/534697")</f>
        <v>http://funmeta.oebiotech.com/network/534697</v>
      </c>
      <c r="H4054" s="2"/>
      <c r="I4054" s="2">
        <v>985188</v>
      </c>
      <c r="J4054" s="2"/>
      <c r="K4054" s="2"/>
      <c r="L4054" s="2"/>
      <c r="M4054" s="2"/>
      <c r="N4054" s="2"/>
      <c r="O4054" s="2">
        <v>24066885</v>
      </c>
      <c r="P4054" s="2"/>
      <c r="Q4054" s="2" t="s">
        <v>26940</v>
      </c>
      <c r="R4054" s="2" t="s">
        <v>26941</v>
      </c>
      <c r="S4054" s="2" t="s">
        <v>491</v>
      </c>
      <c r="T4054" s="2" t="s">
        <v>19122</v>
      </c>
      <c r="U4054" s="2" t="s">
        <v>41</v>
      </c>
      <c r="V4054" s="2" t="s">
        <v>59</v>
      </c>
      <c r="W4054" s="2">
        <v>38.799999999999997</v>
      </c>
      <c r="X4054" s="2">
        <v>0</v>
      </c>
      <c r="Y4054" s="2" t="s">
        <v>340</v>
      </c>
      <c r="Z4054" s="2" t="s">
        <v>26942</v>
      </c>
      <c r="AA4054" s="2">
        <v>-1.72881476365631</v>
      </c>
      <c r="AB4054" s="2">
        <v>0.16943947881671001</v>
      </c>
      <c r="AC4054" s="2">
        <v>4340.9898996108204</v>
      </c>
      <c r="AD4054" s="2">
        <v>2222.9381250228698</v>
      </c>
      <c r="AE4054" s="2">
        <v>4249.5403426539197</v>
      </c>
      <c r="AF4054" s="2">
        <v>5155.7200678365998</v>
      </c>
      <c r="AG4054" s="2">
        <v>4873.39481448265</v>
      </c>
      <c r="AH4054" s="2">
        <v>4512.2319938225301</v>
      </c>
      <c r="AI4054" s="2">
        <v>4115.4410072766896</v>
      </c>
      <c r="AJ4054" s="2">
        <v>3139.6111715925599</v>
      </c>
      <c r="AK4054" s="2">
        <v>2981.6655161775102</v>
      </c>
      <c r="AL4054" s="2">
        <v>2166.6763260872799</v>
      </c>
      <c r="AM4054" s="2">
        <v>2046.69970252386</v>
      </c>
      <c r="AN4054" s="2">
        <v>2475.2162357291299</v>
      </c>
      <c r="AO4054" s="2">
        <v>2157.8889495683802</v>
      </c>
      <c r="AP4054" s="2">
        <v>1509.4820200510301</v>
      </c>
    </row>
    <row r="4055" spans="1:42" ht="14.5" x14ac:dyDescent="0.35">
      <c r="A4055" s="2" t="s">
        <v>26943</v>
      </c>
      <c r="B4055" s="2">
        <v>493.18372309167398</v>
      </c>
      <c r="C4055" s="2">
        <v>5.84148333333333</v>
      </c>
      <c r="D4055" s="2" t="s">
        <v>70</v>
      </c>
      <c r="E4055" s="2" t="s">
        <v>26944</v>
      </c>
      <c r="F4055" s="2">
        <v>202835</v>
      </c>
      <c r="G4055" s="3" t="str">
        <f>HYPERLINK("http://funmeta.oebiotech.com/network/202835", "http://funmeta.oebiotech.com/network/202835")</f>
        <v>http://funmeta.oebiotech.com/network/202835</v>
      </c>
      <c r="H4055" s="2" t="s">
        <v>26945</v>
      </c>
      <c r="I4055" s="2"/>
      <c r="J4055" s="2"/>
      <c r="K4055" s="2"/>
      <c r="L4055" s="2"/>
      <c r="M4055" s="2"/>
      <c r="N4055" s="2"/>
      <c r="O4055" s="2">
        <v>166304</v>
      </c>
      <c r="P4055" s="2"/>
      <c r="Q4055" s="2" t="s">
        <v>26946</v>
      </c>
      <c r="R4055" s="2" t="s">
        <v>26947</v>
      </c>
      <c r="S4055" s="2" t="s">
        <v>491</v>
      </c>
      <c r="T4055" s="2" t="s">
        <v>13250</v>
      </c>
      <c r="U4055" s="2" t="s">
        <v>41</v>
      </c>
      <c r="V4055" s="2" t="s">
        <v>59</v>
      </c>
      <c r="W4055" s="2">
        <v>36.1</v>
      </c>
      <c r="X4055" s="2">
        <v>0</v>
      </c>
      <c r="Y4055" s="2" t="s">
        <v>408</v>
      </c>
      <c r="Z4055" s="2" t="s">
        <v>26948</v>
      </c>
      <c r="AA4055" s="2">
        <v>-0.85467892465657402</v>
      </c>
      <c r="AB4055" s="2">
        <v>0.16920914610420201</v>
      </c>
      <c r="AC4055" s="2">
        <v>6972.3468680559299</v>
      </c>
      <c r="AD4055" s="2">
        <v>4806.27708182069</v>
      </c>
      <c r="AE4055" s="2">
        <v>6305.3462716260501</v>
      </c>
      <c r="AF4055" s="2">
        <v>6797.01271453152</v>
      </c>
      <c r="AG4055" s="2">
        <v>7273.1106627025201</v>
      </c>
      <c r="AH4055" s="2">
        <v>7184.30766757743</v>
      </c>
      <c r="AI4055" s="2">
        <v>7412.2319207706196</v>
      </c>
      <c r="AJ4055" s="2">
        <v>6862.0719711274696</v>
      </c>
      <c r="AK4055" s="2">
        <v>5026.9571620331599</v>
      </c>
      <c r="AL4055" s="2">
        <v>4745.5521416283</v>
      </c>
      <c r="AM4055" s="2">
        <v>4776.9374762842499</v>
      </c>
      <c r="AN4055" s="2">
        <v>6284.5503237119601</v>
      </c>
      <c r="AO4055" s="2">
        <v>4173.4203260705399</v>
      </c>
      <c r="AP4055" s="2">
        <v>3830.2450611959198</v>
      </c>
    </row>
    <row r="4056" spans="1:42" ht="14.5" x14ac:dyDescent="0.35">
      <c r="A4056" s="2" t="s">
        <v>26949</v>
      </c>
      <c r="B4056" s="2">
        <v>267.07477693420799</v>
      </c>
      <c r="C4056" s="2">
        <v>4.84418333333333</v>
      </c>
      <c r="D4056" s="2" t="s">
        <v>70</v>
      </c>
      <c r="E4056" s="2" t="s">
        <v>26950</v>
      </c>
      <c r="F4056" s="2">
        <v>48018</v>
      </c>
      <c r="G4056" s="3" t="str">
        <f>HYPERLINK("http://funmeta.oebiotech.com/network/48018", "http://funmeta.oebiotech.com/network/48018")</f>
        <v>http://funmeta.oebiotech.com/network/48018</v>
      </c>
      <c r="H4056" s="2" t="s">
        <v>26951</v>
      </c>
      <c r="I4056" s="2">
        <v>3022</v>
      </c>
      <c r="J4056" s="2"/>
      <c r="K4056" s="2">
        <v>705435</v>
      </c>
      <c r="L4056" s="2"/>
      <c r="M4056" s="2"/>
      <c r="N4056" s="2"/>
      <c r="O4056" s="2">
        <v>46874582</v>
      </c>
      <c r="P4056" s="2" t="s">
        <v>26952</v>
      </c>
      <c r="Q4056" s="2" t="s">
        <v>26953</v>
      </c>
      <c r="R4056" s="2" t="s">
        <v>26954</v>
      </c>
      <c r="S4056" s="2" t="s">
        <v>1444</v>
      </c>
      <c r="T4056" s="2" t="s">
        <v>3595</v>
      </c>
      <c r="U4056" s="2" t="s">
        <v>41</v>
      </c>
      <c r="V4056" s="2" t="s">
        <v>42</v>
      </c>
      <c r="W4056" s="2">
        <v>47.2</v>
      </c>
      <c r="X4056" s="2">
        <v>45.4</v>
      </c>
      <c r="Y4056" s="2" t="s">
        <v>118</v>
      </c>
      <c r="Z4056" s="2" t="s">
        <v>26955</v>
      </c>
      <c r="AA4056" s="2">
        <v>4.7890953559737204</v>
      </c>
      <c r="AB4056" s="2">
        <v>0.169149105555015</v>
      </c>
      <c r="AC4056" s="2">
        <v>8516.5630259335903</v>
      </c>
      <c r="AD4056" s="2">
        <v>6310.6360204986604</v>
      </c>
      <c r="AE4056" s="2">
        <v>9874.5303750937201</v>
      </c>
      <c r="AF4056" s="2">
        <v>9053.6532845373895</v>
      </c>
      <c r="AG4056" s="2">
        <v>7600.5128384006803</v>
      </c>
      <c r="AH4056" s="2">
        <v>8401.8580466143794</v>
      </c>
      <c r="AI4056" s="2">
        <v>7589.1213867045299</v>
      </c>
      <c r="AJ4056" s="2">
        <v>8579.7022242508192</v>
      </c>
      <c r="AK4056" s="2">
        <v>6225.1596698552503</v>
      </c>
      <c r="AL4056" s="2">
        <v>6115.5597691969197</v>
      </c>
      <c r="AM4056" s="2">
        <v>5623.50911176103</v>
      </c>
      <c r="AN4056" s="2">
        <v>6018.9768781434695</v>
      </c>
      <c r="AO4056" s="2">
        <v>7469.8833760217403</v>
      </c>
      <c r="AP4056" s="2">
        <v>6410.7273180135699</v>
      </c>
    </row>
    <row r="4057" spans="1:42" ht="14.5" x14ac:dyDescent="0.35">
      <c r="A4057" s="2" t="s">
        <v>26956</v>
      </c>
      <c r="B4057" s="2">
        <v>358.29471134708302</v>
      </c>
      <c r="C4057" s="2">
        <v>13.263916666666701</v>
      </c>
      <c r="D4057" s="2" t="s">
        <v>34</v>
      </c>
      <c r="E4057" s="2" t="s">
        <v>26957</v>
      </c>
      <c r="F4057" s="2">
        <v>1623</v>
      </c>
      <c r="G4057" s="3" t="str">
        <f>HYPERLINK("http://funmeta.oebiotech.com/network/1623", "http://funmeta.oebiotech.com/network/1623")</f>
        <v>http://funmeta.oebiotech.com/network/1623</v>
      </c>
      <c r="H4057" s="2"/>
      <c r="I4057" s="2">
        <v>35361</v>
      </c>
      <c r="J4057" s="2" t="s">
        <v>26958</v>
      </c>
      <c r="K4057" s="2">
        <v>144843</v>
      </c>
      <c r="L4057" s="2"/>
      <c r="M4057" s="2"/>
      <c r="N4057" s="2"/>
      <c r="O4057" s="2">
        <v>5282869</v>
      </c>
      <c r="P4057" s="2" t="s">
        <v>26959</v>
      </c>
      <c r="Q4057" s="2" t="s">
        <v>26960</v>
      </c>
      <c r="R4057" s="2" t="s">
        <v>26961</v>
      </c>
      <c r="S4057" s="2" t="s">
        <v>50</v>
      </c>
      <c r="T4057" s="2" t="s">
        <v>229</v>
      </c>
      <c r="U4057" s="2" t="s">
        <v>766</v>
      </c>
      <c r="V4057" s="2" t="s">
        <v>59</v>
      </c>
      <c r="W4057" s="2">
        <v>38.799999999999997</v>
      </c>
      <c r="X4057" s="2">
        <v>0</v>
      </c>
      <c r="Y4057" s="2" t="s">
        <v>43</v>
      </c>
      <c r="Z4057" s="2" t="s">
        <v>26962</v>
      </c>
      <c r="AA4057" s="2">
        <v>-1.39250509414101</v>
      </c>
      <c r="AB4057" s="2">
        <v>0.169091185880763</v>
      </c>
      <c r="AC4057" s="2">
        <v>105390.610280836</v>
      </c>
      <c r="AD4057" s="2">
        <v>99626.307790778505</v>
      </c>
      <c r="AE4057" s="2">
        <v>98527.282640147896</v>
      </c>
      <c r="AF4057" s="2">
        <v>104027.624229496</v>
      </c>
      <c r="AG4057" s="2">
        <v>108726.35499616701</v>
      </c>
      <c r="AH4057" s="2">
        <v>105956.46165166399</v>
      </c>
      <c r="AI4057" s="2">
        <v>104659.386539625</v>
      </c>
      <c r="AJ4057" s="2">
        <v>110446.551627918</v>
      </c>
      <c r="AK4057" s="2">
        <v>115811.465209606</v>
      </c>
      <c r="AL4057" s="2">
        <v>112689.34745663199</v>
      </c>
      <c r="AM4057" s="2">
        <v>94695.9046539228</v>
      </c>
      <c r="AN4057" s="2">
        <v>97816.466831086902</v>
      </c>
      <c r="AO4057" s="2">
        <v>94422.237168829393</v>
      </c>
      <c r="AP4057" s="2">
        <v>82322.425424594199</v>
      </c>
    </row>
    <row r="4058" spans="1:42" ht="14.5" x14ac:dyDescent="0.35">
      <c r="A4058" s="2" t="s">
        <v>26963</v>
      </c>
      <c r="B4058" s="2">
        <v>395.206257401404</v>
      </c>
      <c r="C4058" s="2">
        <v>4.3632666666666697</v>
      </c>
      <c r="D4058" s="2" t="s">
        <v>34</v>
      </c>
      <c r="E4058" s="2" t="s">
        <v>26964</v>
      </c>
      <c r="F4058" s="2">
        <v>56878</v>
      </c>
      <c r="G4058" s="3" t="str">
        <f>HYPERLINK("http://funmeta.oebiotech.com/network/56878", "http://funmeta.oebiotech.com/network/56878")</f>
        <v>http://funmeta.oebiotech.com/network/56878</v>
      </c>
      <c r="H4058" s="2" t="s">
        <v>26965</v>
      </c>
      <c r="I4058" s="2"/>
      <c r="J4058" s="2"/>
      <c r="K4058" s="2"/>
      <c r="L4058" s="2"/>
      <c r="M4058" s="2"/>
      <c r="N4058" s="2"/>
      <c r="O4058" s="2">
        <v>12314747</v>
      </c>
      <c r="P4058" s="2" t="s">
        <v>26966</v>
      </c>
      <c r="Q4058" s="2" t="s">
        <v>26967</v>
      </c>
      <c r="R4058" s="2" t="s">
        <v>26968</v>
      </c>
      <c r="S4058" s="2" t="s">
        <v>79</v>
      </c>
      <c r="T4058" s="2" t="s">
        <v>80</v>
      </c>
      <c r="U4058" s="2" t="s">
        <v>81</v>
      </c>
      <c r="V4058" s="2" t="s">
        <v>59</v>
      </c>
      <c r="W4058" s="2">
        <v>38.700000000000003</v>
      </c>
      <c r="X4058" s="2">
        <v>0</v>
      </c>
      <c r="Y4058" s="2" t="s">
        <v>266</v>
      </c>
      <c r="Z4058" s="2" t="s">
        <v>26969</v>
      </c>
      <c r="AA4058" s="2">
        <v>-0.43716384140411202</v>
      </c>
      <c r="AB4058" s="2">
        <v>0.16890474999226199</v>
      </c>
      <c r="AC4058" s="2">
        <v>25600.958965292899</v>
      </c>
      <c r="AD4058" s="2">
        <v>19001.236753543501</v>
      </c>
      <c r="AE4058" s="2">
        <v>29798.832694940898</v>
      </c>
      <c r="AF4058" s="2">
        <v>14808.356446263801</v>
      </c>
      <c r="AG4058" s="2">
        <v>11585.6131673377</v>
      </c>
      <c r="AH4058" s="2">
        <v>43901.629886495</v>
      </c>
      <c r="AI4058" s="2">
        <v>13553.377011316299</v>
      </c>
      <c r="AJ4058" s="2">
        <v>39957.944585404002</v>
      </c>
      <c r="AK4058" s="2">
        <v>8127.1577888613601</v>
      </c>
      <c r="AL4058" s="2">
        <v>20941.326487924998</v>
      </c>
      <c r="AM4058" s="2">
        <v>12524.3365555418</v>
      </c>
      <c r="AN4058" s="2">
        <v>30536.500496946101</v>
      </c>
      <c r="AO4058" s="2">
        <v>30071.5409527105</v>
      </c>
      <c r="AP4058" s="2">
        <v>11806.558239276501</v>
      </c>
    </row>
    <row r="4059" spans="1:42" ht="14.5" x14ac:dyDescent="0.35">
      <c r="A4059" s="2" t="s">
        <v>26970</v>
      </c>
      <c r="B4059" s="2">
        <v>625.11958091662802</v>
      </c>
      <c r="C4059" s="2">
        <v>3.165</v>
      </c>
      <c r="D4059" s="2" t="s">
        <v>70</v>
      </c>
      <c r="E4059" s="2" t="s">
        <v>26971</v>
      </c>
      <c r="F4059" s="2">
        <v>61078</v>
      </c>
      <c r="G4059" s="3" t="str">
        <f>HYPERLINK("http://funmeta.oebiotech.com/network/61078", "http://funmeta.oebiotech.com/network/61078")</f>
        <v>http://funmeta.oebiotech.com/network/61078</v>
      </c>
      <c r="H4059" s="2" t="s">
        <v>26972</v>
      </c>
      <c r="I4059" s="2">
        <v>92401</v>
      </c>
      <c r="J4059" s="2"/>
      <c r="K4059" s="2"/>
      <c r="L4059" s="2"/>
      <c r="M4059" s="2"/>
      <c r="N4059" s="2"/>
      <c r="O4059" s="2">
        <v>131752204</v>
      </c>
      <c r="P4059" s="2" t="s">
        <v>26973</v>
      </c>
      <c r="Q4059" s="2" t="s">
        <v>26974</v>
      </c>
      <c r="R4059" s="2" t="s">
        <v>26975</v>
      </c>
      <c r="S4059" s="2" t="s">
        <v>115</v>
      </c>
      <c r="T4059" s="2" t="s">
        <v>139</v>
      </c>
      <c r="U4059" s="2" t="s">
        <v>140</v>
      </c>
      <c r="V4059" s="2" t="s">
        <v>59</v>
      </c>
      <c r="W4059" s="2">
        <v>37.700000000000003</v>
      </c>
      <c r="X4059" s="2">
        <v>0</v>
      </c>
      <c r="Y4059" s="2" t="s">
        <v>118</v>
      </c>
      <c r="Z4059" s="2" t="s">
        <v>26976</v>
      </c>
      <c r="AA4059" s="2">
        <v>-0.49954483096661001</v>
      </c>
      <c r="AB4059" s="2">
        <v>0.168846454540623</v>
      </c>
      <c r="AC4059" s="2">
        <v>12922.043998146501</v>
      </c>
      <c r="AD4059" s="2">
        <v>9426.2980160936204</v>
      </c>
      <c r="AE4059" s="2">
        <v>11888.5821921069</v>
      </c>
      <c r="AF4059" s="2">
        <v>13391.623292583799</v>
      </c>
      <c r="AG4059" s="2">
        <v>15446.1205491908</v>
      </c>
      <c r="AH4059" s="2">
        <v>9592.3608375016192</v>
      </c>
      <c r="AI4059" s="2">
        <v>9784.65097031402</v>
      </c>
      <c r="AJ4059" s="2">
        <v>17428.926147181901</v>
      </c>
      <c r="AK4059" s="2">
        <v>5091.6366410618002</v>
      </c>
      <c r="AL4059" s="2">
        <v>12864.198009949399</v>
      </c>
      <c r="AM4059" s="2">
        <v>8780.9681250198701</v>
      </c>
      <c r="AN4059" s="2">
        <v>12336.8153002053</v>
      </c>
      <c r="AO4059" s="2">
        <v>10339.2983772795</v>
      </c>
      <c r="AP4059" s="2">
        <v>7144.8716430458298</v>
      </c>
    </row>
    <row r="4060" spans="1:42" ht="14.5" x14ac:dyDescent="0.35">
      <c r="A4060" s="2" t="s">
        <v>26977</v>
      </c>
      <c r="B4060" s="2">
        <v>529.11987606462003</v>
      </c>
      <c r="C4060" s="2">
        <v>3.7682166666666701</v>
      </c>
      <c r="D4060" s="2" t="s">
        <v>70</v>
      </c>
      <c r="E4060" s="2" t="s">
        <v>26978</v>
      </c>
      <c r="F4060" s="2">
        <v>62211</v>
      </c>
      <c r="G4060" s="3" t="str">
        <f>HYPERLINK("http://funmeta.oebiotech.com/network/62211", "http://funmeta.oebiotech.com/network/62211")</f>
        <v>http://funmeta.oebiotech.com/network/62211</v>
      </c>
      <c r="H4060" s="2" t="s">
        <v>26979</v>
      </c>
      <c r="I4060" s="2"/>
      <c r="J4060" s="2"/>
      <c r="K4060" s="2"/>
      <c r="L4060" s="2"/>
      <c r="M4060" s="2"/>
      <c r="N4060" s="2"/>
      <c r="O4060" s="2">
        <v>74977207</v>
      </c>
      <c r="P4060" s="2" t="s">
        <v>26980</v>
      </c>
      <c r="Q4060" s="2" t="s">
        <v>26981</v>
      </c>
      <c r="R4060" s="2" t="s">
        <v>26982</v>
      </c>
      <c r="S4060" s="2" t="s">
        <v>115</v>
      </c>
      <c r="T4060" s="2" t="s">
        <v>139</v>
      </c>
      <c r="U4060" s="2" t="s">
        <v>140</v>
      </c>
      <c r="V4060" s="2" t="s">
        <v>59</v>
      </c>
      <c r="W4060" s="2">
        <v>37.4</v>
      </c>
      <c r="X4060" s="2">
        <v>0</v>
      </c>
      <c r="Y4060" s="2" t="s">
        <v>408</v>
      </c>
      <c r="Z4060" s="2" t="s">
        <v>26983</v>
      </c>
      <c r="AA4060" s="2">
        <v>-3.6415101137525302E-2</v>
      </c>
      <c r="AB4060" s="2">
        <v>0.168676415445356</v>
      </c>
      <c r="AC4060" s="2">
        <v>7100.6191252775197</v>
      </c>
      <c r="AD4060" s="2">
        <v>9412.1610511018898</v>
      </c>
      <c r="AE4060" s="2">
        <v>8097.2820393663997</v>
      </c>
      <c r="AF4060" s="2">
        <v>6153.4662710860202</v>
      </c>
      <c r="AG4060" s="2">
        <v>6189.1322921533601</v>
      </c>
      <c r="AH4060" s="2">
        <v>7901.7048370461898</v>
      </c>
      <c r="AI4060" s="2">
        <v>7353.4241082807503</v>
      </c>
      <c r="AJ4060" s="2">
        <v>6908.7052037323701</v>
      </c>
      <c r="AK4060" s="2">
        <v>9871.9290594281792</v>
      </c>
      <c r="AL4060" s="2">
        <v>8518.89212242143</v>
      </c>
      <c r="AM4060" s="2">
        <v>9761.2273939542592</v>
      </c>
      <c r="AN4060" s="2">
        <v>9555.3758429998506</v>
      </c>
      <c r="AO4060" s="2">
        <v>7946.2741728704304</v>
      </c>
      <c r="AP4060" s="2">
        <v>10819.267714937199</v>
      </c>
    </row>
    <row r="4061" spans="1:42" ht="14.5" x14ac:dyDescent="0.35">
      <c r="A4061" s="2" t="s">
        <v>26984</v>
      </c>
      <c r="B4061" s="2">
        <v>607.16444534477296</v>
      </c>
      <c r="C4061" s="2">
        <v>4.3459666666666701</v>
      </c>
      <c r="D4061" s="2" t="s">
        <v>70</v>
      </c>
      <c r="E4061" s="2" t="s">
        <v>26985</v>
      </c>
      <c r="F4061" s="2">
        <v>513516</v>
      </c>
      <c r="G4061" s="3" t="str">
        <f>HYPERLINK("http://funmeta.oebiotech.com/network/513516", "http://funmeta.oebiotech.com/network/513516")</f>
        <v>http://funmeta.oebiotech.com/network/513516</v>
      </c>
      <c r="H4061" s="2"/>
      <c r="I4061" s="2">
        <v>96300</v>
      </c>
      <c r="J4061" s="2"/>
      <c r="K4061" s="2"/>
      <c r="L4061" s="2"/>
      <c r="M4061" s="2"/>
      <c r="N4061" s="2"/>
      <c r="O4061" s="2">
        <v>220689</v>
      </c>
      <c r="P4061" s="2"/>
      <c r="Q4061" s="2" t="s">
        <v>26986</v>
      </c>
      <c r="R4061" s="2" t="s">
        <v>26987</v>
      </c>
      <c r="S4061" s="2" t="s">
        <v>41</v>
      </c>
      <c r="T4061" s="2" t="s">
        <v>41</v>
      </c>
      <c r="U4061" s="2" t="s">
        <v>41</v>
      </c>
      <c r="V4061" s="2" t="s">
        <v>59</v>
      </c>
      <c r="W4061" s="2">
        <v>38</v>
      </c>
      <c r="X4061" s="2">
        <v>0</v>
      </c>
      <c r="Y4061" s="2" t="s">
        <v>560</v>
      </c>
      <c r="Z4061" s="2" t="s">
        <v>26988</v>
      </c>
      <c r="AA4061" s="2">
        <v>-7.5717942717147304</v>
      </c>
      <c r="AB4061" s="2">
        <v>0.16863330787706901</v>
      </c>
      <c r="AC4061" s="2">
        <v>11641.426842876301</v>
      </c>
      <c r="AD4061" s="2">
        <v>8438.7294995601296</v>
      </c>
      <c r="AE4061" s="2">
        <v>10823.016374384801</v>
      </c>
      <c r="AF4061" s="2">
        <v>16239.6241381529</v>
      </c>
      <c r="AG4061" s="2">
        <v>9073.1336243640108</v>
      </c>
      <c r="AH4061" s="2">
        <v>10573.8664775301</v>
      </c>
      <c r="AI4061" s="2">
        <v>9837.1905829620591</v>
      </c>
      <c r="AJ4061" s="2">
        <v>13301.729859863701</v>
      </c>
      <c r="AK4061" s="2">
        <v>7817.2312841364001</v>
      </c>
      <c r="AL4061" s="2">
        <v>7925.2777798277302</v>
      </c>
      <c r="AM4061" s="2">
        <v>5979.2618091793202</v>
      </c>
      <c r="AN4061" s="2">
        <v>11772.6173581399</v>
      </c>
      <c r="AO4061" s="2">
        <v>6627.4345002331302</v>
      </c>
      <c r="AP4061" s="2">
        <v>10510.554265844299</v>
      </c>
    </row>
    <row r="4062" spans="1:42" ht="14.5" x14ac:dyDescent="0.35">
      <c r="A4062" s="2" t="s">
        <v>26989</v>
      </c>
      <c r="B4062" s="2">
        <v>359.11069590733098</v>
      </c>
      <c r="C4062" s="2">
        <v>3.24125</v>
      </c>
      <c r="D4062" s="2" t="s">
        <v>70</v>
      </c>
      <c r="E4062" s="2" t="s">
        <v>26990</v>
      </c>
      <c r="F4062" s="2">
        <v>47569</v>
      </c>
      <c r="G4062" s="3" t="str">
        <f>HYPERLINK("http://funmeta.oebiotech.com/network/47569", "http://funmeta.oebiotech.com/network/47569")</f>
        <v>http://funmeta.oebiotech.com/network/47569</v>
      </c>
      <c r="H4062" s="2" t="s">
        <v>26991</v>
      </c>
      <c r="I4062" s="2">
        <v>3444</v>
      </c>
      <c r="J4062" s="2"/>
      <c r="K4062" s="2">
        <v>4581</v>
      </c>
      <c r="L4062" s="2" t="s">
        <v>26992</v>
      </c>
      <c r="M4062" s="2" t="s">
        <v>23498</v>
      </c>
      <c r="N4062" s="2" t="s">
        <v>23499</v>
      </c>
      <c r="O4062" s="2">
        <v>170</v>
      </c>
      <c r="P4062" s="2" t="s">
        <v>26993</v>
      </c>
      <c r="Q4062" s="2" t="s">
        <v>26994</v>
      </c>
      <c r="R4062" s="2" t="s">
        <v>26995</v>
      </c>
      <c r="S4062" s="2" t="s">
        <v>491</v>
      </c>
      <c r="T4062" s="2" t="s">
        <v>4914</v>
      </c>
      <c r="U4062" s="2" t="s">
        <v>4915</v>
      </c>
      <c r="V4062" s="2" t="s">
        <v>59</v>
      </c>
      <c r="W4062" s="2">
        <v>38.299999999999997</v>
      </c>
      <c r="X4062" s="2">
        <v>0</v>
      </c>
      <c r="Y4062" s="2" t="s">
        <v>408</v>
      </c>
      <c r="Z4062" s="2" t="s">
        <v>26996</v>
      </c>
      <c r="AA4062" s="2">
        <v>-0.78092703463392299</v>
      </c>
      <c r="AB4062" s="2">
        <v>0.16852658759297601</v>
      </c>
      <c r="AC4062" s="2">
        <v>4571.0529653170297</v>
      </c>
      <c r="AD4062" s="2">
        <v>2527.6264963327599</v>
      </c>
      <c r="AE4062" s="2">
        <v>4869.3954807270002</v>
      </c>
      <c r="AF4062" s="2">
        <v>4217.0106541990399</v>
      </c>
      <c r="AG4062" s="2">
        <v>4795.1941233585703</v>
      </c>
      <c r="AH4062" s="2">
        <v>3945.53309428993</v>
      </c>
      <c r="AI4062" s="2">
        <v>4047.1540960950301</v>
      </c>
      <c r="AJ4062" s="2">
        <v>5552.03034323263</v>
      </c>
      <c r="AK4062" s="2">
        <v>2358.0189199739598</v>
      </c>
      <c r="AL4062" s="2">
        <v>1999.76483289006</v>
      </c>
      <c r="AM4062" s="2">
        <v>2767.2657585449801</v>
      </c>
      <c r="AN4062" s="2">
        <v>2538.6545675897701</v>
      </c>
      <c r="AO4062" s="2">
        <v>2402.4279892261502</v>
      </c>
      <c r="AP4062" s="2">
        <v>3099.6269097716699</v>
      </c>
    </row>
    <row r="4063" spans="1:42" ht="14.5" x14ac:dyDescent="0.35">
      <c r="A4063" s="2" t="s">
        <v>26997</v>
      </c>
      <c r="B4063" s="2">
        <v>287.16511677851503</v>
      </c>
      <c r="C4063" s="2">
        <v>5.9164500000000002</v>
      </c>
      <c r="D4063" s="2" t="s">
        <v>70</v>
      </c>
      <c r="E4063" s="2" t="s">
        <v>26998</v>
      </c>
      <c r="F4063" s="2">
        <v>56956</v>
      </c>
      <c r="G4063" s="3" t="str">
        <f>HYPERLINK("http://funmeta.oebiotech.com/network/56956", "http://funmeta.oebiotech.com/network/56956")</f>
        <v>http://funmeta.oebiotech.com/network/56956</v>
      </c>
      <c r="H4063" s="2" t="s">
        <v>26999</v>
      </c>
      <c r="I4063" s="2">
        <v>88613</v>
      </c>
      <c r="J4063" s="2"/>
      <c r="K4063" s="2">
        <v>172482</v>
      </c>
      <c r="L4063" s="2"/>
      <c r="M4063" s="2"/>
      <c r="N4063" s="2"/>
      <c r="O4063" s="2">
        <v>131751280</v>
      </c>
      <c r="P4063" s="2" t="s">
        <v>27000</v>
      </c>
      <c r="Q4063" s="2" t="s">
        <v>27001</v>
      </c>
      <c r="R4063" s="2" t="s">
        <v>27002</v>
      </c>
      <c r="S4063" s="2" t="s">
        <v>50</v>
      </c>
      <c r="T4063" s="2" t="s">
        <v>229</v>
      </c>
      <c r="U4063" s="2" t="s">
        <v>1283</v>
      </c>
      <c r="V4063" s="2" t="s">
        <v>59</v>
      </c>
      <c r="W4063" s="2">
        <v>39.299999999999997</v>
      </c>
      <c r="X4063" s="2">
        <v>0</v>
      </c>
      <c r="Y4063" s="2" t="s">
        <v>408</v>
      </c>
      <c r="Z4063" s="2" t="s">
        <v>27003</v>
      </c>
      <c r="AA4063" s="2">
        <v>-0.62525671899603397</v>
      </c>
      <c r="AB4063" s="2">
        <v>0.16850363490983999</v>
      </c>
      <c r="AC4063" s="2">
        <v>3037.6775454834501</v>
      </c>
      <c r="AD4063" s="2">
        <v>1094.2928396930299</v>
      </c>
      <c r="AE4063" s="2">
        <v>2959.5325719509501</v>
      </c>
      <c r="AF4063" s="2">
        <v>3743.6849976980702</v>
      </c>
      <c r="AG4063" s="2">
        <v>2703.3688509034901</v>
      </c>
      <c r="AH4063" s="2">
        <v>3040.8310632183902</v>
      </c>
      <c r="AI4063" s="2">
        <v>2744.2169335213098</v>
      </c>
      <c r="AJ4063" s="2">
        <v>3034.4308556084902</v>
      </c>
      <c r="AK4063" s="2">
        <v>1000.2476047075</v>
      </c>
      <c r="AL4063" s="2">
        <v>938.87833694839503</v>
      </c>
      <c r="AM4063" s="2">
        <v>1445.5364095678401</v>
      </c>
      <c r="AN4063" s="2">
        <v>1018.01827732738</v>
      </c>
      <c r="AO4063" s="2">
        <v>780.01597264480699</v>
      </c>
      <c r="AP4063" s="2">
        <v>1383.0604369622799</v>
      </c>
    </row>
    <row r="4064" spans="1:42" ht="14.5" x14ac:dyDescent="0.35">
      <c r="A4064" s="2" t="s">
        <v>27004</v>
      </c>
      <c r="B4064" s="2">
        <v>809.34132961878197</v>
      </c>
      <c r="C4064" s="2">
        <v>11.5098</v>
      </c>
      <c r="D4064" s="2" t="s">
        <v>70</v>
      </c>
      <c r="E4064" s="2" t="s">
        <v>27005</v>
      </c>
      <c r="F4064" s="2">
        <v>53630</v>
      </c>
      <c r="G4064" s="3" t="str">
        <f>HYPERLINK("http://funmeta.oebiotech.com/network/53630", "http://funmeta.oebiotech.com/network/53630")</f>
        <v>http://funmeta.oebiotech.com/network/53630</v>
      </c>
      <c r="H4064" s="2" t="s">
        <v>27006</v>
      </c>
      <c r="I4064" s="2">
        <v>85541</v>
      </c>
      <c r="J4064" s="2"/>
      <c r="K4064" s="2">
        <v>64019</v>
      </c>
      <c r="L4064" s="2"/>
      <c r="M4064" s="2"/>
      <c r="N4064" s="2"/>
      <c r="O4064" s="2">
        <v>71301</v>
      </c>
      <c r="P4064" s="2" t="s">
        <v>27007</v>
      </c>
      <c r="Q4064" s="2" t="s">
        <v>27008</v>
      </c>
      <c r="R4064" s="2" t="s">
        <v>27009</v>
      </c>
      <c r="S4064" s="2" t="s">
        <v>491</v>
      </c>
      <c r="T4064" s="2" t="s">
        <v>2251</v>
      </c>
      <c r="U4064" s="2" t="s">
        <v>2252</v>
      </c>
      <c r="V4064" s="2" t="s">
        <v>59</v>
      </c>
      <c r="W4064" s="2">
        <v>37.200000000000003</v>
      </c>
      <c r="X4064" s="2">
        <v>0</v>
      </c>
      <c r="Y4064" s="2" t="s">
        <v>560</v>
      </c>
      <c r="Z4064" s="2" t="s">
        <v>27010</v>
      </c>
      <c r="AA4064" s="2">
        <v>-2.1267330135266702</v>
      </c>
      <c r="AB4064" s="2">
        <v>0.168477851967585</v>
      </c>
      <c r="AC4064" s="2">
        <v>7073.3414224613798</v>
      </c>
      <c r="AD4064" s="2">
        <v>4493.5494842524004</v>
      </c>
      <c r="AE4064" s="2">
        <v>5267.1656784617599</v>
      </c>
      <c r="AF4064" s="2">
        <v>6820.3126674341202</v>
      </c>
      <c r="AG4064" s="2">
        <v>6412.56396823053</v>
      </c>
      <c r="AH4064" s="2">
        <v>6627.9031461314698</v>
      </c>
      <c r="AI4064" s="2">
        <v>9780.5919313544091</v>
      </c>
      <c r="AJ4064" s="2">
        <v>7531.5111431559799</v>
      </c>
      <c r="AK4064" s="2">
        <v>3983.15100287413</v>
      </c>
      <c r="AL4064" s="2">
        <v>3836.4073186850501</v>
      </c>
      <c r="AM4064" s="2">
        <v>6270.4974021698299</v>
      </c>
      <c r="AN4064" s="2">
        <v>5237.2113340821697</v>
      </c>
      <c r="AO4064" s="2">
        <v>3890.3031998933302</v>
      </c>
      <c r="AP4064" s="2">
        <v>3743.72664780987</v>
      </c>
    </row>
    <row r="4065" spans="1:42" ht="14.5" x14ac:dyDescent="0.35">
      <c r="A4065" s="2" t="s">
        <v>27011</v>
      </c>
      <c r="B4065" s="2">
        <v>353.22965899520602</v>
      </c>
      <c r="C4065" s="2">
        <v>9.44783333333333</v>
      </c>
      <c r="D4065" s="2" t="s">
        <v>34</v>
      </c>
      <c r="E4065" s="2" t="s">
        <v>27012</v>
      </c>
      <c r="F4065" s="2">
        <v>2971</v>
      </c>
      <c r="G4065" s="3" t="str">
        <f>HYPERLINK("http://funmeta.oebiotech.com/network/2971", "http://funmeta.oebiotech.com/network/2971")</f>
        <v>http://funmeta.oebiotech.com/network/2971</v>
      </c>
      <c r="H4065" s="2"/>
      <c r="I4065" s="2">
        <v>74943</v>
      </c>
      <c r="J4065" s="2" t="s">
        <v>27013</v>
      </c>
      <c r="K4065" s="2">
        <v>138082</v>
      </c>
      <c r="L4065" s="2"/>
      <c r="M4065" s="2"/>
      <c r="N4065" s="2"/>
      <c r="O4065" s="2">
        <v>16061050</v>
      </c>
      <c r="P4065" s="2"/>
      <c r="Q4065" s="2" t="s">
        <v>27014</v>
      </c>
      <c r="R4065" s="2" t="s">
        <v>27015</v>
      </c>
      <c r="S4065" s="2" t="s">
        <v>50</v>
      </c>
      <c r="T4065" s="2" t="s">
        <v>229</v>
      </c>
      <c r="U4065" s="2" t="s">
        <v>433</v>
      </c>
      <c r="V4065" s="2" t="s">
        <v>59</v>
      </c>
      <c r="W4065" s="2">
        <v>38.6</v>
      </c>
      <c r="X4065" s="2">
        <v>0</v>
      </c>
      <c r="Y4065" s="2" t="s">
        <v>323</v>
      </c>
      <c r="Z4065" s="2" t="s">
        <v>27016</v>
      </c>
      <c r="AA4065" s="2">
        <v>-0.56284103244345696</v>
      </c>
      <c r="AB4065" s="2">
        <v>0.16842396084469699</v>
      </c>
      <c r="AC4065" s="2">
        <v>13787.854271603701</v>
      </c>
      <c r="AD4065" s="2">
        <v>16241.823347698501</v>
      </c>
      <c r="AE4065" s="2">
        <v>13210.144755036799</v>
      </c>
      <c r="AF4065" s="2">
        <v>13480.5059737663</v>
      </c>
      <c r="AG4065" s="2">
        <v>13961.8009228557</v>
      </c>
      <c r="AH4065" s="2">
        <v>14756.718058219099</v>
      </c>
      <c r="AI4065" s="2">
        <v>13646.831045611299</v>
      </c>
      <c r="AJ4065" s="2">
        <v>13671.1248741329</v>
      </c>
      <c r="AK4065" s="2">
        <v>19174.906442002</v>
      </c>
      <c r="AL4065" s="2">
        <v>16529.932106681801</v>
      </c>
      <c r="AM4065" s="2">
        <v>15276.718039008199</v>
      </c>
      <c r="AN4065" s="2">
        <v>15636.653962046301</v>
      </c>
      <c r="AO4065" s="2">
        <v>15802.5146704213</v>
      </c>
      <c r="AP4065" s="2">
        <v>15030.2148660315</v>
      </c>
    </row>
    <row r="4066" spans="1:42" ht="14.5" x14ac:dyDescent="0.35">
      <c r="A4066" s="2" t="s">
        <v>27017</v>
      </c>
      <c r="B4066" s="2">
        <v>445.200645387409</v>
      </c>
      <c r="C4066" s="2">
        <v>10.189349999999999</v>
      </c>
      <c r="D4066" s="2" t="s">
        <v>34</v>
      </c>
      <c r="E4066" s="2" t="s">
        <v>27018</v>
      </c>
      <c r="F4066" s="2">
        <v>34262</v>
      </c>
      <c r="G4066" s="3" t="str">
        <f>HYPERLINK("http://funmeta.oebiotech.com/network/34262", "http://funmeta.oebiotech.com/network/34262")</f>
        <v>http://funmeta.oebiotech.com/network/34262</v>
      </c>
      <c r="H4066" s="2"/>
      <c r="I4066" s="2">
        <v>52570</v>
      </c>
      <c r="J4066" s="2" t="s">
        <v>27019</v>
      </c>
      <c r="K4066" s="2"/>
      <c r="L4066" s="2"/>
      <c r="M4066" s="2"/>
      <c r="N4066" s="2"/>
      <c r="O4066" s="2">
        <v>42607826</v>
      </c>
      <c r="P4066" s="2"/>
      <c r="Q4066" s="2" t="s">
        <v>27020</v>
      </c>
      <c r="R4066" s="2" t="s">
        <v>27021</v>
      </c>
      <c r="S4066" s="2" t="s">
        <v>115</v>
      </c>
      <c r="T4066" s="2" t="s">
        <v>139</v>
      </c>
      <c r="U4066" s="2" t="s">
        <v>1437</v>
      </c>
      <c r="V4066" s="2" t="s">
        <v>59</v>
      </c>
      <c r="W4066" s="2">
        <v>46.8</v>
      </c>
      <c r="X4066" s="2">
        <v>41.5</v>
      </c>
      <c r="Y4066" s="2" t="s">
        <v>323</v>
      </c>
      <c r="Z4066" s="2" t="s">
        <v>27022</v>
      </c>
      <c r="AA4066" s="2">
        <v>4.9753697738534397</v>
      </c>
      <c r="AB4066" s="2">
        <v>0.16839373537750199</v>
      </c>
      <c r="AC4066" s="2">
        <v>8235.8840890393803</v>
      </c>
      <c r="AD4066" s="2">
        <v>10639.8808430137</v>
      </c>
      <c r="AE4066" s="2">
        <v>8595.0394782226394</v>
      </c>
      <c r="AF4066" s="2">
        <v>7837.8299566999904</v>
      </c>
      <c r="AG4066" s="2">
        <v>7881.1624921623097</v>
      </c>
      <c r="AH4066" s="2">
        <v>8071.9389536055996</v>
      </c>
      <c r="AI4066" s="2">
        <v>6927.70998282246</v>
      </c>
      <c r="AJ4066" s="2">
        <v>10101.6236707233</v>
      </c>
      <c r="AK4066" s="2">
        <v>9047.0109689353503</v>
      </c>
      <c r="AL4066" s="2">
        <v>10559.6542038568</v>
      </c>
      <c r="AM4066" s="2">
        <v>10459.3782880905</v>
      </c>
      <c r="AN4066" s="2">
        <v>11311.316923226201</v>
      </c>
      <c r="AO4066" s="2">
        <v>10232.5947460279</v>
      </c>
      <c r="AP4066" s="2">
        <v>12229.329927945701</v>
      </c>
    </row>
    <row r="4067" spans="1:42" ht="14.5" x14ac:dyDescent="0.35">
      <c r="A4067" s="2" t="s">
        <v>27023</v>
      </c>
      <c r="B4067" s="2">
        <v>285.14947472552302</v>
      </c>
      <c r="C4067" s="2">
        <v>5.3579833333333298</v>
      </c>
      <c r="D4067" s="2" t="s">
        <v>70</v>
      </c>
      <c r="E4067" s="2" t="s">
        <v>27024</v>
      </c>
      <c r="F4067" s="2">
        <v>200164</v>
      </c>
      <c r="G4067" s="3" t="str">
        <f>HYPERLINK("http://funmeta.oebiotech.com/network/200164", "http://funmeta.oebiotech.com/network/200164")</f>
        <v>http://funmeta.oebiotech.com/network/200164</v>
      </c>
      <c r="H4067" s="2" t="s">
        <v>27025</v>
      </c>
      <c r="I4067" s="2"/>
      <c r="J4067" s="2"/>
      <c r="K4067" s="2"/>
      <c r="L4067" s="2"/>
      <c r="M4067" s="2"/>
      <c r="N4067" s="2"/>
      <c r="O4067" s="2">
        <v>27021</v>
      </c>
      <c r="P4067" s="2"/>
      <c r="Q4067" s="2" t="s">
        <v>27026</v>
      </c>
      <c r="R4067" s="2" t="s">
        <v>27027</v>
      </c>
      <c r="S4067" s="2" t="s">
        <v>50</v>
      </c>
      <c r="T4067" s="2" t="s">
        <v>201</v>
      </c>
      <c r="U4067" s="2" t="s">
        <v>265</v>
      </c>
      <c r="V4067" s="2" t="s">
        <v>59</v>
      </c>
      <c r="W4067" s="2">
        <v>39.299999999999997</v>
      </c>
      <c r="X4067" s="2">
        <v>0</v>
      </c>
      <c r="Y4067" s="2" t="s">
        <v>408</v>
      </c>
      <c r="Z4067" s="2" t="s">
        <v>8055</v>
      </c>
      <c r="AA4067" s="2">
        <v>-0.59714591499338099</v>
      </c>
      <c r="AB4067" s="2">
        <v>0.16832869486507401</v>
      </c>
      <c r="AC4067" s="2">
        <v>2693.8359874041398</v>
      </c>
      <c r="AD4067" s="2">
        <v>781.44155797496796</v>
      </c>
      <c r="AE4067" s="2">
        <v>2968.22151265201</v>
      </c>
      <c r="AF4067" s="2">
        <v>2673.8661107919402</v>
      </c>
      <c r="AG4067" s="2">
        <v>2399.7800989652001</v>
      </c>
      <c r="AH4067" s="2">
        <v>2846.0930695622301</v>
      </c>
      <c r="AI4067" s="2">
        <v>3060.8032870469701</v>
      </c>
      <c r="AJ4067" s="2">
        <v>2214.2518454065098</v>
      </c>
      <c r="AK4067" s="2">
        <v>796.10376012785105</v>
      </c>
      <c r="AL4067" s="2">
        <v>905.17576937377703</v>
      </c>
      <c r="AM4067" s="2">
        <v>784.17196739084102</v>
      </c>
      <c r="AN4067" s="2">
        <v>799.55105679034205</v>
      </c>
      <c r="AO4067" s="2">
        <v>659.28964520138504</v>
      </c>
      <c r="AP4067" s="2">
        <v>744.35714896561103</v>
      </c>
    </row>
    <row r="4068" spans="1:42" ht="14.5" x14ac:dyDescent="0.35">
      <c r="A4068" s="2" t="s">
        <v>27028</v>
      </c>
      <c r="B4068" s="2">
        <v>282.08673755694502</v>
      </c>
      <c r="C4068" s="2">
        <v>0.70245000000000002</v>
      </c>
      <c r="D4068" s="2" t="s">
        <v>34</v>
      </c>
      <c r="E4068" s="2" t="s">
        <v>27029</v>
      </c>
      <c r="F4068" s="2">
        <v>52829</v>
      </c>
      <c r="G4068" s="3" t="str">
        <f>HYPERLINK("http://funmeta.oebiotech.com/network/52829", "http://funmeta.oebiotech.com/network/52829")</f>
        <v>http://funmeta.oebiotech.com/network/52829</v>
      </c>
      <c r="H4068" s="2" t="s">
        <v>27030</v>
      </c>
      <c r="I4068" s="2">
        <v>315709</v>
      </c>
      <c r="J4068" s="2"/>
      <c r="K4068" s="2">
        <v>63791</v>
      </c>
      <c r="L4068" s="2"/>
      <c r="M4068" s="2"/>
      <c r="N4068" s="2"/>
      <c r="O4068" s="2">
        <v>216326</v>
      </c>
      <c r="P4068" s="2" t="s">
        <v>27031</v>
      </c>
      <c r="Q4068" s="2" t="s">
        <v>27032</v>
      </c>
      <c r="R4068" s="2" t="s">
        <v>27033</v>
      </c>
      <c r="S4068" s="2" t="s">
        <v>491</v>
      </c>
      <c r="T4068" s="2" t="s">
        <v>11391</v>
      </c>
      <c r="U4068" s="2" t="s">
        <v>12860</v>
      </c>
      <c r="V4068" s="2" t="s">
        <v>59</v>
      </c>
      <c r="W4068" s="2">
        <v>37.299999999999997</v>
      </c>
      <c r="X4068" s="2">
        <v>0</v>
      </c>
      <c r="Y4068" s="2" t="s">
        <v>568</v>
      </c>
      <c r="Z4068" s="2" t="s">
        <v>27034</v>
      </c>
      <c r="AA4068" s="2">
        <v>7.0459950390805304</v>
      </c>
      <c r="AB4068" s="2">
        <v>0.16827825413042699</v>
      </c>
      <c r="AC4068" s="2">
        <v>15950.4476811761</v>
      </c>
      <c r="AD4068" s="2">
        <v>11804.7401064886</v>
      </c>
      <c r="AE4068" s="2">
        <v>14142.3635404327</v>
      </c>
      <c r="AF4068" s="2">
        <v>14003.7999779313</v>
      </c>
      <c r="AG4068" s="2">
        <v>23798.107083115599</v>
      </c>
      <c r="AH4068" s="2">
        <v>11334.297711777001</v>
      </c>
      <c r="AI4068" s="2">
        <v>12491.295945596001</v>
      </c>
      <c r="AJ4068" s="2">
        <v>19932.821828203701</v>
      </c>
      <c r="AK4068" s="2">
        <v>8520.0500312510794</v>
      </c>
      <c r="AL4068" s="2">
        <v>8270.1532768834004</v>
      </c>
      <c r="AM4068" s="2">
        <v>17123.9805959273</v>
      </c>
      <c r="AN4068" s="2">
        <v>17069.752367498801</v>
      </c>
      <c r="AO4068" s="2">
        <v>8950.3860589751093</v>
      </c>
      <c r="AP4068" s="2">
        <v>10894.118308396201</v>
      </c>
    </row>
    <row r="4069" spans="1:42" ht="14.5" x14ac:dyDescent="0.35">
      <c r="A4069" s="2" t="s">
        <v>27035</v>
      </c>
      <c r="B4069" s="2">
        <v>326.30502166020699</v>
      </c>
      <c r="C4069" s="2">
        <v>11.977866666666699</v>
      </c>
      <c r="D4069" s="2" t="s">
        <v>34</v>
      </c>
      <c r="E4069" s="2" t="s">
        <v>27036</v>
      </c>
      <c r="F4069" s="2">
        <v>637</v>
      </c>
      <c r="G4069" s="3" t="str">
        <f>HYPERLINK("http://funmeta.oebiotech.com/network/637", "http://funmeta.oebiotech.com/network/637")</f>
        <v>http://funmeta.oebiotech.com/network/637</v>
      </c>
      <c r="H4069" s="2"/>
      <c r="I4069" s="2">
        <v>24088</v>
      </c>
      <c r="J4069" s="2" t="s">
        <v>27037</v>
      </c>
      <c r="K4069" s="2"/>
      <c r="L4069" s="2"/>
      <c r="M4069" s="2"/>
      <c r="N4069" s="2"/>
      <c r="O4069" s="2">
        <v>5282805</v>
      </c>
      <c r="P4069" s="2"/>
      <c r="Q4069" s="2" t="s">
        <v>27038</v>
      </c>
      <c r="R4069" s="2" t="s">
        <v>27039</v>
      </c>
      <c r="S4069" s="2" t="s">
        <v>50</v>
      </c>
      <c r="T4069" s="2" t="s">
        <v>229</v>
      </c>
      <c r="U4069" s="2" t="s">
        <v>433</v>
      </c>
      <c r="V4069" s="2" t="s">
        <v>59</v>
      </c>
      <c r="W4069" s="2">
        <v>37.5</v>
      </c>
      <c r="X4069" s="2">
        <v>0</v>
      </c>
      <c r="Y4069" s="2" t="s">
        <v>43</v>
      </c>
      <c r="Z4069" s="2" t="s">
        <v>27040</v>
      </c>
      <c r="AA4069" s="2">
        <v>-1.08431496457459</v>
      </c>
      <c r="AB4069" s="2">
        <v>0.16825820163747901</v>
      </c>
      <c r="AC4069" s="2">
        <v>3218.86414925393</v>
      </c>
      <c r="AD4069" s="2">
        <v>1284.63522987581</v>
      </c>
      <c r="AE4069" s="2">
        <v>3437.0161311245301</v>
      </c>
      <c r="AF4069" s="2">
        <v>3317.9264791861301</v>
      </c>
      <c r="AG4069" s="2">
        <v>3207.6694246758502</v>
      </c>
      <c r="AH4069" s="2">
        <v>2951.28830701692</v>
      </c>
      <c r="AI4069" s="2">
        <v>2738.0720071850601</v>
      </c>
      <c r="AJ4069" s="2">
        <v>3661.2125463350699</v>
      </c>
      <c r="AK4069" s="2">
        <v>1020.43706972249</v>
      </c>
      <c r="AL4069" s="2">
        <v>1676.6428045615401</v>
      </c>
      <c r="AM4069" s="2">
        <v>1235.9514310009799</v>
      </c>
      <c r="AN4069" s="2">
        <v>1538.49052252563</v>
      </c>
      <c r="AO4069" s="2">
        <v>1368.42007921543</v>
      </c>
      <c r="AP4069" s="2">
        <v>867.86947222877598</v>
      </c>
    </row>
    <row r="4070" spans="1:42" ht="14.5" x14ac:dyDescent="0.35">
      <c r="A4070" s="2" t="s">
        <v>27041</v>
      </c>
      <c r="B4070" s="2">
        <v>535.17987094522005</v>
      </c>
      <c r="C4070" s="2">
        <v>1.09313333333333</v>
      </c>
      <c r="D4070" s="2" t="s">
        <v>34</v>
      </c>
      <c r="E4070" s="2" t="s">
        <v>27042</v>
      </c>
      <c r="F4070" s="2">
        <v>205643</v>
      </c>
      <c r="G4070" s="3" t="str">
        <f>HYPERLINK("http://funmeta.oebiotech.com/network/205643", "http://funmeta.oebiotech.com/network/205643")</f>
        <v>http://funmeta.oebiotech.com/network/205643</v>
      </c>
      <c r="H4070" s="2" t="s">
        <v>27043</v>
      </c>
      <c r="I4070" s="2"/>
      <c r="J4070" s="2"/>
      <c r="K4070" s="2"/>
      <c r="L4070" s="2"/>
      <c r="M4070" s="2"/>
      <c r="N4070" s="2"/>
      <c r="O4070" s="2">
        <v>11756905</v>
      </c>
      <c r="P4070" s="2"/>
      <c r="Q4070" s="2" t="s">
        <v>27044</v>
      </c>
      <c r="R4070" s="2" t="s">
        <v>27045</v>
      </c>
      <c r="S4070" s="2" t="s">
        <v>491</v>
      </c>
      <c r="T4070" s="2" t="s">
        <v>7584</v>
      </c>
      <c r="U4070" s="2" t="s">
        <v>7585</v>
      </c>
      <c r="V4070" s="2" t="s">
        <v>59</v>
      </c>
      <c r="W4070" s="2">
        <v>36.799999999999997</v>
      </c>
      <c r="X4070" s="2">
        <v>0</v>
      </c>
      <c r="Y4070" s="2" t="s">
        <v>394</v>
      </c>
      <c r="Z4070" s="2" t="s">
        <v>27046</v>
      </c>
      <c r="AA4070" s="2">
        <v>-4.6211822454716403E-2</v>
      </c>
      <c r="AB4070" s="2">
        <v>0.168220519804824</v>
      </c>
      <c r="AC4070" s="2">
        <v>3325.4814356419201</v>
      </c>
      <c r="AD4070" s="2">
        <v>5594.1850599448799</v>
      </c>
      <c r="AE4070" s="2">
        <v>3312.65083608241</v>
      </c>
      <c r="AF4070" s="2">
        <v>3921.2264881699002</v>
      </c>
      <c r="AG4070" s="2">
        <v>2603.5994887439101</v>
      </c>
      <c r="AH4070" s="2">
        <v>4050.2024449481601</v>
      </c>
      <c r="AI4070" s="2">
        <v>3020.0904336651001</v>
      </c>
      <c r="AJ4070" s="2">
        <v>3045.1189222420599</v>
      </c>
      <c r="AK4070" s="2">
        <v>6441.7639813584401</v>
      </c>
      <c r="AL4070" s="2">
        <v>3679.3667834896801</v>
      </c>
      <c r="AM4070" s="2">
        <v>6409.9353486091404</v>
      </c>
      <c r="AN4070" s="2">
        <v>6053.2695635869104</v>
      </c>
      <c r="AO4070" s="2">
        <v>4821.1648500671899</v>
      </c>
      <c r="AP4070" s="2">
        <v>6159.6098325578896</v>
      </c>
    </row>
    <row r="4071" spans="1:42" ht="14.5" x14ac:dyDescent="0.35">
      <c r="A4071" s="2" t="s">
        <v>27047</v>
      </c>
      <c r="B4071" s="2">
        <v>413.34052462426098</v>
      </c>
      <c r="C4071" s="2">
        <v>12.3790833333333</v>
      </c>
      <c r="D4071" s="2" t="s">
        <v>34</v>
      </c>
      <c r="E4071" s="2" t="s">
        <v>27048</v>
      </c>
      <c r="F4071" s="2">
        <v>45170</v>
      </c>
      <c r="G4071" s="3" t="str">
        <f>HYPERLINK("http://funmeta.oebiotech.com/network/45170", "http://funmeta.oebiotech.com/network/45170")</f>
        <v>http://funmeta.oebiotech.com/network/45170</v>
      </c>
      <c r="H4071" s="2"/>
      <c r="I4071" s="2">
        <v>41941</v>
      </c>
      <c r="J4071" s="2" t="s">
        <v>27049</v>
      </c>
      <c r="K4071" s="2"/>
      <c r="L4071" s="2"/>
      <c r="M4071" s="2"/>
      <c r="N4071" s="2"/>
      <c r="O4071" s="2">
        <v>24779618</v>
      </c>
      <c r="P4071" s="2"/>
      <c r="Q4071" s="2" t="s">
        <v>27050</v>
      </c>
      <c r="R4071" s="2" t="s">
        <v>27051</v>
      </c>
      <c r="S4071" s="2" t="s">
        <v>50</v>
      </c>
      <c r="T4071" s="2" t="s">
        <v>124</v>
      </c>
      <c r="U4071" s="2" t="s">
        <v>982</v>
      </c>
      <c r="V4071" s="2" t="s">
        <v>59</v>
      </c>
      <c r="W4071" s="2">
        <v>42.9</v>
      </c>
      <c r="X4071" s="2">
        <v>30.3</v>
      </c>
      <c r="Y4071" s="2" t="s">
        <v>394</v>
      </c>
      <c r="Z4071" s="2" t="s">
        <v>20354</v>
      </c>
      <c r="AA4071" s="2">
        <v>-2.1401525458211399</v>
      </c>
      <c r="AB4071" s="2">
        <v>0.16821169360785901</v>
      </c>
      <c r="AC4071" s="2">
        <v>6795.0200660197097</v>
      </c>
      <c r="AD4071" s="2">
        <v>4291.8228224168497</v>
      </c>
      <c r="AE4071" s="2">
        <v>6686.8844777432796</v>
      </c>
      <c r="AF4071" s="2">
        <v>8001.7518323550403</v>
      </c>
      <c r="AG4071" s="2">
        <v>7474.33193160477</v>
      </c>
      <c r="AH4071" s="2">
        <v>5511.7728379540704</v>
      </c>
      <c r="AI4071" s="2">
        <v>7156.7029292049001</v>
      </c>
      <c r="AJ4071" s="2">
        <v>5938.6763872561996</v>
      </c>
      <c r="AK4071" s="2">
        <v>5203.9770444887799</v>
      </c>
      <c r="AL4071" s="2">
        <v>2211.76682188731</v>
      </c>
      <c r="AM4071" s="2">
        <v>6425.9553926509498</v>
      </c>
      <c r="AN4071" s="2">
        <v>4110.3403990960496</v>
      </c>
      <c r="AO4071" s="2">
        <v>3323.55097129042</v>
      </c>
      <c r="AP4071" s="2">
        <v>4475.3463050875798</v>
      </c>
    </row>
    <row r="4072" spans="1:42" ht="14.5" x14ac:dyDescent="0.35">
      <c r="A4072" s="2" t="s">
        <v>27052</v>
      </c>
      <c r="B4072" s="2">
        <v>399.006843843377</v>
      </c>
      <c r="C4072" s="2">
        <v>10.0772666666667</v>
      </c>
      <c r="D4072" s="2" t="s">
        <v>70</v>
      </c>
      <c r="E4072" s="2" t="s">
        <v>27053</v>
      </c>
      <c r="F4072" s="2">
        <v>201441</v>
      </c>
      <c r="G4072" s="3" t="str">
        <f>HYPERLINK("http://funmeta.oebiotech.com/network/201441", "http://funmeta.oebiotech.com/network/201441")</f>
        <v>http://funmeta.oebiotech.com/network/201441</v>
      </c>
      <c r="H4072" s="2" t="s">
        <v>27054</v>
      </c>
      <c r="I4072" s="2">
        <v>44188</v>
      </c>
      <c r="J4072" s="2"/>
      <c r="K4072" s="2"/>
      <c r="L4072" s="2"/>
      <c r="M4072" s="2"/>
      <c r="N4072" s="2"/>
      <c r="O4072" s="2">
        <v>3870203</v>
      </c>
      <c r="P4072" s="2"/>
      <c r="Q4072" s="2" t="s">
        <v>27055</v>
      </c>
      <c r="R4072" s="2" t="s">
        <v>27056</v>
      </c>
      <c r="S4072" s="2" t="s">
        <v>148</v>
      </c>
      <c r="T4072" s="2" t="s">
        <v>392</v>
      </c>
      <c r="U4072" s="2" t="s">
        <v>1177</v>
      </c>
      <c r="V4072" s="2" t="s">
        <v>59</v>
      </c>
      <c r="W4072" s="2">
        <v>39.4</v>
      </c>
      <c r="X4072" s="2">
        <v>0</v>
      </c>
      <c r="Y4072" s="2" t="s">
        <v>560</v>
      </c>
      <c r="Z4072" s="2" t="s">
        <v>27057</v>
      </c>
      <c r="AA4072" s="2">
        <v>0.62139069395394897</v>
      </c>
      <c r="AB4072" s="2">
        <v>0.16810844481998799</v>
      </c>
      <c r="AC4072" s="2">
        <v>29930.8900569609</v>
      </c>
      <c r="AD4072" s="2">
        <v>32394.8669749158</v>
      </c>
      <c r="AE4072" s="2">
        <v>30369.435878464999</v>
      </c>
      <c r="AF4072" s="2">
        <v>27701.3107467066</v>
      </c>
      <c r="AG4072" s="2">
        <v>30113.971743577102</v>
      </c>
      <c r="AH4072" s="2">
        <v>30635.0857073193</v>
      </c>
      <c r="AI4072" s="2">
        <v>30644.328718629498</v>
      </c>
      <c r="AJ4072" s="2">
        <v>30121.207547067901</v>
      </c>
      <c r="AK4072" s="2">
        <v>33855.799132061002</v>
      </c>
      <c r="AL4072" s="2">
        <v>32819.937492660298</v>
      </c>
      <c r="AM4072" s="2">
        <v>32236.606461355001</v>
      </c>
      <c r="AN4072" s="2">
        <v>30969.902118231901</v>
      </c>
      <c r="AO4072" s="2">
        <v>33559.458238931198</v>
      </c>
      <c r="AP4072" s="2">
        <v>30927.4984062556</v>
      </c>
    </row>
    <row r="4073" spans="1:42" ht="14.5" x14ac:dyDescent="0.35">
      <c r="A4073" s="2" t="s">
        <v>27058</v>
      </c>
      <c r="B4073" s="2">
        <v>441.120116508367</v>
      </c>
      <c r="C4073" s="2">
        <v>4.3632666666666697</v>
      </c>
      <c r="D4073" s="2" t="s">
        <v>34</v>
      </c>
      <c r="E4073" s="2" t="s">
        <v>27059</v>
      </c>
      <c r="F4073" s="2">
        <v>204848</v>
      </c>
      <c r="G4073" s="3" t="str">
        <f>HYPERLINK("http://funmeta.oebiotech.com/network/204848", "http://funmeta.oebiotech.com/network/204848")</f>
        <v>http://funmeta.oebiotech.com/network/204848</v>
      </c>
      <c r="H4073" s="2" t="s">
        <v>27060</v>
      </c>
      <c r="I4073" s="2"/>
      <c r="J4073" s="2"/>
      <c r="K4073" s="2"/>
      <c r="L4073" s="2"/>
      <c r="M4073" s="2"/>
      <c r="N4073" s="2"/>
      <c r="O4073" s="2">
        <v>73087488</v>
      </c>
      <c r="P4073" s="2"/>
      <c r="Q4073" s="2" t="s">
        <v>27061</v>
      </c>
      <c r="R4073" s="2" t="s">
        <v>27062</v>
      </c>
      <c r="S4073" s="2" t="s">
        <v>41</v>
      </c>
      <c r="T4073" s="2" t="s">
        <v>41</v>
      </c>
      <c r="U4073" s="2" t="s">
        <v>41</v>
      </c>
      <c r="V4073" s="2" t="s">
        <v>59</v>
      </c>
      <c r="W4073" s="2">
        <v>37.1</v>
      </c>
      <c r="X4073" s="2">
        <v>0</v>
      </c>
      <c r="Y4073" s="2" t="s">
        <v>43</v>
      </c>
      <c r="Z4073" s="2" t="s">
        <v>27063</v>
      </c>
      <c r="AA4073" s="2">
        <v>3.3611985706160601</v>
      </c>
      <c r="AB4073" s="2">
        <v>0.16806385146352501</v>
      </c>
      <c r="AC4073" s="2">
        <v>31943.028913603099</v>
      </c>
      <c r="AD4073" s="2">
        <v>35235.640613294403</v>
      </c>
      <c r="AE4073" s="2">
        <v>29145.4907592163</v>
      </c>
      <c r="AF4073" s="2">
        <v>32222.248778570101</v>
      </c>
      <c r="AG4073" s="2">
        <v>37386.079477208601</v>
      </c>
      <c r="AH4073" s="2">
        <v>31982.203727223001</v>
      </c>
      <c r="AI4073" s="2">
        <v>32605.857576541399</v>
      </c>
      <c r="AJ4073" s="2">
        <v>28316.293162859001</v>
      </c>
      <c r="AK4073" s="2">
        <v>37571.587163722201</v>
      </c>
      <c r="AL4073" s="2">
        <v>33437.501269970402</v>
      </c>
      <c r="AM4073" s="2">
        <v>36452.170944257698</v>
      </c>
      <c r="AN4073" s="2">
        <v>32562.3857820308</v>
      </c>
      <c r="AO4073" s="2">
        <v>36251.581074132599</v>
      </c>
      <c r="AP4073" s="2">
        <v>35138.617445652497</v>
      </c>
    </row>
    <row r="4074" spans="1:42" ht="14.5" x14ac:dyDescent="0.35">
      <c r="A4074" s="2" t="s">
        <v>27064</v>
      </c>
      <c r="B4074" s="2">
        <v>461.20283946347701</v>
      </c>
      <c r="C4074" s="2">
        <v>4.3640166666666698</v>
      </c>
      <c r="D4074" s="2" t="s">
        <v>70</v>
      </c>
      <c r="E4074" s="2" t="s">
        <v>27065</v>
      </c>
      <c r="F4074" s="2">
        <v>60103</v>
      </c>
      <c r="G4074" s="3" t="str">
        <f>HYPERLINK("http://funmeta.oebiotech.com/network/60103", "http://funmeta.oebiotech.com/network/60103")</f>
        <v>http://funmeta.oebiotech.com/network/60103</v>
      </c>
      <c r="H4074" s="2" t="s">
        <v>27066</v>
      </c>
      <c r="I4074" s="2">
        <v>91484</v>
      </c>
      <c r="J4074" s="2"/>
      <c r="K4074" s="2">
        <v>168758</v>
      </c>
      <c r="L4074" s="2"/>
      <c r="M4074" s="2"/>
      <c r="N4074" s="2"/>
      <c r="O4074" s="2">
        <v>131751966</v>
      </c>
      <c r="P4074" s="2"/>
      <c r="Q4074" s="2" t="s">
        <v>27067</v>
      </c>
      <c r="R4074" s="2" t="s">
        <v>27068</v>
      </c>
      <c r="S4074" s="2" t="s">
        <v>50</v>
      </c>
      <c r="T4074" s="2" t="s">
        <v>229</v>
      </c>
      <c r="U4074" s="2" t="s">
        <v>230</v>
      </c>
      <c r="V4074" s="2" t="s">
        <v>42</v>
      </c>
      <c r="W4074" s="2">
        <v>50.2</v>
      </c>
      <c r="X4074" s="2">
        <v>59.9</v>
      </c>
      <c r="Y4074" s="2" t="s">
        <v>408</v>
      </c>
      <c r="Z4074" s="2" t="s">
        <v>27069</v>
      </c>
      <c r="AA4074" s="2">
        <v>9.5895051771460703E-3</v>
      </c>
      <c r="AB4074" s="2">
        <v>0.16802582993036899</v>
      </c>
      <c r="AC4074" s="2">
        <v>29541.8886592075</v>
      </c>
      <c r="AD4074" s="2">
        <v>26525.285513706702</v>
      </c>
      <c r="AE4074" s="2">
        <v>28946.843742973801</v>
      </c>
      <c r="AF4074" s="2">
        <v>30399.569251869401</v>
      </c>
      <c r="AG4074" s="2">
        <v>27000.655628970399</v>
      </c>
      <c r="AH4074" s="2">
        <v>29941.978838385501</v>
      </c>
      <c r="AI4074" s="2">
        <v>33755.489196474402</v>
      </c>
      <c r="AJ4074" s="2">
        <v>27206.795296571599</v>
      </c>
      <c r="AK4074" s="2">
        <v>27899.326505920799</v>
      </c>
      <c r="AL4074" s="2">
        <v>26558.018243944302</v>
      </c>
      <c r="AM4074" s="2">
        <v>27903.870742983599</v>
      </c>
      <c r="AN4074" s="2">
        <v>24334.929898176</v>
      </c>
      <c r="AO4074" s="2">
        <v>24971.004903847901</v>
      </c>
      <c r="AP4074" s="2">
        <v>27484.562787367799</v>
      </c>
    </row>
    <row r="4075" spans="1:42" ht="14.5" x14ac:dyDescent="0.35">
      <c r="A4075" s="2" t="s">
        <v>27070</v>
      </c>
      <c r="B4075" s="2">
        <v>513.18207570937204</v>
      </c>
      <c r="C4075" s="2">
        <v>3.6357833333333298</v>
      </c>
      <c r="D4075" s="2" t="s">
        <v>70</v>
      </c>
      <c r="E4075" s="2" t="s">
        <v>27071</v>
      </c>
      <c r="F4075" s="2">
        <v>210467</v>
      </c>
      <c r="G4075" s="3" t="str">
        <f>HYPERLINK("http://funmeta.oebiotech.com/network/210467", "http://funmeta.oebiotech.com/network/210467")</f>
        <v>http://funmeta.oebiotech.com/network/210467</v>
      </c>
      <c r="H4075" s="2" t="s">
        <v>27072</v>
      </c>
      <c r="I4075" s="2"/>
      <c r="J4075" s="2"/>
      <c r="K4075" s="2"/>
      <c r="L4075" s="2"/>
      <c r="M4075" s="2"/>
      <c r="N4075" s="2"/>
      <c r="O4075" s="2"/>
      <c r="P4075" s="2"/>
      <c r="Q4075" s="2" t="s">
        <v>27073</v>
      </c>
      <c r="R4075" s="2" t="s">
        <v>27074</v>
      </c>
      <c r="S4075" s="2" t="s">
        <v>41</v>
      </c>
      <c r="T4075" s="2" t="s">
        <v>41</v>
      </c>
      <c r="U4075" s="2" t="s">
        <v>41</v>
      </c>
      <c r="V4075" s="2" t="s">
        <v>59</v>
      </c>
      <c r="W4075" s="2">
        <v>36</v>
      </c>
      <c r="X4075" s="2">
        <v>0</v>
      </c>
      <c r="Y4075" s="2" t="s">
        <v>751</v>
      </c>
      <c r="Z4075" s="2" t="s">
        <v>27075</v>
      </c>
      <c r="AA4075" s="2">
        <v>3.0764680106641298</v>
      </c>
      <c r="AB4075" s="2">
        <v>0.167961686452091</v>
      </c>
      <c r="AC4075" s="2">
        <v>9340.9290527824505</v>
      </c>
      <c r="AD4075" s="2">
        <v>11546.4173915721</v>
      </c>
      <c r="AE4075" s="2">
        <v>9491.5376565518</v>
      </c>
      <c r="AF4075" s="2">
        <v>9087.7543847419493</v>
      </c>
      <c r="AG4075" s="2">
        <v>7809.0425549458096</v>
      </c>
      <c r="AH4075" s="2">
        <v>8944.2300945773295</v>
      </c>
      <c r="AI4075" s="2">
        <v>10536.3886232449</v>
      </c>
      <c r="AJ4075" s="2">
        <v>10176.621002632901</v>
      </c>
      <c r="AK4075" s="2">
        <v>10407.598302878599</v>
      </c>
      <c r="AL4075" s="2">
        <v>11953.758186679601</v>
      </c>
      <c r="AM4075" s="2">
        <v>11363.2887103577</v>
      </c>
      <c r="AN4075" s="2">
        <v>12038.2198253184</v>
      </c>
      <c r="AO4075" s="2">
        <v>11791.7017084486</v>
      </c>
      <c r="AP4075" s="2">
        <v>11723.937615749999</v>
      </c>
    </row>
    <row r="4076" spans="1:42" ht="14.5" x14ac:dyDescent="0.35">
      <c r="A4076" s="2" t="s">
        <v>27076</v>
      </c>
      <c r="B4076" s="2">
        <v>997.43008788194697</v>
      </c>
      <c r="C4076" s="2">
        <v>11.185316666666701</v>
      </c>
      <c r="D4076" s="2" t="s">
        <v>70</v>
      </c>
      <c r="E4076" s="2" t="s">
        <v>27077</v>
      </c>
      <c r="F4076" s="2">
        <v>204742</v>
      </c>
      <c r="G4076" s="3" t="str">
        <f>HYPERLINK("http://funmeta.oebiotech.com/network/204742", "http://funmeta.oebiotech.com/network/204742")</f>
        <v>http://funmeta.oebiotech.com/network/204742</v>
      </c>
      <c r="H4076" s="2" t="s">
        <v>27078</v>
      </c>
      <c r="I4076" s="2"/>
      <c r="J4076" s="2"/>
      <c r="K4076" s="2">
        <v>91896</v>
      </c>
      <c r="L4076" s="2"/>
      <c r="M4076" s="2"/>
      <c r="N4076" s="2"/>
      <c r="O4076" s="2">
        <v>2691</v>
      </c>
      <c r="P4076" s="2"/>
      <c r="Q4076" s="2" t="s">
        <v>27079</v>
      </c>
      <c r="R4076" s="2" t="s">
        <v>27080</v>
      </c>
      <c r="S4076" s="2" t="s">
        <v>1444</v>
      </c>
      <c r="T4076" s="2" t="s">
        <v>3595</v>
      </c>
      <c r="U4076" s="2" t="s">
        <v>41</v>
      </c>
      <c r="V4076" s="2" t="s">
        <v>59</v>
      </c>
      <c r="W4076" s="2">
        <v>36.1</v>
      </c>
      <c r="X4076" s="2">
        <v>0</v>
      </c>
      <c r="Y4076" s="2" t="s">
        <v>560</v>
      </c>
      <c r="Z4076" s="2" t="s">
        <v>27081</v>
      </c>
      <c r="AA4076" s="2">
        <v>1.5033033389899499</v>
      </c>
      <c r="AB4076" s="2">
        <v>0.167861734056101</v>
      </c>
      <c r="AC4076" s="2">
        <v>16181.6818874614</v>
      </c>
      <c r="AD4076" s="2">
        <v>12889.5349394859</v>
      </c>
      <c r="AE4076" s="2">
        <v>16322.678437442501</v>
      </c>
      <c r="AF4076" s="2">
        <v>18504.2817803742</v>
      </c>
      <c r="AG4076" s="2">
        <v>14080.1412593593</v>
      </c>
      <c r="AH4076" s="2">
        <v>17746.467633185101</v>
      </c>
      <c r="AI4076" s="2">
        <v>13482.634245703401</v>
      </c>
      <c r="AJ4076" s="2">
        <v>16953.887968703799</v>
      </c>
      <c r="AK4076" s="2">
        <v>12081.746142436899</v>
      </c>
      <c r="AL4076" s="2">
        <v>12367.002966369801</v>
      </c>
      <c r="AM4076" s="2">
        <v>18295.745330409602</v>
      </c>
      <c r="AN4076" s="2">
        <v>13181.214537862999</v>
      </c>
      <c r="AO4076" s="2">
        <v>8265.7991622176396</v>
      </c>
      <c r="AP4076" s="2">
        <v>13145.7014976182</v>
      </c>
    </row>
    <row r="4077" spans="1:42" ht="14.5" x14ac:dyDescent="0.35">
      <c r="A4077" s="2" t="s">
        <v>27082</v>
      </c>
      <c r="B4077" s="2">
        <v>355.22390695204399</v>
      </c>
      <c r="C4077" s="2">
        <v>11.404716666666699</v>
      </c>
      <c r="D4077" s="2" t="s">
        <v>34</v>
      </c>
      <c r="E4077" s="2" t="s">
        <v>27083</v>
      </c>
      <c r="F4077" s="2">
        <v>3192</v>
      </c>
      <c r="G4077" s="3" t="str">
        <f>HYPERLINK("http://funmeta.oebiotech.com/network/3192", "http://funmeta.oebiotech.com/network/3192")</f>
        <v>http://funmeta.oebiotech.com/network/3192</v>
      </c>
      <c r="H4077" s="2" t="s">
        <v>27084</v>
      </c>
      <c r="I4077" s="2">
        <v>45832</v>
      </c>
      <c r="J4077" s="2" t="s">
        <v>27085</v>
      </c>
      <c r="K4077" s="2">
        <v>49254</v>
      </c>
      <c r="L4077" s="2" t="s">
        <v>27086</v>
      </c>
      <c r="M4077" s="2"/>
      <c r="N4077" s="2"/>
      <c r="O4077" s="2">
        <v>12235230</v>
      </c>
      <c r="P4077" s="2"/>
      <c r="Q4077" s="2" t="s">
        <v>27087</v>
      </c>
      <c r="R4077" s="2" t="s">
        <v>27088</v>
      </c>
      <c r="S4077" s="2" t="s">
        <v>50</v>
      </c>
      <c r="T4077" s="2" t="s">
        <v>229</v>
      </c>
      <c r="U4077" s="2" t="s">
        <v>433</v>
      </c>
      <c r="V4077" s="2" t="s">
        <v>59</v>
      </c>
      <c r="W4077" s="2">
        <v>46</v>
      </c>
      <c r="X4077" s="2">
        <v>36.299999999999997</v>
      </c>
      <c r="Y4077" s="2" t="s">
        <v>340</v>
      </c>
      <c r="Z4077" s="2" t="s">
        <v>27089</v>
      </c>
      <c r="AA4077" s="2">
        <v>-1.9311898135508301</v>
      </c>
      <c r="AB4077" s="2">
        <v>0.16781091584514499</v>
      </c>
      <c r="AC4077" s="2">
        <v>13071.3582746224</v>
      </c>
      <c r="AD4077" s="2">
        <v>16389.379892520399</v>
      </c>
      <c r="AE4077" s="2">
        <v>15194.578232382501</v>
      </c>
      <c r="AF4077" s="2">
        <v>13639.7777487598</v>
      </c>
      <c r="AG4077" s="2">
        <v>13009.166232289001</v>
      </c>
      <c r="AH4077" s="2">
        <v>12084.454748825399</v>
      </c>
      <c r="AI4077" s="2">
        <v>13150.005321225</v>
      </c>
      <c r="AJ4077" s="2">
        <v>11350.1673642525</v>
      </c>
      <c r="AK4077" s="2">
        <v>15808.1496009319</v>
      </c>
      <c r="AL4077" s="2">
        <v>15362.771181088799</v>
      </c>
      <c r="AM4077" s="2">
        <v>12667.075451820599</v>
      </c>
      <c r="AN4077" s="2">
        <v>13751.5943053558</v>
      </c>
      <c r="AO4077" s="2">
        <v>18237.0608616961</v>
      </c>
      <c r="AP4077" s="2">
        <v>22509.6279542294</v>
      </c>
    </row>
    <row r="4078" spans="1:42" ht="14.5" x14ac:dyDescent="0.35">
      <c r="A4078" s="2" t="s">
        <v>27090</v>
      </c>
      <c r="B4078" s="2">
        <v>357.205407903543</v>
      </c>
      <c r="C4078" s="2">
        <v>4.64978333333333</v>
      </c>
      <c r="D4078" s="2" t="s">
        <v>34</v>
      </c>
      <c r="E4078" s="2" t="s">
        <v>27091</v>
      </c>
      <c r="F4078" s="2">
        <v>267514</v>
      </c>
      <c r="G4078" s="3" t="str">
        <f>HYPERLINK("http://funmeta.oebiotech.com/network/267514", "http://funmeta.oebiotech.com/network/267514")</f>
        <v>http://funmeta.oebiotech.com/network/267514</v>
      </c>
      <c r="H4078" s="2"/>
      <c r="I4078" s="2">
        <v>45594</v>
      </c>
      <c r="J4078" s="2"/>
      <c r="K4078" s="2"/>
      <c r="L4078" s="2"/>
      <c r="M4078" s="2"/>
      <c r="N4078" s="2"/>
      <c r="O4078" s="2">
        <v>35021687</v>
      </c>
      <c r="P4078" s="2"/>
      <c r="Q4078" s="2" t="s">
        <v>27092</v>
      </c>
      <c r="R4078" s="2" t="s">
        <v>27093</v>
      </c>
      <c r="S4078" s="2" t="s">
        <v>50</v>
      </c>
      <c r="T4078" s="2" t="s">
        <v>229</v>
      </c>
      <c r="U4078" s="2" t="s">
        <v>766</v>
      </c>
      <c r="V4078" s="2" t="s">
        <v>59</v>
      </c>
      <c r="W4078" s="2">
        <v>38.4</v>
      </c>
      <c r="X4078" s="2">
        <v>0</v>
      </c>
      <c r="Y4078" s="2" t="s">
        <v>141</v>
      </c>
      <c r="Z4078" s="2" t="s">
        <v>7111</v>
      </c>
      <c r="AA4078" s="2">
        <v>-1.67795486692692</v>
      </c>
      <c r="AB4078" s="2">
        <v>0.167767148591703</v>
      </c>
      <c r="AC4078" s="2">
        <v>10205.016960414699</v>
      </c>
      <c r="AD4078" s="2">
        <v>7465.6302635110696</v>
      </c>
      <c r="AE4078" s="2">
        <v>9555.80874727831</v>
      </c>
      <c r="AF4078" s="2">
        <v>11595.491171329501</v>
      </c>
      <c r="AG4078" s="2">
        <v>12229.251378700799</v>
      </c>
      <c r="AH4078" s="2">
        <v>6199.8372628418601</v>
      </c>
      <c r="AI4078" s="2">
        <v>11694.2627572192</v>
      </c>
      <c r="AJ4078" s="2">
        <v>9955.4504451186694</v>
      </c>
      <c r="AK4078" s="2">
        <v>7804.5630101464803</v>
      </c>
      <c r="AL4078" s="2">
        <v>7556.4033391332296</v>
      </c>
      <c r="AM4078" s="2">
        <v>8459.3003405520703</v>
      </c>
      <c r="AN4078" s="2">
        <v>6483.16014135162</v>
      </c>
      <c r="AO4078" s="2">
        <v>7173.2162660643098</v>
      </c>
      <c r="AP4078" s="2">
        <v>7317.1384838187296</v>
      </c>
    </row>
    <row r="4079" spans="1:42" ht="14.5" x14ac:dyDescent="0.35">
      <c r="A4079" s="2" t="s">
        <v>27094</v>
      </c>
      <c r="B4079" s="2">
        <v>455.140328481393</v>
      </c>
      <c r="C4079" s="2">
        <v>9.0455833333333295</v>
      </c>
      <c r="D4079" s="2" t="s">
        <v>34</v>
      </c>
      <c r="E4079" s="2" t="s">
        <v>27095</v>
      </c>
      <c r="F4079" s="2">
        <v>212896</v>
      </c>
      <c r="G4079" s="3" t="str">
        <f>HYPERLINK("http://funmeta.oebiotech.com/network/212896", "http://funmeta.oebiotech.com/network/212896")</f>
        <v>http://funmeta.oebiotech.com/network/212896</v>
      </c>
      <c r="H4079" s="2" t="s">
        <v>27096</v>
      </c>
      <c r="I4079" s="2"/>
      <c r="J4079" s="2"/>
      <c r="K4079" s="2"/>
      <c r="L4079" s="2"/>
      <c r="M4079" s="2"/>
      <c r="N4079" s="2"/>
      <c r="O4079" s="2">
        <v>13653617</v>
      </c>
      <c r="P4079" s="2"/>
      <c r="Q4079" s="2" t="s">
        <v>27097</v>
      </c>
      <c r="R4079" s="2" t="s">
        <v>27098</v>
      </c>
      <c r="S4079" s="2" t="s">
        <v>89</v>
      </c>
      <c r="T4079" s="2" t="s">
        <v>90</v>
      </c>
      <c r="U4079" s="2" t="s">
        <v>99</v>
      </c>
      <c r="V4079" s="2" t="s">
        <v>59</v>
      </c>
      <c r="W4079" s="2">
        <v>37.299999999999997</v>
      </c>
      <c r="X4079" s="2">
        <v>0</v>
      </c>
      <c r="Y4079" s="2" t="s">
        <v>340</v>
      </c>
      <c r="Z4079" s="2" t="s">
        <v>27099</v>
      </c>
      <c r="AA4079" s="2">
        <v>0.461379660444453</v>
      </c>
      <c r="AB4079" s="2">
        <v>0.16776065591820799</v>
      </c>
      <c r="AC4079" s="2">
        <v>11067.2105195932</v>
      </c>
      <c r="AD4079" s="2">
        <v>8891.63356268606</v>
      </c>
      <c r="AE4079" s="2">
        <v>10517.1504025092</v>
      </c>
      <c r="AF4079" s="2">
        <v>12133.681664776699</v>
      </c>
      <c r="AG4079" s="2">
        <v>11503.311237370101</v>
      </c>
      <c r="AH4079" s="2">
        <v>10537.7278917735</v>
      </c>
      <c r="AI4079" s="2">
        <v>9759.1988892162608</v>
      </c>
      <c r="AJ4079" s="2">
        <v>11952.193031913201</v>
      </c>
      <c r="AK4079" s="2">
        <v>8787.7293717591801</v>
      </c>
      <c r="AL4079" s="2">
        <v>9699.8374470855506</v>
      </c>
      <c r="AM4079" s="2">
        <v>8131.4297029442396</v>
      </c>
      <c r="AN4079" s="2">
        <v>8912.9273545165306</v>
      </c>
      <c r="AO4079" s="2">
        <v>8496.0003651145798</v>
      </c>
      <c r="AP4079" s="2">
        <v>9321.8771346962894</v>
      </c>
    </row>
    <row r="4080" spans="1:42" ht="14.5" x14ac:dyDescent="0.35">
      <c r="A4080" s="2" t="s">
        <v>27100</v>
      </c>
      <c r="B4080" s="2">
        <v>238.068441085666</v>
      </c>
      <c r="C4080" s="2">
        <v>1.29345</v>
      </c>
      <c r="D4080" s="2" t="s">
        <v>34</v>
      </c>
      <c r="E4080" s="2" t="s">
        <v>27101</v>
      </c>
      <c r="F4080" s="2">
        <v>209185</v>
      </c>
      <c r="G4080" s="3" t="str">
        <f>HYPERLINK("http://funmeta.oebiotech.com/network/209185", "http://funmeta.oebiotech.com/network/209185")</f>
        <v>http://funmeta.oebiotech.com/network/209185</v>
      </c>
      <c r="H4080" s="2" t="s">
        <v>27102</v>
      </c>
      <c r="I4080" s="2"/>
      <c r="J4080" s="2"/>
      <c r="K4080" s="2"/>
      <c r="L4080" s="2"/>
      <c r="M4080" s="2"/>
      <c r="N4080" s="2"/>
      <c r="O4080" s="2">
        <v>22244854</v>
      </c>
      <c r="P4080" s="2"/>
      <c r="Q4080" s="2" t="s">
        <v>27103</v>
      </c>
      <c r="R4080" s="2" t="s">
        <v>27104</v>
      </c>
      <c r="S4080" s="2" t="s">
        <v>89</v>
      </c>
      <c r="T4080" s="2" t="s">
        <v>90</v>
      </c>
      <c r="U4080" s="2" t="s">
        <v>99</v>
      </c>
      <c r="V4080" s="2" t="s">
        <v>59</v>
      </c>
      <c r="W4080" s="2">
        <v>38.4</v>
      </c>
      <c r="X4080" s="2">
        <v>0</v>
      </c>
      <c r="Y4080" s="2" t="s">
        <v>323</v>
      </c>
      <c r="Z4080" s="2" t="s">
        <v>27105</v>
      </c>
      <c r="AA4080" s="2">
        <v>-0.70724515333400295</v>
      </c>
      <c r="AB4080" s="2">
        <v>0.16775525725562601</v>
      </c>
      <c r="AC4080" s="2">
        <v>10803.209720246599</v>
      </c>
      <c r="AD4080" s="2">
        <v>13120.057944567699</v>
      </c>
      <c r="AE4080" s="2">
        <v>10538.5292184873</v>
      </c>
      <c r="AF4080" s="2">
        <v>9715.1155604178493</v>
      </c>
      <c r="AG4080" s="2">
        <v>10975.717278730001</v>
      </c>
      <c r="AH4080" s="2">
        <v>12137.309950179701</v>
      </c>
      <c r="AI4080" s="2">
        <v>10264.604834175399</v>
      </c>
      <c r="AJ4080" s="2">
        <v>11187.981479489101</v>
      </c>
      <c r="AK4080" s="2">
        <v>12927.173777951</v>
      </c>
      <c r="AL4080" s="2">
        <v>15133.835084414701</v>
      </c>
      <c r="AM4080" s="2">
        <v>13259.0137076635</v>
      </c>
      <c r="AN4080" s="2">
        <v>12518.808604423501</v>
      </c>
      <c r="AO4080" s="2">
        <v>12626.911365182001</v>
      </c>
      <c r="AP4080" s="2">
        <v>12254.6051277713</v>
      </c>
    </row>
    <row r="4081" spans="1:42" ht="14.5" x14ac:dyDescent="0.35">
      <c r="A4081" s="2" t="s">
        <v>27106</v>
      </c>
      <c r="B4081" s="2">
        <v>965.44000644874802</v>
      </c>
      <c r="C4081" s="2">
        <v>12.2493</v>
      </c>
      <c r="D4081" s="2" t="s">
        <v>70</v>
      </c>
      <c r="E4081" s="2" t="s">
        <v>27107</v>
      </c>
      <c r="F4081" s="2">
        <v>225983</v>
      </c>
      <c r="G4081" s="3" t="str">
        <f>HYPERLINK("http://funmeta.oebiotech.com/network/225983", "http://funmeta.oebiotech.com/network/225983")</f>
        <v>http://funmeta.oebiotech.com/network/225983</v>
      </c>
      <c r="H4081" s="2" t="s">
        <v>27108</v>
      </c>
      <c r="I4081" s="2"/>
      <c r="J4081" s="2"/>
      <c r="K4081" s="2"/>
      <c r="L4081" s="2"/>
      <c r="M4081" s="2"/>
      <c r="N4081" s="2"/>
      <c r="O4081" s="2"/>
      <c r="P4081" s="2"/>
      <c r="Q4081" s="2" t="s">
        <v>27109</v>
      </c>
      <c r="R4081" s="2" t="s">
        <v>27110</v>
      </c>
      <c r="S4081" s="2" t="s">
        <v>41</v>
      </c>
      <c r="T4081" s="2" t="s">
        <v>41</v>
      </c>
      <c r="U4081" s="2" t="s">
        <v>41</v>
      </c>
      <c r="V4081" s="2" t="s">
        <v>59</v>
      </c>
      <c r="W4081" s="2">
        <v>37.1</v>
      </c>
      <c r="X4081" s="2">
        <v>0</v>
      </c>
      <c r="Y4081" s="2" t="s">
        <v>408</v>
      </c>
      <c r="Z4081" s="2" t="s">
        <v>27111</v>
      </c>
      <c r="AA4081" s="2">
        <v>-3.7003477832970701</v>
      </c>
      <c r="AB4081" s="2">
        <v>0.167624113325409</v>
      </c>
      <c r="AC4081" s="2">
        <v>18164.295775891602</v>
      </c>
      <c r="AD4081" s="2">
        <v>22322.388133328801</v>
      </c>
      <c r="AE4081" s="2">
        <v>13934.2770540002</v>
      </c>
      <c r="AF4081" s="2">
        <v>11867.926609525401</v>
      </c>
      <c r="AG4081" s="2">
        <v>21229.089484630302</v>
      </c>
      <c r="AH4081" s="2">
        <v>17956.7980734792</v>
      </c>
      <c r="AI4081" s="2">
        <v>20995.953438137502</v>
      </c>
      <c r="AJ4081" s="2">
        <v>23001.729995576901</v>
      </c>
      <c r="AK4081" s="2">
        <v>19695.179722503599</v>
      </c>
      <c r="AL4081" s="2">
        <v>24757.813908354299</v>
      </c>
      <c r="AM4081" s="2">
        <v>15110.4253548291</v>
      </c>
      <c r="AN4081" s="2">
        <v>22014.808553050399</v>
      </c>
      <c r="AO4081" s="2">
        <v>22874.9223042187</v>
      </c>
      <c r="AP4081" s="2">
        <v>29481.178957016698</v>
      </c>
    </row>
    <row r="4082" spans="1:42" ht="14.5" x14ac:dyDescent="0.35">
      <c r="A4082" s="2" t="s">
        <v>27112</v>
      </c>
      <c r="B4082" s="2">
        <v>303.04939789042999</v>
      </c>
      <c r="C4082" s="2">
        <v>4.6168333333333296</v>
      </c>
      <c r="D4082" s="2" t="s">
        <v>34</v>
      </c>
      <c r="E4082" s="2" t="s">
        <v>27113</v>
      </c>
      <c r="F4082" s="2">
        <v>30097</v>
      </c>
      <c r="G4082" s="3" t="str">
        <f>HYPERLINK("http://funmeta.oebiotech.com/network/30097", "http://funmeta.oebiotech.com/network/30097")</f>
        <v>http://funmeta.oebiotech.com/network/30097</v>
      </c>
      <c r="H4082" s="2" t="s">
        <v>27114</v>
      </c>
      <c r="I4082" s="2">
        <v>409</v>
      </c>
      <c r="J4082" s="2" t="s">
        <v>27115</v>
      </c>
      <c r="K4082" s="2">
        <v>16243</v>
      </c>
      <c r="L4082" s="2" t="s">
        <v>27116</v>
      </c>
      <c r="M4082" s="2" t="s">
        <v>27117</v>
      </c>
      <c r="N4082" s="2" t="s">
        <v>27118</v>
      </c>
      <c r="O4082" s="2">
        <v>5280343</v>
      </c>
      <c r="P4082" s="2" t="s">
        <v>27119</v>
      </c>
      <c r="Q4082" s="2" t="s">
        <v>27120</v>
      </c>
      <c r="R4082" s="2" t="s">
        <v>27121</v>
      </c>
      <c r="S4082" s="2" t="s">
        <v>115</v>
      </c>
      <c r="T4082" s="2" t="s">
        <v>139</v>
      </c>
      <c r="U4082" s="2" t="s">
        <v>1806</v>
      </c>
      <c r="V4082" s="2" t="s">
        <v>59</v>
      </c>
      <c r="W4082" s="2">
        <v>44.7</v>
      </c>
      <c r="X4082" s="2">
        <v>28.9</v>
      </c>
      <c r="Y4082" s="2" t="s">
        <v>394</v>
      </c>
      <c r="Z4082" s="2" t="s">
        <v>9022</v>
      </c>
      <c r="AA4082" s="2">
        <v>-1.75868932929323</v>
      </c>
      <c r="AB4082" s="2">
        <v>0.167566716506102</v>
      </c>
      <c r="AC4082" s="2">
        <v>685156.41892386705</v>
      </c>
      <c r="AD4082" s="2">
        <v>696095.18028688896</v>
      </c>
      <c r="AE4082" s="2">
        <v>629430.77359726303</v>
      </c>
      <c r="AF4082" s="2">
        <v>725252.13496034697</v>
      </c>
      <c r="AG4082" s="2">
        <v>682962.39754047</v>
      </c>
      <c r="AH4082" s="2">
        <v>650611.32145876996</v>
      </c>
      <c r="AI4082" s="2">
        <v>681069.09590306995</v>
      </c>
      <c r="AJ4082" s="2">
        <v>741612.79008328402</v>
      </c>
      <c r="AK4082" s="2">
        <v>724655.15199625504</v>
      </c>
      <c r="AL4082" s="2">
        <v>686651.27706561994</v>
      </c>
      <c r="AM4082" s="2">
        <v>714450.30667630001</v>
      </c>
      <c r="AN4082" s="2">
        <v>715985.65124075499</v>
      </c>
      <c r="AO4082" s="2">
        <v>666502.86165707395</v>
      </c>
      <c r="AP4082" s="2">
        <v>668325.833085333</v>
      </c>
    </row>
    <row r="4083" spans="1:42" ht="14.5" x14ac:dyDescent="0.35">
      <c r="A4083" s="2" t="s">
        <v>27122</v>
      </c>
      <c r="B4083" s="2">
        <v>269.04541365612602</v>
      </c>
      <c r="C4083" s="2">
        <v>6.5939500000000004</v>
      </c>
      <c r="D4083" s="2" t="s">
        <v>70</v>
      </c>
      <c r="E4083" s="2" t="s">
        <v>27123</v>
      </c>
      <c r="F4083" s="2">
        <v>30098</v>
      </c>
      <c r="G4083" s="3" t="str">
        <f>HYPERLINK("http://funmeta.oebiotech.com/network/30098", "http://funmeta.oebiotech.com/network/30098")</f>
        <v>http://funmeta.oebiotech.com/network/30098</v>
      </c>
      <c r="H4083" s="2" t="s">
        <v>27124</v>
      </c>
      <c r="I4083" s="2">
        <v>3397</v>
      </c>
      <c r="J4083" s="2" t="s">
        <v>27125</v>
      </c>
      <c r="K4083" s="2">
        <v>18388</v>
      </c>
      <c r="L4083" s="2" t="s">
        <v>27126</v>
      </c>
      <c r="M4083" s="2" t="s">
        <v>27127</v>
      </c>
      <c r="N4083" s="2" t="s">
        <v>27128</v>
      </c>
      <c r="O4083" s="2">
        <v>5280443</v>
      </c>
      <c r="P4083" s="2" t="s">
        <v>27129</v>
      </c>
      <c r="Q4083" s="2" t="s">
        <v>27130</v>
      </c>
      <c r="R4083" s="2" t="s">
        <v>27131</v>
      </c>
      <c r="S4083" s="2" t="s">
        <v>115</v>
      </c>
      <c r="T4083" s="2" t="s">
        <v>139</v>
      </c>
      <c r="U4083" s="2" t="s">
        <v>1806</v>
      </c>
      <c r="V4083" s="2" t="s">
        <v>59</v>
      </c>
      <c r="W4083" s="2">
        <v>46.6</v>
      </c>
      <c r="X4083" s="2">
        <v>36.5</v>
      </c>
      <c r="Y4083" s="2" t="s">
        <v>118</v>
      </c>
      <c r="Z4083" s="2" t="s">
        <v>27132</v>
      </c>
      <c r="AA4083" s="2">
        <v>-0.49371960697992101</v>
      </c>
      <c r="AB4083" s="2">
        <v>0.167563846604734</v>
      </c>
      <c r="AC4083" s="2">
        <v>2330.7562439747098</v>
      </c>
      <c r="AD4083" s="2">
        <v>4756.9308630757996</v>
      </c>
      <c r="AE4083" s="2">
        <v>1893.8510527798801</v>
      </c>
      <c r="AF4083" s="2">
        <v>2040.3012618356599</v>
      </c>
      <c r="AG4083" s="2">
        <v>1741.6189061673001</v>
      </c>
      <c r="AH4083" s="2">
        <v>2921.4612342379801</v>
      </c>
      <c r="AI4083" s="2">
        <v>3285.56941709077</v>
      </c>
      <c r="AJ4083" s="2">
        <v>2101.7355917366899</v>
      </c>
      <c r="AK4083" s="2">
        <v>1983.5704821907</v>
      </c>
      <c r="AL4083" s="2">
        <v>5219.48362868811</v>
      </c>
      <c r="AM4083" s="2">
        <v>4644.9024052649502</v>
      </c>
      <c r="AN4083" s="2">
        <v>5854.8691720356801</v>
      </c>
      <c r="AO4083" s="2">
        <v>6337.1485030676404</v>
      </c>
      <c r="AP4083" s="2">
        <v>4501.6109872077104</v>
      </c>
    </row>
    <row r="4084" spans="1:42" ht="14.5" x14ac:dyDescent="0.35">
      <c r="A4084" s="2" t="s">
        <v>27133</v>
      </c>
      <c r="B4084" s="2">
        <v>499.25322428620302</v>
      </c>
      <c r="C4084" s="2">
        <v>4.0516166666666704</v>
      </c>
      <c r="D4084" s="2" t="s">
        <v>34</v>
      </c>
      <c r="E4084" s="2" t="s">
        <v>27134</v>
      </c>
      <c r="F4084" s="2">
        <v>206105</v>
      </c>
      <c r="G4084" s="3" t="str">
        <f>HYPERLINK("http://funmeta.oebiotech.com/network/206105", "http://funmeta.oebiotech.com/network/206105")</f>
        <v>http://funmeta.oebiotech.com/network/206105</v>
      </c>
      <c r="H4084" s="2" t="s">
        <v>27135</v>
      </c>
      <c r="I4084" s="2"/>
      <c r="J4084" s="2"/>
      <c r="K4084" s="2"/>
      <c r="L4084" s="2"/>
      <c r="M4084" s="2"/>
      <c r="N4084" s="2"/>
      <c r="O4084" s="2">
        <v>3115</v>
      </c>
      <c r="P4084" s="2"/>
      <c r="Q4084" s="2" t="s">
        <v>27136</v>
      </c>
      <c r="R4084" s="2" t="s">
        <v>27137</v>
      </c>
      <c r="S4084" s="2" t="s">
        <v>1677</v>
      </c>
      <c r="T4084" s="2" t="s">
        <v>1678</v>
      </c>
      <c r="U4084" s="2" t="s">
        <v>27138</v>
      </c>
      <c r="V4084" s="2" t="s">
        <v>59</v>
      </c>
      <c r="W4084" s="2">
        <v>38.200000000000003</v>
      </c>
      <c r="X4084" s="2">
        <v>0</v>
      </c>
      <c r="Y4084" s="2" t="s">
        <v>43</v>
      </c>
      <c r="Z4084" s="2" t="s">
        <v>27139</v>
      </c>
      <c r="AA4084" s="2">
        <v>1.65905655367357</v>
      </c>
      <c r="AB4084" s="2">
        <v>0.16755345200818</v>
      </c>
      <c r="AC4084" s="2">
        <v>4141.7238919274296</v>
      </c>
      <c r="AD4084" s="2">
        <v>1825.6356612613099</v>
      </c>
      <c r="AE4084" s="2">
        <v>3806.3402871981202</v>
      </c>
      <c r="AF4084" s="2">
        <v>4537.7243618347002</v>
      </c>
      <c r="AG4084" s="2">
        <v>4185.1312944888896</v>
      </c>
      <c r="AH4084" s="2">
        <v>4378.9317193544603</v>
      </c>
      <c r="AI4084" s="2">
        <v>3258.1550852846899</v>
      </c>
      <c r="AJ4084" s="2">
        <v>4684.06060340371</v>
      </c>
      <c r="AK4084" s="2">
        <v>3749.2830418287999</v>
      </c>
      <c r="AL4084" s="2">
        <v>2001.93119696808</v>
      </c>
      <c r="AM4084" s="2">
        <v>1501.73572263506</v>
      </c>
      <c r="AN4084" s="2">
        <v>2.7106294003980101E-5</v>
      </c>
      <c r="AO4084" s="2">
        <v>2649.1562263729902</v>
      </c>
      <c r="AP4084" s="2">
        <v>1051.70775265663</v>
      </c>
    </row>
    <row r="4085" spans="1:42" ht="14.5" x14ac:dyDescent="0.35">
      <c r="A4085" s="2" t="s">
        <v>27140</v>
      </c>
      <c r="B4085" s="2">
        <v>168.02919589603201</v>
      </c>
      <c r="C4085" s="2">
        <v>6.0108166666666696</v>
      </c>
      <c r="D4085" s="2" t="s">
        <v>70</v>
      </c>
      <c r="E4085" s="2" t="s">
        <v>27141</v>
      </c>
      <c r="F4085" s="2">
        <v>279158</v>
      </c>
      <c r="G4085" s="3" t="str">
        <f>HYPERLINK("http://funmeta.oebiotech.com/network/279158", "http://funmeta.oebiotech.com/network/279158")</f>
        <v>http://funmeta.oebiotech.com/network/279158</v>
      </c>
      <c r="H4085" s="2"/>
      <c r="I4085" s="2">
        <v>71654</v>
      </c>
      <c r="J4085" s="2"/>
      <c r="K4085" s="2"/>
      <c r="L4085" s="2" t="s">
        <v>27142</v>
      </c>
      <c r="M4085" s="2"/>
      <c r="N4085" s="2"/>
      <c r="O4085" s="2">
        <v>69471</v>
      </c>
      <c r="P4085" s="2" t="s">
        <v>27143</v>
      </c>
      <c r="Q4085" s="2" t="s">
        <v>27144</v>
      </c>
      <c r="R4085" s="2" t="s">
        <v>27145</v>
      </c>
      <c r="S4085" s="2" t="s">
        <v>148</v>
      </c>
      <c r="T4085" s="2" t="s">
        <v>149</v>
      </c>
      <c r="U4085" s="2" t="s">
        <v>14157</v>
      </c>
      <c r="V4085" s="2" t="s">
        <v>59</v>
      </c>
      <c r="W4085" s="2">
        <v>45.1</v>
      </c>
      <c r="X4085" s="2">
        <v>35.799999999999997</v>
      </c>
      <c r="Y4085" s="2" t="s">
        <v>118</v>
      </c>
      <c r="Z4085" s="2" t="s">
        <v>27146</v>
      </c>
      <c r="AA4085" s="2">
        <v>-6.12514649436193</v>
      </c>
      <c r="AB4085" s="2">
        <v>0.16747731117443199</v>
      </c>
      <c r="AC4085" s="2">
        <v>2571.1393073946101</v>
      </c>
      <c r="AD4085" s="2">
        <v>4452.0921275268902</v>
      </c>
      <c r="AE4085" s="2">
        <v>2686.2476400379101</v>
      </c>
      <c r="AF4085" s="2">
        <v>2803.7036310932099</v>
      </c>
      <c r="AG4085" s="2">
        <v>2607.2850761480099</v>
      </c>
      <c r="AH4085" s="2">
        <v>2196.73959982005</v>
      </c>
      <c r="AI4085" s="2">
        <v>2388.4838796655799</v>
      </c>
      <c r="AJ4085" s="2">
        <v>2744.37601760289</v>
      </c>
      <c r="AK4085" s="2">
        <v>4725.9347883120099</v>
      </c>
      <c r="AL4085" s="2">
        <v>4358.6002481082596</v>
      </c>
      <c r="AM4085" s="2">
        <v>4314.9321886466096</v>
      </c>
      <c r="AN4085" s="2">
        <v>4432.5992346933799</v>
      </c>
      <c r="AO4085" s="2">
        <v>4601.73295517308</v>
      </c>
      <c r="AP4085" s="2">
        <v>4278.7533502279903</v>
      </c>
    </row>
    <row r="4086" spans="1:42" ht="14.5" x14ac:dyDescent="0.35">
      <c r="A4086" s="2" t="s">
        <v>27147</v>
      </c>
      <c r="B4086" s="2">
        <v>405.18410675353903</v>
      </c>
      <c r="C4086" s="2">
        <v>10.283666666666701</v>
      </c>
      <c r="D4086" s="2" t="s">
        <v>34</v>
      </c>
      <c r="E4086" s="2" t="s">
        <v>27148</v>
      </c>
      <c r="F4086" s="2">
        <v>55383</v>
      </c>
      <c r="G4086" s="3" t="str">
        <f>HYPERLINK("http://funmeta.oebiotech.com/network/55383", "http://funmeta.oebiotech.com/network/55383")</f>
        <v>http://funmeta.oebiotech.com/network/55383</v>
      </c>
      <c r="H4086" s="2" t="s">
        <v>27149</v>
      </c>
      <c r="I4086" s="2">
        <v>87086</v>
      </c>
      <c r="J4086" s="2"/>
      <c r="K4086" s="2"/>
      <c r="L4086" s="2"/>
      <c r="M4086" s="2"/>
      <c r="N4086" s="2"/>
      <c r="O4086" s="2">
        <v>1781412</v>
      </c>
      <c r="P4086" s="2" t="s">
        <v>27150</v>
      </c>
      <c r="Q4086" s="2" t="s">
        <v>27151</v>
      </c>
      <c r="R4086" s="2" t="s">
        <v>27152</v>
      </c>
      <c r="S4086" s="2" t="s">
        <v>50</v>
      </c>
      <c r="T4086" s="2" t="s">
        <v>201</v>
      </c>
      <c r="U4086" s="2" t="s">
        <v>1217</v>
      </c>
      <c r="V4086" s="2" t="s">
        <v>59</v>
      </c>
      <c r="W4086" s="2">
        <v>38.1</v>
      </c>
      <c r="X4086" s="2">
        <v>0</v>
      </c>
      <c r="Y4086" s="2" t="s">
        <v>340</v>
      </c>
      <c r="Z4086" s="2" t="s">
        <v>27153</v>
      </c>
      <c r="AA4086" s="2">
        <v>3.96989450126026</v>
      </c>
      <c r="AB4086" s="2">
        <v>0.16743558365338601</v>
      </c>
      <c r="AC4086" s="2">
        <v>6838.6022456292703</v>
      </c>
      <c r="AD4086" s="2">
        <v>4717.7767206810204</v>
      </c>
      <c r="AE4086" s="2">
        <v>7469.3152910192402</v>
      </c>
      <c r="AF4086" s="2">
        <v>5938.2062929866197</v>
      </c>
      <c r="AG4086" s="2">
        <v>7396.10677612581</v>
      </c>
      <c r="AH4086" s="2">
        <v>7825.1982622254</v>
      </c>
      <c r="AI4086" s="2">
        <v>6550.5149247375903</v>
      </c>
      <c r="AJ4086" s="2">
        <v>5852.27192668097</v>
      </c>
      <c r="AK4086" s="2">
        <v>4489.63630965836</v>
      </c>
      <c r="AL4086" s="2">
        <v>4484.1789514243701</v>
      </c>
      <c r="AM4086" s="2">
        <v>4371.9377043844297</v>
      </c>
      <c r="AN4086" s="2">
        <v>4418.8325172824598</v>
      </c>
      <c r="AO4086" s="2">
        <v>5134.8151532757402</v>
      </c>
      <c r="AP4086" s="2">
        <v>5407.2596880607498</v>
      </c>
    </row>
    <row r="4087" spans="1:42" ht="14.5" x14ac:dyDescent="0.35">
      <c r="A4087" s="2" t="s">
        <v>27154</v>
      </c>
      <c r="B4087" s="2">
        <v>647.35693298815397</v>
      </c>
      <c r="C4087" s="2">
        <v>7.5749000000000004</v>
      </c>
      <c r="D4087" s="2" t="s">
        <v>70</v>
      </c>
      <c r="E4087" s="2" t="s">
        <v>27155</v>
      </c>
      <c r="F4087" s="2">
        <v>53171</v>
      </c>
      <c r="G4087" s="3" t="str">
        <f>HYPERLINK("http://funmeta.oebiotech.com/network/53171", "http://funmeta.oebiotech.com/network/53171")</f>
        <v>http://funmeta.oebiotech.com/network/53171</v>
      </c>
      <c r="H4087" s="2" t="s">
        <v>27156</v>
      </c>
      <c r="I4087" s="2">
        <v>2220</v>
      </c>
      <c r="J4087" s="2"/>
      <c r="K4087" s="2">
        <v>28593</v>
      </c>
      <c r="L4087" s="2" t="s">
        <v>27157</v>
      </c>
      <c r="M4087" s="2"/>
      <c r="N4087" s="2"/>
      <c r="O4087" s="2">
        <v>441074</v>
      </c>
      <c r="P4087" s="2" t="s">
        <v>27158</v>
      </c>
      <c r="Q4087" s="2" t="s">
        <v>27159</v>
      </c>
      <c r="R4087" s="2" t="s">
        <v>27160</v>
      </c>
      <c r="S4087" s="2" t="s">
        <v>39</v>
      </c>
      <c r="T4087" s="2" t="s">
        <v>19154</v>
      </c>
      <c r="U4087" s="2" t="s">
        <v>41</v>
      </c>
      <c r="V4087" s="2" t="s">
        <v>59</v>
      </c>
      <c r="W4087" s="2">
        <v>37.4</v>
      </c>
      <c r="X4087" s="2">
        <v>0</v>
      </c>
      <c r="Y4087" s="2" t="s">
        <v>560</v>
      </c>
      <c r="Z4087" s="2" t="s">
        <v>27161</v>
      </c>
      <c r="AA4087" s="2">
        <v>-5.1616041168441704</v>
      </c>
      <c r="AB4087" s="2">
        <v>0.167412930355404</v>
      </c>
      <c r="AC4087" s="2">
        <v>1181.40025772835</v>
      </c>
      <c r="AD4087" s="2">
        <v>3253.0110412516301</v>
      </c>
      <c r="AE4087" s="2">
        <v>959.97402323025597</v>
      </c>
      <c r="AF4087" s="2">
        <v>922.94708321703501</v>
      </c>
      <c r="AG4087" s="2">
        <v>1274.3085509032801</v>
      </c>
      <c r="AH4087" s="2">
        <v>880.090080283205</v>
      </c>
      <c r="AI4087" s="2">
        <v>1411.20128210967</v>
      </c>
      <c r="AJ4087" s="2">
        <v>1639.88052662666</v>
      </c>
      <c r="AK4087" s="2">
        <v>4410.9676277001599</v>
      </c>
      <c r="AL4087" s="2">
        <v>2622.2072237503098</v>
      </c>
      <c r="AM4087" s="2">
        <v>2263.8984470219498</v>
      </c>
      <c r="AN4087" s="2">
        <v>3620.39688709239</v>
      </c>
      <c r="AO4087" s="2">
        <v>3003.8775134981902</v>
      </c>
      <c r="AP4087" s="2">
        <v>3596.71854844679</v>
      </c>
    </row>
    <row r="4088" spans="1:42" ht="14.5" x14ac:dyDescent="0.35">
      <c r="A4088" s="2" t="s">
        <v>27162</v>
      </c>
      <c r="B4088" s="2">
        <v>335.013463093805</v>
      </c>
      <c r="C4088" s="2">
        <v>8.0215999999999994</v>
      </c>
      <c r="D4088" s="2" t="s">
        <v>70</v>
      </c>
      <c r="E4088" s="2" t="s">
        <v>27163</v>
      </c>
      <c r="F4088" s="2">
        <v>202384</v>
      </c>
      <c r="G4088" s="3" t="str">
        <f>HYPERLINK("http://funmeta.oebiotech.com/network/202384", "http://funmeta.oebiotech.com/network/202384")</f>
        <v>http://funmeta.oebiotech.com/network/202384</v>
      </c>
      <c r="H4088" s="2" t="s">
        <v>27164</v>
      </c>
      <c r="I4088" s="2">
        <v>724</v>
      </c>
      <c r="J4088" s="2"/>
      <c r="K4088" s="2"/>
      <c r="L4088" s="2"/>
      <c r="M4088" s="2"/>
      <c r="N4088" s="2"/>
      <c r="O4088" s="2">
        <v>16161</v>
      </c>
      <c r="P4088" s="2" t="s">
        <v>27165</v>
      </c>
      <c r="Q4088" s="2" t="s">
        <v>27166</v>
      </c>
      <c r="R4088" s="2" t="s">
        <v>27167</v>
      </c>
      <c r="S4088" s="2" t="s">
        <v>491</v>
      </c>
      <c r="T4088" s="2" t="s">
        <v>7431</v>
      </c>
      <c r="U4088" s="2" t="s">
        <v>7432</v>
      </c>
      <c r="V4088" s="2" t="s">
        <v>59</v>
      </c>
      <c r="W4088" s="2">
        <v>38.5</v>
      </c>
      <c r="X4088" s="2">
        <v>0</v>
      </c>
      <c r="Y4088" s="2" t="s">
        <v>560</v>
      </c>
      <c r="Z4088" s="2" t="s">
        <v>27168</v>
      </c>
      <c r="AA4088" s="2">
        <v>-1.26184991092515</v>
      </c>
      <c r="AB4088" s="2">
        <v>0.16734048097979401</v>
      </c>
      <c r="AC4088" s="2">
        <v>26536.571096695901</v>
      </c>
      <c r="AD4088" s="2">
        <v>28783.0110811622</v>
      </c>
      <c r="AE4088" s="2">
        <v>26376.230500699799</v>
      </c>
      <c r="AF4088" s="2">
        <v>26536.614963352298</v>
      </c>
      <c r="AG4088" s="2">
        <v>27379.549714525601</v>
      </c>
      <c r="AH4088" s="2">
        <v>26289.819550466898</v>
      </c>
      <c r="AI4088" s="2">
        <v>26871.671171432499</v>
      </c>
      <c r="AJ4088" s="2">
        <v>25765.540679698599</v>
      </c>
      <c r="AK4088" s="2">
        <v>30886.445339612899</v>
      </c>
      <c r="AL4088" s="2">
        <v>28444.684804160501</v>
      </c>
      <c r="AM4088" s="2">
        <v>28889.438373839199</v>
      </c>
      <c r="AN4088" s="2">
        <v>28107.047883743999</v>
      </c>
      <c r="AO4088" s="2">
        <v>28500.279001261599</v>
      </c>
      <c r="AP4088" s="2">
        <v>27870.171084354901</v>
      </c>
    </row>
    <row r="4089" spans="1:42" ht="14.5" x14ac:dyDescent="0.35">
      <c r="A4089" s="2" t="s">
        <v>27169</v>
      </c>
      <c r="B4089" s="2">
        <v>311.05333219486897</v>
      </c>
      <c r="C4089" s="2">
        <v>4.0250666666666701</v>
      </c>
      <c r="D4089" s="2" t="s">
        <v>70</v>
      </c>
      <c r="E4089" s="2" t="s">
        <v>27170</v>
      </c>
      <c r="F4089" s="2">
        <v>203313</v>
      </c>
      <c r="G4089" s="3" t="str">
        <f>HYPERLINK("http://funmeta.oebiotech.com/network/203313", "http://funmeta.oebiotech.com/network/203313")</f>
        <v>http://funmeta.oebiotech.com/network/203313</v>
      </c>
      <c r="H4089" s="2" t="s">
        <v>27171</v>
      </c>
      <c r="I4089" s="2"/>
      <c r="J4089" s="2"/>
      <c r="K4089" s="2"/>
      <c r="L4089" s="2"/>
      <c r="M4089" s="2"/>
      <c r="N4089" s="2"/>
      <c r="O4089" s="2">
        <v>11330</v>
      </c>
      <c r="P4089" s="2"/>
      <c r="Q4089" s="2" t="s">
        <v>27172</v>
      </c>
      <c r="R4089" s="2" t="s">
        <v>27173</v>
      </c>
      <c r="S4089" s="2" t="s">
        <v>89</v>
      </c>
      <c r="T4089" s="2" t="s">
        <v>90</v>
      </c>
      <c r="U4089" s="2" t="s">
        <v>99</v>
      </c>
      <c r="V4089" s="2" t="s">
        <v>59</v>
      </c>
      <c r="W4089" s="2">
        <v>41.2</v>
      </c>
      <c r="X4089" s="2">
        <v>18</v>
      </c>
      <c r="Y4089" s="2" t="s">
        <v>751</v>
      </c>
      <c r="Z4089" s="2" t="s">
        <v>27174</v>
      </c>
      <c r="AA4089" s="2">
        <v>1.13384694984843</v>
      </c>
      <c r="AB4089" s="2">
        <v>0.167278494902769</v>
      </c>
      <c r="AC4089" s="2">
        <v>63516.1639862312</v>
      </c>
      <c r="AD4089" s="2">
        <v>66951.092028993196</v>
      </c>
      <c r="AE4089" s="2">
        <v>59789.436964118897</v>
      </c>
      <c r="AF4089" s="2">
        <v>63264.437668495797</v>
      </c>
      <c r="AG4089" s="2">
        <v>68078.050546964703</v>
      </c>
      <c r="AH4089" s="2">
        <v>66524.441486132098</v>
      </c>
      <c r="AI4089" s="2">
        <v>61014.778045228202</v>
      </c>
      <c r="AJ4089" s="2">
        <v>62425.839206447403</v>
      </c>
      <c r="AK4089" s="2">
        <v>68256.101254526802</v>
      </c>
      <c r="AL4089" s="2">
        <v>67409.783120222695</v>
      </c>
      <c r="AM4089" s="2">
        <v>70494.718649951901</v>
      </c>
      <c r="AN4089" s="2">
        <v>63550.840456072197</v>
      </c>
      <c r="AO4089" s="2">
        <v>64304.0371666543</v>
      </c>
      <c r="AP4089" s="2">
        <v>67691.071526531494</v>
      </c>
    </row>
    <row r="4090" spans="1:42" ht="14.5" x14ac:dyDescent="0.35">
      <c r="A4090" s="2" t="s">
        <v>27175</v>
      </c>
      <c r="B4090" s="2">
        <v>471.12939776199102</v>
      </c>
      <c r="C4090" s="2">
        <v>3.82433333333333</v>
      </c>
      <c r="D4090" s="2" t="s">
        <v>70</v>
      </c>
      <c r="E4090" s="2" t="s">
        <v>27176</v>
      </c>
      <c r="F4090" s="2">
        <v>266684</v>
      </c>
      <c r="G4090" s="3" t="str">
        <f>HYPERLINK("http://funmeta.oebiotech.com/network/266684", "http://funmeta.oebiotech.com/network/266684")</f>
        <v>http://funmeta.oebiotech.com/network/266684</v>
      </c>
      <c r="H4090" s="2"/>
      <c r="I4090" s="2">
        <v>43772</v>
      </c>
      <c r="J4090" s="2"/>
      <c r="K4090" s="2"/>
      <c r="L4090" s="2"/>
      <c r="M4090" s="2"/>
      <c r="N4090" s="2"/>
      <c r="O4090" s="2">
        <v>3083928</v>
      </c>
      <c r="P4090" s="2"/>
      <c r="Q4090" s="2" t="s">
        <v>27177</v>
      </c>
      <c r="R4090" s="2" t="s">
        <v>27178</v>
      </c>
      <c r="S4090" s="2" t="s">
        <v>115</v>
      </c>
      <c r="T4090" s="2" t="s">
        <v>758</v>
      </c>
      <c r="U4090" s="2" t="s">
        <v>41</v>
      </c>
      <c r="V4090" s="2" t="s">
        <v>59</v>
      </c>
      <c r="W4090" s="2">
        <v>37.200000000000003</v>
      </c>
      <c r="X4090" s="2">
        <v>0</v>
      </c>
      <c r="Y4090" s="2" t="s">
        <v>560</v>
      </c>
      <c r="Z4090" s="2" t="s">
        <v>27179</v>
      </c>
      <c r="AA4090" s="2">
        <v>-0.57773764685903495</v>
      </c>
      <c r="AB4090" s="2">
        <v>0.16727570591642699</v>
      </c>
      <c r="AC4090" s="2">
        <v>2861.1211826131798</v>
      </c>
      <c r="AD4090" s="2">
        <v>4861.70317772402</v>
      </c>
      <c r="AE4090" s="2">
        <v>3012.5151091402099</v>
      </c>
      <c r="AF4090" s="2">
        <v>3194.67210589048</v>
      </c>
      <c r="AG4090" s="2">
        <v>2698.4982825751499</v>
      </c>
      <c r="AH4090" s="2">
        <v>2770.67899624559</v>
      </c>
      <c r="AI4090" s="2">
        <v>2652.6734734640199</v>
      </c>
      <c r="AJ4090" s="2">
        <v>2837.6891283636301</v>
      </c>
      <c r="AK4090" s="2">
        <v>4870.0986052636699</v>
      </c>
      <c r="AL4090" s="2">
        <v>4083.50642875536</v>
      </c>
      <c r="AM4090" s="2">
        <v>5350.81328373423</v>
      </c>
      <c r="AN4090" s="2">
        <v>5619.0238828339698</v>
      </c>
      <c r="AO4090" s="2">
        <v>4098.3404520493996</v>
      </c>
      <c r="AP4090" s="2">
        <v>5148.4364137075199</v>
      </c>
    </row>
    <row r="4091" spans="1:42" ht="14.5" x14ac:dyDescent="0.35">
      <c r="A4091" s="2" t="s">
        <v>27180</v>
      </c>
      <c r="B4091" s="2">
        <v>333.05917856720299</v>
      </c>
      <c r="C4091" s="2">
        <v>0.65605000000000002</v>
      </c>
      <c r="D4091" s="2" t="s">
        <v>70</v>
      </c>
      <c r="E4091" s="2" t="s">
        <v>27181</v>
      </c>
      <c r="F4091" s="2">
        <v>51437</v>
      </c>
      <c r="G4091" s="3" t="str">
        <f>HYPERLINK("http://funmeta.oebiotech.com/network/51437", "http://funmeta.oebiotech.com/network/51437")</f>
        <v>http://funmeta.oebiotech.com/network/51437</v>
      </c>
      <c r="H4091" s="2" t="s">
        <v>27182</v>
      </c>
      <c r="I4091" s="2"/>
      <c r="J4091" s="2"/>
      <c r="K4091" s="2">
        <v>18321</v>
      </c>
      <c r="L4091" s="2" t="s">
        <v>27183</v>
      </c>
      <c r="M4091" s="2"/>
      <c r="N4091" s="2"/>
      <c r="O4091" s="2"/>
      <c r="P4091" s="2" t="s">
        <v>27184</v>
      </c>
      <c r="Q4091" s="2" t="s">
        <v>27185</v>
      </c>
      <c r="R4091" s="2" t="s">
        <v>27186</v>
      </c>
      <c r="S4091" s="2" t="s">
        <v>50</v>
      </c>
      <c r="T4091" s="2" t="s">
        <v>51</v>
      </c>
      <c r="U4091" s="2" t="s">
        <v>52</v>
      </c>
      <c r="V4091" s="2" t="s">
        <v>59</v>
      </c>
      <c r="W4091" s="2">
        <v>44.7</v>
      </c>
      <c r="X4091" s="2">
        <v>27.3</v>
      </c>
      <c r="Y4091" s="2" t="s">
        <v>118</v>
      </c>
      <c r="Z4091" s="2" t="s">
        <v>27187</v>
      </c>
      <c r="AA4091" s="2">
        <v>-0.12888238441909899</v>
      </c>
      <c r="AB4091" s="2">
        <v>0.16726694269574499</v>
      </c>
      <c r="AC4091" s="2">
        <v>30529.090132584999</v>
      </c>
      <c r="AD4091" s="2">
        <v>26146.8106980187</v>
      </c>
      <c r="AE4091" s="2">
        <v>24833.489327320902</v>
      </c>
      <c r="AF4091" s="2">
        <v>41346.408732789801</v>
      </c>
      <c r="AG4091" s="2">
        <v>29062.492126305599</v>
      </c>
      <c r="AH4091" s="2">
        <v>32223.1695775146</v>
      </c>
      <c r="AI4091" s="2">
        <v>30956.156250399701</v>
      </c>
      <c r="AJ4091" s="2">
        <v>24752.824781179599</v>
      </c>
      <c r="AK4091" s="2">
        <v>22646.570023069598</v>
      </c>
      <c r="AL4091" s="2">
        <v>25910.1876518754</v>
      </c>
      <c r="AM4091" s="2">
        <v>21753.379822610201</v>
      </c>
      <c r="AN4091" s="2">
        <v>29232.8615344143</v>
      </c>
      <c r="AO4091" s="2">
        <v>32392.415339821098</v>
      </c>
      <c r="AP4091" s="2">
        <v>24945.449816321699</v>
      </c>
    </row>
    <row r="4092" spans="1:42" ht="14.5" x14ac:dyDescent="0.35">
      <c r="A4092" s="2" t="s">
        <v>27188</v>
      </c>
      <c r="B4092" s="2">
        <v>342.29990452348397</v>
      </c>
      <c r="C4092" s="2">
        <v>13.283333333333299</v>
      </c>
      <c r="D4092" s="2" t="s">
        <v>34</v>
      </c>
      <c r="E4092" s="2" t="s">
        <v>27189</v>
      </c>
      <c r="F4092" s="2">
        <v>200988</v>
      </c>
      <c r="G4092" s="3" t="str">
        <f>HYPERLINK("http://funmeta.oebiotech.com/network/200988", "http://funmeta.oebiotech.com/network/200988")</f>
        <v>http://funmeta.oebiotech.com/network/200988</v>
      </c>
      <c r="H4092" s="2" t="s">
        <v>27190</v>
      </c>
      <c r="I4092" s="2"/>
      <c r="J4092" s="2"/>
      <c r="K4092" s="2"/>
      <c r="L4092" s="2"/>
      <c r="M4092" s="2"/>
      <c r="N4092" s="2"/>
      <c r="O4092" s="2">
        <v>54292229</v>
      </c>
      <c r="P4092" s="2"/>
      <c r="Q4092" s="2" t="s">
        <v>27191</v>
      </c>
      <c r="R4092" s="2" t="s">
        <v>27192</v>
      </c>
      <c r="S4092" s="2" t="s">
        <v>50</v>
      </c>
      <c r="T4092" s="2" t="s">
        <v>229</v>
      </c>
      <c r="U4092" s="2" t="s">
        <v>433</v>
      </c>
      <c r="V4092" s="2" t="s">
        <v>59</v>
      </c>
      <c r="W4092" s="2">
        <v>41.1</v>
      </c>
      <c r="X4092" s="2">
        <v>14.2</v>
      </c>
      <c r="Y4092" s="2" t="s">
        <v>43</v>
      </c>
      <c r="Z4092" s="2" t="s">
        <v>7255</v>
      </c>
      <c r="AA4092" s="2">
        <v>-1.1287622307826199</v>
      </c>
      <c r="AB4092" s="2">
        <v>0.16698337258865101</v>
      </c>
      <c r="AC4092" s="2">
        <v>163270.405789852</v>
      </c>
      <c r="AD4092" s="2">
        <v>156964.443907112</v>
      </c>
      <c r="AE4092" s="2">
        <v>151425.624059583</v>
      </c>
      <c r="AF4092" s="2">
        <v>168635.96917268401</v>
      </c>
      <c r="AG4092" s="2">
        <v>176126.992709866</v>
      </c>
      <c r="AH4092" s="2">
        <v>159716.80946202399</v>
      </c>
      <c r="AI4092" s="2">
        <v>158339.232015402</v>
      </c>
      <c r="AJ4092" s="2">
        <v>165377.80731955401</v>
      </c>
      <c r="AK4092" s="2">
        <v>165610.55578499701</v>
      </c>
      <c r="AL4092" s="2">
        <v>180799.146736625</v>
      </c>
      <c r="AM4092" s="2">
        <v>153472.567772568</v>
      </c>
      <c r="AN4092" s="2">
        <v>154422.626527432</v>
      </c>
      <c r="AO4092" s="2">
        <v>146974.50097231299</v>
      </c>
      <c r="AP4092" s="2">
        <v>140507.265648739</v>
      </c>
    </row>
    <row r="4093" spans="1:42" ht="14.5" x14ac:dyDescent="0.35">
      <c r="A4093" s="2" t="s">
        <v>27193</v>
      </c>
      <c r="B4093" s="2">
        <v>333.043174505747</v>
      </c>
      <c r="C4093" s="2">
        <v>4.6168333333333296</v>
      </c>
      <c r="D4093" s="2" t="s">
        <v>34</v>
      </c>
      <c r="E4093" s="2" t="s">
        <v>27194</v>
      </c>
      <c r="F4093" s="2">
        <v>205367</v>
      </c>
      <c r="G4093" s="3" t="str">
        <f>HYPERLINK("http://funmeta.oebiotech.com/network/205367", "http://funmeta.oebiotech.com/network/205367")</f>
        <v>http://funmeta.oebiotech.com/network/205367</v>
      </c>
      <c r="H4093" s="2" t="s">
        <v>27195</v>
      </c>
      <c r="I4093" s="2">
        <v>72733</v>
      </c>
      <c r="J4093" s="2"/>
      <c r="K4093" s="2"/>
      <c r="L4093" s="2" t="s">
        <v>27196</v>
      </c>
      <c r="M4093" s="2"/>
      <c r="N4093" s="2"/>
      <c r="O4093" s="2">
        <v>77322</v>
      </c>
      <c r="P4093" s="2" t="s">
        <v>27197</v>
      </c>
      <c r="Q4093" s="2" t="s">
        <v>27198</v>
      </c>
      <c r="R4093" s="2" t="s">
        <v>27199</v>
      </c>
      <c r="S4093" s="2" t="s">
        <v>27200</v>
      </c>
      <c r="T4093" s="2" t="s">
        <v>27201</v>
      </c>
      <c r="U4093" s="2" t="s">
        <v>41</v>
      </c>
      <c r="V4093" s="2" t="s">
        <v>59</v>
      </c>
      <c r="W4093" s="2">
        <v>36.799999999999997</v>
      </c>
      <c r="X4093" s="2">
        <v>0</v>
      </c>
      <c r="Y4093" s="2" t="s">
        <v>340</v>
      </c>
      <c r="Z4093" s="2" t="s">
        <v>27202</v>
      </c>
      <c r="AA4093" s="2">
        <v>-1.01435359143299</v>
      </c>
      <c r="AB4093" s="2">
        <v>0.166901575400417</v>
      </c>
      <c r="AC4093" s="2">
        <v>7023.1967751458396</v>
      </c>
      <c r="AD4093" s="2">
        <v>9406.5532810618206</v>
      </c>
      <c r="AE4093" s="2">
        <v>6653.7850929652504</v>
      </c>
      <c r="AF4093" s="2">
        <v>6269.4454160540599</v>
      </c>
      <c r="AG4093" s="2">
        <v>6123.8992564294003</v>
      </c>
      <c r="AH4093" s="2">
        <v>6067.3126972436603</v>
      </c>
      <c r="AI4093" s="2">
        <v>8576.8005053456909</v>
      </c>
      <c r="AJ4093" s="2">
        <v>8447.9376828369695</v>
      </c>
      <c r="AK4093" s="2">
        <v>10578.782362554801</v>
      </c>
      <c r="AL4093" s="2">
        <v>8542.0389267687297</v>
      </c>
      <c r="AM4093" s="2">
        <v>8954.84499067453</v>
      </c>
      <c r="AN4093" s="2">
        <v>8003.2429257035501</v>
      </c>
      <c r="AO4093" s="2">
        <v>10353.5600074585</v>
      </c>
      <c r="AP4093" s="2">
        <v>10006.850473210799</v>
      </c>
    </row>
    <row r="4094" spans="1:42" ht="14.5" x14ac:dyDescent="0.35">
      <c r="A4094" s="2" t="s">
        <v>27203</v>
      </c>
      <c r="B4094" s="2">
        <v>535.19755721586603</v>
      </c>
      <c r="C4094" s="2">
        <v>7.2157999999999998</v>
      </c>
      <c r="D4094" s="2" t="s">
        <v>70</v>
      </c>
      <c r="E4094" s="2" t="s">
        <v>27204</v>
      </c>
      <c r="F4094" s="2">
        <v>33964</v>
      </c>
      <c r="G4094" s="3" t="str">
        <f>HYPERLINK("http://funmeta.oebiotech.com/network/33964", "http://funmeta.oebiotech.com/network/33964")</f>
        <v>http://funmeta.oebiotech.com/network/33964</v>
      </c>
      <c r="H4094" s="2"/>
      <c r="I4094" s="2">
        <v>52277</v>
      </c>
      <c r="J4094" s="2" t="s">
        <v>27205</v>
      </c>
      <c r="K4094" s="2"/>
      <c r="L4094" s="2"/>
      <c r="M4094" s="2"/>
      <c r="N4094" s="2"/>
      <c r="O4094" s="2">
        <v>10480725</v>
      </c>
      <c r="P4094" s="2"/>
      <c r="Q4094" s="2" t="s">
        <v>27206</v>
      </c>
      <c r="R4094" s="2" t="s">
        <v>27207</v>
      </c>
      <c r="S4094" s="2" t="s">
        <v>115</v>
      </c>
      <c r="T4094" s="2" t="s">
        <v>575</v>
      </c>
      <c r="U4094" s="2" t="s">
        <v>576</v>
      </c>
      <c r="V4094" s="2" t="s">
        <v>59</v>
      </c>
      <c r="W4094" s="2">
        <v>37.9</v>
      </c>
      <c r="X4094" s="2">
        <v>0</v>
      </c>
      <c r="Y4094" s="2" t="s">
        <v>408</v>
      </c>
      <c r="Z4094" s="2" t="s">
        <v>27208</v>
      </c>
      <c r="AA4094" s="2">
        <v>0.41013299278350301</v>
      </c>
      <c r="AB4094" s="2">
        <v>0.166893841685329</v>
      </c>
      <c r="AC4094" s="2">
        <v>2981.1398506708001</v>
      </c>
      <c r="AD4094" s="2">
        <v>921.65472682801396</v>
      </c>
      <c r="AE4094" s="2">
        <v>3888.8183552404298</v>
      </c>
      <c r="AF4094" s="2">
        <v>2644.5625519873201</v>
      </c>
      <c r="AG4094" s="2">
        <v>3786.7054134671198</v>
      </c>
      <c r="AH4094" s="2">
        <v>2625.7101433579101</v>
      </c>
      <c r="AI4094" s="2">
        <v>2349.59382932472</v>
      </c>
      <c r="AJ4094" s="2">
        <v>2591.44881064728</v>
      </c>
      <c r="AK4094" s="2">
        <v>570.93426369141901</v>
      </c>
      <c r="AL4094" s="2">
        <v>626.78054183362997</v>
      </c>
      <c r="AM4094" s="2">
        <v>676.89338842202699</v>
      </c>
      <c r="AN4094" s="2">
        <v>1643.3046521629999</v>
      </c>
      <c r="AO4094" s="2">
        <v>1486.27093926878</v>
      </c>
      <c r="AP4094" s="2">
        <v>525.74457558922597</v>
      </c>
    </row>
    <row r="4095" spans="1:42" ht="14.5" x14ac:dyDescent="0.35">
      <c r="A4095" s="2" t="s">
        <v>27209</v>
      </c>
      <c r="B4095" s="2">
        <v>557.33230150410395</v>
      </c>
      <c r="C4095" s="2">
        <v>4.9343500000000002</v>
      </c>
      <c r="D4095" s="2" t="s">
        <v>70</v>
      </c>
      <c r="E4095" s="2" t="s">
        <v>27210</v>
      </c>
      <c r="F4095" s="2">
        <v>64911</v>
      </c>
      <c r="G4095" s="3" t="str">
        <f>HYPERLINK("http://funmeta.oebiotech.com/network/64911", "http://funmeta.oebiotech.com/network/64911")</f>
        <v>http://funmeta.oebiotech.com/network/64911</v>
      </c>
      <c r="H4095" s="2" t="s">
        <v>27211</v>
      </c>
      <c r="I4095" s="2">
        <v>96165</v>
      </c>
      <c r="J4095" s="2"/>
      <c r="K4095" s="2"/>
      <c r="L4095" s="2"/>
      <c r="M4095" s="2"/>
      <c r="N4095" s="2"/>
      <c r="O4095" s="2">
        <v>28329</v>
      </c>
      <c r="P4095" s="2" t="s">
        <v>27212</v>
      </c>
      <c r="Q4095" s="2" t="s">
        <v>27213</v>
      </c>
      <c r="R4095" s="2" t="s">
        <v>27214</v>
      </c>
      <c r="S4095" s="2" t="s">
        <v>491</v>
      </c>
      <c r="T4095" s="2" t="s">
        <v>7431</v>
      </c>
      <c r="U4095" s="2" t="s">
        <v>7432</v>
      </c>
      <c r="V4095" s="2" t="s">
        <v>59</v>
      </c>
      <c r="W4095" s="2">
        <v>38.200000000000003</v>
      </c>
      <c r="X4095" s="2">
        <v>0</v>
      </c>
      <c r="Y4095" s="2" t="s">
        <v>560</v>
      </c>
      <c r="Z4095" s="2" t="s">
        <v>27215</v>
      </c>
      <c r="AA4095" s="2">
        <v>0.94577465767998103</v>
      </c>
      <c r="AB4095" s="2">
        <v>0.16684135498623701</v>
      </c>
      <c r="AC4095" s="2">
        <v>4719.4938652187602</v>
      </c>
      <c r="AD4095" s="2">
        <v>6857.5414090146696</v>
      </c>
      <c r="AE4095" s="2">
        <v>4440.1209185880298</v>
      </c>
      <c r="AF4095" s="2">
        <v>4857.3282021625801</v>
      </c>
      <c r="AG4095" s="2">
        <v>4599.3082398114602</v>
      </c>
      <c r="AH4095" s="2">
        <v>3474.6613107836502</v>
      </c>
      <c r="AI4095" s="2">
        <v>5522.2434799366902</v>
      </c>
      <c r="AJ4095" s="2">
        <v>5423.30104003015</v>
      </c>
      <c r="AK4095" s="2">
        <v>8120.5964101347699</v>
      </c>
      <c r="AL4095" s="2">
        <v>6736.0154787224601</v>
      </c>
      <c r="AM4095" s="2">
        <v>6994.7075952052201</v>
      </c>
      <c r="AN4095" s="2">
        <v>6530.2167900706099</v>
      </c>
      <c r="AO4095" s="2">
        <v>6071.1242428138703</v>
      </c>
      <c r="AP4095" s="2">
        <v>6692.5879371410902</v>
      </c>
    </row>
    <row r="4096" spans="1:42" ht="14.5" x14ac:dyDescent="0.35">
      <c r="A4096" s="2" t="s">
        <v>27216</v>
      </c>
      <c r="B4096" s="2">
        <v>692.51017017400295</v>
      </c>
      <c r="C4096" s="2">
        <v>14.070983333333301</v>
      </c>
      <c r="D4096" s="2" t="s">
        <v>34</v>
      </c>
      <c r="E4096" s="2" t="s">
        <v>27217</v>
      </c>
      <c r="F4096" s="2">
        <v>243263</v>
      </c>
      <c r="G4096" s="3" t="str">
        <f>HYPERLINK("http://funmeta.oebiotech.com/network/243263", "http://funmeta.oebiotech.com/network/243263")</f>
        <v>http://funmeta.oebiotech.com/network/243263</v>
      </c>
      <c r="H4096" s="2" t="s">
        <v>27218</v>
      </c>
      <c r="I4096" s="2"/>
      <c r="J4096" s="2"/>
      <c r="K4096" s="2"/>
      <c r="L4096" s="2"/>
      <c r="M4096" s="2"/>
      <c r="N4096" s="2"/>
      <c r="O4096" s="2"/>
      <c r="P4096" s="2"/>
      <c r="Q4096" s="2" t="s">
        <v>27219</v>
      </c>
      <c r="R4096" s="2" t="s">
        <v>27220</v>
      </c>
      <c r="S4096" s="2" t="s">
        <v>41</v>
      </c>
      <c r="T4096" s="2" t="s">
        <v>41</v>
      </c>
      <c r="U4096" s="2" t="s">
        <v>41</v>
      </c>
      <c r="V4096" s="2" t="s">
        <v>59</v>
      </c>
      <c r="W4096" s="2">
        <v>37.1</v>
      </c>
      <c r="X4096" s="2">
        <v>0</v>
      </c>
      <c r="Y4096" s="2" t="s">
        <v>323</v>
      </c>
      <c r="Z4096" s="2" t="s">
        <v>27221</v>
      </c>
      <c r="AA4096" s="2">
        <v>4.4528390489675802</v>
      </c>
      <c r="AB4096" s="2">
        <v>0.16681107287216901</v>
      </c>
      <c r="AC4096" s="2">
        <v>5796.6735817958097</v>
      </c>
      <c r="AD4096" s="2">
        <v>3607.5856754157899</v>
      </c>
      <c r="AE4096" s="2">
        <v>5855.87999073839</v>
      </c>
      <c r="AF4096" s="2">
        <v>5085.2124911136998</v>
      </c>
      <c r="AG4096" s="2">
        <v>6165.6005349114503</v>
      </c>
      <c r="AH4096" s="2">
        <v>5922.9170344636696</v>
      </c>
      <c r="AI4096" s="2">
        <v>5318.7141874850604</v>
      </c>
      <c r="AJ4096" s="2">
        <v>6431.7172520626</v>
      </c>
      <c r="AK4096" s="2">
        <v>5563.2959816532002</v>
      </c>
      <c r="AL4096" s="2">
        <v>3703.6400392639298</v>
      </c>
      <c r="AM4096" s="2">
        <v>3407.0516034741099</v>
      </c>
      <c r="AN4096" s="2">
        <v>3143.1158247630601</v>
      </c>
      <c r="AO4096" s="2">
        <v>3186.6701833956099</v>
      </c>
      <c r="AP4096" s="2">
        <v>2641.7404199448301</v>
      </c>
    </row>
    <row r="4097" spans="1:42" ht="14.5" x14ac:dyDescent="0.35">
      <c r="A4097" s="2" t="s">
        <v>27222</v>
      </c>
      <c r="B4097" s="2">
        <v>831.36057299443905</v>
      </c>
      <c r="C4097" s="2">
        <v>8.0614500000000007</v>
      </c>
      <c r="D4097" s="2" t="s">
        <v>70</v>
      </c>
      <c r="E4097" s="2" t="s">
        <v>27223</v>
      </c>
      <c r="F4097" s="2">
        <v>289962</v>
      </c>
      <c r="G4097" s="3" t="str">
        <f>HYPERLINK("http://funmeta.oebiotech.com/network/289962", "http://funmeta.oebiotech.com/network/289962")</f>
        <v>http://funmeta.oebiotech.com/network/289962</v>
      </c>
      <c r="H4097" s="2"/>
      <c r="I4097" s="2">
        <v>985477</v>
      </c>
      <c r="J4097" s="2"/>
      <c r="K4097" s="2"/>
      <c r="L4097" s="2"/>
      <c r="M4097" s="2"/>
      <c r="N4097" s="2"/>
      <c r="O4097" s="2">
        <v>15390948</v>
      </c>
      <c r="P4097" s="2"/>
      <c r="Q4097" s="2" t="s">
        <v>27224</v>
      </c>
      <c r="R4097" s="2" t="s">
        <v>27225</v>
      </c>
      <c r="S4097" s="2" t="s">
        <v>50</v>
      </c>
      <c r="T4097" s="2" t="s">
        <v>124</v>
      </c>
      <c r="U4097" s="2" t="s">
        <v>1136</v>
      </c>
      <c r="V4097" s="2" t="s">
        <v>59</v>
      </c>
      <c r="W4097" s="2">
        <v>38.799999999999997</v>
      </c>
      <c r="X4097" s="2">
        <v>0</v>
      </c>
      <c r="Y4097" s="2" t="s">
        <v>560</v>
      </c>
      <c r="Z4097" s="2" t="s">
        <v>27226</v>
      </c>
      <c r="AA4097" s="2">
        <v>1.0127223593521999</v>
      </c>
      <c r="AB4097" s="2">
        <v>0.166742181746524</v>
      </c>
      <c r="AC4097" s="2">
        <v>4444.4014610636696</v>
      </c>
      <c r="AD4097" s="2">
        <v>2256.3219911948199</v>
      </c>
      <c r="AE4097" s="2">
        <v>4079.4902998757002</v>
      </c>
      <c r="AF4097" s="2">
        <v>4840.73491984887</v>
      </c>
      <c r="AG4097" s="2">
        <v>4530.3976180785103</v>
      </c>
      <c r="AH4097" s="2">
        <v>5658.6234855304601</v>
      </c>
      <c r="AI4097" s="2">
        <v>4421.3282052083996</v>
      </c>
      <c r="AJ4097" s="2">
        <v>3135.8342378400898</v>
      </c>
      <c r="AK4097" s="2">
        <v>2418.0388891088401</v>
      </c>
      <c r="AL4097" s="2">
        <v>2553.48927619085</v>
      </c>
      <c r="AM4097" s="2">
        <v>2062.72937170047</v>
      </c>
      <c r="AN4097" s="2">
        <v>2555.0121125174301</v>
      </c>
      <c r="AO4097" s="2">
        <v>860.44529472505496</v>
      </c>
      <c r="AP4097" s="2">
        <v>3088.2170029262702</v>
      </c>
    </row>
    <row r="4098" spans="1:42" ht="14.5" x14ac:dyDescent="0.35">
      <c r="A4098" s="2" t="s">
        <v>27227</v>
      </c>
      <c r="B4098" s="2">
        <v>149.05042915458199</v>
      </c>
      <c r="C4098" s="2">
        <v>4.1925499999999998</v>
      </c>
      <c r="D4098" s="2" t="s">
        <v>34</v>
      </c>
      <c r="E4098" s="2" t="s">
        <v>27228</v>
      </c>
      <c r="F4098" s="2">
        <v>206877</v>
      </c>
      <c r="G4098" s="3" t="str">
        <f>HYPERLINK("http://funmeta.oebiotech.com/network/206877", "http://funmeta.oebiotech.com/network/206877")</f>
        <v>http://funmeta.oebiotech.com/network/206877</v>
      </c>
      <c r="H4098" s="2" t="s">
        <v>27229</v>
      </c>
      <c r="I4098" s="2"/>
      <c r="J4098" s="2"/>
      <c r="K4098" s="2"/>
      <c r="L4098" s="2"/>
      <c r="M4098" s="2"/>
      <c r="N4098" s="2"/>
      <c r="O4098" s="2">
        <v>58546768</v>
      </c>
      <c r="P4098" s="2"/>
      <c r="Q4098" s="2" t="s">
        <v>27230</v>
      </c>
      <c r="R4098" s="2" t="s">
        <v>27231</v>
      </c>
      <c r="S4098" s="2" t="s">
        <v>41</v>
      </c>
      <c r="T4098" s="2" t="s">
        <v>41</v>
      </c>
      <c r="U4098" s="2" t="s">
        <v>41</v>
      </c>
      <c r="V4098" s="2" t="s">
        <v>59</v>
      </c>
      <c r="W4098" s="2">
        <v>38.1</v>
      </c>
      <c r="X4098" s="2">
        <v>0</v>
      </c>
      <c r="Y4098" s="2" t="s">
        <v>394</v>
      </c>
      <c r="Z4098" s="2" t="s">
        <v>27232</v>
      </c>
      <c r="AA4098" s="2">
        <v>-3.5372491501648202</v>
      </c>
      <c r="AB4098" s="2">
        <v>0.16668335162499201</v>
      </c>
      <c r="AC4098" s="2">
        <v>8511.6150765486509</v>
      </c>
      <c r="AD4098" s="2">
        <v>6545.5262790627803</v>
      </c>
      <c r="AE4098" s="2">
        <v>8284.4475771238594</v>
      </c>
      <c r="AF4098" s="2">
        <v>8343.2470766620409</v>
      </c>
      <c r="AG4098" s="2">
        <v>8392.2350916131709</v>
      </c>
      <c r="AH4098" s="2">
        <v>8695.1667326256593</v>
      </c>
      <c r="AI4098" s="2">
        <v>8010.4141501004997</v>
      </c>
      <c r="AJ4098" s="2">
        <v>9344.1798311666898</v>
      </c>
      <c r="AK4098" s="2">
        <v>6057.7895580935601</v>
      </c>
      <c r="AL4098" s="2">
        <v>6424.2832680083402</v>
      </c>
      <c r="AM4098" s="2">
        <v>7064.3297948311501</v>
      </c>
      <c r="AN4098" s="2">
        <v>6374.1648218175997</v>
      </c>
      <c r="AO4098" s="2">
        <v>7034.9901479619202</v>
      </c>
      <c r="AP4098" s="2">
        <v>6317.6000836641297</v>
      </c>
    </row>
    <row r="4099" spans="1:42" ht="14.5" x14ac:dyDescent="0.35">
      <c r="A4099" s="2" t="s">
        <v>27233</v>
      </c>
      <c r="B4099" s="2">
        <v>272.29441242663199</v>
      </c>
      <c r="C4099" s="2">
        <v>9.6530833333333295</v>
      </c>
      <c r="D4099" s="2" t="s">
        <v>34</v>
      </c>
      <c r="E4099" s="2" t="s">
        <v>27234</v>
      </c>
      <c r="F4099" s="2">
        <v>6014</v>
      </c>
      <c r="G4099" s="3" t="str">
        <f>HYPERLINK("http://funmeta.oebiotech.com/network/6014", "http://funmeta.oebiotech.com/network/6014")</f>
        <v>http://funmeta.oebiotech.com/network/6014</v>
      </c>
      <c r="H4099" s="2"/>
      <c r="I4099" s="2">
        <v>36491</v>
      </c>
      <c r="J4099" s="2" t="s">
        <v>27235</v>
      </c>
      <c r="K4099" s="2"/>
      <c r="L4099" s="2"/>
      <c r="M4099" s="2"/>
      <c r="N4099" s="2"/>
      <c r="O4099" s="2">
        <v>5283286</v>
      </c>
      <c r="P4099" s="2"/>
      <c r="Q4099" s="2" t="s">
        <v>27236</v>
      </c>
      <c r="R4099" s="2" t="s">
        <v>27237</v>
      </c>
      <c r="S4099" s="2" t="s">
        <v>50</v>
      </c>
      <c r="T4099" s="2" t="s">
        <v>229</v>
      </c>
      <c r="U4099" s="2" t="s">
        <v>1283</v>
      </c>
      <c r="V4099" s="2" t="s">
        <v>59</v>
      </c>
      <c r="W4099" s="2">
        <v>41.2</v>
      </c>
      <c r="X4099" s="2">
        <v>12.8</v>
      </c>
      <c r="Y4099" s="2" t="s">
        <v>43</v>
      </c>
      <c r="Z4099" s="2" t="s">
        <v>27238</v>
      </c>
      <c r="AA4099" s="2">
        <v>-1.4898602572302599</v>
      </c>
      <c r="AB4099" s="2">
        <v>0.16667334779488799</v>
      </c>
      <c r="AC4099" s="2">
        <v>12664.1797045531</v>
      </c>
      <c r="AD4099" s="2">
        <v>15913.1141681921</v>
      </c>
      <c r="AE4099" s="2">
        <v>13933.960349782899</v>
      </c>
      <c r="AF4099" s="2">
        <v>8402.7456511174696</v>
      </c>
      <c r="AG4099" s="2">
        <v>12938.028817045501</v>
      </c>
      <c r="AH4099" s="2">
        <v>8466.6145954692092</v>
      </c>
      <c r="AI4099" s="2">
        <v>16139.296335401499</v>
      </c>
      <c r="AJ4099" s="2">
        <v>16104.432478502</v>
      </c>
      <c r="AK4099" s="2">
        <v>16108.8036015977</v>
      </c>
      <c r="AL4099" s="2">
        <v>18205.272260627498</v>
      </c>
      <c r="AM4099" s="2">
        <v>13913.134132745199</v>
      </c>
      <c r="AN4099" s="2">
        <v>15386.960965941</v>
      </c>
      <c r="AO4099" s="2">
        <v>16059.092804780599</v>
      </c>
      <c r="AP4099" s="2">
        <v>15805.4212434608</v>
      </c>
    </row>
    <row r="4100" spans="1:42" ht="14.5" x14ac:dyDescent="0.35">
      <c r="A4100" s="2" t="s">
        <v>27239</v>
      </c>
      <c r="B4100" s="2">
        <v>923.49943099699203</v>
      </c>
      <c r="C4100" s="2">
        <v>4.8264500000000004</v>
      </c>
      <c r="D4100" s="2" t="s">
        <v>70</v>
      </c>
      <c r="E4100" s="2" t="s">
        <v>27240</v>
      </c>
      <c r="F4100" s="2">
        <v>58593</v>
      </c>
      <c r="G4100" s="3" t="str">
        <f>HYPERLINK("http://funmeta.oebiotech.com/network/58593", "http://funmeta.oebiotech.com/network/58593")</f>
        <v>http://funmeta.oebiotech.com/network/58593</v>
      </c>
      <c r="H4100" s="2" t="s">
        <v>27241</v>
      </c>
      <c r="I4100" s="2"/>
      <c r="J4100" s="2"/>
      <c r="K4100" s="2"/>
      <c r="L4100" s="2"/>
      <c r="M4100" s="2"/>
      <c r="N4100" s="2"/>
      <c r="O4100" s="2">
        <v>73818331</v>
      </c>
      <c r="P4100" s="2" t="s">
        <v>27242</v>
      </c>
      <c r="Q4100" s="2" t="s">
        <v>27243</v>
      </c>
      <c r="R4100" s="2" t="s">
        <v>27244</v>
      </c>
      <c r="S4100" s="2" t="s">
        <v>50</v>
      </c>
      <c r="T4100" s="2" t="s">
        <v>124</v>
      </c>
      <c r="U4100" s="2" t="s">
        <v>523</v>
      </c>
      <c r="V4100" s="2" t="s">
        <v>59</v>
      </c>
      <c r="W4100" s="2">
        <v>38.1</v>
      </c>
      <c r="X4100" s="2">
        <v>0</v>
      </c>
      <c r="Y4100" s="2" t="s">
        <v>408</v>
      </c>
      <c r="Z4100" s="2" t="s">
        <v>27245</v>
      </c>
      <c r="AA4100" s="2">
        <v>-1.7570116302587</v>
      </c>
      <c r="AB4100" s="2">
        <v>0.16649255552516401</v>
      </c>
      <c r="AC4100" s="2">
        <v>1380.17328406352</v>
      </c>
      <c r="AD4100" s="2">
        <v>4490.9408603418897</v>
      </c>
      <c r="AE4100" s="2">
        <v>2072.57370257407</v>
      </c>
      <c r="AF4100" s="2">
        <v>2.7106294003980101E-5</v>
      </c>
      <c r="AG4100" s="2">
        <v>1386.87819063849</v>
      </c>
      <c r="AH4100" s="2">
        <v>2.7106294003980101E-5</v>
      </c>
      <c r="AI4100" s="2">
        <v>2493.2317783108001</v>
      </c>
      <c r="AJ4100" s="2">
        <v>2328.3559786451801</v>
      </c>
      <c r="AK4100" s="2">
        <v>4030.15101156535</v>
      </c>
      <c r="AL4100" s="2">
        <v>3618.12068196871</v>
      </c>
      <c r="AM4100" s="2">
        <v>7826.2076425680398</v>
      </c>
      <c r="AN4100" s="2">
        <v>2.7106294003980101E-5</v>
      </c>
      <c r="AO4100" s="2">
        <v>8464.3898672589203</v>
      </c>
      <c r="AP4100" s="2">
        <v>3006.7759315839999</v>
      </c>
    </row>
    <row r="4101" spans="1:42" ht="14.5" x14ac:dyDescent="0.35">
      <c r="A4101" s="2" t="s">
        <v>27246</v>
      </c>
      <c r="B4101" s="2">
        <v>313.14314379448001</v>
      </c>
      <c r="C4101" s="2">
        <v>4.9145166666666702</v>
      </c>
      <c r="D4101" s="2" t="s">
        <v>34</v>
      </c>
      <c r="E4101" s="2" t="s">
        <v>27247</v>
      </c>
      <c r="F4101" s="2">
        <v>57758</v>
      </c>
      <c r="G4101" s="3" t="str">
        <f>HYPERLINK("http://funmeta.oebiotech.com/network/57758", "http://funmeta.oebiotech.com/network/57758")</f>
        <v>http://funmeta.oebiotech.com/network/57758</v>
      </c>
      <c r="H4101" s="2" t="s">
        <v>27248</v>
      </c>
      <c r="I4101" s="2">
        <v>89348</v>
      </c>
      <c r="J4101" s="2"/>
      <c r="K4101" s="2">
        <v>175216</v>
      </c>
      <c r="L4101" s="2"/>
      <c r="M4101" s="2"/>
      <c r="N4101" s="2"/>
      <c r="O4101" s="2">
        <v>14015413</v>
      </c>
      <c r="P4101" s="2" t="s">
        <v>27249</v>
      </c>
      <c r="Q4101" s="2" t="s">
        <v>27250</v>
      </c>
      <c r="R4101" s="2" t="s">
        <v>27251</v>
      </c>
      <c r="S4101" s="2" t="s">
        <v>115</v>
      </c>
      <c r="T4101" s="2" t="s">
        <v>1095</v>
      </c>
      <c r="U4101" s="2" t="s">
        <v>41</v>
      </c>
      <c r="V4101" s="2" t="s">
        <v>59</v>
      </c>
      <c r="W4101" s="2">
        <v>43.4</v>
      </c>
      <c r="X4101" s="2">
        <v>24.4</v>
      </c>
      <c r="Y4101" s="2" t="s">
        <v>141</v>
      </c>
      <c r="Z4101" s="2" t="s">
        <v>605</v>
      </c>
      <c r="AA4101" s="2">
        <v>-0.88372483758832898</v>
      </c>
      <c r="AB4101" s="2">
        <v>0.16640688488168801</v>
      </c>
      <c r="AC4101" s="2">
        <v>72686.730462335705</v>
      </c>
      <c r="AD4101" s="2">
        <v>68387.040243310897</v>
      </c>
      <c r="AE4101" s="2">
        <v>70979.640556729006</v>
      </c>
      <c r="AF4101" s="2">
        <v>82263.683181574001</v>
      </c>
      <c r="AG4101" s="2">
        <v>71019.434542021307</v>
      </c>
      <c r="AH4101" s="2">
        <v>67554.8500881199</v>
      </c>
      <c r="AI4101" s="2">
        <v>69989.729033334603</v>
      </c>
      <c r="AJ4101" s="2">
        <v>74313.045372235298</v>
      </c>
      <c r="AK4101" s="2">
        <v>72255.548426610505</v>
      </c>
      <c r="AL4101" s="2">
        <v>68969.477314764401</v>
      </c>
      <c r="AM4101" s="2">
        <v>68964.1242544673</v>
      </c>
      <c r="AN4101" s="2">
        <v>72837.681378839901</v>
      </c>
      <c r="AO4101" s="2">
        <v>58665.422161967203</v>
      </c>
      <c r="AP4101" s="2">
        <v>68629.987923216002</v>
      </c>
    </row>
    <row r="4102" spans="1:42" ht="14.5" x14ac:dyDescent="0.35">
      <c r="A4102" s="2" t="s">
        <v>27252</v>
      </c>
      <c r="B4102" s="2">
        <v>285.02254335608802</v>
      </c>
      <c r="C4102" s="2">
        <v>0.96353333333333302</v>
      </c>
      <c r="D4102" s="2" t="s">
        <v>70</v>
      </c>
      <c r="E4102" s="2" t="s">
        <v>27253</v>
      </c>
      <c r="F4102" s="2">
        <v>46921</v>
      </c>
      <c r="G4102" s="3" t="str">
        <f>HYPERLINK("http://funmeta.oebiotech.com/network/46921", "http://funmeta.oebiotech.com/network/46921")</f>
        <v>http://funmeta.oebiotech.com/network/46921</v>
      </c>
      <c r="H4102" s="2" t="s">
        <v>27254</v>
      </c>
      <c r="I4102" s="2">
        <v>17</v>
      </c>
      <c r="J4102" s="2"/>
      <c r="K4102" s="2">
        <v>16283</v>
      </c>
      <c r="L4102" s="2" t="s">
        <v>27255</v>
      </c>
      <c r="M4102" s="2" t="s">
        <v>27256</v>
      </c>
      <c r="N4102" s="2" t="s">
        <v>27257</v>
      </c>
      <c r="O4102" s="2">
        <v>67678</v>
      </c>
      <c r="P4102" s="2" t="s">
        <v>27258</v>
      </c>
      <c r="Q4102" s="2" t="s">
        <v>27259</v>
      </c>
      <c r="R4102" s="2" t="s">
        <v>27260</v>
      </c>
      <c r="S4102" s="2" t="s">
        <v>89</v>
      </c>
      <c r="T4102" s="2" t="s">
        <v>90</v>
      </c>
      <c r="U4102" s="2" t="s">
        <v>99</v>
      </c>
      <c r="V4102" s="2" t="s">
        <v>59</v>
      </c>
      <c r="W4102" s="2">
        <v>40.6</v>
      </c>
      <c r="X4102" s="2">
        <v>11.1</v>
      </c>
      <c r="Y4102" s="2" t="s">
        <v>408</v>
      </c>
      <c r="Z4102" s="2" t="s">
        <v>27261</v>
      </c>
      <c r="AA4102" s="2">
        <v>2.0481856692832001</v>
      </c>
      <c r="AB4102" s="2">
        <v>0.16638626867922199</v>
      </c>
      <c r="AC4102" s="2">
        <v>16291.794443602899</v>
      </c>
      <c r="AD4102" s="2">
        <v>19112.423168714598</v>
      </c>
      <c r="AE4102" s="2">
        <v>15857.115091047701</v>
      </c>
      <c r="AF4102" s="2">
        <v>15393.5492540499</v>
      </c>
      <c r="AG4102" s="2">
        <v>15689.738040005101</v>
      </c>
      <c r="AH4102" s="2">
        <v>15418.2570476979</v>
      </c>
      <c r="AI4102" s="2">
        <v>16613.501304261299</v>
      </c>
      <c r="AJ4102" s="2">
        <v>18778.605924555501</v>
      </c>
      <c r="AK4102" s="2">
        <v>17402.5333469545</v>
      </c>
      <c r="AL4102" s="2">
        <v>22147.255280032099</v>
      </c>
      <c r="AM4102" s="2">
        <v>18766.3651617705</v>
      </c>
      <c r="AN4102" s="2">
        <v>21443.762171470898</v>
      </c>
      <c r="AO4102" s="2">
        <v>16374.684537676099</v>
      </c>
      <c r="AP4102" s="2">
        <v>18539.938514383299</v>
      </c>
    </row>
    <row r="4103" spans="1:42" ht="14.5" x14ac:dyDescent="0.35">
      <c r="A4103" s="2" t="s">
        <v>27262</v>
      </c>
      <c r="B4103" s="2">
        <v>455.31290182109097</v>
      </c>
      <c r="C4103" s="2">
        <v>13.0111166666667</v>
      </c>
      <c r="D4103" s="2" t="s">
        <v>34</v>
      </c>
      <c r="E4103" s="2" t="s">
        <v>27263</v>
      </c>
      <c r="F4103" s="2">
        <v>45847</v>
      </c>
      <c r="G4103" s="3" t="str">
        <f>HYPERLINK("http://funmeta.oebiotech.com/network/45847", "http://funmeta.oebiotech.com/network/45847")</f>
        <v>http://funmeta.oebiotech.com/network/45847</v>
      </c>
      <c r="H4103" s="2" t="s">
        <v>27264</v>
      </c>
      <c r="I4103" s="2">
        <v>58368</v>
      </c>
      <c r="J4103" s="2" t="s">
        <v>27265</v>
      </c>
      <c r="K4103" s="2">
        <v>47799</v>
      </c>
      <c r="L4103" s="2" t="s">
        <v>27266</v>
      </c>
      <c r="M4103" s="2" t="s">
        <v>27267</v>
      </c>
      <c r="N4103" s="2" t="s">
        <v>27268</v>
      </c>
      <c r="O4103" s="2">
        <v>6446280</v>
      </c>
      <c r="P4103" s="2" t="s">
        <v>27269</v>
      </c>
      <c r="Q4103" s="2" t="s">
        <v>27270</v>
      </c>
      <c r="R4103" s="2" t="s">
        <v>27271</v>
      </c>
      <c r="S4103" s="2" t="s">
        <v>50</v>
      </c>
      <c r="T4103" s="2" t="s">
        <v>124</v>
      </c>
      <c r="U4103" s="2" t="s">
        <v>982</v>
      </c>
      <c r="V4103" s="2" t="s">
        <v>59</v>
      </c>
      <c r="W4103" s="2">
        <v>39.5</v>
      </c>
      <c r="X4103" s="2">
        <v>4.0800000000000003E-2</v>
      </c>
      <c r="Y4103" s="2" t="s">
        <v>323</v>
      </c>
      <c r="Z4103" s="2" t="s">
        <v>27272</v>
      </c>
      <c r="AA4103" s="2">
        <v>-0.64476701573356898</v>
      </c>
      <c r="AB4103" s="2">
        <v>0.166317484950601</v>
      </c>
      <c r="AC4103" s="2">
        <v>62978.311551688901</v>
      </c>
      <c r="AD4103" s="2">
        <v>57595.9660101185</v>
      </c>
      <c r="AE4103" s="2">
        <v>60203.001524197898</v>
      </c>
      <c r="AF4103" s="2">
        <v>63427.790295970801</v>
      </c>
      <c r="AG4103" s="2">
        <v>63802.524563106301</v>
      </c>
      <c r="AH4103" s="2">
        <v>63078.9659659385</v>
      </c>
      <c r="AI4103" s="2">
        <v>61465.701284212599</v>
      </c>
      <c r="AJ4103" s="2">
        <v>65891.885676707403</v>
      </c>
      <c r="AK4103" s="2">
        <v>41914.143458422601</v>
      </c>
      <c r="AL4103" s="2">
        <v>49606.291248934001</v>
      </c>
      <c r="AM4103" s="2">
        <v>55521.835725022902</v>
      </c>
      <c r="AN4103" s="2">
        <v>57990.800878970898</v>
      </c>
      <c r="AO4103" s="2">
        <v>67957.554321442498</v>
      </c>
      <c r="AP4103" s="2">
        <v>72585.170427918201</v>
      </c>
    </row>
    <row r="4104" spans="1:42" ht="14.5" x14ac:dyDescent="0.35">
      <c r="A4104" s="2" t="s">
        <v>27273</v>
      </c>
      <c r="B4104" s="2">
        <v>367.13527721296703</v>
      </c>
      <c r="C4104" s="2">
        <v>8.3239999999999998</v>
      </c>
      <c r="D4104" s="2" t="s">
        <v>70</v>
      </c>
      <c r="E4104" s="2" t="s">
        <v>27274</v>
      </c>
      <c r="F4104" s="2">
        <v>55231</v>
      </c>
      <c r="G4104" s="3" t="str">
        <f>HYPERLINK("http://funmeta.oebiotech.com/network/55231", "http://funmeta.oebiotech.com/network/55231")</f>
        <v>http://funmeta.oebiotech.com/network/55231</v>
      </c>
      <c r="H4104" s="2" t="s">
        <v>27275</v>
      </c>
      <c r="I4104" s="2">
        <v>86957</v>
      </c>
      <c r="J4104" s="2"/>
      <c r="K4104" s="2">
        <v>22678</v>
      </c>
      <c r="L4104" s="2"/>
      <c r="M4104" s="2"/>
      <c r="N4104" s="2"/>
      <c r="O4104" s="2">
        <v>16070004</v>
      </c>
      <c r="P4104" s="2" t="s">
        <v>27276</v>
      </c>
      <c r="Q4104" s="2" t="s">
        <v>27277</v>
      </c>
      <c r="R4104" s="2" t="s">
        <v>27278</v>
      </c>
      <c r="S4104" s="2" t="s">
        <v>89</v>
      </c>
      <c r="T4104" s="2" t="s">
        <v>90</v>
      </c>
      <c r="U4104" s="2" t="s">
        <v>99</v>
      </c>
      <c r="V4104" s="2" t="s">
        <v>59</v>
      </c>
      <c r="W4104" s="2">
        <v>39.1</v>
      </c>
      <c r="X4104" s="2">
        <v>0</v>
      </c>
      <c r="Y4104" s="2" t="s">
        <v>408</v>
      </c>
      <c r="Z4104" s="2" t="s">
        <v>27279</v>
      </c>
      <c r="AA4104" s="2">
        <v>-1.6804267069047301</v>
      </c>
      <c r="AB4104" s="2">
        <v>0.16631177622526</v>
      </c>
      <c r="AC4104" s="2">
        <v>2182.0141965663602</v>
      </c>
      <c r="AD4104" s="2">
        <v>226.755022668962</v>
      </c>
      <c r="AE4104" s="2">
        <v>3139.8193556166402</v>
      </c>
      <c r="AF4104" s="2">
        <v>2107.7091112542398</v>
      </c>
      <c r="AG4104" s="2">
        <v>2514.1624587923802</v>
      </c>
      <c r="AH4104" s="2">
        <v>1810.14154763069</v>
      </c>
      <c r="AI4104" s="2">
        <v>2131.7481372652501</v>
      </c>
      <c r="AJ4104" s="2">
        <v>1388.50456883898</v>
      </c>
      <c r="AK4104" s="2">
        <v>71.690590644535007</v>
      </c>
      <c r="AL4104" s="2">
        <v>351.99551527861399</v>
      </c>
      <c r="AM4104" s="2">
        <v>412.78763335465197</v>
      </c>
      <c r="AN4104" s="2">
        <v>63.746094327316001</v>
      </c>
      <c r="AO4104" s="2">
        <v>229.88867273830601</v>
      </c>
      <c r="AP4104" s="2">
        <v>230.42162967034699</v>
      </c>
    </row>
    <row r="4105" spans="1:42" ht="14.5" x14ac:dyDescent="0.35">
      <c r="A4105" s="2" t="s">
        <v>27280</v>
      </c>
      <c r="B4105" s="2">
        <v>339.21501372716199</v>
      </c>
      <c r="C4105" s="2">
        <v>10.9208</v>
      </c>
      <c r="D4105" s="2" t="s">
        <v>70</v>
      </c>
      <c r="E4105" s="2" t="s">
        <v>27281</v>
      </c>
      <c r="F4105" s="2">
        <v>52122</v>
      </c>
      <c r="G4105" s="3" t="str">
        <f>HYPERLINK("http://funmeta.oebiotech.com/network/52122", "http://funmeta.oebiotech.com/network/52122")</f>
        <v>http://funmeta.oebiotech.com/network/52122</v>
      </c>
      <c r="H4105" s="2" t="s">
        <v>27282</v>
      </c>
      <c r="I4105" s="2">
        <v>20333</v>
      </c>
      <c r="J4105" s="2"/>
      <c r="K4105" s="2">
        <v>158128</v>
      </c>
      <c r="L4105" s="2"/>
      <c r="M4105" s="2"/>
      <c r="N4105" s="2"/>
      <c r="O4105" s="2">
        <v>134159843</v>
      </c>
      <c r="P4105" s="2" t="s">
        <v>27283</v>
      </c>
      <c r="Q4105" s="2" t="s">
        <v>27284</v>
      </c>
      <c r="R4105" s="2" t="s">
        <v>27285</v>
      </c>
      <c r="S4105" s="2" t="s">
        <v>89</v>
      </c>
      <c r="T4105" s="2" t="s">
        <v>90</v>
      </c>
      <c r="U4105" s="2" t="s">
        <v>99</v>
      </c>
      <c r="V4105" s="2" t="s">
        <v>59</v>
      </c>
      <c r="W4105" s="2">
        <v>38.6</v>
      </c>
      <c r="X4105" s="2">
        <v>0</v>
      </c>
      <c r="Y4105" s="2" t="s">
        <v>751</v>
      </c>
      <c r="Z4105" s="2" t="s">
        <v>27286</v>
      </c>
      <c r="AA4105" s="2">
        <v>3.8467215413517E-3</v>
      </c>
      <c r="AB4105" s="2">
        <v>0.16612706538879499</v>
      </c>
      <c r="AC4105" s="2">
        <v>15658.5007653623</v>
      </c>
      <c r="AD4105" s="2">
        <v>17766.4657388628</v>
      </c>
      <c r="AE4105" s="2">
        <v>16627.528047460699</v>
      </c>
      <c r="AF4105" s="2">
        <v>15408.9283583501</v>
      </c>
      <c r="AG4105" s="2">
        <v>15708.024604693799</v>
      </c>
      <c r="AH4105" s="2">
        <v>16290.731753535099</v>
      </c>
      <c r="AI4105" s="2">
        <v>15072.851360159701</v>
      </c>
      <c r="AJ4105" s="2">
        <v>14842.9404679743</v>
      </c>
      <c r="AK4105" s="2">
        <v>17606.473735747699</v>
      </c>
      <c r="AL4105" s="2">
        <v>18692.702208835799</v>
      </c>
      <c r="AM4105" s="2">
        <v>18049.139940441299</v>
      </c>
      <c r="AN4105" s="2">
        <v>16838.2802320011</v>
      </c>
      <c r="AO4105" s="2">
        <v>18048.083837160299</v>
      </c>
      <c r="AP4105" s="2">
        <v>17364.114478990901</v>
      </c>
    </row>
    <row r="4106" spans="1:42" ht="14.5" x14ac:dyDescent="0.35">
      <c r="A4106" s="2" t="s">
        <v>27287</v>
      </c>
      <c r="B4106" s="2">
        <v>625.28420310451702</v>
      </c>
      <c r="C4106" s="2">
        <v>3.7682166666666701</v>
      </c>
      <c r="D4106" s="2" t="s">
        <v>70</v>
      </c>
      <c r="E4106" s="2" t="s">
        <v>27288</v>
      </c>
      <c r="F4106" s="2">
        <v>211785</v>
      </c>
      <c r="G4106" s="3" t="str">
        <f>HYPERLINK("http://funmeta.oebiotech.com/network/211785", "http://funmeta.oebiotech.com/network/211785")</f>
        <v>http://funmeta.oebiotech.com/network/211785</v>
      </c>
      <c r="H4106" s="2" t="s">
        <v>27289</v>
      </c>
      <c r="I4106" s="2">
        <v>332727</v>
      </c>
      <c r="J4106" s="2"/>
      <c r="K4106" s="2"/>
      <c r="L4106" s="2"/>
      <c r="M4106" s="2"/>
      <c r="N4106" s="2"/>
      <c r="O4106" s="2">
        <v>58505</v>
      </c>
      <c r="P4106" s="2"/>
      <c r="Q4106" s="2" t="s">
        <v>27290</v>
      </c>
      <c r="R4106" s="2" t="s">
        <v>27291</v>
      </c>
      <c r="S4106" s="2" t="s">
        <v>148</v>
      </c>
      <c r="T4106" s="2" t="s">
        <v>149</v>
      </c>
      <c r="U4106" s="2" t="s">
        <v>27292</v>
      </c>
      <c r="V4106" s="2" t="s">
        <v>59</v>
      </c>
      <c r="W4106" s="2">
        <v>37.9</v>
      </c>
      <c r="X4106" s="2">
        <v>0</v>
      </c>
      <c r="Y4106" s="2" t="s">
        <v>560</v>
      </c>
      <c r="Z4106" s="2" t="s">
        <v>27293</v>
      </c>
      <c r="AA4106" s="2">
        <v>-0.87129460583807405</v>
      </c>
      <c r="AB4106" s="2">
        <v>0.166021818765443</v>
      </c>
      <c r="AC4106" s="2">
        <v>3132.7950461392602</v>
      </c>
      <c r="AD4106" s="2">
        <v>1041.36076307451</v>
      </c>
      <c r="AE4106" s="2">
        <v>1921.9837919579099</v>
      </c>
      <c r="AF4106" s="2">
        <v>3181.8815880809502</v>
      </c>
      <c r="AG4106" s="2">
        <v>3987.0379195046899</v>
      </c>
      <c r="AH4106" s="2">
        <v>3519.9560754543099</v>
      </c>
      <c r="AI4106" s="2">
        <v>3922.0643135328201</v>
      </c>
      <c r="AJ4106" s="2">
        <v>2263.8465883048898</v>
      </c>
      <c r="AK4106" s="2">
        <v>1493.5305888630701</v>
      </c>
      <c r="AL4106" s="2">
        <v>906.97351759049798</v>
      </c>
      <c r="AM4106" s="2">
        <v>833.124168949205</v>
      </c>
      <c r="AN4106" s="2">
        <v>542.11912912844298</v>
      </c>
      <c r="AO4106" s="2">
        <v>1222.1591530839</v>
      </c>
      <c r="AP4106" s="2">
        <v>1250.25802083196</v>
      </c>
    </row>
    <row r="4107" spans="1:42" ht="14.5" x14ac:dyDescent="0.35">
      <c r="A4107" s="2" t="s">
        <v>27294</v>
      </c>
      <c r="B4107" s="2">
        <v>226.21621699936901</v>
      </c>
      <c r="C4107" s="2">
        <v>12.3610166666667</v>
      </c>
      <c r="D4107" s="2" t="s">
        <v>34</v>
      </c>
      <c r="E4107" s="2" t="s">
        <v>27295</v>
      </c>
      <c r="F4107" s="2">
        <v>63120</v>
      </c>
      <c r="G4107" s="3" t="str">
        <f>HYPERLINK("http://funmeta.oebiotech.com/network/63120", "http://funmeta.oebiotech.com/network/63120")</f>
        <v>http://funmeta.oebiotech.com/network/63120</v>
      </c>
      <c r="H4107" s="2" t="s">
        <v>27296</v>
      </c>
      <c r="I4107" s="2">
        <v>94428</v>
      </c>
      <c r="J4107" s="2"/>
      <c r="K4107" s="2">
        <v>171805</v>
      </c>
      <c r="L4107" s="2"/>
      <c r="M4107" s="2"/>
      <c r="N4107" s="2"/>
      <c r="O4107" s="2">
        <v>6365540</v>
      </c>
      <c r="P4107" s="2" t="s">
        <v>27297</v>
      </c>
      <c r="Q4107" s="2" t="s">
        <v>27298</v>
      </c>
      <c r="R4107" s="2" t="s">
        <v>27299</v>
      </c>
      <c r="S4107" s="2" t="s">
        <v>79</v>
      </c>
      <c r="T4107" s="2" t="s">
        <v>80</v>
      </c>
      <c r="U4107" s="2" t="s">
        <v>2820</v>
      </c>
      <c r="V4107" s="2" t="s">
        <v>59</v>
      </c>
      <c r="W4107" s="2">
        <v>45.9</v>
      </c>
      <c r="X4107" s="2">
        <v>36.6</v>
      </c>
      <c r="Y4107" s="2" t="s">
        <v>43</v>
      </c>
      <c r="Z4107" s="2" t="s">
        <v>27300</v>
      </c>
      <c r="AA4107" s="2">
        <v>-1.5559402713869701</v>
      </c>
      <c r="AB4107" s="2">
        <v>0.16600686105124901</v>
      </c>
      <c r="AC4107" s="2">
        <v>35955.395705140298</v>
      </c>
      <c r="AD4107" s="2">
        <v>30522.262173018898</v>
      </c>
      <c r="AE4107" s="2">
        <v>40700.378640583796</v>
      </c>
      <c r="AF4107" s="2">
        <v>29065.6884068656</v>
      </c>
      <c r="AG4107" s="2">
        <v>33717.626912930398</v>
      </c>
      <c r="AH4107" s="2">
        <v>41721.495338995497</v>
      </c>
      <c r="AI4107" s="2">
        <v>40949.111899195697</v>
      </c>
      <c r="AJ4107" s="2">
        <v>29578.073032270899</v>
      </c>
      <c r="AK4107" s="2">
        <v>23789.490712056799</v>
      </c>
      <c r="AL4107" s="2">
        <v>47675.790301315501</v>
      </c>
      <c r="AM4107" s="2">
        <v>28979.787416896801</v>
      </c>
      <c r="AN4107" s="2">
        <v>37730.018410443503</v>
      </c>
      <c r="AO4107" s="2">
        <v>22271.3791762316</v>
      </c>
      <c r="AP4107" s="2">
        <v>22687.1070211693</v>
      </c>
    </row>
    <row r="4108" spans="1:42" ht="14.5" x14ac:dyDescent="0.35">
      <c r="A4108" s="2" t="s">
        <v>27301</v>
      </c>
      <c r="B4108" s="2">
        <v>385.13643532508797</v>
      </c>
      <c r="C4108" s="2">
        <v>2.5831166666666698</v>
      </c>
      <c r="D4108" s="2" t="s">
        <v>34</v>
      </c>
      <c r="E4108" s="2" t="s">
        <v>27302</v>
      </c>
      <c r="F4108" s="2">
        <v>257254</v>
      </c>
      <c r="G4108" s="3" t="str">
        <f>HYPERLINK("http://funmeta.oebiotech.com/network/257254", "http://funmeta.oebiotech.com/network/257254")</f>
        <v>http://funmeta.oebiotech.com/network/257254</v>
      </c>
      <c r="H4108" s="2" t="s">
        <v>27303</v>
      </c>
      <c r="I4108" s="2"/>
      <c r="J4108" s="2"/>
      <c r="K4108" s="2"/>
      <c r="L4108" s="2"/>
      <c r="M4108" s="2"/>
      <c r="N4108" s="2"/>
      <c r="O4108" s="2"/>
      <c r="P4108" s="2"/>
      <c r="Q4108" s="2" t="s">
        <v>27304</v>
      </c>
      <c r="R4108" s="2" t="s">
        <v>27305</v>
      </c>
      <c r="S4108" s="2" t="s">
        <v>79</v>
      </c>
      <c r="T4108" s="2" t="s">
        <v>80</v>
      </c>
      <c r="U4108" s="2" t="s">
        <v>2021</v>
      </c>
      <c r="V4108" s="2" t="s">
        <v>59</v>
      </c>
      <c r="W4108" s="2">
        <v>37.200000000000003</v>
      </c>
      <c r="X4108" s="2">
        <v>0</v>
      </c>
      <c r="Y4108" s="2" t="s">
        <v>43</v>
      </c>
      <c r="Z4108" s="2" t="s">
        <v>27306</v>
      </c>
      <c r="AA4108" s="2">
        <v>-0.81010059147170199</v>
      </c>
      <c r="AB4108" s="2">
        <v>0.16581919259689601</v>
      </c>
      <c r="AC4108" s="2">
        <v>11085.118586271699</v>
      </c>
      <c r="AD4108" s="2">
        <v>9087.0610046469101</v>
      </c>
      <c r="AE4108" s="2">
        <v>11170.4552788906</v>
      </c>
      <c r="AF4108" s="2">
        <v>11419.747506653899</v>
      </c>
      <c r="AG4108" s="2">
        <v>10688.622875994301</v>
      </c>
      <c r="AH4108" s="2">
        <v>10349.4316418054</v>
      </c>
      <c r="AI4108" s="2">
        <v>11467.4478999849</v>
      </c>
      <c r="AJ4108" s="2">
        <v>11415.006314300999</v>
      </c>
      <c r="AK4108" s="2">
        <v>8072.3910675928701</v>
      </c>
      <c r="AL4108" s="2">
        <v>9136.6367721414299</v>
      </c>
      <c r="AM4108" s="2">
        <v>9603.2063543038403</v>
      </c>
      <c r="AN4108" s="2">
        <v>9290.2815350116907</v>
      </c>
      <c r="AO4108" s="2">
        <v>8926.90814537601</v>
      </c>
      <c r="AP4108" s="2">
        <v>9492.9421534556095</v>
      </c>
    </row>
    <row r="4109" spans="1:42" ht="14.5" x14ac:dyDescent="0.35">
      <c r="A4109" s="2" t="s">
        <v>27307</v>
      </c>
      <c r="B4109" s="2">
        <v>325.15002995044898</v>
      </c>
      <c r="C4109" s="2">
        <v>3.82433333333333</v>
      </c>
      <c r="D4109" s="2" t="s">
        <v>70</v>
      </c>
      <c r="E4109" s="2" t="s">
        <v>27308</v>
      </c>
      <c r="F4109" s="2">
        <v>203425</v>
      </c>
      <c r="G4109" s="3" t="str">
        <f>HYPERLINK("http://funmeta.oebiotech.com/network/203425", "http://funmeta.oebiotech.com/network/203425")</f>
        <v>http://funmeta.oebiotech.com/network/203425</v>
      </c>
      <c r="H4109" s="2" t="s">
        <v>27309</v>
      </c>
      <c r="I4109" s="2"/>
      <c r="J4109" s="2"/>
      <c r="K4109" s="2"/>
      <c r="L4109" s="2"/>
      <c r="M4109" s="2"/>
      <c r="N4109" s="2"/>
      <c r="O4109" s="2">
        <v>129638267</v>
      </c>
      <c r="P4109" s="2"/>
      <c r="Q4109" s="2" t="s">
        <v>27310</v>
      </c>
      <c r="R4109" s="2" t="s">
        <v>27311</v>
      </c>
      <c r="S4109" s="2" t="s">
        <v>41</v>
      </c>
      <c r="T4109" s="2" t="s">
        <v>41</v>
      </c>
      <c r="U4109" s="2" t="s">
        <v>41</v>
      </c>
      <c r="V4109" s="2" t="s">
        <v>59</v>
      </c>
      <c r="W4109" s="2">
        <v>37.6</v>
      </c>
      <c r="X4109" s="2">
        <v>0</v>
      </c>
      <c r="Y4109" s="2" t="s">
        <v>560</v>
      </c>
      <c r="Z4109" s="2" t="s">
        <v>27312</v>
      </c>
      <c r="AA4109" s="2">
        <v>4.4159276540949897</v>
      </c>
      <c r="AB4109" s="2">
        <v>0.16580525628525999</v>
      </c>
      <c r="AC4109" s="2">
        <v>5550.8928375161004</v>
      </c>
      <c r="AD4109" s="2">
        <v>7654.8879337344797</v>
      </c>
      <c r="AE4109" s="2">
        <v>5426.42221956103</v>
      </c>
      <c r="AF4109" s="2">
        <v>5981.3324097836703</v>
      </c>
      <c r="AG4109" s="2">
        <v>5500.7095680997199</v>
      </c>
      <c r="AH4109" s="2">
        <v>4179.3791850694797</v>
      </c>
      <c r="AI4109" s="2">
        <v>6500.6733576733805</v>
      </c>
      <c r="AJ4109" s="2">
        <v>5716.8402849093</v>
      </c>
      <c r="AK4109" s="2">
        <v>6834.5265562271097</v>
      </c>
      <c r="AL4109" s="2">
        <v>7919.4992617508897</v>
      </c>
      <c r="AM4109" s="2">
        <v>8448.0513075958806</v>
      </c>
      <c r="AN4109" s="2">
        <v>7437.3778141073199</v>
      </c>
      <c r="AO4109" s="2">
        <v>7134.67183038858</v>
      </c>
      <c r="AP4109" s="2">
        <v>8155.2008323370901</v>
      </c>
    </row>
    <row r="4110" spans="1:42" ht="14.5" x14ac:dyDescent="0.35">
      <c r="A4110" s="2" t="s">
        <v>27313</v>
      </c>
      <c r="B4110" s="2">
        <v>686.51872316729202</v>
      </c>
      <c r="C4110" s="2">
        <v>14.7123333333333</v>
      </c>
      <c r="D4110" s="2" t="s">
        <v>34</v>
      </c>
      <c r="E4110" s="2" t="s">
        <v>27314</v>
      </c>
      <c r="F4110" s="2">
        <v>248346</v>
      </c>
      <c r="G4110" s="3" t="str">
        <f>HYPERLINK("http://funmeta.oebiotech.com/network/248346", "http://funmeta.oebiotech.com/network/248346")</f>
        <v>http://funmeta.oebiotech.com/network/248346</v>
      </c>
      <c r="H4110" s="2" t="s">
        <v>27315</v>
      </c>
      <c r="I4110" s="2"/>
      <c r="J4110" s="2"/>
      <c r="K4110" s="2"/>
      <c r="L4110" s="2"/>
      <c r="M4110" s="2"/>
      <c r="N4110" s="2"/>
      <c r="O4110" s="2"/>
      <c r="P4110" s="2"/>
      <c r="Q4110" s="2" t="s">
        <v>27316</v>
      </c>
      <c r="R4110" s="2" t="s">
        <v>27317</v>
      </c>
      <c r="S4110" s="2" t="s">
        <v>41</v>
      </c>
      <c r="T4110" s="2" t="s">
        <v>41</v>
      </c>
      <c r="U4110" s="2" t="s">
        <v>41</v>
      </c>
      <c r="V4110" s="2" t="s">
        <v>59</v>
      </c>
      <c r="W4110" s="2">
        <v>37.700000000000003</v>
      </c>
      <c r="X4110" s="2">
        <v>0</v>
      </c>
      <c r="Y4110" s="2" t="s">
        <v>43</v>
      </c>
      <c r="Z4110" s="2" t="s">
        <v>27318</v>
      </c>
      <c r="AA4110" s="2">
        <v>-2.1483154335953398</v>
      </c>
      <c r="AB4110" s="2">
        <v>0.16577288139841201</v>
      </c>
      <c r="AC4110" s="2">
        <v>5524.4837328425701</v>
      </c>
      <c r="AD4110" s="2">
        <v>3336.8310872235402</v>
      </c>
      <c r="AE4110" s="2">
        <v>4448.98948475415</v>
      </c>
      <c r="AF4110" s="2">
        <v>4371.5976760206804</v>
      </c>
      <c r="AG4110" s="2">
        <v>5238.0869698734996</v>
      </c>
      <c r="AH4110" s="2">
        <v>6093.5680253746395</v>
      </c>
      <c r="AI4110" s="2">
        <v>6610.5615286718603</v>
      </c>
      <c r="AJ4110" s="2">
        <v>6384.0987123605801</v>
      </c>
      <c r="AK4110" s="2">
        <v>3246.4787122492098</v>
      </c>
      <c r="AL4110" s="2">
        <v>2887.6730145494298</v>
      </c>
      <c r="AM4110" s="2">
        <v>2861.33374030202</v>
      </c>
      <c r="AN4110" s="2">
        <v>2987.1576584255999</v>
      </c>
      <c r="AO4110" s="2">
        <v>4207.1649270774096</v>
      </c>
      <c r="AP4110" s="2">
        <v>3831.17847073756</v>
      </c>
    </row>
    <row r="4111" spans="1:42" ht="14.5" x14ac:dyDescent="0.35">
      <c r="A4111" s="2" t="s">
        <v>27319</v>
      </c>
      <c r="B4111" s="2">
        <v>499.19788560985199</v>
      </c>
      <c r="C4111" s="2">
        <v>5.7854333333333301</v>
      </c>
      <c r="D4111" s="2" t="s">
        <v>70</v>
      </c>
      <c r="E4111" s="2" t="s">
        <v>27320</v>
      </c>
      <c r="F4111" s="2">
        <v>58951</v>
      </c>
      <c r="G4111" s="3" t="str">
        <f>HYPERLINK("http://funmeta.oebiotech.com/network/58951", "http://funmeta.oebiotech.com/network/58951")</f>
        <v>http://funmeta.oebiotech.com/network/58951</v>
      </c>
      <c r="H4111" s="2" t="s">
        <v>27321</v>
      </c>
      <c r="I4111" s="2">
        <v>90388</v>
      </c>
      <c r="J4111" s="2"/>
      <c r="K4111" s="2">
        <v>3392</v>
      </c>
      <c r="L4111" s="2" t="s">
        <v>27322</v>
      </c>
      <c r="M4111" s="2"/>
      <c r="N4111" s="2"/>
      <c r="O4111" s="2">
        <v>25429</v>
      </c>
      <c r="P4111" s="2"/>
      <c r="Q4111" s="2" t="s">
        <v>27323</v>
      </c>
      <c r="R4111" s="2" t="s">
        <v>27324</v>
      </c>
      <c r="S4111" s="2" t="s">
        <v>50</v>
      </c>
      <c r="T4111" s="2" t="s">
        <v>124</v>
      </c>
      <c r="U4111" s="2" t="s">
        <v>567</v>
      </c>
      <c r="V4111" s="2" t="s">
        <v>59</v>
      </c>
      <c r="W4111" s="2">
        <v>36.6</v>
      </c>
      <c r="X4111" s="2">
        <v>0</v>
      </c>
      <c r="Y4111" s="2" t="s">
        <v>408</v>
      </c>
      <c r="Z4111" s="2" t="s">
        <v>27325</v>
      </c>
      <c r="AA4111" s="2">
        <v>1.16565790109286</v>
      </c>
      <c r="AB4111" s="2">
        <v>0.16573383205250999</v>
      </c>
      <c r="AC4111" s="2">
        <v>5108.5951381519499</v>
      </c>
      <c r="AD4111" s="2">
        <v>2683.6575181802</v>
      </c>
      <c r="AE4111" s="2">
        <v>6784.6819449478498</v>
      </c>
      <c r="AF4111" s="2">
        <v>3697.6519552108898</v>
      </c>
      <c r="AG4111" s="2">
        <v>6596.7830821258103</v>
      </c>
      <c r="AH4111" s="2">
        <v>2900.80563973984</v>
      </c>
      <c r="AI4111" s="2">
        <v>5853.3452295740399</v>
      </c>
      <c r="AJ4111" s="2">
        <v>4818.3029773132803</v>
      </c>
      <c r="AK4111" s="2">
        <v>2289.5032095403499</v>
      </c>
      <c r="AL4111" s="2">
        <v>2773.5135393343999</v>
      </c>
      <c r="AM4111" s="2">
        <v>3633.5314551790598</v>
      </c>
      <c r="AN4111" s="2">
        <v>1898.9166634825699</v>
      </c>
      <c r="AO4111" s="2">
        <v>2825.4378686953501</v>
      </c>
      <c r="AP4111" s="2">
        <v>2681.0423728494602</v>
      </c>
    </row>
    <row r="4112" spans="1:42" ht="14.5" x14ac:dyDescent="0.35">
      <c r="A4112" s="2" t="s">
        <v>27326</v>
      </c>
      <c r="B4112" s="2">
        <v>960.27910439261905</v>
      </c>
      <c r="C4112" s="2">
        <v>8.8018000000000001</v>
      </c>
      <c r="D4112" s="2" t="s">
        <v>70</v>
      </c>
      <c r="E4112" s="2" t="s">
        <v>27327</v>
      </c>
      <c r="F4112" s="2">
        <v>254195</v>
      </c>
      <c r="G4112" s="3" t="str">
        <f>HYPERLINK("http://funmeta.oebiotech.com/network/254195", "http://funmeta.oebiotech.com/network/254195")</f>
        <v>http://funmeta.oebiotech.com/network/254195</v>
      </c>
      <c r="H4112" s="2" t="s">
        <v>27328</v>
      </c>
      <c r="I4112" s="2"/>
      <c r="J4112" s="2"/>
      <c r="K4112" s="2"/>
      <c r="L4112" s="2"/>
      <c r="M4112" s="2"/>
      <c r="N4112" s="2"/>
      <c r="O4112" s="2"/>
      <c r="P4112" s="2"/>
      <c r="Q4112" s="2" t="s">
        <v>27329</v>
      </c>
      <c r="R4112" s="2" t="s">
        <v>27330</v>
      </c>
      <c r="S4112" s="2" t="s">
        <v>41</v>
      </c>
      <c r="T4112" s="2" t="s">
        <v>41</v>
      </c>
      <c r="U4112" s="2" t="s">
        <v>41</v>
      </c>
      <c r="V4112" s="2" t="s">
        <v>59</v>
      </c>
      <c r="W4112" s="2">
        <v>36.799999999999997</v>
      </c>
      <c r="X4112" s="2">
        <v>0</v>
      </c>
      <c r="Y4112" s="2" t="s">
        <v>751</v>
      </c>
      <c r="Z4112" s="2" t="s">
        <v>27331</v>
      </c>
      <c r="AA4112" s="2">
        <v>4.19334500956891</v>
      </c>
      <c r="AB4112" s="2">
        <v>0.165628079226323</v>
      </c>
      <c r="AC4112" s="2">
        <v>4701.5574951322196</v>
      </c>
      <c r="AD4112" s="2">
        <v>2364.3497900896</v>
      </c>
      <c r="AE4112" s="2">
        <v>5529.5050272772196</v>
      </c>
      <c r="AF4112" s="2">
        <v>4669.8204331700199</v>
      </c>
      <c r="AG4112" s="2">
        <v>2701.14402433857</v>
      </c>
      <c r="AH4112" s="2">
        <v>5271.0460399062504</v>
      </c>
      <c r="AI4112" s="2">
        <v>3353.73431255694</v>
      </c>
      <c r="AJ4112" s="2">
        <v>6684.0951335443297</v>
      </c>
      <c r="AK4112" s="2">
        <v>2392.3257566737002</v>
      </c>
      <c r="AL4112" s="2">
        <v>2253.8315967602298</v>
      </c>
      <c r="AM4112" s="2">
        <v>2785.4734623374402</v>
      </c>
      <c r="AN4112" s="2">
        <v>2752.1883882246598</v>
      </c>
      <c r="AO4112" s="2">
        <v>2146.5035096761699</v>
      </c>
      <c r="AP4112" s="2">
        <v>1855.7760268653899</v>
      </c>
    </row>
    <row r="4113" spans="1:42" ht="14.5" x14ac:dyDescent="0.35">
      <c r="A4113" s="2" t="s">
        <v>27332</v>
      </c>
      <c r="B4113" s="2">
        <v>375.14477616551198</v>
      </c>
      <c r="C4113" s="2">
        <v>5.2831999999999999</v>
      </c>
      <c r="D4113" s="2" t="s">
        <v>70</v>
      </c>
      <c r="E4113" s="2" t="s">
        <v>27333</v>
      </c>
      <c r="F4113" s="2">
        <v>267047</v>
      </c>
      <c r="G4113" s="3" t="str">
        <f>HYPERLINK("http://funmeta.oebiotech.com/network/267047", "http://funmeta.oebiotech.com/network/267047")</f>
        <v>http://funmeta.oebiotech.com/network/267047</v>
      </c>
      <c r="H4113" s="2"/>
      <c r="I4113" s="2">
        <v>44617</v>
      </c>
      <c r="J4113" s="2"/>
      <c r="K4113" s="2"/>
      <c r="L4113" s="2"/>
      <c r="M4113" s="2"/>
      <c r="N4113" s="2"/>
      <c r="O4113" s="2">
        <v>6708784</v>
      </c>
      <c r="P4113" s="2"/>
      <c r="Q4113" s="2" t="s">
        <v>27334</v>
      </c>
      <c r="R4113" s="2" t="s">
        <v>27335</v>
      </c>
      <c r="S4113" s="2" t="s">
        <v>115</v>
      </c>
      <c r="T4113" s="2" t="s">
        <v>17642</v>
      </c>
      <c r="U4113" s="2" t="s">
        <v>17643</v>
      </c>
      <c r="V4113" s="2" t="s">
        <v>59</v>
      </c>
      <c r="W4113" s="2">
        <v>38.700000000000003</v>
      </c>
      <c r="X4113" s="2">
        <v>0</v>
      </c>
      <c r="Y4113" s="2" t="s">
        <v>408</v>
      </c>
      <c r="Z4113" s="2" t="s">
        <v>605</v>
      </c>
      <c r="AA4113" s="2">
        <v>-0.45588163319341601</v>
      </c>
      <c r="AB4113" s="2">
        <v>0.16556764589911199</v>
      </c>
      <c r="AC4113" s="2">
        <v>2414.5775276305599</v>
      </c>
      <c r="AD4113" s="2">
        <v>578.11253424925803</v>
      </c>
      <c r="AE4113" s="2">
        <v>2788.1475622309499</v>
      </c>
      <c r="AF4113" s="2">
        <v>2254.08646063273</v>
      </c>
      <c r="AG4113" s="2">
        <v>2339.5944883768798</v>
      </c>
      <c r="AH4113" s="2">
        <v>2212.6670774320601</v>
      </c>
      <c r="AI4113" s="2">
        <v>2295.26797373207</v>
      </c>
      <c r="AJ4113" s="2">
        <v>2597.7016033786799</v>
      </c>
      <c r="AK4113" s="2">
        <v>941.10336496408797</v>
      </c>
      <c r="AL4113" s="2">
        <v>492.911095220341</v>
      </c>
      <c r="AM4113" s="2">
        <v>357.01760427340798</v>
      </c>
      <c r="AN4113" s="2">
        <v>585.72355049247005</v>
      </c>
      <c r="AO4113" s="2">
        <v>597.64663380302898</v>
      </c>
      <c r="AP4113" s="2">
        <v>494.27295674221398</v>
      </c>
    </row>
    <row r="4114" spans="1:42" ht="14.5" x14ac:dyDescent="0.35">
      <c r="A4114" s="2" t="s">
        <v>27336</v>
      </c>
      <c r="B4114" s="2">
        <v>307.23750400524</v>
      </c>
      <c r="C4114" s="2">
        <v>10.6985333333333</v>
      </c>
      <c r="D4114" s="2" t="s">
        <v>34</v>
      </c>
      <c r="E4114" s="2" t="s">
        <v>27337</v>
      </c>
      <c r="F4114" s="2">
        <v>52962</v>
      </c>
      <c r="G4114" s="3" t="str">
        <f>HYPERLINK("http://funmeta.oebiotech.com/network/52962", "http://funmeta.oebiotech.com/network/52962")</f>
        <v>http://funmeta.oebiotech.com/network/52962</v>
      </c>
      <c r="H4114" s="2" t="s">
        <v>27338</v>
      </c>
      <c r="I4114" s="2">
        <v>4005</v>
      </c>
      <c r="J4114" s="2"/>
      <c r="K4114" s="2">
        <v>4724</v>
      </c>
      <c r="L4114" s="2" t="s">
        <v>27339</v>
      </c>
      <c r="M4114" s="2"/>
      <c r="N4114" s="2"/>
      <c r="O4114" s="2">
        <v>3180</v>
      </c>
      <c r="P4114" s="2" t="s">
        <v>27340</v>
      </c>
      <c r="Q4114" s="2" t="s">
        <v>27341</v>
      </c>
      <c r="R4114" s="2" t="s">
        <v>27342</v>
      </c>
      <c r="S4114" s="2" t="s">
        <v>79</v>
      </c>
      <c r="T4114" s="2" t="s">
        <v>80</v>
      </c>
      <c r="U4114" s="2" t="s">
        <v>2820</v>
      </c>
      <c r="V4114" s="2" t="s">
        <v>59</v>
      </c>
      <c r="W4114" s="2">
        <v>37.799999999999997</v>
      </c>
      <c r="X4114" s="2">
        <v>0</v>
      </c>
      <c r="Y4114" s="2" t="s">
        <v>43</v>
      </c>
      <c r="Z4114" s="2" t="s">
        <v>27343</v>
      </c>
      <c r="AA4114" s="2">
        <v>-1.7310765427708501</v>
      </c>
      <c r="AB4114" s="2">
        <v>0.16553975735351101</v>
      </c>
      <c r="AC4114" s="2">
        <v>638.30171793968702</v>
      </c>
      <c r="AD4114" s="2">
        <v>2477.8211155163299</v>
      </c>
      <c r="AE4114" s="2">
        <v>198.81585088028001</v>
      </c>
      <c r="AF4114" s="2">
        <v>785.93615015681496</v>
      </c>
      <c r="AG4114" s="2">
        <v>1035.417624471</v>
      </c>
      <c r="AH4114" s="2">
        <v>510.62442388880498</v>
      </c>
      <c r="AI4114" s="2">
        <v>622.498506911493</v>
      </c>
      <c r="AJ4114" s="2">
        <v>676.51775132973</v>
      </c>
      <c r="AK4114" s="2">
        <v>2347.96805955223</v>
      </c>
      <c r="AL4114" s="2">
        <v>2283.0093092638099</v>
      </c>
      <c r="AM4114" s="2">
        <v>2499.6099602470999</v>
      </c>
      <c r="AN4114" s="2">
        <v>2617.6849565290299</v>
      </c>
      <c r="AO4114" s="2">
        <v>2549.04794177549</v>
      </c>
      <c r="AP4114" s="2">
        <v>2569.60646573033</v>
      </c>
    </row>
    <row r="4115" spans="1:42" ht="14.5" x14ac:dyDescent="0.35">
      <c r="A4115" s="2" t="s">
        <v>27344</v>
      </c>
      <c r="B4115" s="2">
        <v>561.41472388068598</v>
      </c>
      <c r="C4115" s="2">
        <v>14.048066666666699</v>
      </c>
      <c r="D4115" s="2" t="s">
        <v>34</v>
      </c>
      <c r="E4115" s="2" t="s">
        <v>27345</v>
      </c>
      <c r="F4115" s="2">
        <v>198591</v>
      </c>
      <c r="G4115" s="3" t="str">
        <f>HYPERLINK("http://funmeta.oebiotech.com/network/198591", "http://funmeta.oebiotech.com/network/198591")</f>
        <v>http://funmeta.oebiotech.com/network/198591</v>
      </c>
      <c r="H4115" s="2" t="s">
        <v>27346</v>
      </c>
      <c r="I4115" s="2"/>
      <c r="J4115" s="2"/>
      <c r="K4115" s="2"/>
      <c r="L4115" s="2"/>
      <c r="M4115" s="2"/>
      <c r="N4115" s="2"/>
      <c r="O4115" s="2"/>
      <c r="P4115" s="2"/>
      <c r="Q4115" s="2" t="s">
        <v>27347</v>
      </c>
      <c r="R4115" s="2" t="s">
        <v>27348</v>
      </c>
      <c r="S4115" s="2" t="s">
        <v>41</v>
      </c>
      <c r="T4115" s="2" t="s">
        <v>41</v>
      </c>
      <c r="U4115" s="2" t="s">
        <v>41</v>
      </c>
      <c r="V4115" s="2" t="s">
        <v>59</v>
      </c>
      <c r="W4115" s="2">
        <v>39.1</v>
      </c>
      <c r="X4115" s="2">
        <v>0</v>
      </c>
      <c r="Y4115" s="2" t="s">
        <v>340</v>
      </c>
      <c r="Z4115" s="2" t="s">
        <v>27349</v>
      </c>
      <c r="AA4115" s="2">
        <v>1.2901935021294599</v>
      </c>
      <c r="AB4115" s="2">
        <v>0.165538790240986</v>
      </c>
      <c r="AC4115" s="2">
        <v>4810.0613318211999</v>
      </c>
      <c r="AD4115" s="2">
        <v>2808.4952018147801</v>
      </c>
      <c r="AE4115" s="2">
        <v>4037.5815789232201</v>
      </c>
      <c r="AF4115" s="2">
        <v>4211.8269091932598</v>
      </c>
      <c r="AG4115" s="2">
        <v>5335.0723104672797</v>
      </c>
      <c r="AH4115" s="2">
        <v>5526.2418778915899</v>
      </c>
      <c r="AI4115" s="2">
        <v>4335.2745311543003</v>
      </c>
      <c r="AJ4115" s="2">
        <v>5414.3707832975297</v>
      </c>
      <c r="AK4115" s="2">
        <v>3467.7541577579</v>
      </c>
      <c r="AL4115" s="2">
        <v>2558.0920719278101</v>
      </c>
      <c r="AM4115" s="2">
        <v>2779.0236994465799</v>
      </c>
      <c r="AN4115" s="2">
        <v>2504.3429523478999</v>
      </c>
      <c r="AO4115" s="2">
        <v>2662.9544234361401</v>
      </c>
      <c r="AP4115" s="2">
        <v>2878.8039059723701</v>
      </c>
    </row>
    <row r="4116" spans="1:42" ht="14.5" x14ac:dyDescent="0.35">
      <c r="A4116" s="2" t="s">
        <v>27350</v>
      </c>
      <c r="B4116" s="2">
        <v>403.157838325076</v>
      </c>
      <c r="C4116" s="2">
        <v>12.230449999999999</v>
      </c>
      <c r="D4116" s="2" t="s">
        <v>70</v>
      </c>
      <c r="E4116" s="2" t="s">
        <v>27351</v>
      </c>
      <c r="F4116" s="2">
        <v>30984</v>
      </c>
      <c r="G4116" s="3" t="str">
        <f>HYPERLINK("http://funmeta.oebiotech.com/network/30984", "http://funmeta.oebiotech.com/network/30984")</f>
        <v>http://funmeta.oebiotech.com/network/30984</v>
      </c>
      <c r="H4116" s="2" t="s">
        <v>27352</v>
      </c>
      <c r="I4116" s="2">
        <v>49323</v>
      </c>
      <c r="J4116" s="2" t="s">
        <v>27353</v>
      </c>
      <c r="K4116" s="2">
        <v>544480</v>
      </c>
      <c r="L4116" s="2"/>
      <c r="M4116" s="2"/>
      <c r="N4116" s="2"/>
      <c r="O4116" s="2">
        <v>5481958</v>
      </c>
      <c r="P4116" s="2" t="s">
        <v>27354</v>
      </c>
      <c r="Q4116" s="2" t="s">
        <v>27355</v>
      </c>
      <c r="R4116" s="2" t="s">
        <v>27356</v>
      </c>
      <c r="S4116" s="2" t="s">
        <v>115</v>
      </c>
      <c r="T4116" s="2" t="s">
        <v>139</v>
      </c>
      <c r="U4116" s="2" t="s">
        <v>1806</v>
      </c>
      <c r="V4116" s="2" t="s">
        <v>59</v>
      </c>
      <c r="W4116" s="2">
        <v>37.1</v>
      </c>
      <c r="X4116" s="2">
        <v>0</v>
      </c>
      <c r="Y4116" s="2" t="s">
        <v>751</v>
      </c>
      <c r="Z4116" s="2" t="s">
        <v>27357</v>
      </c>
      <c r="AA4116" s="2">
        <v>6.4923486212231003</v>
      </c>
      <c r="AB4116" s="2">
        <v>0.16547560654025401</v>
      </c>
      <c r="AC4116" s="2">
        <v>2569.0680196651501</v>
      </c>
      <c r="AD4116" s="2">
        <v>462.37765186608601</v>
      </c>
      <c r="AE4116" s="2">
        <v>3363.77100342536</v>
      </c>
      <c r="AF4116" s="2">
        <v>1342.2775437266801</v>
      </c>
      <c r="AG4116" s="2">
        <v>2241.9026733739802</v>
      </c>
      <c r="AH4116" s="2">
        <v>2966.1845773179398</v>
      </c>
      <c r="AI4116" s="2">
        <v>3672.646786836</v>
      </c>
      <c r="AJ4116" s="2">
        <v>1827.62553331095</v>
      </c>
      <c r="AK4116" s="2">
        <v>253.580714606774</v>
      </c>
      <c r="AL4116" s="2">
        <v>966.22102180196498</v>
      </c>
      <c r="AM4116" s="2">
        <v>152.20951354948301</v>
      </c>
      <c r="AN4116" s="2">
        <v>776.87566716048195</v>
      </c>
      <c r="AO4116" s="2">
        <v>242.48129012591599</v>
      </c>
      <c r="AP4116" s="2">
        <v>382.89770395189601</v>
      </c>
    </row>
    <row r="4117" spans="1:42" ht="14.5" x14ac:dyDescent="0.35">
      <c r="A4117" s="2" t="s">
        <v>27358</v>
      </c>
      <c r="B4117" s="2">
        <v>643.36949348744099</v>
      </c>
      <c r="C4117" s="2">
        <v>7.3939333333333304</v>
      </c>
      <c r="D4117" s="2" t="s">
        <v>70</v>
      </c>
      <c r="E4117" s="2" t="s">
        <v>27359</v>
      </c>
      <c r="F4117" s="2">
        <v>46774</v>
      </c>
      <c r="G4117" s="3" t="str">
        <f>HYPERLINK("http://funmeta.oebiotech.com/network/46774", "http://funmeta.oebiotech.com/network/46774")</f>
        <v>http://funmeta.oebiotech.com/network/46774</v>
      </c>
      <c r="H4117" s="2"/>
      <c r="I4117" s="2"/>
      <c r="J4117" s="2" t="s">
        <v>27360</v>
      </c>
      <c r="K4117" s="2"/>
      <c r="L4117" s="2"/>
      <c r="M4117" s="2"/>
      <c r="N4117" s="2"/>
      <c r="O4117" s="2">
        <v>25232748</v>
      </c>
      <c r="P4117" s="2"/>
      <c r="Q4117" s="2" t="s">
        <v>27361</v>
      </c>
      <c r="R4117" s="2" t="s">
        <v>27362</v>
      </c>
      <c r="S4117" s="2" t="s">
        <v>50</v>
      </c>
      <c r="T4117" s="2" t="s">
        <v>124</v>
      </c>
      <c r="U4117" s="2" t="s">
        <v>523</v>
      </c>
      <c r="V4117" s="2" t="s">
        <v>59</v>
      </c>
      <c r="W4117" s="2">
        <v>36.5</v>
      </c>
      <c r="X4117" s="2">
        <v>0</v>
      </c>
      <c r="Y4117" s="2" t="s">
        <v>408</v>
      </c>
      <c r="Z4117" s="2" t="s">
        <v>27363</v>
      </c>
      <c r="AA4117" s="2">
        <v>-0.68069719918481697</v>
      </c>
      <c r="AB4117" s="2">
        <v>0.16540414079388099</v>
      </c>
      <c r="AC4117" s="2">
        <v>2522.3883245642301</v>
      </c>
      <c r="AD4117" s="2">
        <v>673.07616272474695</v>
      </c>
      <c r="AE4117" s="2">
        <v>2509.96299971809</v>
      </c>
      <c r="AF4117" s="2">
        <v>2335.7306908597302</v>
      </c>
      <c r="AG4117" s="2">
        <v>2637.3067312140001</v>
      </c>
      <c r="AH4117" s="2">
        <v>2194.1129175195701</v>
      </c>
      <c r="AI4117" s="2">
        <v>2522.9623675981102</v>
      </c>
      <c r="AJ4117" s="2">
        <v>2934.2542404758801</v>
      </c>
      <c r="AK4117" s="2">
        <v>691.96985561822396</v>
      </c>
      <c r="AL4117" s="2">
        <v>377.91058192174802</v>
      </c>
      <c r="AM4117" s="2">
        <v>924.73819409361397</v>
      </c>
      <c r="AN4117" s="2">
        <v>775.77355210820895</v>
      </c>
      <c r="AO4117" s="2">
        <v>861.99070731080894</v>
      </c>
      <c r="AP4117" s="2">
        <v>406.07408529587599</v>
      </c>
    </row>
    <row r="4118" spans="1:42" ht="14.5" x14ac:dyDescent="0.35">
      <c r="A4118" s="2" t="s">
        <v>27364</v>
      </c>
      <c r="B4118" s="2">
        <v>571.34832700501602</v>
      </c>
      <c r="C4118" s="2">
        <v>5.4683000000000002</v>
      </c>
      <c r="D4118" s="2" t="s">
        <v>70</v>
      </c>
      <c r="E4118" s="2" t="s">
        <v>27365</v>
      </c>
      <c r="F4118" s="2">
        <v>250250</v>
      </c>
      <c r="G4118" s="3" t="str">
        <f>HYPERLINK("http://funmeta.oebiotech.com/network/250250", "http://funmeta.oebiotech.com/network/250250")</f>
        <v>http://funmeta.oebiotech.com/network/250250</v>
      </c>
      <c r="H4118" s="2" t="s">
        <v>27366</v>
      </c>
      <c r="I4118" s="2"/>
      <c r="J4118" s="2"/>
      <c r="K4118" s="2"/>
      <c r="L4118" s="2"/>
      <c r="M4118" s="2"/>
      <c r="N4118" s="2"/>
      <c r="O4118" s="2"/>
      <c r="P4118" s="2"/>
      <c r="Q4118" s="2" t="s">
        <v>27367</v>
      </c>
      <c r="R4118" s="2" t="s">
        <v>27368</v>
      </c>
      <c r="S4118" s="2" t="s">
        <v>41</v>
      </c>
      <c r="T4118" s="2" t="s">
        <v>41</v>
      </c>
      <c r="U4118" s="2" t="s">
        <v>41</v>
      </c>
      <c r="V4118" s="2" t="s">
        <v>59</v>
      </c>
      <c r="W4118" s="2">
        <v>37.299999999999997</v>
      </c>
      <c r="X4118" s="2">
        <v>0</v>
      </c>
      <c r="Y4118" s="2" t="s">
        <v>408</v>
      </c>
      <c r="Z4118" s="2" t="s">
        <v>27369</v>
      </c>
      <c r="AA4118" s="2">
        <v>-0.84435163689410797</v>
      </c>
      <c r="AB4118" s="2">
        <v>0.165390570223789</v>
      </c>
      <c r="AC4118" s="2">
        <v>2105.6043638096598</v>
      </c>
      <c r="AD4118" s="2">
        <v>163.767579708059</v>
      </c>
      <c r="AE4118" s="2">
        <v>2168.99754799841</v>
      </c>
      <c r="AF4118" s="2">
        <v>1386.8342026748701</v>
      </c>
      <c r="AG4118" s="2">
        <v>2671.6659084918301</v>
      </c>
      <c r="AH4118" s="2">
        <v>2544.9409585389299</v>
      </c>
      <c r="AI4118" s="2">
        <v>2453.6677518901902</v>
      </c>
      <c r="AJ4118" s="2">
        <v>1407.5198132637299</v>
      </c>
      <c r="AK4118" s="2">
        <v>2.7106294003980101E-5</v>
      </c>
      <c r="AL4118" s="2">
        <v>2.7106294003980101E-5</v>
      </c>
      <c r="AM4118" s="2">
        <v>2.7106294003980101E-5</v>
      </c>
      <c r="AN4118" s="2">
        <v>232.22795378059001</v>
      </c>
      <c r="AO4118" s="2">
        <v>238.84548925023799</v>
      </c>
      <c r="AP4118" s="2">
        <v>511.53195389864601</v>
      </c>
    </row>
    <row r="4119" spans="1:42" ht="14.5" x14ac:dyDescent="0.35">
      <c r="A4119" s="2" t="s">
        <v>27370</v>
      </c>
      <c r="B4119" s="2">
        <v>465.13966142529</v>
      </c>
      <c r="C4119" s="2">
        <v>6.0486166666666703</v>
      </c>
      <c r="D4119" s="2" t="s">
        <v>70</v>
      </c>
      <c r="E4119" s="2" t="s">
        <v>27371</v>
      </c>
      <c r="F4119" s="2">
        <v>35069</v>
      </c>
      <c r="G4119" s="3" t="str">
        <f>HYPERLINK("http://funmeta.oebiotech.com/network/35069", "http://funmeta.oebiotech.com/network/35069")</f>
        <v>http://funmeta.oebiotech.com/network/35069</v>
      </c>
      <c r="H4119" s="2" t="s">
        <v>27372</v>
      </c>
      <c r="I4119" s="2">
        <v>44320</v>
      </c>
      <c r="J4119" s="2" t="s">
        <v>27373</v>
      </c>
      <c r="K4119" s="2">
        <v>8824</v>
      </c>
      <c r="L4119" s="2" t="s">
        <v>27374</v>
      </c>
      <c r="M4119" s="2"/>
      <c r="N4119" s="2"/>
      <c r="O4119" s="2">
        <v>637213</v>
      </c>
      <c r="P4119" s="2" t="s">
        <v>27375</v>
      </c>
      <c r="Q4119" s="2" t="s">
        <v>27376</v>
      </c>
      <c r="R4119" s="2" t="s">
        <v>27377</v>
      </c>
      <c r="S4119" s="2" t="s">
        <v>115</v>
      </c>
      <c r="T4119" s="2" t="s">
        <v>4730</v>
      </c>
      <c r="U4119" s="2" t="s">
        <v>4731</v>
      </c>
      <c r="V4119" s="2" t="s">
        <v>42</v>
      </c>
      <c r="W4119" s="2">
        <v>48.4</v>
      </c>
      <c r="X4119" s="2">
        <v>48.4</v>
      </c>
      <c r="Y4119" s="2" t="s">
        <v>408</v>
      </c>
      <c r="Z4119" s="2" t="s">
        <v>19538</v>
      </c>
      <c r="AA4119" s="2">
        <v>-1.3657058463753999</v>
      </c>
      <c r="AB4119" s="2">
        <v>0.16537166823364099</v>
      </c>
      <c r="AC4119" s="2">
        <v>24674.917595392999</v>
      </c>
      <c r="AD4119" s="2">
        <v>22235.885146139099</v>
      </c>
      <c r="AE4119" s="2">
        <v>25416.719911743701</v>
      </c>
      <c r="AF4119" s="2">
        <v>22053.046073477599</v>
      </c>
      <c r="AG4119" s="2">
        <v>25111.167420219499</v>
      </c>
      <c r="AH4119" s="2">
        <v>26087.380853840201</v>
      </c>
      <c r="AI4119" s="2">
        <v>24044.847765142698</v>
      </c>
      <c r="AJ4119" s="2">
        <v>25336.343547934001</v>
      </c>
      <c r="AK4119" s="2">
        <v>22642.566475585401</v>
      </c>
      <c r="AL4119" s="2">
        <v>21435.996633818999</v>
      </c>
      <c r="AM4119" s="2">
        <v>23961.294798225499</v>
      </c>
      <c r="AN4119" s="2">
        <v>22107.6961115048</v>
      </c>
      <c r="AO4119" s="2">
        <v>21709.416700720602</v>
      </c>
      <c r="AP4119" s="2">
        <v>21558.340156979601</v>
      </c>
    </row>
    <row r="4120" spans="1:42" ht="14.5" x14ac:dyDescent="0.35">
      <c r="A4120" s="2" t="s">
        <v>27378</v>
      </c>
      <c r="B4120" s="2">
        <v>571.27549819912304</v>
      </c>
      <c r="C4120" s="2">
        <v>8.0060000000000002</v>
      </c>
      <c r="D4120" s="2" t="s">
        <v>70</v>
      </c>
      <c r="E4120" s="2" t="s">
        <v>27379</v>
      </c>
      <c r="F4120" s="2">
        <v>207725</v>
      </c>
      <c r="G4120" s="3" t="str">
        <f>HYPERLINK("http://funmeta.oebiotech.com/network/207725", "http://funmeta.oebiotech.com/network/207725")</f>
        <v>http://funmeta.oebiotech.com/network/207725</v>
      </c>
      <c r="H4120" s="2" t="s">
        <v>27380</v>
      </c>
      <c r="I4120" s="2"/>
      <c r="J4120" s="2"/>
      <c r="K4120" s="2"/>
      <c r="L4120" s="2"/>
      <c r="M4120" s="2"/>
      <c r="N4120" s="2"/>
      <c r="O4120" s="2"/>
      <c r="P4120" s="2"/>
      <c r="Q4120" s="2" t="s">
        <v>27381</v>
      </c>
      <c r="R4120" s="2" t="s">
        <v>27382</v>
      </c>
      <c r="S4120" s="2" t="s">
        <v>491</v>
      </c>
      <c r="T4120" s="2" t="s">
        <v>2238</v>
      </c>
      <c r="U4120" s="2" t="s">
        <v>2239</v>
      </c>
      <c r="V4120" s="2" t="s">
        <v>59</v>
      </c>
      <c r="W4120" s="2">
        <v>38.5</v>
      </c>
      <c r="X4120" s="2">
        <v>0</v>
      </c>
      <c r="Y4120" s="2" t="s">
        <v>408</v>
      </c>
      <c r="Z4120" s="2" t="s">
        <v>27383</v>
      </c>
      <c r="AA4120" s="2">
        <v>-3.4955330263363602</v>
      </c>
      <c r="AB4120" s="2">
        <v>0.16536770835477499</v>
      </c>
      <c r="AC4120" s="2">
        <v>1324.0423936915199</v>
      </c>
      <c r="AD4120" s="2">
        <v>3785.1769375477002</v>
      </c>
      <c r="AE4120" s="2">
        <v>1797.1259520332101</v>
      </c>
      <c r="AF4120" s="2">
        <v>1015.16230613263</v>
      </c>
      <c r="AG4120" s="2">
        <v>2413.7776623283899</v>
      </c>
      <c r="AH4120" s="2">
        <v>884.17700505818095</v>
      </c>
      <c r="AI4120" s="2">
        <v>698.14035012679199</v>
      </c>
      <c r="AJ4120" s="2">
        <v>1135.8710864699101</v>
      </c>
      <c r="AK4120" s="2">
        <v>1993.3189346762299</v>
      </c>
      <c r="AL4120" s="2">
        <v>3846.6633717219402</v>
      </c>
      <c r="AM4120" s="2">
        <v>3246.3560712169701</v>
      </c>
      <c r="AN4120" s="2">
        <v>4962.7440164362197</v>
      </c>
      <c r="AO4120" s="2">
        <v>6378.6400901683801</v>
      </c>
      <c r="AP4120" s="2">
        <v>2283.3391410664399</v>
      </c>
    </row>
    <row r="4121" spans="1:42" ht="14.5" x14ac:dyDescent="0.35">
      <c r="A4121" s="2" t="s">
        <v>27384</v>
      </c>
      <c r="B4121" s="2">
        <v>279.138675361737</v>
      </c>
      <c r="C4121" s="2">
        <v>6.5195166666666697</v>
      </c>
      <c r="D4121" s="2" t="s">
        <v>70</v>
      </c>
      <c r="E4121" s="2" t="s">
        <v>27385</v>
      </c>
      <c r="F4121" s="2">
        <v>210910</v>
      </c>
      <c r="G4121" s="3" t="str">
        <f>HYPERLINK("http://funmeta.oebiotech.com/network/210910", "http://funmeta.oebiotech.com/network/210910")</f>
        <v>http://funmeta.oebiotech.com/network/210910</v>
      </c>
      <c r="H4121" s="2" t="s">
        <v>27386</v>
      </c>
      <c r="I4121" s="2">
        <v>332672</v>
      </c>
      <c r="J4121" s="2"/>
      <c r="K4121" s="2"/>
      <c r="L4121" s="2"/>
      <c r="M4121" s="2"/>
      <c r="N4121" s="2"/>
      <c r="O4121" s="2">
        <v>10222</v>
      </c>
      <c r="P4121" s="2"/>
      <c r="Q4121" s="2" t="s">
        <v>27387</v>
      </c>
      <c r="R4121" s="2" t="s">
        <v>27388</v>
      </c>
      <c r="S4121" s="2" t="s">
        <v>50</v>
      </c>
      <c r="T4121" s="2" t="s">
        <v>201</v>
      </c>
      <c r="U4121" s="2" t="s">
        <v>241</v>
      </c>
      <c r="V4121" s="2" t="s">
        <v>59</v>
      </c>
      <c r="W4121" s="2">
        <v>39.200000000000003</v>
      </c>
      <c r="X4121" s="2">
        <v>0</v>
      </c>
      <c r="Y4121" s="2" t="s">
        <v>408</v>
      </c>
      <c r="Z4121" s="2" t="s">
        <v>27389</v>
      </c>
      <c r="AA4121" s="2">
        <v>-1.61477812116476</v>
      </c>
      <c r="AB4121" s="2">
        <v>0.16531101464460099</v>
      </c>
      <c r="AC4121" s="2">
        <v>2230.0230209440601</v>
      </c>
      <c r="AD4121" s="2">
        <v>391.71463625863697</v>
      </c>
      <c r="AE4121" s="2">
        <v>2087.5482199470698</v>
      </c>
      <c r="AF4121" s="2">
        <v>2250.1856545037599</v>
      </c>
      <c r="AG4121" s="2">
        <v>2252.3612951261698</v>
      </c>
      <c r="AH4121" s="2">
        <v>2106.1968201370601</v>
      </c>
      <c r="AI4121" s="2">
        <v>2454.6150636876</v>
      </c>
      <c r="AJ4121" s="2">
        <v>2229.2310722626999</v>
      </c>
      <c r="AK4121" s="2">
        <v>159.21130316984599</v>
      </c>
      <c r="AL4121" s="2">
        <v>297.68030420121897</v>
      </c>
      <c r="AM4121" s="2">
        <v>338.99083332038498</v>
      </c>
      <c r="AN4121" s="2">
        <v>631.75586029728402</v>
      </c>
      <c r="AO4121" s="2">
        <v>803.79696413173394</v>
      </c>
      <c r="AP4121" s="2">
        <v>118.852552431352</v>
      </c>
    </row>
    <row r="4122" spans="1:42" ht="14.5" x14ac:dyDescent="0.35">
      <c r="A4122" s="2" t="s">
        <v>27390</v>
      </c>
      <c r="B4122" s="2">
        <v>335.11001106967399</v>
      </c>
      <c r="C4122" s="2">
        <v>4.3289999999999997</v>
      </c>
      <c r="D4122" s="2" t="s">
        <v>34</v>
      </c>
      <c r="E4122" s="2" t="s">
        <v>27391</v>
      </c>
      <c r="F4122" s="2">
        <v>274269</v>
      </c>
      <c r="G4122" s="3" t="str">
        <f>HYPERLINK("http://funmeta.oebiotech.com/network/274269", "http://funmeta.oebiotech.com/network/274269")</f>
        <v>http://funmeta.oebiotech.com/network/274269</v>
      </c>
      <c r="H4122" s="2" t="s">
        <v>27392</v>
      </c>
      <c r="I4122" s="2">
        <v>64093</v>
      </c>
      <c r="J4122" s="2"/>
      <c r="K4122" s="2"/>
      <c r="L4122" s="2" t="s">
        <v>27393</v>
      </c>
      <c r="M4122" s="2" t="s">
        <v>12644</v>
      </c>
      <c r="N4122" s="2" t="s">
        <v>12645</v>
      </c>
      <c r="O4122" s="2">
        <v>31829</v>
      </c>
      <c r="P4122" s="2" t="s">
        <v>27394</v>
      </c>
      <c r="Q4122" s="2" t="s">
        <v>27395</v>
      </c>
      <c r="R4122" s="2" t="s">
        <v>27396</v>
      </c>
      <c r="S4122" s="2" t="s">
        <v>50</v>
      </c>
      <c r="T4122" s="2" t="s">
        <v>201</v>
      </c>
      <c r="U4122" s="2" t="s">
        <v>636</v>
      </c>
      <c r="V4122" s="2" t="s">
        <v>59</v>
      </c>
      <c r="W4122" s="2">
        <v>38.1</v>
      </c>
      <c r="X4122" s="2">
        <v>0</v>
      </c>
      <c r="Y4122" s="2" t="s">
        <v>323</v>
      </c>
      <c r="Z4122" s="2" t="s">
        <v>27397</v>
      </c>
      <c r="AA4122" s="2">
        <v>-0.36072126195379201</v>
      </c>
      <c r="AB4122" s="2">
        <v>0.165226330791788</v>
      </c>
      <c r="AC4122" s="2">
        <v>6295.12845553226</v>
      </c>
      <c r="AD4122" s="2">
        <v>8583.5882604955696</v>
      </c>
      <c r="AE4122" s="2">
        <v>5868.7651193825104</v>
      </c>
      <c r="AF4122" s="2">
        <v>6546.1745514521399</v>
      </c>
      <c r="AG4122" s="2">
        <v>6009.3904776416402</v>
      </c>
      <c r="AH4122" s="2">
        <v>4518.4419387911003</v>
      </c>
      <c r="AI4122" s="2">
        <v>6911.7237926992302</v>
      </c>
      <c r="AJ4122" s="2">
        <v>7916.2748532269297</v>
      </c>
      <c r="AK4122" s="2">
        <v>8656.9777798151299</v>
      </c>
      <c r="AL4122" s="2">
        <v>8377.6122170148701</v>
      </c>
      <c r="AM4122" s="2">
        <v>7010.8759658726904</v>
      </c>
      <c r="AN4122" s="2">
        <v>9311.6331170223293</v>
      </c>
      <c r="AO4122" s="2">
        <v>8872.8360435688192</v>
      </c>
      <c r="AP4122" s="2">
        <v>9271.5944396795603</v>
      </c>
    </row>
    <row r="4123" spans="1:42" ht="14.5" x14ac:dyDescent="0.35">
      <c r="A4123" s="2" t="s">
        <v>27398</v>
      </c>
      <c r="B4123" s="2">
        <v>398.15745786887697</v>
      </c>
      <c r="C4123" s="2">
        <v>5.1996333333333302</v>
      </c>
      <c r="D4123" s="2" t="s">
        <v>34</v>
      </c>
      <c r="E4123" s="2" t="s">
        <v>27399</v>
      </c>
      <c r="F4123" s="2">
        <v>197638</v>
      </c>
      <c r="G4123" s="3" t="str">
        <f>HYPERLINK("http://funmeta.oebiotech.com/network/197638", "http://funmeta.oebiotech.com/network/197638")</f>
        <v>http://funmeta.oebiotech.com/network/197638</v>
      </c>
      <c r="H4123" s="2" t="s">
        <v>27400</v>
      </c>
      <c r="I4123" s="2"/>
      <c r="J4123" s="2"/>
      <c r="K4123" s="2"/>
      <c r="L4123" s="2"/>
      <c r="M4123" s="2"/>
      <c r="N4123" s="2"/>
      <c r="O4123" s="2"/>
      <c r="P4123" s="2"/>
      <c r="Q4123" s="2" t="s">
        <v>27401</v>
      </c>
      <c r="R4123" s="2" t="s">
        <v>27402</v>
      </c>
      <c r="S4123" s="2" t="s">
        <v>41</v>
      </c>
      <c r="T4123" s="2" t="s">
        <v>41</v>
      </c>
      <c r="U4123" s="2" t="s">
        <v>41</v>
      </c>
      <c r="V4123" s="2" t="s">
        <v>59</v>
      </c>
      <c r="W4123" s="2">
        <v>36.200000000000003</v>
      </c>
      <c r="X4123" s="2">
        <v>0</v>
      </c>
      <c r="Y4123" s="2" t="s">
        <v>340</v>
      </c>
      <c r="Z4123" s="2" t="s">
        <v>27403</v>
      </c>
      <c r="AA4123" s="2">
        <v>-0.28531311305289497</v>
      </c>
      <c r="AB4123" s="2">
        <v>0.16517580499182299</v>
      </c>
      <c r="AC4123" s="2">
        <v>2087.2279430686699</v>
      </c>
      <c r="AD4123" s="2">
        <v>4150.5476593366302</v>
      </c>
      <c r="AE4123" s="2">
        <v>2560.4230682406601</v>
      </c>
      <c r="AF4123" s="2">
        <v>1453.83244710191</v>
      </c>
      <c r="AG4123" s="2">
        <v>2324.2059579407801</v>
      </c>
      <c r="AH4123" s="2">
        <v>2251.12402336481</v>
      </c>
      <c r="AI4123" s="2">
        <v>1946.3998495840699</v>
      </c>
      <c r="AJ4123" s="2">
        <v>1987.38231217978</v>
      </c>
      <c r="AK4123" s="2">
        <v>3131.1167621944701</v>
      </c>
      <c r="AL4123" s="2">
        <v>4505.4047069173403</v>
      </c>
      <c r="AM4123" s="2">
        <v>3774.6095728273299</v>
      </c>
      <c r="AN4123" s="2">
        <v>5305.7659786977601</v>
      </c>
      <c r="AO4123" s="2">
        <v>3446.99036627132</v>
      </c>
      <c r="AP4123" s="2">
        <v>4739.3985691115704</v>
      </c>
    </row>
    <row r="4124" spans="1:42" ht="14.5" x14ac:dyDescent="0.35">
      <c r="A4124" s="2" t="s">
        <v>27404</v>
      </c>
      <c r="B4124" s="2">
        <v>287.12736646226801</v>
      </c>
      <c r="C4124" s="2">
        <v>4.9145166666666702</v>
      </c>
      <c r="D4124" s="2" t="s">
        <v>34</v>
      </c>
      <c r="E4124" s="2" t="s">
        <v>27405</v>
      </c>
      <c r="F4124" s="2">
        <v>208188</v>
      </c>
      <c r="G4124" s="3" t="str">
        <f>HYPERLINK("http://funmeta.oebiotech.com/network/208188", "http://funmeta.oebiotech.com/network/208188")</f>
        <v>http://funmeta.oebiotech.com/network/208188</v>
      </c>
      <c r="H4124" s="2" t="s">
        <v>27406</v>
      </c>
      <c r="I4124" s="2"/>
      <c r="J4124" s="2"/>
      <c r="K4124" s="2"/>
      <c r="L4124" s="2"/>
      <c r="M4124" s="2"/>
      <c r="N4124" s="2"/>
      <c r="O4124" s="2">
        <v>11687633</v>
      </c>
      <c r="P4124" s="2"/>
      <c r="Q4124" s="2" t="s">
        <v>27407</v>
      </c>
      <c r="R4124" s="2" t="s">
        <v>27408</v>
      </c>
      <c r="S4124" s="2" t="s">
        <v>41</v>
      </c>
      <c r="T4124" s="2" t="s">
        <v>41</v>
      </c>
      <c r="U4124" s="2" t="s">
        <v>41</v>
      </c>
      <c r="V4124" s="2" t="s">
        <v>59</v>
      </c>
      <c r="W4124" s="2">
        <v>38.9</v>
      </c>
      <c r="X4124" s="2">
        <v>0</v>
      </c>
      <c r="Y4124" s="2" t="s">
        <v>43</v>
      </c>
      <c r="Z4124" s="2" t="s">
        <v>27409</v>
      </c>
      <c r="AA4124" s="2">
        <v>4.1749401868591498</v>
      </c>
      <c r="AB4124" s="2">
        <v>0.16514301188362501</v>
      </c>
      <c r="AC4124" s="2">
        <v>26303.880721016601</v>
      </c>
      <c r="AD4124" s="2">
        <v>23308.7412185258</v>
      </c>
      <c r="AE4124" s="2">
        <v>25083.127327799601</v>
      </c>
      <c r="AF4124" s="2">
        <v>29980.855221594</v>
      </c>
      <c r="AG4124" s="2">
        <v>25511.687360233602</v>
      </c>
      <c r="AH4124" s="2">
        <v>24994.188683160199</v>
      </c>
      <c r="AI4124" s="2">
        <v>26259.889489763598</v>
      </c>
      <c r="AJ4124" s="2">
        <v>25993.5362435487</v>
      </c>
      <c r="AK4124" s="2">
        <v>24525.815250657099</v>
      </c>
      <c r="AL4124" s="2">
        <v>22159.7871323775</v>
      </c>
      <c r="AM4124" s="2">
        <v>23140.115019347199</v>
      </c>
      <c r="AN4124" s="2">
        <v>27116.7409187786</v>
      </c>
      <c r="AO4124" s="2">
        <v>19657.091615874098</v>
      </c>
      <c r="AP4124" s="2">
        <v>23252.897374120199</v>
      </c>
    </row>
    <row r="4125" spans="1:42" ht="14.5" x14ac:dyDescent="0.35">
      <c r="A4125" s="2" t="s">
        <v>27410</v>
      </c>
      <c r="B4125" s="2">
        <v>305.11401751267198</v>
      </c>
      <c r="C4125" s="2">
        <v>4.5065833333333298</v>
      </c>
      <c r="D4125" s="2" t="s">
        <v>70</v>
      </c>
      <c r="E4125" s="2" t="s">
        <v>27411</v>
      </c>
      <c r="F4125" s="2">
        <v>276842</v>
      </c>
      <c r="G4125" s="3" t="str">
        <f>HYPERLINK("http://funmeta.oebiotech.com/network/276842", "http://funmeta.oebiotech.com/network/276842")</f>
        <v>http://funmeta.oebiotech.com/network/276842</v>
      </c>
      <c r="H4125" s="2"/>
      <c r="I4125" s="2">
        <v>68423</v>
      </c>
      <c r="J4125" s="2"/>
      <c r="K4125" s="2"/>
      <c r="L4125" s="2" t="s">
        <v>27412</v>
      </c>
      <c r="M4125" s="2"/>
      <c r="N4125" s="2"/>
      <c r="O4125" s="2">
        <v>119404</v>
      </c>
      <c r="P4125" s="2" t="s">
        <v>27413</v>
      </c>
      <c r="Q4125" s="2" t="s">
        <v>27414</v>
      </c>
      <c r="R4125" s="2" t="s">
        <v>27415</v>
      </c>
      <c r="S4125" s="2" t="s">
        <v>89</v>
      </c>
      <c r="T4125" s="2" t="s">
        <v>90</v>
      </c>
      <c r="U4125" s="2" t="s">
        <v>99</v>
      </c>
      <c r="V4125" s="2" t="s">
        <v>59</v>
      </c>
      <c r="W4125" s="2">
        <v>38.799999999999997</v>
      </c>
      <c r="X4125" s="2">
        <v>0</v>
      </c>
      <c r="Y4125" s="2" t="s">
        <v>408</v>
      </c>
      <c r="Z4125" s="2" t="s">
        <v>27416</v>
      </c>
      <c r="AA4125" s="2">
        <v>-1.0677491191914601</v>
      </c>
      <c r="AB4125" s="2">
        <v>0.16512922012429801</v>
      </c>
      <c r="AC4125" s="2">
        <v>8389.0758688591595</v>
      </c>
      <c r="AD4125" s="2">
        <v>6367.3633628357102</v>
      </c>
      <c r="AE4125" s="2">
        <v>9152.3550548476105</v>
      </c>
      <c r="AF4125" s="2">
        <v>8517.2746151260908</v>
      </c>
      <c r="AG4125" s="2">
        <v>7964.3754825287497</v>
      </c>
      <c r="AH4125" s="2">
        <v>7366.8896012175801</v>
      </c>
      <c r="AI4125" s="2">
        <v>9057.04668676648</v>
      </c>
      <c r="AJ4125" s="2">
        <v>8276.5137726684807</v>
      </c>
      <c r="AK4125" s="2">
        <v>6370.7338660243804</v>
      </c>
      <c r="AL4125" s="2">
        <v>6205.2293429644897</v>
      </c>
      <c r="AM4125" s="2">
        <v>6441.76597258126</v>
      </c>
      <c r="AN4125" s="2">
        <v>5793.93058344372</v>
      </c>
      <c r="AO4125" s="2">
        <v>6212.1854529219199</v>
      </c>
      <c r="AP4125" s="2">
        <v>7180.3349590785001</v>
      </c>
    </row>
    <row r="4126" spans="1:42" ht="14.5" x14ac:dyDescent="0.35">
      <c r="A4126" s="2" t="s">
        <v>27417</v>
      </c>
      <c r="B4126" s="2">
        <v>670.52410737039395</v>
      </c>
      <c r="C4126" s="2">
        <v>14.094333333333299</v>
      </c>
      <c r="D4126" s="2" t="s">
        <v>34</v>
      </c>
      <c r="E4126" s="2" t="s">
        <v>27418</v>
      </c>
      <c r="F4126" s="2">
        <v>248796</v>
      </c>
      <c r="G4126" s="3" t="str">
        <f>HYPERLINK("http://funmeta.oebiotech.com/network/248796", "http://funmeta.oebiotech.com/network/248796")</f>
        <v>http://funmeta.oebiotech.com/network/248796</v>
      </c>
      <c r="H4126" s="2" t="s">
        <v>27419</v>
      </c>
      <c r="I4126" s="2"/>
      <c r="J4126" s="2"/>
      <c r="K4126" s="2"/>
      <c r="L4126" s="2"/>
      <c r="M4126" s="2"/>
      <c r="N4126" s="2"/>
      <c r="O4126" s="2"/>
      <c r="P4126" s="2"/>
      <c r="Q4126" s="2" t="s">
        <v>27420</v>
      </c>
      <c r="R4126" s="2" t="s">
        <v>27421</v>
      </c>
      <c r="S4126" s="2" t="s">
        <v>41</v>
      </c>
      <c r="T4126" s="2" t="s">
        <v>41</v>
      </c>
      <c r="U4126" s="2" t="s">
        <v>41</v>
      </c>
      <c r="V4126" s="2" t="s">
        <v>59</v>
      </c>
      <c r="W4126" s="2">
        <v>43.4</v>
      </c>
      <c r="X4126" s="2">
        <v>21.7</v>
      </c>
      <c r="Y4126" s="2" t="s">
        <v>43</v>
      </c>
      <c r="Z4126" s="2" t="s">
        <v>27422</v>
      </c>
      <c r="AA4126" s="2">
        <v>-1.7430065932988501</v>
      </c>
      <c r="AB4126" s="2">
        <v>0.16509849317463601</v>
      </c>
      <c r="AC4126" s="2">
        <v>20509.240735010801</v>
      </c>
      <c r="AD4126" s="2">
        <v>23469.193633841001</v>
      </c>
      <c r="AE4126" s="2">
        <v>19166.104295158599</v>
      </c>
      <c r="AF4126" s="2">
        <v>18981.7380435206</v>
      </c>
      <c r="AG4126" s="2">
        <v>20918.844419171801</v>
      </c>
      <c r="AH4126" s="2">
        <v>20652.5722663815</v>
      </c>
      <c r="AI4126" s="2">
        <v>19834.970223733599</v>
      </c>
      <c r="AJ4126" s="2">
        <v>23501.215162098801</v>
      </c>
      <c r="AK4126" s="2">
        <v>27434.4625178959</v>
      </c>
      <c r="AL4126" s="2">
        <v>25049.099171827998</v>
      </c>
      <c r="AM4126" s="2">
        <v>23323.401790760501</v>
      </c>
      <c r="AN4126" s="2">
        <v>23113.732435278602</v>
      </c>
      <c r="AO4126" s="2">
        <v>20874.499136426501</v>
      </c>
      <c r="AP4126" s="2">
        <v>21019.966750856202</v>
      </c>
    </row>
    <row r="4127" spans="1:42" ht="14.5" x14ac:dyDescent="0.35">
      <c r="A4127" s="2" t="s">
        <v>27423</v>
      </c>
      <c r="B4127" s="2">
        <v>387.09320772230399</v>
      </c>
      <c r="C4127" s="2">
        <v>4.1524000000000001</v>
      </c>
      <c r="D4127" s="2" t="s">
        <v>70</v>
      </c>
      <c r="E4127" s="2" t="s">
        <v>27424</v>
      </c>
      <c r="F4127" s="2">
        <v>35333</v>
      </c>
      <c r="G4127" s="3" t="str">
        <f>HYPERLINK("http://funmeta.oebiotech.com/network/35333", "http://funmeta.oebiotech.com/network/35333")</f>
        <v>http://funmeta.oebiotech.com/network/35333</v>
      </c>
      <c r="H4127" s="2"/>
      <c r="I4127" s="2"/>
      <c r="J4127" s="2" t="s">
        <v>27425</v>
      </c>
      <c r="K4127" s="2"/>
      <c r="L4127" s="2"/>
      <c r="M4127" s="2"/>
      <c r="N4127" s="2"/>
      <c r="O4127" s="2">
        <v>44583801</v>
      </c>
      <c r="P4127" s="2"/>
      <c r="Q4127" s="2" t="s">
        <v>27426</v>
      </c>
      <c r="R4127" s="2" t="s">
        <v>27427</v>
      </c>
      <c r="S4127" s="2" t="s">
        <v>50</v>
      </c>
      <c r="T4127" s="2" t="s">
        <v>201</v>
      </c>
      <c r="U4127" s="2" t="s">
        <v>202</v>
      </c>
      <c r="V4127" s="2" t="s">
        <v>59</v>
      </c>
      <c r="W4127" s="2">
        <v>46.1</v>
      </c>
      <c r="X4127" s="2">
        <v>35.299999999999997</v>
      </c>
      <c r="Y4127" s="2" t="s">
        <v>118</v>
      </c>
      <c r="Z4127" s="2" t="s">
        <v>27428</v>
      </c>
      <c r="AA4127" s="2">
        <v>-0.19918099426088601</v>
      </c>
      <c r="AB4127" s="2">
        <v>0.16508928442019999</v>
      </c>
      <c r="AC4127" s="2">
        <v>46140.247306321202</v>
      </c>
      <c r="AD4127" s="2">
        <v>42760.488562608603</v>
      </c>
      <c r="AE4127" s="2">
        <v>46180.283488545603</v>
      </c>
      <c r="AF4127" s="2">
        <v>44052.192651445097</v>
      </c>
      <c r="AG4127" s="2">
        <v>43530.629833055202</v>
      </c>
      <c r="AH4127" s="2">
        <v>49225.936236495603</v>
      </c>
      <c r="AI4127" s="2">
        <v>45659.273562780298</v>
      </c>
      <c r="AJ4127" s="2">
        <v>48193.168065605198</v>
      </c>
      <c r="AK4127" s="2">
        <v>43181.5918814693</v>
      </c>
      <c r="AL4127" s="2">
        <v>38135.720827317098</v>
      </c>
      <c r="AM4127" s="2">
        <v>41968.242079278702</v>
      </c>
      <c r="AN4127" s="2">
        <v>46427.496669406799</v>
      </c>
      <c r="AO4127" s="2">
        <v>39989.735630548297</v>
      </c>
      <c r="AP4127" s="2">
        <v>46860.144287631701</v>
      </c>
    </row>
    <row r="4128" spans="1:42" ht="14.5" x14ac:dyDescent="0.35">
      <c r="A4128" s="2" t="s">
        <v>27429</v>
      </c>
      <c r="B4128" s="2">
        <v>501.19585143101398</v>
      </c>
      <c r="C4128" s="2">
        <v>4.5776166666666702</v>
      </c>
      <c r="D4128" s="2" t="s">
        <v>70</v>
      </c>
      <c r="E4128" s="2" t="s">
        <v>27430</v>
      </c>
      <c r="F4128" s="2">
        <v>46872</v>
      </c>
      <c r="G4128" s="3" t="str">
        <f>HYPERLINK("http://funmeta.oebiotech.com/network/46872", "http://funmeta.oebiotech.com/network/46872")</f>
        <v>http://funmeta.oebiotech.com/network/46872</v>
      </c>
      <c r="H4128" s="2" t="s">
        <v>27431</v>
      </c>
      <c r="I4128" s="2">
        <v>3382</v>
      </c>
      <c r="J4128" s="2"/>
      <c r="K4128" s="2">
        <v>17256</v>
      </c>
      <c r="L4128" s="2" t="s">
        <v>27432</v>
      </c>
      <c r="M4128" s="2" t="s">
        <v>12417</v>
      </c>
      <c r="N4128" s="2" t="s">
        <v>12418</v>
      </c>
      <c r="O4128" s="2">
        <v>13730</v>
      </c>
      <c r="P4128" s="2" t="s">
        <v>27433</v>
      </c>
      <c r="Q4128" s="2" t="s">
        <v>27434</v>
      </c>
      <c r="R4128" s="2" t="s">
        <v>27435</v>
      </c>
      <c r="S4128" s="2" t="s">
        <v>1444</v>
      </c>
      <c r="T4128" s="2" t="s">
        <v>3595</v>
      </c>
      <c r="U4128" s="2" t="s">
        <v>27436</v>
      </c>
      <c r="V4128" s="2" t="s">
        <v>59</v>
      </c>
      <c r="W4128" s="2">
        <v>38.799999999999997</v>
      </c>
      <c r="X4128" s="2">
        <v>0</v>
      </c>
      <c r="Y4128" s="2" t="s">
        <v>560</v>
      </c>
      <c r="Z4128" s="2" t="s">
        <v>21359</v>
      </c>
      <c r="AA4128" s="2">
        <v>-1.0966390528110099</v>
      </c>
      <c r="AB4128" s="2">
        <v>0.165073221162856</v>
      </c>
      <c r="AC4128" s="2">
        <v>59535.406254077599</v>
      </c>
      <c r="AD4128" s="2">
        <v>55839.469567909997</v>
      </c>
      <c r="AE4128" s="2">
        <v>65604.068813146601</v>
      </c>
      <c r="AF4128" s="2">
        <v>59607.553757151603</v>
      </c>
      <c r="AG4128" s="2">
        <v>58735.7460443202</v>
      </c>
      <c r="AH4128" s="2">
        <v>54778.691457245601</v>
      </c>
      <c r="AI4128" s="2">
        <v>61757.875109103501</v>
      </c>
      <c r="AJ4128" s="2">
        <v>56728.502343498098</v>
      </c>
      <c r="AK4128" s="2">
        <v>56813.003342946999</v>
      </c>
      <c r="AL4128" s="2">
        <v>53130.472799764699</v>
      </c>
      <c r="AM4128" s="2">
        <v>62316.693578288199</v>
      </c>
      <c r="AN4128" s="2">
        <v>54729.4984541249</v>
      </c>
      <c r="AO4128" s="2">
        <v>53982.926656572097</v>
      </c>
      <c r="AP4128" s="2">
        <v>54064.222575763197</v>
      </c>
    </row>
    <row r="4129" spans="1:42" ht="14.5" x14ac:dyDescent="0.35">
      <c r="A4129" s="2" t="s">
        <v>27437</v>
      </c>
      <c r="B4129" s="2">
        <v>992.59322965674301</v>
      </c>
      <c r="C4129" s="2">
        <v>9.8824666666666694</v>
      </c>
      <c r="D4129" s="2" t="s">
        <v>34</v>
      </c>
      <c r="E4129" s="2" t="s">
        <v>27438</v>
      </c>
      <c r="F4129" s="2">
        <v>207495</v>
      </c>
      <c r="G4129" s="3" t="str">
        <f>HYPERLINK("http://funmeta.oebiotech.com/network/207495", "http://funmeta.oebiotech.com/network/207495")</f>
        <v>http://funmeta.oebiotech.com/network/207495</v>
      </c>
      <c r="H4129" s="2" t="s">
        <v>27439</v>
      </c>
      <c r="I4129" s="2"/>
      <c r="J4129" s="2"/>
      <c r="K4129" s="2"/>
      <c r="L4129" s="2"/>
      <c r="M4129" s="2"/>
      <c r="N4129" s="2"/>
      <c r="O4129" s="2">
        <v>76519725</v>
      </c>
      <c r="P4129" s="2"/>
      <c r="Q4129" s="2" t="s">
        <v>27440</v>
      </c>
      <c r="R4129" s="2" t="s">
        <v>27441</v>
      </c>
      <c r="S4129" s="2" t="s">
        <v>41</v>
      </c>
      <c r="T4129" s="2" t="s">
        <v>41</v>
      </c>
      <c r="U4129" s="2" t="s">
        <v>41</v>
      </c>
      <c r="V4129" s="2" t="s">
        <v>59</v>
      </c>
      <c r="W4129" s="2">
        <v>37.700000000000003</v>
      </c>
      <c r="X4129" s="2">
        <v>0</v>
      </c>
      <c r="Y4129" s="2" t="s">
        <v>340</v>
      </c>
      <c r="Z4129" s="2" t="s">
        <v>27442</v>
      </c>
      <c r="AA4129" s="2">
        <v>-3.2965146512766799</v>
      </c>
      <c r="AB4129" s="2">
        <v>0.165017912094747</v>
      </c>
      <c r="AC4129" s="2">
        <v>4972.6298022874198</v>
      </c>
      <c r="AD4129" s="2">
        <v>2503.0887650823001</v>
      </c>
      <c r="AE4129" s="2">
        <v>3107.65425319415</v>
      </c>
      <c r="AF4129" s="2">
        <v>5551.9834680171298</v>
      </c>
      <c r="AG4129" s="2">
        <v>5319.66073261777</v>
      </c>
      <c r="AH4129" s="2">
        <v>7223.9885466744499</v>
      </c>
      <c r="AI4129" s="2">
        <v>4478.9676876254698</v>
      </c>
      <c r="AJ4129" s="2">
        <v>4153.5241255955198</v>
      </c>
      <c r="AK4129" s="2">
        <v>926.17057502212401</v>
      </c>
      <c r="AL4129" s="2">
        <v>2647.60393747443</v>
      </c>
      <c r="AM4129" s="2">
        <v>1776.35191370599</v>
      </c>
      <c r="AN4129" s="2">
        <v>3526.1441191341</v>
      </c>
      <c r="AO4129" s="2">
        <v>4046.5590522180801</v>
      </c>
      <c r="AP4129" s="2">
        <v>2095.7029929390501</v>
      </c>
    </row>
    <row r="4130" spans="1:42" ht="14.5" x14ac:dyDescent="0.35">
      <c r="A4130" s="2" t="s">
        <v>27443</v>
      </c>
      <c r="B4130" s="2">
        <v>579.24625910150701</v>
      </c>
      <c r="C4130" s="2">
        <v>5.5993333333333304</v>
      </c>
      <c r="D4130" s="2" t="s">
        <v>70</v>
      </c>
      <c r="E4130" s="2" t="s">
        <v>27444</v>
      </c>
      <c r="F4130" s="2">
        <v>207295</v>
      </c>
      <c r="G4130" s="3" t="str">
        <f>HYPERLINK("http://funmeta.oebiotech.com/network/207295", "http://funmeta.oebiotech.com/network/207295")</f>
        <v>http://funmeta.oebiotech.com/network/207295</v>
      </c>
      <c r="H4130" s="2" t="s">
        <v>27445</v>
      </c>
      <c r="I4130" s="2"/>
      <c r="J4130" s="2"/>
      <c r="K4130" s="2"/>
      <c r="L4130" s="2"/>
      <c r="M4130" s="2"/>
      <c r="N4130" s="2"/>
      <c r="O4130" s="2">
        <v>19916920</v>
      </c>
      <c r="P4130" s="2"/>
      <c r="Q4130" s="2" t="s">
        <v>27446</v>
      </c>
      <c r="R4130" s="2" t="s">
        <v>27447</v>
      </c>
      <c r="S4130" s="2" t="s">
        <v>41</v>
      </c>
      <c r="T4130" s="2" t="s">
        <v>41</v>
      </c>
      <c r="U4130" s="2" t="s">
        <v>41</v>
      </c>
      <c r="V4130" s="2" t="s">
        <v>59</v>
      </c>
      <c r="W4130" s="2">
        <v>38.299999999999997</v>
      </c>
      <c r="X4130" s="2">
        <v>0</v>
      </c>
      <c r="Y4130" s="2" t="s">
        <v>560</v>
      </c>
      <c r="Z4130" s="2" t="s">
        <v>27448</v>
      </c>
      <c r="AA4130" s="2">
        <v>0.38156319273886202</v>
      </c>
      <c r="AB4130" s="2">
        <v>0.16496779584497001</v>
      </c>
      <c r="AC4130" s="2">
        <v>17372.621837317802</v>
      </c>
      <c r="AD4130" s="2">
        <v>14958.283943795601</v>
      </c>
      <c r="AE4130" s="2">
        <v>17540.462604566401</v>
      </c>
      <c r="AF4130" s="2">
        <v>15927.657835616101</v>
      </c>
      <c r="AG4130" s="2">
        <v>15802.4982065568</v>
      </c>
      <c r="AH4130" s="2">
        <v>17543.4232255393</v>
      </c>
      <c r="AI4130" s="2">
        <v>18432.026298517299</v>
      </c>
      <c r="AJ4130" s="2">
        <v>18989.6628531108</v>
      </c>
      <c r="AK4130" s="2">
        <v>13648.428022796799</v>
      </c>
      <c r="AL4130" s="2">
        <v>16384.4069105813</v>
      </c>
      <c r="AM4130" s="2">
        <v>15025.7028722</v>
      </c>
      <c r="AN4130" s="2">
        <v>15919.0118693234</v>
      </c>
      <c r="AO4130" s="2">
        <v>14670.2057207774</v>
      </c>
      <c r="AP4130" s="2">
        <v>14101.9482670949</v>
      </c>
    </row>
    <row r="4131" spans="1:42" ht="14.5" x14ac:dyDescent="0.35">
      <c r="A4131" s="2" t="s">
        <v>27449</v>
      </c>
      <c r="B4131" s="2">
        <v>389.17803589976103</v>
      </c>
      <c r="C4131" s="2">
        <v>1.64625</v>
      </c>
      <c r="D4131" s="2" t="s">
        <v>34</v>
      </c>
      <c r="E4131" s="2" t="s">
        <v>27450</v>
      </c>
      <c r="F4131" s="2">
        <v>57468</v>
      </c>
      <c r="G4131" s="3" t="str">
        <f>HYPERLINK("http://funmeta.oebiotech.com/network/57468", "http://funmeta.oebiotech.com/network/57468")</f>
        <v>http://funmeta.oebiotech.com/network/57468</v>
      </c>
      <c r="H4131" s="2" t="s">
        <v>27451</v>
      </c>
      <c r="I4131" s="2">
        <v>89083</v>
      </c>
      <c r="J4131" s="2"/>
      <c r="K4131" s="2">
        <v>169257</v>
      </c>
      <c r="L4131" s="2"/>
      <c r="M4131" s="2"/>
      <c r="N4131" s="2"/>
      <c r="O4131" s="2">
        <v>85242164</v>
      </c>
      <c r="P4131" s="2" t="s">
        <v>27452</v>
      </c>
      <c r="Q4131" s="2" t="s">
        <v>27453</v>
      </c>
      <c r="R4131" s="2" t="s">
        <v>27454</v>
      </c>
      <c r="S4131" s="2" t="s">
        <v>50</v>
      </c>
      <c r="T4131" s="2" t="s">
        <v>229</v>
      </c>
      <c r="U4131" s="2" t="s">
        <v>230</v>
      </c>
      <c r="V4131" s="2" t="s">
        <v>59</v>
      </c>
      <c r="W4131" s="2">
        <v>38.4</v>
      </c>
      <c r="X4131" s="2">
        <v>0</v>
      </c>
      <c r="Y4131" s="2" t="s">
        <v>323</v>
      </c>
      <c r="Z4131" s="2" t="s">
        <v>3541</v>
      </c>
      <c r="AA4131" s="2">
        <v>-0.45691811326285298</v>
      </c>
      <c r="AB4131" s="2">
        <v>0.164925193517232</v>
      </c>
      <c r="AC4131" s="2">
        <v>10993.0954898982</v>
      </c>
      <c r="AD4131" s="2">
        <v>8435.3198726796509</v>
      </c>
      <c r="AE4131" s="2">
        <v>12116.461731062</v>
      </c>
      <c r="AF4131" s="2">
        <v>11992.9300746442</v>
      </c>
      <c r="AG4131" s="2">
        <v>8732.8642109636003</v>
      </c>
      <c r="AH4131" s="2">
        <v>9920.7380015662893</v>
      </c>
      <c r="AI4131" s="2">
        <v>13628.7724769335</v>
      </c>
      <c r="AJ4131" s="2">
        <v>9566.8064442194991</v>
      </c>
      <c r="AK4131" s="2">
        <v>7367.5054977284099</v>
      </c>
      <c r="AL4131" s="2">
        <v>8738.8142827876509</v>
      </c>
      <c r="AM4131" s="2">
        <v>7957.3032177022696</v>
      </c>
      <c r="AN4131" s="2">
        <v>8570.8593047558898</v>
      </c>
      <c r="AO4131" s="2">
        <v>8843.8464282070709</v>
      </c>
      <c r="AP4131" s="2">
        <v>9133.5905048966106</v>
      </c>
    </row>
    <row r="4132" spans="1:42" ht="14.5" x14ac:dyDescent="0.35">
      <c r="A4132" s="2" t="s">
        <v>27455</v>
      </c>
      <c r="B4132" s="2">
        <v>192.10125333953101</v>
      </c>
      <c r="C4132" s="2">
        <v>5.6884499999999996</v>
      </c>
      <c r="D4132" s="2" t="s">
        <v>34</v>
      </c>
      <c r="E4132" s="2" t="s">
        <v>27456</v>
      </c>
      <c r="F4132" s="2">
        <v>210630</v>
      </c>
      <c r="G4132" s="3" t="str">
        <f>HYPERLINK("http://funmeta.oebiotech.com/network/210630", "http://funmeta.oebiotech.com/network/210630")</f>
        <v>http://funmeta.oebiotech.com/network/210630</v>
      </c>
      <c r="H4132" s="2" t="s">
        <v>27457</v>
      </c>
      <c r="I4132" s="2">
        <v>44243</v>
      </c>
      <c r="J4132" s="2"/>
      <c r="K4132" s="2">
        <v>34938</v>
      </c>
      <c r="L4132" s="2" t="s">
        <v>27458</v>
      </c>
      <c r="M4132" s="2"/>
      <c r="N4132" s="2"/>
      <c r="O4132" s="2">
        <v>4944</v>
      </c>
      <c r="P4132" s="2" t="s">
        <v>27459</v>
      </c>
      <c r="Q4132" s="2" t="s">
        <v>27460</v>
      </c>
      <c r="R4132" s="2" t="s">
        <v>27461</v>
      </c>
      <c r="S4132" s="2" t="s">
        <v>148</v>
      </c>
      <c r="T4132" s="2" t="s">
        <v>3772</v>
      </c>
      <c r="U4132" s="2" t="s">
        <v>41</v>
      </c>
      <c r="V4132" s="2" t="s">
        <v>59</v>
      </c>
      <c r="W4132" s="2">
        <v>38.5</v>
      </c>
      <c r="X4132" s="2">
        <v>0</v>
      </c>
      <c r="Y4132" s="2" t="s">
        <v>141</v>
      </c>
      <c r="Z4132" s="2" t="s">
        <v>664</v>
      </c>
      <c r="AA4132" s="2">
        <v>-3.1168761918508698</v>
      </c>
      <c r="AB4132" s="2">
        <v>0.164869048383464</v>
      </c>
      <c r="AC4132" s="2">
        <v>2423.90580265276</v>
      </c>
      <c r="AD4132" s="2">
        <v>4292.4624806905804</v>
      </c>
      <c r="AE4132" s="2">
        <v>2320.0714899627701</v>
      </c>
      <c r="AF4132" s="2">
        <v>2130.0356581808601</v>
      </c>
      <c r="AG4132" s="2">
        <v>2770.9547882481502</v>
      </c>
      <c r="AH4132" s="2">
        <v>2532.9240707101399</v>
      </c>
      <c r="AI4132" s="2">
        <v>2674.6635540482198</v>
      </c>
      <c r="AJ4132" s="2">
        <v>2114.7852547663902</v>
      </c>
      <c r="AK4132" s="2">
        <v>4644.0130420101996</v>
      </c>
      <c r="AL4132" s="2">
        <v>3864.9951262602699</v>
      </c>
      <c r="AM4132" s="2">
        <v>4508.5792275240501</v>
      </c>
      <c r="AN4132" s="2">
        <v>4520.9959873201196</v>
      </c>
      <c r="AO4132" s="2">
        <v>3773.45091067565</v>
      </c>
      <c r="AP4132" s="2">
        <v>4442.7405903531699</v>
      </c>
    </row>
    <row r="4133" spans="1:42" ht="14.5" x14ac:dyDescent="0.35">
      <c r="A4133" s="2" t="s">
        <v>27462</v>
      </c>
      <c r="B4133" s="2">
        <v>353.08738329688799</v>
      </c>
      <c r="C4133" s="2">
        <v>3.9884499999999998</v>
      </c>
      <c r="D4133" s="2" t="s">
        <v>70</v>
      </c>
      <c r="E4133" s="2" t="s">
        <v>27463</v>
      </c>
      <c r="F4133" s="2">
        <v>48037</v>
      </c>
      <c r="G4133" s="3" t="str">
        <f>HYPERLINK("http://funmeta.oebiotech.com/network/48037", "http://funmeta.oebiotech.com/network/48037")</f>
        <v>http://funmeta.oebiotech.com/network/48037</v>
      </c>
      <c r="H4133" s="2" t="s">
        <v>27464</v>
      </c>
      <c r="I4133" s="2">
        <v>3498</v>
      </c>
      <c r="J4133" s="2"/>
      <c r="K4133" s="2">
        <v>16112</v>
      </c>
      <c r="L4133" s="2" t="s">
        <v>27465</v>
      </c>
      <c r="M4133" s="2" t="s">
        <v>27466</v>
      </c>
      <c r="N4133" s="2" t="s">
        <v>27467</v>
      </c>
      <c r="O4133" s="2">
        <v>1794427</v>
      </c>
      <c r="P4133" s="2" t="s">
        <v>27468</v>
      </c>
      <c r="Q4133" s="2" t="s">
        <v>27469</v>
      </c>
      <c r="R4133" s="2" t="s">
        <v>27470</v>
      </c>
      <c r="S4133" s="2" t="s">
        <v>79</v>
      </c>
      <c r="T4133" s="2" t="s">
        <v>80</v>
      </c>
      <c r="U4133" s="2" t="s">
        <v>2021</v>
      </c>
      <c r="V4133" s="2" t="s">
        <v>42</v>
      </c>
      <c r="W4133" s="2">
        <v>48.3</v>
      </c>
      <c r="X4133" s="2">
        <v>48.1</v>
      </c>
      <c r="Y4133" s="2" t="s">
        <v>118</v>
      </c>
      <c r="Z4133" s="2" t="s">
        <v>27471</v>
      </c>
      <c r="AA4133" s="2">
        <v>-1.1929688743451901</v>
      </c>
      <c r="AB4133" s="2">
        <v>0.164752068898876</v>
      </c>
      <c r="AC4133" s="2">
        <v>10002.774221003399</v>
      </c>
      <c r="AD4133" s="2">
        <v>8043.0246938741802</v>
      </c>
      <c r="AE4133" s="2">
        <v>9929.1019058951806</v>
      </c>
      <c r="AF4133" s="2">
        <v>9391.0547929922195</v>
      </c>
      <c r="AG4133" s="2">
        <v>10765.3779124464</v>
      </c>
      <c r="AH4133" s="2">
        <v>10699.2451463458</v>
      </c>
      <c r="AI4133" s="2">
        <v>9657.1183663778302</v>
      </c>
      <c r="AJ4133" s="2">
        <v>9574.7472019628294</v>
      </c>
      <c r="AK4133" s="2">
        <v>7715.8777049505998</v>
      </c>
      <c r="AL4133" s="2">
        <v>8494.0138043964107</v>
      </c>
      <c r="AM4133" s="2">
        <v>7797.6028061343904</v>
      </c>
      <c r="AN4133" s="2">
        <v>8376.3319309563503</v>
      </c>
      <c r="AO4133" s="2">
        <v>8278.9197684066894</v>
      </c>
      <c r="AP4133" s="2">
        <v>7595.4021484006398</v>
      </c>
    </row>
    <row r="4134" spans="1:42" ht="14.5" x14ac:dyDescent="0.35">
      <c r="A4134" s="2" t="s">
        <v>27472</v>
      </c>
      <c r="B4134" s="2">
        <v>319.15453520561601</v>
      </c>
      <c r="C4134" s="2">
        <v>9.6948833333333297</v>
      </c>
      <c r="D4134" s="2" t="s">
        <v>70</v>
      </c>
      <c r="E4134" s="2" t="s">
        <v>27473</v>
      </c>
      <c r="F4134" s="2">
        <v>211410</v>
      </c>
      <c r="G4134" s="3" t="str">
        <f>HYPERLINK("http://funmeta.oebiotech.com/network/211410", "http://funmeta.oebiotech.com/network/211410")</f>
        <v>http://funmeta.oebiotech.com/network/211410</v>
      </c>
      <c r="H4134" s="2" t="s">
        <v>27474</v>
      </c>
      <c r="I4134" s="2"/>
      <c r="J4134" s="2"/>
      <c r="K4134" s="2"/>
      <c r="L4134" s="2"/>
      <c r="M4134" s="2"/>
      <c r="N4134" s="2"/>
      <c r="O4134" s="2">
        <v>57159260</v>
      </c>
      <c r="P4134" s="2"/>
      <c r="Q4134" s="2" t="s">
        <v>27475</v>
      </c>
      <c r="R4134" s="2" t="s">
        <v>27476</v>
      </c>
      <c r="S4134" s="2" t="s">
        <v>148</v>
      </c>
      <c r="T4134" s="2" t="s">
        <v>23940</v>
      </c>
      <c r="U4134" s="2" t="s">
        <v>41</v>
      </c>
      <c r="V4134" s="2" t="s">
        <v>59</v>
      </c>
      <c r="W4134" s="2">
        <v>39.700000000000003</v>
      </c>
      <c r="X4134" s="2">
        <v>5.14</v>
      </c>
      <c r="Y4134" s="2" t="s">
        <v>408</v>
      </c>
      <c r="Z4134" s="2" t="s">
        <v>27477</v>
      </c>
      <c r="AA4134" s="2">
        <v>-2.0507549321567602</v>
      </c>
      <c r="AB4134" s="2">
        <v>0.16465744898231099</v>
      </c>
      <c r="AC4134" s="2">
        <v>2692.9623377589201</v>
      </c>
      <c r="AD4134" s="2">
        <v>875.61857838201399</v>
      </c>
      <c r="AE4134" s="2">
        <v>2762.0145778725</v>
      </c>
      <c r="AF4134" s="2">
        <v>2379.1015962389401</v>
      </c>
      <c r="AG4134" s="2">
        <v>2954.2281130973302</v>
      </c>
      <c r="AH4134" s="2">
        <v>2544.18059854184</v>
      </c>
      <c r="AI4134" s="2">
        <v>2948.3173962405599</v>
      </c>
      <c r="AJ4134" s="2">
        <v>2569.9317445623201</v>
      </c>
      <c r="AK4134" s="2">
        <v>990.61027933219202</v>
      </c>
      <c r="AL4134" s="2">
        <v>963.03252669595099</v>
      </c>
      <c r="AM4134" s="2">
        <v>1066.3847671722201</v>
      </c>
      <c r="AN4134" s="2">
        <v>734.83184567981402</v>
      </c>
      <c r="AO4134" s="2">
        <v>852.66298912313698</v>
      </c>
      <c r="AP4134" s="2">
        <v>646.18906228876699</v>
      </c>
    </row>
    <row r="4135" spans="1:42" ht="14.5" x14ac:dyDescent="0.35">
      <c r="A4135" s="2" t="s">
        <v>27478</v>
      </c>
      <c r="B4135" s="2">
        <v>267.15991548238202</v>
      </c>
      <c r="C4135" s="2">
        <v>6.4626999999999999</v>
      </c>
      <c r="D4135" s="2" t="s">
        <v>70</v>
      </c>
      <c r="E4135" s="2" t="s">
        <v>27479</v>
      </c>
      <c r="F4135" s="2">
        <v>57411</v>
      </c>
      <c r="G4135" s="3" t="str">
        <f>HYPERLINK("http://funmeta.oebiotech.com/network/57411", "http://funmeta.oebiotech.com/network/57411")</f>
        <v>http://funmeta.oebiotech.com/network/57411</v>
      </c>
      <c r="H4135" s="2" t="s">
        <v>27480</v>
      </c>
      <c r="I4135" s="2">
        <v>89032</v>
      </c>
      <c r="J4135" s="2"/>
      <c r="K4135" s="2"/>
      <c r="L4135" s="2"/>
      <c r="M4135" s="2"/>
      <c r="N4135" s="2"/>
      <c r="O4135" s="2">
        <v>36822</v>
      </c>
      <c r="P4135" s="2" t="s">
        <v>27481</v>
      </c>
      <c r="Q4135" s="2" t="s">
        <v>27482</v>
      </c>
      <c r="R4135" s="2" t="s">
        <v>27483</v>
      </c>
      <c r="S4135" s="2" t="s">
        <v>491</v>
      </c>
      <c r="T4135" s="2" t="s">
        <v>4517</v>
      </c>
      <c r="U4135" s="2" t="s">
        <v>9396</v>
      </c>
      <c r="V4135" s="2" t="s">
        <v>59</v>
      </c>
      <c r="W4135" s="2">
        <v>38.299999999999997</v>
      </c>
      <c r="X4135" s="2">
        <v>0</v>
      </c>
      <c r="Y4135" s="2" t="s">
        <v>560</v>
      </c>
      <c r="Z4135" s="2" t="s">
        <v>27484</v>
      </c>
      <c r="AA4135" s="2">
        <v>-5.9840900135764601</v>
      </c>
      <c r="AB4135" s="2">
        <v>0.16456064621213901</v>
      </c>
      <c r="AC4135" s="2">
        <v>1116.2463950529</v>
      </c>
      <c r="AD4135" s="2">
        <v>2913.02380861133</v>
      </c>
      <c r="AE4135" s="2">
        <v>1014.70446912209</v>
      </c>
      <c r="AF4135" s="2">
        <v>1112.9536269309999</v>
      </c>
      <c r="AG4135" s="2">
        <v>1061.5846841308601</v>
      </c>
      <c r="AH4135" s="2">
        <v>1085.75112900369</v>
      </c>
      <c r="AI4135" s="2">
        <v>1179.33372846523</v>
      </c>
      <c r="AJ4135" s="2">
        <v>1243.1507326645601</v>
      </c>
      <c r="AK4135" s="2">
        <v>2686.5611508674201</v>
      </c>
      <c r="AL4135" s="2">
        <v>3082.4855347568</v>
      </c>
      <c r="AM4135" s="2">
        <v>2964.83028489151</v>
      </c>
      <c r="AN4135" s="2">
        <v>3201.4302458513098</v>
      </c>
      <c r="AO4135" s="2">
        <v>2808.4895993301802</v>
      </c>
      <c r="AP4135" s="2">
        <v>2734.3460359707901</v>
      </c>
    </row>
    <row r="4136" spans="1:42" ht="14.5" x14ac:dyDescent="0.35">
      <c r="A4136" s="2" t="s">
        <v>27485</v>
      </c>
      <c r="B4136" s="2">
        <v>179.08521873111499</v>
      </c>
      <c r="C4136" s="2">
        <v>6.1123333333333303</v>
      </c>
      <c r="D4136" s="2" t="s">
        <v>34</v>
      </c>
      <c r="E4136" s="2" t="s">
        <v>27486</v>
      </c>
      <c r="F4136" s="2">
        <v>278903</v>
      </c>
      <c r="G4136" s="3" t="str">
        <f>HYPERLINK("http://funmeta.oebiotech.com/network/278903", "http://funmeta.oebiotech.com/network/278903")</f>
        <v>http://funmeta.oebiotech.com/network/278903</v>
      </c>
      <c r="H4136" s="2"/>
      <c r="I4136" s="2">
        <v>71319</v>
      </c>
      <c r="J4136" s="2"/>
      <c r="K4136" s="2"/>
      <c r="L4136" s="2" t="s">
        <v>27487</v>
      </c>
      <c r="M4136" s="2"/>
      <c r="N4136" s="2"/>
      <c r="O4136" s="2">
        <v>9793905</v>
      </c>
      <c r="P4136" s="2" t="s">
        <v>27488</v>
      </c>
      <c r="Q4136" s="2" t="s">
        <v>27489</v>
      </c>
      <c r="R4136" s="2" t="s">
        <v>27490</v>
      </c>
      <c r="S4136" s="2" t="s">
        <v>89</v>
      </c>
      <c r="T4136" s="2" t="s">
        <v>90</v>
      </c>
      <c r="U4136" s="2" t="s">
        <v>99</v>
      </c>
      <c r="V4136" s="2" t="s">
        <v>59</v>
      </c>
      <c r="W4136" s="2">
        <v>38.5</v>
      </c>
      <c r="X4136" s="2">
        <v>0</v>
      </c>
      <c r="Y4136" s="2" t="s">
        <v>43</v>
      </c>
      <c r="Z4136" s="2" t="s">
        <v>27491</v>
      </c>
      <c r="AA4136" s="2">
        <v>2.1335124867882</v>
      </c>
      <c r="AB4136" s="2">
        <v>0.164453201954636</v>
      </c>
      <c r="AC4136" s="2">
        <v>4562.7102737537298</v>
      </c>
      <c r="AD4136" s="2">
        <v>6512.9659757159097</v>
      </c>
      <c r="AE4136" s="2">
        <v>4397.1156620652901</v>
      </c>
      <c r="AF4136" s="2">
        <v>5028.40872797469</v>
      </c>
      <c r="AG4136" s="2">
        <v>4548.3054233537696</v>
      </c>
      <c r="AH4136" s="2">
        <v>4204.6562268579501</v>
      </c>
      <c r="AI4136" s="2">
        <v>4784.5598876403301</v>
      </c>
      <c r="AJ4136" s="2">
        <v>4413.2157146303498</v>
      </c>
      <c r="AK4136" s="2">
        <v>7452.83025966486</v>
      </c>
      <c r="AL4136" s="2">
        <v>5659.2711861589996</v>
      </c>
      <c r="AM4136" s="2">
        <v>6347.9664233987596</v>
      </c>
      <c r="AN4136" s="2">
        <v>6514.2019952978799</v>
      </c>
      <c r="AO4136" s="2">
        <v>6154.6404592610497</v>
      </c>
      <c r="AP4136" s="2">
        <v>6948.8855305138804</v>
      </c>
    </row>
    <row r="4137" spans="1:42" ht="14.5" x14ac:dyDescent="0.35">
      <c r="A4137" s="2" t="s">
        <v>27492</v>
      </c>
      <c r="B4137" s="2">
        <v>921.50509472193403</v>
      </c>
      <c r="C4137" s="2">
        <v>11.769916666666701</v>
      </c>
      <c r="D4137" s="2" t="s">
        <v>70</v>
      </c>
      <c r="E4137" s="2" t="s">
        <v>27493</v>
      </c>
      <c r="F4137" s="2">
        <v>266900</v>
      </c>
      <c r="G4137" s="3" t="str">
        <f>HYPERLINK("http://funmeta.oebiotech.com/network/266900", "http://funmeta.oebiotech.com/network/266900")</f>
        <v>http://funmeta.oebiotech.com/network/266900</v>
      </c>
      <c r="H4137" s="2"/>
      <c r="I4137" s="2">
        <v>44254</v>
      </c>
      <c r="J4137" s="2"/>
      <c r="K4137" s="2"/>
      <c r="L4137" s="2"/>
      <c r="M4137" s="2"/>
      <c r="N4137" s="2"/>
      <c r="O4137" s="2">
        <v>16725077</v>
      </c>
      <c r="P4137" s="2"/>
      <c r="Q4137" s="2" t="s">
        <v>27494</v>
      </c>
      <c r="R4137" s="2" t="s">
        <v>27495</v>
      </c>
      <c r="S4137" s="2" t="s">
        <v>50</v>
      </c>
      <c r="T4137" s="2" t="s">
        <v>124</v>
      </c>
      <c r="U4137" s="2" t="s">
        <v>567</v>
      </c>
      <c r="V4137" s="2" t="s">
        <v>59</v>
      </c>
      <c r="W4137" s="2">
        <v>36.299999999999997</v>
      </c>
      <c r="X4137" s="2">
        <v>0</v>
      </c>
      <c r="Y4137" s="2" t="s">
        <v>560</v>
      </c>
      <c r="Z4137" s="2" t="s">
        <v>27496</v>
      </c>
      <c r="AA4137" s="2">
        <v>7.8042332275205499</v>
      </c>
      <c r="AB4137" s="2">
        <v>0.164452059007926</v>
      </c>
      <c r="AC4137" s="2">
        <v>24996.146074175002</v>
      </c>
      <c r="AD4137" s="2">
        <v>28790.724437942401</v>
      </c>
      <c r="AE4137" s="2">
        <v>22008.7889695546</v>
      </c>
      <c r="AF4137" s="2">
        <v>20101.086937316999</v>
      </c>
      <c r="AG4137" s="2">
        <v>24392.236928448801</v>
      </c>
      <c r="AH4137" s="2">
        <v>33550.321416952502</v>
      </c>
      <c r="AI4137" s="2">
        <v>24579.2978004912</v>
      </c>
      <c r="AJ4137" s="2">
        <v>25345.144392286202</v>
      </c>
      <c r="AK4137" s="2">
        <v>28672.680522407099</v>
      </c>
      <c r="AL4137" s="2">
        <v>27396.034340287901</v>
      </c>
      <c r="AM4137" s="2">
        <v>29589.288285426399</v>
      </c>
      <c r="AN4137" s="2">
        <v>23575.4941796153</v>
      </c>
      <c r="AO4137" s="2">
        <v>32663.9884206813</v>
      </c>
      <c r="AP4137" s="2">
        <v>30846.860879236301</v>
      </c>
    </row>
    <row r="4138" spans="1:42" ht="14.5" x14ac:dyDescent="0.35">
      <c r="A4138" s="2" t="s">
        <v>27497</v>
      </c>
      <c r="B4138" s="2">
        <v>637.43094751793205</v>
      </c>
      <c r="C4138" s="2">
        <v>6.4626999999999999</v>
      </c>
      <c r="D4138" s="2" t="s">
        <v>70</v>
      </c>
      <c r="E4138" s="2" t="s">
        <v>27498</v>
      </c>
      <c r="F4138" s="2">
        <v>247784</v>
      </c>
      <c r="G4138" s="3" t="str">
        <f>HYPERLINK("http://funmeta.oebiotech.com/network/247784", "http://funmeta.oebiotech.com/network/247784")</f>
        <v>http://funmeta.oebiotech.com/network/247784</v>
      </c>
      <c r="H4138" s="2" t="s">
        <v>27499</v>
      </c>
      <c r="I4138" s="2"/>
      <c r="J4138" s="2"/>
      <c r="K4138" s="2"/>
      <c r="L4138" s="2"/>
      <c r="M4138" s="2"/>
      <c r="N4138" s="2"/>
      <c r="O4138" s="2"/>
      <c r="P4138" s="2"/>
      <c r="Q4138" s="2" t="s">
        <v>27500</v>
      </c>
      <c r="R4138" s="2" t="s">
        <v>27501</v>
      </c>
      <c r="S4138" s="2" t="s">
        <v>41</v>
      </c>
      <c r="T4138" s="2" t="s">
        <v>41</v>
      </c>
      <c r="U4138" s="2" t="s">
        <v>41</v>
      </c>
      <c r="V4138" s="2" t="s">
        <v>59</v>
      </c>
      <c r="W4138" s="2">
        <v>37.700000000000003</v>
      </c>
      <c r="X4138" s="2">
        <v>0</v>
      </c>
      <c r="Y4138" s="2" t="s">
        <v>408</v>
      </c>
      <c r="Z4138" s="2" t="s">
        <v>611</v>
      </c>
      <c r="AA4138" s="2">
        <v>-1.95737141223207</v>
      </c>
      <c r="AB4138" s="2">
        <v>0.16432447376703799</v>
      </c>
      <c r="AC4138" s="2">
        <v>3003.3688855180599</v>
      </c>
      <c r="AD4138" s="2">
        <v>5207.7607717909996</v>
      </c>
      <c r="AE4138" s="2">
        <v>2380.4381508229098</v>
      </c>
      <c r="AF4138" s="2">
        <v>3306.7027218235698</v>
      </c>
      <c r="AG4138" s="2">
        <v>2571.6448519958099</v>
      </c>
      <c r="AH4138" s="2">
        <v>2367.5795388645902</v>
      </c>
      <c r="AI4138" s="2">
        <v>3915.2486043476802</v>
      </c>
      <c r="AJ4138" s="2">
        <v>3478.5994452537898</v>
      </c>
      <c r="AK4138" s="2">
        <v>4819.4529826763201</v>
      </c>
      <c r="AL4138" s="2">
        <v>6902.4311287823302</v>
      </c>
      <c r="AM4138" s="2">
        <v>5984.2312959875098</v>
      </c>
      <c r="AN4138" s="2">
        <v>3869.8948982666002</v>
      </c>
      <c r="AO4138" s="2">
        <v>5161.38760219493</v>
      </c>
      <c r="AP4138" s="2">
        <v>4509.1667228383203</v>
      </c>
    </row>
    <row r="4139" spans="1:42" ht="14.5" x14ac:dyDescent="0.35">
      <c r="A4139" s="2" t="s">
        <v>27502</v>
      </c>
      <c r="B4139" s="2">
        <v>655.08297489824201</v>
      </c>
      <c r="C4139" s="2">
        <v>9.4771666666666707</v>
      </c>
      <c r="D4139" s="2" t="s">
        <v>70</v>
      </c>
      <c r="E4139" s="2" t="s">
        <v>27503</v>
      </c>
      <c r="F4139" s="2">
        <v>200982</v>
      </c>
      <c r="G4139" s="3" t="str">
        <f>HYPERLINK("http://funmeta.oebiotech.com/network/200982", "http://funmeta.oebiotech.com/network/200982")</f>
        <v>http://funmeta.oebiotech.com/network/200982</v>
      </c>
      <c r="H4139" s="2" t="s">
        <v>27504</v>
      </c>
      <c r="I4139" s="2"/>
      <c r="J4139" s="2"/>
      <c r="K4139" s="2"/>
      <c r="L4139" s="2"/>
      <c r="M4139" s="2"/>
      <c r="N4139" s="2"/>
      <c r="O4139" s="2">
        <v>136313972</v>
      </c>
      <c r="P4139" s="2"/>
      <c r="Q4139" s="2" t="s">
        <v>27505</v>
      </c>
      <c r="R4139" s="2" t="s">
        <v>27506</v>
      </c>
      <c r="S4139" s="2" t="s">
        <v>1444</v>
      </c>
      <c r="T4139" s="2" t="s">
        <v>4937</v>
      </c>
      <c r="U4139" s="2" t="s">
        <v>5723</v>
      </c>
      <c r="V4139" s="2" t="s">
        <v>59</v>
      </c>
      <c r="W4139" s="2">
        <v>42.1</v>
      </c>
      <c r="X4139" s="2">
        <v>17.5</v>
      </c>
      <c r="Y4139" s="2" t="s">
        <v>751</v>
      </c>
      <c r="Z4139" s="2" t="s">
        <v>27507</v>
      </c>
      <c r="AA4139" s="2">
        <v>1.27857341820188</v>
      </c>
      <c r="AB4139" s="2">
        <v>0.164238812673032</v>
      </c>
      <c r="AC4139" s="2">
        <v>22393.362036229799</v>
      </c>
      <c r="AD4139" s="2">
        <v>18719.361457901101</v>
      </c>
      <c r="AE4139" s="2">
        <v>19372.555087219898</v>
      </c>
      <c r="AF4139" s="2">
        <v>17514.580691687799</v>
      </c>
      <c r="AG4139" s="2">
        <v>18964.4192162728</v>
      </c>
      <c r="AH4139" s="2">
        <v>26766.7410879452</v>
      </c>
      <c r="AI4139" s="2">
        <v>27170.346523088101</v>
      </c>
      <c r="AJ4139" s="2">
        <v>24571.5296111649</v>
      </c>
      <c r="AK4139" s="2">
        <v>15788.415735557001</v>
      </c>
      <c r="AL4139" s="2">
        <v>18414.1975224292</v>
      </c>
      <c r="AM4139" s="2">
        <v>19234.7668901459</v>
      </c>
      <c r="AN4139" s="2">
        <v>20584.647692854502</v>
      </c>
      <c r="AO4139" s="2">
        <v>22203.037779581598</v>
      </c>
      <c r="AP4139" s="2">
        <v>16091.103126838099</v>
      </c>
    </row>
    <row r="4140" spans="1:42" ht="14.5" x14ac:dyDescent="0.35">
      <c r="A4140" s="2" t="s">
        <v>27508</v>
      </c>
      <c r="B4140" s="2">
        <v>549.41395393780601</v>
      </c>
      <c r="C4140" s="2">
        <v>11.3656166666667</v>
      </c>
      <c r="D4140" s="2" t="s">
        <v>34</v>
      </c>
      <c r="E4140" s="2" t="s">
        <v>27509</v>
      </c>
      <c r="F4140" s="2">
        <v>92293</v>
      </c>
      <c r="G4140" s="3" t="str">
        <f>HYPERLINK("http://funmeta.oebiotech.com/network/92293", "http://funmeta.oebiotech.com/network/92293")</f>
        <v>http://funmeta.oebiotech.com/network/92293</v>
      </c>
      <c r="H4140" s="2" t="s">
        <v>27510</v>
      </c>
      <c r="I4140" s="2"/>
      <c r="J4140" s="2"/>
      <c r="K4140" s="2"/>
      <c r="L4140" s="2"/>
      <c r="M4140" s="2"/>
      <c r="N4140" s="2"/>
      <c r="O4140" s="2">
        <v>131778274</v>
      </c>
      <c r="P4140" s="2"/>
      <c r="Q4140" s="2" t="s">
        <v>27511</v>
      </c>
      <c r="R4140" s="2" t="s">
        <v>27512</v>
      </c>
      <c r="S4140" s="2" t="s">
        <v>50</v>
      </c>
      <c r="T4140" s="2" t="s">
        <v>448</v>
      </c>
      <c r="U4140" s="2" t="s">
        <v>9987</v>
      </c>
      <c r="V4140" s="2" t="s">
        <v>59</v>
      </c>
      <c r="W4140" s="2">
        <v>37.1</v>
      </c>
      <c r="X4140" s="2">
        <v>0</v>
      </c>
      <c r="Y4140" s="2" t="s">
        <v>323</v>
      </c>
      <c r="Z4140" s="2" t="s">
        <v>27513</v>
      </c>
      <c r="AA4140" s="2">
        <v>2.6474517398961401</v>
      </c>
      <c r="AB4140" s="2">
        <v>0.16423573732161001</v>
      </c>
      <c r="AC4140" s="2">
        <v>10013.608517468099</v>
      </c>
      <c r="AD4140" s="2">
        <v>12416.486418087499</v>
      </c>
      <c r="AE4140" s="2">
        <v>11168.8384687077</v>
      </c>
      <c r="AF4140" s="2">
        <v>10049.365109455</v>
      </c>
      <c r="AG4140" s="2">
        <v>9523.1078157141601</v>
      </c>
      <c r="AH4140" s="2">
        <v>9355.4326165266593</v>
      </c>
      <c r="AI4140" s="2">
        <v>8711.5142775206405</v>
      </c>
      <c r="AJ4140" s="2">
        <v>11273.3928168844</v>
      </c>
      <c r="AK4140" s="2">
        <v>11168.285392407601</v>
      </c>
      <c r="AL4140" s="2">
        <v>12675.866712201499</v>
      </c>
      <c r="AM4140" s="2">
        <v>11306.6391287103</v>
      </c>
      <c r="AN4140" s="2">
        <v>14162.066713092099</v>
      </c>
      <c r="AO4140" s="2">
        <v>13843.583027156001</v>
      </c>
      <c r="AP4140" s="2">
        <v>11342.477534957299</v>
      </c>
    </row>
    <row r="4141" spans="1:42" ht="14.5" x14ac:dyDescent="0.35">
      <c r="A4141" s="2" t="s">
        <v>27514</v>
      </c>
      <c r="B4141" s="2">
        <v>177.05078574010801</v>
      </c>
      <c r="C4141" s="2">
        <v>0.62124999999999997</v>
      </c>
      <c r="D4141" s="2" t="s">
        <v>34</v>
      </c>
      <c r="E4141" s="2" t="s">
        <v>27515</v>
      </c>
      <c r="F4141" s="2">
        <v>212030</v>
      </c>
      <c r="G4141" s="3" t="str">
        <f>HYPERLINK("http://funmeta.oebiotech.com/network/212030", "http://funmeta.oebiotech.com/network/212030")</f>
        <v>http://funmeta.oebiotech.com/network/212030</v>
      </c>
      <c r="H4141" s="2" t="s">
        <v>27516</v>
      </c>
      <c r="I4141" s="2">
        <v>422364</v>
      </c>
      <c r="J4141" s="2"/>
      <c r="K4141" s="2"/>
      <c r="L4141" s="2"/>
      <c r="M4141" s="2"/>
      <c r="N4141" s="2"/>
      <c r="O4141" s="2">
        <v>148208</v>
      </c>
      <c r="P4141" s="2"/>
      <c r="Q4141" s="2" t="s">
        <v>27517</v>
      </c>
      <c r="R4141" s="2" t="s">
        <v>27518</v>
      </c>
      <c r="S4141" s="2" t="s">
        <v>41</v>
      </c>
      <c r="T4141" s="2" t="s">
        <v>41</v>
      </c>
      <c r="U4141" s="2" t="s">
        <v>41</v>
      </c>
      <c r="V4141" s="2" t="s">
        <v>59</v>
      </c>
      <c r="W4141" s="2">
        <v>38.4</v>
      </c>
      <c r="X4141" s="2">
        <v>0</v>
      </c>
      <c r="Y4141" s="2" t="s">
        <v>43</v>
      </c>
      <c r="Z4141" s="2" t="s">
        <v>27519</v>
      </c>
      <c r="AA4141" s="2">
        <v>1.1819329219579899</v>
      </c>
      <c r="AB4141" s="2">
        <v>0.164162320939476</v>
      </c>
      <c r="AC4141" s="2">
        <v>5975.9657545563196</v>
      </c>
      <c r="AD4141" s="2">
        <v>3758.8930235522198</v>
      </c>
      <c r="AE4141" s="2">
        <v>5763.5969426554202</v>
      </c>
      <c r="AF4141" s="2">
        <v>6900.9690965868904</v>
      </c>
      <c r="AG4141" s="2">
        <v>5900.4507423203104</v>
      </c>
      <c r="AH4141" s="2">
        <v>6284.4943086529202</v>
      </c>
      <c r="AI4141" s="2">
        <v>5646.2200220559798</v>
      </c>
      <c r="AJ4141" s="2">
        <v>5360.06341506638</v>
      </c>
      <c r="AK4141" s="2">
        <v>2094.6819071722698</v>
      </c>
      <c r="AL4141" s="2">
        <v>2807.00676994171</v>
      </c>
      <c r="AM4141" s="2">
        <v>3602.5367782645199</v>
      </c>
      <c r="AN4141" s="2">
        <v>5156.5036754910798</v>
      </c>
      <c r="AO4141" s="2">
        <v>4119.2891819671104</v>
      </c>
      <c r="AP4141" s="2">
        <v>4773.3398284766299</v>
      </c>
    </row>
    <row r="4142" spans="1:42" ht="14.5" x14ac:dyDescent="0.35">
      <c r="A4142" s="2" t="s">
        <v>27520</v>
      </c>
      <c r="B4142" s="2">
        <v>256.128998183551</v>
      </c>
      <c r="C4142" s="2">
        <v>1.06171666666667</v>
      </c>
      <c r="D4142" s="2" t="s">
        <v>34</v>
      </c>
      <c r="E4142" s="2" t="s">
        <v>27521</v>
      </c>
      <c r="F4142" s="2">
        <v>53204</v>
      </c>
      <c r="G4142" s="3" t="str">
        <f>HYPERLINK("http://funmeta.oebiotech.com/network/53204", "http://funmeta.oebiotech.com/network/53204")</f>
        <v>http://funmeta.oebiotech.com/network/53204</v>
      </c>
      <c r="H4142" s="2" t="s">
        <v>27522</v>
      </c>
      <c r="I4142" s="2">
        <v>2654</v>
      </c>
      <c r="J4142" s="2"/>
      <c r="K4142" s="2">
        <v>4995</v>
      </c>
      <c r="L4142" s="2" t="s">
        <v>27523</v>
      </c>
      <c r="M4142" s="2" t="s">
        <v>11721</v>
      </c>
      <c r="N4142" s="2" t="s">
        <v>11722</v>
      </c>
      <c r="O4142" s="2">
        <v>3331</v>
      </c>
      <c r="P4142" s="2" t="s">
        <v>27524</v>
      </c>
      <c r="Q4142" s="2" t="s">
        <v>27525</v>
      </c>
      <c r="R4142" s="2" t="s">
        <v>27526</v>
      </c>
      <c r="S4142" s="2" t="s">
        <v>148</v>
      </c>
      <c r="T4142" s="2" t="s">
        <v>149</v>
      </c>
      <c r="U4142" s="2" t="s">
        <v>41</v>
      </c>
      <c r="V4142" s="2" t="s">
        <v>59</v>
      </c>
      <c r="W4142" s="2">
        <v>39.1</v>
      </c>
      <c r="X4142" s="2">
        <v>0</v>
      </c>
      <c r="Y4142" s="2" t="s">
        <v>43</v>
      </c>
      <c r="Z4142" s="2" t="s">
        <v>27527</v>
      </c>
      <c r="AA4142" s="2">
        <v>-0.77398934559485899</v>
      </c>
      <c r="AB4142" s="2">
        <v>0.16413803816262101</v>
      </c>
      <c r="AC4142" s="2">
        <v>16088.6533857246</v>
      </c>
      <c r="AD4142" s="2">
        <v>13836.767546437</v>
      </c>
      <c r="AE4142" s="2">
        <v>16040.091298801801</v>
      </c>
      <c r="AF4142" s="2">
        <v>16664.475768955999</v>
      </c>
      <c r="AG4142" s="2">
        <v>14182.6801562452</v>
      </c>
      <c r="AH4142" s="2">
        <v>16629.3680415565</v>
      </c>
      <c r="AI4142" s="2">
        <v>16302.3921734624</v>
      </c>
      <c r="AJ4142" s="2">
        <v>16712.912875325699</v>
      </c>
      <c r="AK4142" s="2">
        <v>14360.512010038099</v>
      </c>
      <c r="AL4142" s="2">
        <v>12250.312745335999</v>
      </c>
      <c r="AM4142" s="2">
        <v>14016.3921348736</v>
      </c>
      <c r="AN4142" s="2">
        <v>14948.150258403301</v>
      </c>
      <c r="AO4142" s="2">
        <v>14074.4993584244</v>
      </c>
      <c r="AP4142" s="2">
        <v>13370.738771546799</v>
      </c>
    </row>
    <row r="4143" spans="1:42" ht="14.5" x14ac:dyDescent="0.35">
      <c r="A4143" s="2" t="s">
        <v>27528</v>
      </c>
      <c r="B4143" s="2">
        <v>285.18447402273199</v>
      </c>
      <c r="C4143" s="2">
        <v>7.9920499999999999</v>
      </c>
      <c r="D4143" s="2" t="s">
        <v>34</v>
      </c>
      <c r="E4143" s="2" t="s">
        <v>27529</v>
      </c>
      <c r="F4143" s="2">
        <v>44926</v>
      </c>
      <c r="G4143" s="3" t="str">
        <f>HYPERLINK("http://funmeta.oebiotech.com/network/44926", "http://funmeta.oebiotech.com/network/44926")</f>
        <v>http://funmeta.oebiotech.com/network/44926</v>
      </c>
      <c r="H4143" s="2" t="s">
        <v>27530</v>
      </c>
      <c r="I4143" s="2">
        <v>6990</v>
      </c>
      <c r="J4143" s="2" t="s">
        <v>27531</v>
      </c>
      <c r="K4143" s="2">
        <v>27576</v>
      </c>
      <c r="L4143" s="2" t="s">
        <v>27532</v>
      </c>
      <c r="M4143" s="2" t="s">
        <v>2454</v>
      </c>
      <c r="N4143" s="2" t="s">
        <v>2455</v>
      </c>
      <c r="O4143" s="2">
        <v>252379</v>
      </c>
      <c r="P4143" s="2" t="s">
        <v>27533</v>
      </c>
      <c r="Q4143" s="2" t="s">
        <v>27534</v>
      </c>
      <c r="R4143" s="2" t="s">
        <v>27535</v>
      </c>
      <c r="S4143" s="2" t="s">
        <v>50</v>
      </c>
      <c r="T4143" s="2" t="s">
        <v>124</v>
      </c>
      <c r="U4143" s="2" t="s">
        <v>2373</v>
      </c>
      <c r="V4143" s="2" t="s">
        <v>42</v>
      </c>
      <c r="W4143" s="2">
        <v>51.4</v>
      </c>
      <c r="X4143" s="2">
        <v>66.599999999999994</v>
      </c>
      <c r="Y4143" s="2" t="s">
        <v>141</v>
      </c>
      <c r="Z4143" s="2" t="s">
        <v>6229</v>
      </c>
      <c r="AA4143" s="2">
        <v>-1.4309618172571199</v>
      </c>
      <c r="AB4143" s="2">
        <v>0.16412688105434201</v>
      </c>
      <c r="AC4143" s="2">
        <v>10669.990704454</v>
      </c>
      <c r="AD4143" s="2">
        <v>8315.0438995260702</v>
      </c>
      <c r="AE4143" s="2">
        <v>10541.2767897048</v>
      </c>
      <c r="AF4143" s="2">
        <v>8306.8598034295192</v>
      </c>
      <c r="AG4143" s="2">
        <v>10429.0636896755</v>
      </c>
      <c r="AH4143" s="2">
        <v>12006.504415355401</v>
      </c>
      <c r="AI4143" s="2">
        <v>11505.226522426299</v>
      </c>
      <c r="AJ4143" s="2">
        <v>11231.0130061323</v>
      </c>
      <c r="AK4143" s="2">
        <v>7034.9062251158102</v>
      </c>
      <c r="AL4143" s="2">
        <v>8682.6135875763994</v>
      </c>
      <c r="AM4143" s="2">
        <v>7979.1641302912403</v>
      </c>
      <c r="AN4143" s="2">
        <v>9596.1650388126909</v>
      </c>
      <c r="AO4143" s="2">
        <v>7920.08730816552</v>
      </c>
      <c r="AP4143" s="2">
        <v>8677.3271071947602</v>
      </c>
    </row>
    <row r="4144" spans="1:42" ht="14.5" x14ac:dyDescent="0.35">
      <c r="A4144" s="2" t="s">
        <v>27536</v>
      </c>
      <c r="B4144" s="2">
        <v>463.306430350862</v>
      </c>
      <c r="C4144" s="2">
        <v>6.9333</v>
      </c>
      <c r="D4144" s="2" t="s">
        <v>70</v>
      </c>
      <c r="E4144" s="2" t="s">
        <v>27537</v>
      </c>
      <c r="F4144" s="2">
        <v>294289</v>
      </c>
      <c r="G4144" s="3" t="str">
        <f>HYPERLINK("http://funmeta.oebiotech.com/network/294289", "http://funmeta.oebiotech.com/network/294289")</f>
        <v>http://funmeta.oebiotech.com/network/294289</v>
      </c>
      <c r="H4144" s="2"/>
      <c r="I4144" s="2">
        <v>318318</v>
      </c>
      <c r="J4144" s="2"/>
      <c r="K4144" s="2"/>
      <c r="L4144" s="2"/>
      <c r="M4144" s="2"/>
      <c r="N4144" s="2"/>
      <c r="O4144" s="2">
        <v>8380</v>
      </c>
      <c r="P4144" s="2"/>
      <c r="Q4144" s="2" t="s">
        <v>27538</v>
      </c>
      <c r="R4144" s="2" t="s">
        <v>27539</v>
      </c>
      <c r="S4144" s="2" t="s">
        <v>148</v>
      </c>
      <c r="T4144" s="2" t="s">
        <v>149</v>
      </c>
      <c r="U4144" s="2" t="s">
        <v>1593</v>
      </c>
      <c r="V4144" s="2" t="s">
        <v>59</v>
      </c>
      <c r="W4144" s="2">
        <v>38.799999999999997</v>
      </c>
      <c r="X4144" s="2">
        <v>0</v>
      </c>
      <c r="Y4144" s="2" t="s">
        <v>408</v>
      </c>
      <c r="Z4144" s="2" t="s">
        <v>27540</v>
      </c>
      <c r="AA4144" s="2">
        <v>-0.19685078290961999</v>
      </c>
      <c r="AB4144" s="2">
        <v>0.16412028355762301</v>
      </c>
      <c r="AC4144" s="2">
        <v>3461.8953852816499</v>
      </c>
      <c r="AD4144" s="2">
        <v>5315.95214161689</v>
      </c>
      <c r="AE4144" s="2">
        <v>3616.5015820666799</v>
      </c>
      <c r="AF4144" s="2">
        <v>2866.93128419919</v>
      </c>
      <c r="AG4144" s="2">
        <v>3440.84868911592</v>
      </c>
      <c r="AH4144" s="2">
        <v>3799.9812676534002</v>
      </c>
      <c r="AI4144" s="2">
        <v>3551.7766087875698</v>
      </c>
      <c r="AJ4144" s="2">
        <v>3495.33287986716</v>
      </c>
      <c r="AK4144" s="2">
        <v>5872.4097911087201</v>
      </c>
      <c r="AL4144" s="2">
        <v>4923.4073697445601</v>
      </c>
      <c r="AM4144" s="2">
        <v>5291.3061959124398</v>
      </c>
      <c r="AN4144" s="2">
        <v>5438.9995911606202</v>
      </c>
      <c r="AO4144" s="2">
        <v>5382.3359538536197</v>
      </c>
      <c r="AP4144" s="2">
        <v>4987.2539479213701</v>
      </c>
    </row>
    <row r="4145" spans="1:42" ht="14.5" x14ac:dyDescent="0.35">
      <c r="A4145" s="2" t="s">
        <v>27541</v>
      </c>
      <c r="B4145" s="2">
        <v>195.10154122486301</v>
      </c>
      <c r="C4145" s="2">
        <v>9.7467833333333296</v>
      </c>
      <c r="D4145" s="2" t="s">
        <v>34</v>
      </c>
      <c r="E4145" s="5" t="s">
        <v>27542</v>
      </c>
      <c r="F4145" s="2">
        <v>63867</v>
      </c>
      <c r="G4145" s="3" t="str">
        <f>HYPERLINK("http://funmeta.oebiotech.com/network/63867", "http://funmeta.oebiotech.com/network/63867")</f>
        <v>http://funmeta.oebiotech.com/network/63867</v>
      </c>
      <c r="H4145" s="2" t="s">
        <v>27543</v>
      </c>
      <c r="I4145" s="2">
        <v>95200</v>
      </c>
      <c r="J4145" s="2"/>
      <c r="K4145" s="2"/>
      <c r="L4145" s="2"/>
      <c r="M4145" s="2"/>
      <c r="N4145" s="2"/>
      <c r="O4145" s="2">
        <v>16330</v>
      </c>
      <c r="P4145" s="2" t="s">
        <v>27544</v>
      </c>
      <c r="Q4145" s="2" t="s">
        <v>27545</v>
      </c>
      <c r="R4145" s="2" t="s">
        <v>27546</v>
      </c>
      <c r="S4145" s="2" t="s">
        <v>148</v>
      </c>
      <c r="T4145" s="2" t="s">
        <v>149</v>
      </c>
      <c r="U4145" s="2" t="s">
        <v>1593</v>
      </c>
      <c r="V4145" s="2" t="s">
        <v>42</v>
      </c>
      <c r="W4145" s="2">
        <v>51.9</v>
      </c>
      <c r="X4145" s="2">
        <v>63.5</v>
      </c>
      <c r="Y4145" s="2" t="s">
        <v>394</v>
      </c>
      <c r="Z4145" s="2" t="s">
        <v>25146</v>
      </c>
      <c r="AA4145" s="2">
        <v>-0.15206421643830401</v>
      </c>
      <c r="AB4145" s="2">
        <v>0.16403531960109</v>
      </c>
      <c r="AC4145" s="2">
        <v>12787.354205075901</v>
      </c>
      <c r="AD4145" s="2">
        <v>15219.935231379701</v>
      </c>
      <c r="AE4145" s="2">
        <v>12725.930721750799</v>
      </c>
      <c r="AF4145" s="2">
        <v>13087.062155166999</v>
      </c>
      <c r="AG4145" s="2">
        <v>13687.7811698405</v>
      </c>
      <c r="AH4145" s="2">
        <v>13730.3826878195</v>
      </c>
      <c r="AI4145" s="2">
        <v>11529.4829793484</v>
      </c>
      <c r="AJ4145" s="2">
        <v>11963.485516528999</v>
      </c>
      <c r="AK4145" s="2">
        <v>17886.564899356999</v>
      </c>
      <c r="AL4145" s="2">
        <v>15223.731152439401</v>
      </c>
      <c r="AM4145" s="2">
        <v>13970.8919156952</v>
      </c>
      <c r="AN4145" s="2">
        <v>13740.0131904339</v>
      </c>
      <c r="AO4145" s="2">
        <v>15505.095625972899</v>
      </c>
      <c r="AP4145" s="2">
        <v>14993.314604380001</v>
      </c>
    </row>
    <row r="4146" spans="1:42" ht="14.5" x14ac:dyDescent="0.35">
      <c r="A4146" s="2" t="s">
        <v>27547</v>
      </c>
      <c r="B4146" s="2">
        <v>689.29299218315703</v>
      </c>
      <c r="C4146" s="2">
        <v>6.4248000000000003</v>
      </c>
      <c r="D4146" s="2" t="s">
        <v>70</v>
      </c>
      <c r="E4146" s="2" t="s">
        <v>27548</v>
      </c>
      <c r="F4146" s="2">
        <v>24879</v>
      </c>
      <c r="G4146" s="3" t="str">
        <f>HYPERLINK("http://funmeta.oebiotech.com/network/24879", "http://funmeta.oebiotech.com/network/24879")</f>
        <v>http://funmeta.oebiotech.com/network/24879</v>
      </c>
      <c r="H4146" s="2"/>
      <c r="I4146" s="2"/>
      <c r="J4146" s="2" t="s">
        <v>27549</v>
      </c>
      <c r="K4146" s="2">
        <v>138564</v>
      </c>
      <c r="L4146" s="2"/>
      <c r="M4146" s="2"/>
      <c r="N4146" s="2"/>
      <c r="O4146" s="2">
        <v>52928607</v>
      </c>
      <c r="P4146" s="2"/>
      <c r="Q4146" s="2" t="s">
        <v>27550</v>
      </c>
      <c r="R4146" s="2" t="s">
        <v>27551</v>
      </c>
      <c r="S4146" s="2" t="s">
        <v>50</v>
      </c>
      <c r="T4146" s="2" t="s">
        <v>51</v>
      </c>
      <c r="U4146" s="2" t="s">
        <v>52</v>
      </c>
      <c r="V4146" s="2" t="s">
        <v>59</v>
      </c>
      <c r="W4146" s="2">
        <v>38.200000000000003</v>
      </c>
      <c r="X4146" s="2">
        <v>0</v>
      </c>
      <c r="Y4146" s="2" t="s">
        <v>408</v>
      </c>
      <c r="Z4146" s="2" t="s">
        <v>27552</v>
      </c>
      <c r="AA4146" s="2">
        <v>-2.13306095878418</v>
      </c>
      <c r="AB4146" s="2">
        <v>0.16369510281698099</v>
      </c>
      <c r="AC4146" s="2">
        <v>17613.008904189901</v>
      </c>
      <c r="AD4146" s="2">
        <v>19977.506287771499</v>
      </c>
      <c r="AE4146" s="2">
        <v>19074.870021107799</v>
      </c>
      <c r="AF4146" s="2">
        <v>16565.9482608689</v>
      </c>
      <c r="AG4146" s="2">
        <v>16624.218459628599</v>
      </c>
      <c r="AH4146" s="2">
        <v>16517.846117113</v>
      </c>
      <c r="AI4146" s="2">
        <v>18133.2643641166</v>
      </c>
      <c r="AJ4146" s="2">
        <v>18761.906202304501</v>
      </c>
      <c r="AK4146" s="2">
        <v>18884.0484858288</v>
      </c>
      <c r="AL4146" s="2">
        <v>18540.9680092833</v>
      </c>
      <c r="AM4146" s="2">
        <v>19894.9120128287</v>
      </c>
      <c r="AN4146" s="2">
        <v>21700.969599650001</v>
      </c>
      <c r="AO4146" s="2">
        <v>19894.929431061701</v>
      </c>
      <c r="AP4146" s="2">
        <v>20949.210187976401</v>
      </c>
    </row>
    <row r="4147" spans="1:42" ht="14.5" x14ac:dyDescent="0.35">
      <c r="A4147" s="2" t="s">
        <v>27553</v>
      </c>
      <c r="B4147" s="2">
        <v>130.06500333305399</v>
      </c>
      <c r="C4147" s="2">
        <v>4.8488333333333298</v>
      </c>
      <c r="D4147" s="2" t="s">
        <v>34</v>
      </c>
      <c r="E4147" s="2" t="s">
        <v>27554</v>
      </c>
      <c r="F4147" s="2">
        <v>58307</v>
      </c>
      <c r="G4147" s="3" t="str">
        <f>HYPERLINK("http://funmeta.oebiotech.com/network/58307", "http://funmeta.oebiotech.com/network/58307")</f>
        <v>http://funmeta.oebiotech.com/network/58307</v>
      </c>
      <c r="H4147" s="2" t="s">
        <v>27555</v>
      </c>
      <c r="I4147" s="2">
        <v>44763</v>
      </c>
      <c r="J4147" s="2"/>
      <c r="K4147" s="2">
        <v>16092</v>
      </c>
      <c r="L4147" s="2" t="s">
        <v>27556</v>
      </c>
      <c r="M4147" s="2"/>
      <c r="N4147" s="2"/>
      <c r="O4147" s="2">
        <v>8405</v>
      </c>
      <c r="P4147" s="2" t="s">
        <v>27557</v>
      </c>
      <c r="Q4147" s="2" t="s">
        <v>27558</v>
      </c>
      <c r="R4147" s="2" t="s">
        <v>27559</v>
      </c>
      <c r="S4147" s="2" t="s">
        <v>491</v>
      </c>
      <c r="T4147" s="2" t="s">
        <v>13817</v>
      </c>
      <c r="U4147" s="2" t="s">
        <v>41</v>
      </c>
      <c r="V4147" s="2" t="s">
        <v>59</v>
      </c>
      <c r="W4147" s="2">
        <v>43.5</v>
      </c>
      <c r="X4147" s="2">
        <v>21.6</v>
      </c>
      <c r="Y4147" s="2" t="s">
        <v>394</v>
      </c>
      <c r="Z4147" s="2" t="s">
        <v>27560</v>
      </c>
      <c r="AA4147" s="2">
        <v>-0.94785584031827197</v>
      </c>
      <c r="AB4147" s="2">
        <v>0.16367239968723599</v>
      </c>
      <c r="AC4147" s="2">
        <v>8473.9654525660408</v>
      </c>
      <c r="AD4147" s="2">
        <v>6534.6953683788397</v>
      </c>
      <c r="AE4147" s="2">
        <v>8148.5583345789901</v>
      </c>
      <c r="AF4147" s="2">
        <v>7954.5854078728398</v>
      </c>
      <c r="AG4147" s="2">
        <v>9169.4892693297406</v>
      </c>
      <c r="AH4147" s="2">
        <v>8420.0920388205195</v>
      </c>
      <c r="AI4147" s="2">
        <v>8446.7346893718495</v>
      </c>
      <c r="AJ4147" s="2">
        <v>8704.3329754222905</v>
      </c>
      <c r="AK4147" s="2">
        <v>7012.8903082295301</v>
      </c>
      <c r="AL4147" s="2">
        <v>6637.9370185834296</v>
      </c>
      <c r="AM4147" s="2">
        <v>6340.8437221770801</v>
      </c>
      <c r="AN4147" s="2">
        <v>6168.7533251045197</v>
      </c>
      <c r="AO4147" s="2">
        <v>7283.1516329760798</v>
      </c>
      <c r="AP4147" s="2">
        <v>5764.5962032023799</v>
      </c>
    </row>
    <row r="4148" spans="1:42" ht="14.5" x14ac:dyDescent="0.35">
      <c r="A4148" s="2" t="s">
        <v>27561</v>
      </c>
      <c r="B4148" s="2">
        <v>391.17457263537398</v>
      </c>
      <c r="C4148" s="2">
        <v>5.1518499999999996</v>
      </c>
      <c r="D4148" s="2" t="s">
        <v>34</v>
      </c>
      <c r="E4148" s="2" t="s">
        <v>27562</v>
      </c>
      <c r="F4148" s="2">
        <v>35539</v>
      </c>
      <c r="G4148" s="3" t="str">
        <f>HYPERLINK("http://funmeta.oebiotech.com/network/35539", "http://funmeta.oebiotech.com/network/35539")</f>
        <v>http://funmeta.oebiotech.com/network/35539</v>
      </c>
      <c r="H4148" s="2"/>
      <c r="I4148" s="2"/>
      <c r="J4148" s="2" t="s">
        <v>27563</v>
      </c>
      <c r="K4148" s="2"/>
      <c r="L4148" s="2"/>
      <c r="M4148" s="2"/>
      <c r="N4148" s="2"/>
      <c r="O4148" s="2"/>
      <c r="P4148" s="2"/>
      <c r="Q4148" s="2" t="s">
        <v>27564</v>
      </c>
      <c r="R4148" s="2" t="s">
        <v>27565</v>
      </c>
      <c r="S4148" s="2" t="s">
        <v>50</v>
      </c>
      <c r="T4148" s="2" t="s">
        <v>201</v>
      </c>
      <c r="U4148" s="2" t="s">
        <v>1217</v>
      </c>
      <c r="V4148" s="2" t="s">
        <v>59</v>
      </c>
      <c r="W4148" s="2">
        <v>45</v>
      </c>
      <c r="X4148" s="2">
        <v>33.5</v>
      </c>
      <c r="Y4148" s="2" t="s">
        <v>266</v>
      </c>
      <c r="Z4148" s="2" t="s">
        <v>27566</v>
      </c>
      <c r="AA4148" s="2">
        <v>-1.4275070622572099</v>
      </c>
      <c r="AB4148" s="2">
        <v>0.16359135554013099</v>
      </c>
      <c r="AC4148" s="2">
        <v>59186.911764581397</v>
      </c>
      <c r="AD4148" s="2">
        <v>62751.997151417898</v>
      </c>
      <c r="AE4148" s="2">
        <v>61593.806403169299</v>
      </c>
      <c r="AF4148" s="2">
        <v>62114.519024830202</v>
      </c>
      <c r="AG4148" s="2">
        <v>61860.642850408301</v>
      </c>
      <c r="AH4148" s="2">
        <v>56343.159753008396</v>
      </c>
      <c r="AI4148" s="2">
        <v>54894.995163703803</v>
      </c>
      <c r="AJ4148" s="2">
        <v>58314.347392368203</v>
      </c>
      <c r="AK4148" s="2">
        <v>63457.661910140603</v>
      </c>
      <c r="AL4148" s="2">
        <v>63917.8964841259</v>
      </c>
      <c r="AM4148" s="2">
        <v>63624.763886455599</v>
      </c>
      <c r="AN4148" s="2">
        <v>60714.745400047897</v>
      </c>
      <c r="AO4148" s="2">
        <v>67698.094783422595</v>
      </c>
      <c r="AP4148" s="2">
        <v>57098.820444314799</v>
      </c>
    </row>
    <row r="4149" spans="1:42" ht="14.5" x14ac:dyDescent="0.35">
      <c r="A4149" s="2" t="s">
        <v>27567</v>
      </c>
      <c r="B4149" s="2">
        <v>279.231464359825</v>
      </c>
      <c r="C4149" s="2">
        <v>14.269866666666699</v>
      </c>
      <c r="D4149" s="2" t="s">
        <v>34</v>
      </c>
      <c r="E4149" s="2" t="s">
        <v>27568</v>
      </c>
      <c r="F4149" s="2">
        <v>836</v>
      </c>
      <c r="G4149" s="3" t="str">
        <f>HYPERLINK("http://funmeta.oebiotech.com/network/836", "http://funmeta.oebiotech.com/network/836")</f>
        <v>http://funmeta.oebiotech.com/network/836</v>
      </c>
      <c r="H4149" s="2"/>
      <c r="I4149" s="2">
        <v>35008</v>
      </c>
      <c r="J4149" s="2" t="s">
        <v>27569</v>
      </c>
      <c r="K4149" s="2">
        <v>86136</v>
      </c>
      <c r="L4149" s="2"/>
      <c r="M4149" s="2"/>
      <c r="N4149" s="2"/>
      <c r="O4149" s="2">
        <v>5312495</v>
      </c>
      <c r="P4149" s="2" t="s">
        <v>27570</v>
      </c>
      <c r="Q4149" s="2" t="s">
        <v>27571</v>
      </c>
      <c r="R4149" s="2" t="s">
        <v>27572</v>
      </c>
      <c r="S4149" s="2" t="s">
        <v>50</v>
      </c>
      <c r="T4149" s="2" t="s">
        <v>229</v>
      </c>
      <c r="U4149" s="2" t="s">
        <v>1360</v>
      </c>
      <c r="V4149" s="2" t="s">
        <v>59</v>
      </c>
      <c r="W4149" s="2">
        <v>39</v>
      </c>
      <c r="X4149" s="2">
        <v>0</v>
      </c>
      <c r="Y4149" s="2" t="s">
        <v>394</v>
      </c>
      <c r="Z4149" s="2" t="s">
        <v>8830</v>
      </c>
      <c r="AA4149" s="2">
        <v>-1.4099163887952699</v>
      </c>
      <c r="AB4149" s="2">
        <v>0.16334860602164</v>
      </c>
      <c r="AC4149" s="2">
        <v>30468.310016602201</v>
      </c>
      <c r="AD4149" s="2">
        <v>33104.571416156403</v>
      </c>
      <c r="AE4149" s="2">
        <v>29087.1807652629</v>
      </c>
      <c r="AF4149" s="2">
        <v>29996.407615140699</v>
      </c>
      <c r="AG4149" s="2">
        <v>31449.627653178799</v>
      </c>
      <c r="AH4149" s="2">
        <v>32046.928291206801</v>
      </c>
      <c r="AI4149" s="2">
        <v>30909.7800086838</v>
      </c>
      <c r="AJ4149" s="2">
        <v>29319.935766140399</v>
      </c>
      <c r="AK4149" s="2">
        <v>35885.909005554997</v>
      </c>
      <c r="AL4149" s="2">
        <v>34208.388423680997</v>
      </c>
      <c r="AM4149" s="2">
        <v>32363.768386107899</v>
      </c>
      <c r="AN4149" s="2">
        <v>30117.857792122701</v>
      </c>
      <c r="AO4149" s="2">
        <v>33406.496609255199</v>
      </c>
      <c r="AP4149" s="2">
        <v>32645.008280216302</v>
      </c>
    </row>
    <row r="4150" spans="1:42" ht="14.5" x14ac:dyDescent="0.35">
      <c r="A4150" s="2" t="s">
        <v>27573</v>
      </c>
      <c r="B4150" s="2">
        <v>549.23263834196302</v>
      </c>
      <c r="C4150" s="2">
        <v>10.283666666666701</v>
      </c>
      <c r="D4150" s="2" t="s">
        <v>34</v>
      </c>
      <c r="E4150" s="2" t="s">
        <v>27574</v>
      </c>
      <c r="F4150" s="2">
        <v>29035</v>
      </c>
      <c r="G4150" s="3" t="str">
        <f>HYPERLINK("http://funmeta.oebiotech.com/network/29035", "http://funmeta.oebiotech.com/network/29035")</f>
        <v>http://funmeta.oebiotech.com/network/29035</v>
      </c>
      <c r="H4150" s="2"/>
      <c r="I4150" s="2"/>
      <c r="J4150" s="2" t="s">
        <v>27575</v>
      </c>
      <c r="K4150" s="2"/>
      <c r="L4150" s="2"/>
      <c r="M4150" s="2"/>
      <c r="N4150" s="2"/>
      <c r="O4150" s="2">
        <v>44257166</v>
      </c>
      <c r="P4150" s="2"/>
      <c r="Q4150" s="2" t="s">
        <v>27576</v>
      </c>
      <c r="R4150" s="2" t="s">
        <v>27577</v>
      </c>
      <c r="S4150" s="2" t="s">
        <v>115</v>
      </c>
      <c r="T4150" s="2" t="s">
        <v>139</v>
      </c>
      <c r="U4150" s="2" t="s">
        <v>140</v>
      </c>
      <c r="V4150" s="2" t="s">
        <v>59</v>
      </c>
      <c r="W4150" s="2">
        <v>46</v>
      </c>
      <c r="X4150" s="2">
        <v>38.299999999999997</v>
      </c>
      <c r="Y4150" s="2" t="s">
        <v>394</v>
      </c>
      <c r="Z4150" s="2" t="s">
        <v>21380</v>
      </c>
      <c r="AA4150" s="2">
        <v>-0.72973534781910199</v>
      </c>
      <c r="AB4150" s="2">
        <v>0.16331471310626</v>
      </c>
      <c r="AC4150" s="2">
        <v>9235.4104416350201</v>
      </c>
      <c r="AD4150" s="2">
        <v>7125.2899633159004</v>
      </c>
      <c r="AE4150" s="2">
        <v>9277.7763119516294</v>
      </c>
      <c r="AF4150" s="2">
        <v>9893.9685901026496</v>
      </c>
      <c r="AG4150" s="2">
        <v>8594.9797964854097</v>
      </c>
      <c r="AH4150" s="2">
        <v>10742.719023063401</v>
      </c>
      <c r="AI4150" s="2">
        <v>8217.0763078149903</v>
      </c>
      <c r="AJ4150" s="2">
        <v>8685.9426203920502</v>
      </c>
      <c r="AK4150" s="2">
        <v>6429.2847665462596</v>
      </c>
      <c r="AL4150" s="2">
        <v>6728.7303219966498</v>
      </c>
      <c r="AM4150" s="2">
        <v>8022.7568967898196</v>
      </c>
      <c r="AN4150" s="2">
        <v>6858.9253971114404</v>
      </c>
      <c r="AO4150" s="2">
        <v>7587.6439423062102</v>
      </c>
      <c r="AP4150" s="2">
        <v>7124.3984551450403</v>
      </c>
    </row>
    <row r="4151" spans="1:42" ht="14.5" x14ac:dyDescent="0.35">
      <c r="A4151" s="2" t="s">
        <v>27578</v>
      </c>
      <c r="B4151" s="2">
        <v>311.22262945584498</v>
      </c>
      <c r="C4151" s="2">
        <v>12.21345</v>
      </c>
      <c r="D4151" s="2" t="s">
        <v>70</v>
      </c>
      <c r="E4151" s="2" t="s">
        <v>27579</v>
      </c>
      <c r="F4151" s="2">
        <v>6516</v>
      </c>
      <c r="G4151" s="3" t="str">
        <f>HYPERLINK("http://funmeta.oebiotech.com/network/6516", "http://funmeta.oebiotech.com/network/6516")</f>
        <v>http://funmeta.oebiotech.com/network/6516</v>
      </c>
      <c r="H4151" s="2" t="s">
        <v>27580</v>
      </c>
      <c r="I4151" s="2">
        <v>75330</v>
      </c>
      <c r="J4151" s="2" t="s">
        <v>27581</v>
      </c>
      <c r="K4151" s="2">
        <v>58968</v>
      </c>
      <c r="L4151" s="2"/>
      <c r="M4151" s="2"/>
      <c r="N4151" s="2"/>
      <c r="O4151" s="2">
        <v>5283344</v>
      </c>
      <c r="P4151" s="2" t="s">
        <v>27582</v>
      </c>
      <c r="Q4151" s="2" t="s">
        <v>27583</v>
      </c>
      <c r="R4151" s="2" t="s">
        <v>27584</v>
      </c>
      <c r="S4151" s="2" t="s">
        <v>50</v>
      </c>
      <c r="T4151" s="2" t="s">
        <v>229</v>
      </c>
      <c r="U4151" s="2" t="s">
        <v>1283</v>
      </c>
      <c r="V4151" s="2" t="s">
        <v>59</v>
      </c>
      <c r="W4151" s="2">
        <v>39.5</v>
      </c>
      <c r="X4151" s="2">
        <v>0</v>
      </c>
      <c r="Y4151" s="2" t="s">
        <v>560</v>
      </c>
      <c r="Z4151" s="2" t="s">
        <v>23356</v>
      </c>
      <c r="AA4151" s="2">
        <v>-0.49199822615956101</v>
      </c>
      <c r="AB4151" s="2">
        <v>0.16321902526154</v>
      </c>
      <c r="AC4151" s="2">
        <v>3182.6498198986101</v>
      </c>
      <c r="AD4151" s="2">
        <v>5151.9670998401598</v>
      </c>
      <c r="AE4151" s="2">
        <v>3892.1798221528902</v>
      </c>
      <c r="AF4151" s="2">
        <v>2264.6363173649602</v>
      </c>
      <c r="AG4151" s="2">
        <v>3545.40774698421</v>
      </c>
      <c r="AH4151" s="2">
        <v>2789.1709402924298</v>
      </c>
      <c r="AI4151" s="2">
        <v>3530.5966494416102</v>
      </c>
      <c r="AJ4151" s="2">
        <v>3073.90744315555</v>
      </c>
      <c r="AK4151" s="2">
        <v>5716.6799870796403</v>
      </c>
      <c r="AL4151" s="2">
        <v>5429.4305585090997</v>
      </c>
      <c r="AM4151" s="2">
        <v>4442.0554109013101</v>
      </c>
      <c r="AN4151" s="2">
        <v>4972.0088499258</v>
      </c>
      <c r="AO4151" s="2">
        <v>5644.4689765593703</v>
      </c>
      <c r="AP4151" s="2">
        <v>4707.1588160657402</v>
      </c>
    </row>
    <row r="4152" spans="1:42" ht="14.5" x14ac:dyDescent="0.35">
      <c r="A4152" s="2" t="s">
        <v>27585</v>
      </c>
      <c r="B4152" s="2">
        <v>447.21584867836202</v>
      </c>
      <c r="C4152" s="2">
        <v>11.404716666666699</v>
      </c>
      <c r="D4152" s="2" t="s">
        <v>34</v>
      </c>
      <c r="E4152" s="2" t="s">
        <v>27586</v>
      </c>
      <c r="F4152" s="2">
        <v>54851</v>
      </c>
      <c r="G4152" s="3" t="str">
        <f>HYPERLINK("http://funmeta.oebiotech.com/network/54851", "http://funmeta.oebiotech.com/network/54851")</f>
        <v>http://funmeta.oebiotech.com/network/54851</v>
      </c>
      <c r="H4152" s="2" t="s">
        <v>27587</v>
      </c>
      <c r="I4152" s="2">
        <v>86643</v>
      </c>
      <c r="J4152" s="2"/>
      <c r="K4152" s="2">
        <v>172695</v>
      </c>
      <c r="L4152" s="2"/>
      <c r="M4152" s="2"/>
      <c r="N4152" s="2"/>
      <c r="O4152" s="2">
        <v>10742787</v>
      </c>
      <c r="P4152" s="2" t="s">
        <v>27588</v>
      </c>
      <c r="Q4152" s="2" t="s">
        <v>27589</v>
      </c>
      <c r="R4152" s="2" t="s">
        <v>27590</v>
      </c>
      <c r="S4152" s="2" t="s">
        <v>491</v>
      </c>
      <c r="T4152" s="2" t="s">
        <v>2251</v>
      </c>
      <c r="U4152" s="2" t="s">
        <v>2252</v>
      </c>
      <c r="V4152" s="2" t="s">
        <v>59</v>
      </c>
      <c r="W4152" s="2">
        <v>37.299999999999997</v>
      </c>
      <c r="X4152" s="2">
        <v>0</v>
      </c>
      <c r="Y4152" s="2" t="s">
        <v>141</v>
      </c>
      <c r="Z4152" s="2" t="s">
        <v>27591</v>
      </c>
      <c r="AA4152" s="2">
        <v>-1.61952397204015</v>
      </c>
      <c r="AB4152" s="2">
        <v>0.162966314310656</v>
      </c>
      <c r="AC4152" s="2">
        <v>4029.96571006467</v>
      </c>
      <c r="AD4152" s="2">
        <v>5869.0115768200503</v>
      </c>
      <c r="AE4152" s="2">
        <v>3850.6718777596202</v>
      </c>
      <c r="AF4152" s="2">
        <v>3703.63805546187</v>
      </c>
      <c r="AG4152" s="2">
        <v>4603.8388098349096</v>
      </c>
      <c r="AH4152" s="2">
        <v>3835.1035103529098</v>
      </c>
      <c r="AI4152" s="2">
        <v>3855.7499034411799</v>
      </c>
      <c r="AJ4152" s="2">
        <v>4330.7921035375502</v>
      </c>
      <c r="AK4152" s="2">
        <v>6315.2271126852102</v>
      </c>
      <c r="AL4152" s="2">
        <v>5771.4223068650699</v>
      </c>
      <c r="AM4152" s="2">
        <v>5366.7783227214604</v>
      </c>
      <c r="AN4152" s="2">
        <v>6007.7789027877197</v>
      </c>
      <c r="AO4152" s="2">
        <v>5896.6258907033698</v>
      </c>
      <c r="AP4152" s="2">
        <v>5856.2369251574801</v>
      </c>
    </row>
    <row r="4153" spans="1:42" ht="14.5" x14ac:dyDescent="0.35">
      <c r="A4153" s="2" t="s">
        <v>27592</v>
      </c>
      <c r="B4153" s="2">
        <v>283.15150967737299</v>
      </c>
      <c r="C4153" s="2">
        <v>5.7736666666666698</v>
      </c>
      <c r="D4153" s="2" t="s">
        <v>34</v>
      </c>
      <c r="E4153" s="2" t="s">
        <v>27593</v>
      </c>
      <c r="F4153" s="2">
        <v>200299</v>
      </c>
      <c r="G4153" s="3" t="str">
        <f>HYPERLINK("http://funmeta.oebiotech.com/network/200299", "http://funmeta.oebiotech.com/network/200299")</f>
        <v>http://funmeta.oebiotech.com/network/200299</v>
      </c>
      <c r="H4153" s="2" t="s">
        <v>27594</v>
      </c>
      <c r="I4153" s="2"/>
      <c r="J4153" s="2"/>
      <c r="K4153" s="2"/>
      <c r="L4153" s="2"/>
      <c r="M4153" s="2"/>
      <c r="N4153" s="2"/>
      <c r="O4153" s="2">
        <v>2235</v>
      </c>
      <c r="P4153" s="2"/>
      <c r="Q4153" s="2" t="s">
        <v>27595</v>
      </c>
      <c r="R4153" s="2" t="s">
        <v>27596</v>
      </c>
      <c r="S4153" s="2" t="s">
        <v>1444</v>
      </c>
      <c r="T4153" s="2" t="s">
        <v>23611</v>
      </c>
      <c r="U4153" s="2" t="s">
        <v>24146</v>
      </c>
      <c r="V4153" s="2" t="s">
        <v>59</v>
      </c>
      <c r="W4153" s="2">
        <v>38.6</v>
      </c>
      <c r="X4153" s="2">
        <v>0</v>
      </c>
      <c r="Y4153" s="2" t="s">
        <v>43</v>
      </c>
      <c r="Z4153" s="2" t="s">
        <v>27597</v>
      </c>
      <c r="AA4153" s="2">
        <v>0.73470687681098301</v>
      </c>
      <c r="AB4153" s="2">
        <v>0.16292389547396999</v>
      </c>
      <c r="AC4153" s="2">
        <v>5872.7013459424397</v>
      </c>
      <c r="AD4153" s="2">
        <v>4008.9951665633898</v>
      </c>
      <c r="AE4153" s="2">
        <v>6013.9984847631604</v>
      </c>
      <c r="AF4153" s="2">
        <v>6659.8348809843301</v>
      </c>
      <c r="AG4153" s="2">
        <v>5617.3715139031201</v>
      </c>
      <c r="AH4153" s="2">
        <v>5773.1166502217502</v>
      </c>
      <c r="AI4153" s="2">
        <v>5673.89008464161</v>
      </c>
      <c r="AJ4153" s="2">
        <v>5497.9964611406504</v>
      </c>
      <c r="AK4153" s="2">
        <v>3667.6833688605402</v>
      </c>
      <c r="AL4153" s="2">
        <v>3673.1624290681102</v>
      </c>
      <c r="AM4153" s="2">
        <v>4140.8555862314597</v>
      </c>
      <c r="AN4153" s="2">
        <v>4598.7904944393704</v>
      </c>
      <c r="AO4153" s="2">
        <v>4062.8054616337299</v>
      </c>
      <c r="AP4153" s="2">
        <v>3910.6736591471299</v>
      </c>
    </row>
    <row r="4154" spans="1:42" ht="14.5" x14ac:dyDescent="0.35">
      <c r="A4154" s="2" t="s">
        <v>27598</v>
      </c>
      <c r="B4154" s="2">
        <v>434.98833278925599</v>
      </c>
      <c r="C4154" s="2">
        <v>1.0192000000000001</v>
      </c>
      <c r="D4154" s="2" t="s">
        <v>70</v>
      </c>
      <c r="E4154" s="2" t="s">
        <v>27599</v>
      </c>
      <c r="F4154" s="2">
        <v>206950</v>
      </c>
      <c r="G4154" s="3" t="str">
        <f>HYPERLINK("http://funmeta.oebiotech.com/network/206950", "http://funmeta.oebiotech.com/network/206950")</f>
        <v>http://funmeta.oebiotech.com/network/206950</v>
      </c>
      <c r="H4154" s="2" t="s">
        <v>27600</v>
      </c>
      <c r="I4154" s="2">
        <v>44294</v>
      </c>
      <c r="J4154" s="2"/>
      <c r="K4154" s="2"/>
      <c r="L4154" s="2"/>
      <c r="M4154" s="2"/>
      <c r="N4154" s="2"/>
      <c r="O4154" s="2">
        <v>3418</v>
      </c>
      <c r="P4154" s="2" t="s">
        <v>27601</v>
      </c>
      <c r="Q4154" s="2" t="s">
        <v>27602</v>
      </c>
      <c r="R4154" s="2" t="s">
        <v>27603</v>
      </c>
      <c r="S4154" s="2" t="s">
        <v>89</v>
      </c>
      <c r="T4154" s="2" t="s">
        <v>894</v>
      </c>
      <c r="U4154" s="2" t="s">
        <v>895</v>
      </c>
      <c r="V4154" s="2" t="s">
        <v>59</v>
      </c>
      <c r="W4154" s="2">
        <v>38</v>
      </c>
      <c r="X4154" s="2">
        <v>0</v>
      </c>
      <c r="Y4154" s="2" t="s">
        <v>560</v>
      </c>
      <c r="Z4154" s="2" t="s">
        <v>27604</v>
      </c>
      <c r="AA4154" s="2">
        <v>-1.00900557335649</v>
      </c>
      <c r="AB4154" s="2">
        <v>0.16292295485361399</v>
      </c>
      <c r="AC4154" s="2">
        <v>3927.6088898523199</v>
      </c>
      <c r="AD4154" s="2">
        <v>6188.28957786296</v>
      </c>
      <c r="AE4154" s="2">
        <v>3502.22521688808</v>
      </c>
      <c r="AF4154" s="2">
        <v>2636.4451237897902</v>
      </c>
      <c r="AG4154" s="2">
        <v>3925.20375832014</v>
      </c>
      <c r="AH4154" s="2">
        <v>4202.50120953227</v>
      </c>
      <c r="AI4154" s="2">
        <v>3029.8508515547801</v>
      </c>
      <c r="AJ4154" s="2">
        <v>6269.4271790288803</v>
      </c>
      <c r="AK4154" s="2">
        <v>5191.7471211194697</v>
      </c>
      <c r="AL4154" s="2">
        <v>6630.8604885463101</v>
      </c>
      <c r="AM4154" s="2">
        <v>5777.6588524010103</v>
      </c>
      <c r="AN4154" s="2">
        <v>7019.7511235476604</v>
      </c>
      <c r="AO4154" s="2">
        <v>5982.6302806753902</v>
      </c>
      <c r="AP4154" s="2">
        <v>6527.0896008878999</v>
      </c>
    </row>
    <row r="4155" spans="1:42" ht="14.5" x14ac:dyDescent="0.35">
      <c r="A4155" s="2" t="s">
        <v>27605</v>
      </c>
      <c r="B4155" s="2">
        <v>169.122220928037</v>
      </c>
      <c r="C4155" s="2">
        <v>4.3961833333333296</v>
      </c>
      <c r="D4155" s="2" t="s">
        <v>34</v>
      </c>
      <c r="E4155" s="2" t="s">
        <v>27606</v>
      </c>
      <c r="F4155" s="2">
        <v>1732</v>
      </c>
      <c r="G4155" s="3" t="str">
        <f>HYPERLINK("http://funmeta.oebiotech.com/network/1732", "http://funmeta.oebiotech.com/network/1732")</f>
        <v>http://funmeta.oebiotech.com/network/1732</v>
      </c>
      <c r="H4155" s="2"/>
      <c r="I4155" s="2">
        <v>35523</v>
      </c>
      <c r="J4155" s="2" t="s">
        <v>27607</v>
      </c>
      <c r="K4155" s="2">
        <v>78668</v>
      </c>
      <c r="L4155" s="2"/>
      <c r="M4155" s="2"/>
      <c r="N4155" s="2"/>
      <c r="O4155" s="2">
        <v>5312738</v>
      </c>
      <c r="P4155" s="2"/>
      <c r="Q4155" s="2" t="s">
        <v>27608</v>
      </c>
      <c r="R4155" s="2" t="s">
        <v>27609</v>
      </c>
      <c r="S4155" s="2" t="s">
        <v>89</v>
      </c>
      <c r="T4155" s="2" t="s">
        <v>4218</v>
      </c>
      <c r="U4155" s="2" t="s">
        <v>5830</v>
      </c>
      <c r="V4155" s="2" t="s">
        <v>59</v>
      </c>
      <c r="W4155" s="2">
        <v>38.700000000000003</v>
      </c>
      <c r="X4155" s="2">
        <v>0</v>
      </c>
      <c r="Y4155" s="2" t="s">
        <v>141</v>
      </c>
      <c r="Z4155" s="2" t="s">
        <v>27610</v>
      </c>
      <c r="AA4155" s="2">
        <v>-0.45806651982549701</v>
      </c>
      <c r="AB4155" s="2">
        <v>0.16290858421256399</v>
      </c>
      <c r="AC4155" s="2">
        <v>15738.4533173246</v>
      </c>
      <c r="AD4155" s="2">
        <v>17789.9891630559</v>
      </c>
      <c r="AE4155" s="2">
        <v>15563.659016842599</v>
      </c>
      <c r="AF4155" s="2">
        <v>16371.0730251359</v>
      </c>
      <c r="AG4155" s="2">
        <v>15441.126057003101</v>
      </c>
      <c r="AH4155" s="2">
        <v>15374.111948575601</v>
      </c>
      <c r="AI4155" s="2">
        <v>16286.972680319101</v>
      </c>
      <c r="AJ4155" s="2">
        <v>15393.7771760712</v>
      </c>
      <c r="AK4155" s="2">
        <v>18629.381990217302</v>
      </c>
      <c r="AL4155" s="2">
        <v>17695.604835693</v>
      </c>
      <c r="AM4155" s="2">
        <v>16972.626602685599</v>
      </c>
      <c r="AN4155" s="2">
        <v>17182.183493040298</v>
      </c>
      <c r="AO4155" s="2">
        <v>19100.103171371102</v>
      </c>
      <c r="AP4155" s="2">
        <v>17160.034885327899</v>
      </c>
    </row>
    <row r="4156" spans="1:42" ht="14.5" x14ac:dyDescent="0.35">
      <c r="A4156" s="2" t="s">
        <v>27611</v>
      </c>
      <c r="B4156" s="2">
        <v>324.19524076660701</v>
      </c>
      <c r="C4156" s="2">
        <v>7.1000333333333296</v>
      </c>
      <c r="D4156" s="2" t="s">
        <v>34</v>
      </c>
      <c r="E4156" s="2" t="s">
        <v>27612</v>
      </c>
      <c r="F4156" s="2">
        <v>53398</v>
      </c>
      <c r="G4156" s="3" t="str">
        <f>HYPERLINK("http://funmeta.oebiotech.com/network/53398", "http://funmeta.oebiotech.com/network/53398")</f>
        <v>http://funmeta.oebiotech.com/network/53398</v>
      </c>
      <c r="H4156" s="2" t="s">
        <v>27613</v>
      </c>
      <c r="I4156" s="2">
        <v>2149</v>
      </c>
      <c r="J4156" s="2"/>
      <c r="K4156" s="2">
        <v>63619</v>
      </c>
      <c r="L4156" s="2" t="s">
        <v>27614</v>
      </c>
      <c r="M4156" s="2"/>
      <c r="N4156" s="2"/>
      <c r="O4156" s="2">
        <v>4932</v>
      </c>
      <c r="P4156" s="2" t="s">
        <v>27615</v>
      </c>
      <c r="Q4156" s="2" t="s">
        <v>27616</v>
      </c>
      <c r="R4156" s="2" t="s">
        <v>27617</v>
      </c>
      <c r="S4156" s="2" t="s">
        <v>115</v>
      </c>
      <c r="T4156" s="2" t="s">
        <v>12600</v>
      </c>
      <c r="U4156" s="2" t="s">
        <v>41</v>
      </c>
      <c r="V4156" s="2" t="s">
        <v>59</v>
      </c>
      <c r="W4156" s="2">
        <v>39</v>
      </c>
      <c r="X4156" s="2">
        <v>0</v>
      </c>
      <c r="Y4156" s="2" t="s">
        <v>141</v>
      </c>
      <c r="Z4156" s="2" t="s">
        <v>27618</v>
      </c>
      <c r="AA4156" s="2">
        <v>-1.6550828344181501</v>
      </c>
      <c r="AB4156" s="2">
        <v>0.16280728084062299</v>
      </c>
      <c r="AC4156" s="2">
        <v>9959.6875670189893</v>
      </c>
      <c r="AD4156" s="2">
        <v>7819.4508841926099</v>
      </c>
      <c r="AE4156" s="2">
        <v>10077.9296346889</v>
      </c>
      <c r="AF4156" s="2">
        <v>10089.2805222979</v>
      </c>
      <c r="AG4156" s="2">
        <v>9840.1054081144994</v>
      </c>
      <c r="AH4156" s="2">
        <v>11339.4310654531</v>
      </c>
      <c r="AI4156" s="2">
        <v>8442.4488265917607</v>
      </c>
      <c r="AJ4156" s="2">
        <v>9968.9299449677892</v>
      </c>
      <c r="AK4156" s="2">
        <v>7167.83957489364</v>
      </c>
      <c r="AL4156" s="2">
        <v>9260.0709385032096</v>
      </c>
      <c r="AM4156" s="2">
        <v>7209.1532823229199</v>
      </c>
      <c r="AN4156" s="2">
        <v>7753.4797972599499</v>
      </c>
      <c r="AO4156" s="2">
        <v>8211.6438163926905</v>
      </c>
      <c r="AP4156" s="2">
        <v>7314.5178957832204</v>
      </c>
    </row>
    <row r="4157" spans="1:42" ht="14.5" x14ac:dyDescent="0.35">
      <c r="A4157" s="2" t="s">
        <v>27619</v>
      </c>
      <c r="B4157" s="2">
        <v>182.117722519328</v>
      </c>
      <c r="C4157" s="2">
        <v>4.1056666666666697</v>
      </c>
      <c r="D4157" s="2" t="s">
        <v>34</v>
      </c>
      <c r="E4157" s="2" t="s">
        <v>27620</v>
      </c>
      <c r="F4157" s="2">
        <v>295917</v>
      </c>
      <c r="G4157" s="3" t="str">
        <f>HYPERLINK("http://funmeta.oebiotech.com/network/295917", "http://funmeta.oebiotech.com/network/295917")</f>
        <v>http://funmeta.oebiotech.com/network/295917</v>
      </c>
      <c r="H4157" s="2"/>
      <c r="I4157" s="2">
        <v>320248</v>
      </c>
      <c r="J4157" s="2"/>
      <c r="K4157" s="2"/>
      <c r="L4157" s="2"/>
      <c r="M4157" s="2"/>
      <c r="N4157" s="2"/>
      <c r="O4157" s="2">
        <v>10194</v>
      </c>
      <c r="P4157" s="2"/>
      <c r="Q4157" s="2" t="s">
        <v>27621</v>
      </c>
      <c r="R4157" s="2" t="s">
        <v>27622</v>
      </c>
      <c r="S4157" s="2" t="s">
        <v>148</v>
      </c>
      <c r="T4157" s="2" t="s">
        <v>149</v>
      </c>
      <c r="U4157" s="2" t="s">
        <v>1593</v>
      </c>
      <c r="V4157" s="2" t="s">
        <v>59</v>
      </c>
      <c r="W4157" s="2">
        <v>39.299999999999997</v>
      </c>
      <c r="X4157" s="2">
        <v>0</v>
      </c>
      <c r="Y4157" s="2" t="s">
        <v>43</v>
      </c>
      <c r="Z4157" s="2" t="s">
        <v>15265</v>
      </c>
      <c r="AA4157" s="2">
        <v>1.0199997798876299</v>
      </c>
      <c r="AB4157" s="2">
        <v>0.16279799476936099</v>
      </c>
      <c r="AC4157" s="2">
        <v>1595.3379001676001</v>
      </c>
      <c r="AD4157" s="2">
        <v>3387.36145663968</v>
      </c>
      <c r="AE4157" s="2">
        <v>1512.3701060931701</v>
      </c>
      <c r="AF4157" s="2">
        <v>1631.2473668212399</v>
      </c>
      <c r="AG4157" s="2">
        <v>1587.5235025417401</v>
      </c>
      <c r="AH4157" s="2">
        <v>1753.5846531821601</v>
      </c>
      <c r="AI4157" s="2">
        <v>1728.11421761529</v>
      </c>
      <c r="AJ4157" s="2">
        <v>1359.1875547520001</v>
      </c>
      <c r="AK4157" s="2">
        <v>3768.9225874616</v>
      </c>
      <c r="AL4157" s="2">
        <v>2816.3574552683799</v>
      </c>
      <c r="AM4157" s="2">
        <v>3390.37775770692</v>
      </c>
      <c r="AN4157" s="2">
        <v>3411.7165740991099</v>
      </c>
      <c r="AO4157" s="2">
        <v>3628.83887574869</v>
      </c>
      <c r="AP4157" s="2">
        <v>3307.9554895534002</v>
      </c>
    </row>
    <row r="4158" spans="1:42" ht="14.5" x14ac:dyDescent="0.35">
      <c r="A4158" s="2" t="s">
        <v>27623</v>
      </c>
      <c r="B4158" s="2">
        <v>499.21626805409699</v>
      </c>
      <c r="C4158" s="2">
        <v>5.3939333333333304</v>
      </c>
      <c r="D4158" s="2" t="s">
        <v>70</v>
      </c>
      <c r="E4158" s="2" t="s">
        <v>27624</v>
      </c>
      <c r="F4158" s="2">
        <v>197043</v>
      </c>
      <c r="G4158" s="3" t="str">
        <f>HYPERLINK("http://funmeta.oebiotech.com/network/197043", "http://funmeta.oebiotech.com/network/197043")</f>
        <v>http://funmeta.oebiotech.com/network/197043</v>
      </c>
      <c r="H4158" s="2" t="s">
        <v>27625</v>
      </c>
      <c r="I4158" s="2">
        <v>66682</v>
      </c>
      <c r="J4158" s="2"/>
      <c r="K4158" s="2">
        <v>6821</v>
      </c>
      <c r="L4158" s="2" t="s">
        <v>27626</v>
      </c>
      <c r="M4158" s="2"/>
      <c r="N4158" s="2"/>
      <c r="O4158" s="2">
        <v>6292</v>
      </c>
      <c r="P4158" s="2" t="s">
        <v>27627</v>
      </c>
      <c r="Q4158" s="2" t="s">
        <v>27628</v>
      </c>
      <c r="R4158" s="2" t="s">
        <v>27629</v>
      </c>
      <c r="S4158" s="2" t="s">
        <v>491</v>
      </c>
      <c r="T4158" s="2" t="s">
        <v>3019</v>
      </c>
      <c r="U4158" s="2" t="s">
        <v>3020</v>
      </c>
      <c r="V4158" s="2" t="s">
        <v>59</v>
      </c>
      <c r="W4158" s="2">
        <v>38.200000000000003</v>
      </c>
      <c r="X4158" s="2">
        <v>0</v>
      </c>
      <c r="Y4158" s="2" t="s">
        <v>560</v>
      </c>
      <c r="Z4158" s="2" t="s">
        <v>27630</v>
      </c>
      <c r="AA4158" s="2">
        <v>4.6346090399462003</v>
      </c>
      <c r="AB4158" s="2">
        <v>0.16276770878796201</v>
      </c>
      <c r="AC4158" s="2">
        <v>21595.854667150801</v>
      </c>
      <c r="AD4158" s="2">
        <v>24054.003065847599</v>
      </c>
      <c r="AE4158" s="2">
        <v>21846.3846240333</v>
      </c>
      <c r="AF4158" s="2">
        <v>20747.788389082201</v>
      </c>
      <c r="AG4158" s="2">
        <v>22360.030082989699</v>
      </c>
      <c r="AH4158" s="2">
        <v>20937.8510388123</v>
      </c>
      <c r="AI4158" s="2">
        <v>19994.9412533832</v>
      </c>
      <c r="AJ4158" s="2">
        <v>23688.132614604299</v>
      </c>
      <c r="AK4158" s="2">
        <v>22214.625688825501</v>
      </c>
      <c r="AL4158" s="2">
        <v>23477.017732720102</v>
      </c>
      <c r="AM4158" s="2">
        <v>26080.861400180202</v>
      </c>
      <c r="AN4158" s="2">
        <v>24825.3370619874</v>
      </c>
      <c r="AO4158" s="2">
        <v>23287.092900794902</v>
      </c>
      <c r="AP4158" s="2">
        <v>24439.0836105776</v>
      </c>
    </row>
    <row r="4159" spans="1:42" ht="14.5" x14ac:dyDescent="0.35">
      <c r="A4159" s="2" t="s">
        <v>27631</v>
      </c>
      <c r="B4159" s="2">
        <v>859.41369405046396</v>
      </c>
      <c r="C4159" s="2">
        <v>4.5826500000000001</v>
      </c>
      <c r="D4159" s="2" t="s">
        <v>34</v>
      </c>
      <c r="E4159" s="2" t="s">
        <v>27632</v>
      </c>
      <c r="F4159" s="2">
        <v>228141</v>
      </c>
      <c r="G4159" s="3" t="str">
        <f>HYPERLINK("http://funmeta.oebiotech.com/network/228141", "http://funmeta.oebiotech.com/network/228141")</f>
        <v>http://funmeta.oebiotech.com/network/228141</v>
      </c>
      <c r="H4159" s="2" t="s">
        <v>27633</v>
      </c>
      <c r="I4159" s="2"/>
      <c r="J4159" s="2"/>
      <c r="K4159" s="2"/>
      <c r="L4159" s="2"/>
      <c r="M4159" s="2"/>
      <c r="N4159" s="2"/>
      <c r="O4159" s="2"/>
      <c r="P4159" s="2"/>
      <c r="Q4159" s="2" t="s">
        <v>27634</v>
      </c>
      <c r="R4159" s="2" t="s">
        <v>27635</v>
      </c>
      <c r="S4159" s="2" t="s">
        <v>41</v>
      </c>
      <c r="T4159" s="2" t="s">
        <v>41</v>
      </c>
      <c r="U4159" s="2" t="s">
        <v>41</v>
      </c>
      <c r="V4159" s="2" t="s">
        <v>59</v>
      </c>
      <c r="W4159" s="2">
        <v>36</v>
      </c>
      <c r="X4159" s="2">
        <v>0</v>
      </c>
      <c r="Y4159" s="2" t="s">
        <v>323</v>
      </c>
      <c r="Z4159" s="2" t="s">
        <v>27636</v>
      </c>
      <c r="AA4159" s="2">
        <v>0.47008656761850698</v>
      </c>
      <c r="AB4159" s="2">
        <v>0.162687374711767</v>
      </c>
      <c r="AC4159" s="2">
        <v>4387.9960406267301</v>
      </c>
      <c r="AD4159" s="2">
        <v>7911.1628025303798</v>
      </c>
      <c r="AE4159" s="2">
        <v>2813.2800897597599</v>
      </c>
      <c r="AF4159" s="2">
        <v>7498.5954627249203</v>
      </c>
      <c r="AG4159" s="2">
        <v>3228.4099991062799</v>
      </c>
      <c r="AH4159" s="2">
        <v>2943.6966107057401</v>
      </c>
      <c r="AI4159" s="2">
        <v>2045.7641293501999</v>
      </c>
      <c r="AJ4159" s="2">
        <v>7798.2299521134801</v>
      </c>
      <c r="AK4159" s="2">
        <v>5923.2784408817997</v>
      </c>
      <c r="AL4159" s="2">
        <v>14936.299516093601</v>
      </c>
      <c r="AM4159" s="2">
        <v>10304.558557570699</v>
      </c>
      <c r="AN4159" s="2">
        <v>5902.5066340537996</v>
      </c>
      <c r="AO4159" s="2">
        <v>5071.4868634521199</v>
      </c>
      <c r="AP4159" s="2">
        <v>5328.84680313026</v>
      </c>
    </row>
    <row r="4160" spans="1:42" ht="14.5" x14ac:dyDescent="0.35">
      <c r="A4160" s="2" t="s">
        <v>27637</v>
      </c>
      <c r="B4160" s="2">
        <v>335.22273963653998</v>
      </c>
      <c r="C4160" s="2">
        <v>9.9417833333333299</v>
      </c>
      <c r="D4160" s="2" t="s">
        <v>70</v>
      </c>
      <c r="E4160" s="2" t="s">
        <v>27638</v>
      </c>
      <c r="F4160" s="2">
        <v>44890</v>
      </c>
      <c r="G4160" s="3" t="str">
        <f>HYPERLINK("http://funmeta.oebiotech.com/network/44890", "http://funmeta.oebiotech.com/network/44890")</f>
        <v>http://funmeta.oebiotech.com/network/44890</v>
      </c>
      <c r="H4160" s="2" t="s">
        <v>27639</v>
      </c>
      <c r="I4160" s="2">
        <v>2797</v>
      </c>
      <c r="J4160" s="2" t="s">
        <v>27640</v>
      </c>
      <c r="K4160" s="2">
        <v>16032</v>
      </c>
      <c r="L4160" s="2" t="s">
        <v>27641</v>
      </c>
      <c r="M4160" s="2" t="s">
        <v>2454</v>
      </c>
      <c r="N4160" s="2" t="s">
        <v>2455</v>
      </c>
      <c r="O4160" s="2">
        <v>5879</v>
      </c>
      <c r="P4160" s="2" t="s">
        <v>27642</v>
      </c>
      <c r="Q4160" s="2" t="s">
        <v>27643</v>
      </c>
      <c r="R4160" s="2" t="s">
        <v>27644</v>
      </c>
      <c r="S4160" s="2" t="s">
        <v>50</v>
      </c>
      <c r="T4160" s="2" t="s">
        <v>124</v>
      </c>
      <c r="U4160" s="2" t="s">
        <v>2373</v>
      </c>
      <c r="V4160" s="2" t="s">
        <v>59</v>
      </c>
      <c r="W4160" s="2">
        <v>38.9</v>
      </c>
      <c r="X4160" s="2">
        <v>0</v>
      </c>
      <c r="Y4160" s="2" t="s">
        <v>408</v>
      </c>
      <c r="Z4160" s="2" t="s">
        <v>18249</v>
      </c>
      <c r="AA4160" s="2">
        <v>-0.14965886076024601</v>
      </c>
      <c r="AB4160" s="2">
        <v>0.16264283996915099</v>
      </c>
      <c r="AC4160" s="2">
        <v>7052.4608715996601</v>
      </c>
      <c r="AD4160" s="2">
        <v>5172.9716858003803</v>
      </c>
      <c r="AE4160" s="2">
        <v>7131.3653242658402</v>
      </c>
      <c r="AF4160" s="2">
        <v>6421.29481282499</v>
      </c>
      <c r="AG4160" s="2">
        <v>6547.02346696319</v>
      </c>
      <c r="AH4160" s="2">
        <v>7648.1073929542899</v>
      </c>
      <c r="AI4160" s="2">
        <v>6883.0669400957704</v>
      </c>
      <c r="AJ4160" s="2">
        <v>7683.90729249386</v>
      </c>
      <c r="AK4160" s="2">
        <v>5318.4055112269598</v>
      </c>
      <c r="AL4160" s="2">
        <v>4726.6778599705904</v>
      </c>
      <c r="AM4160" s="2">
        <v>5382.6994457019</v>
      </c>
      <c r="AN4160" s="2">
        <v>5368.6047607629198</v>
      </c>
      <c r="AO4160" s="2">
        <v>5049.5614922107598</v>
      </c>
      <c r="AP4160" s="2">
        <v>5191.8810449291404</v>
      </c>
    </row>
    <row r="4161" spans="1:42" ht="14.5" x14ac:dyDescent="0.35">
      <c r="A4161" s="2" t="s">
        <v>27645</v>
      </c>
      <c r="B4161" s="2">
        <v>445.257994382145</v>
      </c>
      <c r="C4161" s="2">
        <v>7.5153999999999996</v>
      </c>
      <c r="D4161" s="2" t="s">
        <v>34</v>
      </c>
      <c r="E4161" s="2" t="s">
        <v>27646</v>
      </c>
      <c r="F4161" s="2">
        <v>57296</v>
      </c>
      <c r="G4161" s="3" t="str">
        <f>HYPERLINK("http://funmeta.oebiotech.com/network/57296", "http://funmeta.oebiotech.com/network/57296")</f>
        <v>http://funmeta.oebiotech.com/network/57296</v>
      </c>
      <c r="H4161" s="2" t="s">
        <v>27647</v>
      </c>
      <c r="I4161" s="2">
        <v>88926</v>
      </c>
      <c r="J4161" s="2"/>
      <c r="K4161" s="2">
        <v>141537</v>
      </c>
      <c r="L4161" s="2"/>
      <c r="M4161" s="2"/>
      <c r="N4161" s="2"/>
      <c r="O4161" s="2">
        <v>131751364</v>
      </c>
      <c r="P4161" s="2"/>
      <c r="Q4161" s="2" t="s">
        <v>27648</v>
      </c>
      <c r="R4161" s="2" t="s">
        <v>27649</v>
      </c>
      <c r="S4161" s="2" t="s">
        <v>148</v>
      </c>
      <c r="T4161" s="2" t="s">
        <v>392</v>
      </c>
      <c r="U4161" s="2" t="s">
        <v>8632</v>
      </c>
      <c r="V4161" s="2" t="s">
        <v>59</v>
      </c>
      <c r="W4161" s="2">
        <v>37.5</v>
      </c>
      <c r="X4161" s="2">
        <v>0</v>
      </c>
      <c r="Y4161" s="2" t="s">
        <v>394</v>
      </c>
      <c r="Z4161" s="2" t="s">
        <v>27650</v>
      </c>
      <c r="AA4161" s="2">
        <v>-1.0600348332477501</v>
      </c>
      <c r="AB4161" s="2">
        <v>0.16256940108878501</v>
      </c>
      <c r="AC4161" s="2">
        <v>12544.080831310601</v>
      </c>
      <c r="AD4161" s="2">
        <v>15467.925707030299</v>
      </c>
      <c r="AE4161" s="2">
        <v>11370.077769528199</v>
      </c>
      <c r="AF4161" s="2">
        <v>14492.6358761716</v>
      </c>
      <c r="AG4161" s="2">
        <v>16515.7261328389</v>
      </c>
      <c r="AH4161" s="2">
        <v>12474.626156331</v>
      </c>
      <c r="AI4161" s="2">
        <v>8476.1171571716695</v>
      </c>
      <c r="AJ4161" s="2">
        <v>11935.3018958221</v>
      </c>
      <c r="AK4161" s="2">
        <v>16088.578562065</v>
      </c>
      <c r="AL4161" s="2">
        <v>16328.800713486</v>
      </c>
      <c r="AM4161" s="2">
        <v>14433.9503376639</v>
      </c>
      <c r="AN4161" s="2">
        <v>14036.0776231734</v>
      </c>
      <c r="AO4161" s="2">
        <v>16559.182019497199</v>
      </c>
      <c r="AP4161" s="2">
        <v>15360.9649862965</v>
      </c>
    </row>
    <row r="4162" spans="1:42" ht="14.5" x14ac:dyDescent="0.35">
      <c r="A4162" s="2" t="s">
        <v>27651</v>
      </c>
      <c r="B4162" s="2">
        <v>374.302547139551</v>
      </c>
      <c r="C4162" s="2">
        <v>12.4683666666667</v>
      </c>
      <c r="D4162" s="2" t="s">
        <v>34</v>
      </c>
      <c r="E4162" s="2" t="s">
        <v>27652</v>
      </c>
      <c r="F4162" s="2">
        <v>9014</v>
      </c>
      <c r="G4162" s="3" t="str">
        <f>HYPERLINK("http://funmeta.oebiotech.com/network/9014", "http://funmeta.oebiotech.com/network/9014")</f>
        <v>http://funmeta.oebiotech.com/network/9014</v>
      </c>
      <c r="H4162" s="2"/>
      <c r="I4162" s="2">
        <v>36738</v>
      </c>
      <c r="J4162" s="2" t="s">
        <v>27653</v>
      </c>
      <c r="K4162" s="2">
        <v>73733</v>
      </c>
      <c r="L4162" s="2"/>
      <c r="M4162" s="2"/>
      <c r="N4162" s="2"/>
      <c r="O4162" s="2">
        <v>5283444</v>
      </c>
      <c r="P4162" s="2"/>
      <c r="Q4162" s="2" t="s">
        <v>27654</v>
      </c>
      <c r="R4162" s="2" t="s">
        <v>27655</v>
      </c>
      <c r="S4162" s="2" t="s">
        <v>1677</v>
      </c>
      <c r="T4162" s="2" t="s">
        <v>1678</v>
      </c>
      <c r="U4162" s="2" t="s">
        <v>1679</v>
      </c>
      <c r="V4162" s="2" t="s">
        <v>59</v>
      </c>
      <c r="W4162" s="2">
        <v>38.9</v>
      </c>
      <c r="X4162" s="2">
        <v>0</v>
      </c>
      <c r="Y4162" s="2" t="s">
        <v>323</v>
      </c>
      <c r="Z4162" s="2" t="s">
        <v>27656</v>
      </c>
      <c r="AA4162" s="2">
        <v>-1.1474053103505399</v>
      </c>
      <c r="AB4162" s="2">
        <v>0.16253212767335201</v>
      </c>
      <c r="AC4162" s="2">
        <v>6827.3113490964297</v>
      </c>
      <c r="AD4162" s="2">
        <v>3863.7073586865999</v>
      </c>
      <c r="AE4162" s="2">
        <v>3614.4217137072901</v>
      </c>
      <c r="AF4162" s="2">
        <v>6055.7878891503296</v>
      </c>
      <c r="AG4162" s="2">
        <v>5324.2213943081197</v>
      </c>
      <c r="AH4162" s="2">
        <v>12544.432245299</v>
      </c>
      <c r="AI4162" s="2">
        <v>6459.4887110239197</v>
      </c>
      <c r="AJ4162" s="2">
        <v>6965.51614108989</v>
      </c>
      <c r="AK4162" s="2">
        <v>2137.66609249985</v>
      </c>
      <c r="AL4162" s="2">
        <v>4191.87771514222</v>
      </c>
      <c r="AM4162" s="2">
        <v>4367.4423483277997</v>
      </c>
      <c r="AN4162" s="2">
        <v>3867.7779730564398</v>
      </c>
      <c r="AO4162" s="2">
        <v>4352.0401173458904</v>
      </c>
      <c r="AP4162" s="2">
        <v>4265.4399057473802</v>
      </c>
    </row>
    <row r="4163" spans="1:42" ht="14.5" x14ac:dyDescent="0.35">
      <c r="A4163" s="2" t="s">
        <v>27657</v>
      </c>
      <c r="B4163" s="2">
        <v>408.15075811221402</v>
      </c>
      <c r="C4163" s="2">
        <v>4.6130500000000003</v>
      </c>
      <c r="D4163" s="2" t="s">
        <v>70</v>
      </c>
      <c r="E4163" s="2" t="s">
        <v>27658</v>
      </c>
      <c r="F4163" s="2">
        <v>275603</v>
      </c>
      <c r="G4163" s="3" t="str">
        <f>HYPERLINK("http://funmeta.oebiotech.com/network/275603", "http://funmeta.oebiotech.com/network/275603")</f>
        <v>http://funmeta.oebiotech.com/network/275603</v>
      </c>
      <c r="H4163" s="2"/>
      <c r="I4163" s="2">
        <v>66912</v>
      </c>
      <c r="J4163" s="2"/>
      <c r="K4163" s="2"/>
      <c r="L4163" s="2" t="s">
        <v>27659</v>
      </c>
      <c r="M4163" s="2"/>
      <c r="N4163" s="2"/>
      <c r="O4163" s="2">
        <v>119301</v>
      </c>
      <c r="P4163" s="2" t="s">
        <v>27660</v>
      </c>
      <c r="Q4163" s="2" t="s">
        <v>27661</v>
      </c>
      <c r="R4163" s="2" t="s">
        <v>27662</v>
      </c>
      <c r="S4163" s="2" t="s">
        <v>79</v>
      </c>
      <c r="T4163" s="2" t="s">
        <v>80</v>
      </c>
      <c r="U4163" s="2" t="s">
        <v>81</v>
      </c>
      <c r="V4163" s="2" t="s">
        <v>59</v>
      </c>
      <c r="W4163" s="2">
        <v>38.200000000000003</v>
      </c>
      <c r="X4163" s="2">
        <v>0</v>
      </c>
      <c r="Y4163" s="2" t="s">
        <v>118</v>
      </c>
      <c r="Z4163" s="2" t="s">
        <v>27663</v>
      </c>
      <c r="AA4163" s="2">
        <v>-0.91930564460127295</v>
      </c>
      <c r="AB4163" s="2">
        <v>0.162506578307513</v>
      </c>
      <c r="AC4163" s="2">
        <v>17588.333189324901</v>
      </c>
      <c r="AD4163" s="2">
        <v>15120.5381290235</v>
      </c>
      <c r="AE4163" s="2">
        <v>17123.799755195902</v>
      </c>
      <c r="AF4163" s="2">
        <v>19042.8898340497</v>
      </c>
      <c r="AG4163" s="2">
        <v>18229.592683618299</v>
      </c>
      <c r="AH4163" s="2">
        <v>16712.293166028299</v>
      </c>
      <c r="AI4163" s="2">
        <v>15325.218331644601</v>
      </c>
      <c r="AJ4163" s="2">
        <v>19096.205365412901</v>
      </c>
      <c r="AK4163" s="2">
        <v>15622.823421523401</v>
      </c>
      <c r="AL4163" s="2">
        <v>14218.5586041183</v>
      </c>
      <c r="AM4163" s="2">
        <v>14779.6548793981</v>
      </c>
      <c r="AN4163" s="2">
        <v>17545.479731694599</v>
      </c>
      <c r="AO4163" s="2">
        <v>14407.973832850999</v>
      </c>
      <c r="AP4163" s="2">
        <v>14148.7383045559</v>
      </c>
    </row>
    <row r="4164" spans="1:42" ht="14.5" x14ac:dyDescent="0.35">
      <c r="A4164" s="2" t="s">
        <v>27664</v>
      </c>
      <c r="B4164" s="2">
        <v>319.283841415317</v>
      </c>
      <c r="C4164" s="2">
        <v>6.484</v>
      </c>
      <c r="D4164" s="2" t="s">
        <v>34</v>
      </c>
      <c r="E4164" s="2" t="s">
        <v>27665</v>
      </c>
      <c r="F4164" s="2">
        <v>10490</v>
      </c>
      <c r="G4164" s="3" t="str">
        <f>HYPERLINK("http://funmeta.oebiotech.com/network/10490", "http://funmeta.oebiotech.com/network/10490")</f>
        <v>http://funmeta.oebiotech.com/network/10490</v>
      </c>
      <c r="H4164" s="2"/>
      <c r="I4164" s="2"/>
      <c r="J4164" s="2" t="s">
        <v>27666</v>
      </c>
      <c r="K4164" s="2"/>
      <c r="L4164" s="2"/>
      <c r="M4164" s="2"/>
      <c r="N4164" s="2"/>
      <c r="O4164" s="2">
        <v>137323863</v>
      </c>
      <c r="P4164" s="2"/>
      <c r="Q4164" s="2" t="s">
        <v>27667</v>
      </c>
      <c r="R4164" s="2" t="s">
        <v>27668</v>
      </c>
      <c r="S4164" s="2" t="s">
        <v>50</v>
      </c>
      <c r="T4164" s="2" t="s">
        <v>229</v>
      </c>
      <c r="U4164" s="2" t="s">
        <v>1283</v>
      </c>
      <c r="V4164" s="2" t="s">
        <v>59</v>
      </c>
      <c r="W4164" s="2">
        <v>41.8</v>
      </c>
      <c r="X4164" s="2">
        <v>18.399999999999999</v>
      </c>
      <c r="Y4164" s="2" t="s">
        <v>394</v>
      </c>
      <c r="Z4164" s="2" t="s">
        <v>27669</v>
      </c>
      <c r="AA4164" s="2">
        <v>-1.39725323894535</v>
      </c>
      <c r="AB4164" s="2">
        <v>0.162342462918247</v>
      </c>
      <c r="AC4164" s="2">
        <v>1744.53358373334</v>
      </c>
      <c r="AD4164" s="2">
        <v>4079.60596383953</v>
      </c>
      <c r="AE4164" s="2">
        <v>634.43633871987197</v>
      </c>
      <c r="AF4164" s="2">
        <v>1997.7548600441201</v>
      </c>
      <c r="AG4164" s="2">
        <v>1089.11604315712</v>
      </c>
      <c r="AH4164" s="2">
        <v>1033.0628129823001</v>
      </c>
      <c r="AI4164" s="2">
        <v>2060.4963376135702</v>
      </c>
      <c r="AJ4164" s="2">
        <v>3652.3351098830499</v>
      </c>
      <c r="AK4164" s="2">
        <v>3257.3587025072802</v>
      </c>
      <c r="AL4164" s="2">
        <v>5885.7323772680802</v>
      </c>
      <c r="AM4164" s="2">
        <v>4984.2578827478301</v>
      </c>
      <c r="AN4164" s="2">
        <v>2789.6398666241398</v>
      </c>
      <c r="AO4164" s="2">
        <v>4435.9771416801204</v>
      </c>
      <c r="AP4164" s="2">
        <v>3124.66981220974</v>
      </c>
    </row>
    <row r="4165" spans="1:42" ht="14.5" x14ac:dyDescent="0.35">
      <c r="A4165" s="2" t="s">
        <v>27670</v>
      </c>
      <c r="B4165" s="2">
        <v>779.27257159210399</v>
      </c>
      <c r="C4165" s="2">
        <v>6.1797833333333303</v>
      </c>
      <c r="D4165" s="2" t="s">
        <v>70</v>
      </c>
      <c r="E4165" s="2" t="s">
        <v>27671</v>
      </c>
      <c r="F4165" s="2">
        <v>210881</v>
      </c>
      <c r="G4165" s="3" t="str">
        <f>HYPERLINK("http://funmeta.oebiotech.com/network/210881", "http://funmeta.oebiotech.com/network/210881")</f>
        <v>http://funmeta.oebiotech.com/network/210881</v>
      </c>
      <c r="H4165" s="2" t="s">
        <v>27672</v>
      </c>
      <c r="I4165" s="2"/>
      <c r="J4165" s="2"/>
      <c r="K4165" s="2"/>
      <c r="L4165" s="2"/>
      <c r="M4165" s="2"/>
      <c r="N4165" s="2"/>
      <c r="O4165" s="2">
        <v>22451303</v>
      </c>
      <c r="P4165" s="2"/>
      <c r="Q4165" s="2" t="s">
        <v>27673</v>
      </c>
      <c r="R4165" s="2" t="s">
        <v>27674</v>
      </c>
      <c r="S4165" s="2" t="s">
        <v>1444</v>
      </c>
      <c r="T4165" s="2" t="s">
        <v>3595</v>
      </c>
      <c r="U4165" s="2" t="s">
        <v>41</v>
      </c>
      <c r="V4165" s="2" t="s">
        <v>59</v>
      </c>
      <c r="W4165" s="2">
        <v>38.799999999999997</v>
      </c>
      <c r="X4165" s="2">
        <v>0</v>
      </c>
      <c r="Y4165" s="2" t="s">
        <v>560</v>
      </c>
      <c r="Z4165" s="2" t="s">
        <v>27675</v>
      </c>
      <c r="AA4165" s="2">
        <v>-0.235047429757826</v>
      </c>
      <c r="AB4165" s="2">
        <v>0.16212190980615501</v>
      </c>
      <c r="AC4165" s="2">
        <v>51574.380110568804</v>
      </c>
      <c r="AD4165" s="2">
        <v>55791.1773019006</v>
      </c>
      <c r="AE4165" s="2">
        <v>52154.671922240203</v>
      </c>
      <c r="AF4165" s="2">
        <v>52691.761635705901</v>
      </c>
      <c r="AG4165" s="2">
        <v>49635.928746737998</v>
      </c>
      <c r="AH4165" s="2">
        <v>46111.624226762098</v>
      </c>
      <c r="AI4165" s="2">
        <v>48278.424506225499</v>
      </c>
      <c r="AJ4165" s="2">
        <v>60573.869625740997</v>
      </c>
      <c r="AK4165" s="2">
        <v>53879.278438901201</v>
      </c>
      <c r="AL4165" s="2">
        <v>63452.859056933303</v>
      </c>
      <c r="AM4165" s="2">
        <v>48970.4037875711</v>
      </c>
      <c r="AN4165" s="2">
        <v>56861.348542429703</v>
      </c>
      <c r="AO4165" s="2">
        <v>58700.044638103704</v>
      </c>
      <c r="AP4165" s="2">
        <v>52883.129347464499</v>
      </c>
    </row>
    <row r="4166" spans="1:42" ht="14.5" x14ac:dyDescent="0.35">
      <c r="A4166" s="2" t="s">
        <v>27676</v>
      </c>
      <c r="B4166" s="2">
        <v>701.213657109211</v>
      </c>
      <c r="C4166" s="2">
        <v>8.2186333333333295</v>
      </c>
      <c r="D4166" s="2" t="s">
        <v>70</v>
      </c>
      <c r="E4166" s="2" t="s">
        <v>27677</v>
      </c>
      <c r="F4166" s="2">
        <v>82871</v>
      </c>
      <c r="G4166" s="3" t="str">
        <f>HYPERLINK("http://funmeta.oebiotech.com/network/82871", "http://funmeta.oebiotech.com/network/82871")</f>
        <v>http://funmeta.oebiotech.com/network/82871</v>
      </c>
      <c r="H4166" s="2" t="s">
        <v>27678</v>
      </c>
      <c r="I4166" s="2">
        <v>878</v>
      </c>
      <c r="J4166" s="2"/>
      <c r="K4166" s="2"/>
      <c r="L4166" s="2"/>
      <c r="M4166" s="2"/>
      <c r="N4166" s="2"/>
      <c r="O4166" s="2">
        <v>108222</v>
      </c>
      <c r="P4166" s="2" t="s">
        <v>27679</v>
      </c>
      <c r="Q4166" s="2" t="s">
        <v>27680</v>
      </c>
      <c r="R4166" s="2" t="s">
        <v>27681</v>
      </c>
      <c r="S4166" s="2" t="s">
        <v>491</v>
      </c>
      <c r="T4166" s="2" t="s">
        <v>5190</v>
      </c>
      <c r="U4166" s="2" t="s">
        <v>5191</v>
      </c>
      <c r="V4166" s="2" t="s">
        <v>42</v>
      </c>
      <c r="W4166" s="2">
        <v>41.2</v>
      </c>
      <c r="X4166" s="2">
        <v>60.3</v>
      </c>
      <c r="Y4166" s="2" t="s">
        <v>751</v>
      </c>
      <c r="Z4166" s="2" t="s">
        <v>27682</v>
      </c>
      <c r="AA4166" s="2">
        <v>-3.7814443785811802</v>
      </c>
      <c r="AB4166" s="2">
        <v>0.162075770900103</v>
      </c>
      <c r="AC4166" s="2">
        <v>28505.562632899499</v>
      </c>
      <c r="AD4166" s="2">
        <v>31160.841869530799</v>
      </c>
      <c r="AE4166" s="2">
        <v>29531.7795704495</v>
      </c>
      <c r="AF4166" s="2">
        <v>28701.016231835401</v>
      </c>
      <c r="AG4166" s="2">
        <v>29296.102310395199</v>
      </c>
      <c r="AH4166" s="2">
        <v>27930.4483061397</v>
      </c>
      <c r="AI4166" s="2">
        <v>29260.0759656255</v>
      </c>
      <c r="AJ4166" s="2">
        <v>26313.953412951902</v>
      </c>
      <c r="AK4166" s="2">
        <v>30184.128145672701</v>
      </c>
      <c r="AL4166" s="2">
        <v>28869.666002045498</v>
      </c>
      <c r="AM4166" s="2">
        <v>31521.988992210801</v>
      </c>
      <c r="AN4166" s="2">
        <v>29219.047210420798</v>
      </c>
      <c r="AO4166" s="2">
        <v>33446.438444210602</v>
      </c>
      <c r="AP4166" s="2">
        <v>33723.782422624601</v>
      </c>
    </row>
    <row r="4167" spans="1:42" ht="14.5" x14ac:dyDescent="0.35">
      <c r="A4167" s="2" t="s">
        <v>27683</v>
      </c>
      <c r="B4167" s="2">
        <v>455.02823109783401</v>
      </c>
      <c r="C4167" s="2">
        <v>3.4826666666666699</v>
      </c>
      <c r="D4167" s="2" t="s">
        <v>70</v>
      </c>
      <c r="E4167" s="2" t="s">
        <v>27684</v>
      </c>
      <c r="F4167" s="2">
        <v>31347</v>
      </c>
      <c r="G4167" s="3" t="str">
        <f>HYPERLINK("http://funmeta.oebiotech.com/network/31347", "http://funmeta.oebiotech.com/network/31347")</f>
        <v>http://funmeta.oebiotech.com/network/31347</v>
      </c>
      <c r="H4167" s="2"/>
      <c r="I4167" s="2">
        <v>49682</v>
      </c>
      <c r="J4167" s="2" t="s">
        <v>27685</v>
      </c>
      <c r="K4167" s="2"/>
      <c r="L4167" s="2"/>
      <c r="M4167" s="2"/>
      <c r="N4167" s="2"/>
      <c r="O4167" s="2">
        <v>13845909</v>
      </c>
      <c r="P4167" s="2"/>
      <c r="Q4167" s="2" t="s">
        <v>27686</v>
      </c>
      <c r="R4167" s="2" t="s">
        <v>27687</v>
      </c>
      <c r="S4167" s="2" t="s">
        <v>115</v>
      </c>
      <c r="T4167" s="2" t="s">
        <v>139</v>
      </c>
      <c r="U4167" s="2" t="s">
        <v>1552</v>
      </c>
      <c r="V4167" s="2" t="s">
        <v>59</v>
      </c>
      <c r="W4167" s="2">
        <v>38.1</v>
      </c>
      <c r="X4167" s="2">
        <v>0</v>
      </c>
      <c r="Y4167" s="2" t="s">
        <v>408</v>
      </c>
      <c r="Z4167" s="2" t="s">
        <v>27688</v>
      </c>
      <c r="AA4167" s="2">
        <v>-1.80332015115483</v>
      </c>
      <c r="AB4167" s="2">
        <v>0.16197983587043499</v>
      </c>
      <c r="AC4167" s="2">
        <v>4210.8554490425504</v>
      </c>
      <c r="AD4167" s="2">
        <v>2284.1576796746499</v>
      </c>
      <c r="AE4167" s="2">
        <v>4957.9058811151599</v>
      </c>
      <c r="AF4167" s="2">
        <v>3837.9103371890401</v>
      </c>
      <c r="AG4167" s="2">
        <v>5173.1223759720797</v>
      </c>
      <c r="AH4167" s="2">
        <v>3541.69988442564</v>
      </c>
      <c r="AI4167" s="2">
        <v>4167.7443426190403</v>
      </c>
      <c r="AJ4167" s="2">
        <v>3586.7498729343401</v>
      </c>
      <c r="AK4167" s="2">
        <v>2307.7105124146801</v>
      </c>
      <c r="AL4167" s="2">
        <v>2000.5806696785601</v>
      </c>
      <c r="AM4167" s="2">
        <v>2539.0939744156699</v>
      </c>
      <c r="AN4167" s="2">
        <v>2421.8457555759301</v>
      </c>
      <c r="AO4167" s="2">
        <v>2534.95407955561</v>
      </c>
      <c r="AP4167" s="2">
        <v>1900.76108640747</v>
      </c>
    </row>
    <row r="4168" spans="1:42" ht="14.5" x14ac:dyDescent="0.35">
      <c r="A4168" s="2" t="s">
        <v>27689</v>
      </c>
      <c r="B4168" s="2">
        <v>171.06256559718301</v>
      </c>
      <c r="C4168" s="2">
        <v>1.29345</v>
      </c>
      <c r="D4168" s="2" t="s">
        <v>34</v>
      </c>
      <c r="E4168" s="2" t="s">
        <v>27690</v>
      </c>
      <c r="F4168" s="2">
        <v>202657</v>
      </c>
      <c r="G4168" s="3" t="str">
        <f>HYPERLINK("http://funmeta.oebiotech.com/network/202657", "http://funmeta.oebiotech.com/network/202657")</f>
        <v>http://funmeta.oebiotech.com/network/202657</v>
      </c>
      <c r="H4168" s="2" t="s">
        <v>27691</v>
      </c>
      <c r="I4168" s="2"/>
      <c r="J4168" s="2"/>
      <c r="K4168" s="2">
        <v>40850</v>
      </c>
      <c r="L4168" s="2"/>
      <c r="M4168" s="2"/>
      <c r="N4168" s="2"/>
      <c r="O4168" s="2">
        <v>15113</v>
      </c>
      <c r="P4168" s="2"/>
      <c r="Q4168" s="2" t="s">
        <v>27692</v>
      </c>
      <c r="R4168" s="2" t="s">
        <v>27693</v>
      </c>
      <c r="S4168" s="2" t="s">
        <v>491</v>
      </c>
      <c r="T4168" s="2" t="s">
        <v>3613</v>
      </c>
      <c r="U4168" s="2" t="s">
        <v>41</v>
      </c>
      <c r="V4168" s="2" t="s">
        <v>59</v>
      </c>
      <c r="W4168" s="2">
        <v>39.299999999999997</v>
      </c>
      <c r="X4168" s="2">
        <v>0</v>
      </c>
      <c r="Y4168" s="2" t="s">
        <v>43</v>
      </c>
      <c r="Z4168" s="2" t="s">
        <v>27694</v>
      </c>
      <c r="AA4168" s="2">
        <v>0.42938262116297599</v>
      </c>
      <c r="AB4168" s="2">
        <v>0.161913817347903</v>
      </c>
      <c r="AC4168" s="2">
        <v>6323.9953395631801</v>
      </c>
      <c r="AD4168" s="2">
        <v>4485.2355137662298</v>
      </c>
      <c r="AE4168" s="2">
        <v>6808.4469838451096</v>
      </c>
      <c r="AF4168" s="2">
        <v>7005.8095125516602</v>
      </c>
      <c r="AG4168" s="2">
        <v>5931.98972742361</v>
      </c>
      <c r="AH4168" s="2">
        <v>6304.14045425517</v>
      </c>
      <c r="AI4168" s="2">
        <v>6288.05437102821</v>
      </c>
      <c r="AJ4168" s="2">
        <v>5605.5309882752999</v>
      </c>
      <c r="AK4168" s="2">
        <v>4509.5320429314897</v>
      </c>
      <c r="AL4168" s="2">
        <v>4548.1916723857803</v>
      </c>
      <c r="AM4168" s="2">
        <v>4540.1515629033402</v>
      </c>
      <c r="AN4168" s="2">
        <v>4474.6887742881599</v>
      </c>
      <c r="AO4168" s="2">
        <v>4196.9656975669504</v>
      </c>
      <c r="AP4168" s="2">
        <v>4641.8833325216601</v>
      </c>
    </row>
    <row r="4169" spans="1:42" ht="14.5" x14ac:dyDescent="0.35">
      <c r="A4169" s="2" t="s">
        <v>27695</v>
      </c>
      <c r="B4169" s="2">
        <v>501.28204335572002</v>
      </c>
      <c r="C4169" s="2">
        <v>9.7086333333333297</v>
      </c>
      <c r="D4169" s="2" t="s">
        <v>34</v>
      </c>
      <c r="E4169" s="2" t="s">
        <v>27696</v>
      </c>
      <c r="F4169" s="2">
        <v>10263</v>
      </c>
      <c r="G4169" s="3" t="str">
        <f>HYPERLINK("http://funmeta.oebiotech.com/network/10263", "http://funmeta.oebiotech.com/network/10263")</f>
        <v>http://funmeta.oebiotech.com/network/10263</v>
      </c>
      <c r="H4169" s="2"/>
      <c r="I4169" s="2"/>
      <c r="J4169" s="2" t="s">
        <v>27697</v>
      </c>
      <c r="K4169" s="2"/>
      <c r="L4169" s="2"/>
      <c r="M4169" s="2"/>
      <c r="N4169" s="2"/>
      <c r="O4169" s="2">
        <v>146682923</v>
      </c>
      <c r="P4169" s="2"/>
      <c r="Q4169" s="2" t="s">
        <v>27698</v>
      </c>
      <c r="R4169" s="2" t="s">
        <v>27699</v>
      </c>
      <c r="S4169" s="2" t="s">
        <v>50</v>
      </c>
      <c r="T4169" s="2" t="s">
        <v>229</v>
      </c>
      <c r="U4169" s="2" t="s">
        <v>230</v>
      </c>
      <c r="V4169" s="2" t="s">
        <v>59</v>
      </c>
      <c r="W4169" s="2">
        <v>38.799999999999997</v>
      </c>
      <c r="X4169" s="2">
        <v>0</v>
      </c>
      <c r="Y4169" s="2" t="s">
        <v>340</v>
      </c>
      <c r="Z4169" s="2" t="s">
        <v>27700</v>
      </c>
      <c r="AA4169" s="2">
        <v>-0.82876922120458296</v>
      </c>
      <c r="AB4169" s="2">
        <v>0.161899623706903</v>
      </c>
      <c r="AC4169" s="2">
        <v>6476.3223833236998</v>
      </c>
      <c r="AD4169" s="2">
        <v>8788.4615869540194</v>
      </c>
      <c r="AE4169" s="2">
        <v>8055.4439351582496</v>
      </c>
      <c r="AF4169" s="2">
        <v>6103.2473337969896</v>
      </c>
      <c r="AG4169" s="2">
        <v>6291.1198831052498</v>
      </c>
      <c r="AH4169" s="2">
        <v>6355.1112930174204</v>
      </c>
      <c r="AI4169" s="2">
        <v>5944.8892038087597</v>
      </c>
      <c r="AJ4169" s="2">
        <v>6108.1226510555498</v>
      </c>
      <c r="AK4169" s="2">
        <v>10941.2176457758</v>
      </c>
      <c r="AL4169" s="2">
        <v>9861.4785599735205</v>
      </c>
      <c r="AM4169" s="2">
        <v>8723.1376247394892</v>
      </c>
      <c r="AN4169" s="2">
        <v>7634.4772400063102</v>
      </c>
      <c r="AO4169" s="2">
        <v>7520.6148554682004</v>
      </c>
      <c r="AP4169" s="2">
        <v>8049.8435957608299</v>
      </c>
    </row>
    <row r="4170" spans="1:42" ht="14.5" x14ac:dyDescent="0.35">
      <c r="A4170" s="2" t="s">
        <v>27701</v>
      </c>
      <c r="B4170" s="2">
        <v>373.12877258641902</v>
      </c>
      <c r="C4170" s="2">
        <v>4.5612000000000004</v>
      </c>
      <c r="D4170" s="2" t="s">
        <v>70</v>
      </c>
      <c r="E4170" s="2" t="s">
        <v>27702</v>
      </c>
      <c r="F4170" s="2">
        <v>62830</v>
      </c>
      <c r="G4170" s="3" t="str">
        <f>HYPERLINK("http://funmeta.oebiotech.com/network/62830", "http://funmeta.oebiotech.com/network/62830")</f>
        <v>http://funmeta.oebiotech.com/network/62830</v>
      </c>
      <c r="H4170" s="2" t="s">
        <v>27703</v>
      </c>
      <c r="I4170" s="2">
        <v>94123</v>
      </c>
      <c r="J4170" s="2"/>
      <c r="K4170" s="2">
        <v>168171</v>
      </c>
      <c r="L4170" s="2"/>
      <c r="M4170" s="2"/>
      <c r="N4170" s="2"/>
      <c r="O4170" s="2">
        <v>131752678</v>
      </c>
      <c r="P4170" s="2" t="s">
        <v>27704</v>
      </c>
      <c r="Q4170" s="2" t="s">
        <v>27705</v>
      </c>
      <c r="R4170" s="2" t="s">
        <v>27706</v>
      </c>
      <c r="S4170" s="2" t="s">
        <v>115</v>
      </c>
      <c r="T4170" s="2" t="s">
        <v>758</v>
      </c>
      <c r="U4170" s="2" t="s">
        <v>1477</v>
      </c>
      <c r="V4170" s="2" t="s">
        <v>42</v>
      </c>
      <c r="W4170" s="2">
        <v>51</v>
      </c>
      <c r="X4170" s="2">
        <v>65.8</v>
      </c>
      <c r="Y4170" s="2" t="s">
        <v>751</v>
      </c>
      <c r="Z4170" s="2" t="s">
        <v>27707</v>
      </c>
      <c r="AA4170" s="2">
        <v>-1.2852822783045501</v>
      </c>
      <c r="AB4170" s="2">
        <v>0.16177031584575399</v>
      </c>
      <c r="AC4170" s="2">
        <v>11380.0646337171</v>
      </c>
      <c r="AD4170" s="2">
        <v>14069.194123589799</v>
      </c>
      <c r="AE4170" s="2">
        <v>12087.234879273699</v>
      </c>
      <c r="AF4170" s="2">
        <v>11390.1607188705</v>
      </c>
      <c r="AG4170" s="2">
        <v>9996.8861212229804</v>
      </c>
      <c r="AH4170" s="2">
        <v>11664.372884124001</v>
      </c>
      <c r="AI4170" s="2">
        <v>11392.2419146134</v>
      </c>
      <c r="AJ4170" s="2">
        <v>11749.4912841979</v>
      </c>
      <c r="AK4170" s="2">
        <v>14473.312290960699</v>
      </c>
      <c r="AL4170" s="2">
        <v>12255.4805507325</v>
      </c>
      <c r="AM4170" s="2">
        <v>16031.715290697601</v>
      </c>
      <c r="AN4170" s="2">
        <v>14429.840866652001</v>
      </c>
      <c r="AO4170" s="2">
        <v>10339.0233478683</v>
      </c>
      <c r="AP4170" s="2">
        <v>16885.7923946275</v>
      </c>
    </row>
    <row r="4171" spans="1:42" ht="14.5" x14ac:dyDescent="0.35">
      <c r="A4171" s="2" t="s">
        <v>27708</v>
      </c>
      <c r="B4171" s="2">
        <v>581.18681937809799</v>
      </c>
      <c r="C4171" s="2">
        <v>4.5236333333333301</v>
      </c>
      <c r="D4171" s="2" t="s">
        <v>70</v>
      </c>
      <c r="E4171" s="2" t="s">
        <v>27709</v>
      </c>
      <c r="F4171" s="2">
        <v>513642</v>
      </c>
      <c r="G4171" s="3" t="str">
        <f>HYPERLINK("http://funmeta.oebiotech.com/network/513642", "http://funmeta.oebiotech.com/network/513642")</f>
        <v>http://funmeta.oebiotech.com/network/513642</v>
      </c>
      <c r="H4171" s="2"/>
      <c r="I4171" s="2">
        <v>96312</v>
      </c>
      <c r="J4171" s="2"/>
      <c r="K4171" s="2"/>
      <c r="L4171" s="2"/>
      <c r="M4171" s="2"/>
      <c r="N4171" s="2"/>
      <c r="O4171" s="2">
        <v>11824</v>
      </c>
      <c r="P4171" s="2" t="s">
        <v>27710</v>
      </c>
      <c r="Q4171" s="2" t="s">
        <v>27711</v>
      </c>
      <c r="R4171" s="2" t="s">
        <v>27712</v>
      </c>
      <c r="S4171" s="2" t="s">
        <v>1444</v>
      </c>
      <c r="T4171" s="2" t="s">
        <v>4172</v>
      </c>
      <c r="U4171" s="2" t="s">
        <v>41</v>
      </c>
      <c r="V4171" s="2" t="s">
        <v>59</v>
      </c>
      <c r="W4171" s="2">
        <v>39</v>
      </c>
      <c r="X4171" s="2">
        <v>0</v>
      </c>
      <c r="Y4171" s="2" t="s">
        <v>560</v>
      </c>
      <c r="Z4171" s="2" t="s">
        <v>27713</v>
      </c>
      <c r="AA4171" s="2">
        <v>1.0099250329482501</v>
      </c>
      <c r="AB4171" s="2">
        <v>0.16167038290081401</v>
      </c>
      <c r="AC4171" s="2">
        <v>5120.06015959447</v>
      </c>
      <c r="AD4171" s="2">
        <v>7721.4327688110898</v>
      </c>
      <c r="AE4171" s="2">
        <v>4090.8257194950202</v>
      </c>
      <c r="AF4171" s="2">
        <v>7671.4006545592401</v>
      </c>
      <c r="AG4171" s="2">
        <v>4913.8903328704</v>
      </c>
      <c r="AH4171" s="2">
        <v>3981.5825507528898</v>
      </c>
      <c r="AI4171" s="2">
        <v>5532.5745010549799</v>
      </c>
      <c r="AJ4171" s="2">
        <v>4530.0871988342697</v>
      </c>
      <c r="AK4171" s="2">
        <v>9751.5705603496208</v>
      </c>
      <c r="AL4171" s="2">
        <v>6318.38900661973</v>
      </c>
      <c r="AM4171" s="2">
        <v>5650.3834173386404</v>
      </c>
      <c r="AN4171" s="2">
        <v>8489.7293316070609</v>
      </c>
      <c r="AO4171" s="2">
        <v>6378.8257818929997</v>
      </c>
      <c r="AP4171" s="2">
        <v>9739.6985150584605</v>
      </c>
    </row>
    <row r="4172" spans="1:42" ht="14.5" x14ac:dyDescent="0.35">
      <c r="A4172" s="2" t="s">
        <v>27714</v>
      </c>
      <c r="B4172" s="2">
        <v>326.19584234838197</v>
      </c>
      <c r="C4172" s="2">
        <v>4.3791333333333302</v>
      </c>
      <c r="D4172" s="2" t="s">
        <v>34</v>
      </c>
      <c r="E4172" s="2" t="s">
        <v>27715</v>
      </c>
      <c r="F4172" s="2">
        <v>197633</v>
      </c>
      <c r="G4172" s="3" t="str">
        <f>HYPERLINK("http://funmeta.oebiotech.com/network/197633", "http://funmeta.oebiotech.com/network/197633")</f>
        <v>http://funmeta.oebiotech.com/network/197633</v>
      </c>
      <c r="H4172" s="2" t="s">
        <v>27716</v>
      </c>
      <c r="I4172" s="2"/>
      <c r="J4172" s="2"/>
      <c r="K4172" s="2"/>
      <c r="L4172" s="2"/>
      <c r="M4172" s="2"/>
      <c r="N4172" s="2"/>
      <c r="O4172" s="2"/>
      <c r="P4172" s="2"/>
      <c r="Q4172" s="2" t="s">
        <v>27717</v>
      </c>
      <c r="R4172" s="2" t="s">
        <v>27718</v>
      </c>
      <c r="S4172" s="2" t="s">
        <v>41</v>
      </c>
      <c r="T4172" s="2" t="s">
        <v>41</v>
      </c>
      <c r="U4172" s="2" t="s">
        <v>41</v>
      </c>
      <c r="V4172" s="2" t="s">
        <v>59</v>
      </c>
      <c r="W4172" s="2">
        <v>36.4</v>
      </c>
      <c r="X4172" s="2">
        <v>0</v>
      </c>
      <c r="Y4172" s="2" t="s">
        <v>141</v>
      </c>
      <c r="Z4172" s="2" t="s">
        <v>27719</v>
      </c>
      <c r="AA4172" s="2">
        <v>-1.0403681271741101</v>
      </c>
      <c r="AB4172" s="2">
        <v>0.16165609182308799</v>
      </c>
      <c r="AC4172" s="2">
        <v>9488.0852449665708</v>
      </c>
      <c r="AD4172" s="2">
        <v>11822.3194022762</v>
      </c>
      <c r="AE4172" s="2">
        <v>11337.4682555376</v>
      </c>
      <c r="AF4172" s="2">
        <v>8046.9351087083396</v>
      </c>
      <c r="AG4172" s="2">
        <v>9819.2150881132693</v>
      </c>
      <c r="AH4172" s="2">
        <v>9498.5597494129506</v>
      </c>
      <c r="AI4172" s="2">
        <v>10791.3124171687</v>
      </c>
      <c r="AJ4172" s="2">
        <v>7435.0208508585902</v>
      </c>
      <c r="AK4172" s="2">
        <v>11513.063608426201</v>
      </c>
      <c r="AL4172" s="2">
        <v>12163.8832179582</v>
      </c>
      <c r="AM4172" s="2">
        <v>11333.4689522631</v>
      </c>
      <c r="AN4172" s="2">
        <v>11463.6459880805</v>
      </c>
      <c r="AO4172" s="2">
        <v>13196.8420755716</v>
      </c>
      <c r="AP4172" s="2">
        <v>11263.0125713578</v>
      </c>
    </row>
    <row r="4173" spans="1:42" ht="14.5" x14ac:dyDescent="0.35">
      <c r="A4173" s="2" t="s">
        <v>27720</v>
      </c>
      <c r="B4173" s="2">
        <v>833.14941576855995</v>
      </c>
      <c r="C4173" s="2">
        <v>3.9884499999999998</v>
      </c>
      <c r="D4173" s="2" t="s">
        <v>70</v>
      </c>
      <c r="E4173" s="2" t="s">
        <v>27721</v>
      </c>
      <c r="F4173" s="2">
        <v>51942</v>
      </c>
      <c r="G4173" s="3" t="str">
        <f>HYPERLINK("http://funmeta.oebiotech.com/network/51942", "http://funmeta.oebiotech.com/network/51942")</f>
        <v>http://funmeta.oebiotech.com/network/51942</v>
      </c>
      <c r="H4173" s="2" t="s">
        <v>27722</v>
      </c>
      <c r="I4173" s="2"/>
      <c r="J4173" s="2"/>
      <c r="K4173" s="2">
        <v>15512</v>
      </c>
      <c r="L4173" s="2" t="s">
        <v>27723</v>
      </c>
      <c r="M4173" s="2"/>
      <c r="N4173" s="2"/>
      <c r="O4173" s="2">
        <v>440564</v>
      </c>
      <c r="P4173" s="2"/>
      <c r="Q4173" s="2" t="s">
        <v>27724</v>
      </c>
      <c r="R4173" s="2" t="s">
        <v>27725</v>
      </c>
      <c r="S4173" s="2" t="s">
        <v>50</v>
      </c>
      <c r="T4173" s="2" t="s">
        <v>229</v>
      </c>
      <c r="U4173" s="2" t="s">
        <v>10433</v>
      </c>
      <c r="V4173" s="2" t="s">
        <v>59</v>
      </c>
      <c r="W4173" s="2">
        <v>37.700000000000003</v>
      </c>
      <c r="X4173" s="2">
        <v>0</v>
      </c>
      <c r="Y4173" s="2" t="s">
        <v>751</v>
      </c>
      <c r="Z4173" s="2" t="s">
        <v>27726</v>
      </c>
      <c r="AA4173" s="2">
        <v>-0.84015287197233102</v>
      </c>
      <c r="AB4173" s="2">
        <v>0.16156650635112699</v>
      </c>
      <c r="AC4173" s="2">
        <v>5338.9773954595503</v>
      </c>
      <c r="AD4173" s="2">
        <v>3205.8154536564102</v>
      </c>
      <c r="AE4173" s="2">
        <v>4628.4184108017898</v>
      </c>
      <c r="AF4173" s="2">
        <v>4282.1324856093697</v>
      </c>
      <c r="AG4173" s="2">
        <v>5406.1189338408003</v>
      </c>
      <c r="AH4173" s="2">
        <v>5724.3838231141799</v>
      </c>
      <c r="AI4173" s="2">
        <v>6557.2973591834898</v>
      </c>
      <c r="AJ4173" s="2">
        <v>5435.5133602077003</v>
      </c>
      <c r="AK4173" s="2">
        <v>3810.2722198404799</v>
      </c>
      <c r="AL4173" s="2">
        <v>1547.6780659501101</v>
      </c>
      <c r="AM4173" s="2">
        <v>3898.8043018512999</v>
      </c>
      <c r="AN4173" s="2">
        <v>3120.9157700191599</v>
      </c>
      <c r="AO4173" s="2">
        <v>3362.9403621790202</v>
      </c>
      <c r="AP4173" s="2">
        <v>3494.2820020984</v>
      </c>
    </row>
    <row r="4174" spans="1:42" ht="14.5" x14ac:dyDescent="0.35">
      <c r="A4174" s="2" t="s">
        <v>27727</v>
      </c>
      <c r="B4174" s="2">
        <v>247.13274284344499</v>
      </c>
      <c r="C4174" s="2">
        <v>5.31823333333333</v>
      </c>
      <c r="D4174" s="2" t="s">
        <v>34</v>
      </c>
      <c r="E4174" s="2" t="s">
        <v>27728</v>
      </c>
      <c r="F4174" s="2">
        <v>64934</v>
      </c>
      <c r="G4174" s="3" t="str">
        <f>HYPERLINK("http://funmeta.oebiotech.com/network/64934", "http://funmeta.oebiotech.com/network/64934")</f>
        <v>http://funmeta.oebiotech.com/network/64934</v>
      </c>
      <c r="H4174" s="2" t="s">
        <v>27729</v>
      </c>
      <c r="I4174" s="2">
        <v>1039</v>
      </c>
      <c r="J4174" s="2"/>
      <c r="K4174" s="2">
        <v>76172</v>
      </c>
      <c r="L4174" s="2" t="s">
        <v>27730</v>
      </c>
      <c r="M4174" s="2"/>
      <c r="N4174" s="2"/>
      <c r="O4174" s="2">
        <v>3965</v>
      </c>
      <c r="P4174" s="2" t="s">
        <v>27731</v>
      </c>
      <c r="Q4174" s="2" t="s">
        <v>27732</v>
      </c>
      <c r="R4174" s="2" t="s">
        <v>27733</v>
      </c>
      <c r="S4174" s="2" t="s">
        <v>115</v>
      </c>
      <c r="T4174" s="2" t="s">
        <v>7439</v>
      </c>
      <c r="U4174" s="2" t="s">
        <v>41</v>
      </c>
      <c r="V4174" s="2" t="s">
        <v>59</v>
      </c>
      <c r="W4174" s="2">
        <v>38.4</v>
      </c>
      <c r="X4174" s="2">
        <v>0</v>
      </c>
      <c r="Y4174" s="2" t="s">
        <v>266</v>
      </c>
      <c r="Z4174" s="2" t="s">
        <v>27734</v>
      </c>
      <c r="AA4174" s="2">
        <v>-0.52015921101488805</v>
      </c>
      <c r="AB4174" s="2">
        <v>0.16156085145452501</v>
      </c>
      <c r="AC4174" s="2">
        <v>7127.9329595812396</v>
      </c>
      <c r="AD4174" s="2">
        <v>9136.9614037006595</v>
      </c>
      <c r="AE4174" s="2">
        <v>7674.5034848861796</v>
      </c>
      <c r="AF4174" s="2">
        <v>6830.37191560053</v>
      </c>
      <c r="AG4174" s="2">
        <v>7126.0473904922601</v>
      </c>
      <c r="AH4174" s="2">
        <v>6251.4684389480299</v>
      </c>
      <c r="AI4174" s="2">
        <v>7611.5119992862701</v>
      </c>
      <c r="AJ4174" s="2">
        <v>7273.6945282741399</v>
      </c>
      <c r="AK4174" s="2">
        <v>8927.3271258056102</v>
      </c>
      <c r="AL4174" s="2">
        <v>9940.2465892274195</v>
      </c>
      <c r="AM4174" s="2">
        <v>8126.3723786704404</v>
      </c>
      <c r="AN4174" s="2">
        <v>8842.0858562114008</v>
      </c>
      <c r="AO4174" s="2">
        <v>10230.3443057719</v>
      </c>
      <c r="AP4174" s="2">
        <v>8755.3921665172202</v>
      </c>
    </row>
    <row r="4175" spans="1:42" ht="14.5" x14ac:dyDescent="0.35">
      <c r="A4175" s="2" t="s">
        <v>27735</v>
      </c>
      <c r="B4175" s="2">
        <v>218.10232074656</v>
      </c>
      <c r="C4175" s="2">
        <v>1.06171666666667</v>
      </c>
      <c r="D4175" s="2" t="s">
        <v>34</v>
      </c>
      <c r="E4175" s="2" t="s">
        <v>27736</v>
      </c>
      <c r="F4175" s="2">
        <v>198315</v>
      </c>
      <c r="G4175" s="3" t="str">
        <f>HYPERLINK("http://funmeta.oebiotech.com/network/198315", "http://funmeta.oebiotech.com/network/198315")</f>
        <v>http://funmeta.oebiotech.com/network/198315</v>
      </c>
      <c r="H4175" s="2" t="s">
        <v>27737</v>
      </c>
      <c r="I4175" s="2"/>
      <c r="J4175" s="2"/>
      <c r="K4175" s="2"/>
      <c r="L4175" s="2"/>
      <c r="M4175" s="2"/>
      <c r="N4175" s="2"/>
      <c r="O4175" s="2"/>
      <c r="P4175" s="2"/>
      <c r="Q4175" s="2" t="s">
        <v>27738</v>
      </c>
      <c r="R4175" s="2" t="s">
        <v>27739</v>
      </c>
      <c r="S4175" s="2" t="s">
        <v>41</v>
      </c>
      <c r="T4175" s="2" t="s">
        <v>41</v>
      </c>
      <c r="U4175" s="2" t="s">
        <v>41</v>
      </c>
      <c r="V4175" s="2" t="s">
        <v>59</v>
      </c>
      <c r="W4175" s="2">
        <v>39.299999999999997</v>
      </c>
      <c r="X4175" s="2">
        <v>0</v>
      </c>
      <c r="Y4175" s="2" t="s">
        <v>266</v>
      </c>
      <c r="Z4175" s="2" t="s">
        <v>27740</v>
      </c>
      <c r="AA4175" s="2">
        <v>0.100098609055081</v>
      </c>
      <c r="AB4175" s="2">
        <v>0.161556217241069</v>
      </c>
      <c r="AC4175" s="2">
        <v>12028.206602486</v>
      </c>
      <c r="AD4175" s="2">
        <v>13986.566239690599</v>
      </c>
      <c r="AE4175" s="2">
        <v>12418.3149955401</v>
      </c>
      <c r="AF4175" s="2">
        <v>12321.252234359399</v>
      </c>
      <c r="AG4175" s="2">
        <v>11702.9408361026</v>
      </c>
      <c r="AH4175" s="2">
        <v>12475.8194632213</v>
      </c>
      <c r="AI4175" s="2">
        <v>11339.9528157768</v>
      </c>
      <c r="AJ4175" s="2">
        <v>11910.9592699157</v>
      </c>
      <c r="AK4175" s="2">
        <v>12762.9030810072</v>
      </c>
      <c r="AL4175" s="2">
        <v>14524.818264391501</v>
      </c>
      <c r="AM4175" s="2">
        <v>14375.614493360201</v>
      </c>
      <c r="AN4175" s="2">
        <v>14064.2336886091</v>
      </c>
      <c r="AO4175" s="2">
        <v>14562.4953184651</v>
      </c>
      <c r="AP4175" s="2">
        <v>13629.3325923103</v>
      </c>
    </row>
    <row r="4176" spans="1:42" ht="14.5" x14ac:dyDescent="0.35">
      <c r="A4176" s="2" t="s">
        <v>27741</v>
      </c>
      <c r="B4176" s="2">
        <v>539.02776281612296</v>
      </c>
      <c r="C4176" s="2">
        <v>10.1084333333333</v>
      </c>
      <c r="D4176" s="2" t="s">
        <v>70</v>
      </c>
      <c r="E4176" s="2" t="s">
        <v>27742</v>
      </c>
      <c r="F4176" s="2">
        <v>209457</v>
      </c>
      <c r="G4176" s="3" t="str">
        <f>HYPERLINK("http://funmeta.oebiotech.com/network/209457", "http://funmeta.oebiotech.com/network/209457")</f>
        <v>http://funmeta.oebiotech.com/network/209457</v>
      </c>
      <c r="H4176" s="2" t="s">
        <v>27743</v>
      </c>
      <c r="I4176" s="2"/>
      <c r="J4176" s="2"/>
      <c r="K4176" s="2"/>
      <c r="L4176" s="2"/>
      <c r="M4176" s="2"/>
      <c r="N4176" s="2"/>
      <c r="O4176" s="2">
        <v>5909486</v>
      </c>
      <c r="P4176" s="2"/>
      <c r="Q4176" s="2" t="s">
        <v>27744</v>
      </c>
      <c r="R4176" s="2" t="s">
        <v>27745</v>
      </c>
      <c r="S4176" s="2" t="s">
        <v>115</v>
      </c>
      <c r="T4176" s="2" t="s">
        <v>758</v>
      </c>
      <c r="U4176" s="2" t="s">
        <v>41</v>
      </c>
      <c r="V4176" s="2" t="s">
        <v>59</v>
      </c>
      <c r="W4176" s="2">
        <v>36.5</v>
      </c>
      <c r="X4176" s="2">
        <v>0</v>
      </c>
      <c r="Y4176" s="2" t="s">
        <v>560</v>
      </c>
      <c r="Z4176" s="2" t="s">
        <v>27746</v>
      </c>
      <c r="AA4176" s="2">
        <v>4.0061052940225599</v>
      </c>
      <c r="AB4176" s="2">
        <v>0.16150643417611901</v>
      </c>
      <c r="AC4176" s="2">
        <v>18721.154600803198</v>
      </c>
      <c r="AD4176" s="2">
        <v>21166.6821341461</v>
      </c>
      <c r="AE4176" s="2">
        <v>19393.710189035399</v>
      </c>
      <c r="AF4176" s="2">
        <v>18451.563754180599</v>
      </c>
      <c r="AG4176" s="2">
        <v>19746.447352801599</v>
      </c>
      <c r="AH4176" s="2">
        <v>16931.292632824599</v>
      </c>
      <c r="AI4176" s="2">
        <v>18499.3122701309</v>
      </c>
      <c r="AJ4176" s="2">
        <v>19304.601405845999</v>
      </c>
      <c r="AK4176" s="2">
        <v>21750.419660983898</v>
      </c>
      <c r="AL4176" s="2">
        <v>20263.619327806398</v>
      </c>
      <c r="AM4176" s="2">
        <v>23036.764829632299</v>
      </c>
      <c r="AN4176" s="2">
        <v>18404.270159504998</v>
      </c>
      <c r="AO4176" s="2">
        <v>22025.0377123738</v>
      </c>
      <c r="AP4176" s="2">
        <v>21519.981114575101</v>
      </c>
    </row>
    <row r="4177" spans="1:42" ht="14.5" x14ac:dyDescent="0.35">
      <c r="A4177" s="2" t="s">
        <v>27747</v>
      </c>
      <c r="B4177" s="2">
        <v>761.26112109310304</v>
      </c>
      <c r="C4177" s="2">
        <v>6.6499833333333296</v>
      </c>
      <c r="D4177" s="2" t="s">
        <v>70</v>
      </c>
      <c r="E4177" s="2" t="s">
        <v>27748</v>
      </c>
      <c r="F4177" s="2">
        <v>203459</v>
      </c>
      <c r="G4177" s="3" t="str">
        <f>HYPERLINK("http://funmeta.oebiotech.com/network/203459", "http://funmeta.oebiotech.com/network/203459")</f>
        <v>http://funmeta.oebiotech.com/network/203459</v>
      </c>
      <c r="H4177" s="2" t="s">
        <v>27749</v>
      </c>
      <c r="I4177" s="2"/>
      <c r="J4177" s="2"/>
      <c r="K4177" s="2"/>
      <c r="L4177" s="2"/>
      <c r="M4177" s="2"/>
      <c r="N4177" s="2"/>
      <c r="O4177" s="2"/>
      <c r="P4177" s="2"/>
      <c r="Q4177" s="2" t="s">
        <v>27750</v>
      </c>
      <c r="R4177" s="2" t="s">
        <v>27751</v>
      </c>
      <c r="S4177" s="2" t="s">
        <v>41</v>
      </c>
      <c r="T4177" s="2" t="s">
        <v>41</v>
      </c>
      <c r="U4177" s="2" t="s">
        <v>41</v>
      </c>
      <c r="V4177" s="2" t="s">
        <v>59</v>
      </c>
      <c r="W4177" s="2">
        <v>37.6</v>
      </c>
      <c r="X4177" s="2">
        <v>0</v>
      </c>
      <c r="Y4177" s="2" t="s">
        <v>560</v>
      </c>
      <c r="Z4177" s="2" t="s">
        <v>27752</v>
      </c>
      <c r="AA4177" s="2">
        <v>-4.3110279276891701</v>
      </c>
      <c r="AB4177" s="2">
        <v>0.16142430253696399</v>
      </c>
      <c r="AC4177" s="2">
        <v>20186.167678779799</v>
      </c>
      <c r="AD4177" s="2">
        <v>22740.129564891799</v>
      </c>
      <c r="AE4177" s="2">
        <v>21007.997484272699</v>
      </c>
      <c r="AF4177" s="2">
        <v>19788.292934514899</v>
      </c>
      <c r="AG4177" s="2">
        <v>20674.230652173599</v>
      </c>
      <c r="AH4177" s="2">
        <v>20932.754596618099</v>
      </c>
      <c r="AI4177" s="2">
        <v>19221.183284536601</v>
      </c>
      <c r="AJ4177" s="2">
        <v>19492.5471205629</v>
      </c>
      <c r="AK4177" s="2">
        <v>19151.482242071099</v>
      </c>
      <c r="AL4177" s="2">
        <v>22660.892142590299</v>
      </c>
      <c r="AM4177" s="2">
        <v>22387.441774040999</v>
      </c>
      <c r="AN4177" s="2">
        <v>23752.488768859101</v>
      </c>
      <c r="AO4177" s="2">
        <v>25356.565602823401</v>
      </c>
      <c r="AP4177" s="2">
        <v>23131.9068589661</v>
      </c>
    </row>
    <row r="4178" spans="1:42" ht="14.5" x14ac:dyDescent="0.35">
      <c r="A4178" s="2" t="s">
        <v>27753</v>
      </c>
      <c r="B4178" s="2">
        <v>375.32145050224699</v>
      </c>
      <c r="C4178" s="2">
        <v>11.2503166666667</v>
      </c>
      <c r="D4178" s="2" t="s">
        <v>34</v>
      </c>
      <c r="E4178" s="2" t="s">
        <v>27754</v>
      </c>
      <c r="F4178" s="2">
        <v>197369</v>
      </c>
      <c r="G4178" s="3" t="str">
        <f>HYPERLINK("http://funmeta.oebiotech.com/network/197369", "http://funmeta.oebiotech.com/network/197369")</f>
        <v>http://funmeta.oebiotech.com/network/197369</v>
      </c>
      <c r="H4178" s="2" t="s">
        <v>27755</v>
      </c>
      <c r="I4178" s="2"/>
      <c r="J4178" s="2"/>
      <c r="K4178" s="2"/>
      <c r="L4178" s="2"/>
      <c r="M4178" s="2"/>
      <c r="N4178" s="2"/>
      <c r="O4178" s="2"/>
      <c r="P4178" s="2"/>
      <c r="Q4178" s="2" t="s">
        <v>27756</v>
      </c>
      <c r="R4178" s="2" t="s">
        <v>27757</v>
      </c>
      <c r="S4178" s="2" t="s">
        <v>41</v>
      </c>
      <c r="T4178" s="2" t="s">
        <v>41</v>
      </c>
      <c r="U4178" s="2" t="s">
        <v>41</v>
      </c>
      <c r="V4178" s="2" t="s">
        <v>59</v>
      </c>
      <c r="W4178" s="2">
        <v>39.1</v>
      </c>
      <c r="X4178" s="2">
        <v>1.65</v>
      </c>
      <c r="Y4178" s="2" t="s">
        <v>43</v>
      </c>
      <c r="Z4178" s="2" t="s">
        <v>27758</v>
      </c>
      <c r="AA4178" s="2">
        <v>-0.79420970071529395</v>
      </c>
      <c r="AB4178" s="2">
        <v>0.161385089587916</v>
      </c>
      <c r="AC4178" s="2">
        <v>13268.5539469656</v>
      </c>
      <c r="AD4178" s="2">
        <v>8151.1864202772103</v>
      </c>
      <c r="AE4178" s="2">
        <v>12932.5265575987</v>
      </c>
      <c r="AF4178" s="2">
        <v>11640.643537903101</v>
      </c>
      <c r="AG4178" s="2">
        <v>13855.3555430699</v>
      </c>
      <c r="AH4178" s="2">
        <v>10033.768385124</v>
      </c>
      <c r="AI4178" s="2">
        <v>22741.151795251601</v>
      </c>
      <c r="AJ4178" s="2">
        <v>8407.8778628460805</v>
      </c>
      <c r="AK4178" s="2">
        <v>4675.31844401124</v>
      </c>
      <c r="AL4178" s="2">
        <v>3782.8087440222698</v>
      </c>
      <c r="AM4178" s="2">
        <v>2331.4943601893901</v>
      </c>
      <c r="AN4178" s="2">
        <v>5319.1985260367101</v>
      </c>
      <c r="AO4178" s="2">
        <v>27607.441318547098</v>
      </c>
      <c r="AP4178" s="2">
        <v>5190.8571288565499</v>
      </c>
    </row>
    <row r="4179" spans="1:42" ht="14.5" x14ac:dyDescent="0.35">
      <c r="A4179" s="2" t="s">
        <v>27759</v>
      </c>
      <c r="B4179" s="2">
        <v>474.234201145231</v>
      </c>
      <c r="C4179" s="2">
        <v>2.08728333333333</v>
      </c>
      <c r="D4179" s="2" t="s">
        <v>70</v>
      </c>
      <c r="E4179" s="2" t="s">
        <v>27760</v>
      </c>
      <c r="F4179" s="2">
        <v>208538</v>
      </c>
      <c r="G4179" s="3" t="str">
        <f>HYPERLINK("http://funmeta.oebiotech.com/network/208538", "http://funmeta.oebiotech.com/network/208538")</f>
        <v>http://funmeta.oebiotech.com/network/208538</v>
      </c>
      <c r="H4179" s="2" t="s">
        <v>27761</v>
      </c>
      <c r="I4179" s="2"/>
      <c r="J4179" s="2"/>
      <c r="K4179" s="2"/>
      <c r="L4179" s="2"/>
      <c r="M4179" s="2"/>
      <c r="N4179" s="2"/>
      <c r="O4179" s="2">
        <v>4478247</v>
      </c>
      <c r="P4179" s="2"/>
      <c r="Q4179" s="2" t="s">
        <v>27762</v>
      </c>
      <c r="R4179" s="2" t="s">
        <v>27763</v>
      </c>
      <c r="S4179" s="2" t="s">
        <v>89</v>
      </c>
      <c r="T4179" s="2" t="s">
        <v>90</v>
      </c>
      <c r="U4179" s="2" t="s">
        <v>99</v>
      </c>
      <c r="V4179" s="2" t="s">
        <v>59</v>
      </c>
      <c r="W4179" s="2">
        <v>39.6</v>
      </c>
      <c r="X4179" s="2">
        <v>7.03</v>
      </c>
      <c r="Y4179" s="2" t="s">
        <v>408</v>
      </c>
      <c r="Z4179" s="2" t="s">
        <v>27764</v>
      </c>
      <c r="AA4179" s="2">
        <v>-3.7420327619587299</v>
      </c>
      <c r="AB4179" s="2">
        <v>0.16131969692360901</v>
      </c>
      <c r="AC4179" s="2">
        <v>8497.7240531761399</v>
      </c>
      <c r="AD4179" s="2">
        <v>6551.2941413997896</v>
      </c>
      <c r="AE4179" s="2">
        <v>8608.7494040687798</v>
      </c>
      <c r="AF4179" s="2">
        <v>8360.6737794381606</v>
      </c>
      <c r="AG4179" s="2">
        <v>8428.5683094948308</v>
      </c>
      <c r="AH4179" s="2">
        <v>8023.2208556713804</v>
      </c>
      <c r="AI4179" s="2">
        <v>8883.6143038798491</v>
      </c>
      <c r="AJ4179" s="2">
        <v>8681.5176665038507</v>
      </c>
      <c r="AK4179" s="2">
        <v>6155.1848245935298</v>
      </c>
      <c r="AL4179" s="2">
        <v>6144.56532411647</v>
      </c>
      <c r="AM4179" s="2">
        <v>5786.4803229263798</v>
      </c>
      <c r="AN4179" s="2">
        <v>7199.7039996383601</v>
      </c>
      <c r="AO4179" s="2">
        <v>6268.4955177960301</v>
      </c>
      <c r="AP4179" s="2">
        <v>7753.3348593279798</v>
      </c>
    </row>
    <row r="4180" spans="1:42" ht="14.5" x14ac:dyDescent="0.35">
      <c r="A4180" s="2" t="s">
        <v>27765</v>
      </c>
      <c r="B4180" s="2">
        <v>457.32838412614302</v>
      </c>
      <c r="C4180" s="2">
        <v>11.7931833333333</v>
      </c>
      <c r="D4180" s="2" t="s">
        <v>34</v>
      </c>
      <c r="E4180" s="2" t="s">
        <v>27766</v>
      </c>
      <c r="F4180" s="2">
        <v>255980</v>
      </c>
      <c r="G4180" s="3" t="str">
        <f>HYPERLINK("http://funmeta.oebiotech.com/network/255980", "http://funmeta.oebiotech.com/network/255980")</f>
        <v>http://funmeta.oebiotech.com/network/255980</v>
      </c>
      <c r="H4180" s="2" t="s">
        <v>27767</v>
      </c>
      <c r="I4180" s="2"/>
      <c r="J4180" s="2"/>
      <c r="K4180" s="2"/>
      <c r="L4180" s="2"/>
      <c r="M4180" s="2"/>
      <c r="N4180" s="2"/>
      <c r="O4180" s="2">
        <v>24826530</v>
      </c>
      <c r="P4180" s="2"/>
      <c r="Q4180" s="2" t="s">
        <v>27768</v>
      </c>
      <c r="R4180" s="2" t="s">
        <v>27769</v>
      </c>
      <c r="S4180" s="2" t="s">
        <v>148</v>
      </c>
      <c r="T4180" s="2" t="s">
        <v>392</v>
      </c>
      <c r="U4180" s="2" t="s">
        <v>3450</v>
      </c>
      <c r="V4180" s="2" t="s">
        <v>59</v>
      </c>
      <c r="W4180" s="2">
        <v>39.200000000000003</v>
      </c>
      <c r="X4180" s="2">
        <v>2.15</v>
      </c>
      <c r="Y4180" s="2" t="s">
        <v>323</v>
      </c>
      <c r="Z4180" s="2" t="s">
        <v>24134</v>
      </c>
      <c r="AA4180" s="2">
        <v>-1.02801426988427</v>
      </c>
      <c r="AB4180" s="2">
        <v>0.16124789461182301</v>
      </c>
      <c r="AC4180" s="2">
        <v>2291.0587658232798</v>
      </c>
      <c r="AD4180" s="2">
        <v>529.85218675649605</v>
      </c>
      <c r="AE4180" s="2">
        <v>2144.7671580628598</v>
      </c>
      <c r="AF4180" s="2">
        <v>2004.8696876081999</v>
      </c>
      <c r="AG4180" s="2">
        <v>2257.1797417991102</v>
      </c>
      <c r="AH4180" s="2">
        <v>2160.67861099115</v>
      </c>
      <c r="AI4180" s="2">
        <v>2285.38804520443</v>
      </c>
      <c r="AJ4180" s="2">
        <v>2893.46935127391</v>
      </c>
      <c r="AK4180" s="2">
        <v>678.02134830429304</v>
      </c>
      <c r="AL4180" s="2">
        <v>488.73398697799797</v>
      </c>
      <c r="AM4180" s="2">
        <v>495.738790474224</v>
      </c>
      <c r="AN4180" s="2">
        <v>727.37146430099995</v>
      </c>
      <c r="AO4180" s="2">
        <v>345.52672005971601</v>
      </c>
      <c r="AP4180" s="2">
        <v>443.72081042174699</v>
      </c>
    </row>
    <row r="4181" spans="1:42" ht="14.5" x14ac:dyDescent="0.35">
      <c r="A4181" s="2" t="s">
        <v>27770</v>
      </c>
      <c r="B4181" s="2">
        <v>457.18314062564798</v>
      </c>
      <c r="C4181" s="2">
        <v>5.01</v>
      </c>
      <c r="D4181" s="2" t="s">
        <v>34</v>
      </c>
      <c r="E4181" s="2" t="s">
        <v>27771</v>
      </c>
      <c r="F4181" s="2">
        <v>267559</v>
      </c>
      <c r="G4181" s="3" t="str">
        <f>HYPERLINK("http://funmeta.oebiotech.com/network/267559", "http://funmeta.oebiotech.com/network/267559")</f>
        <v>http://funmeta.oebiotech.com/network/267559</v>
      </c>
      <c r="H4181" s="2"/>
      <c r="I4181" s="2">
        <v>45700</v>
      </c>
      <c r="J4181" s="2"/>
      <c r="K4181" s="2"/>
      <c r="L4181" s="2"/>
      <c r="M4181" s="2"/>
      <c r="N4181" s="2"/>
      <c r="O4181" s="2">
        <v>35023380</v>
      </c>
      <c r="P4181" s="2" t="s">
        <v>27772</v>
      </c>
      <c r="Q4181" s="2" t="s">
        <v>27773</v>
      </c>
      <c r="R4181" s="2" t="s">
        <v>27774</v>
      </c>
      <c r="S4181" s="2" t="s">
        <v>50</v>
      </c>
      <c r="T4181" s="2" t="s">
        <v>229</v>
      </c>
      <c r="U4181" s="2" t="s">
        <v>766</v>
      </c>
      <c r="V4181" s="2" t="s">
        <v>59</v>
      </c>
      <c r="W4181" s="2">
        <v>38.6</v>
      </c>
      <c r="X4181" s="2">
        <v>0</v>
      </c>
      <c r="Y4181" s="2" t="s">
        <v>394</v>
      </c>
      <c r="Z4181" s="2" t="s">
        <v>27775</v>
      </c>
      <c r="AA4181" s="2">
        <v>-0.23905161172311601</v>
      </c>
      <c r="AB4181" s="2">
        <v>0.16116148930250099</v>
      </c>
      <c r="AC4181" s="2">
        <v>41117.661899815001</v>
      </c>
      <c r="AD4181" s="2">
        <v>44500.915180490701</v>
      </c>
      <c r="AE4181" s="2">
        <v>42051.758860833499</v>
      </c>
      <c r="AF4181" s="2">
        <v>44770.860804851603</v>
      </c>
      <c r="AG4181" s="2">
        <v>39312.973021531201</v>
      </c>
      <c r="AH4181" s="2">
        <v>35475.088096837899</v>
      </c>
      <c r="AI4181" s="2">
        <v>41043.832174218704</v>
      </c>
      <c r="AJ4181" s="2">
        <v>44051.4584406172</v>
      </c>
      <c r="AK4181" s="2">
        <v>49316.264316390101</v>
      </c>
      <c r="AL4181" s="2">
        <v>42391.543457117899</v>
      </c>
      <c r="AM4181" s="2">
        <v>44254.211082838599</v>
      </c>
      <c r="AN4181" s="2">
        <v>46572.876301450597</v>
      </c>
      <c r="AO4181" s="2">
        <v>42802.132854139098</v>
      </c>
      <c r="AP4181" s="2">
        <v>41668.463071008002</v>
      </c>
    </row>
    <row r="4182" spans="1:42" ht="14.5" x14ac:dyDescent="0.35">
      <c r="A4182" s="2" t="s">
        <v>27776</v>
      </c>
      <c r="B4182" s="2">
        <v>650.33016665621005</v>
      </c>
      <c r="C4182" s="2">
        <v>7.9372666666666696</v>
      </c>
      <c r="D4182" s="2" t="s">
        <v>34</v>
      </c>
      <c r="E4182" s="2" t="s">
        <v>27777</v>
      </c>
      <c r="F4182" s="2">
        <v>27940</v>
      </c>
      <c r="G4182" s="3" t="str">
        <f>HYPERLINK("http://funmeta.oebiotech.com/network/27940", "http://funmeta.oebiotech.com/network/27940")</f>
        <v>http://funmeta.oebiotech.com/network/27940</v>
      </c>
      <c r="H4182" s="2"/>
      <c r="I4182" s="2"/>
      <c r="J4182" s="2" t="s">
        <v>27778</v>
      </c>
      <c r="K4182" s="2"/>
      <c r="L4182" s="2"/>
      <c r="M4182" s="2"/>
      <c r="N4182" s="2"/>
      <c r="O4182" s="2">
        <v>134812387</v>
      </c>
      <c r="P4182" s="2"/>
      <c r="Q4182" s="2" t="s">
        <v>27779</v>
      </c>
      <c r="R4182" s="2" t="s">
        <v>27780</v>
      </c>
      <c r="S4182" s="2" t="s">
        <v>50</v>
      </c>
      <c r="T4182" s="2" t="s">
        <v>51</v>
      </c>
      <c r="U4182" s="2" t="s">
        <v>66</v>
      </c>
      <c r="V4182" s="2" t="s">
        <v>59</v>
      </c>
      <c r="W4182" s="2">
        <v>38.1</v>
      </c>
      <c r="X4182" s="2">
        <v>0</v>
      </c>
      <c r="Y4182" s="2" t="s">
        <v>394</v>
      </c>
      <c r="Z4182" s="2" t="s">
        <v>27781</v>
      </c>
      <c r="AA4182" s="2">
        <v>0.27334181663520501</v>
      </c>
      <c r="AB4182" s="2">
        <v>0.16115025970157601</v>
      </c>
      <c r="AC4182" s="2">
        <v>23739.7133646275</v>
      </c>
      <c r="AD4182" s="2">
        <v>20534.900310446799</v>
      </c>
      <c r="AE4182" s="2">
        <v>22817.319771747902</v>
      </c>
      <c r="AF4182" s="2">
        <v>23138.349588708701</v>
      </c>
      <c r="AG4182" s="2">
        <v>24886.1891633165</v>
      </c>
      <c r="AH4182" s="2">
        <v>29014.432478621002</v>
      </c>
      <c r="AI4182" s="2">
        <v>19103.075890509899</v>
      </c>
      <c r="AJ4182" s="2">
        <v>23478.913294861199</v>
      </c>
      <c r="AK4182" s="2">
        <v>15871.9046482053</v>
      </c>
      <c r="AL4182" s="2">
        <v>21245.389176950801</v>
      </c>
      <c r="AM4182" s="2">
        <v>20846.353441161998</v>
      </c>
      <c r="AN4182" s="2">
        <v>21736.024028220199</v>
      </c>
      <c r="AO4182" s="2">
        <v>22803.6714215254</v>
      </c>
      <c r="AP4182" s="2">
        <v>20706.059146617201</v>
      </c>
    </row>
    <row r="4183" spans="1:42" ht="14.5" x14ac:dyDescent="0.35">
      <c r="A4183" s="2" t="s">
        <v>27782</v>
      </c>
      <c r="B4183" s="2">
        <v>509.02410523290001</v>
      </c>
      <c r="C4183" s="2">
        <v>10.3287</v>
      </c>
      <c r="D4183" s="2" t="s">
        <v>70</v>
      </c>
      <c r="E4183" s="2" t="s">
        <v>27783</v>
      </c>
      <c r="F4183" s="2">
        <v>279916</v>
      </c>
      <c r="G4183" s="3" t="str">
        <f>HYPERLINK("http://funmeta.oebiotech.com/network/279916", "http://funmeta.oebiotech.com/network/279916")</f>
        <v>http://funmeta.oebiotech.com/network/279916</v>
      </c>
      <c r="H4183" s="2"/>
      <c r="I4183" s="2">
        <v>72762</v>
      </c>
      <c r="J4183" s="2"/>
      <c r="K4183" s="2"/>
      <c r="L4183" s="2" t="s">
        <v>27784</v>
      </c>
      <c r="M4183" s="2"/>
      <c r="N4183" s="2"/>
      <c r="O4183" s="2">
        <v>13689</v>
      </c>
      <c r="P4183" s="2" t="s">
        <v>27785</v>
      </c>
      <c r="Q4183" s="2" t="s">
        <v>27786</v>
      </c>
      <c r="R4183" s="2" t="s">
        <v>27787</v>
      </c>
      <c r="S4183" s="2" t="s">
        <v>89</v>
      </c>
      <c r="T4183" s="2" t="s">
        <v>894</v>
      </c>
      <c r="U4183" s="2" t="s">
        <v>895</v>
      </c>
      <c r="V4183" s="2" t="s">
        <v>59</v>
      </c>
      <c r="W4183" s="2">
        <v>36.9</v>
      </c>
      <c r="X4183" s="2">
        <v>0</v>
      </c>
      <c r="Y4183" s="2" t="s">
        <v>560</v>
      </c>
      <c r="Z4183" s="2" t="s">
        <v>27788</v>
      </c>
      <c r="AA4183" s="2">
        <v>1.6426074669289601</v>
      </c>
      <c r="AB4183" s="2">
        <v>0.16110175931189</v>
      </c>
      <c r="AC4183" s="2">
        <v>21812.696056889901</v>
      </c>
      <c r="AD4183" s="2">
        <v>24058.827507060501</v>
      </c>
      <c r="AE4183" s="2">
        <v>22628.069698649</v>
      </c>
      <c r="AF4183" s="2">
        <v>23550.810771678</v>
      </c>
      <c r="AG4183" s="2">
        <v>19994.153870674101</v>
      </c>
      <c r="AH4183" s="2">
        <v>22044.281126739101</v>
      </c>
      <c r="AI4183" s="2">
        <v>21829.0480065314</v>
      </c>
      <c r="AJ4183" s="2">
        <v>20829.812867067802</v>
      </c>
      <c r="AK4183" s="2">
        <v>24106.545011074701</v>
      </c>
      <c r="AL4183" s="2">
        <v>24862.085985892001</v>
      </c>
      <c r="AM4183" s="2">
        <v>24120.516781323899</v>
      </c>
      <c r="AN4183" s="2">
        <v>24520.073715017101</v>
      </c>
      <c r="AO4183" s="2">
        <v>24196.1029879733</v>
      </c>
      <c r="AP4183" s="2">
        <v>22547.640561082098</v>
      </c>
    </row>
    <row r="4184" spans="1:42" ht="14.5" x14ac:dyDescent="0.35">
      <c r="A4184" s="2" t="s">
        <v>27789</v>
      </c>
      <c r="B4184" s="2">
        <v>301.03654875912099</v>
      </c>
      <c r="C4184" s="2">
        <v>0.62124999999999997</v>
      </c>
      <c r="D4184" s="2" t="s">
        <v>34</v>
      </c>
      <c r="E4184" s="2" t="s">
        <v>27790</v>
      </c>
      <c r="F4184" s="2">
        <v>53154</v>
      </c>
      <c r="G4184" s="3" t="str">
        <f>HYPERLINK("http://funmeta.oebiotech.com/network/53154", "http://funmeta.oebiotech.com/network/53154")</f>
        <v>http://funmeta.oebiotech.com/network/53154</v>
      </c>
      <c r="H4184" s="2" t="s">
        <v>27791</v>
      </c>
      <c r="I4184" s="2">
        <v>66852</v>
      </c>
      <c r="J4184" s="2"/>
      <c r="K4184" s="2">
        <v>183772</v>
      </c>
      <c r="L4184" s="2" t="s">
        <v>27792</v>
      </c>
      <c r="M4184" s="2"/>
      <c r="N4184" s="2"/>
      <c r="O4184" s="2">
        <v>5245</v>
      </c>
      <c r="P4184" s="2" t="s">
        <v>27793</v>
      </c>
      <c r="Q4184" s="2" t="s">
        <v>27794</v>
      </c>
      <c r="R4184" s="2" t="s">
        <v>27795</v>
      </c>
      <c r="S4184" s="2" t="s">
        <v>89</v>
      </c>
      <c r="T4184" s="2" t="s">
        <v>6048</v>
      </c>
      <c r="U4184" s="2" t="s">
        <v>12523</v>
      </c>
      <c r="V4184" s="2" t="s">
        <v>59</v>
      </c>
      <c r="W4184" s="2">
        <v>38.4</v>
      </c>
      <c r="X4184" s="2">
        <v>0</v>
      </c>
      <c r="Y4184" s="2" t="s">
        <v>43</v>
      </c>
      <c r="Z4184" s="2" t="s">
        <v>27796</v>
      </c>
      <c r="AA4184" s="2">
        <v>5.8242698601104399</v>
      </c>
      <c r="AB4184" s="2">
        <v>0.16104803927103101</v>
      </c>
      <c r="AC4184" s="2">
        <v>10806.653825908301</v>
      </c>
      <c r="AD4184" s="2">
        <v>13170.054355096599</v>
      </c>
      <c r="AE4184" s="2">
        <v>10843.7652075852</v>
      </c>
      <c r="AF4184" s="2">
        <v>11968.516609552</v>
      </c>
      <c r="AG4184" s="2">
        <v>9648.7149427762397</v>
      </c>
      <c r="AH4184" s="2">
        <v>11679.097596088701</v>
      </c>
      <c r="AI4184" s="2">
        <v>9581.5415047611696</v>
      </c>
      <c r="AJ4184" s="2">
        <v>11118.2870946864</v>
      </c>
      <c r="AK4184" s="2">
        <v>12452.4434072195</v>
      </c>
      <c r="AL4184" s="2">
        <v>15955.8888889021</v>
      </c>
      <c r="AM4184" s="2">
        <v>13047.946401315899</v>
      </c>
      <c r="AN4184" s="2">
        <v>12227.8498463456</v>
      </c>
      <c r="AO4184" s="2">
        <v>12602.316825722201</v>
      </c>
      <c r="AP4184" s="2">
        <v>12733.880761074401</v>
      </c>
    </row>
    <row r="4185" spans="1:42" ht="14.5" x14ac:dyDescent="0.35">
      <c r="A4185" s="2" t="s">
        <v>27797</v>
      </c>
      <c r="B4185" s="2">
        <v>207.05012153535</v>
      </c>
      <c r="C4185" s="2">
        <v>0.71055000000000001</v>
      </c>
      <c r="D4185" s="2" t="s">
        <v>70</v>
      </c>
      <c r="E4185" s="2" t="s">
        <v>27798</v>
      </c>
      <c r="F4185" s="2">
        <v>64642</v>
      </c>
      <c r="G4185" s="3" t="str">
        <f>HYPERLINK("http://funmeta.oebiotech.com/network/64642", "http://funmeta.oebiotech.com/network/64642")</f>
        <v>http://funmeta.oebiotech.com/network/64642</v>
      </c>
      <c r="H4185" s="2" t="s">
        <v>27799</v>
      </c>
      <c r="I4185" s="2"/>
      <c r="J4185" s="2"/>
      <c r="K4185" s="2">
        <v>168816</v>
      </c>
      <c r="L4185" s="2"/>
      <c r="M4185" s="2"/>
      <c r="N4185" s="2"/>
      <c r="O4185" s="2">
        <v>14299935</v>
      </c>
      <c r="P4185" s="2" t="s">
        <v>27800</v>
      </c>
      <c r="Q4185" s="2" t="s">
        <v>27801</v>
      </c>
      <c r="R4185" s="2" t="s">
        <v>27802</v>
      </c>
      <c r="S4185" s="2" t="s">
        <v>491</v>
      </c>
      <c r="T4185" s="2" t="s">
        <v>27803</v>
      </c>
      <c r="U4185" s="2" t="s">
        <v>41</v>
      </c>
      <c r="V4185" s="2" t="s">
        <v>42</v>
      </c>
      <c r="W4185" s="2">
        <v>48.7</v>
      </c>
      <c r="X4185" s="2">
        <v>50.9</v>
      </c>
      <c r="Y4185" s="2" t="s">
        <v>1395</v>
      </c>
      <c r="Z4185" s="2" t="s">
        <v>21805</v>
      </c>
      <c r="AA4185" s="2">
        <v>-5.5830755137718597</v>
      </c>
      <c r="AB4185" s="2">
        <v>0.16091715345516999</v>
      </c>
      <c r="AC4185" s="2">
        <v>878626.02241891203</v>
      </c>
      <c r="AD4185" s="2">
        <v>865330.79981894104</v>
      </c>
      <c r="AE4185" s="2">
        <v>845125.23904733802</v>
      </c>
      <c r="AF4185" s="2">
        <v>953467.15047445102</v>
      </c>
      <c r="AG4185" s="2">
        <v>783897.79889367998</v>
      </c>
      <c r="AH4185" s="2">
        <v>932635.14044540399</v>
      </c>
      <c r="AI4185" s="2">
        <v>917508.74592325406</v>
      </c>
      <c r="AJ4185" s="2">
        <v>839122.05972934701</v>
      </c>
      <c r="AK4185" s="2">
        <v>899132.26198956103</v>
      </c>
      <c r="AL4185" s="2">
        <v>863102.94406749797</v>
      </c>
      <c r="AM4185" s="2">
        <v>824523.54661087901</v>
      </c>
      <c r="AN4185" s="2">
        <v>881622.63348714297</v>
      </c>
      <c r="AO4185" s="2">
        <v>905771.08364350395</v>
      </c>
      <c r="AP4185" s="2">
        <v>817832.32911505899</v>
      </c>
    </row>
    <row r="4186" spans="1:42" ht="14.5" x14ac:dyDescent="0.35">
      <c r="A4186" s="2" t="s">
        <v>27804</v>
      </c>
      <c r="B4186" s="2">
        <v>341.21099426428799</v>
      </c>
      <c r="C4186" s="2">
        <v>10.341383333333299</v>
      </c>
      <c r="D4186" s="2" t="s">
        <v>34</v>
      </c>
      <c r="E4186" s="2" t="s">
        <v>27805</v>
      </c>
      <c r="F4186" s="2">
        <v>48015</v>
      </c>
      <c r="G4186" s="3" t="str">
        <f>HYPERLINK("http://funmeta.oebiotech.com/network/48015", "http://funmeta.oebiotech.com/network/48015")</f>
        <v>http://funmeta.oebiotech.com/network/48015</v>
      </c>
      <c r="H4186" s="2" t="s">
        <v>27806</v>
      </c>
      <c r="I4186" s="2">
        <v>2486</v>
      </c>
      <c r="J4186" s="2"/>
      <c r="K4186" s="2">
        <v>987229</v>
      </c>
      <c r="L4186" s="2"/>
      <c r="M4186" s="2"/>
      <c r="N4186" s="2"/>
      <c r="O4186" s="2">
        <v>13789</v>
      </c>
      <c r="P4186" s="2" t="s">
        <v>27807</v>
      </c>
      <c r="Q4186" s="2" t="s">
        <v>27808</v>
      </c>
      <c r="R4186" s="2" t="s">
        <v>27809</v>
      </c>
      <c r="S4186" s="2" t="s">
        <v>50</v>
      </c>
      <c r="T4186" s="2" t="s">
        <v>124</v>
      </c>
      <c r="U4186" s="2" t="s">
        <v>567</v>
      </c>
      <c r="V4186" s="2" t="s">
        <v>59</v>
      </c>
      <c r="W4186" s="2">
        <v>38.700000000000003</v>
      </c>
      <c r="X4186" s="2">
        <v>0</v>
      </c>
      <c r="Y4186" s="2" t="s">
        <v>394</v>
      </c>
      <c r="Z4186" s="2" t="s">
        <v>11379</v>
      </c>
      <c r="AA4186" s="2">
        <v>-0.37308323889695899</v>
      </c>
      <c r="AB4186" s="2">
        <v>0.160843292899573</v>
      </c>
      <c r="AC4186" s="2">
        <v>10472.8042133569</v>
      </c>
      <c r="AD4186" s="2">
        <v>8501.1957755984095</v>
      </c>
      <c r="AE4186" s="2">
        <v>10263.6045597504</v>
      </c>
      <c r="AF4186" s="2">
        <v>11096.9513844677</v>
      </c>
      <c r="AG4186" s="2">
        <v>10073.008562487699</v>
      </c>
      <c r="AH4186" s="2">
        <v>10496.8949821676</v>
      </c>
      <c r="AI4186" s="2">
        <v>10401.386454638099</v>
      </c>
      <c r="AJ4186" s="2">
        <v>10504.97933663</v>
      </c>
      <c r="AK4186" s="2">
        <v>7887.8980737416296</v>
      </c>
      <c r="AL4186" s="2">
        <v>7443.0946441220904</v>
      </c>
      <c r="AM4186" s="2">
        <v>8286.6636683703291</v>
      </c>
      <c r="AN4186" s="2">
        <v>9023.1922515628194</v>
      </c>
      <c r="AO4186" s="2">
        <v>9730.0924758988895</v>
      </c>
      <c r="AP4186" s="2">
        <v>8636.2335398946998</v>
      </c>
    </row>
    <row r="4187" spans="1:42" ht="14.5" x14ac:dyDescent="0.35">
      <c r="A4187" s="2" t="s">
        <v>27810</v>
      </c>
      <c r="B4187" s="2">
        <v>559.17260455207099</v>
      </c>
      <c r="C4187" s="2">
        <v>6.0954833333333296</v>
      </c>
      <c r="D4187" s="2" t="s">
        <v>34</v>
      </c>
      <c r="E4187" s="2" t="s">
        <v>27811</v>
      </c>
      <c r="F4187" s="2">
        <v>57003</v>
      </c>
      <c r="G4187" s="3" t="str">
        <f>HYPERLINK("http://funmeta.oebiotech.com/network/57003", "http://funmeta.oebiotech.com/network/57003")</f>
        <v>http://funmeta.oebiotech.com/network/57003</v>
      </c>
      <c r="H4187" s="2" t="s">
        <v>27812</v>
      </c>
      <c r="I4187" s="2">
        <v>88658</v>
      </c>
      <c r="J4187" s="2"/>
      <c r="K4187" s="2">
        <v>172730</v>
      </c>
      <c r="L4187" s="2"/>
      <c r="M4187" s="2"/>
      <c r="N4187" s="2"/>
      <c r="O4187" s="2">
        <v>131751291</v>
      </c>
      <c r="P4187" s="2" t="s">
        <v>27813</v>
      </c>
      <c r="Q4187" s="2" t="s">
        <v>27814</v>
      </c>
      <c r="R4187" s="2" t="s">
        <v>27815</v>
      </c>
      <c r="S4187" s="2" t="s">
        <v>1184</v>
      </c>
      <c r="T4187" s="2" t="s">
        <v>3333</v>
      </c>
      <c r="U4187" s="2" t="s">
        <v>3334</v>
      </c>
      <c r="V4187" s="2" t="s">
        <v>59</v>
      </c>
      <c r="W4187" s="2">
        <v>37.299999999999997</v>
      </c>
      <c r="X4187" s="2">
        <v>0</v>
      </c>
      <c r="Y4187" s="2" t="s">
        <v>340</v>
      </c>
      <c r="Z4187" s="2" t="s">
        <v>27816</v>
      </c>
      <c r="AA4187" s="2">
        <v>-0.52192536916159804</v>
      </c>
      <c r="AB4187" s="2">
        <v>0.160842548457342</v>
      </c>
      <c r="AC4187" s="2">
        <v>6913.7396637841903</v>
      </c>
      <c r="AD4187" s="2">
        <v>3865.98909220116</v>
      </c>
      <c r="AE4187" s="2">
        <v>6327.5394989119204</v>
      </c>
      <c r="AF4187" s="2">
        <v>6896.54334127124</v>
      </c>
      <c r="AG4187" s="2">
        <v>2518.8216697033599</v>
      </c>
      <c r="AH4187" s="2">
        <v>11063.252895404599</v>
      </c>
      <c r="AI4187" s="2">
        <v>8030.5088753243299</v>
      </c>
      <c r="AJ4187" s="2">
        <v>6645.7717020896698</v>
      </c>
      <c r="AK4187" s="2">
        <v>2770.62607973481</v>
      </c>
      <c r="AL4187" s="2">
        <v>5233.3020328625498</v>
      </c>
      <c r="AM4187" s="2">
        <v>1540.6552090022799</v>
      </c>
      <c r="AN4187" s="2">
        <v>7311.61254542194</v>
      </c>
      <c r="AO4187" s="2">
        <v>3411.97950240721</v>
      </c>
      <c r="AP4187" s="2">
        <v>2927.7591837781902</v>
      </c>
    </row>
    <row r="4188" spans="1:42" ht="14.5" x14ac:dyDescent="0.35">
      <c r="A4188" s="2" t="s">
        <v>27817</v>
      </c>
      <c r="B4188" s="2">
        <v>249.111608863838</v>
      </c>
      <c r="C4188" s="2">
        <v>4.4450666666666701</v>
      </c>
      <c r="D4188" s="2" t="s">
        <v>34</v>
      </c>
      <c r="E4188" s="2" t="s">
        <v>27818</v>
      </c>
      <c r="F4188" s="2">
        <v>514194</v>
      </c>
      <c r="G4188" s="3" t="str">
        <f>HYPERLINK("http://funmeta.oebiotech.com/network/514194", "http://funmeta.oebiotech.com/network/514194")</f>
        <v>http://funmeta.oebiotech.com/network/514194</v>
      </c>
      <c r="H4188" s="2"/>
      <c r="I4188" s="2">
        <v>96366</v>
      </c>
      <c r="J4188" s="2"/>
      <c r="K4188" s="2"/>
      <c r="L4188" s="2"/>
      <c r="M4188" s="2"/>
      <c r="N4188" s="2"/>
      <c r="O4188" s="2">
        <v>81528</v>
      </c>
      <c r="P4188" s="2"/>
      <c r="Q4188" s="2" t="s">
        <v>27819</v>
      </c>
      <c r="R4188" s="2" t="s">
        <v>27820</v>
      </c>
      <c r="S4188" s="2" t="s">
        <v>1677</v>
      </c>
      <c r="T4188" s="2" t="s">
        <v>1678</v>
      </c>
      <c r="U4188" s="2" t="s">
        <v>1679</v>
      </c>
      <c r="V4188" s="2" t="s">
        <v>59</v>
      </c>
      <c r="W4188" s="2">
        <v>37.799999999999997</v>
      </c>
      <c r="X4188" s="2">
        <v>0</v>
      </c>
      <c r="Y4188" s="2" t="s">
        <v>323</v>
      </c>
      <c r="Z4188" s="2" t="s">
        <v>27821</v>
      </c>
      <c r="AA4188" s="2">
        <v>2.3956803227610499</v>
      </c>
      <c r="AB4188" s="2">
        <v>0.16078405066902901</v>
      </c>
      <c r="AC4188" s="2">
        <v>9464.5287361428</v>
      </c>
      <c r="AD4188" s="2">
        <v>11474.4876032459</v>
      </c>
      <c r="AE4188" s="2">
        <v>8779.0881616726692</v>
      </c>
      <c r="AF4188" s="2">
        <v>9908.8636175040792</v>
      </c>
      <c r="AG4188" s="2">
        <v>9841.5429551217294</v>
      </c>
      <c r="AH4188" s="2">
        <v>9568.6143107702101</v>
      </c>
      <c r="AI4188" s="2">
        <v>9076.8599804026799</v>
      </c>
      <c r="AJ4188" s="2">
        <v>9612.2033913854502</v>
      </c>
      <c r="AK4188" s="2">
        <v>12747.0021661151</v>
      </c>
      <c r="AL4188" s="2">
        <v>11511.564607107901</v>
      </c>
      <c r="AM4188" s="2">
        <v>11339.9540829542</v>
      </c>
      <c r="AN4188" s="2">
        <v>12062.100986498799</v>
      </c>
      <c r="AO4188" s="2">
        <v>10963.502822586801</v>
      </c>
      <c r="AP4188" s="2">
        <v>10222.8009542124</v>
      </c>
    </row>
    <row r="4189" spans="1:42" ht="14.5" x14ac:dyDescent="0.35">
      <c r="A4189" s="2" t="s">
        <v>27822</v>
      </c>
      <c r="B4189" s="2">
        <v>495.18675445701598</v>
      </c>
      <c r="C4189" s="2">
        <v>4.5776166666666702</v>
      </c>
      <c r="D4189" s="2" t="s">
        <v>70</v>
      </c>
      <c r="E4189" s="2" t="s">
        <v>27823</v>
      </c>
      <c r="F4189" s="2">
        <v>63512</v>
      </c>
      <c r="G4189" s="3" t="str">
        <f>HYPERLINK("http://funmeta.oebiotech.com/network/63512", "http://funmeta.oebiotech.com/network/63512")</f>
        <v>http://funmeta.oebiotech.com/network/63512</v>
      </c>
      <c r="H4189" s="2" t="s">
        <v>27824</v>
      </c>
      <c r="I4189" s="2">
        <v>94843</v>
      </c>
      <c r="J4189" s="2"/>
      <c r="K4189" s="2"/>
      <c r="L4189" s="2"/>
      <c r="M4189" s="2"/>
      <c r="N4189" s="2"/>
      <c r="O4189" s="2">
        <v>131752793</v>
      </c>
      <c r="P4189" s="2" t="s">
        <v>27825</v>
      </c>
      <c r="Q4189" s="2" t="s">
        <v>27826</v>
      </c>
      <c r="R4189" s="2" t="s">
        <v>27827</v>
      </c>
      <c r="S4189" s="2" t="s">
        <v>1184</v>
      </c>
      <c r="T4189" s="2" t="s">
        <v>1185</v>
      </c>
      <c r="U4189" s="2" t="s">
        <v>41</v>
      </c>
      <c r="V4189" s="2" t="s">
        <v>42</v>
      </c>
      <c r="W4189" s="2">
        <v>50.4</v>
      </c>
      <c r="X4189" s="2">
        <v>55.3</v>
      </c>
      <c r="Y4189" s="2" t="s">
        <v>107</v>
      </c>
      <c r="Z4189" s="2" t="s">
        <v>27828</v>
      </c>
      <c r="AA4189" s="2">
        <v>-0.86851510243021801</v>
      </c>
      <c r="AB4189" s="2">
        <v>0.16073466335741299</v>
      </c>
      <c r="AC4189" s="2">
        <v>3613109.9598162202</v>
      </c>
      <c r="AD4189" s="2">
        <v>3640030.3278314001</v>
      </c>
      <c r="AE4189" s="2">
        <v>3599071.8318086499</v>
      </c>
      <c r="AF4189" s="2">
        <v>4010998.58656102</v>
      </c>
      <c r="AG4189" s="2">
        <v>3468716.8867683099</v>
      </c>
      <c r="AH4189" s="2">
        <v>3167830.1898578601</v>
      </c>
      <c r="AI4189" s="2">
        <v>3709062.7948029898</v>
      </c>
      <c r="AJ4189" s="2">
        <v>3722979.46909848</v>
      </c>
      <c r="AK4189" s="2">
        <v>3592655.0589091801</v>
      </c>
      <c r="AL4189" s="2">
        <v>3547561.7578571201</v>
      </c>
      <c r="AM4189" s="2">
        <v>3621802.9748571701</v>
      </c>
      <c r="AN4189" s="2">
        <v>3836829.75629322</v>
      </c>
      <c r="AO4189" s="2">
        <v>3363350.5843024198</v>
      </c>
      <c r="AP4189" s="2">
        <v>3877981.8347692802</v>
      </c>
    </row>
    <row r="4190" spans="1:42" ht="14.5" x14ac:dyDescent="0.35">
      <c r="A4190" s="2" t="s">
        <v>27829</v>
      </c>
      <c r="B4190" s="2">
        <v>351.12895098320098</v>
      </c>
      <c r="C4190" s="2">
        <v>3.2222666666666702</v>
      </c>
      <c r="D4190" s="2" t="s">
        <v>70</v>
      </c>
      <c r="E4190" s="2" t="s">
        <v>27830</v>
      </c>
      <c r="F4190" s="2">
        <v>2895</v>
      </c>
      <c r="G4190" s="3" t="str">
        <f>HYPERLINK("http://funmeta.oebiotech.com/network/2895", "http://funmeta.oebiotech.com/network/2895")</f>
        <v>http://funmeta.oebiotech.com/network/2895</v>
      </c>
      <c r="H4190" s="2" t="s">
        <v>27831</v>
      </c>
      <c r="I4190" s="2">
        <v>339</v>
      </c>
      <c r="J4190" s="2" t="s">
        <v>27832</v>
      </c>
      <c r="K4190" s="2">
        <v>35128</v>
      </c>
      <c r="L4190" s="2" t="s">
        <v>27833</v>
      </c>
      <c r="M4190" s="2" t="s">
        <v>27834</v>
      </c>
      <c r="N4190" s="2" t="s">
        <v>27835</v>
      </c>
      <c r="O4190" s="2">
        <v>5280523</v>
      </c>
      <c r="P4190" s="2" t="s">
        <v>27836</v>
      </c>
      <c r="Q4190" s="2" t="s">
        <v>27837</v>
      </c>
      <c r="R4190" s="2" t="s">
        <v>27838</v>
      </c>
      <c r="S4190" s="2" t="s">
        <v>50</v>
      </c>
      <c r="T4190" s="2" t="s">
        <v>229</v>
      </c>
      <c r="U4190" s="2" t="s">
        <v>433</v>
      </c>
      <c r="V4190" s="2" t="s">
        <v>59</v>
      </c>
      <c r="W4190" s="2">
        <v>39.1</v>
      </c>
      <c r="X4190" s="2">
        <v>0</v>
      </c>
      <c r="Y4190" s="2" t="s">
        <v>560</v>
      </c>
      <c r="Z4190" s="2" t="s">
        <v>12109</v>
      </c>
      <c r="AA4190" s="2">
        <v>-2.0433813756618702</v>
      </c>
      <c r="AB4190" s="2">
        <v>0.16072032993719099</v>
      </c>
      <c r="AC4190" s="2">
        <v>10421.128839372301</v>
      </c>
      <c r="AD4190" s="2">
        <v>8571.3560824726301</v>
      </c>
      <c r="AE4190" s="2">
        <v>10935.717602648099</v>
      </c>
      <c r="AF4190" s="2">
        <v>10273.3860338213</v>
      </c>
      <c r="AG4190" s="2">
        <v>9710.1159141999506</v>
      </c>
      <c r="AH4190" s="2">
        <v>10749.874648594599</v>
      </c>
      <c r="AI4190" s="2">
        <v>9934.9309841624508</v>
      </c>
      <c r="AJ4190" s="2">
        <v>10922.747852807201</v>
      </c>
      <c r="AK4190" s="2">
        <v>8497.0698028687002</v>
      </c>
      <c r="AL4190" s="2">
        <v>8316.4688981303298</v>
      </c>
      <c r="AM4190" s="2">
        <v>9047.1119489938501</v>
      </c>
      <c r="AN4190" s="2">
        <v>8831.798891638</v>
      </c>
      <c r="AO4190" s="2">
        <v>8107.3116938063004</v>
      </c>
      <c r="AP4190" s="2">
        <v>8628.3752593985791</v>
      </c>
    </row>
    <row r="4191" spans="1:42" ht="14.5" x14ac:dyDescent="0.35">
      <c r="A4191" s="2" t="s">
        <v>27839</v>
      </c>
      <c r="B4191" s="2">
        <v>1191.6849213826099</v>
      </c>
      <c r="C4191" s="2">
        <v>10.2647666666667</v>
      </c>
      <c r="D4191" s="2" t="s">
        <v>34</v>
      </c>
      <c r="E4191" s="2" t="s">
        <v>27840</v>
      </c>
      <c r="F4191" s="2">
        <v>136813</v>
      </c>
      <c r="G4191" s="3" t="str">
        <f>HYPERLINK("http://funmeta.oebiotech.com/network/136813", "http://funmeta.oebiotech.com/network/136813")</f>
        <v>http://funmeta.oebiotech.com/network/136813</v>
      </c>
      <c r="H4191" s="2" t="s">
        <v>27841</v>
      </c>
      <c r="I4191" s="2"/>
      <c r="J4191" s="2"/>
      <c r="K4191" s="2"/>
      <c r="L4191" s="2"/>
      <c r="M4191" s="2"/>
      <c r="N4191" s="2"/>
      <c r="O4191" s="2">
        <v>131823790</v>
      </c>
      <c r="P4191" s="2"/>
      <c r="Q4191" s="2" t="s">
        <v>27842</v>
      </c>
      <c r="R4191" s="2" t="s">
        <v>27843</v>
      </c>
      <c r="S4191" s="2" t="s">
        <v>50</v>
      </c>
      <c r="T4191" s="2" t="s">
        <v>51</v>
      </c>
      <c r="U4191" s="2" t="s">
        <v>27844</v>
      </c>
      <c r="V4191" s="2" t="s">
        <v>59</v>
      </c>
      <c r="W4191" s="2">
        <v>37.6</v>
      </c>
      <c r="X4191" s="2">
        <v>0</v>
      </c>
      <c r="Y4191" s="2" t="s">
        <v>340</v>
      </c>
      <c r="Z4191" s="2" t="s">
        <v>27845</v>
      </c>
      <c r="AA4191" s="2">
        <v>-5.3801022723441103E-2</v>
      </c>
      <c r="AB4191" s="2">
        <v>0.16065087641469</v>
      </c>
      <c r="AC4191" s="2">
        <v>1747.77399361523</v>
      </c>
      <c r="AD4191" s="2">
        <v>2.7106294003980101E-5</v>
      </c>
      <c r="AE4191" s="2">
        <v>2225.32204815655</v>
      </c>
      <c r="AF4191" s="2">
        <v>1794.78090516611</v>
      </c>
      <c r="AG4191" s="2">
        <v>1799.77260079236</v>
      </c>
      <c r="AH4191" s="2">
        <v>1211.7349434222001</v>
      </c>
      <c r="AI4191" s="2">
        <v>1918.0209610051099</v>
      </c>
      <c r="AJ4191" s="2">
        <v>1537.01250314905</v>
      </c>
      <c r="AK4191" s="2">
        <v>2.7106294003980101E-5</v>
      </c>
      <c r="AL4191" s="2">
        <v>2.7106294003980101E-5</v>
      </c>
      <c r="AM4191" s="2">
        <v>2.7106294003980101E-5</v>
      </c>
      <c r="AN4191" s="2">
        <v>2.7106294003980101E-5</v>
      </c>
      <c r="AO4191" s="2">
        <v>2.7106294003980101E-5</v>
      </c>
      <c r="AP4191" s="2">
        <v>2.7106294003980101E-5</v>
      </c>
    </row>
    <row r="4192" spans="1:42" ht="14.5" x14ac:dyDescent="0.35">
      <c r="A4192" s="2" t="s">
        <v>27846</v>
      </c>
      <c r="B4192" s="2">
        <v>271.169021687091</v>
      </c>
      <c r="C4192" s="2">
        <v>5.2337999999999996</v>
      </c>
      <c r="D4192" s="2" t="s">
        <v>34</v>
      </c>
      <c r="E4192" s="2" t="s">
        <v>27847</v>
      </c>
      <c r="F4192" s="2">
        <v>277064</v>
      </c>
      <c r="G4192" s="3" t="str">
        <f>HYPERLINK("http://funmeta.oebiotech.com/network/277064", "http://funmeta.oebiotech.com/network/277064")</f>
        <v>http://funmeta.oebiotech.com/network/277064</v>
      </c>
      <c r="H4192" s="2"/>
      <c r="I4192" s="2">
        <v>68695</v>
      </c>
      <c r="J4192" s="2"/>
      <c r="K4192" s="2"/>
      <c r="L4192" s="2" t="s">
        <v>27848</v>
      </c>
      <c r="M4192" s="2"/>
      <c r="N4192" s="2"/>
      <c r="O4192" s="2">
        <v>91590</v>
      </c>
      <c r="P4192" s="2" t="s">
        <v>27849</v>
      </c>
      <c r="Q4192" s="2" t="s">
        <v>27850</v>
      </c>
      <c r="R4192" s="2" t="s">
        <v>27851</v>
      </c>
      <c r="S4192" s="2" t="s">
        <v>491</v>
      </c>
      <c r="T4192" s="2" t="s">
        <v>6511</v>
      </c>
      <c r="U4192" s="2" t="s">
        <v>13259</v>
      </c>
      <c r="V4192" s="2" t="s">
        <v>59</v>
      </c>
      <c r="W4192" s="2">
        <v>38.4</v>
      </c>
      <c r="X4192" s="2">
        <v>0</v>
      </c>
      <c r="Y4192" s="2" t="s">
        <v>43</v>
      </c>
      <c r="Z4192" s="2" t="s">
        <v>27852</v>
      </c>
      <c r="AA4192" s="2">
        <v>-3.6362896439718799</v>
      </c>
      <c r="AB4192" s="2">
        <v>0.16061081444393399</v>
      </c>
      <c r="AC4192" s="2">
        <v>10752.739953389701</v>
      </c>
      <c r="AD4192" s="2">
        <v>8510.1168629012409</v>
      </c>
      <c r="AE4192" s="2">
        <v>9638.4098982511005</v>
      </c>
      <c r="AF4192" s="2">
        <v>11427.19380907</v>
      </c>
      <c r="AG4192" s="2">
        <v>11589.162363196299</v>
      </c>
      <c r="AH4192" s="2">
        <v>8942.3684299925899</v>
      </c>
      <c r="AI4192" s="2">
        <v>12057.6340888463</v>
      </c>
      <c r="AJ4192" s="2">
        <v>10861.671130982</v>
      </c>
      <c r="AK4192" s="2">
        <v>7669.3731602459602</v>
      </c>
      <c r="AL4192" s="2">
        <v>9773.4932963242209</v>
      </c>
      <c r="AM4192" s="2">
        <v>8217.1571519872996</v>
      </c>
      <c r="AN4192" s="2">
        <v>7469.11359001446</v>
      </c>
      <c r="AO4192" s="2">
        <v>9130.5588989445696</v>
      </c>
      <c r="AP4192" s="2">
        <v>8801.0050798909597</v>
      </c>
    </row>
    <row r="4193" spans="1:42" ht="14.5" x14ac:dyDescent="0.35">
      <c r="A4193" s="2" t="s">
        <v>27853</v>
      </c>
      <c r="B4193" s="2">
        <v>228.08403977798201</v>
      </c>
      <c r="C4193" s="2">
        <v>1.06171666666667</v>
      </c>
      <c r="D4193" s="2" t="s">
        <v>34</v>
      </c>
      <c r="E4193" s="2" t="s">
        <v>27854</v>
      </c>
      <c r="F4193" s="2">
        <v>60153</v>
      </c>
      <c r="G4193" s="3" t="str">
        <f>HYPERLINK("http://funmeta.oebiotech.com/network/60153", "http://funmeta.oebiotech.com/network/60153")</f>
        <v>http://funmeta.oebiotech.com/network/60153</v>
      </c>
      <c r="H4193" s="2" t="s">
        <v>27855</v>
      </c>
      <c r="I4193" s="2">
        <v>91536</v>
      </c>
      <c r="J4193" s="2"/>
      <c r="K4193" s="2">
        <v>169415</v>
      </c>
      <c r="L4193" s="2"/>
      <c r="M4193" s="2"/>
      <c r="N4193" s="2"/>
      <c r="O4193" s="2">
        <v>101415075</v>
      </c>
      <c r="P4193" s="2" t="s">
        <v>27856</v>
      </c>
      <c r="Q4193" s="2" t="s">
        <v>27857</v>
      </c>
      <c r="R4193" s="2" t="s">
        <v>27858</v>
      </c>
      <c r="S4193" s="2" t="s">
        <v>39</v>
      </c>
      <c r="T4193" s="2" t="s">
        <v>26067</v>
      </c>
      <c r="U4193" s="2" t="s">
        <v>41</v>
      </c>
      <c r="V4193" s="2" t="s">
        <v>59</v>
      </c>
      <c r="W4193" s="2">
        <v>38.9</v>
      </c>
      <c r="X4193" s="2">
        <v>0</v>
      </c>
      <c r="Y4193" s="2" t="s">
        <v>323</v>
      </c>
      <c r="Z4193" s="2" t="s">
        <v>27859</v>
      </c>
      <c r="AA4193" s="2">
        <v>-0.99215312862800997</v>
      </c>
      <c r="AB4193" s="2">
        <v>0.16055736123815501</v>
      </c>
      <c r="AC4193" s="2">
        <v>8025.5795460710397</v>
      </c>
      <c r="AD4193" s="2">
        <v>10197.710632107999</v>
      </c>
      <c r="AE4193" s="2">
        <v>7525.4222752205296</v>
      </c>
      <c r="AF4193" s="2">
        <v>8605.6769194836197</v>
      </c>
      <c r="AG4193" s="2">
        <v>7109.2045776819796</v>
      </c>
      <c r="AH4193" s="2">
        <v>8037.0940974953</v>
      </c>
      <c r="AI4193" s="2">
        <v>9270.5946050960192</v>
      </c>
      <c r="AJ4193" s="2">
        <v>7605.4848014487998</v>
      </c>
      <c r="AK4193" s="2">
        <v>11925.744681304101</v>
      </c>
      <c r="AL4193" s="2">
        <v>10184.987222469301</v>
      </c>
      <c r="AM4193" s="2">
        <v>10752.4803492226</v>
      </c>
      <c r="AN4193" s="2">
        <v>9271.4250471291398</v>
      </c>
      <c r="AO4193" s="2">
        <v>10322.486787368</v>
      </c>
      <c r="AP4193" s="2">
        <v>8729.1397051547592</v>
      </c>
    </row>
    <row r="4194" spans="1:42" ht="14.5" x14ac:dyDescent="0.35">
      <c r="A4194" s="2" t="s">
        <v>27860</v>
      </c>
      <c r="B4194" s="2">
        <v>523.18520331901198</v>
      </c>
      <c r="C4194" s="2">
        <v>5.7479666666666702</v>
      </c>
      <c r="D4194" s="2" t="s">
        <v>70</v>
      </c>
      <c r="E4194" s="2" t="s">
        <v>27861</v>
      </c>
      <c r="F4194" s="2">
        <v>515452</v>
      </c>
      <c r="G4194" s="3" t="str">
        <f>HYPERLINK("http://funmeta.oebiotech.com/network/515452", "http://funmeta.oebiotech.com/network/515452")</f>
        <v>http://funmeta.oebiotech.com/network/515452</v>
      </c>
      <c r="H4194" s="2"/>
      <c r="I4194" s="2">
        <v>96490</v>
      </c>
      <c r="J4194" s="2"/>
      <c r="K4194" s="2"/>
      <c r="L4194" s="2"/>
      <c r="M4194" s="2"/>
      <c r="N4194" s="2"/>
      <c r="O4194" s="2">
        <v>71312544</v>
      </c>
      <c r="P4194" s="2" t="s">
        <v>27862</v>
      </c>
      <c r="Q4194" s="2" t="s">
        <v>27863</v>
      </c>
      <c r="R4194" s="2" t="s">
        <v>27864</v>
      </c>
      <c r="S4194" s="2" t="s">
        <v>148</v>
      </c>
      <c r="T4194" s="2" t="s">
        <v>149</v>
      </c>
      <c r="U4194" s="2" t="s">
        <v>1593</v>
      </c>
      <c r="V4194" s="2" t="s">
        <v>59</v>
      </c>
      <c r="W4194" s="2">
        <v>37.9</v>
      </c>
      <c r="X4194" s="2">
        <v>0</v>
      </c>
      <c r="Y4194" s="2" t="s">
        <v>560</v>
      </c>
      <c r="Z4194" s="2" t="s">
        <v>27865</v>
      </c>
      <c r="AA4194" s="2">
        <v>3.3687688957713098</v>
      </c>
      <c r="AB4194" s="2">
        <v>0.160444914280962</v>
      </c>
      <c r="AC4194" s="2">
        <v>1952.9513457641699</v>
      </c>
      <c r="AD4194" s="2">
        <v>4017.35744850634</v>
      </c>
      <c r="AE4194" s="2">
        <v>2352.65814348699</v>
      </c>
      <c r="AF4194" s="2">
        <v>1695.32807569949</v>
      </c>
      <c r="AG4194" s="2">
        <v>2018.3450444750399</v>
      </c>
      <c r="AH4194" s="2">
        <v>2071.51705247056</v>
      </c>
      <c r="AI4194" s="2">
        <v>689.09456791623495</v>
      </c>
      <c r="AJ4194" s="2">
        <v>2890.7651905367102</v>
      </c>
      <c r="AK4194" s="2">
        <v>5019.36367791678</v>
      </c>
      <c r="AL4194" s="2">
        <v>4143.3958778566002</v>
      </c>
      <c r="AM4194" s="2">
        <v>3514.5676524405799</v>
      </c>
      <c r="AN4194" s="2">
        <v>4894.2373878061799</v>
      </c>
      <c r="AO4194" s="2">
        <v>3013.5468255599899</v>
      </c>
      <c r="AP4194" s="2">
        <v>3519.0332694579001</v>
      </c>
    </row>
    <row r="4195" spans="1:42" ht="14.5" x14ac:dyDescent="0.35">
      <c r="A4195" s="2" t="s">
        <v>27866</v>
      </c>
      <c r="B4195" s="2">
        <v>365.15910525608399</v>
      </c>
      <c r="C4195" s="2">
        <v>5.5564166666666699</v>
      </c>
      <c r="D4195" s="2" t="s">
        <v>34</v>
      </c>
      <c r="E4195" s="2" t="s">
        <v>27867</v>
      </c>
      <c r="F4195" s="2">
        <v>267285</v>
      </c>
      <c r="G4195" s="3" t="str">
        <f>HYPERLINK("http://funmeta.oebiotech.com/network/267285", "http://funmeta.oebiotech.com/network/267285")</f>
        <v>http://funmeta.oebiotech.com/network/267285</v>
      </c>
      <c r="H4195" s="2"/>
      <c r="I4195" s="2">
        <v>45167</v>
      </c>
      <c r="J4195" s="2"/>
      <c r="K4195" s="2"/>
      <c r="L4195" s="2"/>
      <c r="M4195" s="2"/>
      <c r="N4195" s="2"/>
      <c r="O4195" s="2">
        <v>6857802</v>
      </c>
      <c r="P4195" s="2"/>
      <c r="Q4195" s="2" t="s">
        <v>27868</v>
      </c>
      <c r="R4195" s="2" t="s">
        <v>27869</v>
      </c>
      <c r="S4195" s="2" t="s">
        <v>89</v>
      </c>
      <c r="T4195" s="2" t="s">
        <v>90</v>
      </c>
      <c r="U4195" s="2" t="s">
        <v>99</v>
      </c>
      <c r="V4195" s="2" t="s">
        <v>59</v>
      </c>
      <c r="W4195" s="2">
        <v>38.6</v>
      </c>
      <c r="X4195" s="2">
        <v>0</v>
      </c>
      <c r="Y4195" s="2" t="s">
        <v>323</v>
      </c>
      <c r="Z4195" s="2" t="s">
        <v>27870</v>
      </c>
      <c r="AA4195" s="2">
        <v>-2.8038848524775899</v>
      </c>
      <c r="AB4195" s="2">
        <v>0.160423390739797</v>
      </c>
      <c r="AC4195" s="2">
        <v>4430.6063226208498</v>
      </c>
      <c r="AD4195" s="2">
        <v>6569.02797612418</v>
      </c>
      <c r="AE4195" s="2">
        <v>3269.0072793243398</v>
      </c>
      <c r="AF4195" s="2">
        <v>3502.6951793348098</v>
      </c>
      <c r="AG4195" s="2">
        <v>3565.0182602017499</v>
      </c>
      <c r="AH4195" s="2">
        <v>5234.8903495970299</v>
      </c>
      <c r="AI4195" s="2">
        <v>5392.0614264404403</v>
      </c>
      <c r="AJ4195" s="2">
        <v>5619.9654408267097</v>
      </c>
      <c r="AK4195" s="2">
        <v>6549.57905687117</v>
      </c>
      <c r="AL4195" s="2">
        <v>5558.3494576235898</v>
      </c>
      <c r="AM4195" s="2">
        <v>6316.3559381442701</v>
      </c>
      <c r="AN4195" s="2">
        <v>7870.8842592108304</v>
      </c>
      <c r="AO4195" s="2">
        <v>6887.0123753216803</v>
      </c>
      <c r="AP4195" s="2">
        <v>6231.9867695735202</v>
      </c>
    </row>
    <row r="4196" spans="1:42" ht="14.5" x14ac:dyDescent="0.35">
      <c r="A4196" s="2" t="s">
        <v>27871</v>
      </c>
      <c r="B4196" s="2">
        <v>286.09192175227997</v>
      </c>
      <c r="C4196" s="2">
        <v>1.79495</v>
      </c>
      <c r="D4196" s="2" t="s">
        <v>34</v>
      </c>
      <c r="E4196" s="2" t="s">
        <v>27872</v>
      </c>
      <c r="F4196" s="2">
        <v>54782</v>
      </c>
      <c r="G4196" s="3" t="str">
        <f>HYPERLINK("http://funmeta.oebiotech.com/network/54782", "http://funmeta.oebiotech.com/network/54782")</f>
        <v>http://funmeta.oebiotech.com/network/54782</v>
      </c>
      <c r="H4196" s="2" t="s">
        <v>27873</v>
      </c>
      <c r="I4196" s="2"/>
      <c r="J4196" s="2"/>
      <c r="K4196" s="2"/>
      <c r="L4196" s="2" t="s">
        <v>27874</v>
      </c>
      <c r="M4196" s="2"/>
      <c r="N4196" s="2"/>
      <c r="O4196" s="2">
        <v>122812</v>
      </c>
      <c r="P4196" s="2" t="s">
        <v>27875</v>
      </c>
      <c r="Q4196" s="2" t="s">
        <v>27876</v>
      </c>
      <c r="R4196" s="2" t="s">
        <v>27877</v>
      </c>
      <c r="S4196" s="2" t="s">
        <v>79</v>
      </c>
      <c r="T4196" s="2" t="s">
        <v>80</v>
      </c>
      <c r="U4196" s="2" t="s">
        <v>81</v>
      </c>
      <c r="V4196" s="2" t="s">
        <v>59</v>
      </c>
      <c r="W4196" s="2">
        <v>46.1</v>
      </c>
      <c r="X4196" s="2">
        <v>40</v>
      </c>
      <c r="Y4196" s="2" t="s">
        <v>141</v>
      </c>
      <c r="Z4196" s="2" t="s">
        <v>27878</v>
      </c>
      <c r="AA4196" s="2">
        <v>-0.68131743069699402</v>
      </c>
      <c r="AB4196" s="2">
        <v>0.16039309440038699</v>
      </c>
      <c r="AC4196" s="2">
        <v>53702.727743255702</v>
      </c>
      <c r="AD4196" s="2">
        <v>50421.219897677998</v>
      </c>
      <c r="AE4196" s="2">
        <v>53498.600962976998</v>
      </c>
      <c r="AF4196" s="2">
        <v>54416.8081245664</v>
      </c>
      <c r="AG4196" s="2">
        <v>50936.6463867403</v>
      </c>
      <c r="AH4196" s="2">
        <v>53877.9990952195</v>
      </c>
      <c r="AI4196" s="2">
        <v>56596.946641637704</v>
      </c>
      <c r="AJ4196" s="2">
        <v>52889.365248393398</v>
      </c>
      <c r="AK4196" s="2">
        <v>50811.258729260502</v>
      </c>
      <c r="AL4196" s="2">
        <v>54496.681801082203</v>
      </c>
      <c r="AM4196" s="2">
        <v>46063.319840661599</v>
      </c>
      <c r="AN4196" s="2">
        <v>48868.754448912499</v>
      </c>
      <c r="AO4196" s="2">
        <v>47056.114514766101</v>
      </c>
      <c r="AP4196" s="2">
        <v>55231.190051385202</v>
      </c>
    </row>
    <row r="4197" spans="1:42" ht="14.5" x14ac:dyDescent="0.35">
      <c r="A4197" s="2" t="s">
        <v>27879</v>
      </c>
      <c r="B4197" s="2">
        <v>391.18670334961899</v>
      </c>
      <c r="C4197" s="2">
        <v>11.0825666666667</v>
      </c>
      <c r="D4197" s="2" t="s">
        <v>34</v>
      </c>
      <c r="E4197" s="2" t="s">
        <v>27880</v>
      </c>
      <c r="F4197" s="2">
        <v>211801</v>
      </c>
      <c r="G4197" s="3" t="str">
        <f>HYPERLINK("http://funmeta.oebiotech.com/network/211801", "http://funmeta.oebiotech.com/network/211801")</f>
        <v>http://funmeta.oebiotech.com/network/211801</v>
      </c>
      <c r="H4197" s="2" t="s">
        <v>27881</v>
      </c>
      <c r="I4197" s="2"/>
      <c r="J4197" s="2"/>
      <c r="K4197" s="2"/>
      <c r="L4197" s="2"/>
      <c r="M4197" s="2"/>
      <c r="N4197" s="2"/>
      <c r="O4197" s="2"/>
      <c r="P4197" s="2"/>
      <c r="Q4197" s="2" t="s">
        <v>27882</v>
      </c>
      <c r="R4197" s="2" t="s">
        <v>27883</v>
      </c>
      <c r="S4197" s="2" t="s">
        <v>148</v>
      </c>
      <c r="T4197" s="2" t="s">
        <v>6221</v>
      </c>
      <c r="U4197" s="2" t="s">
        <v>41</v>
      </c>
      <c r="V4197" s="2" t="s">
        <v>59</v>
      </c>
      <c r="W4197" s="2">
        <v>38</v>
      </c>
      <c r="X4197" s="2">
        <v>0</v>
      </c>
      <c r="Y4197" s="2" t="s">
        <v>43</v>
      </c>
      <c r="Z4197" s="2" t="s">
        <v>27884</v>
      </c>
      <c r="AA4197" s="2">
        <v>-2.6719616177313399</v>
      </c>
      <c r="AB4197" s="2">
        <v>0.160274786611556</v>
      </c>
      <c r="AC4197" s="2">
        <v>4661.4495312217296</v>
      </c>
      <c r="AD4197" s="2">
        <v>6519.4250971197098</v>
      </c>
      <c r="AE4197" s="2">
        <v>4529.18630314658</v>
      </c>
      <c r="AF4197" s="2">
        <v>5099.2838415572996</v>
      </c>
      <c r="AG4197" s="2">
        <v>4338.5528475475403</v>
      </c>
      <c r="AH4197" s="2">
        <v>4736.2727146106799</v>
      </c>
      <c r="AI4197" s="2">
        <v>4389.4360871197696</v>
      </c>
      <c r="AJ4197" s="2">
        <v>4875.9653933484997</v>
      </c>
      <c r="AK4197" s="2">
        <v>5401.2308578501097</v>
      </c>
      <c r="AL4197" s="2">
        <v>6526.5901095283098</v>
      </c>
      <c r="AM4197" s="2">
        <v>6388.39353213303</v>
      </c>
      <c r="AN4197" s="2">
        <v>6871.7056582318801</v>
      </c>
      <c r="AO4197" s="2">
        <v>6951.0652760124003</v>
      </c>
      <c r="AP4197" s="2">
        <v>6977.5651489625297</v>
      </c>
    </row>
    <row r="4198" spans="1:42" ht="14.5" x14ac:dyDescent="0.35">
      <c r="A4198" s="2" t="s">
        <v>27885</v>
      </c>
      <c r="B4198" s="2">
        <v>403.13640666612702</v>
      </c>
      <c r="C4198" s="2">
        <v>3.9315333333333302</v>
      </c>
      <c r="D4198" s="2" t="s">
        <v>34</v>
      </c>
      <c r="E4198" s="5" t="s">
        <v>27886</v>
      </c>
      <c r="F4198" s="2">
        <v>60561</v>
      </c>
      <c r="G4198" s="3" t="str">
        <f>HYPERLINK("http://funmeta.oebiotech.com/network/60561", "http://funmeta.oebiotech.com/network/60561")</f>
        <v>http://funmeta.oebiotech.com/network/60561</v>
      </c>
      <c r="H4198" s="2" t="s">
        <v>27887</v>
      </c>
      <c r="I4198" s="2"/>
      <c r="J4198" s="2"/>
      <c r="K4198" s="2"/>
      <c r="L4198" s="2"/>
      <c r="M4198" s="2"/>
      <c r="N4198" s="2"/>
      <c r="O4198" s="2">
        <v>14583169</v>
      </c>
      <c r="P4198" s="2" t="s">
        <v>27888</v>
      </c>
      <c r="Q4198" s="2" t="s">
        <v>27889</v>
      </c>
      <c r="R4198" s="2" t="s">
        <v>27890</v>
      </c>
      <c r="S4198" s="2" t="s">
        <v>50</v>
      </c>
      <c r="T4198" s="2" t="s">
        <v>201</v>
      </c>
      <c r="U4198" s="2" t="s">
        <v>241</v>
      </c>
      <c r="V4198" s="2" t="s">
        <v>59</v>
      </c>
      <c r="W4198" s="2">
        <v>37.9</v>
      </c>
      <c r="X4198" s="2">
        <v>0</v>
      </c>
      <c r="Y4198" s="2" t="s">
        <v>323</v>
      </c>
      <c r="Z4198" s="2" t="s">
        <v>20332</v>
      </c>
      <c r="AA4198" s="2">
        <v>0.179561974964358</v>
      </c>
      <c r="AB4198" s="2">
        <v>0.160101050467053</v>
      </c>
      <c r="AC4198" s="2">
        <v>18158.545760643901</v>
      </c>
      <c r="AD4198" s="2">
        <v>15421.192110326499</v>
      </c>
      <c r="AE4198" s="2">
        <v>14685.9068086886</v>
      </c>
      <c r="AF4198" s="2">
        <v>17422.613976407501</v>
      </c>
      <c r="AG4198" s="2">
        <v>20704.462146299298</v>
      </c>
      <c r="AH4198" s="2">
        <v>18205.729763138399</v>
      </c>
      <c r="AI4198" s="2">
        <v>19662.7611794531</v>
      </c>
      <c r="AJ4198" s="2">
        <v>18269.8006898764</v>
      </c>
      <c r="AK4198" s="2">
        <v>17939.745101526401</v>
      </c>
      <c r="AL4198" s="2">
        <v>14471.9162837882</v>
      </c>
      <c r="AM4198" s="2">
        <v>14865.425647469099</v>
      </c>
      <c r="AN4198" s="2">
        <v>16660.326197217299</v>
      </c>
      <c r="AO4198" s="2">
        <v>13031.5060427895</v>
      </c>
      <c r="AP4198" s="2">
        <v>15558.233389168499</v>
      </c>
    </row>
    <row r="4199" spans="1:42" ht="14.5" x14ac:dyDescent="0.35">
      <c r="A4199" s="2" t="s">
        <v>27891</v>
      </c>
      <c r="B4199" s="2">
        <v>521.10434761362001</v>
      </c>
      <c r="C4199" s="2">
        <v>5.0599499999999997</v>
      </c>
      <c r="D4199" s="2" t="s">
        <v>70</v>
      </c>
      <c r="E4199" s="2" t="s">
        <v>27892</v>
      </c>
      <c r="F4199" s="2">
        <v>212774</v>
      </c>
      <c r="G4199" s="3" t="str">
        <f>HYPERLINK("http://funmeta.oebiotech.com/network/212774", "http://funmeta.oebiotech.com/network/212774")</f>
        <v>http://funmeta.oebiotech.com/network/212774</v>
      </c>
      <c r="H4199" s="2" t="s">
        <v>27893</v>
      </c>
      <c r="I4199" s="2"/>
      <c r="J4199" s="2"/>
      <c r="K4199" s="2"/>
      <c r="L4199" s="2"/>
      <c r="M4199" s="2"/>
      <c r="N4199" s="2"/>
      <c r="O4199" s="2">
        <v>4487902</v>
      </c>
      <c r="P4199" s="2"/>
      <c r="Q4199" s="2" t="s">
        <v>27894</v>
      </c>
      <c r="R4199" s="2" t="s">
        <v>27895</v>
      </c>
      <c r="S4199" s="2" t="s">
        <v>491</v>
      </c>
      <c r="T4199" s="2" t="s">
        <v>8419</v>
      </c>
      <c r="U4199" s="2" t="s">
        <v>8420</v>
      </c>
      <c r="V4199" s="2" t="s">
        <v>59</v>
      </c>
      <c r="W4199" s="2">
        <v>36.4</v>
      </c>
      <c r="X4199" s="2">
        <v>0</v>
      </c>
      <c r="Y4199" s="2" t="s">
        <v>118</v>
      </c>
      <c r="Z4199" s="2" t="s">
        <v>27896</v>
      </c>
      <c r="AA4199" s="2">
        <v>2.3971642520160401</v>
      </c>
      <c r="AB4199" s="2">
        <v>0.16007431937445801</v>
      </c>
      <c r="AC4199" s="2">
        <v>22153.868684939502</v>
      </c>
      <c r="AD4199" s="2">
        <v>18925.583702340798</v>
      </c>
      <c r="AE4199" s="2">
        <v>27980.608626939498</v>
      </c>
      <c r="AF4199" s="2">
        <v>24171.5167776448</v>
      </c>
      <c r="AG4199" s="2">
        <v>17596.348343636299</v>
      </c>
      <c r="AH4199" s="2">
        <v>23017.404578311998</v>
      </c>
      <c r="AI4199" s="2">
        <v>20756.925613732099</v>
      </c>
      <c r="AJ4199" s="2">
        <v>19400.4081693726</v>
      </c>
      <c r="AK4199" s="2">
        <v>20451.161138130199</v>
      </c>
      <c r="AL4199" s="2">
        <v>21183.980751822099</v>
      </c>
      <c r="AM4199" s="2">
        <v>18271.458889633301</v>
      </c>
      <c r="AN4199" s="2">
        <v>19660.381234176599</v>
      </c>
      <c r="AO4199" s="2">
        <v>17769.535742792599</v>
      </c>
      <c r="AP4199" s="2">
        <v>16216.9844574903</v>
      </c>
    </row>
    <row r="4200" spans="1:42" ht="14.5" x14ac:dyDescent="0.35">
      <c r="A4200" s="2" t="s">
        <v>27897</v>
      </c>
      <c r="B4200" s="2">
        <v>535.16746372678995</v>
      </c>
      <c r="C4200" s="2">
        <v>3.5976333333333299</v>
      </c>
      <c r="D4200" s="2" t="s">
        <v>70</v>
      </c>
      <c r="E4200" s="2" t="s">
        <v>27898</v>
      </c>
      <c r="F4200" s="2">
        <v>257615</v>
      </c>
      <c r="G4200" s="3" t="str">
        <f>HYPERLINK("http://funmeta.oebiotech.com/network/257615", "http://funmeta.oebiotech.com/network/257615")</f>
        <v>http://funmeta.oebiotech.com/network/257615</v>
      </c>
      <c r="H4200" s="2" t="s">
        <v>27899</v>
      </c>
      <c r="I4200" s="2"/>
      <c r="J4200" s="2"/>
      <c r="K4200" s="2"/>
      <c r="L4200" s="2"/>
      <c r="M4200" s="2"/>
      <c r="N4200" s="2"/>
      <c r="O4200" s="2"/>
      <c r="P4200" s="2"/>
      <c r="Q4200" s="2" t="s">
        <v>27900</v>
      </c>
      <c r="R4200" s="2" t="s">
        <v>27901</v>
      </c>
      <c r="S4200" s="2" t="s">
        <v>79</v>
      </c>
      <c r="T4200" s="2" t="s">
        <v>80</v>
      </c>
      <c r="U4200" s="2" t="s">
        <v>81</v>
      </c>
      <c r="V4200" s="2" t="s">
        <v>59</v>
      </c>
      <c r="W4200" s="2">
        <v>39.200000000000003</v>
      </c>
      <c r="X4200" s="2">
        <v>0</v>
      </c>
      <c r="Y4200" s="2" t="s">
        <v>560</v>
      </c>
      <c r="Z4200" s="2" t="s">
        <v>27902</v>
      </c>
      <c r="AA4200" s="2">
        <v>1.0895079951356299</v>
      </c>
      <c r="AB4200" s="2">
        <v>0.159955316463151</v>
      </c>
      <c r="AC4200" s="2">
        <v>4399.9219711880696</v>
      </c>
      <c r="AD4200" s="2">
        <v>6293.3594586351701</v>
      </c>
      <c r="AE4200" s="2">
        <v>4877.8330940428496</v>
      </c>
      <c r="AF4200" s="2">
        <v>4197.3701141997499</v>
      </c>
      <c r="AG4200" s="2">
        <v>4412.7762742023197</v>
      </c>
      <c r="AH4200" s="2">
        <v>3967.89854901326</v>
      </c>
      <c r="AI4200" s="2">
        <v>4332.9899752030597</v>
      </c>
      <c r="AJ4200" s="2">
        <v>4610.6638204671599</v>
      </c>
      <c r="AK4200" s="2">
        <v>6809.2344300650602</v>
      </c>
      <c r="AL4200" s="2">
        <v>5883.6852014169799</v>
      </c>
      <c r="AM4200" s="2">
        <v>5953.5787880980897</v>
      </c>
      <c r="AN4200" s="2">
        <v>5616.9076971219802</v>
      </c>
      <c r="AO4200" s="2">
        <v>6072.2291582508396</v>
      </c>
      <c r="AP4200" s="2">
        <v>7424.52147685808</v>
      </c>
    </row>
    <row r="4201" spans="1:42" ht="14.5" x14ac:dyDescent="0.35">
      <c r="A4201" s="2" t="s">
        <v>27903</v>
      </c>
      <c r="B4201" s="2">
        <v>397.07497372781</v>
      </c>
      <c r="C4201" s="2">
        <v>1.50383333333333</v>
      </c>
      <c r="D4201" s="2" t="s">
        <v>70</v>
      </c>
      <c r="E4201" s="2" t="s">
        <v>27904</v>
      </c>
      <c r="F4201" s="2">
        <v>82321</v>
      </c>
      <c r="G4201" s="3" t="str">
        <f>HYPERLINK("http://funmeta.oebiotech.com/network/82321", "http://funmeta.oebiotech.com/network/82321")</f>
        <v>http://funmeta.oebiotech.com/network/82321</v>
      </c>
      <c r="H4201" s="2" t="s">
        <v>27905</v>
      </c>
      <c r="I4201" s="2">
        <v>73231</v>
      </c>
      <c r="J4201" s="2"/>
      <c r="K4201" s="2">
        <v>82560</v>
      </c>
      <c r="L4201" s="2" t="s">
        <v>27906</v>
      </c>
      <c r="M4201" s="2" t="s">
        <v>13581</v>
      </c>
      <c r="N4201" s="2" t="s">
        <v>13582</v>
      </c>
      <c r="O4201" s="2">
        <v>54611</v>
      </c>
      <c r="P4201" s="2" t="s">
        <v>27907</v>
      </c>
      <c r="Q4201" s="2" t="s">
        <v>27908</v>
      </c>
      <c r="R4201" s="2" t="s">
        <v>27909</v>
      </c>
      <c r="S4201" s="2" t="s">
        <v>148</v>
      </c>
      <c r="T4201" s="2" t="s">
        <v>11004</v>
      </c>
      <c r="U4201" s="2" t="s">
        <v>41</v>
      </c>
      <c r="V4201" s="2" t="s">
        <v>59</v>
      </c>
      <c r="W4201" s="2">
        <v>43.8</v>
      </c>
      <c r="X4201" s="2">
        <v>30.4</v>
      </c>
      <c r="Y4201" s="2" t="s">
        <v>408</v>
      </c>
      <c r="Z4201" s="2" t="s">
        <v>27910</v>
      </c>
      <c r="AA4201" s="2">
        <v>-0.45198516805094602</v>
      </c>
      <c r="AB4201" s="2">
        <v>0.15985937450228299</v>
      </c>
      <c r="AC4201" s="2">
        <v>33226.1757545449</v>
      </c>
      <c r="AD4201" s="2">
        <v>35714.040318101797</v>
      </c>
      <c r="AE4201" s="2">
        <v>34134.458349845299</v>
      </c>
      <c r="AF4201" s="2">
        <v>33168.347656624297</v>
      </c>
      <c r="AG4201" s="2">
        <v>32734.073738159899</v>
      </c>
      <c r="AH4201" s="2">
        <v>33578.979471491897</v>
      </c>
      <c r="AI4201" s="2">
        <v>32219.486433638998</v>
      </c>
      <c r="AJ4201" s="2">
        <v>33521.7088775089</v>
      </c>
      <c r="AK4201" s="2">
        <v>34001.236305622602</v>
      </c>
      <c r="AL4201" s="2">
        <v>33371.937651310298</v>
      </c>
      <c r="AM4201" s="2">
        <v>34612.6911919138</v>
      </c>
      <c r="AN4201" s="2">
        <v>36903.850946976803</v>
      </c>
      <c r="AO4201" s="2">
        <v>36926.5040778779</v>
      </c>
      <c r="AP4201" s="2">
        <v>38468.021734909598</v>
      </c>
    </row>
    <row r="4202" spans="1:42" ht="14.5" x14ac:dyDescent="0.35">
      <c r="A4202" s="2" t="s">
        <v>27911</v>
      </c>
      <c r="B4202" s="2">
        <v>255.23253671712499</v>
      </c>
      <c r="C4202" s="2">
        <v>12.9677166666667</v>
      </c>
      <c r="D4202" s="2" t="s">
        <v>70</v>
      </c>
      <c r="E4202" s="2" t="s">
        <v>27912</v>
      </c>
      <c r="F4202" s="2">
        <v>48</v>
      </c>
      <c r="G4202" s="3" t="str">
        <f>HYPERLINK("http://funmeta.oebiotech.com/network/48", "http://funmeta.oebiotech.com/network/48")</f>
        <v>http://funmeta.oebiotech.com/network/48</v>
      </c>
      <c r="H4202" s="2" t="s">
        <v>27913</v>
      </c>
      <c r="I4202" s="2">
        <v>187</v>
      </c>
      <c r="J4202" s="2" t="s">
        <v>27914</v>
      </c>
      <c r="K4202" s="2">
        <v>15756</v>
      </c>
      <c r="L4202" s="2" t="s">
        <v>27915</v>
      </c>
      <c r="M4202" s="2" t="s">
        <v>27916</v>
      </c>
      <c r="N4202" s="2" t="s">
        <v>27917</v>
      </c>
      <c r="O4202" s="2">
        <v>985</v>
      </c>
      <c r="P4202" s="2" t="s">
        <v>27918</v>
      </c>
      <c r="Q4202" s="2" t="s">
        <v>27919</v>
      </c>
      <c r="R4202" s="2" t="s">
        <v>27920</v>
      </c>
      <c r="S4202" s="2" t="s">
        <v>50</v>
      </c>
      <c r="T4202" s="2" t="s">
        <v>229</v>
      </c>
      <c r="U4202" s="2" t="s">
        <v>433</v>
      </c>
      <c r="V4202" s="2" t="s">
        <v>59</v>
      </c>
      <c r="W4202" s="2">
        <v>39.200000000000003</v>
      </c>
      <c r="X4202" s="2">
        <v>1.98</v>
      </c>
      <c r="Y4202" s="2" t="s">
        <v>118</v>
      </c>
      <c r="Z4202" s="2" t="s">
        <v>27921</v>
      </c>
      <c r="AA4202" s="2">
        <v>-1.6278327350830599</v>
      </c>
      <c r="AB4202" s="2">
        <v>0.159838985278244</v>
      </c>
      <c r="AC4202" s="2">
        <v>6093.1838966109299</v>
      </c>
      <c r="AD4202" s="2">
        <v>8213.5515777487599</v>
      </c>
      <c r="AE4202" s="2">
        <v>6346.4532369985</v>
      </c>
      <c r="AF4202" s="2">
        <v>5781.8443134498102</v>
      </c>
      <c r="AG4202" s="2">
        <v>5485.9034929147401</v>
      </c>
      <c r="AH4202" s="2">
        <v>6375.7108548048</v>
      </c>
      <c r="AI4202" s="2">
        <v>6071.52724045797</v>
      </c>
      <c r="AJ4202" s="2">
        <v>6497.6642410397699</v>
      </c>
      <c r="AK4202" s="2">
        <v>9826.1899852219904</v>
      </c>
      <c r="AL4202" s="2">
        <v>9144.8476614050996</v>
      </c>
      <c r="AM4202" s="2">
        <v>8647.6520644021293</v>
      </c>
      <c r="AN4202" s="2">
        <v>6694.6551152352104</v>
      </c>
      <c r="AO4202" s="2">
        <v>7693.7455603038297</v>
      </c>
      <c r="AP4202" s="2">
        <v>7274.2190799242999</v>
      </c>
    </row>
    <row r="4203" spans="1:42" ht="14.5" x14ac:dyDescent="0.35">
      <c r="A4203" s="2" t="s">
        <v>27922</v>
      </c>
      <c r="B4203" s="2">
        <v>252.98580566415501</v>
      </c>
      <c r="C4203" s="2">
        <v>2.4628999999999999</v>
      </c>
      <c r="D4203" s="2" t="s">
        <v>70</v>
      </c>
      <c r="E4203" s="2" t="s">
        <v>27923</v>
      </c>
      <c r="F4203" s="2">
        <v>212975</v>
      </c>
      <c r="G4203" s="3" t="str">
        <f>HYPERLINK("http://funmeta.oebiotech.com/network/212975", "http://funmeta.oebiotech.com/network/212975")</f>
        <v>http://funmeta.oebiotech.com/network/212975</v>
      </c>
      <c r="H4203" s="2" t="s">
        <v>27924</v>
      </c>
      <c r="I4203" s="2"/>
      <c r="J4203" s="2"/>
      <c r="K4203" s="2"/>
      <c r="L4203" s="2"/>
      <c r="M4203" s="2"/>
      <c r="N4203" s="2"/>
      <c r="O4203" s="2">
        <v>129630619</v>
      </c>
      <c r="P4203" s="2"/>
      <c r="Q4203" s="2" t="s">
        <v>27925</v>
      </c>
      <c r="R4203" s="2" t="s">
        <v>27926</v>
      </c>
      <c r="S4203" s="2" t="s">
        <v>41</v>
      </c>
      <c r="T4203" s="2" t="s">
        <v>41</v>
      </c>
      <c r="U4203" s="2" t="s">
        <v>41</v>
      </c>
      <c r="V4203" s="2" t="s">
        <v>59</v>
      </c>
      <c r="W4203" s="2">
        <v>38.200000000000003</v>
      </c>
      <c r="X4203" s="2">
        <v>0</v>
      </c>
      <c r="Y4203" s="2" t="s">
        <v>118</v>
      </c>
      <c r="Z4203" s="2" t="s">
        <v>27927</v>
      </c>
      <c r="AA4203" s="2">
        <v>2.8885747935044099</v>
      </c>
      <c r="AB4203" s="2">
        <v>0.159818692188884</v>
      </c>
      <c r="AC4203" s="2">
        <v>3914.18647066117</v>
      </c>
      <c r="AD4203" s="2">
        <v>2210.47228964234</v>
      </c>
      <c r="AE4203" s="2">
        <v>3927.05146538188</v>
      </c>
      <c r="AF4203" s="2">
        <v>3872.8189777362199</v>
      </c>
      <c r="AG4203" s="2">
        <v>3830.9774810055401</v>
      </c>
      <c r="AH4203" s="2">
        <v>4307.6118166486503</v>
      </c>
      <c r="AI4203" s="2">
        <v>3647.1713334894698</v>
      </c>
      <c r="AJ4203" s="2">
        <v>3899.4877497052398</v>
      </c>
      <c r="AK4203" s="2">
        <v>2218.6294243452498</v>
      </c>
      <c r="AL4203" s="2">
        <v>2356.7344799420598</v>
      </c>
      <c r="AM4203" s="2">
        <v>2246.8945213632201</v>
      </c>
      <c r="AN4203" s="2">
        <v>2304.19373141498</v>
      </c>
      <c r="AO4203" s="2">
        <v>1982.6014584275099</v>
      </c>
      <c r="AP4203" s="2">
        <v>2153.7801223609999</v>
      </c>
    </row>
    <row r="4204" spans="1:42" ht="14.5" x14ac:dyDescent="0.35">
      <c r="A4204" s="2" t="s">
        <v>27928</v>
      </c>
      <c r="B4204" s="2">
        <v>231.13781009317401</v>
      </c>
      <c r="C4204" s="2">
        <v>9.1582833333333298</v>
      </c>
      <c r="D4204" s="2" t="s">
        <v>34</v>
      </c>
      <c r="E4204" s="2" t="s">
        <v>27929</v>
      </c>
      <c r="F4204" s="2">
        <v>57486</v>
      </c>
      <c r="G4204" s="3" t="str">
        <f>HYPERLINK("http://funmeta.oebiotech.com/network/57486", "http://funmeta.oebiotech.com/network/57486")</f>
        <v>http://funmeta.oebiotech.com/network/57486</v>
      </c>
      <c r="H4204" s="2" t="s">
        <v>27930</v>
      </c>
      <c r="I4204" s="2">
        <v>89102</v>
      </c>
      <c r="J4204" s="2"/>
      <c r="K4204" s="2"/>
      <c r="L4204" s="2"/>
      <c r="M4204" s="2"/>
      <c r="N4204" s="2"/>
      <c r="O4204" s="2">
        <v>131751397</v>
      </c>
      <c r="P4204" s="2" t="s">
        <v>27931</v>
      </c>
      <c r="Q4204" s="2" t="s">
        <v>27932</v>
      </c>
      <c r="R4204" s="2" t="s">
        <v>27933</v>
      </c>
      <c r="S4204" s="2" t="s">
        <v>50</v>
      </c>
      <c r="T4204" s="2" t="s">
        <v>201</v>
      </c>
      <c r="U4204" s="2" t="s">
        <v>636</v>
      </c>
      <c r="V4204" s="2" t="s">
        <v>42</v>
      </c>
      <c r="W4204" s="2">
        <v>51.5</v>
      </c>
      <c r="X4204" s="2">
        <v>60.1</v>
      </c>
      <c r="Y4204" s="2" t="s">
        <v>194</v>
      </c>
      <c r="Z4204" s="2" t="s">
        <v>27934</v>
      </c>
      <c r="AA4204" s="2">
        <v>-0.63509657140494702</v>
      </c>
      <c r="AB4204" s="2">
        <v>0.15957272488691199</v>
      </c>
      <c r="AC4204" s="2">
        <v>36358.500965405001</v>
      </c>
      <c r="AD4204" s="2">
        <v>33841.988415524604</v>
      </c>
      <c r="AE4204" s="2">
        <v>35917.124431898897</v>
      </c>
      <c r="AF4204" s="2">
        <v>35577.833686241</v>
      </c>
      <c r="AG4204" s="2">
        <v>36504.209317058499</v>
      </c>
      <c r="AH4204" s="2">
        <v>36725.0760348287</v>
      </c>
      <c r="AI4204" s="2">
        <v>36395.178689615401</v>
      </c>
      <c r="AJ4204" s="2">
        <v>37031.583632787297</v>
      </c>
      <c r="AK4204" s="2">
        <v>29939.293812582899</v>
      </c>
      <c r="AL4204" s="2">
        <v>33235.586868936698</v>
      </c>
      <c r="AM4204" s="2">
        <v>35002.519599941399</v>
      </c>
      <c r="AN4204" s="2">
        <v>35704.958865549699</v>
      </c>
      <c r="AO4204" s="2">
        <v>34163.457638080799</v>
      </c>
      <c r="AP4204" s="2">
        <v>35006.113708055898</v>
      </c>
    </row>
    <row r="4205" spans="1:42" ht="14.5" x14ac:dyDescent="0.35">
      <c r="A4205" s="2" t="s">
        <v>27935</v>
      </c>
      <c r="B4205" s="2">
        <v>853.47945487459799</v>
      </c>
      <c r="C4205" s="2">
        <v>11.6621666666667</v>
      </c>
      <c r="D4205" s="2" t="s">
        <v>70</v>
      </c>
      <c r="E4205" s="2" t="s">
        <v>27936</v>
      </c>
      <c r="F4205" s="2">
        <v>213100</v>
      </c>
      <c r="G4205" s="3" t="str">
        <f>HYPERLINK("http://funmeta.oebiotech.com/network/213100", "http://funmeta.oebiotech.com/network/213100")</f>
        <v>http://funmeta.oebiotech.com/network/213100</v>
      </c>
      <c r="H4205" s="2" t="s">
        <v>27937</v>
      </c>
      <c r="I4205" s="2"/>
      <c r="J4205" s="2"/>
      <c r="K4205" s="2"/>
      <c r="L4205" s="2"/>
      <c r="M4205" s="2"/>
      <c r="N4205" s="2"/>
      <c r="O4205" s="2">
        <v>21917703</v>
      </c>
      <c r="P4205" s="2"/>
      <c r="Q4205" s="2" t="s">
        <v>27938</v>
      </c>
      <c r="R4205" s="2" t="s">
        <v>27939</v>
      </c>
      <c r="S4205" s="2" t="s">
        <v>41</v>
      </c>
      <c r="T4205" s="2" t="s">
        <v>41</v>
      </c>
      <c r="U4205" s="2" t="s">
        <v>41</v>
      </c>
      <c r="V4205" s="2" t="s">
        <v>59</v>
      </c>
      <c r="W4205" s="2">
        <v>36.9</v>
      </c>
      <c r="X4205" s="2">
        <v>0</v>
      </c>
      <c r="Y4205" s="2" t="s">
        <v>560</v>
      </c>
      <c r="Z4205" s="2" t="s">
        <v>27940</v>
      </c>
      <c r="AA4205" s="2">
        <v>0.65970319806783695</v>
      </c>
      <c r="AB4205" s="2">
        <v>0.15950991040593199</v>
      </c>
      <c r="AC4205" s="2">
        <v>44369.543859177902</v>
      </c>
      <c r="AD4205" s="2">
        <v>47980.747992091099</v>
      </c>
      <c r="AE4205" s="2">
        <v>42829.991318391301</v>
      </c>
      <c r="AF4205" s="2">
        <v>38039.667395884797</v>
      </c>
      <c r="AG4205" s="2">
        <v>42496.029267648497</v>
      </c>
      <c r="AH4205" s="2">
        <v>47842.013584439999</v>
      </c>
      <c r="AI4205" s="2">
        <v>47527.274495787897</v>
      </c>
      <c r="AJ4205" s="2">
        <v>47482.287092915103</v>
      </c>
      <c r="AK4205" s="2">
        <v>44264.064359023701</v>
      </c>
      <c r="AL4205" s="2">
        <v>47890.439377758797</v>
      </c>
      <c r="AM4205" s="2">
        <v>49931.129817600398</v>
      </c>
      <c r="AN4205" s="2">
        <v>42783.290986803499</v>
      </c>
      <c r="AO4205" s="2">
        <v>50323.091587978299</v>
      </c>
      <c r="AP4205" s="2">
        <v>52692.471823382097</v>
      </c>
    </row>
    <row r="4206" spans="1:42" ht="14.5" x14ac:dyDescent="0.35">
      <c r="A4206" s="2" t="s">
        <v>27941</v>
      </c>
      <c r="B4206" s="2">
        <v>371.18487106821999</v>
      </c>
      <c r="C4206" s="2">
        <v>5.1684333333333301</v>
      </c>
      <c r="D4206" s="2" t="s">
        <v>34</v>
      </c>
      <c r="E4206" s="2" t="s">
        <v>27942</v>
      </c>
      <c r="F4206" s="2">
        <v>267403</v>
      </c>
      <c r="G4206" s="3" t="str">
        <f>HYPERLINK("http://funmeta.oebiotech.com/network/267403", "http://funmeta.oebiotech.com/network/267403")</f>
        <v>http://funmeta.oebiotech.com/network/267403</v>
      </c>
      <c r="H4206" s="2"/>
      <c r="I4206" s="2">
        <v>45407</v>
      </c>
      <c r="J4206" s="2"/>
      <c r="K4206" s="2"/>
      <c r="L4206" s="2"/>
      <c r="M4206" s="2"/>
      <c r="N4206" s="2"/>
      <c r="O4206" s="2">
        <v>12767333</v>
      </c>
      <c r="P4206" s="2" t="s">
        <v>27943</v>
      </c>
      <c r="Q4206" s="2" t="s">
        <v>27944</v>
      </c>
      <c r="R4206" s="2" t="s">
        <v>27945</v>
      </c>
      <c r="S4206" s="2" t="s">
        <v>50</v>
      </c>
      <c r="T4206" s="2" t="s">
        <v>229</v>
      </c>
      <c r="U4206" s="2" t="s">
        <v>766</v>
      </c>
      <c r="V4206" s="2" t="s">
        <v>59</v>
      </c>
      <c r="W4206" s="2">
        <v>38.299999999999997</v>
      </c>
      <c r="X4206" s="2">
        <v>0</v>
      </c>
      <c r="Y4206" s="2" t="s">
        <v>266</v>
      </c>
      <c r="Z4206" s="2" t="s">
        <v>6656</v>
      </c>
      <c r="AA4206" s="2">
        <v>-1.15969985350528</v>
      </c>
      <c r="AB4206" s="2">
        <v>0.15947856086012399</v>
      </c>
      <c r="AC4206" s="2">
        <v>145091.583255295</v>
      </c>
      <c r="AD4206" s="2">
        <v>140570.43512065799</v>
      </c>
      <c r="AE4206" s="2">
        <v>139161.218266312</v>
      </c>
      <c r="AF4206" s="2">
        <v>142846.51756168201</v>
      </c>
      <c r="AG4206" s="2">
        <v>151673.77006151399</v>
      </c>
      <c r="AH4206" s="2">
        <v>144045.12782522899</v>
      </c>
      <c r="AI4206" s="2">
        <v>137280.327267232</v>
      </c>
      <c r="AJ4206" s="2">
        <v>155542.538549802</v>
      </c>
      <c r="AK4206" s="2">
        <v>129910.347876949</v>
      </c>
      <c r="AL4206" s="2">
        <v>146155.61174963001</v>
      </c>
      <c r="AM4206" s="2">
        <v>141434.76093142101</v>
      </c>
      <c r="AN4206" s="2">
        <v>142493.261588536</v>
      </c>
      <c r="AO4206" s="2">
        <v>142300.59556731299</v>
      </c>
      <c r="AP4206" s="2">
        <v>141128.03301009699</v>
      </c>
    </row>
    <row r="4207" spans="1:42" ht="14.5" x14ac:dyDescent="0.35">
      <c r="A4207" s="2" t="s">
        <v>27946</v>
      </c>
      <c r="B4207" s="2">
        <v>354.078021040485</v>
      </c>
      <c r="C4207" s="2">
        <v>2.8320166666666702</v>
      </c>
      <c r="D4207" s="2" t="s">
        <v>70</v>
      </c>
      <c r="E4207" s="2" t="s">
        <v>27947</v>
      </c>
      <c r="F4207" s="2">
        <v>53524</v>
      </c>
      <c r="G4207" s="3" t="str">
        <f>HYPERLINK("http://funmeta.oebiotech.com/network/53524", "http://funmeta.oebiotech.com/network/53524")</f>
        <v>http://funmeta.oebiotech.com/network/53524</v>
      </c>
      <c r="H4207" s="2" t="s">
        <v>27948</v>
      </c>
      <c r="I4207" s="2">
        <v>3133</v>
      </c>
      <c r="J4207" s="2"/>
      <c r="K4207" s="2">
        <v>1178587</v>
      </c>
      <c r="L4207" s="2" t="s">
        <v>27949</v>
      </c>
      <c r="M4207" s="2"/>
      <c r="N4207" s="2"/>
      <c r="O4207" s="2">
        <v>9565</v>
      </c>
      <c r="P4207" s="2" t="s">
        <v>27950</v>
      </c>
      <c r="Q4207" s="2" t="s">
        <v>27951</v>
      </c>
      <c r="R4207" s="2" t="s">
        <v>27952</v>
      </c>
      <c r="S4207" s="2" t="s">
        <v>148</v>
      </c>
      <c r="T4207" s="2" t="s">
        <v>149</v>
      </c>
      <c r="U4207" s="2" t="s">
        <v>4282</v>
      </c>
      <c r="V4207" s="2" t="s">
        <v>59</v>
      </c>
      <c r="W4207" s="2">
        <v>37.6</v>
      </c>
      <c r="X4207" s="2">
        <v>0</v>
      </c>
      <c r="Y4207" s="2" t="s">
        <v>408</v>
      </c>
      <c r="Z4207" s="2" t="s">
        <v>27953</v>
      </c>
      <c r="AA4207" s="2">
        <v>4.8246566163379097</v>
      </c>
      <c r="AB4207" s="2">
        <v>0.15947337504537801</v>
      </c>
      <c r="AC4207" s="2">
        <v>3684.3716893956198</v>
      </c>
      <c r="AD4207" s="2">
        <v>1939.5973626996899</v>
      </c>
      <c r="AE4207" s="2">
        <v>3649.1389176872299</v>
      </c>
      <c r="AF4207" s="2">
        <v>3817.0127911253198</v>
      </c>
      <c r="AG4207" s="2">
        <v>3477.1206818993501</v>
      </c>
      <c r="AH4207" s="2">
        <v>3788.6512762309399</v>
      </c>
      <c r="AI4207" s="2">
        <v>3722.3799372133399</v>
      </c>
      <c r="AJ4207" s="2">
        <v>3651.9265322175202</v>
      </c>
      <c r="AK4207" s="2">
        <v>1369.96057376013</v>
      </c>
      <c r="AL4207" s="2">
        <v>2301.4786780551499</v>
      </c>
      <c r="AM4207" s="2">
        <v>1812.9863815157801</v>
      </c>
      <c r="AN4207" s="2">
        <v>2289.1289242317898</v>
      </c>
      <c r="AO4207" s="2">
        <v>1639.19236227379</v>
      </c>
      <c r="AP4207" s="2">
        <v>2224.8372563614798</v>
      </c>
    </row>
    <row r="4208" spans="1:42" ht="14.5" x14ac:dyDescent="0.35">
      <c r="A4208" s="2" t="s">
        <v>27954</v>
      </c>
      <c r="B4208" s="2">
        <v>163.14801766197999</v>
      </c>
      <c r="C4208" s="2">
        <v>4.3289999999999997</v>
      </c>
      <c r="D4208" s="2" t="s">
        <v>34</v>
      </c>
      <c r="E4208" s="2" t="s">
        <v>27955</v>
      </c>
      <c r="F4208" s="2">
        <v>6038</v>
      </c>
      <c r="G4208" s="3" t="str">
        <f>HYPERLINK("http://funmeta.oebiotech.com/network/6038", "http://funmeta.oebiotech.com/network/6038")</f>
        <v>http://funmeta.oebiotech.com/network/6038</v>
      </c>
      <c r="H4208" s="2"/>
      <c r="I4208" s="2">
        <v>36515</v>
      </c>
      <c r="J4208" s="2" t="s">
        <v>27956</v>
      </c>
      <c r="K4208" s="2"/>
      <c r="L4208" s="2"/>
      <c r="M4208" s="2"/>
      <c r="N4208" s="2"/>
      <c r="O4208" s="2">
        <v>5283307</v>
      </c>
      <c r="P4208" s="2"/>
      <c r="Q4208" s="2" t="s">
        <v>27957</v>
      </c>
      <c r="R4208" s="2" t="s">
        <v>27958</v>
      </c>
      <c r="S4208" s="2" t="s">
        <v>50</v>
      </c>
      <c r="T4208" s="2" t="s">
        <v>229</v>
      </c>
      <c r="U4208" s="2" t="s">
        <v>1283</v>
      </c>
      <c r="V4208" s="2" t="s">
        <v>59</v>
      </c>
      <c r="W4208" s="2">
        <v>43.7</v>
      </c>
      <c r="X4208" s="2">
        <v>22.1</v>
      </c>
      <c r="Y4208" s="2" t="s">
        <v>266</v>
      </c>
      <c r="Z4208" s="2" t="s">
        <v>18631</v>
      </c>
      <c r="AA4208" s="2">
        <v>-0.60698373986332699</v>
      </c>
      <c r="AB4208" s="2">
        <v>0.15941030771231199</v>
      </c>
      <c r="AC4208" s="2">
        <v>29905.784152011998</v>
      </c>
      <c r="AD4208" s="2">
        <v>32698.229403283101</v>
      </c>
      <c r="AE4208" s="2">
        <v>28254.4695565492</v>
      </c>
      <c r="AF4208" s="2">
        <v>31204.407207136101</v>
      </c>
      <c r="AG4208" s="2">
        <v>33195.053370918104</v>
      </c>
      <c r="AH4208" s="2">
        <v>27425.188814730798</v>
      </c>
      <c r="AI4208" s="2">
        <v>31224.5623231139</v>
      </c>
      <c r="AJ4208" s="2">
        <v>28131.0236396238</v>
      </c>
      <c r="AK4208" s="2">
        <v>33811.492439065602</v>
      </c>
      <c r="AL4208" s="2">
        <v>29998.318774482599</v>
      </c>
      <c r="AM4208" s="2">
        <v>33165.475946270599</v>
      </c>
      <c r="AN4208" s="2">
        <v>31144.981780621201</v>
      </c>
      <c r="AO4208" s="2">
        <v>33192.415140757803</v>
      </c>
      <c r="AP4208" s="2">
        <v>34876.692338500703</v>
      </c>
    </row>
    <row r="4209" spans="1:42" ht="14.5" x14ac:dyDescent="0.35">
      <c r="A4209" s="2" t="s">
        <v>27959</v>
      </c>
      <c r="B4209" s="2">
        <v>463.19313160864601</v>
      </c>
      <c r="C4209" s="2">
        <v>6.6499833333333296</v>
      </c>
      <c r="D4209" s="2" t="s">
        <v>70</v>
      </c>
      <c r="E4209" s="2" t="s">
        <v>27960</v>
      </c>
      <c r="F4209" s="2">
        <v>57243</v>
      </c>
      <c r="G4209" s="3" t="str">
        <f>HYPERLINK("http://funmeta.oebiotech.com/network/57243", "http://funmeta.oebiotech.com/network/57243")</f>
        <v>http://funmeta.oebiotech.com/network/57243</v>
      </c>
      <c r="H4209" s="2" t="s">
        <v>27961</v>
      </c>
      <c r="I4209" s="2">
        <v>88880</v>
      </c>
      <c r="J4209" s="2"/>
      <c r="K4209" s="2"/>
      <c r="L4209" s="2"/>
      <c r="M4209" s="2"/>
      <c r="N4209" s="2"/>
      <c r="O4209" s="2">
        <v>243907</v>
      </c>
      <c r="P4209" s="2" t="s">
        <v>27962</v>
      </c>
      <c r="Q4209" s="2" t="s">
        <v>27963</v>
      </c>
      <c r="R4209" s="2" t="s">
        <v>27964</v>
      </c>
      <c r="S4209" s="2" t="s">
        <v>491</v>
      </c>
      <c r="T4209" s="2" t="s">
        <v>4517</v>
      </c>
      <c r="U4209" s="2" t="s">
        <v>9396</v>
      </c>
      <c r="V4209" s="2" t="s">
        <v>59</v>
      </c>
      <c r="W4209" s="2">
        <v>39</v>
      </c>
      <c r="X4209" s="2">
        <v>0</v>
      </c>
      <c r="Y4209" s="2" t="s">
        <v>560</v>
      </c>
      <c r="Z4209" s="2" t="s">
        <v>27965</v>
      </c>
      <c r="AA4209" s="2">
        <v>0.67051206600158797</v>
      </c>
      <c r="AB4209" s="2">
        <v>0.15935036063932101</v>
      </c>
      <c r="AC4209" s="2">
        <v>3279.9622244370498</v>
      </c>
      <c r="AD4209" s="2">
        <v>1376.79802343712</v>
      </c>
      <c r="AE4209" s="2">
        <v>3080.4554806543201</v>
      </c>
      <c r="AF4209" s="2">
        <v>3278.4472679239698</v>
      </c>
      <c r="AG4209" s="2">
        <v>2254.7034095014101</v>
      </c>
      <c r="AH4209" s="2">
        <v>3309.7100260211901</v>
      </c>
      <c r="AI4209" s="2">
        <v>3536.69252706725</v>
      </c>
      <c r="AJ4209" s="2">
        <v>4219.7646354541703</v>
      </c>
      <c r="AK4209" s="2">
        <v>660.24762156169697</v>
      </c>
      <c r="AL4209" s="2">
        <v>1911.9343741943501</v>
      </c>
      <c r="AM4209" s="2">
        <v>1903.26599517095</v>
      </c>
      <c r="AN4209" s="2">
        <v>1093.43142098157</v>
      </c>
      <c r="AO4209" s="2">
        <v>1432.3582105401499</v>
      </c>
      <c r="AP4209" s="2">
        <v>1259.55051817398</v>
      </c>
    </row>
    <row r="4210" spans="1:42" ht="14.5" x14ac:dyDescent="0.35">
      <c r="A4210" s="2" t="s">
        <v>27966</v>
      </c>
      <c r="B4210" s="2">
        <v>363.30016951819198</v>
      </c>
      <c r="C4210" s="2">
        <v>4.1925499999999998</v>
      </c>
      <c r="D4210" s="2" t="s">
        <v>34</v>
      </c>
      <c r="E4210" s="2" t="s">
        <v>27967</v>
      </c>
      <c r="F4210" s="2">
        <v>9020</v>
      </c>
      <c r="G4210" s="3" t="str">
        <f>HYPERLINK("http://funmeta.oebiotech.com/network/9020", "http://funmeta.oebiotech.com/network/9020")</f>
        <v>http://funmeta.oebiotech.com/network/9020</v>
      </c>
      <c r="H4210" s="2" t="s">
        <v>27968</v>
      </c>
      <c r="I4210" s="2">
        <v>36743</v>
      </c>
      <c r="J4210" s="2" t="s">
        <v>27969</v>
      </c>
      <c r="K4210" s="2">
        <v>71467</v>
      </c>
      <c r="L4210" s="2"/>
      <c r="M4210" s="2"/>
      <c r="N4210" s="2"/>
      <c r="O4210" s="2">
        <v>5283450</v>
      </c>
      <c r="P4210" s="2" t="s">
        <v>27970</v>
      </c>
      <c r="Q4210" s="2" t="s">
        <v>27971</v>
      </c>
      <c r="R4210" s="2" t="s">
        <v>27972</v>
      </c>
      <c r="S4210" s="2" t="s">
        <v>1677</v>
      </c>
      <c r="T4210" s="2" t="s">
        <v>1678</v>
      </c>
      <c r="U4210" s="2" t="s">
        <v>1679</v>
      </c>
      <c r="V4210" s="2" t="s">
        <v>59</v>
      </c>
      <c r="W4210" s="2">
        <v>36.5</v>
      </c>
      <c r="X4210" s="2">
        <v>0</v>
      </c>
      <c r="Y4210" s="2" t="s">
        <v>43</v>
      </c>
      <c r="Z4210" s="2" t="s">
        <v>27973</v>
      </c>
      <c r="AA4210" s="2">
        <v>-1.26099064363199</v>
      </c>
      <c r="AB4210" s="2">
        <v>0.159211415755321</v>
      </c>
      <c r="AC4210" s="2">
        <v>8052.4083235473299</v>
      </c>
      <c r="AD4210" s="2">
        <v>5992.3390259948301</v>
      </c>
      <c r="AE4210" s="2">
        <v>7314.4572095665199</v>
      </c>
      <c r="AF4210" s="2">
        <v>8237.1172503808502</v>
      </c>
      <c r="AG4210" s="2">
        <v>6732.84746906686</v>
      </c>
      <c r="AH4210" s="2">
        <v>9095.8185646327802</v>
      </c>
      <c r="AI4210" s="2">
        <v>9405.1392607771995</v>
      </c>
      <c r="AJ4210" s="2">
        <v>7529.0701868597498</v>
      </c>
      <c r="AK4210" s="2">
        <v>6364.7252129777698</v>
      </c>
      <c r="AL4210" s="2">
        <v>6192.3333438628797</v>
      </c>
      <c r="AM4210" s="2">
        <v>5533.3560787029501</v>
      </c>
      <c r="AN4210" s="2">
        <v>5795.4827608307796</v>
      </c>
      <c r="AO4210" s="2">
        <v>6517.5765283133396</v>
      </c>
      <c r="AP4210" s="2">
        <v>5550.5602312812698</v>
      </c>
    </row>
    <row r="4211" spans="1:42" ht="14.5" x14ac:dyDescent="0.35">
      <c r="A4211" s="2" t="s">
        <v>27974</v>
      </c>
      <c r="B4211" s="2">
        <v>910.534819276539</v>
      </c>
      <c r="C4211" s="2">
        <v>11.7169833333333</v>
      </c>
      <c r="D4211" s="2" t="s">
        <v>34</v>
      </c>
      <c r="E4211" s="2" t="s">
        <v>27975</v>
      </c>
      <c r="F4211" s="2">
        <v>240419</v>
      </c>
      <c r="G4211" s="3" t="str">
        <f>HYPERLINK("http://funmeta.oebiotech.com/network/240419", "http://funmeta.oebiotech.com/network/240419")</f>
        <v>http://funmeta.oebiotech.com/network/240419</v>
      </c>
      <c r="H4211" s="2" t="s">
        <v>27976</v>
      </c>
      <c r="I4211" s="2"/>
      <c r="J4211" s="2"/>
      <c r="K4211" s="2"/>
      <c r="L4211" s="2"/>
      <c r="M4211" s="2"/>
      <c r="N4211" s="2"/>
      <c r="O4211" s="2"/>
      <c r="P4211" s="2"/>
      <c r="Q4211" s="2" t="s">
        <v>27977</v>
      </c>
      <c r="R4211" s="2" t="s">
        <v>27978</v>
      </c>
      <c r="S4211" s="2" t="s">
        <v>41</v>
      </c>
      <c r="T4211" s="2" t="s">
        <v>41</v>
      </c>
      <c r="U4211" s="2" t="s">
        <v>41</v>
      </c>
      <c r="V4211" s="2" t="s">
        <v>59</v>
      </c>
      <c r="W4211" s="2">
        <v>41</v>
      </c>
      <c r="X4211" s="2">
        <v>21.4</v>
      </c>
      <c r="Y4211" s="2" t="s">
        <v>340</v>
      </c>
      <c r="Z4211" s="2" t="s">
        <v>27979</v>
      </c>
      <c r="AA4211" s="2">
        <v>-1.2146365020904799</v>
      </c>
      <c r="AB4211" s="2">
        <v>0.159210021645878</v>
      </c>
      <c r="AC4211" s="2">
        <v>4948.1492522547696</v>
      </c>
      <c r="AD4211" s="2">
        <v>2675.4396290903201</v>
      </c>
      <c r="AE4211" s="2">
        <v>4423.0807355453298</v>
      </c>
      <c r="AF4211" s="2">
        <v>4486.1407599191798</v>
      </c>
      <c r="AG4211" s="2">
        <v>5198.2859475997302</v>
      </c>
      <c r="AH4211" s="2">
        <v>4111.1914045242202</v>
      </c>
      <c r="AI4211" s="2">
        <v>4447.5676320617304</v>
      </c>
      <c r="AJ4211" s="2">
        <v>7022.6290338784102</v>
      </c>
      <c r="AK4211" s="2">
        <v>1658.40223977541</v>
      </c>
      <c r="AL4211" s="2">
        <v>1506.0258563191701</v>
      </c>
      <c r="AM4211" s="2">
        <v>3230.23980196705</v>
      </c>
      <c r="AN4211" s="2">
        <v>2243.1176016597401</v>
      </c>
      <c r="AO4211" s="2">
        <v>4823.7941375089604</v>
      </c>
      <c r="AP4211" s="2">
        <v>2591.0581373116001</v>
      </c>
    </row>
    <row r="4212" spans="1:42" ht="14.5" x14ac:dyDescent="0.35">
      <c r="A4212" s="2" t="s">
        <v>27980</v>
      </c>
      <c r="B4212" s="2">
        <v>345.17046993743702</v>
      </c>
      <c r="C4212" s="2">
        <v>6.2733666666666696</v>
      </c>
      <c r="D4212" s="2" t="s">
        <v>70</v>
      </c>
      <c r="E4212" s="2" t="s">
        <v>27981</v>
      </c>
      <c r="F4212" s="2">
        <v>44940</v>
      </c>
      <c r="G4212" s="3" t="str">
        <f>HYPERLINK("http://funmeta.oebiotech.com/network/44940", "http://funmeta.oebiotech.com/network/44940")</f>
        <v>http://funmeta.oebiotech.com/network/44940</v>
      </c>
      <c r="H4212" s="2"/>
      <c r="I4212" s="2">
        <v>41865</v>
      </c>
      <c r="J4212" s="2" t="s">
        <v>27982</v>
      </c>
      <c r="K4212" s="2">
        <v>799</v>
      </c>
      <c r="L4212" s="2" t="s">
        <v>27983</v>
      </c>
      <c r="M4212" s="2" t="s">
        <v>2454</v>
      </c>
      <c r="N4212" s="2" t="s">
        <v>2455</v>
      </c>
      <c r="O4212" s="2">
        <v>92854</v>
      </c>
      <c r="P4212" s="2"/>
      <c r="Q4212" s="2" t="s">
        <v>27984</v>
      </c>
      <c r="R4212" s="2" t="s">
        <v>27985</v>
      </c>
      <c r="S4212" s="2" t="s">
        <v>50</v>
      </c>
      <c r="T4212" s="2" t="s">
        <v>124</v>
      </c>
      <c r="U4212" s="2" t="s">
        <v>2373</v>
      </c>
      <c r="V4212" s="2" t="s">
        <v>59</v>
      </c>
      <c r="W4212" s="2">
        <v>38.9</v>
      </c>
      <c r="X4212" s="2">
        <v>0</v>
      </c>
      <c r="Y4212" s="2" t="s">
        <v>408</v>
      </c>
      <c r="Z4212" s="2" t="s">
        <v>6606</v>
      </c>
      <c r="AA4212" s="2">
        <v>-0.92467125217970103</v>
      </c>
      <c r="AB4212" s="2">
        <v>0.15899851874690299</v>
      </c>
      <c r="AC4212" s="2">
        <v>2194.85507114845</v>
      </c>
      <c r="AD4212" s="2">
        <v>449.253180321287</v>
      </c>
      <c r="AE4212" s="2">
        <v>1656.8944283275</v>
      </c>
      <c r="AF4212" s="2">
        <v>2263.2652122311702</v>
      </c>
      <c r="AG4212" s="2">
        <v>2375.1685898287501</v>
      </c>
      <c r="AH4212" s="2">
        <v>2244.7245251337199</v>
      </c>
      <c r="AI4212" s="2">
        <v>2051.34774192745</v>
      </c>
      <c r="AJ4212" s="2">
        <v>2577.72992944213</v>
      </c>
      <c r="AK4212" s="2">
        <v>278.57901964166302</v>
      </c>
      <c r="AL4212" s="2">
        <v>429.03902671672</v>
      </c>
      <c r="AM4212" s="2">
        <v>661.11838465947005</v>
      </c>
      <c r="AN4212" s="2">
        <v>2.7106294003980101E-5</v>
      </c>
      <c r="AO4212" s="2">
        <v>387.29806434551102</v>
      </c>
      <c r="AP4212" s="2">
        <v>939.48455945806302</v>
      </c>
    </row>
    <row r="4213" spans="1:42" ht="14.5" x14ac:dyDescent="0.35">
      <c r="A4213" s="2" t="s">
        <v>27986</v>
      </c>
      <c r="B4213" s="2">
        <v>511.254878524677</v>
      </c>
      <c r="C4213" s="2">
        <v>4.7579333333333302</v>
      </c>
      <c r="D4213" s="2" t="s">
        <v>70</v>
      </c>
      <c r="E4213" s="2" t="s">
        <v>27987</v>
      </c>
      <c r="F4213" s="2">
        <v>46652</v>
      </c>
      <c r="G4213" s="3" t="str">
        <f>HYPERLINK("http://funmeta.oebiotech.com/network/46652", "http://funmeta.oebiotech.com/network/46652")</f>
        <v>http://funmeta.oebiotech.com/network/46652</v>
      </c>
      <c r="H4213" s="2" t="s">
        <v>27988</v>
      </c>
      <c r="I4213" s="2">
        <v>57959</v>
      </c>
      <c r="J4213" s="2" t="s">
        <v>27989</v>
      </c>
      <c r="K4213" s="2">
        <v>89417</v>
      </c>
      <c r="L4213" s="2"/>
      <c r="M4213" s="2"/>
      <c r="N4213" s="2"/>
      <c r="O4213" s="2">
        <v>44263365</v>
      </c>
      <c r="P4213" s="2" t="s">
        <v>27990</v>
      </c>
      <c r="Q4213" s="2" t="s">
        <v>27991</v>
      </c>
      <c r="R4213" s="2" t="s">
        <v>27992</v>
      </c>
      <c r="S4213" s="2" t="s">
        <v>50</v>
      </c>
      <c r="T4213" s="2" t="s">
        <v>124</v>
      </c>
      <c r="U4213" s="2" t="s">
        <v>523</v>
      </c>
      <c r="V4213" s="2" t="s">
        <v>59</v>
      </c>
      <c r="W4213" s="2">
        <v>42.5</v>
      </c>
      <c r="X4213" s="2">
        <v>22.5</v>
      </c>
      <c r="Y4213" s="2" t="s">
        <v>408</v>
      </c>
      <c r="Z4213" s="2" t="s">
        <v>27993</v>
      </c>
      <c r="AA4213" s="2">
        <v>1.6041672205494299E-2</v>
      </c>
      <c r="AB4213" s="2">
        <v>0.15896670758142301</v>
      </c>
      <c r="AC4213" s="2">
        <v>81147.010645692193</v>
      </c>
      <c r="AD4213" s="2">
        <v>77616.299089539607</v>
      </c>
      <c r="AE4213" s="2">
        <v>78476.662487573005</v>
      </c>
      <c r="AF4213" s="2">
        <v>83395.095859730398</v>
      </c>
      <c r="AG4213" s="2">
        <v>79506.266763240696</v>
      </c>
      <c r="AH4213" s="2">
        <v>88152.5706076075</v>
      </c>
      <c r="AI4213" s="2">
        <v>74930.177482754501</v>
      </c>
      <c r="AJ4213" s="2">
        <v>82421.290673247102</v>
      </c>
      <c r="AK4213" s="2">
        <v>76262.167396003904</v>
      </c>
      <c r="AL4213" s="2">
        <v>73879.208882677907</v>
      </c>
      <c r="AM4213" s="2">
        <v>80539.653073194495</v>
      </c>
      <c r="AN4213" s="2">
        <v>76289.025576469998</v>
      </c>
      <c r="AO4213" s="2">
        <v>78990.800694173406</v>
      </c>
      <c r="AP4213" s="2">
        <v>79736.938914717699</v>
      </c>
    </row>
    <row r="4214" spans="1:42" ht="14.5" x14ac:dyDescent="0.35">
      <c r="A4214" s="2" t="s">
        <v>27994</v>
      </c>
      <c r="B4214" s="2">
        <v>655.20944404439103</v>
      </c>
      <c r="C4214" s="2">
        <v>11.4859666666667</v>
      </c>
      <c r="D4214" s="2" t="s">
        <v>70</v>
      </c>
      <c r="E4214" s="2" t="s">
        <v>27995</v>
      </c>
      <c r="F4214" s="2">
        <v>46759</v>
      </c>
      <c r="G4214" s="3" t="str">
        <f>HYPERLINK("http://funmeta.oebiotech.com/network/46759", "http://funmeta.oebiotech.com/network/46759")</f>
        <v>http://funmeta.oebiotech.com/network/46759</v>
      </c>
      <c r="H4214" s="2"/>
      <c r="I4214" s="2"/>
      <c r="J4214" s="2" t="s">
        <v>27996</v>
      </c>
      <c r="K4214" s="2"/>
      <c r="L4214" s="2"/>
      <c r="M4214" s="2"/>
      <c r="N4214" s="2"/>
      <c r="O4214" s="2">
        <v>42640657</v>
      </c>
      <c r="P4214" s="2"/>
      <c r="Q4214" s="2" t="s">
        <v>27997</v>
      </c>
      <c r="R4214" s="2" t="s">
        <v>27998</v>
      </c>
      <c r="S4214" s="2" t="s">
        <v>50</v>
      </c>
      <c r="T4214" s="2" t="s">
        <v>124</v>
      </c>
      <c r="U4214" s="2" t="s">
        <v>523</v>
      </c>
      <c r="V4214" s="2" t="s">
        <v>42</v>
      </c>
      <c r="W4214" s="2">
        <v>48.9</v>
      </c>
      <c r="X4214" s="2">
        <v>53.9</v>
      </c>
      <c r="Y4214" s="2" t="s">
        <v>118</v>
      </c>
      <c r="Z4214" s="2" t="s">
        <v>27999</v>
      </c>
      <c r="AA4214" s="2">
        <v>-0.80401502761659605</v>
      </c>
      <c r="AB4214" s="2">
        <v>0.15891338169272301</v>
      </c>
      <c r="AC4214" s="2">
        <v>303.20545514516999</v>
      </c>
      <c r="AD4214" s="2">
        <v>2239.8022420193101</v>
      </c>
      <c r="AE4214" s="2">
        <v>2.7106294003980101E-5</v>
      </c>
      <c r="AF4214" s="2">
        <v>5.7721615142552603</v>
      </c>
      <c r="AG4214" s="2">
        <v>376.98054732813802</v>
      </c>
      <c r="AH4214" s="2">
        <v>228.10236402215099</v>
      </c>
      <c r="AI4214" s="2">
        <v>177.41240018374199</v>
      </c>
      <c r="AJ4214" s="2">
        <v>1030.9652307164399</v>
      </c>
      <c r="AK4214" s="2">
        <v>1428.0668724813499</v>
      </c>
      <c r="AL4214" s="2">
        <v>1293.79964438091</v>
      </c>
      <c r="AM4214" s="2">
        <v>2002.95743765061</v>
      </c>
      <c r="AN4214" s="2">
        <v>2365.6933277544299</v>
      </c>
      <c r="AO4214" s="2">
        <v>3405.3299628663999</v>
      </c>
      <c r="AP4214" s="2">
        <v>2942.9662069821502</v>
      </c>
    </row>
    <row r="4215" spans="1:42" ht="14.5" x14ac:dyDescent="0.35">
      <c r="A4215" s="2" t="s">
        <v>28000</v>
      </c>
      <c r="B4215" s="2">
        <v>421.23734234527399</v>
      </c>
      <c r="C4215" s="2">
        <v>5.0414166666666702</v>
      </c>
      <c r="D4215" s="2" t="s">
        <v>34</v>
      </c>
      <c r="E4215" s="2" t="s">
        <v>28001</v>
      </c>
      <c r="F4215" s="2">
        <v>199244</v>
      </c>
      <c r="G4215" s="3" t="str">
        <f>HYPERLINK("http://funmeta.oebiotech.com/network/199244", "http://funmeta.oebiotech.com/network/199244")</f>
        <v>http://funmeta.oebiotech.com/network/199244</v>
      </c>
      <c r="H4215" s="2" t="s">
        <v>28002</v>
      </c>
      <c r="I4215" s="2"/>
      <c r="J4215" s="2"/>
      <c r="K4215" s="2"/>
      <c r="L4215" s="2"/>
      <c r="M4215" s="2"/>
      <c r="N4215" s="2"/>
      <c r="O4215" s="2">
        <v>18795735</v>
      </c>
      <c r="P4215" s="2"/>
      <c r="Q4215" s="2" t="s">
        <v>28003</v>
      </c>
      <c r="R4215" s="2" t="s">
        <v>28004</v>
      </c>
      <c r="S4215" s="2" t="s">
        <v>50</v>
      </c>
      <c r="T4215" s="2" t="s">
        <v>124</v>
      </c>
      <c r="U4215" s="2" t="s">
        <v>28005</v>
      </c>
      <c r="V4215" s="2" t="s">
        <v>59</v>
      </c>
      <c r="W4215" s="2">
        <v>38.700000000000003</v>
      </c>
      <c r="X4215" s="2">
        <v>0</v>
      </c>
      <c r="Y4215" s="2" t="s">
        <v>394</v>
      </c>
      <c r="Z4215" s="2" t="s">
        <v>28006</v>
      </c>
      <c r="AA4215" s="2">
        <v>1.52506786133185E-2</v>
      </c>
      <c r="AB4215" s="2">
        <v>0.15890836366890199</v>
      </c>
      <c r="AC4215" s="2">
        <v>9556.43842172121</v>
      </c>
      <c r="AD4215" s="2">
        <v>7106.1103473612702</v>
      </c>
      <c r="AE4215" s="2">
        <v>10378.005285823299</v>
      </c>
      <c r="AF4215" s="2">
        <v>9310.6332065857405</v>
      </c>
      <c r="AG4215" s="2">
        <v>7384.7982528034599</v>
      </c>
      <c r="AH4215" s="2">
        <v>10420.815356151399</v>
      </c>
      <c r="AI4215" s="2">
        <v>8285.9395743073492</v>
      </c>
      <c r="AJ4215" s="2">
        <v>11558.438854656</v>
      </c>
      <c r="AK4215" s="2">
        <v>9281.4190842355001</v>
      </c>
      <c r="AL4215" s="2">
        <v>7797.1054845099698</v>
      </c>
      <c r="AM4215" s="2">
        <v>5990.4432085069702</v>
      </c>
      <c r="AN4215" s="2">
        <v>7791.4153971386504</v>
      </c>
      <c r="AO4215" s="2">
        <v>5601.3707368409696</v>
      </c>
      <c r="AP4215" s="2">
        <v>6174.9081729355403</v>
      </c>
    </row>
    <row r="4216" spans="1:42" ht="14.5" x14ac:dyDescent="0.35">
      <c r="A4216" s="2" t="s">
        <v>28007</v>
      </c>
      <c r="B4216" s="2">
        <v>145.14481066414501</v>
      </c>
      <c r="C4216" s="2">
        <v>0.66754999999999998</v>
      </c>
      <c r="D4216" s="2" t="s">
        <v>34</v>
      </c>
      <c r="E4216" s="2" t="s">
        <v>28008</v>
      </c>
      <c r="F4216" s="2">
        <v>56033</v>
      </c>
      <c r="G4216" s="3" t="str">
        <f>HYPERLINK("http://funmeta.oebiotech.com/network/56033", "http://funmeta.oebiotech.com/network/56033")</f>
        <v>http://funmeta.oebiotech.com/network/56033</v>
      </c>
      <c r="H4216" s="2" t="s">
        <v>28009</v>
      </c>
      <c r="I4216" s="2">
        <v>87724</v>
      </c>
      <c r="J4216" s="2"/>
      <c r="K4216" s="2"/>
      <c r="L4216" s="2"/>
      <c r="M4216" s="2"/>
      <c r="N4216" s="2"/>
      <c r="O4216" s="2">
        <v>21298950</v>
      </c>
      <c r="P4216" s="2" t="s">
        <v>28010</v>
      </c>
      <c r="Q4216" s="2" t="s">
        <v>28011</v>
      </c>
      <c r="R4216" s="2" t="s">
        <v>28012</v>
      </c>
      <c r="S4216" s="2" t="s">
        <v>1677</v>
      </c>
      <c r="T4216" s="2" t="s">
        <v>1678</v>
      </c>
      <c r="U4216" s="2" t="s">
        <v>22787</v>
      </c>
      <c r="V4216" s="2" t="s">
        <v>59</v>
      </c>
      <c r="W4216" s="2">
        <v>39.1</v>
      </c>
      <c r="X4216" s="2">
        <v>0</v>
      </c>
      <c r="Y4216" s="2" t="s">
        <v>394</v>
      </c>
      <c r="Z4216" s="2" t="s">
        <v>28013</v>
      </c>
      <c r="AA4216" s="2">
        <v>0.26155459599755099</v>
      </c>
      <c r="AB4216" s="2">
        <v>0.158868458115664</v>
      </c>
      <c r="AC4216" s="2">
        <v>1923.15135535084</v>
      </c>
      <c r="AD4216" s="2">
        <v>200.06565248191399</v>
      </c>
      <c r="AE4216" s="2">
        <v>1590.9483320897</v>
      </c>
      <c r="AF4216" s="2">
        <v>1582.84063898875</v>
      </c>
      <c r="AG4216" s="2">
        <v>1648.4976616845199</v>
      </c>
      <c r="AH4216" s="2">
        <v>2269.7930925075002</v>
      </c>
      <c r="AI4216" s="2">
        <v>2032.67139938678</v>
      </c>
      <c r="AJ4216" s="2">
        <v>2414.15700744779</v>
      </c>
      <c r="AK4216" s="2">
        <v>220.15523236294399</v>
      </c>
      <c r="AL4216" s="2">
        <v>154.97005630815599</v>
      </c>
      <c r="AM4216" s="2">
        <v>257.17334983647203</v>
      </c>
      <c r="AN4216" s="2">
        <v>191.286955508847</v>
      </c>
      <c r="AO4216" s="2">
        <v>203.47730799028699</v>
      </c>
      <c r="AP4216" s="2">
        <v>173.33101288477999</v>
      </c>
    </row>
    <row r="4217" spans="1:42" ht="14.5" x14ac:dyDescent="0.35">
      <c r="A4217" s="2" t="s">
        <v>28014</v>
      </c>
      <c r="B4217" s="2">
        <v>454.38841388496701</v>
      </c>
      <c r="C4217" s="2">
        <v>12.2117666666667</v>
      </c>
      <c r="D4217" s="2" t="s">
        <v>34</v>
      </c>
      <c r="E4217" s="2" t="s">
        <v>28015</v>
      </c>
      <c r="F4217" s="2">
        <v>47072</v>
      </c>
      <c r="G4217" s="3" t="str">
        <f>HYPERLINK("http://funmeta.oebiotech.com/network/47072", "http://funmeta.oebiotech.com/network/47072")</f>
        <v>http://funmeta.oebiotech.com/network/47072</v>
      </c>
      <c r="H4217" s="2" t="s">
        <v>28016</v>
      </c>
      <c r="I4217" s="2"/>
      <c r="J4217" s="2"/>
      <c r="K4217" s="2"/>
      <c r="L4217" s="2"/>
      <c r="M4217" s="2"/>
      <c r="N4217" s="2"/>
      <c r="O4217" s="2"/>
      <c r="P4217" s="2" t="s">
        <v>28017</v>
      </c>
      <c r="Q4217" s="2" t="s">
        <v>28018</v>
      </c>
      <c r="R4217" s="2" t="s">
        <v>28019</v>
      </c>
      <c r="S4217" s="2" t="s">
        <v>50</v>
      </c>
      <c r="T4217" s="2" t="s">
        <v>124</v>
      </c>
      <c r="U4217" s="2" t="s">
        <v>2789</v>
      </c>
      <c r="V4217" s="2" t="s">
        <v>42</v>
      </c>
      <c r="W4217" s="2">
        <v>53</v>
      </c>
      <c r="X4217" s="2">
        <v>70.7</v>
      </c>
      <c r="Y4217" s="2" t="s">
        <v>43</v>
      </c>
      <c r="Z4217" s="2" t="s">
        <v>28020</v>
      </c>
      <c r="AA4217" s="2">
        <v>-1.5392564140417699</v>
      </c>
      <c r="AB4217" s="2">
        <v>0.15884352205263599</v>
      </c>
      <c r="AC4217" s="2">
        <v>263449.063440862</v>
      </c>
      <c r="AD4217" s="2">
        <v>274163.38080900302</v>
      </c>
      <c r="AE4217" s="2">
        <v>266201.98368705902</v>
      </c>
      <c r="AF4217" s="2">
        <v>314706.80884607701</v>
      </c>
      <c r="AG4217" s="2">
        <v>269752.32669589901</v>
      </c>
      <c r="AH4217" s="2">
        <v>231150.11282941999</v>
      </c>
      <c r="AI4217" s="2">
        <v>231889.88861603299</v>
      </c>
      <c r="AJ4217" s="2">
        <v>266993.25997068099</v>
      </c>
      <c r="AK4217" s="2">
        <v>351856.73826482199</v>
      </c>
      <c r="AL4217" s="2">
        <v>253501.042221485</v>
      </c>
      <c r="AM4217" s="2">
        <v>257904.208904481</v>
      </c>
      <c r="AN4217" s="2">
        <v>253747.048163645</v>
      </c>
      <c r="AO4217" s="2">
        <v>265862.07614845899</v>
      </c>
      <c r="AP4217" s="2">
        <v>262109.171151124</v>
      </c>
    </row>
    <row r="4218" spans="1:42" ht="14.5" x14ac:dyDescent="0.35">
      <c r="A4218" s="2" t="s">
        <v>28021</v>
      </c>
      <c r="B4218" s="2">
        <v>488.33668053729002</v>
      </c>
      <c r="C4218" s="2">
        <v>4.8327999999999998</v>
      </c>
      <c r="D4218" s="2" t="s">
        <v>34</v>
      </c>
      <c r="E4218" s="2" t="s">
        <v>28022</v>
      </c>
      <c r="F4218" s="2">
        <v>23701</v>
      </c>
      <c r="G4218" s="3" t="str">
        <f>HYPERLINK("http://funmeta.oebiotech.com/network/23701", "http://funmeta.oebiotech.com/network/23701")</f>
        <v>http://funmeta.oebiotech.com/network/23701</v>
      </c>
      <c r="H4218" s="2"/>
      <c r="I4218" s="2">
        <v>80027</v>
      </c>
      <c r="J4218" s="2" t="s">
        <v>28023</v>
      </c>
      <c r="K4218" s="2"/>
      <c r="L4218" s="2"/>
      <c r="M4218" s="2"/>
      <c r="N4218" s="2"/>
      <c r="O4218" s="2">
        <v>11540059</v>
      </c>
      <c r="P4218" s="2"/>
      <c r="Q4218" s="2" t="s">
        <v>28024</v>
      </c>
      <c r="R4218" s="2" t="s">
        <v>28025</v>
      </c>
      <c r="S4218" s="2" t="s">
        <v>50</v>
      </c>
      <c r="T4218" s="2" t="s">
        <v>51</v>
      </c>
      <c r="U4218" s="2" t="s">
        <v>738</v>
      </c>
      <c r="V4218" s="2" t="s">
        <v>59</v>
      </c>
      <c r="W4218" s="2">
        <v>38</v>
      </c>
      <c r="X4218" s="2">
        <v>0</v>
      </c>
      <c r="Y4218" s="2" t="s">
        <v>43</v>
      </c>
      <c r="Z4218" s="2" t="s">
        <v>28026</v>
      </c>
      <c r="AA4218" s="2">
        <v>4.2524131062483503</v>
      </c>
      <c r="AB4218" s="2">
        <v>0.15863204559452901</v>
      </c>
      <c r="AC4218" s="2">
        <v>8666.4516379032993</v>
      </c>
      <c r="AD4218" s="2">
        <v>10997.054389589601</v>
      </c>
      <c r="AE4218" s="2">
        <v>8340.1166851884209</v>
      </c>
      <c r="AF4218" s="2">
        <v>9243.33715215968</v>
      </c>
      <c r="AG4218" s="2">
        <v>10154.1562629618</v>
      </c>
      <c r="AH4218" s="2">
        <v>7181.3888488522398</v>
      </c>
      <c r="AI4218" s="2">
        <v>9126.3156003414006</v>
      </c>
      <c r="AJ4218" s="2">
        <v>7953.3952779162701</v>
      </c>
      <c r="AK4218" s="2">
        <v>9993.5794436833694</v>
      </c>
      <c r="AL4218" s="2">
        <v>12319.9747254752</v>
      </c>
      <c r="AM4218" s="2">
        <v>11413.147586368999</v>
      </c>
      <c r="AN4218" s="2">
        <v>8748.3775555383509</v>
      </c>
      <c r="AO4218" s="2">
        <v>12490.069405010599</v>
      </c>
      <c r="AP4218" s="2">
        <v>11017.1776214611</v>
      </c>
    </row>
    <row r="4219" spans="1:42" ht="14.5" x14ac:dyDescent="0.35">
      <c r="A4219" s="2" t="s">
        <v>28027</v>
      </c>
      <c r="B4219" s="2">
        <v>273.15718402623702</v>
      </c>
      <c r="C4219" s="2">
        <v>1.64625</v>
      </c>
      <c r="D4219" s="2" t="s">
        <v>34</v>
      </c>
      <c r="E4219" s="2" t="s">
        <v>28028</v>
      </c>
      <c r="F4219" s="2">
        <v>209412</v>
      </c>
      <c r="G4219" s="3" t="str">
        <f>HYPERLINK("http://funmeta.oebiotech.com/network/209412", "http://funmeta.oebiotech.com/network/209412")</f>
        <v>http://funmeta.oebiotech.com/network/209412</v>
      </c>
      <c r="H4219" s="2" t="s">
        <v>28029</v>
      </c>
      <c r="I4219" s="2">
        <v>453941</v>
      </c>
      <c r="J4219" s="2"/>
      <c r="K4219" s="2"/>
      <c r="L4219" s="2"/>
      <c r="M4219" s="2"/>
      <c r="N4219" s="2"/>
      <c r="O4219" s="2">
        <v>11964</v>
      </c>
      <c r="P4219" s="2"/>
      <c r="Q4219" s="2" t="s">
        <v>28030</v>
      </c>
      <c r="R4219" s="2" t="s">
        <v>28031</v>
      </c>
      <c r="S4219" s="2" t="s">
        <v>148</v>
      </c>
      <c r="T4219" s="2" t="s">
        <v>149</v>
      </c>
      <c r="U4219" s="2" t="s">
        <v>1593</v>
      </c>
      <c r="V4219" s="2" t="s">
        <v>59</v>
      </c>
      <c r="W4219" s="2">
        <v>39.200000000000003</v>
      </c>
      <c r="X4219" s="2">
        <v>3.73</v>
      </c>
      <c r="Y4219" s="2" t="s">
        <v>67</v>
      </c>
      <c r="Z4219" s="2" t="s">
        <v>28032</v>
      </c>
      <c r="AA4219" s="2">
        <v>-0.65798958690500298</v>
      </c>
      <c r="AB4219" s="2">
        <v>0.158567917182388</v>
      </c>
      <c r="AC4219" s="2">
        <v>22844.8699149237</v>
      </c>
      <c r="AD4219" s="2">
        <v>20028.3939539477</v>
      </c>
      <c r="AE4219" s="2">
        <v>25588.3157748263</v>
      </c>
      <c r="AF4219" s="2">
        <v>26160.787306792001</v>
      </c>
      <c r="AG4219" s="2">
        <v>24845.893015733898</v>
      </c>
      <c r="AH4219" s="2">
        <v>19522.480095694202</v>
      </c>
      <c r="AI4219" s="2">
        <v>20450.2620946399</v>
      </c>
      <c r="AJ4219" s="2">
        <v>20501.481201856099</v>
      </c>
      <c r="AK4219" s="2">
        <v>20725.2983355959</v>
      </c>
      <c r="AL4219" s="2">
        <v>20143.791956267101</v>
      </c>
      <c r="AM4219" s="2">
        <v>20248.180643893898</v>
      </c>
      <c r="AN4219" s="2">
        <v>20853.021574887702</v>
      </c>
      <c r="AO4219" s="2">
        <v>19577.7658273294</v>
      </c>
      <c r="AP4219" s="2">
        <v>18622.305385711999</v>
      </c>
    </row>
    <row r="4220" spans="1:42" ht="14.5" x14ac:dyDescent="0.35">
      <c r="A4220" s="2" t="s">
        <v>28033</v>
      </c>
      <c r="B4220" s="2">
        <v>529.22195187035197</v>
      </c>
      <c r="C4220" s="2">
        <v>5.8226333333333304</v>
      </c>
      <c r="D4220" s="2" t="s">
        <v>70</v>
      </c>
      <c r="E4220" s="2" t="s">
        <v>28034</v>
      </c>
      <c r="F4220" s="2">
        <v>219611</v>
      </c>
      <c r="G4220" s="3" t="str">
        <f>HYPERLINK("http://funmeta.oebiotech.com/network/219611", "http://funmeta.oebiotech.com/network/219611")</f>
        <v>http://funmeta.oebiotech.com/network/219611</v>
      </c>
      <c r="H4220" s="2" t="s">
        <v>28035</v>
      </c>
      <c r="I4220" s="2"/>
      <c r="J4220" s="2"/>
      <c r="K4220" s="2"/>
      <c r="L4220" s="2"/>
      <c r="M4220" s="2"/>
      <c r="N4220" s="2"/>
      <c r="O4220" s="2"/>
      <c r="P4220" s="2"/>
      <c r="Q4220" s="2" t="s">
        <v>28036</v>
      </c>
      <c r="R4220" s="2" t="s">
        <v>28037</v>
      </c>
      <c r="S4220" s="2" t="s">
        <v>41</v>
      </c>
      <c r="T4220" s="2" t="s">
        <v>41</v>
      </c>
      <c r="U4220" s="2" t="s">
        <v>41</v>
      </c>
      <c r="V4220" s="2" t="s">
        <v>59</v>
      </c>
      <c r="W4220" s="2">
        <v>39.700000000000003</v>
      </c>
      <c r="X4220" s="2">
        <v>13.2</v>
      </c>
      <c r="Y4220" s="2" t="s">
        <v>751</v>
      </c>
      <c r="Z4220" s="2" t="s">
        <v>28038</v>
      </c>
      <c r="AA4220" s="2">
        <v>2.0871026236458499</v>
      </c>
      <c r="AB4220" s="2">
        <v>0.15853321750500601</v>
      </c>
      <c r="AC4220" s="2">
        <v>17133.169144999301</v>
      </c>
      <c r="AD4220" s="2">
        <v>14432.911934915999</v>
      </c>
      <c r="AE4220" s="2">
        <v>15160.5356444437</v>
      </c>
      <c r="AF4220" s="2">
        <v>16438.115928054802</v>
      </c>
      <c r="AG4220" s="2">
        <v>20465.613746432002</v>
      </c>
      <c r="AH4220" s="2">
        <v>15895.2511877547</v>
      </c>
      <c r="AI4220" s="2">
        <v>19025.0304668561</v>
      </c>
      <c r="AJ4220" s="2">
        <v>15814.4678964542</v>
      </c>
      <c r="AK4220" s="2">
        <v>13030.7732192319</v>
      </c>
      <c r="AL4220" s="2">
        <v>16420.2016300861</v>
      </c>
      <c r="AM4220" s="2">
        <v>16326.185520646501</v>
      </c>
      <c r="AN4220" s="2">
        <v>13363.272025234999</v>
      </c>
      <c r="AO4220" s="2">
        <v>14793.165567358301</v>
      </c>
      <c r="AP4220" s="2">
        <v>12663.8736469384</v>
      </c>
    </row>
    <row r="4221" spans="1:42" ht="14.5" x14ac:dyDescent="0.35">
      <c r="A4221" s="2" t="s">
        <v>28039</v>
      </c>
      <c r="B4221" s="2">
        <v>196.096828068674</v>
      </c>
      <c r="C4221" s="2">
        <v>6.1123333333333303</v>
      </c>
      <c r="D4221" s="2" t="s">
        <v>34</v>
      </c>
      <c r="E4221" s="2" t="s">
        <v>28040</v>
      </c>
      <c r="F4221" s="2">
        <v>293359</v>
      </c>
      <c r="G4221" s="3" t="str">
        <f>HYPERLINK("http://funmeta.oebiotech.com/network/293359", "http://funmeta.oebiotech.com/network/293359")</f>
        <v>http://funmeta.oebiotech.com/network/293359</v>
      </c>
      <c r="H4221" s="2"/>
      <c r="I4221" s="2">
        <v>317262</v>
      </c>
      <c r="J4221" s="2"/>
      <c r="K4221" s="2"/>
      <c r="L4221" s="2"/>
      <c r="M4221" s="2"/>
      <c r="N4221" s="2"/>
      <c r="O4221" s="2">
        <v>120101</v>
      </c>
      <c r="P4221" s="2"/>
      <c r="Q4221" s="2" t="s">
        <v>28041</v>
      </c>
      <c r="R4221" s="2" t="s">
        <v>28042</v>
      </c>
      <c r="S4221" s="2" t="s">
        <v>79</v>
      </c>
      <c r="T4221" s="2" t="s">
        <v>80</v>
      </c>
      <c r="U4221" s="2" t="s">
        <v>249</v>
      </c>
      <c r="V4221" s="2" t="s">
        <v>59</v>
      </c>
      <c r="W4221" s="2">
        <v>39.200000000000003</v>
      </c>
      <c r="X4221" s="2">
        <v>0</v>
      </c>
      <c r="Y4221" s="2" t="s">
        <v>43</v>
      </c>
      <c r="Z4221" s="2" t="s">
        <v>18803</v>
      </c>
      <c r="AA4221" s="2">
        <v>4.6945709287342201E-2</v>
      </c>
      <c r="AB4221" s="2">
        <v>0.15850521295245101</v>
      </c>
      <c r="AC4221" s="2">
        <v>6797.6059681290799</v>
      </c>
      <c r="AD4221" s="2">
        <v>5004.39552819645</v>
      </c>
      <c r="AE4221" s="2">
        <v>7517.6837077338596</v>
      </c>
      <c r="AF4221" s="2">
        <v>6958.1352509876597</v>
      </c>
      <c r="AG4221" s="2">
        <v>6780.8546779943999</v>
      </c>
      <c r="AH4221" s="2">
        <v>6794.7220553869302</v>
      </c>
      <c r="AI4221" s="2">
        <v>6455.6140078300896</v>
      </c>
      <c r="AJ4221" s="2">
        <v>6278.6261088415704</v>
      </c>
      <c r="AK4221" s="2">
        <v>4861.28576429649</v>
      </c>
      <c r="AL4221" s="2">
        <v>5753.5834441256502</v>
      </c>
      <c r="AM4221" s="2">
        <v>4389.5706750675699</v>
      </c>
      <c r="AN4221" s="2">
        <v>4922.3993550089999</v>
      </c>
      <c r="AO4221" s="2">
        <v>4973.2521345721798</v>
      </c>
      <c r="AP4221" s="2">
        <v>5126.2817961077899</v>
      </c>
    </row>
    <row r="4222" spans="1:42" ht="14.5" x14ac:dyDescent="0.35">
      <c r="A4222" s="2" t="s">
        <v>28043</v>
      </c>
      <c r="B4222" s="2">
        <v>212.05274340827</v>
      </c>
      <c r="C4222" s="2">
        <v>1.11073333333333</v>
      </c>
      <c r="D4222" s="2" t="s">
        <v>34</v>
      </c>
      <c r="E4222" s="2" t="s">
        <v>28044</v>
      </c>
      <c r="F4222" s="2">
        <v>211721</v>
      </c>
      <c r="G4222" s="3" t="str">
        <f>HYPERLINK("http://funmeta.oebiotech.com/network/211721", "http://funmeta.oebiotech.com/network/211721")</f>
        <v>http://funmeta.oebiotech.com/network/211721</v>
      </c>
      <c r="H4222" s="2" t="s">
        <v>28045</v>
      </c>
      <c r="I4222" s="2"/>
      <c r="J4222" s="2"/>
      <c r="K4222" s="2"/>
      <c r="L4222" s="2"/>
      <c r="M4222" s="2"/>
      <c r="N4222" s="2"/>
      <c r="O4222" s="2">
        <v>22145432</v>
      </c>
      <c r="P4222" s="2"/>
      <c r="Q4222" s="2" t="s">
        <v>28046</v>
      </c>
      <c r="R4222" s="2" t="s">
        <v>28047</v>
      </c>
      <c r="S4222" s="2" t="s">
        <v>41</v>
      </c>
      <c r="T4222" s="2" t="s">
        <v>41</v>
      </c>
      <c r="U4222" s="2" t="s">
        <v>41</v>
      </c>
      <c r="V4222" s="2" t="s">
        <v>59</v>
      </c>
      <c r="W4222" s="2">
        <v>37.1</v>
      </c>
      <c r="X4222" s="2">
        <v>0.41</v>
      </c>
      <c r="Y4222" s="2" t="s">
        <v>266</v>
      </c>
      <c r="Z4222" s="2" t="s">
        <v>28048</v>
      </c>
      <c r="AA4222" s="2">
        <v>-0.48954905958190997</v>
      </c>
      <c r="AB4222" s="2">
        <v>0.15850173564499201</v>
      </c>
      <c r="AC4222" s="2">
        <v>2733.2941583754</v>
      </c>
      <c r="AD4222" s="2">
        <v>4498.4763290268502</v>
      </c>
      <c r="AE4222" s="2">
        <v>2774.1939099367601</v>
      </c>
      <c r="AF4222" s="2">
        <v>2838.0448929470099</v>
      </c>
      <c r="AG4222" s="2">
        <v>3005.1372172788301</v>
      </c>
      <c r="AH4222" s="2">
        <v>2806.4078754766902</v>
      </c>
      <c r="AI4222" s="2">
        <v>2255.9167321883801</v>
      </c>
      <c r="AJ4222" s="2">
        <v>2720.0643224247501</v>
      </c>
      <c r="AK4222" s="2">
        <v>4972.0394255291303</v>
      </c>
      <c r="AL4222" s="2">
        <v>3665.9221072363098</v>
      </c>
      <c r="AM4222" s="2">
        <v>4454.8240555565499</v>
      </c>
      <c r="AN4222" s="2">
        <v>4505.6235944305699</v>
      </c>
      <c r="AO4222" s="2">
        <v>4702.1313445712904</v>
      </c>
      <c r="AP4222" s="2">
        <v>4690.3174468372499</v>
      </c>
    </row>
    <row r="4223" spans="1:42" ht="14.5" x14ac:dyDescent="0.35">
      <c r="A4223" s="2" t="s">
        <v>28049</v>
      </c>
      <c r="B4223" s="2">
        <v>711.24682450031196</v>
      </c>
      <c r="C4223" s="2">
        <v>4.3453166666666698</v>
      </c>
      <c r="D4223" s="2" t="s">
        <v>34</v>
      </c>
      <c r="E4223" s="2" t="s">
        <v>28050</v>
      </c>
      <c r="F4223" s="2">
        <v>289946</v>
      </c>
      <c r="G4223" s="3" t="str">
        <f>HYPERLINK("http://funmeta.oebiotech.com/network/289946", "http://funmeta.oebiotech.com/network/289946")</f>
        <v>http://funmeta.oebiotech.com/network/289946</v>
      </c>
      <c r="H4223" s="2"/>
      <c r="I4223" s="2">
        <v>985379</v>
      </c>
      <c r="J4223" s="2"/>
      <c r="K4223" s="2"/>
      <c r="L4223" s="2"/>
      <c r="M4223" s="2"/>
      <c r="N4223" s="2"/>
      <c r="O4223" s="2">
        <v>133554337</v>
      </c>
      <c r="P4223" s="2"/>
      <c r="Q4223" s="2" t="s">
        <v>28051</v>
      </c>
      <c r="R4223" s="2" t="s">
        <v>28052</v>
      </c>
      <c r="S4223" s="2" t="s">
        <v>115</v>
      </c>
      <c r="T4223" s="2" t="s">
        <v>116</v>
      </c>
      <c r="U4223" s="2" t="s">
        <v>7178</v>
      </c>
      <c r="V4223" s="2" t="s">
        <v>59</v>
      </c>
      <c r="W4223" s="2">
        <v>37.200000000000003</v>
      </c>
      <c r="X4223" s="2">
        <v>0</v>
      </c>
      <c r="Y4223" s="2" t="s">
        <v>394</v>
      </c>
      <c r="Z4223" s="2" t="s">
        <v>28053</v>
      </c>
      <c r="AA4223" s="2">
        <v>-3.7336716220982802</v>
      </c>
      <c r="AB4223" s="2">
        <v>0.158469352990007</v>
      </c>
      <c r="AC4223" s="2">
        <v>3542.42200173643</v>
      </c>
      <c r="AD4223" s="2">
        <v>5763.3978203466904</v>
      </c>
      <c r="AE4223" s="2">
        <v>4212.3836912178504</v>
      </c>
      <c r="AF4223" s="2">
        <v>4593.5707567209001</v>
      </c>
      <c r="AG4223" s="2">
        <v>4300.7585005196897</v>
      </c>
      <c r="AH4223" s="2">
        <v>2535.2256401529598</v>
      </c>
      <c r="AI4223" s="2">
        <v>3677.8669894541499</v>
      </c>
      <c r="AJ4223" s="2">
        <v>1934.7264323530401</v>
      </c>
      <c r="AK4223" s="2">
        <v>7240.9825980885798</v>
      </c>
      <c r="AL4223" s="2">
        <v>6354.3552135706504</v>
      </c>
      <c r="AM4223" s="2">
        <v>6115.2468659422102</v>
      </c>
      <c r="AN4223" s="2">
        <v>4286.93613087843</v>
      </c>
      <c r="AO4223" s="2">
        <v>5862.6023412640698</v>
      </c>
      <c r="AP4223" s="2">
        <v>4720.2637723361804</v>
      </c>
    </row>
    <row r="4224" spans="1:42" ht="14.5" x14ac:dyDescent="0.35">
      <c r="A4224" s="2" t="s">
        <v>28054</v>
      </c>
      <c r="B4224" s="2">
        <v>457.20761830953001</v>
      </c>
      <c r="C4224" s="2">
        <v>4.7765333333333304</v>
      </c>
      <c r="D4224" s="2" t="s">
        <v>70</v>
      </c>
      <c r="E4224" s="2" t="s">
        <v>28055</v>
      </c>
      <c r="F4224" s="2">
        <v>62895</v>
      </c>
      <c r="G4224" s="3" t="str">
        <f>HYPERLINK("http://funmeta.oebiotech.com/network/62895", "http://funmeta.oebiotech.com/network/62895")</f>
        <v>http://funmeta.oebiotech.com/network/62895</v>
      </c>
      <c r="H4224" s="2" t="s">
        <v>28056</v>
      </c>
      <c r="I4224" s="2">
        <v>94192</v>
      </c>
      <c r="J4224" s="2"/>
      <c r="K4224" s="2">
        <v>168154</v>
      </c>
      <c r="L4224" s="2"/>
      <c r="M4224" s="2"/>
      <c r="N4224" s="2"/>
      <c r="O4224" s="2">
        <v>131752697</v>
      </c>
      <c r="P4224" s="2" t="s">
        <v>28057</v>
      </c>
      <c r="Q4224" s="2" t="s">
        <v>28058</v>
      </c>
      <c r="R4224" s="2" t="s">
        <v>28059</v>
      </c>
      <c r="S4224" s="2" t="s">
        <v>50</v>
      </c>
      <c r="T4224" s="2" t="s">
        <v>201</v>
      </c>
      <c r="U4224" s="2" t="s">
        <v>202</v>
      </c>
      <c r="V4224" s="2" t="s">
        <v>59</v>
      </c>
      <c r="W4224" s="2">
        <v>41.7</v>
      </c>
      <c r="X4224" s="2">
        <v>16.899999999999999</v>
      </c>
      <c r="Y4224" s="2" t="s">
        <v>408</v>
      </c>
      <c r="Z4224" s="2" t="s">
        <v>28060</v>
      </c>
      <c r="AA4224" s="2">
        <v>-0.73395453153826395</v>
      </c>
      <c r="AB4224" s="2">
        <v>0.15843170375820101</v>
      </c>
      <c r="AC4224" s="2">
        <v>30924.8497718609</v>
      </c>
      <c r="AD4224" s="2">
        <v>33538.013264576701</v>
      </c>
      <c r="AE4224" s="2">
        <v>29166.095857488799</v>
      </c>
      <c r="AF4224" s="2">
        <v>29166.9662187838</v>
      </c>
      <c r="AG4224" s="2">
        <v>28514.320277686202</v>
      </c>
      <c r="AH4224" s="2">
        <v>33035.862170501598</v>
      </c>
      <c r="AI4224" s="2">
        <v>33245.9463604423</v>
      </c>
      <c r="AJ4224" s="2">
        <v>32419.907746262601</v>
      </c>
      <c r="AK4224" s="2">
        <v>34185.607455375401</v>
      </c>
      <c r="AL4224" s="2">
        <v>32720.591982888502</v>
      </c>
      <c r="AM4224" s="2">
        <v>34721.664633200402</v>
      </c>
      <c r="AN4224" s="2">
        <v>32806.509698681897</v>
      </c>
      <c r="AO4224" s="2">
        <v>31691.192509709701</v>
      </c>
      <c r="AP4224" s="2">
        <v>35102.513307604298</v>
      </c>
    </row>
    <row r="4225" spans="1:42" ht="14.5" x14ac:dyDescent="0.35">
      <c r="A4225" s="2" t="s">
        <v>28061</v>
      </c>
      <c r="B4225" s="2">
        <v>269.10138603906199</v>
      </c>
      <c r="C4225" s="2">
        <v>4.3453166666666698</v>
      </c>
      <c r="D4225" s="2" t="s">
        <v>34</v>
      </c>
      <c r="E4225" s="2" t="s">
        <v>28062</v>
      </c>
      <c r="F4225" s="2">
        <v>213548</v>
      </c>
      <c r="G4225" s="3" t="str">
        <f>HYPERLINK("http://funmeta.oebiotech.com/network/213548", "http://funmeta.oebiotech.com/network/213548")</f>
        <v>http://funmeta.oebiotech.com/network/213548</v>
      </c>
      <c r="H4225" s="2" t="s">
        <v>28063</v>
      </c>
      <c r="I4225" s="2"/>
      <c r="J4225" s="2"/>
      <c r="K4225" s="2"/>
      <c r="L4225" s="2"/>
      <c r="M4225" s="2"/>
      <c r="N4225" s="2"/>
      <c r="O4225" s="2">
        <v>91604887</v>
      </c>
      <c r="P4225" s="2"/>
      <c r="Q4225" s="2" t="s">
        <v>28064</v>
      </c>
      <c r="R4225" s="2" t="s">
        <v>28065</v>
      </c>
      <c r="S4225" s="2" t="s">
        <v>41</v>
      </c>
      <c r="T4225" s="2" t="s">
        <v>41</v>
      </c>
      <c r="U4225" s="2" t="s">
        <v>41</v>
      </c>
      <c r="V4225" s="2" t="s">
        <v>59</v>
      </c>
      <c r="W4225" s="2">
        <v>37.799999999999997</v>
      </c>
      <c r="X4225" s="2">
        <v>0</v>
      </c>
      <c r="Y4225" s="2" t="s">
        <v>266</v>
      </c>
      <c r="Z4225" s="2" t="s">
        <v>28066</v>
      </c>
      <c r="AA4225" s="2">
        <v>2.8695323109809001</v>
      </c>
      <c r="AB4225" s="2">
        <v>0.15840658258905399</v>
      </c>
      <c r="AC4225" s="2">
        <v>5948.2513445136101</v>
      </c>
      <c r="AD4225" s="2">
        <v>3982.6421962978302</v>
      </c>
      <c r="AE4225" s="2">
        <v>5384.0244655292699</v>
      </c>
      <c r="AF4225" s="2">
        <v>6799.7983571363502</v>
      </c>
      <c r="AG4225" s="2">
        <v>4893.08382020925</v>
      </c>
      <c r="AH4225" s="2">
        <v>7123.0567625967196</v>
      </c>
      <c r="AI4225" s="2">
        <v>6065.2566767542903</v>
      </c>
      <c r="AJ4225" s="2">
        <v>5424.2879848557895</v>
      </c>
      <c r="AK4225" s="2">
        <v>3848.1114489373699</v>
      </c>
      <c r="AL4225" s="2">
        <v>4427.21066242509</v>
      </c>
      <c r="AM4225" s="2">
        <v>4677.1369899147603</v>
      </c>
      <c r="AN4225" s="2">
        <v>3533.3890552200501</v>
      </c>
      <c r="AO4225" s="2">
        <v>3622.16626953982</v>
      </c>
      <c r="AP4225" s="2">
        <v>3787.83875174986</v>
      </c>
    </row>
    <row r="4226" spans="1:42" ht="14.5" x14ac:dyDescent="0.35">
      <c r="A4226" s="2" t="s">
        <v>28067</v>
      </c>
      <c r="B4226" s="2">
        <v>497.23879624069502</v>
      </c>
      <c r="C4226" s="2">
        <v>4.2085666666666697</v>
      </c>
      <c r="D4226" s="2" t="s">
        <v>34</v>
      </c>
      <c r="E4226" s="2" t="s">
        <v>28068</v>
      </c>
      <c r="F4226" s="2">
        <v>208991</v>
      </c>
      <c r="G4226" s="3" t="str">
        <f>HYPERLINK("http://funmeta.oebiotech.com/network/208991", "http://funmeta.oebiotech.com/network/208991")</f>
        <v>http://funmeta.oebiotech.com/network/208991</v>
      </c>
      <c r="H4226" s="2" t="s">
        <v>28069</v>
      </c>
      <c r="I4226" s="2"/>
      <c r="J4226" s="2"/>
      <c r="K4226" s="2"/>
      <c r="L4226" s="2"/>
      <c r="M4226" s="2"/>
      <c r="N4226" s="2"/>
      <c r="O4226" s="2">
        <v>67177778</v>
      </c>
      <c r="P4226" s="2"/>
      <c r="Q4226" s="2" t="s">
        <v>28070</v>
      </c>
      <c r="R4226" s="2" t="s">
        <v>28071</v>
      </c>
      <c r="S4226" s="2" t="s">
        <v>41</v>
      </c>
      <c r="T4226" s="2" t="s">
        <v>41</v>
      </c>
      <c r="U4226" s="2" t="s">
        <v>41</v>
      </c>
      <c r="V4226" s="2" t="s">
        <v>59</v>
      </c>
      <c r="W4226" s="2">
        <v>38.700000000000003</v>
      </c>
      <c r="X4226" s="2">
        <v>0</v>
      </c>
      <c r="Y4226" s="2" t="s">
        <v>323</v>
      </c>
      <c r="Z4226" s="2" t="s">
        <v>28072</v>
      </c>
      <c r="AA4226" s="2">
        <v>0.85044128440739397</v>
      </c>
      <c r="AB4226" s="2">
        <v>0.15833776366243901</v>
      </c>
      <c r="AC4226" s="2">
        <v>2958.5094734589802</v>
      </c>
      <c r="AD4226" s="2">
        <v>5111.0253838812496</v>
      </c>
      <c r="AE4226" s="2">
        <v>3501.61636070243</v>
      </c>
      <c r="AF4226" s="2">
        <v>2546.35009991171</v>
      </c>
      <c r="AG4226" s="2">
        <v>1657.7169576534</v>
      </c>
      <c r="AH4226" s="2">
        <v>2524.2450526980501</v>
      </c>
      <c r="AI4226" s="2">
        <v>2360.8171409521801</v>
      </c>
      <c r="AJ4226" s="2">
        <v>5160.3112288360899</v>
      </c>
      <c r="AK4226" s="2">
        <v>3941.9099476187198</v>
      </c>
      <c r="AL4226" s="2">
        <v>5011.5790833690698</v>
      </c>
      <c r="AM4226" s="2">
        <v>5908.1496257782201</v>
      </c>
      <c r="AN4226" s="2">
        <v>5692.2152639487003</v>
      </c>
      <c r="AO4226" s="2">
        <v>4856.9128341441901</v>
      </c>
      <c r="AP4226" s="2">
        <v>5255.3855484286096</v>
      </c>
    </row>
    <row r="4227" spans="1:42" ht="14.5" x14ac:dyDescent="0.35">
      <c r="A4227" s="2" t="s">
        <v>28073</v>
      </c>
      <c r="B4227" s="2">
        <v>159.076292634091</v>
      </c>
      <c r="C4227" s="2">
        <v>0.71894999999999998</v>
      </c>
      <c r="D4227" s="2" t="s">
        <v>34</v>
      </c>
      <c r="E4227" s="2" t="s">
        <v>28074</v>
      </c>
      <c r="F4227" s="2">
        <v>53736</v>
      </c>
      <c r="G4227" s="3" t="str">
        <f>HYPERLINK("http://funmeta.oebiotech.com/network/53736", "http://funmeta.oebiotech.com/network/53736")</f>
        <v>http://funmeta.oebiotech.com/network/53736</v>
      </c>
      <c r="H4227" s="2" t="s">
        <v>28075</v>
      </c>
      <c r="I4227" s="2">
        <v>23694</v>
      </c>
      <c r="J4227" s="2"/>
      <c r="K4227" s="2">
        <v>73394</v>
      </c>
      <c r="L4227" s="2"/>
      <c r="M4227" s="2"/>
      <c r="N4227" s="2"/>
      <c r="O4227" s="2">
        <v>1549432</v>
      </c>
      <c r="P4227" s="2" t="s">
        <v>28076</v>
      </c>
      <c r="Q4227" s="2" t="s">
        <v>28077</v>
      </c>
      <c r="R4227" s="2" t="s">
        <v>28078</v>
      </c>
      <c r="S4227" s="2" t="s">
        <v>89</v>
      </c>
      <c r="T4227" s="2" t="s">
        <v>90</v>
      </c>
      <c r="U4227" s="2" t="s">
        <v>99</v>
      </c>
      <c r="V4227" s="2" t="s">
        <v>59</v>
      </c>
      <c r="W4227" s="2">
        <v>38.200000000000003</v>
      </c>
      <c r="X4227" s="2">
        <v>0</v>
      </c>
      <c r="Y4227" s="2" t="s">
        <v>266</v>
      </c>
      <c r="Z4227" s="2" t="s">
        <v>28079</v>
      </c>
      <c r="AA4227" s="2">
        <v>-0.71552020925219295</v>
      </c>
      <c r="AB4227" s="2">
        <v>0.15833750216038001</v>
      </c>
      <c r="AC4227" s="2">
        <v>3635.2624235089902</v>
      </c>
      <c r="AD4227" s="2">
        <v>1685.63003923272</v>
      </c>
      <c r="AE4227" s="2">
        <v>3625.0296673760199</v>
      </c>
      <c r="AF4227" s="2">
        <v>3828.3661416588602</v>
      </c>
      <c r="AG4227" s="2">
        <v>3150.8516471941698</v>
      </c>
      <c r="AH4227" s="2">
        <v>3896.47786324554</v>
      </c>
      <c r="AI4227" s="2">
        <v>3861.9945630799498</v>
      </c>
      <c r="AJ4227" s="2">
        <v>3448.8546584994201</v>
      </c>
      <c r="AK4227" s="2">
        <v>1087.1471533404299</v>
      </c>
      <c r="AL4227" s="2">
        <v>538.85510952922004</v>
      </c>
      <c r="AM4227" s="2">
        <v>1323.98596411992</v>
      </c>
      <c r="AN4227" s="2">
        <v>2251.6928049601502</v>
      </c>
      <c r="AO4227" s="2">
        <v>3029.0250803432</v>
      </c>
      <c r="AP4227" s="2">
        <v>1883.0741231033701</v>
      </c>
    </row>
    <row r="4228" spans="1:42" ht="14.5" x14ac:dyDescent="0.35">
      <c r="A4228" s="2" t="s">
        <v>28080</v>
      </c>
      <c r="B4228" s="2">
        <v>529.24347429330305</v>
      </c>
      <c r="C4228" s="2">
        <v>5.84148333333333</v>
      </c>
      <c r="D4228" s="2" t="s">
        <v>70</v>
      </c>
      <c r="E4228" s="2" t="s">
        <v>28081</v>
      </c>
      <c r="F4228" s="2">
        <v>211206</v>
      </c>
      <c r="G4228" s="3" t="str">
        <f>HYPERLINK("http://funmeta.oebiotech.com/network/211206", "http://funmeta.oebiotech.com/network/211206")</f>
        <v>http://funmeta.oebiotech.com/network/211206</v>
      </c>
      <c r="H4228" s="2" t="s">
        <v>28082</v>
      </c>
      <c r="I4228" s="2"/>
      <c r="J4228" s="2"/>
      <c r="K4228" s="2"/>
      <c r="L4228" s="2"/>
      <c r="M4228" s="2"/>
      <c r="N4228" s="2"/>
      <c r="O4228" s="2">
        <v>114999</v>
      </c>
      <c r="P4228" s="2"/>
      <c r="Q4228" s="2" t="s">
        <v>28083</v>
      </c>
      <c r="R4228" s="2" t="s">
        <v>28084</v>
      </c>
      <c r="S4228" s="2" t="s">
        <v>79</v>
      </c>
      <c r="T4228" s="2" t="s">
        <v>80</v>
      </c>
      <c r="U4228" s="2" t="s">
        <v>2820</v>
      </c>
      <c r="V4228" s="2" t="s">
        <v>59</v>
      </c>
      <c r="W4228" s="2">
        <v>41.6</v>
      </c>
      <c r="X4228" s="2">
        <v>17.100000000000001</v>
      </c>
      <c r="Y4228" s="2" t="s">
        <v>286</v>
      </c>
      <c r="Z4228" s="2" t="s">
        <v>28085</v>
      </c>
      <c r="AA4228" s="2">
        <v>-1.7182753370130801</v>
      </c>
      <c r="AB4228" s="2">
        <v>0.158049027515104</v>
      </c>
      <c r="AC4228" s="2">
        <v>19394.088919631598</v>
      </c>
      <c r="AD4228" s="2">
        <v>22189.885899236098</v>
      </c>
      <c r="AE4228" s="2">
        <v>18663.667495457699</v>
      </c>
      <c r="AF4228" s="2">
        <v>16617.0819815127</v>
      </c>
      <c r="AG4228" s="2">
        <v>22515.523729919099</v>
      </c>
      <c r="AH4228" s="2">
        <v>18150.957456828401</v>
      </c>
      <c r="AI4228" s="2">
        <v>18882.944380441499</v>
      </c>
      <c r="AJ4228" s="2">
        <v>21534.3584736304</v>
      </c>
      <c r="AK4228" s="2">
        <v>21287.539333052599</v>
      </c>
      <c r="AL4228" s="2">
        <v>25285.890162454602</v>
      </c>
      <c r="AM4228" s="2">
        <v>22509.1162920889</v>
      </c>
      <c r="AN4228" s="2">
        <v>21350.986544743999</v>
      </c>
      <c r="AO4228" s="2">
        <v>23208.438953389501</v>
      </c>
      <c r="AP4228" s="2">
        <v>19497.344109687001</v>
      </c>
    </row>
    <row r="4229" spans="1:42" ht="14.5" x14ac:dyDescent="0.35">
      <c r="A4229" s="2" t="s">
        <v>28086</v>
      </c>
      <c r="B4229" s="2">
        <v>167.11780848440199</v>
      </c>
      <c r="C4229" s="2">
        <v>1.9221666666666699</v>
      </c>
      <c r="D4229" s="2" t="s">
        <v>34</v>
      </c>
      <c r="E4229" s="2" t="s">
        <v>28087</v>
      </c>
      <c r="F4229" s="2">
        <v>62920</v>
      </c>
      <c r="G4229" s="3" t="str">
        <f>HYPERLINK("http://funmeta.oebiotech.com/network/62920", "http://funmeta.oebiotech.com/network/62920")</f>
        <v>http://funmeta.oebiotech.com/network/62920</v>
      </c>
      <c r="H4229" s="2" t="s">
        <v>28088</v>
      </c>
      <c r="I4229" s="2">
        <v>94217</v>
      </c>
      <c r="J4229" s="2"/>
      <c r="K4229" s="2">
        <v>173395</v>
      </c>
      <c r="L4229" s="2"/>
      <c r="M4229" s="2"/>
      <c r="N4229" s="2"/>
      <c r="O4229" s="2">
        <v>6428846</v>
      </c>
      <c r="P4229" s="2" t="s">
        <v>28089</v>
      </c>
      <c r="Q4229" s="2" t="s">
        <v>28090</v>
      </c>
      <c r="R4229" s="2" t="s">
        <v>28091</v>
      </c>
      <c r="S4229" s="2" t="s">
        <v>491</v>
      </c>
      <c r="T4229" s="2" t="s">
        <v>28092</v>
      </c>
      <c r="U4229" s="2" t="s">
        <v>41</v>
      </c>
      <c r="V4229" s="2" t="s">
        <v>59</v>
      </c>
      <c r="W4229" s="2">
        <v>44.8</v>
      </c>
      <c r="X4229" s="2">
        <v>31</v>
      </c>
      <c r="Y4229" s="2" t="s">
        <v>43</v>
      </c>
      <c r="Z4229" s="2" t="s">
        <v>17409</v>
      </c>
      <c r="AA4229" s="2">
        <v>-0.54347007812981796</v>
      </c>
      <c r="AB4229" s="2">
        <v>0.15799452382006099</v>
      </c>
      <c r="AC4229" s="2">
        <v>10210.395247251799</v>
      </c>
      <c r="AD4229" s="2">
        <v>8446.7289372861796</v>
      </c>
      <c r="AE4229" s="2">
        <v>10390.5740305117</v>
      </c>
      <c r="AF4229" s="2">
        <v>10214.1425653388</v>
      </c>
      <c r="AG4229" s="2">
        <v>9624.0825265016501</v>
      </c>
      <c r="AH4229" s="2">
        <v>10115.887901411599</v>
      </c>
      <c r="AI4229" s="2">
        <v>10908.0448644853</v>
      </c>
      <c r="AJ4229" s="2">
        <v>10009.6395952618</v>
      </c>
      <c r="AK4229" s="2">
        <v>8396.1959581570209</v>
      </c>
      <c r="AL4229" s="2">
        <v>8082.8400644316698</v>
      </c>
      <c r="AM4229" s="2">
        <v>8657.4539778766994</v>
      </c>
      <c r="AN4229" s="2">
        <v>8699.3094966498593</v>
      </c>
      <c r="AO4229" s="2">
        <v>8127.4916106254996</v>
      </c>
      <c r="AP4229" s="2">
        <v>8717.0825159763499</v>
      </c>
    </row>
    <row r="4230" spans="1:42" ht="14.5" x14ac:dyDescent="0.35">
      <c r="A4230" s="2" t="s">
        <v>28093</v>
      </c>
      <c r="B4230" s="2">
        <v>427.24522036542402</v>
      </c>
      <c r="C4230" s="2">
        <v>11.9448833333333</v>
      </c>
      <c r="D4230" s="2" t="s">
        <v>34</v>
      </c>
      <c r="E4230" s="2" t="s">
        <v>28094</v>
      </c>
      <c r="F4230" s="2">
        <v>213603</v>
      </c>
      <c r="G4230" s="3" t="str">
        <f>HYPERLINK("http://funmeta.oebiotech.com/network/213603", "http://funmeta.oebiotech.com/network/213603")</f>
        <v>http://funmeta.oebiotech.com/network/213603</v>
      </c>
      <c r="H4230" s="2" t="s">
        <v>28095</v>
      </c>
      <c r="I4230" s="2"/>
      <c r="J4230" s="2"/>
      <c r="K4230" s="2"/>
      <c r="L4230" s="2"/>
      <c r="M4230" s="2"/>
      <c r="N4230" s="2"/>
      <c r="O4230" s="2"/>
      <c r="P4230" s="2"/>
      <c r="Q4230" s="2" t="s">
        <v>28096</v>
      </c>
      <c r="R4230" s="2" t="s">
        <v>28097</v>
      </c>
      <c r="S4230" s="2" t="s">
        <v>41</v>
      </c>
      <c r="T4230" s="2" t="s">
        <v>41</v>
      </c>
      <c r="U4230" s="2" t="s">
        <v>41</v>
      </c>
      <c r="V4230" s="2" t="s">
        <v>59</v>
      </c>
      <c r="W4230" s="2">
        <v>38.799999999999997</v>
      </c>
      <c r="X4230" s="2">
        <v>0</v>
      </c>
      <c r="Y4230" s="2" t="s">
        <v>340</v>
      </c>
      <c r="Z4230" s="2" t="s">
        <v>28098</v>
      </c>
      <c r="AA4230" s="2">
        <v>-1.0989801201674401</v>
      </c>
      <c r="AB4230" s="2">
        <v>0.15787340384804999</v>
      </c>
      <c r="AC4230" s="2">
        <v>2772.0814042981401</v>
      </c>
      <c r="AD4230" s="2">
        <v>1025.68187455725</v>
      </c>
      <c r="AE4230" s="2">
        <v>2739.5826051951199</v>
      </c>
      <c r="AF4230" s="2">
        <v>2728.2984952258998</v>
      </c>
      <c r="AG4230" s="2">
        <v>3183.2563572249501</v>
      </c>
      <c r="AH4230" s="2">
        <v>2302.93801996193</v>
      </c>
      <c r="AI4230" s="2">
        <v>3030.8181623577998</v>
      </c>
      <c r="AJ4230" s="2">
        <v>2647.5947858231598</v>
      </c>
      <c r="AK4230" s="2">
        <v>1008.6264782289099</v>
      </c>
      <c r="AL4230" s="2">
        <v>1213.69010242797</v>
      </c>
      <c r="AM4230" s="2">
        <v>345.93035826582201</v>
      </c>
      <c r="AN4230" s="2">
        <v>836.58413827470804</v>
      </c>
      <c r="AO4230" s="2">
        <v>1529.05101116683</v>
      </c>
      <c r="AP4230" s="2">
        <v>1220.2091589792401</v>
      </c>
    </row>
    <row r="4231" spans="1:42" ht="14.5" x14ac:dyDescent="0.35">
      <c r="A4231" s="2" t="s">
        <v>28099</v>
      </c>
      <c r="B4231" s="2">
        <v>369.12709701654097</v>
      </c>
      <c r="C4231" s="2">
        <v>7.1697499999999996</v>
      </c>
      <c r="D4231" s="2" t="s">
        <v>34</v>
      </c>
      <c r="E4231" s="2" t="s">
        <v>28100</v>
      </c>
      <c r="F4231" s="2">
        <v>57672</v>
      </c>
      <c r="G4231" s="3" t="str">
        <f>HYPERLINK("http://funmeta.oebiotech.com/network/57672", "http://funmeta.oebiotech.com/network/57672")</f>
        <v>http://funmeta.oebiotech.com/network/57672</v>
      </c>
      <c r="H4231" s="2" t="s">
        <v>28101</v>
      </c>
      <c r="I4231" s="2"/>
      <c r="J4231" s="2"/>
      <c r="K4231" s="2">
        <v>35671</v>
      </c>
      <c r="L4231" s="2"/>
      <c r="M4231" s="2"/>
      <c r="N4231" s="2"/>
      <c r="O4231" s="2"/>
      <c r="P4231" s="2" t="s">
        <v>28102</v>
      </c>
      <c r="Q4231" s="2" t="s">
        <v>28103</v>
      </c>
      <c r="R4231" s="2" t="s">
        <v>28104</v>
      </c>
      <c r="S4231" s="2" t="s">
        <v>89</v>
      </c>
      <c r="T4231" s="2" t="s">
        <v>90</v>
      </c>
      <c r="U4231" s="2" t="s">
        <v>99</v>
      </c>
      <c r="V4231" s="2" t="s">
        <v>59</v>
      </c>
      <c r="W4231" s="2">
        <v>46.5</v>
      </c>
      <c r="X4231" s="2">
        <v>36.9</v>
      </c>
      <c r="Y4231" s="2" t="s">
        <v>242</v>
      </c>
      <c r="Z4231" s="2" t="s">
        <v>28105</v>
      </c>
      <c r="AA4231" s="2">
        <v>0.75306730509887898</v>
      </c>
      <c r="AB4231" s="2">
        <v>0.15787298915495901</v>
      </c>
      <c r="AC4231" s="2">
        <v>194343.130005357</v>
      </c>
      <c r="AD4231" s="2">
        <v>198900.17519633999</v>
      </c>
      <c r="AE4231" s="2">
        <v>198359.76881804201</v>
      </c>
      <c r="AF4231" s="2">
        <v>191156.98933573801</v>
      </c>
      <c r="AG4231" s="2">
        <v>198807.859062776</v>
      </c>
      <c r="AH4231" s="2">
        <v>190478.55820258</v>
      </c>
      <c r="AI4231" s="2">
        <v>190501.02453412701</v>
      </c>
      <c r="AJ4231" s="2">
        <v>196754.580078876</v>
      </c>
      <c r="AK4231" s="2">
        <v>206148.8655671</v>
      </c>
      <c r="AL4231" s="2">
        <v>192225.27294040399</v>
      </c>
      <c r="AM4231" s="2">
        <v>210558.15283882499</v>
      </c>
      <c r="AN4231" s="2">
        <v>191071.89129231899</v>
      </c>
      <c r="AO4231" s="2">
        <v>193331.46949723701</v>
      </c>
      <c r="AP4231" s="2">
        <v>200065.399042156</v>
      </c>
    </row>
    <row r="4232" spans="1:42" ht="14.5" x14ac:dyDescent="0.35">
      <c r="A4232" s="2" t="s">
        <v>28106</v>
      </c>
      <c r="B4232" s="2">
        <v>312.09475265726002</v>
      </c>
      <c r="C4232" s="2">
        <v>1.2414499999999999</v>
      </c>
      <c r="D4232" s="2" t="s">
        <v>70</v>
      </c>
      <c r="E4232" s="2" t="s">
        <v>28107</v>
      </c>
      <c r="F4232" s="2">
        <v>202795</v>
      </c>
      <c r="G4232" s="3" t="str">
        <f>HYPERLINK("http://funmeta.oebiotech.com/network/202795", "http://funmeta.oebiotech.com/network/202795")</f>
        <v>http://funmeta.oebiotech.com/network/202795</v>
      </c>
      <c r="H4232" s="2" t="s">
        <v>28108</v>
      </c>
      <c r="I4232" s="2"/>
      <c r="J4232" s="2"/>
      <c r="K4232" s="2"/>
      <c r="L4232" s="2"/>
      <c r="M4232" s="2"/>
      <c r="N4232" s="2"/>
      <c r="O4232" s="2"/>
      <c r="P4232" s="2"/>
      <c r="Q4232" s="2" t="s">
        <v>28109</v>
      </c>
      <c r="R4232" s="2" t="s">
        <v>28110</v>
      </c>
      <c r="S4232" s="2" t="s">
        <v>1444</v>
      </c>
      <c r="T4232" s="2" t="s">
        <v>3595</v>
      </c>
      <c r="U4232" s="2" t="s">
        <v>41</v>
      </c>
      <c r="V4232" s="2" t="s">
        <v>42</v>
      </c>
      <c r="W4232" s="2">
        <v>49.4</v>
      </c>
      <c r="X4232" s="2">
        <v>50.6</v>
      </c>
      <c r="Y4232" s="2" t="s">
        <v>408</v>
      </c>
      <c r="Z4232" s="2" t="s">
        <v>3596</v>
      </c>
      <c r="AA4232" s="2">
        <v>-0.76426196448990802</v>
      </c>
      <c r="AB4232" s="2">
        <v>0.157836796233147</v>
      </c>
      <c r="AC4232" s="2">
        <v>32055.767286132301</v>
      </c>
      <c r="AD4232" s="2">
        <v>28446.689969614501</v>
      </c>
      <c r="AE4232" s="2">
        <v>31280.7737462857</v>
      </c>
      <c r="AF4232" s="2">
        <v>27804.105177730999</v>
      </c>
      <c r="AG4232" s="2">
        <v>32345.940123860601</v>
      </c>
      <c r="AH4232" s="2">
        <v>27672.011547111601</v>
      </c>
      <c r="AI4232" s="2">
        <v>39463.452966942103</v>
      </c>
      <c r="AJ4232" s="2">
        <v>33768.320154862697</v>
      </c>
      <c r="AK4232" s="2">
        <v>27862.7900523836</v>
      </c>
      <c r="AL4232" s="2">
        <v>33837.658461841602</v>
      </c>
      <c r="AM4232" s="2">
        <v>29724.9834175139</v>
      </c>
      <c r="AN4232" s="2">
        <v>27856.3566343661</v>
      </c>
      <c r="AO4232" s="2">
        <v>24975.257959258801</v>
      </c>
      <c r="AP4232" s="2">
        <v>26423.093292322799</v>
      </c>
    </row>
    <row r="4233" spans="1:42" ht="14.5" x14ac:dyDescent="0.35">
      <c r="A4233" s="2" t="s">
        <v>28111</v>
      </c>
      <c r="B4233" s="2">
        <v>775.39075825588498</v>
      </c>
      <c r="C4233" s="2">
        <v>5.1704666666666697</v>
      </c>
      <c r="D4233" s="2" t="s">
        <v>70</v>
      </c>
      <c r="E4233" s="2" t="s">
        <v>28112</v>
      </c>
      <c r="F4233" s="2">
        <v>27773</v>
      </c>
      <c r="G4233" s="3" t="str">
        <f>HYPERLINK("http://funmeta.oebiotech.com/network/27773", "http://funmeta.oebiotech.com/network/27773")</f>
        <v>http://funmeta.oebiotech.com/network/27773</v>
      </c>
      <c r="H4233" s="2"/>
      <c r="I4233" s="2"/>
      <c r="J4233" s="2" t="s">
        <v>28113</v>
      </c>
      <c r="K4233" s="2"/>
      <c r="L4233" s="2"/>
      <c r="M4233" s="2"/>
      <c r="N4233" s="2"/>
      <c r="O4233" s="2">
        <v>126457663</v>
      </c>
      <c r="P4233" s="2"/>
      <c r="Q4233" s="2" t="s">
        <v>28114</v>
      </c>
      <c r="R4233" s="2" t="s">
        <v>28115</v>
      </c>
      <c r="S4233" s="2" t="s">
        <v>50</v>
      </c>
      <c r="T4233" s="2" t="s">
        <v>51</v>
      </c>
      <c r="U4233" s="2" t="s">
        <v>52</v>
      </c>
      <c r="V4233" s="2" t="s">
        <v>59</v>
      </c>
      <c r="W4233" s="2">
        <v>37.4</v>
      </c>
      <c r="X4233" s="2">
        <v>0</v>
      </c>
      <c r="Y4233" s="2" t="s">
        <v>118</v>
      </c>
      <c r="Z4233" s="2" t="s">
        <v>28116</v>
      </c>
      <c r="AA4233" s="2">
        <v>2.7015092621035599</v>
      </c>
      <c r="AB4233" s="2">
        <v>0.157802910200773</v>
      </c>
      <c r="AC4233" s="2">
        <v>12909.5034149073</v>
      </c>
      <c r="AD4233" s="2">
        <v>10169.902310056699</v>
      </c>
      <c r="AE4233" s="2">
        <v>11672.621644593501</v>
      </c>
      <c r="AF4233" s="2">
        <v>12179.3786532228</v>
      </c>
      <c r="AG4233" s="2">
        <v>11996.232166932699</v>
      </c>
      <c r="AH4233" s="2">
        <v>13925.4909831964</v>
      </c>
      <c r="AI4233" s="2">
        <v>14188.9088232425</v>
      </c>
      <c r="AJ4233" s="2">
        <v>13494.388218255899</v>
      </c>
      <c r="AK4233" s="2">
        <v>8512.5970009550092</v>
      </c>
      <c r="AL4233" s="2">
        <v>10867.117137261799</v>
      </c>
      <c r="AM4233" s="2">
        <v>14589.375055652899</v>
      </c>
      <c r="AN4233" s="2">
        <v>7952.5751600710801</v>
      </c>
      <c r="AO4233" s="2">
        <v>7901.6714112879499</v>
      </c>
      <c r="AP4233" s="2">
        <v>11196.078095111299</v>
      </c>
    </row>
    <row r="4234" spans="1:42" ht="14.5" x14ac:dyDescent="0.35">
      <c r="A4234" s="2" t="s">
        <v>28117</v>
      </c>
      <c r="B4234" s="2">
        <v>375.17991981561897</v>
      </c>
      <c r="C4234" s="2">
        <v>5.2337999999999996</v>
      </c>
      <c r="D4234" s="2" t="s">
        <v>34</v>
      </c>
      <c r="E4234" s="2" t="s">
        <v>28118</v>
      </c>
      <c r="F4234" s="2">
        <v>55424</v>
      </c>
      <c r="G4234" s="3" t="str">
        <f>HYPERLINK("http://funmeta.oebiotech.com/network/55424", "http://funmeta.oebiotech.com/network/55424")</f>
        <v>http://funmeta.oebiotech.com/network/55424</v>
      </c>
      <c r="H4234" s="2" t="s">
        <v>28119</v>
      </c>
      <c r="I4234" s="2">
        <v>87117</v>
      </c>
      <c r="J4234" s="2"/>
      <c r="K4234" s="2">
        <v>175811</v>
      </c>
      <c r="L4234" s="2"/>
      <c r="M4234" s="2"/>
      <c r="N4234" s="2"/>
      <c r="O4234" s="2">
        <v>102504551</v>
      </c>
      <c r="P4234" s="2" t="s">
        <v>28120</v>
      </c>
      <c r="Q4234" s="2" t="s">
        <v>28121</v>
      </c>
      <c r="R4234" s="2" t="s">
        <v>28122</v>
      </c>
      <c r="S4234" s="2" t="s">
        <v>115</v>
      </c>
      <c r="T4234" s="2" t="s">
        <v>758</v>
      </c>
      <c r="U4234" s="2" t="s">
        <v>6655</v>
      </c>
      <c r="V4234" s="2" t="s">
        <v>59</v>
      </c>
      <c r="W4234" s="2">
        <v>43.3</v>
      </c>
      <c r="X4234" s="2">
        <v>21.7</v>
      </c>
      <c r="Y4234" s="2" t="s">
        <v>266</v>
      </c>
      <c r="Z4234" s="2" t="s">
        <v>11385</v>
      </c>
      <c r="AA4234" s="2">
        <v>-0.78885330940055498</v>
      </c>
      <c r="AB4234" s="2">
        <v>0.15776238483614499</v>
      </c>
      <c r="AC4234" s="2">
        <v>378916.07803273603</v>
      </c>
      <c r="AD4234" s="2">
        <v>370555.92398873001</v>
      </c>
      <c r="AE4234" s="2">
        <v>386445.33025145298</v>
      </c>
      <c r="AF4234" s="2">
        <v>359776.996419731</v>
      </c>
      <c r="AG4234" s="2">
        <v>386861.29074490297</v>
      </c>
      <c r="AH4234" s="2">
        <v>352817.162336073</v>
      </c>
      <c r="AI4234" s="2">
        <v>364582.83617065899</v>
      </c>
      <c r="AJ4234" s="2">
        <v>423012.8522736</v>
      </c>
      <c r="AK4234" s="2">
        <v>359429.66906730999</v>
      </c>
      <c r="AL4234" s="2">
        <v>389624.59915509698</v>
      </c>
      <c r="AM4234" s="2">
        <v>404639.05489019101</v>
      </c>
      <c r="AN4234" s="2">
        <v>359225.77328791498</v>
      </c>
      <c r="AO4234" s="2">
        <v>355320.82592857</v>
      </c>
      <c r="AP4234" s="2">
        <v>355095.62160329899</v>
      </c>
    </row>
    <row r="4235" spans="1:42" ht="14.5" x14ac:dyDescent="0.35">
      <c r="A4235" s="2" t="s">
        <v>28123</v>
      </c>
      <c r="B4235" s="2">
        <v>434.202559867898</v>
      </c>
      <c r="C4235" s="2">
        <v>5.0964166666666699</v>
      </c>
      <c r="D4235" s="2" t="s">
        <v>70</v>
      </c>
      <c r="E4235" s="2" t="s">
        <v>28124</v>
      </c>
      <c r="F4235" s="2">
        <v>52067</v>
      </c>
      <c r="G4235" s="3" t="str">
        <f>HYPERLINK("http://funmeta.oebiotech.com/network/52067", "http://funmeta.oebiotech.com/network/52067")</f>
        <v>http://funmeta.oebiotech.com/network/52067</v>
      </c>
      <c r="H4235" s="2" t="s">
        <v>28125</v>
      </c>
      <c r="I4235" s="2"/>
      <c r="J4235" s="2"/>
      <c r="K4235" s="2"/>
      <c r="L4235" s="2"/>
      <c r="M4235" s="2"/>
      <c r="N4235" s="2"/>
      <c r="O4235" s="2">
        <v>53481512</v>
      </c>
      <c r="P4235" s="2"/>
      <c r="Q4235" s="2" t="s">
        <v>28126</v>
      </c>
      <c r="R4235" s="2" t="s">
        <v>28127</v>
      </c>
      <c r="S4235" s="2" t="s">
        <v>50</v>
      </c>
      <c r="T4235" s="2" t="s">
        <v>229</v>
      </c>
      <c r="U4235" s="2" t="s">
        <v>766</v>
      </c>
      <c r="V4235" s="2" t="s">
        <v>59</v>
      </c>
      <c r="W4235" s="2">
        <v>38</v>
      </c>
      <c r="X4235" s="2">
        <v>8.94</v>
      </c>
      <c r="Y4235" s="2" t="s">
        <v>751</v>
      </c>
      <c r="Z4235" s="2" t="s">
        <v>28128</v>
      </c>
      <c r="AA4235" s="2">
        <v>4.1749029461360001</v>
      </c>
      <c r="AB4235" s="2">
        <v>0.15775992488981599</v>
      </c>
      <c r="AC4235" s="2">
        <v>29349.958398559898</v>
      </c>
      <c r="AD4235" s="2">
        <v>26080.217200815099</v>
      </c>
      <c r="AE4235" s="2">
        <v>29958.042279350899</v>
      </c>
      <c r="AF4235" s="2">
        <v>21616.602568960101</v>
      </c>
      <c r="AG4235" s="2">
        <v>30892.633643035599</v>
      </c>
      <c r="AH4235" s="2">
        <v>29603.549133929599</v>
      </c>
      <c r="AI4235" s="2">
        <v>30703.1941726156</v>
      </c>
      <c r="AJ4235" s="2">
        <v>33325.728593467502</v>
      </c>
      <c r="AK4235" s="2">
        <v>26919.729928754201</v>
      </c>
      <c r="AL4235" s="2">
        <v>24594.044088775499</v>
      </c>
      <c r="AM4235" s="2">
        <v>26170.305939728802</v>
      </c>
      <c r="AN4235" s="2">
        <v>24476.481768946</v>
      </c>
      <c r="AO4235" s="2">
        <v>25424.610439433502</v>
      </c>
      <c r="AP4235" s="2">
        <v>28896.131039252399</v>
      </c>
    </row>
    <row r="4236" spans="1:42" ht="14.5" x14ac:dyDescent="0.35">
      <c r="A4236" s="2" t="s">
        <v>28129</v>
      </c>
      <c r="B4236" s="2">
        <v>435.26032502650997</v>
      </c>
      <c r="C4236" s="2">
        <v>4.64978333333333</v>
      </c>
      <c r="D4236" s="2" t="s">
        <v>34</v>
      </c>
      <c r="E4236" s="2" t="s">
        <v>28130</v>
      </c>
      <c r="F4236" s="2">
        <v>53504</v>
      </c>
      <c r="G4236" s="3" t="str">
        <f>HYPERLINK("http://funmeta.oebiotech.com/network/53504", "http://funmeta.oebiotech.com/network/53504")</f>
        <v>http://funmeta.oebiotech.com/network/53504</v>
      </c>
      <c r="H4236" s="2" t="s">
        <v>28131</v>
      </c>
      <c r="I4236" s="2">
        <v>1748</v>
      </c>
      <c r="J4236" s="2"/>
      <c r="K4236" s="2">
        <v>553655</v>
      </c>
      <c r="L4236" s="2" t="s">
        <v>28132</v>
      </c>
      <c r="M4236" s="2"/>
      <c r="N4236" s="2"/>
      <c r="O4236" s="2">
        <v>56330</v>
      </c>
      <c r="P4236" s="2" t="s">
        <v>28133</v>
      </c>
      <c r="Q4236" s="2" t="s">
        <v>28134</v>
      </c>
      <c r="R4236" s="2" t="s">
        <v>28135</v>
      </c>
      <c r="S4236" s="2" t="s">
        <v>89</v>
      </c>
      <c r="T4236" s="2" t="s">
        <v>90</v>
      </c>
      <c r="U4236" s="2" t="s">
        <v>99</v>
      </c>
      <c r="V4236" s="2" t="s">
        <v>59</v>
      </c>
      <c r="W4236" s="2">
        <v>38.1</v>
      </c>
      <c r="X4236" s="2">
        <v>0</v>
      </c>
      <c r="Y4236" s="2" t="s">
        <v>43</v>
      </c>
      <c r="Z4236" s="2" t="s">
        <v>28136</v>
      </c>
      <c r="AA4236" s="2">
        <v>0.30772297485603201</v>
      </c>
      <c r="AB4236" s="2">
        <v>0.15771388654204599</v>
      </c>
      <c r="AC4236" s="2">
        <v>15733.5121448477</v>
      </c>
      <c r="AD4236" s="2">
        <v>13388.298245886999</v>
      </c>
      <c r="AE4236" s="2">
        <v>15841.8958391623</v>
      </c>
      <c r="AF4236" s="2">
        <v>18038.353307107802</v>
      </c>
      <c r="AG4236" s="2">
        <v>15925.704108083501</v>
      </c>
      <c r="AH4236" s="2">
        <v>15372.101652212301</v>
      </c>
      <c r="AI4236" s="2">
        <v>16271.8160904332</v>
      </c>
      <c r="AJ4236" s="2">
        <v>12951.2018720872</v>
      </c>
      <c r="AK4236" s="2">
        <v>14937.0819816316</v>
      </c>
      <c r="AL4236" s="2">
        <v>12958.843096832001</v>
      </c>
      <c r="AM4236" s="2">
        <v>13515.9888488581</v>
      </c>
      <c r="AN4236" s="2">
        <v>13084.198362418399</v>
      </c>
      <c r="AO4236" s="2">
        <v>12179.8839900153</v>
      </c>
      <c r="AP4236" s="2">
        <v>13653.793195566701</v>
      </c>
    </row>
    <row r="4237" spans="1:42" ht="14.5" x14ac:dyDescent="0.35">
      <c r="A4237" s="2" t="s">
        <v>28137</v>
      </c>
      <c r="B4237" s="2">
        <v>117.138531178398</v>
      </c>
      <c r="C4237" s="2">
        <v>0.55359999999999998</v>
      </c>
      <c r="D4237" s="2" t="s">
        <v>34</v>
      </c>
      <c r="E4237" s="2" t="s">
        <v>28138</v>
      </c>
      <c r="F4237" s="2">
        <v>55978</v>
      </c>
      <c r="G4237" s="3" t="str">
        <f>HYPERLINK("http://funmeta.oebiotech.com/network/55978", "http://funmeta.oebiotech.com/network/55978")</f>
        <v>http://funmeta.oebiotech.com/network/55978</v>
      </c>
      <c r="H4237" s="2" t="s">
        <v>28139</v>
      </c>
      <c r="I4237" s="2"/>
      <c r="J4237" s="2"/>
      <c r="K4237" s="2">
        <v>15773</v>
      </c>
      <c r="L4237" s="2" t="s">
        <v>28140</v>
      </c>
      <c r="M4237" s="2" t="s">
        <v>11489</v>
      </c>
      <c r="N4237" s="2" t="s">
        <v>11490</v>
      </c>
      <c r="O4237" s="2">
        <v>7965</v>
      </c>
      <c r="P4237" s="2" t="s">
        <v>28141</v>
      </c>
      <c r="Q4237" s="2" t="s">
        <v>28142</v>
      </c>
      <c r="R4237" s="2" t="s">
        <v>28143</v>
      </c>
      <c r="S4237" s="2" t="s">
        <v>1677</v>
      </c>
      <c r="T4237" s="2" t="s">
        <v>1678</v>
      </c>
      <c r="U4237" s="2" t="s">
        <v>10597</v>
      </c>
      <c r="V4237" s="2" t="s">
        <v>59</v>
      </c>
      <c r="W4237" s="2">
        <v>39.1</v>
      </c>
      <c r="X4237" s="2">
        <v>0</v>
      </c>
      <c r="Y4237" s="2" t="s">
        <v>43</v>
      </c>
      <c r="Z4237" s="2" t="s">
        <v>28144</v>
      </c>
      <c r="AA4237" s="2">
        <v>-0.94620354331189205</v>
      </c>
      <c r="AB4237" s="2">
        <v>0.15768068661033999</v>
      </c>
      <c r="AC4237" s="2">
        <v>2996.3289518738302</v>
      </c>
      <c r="AD4237" s="2">
        <v>1195.60266560953</v>
      </c>
      <c r="AE4237" s="2">
        <v>2082.23463257511</v>
      </c>
      <c r="AF4237" s="2">
        <v>3509.1875202193501</v>
      </c>
      <c r="AG4237" s="2">
        <v>3295.3415955704299</v>
      </c>
      <c r="AH4237" s="2">
        <v>3002.12528777955</v>
      </c>
      <c r="AI4237" s="2">
        <v>3512.9484215212801</v>
      </c>
      <c r="AJ4237" s="2">
        <v>2576.13625357723</v>
      </c>
      <c r="AK4237" s="2">
        <v>1248.26644641588</v>
      </c>
      <c r="AL4237" s="2">
        <v>673.13185010815005</v>
      </c>
      <c r="AM4237" s="2">
        <v>1264.30084640422</v>
      </c>
      <c r="AN4237" s="2">
        <v>1166.1975825567699</v>
      </c>
      <c r="AO4237" s="2">
        <v>1489.5057530680001</v>
      </c>
      <c r="AP4237" s="2">
        <v>1332.21351510414</v>
      </c>
    </row>
    <row r="4238" spans="1:42" ht="14.5" x14ac:dyDescent="0.35">
      <c r="A4238" s="2" t="s">
        <v>28145</v>
      </c>
      <c r="B4238" s="2">
        <v>643.27514675034797</v>
      </c>
      <c r="C4238" s="2">
        <v>7.6493166666666701</v>
      </c>
      <c r="D4238" s="2" t="s">
        <v>70</v>
      </c>
      <c r="E4238" s="2" t="s">
        <v>28146</v>
      </c>
      <c r="F4238" s="2">
        <v>197099</v>
      </c>
      <c r="G4238" s="3" t="str">
        <f>HYPERLINK("http://funmeta.oebiotech.com/network/197099", "http://funmeta.oebiotech.com/network/197099")</f>
        <v>http://funmeta.oebiotech.com/network/197099</v>
      </c>
      <c r="H4238" s="2" t="s">
        <v>28147</v>
      </c>
      <c r="I4238" s="2"/>
      <c r="J4238" s="2"/>
      <c r="K4238" s="2"/>
      <c r="L4238" s="2"/>
      <c r="M4238" s="2"/>
      <c r="N4238" s="2"/>
      <c r="O4238" s="2"/>
      <c r="P4238" s="2"/>
      <c r="Q4238" s="2" t="s">
        <v>28148</v>
      </c>
      <c r="R4238" s="2" t="s">
        <v>28149</v>
      </c>
      <c r="S4238" s="2" t="s">
        <v>148</v>
      </c>
      <c r="T4238" s="2" t="s">
        <v>3772</v>
      </c>
      <c r="U4238" s="2" t="s">
        <v>41</v>
      </c>
      <c r="V4238" s="2" t="s">
        <v>59</v>
      </c>
      <c r="W4238" s="2">
        <v>38</v>
      </c>
      <c r="X4238" s="2">
        <v>0</v>
      </c>
      <c r="Y4238" s="2" t="s">
        <v>560</v>
      </c>
      <c r="Z4238" s="2" t="s">
        <v>28150</v>
      </c>
      <c r="AA4238" s="2">
        <v>-1.32498154558343</v>
      </c>
      <c r="AB4238" s="2">
        <v>0.157518250623224</v>
      </c>
      <c r="AC4238" s="2">
        <v>2371.2103395623199</v>
      </c>
      <c r="AD4238" s="2">
        <v>639.23708627342296</v>
      </c>
      <c r="AE4238" s="2">
        <v>2490.5051315412102</v>
      </c>
      <c r="AF4238" s="2">
        <v>1490.4436878152401</v>
      </c>
      <c r="AG4238" s="2">
        <v>2509.19189787184</v>
      </c>
      <c r="AH4238" s="2">
        <v>2689.5451290958899</v>
      </c>
      <c r="AI4238" s="2">
        <v>2544.40454106478</v>
      </c>
      <c r="AJ4238" s="2">
        <v>2503.1716499849399</v>
      </c>
      <c r="AK4238" s="2">
        <v>727.42526300189604</v>
      </c>
      <c r="AL4238" s="2">
        <v>808.59178660656096</v>
      </c>
      <c r="AM4238" s="2">
        <v>623.06969566842304</v>
      </c>
      <c r="AN4238" s="2">
        <v>821.19260033644105</v>
      </c>
      <c r="AO4238" s="2">
        <v>512.76089803811306</v>
      </c>
      <c r="AP4238" s="2">
        <v>342.38227398910601</v>
      </c>
    </row>
    <row r="4239" spans="1:42" ht="14.5" x14ac:dyDescent="0.35">
      <c r="A4239" s="2" t="s">
        <v>28151</v>
      </c>
      <c r="B4239" s="2">
        <v>553.24516157759899</v>
      </c>
      <c r="C4239" s="2">
        <v>8.24085</v>
      </c>
      <c r="D4239" s="2" t="s">
        <v>70</v>
      </c>
      <c r="E4239" s="2" t="s">
        <v>28152</v>
      </c>
      <c r="F4239" s="2">
        <v>275259</v>
      </c>
      <c r="G4239" s="3" t="str">
        <f>HYPERLINK("http://funmeta.oebiotech.com/network/275259", "http://funmeta.oebiotech.com/network/275259")</f>
        <v>http://funmeta.oebiotech.com/network/275259</v>
      </c>
      <c r="H4239" s="2"/>
      <c r="I4239" s="2">
        <v>66281</v>
      </c>
      <c r="J4239" s="2"/>
      <c r="K4239" s="2"/>
      <c r="L4239" s="2" t="s">
        <v>28153</v>
      </c>
      <c r="M4239" s="2"/>
      <c r="N4239" s="2"/>
      <c r="O4239" s="2">
        <v>92722</v>
      </c>
      <c r="P4239" s="2" t="s">
        <v>28154</v>
      </c>
      <c r="Q4239" s="2" t="s">
        <v>28155</v>
      </c>
      <c r="R4239" s="2" t="s">
        <v>28156</v>
      </c>
      <c r="S4239" s="2" t="s">
        <v>89</v>
      </c>
      <c r="T4239" s="2" t="s">
        <v>90</v>
      </c>
      <c r="U4239" s="2" t="s">
        <v>99</v>
      </c>
      <c r="V4239" s="2" t="s">
        <v>59</v>
      </c>
      <c r="W4239" s="2">
        <v>38.200000000000003</v>
      </c>
      <c r="X4239" s="2">
        <v>0</v>
      </c>
      <c r="Y4239" s="2" t="s">
        <v>408</v>
      </c>
      <c r="Z4239" s="2" t="s">
        <v>28157</v>
      </c>
      <c r="AA4239" s="2">
        <v>0.33335474583140801</v>
      </c>
      <c r="AB4239" s="2">
        <v>0.157465092717397</v>
      </c>
      <c r="AC4239" s="2">
        <v>5867.6402619618202</v>
      </c>
      <c r="AD4239" s="2">
        <v>7806.0109019454003</v>
      </c>
      <c r="AE4239" s="2">
        <v>5412.8894783588303</v>
      </c>
      <c r="AF4239" s="2">
        <v>6048.9642158941497</v>
      </c>
      <c r="AG4239" s="2">
        <v>5170.7688159241898</v>
      </c>
      <c r="AH4239" s="2">
        <v>5689.2190267392798</v>
      </c>
      <c r="AI4239" s="2">
        <v>6707.6192441225603</v>
      </c>
      <c r="AJ4239" s="2">
        <v>6176.3807907319297</v>
      </c>
      <c r="AK4239" s="2">
        <v>7173.8656921093398</v>
      </c>
      <c r="AL4239" s="2">
        <v>7971.5305463170098</v>
      </c>
      <c r="AM4239" s="2">
        <v>6490.8527774445802</v>
      </c>
      <c r="AN4239" s="2">
        <v>8762.7386557357295</v>
      </c>
      <c r="AO4239" s="2">
        <v>8200.9245306052799</v>
      </c>
      <c r="AP4239" s="2">
        <v>8236.15320946047</v>
      </c>
    </row>
    <row r="4240" spans="1:42" ht="14.5" x14ac:dyDescent="0.35">
      <c r="A4240" s="2" t="s">
        <v>28158</v>
      </c>
      <c r="B4240" s="2">
        <v>717.38154681823096</v>
      </c>
      <c r="C4240" s="2">
        <v>10.490783333333299</v>
      </c>
      <c r="D4240" s="2" t="s">
        <v>34</v>
      </c>
      <c r="E4240" s="2" t="s">
        <v>28159</v>
      </c>
      <c r="F4240" s="2">
        <v>82140</v>
      </c>
      <c r="G4240" s="3" t="str">
        <f>HYPERLINK("http://funmeta.oebiotech.com/network/82140", "http://funmeta.oebiotech.com/network/82140")</f>
        <v>http://funmeta.oebiotech.com/network/82140</v>
      </c>
      <c r="H4240" s="2" t="s">
        <v>28160</v>
      </c>
      <c r="I4240" s="2"/>
      <c r="J4240" s="2"/>
      <c r="K4240" s="2"/>
      <c r="L4240" s="2"/>
      <c r="M4240" s="2"/>
      <c r="N4240" s="2"/>
      <c r="O4240" s="2"/>
      <c r="P4240" s="2" t="s">
        <v>28161</v>
      </c>
      <c r="Q4240" s="2" t="s">
        <v>28162</v>
      </c>
      <c r="R4240" s="2" t="s">
        <v>28163</v>
      </c>
      <c r="S4240" s="2" t="s">
        <v>89</v>
      </c>
      <c r="T4240" s="2" t="s">
        <v>90</v>
      </c>
      <c r="U4240" s="2" t="s">
        <v>99</v>
      </c>
      <c r="V4240" s="2" t="s">
        <v>59</v>
      </c>
      <c r="W4240" s="2">
        <v>37.4</v>
      </c>
      <c r="X4240" s="2">
        <v>0</v>
      </c>
      <c r="Y4240" s="2" t="s">
        <v>394</v>
      </c>
      <c r="Z4240" s="2" t="s">
        <v>28164</v>
      </c>
      <c r="AA4240" s="2">
        <v>-0.30920393154247899</v>
      </c>
      <c r="AB4240" s="2">
        <v>0.15738238746553901</v>
      </c>
      <c r="AC4240" s="2">
        <v>7844.8705243004597</v>
      </c>
      <c r="AD4240" s="2">
        <v>10206.7661731054</v>
      </c>
      <c r="AE4240" s="2">
        <v>6992.3672213083701</v>
      </c>
      <c r="AF4240" s="2">
        <v>5596.1211473421499</v>
      </c>
      <c r="AG4240" s="2">
        <v>7456.0669881632703</v>
      </c>
      <c r="AH4240" s="2">
        <v>8134.5249574300597</v>
      </c>
      <c r="AI4240" s="2">
        <v>10203.6935861772</v>
      </c>
      <c r="AJ4240" s="2">
        <v>8686.4492453816893</v>
      </c>
      <c r="AK4240" s="2">
        <v>12316.3373644197</v>
      </c>
      <c r="AL4240" s="2">
        <v>9231.3904874086602</v>
      </c>
      <c r="AM4240" s="2">
        <v>10687.3870571762</v>
      </c>
      <c r="AN4240" s="2">
        <v>9836.5831022859402</v>
      </c>
      <c r="AO4240" s="2">
        <v>10303.0482479781</v>
      </c>
      <c r="AP4240" s="2">
        <v>8865.8507793637109</v>
      </c>
    </row>
    <row r="4241" spans="1:42" ht="14.5" x14ac:dyDescent="0.35">
      <c r="A4241" s="2" t="s">
        <v>28165</v>
      </c>
      <c r="B4241" s="2">
        <v>165.05459118203501</v>
      </c>
      <c r="C4241" s="2">
        <v>2.01128333333333</v>
      </c>
      <c r="D4241" s="2" t="s">
        <v>70</v>
      </c>
      <c r="E4241" s="2" t="s">
        <v>28166</v>
      </c>
      <c r="F4241" s="2">
        <v>203099</v>
      </c>
      <c r="G4241" s="3" t="str">
        <f>HYPERLINK("http://funmeta.oebiotech.com/network/203099", "http://funmeta.oebiotech.com/network/203099")</f>
        <v>http://funmeta.oebiotech.com/network/203099</v>
      </c>
      <c r="H4241" s="2" t="s">
        <v>28167</v>
      </c>
      <c r="I4241" s="2">
        <v>69025</v>
      </c>
      <c r="J4241" s="2"/>
      <c r="K4241" s="2">
        <v>2781</v>
      </c>
      <c r="L4241" s="2" t="s">
        <v>28168</v>
      </c>
      <c r="M4241" s="2"/>
      <c r="N4241" s="2"/>
      <c r="O4241" s="2">
        <v>2214</v>
      </c>
      <c r="P4241" s="2" t="s">
        <v>28169</v>
      </c>
      <c r="Q4241" s="2" t="s">
        <v>28170</v>
      </c>
      <c r="R4241" s="2" t="s">
        <v>28171</v>
      </c>
      <c r="S4241" s="2" t="s">
        <v>79</v>
      </c>
      <c r="T4241" s="2" t="s">
        <v>80</v>
      </c>
      <c r="U4241" s="2" t="s">
        <v>2820</v>
      </c>
      <c r="V4241" s="2" t="s">
        <v>42</v>
      </c>
      <c r="W4241" s="2">
        <v>49.3</v>
      </c>
      <c r="X4241" s="2">
        <v>57.8</v>
      </c>
      <c r="Y4241" s="2" t="s">
        <v>118</v>
      </c>
      <c r="Z4241" s="2" t="s">
        <v>28172</v>
      </c>
      <c r="AA4241" s="2">
        <v>-6.7839638239147702</v>
      </c>
      <c r="AB4241" s="2">
        <v>0.157327096870926</v>
      </c>
      <c r="AC4241" s="2">
        <v>5243.7902716973504</v>
      </c>
      <c r="AD4241" s="2">
        <v>3584.7600903387802</v>
      </c>
      <c r="AE4241" s="2">
        <v>5104.80753592162</v>
      </c>
      <c r="AF4241" s="2">
        <v>5208.8900996785997</v>
      </c>
      <c r="AG4241" s="2">
        <v>5267.0348789199097</v>
      </c>
      <c r="AH4241" s="2">
        <v>5029.8311005929399</v>
      </c>
      <c r="AI4241" s="2">
        <v>5435.9937859504798</v>
      </c>
      <c r="AJ4241" s="2">
        <v>5416.1842291205703</v>
      </c>
      <c r="AK4241" s="2">
        <v>3446.1391219473699</v>
      </c>
      <c r="AL4241" s="2">
        <v>3638.43411655924</v>
      </c>
      <c r="AM4241" s="2">
        <v>3571.30320386515</v>
      </c>
      <c r="AN4241" s="2">
        <v>3482.3866259501301</v>
      </c>
      <c r="AO4241" s="2">
        <v>3405.1981499394201</v>
      </c>
      <c r="AP4241" s="2">
        <v>3965.0993237713801</v>
      </c>
    </row>
    <row r="4242" spans="1:42" ht="14.5" x14ac:dyDescent="0.35">
      <c r="A4242" s="2" t="s">
        <v>28173</v>
      </c>
      <c r="B4242" s="2">
        <v>927.28125901106705</v>
      </c>
      <c r="C4242" s="2">
        <v>0.76995000000000002</v>
      </c>
      <c r="D4242" s="2" t="s">
        <v>70</v>
      </c>
      <c r="E4242" s="2" t="s">
        <v>28174</v>
      </c>
      <c r="F4242" s="2">
        <v>211837</v>
      </c>
      <c r="G4242" s="3" t="str">
        <f>HYPERLINK("http://funmeta.oebiotech.com/network/211837", "http://funmeta.oebiotech.com/network/211837")</f>
        <v>http://funmeta.oebiotech.com/network/211837</v>
      </c>
      <c r="H4242" s="2" t="s">
        <v>28175</v>
      </c>
      <c r="I4242" s="2">
        <v>433659</v>
      </c>
      <c r="J4242" s="2"/>
      <c r="K4242" s="2"/>
      <c r="L4242" s="2"/>
      <c r="M4242" s="2"/>
      <c r="N4242" s="2"/>
      <c r="O4242" s="2">
        <v>183812</v>
      </c>
      <c r="P4242" s="2"/>
      <c r="Q4242" s="2" t="s">
        <v>28176</v>
      </c>
      <c r="R4242" s="2" t="s">
        <v>28177</v>
      </c>
      <c r="S4242" s="2" t="s">
        <v>41</v>
      </c>
      <c r="T4242" s="2" t="s">
        <v>41</v>
      </c>
      <c r="U4242" s="2" t="s">
        <v>41</v>
      </c>
      <c r="V4242" s="2" t="s">
        <v>59</v>
      </c>
      <c r="W4242" s="2">
        <v>36.9</v>
      </c>
      <c r="X4242" s="2">
        <v>0</v>
      </c>
      <c r="Y4242" s="2" t="s">
        <v>560</v>
      </c>
      <c r="Z4242" s="2" t="s">
        <v>28178</v>
      </c>
      <c r="AA4242" s="2">
        <v>0.65435769324210802</v>
      </c>
      <c r="AB4242" s="2">
        <v>0.15731044322287499</v>
      </c>
      <c r="AC4242" s="2">
        <v>20816.690348299599</v>
      </c>
      <c r="AD4242" s="2">
        <v>25913.2922866845</v>
      </c>
      <c r="AE4242" s="2">
        <v>35407.409871969801</v>
      </c>
      <c r="AF4242" s="2">
        <v>20164.323648380901</v>
      </c>
      <c r="AG4242" s="2">
        <v>18542.196659063498</v>
      </c>
      <c r="AH4242" s="2">
        <v>16013.898974254</v>
      </c>
      <c r="AI4242" s="2">
        <v>26393.697828674802</v>
      </c>
      <c r="AJ4242" s="2">
        <v>8378.6151074547906</v>
      </c>
      <c r="AK4242" s="2">
        <v>18476.715279641499</v>
      </c>
      <c r="AL4242" s="2">
        <v>27205.638800124401</v>
      </c>
      <c r="AM4242" s="2">
        <v>16833.095306527299</v>
      </c>
      <c r="AN4242" s="2">
        <v>27793.186776447601</v>
      </c>
      <c r="AO4242" s="2">
        <v>28184.915891639401</v>
      </c>
      <c r="AP4242" s="2">
        <v>36986.201665726701</v>
      </c>
    </row>
    <row r="4243" spans="1:42" ht="14.5" x14ac:dyDescent="0.35">
      <c r="A4243" s="2" t="s">
        <v>28179</v>
      </c>
      <c r="B4243" s="2">
        <v>146.09236694629999</v>
      </c>
      <c r="C4243" s="2">
        <v>1.06171666666667</v>
      </c>
      <c r="D4243" s="2" t="s">
        <v>34</v>
      </c>
      <c r="E4243" s="2" t="s">
        <v>28180</v>
      </c>
      <c r="F4243" s="2">
        <v>48113</v>
      </c>
      <c r="G4243" s="3" t="str">
        <f>HYPERLINK("http://funmeta.oebiotech.com/network/48113", "http://funmeta.oebiotech.com/network/48113")</f>
        <v>http://funmeta.oebiotech.com/network/48113</v>
      </c>
      <c r="H4243" s="2" t="s">
        <v>28181</v>
      </c>
      <c r="I4243" s="2">
        <v>4155</v>
      </c>
      <c r="J4243" s="2"/>
      <c r="K4243" s="2">
        <v>15728</v>
      </c>
      <c r="L4243" s="2" t="s">
        <v>28182</v>
      </c>
      <c r="M4243" s="2" t="s">
        <v>12240</v>
      </c>
      <c r="N4243" s="2" t="s">
        <v>12241</v>
      </c>
      <c r="O4243" s="2">
        <v>500</v>
      </c>
      <c r="P4243" s="2" t="s">
        <v>28183</v>
      </c>
      <c r="Q4243" s="2" t="s">
        <v>28184</v>
      </c>
      <c r="R4243" s="2" t="s">
        <v>28185</v>
      </c>
      <c r="S4243" s="2" t="s">
        <v>89</v>
      </c>
      <c r="T4243" s="2" t="s">
        <v>90</v>
      </c>
      <c r="U4243" s="2" t="s">
        <v>99</v>
      </c>
      <c r="V4243" s="2" t="s">
        <v>59</v>
      </c>
      <c r="W4243" s="2">
        <v>38.5</v>
      </c>
      <c r="X4243" s="2">
        <v>0</v>
      </c>
      <c r="Y4243" s="2" t="s">
        <v>394</v>
      </c>
      <c r="Z4243" s="2" t="s">
        <v>28186</v>
      </c>
      <c r="AA4243" s="2">
        <v>-0.248764231819155</v>
      </c>
      <c r="AB4243" s="2">
        <v>0.15728358016847399</v>
      </c>
      <c r="AC4243" s="2">
        <v>10245.6450600144</v>
      </c>
      <c r="AD4243" s="2">
        <v>8389.7910659015397</v>
      </c>
      <c r="AE4243" s="2">
        <v>10657.504751631101</v>
      </c>
      <c r="AF4243" s="2">
        <v>10662.794152221701</v>
      </c>
      <c r="AG4243" s="2">
        <v>9567.7811471012992</v>
      </c>
      <c r="AH4243" s="2">
        <v>9993.3359166581704</v>
      </c>
      <c r="AI4243" s="2">
        <v>9455.2574649463804</v>
      </c>
      <c r="AJ4243" s="2">
        <v>11137.196927527701</v>
      </c>
      <c r="AK4243" s="2">
        <v>8538.2474140255108</v>
      </c>
      <c r="AL4243" s="2">
        <v>8269.0016217706107</v>
      </c>
      <c r="AM4243" s="2">
        <v>8326.2139462351297</v>
      </c>
      <c r="AN4243" s="2">
        <v>8594.9707406261205</v>
      </c>
      <c r="AO4243" s="2">
        <v>8973.8680191135209</v>
      </c>
      <c r="AP4243" s="2">
        <v>7636.4446536383502</v>
      </c>
    </row>
    <row r="4244" spans="1:42" ht="14.5" x14ac:dyDescent="0.35">
      <c r="A4244" s="2" t="s">
        <v>28187</v>
      </c>
      <c r="B4244" s="2">
        <v>481.25708599105599</v>
      </c>
      <c r="C4244" s="2">
        <v>10.835366666666699</v>
      </c>
      <c r="D4244" s="2" t="s">
        <v>70</v>
      </c>
      <c r="E4244" s="2" t="s">
        <v>28188</v>
      </c>
      <c r="F4244" s="2">
        <v>49558</v>
      </c>
      <c r="G4244" s="3" t="str">
        <f>HYPERLINK("http://funmeta.oebiotech.com/network/49558", "http://funmeta.oebiotech.com/network/49558")</f>
        <v>http://funmeta.oebiotech.com/network/49558</v>
      </c>
      <c r="H4244" s="2" t="s">
        <v>28189</v>
      </c>
      <c r="I4244" s="2"/>
      <c r="J4244" s="2"/>
      <c r="K4244" s="2"/>
      <c r="L4244" s="2"/>
      <c r="M4244" s="2"/>
      <c r="N4244" s="2"/>
      <c r="O4244" s="2">
        <v>56947016</v>
      </c>
      <c r="P4244" s="2"/>
      <c r="Q4244" s="2" t="s">
        <v>28190</v>
      </c>
      <c r="R4244" s="2" t="s">
        <v>28191</v>
      </c>
      <c r="S4244" s="2" t="s">
        <v>50</v>
      </c>
      <c r="T4244" s="2" t="s">
        <v>51</v>
      </c>
      <c r="U4244" s="2" t="s">
        <v>273</v>
      </c>
      <c r="V4244" s="2" t="s">
        <v>59</v>
      </c>
      <c r="W4244" s="2">
        <v>38.9</v>
      </c>
      <c r="X4244" s="2">
        <v>0</v>
      </c>
      <c r="Y4244" s="2" t="s">
        <v>408</v>
      </c>
      <c r="Z4244" s="2" t="s">
        <v>28192</v>
      </c>
      <c r="AA4244" s="2">
        <v>-0.245635589809203</v>
      </c>
      <c r="AB4244" s="2">
        <v>0.157216459127031</v>
      </c>
      <c r="AC4244" s="2">
        <v>7059.39073640487</v>
      </c>
      <c r="AD4244" s="2">
        <v>9214.4570057956298</v>
      </c>
      <c r="AE4244" s="2">
        <v>8101.5559069029696</v>
      </c>
      <c r="AF4244" s="2">
        <v>7523.80214945029</v>
      </c>
      <c r="AG4244" s="2">
        <v>7108.1669625329296</v>
      </c>
      <c r="AH4244" s="2">
        <v>6398.4465484595003</v>
      </c>
      <c r="AI4244" s="2">
        <v>6789.7324125977602</v>
      </c>
      <c r="AJ4244" s="2">
        <v>6434.6404384857497</v>
      </c>
      <c r="AK4244" s="2">
        <v>11541.843283512</v>
      </c>
      <c r="AL4244" s="2">
        <v>9380.9747060482005</v>
      </c>
      <c r="AM4244" s="2">
        <v>9414.5501823230097</v>
      </c>
      <c r="AN4244" s="2">
        <v>8499.5903801634395</v>
      </c>
      <c r="AO4244" s="2">
        <v>8514.5328421075301</v>
      </c>
      <c r="AP4244" s="2">
        <v>7935.2506406195998</v>
      </c>
    </row>
    <row r="4245" spans="1:42" ht="14.5" x14ac:dyDescent="0.35">
      <c r="A4245" s="2" t="s">
        <v>28193</v>
      </c>
      <c r="B4245" s="2">
        <v>543.30957457566399</v>
      </c>
      <c r="C4245" s="2">
        <v>4.9783166666666698</v>
      </c>
      <c r="D4245" s="2" t="s">
        <v>34</v>
      </c>
      <c r="E4245" s="2" t="s">
        <v>28194</v>
      </c>
      <c r="F4245" s="2">
        <v>59354</v>
      </c>
      <c r="G4245" s="3" t="str">
        <f>HYPERLINK("http://funmeta.oebiotech.com/network/59354", "http://funmeta.oebiotech.com/network/59354")</f>
        <v>http://funmeta.oebiotech.com/network/59354</v>
      </c>
      <c r="H4245" s="2" t="s">
        <v>28195</v>
      </c>
      <c r="I4245" s="2">
        <v>90769</v>
      </c>
      <c r="J4245" s="2"/>
      <c r="K4245" s="2">
        <v>169308</v>
      </c>
      <c r="L4245" s="2"/>
      <c r="M4245" s="2"/>
      <c r="N4245" s="2"/>
      <c r="O4245" s="2">
        <v>131751780</v>
      </c>
      <c r="P4245" s="2" t="s">
        <v>28196</v>
      </c>
      <c r="Q4245" s="2" t="s">
        <v>28197</v>
      </c>
      <c r="R4245" s="2" t="s">
        <v>28198</v>
      </c>
      <c r="S4245" s="2" t="s">
        <v>50</v>
      </c>
      <c r="T4245" s="2" t="s">
        <v>201</v>
      </c>
      <c r="U4245" s="2" t="s">
        <v>210</v>
      </c>
      <c r="V4245" s="2" t="s">
        <v>59</v>
      </c>
      <c r="W4245" s="2">
        <v>36.200000000000003</v>
      </c>
      <c r="X4245" s="2">
        <v>6.74</v>
      </c>
      <c r="Y4245" s="2" t="s">
        <v>340</v>
      </c>
      <c r="Z4245" s="2" t="s">
        <v>28199</v>
      </c>
      <c r="AA4245" s="2">
        <v>2.63160873792134</v>
      </c>
      <c r="AB4245" s="2">
        <v>0.15720830774307601</v>
      </c>
      <c r="AC4245" s="2">
        <v>813563.22043072002</v>
      </c>
      <c r="AD4245" s="2">
        <v>823477.50617257704</v>
      </c>
      <c r="AE4245" s="2">
        <v>827786.776987319</v>
      </c>
      <c r="AF4245" s="2">
        <v>841797.68053274404</v>
      </c>
      <c r="AG4245" s="2">
        <v>812642.58924034401</v>
      </c>
      <c r="AH4245" s="2">
        <v>851255.90379965201</v>
      </c>
      <c r="AI4245" s="2">
        <v>810236.15627674502</v>
      </c>
      <c r="AJ4245" s="2">
        <v>737660.21574751497</v>
      </c>
      <c r="AK4245" s="2">
        <v>809600.98612239095</v>
      </c>
      <c r="AL4245" s="2">
        <v>799655.01791258506</v>
      </c>
      <c r="AM4245" s="2">
        <v>867328.00719992898</v>
      </c>
      <c r="AN4245" s="2">
        <v>824430.397409798</v>
      </c>
      <c r="AO4245" s="2">
        <v>816540.55204015295</v>
      </c>
      <c r="AP4245" s="2">
        <v>823310.076350605</v>
      </c>
    </row>
    <row r="4246" spans="1:42" ht="14.5" x14ac:dyDescent="0.35">
      <c r="A4246" s="2" t="s">
        <v>28200</v>
      </c>
      <c r="B4246" s="2">
        <v>207.12378142714201</v>
      </c>
      <c r="C4246" s="2">
        <v>5.5897333333333297</v>
      </c>
      <c r="D4246" s="2" t="s">
        <v>34</v>
      </c>
      <c r="E4246" s="2" t="s">
        <v>28201</v>
      </c>
      <c r="F4246" s="2">
        <v>209215</v>
      </c>
      <c r="G4246" s="3" t="str">
        <f>HYPERLINK("http://funmeta.oebiotech.com/network/209215", "http://funmeta.oebiotech.com/network/209215")</f>
        <v>http://funmeta.oebiotech.com/network/209215</v>
      </c>
      <c r="H4246" s="2" t="s">
        <v>28202</v>
      </c>
      <c r="I4246" s="2"/>
      <c r="J4246" s="2"/>
      <c r="K4246" s="2"/>
      <c r="L4246" s="2"/>
      <c r="M4246" s="2"/>
      <c r="N4246" s="2"/>
      <c r="O4246" s="2">
        <v>528366</v>
      </c>
      <c r="P4246" s="2"/>
      <c r="Q4246" s="2" t="s">
        <v>28203</v>
      </c>
      <c r="R4246" s="2" t="s">
        <v>28204</v>
      </c>
      <c r="S4246" s="2" t="s">
        <v>491</v>
      </c>
      <c r="T4246" s="2" t="s">
        <v>2238</v>
      </c>
      <c r="U4246" s="2" t="s">
        <v>2239</v>
      </c>
      <c r="V4246" s="2" t="s">
        <v>59</v>
      </c>
      <c r="W4246" s="2">
        <v>37.4</v>
      </c>
      <c r="X4246" s="2">
        <v>0</v>
      </c>
      <c r="Y4246" s="2" t="s">
        <v>43</v>
      </c>
      <c r="Z4246" s="2" t="s">
        <v>28205</v>
      </c>
      <c r="AA4246" s="2">
        <v>-1.35432493131821</v>
      </c>
      <c r="AB4246" s="2">
        <v>0.15717928694521499</v>
      </c>
      <c r="AC4246" s="2">
        <v>6860.2491539695802</v>
      </c>
      <c r="AD4246" s="2">
        <v>8991.6099515800797</v>
      </c>
      <c r="AE4246" s="2">
        <v>6783.8547057324404</v>
      </c>
      <c r="AF4246" s="2">
        <v>7380.3724082485096</v>
      </c>
      <c r="AG4246" s="2">
        <v>7149.0066710495003</v>
      </c>
      <c r="AH4246" s="2">
        <v>5379.0528261427198</v>
      </c>
      <c r="AI4246" s="2">
        <v>7265.8016168747999</v>
      </c>
      <c r="AJ4246" s="2">
        <v>7203.4066957695004</v>
      </c>
      <c r="AK4246" s="2">
        <v>11173.7727103013</v>
      </c>
      <c r="AL4246" s="2">
        <v>9194.2315933262998</v>
      </c>
      <c r="AM4246" s="2">
        <v>7926.2291588593698</v>
      </c>
      <c r="AN4246" s="2">
        <v>8863.4358220516206</v>
      </c>
      <c r="AO4246" s="2">
        <v>8784.2939560372906</v>
      </c>
      <c r="AP4246" s="2">
        <v>8007.6964689045799</v>
      </c>
    </row>
    <row r="4247" spans="1:42" ht="14.5" x14ac:dyDescent="0.35">
      <c r="A4247" s="2" t="s">
        <v>28206</v>
      </c>
      <c r="B4247" s="2">
        <v>231.17019140018701</v>
      </c>
      <c r="C4247" s="2">
        <v>3.6785666666666699</v>
      </c>
      <c r="D4247" s="2" t="s">
        <v>34</v>
      </c>
      <c r="E4247" s="2" t="s">
        <v>28207</v>
      </c>
      <c r="F4247" s="2">
        <v>8969</v>
      </c>
      <c r="G4247" s="3" t="str">
        <f>HYPERLINK("http://funmeta.oebiotech.com/network/8969", "http://funmeta.oebiotech.com/network/8969")</f>
        <v>http://funmeta.oebiotech.com/network/8969</v>
      </c>
      <c r="H4247" s="2"/>
      <c r="I4247" s="2">
        <v>36736</v>
      </c>
      <c r="J4247" s="2" t="s">
        <v>28208</v>
      </c>
      <c r="K4247" s="2">
        <v>29644</v>
      </c>
      <c r="L4247" s="2" t="s">
        <v>28209</v>
      </c>
      <c r="M4247" s="2" t="s">
        <v>28210</v>
      </c>
      <c r="N4247" s="2" t="s">
        <v>28211</v>
      </c>
      <c r="O4247" s="2">
        <v>443437</v>
      </c>
      <c r="P4247" s="2" t="s">
        <v>28212</v>
      </c>
      <c r="Q4247" s="2" t="s">
        <v>28213</v>
      </c>
      <c r="R4247" s="2" t="s">
        <v>28214</v>
      </c>
      <c r="S4247" s="2" t="s">
        <v>89</v>
      </c>
      <c r="T4247" s="2" t="s">
        <v>90</v>
      </c>
      <c r="U4247" s="2" t="s">
        <v>99</v>
      </c>
      <c r="V4247" s="2" t="s">
        <v>59</v>
      </c>
      <c r="W4247" s="2">
        <v>38.700000000000003</v>
      </c>
      <c r="X4247" s="2">
        <v>0</v>
      </c>
      <c r="Y4247" s="2" t="s">
        <v>43</v>
      </c>
      <c r="Z4247" s="2" t="s">
        <v>28215</v>
      </c>
      <c r="AA4247" s="2">
        <v>-0.598689700003326</v>
      </c>
      <c r="AB4247" s="2">
        <v>0.15714876694461999</v>
      </c>
      <c r="AC4247" s="2">
        <v>2561.7376573577199</v>
      </c>
      <c r="AD4247" s="2">
        <v>882.88794368579204</v>
      </c>
      <c r="AE4247" s="2">
        <v>3089.8679262109599</v>
      </c>
      <c r="AF4247" s="2">
        <v>2411.24572731426</v>
      </c>
      <c r="AG4247" s="2">
        <v>2702.39371806178</v>
      </c>
      <c r="AH4247" s="2">
        <v>2457.2924614889698</v>
      </c>
      <c r="AI4247" s="2">
        <v>2235.0198086064502</v>
      </c>
      <c r="AJ4247" s="2">
        <v>2474.6063024639002</v>
      </c>
      <c r="AK4247" s="2">
        <v>636.90510950713099</v>
      </c>
      <c r="AL4247" s="2">
        <v>647.57163793005498</v>
      </c>
      <c r="AM4247" s="2">
        <v>1070.99423713236</v>
      </c>
      <c r="AN4247" s="2">
        <v>987.74092789242002</v>
      </c>
      <c r="AO4247" s="2">
        <v>860.51142375280597</v>
      </c>
      <c r="AP4247" s="2">
        <v>1093.60432589998</v>
      </c>
    </row>
    <row r="4248" spans="1:42" ht="14.5" x14ac:dyDescent="0.35">
      <c r="A4248" s="2" t="s">
        <v>28216</v>
      </c>
      <c r="B4248" s="2">
        <v>583.10383498818305</v>
      </c>
      <c r="C4248" s="2">
        <v>3.4826666666666699</v>
      </c>
      <c r="D4248" s="2" t="s">
        <v>70</v>
      </c>
      <c r="E4248" s="2" t="s">
        <v>28217</v>
      </c>
      <c r="F4248" s="2">
        <v>266838</v>
      </c>
      <c r="G4248" s="3" t="str">
        <f>HYPERLINK("http://funmeta.oebiotech.com/network/266838", "http://funmeta.oebiotech.com/network/266838")</f>
        <v>http://funmeta.oebiotech.com/network/266838</v>
      </c>
      <c r="H4248" s="2"/>
      <c r="I4248" s="2">
        <v>44079</v>
      </c>
      <c r="J4248" s="2"/>
      <c r="K4248" s="2"/>
      <c r="L4248" s="2"/>
      <c r="M4248" s="2"/>
      <c r="N4248" s="2"/>
      <c r="O4248" s="2">
        <v>6710740</v>
      </c>
      <c r="P4248" s="2" t="s">
        <v>28218</v>
      </c>
      <c r="Q4248" s="2" t="s">
        <v>28219</v>
      </c>
      <c r="R4248" s="2" t="s">
        <v>28220</v>
      </c>
      <c r="S4248" s="2" t="s">
        <v>89</v>
      </c>
      <c r="T4248" s="2" t="s">
        <v>90</v>
      </c>
      <c r="U4248" s="2" t="s">
        <v>1248</v>
      </c>
      <c r="V4248" s="2" t="s">
        <v>59</v>
      </c>
      <c r="W4248" s="2">
        <v>37.200000000000003</v>
      </c>
      <c r="X4248" s="2">
        <v>0</v>
      </c>
      <c r="Y4248" s="2" t="s">
        <v>118</v>
      </c>
      <c r="Z4248" s="2" t="s">
        <v>28221</v>
      </c>
      <c r="AA4248" s="2">
        <v>4.3681592744140403</v>
      </c>
      <c r="AB4248" s="2">
        <v>0.15708576008900901</v>
      </c>
      <c r="AC4248" s="2">
        <v>3480.2538000366199</v>
      </c>
      <c r="AD4248" s="2">
        <v>5598.9788772826096</v>
      </c>
      <c r="AE4248" s="2">
        <v>2884.6459197848098</v>
      </c>
      <c r="AF4248" s="2">
        <v>2982.54597063969</v>
      </c>
      <c r="AG4248" s="2">
        <v>3268.6646373814701</v>
      </c>
      <c r="AH4248" s="2">
        <v>4256.81104306</v>
      </c>
      <c r="AI4248" s="2">
        <v>4021.9388704243602</v>
      </c>
      <c r="AJ4248" s="2">
        <v>3466.9163589293898</v>
      </c>
      <c r="AK4248" s="2">
        <v>5520.25434708392</v>
      </c>
      <c r="AL4248" s="2">
        <v>3930.6126599568502</v>
      </c>
      <c r="AM4248" s="2">
        <v>7174.8503133416298</v>
      </c>
      <c r="AN4248" s="2">
        <v>6884.7172568963997</v>
      </c>
      <c r="AO4248" s="2">
        <v>4307.0187287141898</v>
      </c>
      <c r="AP4248" s="2">
        <v>5776.4199577026802</v>
      </c>
    </row>
    <row r="4249" spans="1:42" ht="14.5" x14ac:dyDescent="0.35">
      <c r="A4249" s="2" t="s">
        <v>28222</v>
      </c>
      <c r="B4249" s="2">
        <v>481.18936803850602</v>
      </c>
      <c r="C4249" s="2">
        <v>2.20143333333333</v>
      </c>
      <c r="D4249" s="2" t="s">
        <v>34</v>
      </c>
      <c r="E4249" s="2" t="s">
        <v>28223</v>
      </c>
      <c r="F4249" s="2">
        <v>82790</v>
      </c>
      <c r="G4249" s="3" t="str">
        <f>HYPERLINK("http://funmeta.oebiotech.com/network/82790", "http://funmeta.oebiotech.com/network/82790")</f>
        <v>http://funmeta.oebiotech.com/network/82790</v>
      </c>
      <c r="H4249" s="2" t="s">
        <v>28224</v>
      </c>
      <c r="I4249" s="2"/>
      <c r="J4249" s="2"/>
      <c r="K4249" s="2"/>
      <c r="L4249" s="2"/>
      <c r="M4249" s="2"/>
      <c r="N4249" s="2"/>
      <c r="O4249" s="2">
        <v>29918986</v>
      </c>
      <c r="P4249" s="2"/>
      <c r="Q4249" s="2" t="s">
        <v>28225</v>
      </c>
      <c r="R4249" s="2" t="s">
        <v>28226</v>
      </c>
      <c r="S4249" s="2" t="s">
        <v>491</v>
      </c>
      <c r="T4249" s="2" t="s">
        <v>4517</v>
      </c>
      <c r="U4249" s="2" t="s">
        <v>4518</v>
      </c>
      <c r="V4249" s="2" t="s">
        <v>42</v>
      </c>
      <c r="W4249" s="2">
        <v>45.9</v>
      </c>
      <c r="X4249" s="2">
        <v>46.2</v>
      </c>
      <c r="Y4249" s="2" t="s">
        <v>43</v>
      </c>
      <c r="Z4249" s="2" t="s">
        <v>28227</v>
      </c>
      <c r="AA4249" s="2">
        <v>-4.7017623142053102</v>
      </c>
      <c r="AB4249" s="2">
        <v>0.15690839443174101</v>
      </c>
      <c r="AC4249" s="2">
        <v>63937.111998526598</v>
      </c>
      <c r="AD4249" s="2">
        <v>60609.761625751897</v>
      </c>
      <c r="AE4249" s="2">
        <v>63151.185762114597</v>
      </c>
      <c r="AF4249" s="2">
        <v>63209.305530922102</v>
      </c>
      <c r="AG4249" s="2">
        <v>64456.883486233302</v>
      </c>
      <c r="AH4249" s="2">
        <v>58708.591158089897</v>
      </c>
      <c r="AI4249" s="2">
        <v>67441.241401095307</v>
      </c>
      <c r="AJ4249" s="2">
        <v>66655.464652704395</v>
      </c>
      <c r="AK4249" s="2">
        <v>61321.0213908933</v>
      </c>
      <c r="AL4249" s="2">
        <v>59153.010094292498</v>
      </c>
      <c r="AM4249" s="2">
        <v>59496.567778522498</v>
      </c>
      <c r="AN4249" s="2">
        <v>58140.485842468297</v>
      </c>
      <c r="AO4249" s="2">
        <v>58421.1721502531</v>
      </c>
      <c r="AP4249" s="2">
        <v>67126.312498081796</v>
      </c>
    </row>
    <row r="4250" spans="1:42" ht="14.5" x14ac:dyDescent="0.35">
      <c r="A4250" s="2" t="s">
        <v>28228</v>
      </c>
      <c r="B4250" s="2">
        <v>393.22419216596302</v>
      </c>
      <c r="C4250" s="2">
        <v>4.3453166666666698</v>
      </c>
      <c r="D4250" s="2" t="s">
        <v>34</v>
      </c>
      <c r="E4250" s="2" t="s">
        <v>28229</v>
      </c>
      <c r="F4250" s="2">
        <v>4557</v>
      </c>
      <c r="G4250" s="3" t="str">
        <f>HYPERLINK("http://funmeta.oebiotech.com/network/4557", "http://funmeta.oebiotech.com/network/4557")</f>
        <v>http://funmeta.oebiotech.com/network/4557</v>
      </c>
      <c r="H4250" s="2"/>
      <c r="I4250" s="2"/>
      <c r="J4250" s="2" t="s">
        <v>28230</v>
      </c>
      <c r="K4250" s="2"/>
      <c r="L4250" s="2"/>
      <c r="M4250" s="2"/>
      <c r="N4250" s="2"/>
      <c r="O4250" s="2">
        <v>126457318</v>
      </c>
      <c r="P4250" s="2"/>
      <c r="Q4250" s="2" t="s">
        <v>28231</v>
      </c>
      <c r="R4250" s="2" t="s">
        <v>28232</v>
      </c>
      <c r="S4250" s="2" t="s">
        <v>79</v>
      </c>
      <c r="T4250" s="2" t="s">
        <v>80</v>
      </c>
      <c r="U4250" s="2" t="s">
        <v>81</v>
      </c>
      <c r="V4250" s="2" t="s">
        <v>59</v>
      </c>
      <c r="W4250" s="2">
        <v>41.1</v>
      </c>
      <c r="X4250" s="2">
        <v>16.899999999999999</v>
      </c>
      <c r="Y4250" s="2" t="s">
        <v>323</v>
      </c>
      <c r="Z4250" s="2" t="s">
        <v>11137</v>
      </c>
      <c r="AA4250" s="2">
        <v>-1.53232663561555</v>
      </c>
      <c r="AB4250" s="2">
        <v>0.156692625436571</v>
      </c>
      <c r="AC4250" s="2">
        <v>300429.36339756002</v>
      </c>
      <c r="AD4250" s="2">
        <v>291862.72039029398</v>
      </c>
      <c r="AE4250" s="2">
        <v>288691.70099723001</v>
      </c>
      <c r="AF4250" s="2">
        <v>275482.92796255101</v>
      </c>
      <c r="AG4250" s="2">
        <v>309979.03214897797</v>
      </c>
      <c r="AH4250" s="2">
        <v>283162.98520921502</v>
      </c>
      <c r="AI4250" s="2">
        <v>307247.214764398</v>
      </c>
      <c r="AJ4250" s="2">
        <v>338012.31930298702</v>
      </c>
      <c r="AK4250" s="2">
        <v>282222.166406415</v>
      </c>
      <c r="AL4250" s="2">
        <v>314696.213834105</v>
      </c>
      <c r="AM4250" s="2">
        <v>267842.17160113901</v>
      </c>
      <c r="AN4250" s="2">
        <v>309236.66398314398</v>
      </c>
      <c r="AO4250" s="2">
        <v>317485.09453829902</v>
      </c>
      <c r="AP4250" s="2">
        <v>259694.011978661</v>
      </c>
    </row>
    <row r="4251" spans="1:42" ht="14.5" x14ac:dyDescent="0.35">
      <c r="A4251" s="2" t="s">
        <v>28233</v>
      </c>
      <c r="B4251" s="2">
        <v>353.16175640222599</v>
      </c>
      <c r="C4251" s="2">
        <v>9.9588999999999999</v>
      </c>
      <c r="D4251" s="2" t="s">
        <v>34</v>
      </c>
      <c r="E4251" s="2" t="s">
        <v>28234</v>
      </c>
      <c r="F4251" s="2">
        <v>55086</v>
      </c>
      <c r="G4251" s="3" t="str">
        <f>HYPERLINK("http://funmeta.oebiotech.com/network/55086", "http://funmeta.oebiotech.com/network/55086")</f>
        <v>http://funmeta.oebiotech.com/network/55086</v>
      </c>
      <c r="H4251" s="2" t="s">
        <v>28235</v>
      </c>
      <c r="I4251" s="2">
        <v>86843</v>
      </c>
      <c r="J4251" s="2"/>
      <c r="K4251" s="2"/>
      <c r="L4251" s="2"/>
      <c r="M4251" s="2"/>
      <c r="N4251" s="2"/>
      <c r="O4251" s="2">
        <v>626805</v>
      </c>
      <c r="P4251" s="2" t="s">
        <v>28236</v>
      </c>
      <c r="Q4251" s="2" t="s">
        <v>28237</v>
      </c>
      <c r="R4251" s="2" t="s">
        <v>28238</v>
      </c>
      <c r="S4251" s="2" t="s">
        <v>491</v>
      </c>
      <c r="T4251" s="2" t="s">
        <v>2184</v>
      </c>
      <c r="U4251" s="2" t="s">
        <v>3838</v>
      </c>
      <c r="V4251" s="2" t="s">
        <v>59</v>
      </c>
      <c r="W4251" s="2">
        <v>36.1</v>
      </c>
      <c r="X4251" s="2">
        <v>0</v>
      </c>
      <c r="Y4251" s="2" t="s">
        <v>340</v>
      </c>
      <c r="Z4251" s="2" t="s">
        <v>28239</v>
      </c>
      <c r="AA4251" s="2">
        <v>-2.6408714962571298</v>
      </c>
      <c r="AB4251" s="2">
        <v>0.156530196836458</v>
      </c>
      <c r="AC4251" s="2">
        <v>4067.6535350716099</v>
      </c>
      <c r="AD4251" s="2">
        <v>2316.8110754549498</v>
      </c>
      <c r="AE4251" s="2">
        <v>3911.1313135870901</v>
      </c>
      <c r="AF4251" s="2">
        <v>4142.6652481780402</v>
      </c>
      <c r="AG4251" s="2">
        <v>4280.0347887281096</v>
      </c>
      <c r="AH4251" s="2">
        <v>5066.9582110972297</v>
      </c>
      <c r="AI4251" s="2">
        <v>3516.43776479091</v>
      </c>
      <c r="AJ4251" s="2">
        <v>3488.6938840483099</v>
      </c>
      <c r="AK4251" s="2">
        <v>2209.4476181710902</v>
      </c>
      <c r="AL4251" s="2">
        <v>2238.7851588942199</v>
      </c>
      <c r="AM4251" s="2">
        <v>2333.2227756143102</v>
      </c>
      <c r="AN4251" s="2">
        <v>2209.2294412854599</v>
      </c>
      <c r="AO4251" s="2">
        <v>2368.9653835568602</v>
      </c>
      <c r="AP4251" s="2">
        <v>2541.2160752077298</v>
      </c>
    </row>
    <row r="4252" spans="1:42" ht="14.5" x14ac:dyDescent="0.35">
      <c r="A4252" s="2" t="s">
        <v>28240</v>
      </c>
      <c r="B4252" s="2">
        <v>409.105804402226</v>
      </c>
      <c r="C4252" s="2">
        <v>5.3391000000000002</v>
      </c>
      <c r="D4252" s="2" t="s">
        <v>70</v>
      </c>
      <c r="E4252" s="2" t="s">
        <v>28241</v>
      </c>
      <c r="F4252" s="2">
        <v>53156</v>
      </c>
      <c r="G4252" s="3" t="str">
        <f>HYPERLINK("http://funmeta.oebiotech.com/network/53156", "http://funmeta.oebiotech.com/network/53156")</f>
        <v>http://funmeta.oebiotech.com/network/53156</v>
      </c>
      <c r="H4252" s="2" t="s">
        <v>28242</v>
      </c>
      <c r="I4252" s="2">
        <v>1393</v>
      </c>
      <c r="J4252" s="2"/>
      <c r="K4252" s="2">
        <v>3213</v>
      </c>
      <c r="L4252" s="2" t="s">
        <v>28243</v>
      </c>
      <c r="M4252" s="2"/>
      <c r="N4252" s="2"/>
      <c r="O4252" s="2">
        <v>2471</v>
      </c>
      <c r="P4252" s="2" t="s">
        <v>28244</v>
      </c>
      <c r="Q4252" s="2" t="s">
        <v>28245</v>
      </c>
      <c r="R4252" s="2" t="s">
        <v>28246</v>
      </c>
      <c r="S4252" s="2" t="s">
        <v>148</v>
      </c>
      <c r="T4252" s="2" t="s">
        <v>149</v>
      </c>
      <c r="U4252" s="2" t="s">
        <v>5024</v>
      </c>
      <c r="V4252" s="2" t="s">
        <v>59</v>
      </c>
      <c r="W4252" s="2">
        <v>36.1</v>
      </c>
      <c r="X4252" s="2">
        <v>0</v>
      </c>
      <c r="Y4252" s="2" t="s">
        <v>408</v>
      </c>
      <c r="Z4252" s="2" t="s">
        <v>28247</v>
      </c>
      <c r="AA4252" s="2">
        <v>-4.6448047543016298</v>
      </c>
      <c r="AB4252" s="2">
        <v>0.15628257873847701</v>
      </c>
      <c r="AC4252" s="2">
        <v>2657.92604203358</v>
      </c>
      <c r="AD4252" s="2">
        <v>182.22557968058001</v>
      </c>
      <c r="AE4252" s="2">
        <v>4220.9797232093997</v>
      </c>
      <c r="AF4252" s="2">
        <v>2243.6694630470602</v>
      </c>
      <c r="AG4252" s="2">
        <v>6587.8664104794398</v>
      </c>
      <c r="AH4252" s="2">
        <v>1152.1031701142699</v>
      </c>
      <c r="AI4252" s="2">
        <v>784.60349037395804</v>
      </c>
      <c r="AJ4252" s="2">
        <v>958.33399497737003</v>
      </c>
      <c r="AK4252" s="2">
        <v>277.00960757755303</v>
      </c>
      <c r="AL4252" s="2">
        <v>633.52460516864198</v>
      </c>
      <c r="AM4252" s="2">
        <v>2.7106294003980101E-5</v>
      </c>
      <c r="AN4252" s="2">
        <v>182.81918401839999</v>
      </c>
      <c r="AO4252" s="2">
        <v>2.7106294003980101E-5</v>
      </c>
      <c r="AP4252" s="2">
        <v>2.7106294003980101E-5</v>
      </c>
    </row>
    <row r="4253" spans="1:42" ht="14.5" x14ac:dyDescent="0.35">
      <c r="A4253" s="2" t="s">
        <v>28248</v>
      </c>
      <c r="B4253" s="2">
        <v>233.14929038445399</v>
      </c>
      <c r="C4253" s="2">
        <v>1.3287</v>
      </c>
      <c r="D4253" s="2" t="s">
        <v>34</v>
      </c>
      <c r="E4253" s="2" t="s">
        <v>28249</v>
      </c>
      <c r="F4253" s="2">
        <v>8386</v>
      </c>
      <c r="G4253" s="3" t="str">
        <f>HYPERLINK("http://funmeta.oebiotech.com/network/8386", "http://funmeta.oebiotech.com/network/8386")</f>
        <v>http://funmeta.oebiotech.com/network/8386</v>
      </c>
      <c r="H4253" s="2" t="s">
        <v>28250</v>
      </c>
      <c r="I4253" s="2"/>
      <c r="J4253" s="2" t="s">
        <v>28251</v>
      </c>
      <c r="K4253" s="2">
        <v>86076</v>
      </c>
      <c r="L4253" s="2"/>
      <c r="M4253" s="2"/>
      <c r="N4253" s="2"/>
      <c r="O4253" s="2">
        <v>53481611</v>
      </c>
      <c r="P4253" s="2"/>
      <c r="Q4253" s="2" t="s">
        <v>28252</v>
      </c>
      <c r="R4253" s="2" t="s">
        <v>28253</v>
      </c>
      <c r="S4253" s="2" t="s">
        <v>50</v>
      </c>
      <c r="T4253" s="2" t="s">
        <v>229</v>
      </c>
      <c r="U4253" s="2" t="s">
        <v>1914</v>
      </c>
      <c r="V4253" s="2" t="s">
        <v>59</v>
      </c>
      <c r="W4253" s="2">
        <v>38.5</v>
      </c>
      <c r="X4253" s="2">
        <v>0</v>
      </c>
      <c r="Y4253" s="2" t="s">
        <v>43</v>
      </c>
      <c r="Z4253" s="2" t="s">
        <v>28254</v>
      </c>
      <c r="AA4253" s="2">
        <v>-1.3628651794009701</v>
      </c>
      <c r="AB4253" s="2">
        <v>0.15627957207350501</v>
      </c>
      <c r="AC4253" s="2">
        <v>2756.5416662656398</v>
      </c>
      <c r="AD4253" s="2">
        <v>1093.8811037642399</v>
      </c>
      <c r="AE4253" s="2">
        <v>3222.5529193869102</v>
      </c>
      <c r="AF4253" s="2">
        <v>2507.30048172648</v>
      </c>
      <c r="AG4253" s="2">
        <v>2438.7068278811298</v>
      </c>
      <c r="AH4253" s="2">
        <v>2765.47581366963</v>
      </c>
      <c r="AI4253" s="2">
        <v>2484.8711600023398</v>
      </c>
      <c r="AJ4253" s="2">
        <v>3120.34279492735</v>
      </c>
      <c r="AK4253" s="2">
        <v>1020.31552587013</v>
      </c>
      <c r="AL4253" s="2">
        <v>1240.7914609782699</v>
      </c>
      <c r="AM4253" s="2">
        <v>1119.3434923612399</v>
      </c>
      <c r="AN4253" s="2">
        <v>1212.4382954432101</v>
      </c>
      <c r="AO4253" s="2">
        <v>1035.9367703023099</v>
      </c>
      <c r="AP4253" s="2">
        <v>934.46107763028999</v>
      </c>
    </row>
    <row r="4254" spans="1:42" ht="14.5" x14ac:dyDescent="0.35">
      <c r="A4254" s="2" t="s">
        <v>28255</v>
      </c>
      <c r="B4254" s="2">
        <v>447.12942639389303</v>
      </c>
      <c r="C4254" s="2">
        <v>4.8087833333333299</v>
      </c>
      <c r="D4254" s="2" t="s">
        <v>70</v>
      </c>
      <c r="E4254" s="2" t="s">
        <v>28256</v>
      </c>
      <c r="F4254" s="2">
        <v>266785</v>
      </c>
      <c r="G4254" s="3" t="str">
        <f>HYPERLINK("http://funmeta.oebiotech.com/network/266785", "http://funmeta.oebiotech.com/network/266785")</f>
        <v>http://funmeta.oebiotech.com/network/266785</v>
      </c>
      <c r="H4254" s="2"/>
      <c r="I4254" s="2">
        <v>43967</v>
      </c>
      <c r="J4254" s="2"/>
      <c r="K4254" s="2"/>
      <c r="L4254" s="2"/>
      <c r="M4254" s="2"/>
      <c r="N4254" s="2"/>
      <c r="O4254" s="2">
        <v>3940691</v>
      </c>
      <c r="P4254" s="2" t="s">
        <v>28257</v>
      </c>
      <c r="Q4254" s="2" t="s">
        <v>28258</v>
      </c>
      <c r="R4254" s="2" t="s">
        <v>28259</v>
      </c>
      <c r="S4254" s="2" t="s">
        <v>148</v>
      </c>
      <c r="T4254" s="2" t="s">
        <v>149</v>
      </c>
      <c r="U4254" s="2" t="s">
        <v>1593</v>
      </c>
      <c r="V4254" s="2" t="s">
        <v>59</v>
      </c>
      <c r="W4254" s="2">
        <v>39.5</v>
      </c>
      <c r="X4254" s="2">
        <v>0</v>
      </c>
      <c r="Y4254" s="2" t="s">
        <v>560</v>
      </c>
      <c r="Z4254" s="2" t="s">
        <v>22448</v>
      </c>
      <c r="AA4254" s="2">
        <v>-0.54478745565199405</v>
      </c>
      <c r="AB4254" s="2">
        <v>0.15613377951261101</v>
      </c>
      <c r="AC4254" s="2">
        <v>21429.761122590498</v>
      </c>
      <c r="AD4254" s="2">
        <v>18462.175512913</v>
      </c>
      <c r="AE4254" s="2">
        <v>23704.530378420401</v>
      </c>
      <c r="AF4254" s="2">
        <v>21246.093413369501</v>
      </c>
      <c r="AG4254" s="2">
        <v>21063.934200522501</v>
      </c>
      <c r="AH4254" s="2">
        <v>20646.5374629629</v>
      </c>
      <c r="AI4254" s="2">
        <v>18545.008338478499</v>
      </c>
      <c r="AJ4254" s="2">
        <v>23372.462941789199</v>
      </c>
      <c r="AK4254" s="2">
        <v>24592.2279526934</v>
      </c>
      <c r="AL4254" s="2">
        <v>18157.771881884699</v>
      </c>
      <c r="AM4254" s="2">
        <v>15982.477740288799</v>
      </c>
      <c r="AN4254" s="2">
        <v>16843.4877858129</v>
      </c>
      <c r="AO4254" s="2">
        <v>18652.873771570499</v>
      </c>
      <c r="AP4254" s="2">
        <v>16544.213945227701</v>
      </c>
    </row>
    <row r="4255" spans="1:42" ht="14.5" x14ac:dyDescent="0.35">
      <c r="A4255" s="2" t="s">
        <v>28260</v>
      </c>
      <c r="B4255" s="2">
        <v>336.03754164073501</v>
      </c>
      <c r="C4255" s="2">
        <v>0.93389999999999995</v>
      </c>
      <c r="D4255" s="2" t="s">
        <v>34</v>
      </c>
      <c r="E4255" s="2" t="s">
        <v>28261</v>
      </c>
      <c r="F4255" s="2">
        <v>211875</v>
      </c>
      <c r="G4255" s="3" t="str">
        <f>HYPERLINK("http://funmeta.oebiotech.com/network/211875", "http://funmeta.oebiotech.com/network/211875")</f>
        <v>http://funmeta.oebiotech.com/network/211875</v>
      </c>
      <c r="H4255" s="2" t="s">
        <v>28262</v>
      </c>
      <c r="I4255" s="2"/>
      <c r="J4255" s="2"/>
      <c r="K4255" s="2"/>
      <c r="L4255" s="2"/>
      <c r="M4255" s="2"/>
      <c r="N4255" s="2"/>
      <c r="O4255" s="2"/>
      <c r="P4255" s="2"/>
      <c r="Q4255" s="2" t="s">
        <v>28263</v>
      </c>
      <c r="R4255" s="2" t="s">
        <v>28264</v>
      </c>
      <c r="S4255" s="2" t="s">
        <v>491</v>
      </c>
      <c r="T4255" s="2" t="s">
        <v>3519</v>
      </c>
      <c r="U4255" s="2" t="s">
        <v>7268</v>
      </c>
      <c r="V4255" s="2" t="s">
        <v>59</v>
      </c>
      <c r="W4255" s="2">
        <v>36.4</v>
      </c>
      <c r="X4255" s="2">
        <v>0</v>
      </c>
      <c r="Y4255" s="2" t="s">
        <v>340</v>
      </c>
      <c r="Z4255" s="2" t="s">
        <v>28265</v>
      </c>
      <c r="AA4255" s="2">
        <v>2.64897824514934</v>
      </c>
      <c r="AB4255" s="2">
        <v>0.15588488579621099</v>
      </c>
      <c r="AC4255" s="2">
        <v>18697.168263516</v>
      </c>
      <c r="AD4255" s="2">
        <v>21338.654760911199</v>
      </c>
      <c r="AE4255" s="2">
        <v>17084.187407082802</v>
      </c>
      <c r="AF4255" s="2">
        <v>22830.069682569399</v>
      </c>
      <c r="AG4255" s="2">
        <v>16608.9302327164</v>
      </c>
      <c r="AH4255" s="2">
        <v>19710.1101820406</v>
      </c>
      <c r="AI4255" s="2">
        <v>17476.924415425201</v>
      </c>
      <c r="AJ4255" s="2">
        <v>18472.7876612613</v>
      </c>
      <c r="AK4255" s="2">
        <v>22971.699467550301</v>
      </c>
      <c r="AL4255" s="2">
        <v>20387.863946246402</v>
      </c>
      <c r="AM4255" s="2">
        <v>20610.5247684151</v>
      </c>
      <c r="AN4255" s="2">
        <v>21084.2813830462</v>
      </c>
      <c r="AO4255" s="2">
        <v>23077.582091075699</v>
      </c>
      <c r="AP4255" s="2">
        <v>19899.9769091337</v>
      </c>
    </row>
    <row r="4256" spans="1:42" ht="14.5" x14ac:dyDescent="0.35">
      <c r="A4256" s="2" t="s">
        <v>28266</v>
      </c>
      <c r="B4256" s="2">
        <v>537.08612150656904</v>
      </c>
      <c r="C4256" s="2">
        <v>1.37086666666667</v>
      </c>
      <c r="D4256" s="2" t="s">
        <v>70</v>
      </c>
      <c r="E4256" s="2" t="s">
        <v>28267</v>
      </c>
      <c r="F4256" s="2">
        <v>34972</v>
      </c>
      <c r="G4256" s="3" t="str">
        <f>HYPERLINK("http://funmeta.oebiotech.com/network/34972", "http://funmeta.oebiotech.com/network/34972")</f>
        <v>http://funmeta.oebiotech.com/network/34972</v>
      </c>
      <c r="H4256" s="2"/>
      <c r="I4256" s="2">
        <v>321523</v>
      </c>
      <c r="J4256" s="2" t="s">
        <v>28268</v>
      </c>
      <c r="K4256" s="2">
        <v>144311</v>
      </c>
      <c r="L4256" s="2"/>
      <c r="M4256" s="2"/>
      <c r="N4256" s="2"/>
      <c r="O4256" s="2">
        <v>73071</v>
      </c>
      <c r="P4256" s="2"/>
      <c r="Q4256" s="2" t="s">
        <v>28269</v>
      </c>
      <c r="R4256" s="2" t="s">
        <v>28270</v>
      </c>
      <c r="S4256" s="2" t="s">
        <v>148</v>
      </c>
      <c r="T4256" s="2" t="s">
        <v>6068</v>
      </c>
      <c r="U4256" s="2" t="s">
        <v>6069</v>
      </c>
      <c r="V4256" s="2" t="s">
        <v>59</v>
      </c>
      <c r="W4256" s="2">
        <v>39.9</v>
      </c>
      <c r="X4256" s="2">
        <v>20</v>
      </c>
      <c r="Y4256" s="2" t="s">
        <v>118</v>
      </c>
      <c r="Z4256" s="2" t="s">
        <v>28271</v>
      </c>
      <c r="AA4256" s="2">
        <v>6.3208120013712801</v>
      </c>
      <c r="AB4256" s="2">
        <v>0.15571525703504299</v>
      </c>
      <c r="AC4256" s="2">
        <v>25870.664689042002</v>
      </c>
      <c r="AD4256" s="2">
        <v>28839.942144238099</v>
      </c>
      <c r="AE4256" s="2">
        <v>26633.632369886</v>
      </c>
      <c r="AF4256" s="2">
        <v>25725.369327325399</v>
      </c>
      <c r="AG4256" s="2">
        <v>30642.668333860402</v>
      </c>
      <c r="AH4256" s="2">
        <v>21530.712346110398</v>
      </c>
      <c r="AI4256" s="2">
        <v>25421.125145077898</v>
      </c>
      <c r="AJ4256" s="2">
        <v>25270.480611991599</v>
      </c>
      <c r="AK4256" s="2">
        <v>26567.059551626899</v>
      </c>
      <c r="AL4256" s="2">
        <v>30273.413072947998</v>
      </c>
      <c r="AM4256" s="2">
        <v>26818.682361057599</v>
      </c>
      <c r="AN4256" s="2">
        <v>31045.768666738299</v>
      </c>
      <c r="AO4256" s="2">
        <v>30784.806069607901</v>
      </c>
      <c r="AP4256" s="2">
        <v>27549.923143450102</v>
      </c>
    </row>
    <row r="4257" spans="1:42" ht="14.5" x14ac:dyDescent="0.35">
      <c r="A4257" s="2" t="s">
        <v>28272</v>
      </c>
      <c r="B4257" s="2">
        <v>345.07427732277898</v>
      </c>
      <c r="C4257" s="2">
        <v>4.9511166666666702</v>
      </c>
      <c r="D4257" s="2" t="s">
        <v>70</v>
      </c>
      <c r="E4257" s="2" t="s">
        <v>28273</v>
      </c>
      <c r="F4257" s="2">
        <v>64885</v>
      </c>
      <c r="G4257" s="3" t="str">
        <f>HYPERLINK("http://funmeta.oebiotech.com/network/64885", "http://funmeta.oebiotech.com/network/64885")</f>
        <v>http://funmeta.oebiotech.com/network/64885</v>
      </c>
      <c r="H4257" s="2" t="s">
        <v>28274</v>
      </c>
      <c r="I4257" s="2">
        <v>2870</v>
      </c>
      <c r="J4257" s="2"/>
      <c r="K4257" s="2"/>
      <c r="L4257" s="2"/>
      <c r="M4257" s="2"/>
      <c r="N4257" s="2"/>
      <c r="O4257" s="2">
        <v>159651</v>
      </c>
      <c r="P4257" s="2" t="s">
        <v>28275</v>
      </c>
      <c r="Q4257" s="2" t="s">
        <v>28276</v>
      </c>
      <c r="R4257" s="2" t="s">
        <v>28277</v>
      </c>
      <c r="S4257" s="2" t="s">
        <v>148</v>
      </c>
      <c r="T4257" s="2" t="s">
        <v>149</v>
      </c>
      <c r="U4257" s="2" t="s">
        <v>4282</v>
      </c>
      <c r="V4257" s="2" t="s">
        <v>59</v>
      </c>
      <c r="W4257" s="2">
        <v>36.799999999999997</v>
      </c>
      <c r="X4257" s="2">
        <v>0</v>
      </c>
      <c r="Y4257" s="2" t="s">
        <v>408</v>
      </c>
      <c r="Z4257" s="2" t="s">
        <v>28278</v>
      </c>
      <c r="AA4257" s="2">
        <v>-6.39223064820355</v>
      </c>
      <c r="AB4257" s="2">
        <v>0.15567300960054101</v>
      </c>
      <c r="AC4257" s="2">
        <v>2310.31454534867</v>
      </c>
      <c r="AD4257" s="2">
        <v>641.00652191267795</v>
      </c>
      <c r="AE4257" s="2">
        <v>2283.8585075467299</v>
      </c>
      <c r="AF4257" s="2">
        <v>2403.05128335162</v>
      </c>
      <c r="AG4257" s="2">
        <v>2912.4422047796202</v>
      </c>
      <c r="AH4257" s="2">
        <v>2185.9599896075902</v>
      </c>
      <c r="AI4257" s="2">
        <v>2224.5852545625098</v>
      </c>
      <c r="AJ4257" s="2">
        <v>1851.99003224394</v>
      </c>
      <c r="AK4257" s="2">
        <v>967.35699199626799</v>
      </c>
      <c r="AL4257" s="2">
        <v>511.05348477420301</v>
      </c>
      <c r="AM4257" s="2">
        <v>254.256438439265</v>
      </c>
      <c r="AN4257" s="2">
        <v>622.14228562918504</v>
      </c>
      <c r="AO4257" s="2">
        <v>781.67427430966904</v>
      </c>
      <c r="AP4257" s="2">
        <v>709.555656327478</v>
      </c>
    </row>
    <row r="4258" spans="1:42" ht="14.5" x14ac:dyDescent="0.35">
      <c r="A4258" s="2" t="s">
        <v>28279</v>
      </c>
      <c r="B4258" s="2">
        <v>307.12901873479302</v>
      </c>
      <c r="C4258" s="2">
        <v>3.5873499999999998</v>
      </c>
      <c r="D4258" s="2" t="s">
        <v>34</v>
      </c>
      <c r="E4258" s="2" t="s">
        <v>28280</v>
      </c>
      <c r="F4258" s="2">
        <v>51458</v>
      </c>
      <c r="G4258" s="3" t="str">
        <f>HYPERLINK("http://funmeta.oebiotech.com/network/51458", "http://funmeta.oebiotech.com/network/51458")</f>
        <v>http://funmeta.oebiotech.com/network/51458</v>
      </c>
      <c r="H4258" s="2" t="s">
        <v>28281</v>
      </c>
      <c r="I4258" s="2">
        <v>62414</v>
      </c>
      <c r="J4258" s="2"/>
      <c r="K4258" s="2">
        <v>172550</v>
      </c>
      <c r="L4258" s="2"/>
      <c r="M4258" s="2"/>
      <c r="N4258" s="2"/>
      <c r="O4258" s="2">
        <v>53481023</v>
      </c>
      <c r="P4258" s="2"/>
      <c r="Q4258" s="2" t="s">
        <v>28282</v>
      </c>
      <c r="R4258" s="2" t="s">
        <v>28283</v>
      </c>
      <c r="S4258" s="2" t="s">
        <v>79</v>
      </c>
      <c r="T4258" s="2" t="s">
        <v>80</v>
      </c>
      <c r="U4258" s="2" t="s">
        <v>2820</v>
      </c>
      <c r="V4258" s="2" t="s">
        <v>59</v>
      </c>
      <c r="W4258" s="2">
        <v>38.5</v>
      </c>
      <c r="X4258" s="2">
        <v>0</v>
      </c>
      <c r="Y4258" s="2" t="s">
        <v>141</v>
      </c>
      <c r="Z4258" s="2" t="s">
        <v>28284</v>
      </c>
      <c r="AA4258" s="2">
        <v>-4.5746044496324796</v>
      </c>
      <c r="AB4258" s="2">
        <v>0.155652661904915</v>
      </c>
      <c r="AC4258" s="2">
        <v>8357.2753437107203</v>
      </c>
      <c r="AD4258" s="2">
        <v>6571.6190827026603</v>
      </c>
      <c r="AE4258" s="2">
        <v>8294.0431642295098</v>
      </c>
      <c r="AF4258" s="2">
        <v>7808.9473682231801</v>
      </c>
      <c r="AG4258" s="2">
        <v>7677.1365929046497</v>
      </c>
      <c r="AH4258" s="2">
        <v>8710.3338230935497</v>
      </c>
      <c r="AI4258" s="2">
        <v>8775.6599420258808</v>
      </c>
      <c r="AJ4258" s="2">
        <v>8877.5311717875793</v>
      </c>
      <c r="AK4258" s="2">
        <v>6118.90541822062</v>
      </c>
      <c r="AL4258" s="2">
        <v>6671.2332558547396</v>
      </c>
      <c r="AM4258" s="2">
        <v>6028.7118747774002</v>
      </c>
      <c r="AN4258" s="2">
        <v>6617.7805711278697</v>
      </c>
      <c r="AO4258" s="2">
        <v>6698.8569036915596</v>
      </c>
      <c r="AP4258" s="2">
        <v>7294.2264725437499</v>
      </c>
    </row>
    <row r="4259" spans="1:42" ht="14.5" x14ac:dyDescent="0.35">
      <c r="A4259" s="2" t="s">
        <v>28285</v>
      </c>
      <c r="B4259" s="2">
        <v>473.20272927892199</v>
      </c>
      <c r="C4259" s="2">
        <v>4.4359166666666701</v>
      </c>
      <c r="D4259" s="2" t="s">
        <v>70</v>
      </c>
      <c r="E4259" s="2" t="s">
        <v>28286</v>
      </c>
      <c r="F4259" s="2">
        <v>59470</v>
      </c>
      <c r="G4259" s="3" t="str">
        <f>HYPERLINK("http://funmeta.oebiotech.com/network/59470", "http://funmeta.oebiotech.com/network/59470")</f>
        <v>http://funmeta.oebiotech.com/network/59470</v>
      </c>
      <c r="H4259" s="2" t="s">
        <v>28287</v>
      </c>
      <c r="I4259" s="2">
        <v>90883</v>
      </c>
      <c r="J4259" s="2"/>
      <c r="K4259" s="2">
        <v>169328</v>
      </c>
      <c r="L4259" s="2"/>
      <c r="M4259" s="2"/>
      <c r="N4259" s="2"/>
      <c r="O4259" s="2">
        <v>131751813</v>
      </c>
      <c r="P4259" s="2" t="s">
        <v>28288</v>
      </c>
      <c r="Q4259" s="2" t="s">
        <v>28289</v>
      </c>
      <c r="R4259" s="2" t="s">
        <v>28290</v>
      </c>
      <c r="S4259" s="2" t="s">
        <v>50</v>
      </c>
      <c r="T4259" s="2" t="s">
        <v>201</v>
      </c>
      <c r="U4259" s="2" t="s">
        <v>1217</v>
      </c>
      <c r="V4259" s="2" t="s">
        <v>59</v>
      </c>
      <c r="W4259" s="2">
        <v>38.299999999999997</v>
      </c>
      <c r="X4259" s="2">
        <v>0</v>
      </c>
      <c r="Y4259" s="2" t="s">
        <v>408</v>
      </c>
      <c r="Z4259" s="2" t="s">
        <v>16999</v>
      </c>
      <c r="AA4259" s="2">
        <v>-0.24799675107515301</v>
      </c>
      <c r="AB4259" s="2">
        <v>0.155365110617465</v>
      </c>
      <c r="AC4259" s="2">
        <v>71561.679686051197</v>
      </c>
      <c r="AD4259" s="2">
        <v>75051.421422965403</v>
      </c>
      <c r="AE4259" s="2">
        <v>73360.296732274903</v>
      </c>
      <c r="AF4259" s="2">
        <v>75894.965965069103</v>
      </c>
      <c r="AG4259" s="2">
        <v>67866.283593492597</v>
      </c>
      <c r="AH4259" s="2">
        <v>71876.502227567005</v>
      </c>
      <c r="AI4259" s="2">
        <v>70952.837279809202</v>
      </c>
      <c r="AJ4259" s="2">
        <v>69419.192318094196</v>
      </c>
      <c r="AK4259" s="2">
        <v>78329.638827855495</v>
      </c>
      <c r="AL4259" s="2">
        <v>81315.809422276696</v>
      </c>
      <c r="AM4259" s="2">
        <v>71916.427097210995</v>
      </c>
      <c r="AN4259" s="2">
        <v>74034.185312638205</v>
      </c>
      <c r="AO4259" s="2">
        <v>69345.620922278598</v>
      </c>
      <c r="AP4259" s="2">
        <v>75366.846955532601</v>
      </c>
    </row>
    <row r="4260" spans="1:42" ht="14.5" x14ac:dyDescent="0.35">
      <c r="A4260" s="2" t="s">
        <v>28291</v>
      </c>
      <c r="B4260" s="2">
        <v>517.15598749623996</v>
      </c>
      <c r="C4260" s="2">
        <v>3.37063333333333</v>
      </c>
      <c r="D4260" s="2" t="s">
        <v>70</v>
      </c>
      <c r="E4260" s="2" t="s">
        <v>28292</v>
      </c>
      <c r="F4260" s="2">
        <v>54253</v>
      </c>
      <c r="G4260" s="3" t="str">
        <f>HYPERLINK("http://funmeta.oebiotech.com/network/54253", "http://funmeta.oebiotech.com/network/54253")</f>
        <v>http://funmeta.oebiotech.com/network/54253</v>
      </c>
      <c r="H4260" s="2" t="s">
        <v>28293</v>
      </c>
      <c r="I4260" s="2">
        <v>86152</v>
      </c>
      <c r="J4260" s="2"/>
      <c r="K4260" s="2">
        <v>172700</v>
      </c>
      <c r="L4260" s="2"/>
      <c r="M4260" s="2"/>
      <c r="N4260" s="2"/>
      <c r="O4260" s="2">
        <v>131750841</v>
      </c>
      <c r="P4260" s="2"/>
      <c r="Q4260" s="2" t="s">
        <v>28294</v>
      </c>
      <c r="R4260" s="2" t="s">
        <v>28295</v>
      </c>
      <c r="S4260" s="2" t="s">
        <v>115</v>
      </c>
      <c r="T4260" s="2" t="s">
        <v>116</v>
      </c>
      <c r="U4260" s="2" t="s">
        <v>7178</v>
      </c>
      <c r="V4260" s="2" t="s">
        <v>59</v>
      </c>
      <c r="W4260" s="2">
        <v>46.2</v>
      </c>
      <c r="X4260" s="2">
        <v>44.9</v>
      </c>
      <c r="Y4260" s="2" t="s">
        <v>408</v>
      </c>
      <c r="Z4260" s="2" t="s">
        <v>28296</v>
      </c>
      <c r="AA4260" s="2">
        <v>-0.61781520736575402</v>
      </c>
      <c r="AB4260" s="2">
        <v>0.155286090837814</v>
      </c>
      <c r="AC4260" s="2">
        <v>10688.423435090501</v>
      </c>
      <c r="AD4260" s="2">
        <v>8019.67130655856</v>
      </c>
      <c r="AE4260" s="2">
        <v>10160.9395915205</v>
      </c>
      <c r="AF4260" s="2">
        <v>10566.6212607664</v>
      </c>
      <c r="AG4260" s="2">
        <v>10152.8125148204</v>
      </c>
      <c r="AH4260" s="2">
        <v>9906.1728754969608</v>
      </c>
      <c r="AI4260" s="2">
        <v>10285.592948433199</v>
      </c>
      <c r="AJ4260" s="2">
        <v>13058.401419505701</v>
      </c>
      <c r="AK4260" s="2">
        <v>5802.05174212163</v>
      </c>
      <c r="AL4260" s="2">
        <v>12511.909578873199</v>
      </c>
      <c r="AM4260" s="2">
        <v>6437.3653849458897</v>
      </c>
      <c r="AN4260" s="2">
        <v>9412.3553321679701</v>
      </c>
      <c r="AO4260" s="2">
        <v>7804.2139288302296</v>
      </c>
      <c r="AP4260" s="2">
        <v>6150.1318724124303</v>
      </c>
    </row>
    <row r="4261" spans="1:42" ht="14.5" x14ac:dyDescent="0.35">
      <c r="A4261" s="2" t="s">
        <v>28297</v>
      </c>
      <c r="B4261" s="2">
        <v>173.04192857374201</v>
      </c>
      <c r="C4261" s="2">
        <v>1.06171666666667</v>
      </c>
      <c r="D4261" s="2" t="s">
        <v>34</v>
      </c>
      <c r="E4261" s="2" t="s">
        <v>28298</v>
      </c>
      <c r="F4261" s="2">
        <v>257723</v>
      </c>
      <c r="G4261" s="3" t="str">
        <f>HYPERLINK("http://funmeta.oebiotech.com/network/257723", "http://funmeta.oebiotech.com/network/257723")</f>
        <v>http://funmeta.oebiotech.com/network/257723</v>
      </c>
      <c r="H4261" s="2" t="s">
        <v>28299</v>
      </c>
      <c r="I4261" s="2">
        <v>313</v>
      </c>
      <c r="J4261" s="2"/>
      <c r="K4261" s="2"/>
      <c r="L4261" s="2" t="s">
        <v>28300</v>
      </c>
      <c r="M4261" s="2" t="s">
        <v>28301</v>
      </c>
      <c r="N4261" s="2" t="s">
        <v>28302</v>
      </c>
      <c r="O4261" s="2">
        <v>10975657</v>
      </c>
      <c r="P4261" s="2" t="s">
        <v>28303</v>
      </c>
      <c r="Q4261" s="2" t="s">
        <v>9079</v>
      </c>
      <c r="R4261" s="2" t="s">
        <v>28304</v>
      </c>
      <c r="S4261" s="2" t="s">
        <v>79</v>
      </c>
      <c r="T4261" s="2" t="s">
        <v>80</v>
      </c>
      <c r="U4261" s="2" t="s">
        <v>81</v>
      </c>
      <c r="V4261" s="2" t="s">
        <v>59</v>
      </c>
      <c r="W4261" s="2">
        <v>38.9</v>
      </c>
      <c r="X4261" s="2">
        <v>0</v>
      </c>
      <c r="Y4261" s="2" t="s">
        <v>323</v>
      </c>
      <c r="Z4261" s="2" t="s">
        <v>9081</v>
      </c>
      <c r="AA4261" s="2">
        <v>-0.76989393237606996</v>
      </c>
      <c r="AB4261" s="2">
        <v>0.15514032758596899</v>
      </c>
      <c r="AC4261" s="2">
        <v>4723.3569336455203</v>
      </c>
      <c r="AD4261" s="2">
        <v>6388.6464879512696</v>
      </c>
      <c r="AE4261" s="2">
        <v>4775.1212699809103</v>
      </c>
      <c r="AF4261" s="2">
        <v>4820.0467289121298</v>
      </c>
      <c r="AG4261" s="2">
        <v>5077.6982386189402</v>
      </c>
      <c r="AH4261" s="2">
        <v>4684.6784170957399</v>
      </c>
      <c r="AI4261" s="2">
        <v>4468.3427945616204</v>
      </c>
      <c r="AJ4261" s="2">
        <v>4514.2541527037902</v>
      </c>
      <c r="AK4261" s="2">
        <v>5910.8204149794901</v>
      </c>
      <c r="AL4261" s="2">
        <v>6636.5278626566997</v>
      </c>
      <c r="AM4261" s="2">
        <v>6075.3250025156103</v>
      </c>
      <c r="AN4261" s="2">
        <v>6300.5449214742703</v>
      </c>
      <c r="AO4261" s="2">
        <v>6807.2460489287196</v>
      </c>
      <c r="AP4261" s="2">
        <v>6601.4146771528503</v>
      </c>
    </row>
    <row r="4262" spans="1:42" ht="14.5" x14ac:dyDescent="0.35">
      <c r="A4262" s="2" t="s">
        <v>28305</v>
      </c>
      <c r="B4262" s="2">
        <v>328.11790400842602</v>
      </c>
      <c r="C4262" s="2">
        <v>10.113516666666699</v>
      </c>
      <c r="D4262" s="2" t="s">
        <v>34</v>
      </c>
      <c r="E4262" s="2" t="s">
        <v>28306</v>
      </c>
      <c r="F4262" s="2">
        <v>30265</v>
      </c>
      <c r="G4262" s="3" t="str">
        <f>HYPERLINK("http://funmeta.oebiotech.com/network/30265", "http://funmeta.oebiotech.com/network/30265")</f>
        <v>http://funmeta.oebiotech.com/network/30265</v>
      </c>
      <c r="H4262" s="2"/>
      <c r="I4262" s="2">
        <v>48605</v>
      </c>
      <c r="J4262" s="2" t="s">
        <v>28307</v>
      </c>
      <c r="K4262" s="2"/>
      <c r="L4262" s="2"/>
      <c r="M4262" s="2"/>
      <c r="N4262" s="2"/>
      <c r="O4262" s="2">
        <v>15726097</v>
      </c>
      <c r="P4262" s="2"/>
      <c r="Q4262" s="2" t="s">
        <v>28308</v>
      </c>
      <c r="R4262" s="2" t="s">
        <v>28309</v>
      </c>
      <c r="S4262" s="2" t="s">
        <v>115</v>
      </c>
      <c r="T4262" s="2" t="s">
        <v>139</v>
      </c>
      <c r="U4262" s="2" t="s">
        <v>1552</v>
      </c>
      <c r="V4262" s="2" t="s">
        <v>59</v>
      </c>
      <c r="W4262" s="2">
        <v>45.4</v>
      </c>
      <c r="X4262" s="2">
        <v>31.2</v>
      </c>
      <c r="Y4262" s="2" t="s">
        <v>43</v>
      </c>
      <c r="Z4262" s="2" t="s">
        <v>28310</v>
      </c>
      <c r="AA4262" s="2">
        <v>-0.14534234603301199</v>
      </c>
      <c r="AB4262" s="2">
        <v>0.155136936901384</v>
      </c>
      <c r="AC4262" s="2">
        <v>6507.1375234187199</v>
      </c>
      <c r="AD4262" s="2">
        <v>4802.4319718851802</v>
      </c>
      <c r="AE4262" s="2">
        <v>6594.9334719103399</v>
      </c>
      <c r="AF4262" s="2">
        <v>6271.6569565810096</v>
      </c>
      <c r="AG4262" s="2">
        <v>6763.5224490616902</v>
      </c>
      <c r="AH4262" s="2">
        <v>6507.7554564346501</v>
      </c>
      <c r="AI4262" s="2">
        <v>6303.3860622210104</v>
      </c>
      <c r="AJ4262" s="2">
        <v>6601.5707443036399</v>
      </c>
      <c r="AK4262" s="2">
        <v>4236.61845654229</v>
      </c>
      <c r="AL4262" s="2">
        <v>5231.3343508600901</v>
      </c>
      <c r="AM4262" s="2">
        <v>4883.1825465424199</v>
      </c>
      <c r="AN4262" s="2">
        <v>4077.4464140248501</v>
      </c>
      <c r="AO4262" s="2">
        <v>5187.2348133866899</v>
      </c>
      <c r="AP4262" s="2">
        <v>5198.7752499547396</v>
      </c>
    </row>
    <row r="4263" spans="1:42" ht="14.5" x14ac:dyDescent="0.35">
      <c r="A4263" s="2" t="s">
        <v>28311</v>
      </c>
      <c r="B4263" s="2">
        <v>265.15421247045498</v>
      </c>
      <c r="C4263" s="2">
        <v>3.8609</v>
      </c>
      <c r="D4263" s="2" t="s">
        <v>34</v>
      </c>
      <c r="E4263" s="2" t="s">
        <v>28312</v>
      </c>
      <c r="F4263" s="2">
        <v>53612</v>
      </c>
      <c r="G4263" s="3" t="str">
        <f>HYPERLINK("http://funmeta.oebiotech.com/network/53612", "http://funmeta.oebiotech.com/network/53612")</f>
        <v>http://funmeta.oebiotech.com/network/53612</v>
      </c>
      <c r="H4263" s="2" t="s">
        <v>28313</v>
      </c>
      <c r="I4263" s="2">
        <v>45206</v>
      </c>
      <c r="J4263" s="2"/>
      <c r="K4263" s="2">
        <v>45716</v>
      </c>
      <c r="L4263" s="2"/>
      <c r="M4263" s="2"/>
      <c r="N4263" s="2"/>
      <c r="O4263" s="2">
        <v>5311</v>
      </c>
      <c r="P4263" s="2" t="s">
        <v>28314</v>
      </c>
      <c r="Q4263" s="2" t="s">
        <v>28315</v>
      </c>
      <c r="R4263" s="2" t="s">
        <v>28316</v>
      </c>
      <c r="S4263" s="2" t="s">
        <v>148</v>
      </c>
      <c r="T4263" s="2" t="s">
        <v>149</v>
      </c>
      <c r="U4263" s="2" t="s">
        <v>41</v>
      </c>
      <c r="V4263" s="2" t="s">
        <v>59</v>
      </c>
      <c r="W4263" s="2">
        <v>37.200000000000003</v>
      </c>
      <c r="X4263" s="2">
        <v>0</v>
      </c>
      <c r="Y4263" s="2" t="s">
        <v>394</v>
      </c>
      <c r="Z4263" s="2" t="s">
        <v>28317</v>
      </c>
      <c r="AA4263" s="2">
        <v>-1.72809286588571</v>
      </c>
      <c r="AB4263" s="2">
        <v>0.15501796217151001</v>
      </c>
      <c r="AC4263" s="2">
        <v>7301.9240470200903</v>
      </c>
      <c r="AD4263" s="2">
        <v>5289.0289763962501</v>
      </c>
      <c r="AE4263" s="2">
        <v>7190.0396456250101</v>
      </c>
      <c r="AF4263" s="2">
        <v>7372.78027367295</v>
      </c>
      <c r="AG4263" s="2">
        <v>8026.74746531439</v>
      </c>
      <c r="AH4263" s="2">
        <v>5752.6887290143304</v>
      </c>
      <c r="AI4263" s="2">
        <v>8495.1232279957403</v>
      </c>
      <c r="AJ4263" s="2">
        <v>6974.1649404981399</v>
      </c>
      <c r="AK4263" s="2">
        <v>4822.6029271936004</v>
      </c>
      <c r="AL4263" s="2">
        <v>5762.8243261413099</v>
      </c>
      <c r="AM4263" s="2">
        <v>4632.8729013316897</v>
      </c>
      <c r="AN4263" s="2">
        <v>6254.8138568328704</v>
      </c>
      <c r="AO4263" s="2">
        <v>5855.2590033988299</v>
      </c>
      <c r="AP4263" s="2">
        <v>4405.80084347919</v>
      </c>
    </row>
    <row r="4264" spans="1:42" ht="14.5" x14ac:dyDescent="0.35">
      <c r="A4264" s="2" t="s">
        <v>28318</v>
      </c>
      <c r="B4264" s="2">
        <v>409.09497328639202</v>
      </c>
      <c r="C4264" s="2">
        <v>0.78071666666666695</v>
      </c>
      <c r="D4264" s="2" t="s">
        <v>34</v>
      </c>
      <c r="E4264" s="2" t="s">
        <v>28319</v>
      </c>
      <c r="F4264" s="2">
        <v>211964</v>
      </c>
      <c r="G4264" s="3" t="str">
        <f>HYPERLINK("http://funmeta.oebiotech.com/network/211964", "http://funmeta.oebiotech.com/network/211964")</f>
        <v>http://funmeta.oebiotech.com/network/211964</v>
      </c>
      <c r="H4264" s="2" t="s">
        <v>28320</v>
      </c>
      <c r="I4264" s="2"/>
      <c r="J4264" s="2"/>
      <c r="K4264" s="2">
        <v>104023</v>
      </c>
      <c r="L4264" s="2"/>
      <c r="M4264" s="2"/>
      <c r="N4264" s="2"/>
      <c r="O4264" s="2">
        <v>128355</v>
      </c>
      <c r="P4264" s="2"/>
      <c r="Q4264" s="2" t="s">
        <v>28321</v>
      </c>
      <c r="R4264" s="2" t="s">
        <v>28322</v>
      </c>
      <c r="S4264" s="2" t="s">
        <v>491</v>
      </c>
      <c r="T4264" s="2" t="s">
        <v>1516</v>
      </c>
      <c r="U4264" s="2" t="s">
        <v>41</v>
      </c>
      <c r="V4264" s="2" t="s">
        <v>59</v>
      </c>
      <c r="W4264" s="2">
        <v>36.799999999999997</v>
      </c>
      <c r="X4264" s="2">
        <v>0</v>
      </c>
      <c r="Y4264" s="2" t="s">
        <v>340</v>
      </c>
      <c r="Z4264" s="2" t="s">
        <v>28323</v>
      </c>
      <c r="AA4264" s="2">
        <v>0.19658095597056999</v>
      </c>
      <c r="AB4264" s="2">
        <v>0.154948167831439</v>
      </c>
      <c r="AC4264" s="2">
        <v>74379.693151671003</v>
      </c>
      <c r="AD4264" s="2">
        <v>78354.3694611315</v>
      </c>
      <c r="AE4264" s="2">
        <v>69398.433458583095</v>
      </c>
      <c r="AF4264" s="2">
        <v>72749.520070153303</v>
      </c>
      <c r="AG4264" s="2">
        <v>84343.925298800503</v>
      </c>
      <c r="AH4264" s="2">
        <v>74977.686562172006</v>
      </c>
      <c r="AI4264" s="2">
        <v>73095.033132304801</v>
      </c>
      <c r="AJ4264" s="2">
        <v>71713.5603880126</v>
      </c>
      <c r="AK4264" s="2">
        <v>75314.672567365094</v>
      </c>
      <c r="AL4264" s="2">
        <v>80932.814115242407</v>
      </c>
      <c r="AM4264" s="2">
        <v>86530.036460319097</v>
      </c>
      <c r="AN4264" s="2">
        <v>73446.5092272646</v>
      </c>
      <c r="AO4264" s="2">
        <v>76301.907057587305</v>
      </c>
      <c r="AP4264" s="2">
        <v>77600.277339010296</v>
      </c>
    </row>
    <row r="4265" spans="1:42" ht="14.5" x14ac:dyDescent="0.35">
      <c r="A4265" s="2" t="s">
        <v>28324</v>
      </c>
      <c r="B4265" s="2">
        <v>316.22470919236201</v>
      </c>
      <c r="C4265" s="2">
        <v>10.0942333333333</v>
      </c>
      <c r="D4265" s="2" t="s">
        <v>34</v>
      </c>
      <c r="E4265" s="2" t="s">
        <v>28325</v>
      </c>
      <c r="F4265" s="2">
        <v>8896</v>
      </c>
      <c r="G4265" s="3" t="str">
        <f>HYPERLINK("http://funmeta.oebiotech.com/network/8896", "http://funmeta.oebiotech.com/network/8896")</f>
        <v>http://funmeta.oebiotech.com/network/8896</v>
      </c>
      <c r="H4265" s="2"/>
      <c r="I4265" s="2"/>
      <c r="J4265" s="2" t="s">
        <v>28326</v>
      </c>
      <c r="K4265" s="2"/>
      <c r="L4265" s="2"/>
      <c r="M4265" s="2"/>
      <c r="N4265" s="2"/>
      <c r="O4265" s="2">
        <v>5316694</v>
      </c>
      <c r="P4265" s="2"/>
      <c r="Q4265" s="2" t="s">
        <v>28327</v>
      </c>
      <c r="R4265" s="2" t="s">
        <v>28328</v>
      </c>
      <c r="S4265" s="2" t="s">
        <v>50</v>
      </c>
      <c r="T4265" s="2" t="s">
        <v>229</v>
      </c>
      <c r="U4265" s="2" t="s">
        <v>645</v>
      </c>
      <c r="V4265" s="2" t="s">
        <v>59</v>
      </c>
      <c r="W4265" s="2">
        <v>39.1</v>
      </c>
      <c r="X4265" s="2">
        <v>0.109</v>
      </c>
      <c r="Y4265" s="2" t="s">
        <v>67</v>
      </c>
      <c r="Z4265" s="2" t="s">
        <v>28329</v>
      </c>
      <c r="AA4265" s="2">
        <v>3.1627385998007899E-2</v>
      </c>
      <c r="AB4265" s="2">
        <v>0.15491392668936199</v>
      </c>
      <c r="AC4265" s="2">
        <v>11969.082066204301</v>
      </c>
      <c r="AD4265" s="2">
        <v>14798.129136506701</v>
      </c>
      <c r="AE4265" s="2">
        <v>12292.6367874484</v>
      </c>
      <c r="AF4265" s="2">
        <v>10212.1575297939</v>
      </c>
      <c r="AG4265" s="2">
        <v>10641.2494284982</v>
      </c>
      <c r="AH4265" s="2">
        <v>13836.7455945973</v>
      </c>
      <c r="AI4265" s="2">
        <v>14794.534333330401</v>
      </c>
      <c r="AJ4265" s="2">
        <v>10037.168723557899</v>
      </c>
      <c r="AK4265" s="2">
        <v>11952.8682606947</v>
      </c>
      <c r="AL4265" s="2">
        <v>19311.4002441128</v>
      </c>
      <c r="AM4265" s="2">
        <v>14688.9975094653</v>
      </c>
      <c r="AN4265" s="2">
        <v>16231.5585854242</v>
      </c>
      <c r="AO4265" s="2">
        <v>12924.8102189195</v>
      </c>
      <c r="AP4265" s="2">
        <v>13679.1400004239</v>
      </c>
    </row>
    <row r="4266" spans="1:42" ht="14.5" x14ac:dyDescent="0.35">
      <c r="A4266" s="2" t="s">
        <v>28330</v>
      </c>
      <c r="B4266" s="2">
        <v>239.12841549434501</v>
      </c>
      <c r="C4266" s="2">
        <v>9.3708500000000008</v>
      </c>
      <c r="D4266" s="2" t="s">
        <v>70</v>
      </c>
      <c r="E4266" s="2" t="s">
        <v>28331</v>
      </c>
      <c r="F4266" s="2">
        <v>7777</v>
      </c>
      <c r="G4266" s="3" t="str">
        <f>HYPERLINK("http://funmeta.oebiotech.com/network/7777", "http://funmeta.oebiotech.com/network/7777")</f>
        <v>http://funmeta.oebiotech.com/network/7777</v>
      </c>
      <c r="H4266" s="2"/>
      <c r="I4266" s="2">
        <v>97393</v>
      </c>
      <c r="J4266" s="2" t="s">
        <v>28332</v>
      </c>
      <c r="K4266" s="2"/>
      <c r="L4266" s="2"/>
      <c r="M4266" s="2"/>
      <c r="N4266" s="2"/>
      <c r="O4266" s="2">
        <v>56936046</v>
      </c>
      <c r="P4266" s="2"/>
      <c r="Q4266" s="2" t="s">
        <v>28333</v>
      </c>
      <c r="R4266" s="2" t="s">
        <v>28334</v>
      </c>
      <c r="S4266" s="2" t="s">
        <v>115</v>
      </c>
      <c r="T4266" s="2" t="s">
        <v>1384</v>
      </c>
      <c r="U4266" s="2" t="s">
        <v>41</v>
      </c>
      <c r="V4266" s="2" t="s">
        <v>42</v>
      </c>
      <c r="W4266" s="2">
        <v>48.7</v>
      </c>
      <c r="X4266" s="2">
        <v>47.6</v>
      </c>
      <c r="Y4266" s="2" t="s">
        <v>408</v>
      </c>
      <c r="Z4266" s="2" t="s">
        <v>21481</v>
      </c>
      <c r="AA4266" s="2">
        <v>-2.4065852745637102</v>
      </c>
      <c r="AB4266" s="2">
        <v>0.154846019083692</v>
      </c>
      <c r="AC4266" s="2">
        <v>32150.701255547199</v>
      </c>
      <c r="AD4266" s="2">
        <v>34747.8239688947</v>
      </c>
      <c r="AE4266" s="2">
        <v>31393.811962596799</v>
      </c>
      <c r="AF4266" s="2">
        <v>34110.301817075502</v>
      </c>
      <c r="AG4266" s="2">
        <v>32253.839641173799</v>
      </c>
      <c r="AH4266" s="2">
        <v>29838.6710694301</v>
      </c>
      <c r="AI4266" s="2">
        <v>31986.9421487174</v>
      </c>
      <c r="AJ4266" s="2">
        <v>33320.640894289798</v>
      </c>
      <c r="AK4266" s="2">
        <v>37090.1656662147</v>
      </c>
      <c r="AL4266" s="2">
        <v>34838.908282447199</v>
      </c>
      <c r="AM4266" s="2">
        <v>35549.892864399197</v>
      </c>
      <c r="AN4266" s="2">
        <v>32788.306418731001</v>
      </c>
      <c r="AO4266" s="2">
        <v>36591.677746815301</v>
      </c>
      <c r="AP4266" s="2">
        <v>31627.992834761</v>
      </c>
    </row>
    <row r="4267" spans="1:42" ht="14.5" x14ac:dyDescent="0.35">
      <c r="A4267" s="2" t="s">
        <v>28335</v>
      </c>
      <c r="B4267" s="2">
        <v>273.02262032852502</v>
      </c>
      <c r="C4267" s="2">
        <v>1.65618333333333</v>
      </c>
      <c r="D4267" s="2" t="s">
        <v>70</v>
      </c>
      <c r="E4267" s="2" t="s">
        <v>28336</v>
      </c>
      <c r="F4267" s="2">
        <v>211809</v>
      </c>
      <c r="G4267" s="3" t="str">
        <f>HYPERLINK("http://funmeta.oebiotech.com/network/211809", "http://funmeta.oebiotech.com/network/211809")</f>
        <v>http://funmeta.oebiotech.com/network/211809</v>
      </c>
      <c r="H4267" s="2" t="s">
        <v>28337</v>
      </c>
      <c r="I4267" s="2"/>
      <c r="J4267" s="2"/>
      <c r="K4267" s="2"/>
      <c r="L4267" s="2"/>
      <c r="M4267" s="2"/>
      <c r="N4267" s="2"/>
      <c r="O4267" s="2">
        <v>129677966</v>
      </c>
      <c r="P4267" s="2"/>
      <c r="Q4267" s="2" t="s">
        <v>28338</v>
      </c>
      <c r="R4267" s="2" t="s">
        <v>28339</v>
      </c>
      <c r="S4267" s="2" t="s">
        <v>41</v>
      </c>
      <c r="T4267" s="2" t="s">
        <v>41</v>
      </c>
      <c r="U4267" s="2" t="s">
        <v>41</v>
      </c>
      <c r="V4267" s="2" t="s">
        <v>59</v>
      </c>
      <c r="W4267" s="2">
        <v>38.299999999999997</v>
      </c>
      <c r="X4267" s="2">
        <v>0</v>
      </c>
      <c r="Y4267" s="2" t="s">
        <v>560</v>
      </c>
      <c r="Z4267" s="2" t="s">
        <v>28340</v>
      </c>
      <c r="AA4267" s="2">
        <v>2.07490413117816</v>
      </c>
      <c r="AB4267" s="2">
        <v>0.15479258313185801</v>
      </c>
      <c r="AC4267" s="2">
        <v>5104.2576788277402</v>
      </c>
      <c r="AD4267" s="2">
        <v>6770.5199119823901</v>
      </c>
      <c r="AE4267" s="2">
        <v>5076.6952635962998</v>
      </c>
      <c r="AF4267" s="2">
        <v>5481.6642494302196</v>
      </c>
      <c r="AG4267" s="2">
        <v>5150.8745397816401</v>
      </c>
      <c r="AH4267" s="2">
        <v>4413.0773770851501</v>
      </c>
      <c r="AI4267" s="2">
        <v>5123.7494117789101</v>
      </c>
      <c r="AJ4267" s="2">
        <v>5379.4852312942003</v>
      </c>
      <c r="AK4267" s="2">
        <v>6529.2606963565904</v>
      </c>
      <c r="AL4267" s="2">
        <v>6626.2558647588503</v>
      </c>
      <c r="AM4267" s="2">
        <v>6492.7576454022701</v>
      </c>
      <c r="AN4267" s="2">
        <v>7111.0562953396002</v>
      </c>
      <c r="AO4267" s="2">
        <v>6879.3395890351403</v>
      </c>
      <c r="AP4267" s="2">
        <v>6984.4493810018903</v>
      </c>
    </row>
    <row r="4268" spans="1:42" ht="14.5" x14ac:dyDescent="0.35">
      <c r="A4268" s="2" t="s">
        <v>28341</v>
      </c>
      <c r="B4268" s="2">
        <v>575.06900392045304</v>
      </c>
      <c r="C4268" s="2">
        <v>1.29345</v>
      </c>
      <c r="D4268" s="2" t="s">
        <v>34</v>
      </c>
      <c r="E4268" s="2" t="s">
        <v>28342</v>
      </c>
      <c r="F4268" s="2">
        <v>32989</v>
      </c>
      <c r="G4268" s="3" t="str">
        <f>HYPERLINK("http://funmeta.oebiotech.com/network/32989", "http://funmeta.oebiotech.com/network/32989")</f>
        <v>http://funmeta.oebiotech.com/network/32989</v>
      </c>
      <c r="H4268" s="2"/>
      <c r="I4268" s="2"/>
      <c r="J4268" s="2" t="s">
        <v>28343</v>
      </c>
      <c r="K4268" s="2"/>
      <c r="L4268" s="2"/>
      <c r="M4268" s="2"/>
      <c r="N4268" s="2"/>
      <c r="O4268" s="2">
        <v>101421040</v>
      </c>
      <c r="P4268" s="2"/>
      <c r="Q4268" s="2" t="s">
        <v>28344</v>
      </c>
      <c r="R4268" s="2" t="s">
        <v>28345</v>
      </c>
      <c r="S4268" s="2" t="s">
        <v>115</v>
      </c>
      <c r="T4268" s="2" t="s">
        <v>139</v>
      </c>
      <c r="U4268" s="2" t="s">
        <v>140</v>
      </c>
      <c r="V4268" s="2" t="s">
        <v>59</v>
      </c>
      <c r="W4268" s="2">
        <v>40.5</v>
      </c>
      <c r="X4268" s="2">
        <v>7.45</v>
      </c>
      <c r="Y4268" s="2" t="s">
        <v>394</v>
      </c>
      <c r="Z4268" s="2" t="s">
        <v>28346</v>
      </c>
      <c r="AA4268" s="2">
        <v>-1.9651681621534101</v>
      </c>
      <c r="AB4268" s="2">
        <v>0.154699666857571</v>
      </c>
      <c r="AC4268" s="2">
        <v>106454.872590784</v>
      </c>
      <c r="AD4268" s="2">
        <v>101550.462527846</v>
      </c>
      <c r="AE4268" s="2">
        <v>109645.884600843</v>
      </c>
      <c r="AF4268" s="2">
        <v>118236.649665919</v>
      </c>
      <c r="AG4268" s="2">
        <v>104539.50229196899</v>
      </c>
      <c r="AH4268" s="2">
        <v>105215.00532329299</v>
      </c>
      <c r="AI4268" s="2">
        <v>105248.598402191</v>
      </c>
      <c r="AJ4268" s="2">
        <v>95843.595260487695</v>
      </c>
      <c r="AK4268" s="2">
        <v>100328.379540924</v>
      </c>
      <c r="AL4268" s="2">
        <v>96561.958258051498</v>
      </c>
      <c r="AM4268" s="2">
        <v>106503.547636396</v>
      </c>
      <c r="AN4268" s="2">
        <v>114448.455984182</v>
      </c>
      <c r="AO4268" s="2">
        <v>89745.093145421604</v>
      </c>
      <c r="AP4268" s="2">
        <v>101715.3406021</v>
      </c>
    </row>
    <row r="4269" spans="1:42" ht="14.5" x14ac:dyDescent="0.35">
      <c r="A4269" s="2" t="s">
        <v>28347</v>
      </c>
      <c r="B4269" s="2">
        <v>435.17993345465197</v>
      </c>
      <c r="C4269" s="2">
        <v>9.7274833333333302</v>
      </c>
      <c r="D4269" s="2" t="s">
        <v>34</v>
      </c>
      <c r="E4269" s="2" t="s">
        <v>28348</v>
      </c>
      <c r="F4269" s="2">
        <v>30998</v>
      </c>
      <c r="G4269" s="3" t="str">
        <f>HYPERLINK("http://funmeta.oebiotech.com/network/30998", "http://funmeta.oebiotech.com/network/30998")</f>
        <v>http://funmeta.oebiotech.com/network/30998</v>
      </c>
      <c r="H4269" s="2" t="s">
        <v>28349</v>
      </c>
      <c r="I4269" s="2">
        <v>49337</v>
      </c>
      <c r="J4269" s="2" t="s">
        <v>28350</v>
      </c>
      <c r="K4269" s="2"/>
      <c r="L4269" s="2"/>
      <c r="M4269" s="2"/>
      <c r="N4269" s="2"/>
      <c r="O4269" s="2">
        <v>15231526</v>
      </c>
      <c r="P4269" s="2" t="s">
        <v>28351</v>
      </c>
      <c r="Q4269" s="2" t="s">
        <v>28352</v>
      </c>
      <c r="R4269" s="2" t="s">
        <v>28353</v>
      </c>
      <c r="S4269" s="2" t="s">
        <v>115</v>
      </c>
      <c r="T4269" s="2" t="s">
        <v>139</v>
      </c>
      <c r="U4269" s="2" t="s">
        <v>1806</v>
      </c>
      <c r="V4269" s="2" t="s">
        <v>59</v>
      </c>
      <c r="W4269" s="2">
        <v>38.299999999999997</v>
      </c>
      <c r="X4269" s="2">
        <v>0</v>
      </c>
      <c r="Y4269" s="2" t="s">
        <v>266</v>
      </c>
      <c r="Z4269" s="2" t="s">
        <v>28354</v>
      </c>
      <c r="AA4269" s="2">
        <v>-0.622601723618182</v>
      </c>
      <c r="AB4269" s="2">
        <v>0.154603491349107</v>
      </c>
      <c r="AC4269" s="2">
        <v>19900.923838215898</v>
      </c>
      <c r="AD4269" s="2">
        <v>17729.168454467701</v>
      </c>
      <c r="AE4269" s="2">
        <v>18119.456022677401</v>
      </c>
      <c r="AF4269" s="2">
        <v>19623.1607406246</v>
      </c>
      <c r="AG4269" s="2">
        <v>20424.115638795702</v>
      </c>
      <c r="AH4269" s="2">
        <v>20248.821015619698</v>
      </c>
      <c r="AI4269" s="2">
        <v>20281.018771982501</v>
      </c>
      <c r="AJ4269" s="2">
        <v>20708.9708395956</v>
      </c>
      <c r="AK4269" s="2">
        <v>17241.163465442001</v>
      </c>
      <c r="AL4269" s="2">
        <v>17823.636493914299</v>
      </c>
      <c r="AM4269" s="2">
        <v>18074.072936258701</v>
      </c>
      <c r="AN4269" s="2">
        <v>15556.615796636101</v>
      </c>
      <c r="AO4269" s="2">
        <v>18121.829904289501</v>
      </c>
      <c r="AP4269" s="2">
        <v>19557.692130265699</v>
      </c>
    </row>
    <row r="4270" spans="1:42" ht="14.5" x14ac:dyDescent="0.35">
      <c r="A4270" s="2" t="s">
        <v>28355</v>
      </c>
      <c r="B4270" s="2">
        <v>190.04719938199699</v>
      </c>
      <c r="C4270" s="2">
        <v>0.91621666666666701</v>
      </c>
      <c r="D4270" s="2" t="s">
        <v>34</v>
      </c>
      <c r="E4270" s="2" t="s">
        <v>28356</v>
      </c>
      <c r="F4270" s="2">
        <v>46884</v>
      </c>
      <c r="G4270" s="3" t="str">
        <f>HYPERLINK("http://funmeta.oebiotech.com/network/46884", "http://funmeta.oebiotech.com/network/46884")</f>
        <v>http://funmeta.oebiotech.com/network/46884</v>
      </c>
      <c r="H4270" s="2" t="s">
        <v>28357</v>
      </c>
      <c r="I4270" s="2">
        <v>5161</v>
      </c>
      <c r="J4270" s="2"/>
      <c r="K4270" s="2">
        <v>15978</v>
      </c>
      <c r="L4270" s="2" t="s">
        <v>28358</v>
      </c>
      <c r="M4270" s="2" t="s">
        <v>28359</v>
      </c>
      <c r="N4270" s="2" t="s">
        <v>28360</v>
      </c>
      <c r="O4270" s="2">
        <v>439162</v>
      </c>
      <c r="P4270" s="2" t="s">
        <v>28361</v>
      </c>
      <c r="Q4270" s="2" t="s">
        <v>28362</v>
      </c>
      <c r="R4270" s="2" t="s">
        <v>28363</v>
      </c>
      <c r="S4270" s="2" t="s">
        <v>50</v>
      </c>
      <c r="T4270" s="2" t="s">
        <v>51</v>
      </c>
      <c r="U4270" s="2" t="s">
        <v>273</v>
      </c>
      <c r="V4270" s="2" t="s">
        <v>59</v>
      </c>
      <c r="W4270" s="2">
        <v>39.5</v>
      </c>
      <c r="X4270" s="2">
        <v>2.41</v>
      </c>
      <c r="Y4270" s="2" t="s">
        <v>43</v>
      </c>
      <c r="Z4270" s="2" t="s">
        <v>28364</v>
      </c>
      <c r="AA4270" s="2">
        <v>-1.7486051227803301</v>
      </c>
      <c r="AB4270" s="2">
        <v>0.15454654371500001</v>
      </c>
      <c r="AC4270" s="2">
        <v>1645.18260639359</v>
      </c>
      <c r="AD4270" s="2">
        <v>3366.8562642533402</v>
      </c>
      <c r="AE4270" s="2">
        <v>1453.3006458203099</v>
      </c>
      <c r="AF4270" s="2">
        <v>2063.11884496009</v>
      </c>
      <c r="AG4270" s="2">
        <v>2291.6760707326298</v>
      </c>
      <c r="AH4270" s="2">
        <v>1493.9808006435901</v>
      </c>
      <c r="AI4270" s="2">
        <v>1495.4023101467601</v>
      </c>
      <c r="AJ4270" s="2">
        <v>1073.61696605816</v>
      </c>
      <c r="AK4270" s="2">
        <v>3093.49616377033</v>
      </c>
      <c r="AL4270" s="2">
        <v>3846.3173711692998</v>
      </c>
      <c r="AM4270" s="2">
        <v>3633.9111306531699</v>
      </c>
      <c r="AN4270" s="2">
        <v>3630.4245000105002</v>
      </c>
      <c r="AO4270" s="2">
        <v>2838.1857567437601</v>
      </c>
      <c r="AP4270" s="2">
        <v>3158.8026631729499</v>
      </c>
    </row>
    <row r="4271" spans="1:42" ht="14.5" x14ac:dyDescent="0.35">
      <c r="A4271" s="2" t="s">
        <v>28365</v>
      </c>
      <c r="B4271" s="2">
        <v>329.23305139093901</v>
      </c>
      <c r="C4271" s="2">
        <v>7.1405000000000003</v>
      </c>
      <c r="D4271" s="2" t="s">
        <v>70</v>
      </c>
      <c r="E4271" s="2" t="s">
        <v>28366</v>
      </c>
      <c r="F4271" s="2">
        <v>2125</v>
      </c>
      <c r="G4271" s="3" t="str">
        <f>HYPERLINK("http://funmeta.oebiotech.com/network/2125", "http://funmeta.oebiotech.com/network/2125")</f>
        <v>http://funmeta.oebiotech.com/network/2125</v>
      </c>
      <c r="H4271" s="2"/>
      <c r="I4271" s="2">
        <v>74745</v>
      </c>
      <c r="J4271" s="2" t="s">
        <v>28367</v>
      </c>
      <c r="K4271" s="2"/>
      <c r="L4271" s="2"/>
      <c r="M4271" s="2"/>
      <c r="N4271" s="2"/>
      <c r="O4271" s="2">
        <v>5312900</v>
      </c>
      <c r="P4271" s="2"/>
      <c r="Q4271" s="2" t="s">
        <v>28368</v>
      </c>
      <c r="R4271" s="2" t="s">
        <v>28369</v>
      </c>
      <c r="S4271" s="2" t="s">
        <v>50</v>
      </c>
      <c r="T4271" s="2" t="s">
        <v>229</v>
      </c>
      <c r="U4271" s="2" t="s">
        <v>433</v>
      </c>
      <c r="V4271" s="2" t="s">
        <v>59</v>
      </c>
      <c r="W4271" s="2">
        <v>40.4</v>
      </c>
      <c r="X4271" s="2">
        <v>6.08</v>
      </c>
      <c r="Y4271" s="2" t="s">
        <v>408</v>
      </c>
      <c r="Z4271" s="2" t="s">
        <v>18737</v>
      </c>
      <c r="AA4271" s="2">
        <v>-1.04267183708324</v>
      </c>
      <c r="AB4271" s="2">
        <v>0.15450757260091799</v>
      </c>
      <c r="AC4271" s="2">
        <v>18493.918846005799</v>
      </c>
      <c r="AD4271" s="2">
        <v>20767.504377437301</v>
      </c>
      <c r="AE4271" s="2">
        <v>17263.957857029902</v>
      </c>
      <c r="AF4271" s="2">
        <v>18299.915338357401</v>
      </c>
      <c r="AG4271" s="2">
        <v>17004.719904280599</v>
      </c>
      <c r="AH4271" s="2">
        <v>20675.412990156001</v>
      </c>
      <c r="AI4271" s="2">
        <v>20498.5911075519</v>
      </c>
      <c r="AJ4271" s="2">
        <v>17220.915878658801</v>
      </c>
      <c r="AK4271" s="2">
        <v>21303.9861186411</v>
      </c>
      <c r="AL4271" s="2">
        <v>21225.4474493985</v>
      </c>
      <c r="AM4271" s="2">
        <v>21719.3477505704</v>
      </c>
      <c r="AN4271" s="2">
        <v>21064.432449061798</v>
      </c>
      <c r="AO4271" s="2">
        <v>19596.508354012702</v>
      </c>
      <c r="AP4271" s="2">
        <v>19695.304142939101</v>
      </c>
    </row>
    <row r="4272" spans="1:42" ht="14.5" x14ac:dyDescent="0.35">
      <c r="A4272" s="2" t="s">
        <v>28370</v>
      </c>
      <c r="B4272" s="2">
        <v>435.25963614874001</v>
      </c>
      <c r="C4272" s="2">
        <v>6.0108166666666696</v>
      </c>
      <c r="D4272" s="2" t="s">
        <v>70</v>
      </c>
      <c r="E4272" s="2" t="s">
        <v>28371</v>
      </c>
      <c r="F4272" s="2">
        <v>10314</v>
      </c>
      <c r="G4272" s="3" t="str">
        <f>HYPERLINK("http://funmeta.oebiotech.com/network/10314", "http://funmeta.oebiotech.com/network/10314")</f>
        <v>http://funmeta.oebiotech.com/network/10314</v>
      </c>
      <c r="H4272" s="2"/>
      <c r="I4272" s="2"/>
      <c r="J4272" s="2" t="s">
        <v>28372</v>
      </c>
      <c r="K4272" s="2">
        <v>79232</v>
      </c>
      <c r="L4272" s="2"/>
      <c r="M4272" s="2"/>
      <c r="N4272" s="2"/>
      <c r="O4272" s="2">
        <v>86289821</v>
      </c>
      <c r="P4272" s="2"/>
      <c r="Q4272" s="2" t="s">
        <v>28373</v>
      </c>
      <c r="R4272" s="2" t="s">
        <v>28374</v>
      </c>
      <c r="S4272" s="2" t="s">
        <v>50</v>
      </c>
      <c r="T4272" s="2" t="s">
        <v>229</v>
      </c>
      <c r="U4272" s="2" t="s">
        <v>433</v>
      </c>
      <c r="V4272" s="2" t="s">
        <v>59</v>
      </c>
      <c r="W4272" s="2">
        <v>38.5</v>
      </c>
      <c r="X4272" s="2">
        <v>0</v>
      </c>
      <c r="Y4272" s="2" t="s">
        <v>408</v>
      </c>
      <c r="Z4272" s="2" t="s">
        <v>28375</v>
      </c>
      <c r="AA4272" s="2">
        <v>-0.82067186210836396</v>
      </c>
      <c r="AB4272" s="2">
        <v>0.154452279636145</v>
      </c>
      <c r="AC4272" s="2">
        <v>2221.5560606215899</v>
      </c>
      <c r="AD4272" s="2">
        <v>313.65411524712601</v>
      </c>
      <c r="AE4272" s="2">
        <v>1520.22477020723</v>
      </c>
      <c r="AF4272" s="2">
        <v>2789.66730586023</v>
      </c>
      <c r="AG4272" s="2">
        <v>2775.5894584157099</v>
      </c>
      <c r="AH4272" s="2">
        <v>628.327653063414</v>
      </c>
      <c r="AI4272" s="2">
        <v>2486.81942162621</v>
      </c>
      <c r="AJ4272" s="2">
        <v>3128.7077545567499</v>
      </c>
      <c r="AK4272" s="2">
        <v>1045.5244784106101</v>
      </c>
      <c r="AL4272" s="2">
        <v>264.47482591050698</v>
      </c>
      <c r="AM4272" s="2">
        <v>433.067828655227</v>
      </c>
      <c r="AN4272" s="2">
        <v>138.85750429382199</v>
      </c>
      <c r="AO4272" s="2">
        <v>2.7106294003980101E-5</v>
      </c>
      <c r="AP4272" s="2">
        <v>2.7106294003980101E-5</v>
      </c>
    </row>
    <row r="4273" spans="1:42" ht="14.5" x14ac:dyDescent="0.35">
      <c r="A4273" s="2" t="s">
        <v>28376</v>
      </c>
      <c r="B4273" s="2">
        <v>433.33103961211299</v>
      </c>
      <c r="C4273" s="2">
        <v>11.328566666666701</v>
      </c>
      <c r="D4273" s="2" t="s">
        <v>34</v>
      </c>
      <c r="E4273" s="2" t="s">
        <v>28377</v>
      </c>
      <c r="F4273" s="2">
        <v>43589</v>
      </c>
      <c r="G4273" s="3" t="str">
        <f>HYPERLINK("http://funmeta.oebiotech.com/network/43589", "http://funmeta.oebiotech.com/network/43589")</f>
        <v>http://funmeta.oebiotech.com/network/43589</v>
      </c>
      <c r="H4273" s="2"/>
      <c r="I4273" s="2">
        <v>83863</v>
      </c>
      <c r="J4273" s="2" t="s">
        <v>28378</v>
      </c>
      <c r="K4273" s="2"/>
      <c r="L4273" s="2"/>
      <c r="M4273" s="2"/>
      <c r="N4273" s="2"/>
      <c r="O4273" s="2">
        <v>52931305</v>
      </c>
      <c r="P4273" s="2"/>
      <c r="Q4273" s="2" t="s">
        <v>28379</v>
      </c>
      <c r="R4273" s="2" t="s">
        <v>28380</v>
      </c>
      <c r="S4273" s="2" t="s">
        <v>50</v>
      </c>
      <c r="T4273" s="2" t="s">
        <v>124</v>
      </c>
      <c r="U4273" s="2" t="s">
        <v>2789</v>
      </c>
      <c r="V4273" s="2" t="s">
        <v>42</v>
      </c>
      <c r="W4273" s="2">
        <v>48.8</v>
      </c>
      <c r="X4273" s="2">
        <v>51</v>
      </c>
      <c r="Y4273" s="2" t="s">
        <v>394</v>
      </c>
      <c r="Z4273" s="2" t="s">
        <v>27272</v>
      </c>
      <c r="AA4273" s="2">
        <v>-0.45500417618938399</v>
      </c>
      <c r="AB4273" s="2">
        <v>0.15443035053413501</v>
      </c>
      <c r="AC4273" s="2">
        <v>15557.8006521023</v>
      </c>
      <c r="AD4273" s="2">
        <v>17498.460423408102</v>
      </c>
      <c r="AE4273" s="2">
        <v>16869.988402073501</v>
      </c>
      <c r="AF4273" s="2">
        <v>15992.6779699565</v>
      </c>
      <c r="AG4273" s="2">
        <v>15071.4891182967</v>
      </c>
      <c r="AH4273" s="2">
        <v>14763.6767143041</v>
      </c>
      <c r="AI4273" s="2">
        <v>15118.966785333099</v>
      </c>
      <c r="AJ4273" s="2">
        <v>15530.00492265</v>
      </c>
      <c r="AK4273" s="2">
        <v>16559.999868831099</v>
      </c>
      <c r="AL4273" s="2">
        <v>17665.806180355801</v>
      </c>
      <c r="AM4273" s="2">
        <v>16633.024929752199</v>
      </c>
      <c r="AN4273" s="2">
        <v>18326.546131216899</v>
      </c>
      <c r="AO4273" s="2">
        <v>17506.078855457901</v>
      </c>
      <c r="AP4273" s="2">
        <v>18299.3065748345</v>
      </c>
    </row>
    <row r="4274" spans="1:42" ht="14.5" x14ac:dyDescent="0.35">
      <c r="A4274" s="2" t="s">
        <v>28381</v>
      </c>
      <c r="B4274" s="2">
        <v>842.43137660587399</v>
      </c>
      <c r="C4274" s="2">
        <v>8.8958999999999993</v>
      </c>
      <c r="D4274" s="2" t="s">
        <v>34</v>
      </c>
      <c r="E4274" s="2" t="s">
        <v>28382</v>
      </c>
      <c r="F4274" s="2">
        <v>52877</v>
      </c>
      <c r="G4274" s="3" t="str">
        <f>HYPERLINK("http://funmeta.oebiotech.com/network/52877", "http://funmeta.oebiotech.com/network/52877")</f>
        <v>http://funmeta.oebiotech.com/network/52877</v>
      </c>
      <c r="H4274" s="2" t="s">
        <v>28383</v>
      </c>
      <c r="I4274" s="2">
        <v>602</v>
      </c>
      <c r="J4274" s="2"/>
      <c r="K4274" s="2">
        <v>28445</v>
      </c>
      <c r="L4274" s="2" t="s">
        <v>28384</v>
      </c>
      <c r="M4274" s="2" t="s">
        <v>28385</v>
      </c>
      <c r="N4274" s="2" t="s">
        <v>28386</v>
      </c>
      <c r="O4274" s="2">
        <v>5978</v>
      </c>
      <c r="P4274" s="2" t="s">
        <v>28387</v>
      </c>
      <c r="Q4274" s="2" t="s">
        <v>28388</v>
      </c>
      <c r="R4274" s="2" t="s">
        <v>28389</v>
      </c>
      <c r="S4274" s="2" t="s">
        <v>39</v>
      </c>
      <c r="T4274" s="2" t="s">
        <v>28390</v>
      </c>
      <c r="U4274" s="2" t="s">
        <v>41</v>
      </c>
      <c r="V4274" s="2" t="s">
        <v>59</v>
      </c>
      <c r="W4274" s="2">
        <v>38.200000000000003</v>
      </c>
      <c r="X4274" s="2">
        <v>0.82499999999999996</v>
      </c>
      <c r="Y4274" s="2" t="s">
        <v>43</v>
      </c>
      <c r="Z4274" s="2" t="s">
        <v>28391</v>
      </c>
      <c r="AA4274" s="2">
        <v>-2.5387381725389302</v>
      </c>
      <c r="AB4274" s="2">
        <v>0.15442575626028299</v>
      </c>
      <c r="AC4274" s="2">
        <v>35548.261110179403</v>
      </c>
      <c r="AD4274" s="2">
        <v>32388.497953016798</v>
      </c>
      <c r="AE4274" s="2">
        <v>38181.478065285002</v>
      </c>
      <c r="AF4274" s="2">
        <v>35408.290121660801</v>
      </c>
      <c r="AG4274" s="2">
        <v>38368.626092067097</v>
      </c>
      <c r="AH4274" s="2">
        <v>32354.574210327599</v>
      </c>
      <c r="AI4274" s="2">
        <v>31121.5550757608</v>
      </c>
      <c r="AJ4274" s="2">
        <v>37855.043095975299</v>
      </c>
      <c r="AK4274" s="2">
        <v>34786.0715212828</v>
      </c>
      <c r="AL4274" s="2">
        <v>36073.338663946502</v>
      </c>
      <c r="AM4274" s="2">
        <v>32520.4275682277</v>
      </c>
      <c r="AN4274" s="2">
        <v>32010.672325438802</v>
      </c>
      <c r="AO4274" s="2">
        <v>31986.823090760299</v>
      </c>
      <c r="AP4274" s="2">
        <v>26953.6545484446</v>
      </c>
    </row>
    <row r="4275" spans="1:42" ht="14.5" x14ac:dyDescent="0.35">
      <c r="A4275" s="2" t="s">
        <v>28392</v>
      </c>
      <c r="B4275" s="2">
        <v>288.28941683483299</v>
      </c>
      <c r="C4275" s="2">
        <v>8.7648333333333301</v>
      </c>
      <c r="D4275" s="2" t="s">
        <v>34</v>
      </c>
      <c r="E4275" s="2" t="s">
        <v>28393</v>
      </c>
      <c r="F4275" s="2">
        <v>38930</v>
      </c>
      <c r="G4275" s="3" t="str">
        <f>HYPERLINK("http://funmeta.oebiotech.com/network/38930", "http://funmeta.oebiotech.com/network/38930")</f>
        <v>http://funmeta.oebiotech.com/network/38930</v>
      </c>
      <c r="H4275" s="2"/>
      <c r="I4275" s="2">
        <v>41558</v>
      </c>
      <c r="J4275" s="2" t="s">
        <v>28394</v>
      </c>
      <c r="K4275" s="2">
        <v>137124</v>
      </c>
      <c r="L4275" s="2"/>
      <c r="M4275" s="2"/>
      <c r="N4275" s="2"/>
      <c r="O4275" s="2">
        <v>3247037</v>
      </c>
      <c r="P4275" s="2"/>
      <c r="Q4275" s="2" t="s">
        <v>28395</v>
      </c>
      <c r="R4275" s="2" t="s">
        <v>28396</v>
      </c>
      <c r="S4275" s="2" t="s">
        <v>1677</v>
      </c>
      <c r="T4275" s="2" t="s">
        <v>1678</v>
      </c>
      <c r="U4275" s="2" t="s">
        <v>1679</v>
      </c>
      <c r="V4275" s="2" t="s">
        <v>59</v>
      </c>
      <c r="W4275" s="2">
        <v>44.6</v>
      </c>
      <c r="X4275" s="2">
        <v>27.4</v>
      </c>
      <c r="Y4275" s="2" t="s">
        <v>67</v>
      </c>
      <c r="Z4275" s="2" t="s">
        <v>28397</v>
      </c>
      <c r="AA4275" s="2">
        <v>-1.0060750253358901</v>
      </c>
      <c r="AB4275" s="2">
        <v>0.15442569950593099</v>
      </c>
      <c r="AC4275" s="2">
        <v>231755.416761492</v>
      </c>
      <c r="AD4275" s="2">
        <v>241560.99140887801</v>
      </c>
      <c r="AE4275" s="2">
        <v>221738.856172706</v>
      </c>
      <c r="AF4275" s="2">
        <v>218219.765313618</v>
      </c>
      <c r="AG4275" s="2">
        <v>212918.01507046301</v>
      </c>
      <c r="AH4275" s="2">
        <v>212654.50275345799</v>
      </c>
      <c r="AI4275" s="2">
        <v>273801.85757667501</v>
      </c>
      <c r="AJ4275" s="2">
        <v>251199.50368203101</v>
      </c>
      <c r="AK4275" s="2">
        <v>307432.67343408801</v>
      </c>
      <c r="AL4275" s="2">
        <v>261490.90516113699</v>
      </c>
      <c r="AM4275" s="2">
        <v>215948.86133524601</v>
      </c>
      <c r="AN4275" s="2">
        <v>190396.706866972</v>
      </c>
      <c r="AO4275" s="2">
        <v>247621.602480095</v>
      </c>
      <c r="AP4275" s="2">
        <v>226475.19917573201</v>
      </c>
    </row>
    <row r="4276" spans="1:42" ht="14.5" x14ac:dyDescent="0.35">
      <c r="A4276" s="2" t="s">
        <v>28398</v>
      </c>
      <c r="B4276" s="2">
        <v>471.31058336948001</v>
      </c>
      <c r="C4276" s="2">
        <v>4.8488333333333298</v>
      </c>
      <c r="D4276" s="2" t="s">
        <v>34</v>
      </c>
      <c r="E4276" s="2" t="s">
        <v>28399</v>
      </c>
      <c r="F4276" s="2">
        <v>59018</v>
      </c>
      <c r="G4276" s="3" t="str">
        <f>HYPERLINK("http://funmeta.oebiotech.com/network/59018", "http://funmeta.oebiotech.com/network/59018")</f>
        <v>http://funmeta.oebiotech.com/network/59018</v>
      </c>
      <c r="H4276" s="2" t="s">
        <v>28400</v>
      </c>
      <c r="I4276" s="2">
        <v>90452</v>
      </c>
      <c r="J4276" s="2"/>
      <c r="K4276" s="2"/>
      <c r="L4276" s="2"/>
      <c r="M4276" s="2"/>
      <c r="N4276" s="2"/>
      <c r="O4276" s="2">
        <v>131751668</v>
      </c>
      <c r="P4276" s="2"/>
      <c r="Q4276" s="2" t="s">
        <v>28401</v>
      </c>
      <c r="R4276" s="2" t="s">
        <v>28402</v>
      </c>
      <c r="S4276" s="2" t="s">
        <v>50</v>
      </c>
      <c r="T4276" s="2" t="s">
        <v>201</v>
      </c>
      <c r="U4276" s="2" t="s">
        <v>210</v>
      </c>
      <c r="V4276" s="2" t="s">
        <v>59</v>
      </c>
      <c r="W4276" s="2">
        <v>38.5</v>
      </c>
      <c r="X4276" s="2">
        <v>0</v>
      </c>
      <c r="Y4276" s="2" t="s">
        <v>394</v>
      </c>
      <c r="Z4276" s="2" t="s">
        <v>28403</v>
      </c>
      <c r="AA4276" s="2">
        <v>0.17540330403523799</v>
      </c>
      <c r="AB4276" s="2">
        <v>0.154361096803423</v>
      </c>
      <c r="AC4276" s="2">
        <v>5194.4135954165304</v>
      </c>
      <c r="AD4276" s="2">
        <v>2784.5312237798298</v>
      </c>
      <c r="AE4276" s="2">
        <v>6211.2642105027899</v>
      </c>
      <c r="AF4276" s="2">
        <v>5538.2183002311504</v>
      </c>
      <c r="AG4276" s="2">
        <v>2468.8740198968098</v>
      </c>
      <c r="AH4276" s="2">
        <v>6673.8285299445697</v>
      </c>
      <c r="AI4276" s="2">
        <v>4059.2299937796602</v>
      </c>
      <c r="AJ4276" s="2">
        <v>6215.06651814422</v>
      </c>
      <c r="AK4276" s="2">
        <v>4688.9683690184002</v>
      </c>
      <c r="AL4276" s="2">
        <v>3925.9169117504098</v>
      </c>
      <c r="AM4276" s="2">
        <v>954.25175879094297</v>
      </c>
      <c r="AN4276" s="2">
        <v>3497.1307399109801</v>
      </c>
      <c r="AO4276" s="2">
        <v>2427.7699196056201</v>
      </c>
      <c r="AP4276" s="2">
        <v>1213.14964360262</v>
      </c>
    </row>
    <row r="4277" spans="1:42" ht="14.5" x14ac:dyDescent="0.35">
      <c r="A4277" s="2" t="s">
        <v>28404</v>
      </c>
      <c r="B4277" s="2">
        <v>335.09809573771702</v>
      </c>
      <c r="C4277" s="2">
        <v>1.05673333333333</v>
      </c>
      <c r="D4277" s="2" t="s">
        <v>70</v>
      </c>
      <c r="E4277" s="2" t="s">
        <v>28405</v>
      </c>
      <c r="F4277" s="2">
        <v>52197</v>
      </c>
      <c r="G4277" s="3" t="str">
        <f>HYPERLINK("http://funmeta.oebiotech.com/network/52197", "http://funmeta.oebiotech.com/network/52197")</f>
        <v>http://funmeta.oebiotech.com/network/52197</v>
      </c>
      <c r="H4277" s="2" t="s">
        <v>28406</v>
      </c>
      <c r="I4277" s="2"/>
      <c r="J4277" s="2"/>
      <c r="K4277" s="2">
        <v>88769</v>
      </c>
      <c r="L4277" s="2"/>
      <c r="M4277" s="2"/>
      <c r="N4277" s="2"/>
      <c r="O4277" s="2">
        <v>53481699</v>
      </c>
      <c r="P4277" s="2"/>
      <c r="Q4277" s="2" t="s">
        <v>28407</v>
      </c>
      <c r="R4277" s="2" t="s">
        <v>28408</v>
      </c>
      <c r="S4277" s="2" t="s">
        <v>148</v>
      </c>
      <c r="T4277" s="2" t="s">
        <v>149</v>
      </c>
      <c r="U4277" s="2" t="s">
        <v>1593</v>
      </c>
      <c r="V4277" s="2" t="s">
        <v>59</v>
      </c>
      <c r="W4277" s="2">
        <v>38.5</v>
      </c>
      <c r="X4277" s="2">
        <v>0</v>
      </c>
      <c r="Y4277" s="2" t="s">
        <v>560</v>
      </c>
      <c r="Z4277" s="2" t="s">
        <v>28409</v>
      </c>
      <c r="AA4277" s="2">
        <v>-4.7963298549810096</v>
      </c>
      <c r="AB4277" s="2">
        <v>0.154259937630255</v>
      </c>
      <c r="AC4277" s="2">
        <v>8627.2682636776608</v>
      </c>
      <c r="AD4277" s="2">
        <v>11257.4781075132</v>
      </c>
      <c r="AE4277" s="2">
        <v>10181.522409880199</v>
      </c>
      <c r="AF4277" s="2">
        <v>8428.6429329884995</v>
      </c>
      <c r="AG4277" s="2">
        <v>8534.4388809479497</v>
      </c>
      <c r="AH4277" s="2">
        <v>8747.14055896637</v>
      </c>
      <c r="AI4277" s="2">
        <v>9181.1270430504592</v>
      </c>
      <c r="AJ4277" s="2">
        <v>6690.73775623245</v>
      </c>
      <c r="AK4277" s="2">
        <v>12064.019939352</v>
      </c>
      <c r="AL4277" s="2">
        <v>10662.8662143816</v>
      </c>
      <c r="AM4277" s="2">
        <v>12123.4985489431</v>
      </c>
      <c r="AN4277" s="2">
        <v>9367.0246942300291</v>
      </c>
      <c r="AO4277" s="2">
        <v>15287.462154131799</v>
      </c>
      <c r="AP4277" s="2">
        <v>8039.9970940408903</v>
      </c>
    </row>
    <row r="4278" spans="1:42" ht="14.5" x14ac:dyDescent="0.35">
      <c r="A4278" s="2" t="s">
        <v>28410</v>
      </c>
      <c r="B4278" s="2">
        <v>151.038948826298</v>
      </c>
      <c r="C4278" s="2">
        <v>3.6928666666666699</v>
      </c>
      <c r="D4278" s="2" t="s">
        <v>70</v>
      </c>
      <c r="E4278" s="2" t="s">
        <v>28411</v>
      </c>
      <c r="F4278" s="2">
        <v>47933</v>
      </c>
      <c r="G4278" s="3" t="str">
        <f>HYPERLINK("http://funmeta.oebiotech.com/network/47933", "http://funmeta.oebiotech.com/network/47933")</f>
        <v>http://funmeta.oebiotech.com/network/47933</v>
      </c>
      <c r="H4278" s="2" t="s">
        <v>28412</v>
      </c>
      <c r="I4278" s="2">
        <v>6661</v>
      </c>
      <c r="J4278" s="2"/>
      <c r="K4278" s="2">
        <v>20141</v>
      </c>
      <c r="L4278" s="2" t="s">
        <v>28413</v>
      </c>
      <c r="M4278" s="2" t="s">
        <v>23291</v>
      </c>
      <c r="N4278" s="2" t="s">
        <v>23292</v>
      </c>
      <c r="O4278" s="2">
        <v>6738</v>
      </c>
      <c r="P4278" s="2" t="s">
        <v>28414</v>
      </c>
      <c r="Q4278" s="2" t="s">
        <v>28415</v>
      </c>
      <c r="R4278" s="2" t="s">
        <v>28416</v>
      </c>
      <c r="S4278" s="2" t="s">
        <v>148</v>
      </c>
      <c r="T4278" s="2" t="s">
        <v>149</v>
      </c>
      <c r="U4278" s="2" t="s">
        <v>1593</v>
      </c>
      <c r="V4278" s="2" t="s">
        <v>42</v>
      </c>
      <c r="W4278" s="2">
        <v>48.5</v>
      </c>
      <c r="X4278" s="2">
        <v>54.1</v>
      </c>
      <c r="Y4278" s="2" t="s">
        <v>118</v>
      </c>
      <c r="Z4278" s="2" t="s">
        <v>26834</v>
      </c>
      <c r="AA4278" s="2">
        <v>-7.3586089166298896</v>
      </c>
      <c r="AB4278" s="2">
        <v>0.15422598120782399</v>
      </c>
      <c r="AC4278" s="2">
        <v>4377.1689687053904</v>
      </c>
      <c r="AD4278" s="2">
        <v>5999.0492873961903</v>
      </c>
      <c r="AE4278" s="2">
        <v>4379.6112956438801</v>
      </c>
      <c r="AF4278" s="2">
        <v>4406.0380149209996</v>
      </c>
      <c r="AG4278" s="2">
        <v>4546.446524039</v>
      </c>
      <c r="AH4278" s="2">
        <v>4412.8422939230704</v>
      </c>
      <c r="AI4278" s="2">
        <v>4281.9290560864902</v>
      </c>
      <c r="AJ4278" s="2">
        <v>4236.1466276189103</v>
      </c>
      <c r="AK4278" s="2">
        <v>6336.3815199087803</v>
      </c>
      <c r="AL4278" s="2">
        <v>6162.7157166807201</v>
      </c>
      <c r="AM4278" s="2">
        <v>6010.8330849594904</v>
      </c>
      <c r="AN4278" s="2">
        <v>6254.1837821954496</v>
      </c>
      <c r="AO4278" s="2">
        <v>5775.6046024416501</v>
      </c>
      <c r="AP4278" s="2">
        <v>5454.5770181910602</v>
      </c>
    </row>
    <row r="4279" spans="1:42" ht="14.5" x14ac:dyDescent="0.35">
      <c r="A4279" s="2" t="s">
        <v>28417</v>
      </c>
      <c r="B4279" s="2">
        <v>259.20512742281397</v>
      </c>
      <c r="C4279" s="2">
        <v>12.1619166666667</v>
      </c>
      <c r="D4279" s="2" t="s">
        <v>34</v>
      </c>
      <c r="E4279" s="2" t="s">
        <v>28418</v>
      </c>
      <c r="F4279" s="2">
        <v>1442</v>
      </c>
      <c r="G4279" s="3" t="str">
        <f>HYPERLINK("http://funmeta.oebiotech.com/network/1442", "http://funmeta.oebiotech.com/network/1442")</f>
        <v>http://funmeta.oebiotech.com/network/1442</v>
      </c>
      <c r="H4279" s="2"/>
      <c r="I4279" s="2"/>
      <c r="J4279" s="2" t="s">
        <v>28419</v>
      </c>
      <c r="K4279" s="2"/>
      <c r="L4279" s="2"/>
      <c r="M4279" s="2"/>
      <c r="N4279" s="2"/>
      <c r="O4279" s="2">
        <v>101677277</v>
      </c>
      <c r="P4279" s="2"/>
      <c r="Q4279" s="2" t="s">
        <v>28420</v>
      </c>
      <c r="R4279" s="2" t="s">
        <v>28421</v>
      </c>
      <c r="S4279" s="2" t="s">
        <v>50</v>
      </c>
      <c r="T4279" s="2" t="s">
        <v>229</v>
      </c>
      <c r="U4279" s="2" t="s">
        <v>433</v>
      </c>
      <c r="V4279" s="2" t="s">
        <v>59</v>
      </c>
      <c r="W4279" s="2">
        <v>46.7</v>
      </c>
      <c r="X4279" s="2">
        <v>40</v>
      </c>
      <c r="Y4279" s="2" t="s">
        <v>141</v>
      </c>
      <c r="Z4279" s="2" t="s">
        <v>28422</v>
      </c>
      <c r="AA4279" s="2">
        <v>-1.86259099440618</v>
      </c>
      <c r="AB4279" s="2">
        <v>0.154216696211531</v>
      </c>
      <c r="AC4279" s="2">
        <v>8279.9984427217205</v>
      </c>
      <c r="AD4279" s="2">
        <v>6399.6093184532301</v>
      </c>
      <c r="AE4279" s="2">
        <v>8635.4766257316696</v>
      </c>
      <c r="AF4279" s="2">
        <v>8357.4021532417191</v>
      </c>
      <c r="AG4279" s="2">
        <v>8017.1034324345701</v>
      </c>
      <c r="AH4279" s="2">
        <v>8822.4547941796209</v>
      </c>
      <c r="AI4279" s="2">
        <v>7147.7590677361304</v>
      </c>
      <c r="AJ4279" s="2">
        <v>8699.7945830066401</v>
      </c>
      <c r="AK4279" s="2">
        <v>7711.6739734223402</v>
      </c>
      <c r="AL4279" s="2">
        <v>5512.6963811000896</v>
      </c>
      <c r="AM4279" s="2">
        <v>6029.6918449487703</v>
      </c>
      <c r="AN4279" s="2">
        <v>5843.9638225410999</v>
      </c>
      <c r="AO4279" s="2">
        <v>6564.0212029233098</v>
      </c>
      <c r="AP4279" s="2">
        <v>6735.6086857837799</v>
      </c>
    </row>
    <row r="4280" spans="1:42" ht="14.5" x14ac:dyDescent="0.35">
      <c r="A4280" s="2" t="s">
        <v>28423</v>
      </c>
      <c r="B4280" s="2">
        <v>379.13989486526901</v>
      </c>
      <c r="C4280" s="2">
        <v>3.9323666666666699</v>
      </c>
      <c r="D4280" s="2" t="s">
        <v>70</v>
      </c>
      <c r="E4280" s="2" t="s">
        <v>28424</v>
      </c>
      <c r="F4280" s="2">
        <v>55783</v>
      </c>
      <c r="G4280" s="3" t="str">
        <f>HYPERLINK("http://funmeta.oebiotech.com/network/55783", "http://funmeta.oebiotech.com/network/55783")</f>
        <v>http://funmeta.oebiotech.com/network/55783</v>
      </c>
      <c r="H4280" s="2" t="s">
        <v>28425</v>
      </c>
      <c r="I4280" s="2">
        <v>87466</v>
      </c>
      <c r="J4280" s="2"/>
      <c r="K4280" s="2">
        <v>563250</v>
      </c>
      <c r="L4280" s="2"/>
      <c r="M4280" s="2"/>
      <c r="N4280" s="2"/>
      <c r="O4280" s="2">
        <v>286538</v>
      </c>
      <c r="P4280" s="2" t="s">
        <v>28426</v>
      </c>
      <c r="Q4280" s="2" t="s">
        <v>28427</v>
      </c>
      <c r="R4280" s="2" t="s">
        <v>28428</v>
      </c>
      <c r="S4280" s="2" t="s">
        <v>491</v>
      </c>
      <c r="T4280" s="2" t="s">
        <v>2184</v>
      </c>
      <c r="U4280" s="2" t="s">
        <v>28429</v>
      </c>
      <c r="V4280" s="2" t="s">
        <v>59</v>
      </c>
      <c r="W4280" s="2">
        <v>39</v>
      </c>
      <c r="X4280" s="2">
        <v>0</v>
      </c>
      <c r="Y4280" s="2" t="s">
        <v>560</v>
      </c>
      <c r="Z4280" s="2" t="s">
        <v>28430</v>
      </c>
      <c r="AA4280" s="2">
        <v>-3.37721106992498</v>
      </c>
      <c r="AB4280" s="2">
        <v>0.15419582016188499</v>
      </c>
      <c r="AC4280" s="2">
        <v>5015.6846799456198</v>
      </c>
      <c r="AD4280" s="2">
        <v>3067.21111772224</v>
      </c>
      <c r="AE4280" s="2">
        <v>4191.6531356616397</v>
      </c>
      <c r="AF4280" s="2">
        <v>4666.5780490342504</v>
      </c>
      <c r="AG4280" s="2">
        <v>5096.6704716220602</v>
      </c>
      <c r="AH4280" s="2">
        <v>6256.6784023912396</v>
      </c>
      <c r="AI4280" s="2">
        <v>5488.4706882661003</v>
      </c>
      <c r="AJ4280" s="2">
        <v>4394.0573326984104</v>
      </c>
      <c r="AK4280" s="2">
        <v>2065.0613650444202</v>
      </c>
      <c r="AL4280" s="2">
        <v>4358.2001729819704</v>
      </c>
      <c r="AM4280" s="2">
        <v>3443.94937753667</v>
      </c>
      <c r="AN4280" s="2">
        <v>3247.1584699723198</v>
      </c>
      <c r="AO4280" s="2">
        <v>2846.2236659629202</v>
      </c>
      <c r="AP4280" s="2">
        <v>2442.6736548351601</v>
      </c>
    </row>
    <row r="4281" spans="1:42" ht="14.5" x14ac:dyDescent="0.35">
      <c r="A4281" s="2" t="s">
        <v>28431</v>
      </c>
      <c r="B4281" s="2">
        <v>198.073556586656</v>
      </c>
      <c r="C4281" s="2">
        <v>1.2019166666666701</v>
      </c>
      <c r="D4281" s="2" t="s">
        <v>34</v>
      </c>
      <c r="E4281" s="2" t="s">
        <v>28432</v>
      </c>
      <c r="F4281" s="2">
        <v>58314</v>
      </c>
      <c r="G4281" s="3" t="str">
        <f>HYPERLINK("http://funmeta.oebiotech.com/network/58314", "http://funmeta.oebiotech.com/network/58314")</f>
        <v>http://funmeta.oebiotech.com/network/58314</v>
      </c>
      <c r="H4281" s="2" t="s">
        <v>28433</v>
      </c>
      <c r="I4281" s="2">
        <v>89805</v>
      </c>
      <c r="J4281" s="2"/>
      <c r="K4281" s="2">
        <v>64305</v>
      </c>
      <c r="L4281" s="2"/>
      <c r="M4281" s="2"/>
      <c r="N4281" s="2"/>
      <c r="O4281" s="2">
        <v>101122</v>
      </c>
      <c r="P4281" s="2" t="s">
        <v>28434</v>
      </c>
      <c r="Q4281" s="2" t="s">
        <v>28435</v>
      </c>
      <c r="R4281" s="2" t="s">
        <v>28436</v>
      </c>
      <c r="S4281" s="2" t="s">
        <v>89</v>
      </c>
      <c r="T4281" s="2" t="s">
        <v>90</v>
      </c>
      <c r="U4281" s="2" t="s">
        <v>99</v>
      </c>
      <c r="V4281" s="2" t="s">
        <v>59</v>
      </c>
      <c r="W4281" s="2">
        <v>43.3</v>
      </c>
      <c r="X4281" s="2">
        <v>21.1</v>
      </c>
      <c r="Y4281" s="2" t="s">
        <v>323</v>
      </c>
      <c r="Z4281" s="2" t="s">
        <v>28437</v>
      </c>
      <c r="AA4281" s="2">
        <v>-0.69676826532299496</v>
      </c>
      <c r="AB4281" s="2">
        <v>0.15397970054667801</v>
      </c>
      <c r="AC4281" s="2">
        <v>10147.5757391447</v>
      </c>
      <c r="AD4281" s="2">
        <v>8356.4572678508794</v>
      </c>
      <c r="AE4281" s="2">
        <v>10484.4074855206</v>
      </c>
      <c r="AF4281" s="2">
        <v>9996.0447800039892</v>
      </c>
      <c r="AG4281" s="2">
        <v>10758.4487609183</v>
      </c>
      <c r="AH4281" s="2">
        <v>10314.8657086441</v>
      </c>
      <c r="AI4281" s="2">
        <v>9212.6886900711397</v>
      </c>
      <c r="AJ4281" s="2">
        <v>10118.99900971</v>
      </c>
      <c r="AK4281" s="2">
        <v>9239.3757025104205</v>
      </c>
      <c r="AL4281" s="2">
        <v>8029.7876992368501</v>
      </c>
      <c r="AM4281" s="2">
        <v>7776.9025829567699</v>
      </c>
      <c r="AN4281" s="2">
        <v>8655.1574815717304</v>
      </c>
      <c r="AO4281" s="2">
        <v>7676.6965004205804</v>
      </c>
      <c r="AP4281" s="2">
        <v>8760.8236404089494</v>
      </c>
    </row>
    <row r="4282" spans="1:42" ht="14.5" x14ac:dyDescent="0.35">
      <c r="A4282" s="2" t="s">
        <v>28438</v>
      </c>
      <c r="B4282" s="2">
        <v>227.13889415342101</v>
      </c>
      <c r="C4282" s="2">
        <v>0.78071666666666695</v>
      </c>
      <c r="D4282" s="2" t="s">
        <v>34</v>
      </c>
      <c r="E4282" s="2" t="s">
        <v>28439</v>
      </c>
      <c r="F4282" s="2">
        <v>52699</v>
      </c>
      <c r="G4282" s="3" t="str">
        <f>HYPERLINK("http://funmeta.oebiotech.com/network/52699", "http://funmeta.oebiotech.com/network/52699")</f>
        <v>http://funmeta.oebiotech.com/network/52699</v>
      </c>
      <c r="H4282" s="2" t="s">
        <v>28440</v>
      </c>
      <c r="I4282" s="2">
        <v>494</v>
      </c>
      <c r="J4282" s="2"/>
      <c r="K4282" s="2">
        <v>7983</v>
      </c>
      <c r="L4282" s="2" t="s">
        <v>28441</v>
      </c>
      <c r="M4282" s="2"/>
      <c r="N4282" s="2"/>
      <c r="O4282" s="2">
        <v>4737</v>
      </c>
      <c r="P4282" s="2" t="s">
        <v>28442</v>
      </c>
      <c r="Q4282" s="2" t="s">
        <v>28443</v>
      </c>
      <c r="R4282" s="2" t="s">
        <v>28444</v>
      </c>
      <c r="S4282" s="2" t="s">
        <v>491</v>
      </c>
      <c r="T4282" s="2" t="s">
        <v>4517</v>
      </c>
      <c r="U4282" s="2" t="s">
        <v>4518</v>
      </c>
      <c r="V4282" s="2" t="s">
        <v>59</v>
      </c>
      <c r="W4282" s="2">
        <v>38.799999999999997</v>
      </c>
      <c r="X4282" s="2">
        <v>0</v>
      </c>
      <c r="Y4282" s="2" t="s">
        <v>1249</v>
      </c>
      <c r="Z4282" s="2" t="s">
        <v>28445</v>
      </c>
      <c r="AA4282" s="2">
        <v>-0.55155511402895496</v>
      </c>
      <c r="AB4282" s="2">
        <v>0.15396469797795401</v>
      </c>
      <c r="AC4282" s="2">
        <v>24068.984881488399</v>
      </c>
      <c r="AD4282" s="2">
        <v>26790.858918275</v>
      </c>
      <c r="AE4282" s="2">
        <v>22617.808267711102</v>
      </c>
      <c r="AF4282" s="2">
        <v>23579.729643924002</v>
      </c>
      <c r="AG4282" s="2">
        <v>26146.934614705799</v>
      </c>
      <c r="AH4282" s="2">
        <v>25081.607188054099</v>
      </c>
      <c r="AI4282" s="2">
        <v>22686.470846472399</v>
      </c>
      <c r="AJ4282" s="2">
        <v>24301.3587280631</v>
      </c>
      <c r="AK4282" s="2">
        <v>24965.731614212</v>
      </c>
      <c r="AL4282" s="2">
        <v>31408.491142471401</v>
      </c>
      <c r="AM4282" s="2">
        <v>24916.563389297098</v>
      </c>
      <c r="AN4282" s="2">
        <v>26524.2217977074</v>
      </c>
      <c r="AO4282" s="2">
        <v>28172.871616859698</v>
      </c>
      <c r="AP4282" s="2">
        <v>24757.273949102499</v>
      </c>
    </row>
    <row r="4283" spans="1:42" ht="14.5" x14ac:dyDescent="0.35">
      <c r="A4283" s="2" t="s">
        <v>28446</v>
      </c>
      <c r="B4283" s="2">
        <v>476.15525900415099</v>
      </c>
      <c r="C4283" s="2">
        <v>9.7086333333333297</v>
      </c>
      <c r="D4283" s="2" t="s">
        <v>34</v>
      </c>
      <c r="E4283" s="2" t="s">
        <v>28447</v>
      </c>
      <c r="F4283" s="2">
        <v>55451</v>
      </c>
      <c r="G4283" s="3" t="str">
        <f>HYPERLINK("http://funmeta.oebiotech.com/network/55451", "http://funmeta.oebiotech.com/network/55451")</f>
        <v>http://funmeta.oebiotech.com/network/55451</v>
      </c>
      <c r="H4283" s="2" t="s">
        <v>28448</v>
      </c>
      <c r="I4283" s="2">
        <v>87139</v>
      </c>
      <c r="J4283" s="2"/>
      <c r="K4283" s="2"/>
      <c r="L4283" s="2"/>
      <c r="M4283" s="2"/>
      <c r="N4283" s="2"/>
      <c r="O4283" s="2">
        <v>53398699</v>
      </c>
      <c r="P4283" s="2" t="s">
        <v>28449</v>
      </c>
      <c r="Q4283" s="2" t="s">
        <v>28450</v>
      </c>
      <c r="R4283" s="2" t="s">
        <v>28451</v>
      </c>
      <c r="S4283" s="2" t="s">
        <v>115</v>
      </c>
      <c r="T4283" s="2" t="s">
        <v>1371</v>
      </c>
      <c r="U4283" s="2" t="s">
        <v>1372</v>
      </c>
      <c r="V4283" s="2" t="s">
        <v>59</v>
      </c>
      <c r="W4283" s="2">
        <v>38.4</v>
      </c>
      <c r="X4283" s="2">
        <v>0</v>
      </c>
      <c r="Y4283" s="2" t="s">
        <v>43</v>
      </c>
      <c r="Z4283" s="2" t="s">
        <v>28452</v>
      </c>
      <c r="AA4283" s="2">
        <v>0.29811539401898401</v>
      </c>
      <c r="AB4283" s="2">
        <v>0.153862182397419</v>
      </c>
      <c r="AC4283" s="2">
        <v>7300.0640478387304</v>
      </c>
      <c r="AD4283" s="2">
        <v>9578.7207560285096</v>
      </c>
      <c r="AE4283" s="2">
        <v>8507.0483734126792</v>
      </c>
      <c r="AF4283" s="2">
        <v>6160.3067269275198</v>
      </c>
      <c r="AG4283" s="2">
        <v>7575.2532752918196</v>
      </c>
      <c r="AH4283" s="2">
        <v>8036.7594969482298</v>
      </c>
      <c r="AI4283" s="2">
        <v>7628.8448989517701</v>
      </c>
      <c r="AJ4283" s="2">
        <v>5892.1715155003603</v>
      </c>
      <c r="AK4283" s="2">
        <v>9005.8228881518899</v>
      </c>
      <c r="AL4283" s="2">
        <v>7775.4096351016897</v>
      </c>
      <c r="AM4283" s="2">
        <v>10469.157971803001</v>
      </c>
      <c r="AN4283" s="2">
        <v>9720.6700717886506</v>
      </c>
      <c r="AO4283" s="2">
        <v>12225.412193357</v>
      </c>
      <c r="AP4283" s="2">
        <v>8275.8517759688402</v>
      </c>
    </row>
    <row r="4284" spans="1:42" ht="14.5" x14ac:dyDescent="0.35">
      <c r="A4284" s="2" t="s">
        <v>28453</v>
      </c>
      <c r="B4284" s="2">
        <v>288.28929409184099</v>
      </c>
      <c r="C4284" s="2">
        <v>8.5262166666666701</v>
      </c>
      <c r="D4284" s="2" t="s">
        <v>34</v>
      </c>
      <c r="E4284" s="2" t="s">
        <v>28454</v>
      </c>
      <c r="F4284" s="2">
        <v>63</v>
      </c>
      <c r="G4284" s="3" t="str">
        <f>HYPERLINK("http://funmeta.oebiotech.com/network/63", "http://funmeta.oebiotech.com/network/63")</f>
        <v>http://funmeta.oebiotech.com/network/63</v>
      </c>
      <c r="H4284" s="2" t="s">
        <v>28455</v>
      </c>
      <c r="I4284" s="2">
        <v>4206</v>
      </c>
      <c r="J4284" s="2" t="s">
        <v>28456</v>
      </c>
      <c r="K4284" s="2">
        <v>32365</v>
      </c>
      <c r="L4284" s="2"/>
      <c r="M4284" s="2"/>
      <c r="N4284" s="2"/>
      <c r="O4284" s="2">
        <v>10465</v>
      </c>
      <c r="P4284" s="2" t="s">
        <v>28457</v>
      </c>
      <c r="Q4284" s="2" t="s">
        <v>28458</v>
      </c>
      <c r="R4284" s="2" t="s">
        <v>28459</v>
      </c>
      <c r="S4284" s="2" t="s">
        <v>50</v>
      </c>
      <c r="T4284" s="2" t="s">
        <v>229</v>
      </c>
      <c r="U4284" s="2" t="s">
        <v>433</v>
      </c>
      <c r="V4284" s="2" t="s">
        <v>59</v>
      </c>
      <c r="W4284" s="2">
        <v>40.1</v>
      </c>
      <c r="X4284" s="2">
        <v>6.49</v>
      </c>
      <c r="Y4284" s="2" t="s">
        <v>43</v>
      </c>
      <c r="Z4284" s="2" t="s">
        <v>28460</v>
      </c>
      <c r="AA4284" s="2">
        <v>-1.52362145841843</v>
      </c>
      <c r="AB4284" s="2">
        <v>0.153838079895392</v>
      </c>
      <c r="AC4284" s="2">
        <v>65486.300548808598</v>
      </c>
      <c r="AD4284" s="2">
        <v>71865.625422907193</v>
      </c>
      <c r="AE4284" s="2">
        <v>58508.265298477898</v>
      </c>
      <c r="AF4284" s="2">
        <v>59957.824504189797</v>
      </c>
      <c r="AG4284" s="2">
        <v>56447.077963947901</v>
      </c>
      <c r="AH4284" s="2">
        <v>61747.8092557114</v>
      </c>
      <c r="AI4284" s="2">
        <v>83236.128598686701</v>
      </c>
      <c r="AJ4284" s="2">
        <v>73020.697671837901</v>
      </c>
      <c r="AK4284" s="2">
        <v>97804.706744212206</v>
      </c>
      <c r="AL4284" s="2">
        <v>73279.136627181098</v>
      </c>
      <c r="AM4284" s="2">
        <v>59913.144168635401</v>
      </c>
      <c r="AN4284" s="2">
        <v>53008.777906795804</v>
      </c>
      <c r="AO4284" s="2">
        <v>85985.035186474401</v>
      </c>
      <c r="AP4284" s="2">
        <v>61202.951904144502</v>
      </c>
    </row>
    <row r="4285" spans="1:42" ht="14.5" x14ac:dyDescent="0.35">
      <c r="A4285" s="2" t="s">
        <v>28461</v>
      </c>
      <c r="B4285" s="2">
        <v>295.11831462530102</v>
      </c>
      <c r="C4285" s="2">
        <v>4.5612000000000004</v>
      </c>
      <c r="D4285" s="2" t="s">
        <v>70</v>
      </c>
      <c r="E4285" s="2" t="s">
        <v>28462</v>
      </c>
      <c r="F4285" s="2">
        <v>62156</v>
      </c>
      <c r="G4285" s="3" t="str">
        <f>HYPERLINK("http://funmeta.oebiotech.com/network/62156", "http://funmeta.oebiotech.com/network/62156")</f>
        <v>http://funmeta.oebiotech.com/network/62156</v>
      </c>
      <c r="H4285" s="2" t="s">
        <v>28463</v>
      </c>
      <c r="I4285" s="2">
        <v>45333</v>
      </c>
      <c r="J4285" s="2"/>
      <c r="K4285" s="2">
        <v>82625</v>
      </c>
      <c r="L4285" s="2"/>
      <c r="M4285" s="2"/>
      <c r="N4285" s="2"/>
      <c r="O4285" s="2">
        <v>40634</v>
      </c>
      <c r="P4285" s="2" t="s">
        <v>28464</v>
      </c>
      <c r="Q4285" s="2" t="s">
        <v>28465</v>
      </c>
      <c r="R4285" s="2" t="s">
        <v>28466</v>
      </c>
      <c r="S4285" s="2" t="s">
        <v>491</v>
      </c>
      <c r="T4285" s="2" t="s">
        <v>2251</v>
      </c>
      <c r="U4285" s="2" t="s">
        <v>2252</v>
      </c>
      <c r="V4285" s="2" t="s">
        <v>59</v>
      </c>
      <c r="W4285" s="2">
        <v>38.9</v>
      </c>
      <c r="X4285" s="2">
        <v>0</v>
      </c>
      <c r="Y4285" s="2" t="s">
        <v>408</v>
      </c>
      <c r="Z4285" s="2" t="s">
        <v>28467</v>
      </c>
      <c r="AA4285" s="2">
        <v>-1.5884351139230699</v>
      </c>
      <c r="AB4285" s="2">
        <v>0.15370183142241001</v>
      </c>
      <c r="AC4285" s="2">
        <v>14122.448933096701</v>
      </c>
      <c r="AD4285" s="2">
        <v>11991.6974682118</v>
      </c>
      <c r="AE4285" s="2">
        <v>15148.647435401899</v>
      </c>
      <c r="AF4285" s="2">
        <v>12511.7546802745</v>
      </c>
      <c r="AG4285" s="2">
        <v>16234.909175418201</v>
      </c>
      <c r="AH4285" s="2">
        <v>13267.8139552147</v>
      </c>
      <c r="AI4285" s="2">
        <v>13016.015416489399</v>
      </c>
      <c r="AJ4285" s="2">
        <v>14555.552935781399</v>
      </c>
      <c r="AK4285" s="2">
        <v>12997.3337494384</v>
      </c>
      <c r="AL4285" s="2">
        <v>12103.3264332567</v>
      </c>
      <c r="AM4285" s="2">
        <v>11376.4411079331</v>
      </c>
      <c r="AN4285" s="2">
        <v>12099.1490052398</v>
      </c>
      <c r="AO4285" s="2">
        <v>12304.727837078501</v>
      </c>
      <c r="AP4285" s="2">
        <v>11069.2066763241</v>
      </c>
    </row>
    <row r="4286" spans="1:42" ht="14.5" x14ac:dyDescent="0.35">
      <c r="A4286" s="2" t="s">
        <v>28468</v>
      </c>
      <c r="B4286" s="2">
        <v>301.11928226341098</v>
      </c>
      <c r="C4286" s="2">
        <v>4.96875</v>
      </c>
      <c r="D4286" s="2" t="s">
        <v>70</v>
      </c>
      <c r="E4286" s="2" t="s">
        <v>28469</v>
      </c>
      <c r="F4286" s="2">
        <v>47862</v>
      </c>
      <c r="G4286" s="3" t="str">
        <f>HYPERLINK("http://funmeta.oebiotech.com/network/47862", "http://funmeta.oebiotech.com/network/47862")</f>
        <v>http://funmeta.oebiotech.com/network/47862</v>
      </c>
      <c r="H4286" s="2" t="s">
        <v>28470</v>
      </c>
      <c r="I4286" s="2">
        <v>43382</v>
      </c>
      <c r="J4286" s="2"/>
      <c r="K4286" s="2">
        <v>55484</v>
      </c>
      <c r="L4286" s="2"/>
      <c r="M4286" s="2"/>
      <c r="N4286" s="2"/>
      <c r="O4286" s="2">
        <v>3866</v>
      </c>
      <c r="P4286" s="2" t="s">
        <v>28471</v>
      </c>
      <c r="Q4286" s="2" t="s">
        <v>28472</v>
      </c>
      <c r="R4286" s="2" t="s">
        <v>28473</v>
      </c>
      <c r="S4286" s="2" t="s">
        <v>89</v>
      </c>
      <c r="T4286" s="2" t="s">
        <v>90</v>
      </c>
      <c r="U4286" s="2" t="s">
        <v>99</v>
      </c>
      <c r="V4286" s="2" t="s">
        <v>42</v>
      </c>
      <c r="W4286" s="2">
        <v>48.6</v>
      </c>
      <c r="X4286" s="2">
        <v>48.8</v>
      </c>
      <c r="Y4286" s="2" t="s">
        <v>560</v>
      </c>
      <c r="Z4286" s="2" t="s">
        <v>28474</v>
      </c>
      <c r="AA4286" s="2">
        <v>-0.32559089738184999</v>
      </c>
      <c r="AB4286" s="2">
        <v>0.153659894375446</v>
      </c>
      <c r="AC4286" s="2">
        <v>9103.3384958874794</v>
      </c>
      <c r="AD4286" s="2">
        <v>10980.4510679389</v>
      </c>
      <c r="AE4286" s="2">
        <v>8873.5065343907409</v>
      </c>
      <c r="AF4286" s="2">
        <v>8878.0987636783593</v>
      </c>
      <c r="AG4286" s="2">
        <v>8480.99143017598</v>
      </c>
      <c r="AH4286" s="2">
        <v>10139.701610935599</v>
      </c>
      <c r="AI4286" s="2">
        <v>8707.3125530490906</v>
      </c>
      <c r="AJ4286" s="2">
        <v>9540.4200830951395</v>
      </c>
      <c r="AK4286" s="2">
        <v>11089.037370683</v>
      </c>
      <c r="AL4286" s="2">
        <v>10515.5556979842</v>
      </c>
      <c r="AM4286" s="2">
        <v>12101.4191959165</v>
      </c>
      <c r="AN4286" s="2">
        <v>9946.5140027143807</v>
      </c>
      <c r="AO4286" s="2">
        <v>10658.4892131919</v>
      </c>
      <c r="AP4286" s="2">
        <v>11571.6909271436</v>
      </c>
    </row>
    <row r="4287" spans="1:42" ht="14.5" x14ac:dyDescent="0.35">
      <c r="A4287" s="2" t="s">
        <v>28475</v>
      </c>
      <c r="B4287" s="2">
        <v>679.24217586295094</v>
      </c>
      <c r="C4287" s="2">
        <v>11.0078333333333</v>
      </c>
      <c r="D4287" s="2" t="s">
        <v>70</v>
      </c>
      <c r="E4287" s="2" t="s">
        <v>28476</v>
      </c>
      <c r="F4287" s="2">
        <v>47223</v>
      </c>
      <c r="G4287" s="3" t="str">
        <f>HYPERLINK("http://funmeta.oebiotech.com/network/47223", "http://funmeta.oebiotech.com/network/47223")</f>
        <v>http://funmeta.oebiotech.com/network/47223</v>
      </c>
      <c r="H4287" s="2" t="s">
        <v>28477</v>
      </c>
      <c r="I4287" s="2">
        <v>5755</v>
      </c>
      <c r="J4287" s="2"/>
      <c r="K4287" s="2"/>
      <c r="L4287" s="2"/>
      <c r="M4287" s="2"/>
      <c r="N4287" s="2"/>
      <c r="O4287" s="2"/>
      <c r="P4287" s="2" t="s">
        <v>28478</v>
      </c>
      <c r="Q4287" s="2" t="s">
        <v>28479</v>
      </c>
      <c r="R4287" s="2" t="s">
        <v>28480</v>
      </c>
      <c r="S4287" s="2" t="s">
        <v>491</v>
      </c>
      <c r="T4287" s="2" t="s">
        <v>492</v>
      </c>
      <c r="U4287" s="2" t="s">
        <v>6398</v>
      </c>
      <c r="V4287" s="2" t="s">
        <v>59</v>
      </c>
      <c r="W4287" s="2">
        <v>37.299999999999997</v>
      </c>
      <c r="X4287" s="2">
        <v>0</v>
      </c>
      <c r="Y4287" s="2" t="s">
        <v>751</v>
      </c>
      <c r="Z4287" s="2" t="s">
        <v>28481</v>
      </c>
      <c r="AA4287" s="2">
        <v>1.7522865484939101</v>
      </c>
      <c r="AB4287" s="2">
        <v>0.15364690683250801</v>
      </c>
      <c r="AC4287" s="2">
        <v>1606.41295782318</v>
      </c>
      <c r="AD4287" s="2">
        <v>2.7106294003980101E-5</v>
      </c>
      <c r="AE4287" s="2">
        <v>1753.8518339187301</v>
      </c>
      <c r="AF4287" s="2">
        <v>1388.69671297694</v>
      </c>
      <c r="AG4287" s="2">
        <v>1764.07420243196</v>
      </c>
      <c r="AH4287" s="2">
        <v>1856.7541693882599</v>
      </c>
      <c r="AI4287" s="2">
        <v>1849.7800108014701</v>
      </c>
      <c r="AJ4287" s="2">
        <v>1025.3208174217</v>
      </c>
      <c r="AK4287" s="2">
        <v>2.7106294003980101E-5</v>
      </c>
      <c r="AL4287" s="2">
        <v>2.7106294003980101E-5</v>
      </c>
      <c r="AM4287" s="2">
        <v>2.7106294003980101E-5</v>
      </c>
      <c r="AN4287" s="2">
        <v>2.7106294003980101E-5</v>
      </c>
      <c r="AO4287" s="2">
        <v>2.7106294003980101E-5</v>
      </c>
      <c r="AP4287" s="2">
        <v>2.7106294003980101E-5</v>
      </c>
    </row>
    <row r="4288" spans="1:42" ht="14.5" x14ac:dyDescent="0.35">
      <c r="A4288" s="2" t="s">
        <v>28482</v>
      </c>
      <c r="B4288" s="2">
        <v>271.09624968916199</v>
      </c>
      <c r="C4288" s="2">
        <v>4.5143500000000003</v>
      </c>
      <c r="D4288" s="2" t="s">
        <v>34</v>
      </c>
      <c r="E4288" s="2" t="s">
        <v>28483</v>
      </c>
      <c r="F4288" s="2">
        <v>266759</v>
      </c>
      <c r="G4288" s="3" t="str">
        <f>HYPERLINK("http://funmeta.oebiotech.com/network/266759", "http://funmeta.oebiotech.com/network/266759")</f>
        <v>http://funmeta.oebiotech.com/network/266759</v>
      </c>
      <c r="H4288" s="2"/>
      <c r="I4288" s="2">
        <v>43919</v>
      </c>
      <c r="J4288" s="2"/>
      <c r="K4288" s="2"/>
      <c r="L4288" s="2"/>
      <c r="M4288" s="2"/>
      <c r="N4288" s="2"/>
      <c r="O4288" s="2">
        <v>3950721</v>
      </c>
      <c r="P4288" s="2"/>
      <c r="Q4288" s="2" t="s">
        <v>28484</v>
      </c>
      <c r="R4288" s="2" t="s">
        <v>28485</v>
      </c>
      <c r="S4288" s="2" t="s">
        <v>115</v>
      </c>
      <c r="T4288" s="2" t="s">
        <v>15131</v>
      </c>
      <c r="U4288" s="2" t="s">
        <v>15132</v>
      </c>
      <c r="V4288" s="2" t="s">
        <v>42</v>
      </c>
      <c r="W4288" s="2">
        <v>49.4</v>
      </c>
      <c r="X4288" s="2">
        <v>53</v>
      </c>
      <c r="Y4288" s="2" t="s">
        <v>394</v>
      </c>
      <c r="Z4288" s="2" t="s">
        <v>28486</v>
      </c>
      <c r="AA4288" s="2">
        <v>-0.87256376850960204</v>
      </c>
      <c r="AB4288" s="2">
        <v>0.153603862551282</v>
      </c>
      <c r="AC4288" s="2">
        <v>65797.417593360296</v>
      </c>
      <c r="AD4288" s="2">
        <v>69649.9954398517</v>
      </c>
      <c r="AE4288" s="2">
        <v>60699.828848107703</v>
      </c>
      <c r="AF4288" s="2">
        <v>68457.474795648406</v>
      </c>
      <c r="AG4288" s="2">
        <v>64955.400790724299</v>
      </c>
      <c r="AH4288" s="2">
        <v>62538.358856140498</v>
      </c>
      <c r="AI4288" s="2">
        <v>70886.942750013404</v>
      </c>
      <c r="AJ4288" s="2">
        <v>67246.499519527293</v>
      </c>
      <c r="AK4288" s="2">
        <v>75495.387265313402</v>
      </c>
      <c r="AL4288" s="2">
        <v>68500.7098813911</v>
      </c>
      <c r="AM4288" s="2">
        <v>67726.365787823001</v>
      </c>
      <c r="AN4288" s="2">
        <v>69630.597716064804</v>
      </c>
      <c r="AO4288" s="2">
        <v>60483.735329933101</v>
      </c>
      <c r="AP4288" s="2">
        <v>76063.176658584605</v>
      </c>
    </row>
    <row r="4289" spans="1:42" ht="14.5" x14ac:dyDescent="0.35">
      <c r="A4289" s="2" t="s">
        <v>28487</v>
      </c>
      <c r="B4289" s="2">
        <v>317.174614078182</v>
      </c>
      <c r="C4289" s="2">
        <v>4.3791333333333302</v>
      </c>
      <c r="D4289" s="2" t="s">
        <v>34</v>
      </c>
      <c r="E4289" s="2" t="s">
        <v>28488</v>
      </c>
      <c r="F4289" s="2">
        <v>54493</v>
      </c>
      <c r="G4289" s="3" t="str">
        <f>HYPERLINK("http://funmeta.oebiotech.com/network/54493", "http://funmeta.oebiotech.com/network/54493")</f>
        <v>http://funmeta.oebiotech.com/network/54493</v>
      </c>
      <c r="H4289" s="2" t="s">
        <v>28489</v>
      </c>
      <c r="I4289" s="2">
        <v>86348</v>
      </c>
      <c r="J4289" s="2"/>
      <c r="K4289" s="2">
        <v>172548</v>
      </c>
      <c r="L4289" s="2"/>
      <c r="M4289" s="2"/>
      <c r="N4289" s="2"/>
      <c r="O4289" s="2">
        <v>18406287</v>
      </c>
      <c r="P4289" s="2" t="s">
        <v>28490</v>
      </c>
      <c r="Q4289" s="2" t="s">
        <v>28491</v>
      </c>
      <c r="R4289" s="2" t="s">
        <v>28492</v>
      </c>
      <c r="S4289" s="2" t="s">
        <v>115</v>
      </c>
      <c r="T4289" s="2" t="s">
        <v>116</v>
      </c>
      <c r="U4289" s="2" t="s">
        <v>117</v>
      </c>
      <c r="V4289" s="2" t="s">
        <v>59</v>
      </c>
      <c r="W4289" s="2">
        <v>38.9</v>
      </c>
      <c r="X4289" s="2">
        <v>0</v>
      </c>
      <c r="Y4289" s="2" t="s">
        <v>266</v>
      </c>
      <c r="Z4289" s="2" t="s">
        <v>2046</v>
      </c>
      <c r="AA4289" s="2">
        <v>-0.38461180628401997</v>
      </c>
      <c r="AB4289" s="2">
        <v>0.15355643934675201</v>
      </c>
      <c r="AC4289" s="2">
        <v>48304.826900084503</v>
      </c>
      <c r="AD4289" s="2">
        <v>45354.009569493501</v>
      </c>
      <c r="AE4289" s="2">
        <v>49375.916495629303</v>
      </c>
      <c r="AF4289" s="2">
        <v>50929.877299221298</v>
      </c>
      <c r="AG4289" s="2">
        <v>46401.718205470002</v>
      </c>
      <c r="AH4289" s="2">
        <v>45084.340336823901</v>
      </c>
      <c r="AI4289" s="2">
        <v>51313.427777053803</v>
      </c>
      <c r="AJ4289" s="2">
        <v>46723.681286308398</v>
      </c>
      <c r="AK4289" s="2">
        <v>45746.162361278301</v>
      </c>
      <c r="AL4289" s="2">
        <v>43334.990052412402</v>
      </c>
      <c r="AM4289" s="2">
        <v>45432.394372274102</v>
      </c>
      <c r="AN4289" s="2">
        <v>45257.102059197699</v>
      </c>
      <c r="AO4289" s="2">
        <v>42450.044569065998</v>
      </c>
      <c r="AP4289" s="2">
        <v>49903.364002732596</v>
      </c>
    </row>
    <row r="4290" spans="1:42" ht="14.5" x14ac:dyDescent="0.35">
      <c r="A4290" s="2" t="s">
        <v>28493</v>
      </c>
      <c r="B4290" s="2">
        <v>178.049770620717</v>
      </c>
      <c r="C4290" s="2">
        <v>3.3640833333333302</v>
      </c>
      <c r="D4290" s="2" t="s">
        <v>34</v>
      </c>
      <c r="E4290" s="2" t="s">
        <v>28494</v>
      </c>
      <c r="F4290" s="2">
        <v>204063</v>
      </c>
      <c r="G4290" s="3" t="str">
        <f>HYPERLINK("http://funmeta.oebiotech.com/network/204063", "http://funmeta.oebiotech.com/network/204063")</f>
        <v>http://funmeta.oebiotech.com/network/204063</v>
      </c>
      <c r="H4290" s="2" t="s">
        <v>28495</v>
      </c>
      <c r="I4290" s="2"/>
      <c r="J4290" s="2"/>
      <c r="K4290" s="2"/>
      <c r="L4290" s="2"/>
      <c r="M4290" s="2"/>
      <c r="N4290" s="2"/>
      <c r="O4290" s="2">
        <v>21624997</v>
      </c>
      <c r="P4290" s="2"/>
      <c r="Q4290" s="2" t="s">
        <v>28496</v>
      </c>
      <c r="R4290" s="2" t="s">
        <v>28497</v>
      </c>
      <c r="S4290" s="2" t="s">
        <v>41</v>
      </c>
      <c r="T4290" s="2" t="s">
        <v>41</v>
      </c>
      <c r="U4290" s="2" t="s">
        <v>41</v>
      </c>
      <c r="V4290" s="2" t="s">
        <v>59</v>
      </c>
      <c r="W4290" s="2">
        <v>39</v>
      </c>
      <c r="X4290" s="2">
        <v>4.3899999999999997</v>
      </c>
      <c r="Y4290" s="2" t="s">
        <v>67</v>
      </c>
      <c r="Z4290" s="2" t="s">
        <v>28498</v>
      </c>
      <c r="AA4290" s="2">
        <v>-0.55861841826666803</v>
      </c>
      <c r="AB4290" s="2">
        <v>0.15339323648223899</v>
      </c>
      <c r="AC4290" s="2">
        <v>9214.3953127555596</v>
      </c>
      <c r="AD4290" s="2">
        <v>10980.3717456256</v>
      </c>
      <c r="AE4290" s="2">
        <v>8645.2607481821906</v>
      </c>
      <c r="AF4290" s="2">
        <v>8762.7781520575409</v>
      </c>
      <c r="AG4290" s="2">
        <v>9304.2907051096408</v>
      </c>
      <c r="AH4290" s="2">
        <v>9740.5825839939207</v>
      </c>
      <c r="AI4290" s="2">
        <v>8925.4098577479708</v>
      </c>
      <c r="AJ4290" s="2">
        <v>9908.0498294421195</v>
      </c>
      <c r="AK4290" s="2">
        <v>10987.033367189</v>
      </c>
      <c r="AL4290" s="2">
        <v>11764.3757818634</v>
      </c>
      <c r="AM4290" s="2">
        <v>11039.244779054299</v>
      </c>
      <c r="AN4290" s="2">
        <v>10320.3686718425</v>
      </c>
      <c r="AO4290" s="2">
        <v>10481.883781786701</v>
      </c>
      <c r="AP4290" s="2">
        <v>11289.3240920179</v>
      </c>
    </row>
    <row r="4291" spans="1:42" ht="14.5" x14ac:dyDescent="0.35">
      <c r="A4291" s="2" t="s">
        <v>28499</v>
      </c>
      <c r="B4291" s="2">
        <v>273.14829636578298</v>
      </c>
      <c r="C4291" s="2">
        <v>9.1582833333333298</v>
      </c>
      <c r="D4291" s="2" t="s">
        <v>34</v>
      </c>
      <c r="E4291" s="2" t="s">
        <v>28500</v>
      </c>
      <c r="F4291" s="2">
        <v>60446</v>
      </c>
      <c r="G4291" s="3" t="str">
        <f>HYPERLINK("http://funmeta.oebiotech.com/network/60446", "http://funmeta.oebiotech.com/network/60446")</f>
        <v>http://funmeta.oebiotech.com/network/60446</v>
      </c>
      <c r="H4291" s="2" t="s">
        <v>28501</v>
      </c>
      <c r="I4291" s="2"/>
      <c r="J4291" s="2"/>
      <c r="K4291" s="2">
        <v>6390</v>
      </c>
      <c r="L4291" s="2" t="s">
        <v>28502</v>
      </c>
      <c r="M4291" s="2"/>
      <c r="N4291" s="2"/>
      <c r="O4291" s="2">
        <v>18615526</v>
      </c>
      <c r="P4291" s="2" t="s">
        <v>28503</v>
      </c>
      <c r="Q4291" s="2" t="s">
        <v>28504</v>
      </c>
      <c r="R4291" s="2" t="s">
        <v>28505</v>
      </c>
      <c r="S4291" s="2" t="s">
        <v>50</v>
      </c>
      <c r="T4291" s="2" t="s">
        <v>201</v>
      </c>
      <c r="U4291" s="2" t="s">
        <v>1217</v>
      </c>
      <c r="V4291" s="2" t="s">
        <v>42</v>
      </c>
      <c r="W4291" s="2">
        <v>50.2</v>
      </c>
      <c r="X4291" s="2">
        <v>57.5</v>
      </c>
      <c r="Y4291" s="2" t="s">
        <v>194</v>
      </c>
      <c r="Z4291" s="2" t="s">
        <v>1594</v>
      </c>
      <c r="AA4291" s="2">
        <v>-0.77396724734315203</v>
      </c>
      <c r="AB4291" s="2">
        <v>0.15338737316685599</v>
      </c>
      <c r="AC4291" s="2">
        <v>18473.060077228602</v>
      </c>
      <c r="AD4291" s="2">
        <v>16497.9911754567</v>
      </c>
      <c r="AE4291" s="2">
        <v>18251.718523192601</v>
      </c>
      <c r="AF4291" s="2">
        <v>18572.578520945899</v>
      </c>
      <c r="AG4291" s="2">
        <v>18209.382972811502</v>
      </c>
      <c r="AH4291" s="2">
        <v>18217.646707820801</v>
      </c>
      <c r="AI4291" s="2">
        <v>17827.5173027702</v>
      </c>
      <c r="AJ4291" s="2">
        <v>19759.516435830399</v>
      </c>
      <c r="AK4291" s="2">
        <v>14498.170298363</v>
      </c>
      <c r="AL4291" s="2">
        <v>16680.100941331199</v>
      </c>
      <c r="AM4291" s="2">
        <v>16923.5557786352</v>
      </c>
      <c r="AN4291" s="2">
        <v>16585.281049999801</v>
      </c>
      <c r="AO4291" s="2">
        <v>17426.129042358301</v>
      </c>
      <c r="AP4291" s="2">
        <v>16874.709942052799</v>
      </c>
    </row>
    <row r="4292" spans="1:42" ht="14.5" x14ac:dyDescent="0.35">
      <c r="A4292" s="2" t="s">
        <v>28506</v>
      </c>
      <c r="B4292" s="2">
        <v>563.55009662615805</v>
      </c>
      <c r="C4292" s="2">
        <v>12.3610166666667</v>
      </c>
      <c r="D4292" s="2" t="s">
        <v>34</v>
      </c>
      <c r="E4292" s="2" t="s">
        <v>28507</v>
      </c>
      <c r="F4292" s="2">
        <v>258318</v>
      </c>
      <c r="G4292" s="3" t="str">
        <f>HYPERLINK("http://funmeta.oebiotech.com/network/258318", "http://funmeta.oebiotech.com/network/258318")</f>
        <v>http://funmeta.oebiotech.com/network/258318</v>
      </c>
      <c r="H4292" s="2"/>
      <c r="I4292" s="2">
        <v>3988</v>
      </c>
      <c r="J4292" s="2"/>
      <c r="K4292" s="2"/>
      <c r="L4292" s="2"/>
      <c r="M4292" s="2"/>
      <c r="N4292" s="2"/>
      <c r="O4292" s="2">
        <v>6473883</v>
      </c>
      <c r="P4292" s="2" t="s">
        <v>28508</v>
      </c>
      <c r="Q4292" s="2" t="s">
        <v>28509</v>
      </c>
      <c r="R4292" s="2" t="s">
        <v>28510</v>
      </c>
      <c r="S4292" s="2" t="s">
        <v>79</v>
      </c>
      <c r="T4292" s="2" t="s">
        <v>80</v>
      </c>
      <c r="U4292" s="2" t="s">
        <v>81</v>
      </c>
      <c r="V4292" s="2" t="s">
        <v>59</v>
      </c>
      <c r="W4292" s="2">
        <v>37.5</v>
      </c>
      <c r="X4292" s="2">
        <v>0</v>
      </c>
      <c r="Y4292" s="2" t="s">
        <v>323</v>
      </c>
      <c r="Z4292" s="2" t="s">
        <v>28511</v>
      </c>
      <c r="AA4292" s="2">
        <v>-4.6735736659004798</v>
      </c>
      <c r="AB4292" s="2">
        <v>0.15336541037691701</v>
      </c>
      <c r="AC4292" s="2">
        <v>608763.50094156701</v>
      </c>
      <c r="AD4292" s="2">
        <v>580839.360199722</v>
      </c>
      <c r="AE4292" s="2">
        <v>757313.76384918205</v>
      </c>
      <c r="AF4292" s="2">
        <v>305949.72143749602</v>
      </c>
      <c r="AG4292" s="2">
        <v>546377.72799806995</v>
      </c>
      <c r="AH4292" s="2">
        <v>860922.59953958401</v>
      </c>
      <c r="AI4292" s="2">
        <v>765088.18218510703</v>
      </c>
      <c r="AJ4292" s="2">
        <v>416929.01063996099</v>
      </c>
      <c r="AK4292" s="2">
        <v>449534.362407915</v>
      </c>
      <c r="AL4292" s="2">
        <v>1059628.69917882</v>
      </c>
      <c r="AM4292" s="2">
        <v>503554.47602398501</v>
      </c>
      <c r="AN4292" s="2">
        <v>804335.26918605203</v>
      </c>
      <c r="AO4292" s="2">
        <v>341610.355046032</v>
      </c>
      <c r="AP4292" s="2">
        <v>326372.99935553101</v>
      </c>
    </row>
    <row r="4293" spans="1:42" ht="14.5" x14ac:dyDescent="0.35">
      <c r="A4293" s="2" t="s">
        <v>28512</v>
      </c>
      <c r="B4293" s="2">
        <v>323.09816125334601</v>
      </c>
      <c r="C4293" s="2">
        <v>1.1665333333333301</v>
      </c>
      <c r="D4293" s="2" t="s">
        <v>70</v>
      </c>
      <c r="E4293" s="2" t="s">
        <v>28513</v>
      </c>
      <c r="F4293" s="2">
        <v>46842</v>
      </c>
      <c r="G4293" s="3" t="str">
        <f>HYPERLINK("http://funmeta.oebiotech.com/network/46842", "http://funmeta.oebiotech.com/network/46842")</f>
        <v>http://funmeta.oebiotech.com/network/46842</v>
      </c>
      <c r="H4293" s="2" t="s">
        <v>28514</v>
      </c>
      <c r="I4293" s="2"/>
      <c r="J4293" s="2"/>
      <c r="K4293" s="2"/>
      <c r="L4293" s="2"/>
      <c r="M4293" s="2"/>
      <c r="N4293" s="2"/>
      <c r="O4293" s="2">
        <v>6602503</v>
      </c>
      <c r="P4293" s="2" t="s">
        <v>28515</v>
      </c>
      <c r="Q4293" s="2" t="s">
        <v>28516</v>
      </c>
      <c r="R4293" s="2" t="s">
        <v>28517</v>
      </c>
      <c r="S4293" s="2" t="s">
        <v>79</v>
      </c>
      <c r="T4293" s="2" t="s">
        <v>80</v>
      </c>
      <c r="U4293" s="2" t="s">
        <v>81</v>
      </c>
      <c r="V4293" s="2" t="s">
        <v>59</v>
      </c>
      <c r="W4293" s="2">
        <v>43.9</v>
      </c>
      <c r="X4293" s="2">
        <v>35.200000000000003</v>
      </c>
      <c r="Y4293" s="2" t="s">
        <v>751</v>
      </c>
      <c r="Z4293" s="2" t="s">
        <v>162</v>
      </c>
      <c r="AA4293" s="2">
        <v>-0.61133423865254599</v>
      </c>
      <c r="AB4293" s="2">
        <v>0.153357311205681</v>
      </c>
      <c r="AC4293" s="2">
        <v>12832.158248694101</v>
      </c>
      <c r="AD4293" s="2">
        <v>14676.791953202999</v>
      </c>
      <c r="AE4293" s="2">
        <v>13068.6444650105</v>
      </c>
      <c r="AF4293" s="2">
        <v>13486.9455971385</v>
      </c>
      <c r="AG4293" s="2">
        <v>12275.3521164985</v>
      </c>
      <c r="AH4293" s="2">
        <v>13140.365641941</v>
      </c>
      <c r="AI4293" s="2">
        <v>12942.227917096099</v>
      </c>
      <c r="AJ4293" s="2">
        <v>12079.4137544802</v>
      </c>
      <c r="AK4293" s="2">
        <v>14804.1277267809</v>
      </c>
      <c r="AL4293" s="2">
        <v>15278.9554367731</v>
      </c>
      <c r="AM4293" s="2">
        <v>13405.926342156899</v>
      </c>
      <c r="AN4293" s="2">
        <v>15511.5540267868</v>
      </c>
      <c r="AO4293" s="2">
        <v>14263.1435833616</v>
      </c>
      <c r="AP4293" s="2">
        <v>14797.044603358499</v>
      </c>
    </row>
    <row r="4294" spans="1:42" ht="14.5" x14ac:dyDescent="0.35">
      <c r="A4294" s="2" t="s">
        <v>28518</v>
      </c>
      <c r="B4294" s="2">
        <v>242.24758528865701</v>
      </c>
      <c r="C4294" s="2">
        <v>11.762983333333301</v>
      </c>
      <c r="D4294" s="2" t="s">
        <v>34</v>
      </c>
      <c r="E4294" s="2" t="s">
        <v>28519</v>
      </c>
      <c r="F4294" s="2">
        <v>211444</v>
      </c>
      <c r="G4294" s="3" t="str">
        <f>HYPERLINK("http://funmeta.oebiotech.com/network/211444", "http://funmeta.oebiotech.com/network/211444")</f>
        <v>http://funmeta.oebiotech.com/network/211444</v>
      </c>
      <c r="H4294" s="2" t="s">
        <v>28520</v>
      </c>
      <c r="I4294" s="2"/>
      <c r="J4294" s="2"/>
      <c r="K4294" s="2"/>
      <c r="L4294" s="2"/>
      <c r="M4294" s="2"/>
      <c r="N4294" s="2"/>
      <c r="O4294" s="2"/>
      <c r="P4294" s="2"/>
      <c r="Q4294" s="2" t="s">
        <v>28521</v>
      </c>
      <c r="R4294" s="2" t="s">
        <v>28522</v>
      </c>
      <c r="S4294" s="2" t="s">
        <v>41</v>
      </c>
      <c r="T4294" s="2" t="s">
        <v>41</v>
      </c>
      <c r="U4294" s="2" t="s">
        <v>41</v>
      </c>
      <c r="V4294" s="2" t="s">
        <v>59</v>
      </c>
      <c r="W4294" s="2">
        <v>41.7</v>
      </c>
      <c r="X4294" s="2">
        <v>12.5</v>
      </c>
      <c r="Y4294" s="2" t="s">
        <v>43</v>
      </c>
      <c r="Z4294" s="2" t="s">
        <v>16016</v>
      </c>
      <c r="AA4294" s="2">
        <v>-1.1406907907788399</v>
      </c>
      <c r="AB4294" s="2">
        <v>0.153253099224434</v>
      </c>
      <c r="AC4294" s="2">
        <v>3652.9988939167001</v>
      </c>
      <c r="AD4294" s="2">
        <v>1982.23255054791</v>
      </c>
      <c r="AE4294" s="2">
        <v>4054.11586840871</v>
      </c>
      <c r="AF4294" s="2">
        <v>4078.1057809537601</v>
      </c>
      <c r="AG4294" s="2">
        <v>3159.2208788933299</v>
      </c>
      <c r="AH4294" s="2">
        <v>2897.5384342930502</v>
      </c>
      <c r="AI4294" s="2">
        <v>3635.51868292686</v>
      </c>
      <c r="AJ4294" s="2">
        <v>4093.4937180245101</v>
      </c>
      <c r="AK4294" s="2">
        <v>2169.9340096180699</v>
      </c>
      <c r="AL4294" s="2">
        <v>2231.7288012031599</v>
      </c>
      <c r="AM4294" s="2">
        <v>1783.43458529801</v>
      </c>
      <c r="AN4294" s="2">
        <v>1933.3301155216</v>
      </c>
      <c r="AO4294" s="2">
        <v>1899.75074287076</v>
      </c>
      <c r="AP4294" s="2">
        <v>1875.2170487758301</v>
      </c>
    </row>
    <row r="4295" spans="1:42" ht="14.5" x14ac:dyDescent="0.35">
      <c r="A4295" s="2" t="s">
        <v>28523</v>
      </c>
      <c r="B4295" s="2">
        <v>327.03065880706498</v>
      </c>
      <c r="C4295" s="2">
        <v>0.87229999999999996</v>
      </c>
      <c r="D4295" s="2" t="s">
        <v>70</v>
      </c>
      <c r="E4295" s="2" t="s">
        <v>28524</v>
      </c>
      <c r="F4295" s="2">
        <v>58085</v>
      </c>
      <c r="G4295" s="3" t="str">
        <f>HYPERLINK("http://funmeta.oebiotech.com/network/58085", "http://funmeta.oebiotech.com/network/58085")</f>
        <v>http://funmeta.oebiotech.com/network/58085</v>
      </c>
      <c r="H4295" s="2" t="s">
        <v>28525</v>
      </c>
      <c r="I4295" s="2">
        <v>89630</v>
      </c>
      <c r="J4295" s="2"/>
      <c r="K4295" s="2"/>
      <c r="L4295" s="2"/>
      <c r="M4295" s="2"/>
      <c r="N4295" s="2"/>
      <c r="O4295" s="2">
        <v>329584</v>
      </c>
      <c r="P4295" s="2" t="s">
        <v>28526</v>
      </c>
      <c r="Q4295" s="2" t="s">
        <v>28527</v>
      </c>
      <c r="R4295" s="2" t="s">
        <v>28528</v>
      </c>
      <c r="S4295" s="2" t="s">
        <v>148</v>
      </c>
      <c r="T4295" s="2" t="s">
        <v>6221</v>
      </c>
      <c r="U4295" s="2" t="s">
        <v>17614</v>
      </c>
      <c r="V4295" s="2" t="s">
        <v>59</v>
      </c>
      <c r="W4295" s="2">
        <v>36.799999999999997</v>
      </c>
      <c r="X4295" s="2">
        <v>0</v>
      </c>
      <c r="Y4295" s="2" t="s">
        <v>751</v>
      </c>
      <c r="Z4295" s="2" t="s">
        <v>28529</v>
      </c>
      <c r="AA4295" s="2">
        <v>2.2016875742460398</v>
      </c>
      <c r="AB4295" s="2">
        <v>0.15304881348013399</v>
      </c>
      <c r="AC4295" s="2">
        <v>13663.7545099401</v>
      </c>
      <c r="AD4295" s="2">
        <v>11632.923021348801</v>
      </c>
      <c r="AE4295" s="2">
        <v>14521.412911298101</v>
      </c>
      <c r="AF4295" s="2">
        <v>15007.443602273701</v>
      </c>
      <c r="AG4295" s="2">
        <v>13718.0124721993</v>
      </c>
      <c r="AH4295" s="2">
        <v>13193.0635259228</v>
      </c>
      <c r="AI4295" s="2">
        <v>12838.2687370781</v>
      </c>
      <c r="AJ4295" s="2">
        <v>12704.3258108683</v>
      </c>
      <c r="AK4295" s="2">
        <v>12978.848939891401</v>
      </c>
      <c r="AL4295" s="2">
        <v>10879.3671524766</v>
      </c>
      <c r="AM4295" s="2">
        <v>10098.0517902296</v>
      </c>
      <c r="AN4295" s="2">
        <v>11842.5146297991</v>
      </c>
      <c r="AO4295" s="2">
        <v>12315.280103954399</v>
      </c>
      <c r="AP4295" s="2">
        <v>11683.475511741701</v>
      </c>
    </row>
    <row r="4296" spans="1:42" ht="14.5" x14ac:dyDescent="0.35">
      <c r="A4296" s="2" t="s">
        <v>28530</v>
      </c>
      <c r="B4296" s="2">
        <v>665.170035416254</v>
      </c>
      <c r="C4296" s="2">
        <v>4.6492000000000004</v>
      </c>
      <c r="D4296" s="2" t="s">
        <v>70</v>
      </c>
      <c r="E4296" s="2" t="s">
        <v>28531</v>
      </c>
      <c r="F4296" s="2">
        <v>54779</v>
      </c>
      <c r="G4296" s="3" t="str">
        <f>HYPERLINK("http://funmeta.oebiotech.com/network/54779", "http://funmeta.oebiotech.com/network/54779")</f>
        <v>http://funmeta.oebiotech.com/network/54779</v>
      </c>
      <c r="H4296" s="2" t="s">
        <v>28532</v>
      </c>
      <c r="I4296" s="2"/>
      <c r="J4296" s="2"/>
      <c r="K4296" s="2"/>
      <c r="L4296" s="2"/>
      <c r="M4296" s="2"/>
      <c r="N4296" s="2"/>
      <c r="O4296" s="2">
        <v>73981792</v>
      </c>
      <c r="P4296" s="2" t="s">
        <v>28533</v>
      </c>
      <c r="Q4296" s="2" t="s">
        <v>28534</v>
      </c>
      <c r="R4296" s="2" t="s">
        <v>28535</v>
      </c>
      <c r="S4296" s="2" t="s">
        <v>115</v>
      </c>
      <c r="T4296" s="2" t="s">
        <v>139</v>
      </c>
      <c r="U4296" s="2" t="s">
        <v>140</v>
      </c>
      <c r="V4296" s="2" t="s">
        <v>59</v>
      </c>
      <c r="W4296" s="2">
        <v>37.1</v>
      </c>
      <c r="X4296" s="2">
        <v>0</v>
      </c>
      <c r="Y4296" s="2" t="s">
        <v>408</v>
      </c>
      <c r="Z4296" s="2" t="s">
        <v>28536</v>
      </c>
      <c r="AA4296" s="2">
        <v>-3.6889210804576398</v>
      </c>
      <c r="AB4296" s="2">
        <v>0.152998689027251</v>
      </c>
      <c r="AC4296" s="2">
        <v>11337.604528841501</v>
      </c>
      <c r="AD4296" s="2">
        <v>9326.8762357373907</v>
      </c>
      <c r="AE4296" s="2">
        <v>10741.2001909264</v>
      </c>
      <c r="AF4296" s="2">
        <v>12014.333257537901</v>
      </c>
      <c r="AG4296" s="2">
        <v>11620.2884233143</v>
      </c>
      <c r="AH4296" s="2">
        <v>11891.253413955101</v>
      </c>
      <c r="AI4296" s="2">
        <v>9692.1338560568001</v>
      </c>
      <c r="AJ4296" s="2">
        <v>12066.4180312587</v>
      </c>
      <c r="AK4296" s="2">
        <v>7821.1099173337398</v>
      </c>
      <c r="AL4296" s="2">
        <v>9397.9512008630209</v>
      </c>
      <c r="AM4296" s="2">
        <v>10247.577806989701</v>
      </c>
      <c r="AN4296" s="2">
        <v>9605.1326386528308</v>
      </c>
      <c r="AO4296" s="2">
        <v>10246.076713157099</v>
      </c>
      <c r="AP4296" s="2">
        <v>8643.4091374279706</v>
      </c>
    </row>
    <row r="4297" spans="1:42" ht="14.5" x14ac:dyDescent="0.35">
      <c r="A4297" s="2" t="s">
        <v>28537</v>
      </c>
      <c r="B4297" s="2">
        <v>970.29491050236197</v>
      </c>
      <c r="C4297" s="2">
        <v>3.82433333333333</v>
      </c>
      <c r="D4297" s="2" t="s">
        <v>70</v>
      </c>
      <c r="E4297" s="2" t="s">
        <v>28538</v>
      </c>
      <c r="F4297" s="2">
        <v>83481</v>
      </c>
      <c r="G4297" s="3" t="str">
        <f>HYPERLINK("http://funmeta.oebiotech.com/network/83481", "http://funmeta.oebiotech.com/network/83481")</f>
        <v>http://funmeta.oebiotech.com/network/83481</v>
      </c>
      <c r="H4297" s="2" t="s">
        <v>28539</v>
      </c>
      <c r="I4297" s="2"/>
      <c r="J4297" s="2"/>
      <c r="K4297" s="2"/>
      <c r="L4297" s="2"/>
      <c r="M4297" s="2"/>
      <c r="N4297" s="2"/>
      <c r="O4297" s="2"/>
      <c r="P4297" s="2"/>
      <c r="Q4297" s="2" t="s">
        <v>28540</v>
      </c>
      <c r="R4297" s="2" t="s">
        <v>28541</v>
      </c>
      <c r="S4297" s="2" t="s">
        <v>50</v>
      </c>
      <c r="T4297" s="2" t="s">
        <v>229</v>
      </c>
      <c r="U4297" s="2" t="s">
        <v>10433</v>
      </c>
      <c r="V4297" s="2" t="s">
        <v>59</v>
      </c>
      <c r="W4297" s="2">
        <v>37.5</v>
      </c>
      <c r="X4297" s="2">
        <v>0</v>
      </c>
      <c r="Y4297" s="2" t="s">
        <v>751</v>
      </c>
      <c r="Z4297" s="2" t="s">
        <v>28542</v>
      </c>
      <c r="AA4297" s="2">
        <v>-0.83171010535887402</v>
      </c>
      <c r="AB4297" s="2">
        <v>0.152992511381045</v>
      </c>
      <c r="AC4297" s="2">
        <v>3457.01710625551</v>
      </c>
      <c r="AD4297" s="2">
        <v>1006.5104963124199</v>
      </c>
      <c r="AE4297" s="2">
        <v>4582.9687272292704</v>
      </c>
      <c r="AF4297" s="2">
        <v>3959.7367019078902</v>
      </c>
      <c r="AG4297" s="2">
        <v>2714.9729230306598</v>
      </c>
      <c r="AH4297" s="2">
        <v>5152.0443413409303</v>
      </c>
      <c r="AI4297" s="2">
        <v>4200.9583165657104</v>
      </c>
      <c r="AJ4297" s="2">
        <v>131.42162745858801</v>
      </c>
      <c r="AK4297" s="2">
        <v>2676.0180004076701</v>
      </c>
      <c r="AL4297" s="2">
        <v>3257.83919305567</v>
      </c>
      <c r="AM4297" s="2">
        <v>2.7106294003980101E-5</v>
      </c>
      <c r="AN4297" s="2">
        <v>105.205703092276</v>
      </c>
      <c r="AO4297" s="2">
        <v>2.7106294003980101E-5</v>
      </c>
      <c r="AP4297" s="2">
        <v>2.7106294003980101E-5</v>
      </c>
    </row>
    <row r="4298" spans="1:42" ht="14.5" x14ac:dyDescent="0.35">
      <c r="A4298" s="2" t="s">
        <v>28543</v>
      </c>
      <c r="B4298" s="2">
        <v>423.23509242746297</v>
      </c>
      <c r="C4298" s="2">
        <v>6.3021166666666701</v>
      </c>
      <c r="D4298" s="2" t="s">
        <v>34</v>
      </c>
      <c r="E4298" s="2" t="s">
        <v>28544</v>
      </c>
      <c r="F4298" s="2">
        <v>213598</v>
      </c>
      <c r="G4298" s="3" t="str">
        <f>HYPERLINK("http://funmeta.oebiotech.com/network/213598", "http://funmeta.oebiotech.com/network/213598")</f>
        <v>http://funmeta.oebiotech.com/network/213598</v>
      </c>
      <c r="H4298" s="2" t="s">
        <v>28545</v>
      </c>
      <c r="I4298" s="2"/>
      <c r="J4298" s="2"/>
      <c r="K4298" s="2"/>
      <c r="L4298" s="2"/>
      <c r="M4298" s="2"/>
      <c r="N4298" s="2"/>
      <c r="O4298" s="2"/>
      <c r="P4298" s="2"/>
      <c r="Q4298" s="2" t="s">
        <v>28546</v>
      </c>
      <c r="R4298" s="2" t="s">
        <v>28547</v>
      </c>
      <c r="S4298" s="2" t="s">
        <v>41</v>
      </c>
      <c r="T4298" s="2" t="s">
        <v>41</v>
      </c>
      <c r="U4298" s="2" t="s">
        <v>41</v>
      </c>
      <c r="V4298" s="2" t="s">
        <v>42</v>
      </c>
      <c r="W4298" s="2">
        <v>51.6</v>
      </c>
      <c r="X4298" s="2">
        <v>67.3</v>
      </c>
      <c r="Y4298" s="2" t="s">
        <v>2498</v>
      </c>
      <c r="Z4298" s="2" t="s">
        <v>28548</v>
      </c>
      <c r="AA4298" s="2">
        <v>-0.57900370668646595</v>
      </c>
      <c r="AB4298" s="2">
        <v>0.15296460208158999</v>
      </c>
      <c r="AC4298" s="2">
        <v>8856.3684648782692</v>
      </c>
      <c r="AD4298" s="2">
        <v>6477.3967677152204</v>
      </c>
      <c r="AE4298" s="2">
        <v>9564.2722271483399</v>
      </c>
      <c r="AF4298" s="2">
        <v>11093.8123645177</v>
      </c>
      <c r="AG4298" s="2">
        <v>9378.1513209413006</v>
      </c>
      <c r="AH4298" s="2">
        <v>8747.0049724907603</v>
      </c>
      <c r="AI4298" s="2">
        <v>6814.6878607708604</v>
      </c>
      <c r="AJ4298" s="2">
        <v>7540.2820434006599</v>
      </c>
      <c r="AK4298" s="2">
        <v>6657.7861970320901</v>
      </c>
      <c r="AL4298" s="2">
        <v>4051.79687811656</v>
      </c>
      <c r="AM4298" s="2">
        <v>7383.56196743088</v>
      </c>
      <c r="AN4298" s="2">
        <v>7273.33099608255</v>
      </c>
      <c r="AO4298" s="2">
        <v>5108.2873689747903</v>
      </c>
      <c r="AP4298" s="2">
        <v>8389.6171986544705</v>
      </c>
    </row>
    <row r="4299" spans="1:42" ht="14.5" x14ac:dyDescent="0.35">
      <c r="A4299" s="2" t="s">
        <v>28549</v>
      </c>
      <c r="B4299" s="2">
        <v>298.04443724996401</v>
      </c>
      <c r="C4299" s="2">
        <v>1.11073333333333</v>
      </c>
      <c r="D4299" s="2" t="s">
        <v>34</v>
      </c>
      <c r="E4299" s="2" t="s">
        <v>28550</v>
      </c>
      <c r="F4299" s="2">
        <v>211297</v>
      </c>
      <c r="G4299" s="3" t="str">
        <f>HYPERLINK("http://funmeta.oebiotech.com/network/211297", "http://funmeta.oebiotech.com/network/211297")</f>
        <v>http://funmeta.oebiotech.com/network/211297</v>
      </c>
      <c r="H4299" s="2" t="s">
        <v>28551</v>
      </c>
      <c r="I4299" s="2"/>
      <c r="J4299" s="2"/>
      <c r="K4299" s="2"/>
      <c r="L4299" s="2"/>
      <c r="M4299" s="2"/>
      <c r="N4299" s="2"/>
      <c r="O4299" s="2">
        <v>18505434</v>
      </c>
      <c r="P4299" s="2"/>
      <c r="Q4299" s="2" t="s">
        <v>28552</v>
      </c>
      <c r="R4299" s="2" t="s">
        <v>28553</v>
      </c>
      <c r="S4299" s="2" t="s">
        <v>41</v>
      </c>
      <c r="T4299" s="2" t="s">
        <v>41</v>
      </c>
      <c r="U4299" s="2" t="s">
        <v>41</v>
      </c>
      <c r="V4299" s="2" t="s">
        <v>59</v>
      </c>
      <c r="W4299" s="2">
        <v>39.299999999999997</v>
      </c>
      <c r="X4299" s="2">
        <v>12.2</v>
      </c>
      <c r="Y4299" s="2" t="s">
        <v>340</v>
      </c>
      <c r="Z4299" s="2" t="s">
        <v>28554</v>
      </c>
      <c r="AA4299" s="2">
        <v>3.2577577439631402</v>
      </c>
      <c r="AB4299" s="2">
        <v>0.152960121418345</v>
      </c>
      <c r="AC4299" s="2">
        <v>2661.5086925261298</v>
      </c>
      <c r="AD4299" s="2">
        <v>4644.0638739004398</v>
      </c>
      <c r="AE4299" s="2">
        <v>3083.62744795548</v>
      </c>
      <c r="AF4299" s="2">
        <v>1844.8573831830599</v>
      </c>
      <c r="AG4299" s="2">
        <v>2803.3841532466599</v>
      </c>
      <c r="AH4299" s="2">
        <v>2968.7627516112002</v>
      </c>
      <c r="AI4299" s="2">
        <v>2701.6091931986198</v>
      </c>
      <c r="AJ4299" s="2">
        <v>2566.8112259617601</v>
      </c>
      <c r="AK4299" s="2">
        <v>6914.1811433949797</v>
      </c>
      <c r="AL4299" s="2">
        <v>3561.48252362621</v>
      </c>
      <c r="AM4299" s="2">
        <v>4588.5164909046298</v>
      </c>
      <c r="AN4299" s="2">
        <v>4147.4114590982099</v>
      </c>
      <c r="AO4299" s="2">
        <v>4079.22923386806</v>
      </c>
      <c r="AP4299" s="2">
        <v>4573.5623925105701</v>
      </c>
    </row>
    <row r="4300" spans="1:42" ht="14.5" x14ac:dyDescent="0.35">
      <c r="A4300" s="2" t="s">
        <v>28555</v>
      </c>
      <c r="B4300" s="2">
        <v>347.21915346353302</v>
      </c>
      <c r="C4300" s="2">
        <v>11.232416666666699</v>
      </c>
      <c r="D4300" s="2" t="s">
        <v>34</v>
      </c>
      <c r="E4300" s="2" t="s">
        <v>28556</v>
      </c>
      <c r="F4300" s="2">
        <v>212111</v>
      </c>
      <c r="G4300" s="3" t="str">
        <f>HYPERLINK("http://funmeta.oebiotech.com/network/212111", "http://funmeta.oebiotech.com/network/212111")</f>
        <v>http://funmeta.oebiotech.com/network/212111</v>
      </c>
      <c r="H4300" s="2" t="s">
        <v>28557</v>
      </c>
      <c r="I4300" s="2"/>
      <c r="J4300" s="2"/>
      <c r="K4300" s="2"/>
      <c r="L4300" s="2"/>
      <c r="M4300" s="2"/>
      <c r="N4300" s="2"/>
      <c r="O4300" s="2">
        <v>9799246</v>
      </c>
      <c r="P4300" s="2"/>
      <c r="Q4300" s="2" t="s">
        <v>28558</v>
      </c>
      <c r="R4300" s="2" t="s">
        <v>28559</v>
      </c>
      <c r="S4300" s="2" t="s">
        <v>41</v>
      </c>
      <c r="T4300" s="2" t="s">
        <v>41</v>
      </c>
      <c r="U4300" s="2" t="s">
        <v>41</v>
      </c>
      <c r="V4300" s="2" t="s">
        <v>59</v>
      </c>
      <c r="W4300" s="2">
        <v>39.4</v>
      </c>
      <c r="X4300" s="2">
        <v>0</v>
      </c>
      <c r="Y4300" s="2" t="s">
        <v>43</v>
      </c>
      <c r="Z4300" s="2" t="s">
        <v>28560</v>
      </c>
      <c r="AA4300" s="2">
        <v>0.464579861527537</v>
      </c>
      <c r="AB4300" s="2">
        <v>0.15293525630667901</v>
      </c>
      <c r="AC4300" s="2">
        <v>2959.7529554202501</v>
      </c>
      <c r="AD4300" s="2">
        <v>1312.8386440166801</v>
      </c>
      <c r="AE4300" s="2">
        <v>3417.9064562955</v>
      </c>
      <c r="AF4300" s="2">
        <v>2620.8521866854999</v>
      </c>
      <c r="AG4300" s="2">
        <v>2742.9890026763601</v>
      </c>
      <c r="AH4300" s="2">
        <v>3497.4021704813699</v>
      </c>
      <c r="AI4300" s="2">
        <v>2466.9800897190098</v>
      </c>
      <c r="AJ4300" s="2">
        <v>3012.3878266637698</v>
      </c>
      <c r="AK4300" s="2">
        <v>988.07593547366798</v>
      </c>
      <c r="AL4300" s="2">
        <v>1281.6006785505399</v>
      </c>
      <c r="AM4300" s="2">
        <v>1347.2521642653101</v>
      </c>
      <c r="AN4300" s="2">
        <v>1422.3594712072399</v>
      </c>
      <c r="AO4300" s="2">
        <v>1747.18453255638</v>
      </c>
      <c r="AP4300" s="2">
        <v>1090.5590820469199</v>
      </c>
    </row>
    <row r="4301" spans="1:42" ht="14.5" x14ac:dyDescent="0.35">
      <c r="A4301" s="2" t="s">
        <v>28561</v>
      </c>
      <c r="B4301" s="2">
        <v>399.10833626426501</v>
      </c>
      <c r="C4301" s="2">
        <v>5.26453333333333</v>
      </c>
      <c r="D4301" s="2" t="s">
        <v>70</v>
      </c>
      <c r="E4301" s="2" t="s">
        <v>28562</v>
      </c>
      <c r="F4301" s="2">
        <v>269873</v>
      </c>
      <c r="G4301" s="3" t="str">
        <f>HYPERLINK("http://funmeta.oebiotech.com/network/269873", "http://funmeta.oebiotech.com/network/269873")</f>
        <v>http://funmeta.oebiotech.com/network/269873</v>
      </c>
      <c r="H4301" s="2"/>
      <c r="I4301" s="2">
        <v>52511</v>
      </c>
      <c r="J4301" s="2"/>
      <c r="K4301" s="2"/>
      <c r="L4301" s="2" t="s">
        <v>28563</v>
      </c>
      <c r="M4301" s="2"/>
      <c r="N4301" s="2"/>
      <c r="O4301" s="2">
        <v>503737</v>
      </c>
      <c r="P4301" s="2"/>
      <c r="Q4301" s="2" t="s">
        <v>28564</v>
      </c>
      <c r="R4301" s="2" t="s">
        <v>28565</v>
      </c>
      <c r="S4301" s="2" t="s">
        <v>115</v>
      </c>
      <c r="T4301" s="2" t="s">
        <v>139</v>
      </c>
      <c r="U4301" s="2" t="s">
        <v>140</v>
      </c>
      <c r="V4301" s="2" t="s">
        <v>59</v>
      </c>
      <c r="W4301" s="2">
        <v>38.200000000000003</v>
      </c>
      <c r="X4301" s="2">
        <v>0</v>
      </c>
      <c r="Y4301" s="2" t="s">
        <v>1395</v>
      </c>
      <c r="Z4301" s="2" t="s">
        <v>28566</v>
      </c>
      <c r="AA4301" s="2">
        <v>-0.49003680062837002</v>
      </c>
      <c r="AB4301" s="2">
        <v>0.15277061916863099</v>
      </c>
      <c r="AC4301" s="2">
        <v>3994.0301839608601</v>
      </c>
      <c r="AD4301" s="2">
        <v>2000.9093633489399</v>
      </c>
      <c r="AE4301" s="2">
        <v>4861.9067729128101</v>
      </c>
      <c r="AF4301" s="2">
        <v>3908.67445215511</v>
      </c>
      <c r="AG4301" s="2">
        <v>4024.30103626763</v>
      </c>
      <c r="AH4301" s="2">
        <v>4281.9774492097304</v>
      </c>
      <c r="AI4301" s="2">
        <v>1905.59948332368</v>
      </c>
      <c r="AJ4301" s="2">
        <v>4981.7219098961796</v>
      </c>
      <c r="AK4301" s="2">
        <v>2855.81120708752</v>
      </c>
      <c r="AL4301" s="2">
        <v>1943.1481316377201</v>
      </c>
      <c r="AM4301" s="2">
        <v>1891.82571209662</v>
      </c>
      <c r="AN4301" s="2">
        <v>2364.9839611488601</v>
      </c>
      <c r="AO4301" s="2">
        <v>2241.0246853972399</v>
      </c>
      <c r="AP4301" s="2">
        <v>708.66248272566202</v>
      </c>
    </row>
    <row r="4302" spans="1:42" ht="14.5" x14ac:dyDescent="0.35">
      <c r="A4302" s="2" t="s">
        <v>28567</v>
      </c>
      <c r="B4302" s="2">
        <v>359.18480185752202</v>
      </c>
      <c r="C4302" s="2">
        <v>5.1684333333333301</v>
      </c>
      <c r="D4302" s="2" t="s">
        <v>34</v>
      </c>
      <c r="E4302" s="2" t="s">
        <v>28568</v>
      </c>
      <c r="F4302" s="2">
        <v>209342</v>
      </c>
      <c r="G4302" s="3" t="str">
        <f>HYPERLINK("http://funmeta.oebiotech.com/network/209342", "http://funmeta.oebiotech.com/network/209342")</f>
        <v>http://funmeta.oebiotech.com/network/209342</v>
      </c>
      <c r="H4302" s="2" t="s">
        <v>28569</v>
      </c>
      <c r="I4302" s="2"/>
      <c r="J4302" s="2"/>
      <c r="K4302" s="2"/>
      <c r="L4302" s="2"/>
      <c r="M4302" s="2"/>
      <c r="N4302" s="2"/>
      <c r="O4302" s="2">
        <v>57201830</v>
      </c>
      <c r="P4302" s="2"/>
      <c r="Q4302" s="2" t="s">
        <v>28570</v>
      </c>
      <c r="R4302" s="2" t="s">
        <v>28571</v>
      </c>
      <c r="S4302" s="2" t="s">
        <v>41</v>
      </c>
      <c r="T4302" s="2" t="s">
        <v>41</v>
      </c>
      <c r="U4302" s="2" t="s">
        <v>41</v>
      </c>
      <c r="V4302" s="2" t="s">
        <v>59</v>
      </c>
      <c r="W4302" s="2">
        <v>38.9</v>
      </c>
      <c r="X4302" s="2">
        <v>0</v>
      </c>
      <c r="Y4302" s="2" t="s">
        <v>340</v>
      </c>
      <c r="Z4302" s="2" t="s">
        <v>28572</v>
      </c>
      <c r="AA4302" s="2">
        <v>1.3041647694446901</v>
      </c>
      <c r="AB4302" s="2">
        <v>0.15267971803983199</v>
      </c>
      <c r="AC4302" s="2">
        <v>7220.3891546473596</v>
      </c>
      <c r="AD4302" s="2">
        <v>9229.1999907835107</v>
      </c>
      <c r="AE4302" s="2">
        <v>7808.4634339372797</v>
      </c>
      <c r="AF4302" s="2">
        <v>7155.1622770817203</v>
      </c>
      <c r="AG4302" s="2">
        <v>8623.8568872930191</v>
      </c>
      <c r="AH4302" s="2">
        <v>6172.1913163598301</v>
      </c>
      <c r="AI4302" s="2">
        <v>5963.6492109516403</v>
      </c>
      <c r="AJ4302" s="2">
        <v>7599.0118022606503</v>
      </c>
      <c r="AK4302" s="2">
        <v>10338.481528205601</v>
      </c>
      <c r="AL4302" s="2">
        <v>9223.2729729126695</v>
      </c>
      <c r="AM4302" s="2">
        <v>9605.4286295161492</v>
      </c>
      <c r="AN4302" s="2">
        <v>9501.8840898087401</v>
      </c>
      <c r="AO4302" s="2">
        <v>8054.5671988130898</v>
      </c>
      <c r="AP4302" s="2">
        <v>8651.5655254448102</v>
      </c>
    </row>
    <row r="4303" spans="1:42" ht="14.5" x14ac:dyDescent="0.35">
      <c r="A4303" s="2" t="s">
        <v>28573</v>
      </c>
      <c r="B4303" s="2">
        <v>597.27129030788706</v>
      </c>
      <c r="C4303" s="2">
        <v>8.3517666666666699</v>
      </c>
      <c r="D4303" s="2" t="s">
        <v>70</v>
      </c>
      <c r="E4303" s="2" t="s">
        <v>28574</v>
      </c>
      <c r="F4303" s="2">
        <v>47148</v>
      </c>
      <c r="G4303" s="3" t="str">
        <f>HYPERLINK("http://funmeta.oebiotech.com/network/47148", "http://funmeta.oebiotech.com/network/47148")</f>
        <v>http://funmeta.oebiotech.com/network/47148</v>
      </c>
      <c r="H4303" s="2" t="s">
        <v>28575</v>
      </c>
      <c r="I4303" s="2">
        <v>5638</v>
      </c>
      <c r="J4303" s="2"/>
      <c r="K4303" s="2"/>
      <c r="L4303" s="2"/>
      <c r="M4303" s="2"/>
      <c r="N4303" s="2"/>
      <c r="O4303" s="2"/>
      <c r="P4303" s="2" t="s">
        <v>28576</v>
      </c>
      <c r="Q4303" s="2" t="s">
        <v>28577</v>
      </c>
      <c r="R4303" s="2" t="s">
        <v>28578</v>
      </c>
      <c r="S4303" s="2" t="s">
        <v>491</v>
      </c>
      <c r="T4303" s="2" t="s">
        <v>492</v>
      </c>
      <c r="U4303" s="2" t="s">
        <v>6398</v>
      </c>
      <c r="V4303" s="2" t="s">
        <v>59</v>
      </c>
      <c r="W4303" s="2">
        <v>46.9</v>
      </c>
      <c r="X4303" s="2">
        <v>40.799999999999997</v>
      </c>
      <c r="Y4303" s="2" t="s">
        <v>118</v>
      </c>
      <c r="Z4303" s="2" t="s">
        <v>28579</v>
      </c>
      <c r="AA4303" s="2">
        <v>-0.94974953912459203</v>
      </c>
      <c r="AB4303" s="2">
        <v>0.15266722633631399</v>
      </c>
      <c r="AC4303" s="2">
        <v>27037.192461378501</v>
      </c>
      <c r="AD4303" s="2">
        <v>29399.1880915373</v>
      </c>
      <c r="AE4303" s="2">
        <v>27246.376123470702</v>
      </c>
      <c r="AF4303" s="2">
        <v>25166.241131969298</v>
      </c>
      <c r="AG4303" s="2">
        <v>26837.588489424699</v>
      </c>
      <c r="AH4303" s="2">
        <v>27114.799705044399</v>
      </c>
      <c r="AI4303" s="2">
        <v>28449.678119508499</v>
      </c>
      <c r="AJ4303" s="2">
        <v>27408.471198853498</v>
      </c>
      <c r="AK4303" s="2">
        <v>30867.491477318799</v>
      </c>
      <c r="AL4303" s="2">
        <v>28183.559541016901</v>
      </c>
      <c r="AM4303" s="2">
        <v>32163.588790154801</v>
      </c>
      <c r="AN4303" s="2">
        <v>26790.767614562301</v>
      </c>
      <c r="AO4303" s="2">
        <v>29079.0840184521</v>
      </c>
      <c r="AP4303" s="2">
        <v>29310.6371077187</v>
      </c>
    </row>
    <row r="4304" spans="1:42" ht="14.5" x14ac:dyDescent="0.35">
      <c r="A4304" s="2" t="s">
        <v>28580</v>
      </c>
      <c r="B4304" s="2">
        <v>622.19192569433301</v>
      </c>
      <c r="C4304" s="2">
        <v>3.6251333333333302</v>
      </c>
      <c r="D4304" s="2" t="s">
        <v>34</v>
      </c>
      <c r="E4304" s="2" t="s">
        <v>28581</v>
      </c>
      <c r="F4304" s="2">
        <v>64671</v>
      </c>
      <c r="G4304" s="3" t="str">
        <f>HYPERLINK("http://funmeta.oebiotech.com/network/64671", "http://funmeta.oebiotech.com/network/64671")</f>
        <v>http://funmeta.oebiotech.com/network/64671</v>
      </c>
      <c r="H4304" s="2" t="s">
        <v>28582</v>
      </c>
      <c r="I4304" s="2"/>
      <c r="J4304" s="2"/>
      <c r="K4304" s="2"/>
      <c r="L4304" s="2"/>
      <c r="M4304" s="2"/>
      <c r="N4304" s="2"/>
      <c r="O4304" s="2">
        <v>74977111</v>
      </c>
      <c r="P4304" s="2" t="s">
        <v>28583</v>
      </c>
      <c r="Q4304" s="2" t="s">
        <v>28584</v>
      </c>
      <c r="R4304" s="2" t="s">
        <v>28585</v>
      </c>
      <c r="S4304" s="2" t="s">
        <v>115</v>
      </c>
      <c r="T4304" s="2" t="s">
        <v>139</v>
      </c>
      <c r="U4304" s="2" t="s">
        <v>140</v>
      </c>
      <c r="V4304" s="2" t="s">
        <v>59</v>
      </c>
      <c r="W4304" s="2">
        <v>37.299999999999997</v>
      </c>
      <c r="X4304" s="2">
        <v>0</v>
      </c>
      <c r="Y4304" s="2" t="s">
        <v>141</v>
      </c>
      <c r="Z4304" s="2" t="s">
        <v>28586</v>
      </c>
      <c r="AA4304" s="2">
        <v>4.2301949420803897</v>
      </c>
      <c r="AB4304" s="2">
        <v>0.15264421125293001</v>
      </c>
      <c r="AC4304" s="2">
        <v>2375.6638189155801</v>
      </c>
      <c r="AD4304" s="2">
        <v>4050.62875137624</v>
      </c>
      <c r="AE4304" s="2">
        <v>2669.13063443076</v>
      </c>
      <c r="AF4304" s="2">
        <v>2318.4013778100102</v>
      </c>
      <c r="AG4304" s="2">
        <v>2361.0920022493201</v>
      </c>
      <c r="AH4304" s="2">
        <v>2621.7117536904798</v>
      </c>
      <c r="AI4304" s="2">
        <v>1925.74344843012</v>
      </c>
      <c r="AJ4304" s="2">
        <v>2357.90369688277</v>
      </c>
      <c r="AK4304" s="2">
        <v>4326.0322041592099</v>
      </c>
      <c r="AL4304" s="2">
        <v>3715.3196185931702</v>
      </c>
      <c r="AM4304" s="2">
        <v>4837.3070520159699</v>
      </c>
      <c r="AN4304" s="2">
        <v>4096.3593494678598</v>
      </c>
      <c r="AO4304" s="2">
        <v>3980.60623860327</v>
      </c>
      <c r="AP4304" s="2">
        <v>3348.14804541799</v>
      </c>
    </row>
    <row r="4305" spans="1:42" ht="14.5" x14ac:dyDescent="0.35">
      <c r="A4305" s="2" t="s">
        <v>28587</v>
      </c>
      <c r="B4305" s="2">
        <v>222.977368308428</v>
      </c>
      <c r="C4305" s="2">
        <v>6.6499833333333296</v>
      </c>
      <c r="D4305" s="2" t="s">
        <v>70</v>
      </c>
      <c r="E4305" s="2" t="s">
        <v>28588</v>
      </c>
      <c r="F4305" s="2">
        <v>37</v>
      </c>
      <c r="G4305" s="3" t="str">
        <f>HYPERLINK("http://funmeta.oebiotech.com/network/37", "http://funmeta.oebiotech.com/network/37")</f>
        <v>http://funmeta.oebiotech.com/network/37</v>
      </c>
      <c r="H4305" s="2"/>
      <c r="I4305" s="2"/>
      <c r="J4305" s="2" t="s">
        <v>28589</v>
      </c>
      <c r="K4305" s="2"/>
      <c r="L4305" s="2"/>
      <c r="M4305" s="2"/>
      <c r="N4305" s="2"/>
      <c r="O4305" s="2">
        <v>86091224</v>
      </c>
      <c r="P4305" s="2"/>
      <c r="Q4305" s="2" t="s">
        <v>28590</v>
      </c>
      <c r="R4305" s="2" t="s">
        <v>28591</v>
      </c>
      <c r="S4305" s="2" t="s">
        <v>50</v>
      </c>
      <c r="T4305" s="2" t="s">
        <v>229</v>
      </c>
      <c r="U4305" s="2" t="s">
        <v>433</v>
      </c>
      <c r="V4305" s="2" t="s">
        <v>59</v>
      </c>
      <c r="W4305" s="2">
        <v>38.700000000000003</v>
      </c>
      <c r="X4305" s="2">
        <v>1.2E-2</v>
      </c>
      <c r="Y4305" s="2" t="s">
        <v>118</v>
      </c>
      <c r="Z4305" s="2" t="s">
        <v>28592</v>
      </c>
      <c r="AA4305" s="2">
        <v>-2.5779182943827501</v>
      </c>
      <c r="AB4305" s="2">
        <v>0.15250097183684999</v>
      </c>
      <c r="AC4305" s="2">
        <v>18892.073194563902</v>
      </c>
      <c r="AD4305" s="2">
        <v>20721.874518827699</v>
      </c>
      <c r="AE4305" s="2">
        <v>19140.861783582899</v>
      </c>
      <c r="AF4305" s="2">
        <v>18665.665919249899</v>
      </c>
      <c r="AG4305" s="2">
        <v>19941.780007988498</v>
      </c>
      <c r="AH4305" s="2">
        <v>19044.635111382398</v>
      </c>
      <c r="AI4305" s="2">
        <v>18867.9968212329</v>
      </c>
      <c r="AJ4305" s="2">
        <v>17691.499523946699</v>
      </c>
      <c r="AK4305" s="2">
        <v>21519.449506557801</v>
      </c>
      <c r="AL4305" s="2">
        <v>20571.971045915201</v>
      </c>
      <c r="AM4305" s="2">
        <v>21030.006168105199</v>
      </c>
      <c r="AN4305" s="2">
        <v>20286.299167626799</v>
      </c>
      <c r="AO4305" s="2">
        <v>19948.092262072601</v>
      </c>
      <c r="AP4305" s="2">
        <v>20975.4289626887</v>
      </c>
    </row>
    <row r="4306" spans="1:42" ht="14.5" x14ac:dyDescent="0.35">
      <c r="A4306" s="2" t="s">
        <v>28593</v>
      </c>
      <c r="B4306" s="2">
        <v>449.10758628306002</v>
      </c>
      <c r="C4306" s="2">
        <v>5.1206500000000004</v>
      </c>
      <c r="D4306" s="2" t="s">
        <v>34</v>
      </c>
      <c r="E4306" s="2" t="s">
        <v>28594</v>
      </c>
      <c r="F4306" s="2">
        <v>57941</v>
      </c>
      <c r="G4306" s="3" t="str">
        <f>HYPERLINK("http://funmeta.oebiotech.com/network/57941", "http://funmeta.oebiotech.com/network/57941")</f>
        <v>http://funmeta.oebiotech.com/network/57941</v>
      </c>
      <c r="H4306" s="2" t="s">
        <v>28595</v>
      </c>
      <c r="I4306" s="2">
        <v>43747</v>
      </c>
      <c r="J4306" s="2"/>
      <c r="K4306" s="2">
        <v>17558</v>
      </c>
      <c r="L4306" s="2" t="s">
        <v>28596</v>
      </c>
      <c r="M4306" s="2" t="s">
        <v>824</v>
      </c>
      <c r="N4306" s="2" t="s">
        <v>4398</v>
      </c>
      <c r="O4306" s="2">
        <v>5280459</v>
      </c>
      <c r="P4306" s="2" t="s">
        <v>28597</v>
      </c>
      <c r="Q4306" s="2" t="s">
        <v>28598</v>
      </c>
      <c r="R4306" s="2" t="s">
        <v>28599</v>
      </c>
      <c r="S4306" s="2" t="s">
        <v>115</v>
      </c>
      <c r="T4306" s="2" t="s">
        <v>139</v>
      </c>
      <c r="U4306" s="2" t="s">
        <v>140</v>
      </c>
      <c r="V4306" s="2" t="s">
        <v>59</v>
      </c>
      <c r="W4306" s="2">
        <v>38.700000000000003</v>
      </c>
      <c r="X4306" s="2">
        <v>0</v>
      </c>
      <c r="Y4306" s="2" t="s">
        <v>394</v>
      </c>
      <c r="Z4306" s="2" t="s">
        <v>4817</v>
      </c>
      <c r="AA4306" s="2">
        <v>-0.561493381743848</v>
      </c>
      <c r="AB4306" s="2">
        <v>0.15238303240449699</v>
      </c>
      <c r="AC4306" s="2">
        <v>64353.489379406303</v>
      </c>
      <c r="AD4306" s="2">
        <v>60008.076805664197</v>
      </c>
      <c r="AE4306" s="2">
        <v>66907.503852966096</v>
      </c>
      <c r="AF4306" s="2">
        <v>60850.626086931203</v>
      </c>
      <c r="AG4306" s="2">
        <v>59918.5444035771</v>
      </c>
      <c r="AH4306" s="2">
        <v>63422.722382546002</v>
      </c>
      <c r="AI4306" s="2">
        <v>67909.262381987501</v>
      </c>
      <c r="AJ4306" s="2">
        <v>67112.277168429893</v>
      </c>
      <c r="AK4306" s="2">
        <v>45916.103891471801</v>
      </c>
      <c r="AL4306" s="2">
        <v>57020.607994205697</v>
      </c>
      <c r="AM4306" s="2">
        <v>63081.289567149703</v>
      </c>
      <c r="AN4306" s="2">
        <v>59640.236258403202</v>
      </c>
      <c r="AO4306" s="2">
        <v>66333.812930526605</v>
      </c>
      <c r="AP4306" s="2">
        <v>68056.410192228199</v>
      </c>
    </row>
    <row r="4307" spans="1:42" ht="14.5" x14ac:dyDescent="0.35">
      <c r="A4307" s="2" t="s">
        <v>28600</v>
      </c>
      <c r="B4307" s="2">
        <v>381.169396651098</v>
      </c>
      <c r="C4307" s="2">
        <v>5.3519166666666704</v>
      </c>
      <c r="D4307" s="2" t="s">
        <v>34</v>
      </c>
      <c r="E4307" s="2" t="s">
        <v>28601</v>
      </c>
      <c r="F4307" s="2">
        <v>210966</v>
      </c>
      <c r="G4307" s="3" t="str">
        <f>HYPERLINK("http://funmeta.oebiotech.com/network/210966", "http://funmeta.oebiotech.com/network/210966")</f>
        <v>http://funmeta.oebiotech.com/network/210966</v>
      </c>
      <c r="H4307" s="2" t="s">
        <v>28602</v>
      </c>
      <c r="I4307" s="2"/>
      <c r="J4307" s="2"/>
      <c r="K4307" s="2"/>
      <c r="L4307" s="2"/>
      <c r="M4307" s="2"/>
      <c r="N4307" s="2"/>
      <c r="O4307" s="2">
        <v>69053724</v>
      </c>
      <c r="P4307" s="2"/>
      <c r="Q4307" s="2" t="s">
        <v>28603</v>
      </c>
      <c r="R4307" s="2" t="s">
        <v>28604</v>
      </c>
      <c r="S4307" s="2" t="s">
        <v>148</v>
      </c>
      <c r="T4307" s="2" t="s">
        <v>149</v>
      </c>
      <c r="U4307" s="2" t="s">
        <v>3559</v>
      </c>
      <c r="V4307" s="2" t="s">
        <v>59</v>
      </c>
      <c r="W4307" s="2">
        <v>39.200000000000003</v>
      </c>
      <c r="X4307" s="2">
        <v>0</v>
      </c>
      <c r="Y4307" s="2" t="s">
        <v>323</v>
      </c>
      <c r="Z4307" s="2" t="s">
        <v>28605</v>
      </c>
      <c r="AA4307" s="2">
        <v>-0.91642294345669395</v>
      </c>
      <c r="AB4307" s="2">
        <v>0.15236152599997099</v>
      </c>
      <c r="AC4307" s="2">
        <v>49016.203065128102</v>
      </c>
      <c r="AD4307" s="2">
        <v>45667.456753578103</v>
      </c>
      <c r="AE4307" s="2">
        <v>48580.741509725704</v>
      </c>
      <c r="AF4307" s="2">
        <v>49890.630849004301</v>
      </c>
      <c r="AG4307" s="2">
        <v>44746.7975342114</v>
      </c>
      <c r="AH4307" s="2">
        <v>44145.764240198099</v>
      </c>
      <c r="AI4307" s="2">
        <v>54569.1560901345</v>
      </c>
      <c r="AJ4307" s="2">
        <v>52164.128167494302</v>
      </c>
      <c r="AK4307" s="2">
        <v>46225.097375740799</v>
      </c>
      <c r="AL4307" s="2">
        <v>45638.851573494198</v>
      </c>
      <c r="AM4307" s="2">
        <v>45531.648753406596</v>
      </c>
      <c r="AN4307" s="2">
        <v>49767.562137280802</v>
      </c>
      <c r="AO4307" s="2">
        <v>41243.243144230903</v>
      </c>
      <c r="AP4307" s="2">
        <v>45598.3375373155</v>
      </c>
    </row>
    <row r="4308" spans="1:42" ht="14.5" x14ac:dyDescent="0.35">
      <c r="A4308" s="2" t="s">
        <v>28606</v>
      </c>
      <c r="B4308" s="2">
        <v>127.11169232488599</v>
      </c>
      <c r="C4308" s="2">
        <v>1.2567999999999999</v>
      </c>
      <c r="D4308" s="2" t="s">
        <v>34</v>
      </c>
      <c r="E4308" s="2" t="s">
        <v>28607</v>
      </c>
      <c r="F4308" s="2">
        <v>83428</v>
      </c>
      <c r="G4308" s="3" t="str">
        <f>HYPERLINK("http://funmeta.oebiotech.com/network/83428", "http://funmeta.oebiotech.com/network/83428")</f>
        <v>http://funmeta.oebiotech.com/network/83428</v>
      </c>
      <c r="H4308" s="2" t="s">
        <v>28608</v>
      </c>
      <c r="I4308" s="2"/>
      <c r="J4308" s="2"/>
      <c r="K4308" s="2">
        <v>88826</v>
      </c>
      <c r="L4308" s="2"/>
      <c r="M4308" s="2"/>
      <c r="N4308" s="2"/>
      <c r="O4308" s="2">
        <v>98034</v>
      </c>
      <c r="P4308" s="2"/>
      <c r="Q4308" s="2" t="s">
        <v>28609</v>
      </c>
      <c r="R4308" s="2" t="s">
        <v>28610</v>
      </c>
      <c r="S4308" s="2" t="s">
        <v>491</v>
      </c>
      <c r="T4308" s="2" t="s">
        <v>27803</v>
      </c>
      <c r="U4308" s="2" t="s">
        <v>41</v>
      </c>
      <c r="V4308" s="2" t="s">
        <v>59</v>
      </c>
      <c r="W4308" s="2">
        <v>39.6</v>
      </c>
      <c r="X4308" s="2">
        <v>18.899999999999999</v>
      </c>
      <c r="Y4308" s="2" t="s">
        <v>266</v>
      </c>
      <c r="Z4308" s="2" t="s">
        <v>28611</v>
      </c>
      <c r="AA4308" s="2">
        <v>-0.34123681489086199</v>
      </c>
      <c r="AB4308" s="2">
        <v>0.15235681555157901</v>
      </c>
      <c r="AC4308" s="2">
        <v>32461.294777818301</v>
      </c>
      <c r="AD4308" s="2">
        <v>28279.6958231639</v>
      </c>
      <c r="AE4308" s="2">
        <v>29821.949336584101</v>
      </c>
      <c r="AF4308" s="2">
        <v>29989.410766332199</v>
      </c>
      <c r="AG4308" s="2">
        <v>28843.3038115934</v>
      </c>
      <c r="AH4308" s="2">
        <v>28067.200320290201</v>
      </c>
      <c r="AI4308" s="2">
        <v>28807.9168590304</v>
      </c>
      <c r="AJ4308" s="2">
        <v>49237.987573079503</v>
      </c>
      <c r="AK4308" s="2">
        <v>29170.891486159599</v>
      </c>
      <c r="AL4308" s="2">
        <v>29608.675606713001</v>
      </c>
      <c r="AM4308" s="2">
        <v>27130.395141405199</v>
      </c>
      <c r="AN4308" s="2">
        <v>27467.254698213201</v>
      </c>
      <c r="AO4308" s="2">
        <v>29528.716360358299</v>
      </c>
      <c r="AP4308" s="2">
        <v>26772.241646134102</v>
      </c>
    </row>
    <row r="4309" spans="1:42" ht="14.5" x14ac:dyDescent="0.35">
      <c r="A4309" s="2" t="s">
        <v>28612</v>
      </c>
      <c r="B4309" s="2">
        <v>973.51332889036803</v>
      </c>
      <c r="C4309" s="2">
        <v>10.5277666666667</v>
      </c>
      <c r="D4309" s="2" t="s">
        <v>34</v>
      </c>
      <c r="E4309" s="2" t="s">
        <v>28613</v>
      </c>
      <c r="F4309" s="2">
        <v>227711</v>
      </c>
      <c r="G4309" s="3" t="str">
        <f>HYPERLINK("http://funmeta.oebiotech.com/network/227711", "http://funmeta.oebiotech.com/network/227711")</f>
        <v>http://funmeta.oebiotech.com/network/227711</v>
      </c>
      <c r="H4309" s="2" t="s">
        <v>28614</v>
      </c>
      <c r="I4309" s="2"/>
      <c r="J4309" s="2"/>
      <c r="K4309" s="2"/>
      <c r="L4309" s="2"/>
      <c r="M4309" s="2"/>
      <c r="N4309" s="2"/>
      <c r="O4309" s="2"/>
      <c r="P4309" s="2"/>
      <c r="Q4309" s="2" t="s">
        <v>28615</v>
      </c>
      <c r="R4309" s="2" t="s">
        <v>28616</v>
      </c>
      <c r="S4309" s="2" t="s">
        <v>41</v>
      </c>
      <c r="T4309" s="2" t="s">
        <v>41</v>
      </c>
      <c r="U4309" s="2" t="s">
        <v>41</v>
      </c>
      <c r="V4309" s="2" t="s">
        <v>59</v>
      </c>
      <c r="W4309" s="2">
        <v>36.200000000000003</v>
      </c>
      <c r="X4309" s="2">
        <v>0</v>
      </c>
      <c r="Y4309" s="2" t="s">
        <v>323</v>
      </c>
      <c r="Z4309" s="2" t="s">
        <v>28617</v>
      </c>
      <c r="AA4309" s="2">
        <v>-4.6679680831388302</v>
      </c>
      <c r="AB4309" s="2">
        <v>0.15221531722248099</v>
      </c>
      <c r="AC4309" s="2">
        <v>4070.5211095705199</v>
      </c>
      <c r="AD4309" s="2">
        <v>2023.5008340314901</v>
      </c>
      <c r="AE4309" s="2">
        <v>2674.29110891752</v>
      </c>
      <c r="AF4309" s="2">
        <v>3207.1978655112798</v>
      </c>
      <c r="AG4309" s="2">
        <v>5526.8206279434398</v>
      </c>
      <c r="AH4309" s="2">
        <v>5574.3890007400596</v>
      </c>
      <c r="AI4309" s="2">
        <v>3435.9491746851099</v>
      </c>
      <c r="AJ4309" s="2">
        <v>4004.4788796257399</v>
      </c>
      <c r="AK4309" s="2">
        <v>3251.2819961341002</v>
      </c>
      <c r="AL4309" s="2">
        <v>2501.62449104803</v>
      </c>
      <c r="AM4309" s="2">
        <v>1271.6134457222499</v>
      </c>
      <c r="AN4309" s="2">
        <v>1135.7635482927101</v>
      </c>
      <c r="AO4309" s="2">
        <v>2019.64527021294</v>
      </c>
      <c r="AP4309" s="2">
        <v>1961.0762527789</v>
      </c>
    </row>
    <row r="4310" spans="1:42" ht="14.5" x14ac:dyDescent="0.35">
      <c r="A4310" s="2" t="s">
        <v>28618</v>
      </c>
      <c r="B4310" s="2">
        <v>411.007024359056</v>
      </c>
      <c r="C4310" s="2">
        <v>9.93333333333333</v>
      </c>
      <c r="D4310" s="2" t="s">
        <v>70</v>
      </c>
      <c r="E4310" s="2" t="s">
        <v>28619</v>
      </c>
      <c r="F4310" s="2">
        <v>201340</v>
      </c>
      <c r="G4310" s="3" t="str">
        <f>HYPERLINK("http://funmeta.oebiotech.com/network/201340", "http://funmeta.oebiotech.com/network/201340")</f>
        <v>http://funmeta.oebiotech.com/network/201340</v>
      </c>
      <c r="H4310" s="2" t="s">
        <v>28620</v>
      </c>
      <c r="I4310" s="2"/>
      <c r="J4310" s="2"/>
      <c r="K4310" s="2">
        <v>30926</v>
      </c>
      <c r="L4310" s="2" t="s">
        <v>28621</v>
      </c>
      <c r="M4310" s="2" t="s">
        <v>28622</v>
      </c>
      <c r="N4310" s="2" t="s">
        <v>28623</v>
      </c>
      <c r="O4310" s="2">
        <v>439620</v>
      </c>
      <c r="P4310" s="2"/>
      <c r="Q4310" s="2" t="s">
        <v>28624</v>
      </c>
      <c r="R4310" s="2" t="s">
        <v>28625</v>
      </c>
      <c r="S4310" s="2" t="s">
        <v>89</v>
      </c>
      <c r="T4310" s="2" t="s">
        <v>90</v>
      </c>
      <c r="U4310" s="2" t="s">
        <v>91</v>
      </c>
      <c r="V4310" s="2" t="s">
        <v>59</v>
      </c>
      <c r="W4310" s="2">
        <v>38.5</v>
      </c>
      <c r="X4310" s="2">
        <v>0</v>
      </c>
      <c r="Y4310" s="2" t="s">
        <v>560</v>
      </c>
      <c r="Z4310" s="2" t="s">
        <v>28626</v>
      </c>
      <c r="AA4310" s="2">
        <v>4.2874745517076001</v>
      </c>
      <c r="AB4310" s="2">
        <v>0.15213016877510199</v>
      </c>
      <c r="AC4310" s="2">
        <v>19471.609246048301</v>
      </c>
      <c r="AD4310" s="2">
        <v>21516.348082487599</v>
      </c>
      <c r="AE4310" s="2">
        <v>20028.6771731874</v>
      </c>
      <c r="AF4310" s="2">
        <v>19095.634941327098</v>
      </c>
      <c r="AG4310" s="2">
        <v>19743.892079254802</v>
      </c>
      <c r="AH4310" s="2">
        <v>20061.813569887199</v>
      </c>
      <c r="AI4310" s="2">
        <v>19168.216060653402</v>
      </c>
      <c r="AJ4310" s="2">
        <v>18731.421651979901</v>
      </c>
      <c r="AK4310" s="2">
        <v>23393.378809518701</v>
      </c>
      <c r="AL4310" s="2">
        <v>21130.702700835602</v>
      </c>
      <c r="AM4310" s="2">
        <v>21806.671525764199</v>
      </c>
      <c r="AN4310" s="2">
        <v>20709.687835996101</v>
      </c>
      <c r="AO4310" s="2">
        <v>22383.008548979</v>
      </c>
      <c r="AP4310" s="2">
        <v>19674.639073831699</v>
      </c>
    </row>
    <row r="4311" spans="1:42" ht="14.5" x14ac:dyDescent="0.35">
      <c r="A4311" s="2" t="s">
        <v>28627</v>
      </c>
      <c r="B4311" s="2">
        <v>349.12876183563998</v>
      </c>
      <c r="C4311" s="2">
        <v>3.4826666666666699</v>
      </c>
      <c r="D4311" s="2" t="s">
        <v>70</v>
      </c>
      <c r="E4311" s="2" t="s">
        <v>28628</v>
      </c>
      <c r="F4311" s="2">
        <v>54276</v>
      </c>
      <c r="G4311" s="3" t="str">
        <f>HYPERLINK("http://funmeta.oebiotech.com/network/54276", "http://funmeta.oebiotech.com/network/54276")</f>
        <v>http://funmeta.oebiotech.com/network/54276</v>
      </c>
      <c r="H4311" s="2" t="s">
        <v>28629</v>
      </c>
      <c r="I4311" s="2">
        <v>86175</v>
      </c>
      <c r="J4311" s="2"/>
      <c r="K4311" s="2">
        <v>174916</v>
      </c>
      <c r="L4311" s="2"/>
      <c r="M4311" s="2"/>
      <c r="N4311" s="2"/>
      <c r="O4311" s="2">
        <v>16681728</v>
      </c>
      <c r="P4311" s="2"/>
      <c r="Q4311" s="2" t="s">
        <v>28630</v>
      </c>
      <c r="R4311" s="2" t="s">
        <v>28631</v>
      </c>
      <c r="S4311" s="2" t="s">
        <v>148</v>
      </c>
      <c r="T4311" s="2" t="s">
        <v>392</v>
      </c>
      <c r="U4311" s="2" t="s">
        <v>14542</v>
      </c>
      <c r="V4311" s="2" t="s">
        <v>59</v>
      </c>
      <c r="W4311" s="2">
        <v>39</v>
      </c>
      <c r="X4311" s="2">
        <v>0</v>
      </c>
      <c r="Y4311" s="2" t="s">
        <v>408</v>
      </c>
      <c r="Z4311" s="2" t="s">
        <v>28632</v>
      </c>
      <c r="AA4311" s="2">
        <v>-1.6926042896989</v>
      </c>
      <c r="AB4311" s="2">
        <v>0.15204667190646901</v>
      </c>
      <c r="AC4311" s="2">
        <v>5258.7912557588097</v>
      </c>
      <c r="AD4311" s="2">
        <v>7047.8295262541797</v>
      </c>
      <c r="AE4311" s="2">
        <v>5796.2650737242302</v>
      </c>
      <c r="AF4311" s="2">
        <v>4949.46866917642</v>
      </c>
      <c r="AG4311" s="2">
        <v>4567.7315564001701</v>
      </c>
      <c r="AH4311" s="2">
        <v>5877.3145498222102</v>
      </c>
      <c r="AI4311" s="2">
        <v>5803.2285606635696</v>
      </c>
      <c r="AJ4311" s="2">
        <v>4558.7391247662299</v>
      </c>
      <c r="AK4311" s="2">
        <v>6363.5443258820696</v>
      </c>
      <c r="AL4311" s="2">
        <v>6777.8691340109099</v>
      </c>
      <c r="AM4311" s="2">
        <v>6705.82580713276</v>
      </c>
      <c r="AN4311" s="2">
        <v>7867.9084900899597</v>
      </c>
      <c r="AO4311" s="2">
        <v>6794.6011681239197</v>
      </c>
      <c r="AP4311" s="2">
        <v>7777.2282322854398</v>
      </c>
    </row>
    <row r="4312" spans="1:42" ht="14.5" x14ac:dyDescent="0.35">
      <c r="A4312" s="2" t="s">
        <v>28633</v>
      </c>
      <c r="B4312" s="2">
        <v>485.215885842869</v>
      </c>
      <c r="C4312" s="2">
        <v>9.4292666666666705</v>
      </c>
      <c r="D4312" s="2" t="s">
        <v>70</v>
      </c>
      <c r="E4312" s="2" t="s">
        <v>28634</v>
      </c>
      <c r="F4312" s="2">
        <v>203583</v>
      </c>
      <c r="G4312" s="3" t="str">
        <f>HYPERLINK("http://funmeta.oebiotech.com/network/203583", "http://funmeta.oebiotech.com/network/203583")</f>
        <v>http://funmeta.oebiotech.com/network/203583</v>
      </c>
      <c r="H4312" s="2" t="s">
        <v>28635</v>
      </c>
      <c r="I4312" s="2"/>
      <c r="J4312" s="2"/>
      <c r="K4312" s="2"/>
      <c r="L4312" s="2"/>
      <c r="M4312" s="2"/>
      <c r="N4312" s="2"/>
      <c r="O4312" s="2">
        <v>18623038</v>
      </c>
      <c r="P4312" s="2"/>
      <c r="Q4312" s="2" t="s">
        <v>28636</v>
      </c>
      <c r="R4312" s="2" t="s">
        <v>28637</v>
      </c>
      <c r="S4312" s="2" t="s">
        <v>1444</v>
      </c>
      <c r="T4312" s="2" t="s">
        <v>3595</v>
      </c>
      <c r="U4312" s="2" t="s">
        <v>41</v>
      </c>
      <c r="V4312" s="2" t="s">
        <v>59</v>
      </c>
      <c r="W4312" s="2">
        <v>39</v>
      </c>
      <c r="X4312" s="2">
        <v>0</v>
      </c>
      <c r="Y4312" s="2" t="s">
        <v>118</v>
      </c>
      <c r="Z4312" s="2" t="s">
        <v>28638</v>
      </c>
      <c r="AA4312" s="2">
        <v>0.98631064756848097</v>
      </c>
      <c r="AB4312" s="2">
        <v>0.15203551683303199</v>
      </c>
      <c r="AC4312" s="2">
        <v>5107.8297972310702</v>
      </c>
      <c r="AD4312" s="2">
        <v>7024.4254915424199</v>
      </c>
      <c r="AE4312" s="2">
        <v>5583.8763608584104</v>
      </c>
      <c r="AF4312" s="2">
        <v>4884.2861646443998</v>
      </c>
      <c r="AG4312" s="2">
        <v>5161.6791376227002</v>
      </c>
      <c r="AH4312" s="2">
        <v>5678.5595959061502</v>
      </c>
      <c r="AI4312" s="2">
        <v>4753.1463067503</v>
      </c>
      <c r="AJ4312" s="2">
        <v>4585.4312176044596</v>
      </c>
      <c r="AK4312" s="2">
        <v>8359.2788879323307</v>
      </c>
      <c r="AL4312" s="2">
        <v>5268.6834276960199</v>
      </c>
      <c r="AM4312" s="2">
        <v>6765.5145992408197</v>
      </c>
      <c r="AN4312" s="2">
        <v>6830.2805473805602</v>
      </c>
      <c r="AO4312" s="2">
        <v>7143.8969171837998</v>
      </c>
      <c r="AP4312" s="2">
        <v>7778.8985698209799</v>
      </c>
    </row>
    <row r="4313" spans="1:42" ht="14.5" x14ac:dyDescent="0.35">
      <c r="A4313" s="2" t="s">
        <v>28639</v>
      </c>
      <c r="B4313" s="2">
        <v>325.09274913839999</v>
      </c>
      <c r="C4313" s="2">
        <v>5.1890333333333301</v>
      </c>
      <c r="D4313" s="2" t="s">
        <v>70</v>
      </c>
      <c r="E4313" s="2" t="s">
        <v>28640</v>
      </c>
      <c r="F4313" s="2">
        <v>47230</v>
      </c>
      <c r="G4313" s="3" t="str">
        <f>HYPERLINK("http://funmeta.oebiotech.com/network/47230", "http://funmeta.oebiotech.com/network/47230")</f>
        <v>http://funmeta.oebiotech.com/network/47230</v>
      </c>
      <c r="H4313" s="2" t="s">
        <v>28641</v>
      </c>
      <c r="I4313" s="2">
        <v>5766</v>
      </c>
      <c r="J4313" s="2"/>
      <c r="K4313" s="2">
        <v>18265</v>
      </c>
      <c r="L4313" s="2" t="s">
        <v>28642</v>
      </c>
      <c r="M4313" s="2"/>
      <c r="N4313" s="2"/>
      <c r="O4313" s="2">
        <v>73000</v>
      </c>
      <c r="P4313" s="2" t="s">
        <v>28643</v>
      </c>
      <c r="Q4313" s="2" t="s">
        <v>28644</v>
      </c>
      <c r="R4313" s="2" t="s">
        <v>28645</v>
      </c>
      <c r="S4313" s="2" t="s">
        <v>491</v>
      </c>
      <c r="T4313" s="2" t="s">
        <v>4914</v>
      </c>
      <c r="U4313" s="2" t="s">
        <v>4915</v>
      </c>
      <c r="V4313" s="2" t="s">
        <v>59</v>
      </c>
      <c r="W4313" s="2">
        <v>39</v>
      </c>
      <c r="X4313" s="2">
        <v>0</v>
      </c>
      <c r="Y4313" s="2" t="s">
        <v>560</v>
      </c>
      <c r="Z4313" s="2" t="s">
        <v>28646</v>
      </c>
      <c r="AA4313" s="2">
        <v>3.6981507066567199</v>
      </c>
      <c r="AB4313" s="2">
        <v>0.151900949202109</v>
      </c>
      <c r="AC4313" s="2">
        <v>2886.92724412899</v>
      </c>
      <c r="AD4313" s="2">
        <v>4533.5587239100196</v>
      </c>
      <c r="AE4313" s="2">
        <v>2871.71290441873</v>
      </c>
      <c r="AF4313" s="2">
        <v>2668.4316257648902</v>
      </c>
      <c r="AG4313" s="2">
        <v>2737.6624943853799</v>
      </c>
      <c r="AH4313" s="2">
        <v>2930.6671859769399</v>
      </c>
      <c r="AI4313" s="2">
        <v>2934.2078802255801</v>
      </c>
      <c r="AJ4313" s="2">
        <v>3178.8813740024202</v>
      </c>
      <c r="AK4313" s="2">
        <v>3988.6251836707902</v>
      </c>
      <c r="AL4313" s="2">
        <v>4104.5490401785501</v>
      </c>
      <c r="AM4313" s="2">
        <v>5262.1021855781901</v>
      </c>
      <c r="AN4313" s="2">
        <v>5094.6447497440404</v>
      </c>
      <c r="AO4313" s="2">
        <v>4551.3316140105499</v>
      </c>
      <c r="AP4313" s="2">
        <v>4200.0995702780201</v>
      </c>
    </row>
    <row r="4314" spans="1:42" ht="14.5" x14ac:dyDescent="0.35">
      <c r="A4314" s="2" t="s">
        <v>28647</v>
      </c>
      <c r="B4314" s="2">
        <v>373.112883146993</v>
      </c>
      <c r="C4314" s="2">
        <v>3.7494000000000001</v>
      </c>
      <c r="D4314" s="2" t="s">
        <v>70</v>
      </c>
      <c r="E4314" s="2" t="s">
        <v>28648</v>
      </c>
      <c r="F4314" s="2">
        <v>58311</v>
      </c>
      <c r="G4314" s="3" t="str">
        <f>HYPERLINK("http://funmeta.oebiotech.com/network/58311", "http://funmeta.oebiotech.com/network/58311")</f>
        <v>http://funmeta.oebiotech.com/network/58311</v>
      </c>
      <c r="H4314" s="2" t="s">
        <v>28649</v>
      </c>
      <c r="I4314" s="2">
        <v>89803</v>
      </c>
      <c r="J4314" s="2"/>
      <c r="K4314" s="2">
        <v>169423</v>
      </c>
      <c r="L4314" s="2"/>
      <c r="M4314" s="2"/>
      <c r="N4314" s="2"/>
      <c r="O4314" s="2">
        <v>131751540</v>
      </c>
      <c r="P4314" s="2" t="s">
        <v>28650</v>
      </c>
      <c r="Q4314" s="2" t="s">
        <v>28651</v>
      </c>
      <c r="R4314" s="2" t="s">
        <v>28652</v>
      </c>
      <c r="S4314" s="2" t="s">
        <v>50</v>
      </c>
      <c r="T4314" s="2" t="s">
        <v>201</v>
      </c>
      <c r="U4314" s="2" t="s">
        <v>202</v>
      </c>
      <c r="V4314" s="2" t="s">
        <v>42</v>
      </c>
      <c r="W4314" s="2">
        <v>51.7</v>
      </c>
      <c r="X4314" s="2">
        <v>69.599999999999994</v>
      </c>
      <c r="Y4314" s="2" t="s">
        <v>751</v>
      </c>
      <c r="Z4314" s="2" t="s">
        <v>28653</v>
      </c>
      <c r="AA4314" s="2">
        <v>-2.90034541442814</v>
      </c>
      <c r="AB4314" s="2">
        <v>0.15176776745923801</v>
      </c>
      <c r="AC4314" s="2">
        <v>76479.353075183302</v>
      </c>
      <c r="AD4314" s="2">
        <v>73355.409822613699</v>
      </c>
      <c r="AE4314" s="2">
        <v>75446.0031146041</v>
      </c>
      <c r="AF4314" s="2">
        <v>75625.129524576696</v>
      </c>
      <c r="AG4314" s="2">
        <v>74875.156984686895</v>
      </c>
      <c r="AH4314" s="2">
        <v>75949.225942771402</v>
      </c>
      <c r="AI4314" s="2">
        <v>75207.299357695199</v>
      </c>
      <c r="AJ4314" s="2">
        <v>81773.303526765303</v>
      </c>
      <c r="AK4314" s="2">
        <v>68046.873895841505</v>
      </c>
      <c r="AL4314" s="2">
        <v>70403.055228687605</v>
      </c>
      <c r="AM4314" s="2">
        <v>76778.399058892901</v>
      </c>
      <c r="AN4314" s="2">
        <v>75927.581014259995</v>
      </c>
      <c r="AO4314" s="2">
        <v>73854.8472901926</v>
      </c>
      <c r="AP4314" s="2">
        <v>75121.702447807504</v>
      </c>
    </row>
    <row r="4315" spans="1:42" ht="14.5" x14ac:dyDescent="0.35">
      <c r="A4315" s="2" t="s">
        <v>28654</v>
      </c>
      <c r="B4315" s="2">
        <v>212.09171136499501</v>
      </c>
      <c r="C4315" s="2">
        <v>1.3287</v>
      </c>
      <c r="D4315" s="2" t="s">
        <v>34</v>
      </c>
      <c r="E4315" s="2" t="s">
        <v>28655</v>
      </c>
      <c r="F4315" s="2">
        <v>266251</v>
      </c>
      <c r="G4315" s="3" t="str">
        <f>HYPERLINK("http://funmeta.oebiotech.com/network/266251", "http://funmeta.oebiotech.com/network/266251")</f>
        <v>http://funmeta.oebiotech.com/network/266251</v>
      </c>
      <c r="H4315" s="2"/>
      <c r="I4315" s="2">
        <v>24061</v>
      </c>
      <c r="J4315" s="2"/>
      <c r="K4315" s="2"/>
      <c r="L4315" s="2"/>
      <c r="M4315" s="2"/>
      <c r="N4315" s="2"/>
      <c r="O4315" s="2">
        <v>573683</v>
      </c>
      <c r="P4315" s="2" t="s">
        <v>28656</v>
      </c>
      <c r="Q4315" s="2" t="s">
        <v>28657</v>
      </c>
      <c r="R4315" s="2" t="s">
        <v>28658</v>
      </c>
      <c r="S4315" s="2" t="s">
        <v>50</v>
      </c>
      <c r="T4315" s="2" t="s">
        <v>229</v>
      </c>
      <c r="U4315" s="2" t="s">
        <v>433</v>
      </c>
      <c r="V4315" s="2" t="s">
        <v>42</v>
      </c>
      <c r="W4315" s="2">
        <v>55.9</v>
      </c>
      <c r="X4315" s="2">
        <v>82.6</v>
      </c>
      <c r="Y4315" s="2" t="s">
        <v>394</v>
      </c>
      <c r="Z4315" s="2" t="s">
        <v>3528</v>
      </c>
      <c r="AA4315" s="2">
        <v>-0.10880457648115099</v>
      </c>
      <c r="AB4315" s="2">
        <v>0.151559725155192</v>
      </c>
      <c r="AC4315" s="2">
        <v>29397.919647893701</v>
      </c>
      <c r="AD4315" s="2">
        <v>31697.741390696901</v>
      </c>
      <c r="AE4315" s="2">
        <v>30180.552329418701</v>
      </c>
      <c r="AF4315" s="2">
        <v>28548.513935294901</v>
      </c>
      <c r="AG4315" s="2">
        <v>29063.491714774998</v>
      </c>
      <c r="AH4315" s="2">
        <v>29319.658446055601</v>
      </c>
      <c r="AI4315" s="2">
        <v>29685.775040195</v>
      </c>
      <c r="AJ4315" s="2">
        <v>29589.526421622701</v>
      </c>
      <c r="AK4315" s="2">
        <v>30760.622437709499</v>
      </c>
      <c r="AL4315" s="2">
        <v>29257.231909594499</v>
      </c>
      <c r="AM4315" s="2">
        <v>32821.824976739801</v>
      </c>
      <c r="AN4315" s="2">
        <v>31113.2709729624</v>
      </c>
      <c r="AO4315" s="2">
        <v>31179.693522936301</v>
      </c>
      <c r="AP4315" s="2">
        <v>35053.804524238803</v>
      </c>
    </row>
    <row r="4316" spans="1:42" ht="14.5" x14ac:dyDescent="0.35">
      <c r="A4316" s="2" t="s">
        <v>28659</v>
      </c>
      <c r="B4316" s="2">
        <v>260.19668802529998</v>
      </c>
      <c r="C4316" s="2">
        <v>1.3287</v>
      </c>
      <c r="D4316" s="2" t="s">
        <v>34</v>
      </c>
      <c r="E4316" s="2" t="s">
        <v>28660</v>
      </c>
      <c r="F4316" s="2">
        <v>53936</v>
      </c>
      <c r="G4316" s="3" t="str">
        <f>HYPERLINK("http://funmeta.oebiotech.com/network/53936", "http://funmeta.oebiotech.com/network/53936")</f>
        <v>http://funmeta.oebiotech.com/network/53936</v>
      </c>
      <c r="H4316" s="2" t="s">
        <v>28661</v>
      </c>
      <c r="I4316" s="2">
        <v>85818</v>
      </c>
      <c r="J4316" s="2"/>
      <c r="K4316" s="2">
        <v>173852</v>
      </c>
      <c r="L4316" s="2"/>
      <c r="M4316" s="2"/>
      <c r="N4316" s="2"/>
      <c r="O4316" s="2">
        <v>14299177</v>
      </c>
      <c r="P4316" s="2"/>
      <c r="Q4316" s="2" t="s">
        <v>28662</v>
      </c>
      <c r="R4316" s="2" t="s">
        <v>28663</v>
      </c>
      <c r="S4316" s="2" t="s">
        <v>89</v>
      </c>
      <c r="T4316" s="2" t="s">
        <v>90</v>
      </c>
      <c r="U4316" s="2" t="s">
        <v>99</v>
      </c>
      <c r="V4316" s="2" t="s">
        <v>59</v>
      </c>
      <c r="W4316" s="2">
        <v>38.799999999999997</v>
      </c>
      <c r="X4316" s="2">
        <v>0</v>
      </c>
      <c r="Y4316" s="2" t="s">
        <v>394</v>
      </c>
      <c r="Z4316" s="2" t="s">
        <v>28664</v>
      </c>
      <c r="AA4316" s="2">
        <v>-0.69478688746589701</v>
      </c>
      <c r="AB4316" s="2">
        <v>0.15153189488198501</v>
      </c>
      <c r="AC4316" s="2">
        <v>4465.39943177432</v>
      </c>
      <c r="AD4316" s="2">
        <v>2831.6894553952202</v>
      </c>
      <c r="AE4316" s="2">
        <v>4988.0904205386296</v>
      </c>
      <c r="AF4316" s="2">
        <v>3949.48991615367</v>
      </c>
      <c r="AG4316" s="2">
        <v>4361.9479840834201</v>
      </c>
      <c r="AH4316" s="2">
        <v>4493.0054718964002</v>
      </c>
      <c r="AI4316" s="2">
        <v>4117.3206525251599</v>
      </c>
      <c r="AJ4316" s="2">
        <v>4882.5421454486504</v>
      </c>
      <c r="AK4316" s="2">
        <v>2555.2771058410599</v>
      </c>
      <c r="AL4316" s="2">
        <v>3165.1196918997598</v>
      </c>
      <c r="AM4316" s="2">
        <v>3040.7106018853801</v>
      </c>
      <c r="AN4316" s="2">
        <v>2309.0041779859698</v>
      </c>
      <c r="AO4316" s="2">
        <v>2736.7892040786301</v>
      </c>
      <c r="AP4316" s="2">
        <v>3183.2359506805101</v>
      </c>
    </row>
    <row r="4317" spans="1:42" ht="14.5" x14ac:dyDescent="0.35">
      <c r="A4317" s="2" t="s">
        <v>28665</v>
      </c>
      <c r="B4317" s="2">
        <v>351.21398413891001</v>
      </c>
      <c r="C4317" s="2">
        <v>8.4520166666666707</v>
      </c>
      <c r="D4317" s="2" t="s">
        <v>34</v>
      </c>
      <c r="E4317" s="2" t="s">
        <v>28666</v>
      </c>
      <c r="F4317" s="2">
        <v>204323</v>
      </c>
      <c r="G4317" s="3" t="str">
        <f>HYPERLINK("http://funmeta.oebiotech.com/network/204323", "http://funmeta.oebiotech.com/network/204323")</f>
        <v>http://funmeta.oebiotech.com/network/204323</v>
      </c>
      <c r="H4317" s="2" t="s">
        <v>28667</v>
      </c>
      <c r="I4317" s="2"/>
      <c r="J4317" s="2"/>
      <c r="K4317" s="2"/>
      <c r="L4317" s="2"/>
      <c r="M4317" s="2"/>
      <c r="N4317" s="2"/>
      <c r="O4317" s="2">
        <v>20155120</v>
      </c>
      <c r="P4317" s="2"/>
      <c r="Q4317" s="2" t="s">
        <v>28668</v>
      </c>
      <c r="R4317" s="2" t="s">
        <v>28669</v>
      </c>
      <c r="S4317" s="2" t="s">
        <v>89</v>
      </c>
      <c r="T4317" s="2" t="s">
        <v>90</v>
      </c>
      <c r="U4317" s="2" t="s">
        <v>99</v>
      </c>
      <c r="V4317" s="2" t="s">
        <v>59</v>
      </c>
      <c r="W4317" s="2">
        <v>38.200000000000003</v>
      </c>
      <c r="X4317" s="2">
        <v>0</v>
      </c>
      <c r="Y4317" s="2" t="s">
        <v>141</v>
      </c>
      <c r="Z4317" s="2" t="s">
        <v>28670</v>
      </c>
      <c r="AA4317" s="2">
        <v>0.18734570124503799</v>
      </c>
      <c r="AB4317" s="2">
        <v>0.151520224994731</v>
      </c>
      <c r="AC4317" s="2">
        <v>9164.4497664639002</v>
      </c>
      <c r="AD4317" s="2">
        <v>11278.2087067842</v>
      </c>
      <c r="AE4317" s="2">
        <v>8940.4454002268303</v>
      </c>
      <c r="AF4317" s="2">
        <v>9311.7287805074193</v>
      </c>
      <c r="AG4317" s="2">
        <v>9668.0247376240604</v>
      </c>
      <c r="AH4317" s="2">
        <v>9313.0566745490505</v>
      </c>
      <c r="AI4317" s="2">
        <v>9694.4291196895301</v>
      </c>
      <c r="AJ4317" s="2">
        <v>8059.0138861865098</v>
      </c>
      <c r="AK4317" s="2">
        <v>12829.677746757199</v>
      </c>
      <c r="AL4317" s="2">
        <v>11931.178408927501</v>
      </c>
      <c r="AM4317" s="2">
        <v>11182.3363958062</v>
      </c>
      <c r="AN4317" s="2">
        <v>8562.9391690916691</v>
      </c>
      <c r="AO4317" s="2">
        <v>11145.1480296013</v>
      </c>
      <c r="AP4317" s="2">
        <v>12017.972490521201</v>
      </c>
    </row>
    <row r="4318" spans="1:42" ht="14.5" x14ac:dyDescent="0.35">
      <c r="A4318" s="2" t="s">
        <v>28671</v>
      </c>
      <c r="B4318" s="2">
        <v>735.30638598910696</v>
      </c>
      <c r="C4318" s="2">
        <v>5.0964166666666699</v>
      </c>
      <c r="D4318" s="2" t="s">
        <v>70</v>
      </c>
      <c r="E4318" s="2" t="s">
        <v>28672</v>
      </c>
      <c r="F4318" s="2">
        <v>52511</v>
      </c>
      <c r="G4318" s="3" t="str">
        <f>HYPERLINK("http://funmeta.oebiotech.com/network/52511", "http://funmeta.oebiotech.com/network/52511")</f>
        <v>http://funmeta.oebiotech.com/network/52511</v>
      </c>
      <c r="H4318" s="2" t="s">
        <v>28673</v>
      </c>
      <c r="I4318" s="2">
        <v>85306</v>
      </c>
      <c r="J4318" s="2"/>
      <c r="K4318" s="2"/>
      <c r="L4318" s="2"/>
      <c r="M4318" s="2"/>
      <c r="N4318" s="2"/>
      <c r="O4318" s="2">
        <v>22873800</v>
      </c>
      <c r="P4318" s="2"/>
      <c r="Q4318" s="2" t="s">
        <v>28674</v>
      </c>
      <c r="R4318" s="2" t="s">
        <v>28675</v>
      </c>
      <c r="S4318" s="2" t="s">
        <v>491</v>
      </c>
      <c r="T4318" s="2" t="s">
        <v>2184</v>
      </c>
      <c r="U4318" s="2" t="s">
        <v>3838</v>
      </c>
      <c r="V4318" s="2" t="s">
        <v>59</v>
      </c>
      <c r="W4318" s="2">
        <v>38.299999999999997</v>
      </c>
      <c r="X4318" s="2">
        <v>0</v>
      </c>
      <c r="Y4318" s="2" t="s">
        <v>560</v>
      </c>
      <c r="Z4318" s="2" t="s">
        <v>28676</v>
      </c>
      <c r="AA4318" s="2">
        <v>2.6678705664377</v>
      </c>
      <c r="AB4318" s="2">
        <v>0.15142504175913499</v>
      </c>
      <c r="AC4318" s="2">
        <v>17834.211063856899</v>
      </c>
      <c r="AD4318" s="2">
        <v>15129.9619301728</v>
      </c>
      <c r="AE4318" s="2">
        <v>18084.5262873623</v>
      </c>
      <c r="AF4318" s="2">
        <v>17215.150443185601</v>
      </c>
      <c r="AG4318" s="2">
        <v>16533.0850715247</v>
      </c>
      <c r="AH4318" s="2">
        <v>16165.5363417181</v>
      </c>
      <c r="AI4318" s="2">
        <v>21222.422126323901</v>
      </c>
      <c r="AJ4318" s="2">
        <v>17784.546113026601</v>
      </c>
      <c r="AK4318" s="2">
        <v>12565.378467222101</v>
      </c>
      <c r="AL4318" s="2">
        <v>12137.0900477706</v>
      </c>
      <c r="AM4318" s="2">
        <v>18270.066901041599</v>
      </c>
      <c r="AN4318" s="2">
        <v>15390.9956409767</v>
      </c>
      <c r="AO4318" s="2">
        <v>16877.978389574</v>
      </c>
      <c r="AP4318" s="2">
        <v>15538.262134451499</v>
      </c>
    </row>
    <row r="4319" spans="1:42" ht="14.5" x14ac:dyDescent="0.35">
      <c r="A4319" s="2" t="s">
        <v>28677</v>
      </c>
      <c r="B4319" s="2">
        <v>753.37917165111003</v>
      </c>
      <c r="C4319" s="2">
        <v>10.490783333333299</v>
      </c>
      <c r="D4319" s="2" t="s">
        <v>34</v>
      </c>
      <c r="E4319" s="2" t="s">
        <v>28678</v>
      </c>
      <c r="F4319" s="2">
        <v>60064</v>
      </c>
      <c r="G4319" s="3" t="str">
        <f>HYPERLINK("http://funmeta.oebiotech.com/network/60064", "http://funmeta.oebiotech.com/network/60064")</f>
        <v>http://funmeta.oebiotech.com/network/60064</v>
      </c>
      <c r="H4319" s="2" t="s">
        <v>28679</v>
      </c>
      <c r="I4319" s="2">
        <v>91445</v>
      </c>
      <c r="J4319" s="2"/>
      <c r="K4319" s="2"/>
      <c r="L4319" s="2"/>
      <c r="M4319" s="2"/>
      <c r="N4319" s="2"/>
      <c r="O4319" s="2">
        <v>73801616</v>
      </c>
      <c r="P4319" s="2" t="s">
        <v>28680</v>
      </c>
      <c r="Q4319" s="2" t="s">
        <v>28681</v>
      </c>
      <c r="R4319" s="2" t="s">
        <v>28682</v>
      </c>
      <c r="S4319" s="2" t="s">
        <v>50</v>
      </c>
      <c r="T4319" s="2" t="s">
        <v>201</v>
      </c>
      <c r="U4319" s="2" t="s">
        <v>202</v>
      </c>
      <c r="V4319" s="2" t="s">
        <v>59</v>
      </c>
      <c r="W4319" s="2">
        <v>36.6</v>
      </c>
      <c r="X4319" s="2">
        <v>0</v>
      </c>
      <c r="Y4319" s="2" t="s">
        <v>340</v>
      </c>
      <c r="Z4319" s="2" t="s">
        <v>28683</v>
      </c>
      <c r="AA4319" s="2">
        <v>-4.2390688535944703</v>
      </c>
      <c r="AB4319" s="2">
        <v>0.15137009484713099</v>
      </c>
      <c r="AC4319" s="2">
        <v>6331.4642739621904</v>
      </c>
      <c r="AD4319" s="2">
        <v>8653.9085482678893</v>
      </c>
      <c r="AE4319" s="2">
        <v>7381.1091105322803</v>
      </c>
      <c r="AF4319" s="2">
        <v>4488.0071442311501</v>
      </c>
      <c r="AG4319" s="2">
        <v>5399.5144534075998</v>
      </c>
      <c r="AH4319" s="2">
        <v>7725.9670486122604</v>
      </c>
      <c r="AI4319" s="2">
        <v>7603.9647504209797</v>
      </c>
      <c r="AJ4319" s="2">
        <v>5390.2231365689004</v>
      </c>
      <c r="AK4319" s="2">
        <v>10639.8888798689</v>
      </c>
      <c r="AL4319" s="2">
        <v>9293.3343855675794</v>
      </c>
      <c r="AM4319" s="2">
        <v>9051.6559579317</v>
      </c>
      <c r="AN4319" s="2">
        <v>6299.9531113398898</v>
      </c>
      <c r="AO4319" s="2">
        <v>9475.6178078814901</v>
      </c>
      <c r="AP4319" s="2">
        <v>7163.0011470177897</v>
      </c>
    </row>
    <row r="4320" spans="1:42" ht="14.5" x14ac:dyDescent="0.35">
      <c r="A4320" s="2" t="s">
        <v>28684</v>
      </c>
      <c r="B4320" s="2">
        <v>501.13783662910703</v>
      </c>
      <c r="C4320" s="2">
        <v>5.4683000000000002</v>
      </c>
      <c r="D4320" s="2" t="s">
        <v>70</v>
      </c>
      <c r="E4320" s="2" t="s">
        <v>28685</v>
      </c>
      <c r="F4320" s="2">
        <v>267470</v>
      </c>
      <c r="G4320" s="3" t="str">
        <f>HYPERLINK("http://funmeta.oebiotech.com/network/267470", "http://funmeta.oebiotech.com/network/267470")</f>
        <v>http://funmeta.oebiotech.com/network/267470</v>
      </c>
      <c r="H4320" s="2"/>
      <c r="I4320" s="2">
        <v>45530</v>
      </c>
      <c r="J4320" s="2"/>
      <c r="K4320" s="2"/>
      <c r="L4320" s="2"/>
      <c r="M4320" s="2"/>
      <c r="N4320" s="2"/>
      <c r="O4320" s="2">
        <v>3544</v>
      </c>
      <c r="P4320" s="2"/>
      <c r="Q4320" s="2" t="s">
        <v>28686</v>
      </c>
      <c r="R4320" s="2" t="s">
        <v>28687</v>
      </c>
      <c r="S4320" s="2" t="s">
        <v>491</v>
      </c>
      <c r="T4320" s="2" t="s">
        <v>13817</v>
      </c>
      <c r="U4320" s="2" t="s">
        <v>41</v>
      </c>
      <c r="V4320" s="2" t="s">
        <v>59</v>
      </c>
      <c r="W4320" s="2">
        <v>38.4</v>
      </c>
      <c r="X4320" s="2">
        <v>0</v>
      </c>
      <c r="Y4320" s="2" t="s">
        <v>560</v>
      </c>
      <c r="Z4320" s="2" t="s">
        <v>28688</v>
      </c>
      <c r="AA4320" s="2">
        <v>-1.1595832809234099</v>
      </c>
      <c r="AB4320" s="2">
        <v>0.15132132484330199</v>
      </c>
      <c r="AC4320" s="2">
        <v>13043.6892279397</v>
      </c>
      <c r="AD4320" s="2">
        <v>10778.356867427199</v>
      </c>
      <c r="AE4320" s="2">
        <v>13603.2555421046</v>
      </c>
      <c r="AF4320" s="2">
        <v>11340.015307559701</v>
      </c>
      <c r="AG4320" s="2">
        <v>12342.2724756074</v>
      </c>
      <c r="AH4320" s="2">
        <v>13389.276189890999</v>
      </c>
      <c r="AI4320" s="2">
        <v>13389.3109715091</v>
      </c>
      <c r="AJ4320" s="2">
        <v>14198.0048809665</v>
      </c>
      <c r="AK4320" s="2">
        <v>12624.1826553062</v>
      </c>
      <c r="AL4320" s="2">
        <v>9112.3702327309402</v>
      </c>
      <c r="AM4320" s="2">
        <v>9506.2490318462405</v>
      </c>
      <c r="AN4320" s="2">
        <v>11322.5659014499</v>
      </c>
      <c r="AO4320" s="2">
        <v>12709.987213185001</v>
      </c>
      <c r="AP4320" s="2">
        <v>9394.7861700446992</v>
      </c>
    </row>
    <row r="4321" spans="1:42" ht="14.5" x14ac:dyDescent="0.35">
      <c r="A4321" s="2" t="s">
        <v>28689</v>
      </c>
      <c r="B4321" s="2">
        <v>761.26447290413705</v>
      </c>
      <c r="C4321" s="2">
        <v>5.3939333333333304</v>
      </c>
      <c r="D4321" s="2" t="s">
        <v>70</v>
      </c>
      <c r="E4321" s="2" t="s">
        <v>28690</v>
      </c>
      <c r="F4321" s="2">
        <v>208465</v>
      </c>
      <c r="G4321" s="3" t="str">
        <f>HYPERLINK("http://funmeta.oebiotech.com/network/208465", "http://funmeta.oebiotech.com/network/208465")</f>
        <v>http://funmeta.oebiotech.com/network/208465</v>
      </c>
      <c r="H4321" s="2" t="s">
        <v>28691</v>
      </c>
      <c r="I4321" s="2"/>
      <c r="J4321" s="2"/>
      <c r="K4321" s="2"/>
      <c r="L4321" s="2"/>
      <c r="M4321" s="2"/>
      <c r="N4321" s="2"/>
      <c r="O4321" s="2">
        <v>3006307</v>
      </c>
      <c r="P4321" s="2"/>
      <c r="Q4321" s="2" t="s">
        <v>28692</v>
      </c>
      <c r="R4321" s="2" t="s">
        <v>28693</v>
      </c>
      <c r="S4321" s="2" t="s">
        <v>41</v>
      </c>
      <c r="T4321" s="2" t="s">
        <v>41</v>
      </c>
      <c r="U4321" s="2" t="s">
        <v>41</v>
      </c>
      <c r="V4321" s="2" t="s">
        <v>59</v>
      </c>
      <c r="W4321" s="2">
        <v>37.299999999999997</v>
      </c>
      <c r="X4321" s="2">
        <v>0</v>
      </c>
      <c r="Y4321" s="2" t="s">
        <v>751</v>
      </c>
      <c r="Z4321" s="2" t="s">
        <v>28694</v>
      </c>
      <c r="AA4321" s="2">
        <v>-1.0739817211374001</v>
      </c>
      <c r="AB4321" s="2">
        <v>0.15109067378393501</v>
      </c>
      <c r="AC4321" s="2">
        <v>2530.8361637184498</v>
      </c>
      <c r="AD4321" s="2">
        <v>4438.7013933286298</v>
      </c>
      <c r="AE4321" s="2">
        <v>2306.8405816069799</v>
      </c>
      <c r="AF4321" s="2">
        <v>3210.8129904612501</v>
      </c>
      <c r="AG4321" s="2">
        <v>2890.2716463557499</v>
      </c>
      <c r="AH4321" s="2">
        <v>1336.1151645656901</v>
      </c>
      <c r="AI4321" s="2">
        <v>2294.8316179461499</v>
      </c>
      <c r="AJ4321" s="2">
        <v>3146.14498137491</v>
      </c>
      <c r="AK4321" s="2">
        <v>4364.9991949118003</v>
      </c>
      <c r="AL4321" s="2">
        <v>3238.03324573891</v>
      </c>
      <c r="AM4321" s="2">
        <v>4844.6955655215697</v>
      </c>
      <c r="AN4321" s="2">
        <v>5377.69118174304</v>
      </c>
      <c r="AO4321" s="2">
        <v>3447.0922858048398</v>
      </c>
      <c r="AP4321" s="2">
        <v>5359.6968862515896</v>
      </c>
    </row>
    <row r="4322" spans="1:42" ht="14.5" x14ac:dyDescent="0.35">
      <c r="A4322" s="2" t="s">
        <v>28695</v>
      </c>
      <c r="B4322" s="2">
        <v>561.19600790569405</v>
      </c>
      <c r="C4322" s="2">
        <v>5.1048166666666699</v>
      </c>
      <c r="D4322" s="2" t="s">
        <v>34</v>
      </c>
      <c r="E4322" s="2" t="s">
        <v>28696</v>
      </c>
      <c r="F4322" s="2">
        <v>57531</v>
      </c>
      <c r="G4322" s="3" t="str">
        <f>HYPERLINK("http://funmeta.oebiotech.com/network/57531", "http://funmeta.oebiotech.com/network/57531")</f>
        <v>http://funmeta.oebiotech.com/network/57531</v>
      </c>
      <c r="H4322" s="2" t="s">
        <v>28697</v>
      </c>
      <c r="I4322" s="2">
        <v>89141</v>
      </c>
      <c r="J4322" s="2"/>
      <c r="K4322" s="2"/>
      <c r="L4322" s="2"/>
      <c r="M4322" s="2"/>
      <c r="N4322" s="2"/>
      <c r="O4322" s="2">
        <v>14756309</v>
      </c>
      <c r="P4322" s="2"/>
      <c r="Q4322" s="2" t="s">
        <v>28698</v>
      </c>
      <c r="R4322" s="2" t="s">
        <v>28699</v>
      </c>
      <c r="S4322" s="2" t="s">
        <v>1184</v>
      </c>
      <c r="T4322" s="2" t="s">
        <v>1185</v>
      </c>
      <c r="U4322" s="2" t="s">
        <v>41</v>
      </c>
      <c r="V4322" s="2" t="s">
        <v>59</v>
      </c>
      <c r="W4322" s="2">
        <v>37.4</v>
      </c>
      <c r="X4322" s="2">
        <v>0</v>
      </c>
      <c r="Y4322" s="2" t="s">
        <v>141</v>
      </c>
      <c r="Z4322" s="2" t="s">
        <v>28700</v>
      </c>
      <c r="AA4322" s="2">
        <v>-1.1155119876966499</v>
      </c>
      <c r="AB4322" s="2">
        <v>0.15102646046245199</v>
      </c>
      <c r="AC4322" s="2">
        <v>4549.19872871589</v>
      </c>
      <c r="AD4322" s="2">
        <v>6723.96462687443</v>
      </c>
      <c r="AE4322" s="2">
        <v>4340.9431520625603</v>
      </c>
      <c r="AF4322" s="2">
        <v>3087.2690338602501</v>
      </c>
      <c r="AG4322" s="2">
        <v>4439.8893694616399</v>
      </c>
      <c r="AH4322" s="2">
        <v>3300.4987919366099</v>
      </c>
      <c r="AI4322" s="2">
        <v>6297.7671819068901</v>
      </c>
      <c r="AJ4322" s="2">
        <v>5828.8248430673802</v>
      </c>
      <c r="AK4322" s="2">
        <v>5258.4039635201898</v>
      </c>
      <c r="AL4322" s="2">
        <v>5237.3812664245897</v>
      </c>
      <c r="AM4322" s="2">
        <v>6867.9799443484299</v>
      </c>
      <c r="AN4322" s="2">
        <v>7439.2998397995798</v>
      </c>
      <c r="AO4322" s="2">
        <v>6966.0525510758298</v>
      </c>
      <c r="AP4322" s="2">
        <v>8574.6701960779392</v>
      </c>
    </row>
    <row r="4323" spans="1:42" ht="14.5" x14ac:dyDescent="0.35">
      <c r="A4323" s="2" t="s">
        <v>28701</v>
      </c>
      <c r="B4323" s="2">
        <v>765.40661435263905</v>
      </c>
      <c r="C4323" s="2">
        <v>10.1084333333333</v>
      </c>
      <c r="D4323" s="2" t="s">
        <v>70</v>
      </c>
      <c r="E4323" s="2" t="s">
        <v>28702</v>
      </c>
      <c r="F4323" s="2">
        <v>203485</v>
      </c>
      <c r="G4323" s="3" t="str">
        <f>HYPERLINK("http://funmeta.oebiotech.com/network/203485", "http://funmeta.oebiotech.com/network/203485")</f>
        <v>http://funmeta.oebiotech.com/network/203485</v>
      </c>
      <c r="H4323" s="2" t="s">
        <v>28703</v>
      </c>
      <c r="I4323" s="2"/>
      <c r="J4323" s="2"/>
      <c r="K4323" s="2"/>
      <c r="L4323" s="2"/>
      <c r="M4323" s="2"/>
      <c r="N4323" s="2"/>
      <c r="O4323" s="2">
        <v>67068474</v>
      </c>
      <c r="P4323" s="2"/>
      <c r="Q4323" s="2" t="s">
        <v>28704</v>
      </c>
      <c r="R4323" s="2" t="s">
        <v>28705</v>
      </c>
      <c r="S4323" s="2" t="s">
        <v>89</v>
      </c>
      <c r="T4323" s="2" t="s">
        <v>90</v>
      </c>
      <c r="U4323" s="2" t="s">
        <v>99</v>
      </c>
      <c r="V4323" s="2" t="s">
        <v>59</v>
      </c>
      <c r="W4323" s="2">
        <v>38.1</v>
      </c>
      <c r="X4323" s="2">
        <v>0</v>
      </c>
      <c r="Y4323" s="2" t="s">
        <v>560</v>
      </c>
      <c r="Z4323" s="2" t="s">
        <v>28706</v>
      </c>
      <c r="AA4323" s="2">
        <v>-7.2238117495918394E-2</v>
      </c>
      <c r="AB4323" s="2">
        <v>0.151019568171888</v>
      </c>
      <c r="AC4323" s="2">
        <v>3290.4499710792702</v>
      </c>
      <c r="AD4323" s="2">
        <v>1521.9048152768701</v>
      </c>
      <c r="AE4323" s="2">
        <v>3376.1010509184298</v>
      </c>
      <c r="AF4323" s="2">
        <v>2939.03251413625</v>
      </c>
      <c r="AG4323" s="2">
        <v>2581.7552895062399</v>
      </c>
      <c r="AH4323" s="2">
        <v>3940.5193839829799</v>
      </c>
      <c r="AI4323" s="2">
        <v>3508.53882367902</v>
      </c>
      <c r="AJ4323" s="2">
        <v>3396.7527642526902</v>
      </c>
      <c r="AK4323" s="2">
        <v>1029.96084200563</v>
      </c>
      <c r="AL4323" s="2">
        <v>657.77553203229002</v>
      </c>
      <c r="AM4323" s="2">
        <v>2313.1799420397901</v>
      </c>
      <c r="AN4323" s="2">
        <v>1039.68834287922</v>
      </c>
      <c r="AO4323" s="2">
        <v>2187.6161897539901</v>
      </c>
      <c r="AP4323" s="2">
        <v>1903.2080429503101</v>
      </c>
    </row>
    <row r="4324" spans="1:42" ht="14.5" x14ac:dyDescent="0.35">
      <c r="A4324" s="2" t="s">
        <v>28707</v>
      </c>
      <c r="B4324" s="2">
        <v>276.01809599107401</v>
      </c>
      <c r="C4324" s="2">
        <v>1.69431666666667</v>
      </c>
      <c r="D4324" s="2" t="s">
        <v>70</v>
      </c>
      <c r="E4324" s="2" t="s">
        <v>28708</v>
      </c>
      <c r="F4324" s="2">
        <v>257671</v>
      </c>
      <c r="G4324" s="3" t="str">
        <f>HYPERLINK("http://funmeta.oebiotech.com/network/257671", "http://funmeta.oebiotech.com/network/257671")</f>
        <v>http://funmeta.oebiotech.com/network/257671</v>
      </c>
      <c r="H4324" s="2" t="s">
        <v>28709</v>
      </c>
      <c r="I4324" s="2"/>
      <c r="J4324" s="2"/>
      <c r="K4324" s="2"/>
      <c r="L4324" s="2"/>
      <c r="M4324" s="2"/>
      <c r="N4324" s="2"/>
      <c r="O4324" s="2"/>
      <c r="P4324" s="2"/>
      <c r="Q4324" s="2" t="s">
        <v>28710</v>
      </c>
      <c r="R4324" s="2" t="s">
        <v>28711</v>
      </c>
      <c r="S4324" s="2" t="s">
        <v>41</v>
      </c>
      <c r="T4324" s="2" t="s">
        <v>41</v>
      </c>
      <c r="U4324" s="2" t="s">
        <v>41</v>
      </c>
      <c r="V4324" s="2" t="s">
        <v>59</v>
      </c>
      <c r="W4324" s="2">
        <v>40.9</v>
      </c>
      <c r="X4324" s="2">
        <v>12.2</v>
      </c>
      <c r="Y4324" s="2" t="s">
        <v>408</v>
      </c>
      <c r="Z4324" s="2" t="s">
        <v>28712</v>
      </c>
      <c r="AA4324" s="2">
        <v>-1.0833261239710399</v>
      </c>
      <c r="AB4324" s="2">
        <v>0.15093769048997499</v>
      </c>
      <c r="AC4324" s="2">
        <v>4771.1537939311802</v>
      </c>
      <c r="AD4324" s="2">
        <v>3231.4185526142101</v>
      </c>
      <c r="AE4324" s="2">
        <v>4669.2226605550904</v>
      </c>
      <c r="AF4324" s="2">
        <v>4598.6860591080604</v>
      </c>
      <c r="AG4324" s="2">
        <v>4880.3908998148199</v>
      </c>
      <c r="AH4324" s="2">
        <v>4835.0466691308802</v>
      </c>
      <c r="AI4324" s="2">
        <v>4771.1749874473398</v>
      </c>
      <c r="AJ4324" s="2">
        <v>4872.4014875308703</v>
      </c>
      <c r="AK4324" s="2">
        <v>3036.9494419145299</v>
      </c>
      <c r="AL4324" s="2">
        <v>3094.8257408068298</v>
      </c>
      <c r="AM4324" s="2">
        <v>3306.4791736001498</v>
      </c>
      <c r="AN4324" s="2">
        <v>3720.0630446914802</v>
      </c>
      <c r="AO4324" s="2">
        <v>3140.4011626900001</v>
      </c>
      <c r="AP4324" s="2">
        <v>3089.7927519822701</v>
      </c>
    </row>
    <row r="4325" spans="1:42" ht="14.5" x14ac:dyDescent="0.35">
      <c r="A4325" s="2" t="s">
        <v>28713</v>
      </c>
      <c r="B4325" s="2">
        <v>623.27042676665405</v>
      </c>
      <c r="C4325" s="2">
        <v>4.7579333333333302</v>
      </c>
      <c r="D4325" s="2" t="s">
        <v>70</v>
      </c>
      <c r="E4325" s="2" t="s">
        <v>28714</v>
      </c>
      <c r="F4325" s="2">
        <v>202388</v>
      </c>
      <c r="G4325" s="3" t="str">
        <f>HYPERLINK("http://funmeta.oebiotech.com/network/202388", "http://funmeta.oebiotech.com/network/202388")</f>
        <v>http://funmeta.oebiotech.com/network/202388</v>
      </c>
      <c r="H4325" s="2" t="s">
        <v>28715</v>
      </c>
      <c r="I4325" s="2">
        <v>357665</v>
      </c>
      <c r="J4325" s="2"/>
      <c r="K4325" s="2"/>
      <c r="L4325" s="2"/>
      <c r="M4325" s="2"/>
      <c r="N4325" s="2"/>
      <c r="O4325" s="2">
        <v>81109</v>
      </c>
      <c r="P4325" s="2"/>
      <c r="Q4325" s="2" t="s">
        <v>28716</v>
      </c>
      <c r="R4325" s="2" t="s">
        <v>28717</v>
      </c>
      <c r="S4325" s="2" t="s">
        <v>491</v>
      </c>
      <c r="T4325" s="2" t="s">
        <v>3019</v>
      </c>
      <c r="U4325" s="2" t="s">
        <v>3020</v>
      </c>
      <c r="V4325" s="2" t="s">
        <v>59</v>
      </c>
      <c r="W4325" s="2">
        <v>38.4</v>
      </c>
      <c r="X4325" s="2">
        <v>0</v>
      </c>
      <c r="Y4325" s="2" t="s">
        <v>560</v>
      </c>
      <c r="Z4325" s="2" t="s">
        <v>28718</v>
      </c>
      <c r="AA4325" s="2">
        <v>4.3412503208007198</v>
      </c>
      <c r="AB4325" s="2">
        <v>0.15093292416359499</v>
      </c>
      <c r="AC4325" s="2">
        <v>3372.8831996409499</v>
      </c>
      <c r="AD4325" s="2">
        <v>5394.9320517343403</v>
      </c>
      <c r="AE4325" s="2">
        <v>3803.11381776189</v>
      </c>
      <c r="AF4325" s="2">
        <v>3150.5096137975202</v>
      </c>
      <c r="AG4325" s="2">
        <v>3196.0066276937</v>
      </c>
      <c r="AH4325" s="2">
        <v>5200.9222604203997</v>
      </c>
      <c r="AI4325" s="2">
        <v>2762.0786006181102</v>
      </c>
      <c r="AJ4325" s="2">
        <v>2124.6682775540598</v>
      </c>
      <c r="AK4325" s="2">
        <v>3742.1862813791499</v>
      </c>
      <c r="AL4325" s="2">
        <v>6408.7155045979798</v>
      </c>
      <c r="AM4325" s="2">
        <v>5342.5706371144697</v>
      </c>
      <c r="AN4325" s="2">
        <v>5796.0553779859702</v>
      </c>
      <c r="AO4325" s="2">
        <v>5029.2603109904303</v>
      </c>
      <c r="AP4325" s="2">
        <v>6050.8041983380699</v>
      </c>
    </row>
    <row r="4326" spans="1:42" ht="14.5" x14ac:dyDescent="0.35">
      <c r="A4326" s="2" t="s">
        <v>28719</v>
      </c>
      <c r="B4326" s="2">
        <v>333.20706116205503</v>
      </c>
      <c r="C4326" s="2">
        <v>10.3287</v>
      </c>
      <c r="D4326" s="2" t="s">
        <v>70</v>
      </c>
      <c r="E4326" s="2" t="s">
        <v>28720</v>
      </c>
      <c r="F4326" s="2">
        <v>44903</v>
      </c>
      <c r="G4326" s="3" t="str">
        <f>HYPERLINK("http://funmeta.oebiotech.com/network/44903", "http://funmeta.oebiotech.com/network/44903")</f>
        <v>http://funmeta.oebiotech.com/network/44903</v>
      </c>
      <c r="H4326" s="2" t="s">
        <v>28721</v>
      </c>
      <c r="I4326" s="2">
        <v>24048</v>
      </c>
      <c r="J4326" s="2" t="s">
        <v>28722</v>
      </c>
      <c r="K4326" s="2">
        <v>28689</v>
      </c>
      <c r="L4326" s="2" t="s">
        <v>28723</v>
      </c>
      <c r="M4326" s="2" t="s">
        <v>28724</v>
      </c>
      <c r="N4326" s="2" t="s">
        <v>28725</v>
      </c>
      <c r="O4326" s="2">
        <v>5881</v>
      </c>
      <c r="P4326" s="2" t="s">
        <v>28726</v>
      </c>
      <c r="Q4326" s="2" t="s">
        <v>28727</v>
      </c>
      <c r="R4326" s="2" t="s">
        <v>28728</v>
      </c>
      <c r="S4326" s="2" t="s">
        <v>50</v>
      </c>
      <c r="T4326" s="2" t="s">
        <v>124</v>
      </c>
      <c r="U4326" s="2" t="s">
        <v>2373</v>
      </c>
      <c r="V4326" s="2" t="s">
        <v>59</v>
      </c>
      <c r="W4326" s="2">
        <v>38.9</v>
      </c>
      <c r="X4326" s="2">
        <v>0</v>
      </c>
      <c r="Y4326" s="2" t="s">
        <v>408</v>
      </c>
      <c r="Z4326" s="2" t="s">
        <v>28729</v>
      </c>
      <c r="AA4326" s="2">
        <v>-0.24928105230574399</v>
      </c>
      <c r="AB4326" s="2">
        <v>0.15076012144763101</v>
      </c>
      <c r="AC4326" s="2">
        <v>2652.5871905100598</v>
      </c>
      <c r="AD4326" s="2">
        <v>1116.70552873267</v>
      </c>
      <c r="AE4326" s="2">
        <v>2807.9714687740102</v>
      </c>
      <c r="AF4326" s="2">
        <v>2570.1266013539998</v>
      </c>
      <c r="AG4326" s="2">
        <v>2335.1263057572401</v>
      </c>
      <c r="AH4326" s="2">
        <v>2951.755825186</v>
      </c>
      <c r="AI4326" s="2">
        <v>2385.6514019737001</v>
      </c>
      <c r="AJ4326" s="2">
        <v>2864.8915400154201</v>
      </c>
      <c r="AK4326" s="2">
        <v>988.06047188647699</v>
      </c>
      <c r="AL4326" s="2">
        <v>1200.95685240036</v>
      </c>
      <c r="AM4326" s="2">
        <v>1353.8762993749301</v>
      </c>
      <c r="AN4326" s="2">
        <v>1115.8451465913599</v>
      </c>
      <c r="AO4326" s="2">
        <v>1079.17249850691</v>
      </c>
      <c r="AP4326" s="2">
        <v>962.321903636</v>
      </c>
    </row>
    <row r="4327" spans="1:42" ht="14.5" x14ac:dyDescent="0.35">
      <c r="A4327" s="2" t="s">
        <v>28730</v>
      </c>
      <c r="B4327" s="2">
        <v>405.04139978147401</v>
      </c>
      <c r="C4327" s="2">
        <v>2.5397333333333298</v>
      </c>
      <c r="D4327" s="2" t="s">
        <v>70</v>
      </c>
      <c r="E4327" s="2" t="s">
        <v>28731</v>
      </c>
      <c r="F4327" s="2">
        <v>47761</v>
      </c>
      <c r="G4327" s="3" t="str">
        <f>HYPERLINK("http://funmeta.oebiotech.com/network/47761", "http://funmeta.oebiotech.com/network/47761")</f>
        <v>http://funmeta.oebiotech.com/network/47761</v>
      </c>
      <c r="H4327" s="2" t="s">
        <v>28732</v>
      </c>
      <c r="I4327" s="2">
        <v>6438</v>
      </c>
      <c r="J4327" s="2"/>
      <c r="K4327" s="2">
        <v>90001</v>
      </c>
      <c r="L4327" s="2"/>
      <c r="M4327" s="2"/>
      <c r="N4327" s="2"/>
      <c r="O4327" s="2">
        <v>135905</v>
      </c>
      <c r="P4327" s="2" t="s">
        <v>28733</v>
      </c>
      <c r="Q4327" s="2" t="s">
        <v>28734</v>
      </c>
      <c r="R4327" s="2" t="s">
        <v>28735</v>
      </c>
      <c r="S4327" s="2" t="s">
        <v>89</v>
      </c>
      <c r="T4327" s="2" t="s">
        <v>90</v>
      </c>
      <c r="U4327" s="2" t="s">
        <v>99</v>
      </c>
      <c r="V4327" s="2" t="s">
        <v>59</v>
      </c>
      <c r="W4327" s="2">
        <v>37.6</v>
      </c>
      <c r="X4327" s="2">
        <v>0</v>
      </c>
      <c r="Y4327" s="2" t="s">
        <v>560</v>
      </c>
      <c r="Z4327" s="2" t="s">
        <v>28736</v>
      </c>
      <c r="AA4327" s="2">
        <v>-4.3869667736071296</v>
      </c>
      <c r="AB4327" s="2">
        <v>0.15068333164091899</v>
      </c>
      <c r="AC4327" s="2">
        <v>3756.4272189967601</v>
      </c>
      <c r="AD4327" s="2">
        <v>2202.0966498538</v>
      </c>
      <c r="AE4327" s="2">
        <v>3912.7213132499801</v>
      </c>
      <c r="AF4327" s="2">
        <v>3285.0397870929401</v>
      </c>
      <c r="AG4327" s="2">
        <v>3972.0235653641298</v>
      </c>
      <c r="AH4327" s="2">
        <v>3467.6170445293301</v>
      </c>
      <c r="AI4327" s="2">
        <v>3772.29395914623</v>
      </c>
      <c r="AJ4327" s="2">
        <v>4128.8676445979199</v>
      </c>
      <c r="AK4327" s="2">
        <v>1960.85460237852</v>
      </c>
      <c r="AL4327" s="2">
        <v>2409.9232083872198</v>
      </c>
      <c r="AM4327" s="2">
        <v>2240.5813201682899</v>
      </c>
      <c r="AN4327" s="2">
        <v>2291.7037160089999</v>
      </c>
      <c r="AO4327" s="2">
        <v>2097.3866453236201</v>
      </c>
      <c r="AP4327" s="2">
        <v>2212.1304068561299</v>
      </c>
    </row>
    <row r="4328" spans="1:42" ht="14.5" x14ac:dyDescent="0.35">
      <c r="A4328" s="2" t="s">
        <v>28737</v>
      </c>
      <c r="B4328" s="2">
        <v>202.99715080406301</v>
      </c>
      <c r="C4328" s="2">
        <v>0.65180000000000005</v>
      </c>
      <c r="D4328" s="2" t="s">
        <v>34</v>
      </c>
      <c r="E4328" s="2" t="s">
        <v>28738</v>
      </c>
      <c r="F4328" s="2">
        <v>208375</v>
      </c>
      <c r="G4328" s="3" t="str">
        <f>HYPERLINK("http://funmeta.oebiotech.com/network/208375", "http://funmeta.oebiotech.com/network/208375")</f>
        <v>http://funmeta.oebiotech.com/network/208375</v>
      </c>
      <c r="H4328" s="2" t="s">
        <v>28739</v>
      </c>
      <c r="I4328" s="2">
        <v>44770</v>
      </c>
      <c r="J4328" s="2"/>
      <c r="K4328" s="2">
        <v>16489</v>
      </c>
      <c r="L4328" s="2" t="s">
        <v>28740</v>
      </c>
      <c r="M4328" s="2"/>
      <c r="N4328" s="2"/>
      <c r="O4328" s="2">
        <v>10250</v>
      </c>
      <c r="P4328" s="2" t="s">
        <v>28741</v>
      </c>
      <c r="Q4328" s="2" t="s">
        <v>28742</v>
      </c>
      <c r="R4328" s="2" t="s">
        <v>28743</v>
      </c>
      <c r="S4328" s="2" t="s">
        <v>491</v>
      </c>
      <c r="T4328" s="2" t="s">
        <v>4914</v>
      </c>
      <c r="U4328" s="2" t="s">
        <v>41</v>
      </c>
      <c r="V4328" s="2" t="s">
        <v>59</v>
      </c>
      <c r="W4328" s="2">
        <v>39</v>
      </c>
      <c r="X4328" s="2">
        <v>0</v>
      </c>
      <c r="Y4328" s="2" t="s">
        <v>340</v>
      </c>
      <c r="Z4328" s="2" t="s">
        <v>28744</v>
      </c>
      <c r="AA4328" s="2">
        <v>3.45866984995238</v>
      </c>
      <c r="AB4328" s="2">
        <v>0.15065196818482501</v>
      </c>
      <c r="AC4328" s="2">
        <v>1980.4149822205</v>
      </c>
      <c r="AD4328" s="2">
        <v>3827.7767834279298</v>
      </c>
      <c r="AE4328" s="2">
        <v>1105.7005527516401</v>
      </c>
      <c r="AF4328" s="2">
        <v>3164.5054100146599</v>
      </c>
      <c r="AG4328" s="2">
        <v>1832.91727028841</v>
      </c>
      <c r="AH4328" s="2">
        <v>1431.8311369995099</v>
      </c>
      <c r="AI4328" s="2">
        <v>2233.1219735168402</v>
      </c>
      <c r="AJ4328" s="2">
        <v>2114.4135497519201</v>
      </c>
      <c r="AK4328" s="2">
        <v>4721.2088931849003</v>
      </c>
      <c r="AL4328" s="2">
        <v>4602.3400933978401</v>
      </c>
      <c r="AM4328" s="2">
        <v>3830.8013715777001</v>
      </c>
      <c r="AN4328" s="2">
        <v>3850.9462056570301</v>
      </c>
      <c r="AO4328" s="2">
        <v>2840.7821651867398</v>
      </c>
      <c r="AP4328" s="2">
        <v>3120.5819715633702</v>
      </c>
    </row>
    <row r="4329" spans="1:42" ht="14.5" x14ac:dyDescent="0.35">
      <c r="A4329" s="2" t="s">
        <v>28745</v>
      </c>
      <c r="B4329" s="2">
        <v>347.14861653049201</v>
      </c>
      <c r="C4329" s="2">
        <v>4.5826500000000001</v>
      </c>
      <c r="D4329" s="2" t="s">
        <v>34</v>
      </c>
      <c r="E4329" s="5" t="s">
        <v>28746</v>
      </c>
      <c r="F4329" s="2">
        <v>256526</v>
      </c>
      <c r="G4329" s="3" t="str">
        <f>HYPERLINK("http://funmeta.oebiotech.com/network/256526", "http://funmeta.oebiotech.com/network/256526")</f>
        <v>http://funmeta.oebiotech.com/network/256526</v>
      </c>
      <c r="H4329" s="2" t="s">
        <v>28747</v>
      </c>
      <c r="I4329" s="2"/>
      <c r="J4329" s="2"/>
      <c r="K4329" s="2"/>
      <c r="L4329" s="2"/>
      <c r="M4329" s="2"/>
      <c r="N4329" s="2"/>
      <c r="O4329" s="2"/>
      <c r="P4329" s="2"/>
      <c r="Q4329" s="2" t="s">
        <v>28748</v>
      </c>
      <c r="R4329" s="2" t="s">
        <v>28749</v>
      </c>
      <c r="S4329" s="2" t="s">
        <v>50</v>
      </c>
      <c r="T4329" s="2" t="s">
        <v>201</v>
      </c>
      <c r="U4329" s="2" t="s">
        <v>241</v>
      </c>
      <c r="V4329" s="2" t="s">
        <v>42</v>
      </c>
      <c r="W4329" s="2">
        <v>50.5</v>
      </c>
      <c r="X4329" s="2">
        <v>57.9</v>
      </c>
      <c r="Y4329" s="2" t="s">
        <v>141</v>
      </c>
      <c r="Z4329" s="2" t="s">
        <v>28750</v>
      </c>
      <c r="AA4329" s="2">
        <v>-0.81923466594095395</v>
      </c>
      <c r="AB4329" s="2">
        <v>0.150626447543981</v>
      </c>
      <c r="AC4329" s="2">
        <v>77236.919114682096</v>
      </c>
      <c r="AD4329" s="2">
        <v>81207.521025743597</v>
      </c>
      <c r="AE4329" s="2">
        <v>68299.198682458606</v>
      </c>
      <c r="AF4329" s="2">
        <v>84514.640544923706</v>
      </c>
      <c r="AG4329" s="2">
        <v>80321.328559200803</v>
      </c>
      <c r="AH4329" s="2">
        <v>72617.622275424204</v>
      </c>
      <c r="AI4329" s="2">
        <v>76377.741267432706</v>
      </c>
      <c r="AJ4329" s="2">
        <v>81290.983358652302</v>
      </c>
      <c r="AK4329" s="2">
        <v>83059.215237779295</v>
      </c>
      <c r="AL4329" s="2">
        <v>80119.705300212197</v>
      </c>
      <c r="AM4329" s="2">
        <v>77640.329370767198</v>
      </c>
      <c r="AN4329" s="2">
        <v>89155.964521005299</v>
      </c>
      <c r="AO4329" s="2">
        <v>76045.098794742604</v>
      </c>
      <c r="AP4329" s="2">
        <v>81224.812929955006</v>
      </c>
    </row>
    <row r="4330" spans="1:42" ht="14.5" x14ac:dyDescent="0.35">
      <c r="A4330" s="2" t="s">
        <v>28751</v>
      </c>
      <c r="B4330" s="2">
        <v>266.05629365695398</v>
      </c>
      <c r="C4330" s="2">
        <v>2.01128333333333</v>
      </c>
      <c r="D4330" s="2" t="s">
        <v>70</v>
      </c>
      <c r="E4330" s="2" t="s">
        <v>28752</v>
      </c>
      <c r="F4330" s="2">
        <v>200140</v>
      </c>
      <c r="G4330" s="3" t="str">
        <f>HYPERLINK("http://funmeta.oebiotech.com/network/200140", "http://funmeta.oebiotech.com/network/200140")</f>
        <v>http://funmeta.oebiotech.com/network/200140</v>
      </c>
      <c r="H4330" s="2" t="s">
        <v>28753</v>
      </c>
      <c r="I4330" s="2"/>
      <c r="J4330" s="2"/>
      <c r="K4330" s="2"/>
      <c r="L4330" s="2"/>
      <c r="M4330" s="2"/>
      <c r="N4330" s="2"/>
      <c r="O4330" s="2">
        <v>2762553</v>
      </c>
      <c r="P4330" s="2"/>
      <c r="Q4330" s="2" t="s">
        <v>28754</v>
      </c>
      <c r="R4330" s="2" t="s">
        <v>28755</v>
      </c>
      <c r="S4330" s="2" t="s">
        <v>41</v>
      </c>
      <c r="T4330" s="2" t="s">
        <v>41</v>
      </c>
      <c r="U4330" s="2" t="s">
        <v>41</v>
      </c>
      <c r="V4330" s="2" t="s">
        <v>59</v>
      </c>
      <c r="W4330" s="2">
        <v>37.9</v>
      </c>
      <c r="X4330" s="2">
        <v>8.9300000000000004E-2</v>
      </c>
      <c r="Y4330" s="2" t="s">
        <v>751</v>
      </c>
      <c r="Z4330" s="2" t="s">
        <v>28756</v>
      </c>
      <c r="AA4330" s="2">
        <v>-2.88018445339282</v>
      </c>
      <c r="AB4330" s="2">
        <v>0.15052844635524701</v>
      </c>
      <c r="AC4330" s="2">
        <v>26714.881305029601</v>
      </c>
      <c r="AD4330" s="2">
        <v>28881.8141805495</v>
      </c>
      <c r="AE4330" s="2">
        <v>26184.249550307599</v>
      </c>
      <c r="AF4330" s="2">
        <v>25283.616041826401</v>
      </c>
      <c r="AG4330" s="2">
        <v>26648.8735353171</v>
      </c>
      <c r="AH4330" s="2">
        <v>27820.498729764899</v>
      </c>
      <c r="AI4330" s="2">
        <v>25619.9375492176</v>
      </c>
      <c r="AJ4330" s="2">
        <v>28732.1124237441</v>
      </c>
      <c r="AK4330" s="2">
        <v>27632.205820117699</v>
      </c>
      <c r="AL4330" s="2">
        <v>29480.8379781898</v>
      </c>
      <c r="AM4330" s="2">
        <v>29068.897450054199</v>
      </c>
      <c r="AN4330" s="2">
        <v>30694.230139158401</v>
      </c>
      <c r="AO4330" s="2">
        <v>28896.231665485</v>
      </c>
      <c r="AP4330" s="2">
        <v>27518.4820302917</v>
      </c>
    </row>
    <row r="4331" spans="1:42" ht="14.5" x14ac:dyDescent="0.35">
      <c r="A4331" s="2" t="s">
        <v>28757</v>
      </c>
      <c r="B4331" s="2">
        <v>343.12419910776202</v>
      </c>
      <c r="C4331" s="2">
        <v>1.0381499999999999</v>
      </c>
      <c r="D4331" s="2" t="s">
        <v>70</v>
      </c>
      <c r="E4331" s="2" t="s">
        <v>28758</v>
      </c>
      <c r="F4331" s="2">
        <v>48874</v>
      </c>
      <c r="G4331" s="3" t="str">
        <f>HYPERLINK("http://funmeta.oebiotech.com/network/48874", "http://funmeta.oebiotech.com/network/48874")</f>
        <v>http://funmeta.oebiotech.com/network/48874</v>
      </c>
      <c r="H4331" s="2" t="s">
        <v>28759</v>
      </c>
      <c r="I4331" s="2">
        <v>3483</v>
      </c>
      <c r="J4331" s="2"/>
      <c r="K4331" s="2">
        <v>27527</v>
      </c>
      <c r="L4331" s="2" t="s">
        <v>28760</v>
      </c>
      <c r="M4331" s="2" t="s">
        <v>28761</v>
      </c>
      <c r="N4331" s="2" t="s">
        <v>28762</v>
      </c>
      <c r="O4331" s="2">
        <v>440655</v>
      </c>
      <c r="P4331" s="2" t="s">
        <v>28763</v>
      </c>
      <c r="Q4331" s="2" t="s">
        <v>28764</v>
      </c>
      <c r="R4331" s="2" t="s">
        <v>28765</v>
      </c>
      <c r="S4331" s="2" t="s">
        <v>50</v>
      </c>
      <c r="T4331" s="2" t="s">
        <v>229</v>
      </c>
      <c r="U4331" s="2" t="s">
        <v>230</v>
      </c>
      <c r="V4331" s="2" t="s">
        <v>42</v>
      </c>
      <c r="W4331" s="2">
        <v>49.6</v>
      </c>
      <c r="X4331" s="2">
        <v>54</v>
      </c>
      <c r="Y4331" s="2" t="s">
        <v>118</v>
      </c>
      <c r="Z4331" s="2" t="s">
        <v>28766</v>
      </c>
      <c r="AA4331" s="2">
        <v>-1.12179405984809</v>
      </c>
      <c r="AB4331" s="2">
        <v>0.15052604835230601</v>
      </c>
      <c r="AC4331" s="2">
        <v>29386.954523779099</v>
      </c>
      <c r="AD4331" s="2">
        <v>32500.286666057</v>
      </c>
      <c r="AE4331" s="2">
        <v>30482.258453631799</v>
      </c>
      <c r="AF4331" s="2">
        <v>28612.058415848402</v>
      </c>
      <c r="AG4331" s="2">
        <v>32653.238699447498</v>
      </c>
      <c r="AH4331" s="2">
        <v>31440.465815228301</v>
      </c>
      <c r="AI4331" s="2">
        <v>29167.435636285802</v>
      </c>
      <c r="AJ4331" s="2">
        <v>23966.270122232501</v>
      </c>
      <c r="AK4331" s="2">
        <v>31616.489699536301</v>
      </c>
      <c r="AL4331" s="2">
        <v>27444.558379452799</v>
      </c>
      <c r="AM4331" s="2">
        <v>33183.958333191003</v>
      </c>
      <c r="AN4331" s="2">
        <v>31948.953778619401</v>
      </c>
      <c r="AO4331" s="2">
        <v>37596.169533098502</v>
      </c>
      <c r="AP4331" s="2">
        <v>33211.590272443798</v>
      </c>
    </row>
    <row r="4332" spans="1:42" ht="14.5" x14ac:dyDescent="0.35">
      <c r="A4332" s="2" t="s">
        <v>28767</v>
      </c>
      <c r="B4332" s="2">
        <v>315.12326633807601</v>
      </c>
      <c r="C4332" s="2">
        <v>4.5423999999999998</v>
      </c>
      <c r="D4332" s="2" t="s">
        <v>70</v>
      </c>
      <c r="E4332" s="2" t="s">
        <v>28768</v>
      </c>
      <c r="F4332" s="2">
        <v>29077</v>
      </c>
      <c r="G4332" s="3" t="str">
        <f>HYPERLINK("http://funmeta.oebiotech.com/network/29077", "http://funmeta.oebiotech.com/network/29077")</f>
        <v>http://funmeta.oebiotech.com/network/29077</v>
      </c>
      <c r="H4332" s="2"/>
      <c r="I4332" s="2">
        <v>47473</v>
      </c>
      <c r="J4332" s="2" t="s">
        <v>28769</v>
      </c>
      <c r="K4332" s="2"/>
      <c r="L4332" s="2"/>
      <c r="M4332" s="2"/>
      <c r="N4332" s="2"/>
      <c r="O4332" s="2">
        <v>10333337</v>
      </c>
      <c r="P4332" s="2"/>
      <c r="Q4332" s="2" t="s">
        <v>28770</v>
      </c>
      <c r="R4332" s="2" t="s">
        <v>28771</v>
      </c>
      <c r="S4332" s="2" t="s">
        <v>115</v>
      </c>
      <c r="T4332" s="2" t="s">
        <v>139</v>
      </c>
      <c r="U4332" s="2" t="s">
        <v>1552</v>
      </c>
      <c r="V4332" s="2" t="s">
        <v>42</v>
      </c>
      <c r="W4332" s="2">
        <v>54.3</v>
      </c>
      <c r="X4332" s="2">
        <v>77.599999999999994</v>
      </c>
      <c r="Y4332" s="2" t="s">
        <v>408</v>
      </c>
      <c r="Z4332" s="2" t="s">
        <v>5199</v>
      </c>
      <c r="AA4332" s="2">
        <v>-1.9656333016507599</v>
      </c>
      <c r="AB4332" s="2">
        <v>0.15049916221037299</v>
      </c>
      <c r="AC4332" s="2">
        <v>16564.458503321799</v>
      </c>
      <c r="AD4332" s="2">
        <v>14647.8994701963</v>
      </c>
      <c r="AE4332" s="2">
        <v>17485.091355006902</v>
      </c>
      <c r="AF4332" s="2">
        <v>16842.458256489201</v>
      </c>
      <c r="AG4332" s="2">
        <v>15462.555024027401</v>
      </c>
      <c r="AH4332" s="2">
        <v>16772.598602731901</v>
      </c>
      <c r="AI4332" s="2">
        <v>14895.3325292134</v>
      </c>
      <c r="AJ4332" s="2">
        <v>17928.715252462101</v>
      </c>
      <c r="AK4332" s="2">
        <v>14844.5699608901</v>
      </c>
      <c r="AL4332" s="2">
        <v>14777.6385302574</v>
      </c>
      <c r="AM4332" s="2">
        <v>15280.7502008187</v>
      </c>
      <c r="AN4332" s="2">
        <v>14486.5184791679</v>
      </c>
      <c r="AO4332" s="2">
        <v>14395.7991851318</v>
      </c>
      <c r="AP4332" s="2">
        <v>14102.120464912099</v>
      </c>
    </row>
    <row r="4333" spans="1:42" ht="14.5" x14ac:dyDescent="0.35">
      <c r="A4333" s="2" t="s">
        <v>28772</v>
      </c>
      <c r="B4333" s="2">
        <v>512.337129771695</v>
      </c>
      <c r="C4333" s="2">
        <v>7.4793166666666702</v>
      </c>
      <c r="D4333" s="2" t="s">
        <v>34</v>
      </c>
      <c r="E4333" s="2" t="s">
        <v>28773</v>
      </c>
      <c r="F4333" s="2">
        <v>208807</v>
      </c>
      <c r="G4333" s="3" t="str">
        <f>HYPERLINK("http://funmeta.oebiotech.com/network/208807", "http://funmeta.oebiotech.com/network/208807")</f>
        <v>http://funmeta.oebiotech.com/network/208807</v>
      </c>
      <c r="H4333" s="2" t="s">
        <v>28774</v>
      </c>
      <c r="I4333" s="2"/>
      <c r="J4333" s="2"/>
      <c r="K4333" s="2"/>
      <c r="L4333" s="2"/>
      <c r="M4333" s="2"/>
      <c r="N4333" s="2"/>
      <c r="O4333" s="2">
        <v>185845</v>
      </c>
      <c r="P4333" s="2"/>
      <c r="Q4333" s="2" t="s">
        <v>28775</v>
      </c>
      <c r="R4333" s="2" t="s">
        <v>28776</v>
      </c>
      <c r="S4333" s="2" t="s">
        <v>115</v>
      </c>
      <c r="T4333" s="2" t="s">
        <v>1384</v>
      </c>
      <c r="U4333" s="2" t="s">
        <v>7130</v>
      </c>
      <c r="V4333" s="2" t="s">
        <v>42</v>
      </c>
      <c r="W4333" s="2">
        <v>49</v>
      </c>
      <c r="X4333" s="2">
        <v>53.2</v>
      </c>
      <c r="Y4333" s="2" t="s">
        <v>43</v>
      </c>
      <c r="Z4333" s="2" t="s">
        <v>28777</v>
      </c>
      <c r="AA4333" s="2">
        <v>0.16143320713974499</v>
      </c>
      <c r="AB4333" s="2">
        <v>0.150454915632731</v>
      </c>
      <c r="AC4333" s="2">
        <v>13035.961630391301</v>
      </c>
      <c r="AD4333" s="2">
        <v>16114.084655758899</v>
      </c>
      <c r="AE4333" s="2">
        <v>12954.3978409956</v>
      </c>
      <c r="AF4333" s="2">
        <v>14531.685220102599</v>
      </c>
      <c r="AG4333" s="2">
        <v>11774.2138146655</v>
      </c>
      <c r="AH4333" s="2">
        <v>11544.541106876501</v>
      </c>
      <c r="AI4333" s="2">
        <v>9807.9880169107291</v>
      </c>
      <c r="AJ4333" s="2">
        <v>17602.943782797101</v>
      </c>
      <c r="AK4333" s="2">
        <v>14819.628190387801</v>
      </c>
      <c r="AL4333" s="2">
        <v>19969.794306040501</v>
      </c>
      <c r="AM4333" s="2">
        <v>11279.459077776</v>
      </c>
      <c r="AN4333" s="2">
        <v>19116.352371406902</v>
      </c>
      <c r="AO4333" s="2">
        <v>14584.770998701</v>
      </c>
      <c r="AP4333" s="2">
        <v>16914.502990241399</v>
      </c>
    </row>
    <row r="4334" spans="1:42" ht="14.5" x14ac:dyDescent="0.35">
      <c r="A4334" s="2" t="s">
        <v>28778</v>
      </c>
      <c r="B4334" s="2">
        <v>298.25262653024299</v>
      </c>
      <c r="C4334" s="2">
        <v>8.91496666666667</v>
      </c>
      <c r="D4334" s="2" t="s">
        <v>34</v>
      </c>
      <c r="E4334" s="2" t="s">
        <v>28779</v>
      </c>
      <c r="F4334" s="2">
        <v>213169</v>
      </c>
      <c r="G4334" s="3" t="str">
        <f>HYPERLINK("http://funmeta.oebiotech.com/network/213169", "http://funmeta.oebiotech.com/network/213169")</f>
        <v>http://funmeta.oebiotech.com/network/213169</v>
      </c>
      <c r="H4334" s="2" t="s">
        <v>28780</v>
      </c>
      <c r="I4334" s="2"/>
      <c r="J4334" s="2"/>
      <c r="K4334" s="2"/>
      <c r="L4334" s="2"/>
      <c r="M4334" s="2"/>
      <c r="N4334" s="2"/>
      <c r="O4334" s="2">
        <v>115195</v>
      </c>
      <c r="P4334" s="2"/>
      <c r="Q4334" s="2" t="s">
        <v>28781</v>
      </c>
      <c r="R4334" s="2" t="s">
        <v>28782</v>
      </c>
      <c r="S4334" s="2" t="s">
        <v>41</v>
      </c>
      <c r="T4334" s="2" t="s">
        <v>41</v>
      </c>
      <c r="U4334" s="2" t="s">
        <v>41</v>
      </c>
      <c r="V4334" s="2" t="s">
        <v>59</v>
      </c>
      <c r="W4334" s="2">
        <v>38.799999999999997</v>
      </c>
      <c r="X4334" s="2">
        <v>0</v>
      </c>
      <c r="Y4334" s="2" t="s">
        <v>141</v>
      </c>
      <c r="Z4334" s="2" t="s">
        <v>28783</v>
      </c>
      <c r="AA4334" s="2">
        <v>-0.95129742931944605</v>
      </c>
      <c r="AB4334" s="2">
        <v>0.150453368084667</v>
      </c>
      <c r="AC4334" s="2">
        <v>3259.1120335539499</v>
      </c>
      <c r="AD4334" s="2">
        <v>4852.1595912395396</v>
      </c>
      <c r="AE4334" s="2">
        <v>3598.0581105732799</v>
      </c>
      <c r="AF4334" s="2">
        <v>3424.5204362938398</v>
      </c>
      <c r="AG4334" s="2">
        <v>2807.4388092064401</v>
      </c>
      <c r="AH4334" s="2">
        <v>3345.1313673806399</v>
      </c>
      <c r="AI4334" s="2">
        <v>2745.7050557708699</v>
      </c>
      <c r="AJ4334" s="2">
        <v>3633.81842209863</v>
      </c>
      <c r="AK4334" s="2">
        <v>4506.8815944169801</v>
      </c>
      <c r="AL4334" s="2">
        <v>5118.8829402661404</v>
      </c>
      <c r="AM4334" s="2">
        <v>4666.7736360147201</v>
      </c>
      <c r="AN4334" s="2">
        <v>5072.4628385792703</v>
      </c>
      <c r="AO4334" s="2">
        <v>5034.5196470359797</v>
      </c>
      <c r="AP4334" s="2">
        <v>4713.43689112415</v>
      </c>
    </row>
    <row r="4335" spans="1:42" ht="14.5" x14ac:dyDescent="0.35">
      <c r="A4335" s="2" t="s">
        <v>28784</v>
      </c>
      <c r="B4335" s="2">
        <v>321.07462387477102</v>
      </c>
      <c r="C4335" s="2">
        <v>1.7133499999999999</v>
      </c>
      <c r="D4335" s="2" t="s">
        <v>70</v>
      </c>
      <c r="E4335" s="2" t="s">
        <v>28785</v>
      </c>
      <c r="F4335" s="2">
        <v>211229</v>
      </c>
      <c r="G4335" s="3" t="str">
        <f>HYPERLINK("http://funmeta.oebiotech.com/network/211229", "http://funmeta.oebiotech.com/network/211229")</f>
        <v>http://funmeta.oebiotech.com/network/211229</v>
      </c>
      <c r="H4335" s="2" t="s">
        <v>28786</v>
      </c>
      <c r="I4335" s="2"/>
      <c r="J4335" s="2"/>
      <c r="K4335" s="2"/>
      <c r="L4335" s="2"/>
      <c r="M4335" s="2"/>
      <c r="N4335" s="2"/>
      <c r="O4335" s="2"/>
      <c r="P4335" s="2"/>
      <c r="Q4335" s="2" t="s">
        <v>28787</v>
      </c>
      <c r="R4335" s="2" t="s">
        <v>28788</v>
      </c>
      <c r="S4335" s="2" t="s">
        <v>41</v>
      </c>
      <c r="T4335" s="2" t="s">
        <v>41</v>
      </c>
      <c r="U4335" s="2" t="s">
        <v>41</v>
      </c>
      <c r="V4335" s="2" t="s">
        <v>59</v>
      </c>
      <c r="W4335" s="2">
        <v>38.799999999999997</v>
      </c>
      <c r="X4335" s="2">
        <v>0</v>
      </c>
      <c r="Y4335" s="2" t="s">
        <v>408</v>
      </c>
      <c r="Z4335" s="2" t="s">
        <v>28789</v>
      </c>
      <c r="AA4335" s="2">
        <v>2.37848078535924</v>
      </c>
      <c r="AB4335" s="2">
        <v>0.150425599795041</v>
      </c>
      <c r="AC4335" s="2">
        <v>2111.4085104071501</v>
      </c>
      <c r="AD4335" s="2">
        <v>3901.2832352012201</v>
      </c>
      <c r="AE4335" s="2">
        <v>1876.9520481966799</v>
      </c>
      <c r="AF4335" s="2">
        <v>2658.4061698608498</v>
      </c>
      <c r="AG4335" s="2">
        <v>2080.81681289678</v>
      </c>
      <c r="AH4335" s="2">
        <v>1923.3509802091401</v>
      </c>
      <c r="AI4335" s="2">
        <v>1670.8320523662201</v>
      </c>
      <c r="AJ4335" s="2">
        <v>2458.0929989132501</v>
      </c>
      <c r="AK4335" s="2">
        <v>3014.4864631677601</v>
      </c>
      <c r="AL4335" s="2">
        <v>4462.9822929429702</v>
      </c>
      <c r="AM4335" s="2">
        <v>3420.3606146140701</v>
      </c>
      <c r="AN4335" s="2">
        <v>5334.8450837693899</v>
      </c>
      <c r="AO4335" s="2">
        <v>3714.0061828314902</v>
      </c>
      <c r="AP4335" s="2">
        <v>3461.0187738816298</v>
      </c>
    </row>
    <row r="4336" spans="1:42" ht="14.5" x14ac:dyDescent="0.35">
      <c r="A4336" s="2" t="s">
        <v>28790</v>
      </c>
      <c r="B4336" s="2">
        <v>445.23760650856798</v>
      </c>
      <c r="C4336" s="2">
        <v>9.8244000000000007</v>
      </c>
      <c r="D4336" s="2" t="s">
        <v>34</v>
      </c>
      <c r="E4336" s="2" t="s">
        <v>28791</v>
      </c>
      <c r="F4336" s="2">
        <v>82850</v>
      </c>
      <c r="G4336" s="3" t="str">
        <f>HYPERLINK("http://funmeta.oebiotech.com/network/82850", "http://funmeta.oebiotech.com/network/82850")</f>
        <v>http://funmeta.oebiotech.com/network/82850</v>
      </c>
      <c r="H4336" s="2" t="s">
        <v>28792</v>
      </c>
      <c r="I4336" s="2">
        <v>1124</v>
      </c>
      <c r="J4336" s="2"/>
      <c r="K4336" s="2"/>
      <c r="L4336" s="2"/>
      <c r="M4336" s="2"/>
      <c r="N4336" s="2"/>
      <c r="O4336" s="2">
        <v>155805</v>
      </c>
      <c r="P4336" s="2" t="s">
        <v>28793</v>
      </c>
      <c r="Q4336" s="2" t="s">
        <v>28794</v>
      </c>
      <c r="R4336" s="2" t="s">
        <v>28795</v>
      </c>
      <c r="S4336" s="2" t="s">
        <v>491</v>
      </c>
      <c r="T4336" s="2" t="s">
        <v>15878</v>
      </c>
      <c r="U4336" s="2" t="s">
        <v>41</v>
      </c>
      <c r="V4336" s="2" t="s">
        <v>59</v>
      </c>
      <c r="W4336" s="2">
        <v>36.1</v>
      </c>
      <c r="X4336" s="2">
        <v>0</v>
      </c>
      <c r="Y4336" s="2" t="s">
        <v>266</v>
      </c>
      <c r="Z4336" s="2" t="s">
        <v>28796</v>
      </c>
      <c r="AA4336" s="2">
        <v>-4.9742241374415199</v>
      </c>
      <c r="AB4336" s="2">
        <v>0.150398386109316</v>
      </c>
      <c r="AC4336" s="2">
        <v>9408.3553466304802</v>
      </c>
      <c r="AD4336" s="2">
        <v>11043.2822239747</v>
      </c>
      <c r="AE4336" s="2">
        <v>9193.2635795562601</v>
      </c>
      <c r="AF4336" s="2">
        <v>9312.6151861413491</v>
      </c>
      <c r="AG4336" s="2">
        <v>9273.4154481764708</v>
      </c>
      <c r="AH4336" s="2">
        <v>9962.7013450371596</v>
      </c>
      <c r="AI4336" s="2">
        <v>8979.3056266328203</v>
      </c>
      <c r="AJ4336" s="2">
        <v>9728.8308942388394</v>
      </c>
      <c r="AK4336" s="2">
        <v>10733.9252697059</v>
      </c>
      <c r="AL4336" s="2">
        <v>11746.2926573363</v>
      </c>
      <c r="AM4336" s="2">
        <v>11394.1040718569</v>
      </c>
      <c r="AN4336" s="2">
        <v>10864.839877362199</v>
      </c>
      <c r="AO4336" s="2">
        <v>10946.923107730199</v>
      </c>
      <c r="AP4336" s="2">
        <v>10573.6083598565</v>
      </c>
    </row>
    <row r="4337" spans="1:42" ht="14.5" x14ac:dyDescent="0.35">
      <c r="A4337" s="2" t="s">
        <v>28797</v>
      </c>
      <c r="B4337" s="2">
        <v>107.085416963947</v>
      </c>
      <c r="C4337" s="2">
        <v>4.64978333333333</v>
      </c>
      <c r="D4337" s="2" t="s">
        <v>34</v>
      </c>
      <c r="E4337" s="2" t="s">
        <v>28798</v>
      </c>
      <c r="F4337" s="2">
        <v>81848</v>
      </c>
      <c r="G4337" s="3" t="str">
        <f>HYPERLINK("http://funmeta.oebiotech.com/network/81848", "http://funmeta.oebiotech.com/network/81848")</f>
        <v>http://funmeta.oebiotech.com/network/81848</v>
      </c>
      <c r="H4337" s="2" t="s">
        <v>28799</v>
      </c>
      <c r="I4337" s="2">
        <v>66604</v>
      </c>
      <c r="J4337" s="2"/>
      <c r="K4337" s="2">
        <v>28488</v>
      </c>
      <c r="L4337" s="2" t="s">
        <v>28800</v>
      </c>
      <c r="M4337" s="2" t="s">
        <v>28801</v>
      </c>
      <c r="N4337" s="2" t="s">
        <v>28802</v>
      </c>
      <c r="O4337" s="2">
        <v>7929</v>
      </c>
      <c r="P4337" s="2" t="s">
        <v>28803</v>
      </c>
      <c r="Q4337" s="2" t="s">
        <v>28804</v>
      </c>
      <c r="R4337" s="2" t="s">
        <v>28805</v>
      </c>
      <c r="S4337" s="2" t="s">
        <v>148</v>
      </c>
      <c r="T4337" s="2" t="s">
        <v>149</v>
      </c>
      <c r="U4337" s="2" t="s">
        <v>28806</v>
      </c>
      <c r="V4337" s="2" t="s">
        <v>59</v>
      </c>
      <c r="W4337" s="2">
        <v>39.200000000000003</v>
      </c>
      <c r="X4337" s="2">
        <v>0</v>
      </c>
      <c r="Y4337" s="2" t="s">
        <v>394</v>
      </c>
      <c r="Z4337" s="2" t="s">
        <v>28807</v>
      </c>
      <c r="AA4337" s="2">
        <v>-1.0349789191837799</v>
      </c>
      <c r="AB4337" s="2">
        <v>0.150366741680278</v>
      </c>
      <c r="AC4337" s="2">
        <v>7082.0409198554898</v>
      </c>
      <c r="AD4337" s="2">
        <v>8584.3268974148305</v>
      </c>
      <c r="AE4337" s="2">
        <v>6996.4483332990403</v>
      </c>
      <c r="AF4337" s="2">
        <v>7020.3431703000297</v>
      </c>
      <c r="AG4337" s="2">
        <v>7203.1461962465901</v>
      </c>
      <c r="AH4337" s="2">
        <v>7278.3639946405501</v>
      </c>
      <c r="AI4337" s="2">
        <v>7013.5547367348399</v>
      </c>
      <c r="AJ4337" s="2">
        <v>6980.3890879118599</v>
      </c>
      <c r="AK4337" s="2">
        <v>8416.9231618003996</v>
      </c>
      <c r="AL4337" s="2">
        <v>8415.8089388815097</v>
      </c>
      <c r="AM4337" s="2">
        <v>8667.1249512192098</v>
      </c>
      <c r="AN4337" s="2">
        <v>8608.7005585965999</v>
      </c>
      <c r="AO4337" s="2">
        <v>8640.5901069647407</v>
      </c>
      <c r="AP4337" s="2">
        <v>8756.8136670265394</v>
      </c>
    </row>
    <row r="4338" spans="1:42" ht="14.5" x14ac:dyDescent="0.35">
      <c r="A4338" s="2" t="s">
        <v>28808</v>
      </c>
      <c r="B4338" s="2">
        <v>371.00949346782897</v>
      </c>
      <c r="C4338" s="2">
        <v>1.09313333333333</v>
      </c>
      <c r="D4338" s="2" t="s">
        <v>34</v>
      </c>
      <c r="E4338" s="2" t="s">
        <v>28809</v>
      </c>
      <c r="F4338" s="2">
        <v>211751</v>
      </c>
      <c r="G4338" s="3" t="str">
        <f>HYPERLINK("http://funmeta.oebiotech.com/network/211751", "http://funmeta.oebiotech.com/network/211751")</f>
        <v>http://funmeta.oebiotech.com/network/211751</v>
      </c>
      <c r="H4338" s="2" t="s">
        <v>28810</v>
      </c>
      <c r="I4338" s="2"/>
      <c r="J4338" s="2"/>
      <c r="K4338" s="2"/>
      <c r="L4338" s="2"/>
      <c r="M4338" s="2"/>
      <c r="N4338" s="2"/>
      <c r="O4338" s="2">
        <v>667575</v>
      </c>
      <c r="P4338" s="2"/>
      <c r="Q4338" s="2" t="s">
        <v>28811</v>
      </c>
      <c r="R4338" s="2" t="s">
        <v>28812</v>
      </c>
      <c r="S4338" s="2" t="s">
        <v>89</v>
      </c>
      <c r="T4338" s="2" t="s">
        <v>90</v>
      </c>
      <c r="U4338" s="2" t="s">
        <v>99</v>
      </c>
      <c r="V4338" s="2" t="s">
        <v>59</v>
      </c>
      <c r="W4338" s="2">
        <v>38.4</v>
      </c>
      <c r="X4338" s="2">
        <v>0</v>
      </c>
      <c r="Y4338" s="2" t="s">
        <v>340</v>
      </c>
      <c r="Z4338" s="2" t="s">
        <v>28813</v>
      </c>
      <c r="AA4338" s="2">
        <v>-1.0754644428362601</v>
      </c>
      <c r="AB4338" s="2">
        <v>0.15035216251623101</v>
      </c>
      <c r="AC4338" s="2">
        <v>12215.9075004612</v>
      </c>
      <c r="AD4338" s="2">
        <v>14299.8466772047</v>
      </c>
      <c r="AE4338" s="2">
        <v>12490.819387506501</v>
      </c>
      <c r="AF4338" s="2">
        <v>10771.3137275522</v>
      </c>
      <c r="AG4338" s="2">
        <v>13159.3828136539</v>
      </c>
      <c r="AH4338" s="2">
        <v>11537.633003792</v>
      </c>
      <c r="AI4338" s="2">
        <v>12530.0583962609</v>
      </c>
      <c r="AJ4338" s="2">
        <v>12806.237674001501</v>
      </c>
      <c r="AK4338" s="2">
        <v>15931.9710607651</v>
      </c>
      <c r="AL4338" s="2">
        <v>12426.527927162701</v>
      </c>
      <c r="AM4338" s="2">
        <v>15731.9799845699</v>
      </c>
      <c r="AN4338" s="2">
        <v>13492.957472264799</v>
      </c>
      <c r="AO4338" s="2">
        <v>14038.7474705596</v>
      </c>
      <c r="AP4338" s="2">
        <v>14176.8961479063</v>
      </c>
    </row>
    <row r="4339" spans="1:42" ht="14.5" x14ac:dyDescent="0.35">
      <c r="A4339" s="2" t="s">
        <v>28814</v>
      </c>
      <c r="B4339" s="2">
        <v>721.36510266577704</v>
      </c>
      <c r="C4339" s="2">
        <v>7.9316000000000004</v>
      </c>
      <c r="D4339" s="2" t="s">
        <v>70</v>
      </c>
      <c r="E4339" s="2" t="s">
        <v>28815</v>
      </c>
      <c r="F4339" s="2">
        <v>63970</v>
      </c>
      <c r="G4339" s="3" t="str">
        <f>HYPERLINK("http://funmeta.oebiotech.com/network/63970", "http://funmeta.oebiotech.com/network/63970")</f>
        <v>http://funmeta.oebiotech.com/network/63970</v>
      </c>
      <c r="H4339" s="2" t="s">
        <v>28816</v>
      </c>
      <c r="I4339" s="2">
        <v>95303</v>
      </c>
      <c r="J4339" s="2"/>
      <c r="K4339" s="2">
        <v>168191</v>
      </c>
      <c r="L4339" s="2"/>
      <c r="M4339" s="2"/>
      <c r="N4339" s="2"/>
      <c r="O4339" s="2">
        <v>14060453</v>
      </c>
      <c r="P4339" s="2"/>
      <c r="Q4339" s="2" t="s">
        <v>28817</v>
      </c>
      <c r="R4339" s="2" t="s">
        <v>28818</v>
      </c>
      <c r="S4339" s="2" t="s">
        <v>79</v>
      </c>
      <c r="T4339" s="2" t="s">
        <v>80</v>
      </c>
      <c r="U4339" s="2" t="s">
        <v>81</v>
      </c>
      <c r="V4339" s="2" t="s">
        <v>59</v>
      </c>
      <c r="W4339" s="2">
        <v>37.299999999999997</v>
      </c>
      <c r="X4339" s="2">
        <v>0</v>
      </c>
      <c r="Y4339" s="2" t="s">
        <v>408</v>
      </c>
      <c r="Z4339" s="2" t="s">
        <v>450</v>
      </c>
      <c r="AA4339" s="2">
        <v>-0.157716124244829</v>
      </c>
      <c r="AB4339" s="2">
        <v>0.15032668337003299</v>
      </c>
      <c r="AC4339" s="2">
        <v>3029.53455447643</v>
      </c>
      <c r="AD4339" s="2">
        <v>5005.7746592826297</v>
      </c>
      <c r="AE4339" s="2">
        <v>1711.7884543498201</v>
      </c>
      <c r="AF4339" s="2">
        <v>2386.8830433631101</v>
      </c>
      <c r="AG4339" s="2">
        <v>3352.3441396594098</v>
      </c>
      <c r="AH4339" s="2">
        <v>3925.4657935270902</v>
      </c>
      <c r="AI4339" s="2">
        <v>2107.0275470423098</v>
      </c>
      <c r="AJ4339" s="2">
        <v>4693.6983489168197</v>
      </c>
      <c r="AK4339" s="2">
        <v>4416.7984095832599</v>
      </c>
      <c r="AL4339" s="2">
        <v>4416.3206953293202</v>
      </c>
      <c r="AM4339" s="2">
        <v>5081.3609423489497</v>
      </c>
      <c r="AN4339" s="2">
        <v>6224.5126944103104</v>
      </c>
      <c r="AO4339" s="2">
        <v>4583.2395070273396</v>
      </c>
      <c r="AP4339" s="2">
        <v>5312.4157069965804</v>
      </c>
    </row>
    <row r="4340" spans="1:42" ht="14.5" x14ac:dyDescent="0.35">
      <c r="A4340" s="2" t="s">
        <v>28819</v>
      </c>
      <c r="B4340" s="2">
        <v>669.21327155917095</v>
      </c>
      <c r="C4340" s="2">
        <v>5.7665166666666696</v>
      </c>
      <c r="D4340" s="2" t="s">
        <v>70</v>
      </c>
      <c r="E4340" s="2" t="s">
        <v>28820</v>
      </c>
      <c r="F4340" s="2">
        <v>203978</v>
      </c>
      <c r="G4340" s="3" t="str">
        <f>HYPERLINK("http://funmeta.oebiotech.com/network/203978", "http://funmeta.oebiotech.com/network/203978")</f>
        <v>http://funmeta.oebiotech.com/network/203978</v>
      </c>
      <c r="H4340" s="2" t="s">
        <v>28821</v>
      </c>
      <c r="I4340" s="2">
        <v>44585</v>
      </c>
      <c r="J4340" s="2"/>
      <c r="K4340" s="2">
        <v>132878</v>
      </c>
      <c r="L4340" s="2"/>
      <c r="M4340" s="2"/>
      <c r="N4340" s="2"/>
      <c r="O4340" s="2">
        <v>2319</v>
      </c>
      <c r="P4340" s="2" t="s">
        <v>28822</v>
      </c>
      <c r="Q4340" s="2" t="s">
        <v>28823</v>
      </c>
      <c r="R4340" s="2" t="s">
        <v>28824</v>
      </c>
      <c r="S4340" s="2" t="s">
        <v>148</v>
      </c>
      <c r="T4340" s="2" t="s">
        <v>149</v>
      </c>
      <c r="U4340" s="2" t="s">
        <v>150</v>
      </c>
      <c r="V4340" s="2" t="s">
        <v>59</v>
      </c>
      <c r="W4340" s="2">
        <v>37.299999999999997</v>
      </c>
      <c r="X4340" s="2">
        <v>0</v>
      </c>
      <c r="Y4340" s="2" t="s">
        <v>560</v>
      </c>
      <c r="Z4340" s="2" t="s">
        <v>28825</v>
      </c>
      <c r="AA4340" s="2">
        <v>2.93435560591143</v>
      </c>
      <c r="AB4340" s="2">
        <v>0.150301089043226</v>
      </c>
      <c r="AC4340" s="2">
        <v>1104.4625484503599</v>
      </c>
      <c r="AD4340" s="2">
        <v>2950.35404562556</v>
      </c>
      <c r="AE4340" s="2">
        <v>1006.37218321946</v>
      </c>
      <c r="AF4340" s="2">
        <v>1454.1772606193699</v>
      </c>
      <c r="AG4340" s="2">
        <v>1194.3906061011701</v>
      </c>
      <c r="AH4340" s="2">
        <v>2.7106294003980101E-5</v>
      </c>
      <c r="AI4340" s="2">
        <v>1710.53857306602</v>
      </c>
      <c r="AJ4340" s="2">
        <v>1261.2966405898501</v>
      </c>
      <c r="AK4340" s="2">
        <v>2450.59175760786</v>
      </c>
      <c r="AL4340" s="2">
        <v>3926.68544911035</v>
      </c>
      <c r="AM4340" s="2">
        <v>2424.6751419389898</v>
      </c>
      <c r="AN4340" s="2">
        <v>4004.3317637499099</v>
      </c>
      <c r="AO4340" s="2">
        <v>3118.1352805368001</v>
      </c>
      <c r="AP4340" s="2">
        <v>1777.7048808094401</v>
      </c>
    </row>
    <row r="4341" spans="1:42" ht="14.5" x14ac:dyDescent="0.35">
      <c r="A4341" s="2" t="s">
        <v>28826</v>
      </c>
      <c r="B4341" s="2">
        <v>354.29992895888302</v>
      </c>
      <c r="C4341" s="2">
        <v>11.727933333333301</v>
      </c>
      <c r="D4341" s="2" t="s">
        <v>34</v>
      </c>
      <c r="E4341" s="2" t="s">
        <v>28827</v>
      </c>
      <c r="F4341" s="2">
        <v>48666</v>
      </c>
      <c r="G4341" s="3" t="str">
        <f>HYPERLINK("http://funmeta.oebiotech.com/network/48666", "http://funmeta.oebiotech.com/network/48666")</f>
        <v>http://funmeta.oebiotech.com/network/48666</v>
      </c>
      <c r="H4341" s="2" t="s">
        <v>28828</v>
      </c>
      <c r="I4341" s="2"/>
      <c r="J4341" s="2"/>
      <c r="K4341" s="2"/>
      <c r="L4341" s="2"/>
      <c r="M4341" s="2"/>
      <c r="N4341" s="2"/>
      <c r="O4341" s="2">
        <v>3032833</v>
      </c>
      <c r="P4341" s="2" t="s">
        <v>28829</v>
      </c>
      <c r="Q4341" s="2" t="s">
        <v>28830</v>
      </c>
      <c r="R4341" s="2" t="s">
        <v>28831</v>
      </c>
      <c r="S4341" s="2" t="s">
        <v>50</v>
      </c>
      <c r="T4341" s="2" t="s">
        <v>124</v>
      </c>
      <c r="U4341" s="2" t="s">
        <v>929</v>
      </c>
      <c r="V4341" s="2" t="s">
        <v>59</v>
      </c>
      <c r="W4341" s="2">
        <v>38.4</v>
      </c>
      <c r="X4341" s="2">
        <v>0</v>
      </c>
      <c r="Y4341" s="2" t="s">
        <v>43</v>
      </c>
      <c r="Z4341" s="2" t="s">
        <v>21076</v>
      </c>
      <c r="AA4341" s="2">
        <v>-1.0158144581331701</v>
      </c>
      <c r="AB4341" s="2">
        <v>0.15016176593446401</v>
      </c>
      <c r="AC4341" s="2">
        <v>1515.04055986975</v>
      </c>
      <c r="AD4341" s="2">
        <v>2.7106294003980101E-5</v>
      </c>
      <c r="AE4341" s="2">
        <v>1422.7374559264999</v>
      </c>
      <c r="AF4341" s="2">
        <v>1337.1938239786</v>
      </c>
      <c r="AG4341" s="2">
        <v>1611.1512073343699</v>
      </c>
      <c r="AH4341" s="2">
        <v>1568.2991368708999</v>
      </c>
      <c r="AI4341" s="2">
        <v>1182.74668601759</v>
      </c>
      <c r="AJ4341" s="2">
        <v>1968.11504909054</v>
      </c>
      <c r="AK4341" s="2">
        <v>2.7106294003980101E-5</v>
      </c>
      <c r="AL4341" s="2">
        <v>2.7106294003980101E-5</v>
      </c>
      <c r="AM4341" s="2">
        <v>2.7106294003980101E-5</v>
      </c>
      <c r="AN4341" s="2">
        <v>2.7106294003980101E-5</v>
      </c>
      <c r="AO4341" s="2">
        <v>2.7106294003980101E-5</v>
      </c>
      <c r="AP4341" s="2">
        <v>2.7106294003980101E-5</v>
      </c>
    </row>
    <row r="4342" spans="1:42" ht="14.5" x14ac:dyDescent="0.35">
      <c r="A4342" s="2" t="s">
        <v>28832</v>
      </c>
      <c r="B4342" s="2">
        <v>161.02313361476101</v>
      </c>
      <c r="C4342" s="2">
        <v>3.8797333333333301</v>
      </c>
      <c r="D4342" s="2" t="s">
        <v>70</v>
      </c>
      <c r="E4342" s="2" t="s">
        <v>28833</v>
      </c>
      <c r="F4342" s="2">
        <v>47829</v>
      </c>
      <c r="G4342" s="3" t="str">
        <f>HYPERLINK("http://funmeta.oebiotech.com/network/47829", "http://funmeta.oebiotech.com/network/47829")</f>
        <v>http://funmeta.oebiotech.com/network/47829</v>
      </c>
      <c r="H4342" s="2" t="s">
        <v>28834</v>
      </c>
      <c r="I4342" s="2">
        <v>6512</v>
      </c>
      <c r="J4342" s="2"/>
      <c r="K4342" s="2">
        <v>349245</v>
      </c>
      <c r="L4342" s="2"/>
      <c r="M4342" s="2"/>
      <c r="N4342" s="2"/>
      <c r="O4342" s="2">
        <v>13650</v>
      </c>
      <c r="P4342" s="2" t="s">
        <v>28835</v>
      </c>
      <c r="Q4342" s="2" t="s">
        <v>28836</v>
      </c>
      <c r="R4342" s="2" t="s">
        <v>28837</v>
      </c>
      <c r="S4342" s="2" t="s">
        <v>115</v>
      </c>
      <c r="T4342" s="2" t="s">
        <v>758</v>
      </c>
      <c r="U4342" s="2" t="s">
        <v>10001</v>
      </c>
      <c r="V4342" s="2" t="s">
        <v>59</v>
      </c>
      <c r="W4342" s="2">
        <v>42.7</v>
      </c>
      <c r="X4342" s="2">
        <v>27.9</v>
      </c>
      <c r="Y4342" s="2" t="s">
        <v>118</v>
      </c>
      <c r="Z4342" s="2" t="s">
        <v>28838</v>
      </c>
      <c r="AA4342" s="2">
        <v>-7.9244023644433801</v>
      </c>
      <c r="AB4342" s="2">
        <v>0.15004565175849299</v>
      </c>
      <c r="AC4342" s="2">
        <v>3219.5552601765398</v>
      </c>
      <c r="AD4342" s="2">
        <v>1706.8117229086499</v>
      </c>
      <c r="AE4342" s="2">
        <v>3614.62551789602</v>
      </c>
      <c r="AF4342" s="2">
        <v>3182.2151457044001</v>
      </c>
      <c r="AG4342" s="2">
        <v>3315.9846733578802</v>
      </c>
      <c r="AH4342" s="2">
        <v>3125.6899948109099</v>
      </c>
      <c r="AI4342" s="2">
        <v>3106.58018136995</v>
      </c>
      <c r="AJ4342" s="2">
        <v>2972.2360479200602</v>
      </c>
      <c r="AK4342" s="2">
        <v>1803.2503484035001</v>
      </c>
      <c r="AL4342" s="2">
        <v>1836.81022032278</v>
      </c>
      <c r="AM4342" s="2">
        <v>1822.07628212141</v>
      </c>
      <c r="AN4342" s="2">
        <v>1717.65754228571</v>
      </c>
      <c r="AO4342" s="2">
        <v>1450.1774567781999</v>
      </c>
      <c r="AP4342" s="2">
        <v>1610.89848754028</v>
      </c>
    </row>
    <row r="4343" spans="1:42" ht="14.5" x14ac:dyDescent="0.35">
      <c r="A4343" s="2" t="s">
        <v>28839</v>
      </c>
      <c r="B4343" s="2">
        <v>988.69096351596204</v>
      </c>
      <c r="C4343" s="2">
        <v>15.33165</v>
      </c>
      <c r="D4343" s="2" t="s">
        <v>34</v>
      </c>
      <c r="E4343" s="2" t="s">
        <v>28840</v>
      </c>
      <c r="F4343" s="2">
        <v>39934</v>
      </c>
      <c r="G4343" s="3" t="str">
        <f>HYPERLINK("http://funmeta.oebiotech.com/network/39934", "http://funmeta.oebiotech.com/network/39934")</f>
        <v>http://funmeta.oebiotech.com/network/39934</v>
      </c>
      <c r="H4343" s="2"/>
      <c r="I4343" s="2"/>
      <c r="J4343" s="2" t="s">
        <v>28841</v>
      </c>
      <c r="K4343" s="2"/>
      <c r="L4343" s="2"/>
      <c r="M4343" s="2"/>
      <c r="N4343" s="2"/>
      <c r="O4343" s="2"/>
      <c r="P4343" s="2"/>
      <c r="Q4343" s="2" t="s">
        <v>28842</v>
      </c>
      <c r="R4343" s="2" t="s">
        <v>28843</v>
      </c>
      <c r="S4343" s="2" t="s">
        <v>50</v>
      </c>
      <c r="T4343" s="2" t="s">
        <v>229</v>
      </c>
      <c r="U4343" s="2" t="s">
        <v>230</v>
      </c>
      <c r="V4343" s="2" t="s">
        <v>59</v>
      </c>
      <c r="W4343" s="2">
        <v>38.200000000000003</v>
      </c>
      <c r="X4343" s="2">
        <v>0</v>
      </c>
      <c r="Y4343" s="2" t="s">
        <v>323</v>
      </c>
      <c r="Z4343" s="2" t="s">
        <v>28844</v>
      </c>
      <c r="AA4343" s="2">
        <v>0.281000744148172</v>
      </c>
      <c r="AB4343" s="2">
        <v>0.149914388396791</v>
      </c>
      <c r="AC4343" s="2">
        <v>18250.385657781</v>
      </c>
      <c r="AD4343" s="2">
        <v>15663.7793617631</v>
      </c>
      <c r="AE4343" s="2">
        <v>17831.428494178399</v>
      </c>
      <c r="AF4343" s="2">
        <v>14812.837607825901</v>
      </c>
      <c r="AG4343" s="2">
        <v>17638.2878445975</v>
      </c>
      <c r="AH4343" s="2">
        <v>18438.993574309199</v>
      </c>
      <c r="AI4343" s="2">
        <v>18245.869028929901</v>
      </c>
      <c r="AJ4343" s="2">
        <v>22534.897396845001</v>
      </c>
      <c r="AK4343" s="2">
        <v>18036.091813123901</v>
      </c>
      <c r="AL4343" s="2">
        <v>15434.7644714334</v>
      </c>
      <c r="AM4343" s="2">
        <v>14273.306195244901</v>
      </c>
      <c r="AN4343" s="2">
        <v>14662.714248468499</v>
      </c>
      <c r="AO4343" s="2">
        <v>16780.832062257901</v>
      </c>
      <c r="AP4343" s="2">
        <v>14794.967380050201</v>
      </c>
    </row>
    <row r="4344" spans="1:42" ht="14.5" x14ac:dyDescent="0.35">
      <c r="A4344" s="2" t="s">
        <v>28845</v>
      </c>
      <c r="B4344" s="2">
        <v>272.08729094143803</v>
      </c>
      <c r="C4344" s="2">
        <v>0.73473333333333302</v>
      </c>
      <c r="D4344" s="2" t="s">
        <v>34</v>
      </c>
      <c r="E4344" s="2" t="s">
        <v>28846</v>
      </c>
      <c r="F4344" s="2">
        <v>199443</v>
      </c>
      <c r="G4344" s="3" t="str">
        <f>HYPERLINK("http://funmeta.oebiotech.com/network/199443", "http://funmeta.oebiotech.com/network/199443")</f>
        <v>http://funmeta.oebiotech.com/network/199443</v>
      </c>
      <c r="H4344" s="2" t="s">
        <v>28847</v>
      </c>
      <c r="I4344" s="2">
        <v>323611</v>
      </c>
      <c r="J4344" s="2"/>
      <c r="K4344" s="2"/>
      <c r="L4344" s="2"/>
      <c r="M4344" s="2"/>
      <c r="N4344" s="2"/>
      <c r="O4344" s="2">
        <v>20275</v>
      </c>
      <c r="P4344" s="2"/>
      <c r="Q4344" s="2" t="s">
        <v>28848</v>
      </c>
      <c r="R4344" s="2" t="s">
        <v>28849</v>
      </c>
      <c r="S4344" s="2" t="s">
        <v>2811</v>
      </c>
      <c r="T4344" s="2" t="s">
        <v>4889</v>
      </c>
      <c r="U4344" s="2" t="s">
        <v>41</v>
      </c>
      <c r="V4344" s="2" t="s">
        <v>59</v>
      </c>
      <c r="W4344" s="2">
        <v>37.799999999999997</v>
      </c>
      <c r="X4344" s="2">
        <v>0</v>
      </c>
      <c r="Y4344" s="2" t="s">
        <v>43</v>
      </c>
      <c r="Z4344" s="2" t="s">
        <v>28850</v>
      </c>
      <c r="AA4344" s="2">
        <v>1.2469914668547899</v>
      </c>
      <c r="AB4344" s="2">
        <v>0.14990122330445399</v>
      </c>
      <c r="AC4344" s="2">
        <v>6773.25454379247</v>
      </c>
      <c r="AD4344" s="2">
        <v>4369.0447688481399</v>
      </c>
      <c r="AE4344" s="2">
        <v>6213.0961479212501</v>
      </c>
      <c r="AF4344" s="2">
        <v>8011.1081159952601</v>
      </c>
      <c r="AG4344" s="2">
        <v>4562.3579265377803</v>
      </c>
      <c r="AH4344" s="2">
        <v>8858.1127943683296</v>
      </c>
      <c r="AI4344" s="2">
        <v>4290.2300821140298</v>
      </c>
      <c r="AJ4344" s="2">
        <v>8704.6221958181504</v>
      </c>
      <c r="AK4344" s="2">
        <v>4221.3975267529704</v>
      </c>
      <c r="AL4344" s="2">
        <v>3421.0418355594302</v>
      </c>
      <c r="AM4344" s="2">
        <v>3424.1312028371999</v>
      </c>
      <c r="AN4344" s="2">
        <v>6731.8042801964102</v>
      </c>
      <c r="AO4344" s="2">
        <v>3569.74252007007</v>
      </c>
      <c r="AP4344" s="2">
        <v>4846.1512476727403</v>
      </c>
    </row>
    <row r="4345" spans="1:42" ht="14.5" x14ac:dyDescent="0.35">
      <c r="A4345" s="2" t="s">
        <v>28851</v>
      </c>
      <c r="B4345" s="2">
        <v>643.107216929375</v>
      </c>
      <c r="C4345" s="2">
        <v>3.6928666666666699</v>
      </c>
      <c r="D4345" s="2" t="s">
        <v>70</v>
      </c>
      <c r="E4345" s="2" t="s">
        <v>28852</v>
      </c>
      <c r="F4345" s="2">
        <v>58359</v>
      </c>
      <c r="G4345" s="3" t="str">
        <f>HYPERLINK("http://funmeta.oebiotech.com/network/58359", "http://funmeta.oebiotech.com/network/58359")</f>
        <v>http://funmeta.oebiotech.com/network/58359</v>
      </c>
      <c r="H4345" s="2" t="s">
        <v>28853</v>
      </c>
      <c r="I4345" s="2">
        <v>89843</v>
      </c>
      <c r="J4345" s="2"/>
      <c r="K4345" s="2"/>
      <c r="L4345" s="2"/>
      <c r="M4345" s="2"/>
      <c r="N4345" s="2"/>
      <c r="O4345" s="2">
        <v>102146096</v>
      </c>
      <c r="P4345" s="2"/>
      <c r="Q4345" s="2" t="s">
        <v>28854</v>
      </c>
      <c r="R4345" s="2" t="s">
        <v>28855</v>
      </c>
      <c r="S4345" s="2" t="s">
        <v>148</v>
      </c>
      <c r="T4345" s="2" t="s">
        <v>6068</v>
      </c>
      <c r="U4345" s="2" t="s">
        <v>6069</v>
      </c>
      <c r="V4345" s="2" t="s">
        <v>59</v>
      </c>
      <c r="W4345" s="2">
        <v>37.700000000000003</v>
      </c>
      <c r="X4345" s="2">
        <v>0</v>
      </c>
      <c r="Y4345" s="2" t="s">
        <v>408</v>
      </c>
      <c r="Z4345" s="2" t="s">
        <v>28856</v>
      </c>
      <c r="AA4345" s="2">
        <v>-3.5312516233500002</v>
      </c>
      <c r="AB4345" s="2">
        <v>0.149885720330764</v>
      </c>
      <c r="AC4345" s="2">
        <v>2865.0731727759999</v>
      </c>
      <c r="AD4345" s="2">
        <v>1186.9099978843699</v>
      </c>
      <c r="AE4345" s="2">
        <v>3670.5181054438699</v>
      </c>
      <c r="AF4345" s="2">
        <v>3029.0012629698099</v>
      </c>
      <c r="AG4345" s="2">
        <v>2424.1830461951399</v>
      </c>
      <c r="AH4345" s="2">
        <v>3162.7162012345402</v>
      </c>
      <c r="AI4345" s="2">
        <v>2426.6704507621498</v>
      </c>
      <c r="AJ4345" s="2">
        <v>2477.3499700504799</v>
      </c>
      <c r="AK4345" s="2">
        <v>1037.7880542002999</v>
      </c>
      <c r="AL4345" s="2">
        <v>2183.09784898215</v>
      </c>
      <c r="AM4345" s="2">
        <v>969.51377189135997</v>
      </c>
      <c r="AN4345" s="2">
        <v>742.46772783171104</v>
      </c>
      <c r="AO4345" s="2">
        <v>875.74504036654503</v>
      </c>
      <c r="AP4345" s="2">
        <v>1312.8475440341799</v>
      </c>
    </row>
    <row r="4346" spans="1:42" ht="14.5" x14ac:dyDescent="0.35">
      <c r="A4346" s="2" t="s">
        <v>28857</v>
      </c>
      <c r="B4346" s="2">
        <v>211.00381274482999</v>
      </c>
      <c r="C4346" s="2">
        <v>0.55359999999999998</v>
      </c>
      <c r="D4346" s="2" t="s">
        <v>34</v>
      </c>
      <c r="E4346" s="2" t="s">
        <v>28858</v>
      </c>
      <c r="F4346" s="2">
        <v>51429</v>
      </c>
      <c r="G4346" s="3" t="str">
        <f>HYPERLINK("http://funmeta.oebiotech.com/network/51429", "http://funmeta.oebiotech.com/network/51429")</f>
        <v>http://funmeta.oebiotech.com/network/51429</v>
      </c>
      <c r="H4346" s="2" t="s">
        <v>28859</v>
      </c>
      <c r="I4346" s="2">
        <v>62391</v>
      </c>
      <c r="J4346" s="2"/>
      <c r="K4346" s="2">
        <v>82914</v>
      </c>
      <c r="L4346" s="2" t="s">
        <v>28860</v>
      </c>
      <c r="M4346" s="2" t="s">
        <v>28861</v>
      </c>
      <c r="N4346" s="2" t="s">
        <v>28862</v>
      </c>
      <c r="O4346" s="2">
        <v>4615423</v>
      </c>
      <c r="P4346" s="2" t="s">
        <v>28863</v>
      </c>
      <c r="Q4346" s="2" t="s">
        <v>28864</v>
      </c>
      <c r="R4346" s="2" t="s">
        <v>28865</v>
      </c>
      <c r="S4346" s="2" t="s">
        <v>89</v>
      </c>
      <c r="T4346" s="2" t="s">
        <v>1773</v>
      </c>
      <c r="U4346" s="2" t="s">
        <v>21134</v>
      </c>
      <c r="V4346" s="2" t="s">
        <v>59</v>
      </c>
      <c r="W4346" s="2">
        <v>38.299999999999997</v>
      </c>
      <c r="X4346" s="2">
        <v>0</v>
      </c>
      <c r="Y4346" s="2" t="s">
        <v>323</v>
      </c>
      <c r="Z4346" s="2" t="s">
        <v>28866</v>
      </c>
      <c r="AA4346" s="2">
        <v>1.39526615009372</v>
      </c>
      <c r="AB4346" s="2">
        <v>0.149735766841674</v>
      </c>
      <c r="AC4346" s="2">
        <v>3214.0344089922501</v>
      </c>
      <c r="AD4346" s="2">
        <v>1488.9464273953199</v>
      </c>
      <c r="AE4346" s="2">
        <v>2602.45436097327</v>
      </c>
      <c r="AF4346" s="2">
        <v>4228.6802295208699</v>
      </c>
      <c r="AG4346" s="2">
        <v>3682.98891391303</v>
      </c>
      <c r="AH4346" s="2">
        <v>2764.5884346581902</v>
      </c>
      <c r="AI4346" s="2">
        <v>2896.4728156879601</v>
      </c>
      <c r="AJ4346" s="2">
        <v>3109.0216992001901</v>
      </c>
      <c r="AK4346" s="2">
        <v>1404.83177555675</v>
      </c>
      <c r="AL4346" s="2">
        <v>493.29642595701301</v>
      </c>
      <c r="AM4346" s="2">
        <v>1871.25792739753</v>
      </c>
      <c r="AN4346" s="2">
        <v>1623.21009243515</v>
      </c>
      <c r="AO4346" s="2">
        <v>2001.3737112476599</v>
      </c>
      <c r="AP4346" s="2">
        <v>1539.7086317778301</v>
      </c>
    </row>
    <row r="4347" spans="1:42" ht="14.5" x14ac:dyDescent="0.35">
      <c r="A4347" s="2" t="s">
        <v>28867</v>
      </c>
      <c r="B4347" s="2">
        <v>632.31794857053399</v>
      </c>
      <c r="C4347" s="2">
        <v>10.1634333333333</v>
      </c>
      <c r="D4347" s="2" t="s">
        <v>70</v>
      </c>
      <c r="E4347" s="2" t="s">
        <v>28868</v>
      </c>
      <c r="F4347" s="2">
        <v>210909</v>
      </c>
      <c r="G4347" s="3" t="str">
        <f>HYPERLINK("http://funmeta.oebiotech.com/network/210909", "http://funmeta.oebiotech.com/network/210909")</f>
        <v>http://funmeta.oebiotech.com/network/210909</v>
      </c>
      <c r="H4347" s="2" t="s">
        <v>28869</v>
      </c>
      <c r="I4347" s="2"/>
      <c r="J4347" s="2"/>
      <c r="K4347" s="2"/>
      <c r="L4347" s="2"/>
      <c r="M4347" s="2"/>
      <c r="N4347" s="2"/>
      <c r="O4347" s="2">
        <v>72997919</v>
      </c>
      <c r="P4347" s="2"/>
      <c r="Q4347" s="2" t="s">
        <v>28870</v>
      </c>
      <c r="R4347" s="2" t="s">
        <v>28871</v>
      </c>
      <c r="S4347" s="2" t="s">
        <v>115</v>
      </c>
      <c r="T4347" s="2" t="s">
        <v>6130</v>
      </c>
      <c r="U4347" s="2" t="s">
        <v>41</v>
      </c>
      <c r="V4347" s="2" t="s">
        <v>59</v>
      </c>
      <c r="W4347" s="2">
        <v>38.799999999999997</v>
      </c>
      <c r="X4347" s="2">
        <v>3.7</v>
      </c>
      <c r="Y4347" s="2" t="s">
        <v>408</v>
      </c>
      <c r="Z4347" s="2" t="s">
        <v>28872</v>
      </c>
      <c r="AA4347" s="2">
        <v>-1.56594778624075</v>
      </c>
      <c r="AB4347" s="2">
        <v>0.149621494409239</v>
      </c>
      <c r="AC4347" s="2">
        <v>7116.58596254431</v>
      </c>
      <c r="AD4347" s="2">
        <v>9195.6478810278095</v>
      </c>
      <c r="AE4347" s="2">
        <v>7003.4261225923401</v>
      </c>
      <c r="AF4347" s="2">
        <v>8194.3729338319299</v>
      </c>
      <c r="AG4347" s="2">
        <v>7345.5807799920904</v>
      </c>
      <c r="AH4347" s="2">
        <v>5616.1015381039497</v>
      </c>
      <c r="AI4347" s="2">
        <v>8402.0260282579202</v>
      </c>
      <c r="AJ4347" s="2">
        <v>6138.0083724876204</v>
      </c>
      <c r="AK4347" s="2">
        <v>8987.9075134137202</v>
      </c>
      <c r="AL4347" s="2">
        <v>9662.6942107170707</v>
      </c>
      <c r="AM4347" s="2">
        <v>7541.1247680435499</v>
      </c>
      <c r="AN4347" s="2">
        <v>8678.4614183522808</v>
      </c>
      <c r="AO4347" s="2">
        <v>9192.9663724246693</v>
      </c>
      <c r="AP4347" s="2">
        <v>11110.733003215601</v>
      </c>
    </row>
    <row r="4348" spans="1:42" ht="14.5" x14ac:dyDescent="0.35">
      <c r="A4348" s="2" t="s">
        <v>28873</v>
      </c>
      <c r="B4348" s="2">
        <v>235.07831380705801</v>
      </c>
      <c r="C4348" s="2">
        <v>0.73473333333333302</v>
      </c>
      <c r="D4348" s="2" t="s">
        <v>34</v>
      </c>
      <c r="E4348" s="2" t="s">
        <v>28874</v>
      </c>
      <c r="F4348" s="2">
        <v>266992</v>
      </c>
      <c r="G4348" s="3" t="str">
        <f>HYPERLINK("http://funmeta.oebiotech.com/network/266992", "http://funmeta.oebiotech.com/network/266992")</f>
        <v>http://funmeta.oebiotech.com/network/266992</v>
      </c>
      <c r="H4348" s="2"/>
      <c r="I4348" s="2">
        <v>44475</v>
      </c>
      <c r="J4348" s="2"/>
      <c r="K4348" s="2"/>
      <c r="L4348" s="2" t="s">
        <v>28875</v>
      </c>
      <c r="M4348" s="2"/>
      <c r="N4348" s="2"/>
      <c r="O4348" s="2">
        <v>441436</v>
      </c>
      <c r="P4348" s="2" t="s">
        <v>28876</v>
      </c>
      <c r="Q4348" s="2" t="s">
        <v>28877</v>
      </c>
      <c r="R4348" s="2" t="s">
        <v>28878</v>
      </c>
      <c r="S4348" s="2" t="s">
        <v>79</v>
      </c>
      <c r="T4348" s="2" t="s">
        <v>80</v>
      </c>
      <c r="U4348" s="2" t="s">
        <v>81</v>
      </c>
      <c r="V4348" s="2" t="s">
        <v>59</v>
      </c>
      <c r="W4348" s="2">
        <v>38.1</v>
      </c>
      <c r="X4348" s="2">
        <v>0</v>
      </c>
      <c r="Y4348" s="2" t="s">
        <v>67</v>
      </c>
      <c r="Z4348" s="2" t="s">
        <v>28879</v>
      </c>
      <c r="AA4348" s="2">
        <v>-0.52319086763561196</v>
      </c>
      <c r="AB4348" s="2">
        <v>0.149603464180151</v>
      </c>
      <c r="AC4348" s="2">
        <v>8629.7054584526904</v>
      </c>
      <c r="AD4348" s="2">
        <v>10660.3483457166</v>
      </c>
      <c r="AE4348" s="2">
        <v>7924.2286663842797</v>
      </c>
      <c r="AF4348" s="2">
        <v>9387.5153762363807</v>
      </c>
      <c r="AG4348" s="2">
        <v>10930.475480676099</v>
      </c>
      <c r="AH4348" s="2">
        <v>8419.6920256607591</v>
      </c>
      <c r="AI4348" s="2">
        <v>7855.4733723155996</v>
      </c>
      <c r="AJ4348" s="2">
        <v>7260.8478294430497</v>
      </c>
      <c r="AK4348" s="2">
        <v>11463.017641243399</v>
      </c>
      <c r="AL4348" s="2">
        <v>10313.4579661389</v>
      </c>
      <c r="AM4348" s="2">
        <v>9697.9532158950606</v>
      </c>
      <c r="AN4348" s="2">
        <v>10680.3911037216</v>
      </c>
      <c r="AO4348" s="2">
        <v>10689.9296909975</v>
      </c>
      <c r="AP4348" s="2">
        <v>11117.340456303</v>
      </c>
    </row>
    <row r="4349" spans="1:42" ht="14.5" x14ac:dyDescent="0.35">
      <c r="A4349" s="2" t="s">
        <v>28880</v>
      </c>
      <c r="B4349" s="2">
        <v>407.107300751666</v>
      </c>
      <c r="C4349" s="2">
        <v>3.5784166666666701</v>
      </c>
      <c r="D4349" s="2" t="s">
        <v>70</v>
      </c>
      <c r="E4349" s="2" t="s">
        <v>28881</v>
      </c>
      <c r="F4349" s="2">
        <v>200684</v>
      </c>
      <c r="G4349" s="3" t="str">
        <f>HYPERLINK("http://funmeta.oebiotech.com/network/200684", "http://funmeta.oebiotech.com/network/200684")</f>
        <v>http://funmeta.oebiotech.com/network/200684</v>
      </c>
      <c r="H4349" s="2" t="s">
        <v>28882</v>
      </c>
      <c r="I4349" s="2"/>
      <c r="J4349" s="2"/>
      <c r="K4349" s="2"/>
      <c r="L4349" s="2"/>
      <c r="M4349" s="2"/>
      <c r="N4349" s="2"/>
      <c r="O4349" s="2">
        <v>22170993</v>
      </c>
      <c r="P4349" s="2"/>
      <c r="Q4349" s="2" t="s">
        <v>28883</v>
      </c>
      <c r="R4349" s="2" t="s">
        <v>28884</v>
      </c>
      <c r="S4349" s="2" t="s">
        <v>89</v>
      </c>
      <c r="T4349" s="2" t="s">
        <v>90</v>
      </c>
      <c r="U4349" s="2" t="s">
        <v>99</v>
      </c>
      <c r="V4349" s="2" t="s">
        <v>59</v>
      </c>
      <c r="W4349" s="2">
        <v>37.1</v>
      </c>
      <c r="X4349" s="2">
        <v>0</v>
      </c>
      <c r="Y4349" s="2" t="s">
        <v>792</v>
      </c>
      <c r="Z4349" s="2" t="s">
        <v>28885</v>
      </c>
      <c r="AA4349" s="2">
        <v>0.46713699621479998</v>
      </c>
      <c r="AB4349" s="2">
        <v>0.14945770659535601</v>
      </c>
      <c r="AC4349" s="2">
        <v>6478.4743513632002</v>
      </c>
      <c r="AD4349" s="2">
        <v>8264.4200722463993</v>
      </c>
      <c r="AE4349" s="2">
        <v>5992.1940782030097</v>
      </c>
      <c r="AF4349" s="2">
        <v>6485.8907682131103</v>
      </c>
      <c r="AG4349" s="2">
        <v>5595.2059068114704</v>
      </c>
      <c r="AH4349" s="2">
        <v>6526.1944243248099</v>
      </c>
      <c r="AI4349" s="2">
        <v>6666.1779527878998</v>
      </c>
      <c r="AJ4349" s="2">
        <v>7605.1829778389001</v>
      </c>
      <c r="AK4349" s="2">
        <v>7606.9479044158697</v>
      </c>
      <c r="AL4349" s="2">
        <v>7661.0499510025202</v>
      </c>
      <c r="AM4349" s="2">
        <v>8377.0465129574895</v>
      </c>
      <c r="AN4349" s="2">
        <v>8141.8774577124796</v>
      </c>
      <c r="AO4349" s="2">
        <v>8257.1910703133908</v>
      </c>
      <c r="AP4349" s="2">
        <v>9542.4075370766495</v>
      </c>
    </row>
    <row r="4350" spans="1:42" ht="14.5" x14ac:dyDescent="0.35">
      <c r="A4350" s="2" t="s">
        <v>28886</v>
      </c>
      <c r="B4350" s="2">
        <v>286.12843881047598</v>
      </c>
      <c r="C4350" s="2">
        <v>1.06171666666667</v>
      </c>
      <c r="D4350" s="2" t="s">
        <v>34</v>
      </c>
      <c r="E4350" s="2" t="s">
        <v>28887</v>
      </c>
      <c r="F4350" s="2">
        <v>201093</v>
      </c>
      <c r="G4350" s="3" t="str">
        <f>HYPERLINK("http://funmeta.oebiotech.com/network/201093", "http://funmeta.oebiotech.com/network/201093")</f>
        <v>http://funmeta.oebiotech.com/network/201093</v>
      </c>
      <c r="H4350" s="2" t="s">
        <v>28888</v>
      </c>
      <c r="I4350" s="2"/>
      <c r="J4350" s="2"/>
      <c r="K4350" s="2"/>
      <c r="L4350" s="2"/>
      <c r="M4350" s="2"/>
      <c r="N4350" s="2"/>
      <c r="O4350" s="2">
        <v>100089</v>
      </c>
      <c r="P4350" s="2"/>
      <c r="Q4350" s="2" t="s">
        <v>28889</v>
      </c>
      <c r="R4350" s="2" t="s">
        <v>28890</v>
      </c>
      <c r="S4350" s="2" t="s">
        <v>491</v>
      </c>
      <c r="T4350" s="2" t="s">
        <v>28891</v>
      </c>
      <c r="U4350" s="2" t="s">
        <v>41</v>
      </c>
      <c r="V4350" s="2" t="s">
        <v>59</v>
      </c>
      <c r="W4350" s="2">
        <v>39.200000000000003</v>
      </c>
      <c r="X4350" s="2">
        <v>0</v>
      </c>
      <c r="Y4350" s="2" t="s">
        <v>330</v>
      </c>
      <c r="Z4350" s="2" t="s">
        <v>28892</v>
      </c>
      <c r="AA4350" s="2">
        <v>-0.27956541821484099</v>
      </c>
      <c r="AB4350" s="2">
        <v>0.14944324991249799</v>
      </c>
      <c r="AC4350" s="2">
        <v>5006.0235938015603</v>
      </c>
      <c r="AD4350" s="2">
        <v>6706.0039057326803</v>
      </c>
      <c r="AE4350" s="2">
        <v>4993.3632597324004</v>
      </c>
      <c r="AF4350" s="2">
        <v>5090.7215538850296</v>
      </c>
      <c r="AG4350" s="2">
        <v>4566.23605722707</v>
      </c>
      <c r="AH4350" s="2">
        <v>6064.0439132707197</v>
      </c>
      <c r="AI4350" s="2">
        <v>4578.5561568071098</v>
      </c>
      <c r="AJ4350" s="2">
        <v>4743.2206218870297</v>
      </c>
      <c r="AK4350" s="2">
        <v>6736.1142227190503</v>
      </c>
      <c r="AL4350" s="2">
        <v>6528.0367912836</v>
      </c>
      <c r="AM4350" s="2">
        <v>7367.7311797274397</v>
      </c>
      <c r="AN4350" s="2">
        <v>5817.1095817083597</v>
      </c>
      <c r="AO4350" s="2">
        <v>7020.6462629723201</v>
      </c>
      <c r="AP4350" s="2">
        <v>6766.3853959853104</v>
      </c>
    </row>
    <row r="4351" spans="1:42" ht="14.5" x14ac:dyDescent="0.35">
      <c r="A4351" s="2" t="s">
        <v>28893</v>
      </c>
      <c r="B4351" s="2">
        <v>327.10811307060999</v>
      </c>
      <c r="C4351" s="2">
        <v>3.8797333333333301</v>
      </c>
      <c r="D4351" s="2" t="s">
        <v>70</v>
      </c>
      <c r="E4351" s="2" t="s">
        <v>28894</v>
      </c>
      <c r="F4351" s="2">
        <v>35329</v>
      </c>
      <c r="G4351" s="3" t="str">
        <f>HYPERLINK("http://funmeta.oebiotech.com/network/35329", "http://funmeta.oebiotech.com/network/35329")</f>
        <v>http://funmeta.oebiotech.com/network/35329</v>
      </c>
      <c r="H4351" s="2"/>
      <c r="I4351" s="2">
        <v>41181</v>
      </c>
      <c r="J4351" s="2" t="s">
        <v>28895</v>
      </c>
      <c r="K4351" s="2">
        <v>4458</v>
      </c>
      <c r="L4351" s="2" t="s">
        <v>28896</v>
      </c>
      <c r="M4351" s="2"/>
      <c r="N4351" s="2"/>
      <c r="O4351" s="2">
        <v>443352</v>
      </c>
      <c r="P4351" s="2"/>
      <c r="Q4351" s="2" t="s">
        <v>28897</v>
      </c>
      <c r="R4351" s="2" t="s">
        <v>28898</v>
      </c>
      <c r="S4351" s="2" t="s">
        <v>79</v>
      </c>
      <c r="T4351" s="2" t="s">
        <v>80</v>
      </c>
      <c r="U4351" s="2" t="s">
        <v>81</v>
      </c>
      <c r="V4351" s="2" t="s">
        <v>42</v>
      </c>
      <c r="W4351" s="2">
        <v>53.3</v>
      </c>
      <c r="X4351" s="2">
        <v>72.099999999999994</v>
      </c>
      <c r="Y4351" s="2" t="s">
        <v>751</v>
      </c>
      <c r="Z4351" s="2" t="s">
        <v>13125</v>
      </c>
      <c r="AA4351" s="2">
        <v>-1.23680537536243</v>
      </c>
      <c r="AB4351" s="2">
        <v>0.149376589250546</v>
      </c>
      <c r="AC4351" s="2">
        <v>133061.95832829099</v>
      </c>
      <c r="AD4351" s="2">
        <v>136973.77447852999</v>
      </c>
      <c r="AE4351" s="2">
        <v>141030.70782863299</v>
      </c>
      <c r="AF4351" s="2">
        <v>126980.11315255301</v>
      </c>
      <c r="AG4351" s="2">
        <v>133366.869241862</v>
      </c>
      <c r="AH4351" s="2">
        <v>132679.564397965</v>
      </c>
      <c r="AI4351" s="2">
        <v>125976.76485624201</v>
      </c>
      <c r="AJ4351" s="2">
        <v>138337.730492489</v>
      </c>
      <c r="AK4351" s="2">
        <v>136584.785381458</v>
      </c>
      <c r="AL4351" s="2">
        <v>130287.586990928</v>
      </c>
      <c r="AM4351" s="2">
        <v>135638.50531858401</v>
      </c>
      <c r="AN4351" s="2">
        <v>143835.393119585</v>
      </c>
      <c r="AO4351" s="2">
        <v>139191.64528075801</v>
      </c>
      <c r="AP4351" s="2">
        <v>136304.730779868</v>
      </c>
    </row>
    <row r="4352" spans="1:42" ht="14.5" x14ac:dyDescent="0.35">
      <c r="A4352" s="2" t="s">
        <v>28899</v>
      </c>
      <c r="B4352" s="2">
        <v>357.26441916965399</v>
      </c>
      <c r="C4352" s="2">
        <v>8.4361166666666705</v>
      </c>
      <c r="D4352" s="2" t="s">
        <v>70</v>
      </c>
      <c r="E4352" s="2" t="s">
        <v>28900</v>
      </c>
      <c r="F4352" s="2">
        <v>267294</v>
      </c>
      <c r="G4352" s="3" t="str">
        <f>HYPERLINK("http://funmeta.oebiotech.com/network/267294", "http://funmeta.oebiotech.com/network/267294")</f>
        <v>http://funmeta.oebiotech.com/network/267294</v>
      </c>
      <c r="H4352" s="2"/>
      <c r="I4352" s="2">
        <v>45190</v>
      </c>
      <c r="J4352" s="2"/>
      <c r="K4352" s="2"/>
      <c r="L4352" s="2"/>
      <c r="M4352" s="2"/>
      <c r="N4352" s="2"/>
      <c r="O4352" s="2">
        <v>5354133</v>
      </c>
      <c r="P4352" s="2" t="s">
        <v>28901</v>
      </c>
      <c r="Q4352" s="2" t="s">
        <v>28902</v>
      </c>
      <c r="R4352" s="2" t="s">
        <v>28903</v>
      </c>
      <c r="S4352" s="2" t="s">
        <v>50</v>
      </c>
      <c r="T4352" s="2" t="s">
        <v>229</v>
      </c>
      <c r="U4352" s="2" t="s">
        <v>1283</v>
      </c>
      <c r="V4352" s="2" t="s">
        <v>59</v>
      </c>
      <c r="W4352" s="2">
        <v>37.9</v>
      </c>
      <c r="X4352" s="2">
        <v>0</v>
      </c>
      <c r="Y4352" s="2" t="s">
        <v>408</v>
      </c>
      <c r="Z4352" s="2" t="s">
        <v>28904</v>
      </c>
      <c r="AA4352" s="2">
        <v>-0.73243074867605595</v>
      </c>
      <c r="AB4352" s="2">
        <v>0.14935652722514101</v>
      </c>
      <c r="AC4352" s="2">
        <v>1089.31273445323</v>
      </c>
      <c r="AD4352" s="2">
        <v>2617.2259337573</v>
      </c>
      <c r="AE4352" s="2">
        <v>733.21477084618198</v>
      </c>
      <c r="AF4352" s="2">
        <v>1001.72734913038</v>
      </c>
      <c r="AG4352" s="2">
        <v>986.71746407254204</v>
      </c>
      <c r="AH4352" s="2">
        <v>1102.3032342726699</v>
      </c>
      <c r="AI4352" s="2">
        <v>1426.7142636897399</v>
      </c>
      <c r="AJ4352" s="2">
        <v>1285.1993247078899</v>
      </c>
      <c r="AK4352" s="2">
        <v>2750.5775905430801</v>
      </c>
      <c r="AL4352" s="2">
        <v>2151.8413624448799</v>
      </c>
      <c r="AM4352" s="2">
        <v>2954.9985944841701</v>
      </c>
      <c r="AN4352" s="2">
        <v>2630.1022280358202</v>
      </c>
      <c r="AO4352" s="2">
        <v>2433.3236517441201</v>
      </c>
      <c r="AP4352" s="2">
        <v>2782.5121752917498</v>
      </c>
    </row>
    <row r="4353" spans="1:42" ht="14.5" x14ac:dyDescent="0.35">
      <c r="A4353" s="2" t="s">
        <v>28905</v>
      </c>
      <c r="B4353" s="2">
        <v>353.194412409314</v>
      </c>
      <c r="C4353" s="2">
        <v>8.1237666666666701</v>
      </c>
      <c r="D4353" s="2" t="s">
        <v>70</v>
      </c>
      <c r="E4353" s="2" t="s">
        <v>28906</v>
      </c>
      <c r="F4353" s="2">
        <v>210296</v>
      </c>
      <c r="G4353" s="3" t="str">
        <f>HYPERLINK("http://funmeta.oebiotech.com/network/210296", "http://funmeta.oebiotech.com/network/210296")</f>
        <v>http://funmeta.oebiotech.com/network/210296</v>
      </c>
      <c r="H4353" s="2" t="s">
        <v>28907</v>
      </c>
      <c r="I4353" s="2">
        <v>44226</v>
      </c>
      <c r="J4353" s="2"/>
      <c r="K4353" s="2">
        <v>75377</v>
      </c>
      <c r="L4353" s="2"/>
      <c r="M4353" s="2"/>
      <c r="N4353" s="2"/>
      <c r="O4353" s="2">
        <v>4780</v>
      </c>
      <c r="P4353" s="2" t="s">
        <v>28908</v>
      </c>
      <c r="Q4353" s="2" t="s">
        <v>28909</v>
      </c>
      <c r="R4353" s="2" t="s">
        <v>28910</v>
      </c>
      <c r="S4353" s="2" t="s">
        <v>1677</v>
      </c>
      <c r="T4353" s="2" t="s">
        <v>1678</v>
      </c>
      <c r="U4353" s="2" t="s">
        <v>22787</v>
      </c>
      <c r="V4353" s="2" t="s">
        <v>59</v>
      </c>
      <c r="W4353" s="2">
        <v>39</v>
      </c>
      <c r="X4353" s="2">
        <v>0</v>
      </c>
      <c r="Y4353" s="2" t="s">
        <v>560</v>
      </c>
      <c r="Z4353" s="2" t="s">
        <v>28911</v>
      </c>
      <c r="AA4353" s="2">
        <v>-3.3932874567810498</v>
      </c>
      <c r="AB4353" s="2">
        <v>0.149276104869704</v>
      </c>
      <c r="AC4353" s="2">
        <v>4267.1841624774097</v>
      </c>
      <c r="AD4353" s="2">
        <v>2683.7272241712399</v>
      </c>
      <c r="AE4353" s="2">
        <v>5248.7589308280203</v>
      </c>
      <c r="AF4353" s="2">
        <v>4092.4679391562299</v>
      </c>
      <c r="AG4353" s="2">
        <v>4339.7131881837804</v>
      </c>
      <c r="AH4353" s="2">
        <v>4055.7791991700401</v>
      </c>
      <c r="AI4353" s="2">
        <v>3930.1916171622702</v>
      </c>
      <c r="AJ4353" s="2">
        <v>3936.19410036413</v>
      </c>
      <c r="AK4353" s="2">
        <v>2925.4033024782598</v>
      </c>
      <c r="AL4353" s="2">
        <v>2816.3843136604601</v>
      </c>
      <c r="AM4353" s="2">
        <v>2591.36430471328</v>
      </c>
      <c r="AN4353" s="2">
        <v>2529.5134622007899</v>
      </c>
      <c r="AO4353" s="2">
        <v>2554.7384437350902</v>
      </c>
      <c r="AP4353" s="2">
        <v>2684.9595182395901</v>
      </c>
    </row>
    <row r="4354" spans="1:42" ht="14.5" x14ac:dyDescent="0.35">
      <c r="A4354" s="2" t="s">
        <v>28912</v>
      </c>
      <c r="B4354" s="2">
        <v>419.27627450027097</v>
      </c>
      <c r="C4354" s="2">
        <v>10.436733333333301</v>
      </c>
      <c r="D4354" s="2" t="s">
        <v>34</v>
      </c>
      <c r="E4354" s="2" t="s">
        <v>28913</v>
      </c>
      <c r="F4354" s="2">
        <v>82935</v>
      </c>
      <c r="G4354" s="3" t="str">
        <f>HYPERLINK("http://funmeta.oebiotech.com/network/82935", "http://funmeta.oebiotech.com/network/82935")</f>
        <v>http://funmeta.oebiotech.com/network/82935</v>
      </c>
      <c r="H4354" s="2" t="s">
        <v>28914</v>
      </c>
      <c r="I4354" s="2">
        <v>85046</v>
      </c>
      <c r="J4354" s="2"/>
      <c r="K4354" s="2"/>
      <c r="L4354" s="2"/>
      <c r="M4354" s="2"/>
      <c r="N4354" s="2"/>
      <c r="O4354" s="2">
        <v>9930913</v>
      </c>
      <c r="P4354" s="2" t="s">
        <v>28915</v>
      </c>
      <c r="Q4354" s="2" t="s">
        <v>28916</v>
      </c>
      <c r="R4354" s="2" t="s">
        <v>28917</v>
      </c>
      <c r="S4354" s="2" t="s">
        <v>491</v>
      </c>
      <c r="T4354" s="2" t="s">
        <v>5190</v>
      </c>
      <c r="U4354" s="2" t="s">
        <v>5191</v>
      </c>
      <c r="V4354" s="2" t="s">
        <v>59</v>
      </c>
      <c r="W4354" s="2">
        <v>38.6</v>
      </c>
      <c r="X4354" s="2">
        <v>0</v>
      </c>
      <c r="Y4354" s="2" t="s">
        <v>43</v>
      </c>
      <c r="Z4354" s="2" t="s">
        <v>28918</v>
      </c>
      <c r="AA4354" s="2">
        <v>-0.60040116621658002</v>
      </c>
      <c r="AB4354" s="2">
        <v>0.149261014638397</v>
      </c>
      <c r="AC4354" s="2">
        <v>2943.2138436662199</v>
      </c>
      <c r="AD4354" s="2">
        <v>1356.3463184662501</v>
      </c>
      <c r="AE4354" s="2">
        <v>3680.8443128716999</v>
      </c>
      <c r="AF4354" s="2">
        <v>2165.2996220754098</v>
      </c>
      <c r="AG4354" s="2">
        <v>2867.9017186465599</v>
      </c>
      <c r="AH4354" s="2">
        <v>2928.49451487037</v>
      </c>
      <c r="AI4354" s="2">
        <v>2857.04182860126</v>
      </c>
      <c r="AJ4354" s="2">
        <v>3159.70106493204</v>
      </c>
      <c r="AK4354" s="2">
        <v>1199.7857080322799</v>
      </c>
      <c r="AL4354" s="2">
        <v>1287.6448750882601</v>
      </c>
      <c r="AM4354" s="2">
        <v>1518.6571558477899</v>
      </c>
      <c r="AN4354" s="2">
        <v>1296.9697256710001</v>
      </c>
      <c r="AO4354" s="2">
        <v>1586.0244691757</v>
      </c>
      <c r="AP4354" s="2">
        <v>1248.99597698244</v>
      </c>
    </row>
    <row r="4355" spans="1:42" ht="14.5" x14ac:dyDescent="0.35">
      <c r="A4355" s="2" t="s">
        <v>28919</v>
      </c>
      <c r="B4355" s="2">
        <v>384.12987729328398</v>
      </c>
      <c r="C4355" s="2">
        <v>3.7870499999999998</v>
      </c>
      <c r="D4355" s="2" t="s">
        <v>70</v>
      </c>
      <c r="E4355" s="2" t="s">
        <v>28920</v>
      </c>
      <c r="F4355" s="2">
        <v>52206</v>
      </c>
      <c r="G4355" s="3" t="str">
        <f>HYPERLINK("http://funmeta.oebiotech.com/network/52206", "http://funmeta.oebiotech.com/network/52206")</f>
        <v>http://funmeta.oebiotech.com/network/52206</v>
      </c>
      <c r="H4355" s="2" t="s">
        <v>28921</v>
      </c>
      <c r="I4355" s="2"/>
      <c r="J4355" s="2"/>
      <c r="K4355" s="2">
        <v>166506</v>
      </c>
      <c r="L4355" s="2"/>
      <c r="M4355" s="2"/>
      <c r="N4355" s="2"/>
      <c r="O4355" s="2">
        <v>53481648</v>
      </c>
      <c r="P4355" s="2"/>
      <c r="Q4355" s="2" t="s">
        <v>28922</v>
      </c>
      <c r="R4355" s="2" t="s">
        <v>28923</v>
      </c>
      <c r="S4355" s="2" t="s">
        <v>79</v>
      </c>
      <c r="T4355" s="2" t="s">
        <v>80</v>
      </c>
      <c r="U4355" s="2" t="s">
        <v>81</v>
      </c>
      <c r="V4355" s="2" t="s">
        <v>59</v>
      </c>
      <c r="W4355" s="2">
        <v>38</v>
      </c>
      <c r="X4355" s="2">
        <v>0</v>
      </c>
      <c r="Y4355" s="2" t="s">
        <v>408</v>
      </c>
      <c r="Z4355" s="2" t="s">
        <v>28924</v>
      </c>
      <c r="AA4355" s="2">
        <v>-0.37623102701042399</v>
      </c>
      <c r="AB4355" s="2">
        <v>0.14917770134623901</v>
      </c>
      <c r="AC4355" s="2">
        <v>4447.2766370180798</v>
      </c>
      <c r="AD4355" s="2">
        <v>6064.5107341237499</v>
      </c>
      <c r="AE4355" s="2">
        <v>4766.2403350392797</v>
      </c>
      <c r="AF4355" s="2">
        <v>4016.51606012088</v>
      </c>
      <c r="AG4355" s="2">
        <v>4680.49403020503</v>
      </c>
      <c r="AH4355" s="2">
        <v>4110.4370745484903</v>
      </c>
      <c r="AI4355" s="2">
        <v>4643.4666921633798</v>
      </c>
      <c r="AJ4355" s="2">
        <v>4466.5056300314</v>
      </c>
      <c r="AK4355" s="2">
        <v>6495.4013361568104</v>
      </c>
      <c r="AL4355" s="2">
        <v>5419.6698337814496</v>
      </c>
      <c r="AM4355" s="2">
        <v>6138.6938439403903</v>
      </c>
      <c r="AN4355" s="2">
        <v>5577.1374204923804</v>
      </c>
      <c r="AO4355" s="2">
        <v>6751.6846239857005</v>
      </c>
      <c r="AP4355" s="2">
        <v>6004.47734638576</v>
      </c>
    </row>
    <row r="4356" spans="1:42" ht="14.5" x14ac:dyDescent="0.35">
      <c r="A4356" s="2" t="s">
        <v>28925</v>
      </c>
      <c r="B4356" s="2">
        <v>285.07554472899199</v>
      </c>
      <c r="C4356" s="2">
        <v>5.3519166666666704</v>
      </c>
      <c r="D4356" s="2" t="s">
        <v>34</v>
      </c>
      <c r="E4356" s="2" t="s">
        <v>28926</v>
      </c>
      <c r="F4356" s="2">
        <v>31107</v>
      </c>
      <c r="G4356" s="3" t="str">
        <f>HYPERLINK("http://funmeta.oebiotech.com/network/31107", "http://funmeta.oebiotech.com/network/31107")</f>
        <v>http://funmeta.oebiotech.com/network/31107</v>
      </c>
      <c r="H4356" s="2" t="s">
        <v>28927</v>
      </c>
      <c r="I4356" s="2">
        <v>44269</v>
      </c>
      <c r="J4356" s="2" t="s">
        <v>28928</v>
      </c>
      <c r="K4356" s="2">
        <v>75718</v>
      </c>
      <c r="L4356" s="2" t="s">
        <v>28929</v>
      </c>
      <c r="M4356" s="2"/>
      <c r="N4356" s="2"/>
      <c r="O4356" s="2">
        <v>5281617</v>
      </c>
      <c r="P4356" s="2" t="s">
        <v>28930</v>
      </c>
      <c r="Q4356" s="2" t="s">
        <v>28931</v>
      </c>
      <c r="R4356" s="2" t="s">
        <v>28932</v>
      </c>
      <c r="S4356" s="2" t="s">
        <v>115</v>
      </c>
      <c r="T4356" s="2" t="s">
        <v>139</v>
      </c>
      <c r="U4356" s="2" t="s">
        <v>1552</v>
      </c>
      <c r="V4356" s="2" t="s">
        <v>59</v>
      </c>
      <c r="W4356" s="2">
        <v>42.5</v>
      </c>
      <c r="X4356" s="2">
        <v>18.8</v>
      </c>
      <c r="Y4356" s="2" t="s">
        <v>394</v>
      </c>
      <c r="Z4356" s="2" t="s">
        <v>28933</v>
      </c>
      <c r="AA4356" s="2">
        <v>-0.72231052318285505</v>
      </c>
      <c r="AB4356" s="2">
        <v>0.14914115445960799</v>
      </c>
      <c r="AC4356" s="2">
        <v>26131.7880355001</v>
      </c>
      <c r="AD4356" s="2">
        <v>28604.070604789202</v>
      </c>
      <c r="AE4356" s="2">
        <v>25048.6678821817</v>
      </c>
      <c r="AF4356" s="2">
        <v>24118.173939591299</v>
      </c>
      <c r="AG4356" s="2">
        <v>26540.2196120357</v>
      </c>
      <c r="AH4356" s="2">
        <v>27787.264384726699</v>
      </c>
      <c r="AI4356" s="2">
        <v>25714.886979462</v>
      </c>
      <c r="AJ4356" s="2">
        <v>27581.515415003101</v>
      </c>
      <c r="AK4356" s="2">
        <v>28358.305311304899</v>
      </c>
      <c r="AL4356" s="2">
        <v>28514.9210022117</v>
      </c>
      <c r="AM4356" s="2">
        <v>32373.873561299599</v>
      </c>
      <c r="AN4356" s="2">
        <v>28730.621932926399</v>
      </c>
      <c r="AO4356" s="2">
        <v>25464.5563900216</v>
      </c>
      <c r="AP4356" s="2">
        <v>28182.145430970999</v>
      </c>
    </row>
    <row r="4357" spans="1:42" ht="14.5" x14ac:dyDescent="0.35">
      <c r="A4357" s="2" t="s">
        <v>28934</v>
      </c>
      <c r="B4357" s="2">
        <v>438.09575405964</v>
      </c>
      <c r="C4357" s="2">
        <v>10.016550000000001</v>
      </c>
      <c r="D4357" s="2" t="s">
        <v>34</v>
      </c>
      <c r="E4357" s="2" t="s">
        <v>28935</v>
      </c>
      <c r="F4357" s="2">
        <v>57670</v>
      </c>
      <c r="G4357" s="3" t="str">
        <f>HYPERLINK("http://funmeta.oebiotech.com/network/57670", "http://funmeta.oebiotech.com/network/57670")</f>
        <v>http://funmeta.oebiotech.com/network/57670</v>
      </c>
      <c r="H4357" s="2" t="s">
        <v>28936</v>
      </c>
      <c r="I4357" s="2"/>
      <c r="J4357" s="2"/>
      <c r="K4357" s="2"/>
      <c r="L4357" s="2" t="s">
        <v>28937</v>
      </c>
      <c r="M4357" s="2" t="s">
        <v>9575</v>
      </c>
      <c r="N4357" s="2" t="s">
        <v>9576</v>
      </c>
      <c r="O4357" s="2">
        <v>3496496</v>
      </c>
      <c r="P4357" s="2" t="s">
        <v>28938</v>
      </c>
      <c r="Q4357" s="2" t="s">
        <v>28939</v>
      </c>
      <c r="R4357" s="2" t="s">
        <v>28940</v>
      </c>
      <c r="S4357" s="2" t="s">
        <v>39</v>
      </c>
      <c r="T4357" s="2" t="s">
        <v>28941</v>
      </c>
      <c r="U4357" s="2" t="s">
        <v>41</v>
      </c>
      <c r="V4357" s="2" t="s">
        <v>59</v>
      </c>
      <c r="W4357" s="2">
        <v>37.799999999999997</v>
      </c>
      <c r="X4357" s="2">
        <v>0</v>
      </c>
      <c r="Y4357" s="2" t="s">
        <v>340</v>
      </c>
      <c r="Z4357" s="2" t="s">
        <v>28942</v>
      </c>
      <c r="AA4357" s="2">
        <v>1.9892287367967301</v>
      </c>
      <c r="AB4357" s="2">
        <v>0.14906770044668199</v>
      </c>
      <c r="AC4357" s="2">
        <v>1692.1536985535299</v>
      </c>
      <c r="AD4357" s="2">
        <v>222.696433106596</v>
      </c>
      <c r="AE4357" s="2">
        <v>1692.28077857945</v>
      </c>
      <c r="AF4357" s="2">
        <v>1519.4356957125899</v>
      </c>
      <c r="AG4357" s="2">
        <v>1732.73444561564</v>
      </c>
      <c r="AH4357" s="2">
        <v>1666.95089603529</v>
      </c>
      <c r="AI4357" s="2">
        <v>1680.1174154247601</v>
      </c>
      <c r="AJ4357" s="2">
        <v>1861.4029599534299</v>
      </c>
      <c r="AK4357" s="2">
        <v>255.679259640857</v>
      </c>
      <c r="AL4357" s="2">
        <v>98.261187774796895</v>
      </c>
      <c r="AM4357" s="2">
        <v>336.11366220101701</v>
      </c>
      <c r="AN4357" s="2">
        <v>176.24362187666401</v>
      </c>
      <c r="AO4357" s="2">
        <v>253.24234727862299</v>
      </c>
      <c r="AP4357" s="2">
        <v>216.638519867621</v>
      </c>
    </row>
    <row r="4358" spans="1:42" ht="14.5" x14ac:dyDescent="0.35">
      <c r="A4358" s="2" t="s">
        <v>28943</v>
      </c>
      <c r="B4358" s="2">
        <v>293.13711928258198</v>
      </c>
      <c r="C4358" s="2">
        <v>4.2251833333333302</v>
      </c>
      <c r="D4358" s="2" t="s">
        <v>34</v>
      </c>
      <c r="E4358" s="2" t="s">
        <v>28944</v>
      </c>
      <c r="F4358" s="2">
        <v>53911</v>
      </c>
      <c r="G4358" s="3" t="str">
        <f>HYPERLINK("http://funmeta.oebiotech.com/network/53911", "http://funmeta.oebiotech.com/network/53911")</f>
        <v>http://funmeta.oebiotech.com/network/53911</v>
      </c>
      <c r="H4358" s="2" t="s">
        <v>28945</v>
      </c>
      <c r="I4358" s="2">
        <v>23880</v>
      </c>
      <c r="J4358" s="2"/>
      <c r="K4358" s="2">
        <v>74051</v>
      </c>
      <c r="L4358" s="2"/>
      <c r="M4358" s="2"/>
      <c r="N4358" s="2"/>
      <c r="O4358" s="2">
        <v>6993104</v>
      </c>
      <c r="P4358" s="2" t="s">
        <v>28946</v>
      </c>
      <c r="Q4358" s="2" t="s">
        <v>28947</v>
      </c>
      <c r="R4358" s="2" t="s">
        <v>28948</v>
      </c>
      <c r="S4358" s="2" t="s">
        <v>89</v>
      </c>
      <c r="T4358" s="2" t="s">
        <v>90</v>
      </c>
      <c r="U4358" s="2" t="s">
        <v>99</v>
      </c>
      <c r="V4358" s="2" t="s">
        <v>59</v>
      </c>
      <c r="W4358" s="2">
        <v>38.4</v>
      </c>
      <c r="X4358" s="2">
        <v>0</v>
      </c>
      <c r="Y4358" s="2" t="s">
        <v>266</v>
      </c>
      <c r="Z4358" s="2" t="s">
        <v>28949</v>
      </c>
      <c r="AA4358" s="2">
        <v>4.9788039758325899</v>
      </c>
      <c r="AB4358" s="2">
        <v>0.14902435349170701</v>
      </c>
      <c r="AC4358" s="2">
        <v>4262.38712193627</v>
      </c>
      <c r="AD4358" s="2">
        <v>5965.7177043686297</v>
      </c>
      <c r="AE4358" s="2">
        <v>4138.0254326213599</v>
      </c>
      <c r="AF4358" s="2">
        <v>3939.3435894778399</v>
      </c>
      <c r="AG4358" s="2">
        <v>4155.0140472585699</v>
      </c>
      <c r="AH4358" s="2">
        <v>5143.1061833961103</v>
      </c>
      <c r="AI4358" s="2">
        <v>4166.7522569379598</v>
      </c>
      <c r="AJ4358" s="2">
        <v>4032.08122192577</v>
      </c>
      <c r="AK4358" s="2">
        <v>5327.2124016335802</v>
      </c>
      <c r="AL4358" s="2">
        <v>6925.5748495104599</v>
      </c>
      <c r="AM4358" s="2">
        <v>5254.9818099864897</v>
      </c>
      <c r="AN4358" s="2">
        <v>6556.2364535572297</v>
      </c>
      <c r="AO4358" s="2">
        <v>5853.3976612004099</v>
      </c>
      <c r="AP4358" s="2">
        <v>5876.9030503235999</v>
      </c>
    </row>
    <row r="4359" spans="1:42" ht="14.5" x14ac:dyDescent="0.35">
      <c r="A4359" s="2" t="s">
        <v>28950</v>
      </c>
      <c r="B4359" s="2">
        <v>240.231702770629</v>
      </c>
      <c r="C4359" s="2">
        <v>12.3610166666667</v>
      </c>
      <c r="D4359" s="2" t="s">
        <v>34</v>
      </c>
      <c r="E4359" s="2" t="s">
        <v>28951</v>
      </c>
      <c r="F4359" s="2">
        <v>61641</v>
      </c>
      <c r="G4359" s="3" t="str">
        <f>HYPERLINK("http://funmeta.oebiotech.com/network/61641", "http://funmeta.oebiotech.com/network/61641")</f>
        <v>http://funmeta.oebiotech.com/network/61641</v>
      </c>
      <c r="H4359" s="2" t="s">
        <v>28952</v>
      </c>
      <c r="I4359" s="2">
        <v>92944</v>
      </c>
      <c r="J4359" s="2"/>
      <c r="K4359" s="2"/>
      <c r="L4359" s="2"/>
      <c r="M4359" s="2"/>
      <c r="N4359" s="2"/>
      <c r="O4359" s="2">
        <v>14093951</v>
      </c>
      <c r="P4359" s="2" t="s">
        <v>28953</v>
      </c>
      <c r="Q4359" s="2" t="s">
        <v>28954</v>
      </c>
      <c r="R4359" s="2" t="s">
        <v>28955</v>
      </c>
      <c r="S4359" s="2" t="s">
        <v>50</v>
      </c>
      <c r="T4359" s="2" t="s">
        <v>201</v>
      </c>
      <c r="U4359" s="2" t="s">
        <v>636</v>
      </c>
      <c r="V4359" s="2" t="s">
        <v>42</v>
      </c>
      <c r="W4359" s="2">
        <v>53.3</v>
      </c>
      <c r="X4359" s="2">
        <v>76.7</v>
      </c>
      <c r="Y4359" s="2" t="s">
        <v>43</v>
      </c>
      <c r="Z4359" s="2" t="s">
        <v>28956</v>
      </c>
      <c r="AA4359" s="2">
        <v>-2.1971932609990099</v>
      </c>
      <c r="AB4359" s="2">
        <v>0.14877066870761901</v>
      </c>
      <c r="AC4359" s="2">
        <v>28264.5904468189</v>
      </c>
      <c r="AD4359" s="2">
        <v>23991.859194848701</v>
      </c>
      <c r="AE4359" s="2">
        <v>33010.734727728202</v>
      </c>
      <c r="AF4359" s="2">
        <v>22619.705177034801</v>
      </c>
      <c r="AG4359" s="2">
        <v>25365.6679066293</v>
      </c>
      <c r="AH4359" s="2">
        <v>32707.538035505499</v>
      </c>
      <c r="AI4359" s="2">
        <v>31217.370134231402</v>
      </c>
      <c r="AJ4359" s="2">
        <v>24666.526699784201</v>
      </c>
      <c r="AK4359" s="2">
        <v>18736.259203454701</v>
      </c>
      <c r="AL4359" s="2">
        <v>34019.779298335001</v>
      </c>
      <c r="AM4359" s="2">
        <v>21993.592627216</v>
      </c>
      <c r="AN4359" s="2">
        <v>33630.570903098902</v>
      </c>
      <c r="AO4359" s="2">
        <v>17608.1027231849</v>
      </c>
      <c r="AP4359" s="2">
        <v>17962.8504138028</v>
      </c>
    </row>
    <row r="4360" spans="1:42" ht="14.5" x14ac:dyDescent="0.35">
      <c r="A4360" s="2" t="s">
        <v>28957</v>
      </c>
      <c r="B4360" s="2">
        <v>367.13015366492601</v>
      </c>
      <c r="C4360" s="2">
        <v>7.1697499999999996</v>
      </c>
      <c r="D4360" s="2" t="s">
        <v>34</v>
      </c>
      <c r="E4360" s="2" t="s">
        <v>28958</v>
      </c>
      <c r="F4360" s="2">
        <v>211893</v>
      </c>
      <c r="G4360" s="3" t="str">
        <f>HYPERLINK("http://funmeta.oebiotech.com/network/211893", "http://funmeta.oebiotech.com/network/211893")</f>
        <v>http://funmeta.oebiotech.com/network/211893</v>
      </c>
      <c r="H4360" s="2" t="s">
        <v>28959</v>
      </c>
      <c r="I4360" s="2">
        <v>70980</v>
      </c>
      <c r="J4360" s="2"/>
      <c r="K4360" s="2"/>
      <c r="L4360" s="2" t="s">
        <v>28960</v>
      </c>
      <c r="M4360" s="2"/>
      <c r="N4360" s="2"/>
      <c r="O4360" s="2">
        <v>9862248</v>
      </c>
      <c r="P4360" s="2" t="s">
        <v>28961</v>
      </c>
      <c r="Q4360" s="2" t="s">
        <v>28962</v>
      </c>
      <c r="R4360" s="2" t="s">
        <v>28963</v>
      </c>
      <c r="S4360" s="2" t="s">
        <v>148</v>
      </c>
      <c r="T4360" s="2" t="s">
        <v>149</v>
      </c>
      <c r="U4360" s="2" t="s">
        <v>3473</v>
      </c>
      <c r="V4360" s="2" t="s">
        <v>59</v>
      </c>
      <c r="W4360" s="2">
        <v>44.1</v>
      </c>
      <c r="X4360" s="2">
        <v>26.6</v>
      </c>
      <c r="Y4360" s="2" t="s">
        <v>340</v>
      </c>
      <c r="Z4360" s="2" t="s">
        <v>5623</v>
      </c>
      <c r="AA4360" s="2">
        <v>-1.4128853447921701</v>
      </c>
      <c r="AB4360" s="2">
        <v>0.14875973861497799</v>
      </c>
      <c r="AC4360" s="2">
        <v>553174.59439399198</v>
      </c>
      <c r="AD4360" s="2">
        <v>560577.35575144901</v>
      </c>
      <c r="AE4360" s="2">
        <v>552814.70787599497</v>
      </c>
      <c r="AF4360" s="2">
        <v>544789.32679570001</v>
      </c>
      <c r="AG4360" s="2">
        <v>575394.47338113806</v>
      </c>
      <c r="AH4360" s="2">
        <v>552293.02625681495</v>
      </c>
      <c r="AI4360" s="2">
        <v>521564.34411975998</v>
      </c>
      <c r="AJ4360" s="2">
        <v>572191.68793454405</v>
      </c>
      <c r="AK4360" s="2">
        <v>563858.49006969901</v>
      </c>
      <c r="AL4360" s="2">
        <v>538849.31520779605</v>
      </c>
      <c r="AM4360" s="2">
        <v>593862.94843610795</v>
      </c>
      <c r="AN4360" s="2">
        <v>548517.63216889498</v>
      </c>
      <c r="AO4360" s="2">
        <v>553270.63794596004</v>
      </c>
      <c r="AP4360" s="2">
        <v>565105.11068023799</v>
      </c>
    </row>
    <row r="4361" spans="1:42" ht="14.5" x14ac:dyDescent="0.35">
      <c r="A4361" s="2" t="s">
        <v>28964</v>
      </c>
      <c r="B4361" s="2">
        <v>465.160010235014</v>
      </c>
      <c r="C4361" s="2">
        <v>2.4876999999999998</v>
      </c>
      <c r="D4361" s="2" t="s">
        <v>34</v>
      </c>
      <c r="E4361" s="2" t="s">
        <v>28965</v>
      </c>
      <c r="F4361" s="2">
        <v>198391</v>
      </c>
      <c r="G4361" s="3" t="str">
        <f>HYPERLINK("http://funmeta.oebiotech.com/network/198391", "http://funmeta.oebiotech.com/network/198391")</f>
        <v>http://funmeta.oebiotech.com/network/198391</v>
      </c>
      <c r="H4361" s="2" t="s">
        <v>28966</v>
      </c>
      <c r="I4361" s="2"/>
      <c r="J4361" s="2"/>
      <c r="K4361" s="2"/>
      <c r="L4361" s="2"/>
      <c r="M4361" s="2"/>
      <c r="N4361" s="2"/>
      <c r="O4361" s="2"/>
      <c r="P4361" s="2"/>
      <c r="Q4361" s="2" t="s">
        <v>28967</v>
      </c>
      <c r="R4361" s="2" t="s">
        <v>28968</v>
      </c>
      <c r="S4361" s="2" t="s">
        <v>41</v>
      </c>
      <c r="T4361" s="2" t="s">
        <v>41</v>
      </c>
      <c r="U4361" s="2" t="s">
        <v>41</v>
      </c>
      <c r="V4361" s="2" t="s">
        <v>59</v>
      </c>
      <c r="W4361" s="2">
        <v>38.1</v>
      </c>
      <c r="X4361" s="2">
        <v>0</v>
      </c>
      <c r="Y4361" s="2" t="s">
        <v>323</v>
      </c>
      <c r="Z4361" s="2" t="s">
        <v>28969</v>
      </c>
      <c r="AA4361" s="2">
        <v>-1.90485841938828</v>
      </c>
      <c r="AB4361" s="2">
        <v>0.148735643218808</v>
      </c>
      <c r="AC4361" s="2">
        <v>7039.4249085694701</v>
      </c>
      <c r="AD4361" s="2">
        <v>5390.3888654821503</v>
      </c>
      <c r="AE4361" s="2">
        <v>7158.03645182542</v>
      </c>
      <c r="AF4361" s="2">
        <v>7849.1932710372103</v>
      </c>
      <c r="AG4361" s="2">
        <v>6637.1844551909699</v>
      </c>
      <c r="AH4361" s="2">
        <v>6093.3999584809098</v>
      </c>
      <c r="AI4361" s="2">
        <v>7007.0087611189601</v>
      </c>
      <c r="AJ4361" s="2">
        <v>7491.7265537633402</v>
      </c>
      <c r="AK4361" s="2">
        <v>5240.2154417118199</v>
      </c>
      <c r="AL4361" s="2">
        <v>5425.5121192617698</v>
      </c>
      <c r="AM4361" s="2">
        <v>5450.4631997877304</v>
      </c>
      <c r="AN4361" s="2">
        <v>5478.6043385364101</v>
      </c>
      <c r="AO4361" s="2">
        <v>4904.9213918744399</v>
      </c>
      <c r="AP4361" s="2">
        <v>5842.6167017207599</v>
      </c>
    </row>
    <row r="4362" spans="1:42" ht="14.5" x14ac:dyDescent="0.35">
      <c r="A4362" s="2" t="s">
        <v>28970</v>
      </c>
      <c r="B4362" s="2">
        <v>305.135938628541</v>
      </c>
      <c r="C4362" s="2">
        <v>4.8327999999999998</v>
      </c>
      <c r="D4362" s="2" t="s">
        <v>34</v>
      </c>
      <c r="E4362" s="2" t="s">
        <v>28971</v>
      </c>
      <c r="F4362" s="2">
        <v>35593</v>
      </c>
      <c r="G4362" s="3" t="str">
        <f>HYPERLINK("http://funmeta.oebiotech.com/network/35593", "http://funmeta.oebiotech.com/network/35593")</f>
        <v>http://funmeta.oebiotech.com/network/35593</v>
      </c>
      <c r="H4362" s="2"/>
      <c r="I4362" s="2">
        <v>532</v>
      </c>
      <c r="J4362" s="2" t="s">
        <v>28972</v>
      </c>
      <c r="K4362" s="2">
        <v>223316</v>
      </c>
      <c r="L4362" s="2" t="s">
        <v>28973</v>
      </c>
      <c r="M4362" s="2"/>
      <c r="N4362" s="2"/>
      <c r="O4362" s="2">
        <v>68827</v>
      </c>
      <c r="P4362" s="2" t="s">
        <v>28974</v>
      </c>
      <c r="Q4362" s="2" t="s">
        <v>28975</v>
      </c>
      <c r="R4362" s="2" t="s">
        <v>28976</v>
      </c>
      <c r="S4362" s="2" t="s">
        <v>50</v>
      </c>
      <c r="T4362" s="2" t="s">
        <v>201</v>
      </c>
      <c r="U4362" s="2" t="s">
        <v>1217</v>
      </c>
      <c r="V4362" s="2" t="s">
        <v>59</v>
      </c>
      <c r="W4362" s="2">
        <v>39.1</v>
      </c>
      <c r="X4362" s="2">
        <v>0</v>
      </c>
      <c r="Y4362" s="2" t="s">
        <v>323</v>
      </c>
      <c r="Z4362" s="2" t="s">
        <v>12135</v>
      </c>
      <c r="AA4362" s="2">
        <v>-2.07509035051258E-2</v>
      </c>
      <c r="AB4362" s="2">
        <v>0.148670809318</v>
      </c>
      <c r="AC4362" s="2">
        <v>2541.2767316611398</v>
      </c>
      <c r="AD4362" s="2">
        <v>4234.7731344391004</v>
      </c>
      <c r="AE4362" s="2">
        <v>2177.4726275384601</v>
      </c>
      <c r="AF4362" s="2">
        <v>2966.1396864138901</v>
      </c>
      <c r="AG4362" s="2">
        <v>2308.9413056459798</v>
      </c>
      <c r="AH4362" s="2">
        <v>2489.0913602728501</v>
      </c>
      <c r="AI4362" s="2">
        <v>1979.3632076121601</v>
      </c>
      <c r="AJ4362" s="2">
        <v>3326.6522024834799</v>
      </c>
      <c r="AK4362" s="2">
        <v>4331.2888184865596</v>
      </c>
      <c r="AL4362" s="2">
        <v>4240.1477832340797</v>
      </c>
      <c r="AM4362" s="2">
        <v>5276.6889362339698</v>
      </c>
      <c r="AN4362" s="2">
        <v>4125.2261519148396</v>
      </c>
      <c r="AO4362" s="2">
        <v>3964.9129177024702</v>
      </c>
      <c r="AP4362" s="2">
        <v>3470.37419906266</v>
      </c>
    </row>
    <row r="4363" spans="1:42" ht="14.5" x14ac:dyDescent="0.35">
      <c r="A4363" s="2" t="s">
        <v>28977</v>
      </c>
      <c r="B4363" s="2">
        <v>419.12740376144097</v>
      </c>
      <c r="C4363" s="2">
        <v>9.1675166666666694</v>
      </c>
      <c r="D4363" s="2" t="s">
        <v>70</v>
      </c>
      <c r="E4363" s="2" t="s">
        <v>28978</v>
      </c>
      <c r="F4363" s="2">
        <v>204018</v>
      </c>
      <c r="G4363" s="3" t="str">
        <f>HYPERLINK("http://funmeta.oebiotech.com/network/204018", "http://funmeta.oebiotech.com/network/204018")</f>
        <v>http://funmeta.oebiotech.com/network/204018</v>
      </c>
      <c r="H4363" s="2" t="s">
        <v>28979</v>
      </c>
      <c r="I4363" s="2"/>
      <c r="J4363" s="2"/>
      <c r="K4363" s="2">
        <v>51507</v>
      </c>
      <c r="L4363" s="2" t="s">
        <v>28980</v>
      </c>
      <c r="M4363" s="2"/>
      <c r="N4363" s="2"/>
      <c r="O4363" s="2">
        <v>8651</v>
      </c>
      <c r="P4363" s="2"/>
      <c r="Q4363" s="2" t="s">
        <v>28981</v>
      </c>
      <c r="R4363" s="2" t="s">
        <v>28982</v>
      </c>
      <c r="S4363" s="2" t="s">
        <v>115</v>
      </c>
      <c r="T4363" s="2" t="s">
        <v>4730</v>
      </c>
      <c r="U4363" s="2" t="s">
        <v>41</v>
      </c>
      <c r="V4363" s="2" t="s">
        <v>59</v>
      </c>
      <c r="W4363" s="2">
        <v>38.1</v>
      </c>
      <c r="X4363" s="2">
        <v>0</v>
      </c>
      <c r="Y4363" s="2" t="s">
        <v>560</v>
      </c>
      <c r="Z4363" s="2" t="s">
        <v>28983</v>
      </c>
      <c r="AA4363" s="2">
        <v>-3.5201116761678199</v>
      </c>
      <c r="AB4363" s="2">
        <v>0.148663072685672</v>
      </c>
      <c r="AC4363" s="2">
        <v>4473.6655886198996</v>
      </c>
      <c r="AD4363" s="2">
        <v>6038.7436776690201</v>
      </c>
      <c r="AE4363" s="2">
        <v>4053.1666909580399</v>
      </c>
      <c r="AF4363" s="2">
        <v>4491.6896591680998</v>
      </c>
      <c r="AG4363" s="2">
        <v>4554.2310744549304</v>
      </c>
      <c r="AH4363" s="2">
        <v>4472.4789775183799</v>
      </c>
      <c r="AI4363" s="2">
        <v>4987.8260193310898</v>
      </c>
      <c r="AJ4363" s="2">
        <v>4282.6011102888497</v>
      </c>
      <c r="AK4363" s="2">
        <v>6311.3527761556597</v>
      </c>
      <c r="AL4363" s="2">
        <v>5907.9432312164799</v>
      </c>
      <c r="AM4363" s="2">
        <v>6207.4756566451097</v>
      </c>
      <c r="AN4363" s="2">
        <v>6584.1317440939802</v>
      </c>
      <c r="AO4363" s="2">
        <v>5459.8171972813398</v>
      </c>
      <c r="AP4363" s="2">
        <v>5761.7414606215798</v>
      </c>
    </row>
    <row r="4364" spans="1:42" ht="14.5" x14ac:dyDescent="0.35">
      <c r="A4364" s="2" t="s">
        <v>28984</v>
      </c>
      <c r="B4364" s="2">
        <v>695.19086707294605</v>
      </c>
      <c r="C4364" s="2">
        <v>5.7479666666666702</v>
      </c>
      <c r="D4364" s="2" t="s">
        <v>70</v>
      </c>
      <c r="E4364" s="2" t="s">
        <v>28985</v>
      </c>
      <c r="F4364" s="2">
        <v>29191</v>
      </c>
      <c r="G4364" s="3" t="str">
        <f>HYPERLINK("http://funmeta.oebiotech.com/network/29191", "http://funmeta.oebiotech.com/network/29191")</f>
        <v>http://funmeta.oebiotech.com/network/29191</v>
      </c>
      <c r="H4364" s="2"/>
      <c r="I4364" s="2">
        <v>47572</v>
      </c>
      <c r="J4364" s="2" t="s">
        <v>28986</v>
      </c>
      <c r="K4364" s="2"/>
      <c r="L4364" s="2"/>
      <c r="M4364" s="2"/>
      <c r="N4364" s="2"/>
      <c r="O4364" s="2">
        <v>182342</v>
      </c>
      <c r="P4364" s="2"/>
      <c r="Q4364" s="2" t="s">
        <v>28987</v>
      </c>
      <c r="R4364" s="2" t="s">
        <v>28988</v>
      </c>
      <c r="S4364" s="2" t="s">
        <v>115</v>
      </c>
      <c r="T4364" s="2" t="s">
        <v>1371</v>
      </c>
      <c r="U4364" s="2" t="s">
        <v>21416</v>
      </c>
      <c r="V4364" s="2" t="s">
        <v>59</v>
      </c>
      <c r="W4364" s="2">
        <v>38.700000000000003</v>
      </c>
      <c r="X4364" s="2">
        <v>0</v>
      </c>
      <c r="Y4364" s="2" t="s">
        <v>560</v>
      </c>
      <c r="Z4364" s="2" t="s">
        <v>28989</v>
      </c>
      <c r="AA4364" s="2">
        <v>-2.0162565459901902</v>
      </c>
      <c r="AB4364" s="2">
        <v>0.148571145418228</v>
      </c>
      <c r="AC4364" s="2">
        <v>3048.7706711290898</v>
      </c>
      <c r="AD4364" s="2">
        <v>1196.4717052057399</v>
      </c>
      <c r="AE4364" s="2">
        <v>2572.7013388394398</v>
      </c>
      <c r="AF4364" s="2">
        <v>3144.0384003429999</v>
      </c>
      <c r="AG4364" s="2">
        <v>3711.5269531275699</v>
      </c>
      <c r="AH4364" s="2">
        <v>4323.8773625471003</v>
      </c>
      <c r="AI4364" s="2">
        <v>2367.6056962974699</v>
      </c>
      <c r="AJ4364" s="2">
        <v>2172.8742756199799</v>
      </c>
      <c r="AK4364" s="2">
        <v>1058.80945064617</v>
      </c>
      <c r="AL4364" s="2">
        <v>2.7106294003980101E-5</v>
      </c>
      <c r="AM4364" s="2">
        <v>2001.31089754155</v>
      </c>
      <c r="AN4364" s="2">
        <v>1923.70909767582</v>
      </c>
      <c r="AO4364" s="2">
        <v>1495.8877129254699</v>
      </c>
      <c r="AP4364" s="2">
        <v>699.113045339123</v>
      </c>
    </row>
    <row r="4365" spans="1:42" ht="14.5" x14ac:dyDescent="0.35">
      <c r="A4365" s="2" t="s">
        <v>28990</v>
      </c>
      <c r="B4365" s="2">
        <v>305.022736181244</v>
      </c>
      <c r="C4365" s="2">
        <v>6.0108166666666696</v>
      </c>
      <c r="D4365" s="2" t="s">
        <v>70</v>
      </c>
      <c r="E4365" s="2" t="s">
        <v>28991</v>
      </c>
      <c r="F4365" s="2">
        <v>201962</v>
      </c>
      <c r="G4365" s="3" t="str">
        <f>HYPERLINK("http://funmeta.oebiotech.com/network/201962", "http://funmeta.oebiotech.com/network/201962")</f>
        <v>http://funmeta.oebiotech.com/network/201962</v>
      </c>
      <c r="H4365" s="2" t="s">
        <v>28992</v>
      </c>
      <c r="I4365" s="2"/>
      <c r="J4365" s="2"/>
      <c r="K4365" s="2"/>
      <c r="L4365" s="2"/>
      <c r="M4365" s="2"/>
      <c r="N4365" s="2"/>
      <c r="O4365" s="2"/>
      <c r="P4365" s="2"/>
      <c r="Q4365" s="2" t="s">
        <v>28993</v>
      </c>
      <c r="R4365" s="2" t="s">
        <v>28994</v>
      </c>
      <c r="S4365" s="2" t="s">
        <v>41</v>
      </c>
      <c r="T4365" s="2" t="s">
        <v>41</v>
      </c>
      <c r="U4365" s="2" t="s">
        <v>41</v>
      </c>
      <c r="V4365" s="2" t="s">
        <v>59</v>
      </c>
      <c r="W4365" s="2">
        <v>37.1</v>
      </c>
      <c r="X4365" s="2">
        <v>0</v>
      </c>
      <c r="Y4365" s="2" t="s">
        <v>751</v>
      </c>
      <c r="Z4365" s="2" t="s">
        <v>28995</v>
      </c>
      <c r="AA4365" s="2">
        <v>-3.1780195300890401</v>
      </c>
      <c r="AB4365" s="2">
        <v>0.148558577120802</v>
      </c>
      <c r="AC4365" s="2">
        <v>32526.163487799298</v>
      </c>
      <c r="AD4365" s="2">
        <v>34592.835939391</v>
      </c>
      <c r="AE4365" s="2">
        <v>33565.059806056197</v>
      </c>
      <c r="AF4365" s="2">
        <v>33097.828570203499</v>
      </c>
      <c r="AG4365" s="2">
        <v>32475.703079483901</v>
      </c>
      <c r="AH4365" s="2">
        <v>32574.873660863399</v>
      </c>
      <c r="AI4365" s="2">
        <v>32913.183830721398</v>
      </c>
      <c r="AJ4365" s="2">
        <v>30530.331979467701</v>
      </c>
      <c r="AK4365" s="2">
        <v>35309.247212616203</v>
      </c>
      <c r="AL4365" s="2">
        <v>35360.915529436497</v>
      </c>
      <c r="AM4365" s="2">
        <v>35639.750951760303</v>
      </c>
      <c r="AN4365" s="2">
        <v>32815.550920725902</v>
      </c>
      <c r="AO4365" s="2">
        <v>35192.215297472801</v>
      </c>
      <c r="AP4365" s="2">
        <v>33239.335724334102</v>
      </c>
    </row>
    <row r="4366" spans="1:42" ht="14.5" x14ac:dyDescent="0.35">
      <c r="A4366" s="2" t="s">
        <v>28996</v>
      </c>
      <c r="B4366" s="2">
        <v>335.257708312658</v>
      </c>
      <c r="C4366" s="2">
        <v>15.2076333333333</v>
      </c>
      <c r="D4366" s="2" t="s">
        <v>34</v>
      </c>
      <c r="E4366" s="2" t="s">
        <v>28997</v>
      </c>
      <c r="F4366" s="2">
        <v>45008</v>
      </c>
      <c r="G4366" s="3" t="str">
        <f>HYPERLINK("http://funmeta.oebiotech.com/network/45008", "http://funmeta.oebiotech.com/network/45008")</f>
        <v>http://funmeta.oebiotech.com/network/45008</v>
      </c>
      <c r="H4366" s="2" t="s">
        <v>28998</v>
      </c>
      <c r="I4366" s="2">
        <v>41885</v>
      </c>
      <c r="J4366" s="2" t="s">
        <v>28999</v>
      </c>
      <c r="K4366" s="2">
        <v>805752</v>
      </c>
      <c r="L4366" s="2" t="s">
        <v>29000</v>
      </c>
      <c r="M4366" s="2" t="s">
        <v>2454</v>
      </c>
      <c r="N4366" s="2" t="s">
        <v>2455</v>
      </c>
      <c r="O4366" s="2">
        <v>101771</v>
      </c>
      <c r="P4366" s="2" t="s">
        <v>29001</v>
      </c>
      <c r="Q4366" s="2" t="s">
        <v>29002</v>
      </c>
      <c r="R4366" s="2" t="s">
        <v>29003</v>
      </c>
      <c r="S4366" s="2" t="s">
        <v>50</v>
      </c>
      <c r="T4366" s="2" t="s">
        <v>124</v>
      </c>
      <c r="U4366" s="2" t="s">
        <v>1136</v>
      </c>
      <c r="V4366" s="2" t="s">
        <v>59</v>
      </c>
      <c r="W4366" s="2">
        <v>38.4</v>
      </c>
      <c r="X4366" s="2">
        <v>0</v>
      </c>
      <c r="Y4366" s="2" t="s">
        <v>394</v>
      </c>
      <c r="Z4366" s="2" t="s">
        <v>18612</v>
      </c>
      <c r="AA4366" s="2">
        <v>-1.0862155228825601</v>
      </c>
      <c r="AB4366" s="2">
        <v>0.14850765265562099</v>
      </c>
      <c r="AC4366" s="2">
        <v>14676.1047939912</v>
      </c>
      <c r="AD4366" s="2">
        <v>17023.9610623097</v>
      </c>
      <c r="AE4366" s="2">
        <v>14847.0023562732</v>
      </c>
      <c r="AF4366" s="2">
        <v>13393.8469575655</v>
      </c>
      <c r="AG4366" s="2">
        <v>14280.454384184</v>
      </c>
      <c r="AH4366" s="2">
        <v>16141.7042918269</v>
      </c>
      <c r="AI4366" s="2">
        <v>15148.8183775496</v>
      </c>
      <c r="AJ4366" s="2">
        <v>14244.802396548201</v>
      </c>
      <c r="AK4366" s="2">
        <v>15616.630639806899</v>
      </c>
      <c r="AL4366" s="2">
        <v>15668.1272777468</v>
      </c>
      <c r="AM4366" s="2">
        <v>14350.106299966799</v>
      </c>
      <c r="AN4366" s="2">
        <v>18057.460114458099</v>
      </c>
      <c r="AO4366" s="2">
        <v>20139.764387818999</v>
      </c>
      <c r="AP4366" s="2">
        <v>18311.677654060601</v>
      </c>
    </row>
    <row r="4367" spans="1:42" ht="14.5" x14ac:dyDescent="0.35">
      <c r="A4367" s="2" t="s">
        <v>29004</v>
      </c>
      <c r="B4367" s="2">
        <v>605.23846882287</v>
      </c>
      <c r="C4367" s="2">
        <v>5.2455499999999997</v>
      </c>
      <c r="D4367" s="2" t="s">
        <v>70</v>
      </c>
      <c r="E4367" s="2" t="s">
        <v>29005</v>
      </c>
      <c r="F4367" s="2">
        <v>55484</v>
      </c>
      <c r="G4367" s="3" t="str">
        <f>HYPERLINK("http://funmeta.oebiotech.com/network/55484", "http://funmeta.oebiotech.com/network/55484")</f>
        <v>http://funmeta.oebiotech.com/network/55484</v>
      </c>
      <c r="H4367" s="2" t="s">
        <v>29006</v>
      </c>
      <c r="I4367" s="2">
        <v>87160</v>
      </c>
      <c r="J4367" s="2"/>
      <c r="K4367" s="2"/>
      <c r="L4367" s="2"/>
      <c r="M4367" s="2"/>
      <c r="N4367" s="2"/>
      <c r="O4367" s="2">
        <v>12294</v>
      </c>
      <c r="P4367" s="2"/>
      <c r="Q4367" s="2" t="s">
        <v>29007</v>
      </c>
      <c r="R4367" s="2" t="s">
        <v>29008</v>
      </c>
      <c r="S4367" s="2" t="s">
        <v>491</v>
      </c>
      <c r="T4367" s="2" t="s">
        <v>2251</v>
      </c>
      <c r="U4367" s="2" t="s">
        <v>2252</v>
      </c>
      <c r="V4367" s="2" t="s">
        <v>59</v>
      </c>
      <c r="W4367" s="2">
        <v>37.4</v>
      </c>
      <c r="X4367" s="2">
        <v>0</v>
      </c>
      <c r="Y4367" s="2" t="s">
        <v>408</v>
      </c>
      <c r="Z4367" s="2" t="s">
        <v>29009</v>
      </c>
      <c r="AA4367" s="2">
        <v>-1.3425616938509399</v>
      </c>
      <c r="AB4367" s="2">
        <v>0.14843058961963099</v>
      </c>
      <c r="AC4367" s="2">
        <v>16388.298661975801</v>
      </c>
      <c r="AD4367" s="2">
        <v>13549.6336714435</v>
      </c>
      <c r="AE4367" s="2">
        <v>16583.794008549299</v>
      </c>
      <c r="AF4367" s="2">
        <v>13126.363575711801</v>
      </c>
      <c r="AG4367" s="2">
        <v>15222.457432638899</v>
      </c>
      <c r="AH4367" s="2">
        <v>18134.593808937101</v>
      </c>
      <c r="AI4367" s="2">
        <v>14415.204086040399</v>
      </c>
      <c r="AJ4367" s="2">
        <v>20847.379059977298</v>
      </c>
      <c r="AK4367" s="2">
        <v>13977.236821709301</v>
      </c>
      <c r="AL4367" s="2">
        <v>11567.860646130001</v>
      </c>
      <c r="AM4367" s="2">
        <v>13842.5681051434</v>
      </c>
      <c r="AN4367" s="2">
        <v>17765.176881344702</v>
      </c>
      <c r="AO4367" s="2">
        <v>10903.774666507599</v>
      </c>
      <c r="AP4367" s="2">
        <v>13241.1849078259</v>
      </c>
    </row>
    <row r="4368" spans="1:42" ht="14.5" x14ac:dyDescent="0.35">
      <c r="A4368" s="2" t="s">
        <v>29010</v>
      </c>
      <c r="B4368" s="2">
        <v>413.14179620171001</v>
      </c>
      <c r="C4368" s="2">
        <v>3.56836666666667</v>
      </c>
      <c r="D4368" s="2" t="s">
        <v>34</v>
      </c>
      <c r="E4368" s="2" t="s">
        <v>29011</v>
      </c>
      <c r="F4368" s="2">
        <v>60862</v>
      </c>
      <c r="G4368" s="3" t="str">
        <f>HYPERLINK("http://funmeta.oebiotech.com/network/60862", "http://funmeta.oebiotech.com/network/60862")</f>
        <v>http://funmeta.oebiotech.com/network/60862</v>
      </c>
      <c r="H4368" s="2" t="s">
        <v>29012</v>
      </c>
      <c r="I4368" s="2">
        <v>92213</v>
      </c>
      <c r="J4368" s="2"/>
      <c r="K4368" s="2">
        <v>169149</v>
      </c>
      <c r="L4368" s="2"/>
      <c r="M4368" s="2"/>
      <c r="N4368" s="2"/>
      <c r="O4368" s="2">
        <v>73118547</v>
      </c>
      <c r="P4368" s="2"/>
      <c r="Q4368" s="2" t="s">
        <v>29013</v>
      </c>
      <c r="R4368" s="2" t="s">
        <v>29014</v>
      </c>
      <c r="S4368" s="2" t="s">
        <v>50</v>
      </c>
      <c r="T4368" s="2" t="s">
        <v>229</v>
      </c>
      <c r="U4368" s="2" t="s">
        <v>230</v>
      </c>
      <c r="V4368" s="2" t="s">
        <v>59</v>
      </c>
      <c r="W4368" s="2">
        <v>39.9</v>
      </c>
      <c r="X4368" s="2">
        <v>1.19</v>
      </c>
      <c r="Y4368" s="2" t="s">
        <v>376</v>
      </c>
      <c r="Z4368" s="2" t="s">
        <v>9733</v>
      </c>
      <c r="AA4368" s="2">
        <v>-5.5126405722631701E-2</v>
      </c>
      <c r="AB4368" s="2">
        <v>0.14829992166138301</v>
      </c>
      <c r="AC4368" s="2">
        <v>239741.300618637</v>
      </c>
      <c r="AD4368" s="2">
        <v>233639.746115699</v>
      </c>
      <c r="AE4368" s="2">
        <v>240741.52588324601</v>
      </c>
      <c r="AF4368" s="2">
        <v>243133.38579155199</v>
      </c>
      <c r="AG4368" s="2">
        <v>242857.65914753699</v>
      </c>
      <c r="AH4368" s="2">
        <v>215164.399369108</v>
      </c>
      <c r="AI4368" s="2">
        <v>240549.92255068899</v>
      </c>
      <c r="AJ4368" s="2">
        <v>256000.91096969001</v>
      </c>
      <c r="AK4368" s="2">
        <v>244606.03907826499</v>
      </c>
      <c r="AL4368" s="2">
        <v>227800.76069112701</v>
      </c>
      <c r="AM4368" s="2">
        <v>229599.94738549</v>
      </c>
      <c r="AN4368" s="2">
        <v>247988.54500278801</v>
      </c>
      <c r="AO4368" s="2">
        <v>210081.97761997601</v>
      </c>
      <c r="AP4368" s="2">
        <v>241761.20691654601</v>
      </c>
    </row>
    <row r="4369" spans="1:42" ht="14.5" x14ac:dyDescent="0.35">
      <c r="A4369" s="2" t="s">
        <v>29015</v>
      </c>
      <c r="B4369" s="2">
        <v>450.16063500678803</v>
      </c>
      <c r="C4369" s="2">
        <v>1.6651</v>
      </c>
      <c r="D4369" s="2" t="s">
        <v>34</v>
      </c>
      <c r="E4369" s="2" t="s">
        <v>29016</v>
      </c>
      <c r="F4369" s="2">
        <v>59200</v>
      </c>
      <c r="G4369" s="3" t="str">
        <f>HYPERLINK("http://funmeta.oebiotech.com/network/59200", "http://funmeta.oebiotech.com/network/59200")</f>
        <v>http://funmeta.oebiotech.com/network/59200</v>
      </c>
      <c r="H4369" s="2" t="s">
        <v>29017</v>
      </c>
      <c r="I4369" s="2">
        <v>90620</v>
      </c>
      <c r="J4369" s="2"/>
      <c r="K4369" s="2">
        <v>169762</v>
      </c>
      <c r="L4369" s="2"/>
      <c r="M4369" s="2"/>
      <c r="N4369" s="2"/>
      <c r="O4369" s="2">
        <v>85284146</v>
      </c>
      <c r="P4369" s="2" t="s">
        <v>29018</v>
      </c>
      <c r="Q4369" s="2" t="s">
        <v>29019</v>
      </c>
      <c r="R4369" s="2" t="s">
        <v>29020</v>
      </c>
      <c r="S4369" s="2" t="s">
        <v>79</v>
      </c>
      <c r="T4369" s="2" t="s">
        <v>80</v>
      </c>
      <c r="U4369" s="2" t="s">
        <v>81</v>
      </c>
      <c r="V4369" s="2" t="s">
        <v>59</v>
      </c>
      <c r="W4369" s="2">
        <v>37.700000000000003</v>
      </c>
      <c r="X4369" s="2">
        <v>0</v>
      </c>
      <c r="Y4369" s="2" t="s">
        <v>43</v>
      </c>
      <c r="Z4369" s="2" t="s">
        <v>29021</v>
      </c>
      <c r="AA4369" s="2">
        <v>7.6996821330972201E-2</v>
      </c>
      <c r="AB4369" s="2">
        <v>0.14824160660331301</v>
      </c>
      <c r="AC4369" s="2">
        <v>6096.24133728369</v>
      </c>
      <c r="AD4369" s="2">
        <v>4244.3503553645996</v>
      </c>
      <c r="AE4369" s="2">
        <v>6028.7691006542</v>
      </c>
      <c r="AF4369" s="2">
        <v>6620.04335237139</v>
      </c>
      <c r="AG4369" s="2">
        <v>5404.6122893052598</v>
      </c>
      <c r="AH4369" s="2">
        <v>5250.8733901888299</v>
      </c>
      <c r="AI4369" s="2">
        <v>7806.70054845708</v>
      </c>
      <c r="AJ4369" s="2">
        <v>5466.4493427253901</v>
      </c>
      <c r="AK4369" s="2">
        <v>3852.5358820843398</v>
      </c>
      <c r="AL4369" s="2">
        <v>5261.4830871686399</v>
      </c>
      <c r="AM4369" s="2">
        <v>3727.5244168169302</v>
      </c>
      <c r="AN4369" s="2">
        <v>4447.6043822901602</v>
      </c>
      <c r="AO4369" s="2">
        <v>4206.4884513076404</v>
      </c>
      <c r="AP4369" s="2">
        <v>3970.46591251986</v>
      </c>
    </row>
    <row r="4370" spans="1:42" ht="14.5" x14ac:dyDescent="0.35">
      <c r="A4370" s="2" t="s">
        <v>29022</v>
      </c>
      <c r="B4370" s="2">
        <v>352.16130967871402</v>
      </c>
      <c r="C4370" s="2">
        <v>1.7029666666666701</v>
      </c>
      <c r="D4370" s="2" t="s">
        <v>34</v>
      </c>
      <c r="E4370" s="2" t="s">
        <v>29023</v>
      </c>
      <c r="F4370" s="2">
        <v>52692</v>
      </c>
      <c r="G4370" s="3" t="str">
        <f>HYPERLINK("http://funmeta.oebiotech.com/network/52692", "http://funmeta.oebiotech.com/network/52692")</f>
        <v>http://funmeta.oebiotech.com/network/52692</v>
      </c>
      <c r="H4370" s="2" t="s">
        <v>29024</v>
      </c>
      <c r="I4370" s="2">
        <v>590</v>
      </c>
      <c r="J4370" s="2"/>
      <c r="K4370" s="2">
        <v>27504</v>
      </c>
      <c r="L4370" s="2" t="s">
        <v>29025</v>
      </c>
      <c r="M4370" s="2"/>
      <c r="N4370" s="2"/>
      <c r="O4370" s="2">
        <v>5746</v>
      </c>
      <c r="P4370" s="2" t="s">
        <v>29026</v>
      </c>
      <c r="Q4370" s="2" t="s">
        <v>29027</v>
      </c>
      <c r="R4370" s="2" t="s">
        <v>29028</v>
      </c>
      <c r="S4370" s="2" t="s">
        <v>491</v>
      </c>
      <c r="T4370" s="2" t="s">
        <v>2184</v>
      </c>
      <c r="U4370" s="2" t="s">
        <v>29029</v>
      </c>
      <c r="V4370" s="2" t="s">
        <v>59</v>
      </c>
      <c r="W4370" s="2">
        <v>38.5</v>
      </c>
      <c r="X4370" s="2">
        <v>0</v>
      </c>
      <c r="Y4370" s="2" t="s">
        <v>43</v>
      </c>
      <c r="Z4370" s="2" t="s">
        <v>29030</v>
      </c>
      <c r="AA4370" s="2">
        <v>-0.70495661574476298</v>
      </c>
      <c r="AB4370" s="2">
        <v>0.14822379185366499</v>
      </c>
      <c r="AC4370" s="2">
        <v>3458.8344378274801</v>
      </c>
      <c r="AD4370" s="2">
        <v>1663.0653057556599</v>
      </c>
      <c r="AE4370" s="2">
        <v>5197.1182697938102</v>
      </c>
      <c r="AF4370" s="2">
        <v>3745.3772273107302</v>
      </c>
      <c r="AG4370" s="2">
        <v>2707.9817798389399</v>
      </c>
      <c r="AH4370" s="2">
        <v>3324.6599129087199</v>
      </c>
      <c r="AI4370" s="2">
        <v>2877.5085344581598</v>
      </c>
      <c r="AJ4370" s="2">
        <v>2900.36090265451</v>
      </c>
      <c r="AK4370" s="2">
        <v>2533.5344919632598</v>
      </c>
      <c r="AL4370" s="2">
        <v>1951.2271203996199</v>
      </c>
      <c r="AM4370" s="2">
        <v>1223.7077885812801</v>
      </c>
      <c r="AN4370" s="2">
        <v>1377.65340456329</v>
      </c>
      <c r="AO4370" s="2">
        <v>1574.22250162709</v>
      </c>
      <c r="AP4370" s="2">
        <v>1318.0465273994</v>
      </c>
    </row>
    <row r="4371" spans="1:42" ht="14.5" x14ac:dyDescent="0.35">
      <c r="A4371" s="2" t="s">
        <v>29031</v>
      </c>
      <c r="B4371" s="2">
        <v>375.165829101979</v>
      </c>
      <c r="C4371" s="2">
        <v>5.2266333333333304</v>
      </c>
      <c r="D4371" s="2" t="s">
        <v>70</v>
      </c>
      <c r="E4371" s="2" t="s">
        <v>29032</v>
      </c>
      <c r="F4371" s="2">
        <v>58556</v>
      </c>
      <c r="G4371" s="3" t="str">
        <f>HYPERLINK("http://funmeta.oebiotech.com/network/58556", "http://funmeta.oebiotech.com/network/58556")</f>
        <v>http://funmeta.oebiotech.com/network/58556</v>
      </c>
      <c r="H4371" s="2" t="s">
        <v>29033</v>
      </c>
      <c r="I4371" s="2">
        <v>90023</v>
      </c>
      <c r="J4371" s="2"/>
      <c r="K4371" s="2">
        <v>168440</v>
      </c>
      <c r="L4371" s="2"/>
      <c r="M4371" s="2"/>
      <c r="N4371" s="2"/>
      <c r="O4371" s="2">
        <v>73815104</v>
      </c>
      <c r="P4371" s="2" t="s">
        <v>29034</v>
      </c>
      <c r="Q4371" s="2" t="s">
        <v>29035</v>
      </c>
      <c r="R4371" s="2" t="s">
        <v>29036</v>
      </c>
      <c r="S4371" s="2" t="s">
        <v>50</v>
      </c>
      <c r="T4371" s="2" t="s">
        <v>201</v>
      </c>
      <c r="U4371" s="2" t="s">
        <v>202</v>
      </c>
      <c r="V4371" s="2" t="s">
        <v>59</v>
      </c>
      <c r="W4371" s="2">
        <v>45.3</v>
      </c>
      <c r="X4371" s="2">
        <v>30.2</v>
      </c>
      <c r="Y4371" s="2" t="s">
        <v>408</v>
      </c>
      <c r="Z4371" s="2" t="s">
        <v>29037</v>
      </c>
      <c r="AA4371" s="2">
        <v>-0.68734360211256995</v>
      </c>
      <c r="AB4371" s="2">
        <v>0.14820543777717499</v>
      </c>
      <c r="AC4371" s="2">
        <v>9947.4505658297003</v>
      </c>
      <c r="AD4371" s="2">
        <v>11952.5478808117</v>
      </c>
      <c r="AE4371" s="2">
        <v>10410.431910236901</v>
      </c>
      <c r="AF4371" s="2">
        <v>7731.6747233176302</v>
      </c>
      <c r="AG4371" s="2">
        <v>9762.3891420084492</v>
      </c>
      <c r="AH4371" s="2">
        <v>10665.377844497099</v>
      </c>
      <c r="AI4371" s="2">
        <v>9584.6292566600205</v>
      </c>
      <c r="AJ4371" s="2">
        <v>11530.2005182581</v>
      </c>
      <c r="AK4371" s="2">
        <v>12871.3016084438</v>
      </c>
      <c r="AL4371" s="2">
        <v>11413.6858506468</v>
      </c>
      <c r="AM4371" s="2">
        <v>11350.8492680657</v>
      </c>
      <c r="AN4371" s="2">
        <v>12912.6791984548</v>
      </c>
      <c r="AO4371" s="2">
        <v>11127.0022430801</v>
      </c>
      <c r="AP4371" s="2">
        <v>12039.769116179101</v>
      </c>
    </row>
    <row r="4372" spans="1:42" ht="14.5" x14ac:dyDescent="0.35">
      <c r="A4372" s="2" t="s">
        <v>29038</v>
      </c>
      <c r="B4372" s="2">
        <v>373.23816564128998</v>
      </c>
      <c r="C4372" s="2">
        <v>10.7480333333333</v>
      </c>
      <c r="D4372" s="2" t="s">
        <v>70</v>
      </c>
      <c r="E4372" s="2" t="s">
        <v>29039</v>
      </c>
      <c r="F4372" s="2">
        <v>274668</v>
      </c>
      <c r="G4372" s="3" t="str">
        <f>HYPERLINK("http://funmeta.oebiotech.com/network/274668", "http://funmeta.oebiotech.com/network/274668")</f>
        <v>http://funmeta.oebiotech.com/network/274668</v>
      </c>
      <c r="H4372" s="2"/>
      <c r="I4372" s="2">
        <v>64830</v>
      </c>
      <c r="J4372" s="2"/>
      <c r="K4372" s="2"/>
      <c r="L4372" s="2"/>
      <c r="M4372" s="2"/>
      <c r="N4372" s="2"/>
      <c r="O4372" s="2">
        <v>6433873</v>
      </c>
      <c r="P4372" s="2" t="s">
        <v>29040</v>
      </c>
      <c r="Q4372" s="2" t="s">
        <v>29041</v>
      </c>
      <c r="R4372" s="2" t="s">
        <v>29042</v>
      </c>
      <c r="S4372" s="2" t="s">
        <v>50</v>
      </c>
      <c r="T4372" s="2" t="s">
        <v>229</v>
      </c>
      <c r="U4372" s="2" t="s">
        <v>433</v>
      </c>
      <c r="V4372" s="2" t="s">
        <v>59</v>
      </c>
      <c r="W4372" s="2">
        <v>38.4</v>
      </c>
      <c r="X4372" s="2">
        <v>0</v>
      </c>
      <c r="Y4372" s="2" t="s">
        <v>408</v>
      </c>
      <c r="Z4372" s="2" t="s">
        <v>18868</v>
      </c>
      <c r="AA4372" s="2">
        <v>-0.81493383602416802</v>
      </c>
      <c r="AB4372" s="2">
        <v>0.148138153228148</v>
      </c>
      <c r="AC4372" s="2">
        <v>1060.6181200314099</v>
      </c>
      <c r="AD4372" s="2">
        <v>2543.32517206488</v>
      </c>
      <c r="AE4372" s="2">
        <v>1381.98934804073</v>
      </c>
      <c r="AF4372" s="2">
        <v>1008.29959101487</v>
      </c>
      <c r="AG4372" s="2">
        <v>983.06607267341599</v>
      </c>
      <c r="AH4372" s="2">
        <v>983.28983692720499</v>
      </c>
      <c r="AI4372" s="2">
        <v>852.97168864339199</v>
      </c>
      <c r="AJ4372" s="2">
        <v>1154.09218288887</v>
      </c>
      <c r="AK4372" s="2">
        <v>2284.22675707384</v>
      </c>
      <c r="AL4372" s="2">
        <v>2302.1300677591098</v>
      </c>
      <c r="AM4372" s="2">
        <v>2751.3583364905098</v>
      </c>
      <c r="AN4372" s="2">
        <v>2787.4839936970302</v>
      </c>
      <c r="AO4372" s="2">
        <v>2593.4287381639201</v>
      </c>
      <c r="AP4372" s="2">
        <v>2541.3231392048801</v>
      </c>
    </row>
    <row r="4373" spans="1:42" ht="14.5" x14ac:dyDescent="0.35">
      <c r="A4373" s="2" t="s">
        <v>29043</v>
      </c>
      <c r="B4373" s="2">
        <v>574.27966322466204</v>
      </c>
      <c r="C4373" s="2">
        <v>8.0464500000000001</v>
      </c>
      <c r="D4373" s="2" t="s">
        <v>34</v>
      </c>
      <c r="E4373" s="2" t="s">
        <v>29044</v>
      </c>
      <c r="F4373" s="2">
        <v>219655</v>
      </c>
      <c r="G4373" s="3" t="str">
        <f>HYPERLINK("http://funmeta.oebiotech.com/network/219655", "http://funmeta.oebiotech.com/network/219655")</f>
        <v>http://funmeta.oebiotech.com/network/219655</v>
      </c>
      <c r="H4373" s="2" t="s">
        <v>29045</v>
      </c>
      <c r="I4373" s="2"/>
      <c r="J4373" s="2"/>
      <c r="K4373" s="2"/>
      <c r="L4373" s="2"/>
      <c r="M4373" s="2"/>
      <c r="N4373" s="2"/>
      <c r="O4373" s="2"/>
      <c r="P4373" s="2"/>
      <c r="Q4373" s="2" t="s">
        <v>29046</v>
      </c>
      <c r="R4373" s="2" t="s">
        <v>29047</v>
      </c>
      <c r="S4373" s="2" t="s">
        <v>41</v>
      </c>
      <c r="T4373" s="2" t="s">
        <v>41</v>
      </c>
      <c r="U4373" s="2" t="s">
        <v>41</v>
      </c>
      <c r="V4373" s="2" t="s">
        <v>42</v>
      </c>
      <c r="W4373" s="2">
        <v>47.6</v>
      </c>
      <c r="X4373" s="2">
        <v>48.3</v>
      </c>
      <c r="Y4373" s="2" t="s">
        <v>43</v>
      </c>
      <c r="Z4373" s="2" t="s">
        <v>29048</v>
      </c>
      <c r="AA4373" s="2">
        <v>3.7817130573080302</v>
      </c>
      <c r="AB4373" s="2">
        <v>0.14811169834504601</v>
      </c>
      <c r="AC4373" s="2">
        <v>54056.305695850897</v>
      </c>
      <c r="AD4373" s="2">
        <v>50857.605948099299</v>
      </c>
      <c r="AE4373" s="2">
        <v>54152.824176591501</v>
      </c>
      <c r="AF4373" s="2">
        <v>52482.946754962897</v>
      </c>
      <c r="AG4373" s="2">
        <v>53049.807899913503</v>
      </c>
      <c r="AH4373" s="2">
        <v>54525.785765806802</v>
      </c>
      <c r="AI4373" s="2">
        <v>50976.649585948697</v>
      </c>
      <c r="AJ4373" s="2">
        <v>59149.819991881697</v>
      </c>
      <c r="AK4373" s="2">
        <v>43705.736755756297</v>
      </c>
      <c r="AL4373" s="2">
        <v>50440.495728416499</v>
      </c>
      <c r="AM4373" s="2">
        <v>52371.793658534698</v>
      </c>
      <c r="AN4373" s="2">
        <v>55835.487834507403</v>
      </c>
      <c r="AO4373" s="2">
        <v>50448.841315840102</v>
      </c>
      <c r="AP4373" s="2">
        <v>52343.280395540904</v>
      </c>
    </row>
    <row r="4374" spans="1:42" ht="14.5" x14ac:dyDescent="0.35">
      <c r="A4374" s="2" t="s">
        <v>29049</v>
      </c>
      <c r="B4374" s="2">
        <v>693.23270780870496</v>
      </c>
      <c r="C4374" s="2">
        <v>5.2831999999999999</v>
      </c>
      <c r="D4374" s="2" t="s">
        <v>70</v>
      </c>
      <c r="E4374" s="2" t="s">
        <v>29050</v>
      </c>
      <c r="F4374" s="2">
        <v>54915</v>
      </c>
      <c r="G4374" s="3" t="str">
        <f>HYPERLINK("http://funmeta.oebiotech.com/network/54915", "http://funmeta.oebiotech.com/network/54915")</f>
        <v>http://funmeta.oebiotech.com/network/54915</v>
      </c>
      <c r="H4374" s="2" t="s">
        <v>29051</v>
      </c>
      <c r="I4374" s="2">
        <v>86705</v>
      </c>
      <c r="J4374" s="2"/>
      <c r="K4374" s="2"/>
      <c r="L4374" s="2"/>
      <c r="M4374" s="2"/>
      <c r="N4374" s="2"/>
      <c r="O4374" s="2">
        <v>434768</v>
      </c>
      <c r="P4374" s="2" t="s">
        <v>29052</v>
      </c>
      <c r="Q4374" s="2" t="s">
        <v>29053</v>
      </c>
      <c r="R4374" s="2" t="s">
        <v>29054</v>
      </c>
      <c r="S4374" s="2" t="s">
        <v>115</v>
      </c>
      <c r="T4374" s="2" t="s">
        <v>1095</v>
      </c>
      <c r="U4374" s="2" t="s">
        <v>41</v>
      </c>
      <c r="V4374" s="2" t="s">
        <v>59</v>
      </c>
      <c r="W4374" s="2">
        <v>37</v>
      </c>
      <c r="X4374" s="2">
        <v>0</v>
      </c>
      <c r="Y4374" s="2" t="s">
        <v>408</v>
      </c>
      <c r="Z4374" s="2" t="s">
        <v>29055</v>
      </c>
      <c r="AA4374" s="2">
        <v>-2.2025805458497598</v>
      </c>
      <c r="AB4374" s="2">
        <v>0.14807414207277</v>
      </c>
      <c r="AC4374" s="2">
        <v>7941.8184926801496</v>
      </c>
      <c r="AD4374" s="2">
        <v>10577.7913403289</v>
      </c>
      <c r="AE4374" s="2">
        <v>8540.1880188250707</v>
      </c>
      <c r="AF4374" s="2">
        <v>5718.21940477513</v>
      </c>
      <c r="AG4374" s="2">
        <v>6468.1610937642199</v>
      </c>
      <c r="AH4374" s="2">
        <v>8223.9977468334</v>
      </c>
      <c r="AI4374" s="2">
        <v>7095.73852519708</v>
      </c>
      <c r="AJ4374" s="2">
        <v>11604.606166686001</v>
      </c>
      <c r="AK4374" s="2">
        <v>11251.337397233799</v>
      </c>
      <c r="AL4374" s="2">
        <v>10651.2041835073</v>
      </c>
      <c r="AM4374" s="2">
        <v>8356.1649322934409</v>
      </c>
      <c r="AN4374" s="2">
        <v>14024.5055506027</v>
      </c>
      <c r="AO4374" s="2">
        <v>11713.536027948699</v>
      </c>
      <c r="AP4374" s="2">
        <v>7469.9999503875597</v>
      </c>
    </row>
    <row r="4375" spans="1:42" ht="14.5" x14ac:dyDescent="0.35">
      <c r="A4375" s="2" t="s">
        <v>29056</v>
      </c>
      <c r="B4375" s="2">
        <v>449.16633142287998</v>
      </c>
      <c r="C4375" s="2">
        <v>3.7494000000000001</v>
      </c>
      <c r="D4375" s="2" t="s">
        <v>70</v>
      </c>
      <c r="E4375" s="2" t="s">
        <v>29057</v>
      </c>
      <c r="F4375" s="2">
        <v>53072</v>
      </c>
      <c r="G4375" s="3" t="str">
        <f>HYPERLINK("http://funmeta.oebiotech.com/network/53072", "http://funmeta.oebiotech.com/network/53072")</f>
        <v>http://funmeta.oebiotech.com/network/53072</v>
      </c>
      <c r="H4375" s="2" t="s">
        <v>29058</v>
      </c>
      <c r="I4375" s="2">
        <v>789</v>
      </c>
      <c r="J4375" s="2"/>
      <c r="K4375" s="2">
        <v>2453</v>
      </c>
      <c r="L4375" s="2" t="s">
        <v>29059</v>
      </c>
      <c r="M4375" s="2" t="s">
        <v>4185</v>
      </c>
      <c r="N4375" s="2" t="s">
        <v>4186</v>
      </c>
      <c r="O4375" s="2">
        <v>2022</v>
      </c>
      <c r="P4375" s="2" t="s">
        <v>29060</v>
      </c>
      <c r="Q4375" s="2" t="s">
        <v>29061</v>
      </c>
      <c r="R4375" s="2" t="s">
        <v>29062</v>
      </c>
      <c r="S4375" s="2" t="s">
        <v>491</v>
      </c>
      <c r="T4375" s="2" t="s">
        <v>7431</v>
      </c>
      <c r="U4375" s="2" t="s">
        <v>7432</v>
      </c>
      <c r="V4375" s="2" t="s">
        <v>59</v>
      </c>
      <c r="W4375" s="2">
        <v>37.799999999999997</v>
      </c>
      <c r="X4375" s="2">
        <v>0</v>
      </c>
      <c r="Y4375" s="2" t="s">
        <v>560</v>
      </c>
      <c r="Z4375" s="2" t="s">
        <v>29063</v>
      </c>
      <c r="AA4375" s="2">
        <v>2.7309182851129701</v>
      </c>
      <c r="AB4375" s="2">
        <v>0.147868228022387</v>
      </c>
      <c r="AC4375" s="2">
        <v>13148.865656547599</v>
      </c>
      <c r="AD4375" s="2">
        <v>11316.151919796799</v>
      </c>
      <c r="AE4375" s="2">
        <v>12513.2145182279</v>
      </c>
      <c r="AF4375" s="2">
        <v>13385.1747268117</v>
      </c>
      <c r="AG4375" s="2">
        <v>12581.262638732</v>
      </c>
      <c r="AH4375" s="2">
        <v>12300.942729515</v>
      </c>
      <c r="AI4375" s="2">
        <v>14418.4305934845</v>
      </c>
      <c r="AJ4375" s="2">
        <v>13694.168732514299</v>
      </c>
      <c r="AK4375" s="2">
        <v>11030.615158705999</v>
      </c>
      <c r="AL4375" s="2">
        <v>11105.788732503501</v>
      </c>
      <c r="AM4375" s="2">
        <v>10643.0960584401</v>
      </c>
      <c r="AN4375" s="2">
        <v>11854.3755596398</v>
      </c>
      <c r="AO4375" s="2">
        <v>10746.3853421448</v>
      </c>
      <c r="AP4375" s="2">
        <v>12516.650667346301</v>
      </c>
    </row>
    <row r="4376" spans="1:42" ht="14.5" x14ac:dyDescent="0.35">
      <c r="A4376" s="2" t="s">
        <v>29064</v>
      </c>
      <c r="B4376" s="2">
        <v>326.196386814128</v>
      </c>
      <c r="C4376" s="2">
        <v>11.102133333333301</v>
      </c>
      <c r="D4376" s="2" t="s">
        <v>34</v>
      </c>
      <c r="E4376" s="2" t="s">
        <v>29065</v>
      </c>
      <c r="F4376" s="2">
        <v>211880</v>
      </c>
      <c r="G4376" s="3" t="str">
        <f>HYPERLINK("http://funmeta.oebiotech.com/network/211880", "http://funmeta.oebiotech.com/network/211880")</f>
        <v>http://funmeta.oebiotech.com/network/211880</v>
      </c>
      <c r="H4376" s="2" t="s">
        <v>29066</v>
      </c>
      <c r="I4376" s="2"/>
      <c r="J4376" s="2"/>
      <c r="K4376" s="2"/>
      <c r="L4376" s="2"/>
      <c r="M4376" s="2"/>
      <c r="N4376" s="2"/>
      <c r="O4376" s="2"/>
      <c r="P4376" s="2"/>
      <c r="Q4376" s="2" t="s">
        <v>29067</v>
      </c>
      <c r="R4376" s="2" t="s">
        <v>29068</v>
      </c>
      <c r="S4376" s="2" t="s">
        <v>491</v>
      </c>
      <c r="T4376" s="2" t="s">
        <v>20022</v>
      </c>
      <c r="U4376" s="2" t="s">
        <v>20023</v>
      </c>
      <c r="V4376" s="2" t="s">
        <v>59</v>
      </c>
      <c r="W4376" s="2">
        <v>39</v>
      </c>
      <c r="X4376" s="2">
        <v>4.5599999999999996</v>
      </c>
      <c r="Y4376" s="2" t="s">
        <v>43</v>
      </c>
      <c r="Z4376" s="2" t="s">
        <v>29069</v>
      </c>
      <c r="AA4376" s="2">
        <v>-3.7317698017693601</v>
      </c>
      <c r="AB4376" s="2">
        <v>0.14779913496667799</v>
      </c>
      <c r="AC4376" s="2">
        <v>10168.917856907499</v>
      </c>
      <c r="AD4376" s="2">
        <v>13498.4658119671</v>
      </c>
      <c r="AE4376" s="2">
        <v>5880.4458629742603</v>
      </c>
      <c r="AF4376" s="2">
        <v>5948.0255326931201</v>
      </c>
      <c r="AG4376" s="2">
        <v>6930.4357808926698</v>
      </c>
      <c r="AH4376" s="2">
        <v>17587.465994427701</v>
      </c>
      <c r="AI4376" s="2">
        <v>16840.542599060798</v>
      </c>
      <c r="AJ4376" s="2">
        <v>7826.5913713964501</v>
      </c>
      <c r="AK4376" s="2">
        <v>13627.510945186101</v>
      </c>
      <c r="AL4376" s="2">
        <v>14611.904649399299</v>
      </c>
      <c r="AM4376" s="2">
        <v>11202.101240427901</v>
      </c>
      <c r="AN4376" s="2">
        <v>13772.7268628764</v>
      </c>
      <c r="AO4376" s="2">
        <v>14056.4882653152</v>
      </c>
      <c r="AP4376" s="2">
        <v>13720.0629085978</v>
      </c>
    </row>
    <row r="4377" spans="1:42" ht="14.5" x14ac:dyDescent="0.35">
      <c r="A4377" s="2" t="s">
        <v>29070</v>
      </c>
      <c r="B4377" s="2">
        <v>225.09082399306101</v>
      </c>
      <c r="C4377" s="2">
        <v>4.3961833333333296</v>
      </c>
      <c r="D4377" s="2" t="s">
        <v>34</v>
      </c>
      <c r="E4377" s="2" t="s">
        <v>29071</v>
      </c>
      <c r="F4377" s="2">
        <v>55227</v>
      </c>
      <c r="G4377" s="3" t="str">
        <f>HYPERLINK("http://funmeta.oebiotech.com/network/55227", "http://funmeta.oebiotech.com/network/55227")</f>
        <v>http://funmeta.oebiotech.com/network/55227</v>
      </c>
      <c r="H4377" s="2" t="s">
        <v>29072</v>
      </c>
      <c r="I4377" s="2">
        <v>86955</v>
      </c>
      <c r="J4377" s="2"/>
      <c r="K4377" s="2">
        <v>172450</v>
      </c>
      <c r="L4377" s="2"/>
      <c r="M4377" s="2"/>
      <c r="N4377" s="2"/>
      <c r="O4377" s="2">
        <v>14889929</v>
      </c>
      <c r="P4377" s="2" t="s">
        <v>29073</v>
      </c>
      <c r="Q4377" s="2" t="s">
        <v>29074</v>
      </c>
      <c r="R4377" s="2" t="s">
        <v>29075</v>
      </c>
      <c r="S4377" s="2" t="s">
        <v>89</v>
      </c>
      <c r="T4377" s="2" t="s">
        <v>90</v>
      </c>
      <c r="U4377" s="2" t="s">
        <v>99</v>
      </c>
      <c r="V4377" s="2" t="s">
        <v>59</v>
      </c>
      <c r="W4377" s="2">
        <v>38.299999999999997</v>
      </c>
      <c r="X4377" s="2">
        <v>0</v>
      </c>
      <c r="Y4377" s="2" t="s">
        <v>43</v>
      </c>
      <c r="Z4377" s="2" t="s">
        <v>29076</v>
      </c>
      <c r="AA4377" s="2">
        <v>2.2678015193973802</v>
      </c>
      <c r="AB4377" s="2">
        <v>0.14779229051685799</v>
      </c>
      <c r="AC4377" s="2">
        <v>3406.2325779654502</v>
      </c>
      <c r="AD4377" s="2">
        <v>5036.4796014821904</v>
      </c>
      <c r="AE4377" s="2">
        <v>3849.04577019931</v>
      </c>
      <c r="AF4377" s="2">
        <v>3557.41351972749</v>
      </c>
      <c r="AG4377" s="2">
        <v>3323.33453921518</v>
      </c>
      <c r="AH4377" s="2">
        <v>3039.0462415042198</v>
      </c>
      <c r="AI4377" s="2">
        <v>3424.97949724092</v>
      </c>
      <c r="AJ4377" s="2">
        <v>3243.5758999055902</v>
      </c>
      <c r="AK4377" s="2">
        <v>5806.7720201463299</v>
      </c>
      <c r="AL4377" s="2">
        <v>4723.2328896252602</v>
      </c>
      <c r="AM4377" s="2">
        <v>4694.8296198584203</v>
      </c>
      <c r="AN4377" s="2">
        <v>5800.4337401887997</v>
      </c>
      <c r="AO4377" s="2">
        <v>4292.8452196519502</v>
      </c>
      <c r="AP4377" s="2">
        <v>4900.7641194223897</v>
      </c>
    </row>
    <row r="4378" spans="1:42" ht="14.5" x14ac:dyDescent="0.35">
      <c r="A4378" s="2" t="s">
        <v>29077</v>
      </c>
      <c r="B4378" s="2">
        <v>154.98933621216199</v>
      </c>
      <c r="C4378" s="2">
        <v>6.6499833333333296</v>
      </c>
      <c r="D4378" s="2" t="s">
        <v>70</v>
      </c>
      <c r="E4378" s="2" t="s">
        <v>29078</v>
      </c>
      <c r="F4378" s="2">
        <v>47644</v>
      </c>
      <c r="G4378" s="3" t="str">
        <f>HYPERLINK("http://funmeta.oebiotech.com/network/47644", "http://funmeta.oebiotech.com/network/47644")</f>
        <v>http://funmeta.oebiotech.com/network/47644</v>
      </c>
      <c r="H4378" s="2" t="s">
        <v>29079</v>
      </c>
      <c r="I4378" s="2">
        <v>6311</v>
      </c>
      <c r="J4378" s="2"/>
      <c r="K4378" s="2">
        <v>49410</v>
      </c>
      <c r="L4378" s="2"/>
      <c r="M4378" s="2"/>
      <c r="N4378" s="2"/>
      <c r="O4378" s="2">
        <v>447</v>
      </c>
      <c r="P4378" s="2" t="s">
        <v>29080</v>
      </c>
      <c r="Q4378" s="2" t="s">
        <v>29081</v>
      </c>
      <c r="R4378" s="2" t="s">
        <v>29082</v>
      </c>
      <c r="S4378" s="2" t="s">
        <v>148</v>
      </c>
      <c r="T4378" s="2" t="s">
        <v>149</v>
      </c>
      <c r="U4378" s="2" t="s">
        <v>1593</v>
      </c>
      <c r="V4378" s="2" t="s">
        <v>42</v>
      </c>
      <c r="W4378" s="2">
        <v>50.9</v>
      </c>
      <c r="X4378" s="2">
        <v>88.8</v>
      </c>
      <c r="Y4378" s="2" t="s">
        <v>118</v>
      </c>
      <c r="Z4378" s="2" t="s">
        <v>29083</v>
      </c>
      <c r="AA4378" s="2">
        <v>-7.6568724277362197</v>
      </c>
      <c r="AB4378" s="2">
        <v>0.14770764993587199</v>
      </c>
      <c r="AC4378" s="2">
        <v>16687.336524779701</v>
      </c>
      <c r="AD4378" s="2">
        <v>18322.303992302099</v>
      </c>
      <c r="AE4378" s="2">
        <v>16809.001754036301</v>
      </c>
      <c r="AF4378" s="2">
        <v>17569.827504265399</v>
      </c>
      <c r="AG4378" s="2">
        <v>16767.337756394401</v>
      </c>
      <c r="AH4378" s="2">
        <v>16605.266590338699</v>
      </c>
      <c r="AI4378" s="2">
        <v>16514.823302592798</v>
      </c>
      <c r="AJ4378" s="2">
        <v>15857.762241050699</v>
      </c>
      <c r="AK4378" s="2">
        <v>18246.871515616502</v>
      </c>
      <c r="AL4378" s="2">
        <v>17569.572594989699</v>
      </c>
      <c r="AM4378" s="2">
        <v>18660.6020830491</v>
      </c>
      <c r="AN4378" s="2">
        <v>18375.1182019679</v>
      </c>
      <c r="AO4378" s="2">
        <v>18788.501527660101</v>
      </c>
      <c r="AP4378" s="2">
        <v>18293.158030529601</v>
      </c>
    </row>
    <row r="4379" spans="1:42" ht="14.5" x14ac:dyDescent="0.35">
      <c r="A4379" s="2" t="s">
        <v>29084</v>
      </c>
      <c r="B4379" s="2">
        <v>357.04379562563003</v>
      </c>
      <c r="C4379" s="2">
        <v>1.3894500000000001</v>
      </c>
      <c r="D4379" s="2" t="s">
        <v>70</v>
      </c>
      <c r="E4379" s="2" t="s">
        <v>29085</v>
      </c>
      <c r="F4379" s="2">
        <v>54373</v>
      </c>
      <c r="G4379" s="3" t="str">
        <f>HYPERLINK("http://funmeta.oebiotech.com/network/54373", "http://funmeta.oebiotech.com/network/54373")</f>
        <v>http://funmeta.oebiotech.com/network/54373</v>
      </c>
      <c r="H4379" s="2" t="s">
        <v>29086</v>
      </c>
      <c r="I4379" s="2">
        <v>86253</v>
      </c>
      <c r="J4379" s="2"/>
      <c r="K4379" s="2">
        <v>971853</v>
      </c>
      <c r="L4379" s="2"/>
      <c r="M4379" s="2"/>
      <c r="N4379" s="2"/>
      <c r="O4379" s="2">
        <v>1080</v>
      </c>
      <c r="P4379" s="2" t="s">
        <v>29087</v>
      </c>
      <c r="Q4379" s="2" t="s">
        <v>29088</v>
      </c>
      <c r="R4379" s="2" t="s">
        <v>29089</v>
      </c>
      <c r="S4379" s="2" t="s">
        <v>89</v>
      </c>
      <c r="T4379" s="2" t="s">
        <v>90</v>
      </c>
      <c r="U4379" s="2" t="s">
        <v>99</v>
      </c>
      <c r="V4379" s="2" t="s">
        <v>59</v>
      </c>
      <c r="W4379" s="2">
        <v>43.2</v>
      </c>
      <c r="X4379" s="2">
        <v>26.2</v>
      </c>
      <c r="Y4379" s="2" t="s">
        <v>560</v>
      </c>
      <c r="Z4379" s="2" t="s">
        <v>29090</v>
      </c>
      <c r="AA4379" s="2">
        <v>1.7162784659939301</v>
      </c>
      <c r="AB4379" s="2">
        <v>0.14763207946364101</v>
      </c>
      <c r="AC4379" s="2">
        <v>9469.30840449688</v>
      </c>
      <c r="AD4379" s="2">
        <v>11928.4811359047</v>
      </c>
      <c r="AE4379" s="2">
        <v>8181.2980005869304</v>
      </c>
      <c r="AF4379" s="2">
        <v>11713.3732304565</v>
      </c>
      <c r="AG4379" s="2">
        <v>10104.934827074399</v>
      </c>
      <c r="AH4379" s="2">
        <v>8456.0100545876194</v>
      </c>
      <c r="AI4379" s="2">
        <v>9059.9939640794692</v>
      </c>
      <c r="AJ4379" s="2">
        <v>9300.2403501963599</v>
      </c>
      <c r="AK4379" s="2">
        <v>10506.5500105308</v>
      </c>
      <c r="AL4379" s="2">
        <v>15726.435525244</v>
      </c>
      <c r="AM4379" s="2">
        <v>9234.9541927857008</v>
      </c>
      <c r="AN4379" s="2">
        <v>11877.459269962799</v>
      </c>
      <c r="AO4379" s="2">
        <v>13123.518435232099</v>
      </c>
      <c r="AP4379" s="2">
        <v>11101.969381672799</v>
      </c>
    </row>
    <row r="4380" spans="1:42" ht="14.5" x14ac:dyDescent="0.35">
      <c r="A4380" s="2" t="s">
        <v>29091</v>
      </c>
      <c r="B4380" s="2">
        <v>465.102504865904</v>
      </c>
      <c r="C4380" s="2">
        <v>4.6168333333333296</v>
      </c>
      <c r="D4380" s="2" t="s">
        <v>34</v>
      </c>
      <c r="E4380" s="2" t="s">
        <v>29092</v>
      </c>
      <c r="F4380" s="2">
        <v>32173</v>
      </c>
      <c r="G4380" s="3" t="str">
        <f>HYPERLINK("http://funmeta.oebiotech.com/network/32173", "http://funmeta.oebiotech.com/network/32173")</f>
        <v>http://funmeta.oebiotech.com/network/32173</v>
      </c>
      <c r="H4380" s="2" t="s">
        <v>29093</v>
      </c>
      <c r="I4380" s="2">
        <v>64227</v>
      </c>
      <c r="J4380" s="2" t="s">
        <v>29094</v>
      </c>
      <c r="K4380" s="2">
        <v>68352</v>
      </c>
      <c r="L4380" s="2" t="s">
        <v>29095</v>
      </c>
      <c r="M4380" s="2" t="s">
        <v>824</v>
      </c>
      <c r="N4380" s="2" t="s">
        <v>4398</v>
      </c>
      <c r="O4380" s="2">
        <v>5280804</v>
      </c>
      <c r="P4380" s="2" t="s">
        <v>29096</v>
      </c>
      <c r="Q4380" s="2" t="s">
        <v>29097</v>
      </c>
      <c r="R4380" s="2" t="s">
        <v>29098</v>
      </c>
      <c r="S4380" s="2" t="s">
        <v>115</v>
      </c>
      <c r="T4380" s="2" t="s">
        <v>139</v>
      </c>
      <c r="U4380" s="2" t="s">
        <v>140</v>
      </c>
      <c r="V4380" s="2" t="s">
        <v>42</v>
      </c>
      <c r="W4380" s="2">
        <v>58.3</v>
      </c>
      <c r="X4380" s="2">
        <v>95.2</v>
      </c>
      <c r="Y4380" s="2" t="s">
        <v>394</v>
      </c>
      <c r="Z4380" s="2" t="s">
        <v>20257</v>
      </c>
      <c r="AA4380" s="2">
        <v>-0.53360187535829395</v>
      </c>
      <c r="AB4380" s="2">
        <v>0.147631999065996</v>
      </c>
      <c r="AC4380" s="2">
        <v>419446.15517153603</v>
      </c>
      <c r="AD4380" s="2">
        <v>411643.33171952801</v>
      </c>
      <c r="AE4380" s="2">
        <v>373735.91885542503</v>
      </c>
      <c r="AF4380" s="2">
        <v>447590.57759718702</v>
      </c>
      <c r="AG4380" s="2">
        <v>415102.64090617001</v>
      </c>
      <c r="AH4380" s="2">
        <v>414795.385967493</v>
      </c>
      <c r="AI4380" s="2">
        <v>416829.97114505799</v>
      </c>
      <c r="AJ4380" s="2">
        <v>448622.43655788002</v>
      </c>
      <c r="AK4380" s="2">
        <v>427172.17454506003</v>
      </c>
      <c r="AL4380" s="2">
        <v>409690.23095467698</v>
      </c>
      <c r="AM4380" s="2">
        <v>429558.43860026501</v>
      </c>
      <c r="AN4380" s="2">
        <v>419555.11129803897</v>
      </c>
      <c r="AO4380" s="2">
        <v>389326.94130773301</v>
      </c>
      <c r="AP4380" s="2">
        <v>394557.09361139202</v>
      </c>
    </row>
    <row r="4381" spans="1:42" ht="14.5" x14ac:dyDescent="0.35">
      <c r="A4381" s="2" t="s">
        <v>29099</v>
      </c>
      <c r="B4381" s="2">
        <v>523.12272757775997</v>
      </c>
      <c r="C4381" s="2">
        <v>3.6167500000000001</v>
      </c>
      <c r="D4381" s="2" t="s">
        <v>70</v>
      </c>
      <c r="E4381" s="2" t="s">
        <v>29100</v>
      </c>
      <c r="F4381" s="2">
        <v>58677</v>
      </c>
      <c r="G4381" s="3" t="str">
        <f>HYPERLINK("http://funmeta.oebiotech.com/network/58677", "http://funmeta.oebiotech.com/network/58677")</f>
        <v>http://funmeta.oebiotech.com/network/58677</v>
      </c>
      <c r="H4381" s="2" t="s">
        <v>29101</v>
      </c>
      <c r="I4381" s="2">
        <v>90138</v>
      </c>
      <c r="J4381" s="2"/>
      <c r="K4381" s="2">
        <v>172736</v>
      </c>
      <c r="L4381" s="2"/>
      <c r="M4381" s="2"/>
      <c r="N4381" s="2"/>
      <c r="O4381" s="2">
        <v>131751610</v>
      </c>
      <c r="P4381" s="2" t="s">
        <v>29102</v>
      </c>
      <c r="Q4381" s="2" t="s">
        <v>29103</v>
      </c>
      <c r="R4381" s="2" t="s">
        <v>29104</v>
      </c>
      <c r="S4381" s="2" t="s">
        <v>115</v>
      </c>
      <c r="T4381" s="2" t="s">
        <v>4730</v>
      </c>
      <c r="U4381" s="2" t="s">
        <v>4731</v>
      </c>
      <c r="V4381" s="2" t="s">
        <v>59</v>
      </c>
      <c r="W4381" s="2">
        <v>37.299999999999997</v>
      </c>
      <c r="X4381" s="2">
        <v>0</v>
      </c>
      <c r="Y4381" s="2" t="s">
        <v>751</v>
      </c>
      <c r="Z4381" s="2" t="s">
        <v>29105</v>
      </c>
      <c r="AA4381" s="2">
        <v>-3.42635198874869</v>
      </c>
      <c r="AB4381" s="2">
        <v>0.14761640212657701</v>
      </c>
      <c r="AC4381" s="2">
        <v>2828.4155983483602</v>
      </c>
      <c r="AD4381" s="2">
        <v>4365.8774220282903</v>
      </c>
      <c r="AE4381" s="2">
        <v>2669.6746268165998</v>
      </c>
      <c r="AF4381" s="2">
        <v>3011.3726461393699</v>
      </c>
      <c r="AG4381" s="2">
        <v>2599.4764020954099</v>
      </c>
      <c r="AH4381" s="2">
        <v>2644.2233599930801</v>
      </c>
      <c r="AI4381" s="2">
        <v>3260.8752498676599</v>
      </c>
      <c r="AJ4381" s="2">
        <v>2784.8713051780601</v>
      </c>
      <c r="AK4381" s="2">
        <v>4185.5533405297801</v>
      </c>
      <c r="AL4381" s="2">
        <v>4425.6197553140501</v>
      </c>
      <c r="AM4381" s="2">
        <v>4170.9757531524501</v>
      </c>
      <c r="AN4381" s="2">
        <v>5014.3175088299204</v>
      </c>
      <c r="AO4381" s="2">
        <v>3810.6230108980899</v>
      </c>
      <c r="AP4381" s="2">
        <v>4588.1751634454404</v>
      </c>
    </row>
    <row r="4382" spans="1:42" ht="14.5" x14ac:dyDescent="0.35">
      <c r="A4382" s="2" t="s">
        <v>29106</v>
      </c>
      <c r="B4382" s="2">
        <v>353.26847865056999</v>
      </c>
      <c r="C4382" s="2">
        <v>10.9451</v>
      </c>
      <c r="D4382" s="2" t="s">
        <v>34</v>
      </c>
      <c r="E4382" s="2" t="s">
        <v>29107</v>
      </c>
      <c r="F4382" s="2">
        <v>206273</v>
      </c>
      <c r="G4382" s="3" t="str">
        <f>HYPERLINK("http://funmeta.oebiotech.com/network/206273", "http://funmeta.oebiotech.com/network/206273")</f>
        <v>http://funmeta.oebiotech.com/network/206273</v>
      </c>
      <c r="H4382" s="2" t="s">
        <v>29108</v>
      </c>
      <c r="I4382" s="2"/>
      <c r="J4382" s="2"/>
      <c r="K4382" s="2"/>
      <c r="L4382" s="2"/>
      <c r="M4382" s="2"/>
      <c r="N4382" s="2"/>
      <c r="O4382" s="2">
        <v>3193</v>
      </c>
      <c r="P4382" s="2"/>
      <c r="Q4382" s="2" t="s">
        <v>29109</v>
      </c>
      <c r="R4382" s="2" t="s">
        <v>29110</v>
      </c>
      <c r="S4382" s="2" t="s">
        <v>50</v>
      </c>
      <c r="T4382" s="2" t="s">
        <v>201</v>
      </c>
      <c r="U4382" s="2" t="s">
        <v>1217</v>
      </c>
      <c r="V4382" s="2" t="s">
        <v>42</v>
      </c>
      <c r="W4382" s="2">
        <v>51.5</v>
      </c>
      <c r="X4382" s="2">
        <v>62.3</v>
      </c>
      <c r="Y4382" s="2" t="s">
        <v>67</v>
      </c>
      <c r="Z4382" s="2" t="s">
        <v>9698</v>
      </c>
      <c r="AA4382" s="2">
        <v>-0.44686760572593498</v>
      </c>
      <c r="AB4382" s="2">
        <v>0.14747782536408499</v>
      </c>
      <c r="AC4382" s="2">
        <v>6206.4955709328297</v>
      </c>
      <c r="AD4382" s="2">
        <v>8121.2422684026697</v>
      </c>
      <c r="AE4382" s="2">
        <v>7145.2413540760099</v>
      </c>
      <c r="AF4382" s="2">
        <v>6316.5623193169204</v>
      </c>
      <c r="AG4382" s="2">
        <v>6604.7801299542298</v>
      </c>
      <c r="AH4382" s="2">
        <v>5003.0650661379404</v>
      </c>
      <c r="AI4382" s="2">
        <v>5391.1104197117502</v>
      </c>
      <c r="AJ4382" s="2">
        <v>6778.2141364001</v>
      </c>
      <c r="AK4382" s="2">
        <v>6773.4531386777899</v>
      </c>
      <c r="AL4382" s="2">
        <v>7829.6444657309703</v>
      </c>
      <c r="AM4382" s="2">
        <v>9207.3854408322695</v>
      </c>
      <c r="AN4382" s="2">
        <v>9204.7215618828104</v>
      </c>
      <c r="AO4382" s="2">
        <v>8514.6672536229707</v>
      </c>
      <c r="AP4382" s="2">
        <v>7197.5817496692098</v>
      </c>
    </row>
    <row r="4383" spans="1:42" ht="14.5" x14ac:dyDescent="0.35">
      <c r="A4383" s="2" t="s">
        <v>29111</v>
      </c>
      <c r="B4383" s="2">
        <v>579.15194211963296</v>
      </c>
      <c r="C4383" s="2">
        <v>3.7494000000000001</v>
      </c>
      <c r="D4383" s="2" t="s">
        <v>70</v>
      </c>
      <c r="E4383" s="2" t="s">
        <v>29112</v>
      </c>
      <c r="F4383" s="2">
        <v>61119</v>
      </c>
      <c r="G4383" s="3" t="str">
        <f>HYPERLINK("http://funmeta.oebiotech.com/network/61119", "http://funmeta.oebiotech.com/network/61119")</f>
        <v>http://funmeta.oebiotech.com/network/61119</v>
      </c>
      <c r="H4383" s="2" t="s">
        <v>29113</v>
      </c>
      <c r="I4383" s="2">
        <v>92432</v>
      </c>
      <c r="J4383" s="2"/>
      <c r="K4383" s="2">
        <v>176241</v>
      </c>
      <c r="L4383" s="2"/>
      <c r="M4383" s="2"/>
      <c r="N4383" s="2"/>
      <c r="O4383" s="2">
        <v>6290103</v>
      </c>
      <c r="P4383" s="2" t="s">
        <v>29114</v>
      </c>
      <c r="Q4383" s="2" t="s">
        <v>29115</v>
      </c>
      <c r="R4383" s="2" t="s">
        <v>29116</v>
      </c>
      <c r="S4383" s="2" t="s">
        <v>115</v>
      </c>
      <c r="T4383" s="2" t="s">
        <v>139</v>
      </c>
      <c r="U4383" s="2" t="s">
        <v>140</v>
      </c>
      <c r="V4383" s="2" t="s">
        <v>59</v>
      </c>
      <c r="W4383" s="2">
        <v>38.299999999999997</v>
      </c>
      <c r="X4383" s="2">
        <v>0</v>
      </c>
      <c r="Y4383" s="2" t="s">
        <v>118</v>
      </c>
      <c r="Z4383" s="2" t="s">
        <v>20548</v>
      </c>
      <c r="AA4383" s="2">
        <v>1.9688064339963101</v>
      </c>
      <c r="AB4383" s="2">
        <v>0.14743459128137301</v>
      </c>
      <c r="AC4383" s="2">
        <v>3277.6329105647001</v>
      </c>
      <c r="AD4383" s="2">
        <v>5558.7795933716397</v>
      </c>
      <c r="AE4383" s="2">
        <v>3567.0972093635201</v>
      </c>
      <c r="AF4383" s="2">
        <v>3223.1407734714599</v>
      </c>
      <c r="AG4383" s="2">
        <v>2638.5786159529698</v>
      </c>
      <c r="AH4383" s="2">
        <v>3101.3231725412602</v>
      </c>
      <c r="AI4383" s="2">
        <v>5053.3785736290702</v>
      </c>
      <c r="AJ4383" s="2">
        <v>2082.2791184298999</v>
      </c>
      <c r="AK4383" s="2">
        <v>6926.58402313848</v>
      </c>
      <c r="AL4383" s="2">
        <v>7171.0123847919504</v>
      </c>
      <c r="AM4383" s="2">
        <v>4768.2894480597097</v>
      </c>
      <c r="AN4383" s="2">
        <v>2528.1296161626901</v>
      </c>
      <c r="AO4383" s="2">
        <v>4495.2319840886203</v>
      </c>
      <c r="AP4383" s="2">
        <v>7463.4301039883803</v>
      </c>
    </row>
    <row r="4384" spans="1:42" ht="14.5" x14ac:dyDescent="0.35">
      <c r="A4384" s="2" t="s">
        <v>29117</v>
      </c>
      <c r="B4384" s="2">
        <v>488.33655519278398</v>
      </c>
      <c r="C4384" s="2">
        <v>5.72068333333333</v>
      </c>
      <c r="D4384" s="2" t="s">
        <v>34</v>
      </c>
      <c r="E4384" s="2" t="s">
        <v>29118</v>
      </c>
      <c r="F4384" s="2">
        <v>48737</v>
      </c>
      <c r="G4384" s="3" t="str">
        <f>HYPERLINK("http://funmeta.oebiotech.com/network/48737", "http://funmeta.oebiotech.com/network/48737")</f>
        <v>http://funmeta.oebiotech.com/network/48737</v>
      </c>
      <c r="H4384" s="2" t="s">
        <v>29119</v>
      </c>
      <c r="I4384" s="2"/>
      <c r="J4384" s="2"/>
      <c r="K4384" s="2">
        <v>52897</v>
      </c>
      <c r="L4384" s="2" t="s">
        <v>29120</v>
      </c>
      <c r="M4384" s="2" t="s">
        <v>688</v>
      </c>
      <c r="N4384" s="2" t="s">
        <v>689</v>
      </c>
      <c r="O4384" s="2">
        <v>5280613</v>
      </c>
      <c r="P4384" s="2" t="s">
        <v>29121</v>
      </c>
      <c r="Q4384" s="2" t="s">
        <v>29122</v>
      </c>
      <c r="R4384" s="2" t="s">
        <v>29123</v>
      </c>
      <c r="S4384" s="2" t="s">
        <v>50</v>
      </c>
      <c r="T4384" s="2" t="s">
        <v>693</v>
      </c>
      <c r="U4384" s="2" t="s">
        <v>3670</v>
      </c>
      <c r="V4384" s="2" t="s">
        <v>59</v>
      </c>
      <c r="W4384" s="2">
        <v>38.299999999999997</v>
      </c>
      <c r="X4384" s="2">
        <v>0</v>
      </c>
      <c r="Y4384" s="2" t="s">
        <v>323</v>
      </c>
      <c r="Z4384" s="2" t="s">
        <v>29124</v>
      </c>
      <c r="AA4384" s="2">
        <v>3.4386731536963899</v>
      </c>
      <c r="AB4384" s="2">
        <v>0.14733634505545301</v>
      </c>
      <c r="AC4384" s="2">
        <v>5850.7396212318499</v>
      </c>
      <c r="AD4384" s="2">
        <v>8301.3694747157406</v>
      </c>
      <c r="AE4384" s="2">
        <v>5845.7446169432897</v>
      </c>
      <c r="AF4384" s="2">
        <v>5542.7400424691796</v>
      </c>
      <c r="AG4384" s="2">
        <v>4375.6355732596803</v>
      </c>
      <c r="AH4384" s="2">
        <v>6062.1250133818503</v>
      </c>
      <c r="AI4384" s="2">
        <v>6643.7755159826102</v>
      </c>
      <c r="AJ4384" s="2">
        <v>6634.4169653545196</v>
      </c>
      <c r="AK4384" s="2">
        <v>6634.0028753480601</v>
      </c>
      <c r="AL4384" s="2">
        <v>5635.5495011121102</v>
      </c>
      <c r="AM4384" s="2">
        <v>7073.4796355466797</v>
      </c>
      <c r="AN4384" s="2">
        <v>10234.2137663384</v>
      </c>
      <c r="AO4384" s="2">
        <v>7722.9943169505996</v>
      </c>
      <c r="AP4384" s="2">
        <v>12507.9767529986</v>
      </c>
    </row>
    <row r="4385" spans="1:42" ht="14.5" x14ac:dyDescent="0.35">
      <c r="A4385" s="2" t="s">
        <v>29125</v>
      </c>
      <c r="B4385" s="2">
        <v>245.04258065412401</v>
      </c>
      <c r="C4385" s="2">
        <v>0.71055000000000001</v>
      </c>
      <c r="D4385" s="2" t="s">
        <v>70</v>
      </c>
      <c r="E4385" s="2" t="s">
        <v>29126</v>
      </c>
      <c r="F4385" s="2">
        <v>197058</v>
      </c>
      <c r="G4385" s="3" t="str">
        <f>HYPERLINK("http://funmeta.oebiotech.com/network/197058", "http://funmeta.oebiotech.com/network/197058")</f>
        <v>http://funmeta.oebiotech.com/network/197058</v>
      </c>
      <c r="H4385" s="2" t="s">
        <v>29127</v>
      </c>
      <c r="I4385" s="2"/>
      <c r="J4385" s="2"/>
      <c r="K4385" s="2">
        <v>64956</v>
      </c>
      <c r="L4385" s="2"/>
      <c r="M4385" s="2"/>
      <c r="N4385" s="2"/>
      <c r="O4385" s="2">
        <v>54575349</v>
      </c>
      <c r="P4385" s="2" t="s">
        <v>29128</v>
      </c>
      <c r="Q4385" s="2" t="s">
        <v>29129</v>
      </c>
      <c r="R4385" s="2" t="s">
        <v>29130</v>
      </c>
      <c r="S4385" s="2" t="s">
        <v>89</v>
      </c>
      <c r="T4385" s="2" t="s">
        <v>894</v>
      </c>
      <c r="U4385" s="2" t="s">
        <v>895</v>
      </c>
      <c r="V4385" s="2" t="s">
        <v>59</v>
      </c>
      <c r="W4385" s="2">
        <v>42.7</v>
      </c>
      <c r="X4385" s="2">
        <v>23.4</v>
      </c>
      <c r="Y4385" s="2" t="s">
        <v>118</v>
      </c>
      <c r="Z4385" s="2" t="s">
        <v>29131</v>
      </c>
      <c r="AA4385" s="2">
        <v>-2.42625606365853</v>
      </c>
      <c r="AB4385" s="2">
        <v>0.147300233521094</v>
      </c>
      <c r="AC4385" s="2">
        <v>58502.213443251901</v>
      </c>
      <c r="AD4385" s="2">
        <v>64318.161795996399</v>
      </c>
      <c r="AE4385" s="2">
        <v>51976.687603203303</v>
      </c>
      <c r="AF4385" s="2">
        <v>70877.162700581597</v>
      </c>
      <c r="AG4385" s="2">
        <v>38517.825401951399</v>
      </c>
      <c r="AH4385" s="2">
        <v>73394.827928617495</v>
      </c>
      <c r="AI4385" s="2">
        <v>72560.484080464506</v>
      </c>
      <c r="AJ4385" s="2">
        <v>43686.292944693298</v>
      </c>
      <c r="AK4385" s="2">
        <v>62855.271972423499</v>
      </c>
      <c r="AL4385" s="2">
        <v>64432.433863800601</v>
      </c>
      <c r="AM4385" s="2">
        <v>55168.279898937901</v>
      </c>
      <c r="AN4385" s="2">
        <v>66047.377518407098</v>
      </c>
      <c r="AO4385" s="2">
        <v>82457.047926545798</v>
      </c>
      <c r="AP4385" s="2">
        <v>54948.559595863597</v>
      </c>
    </row>
    <row r="4386" spans="1:42" ht="14.5" x14ac:dyDescent="0.35">
      <c r="A4386" s="2" t="s">
        <v>29132</v>
      </c>
      <c r="B4386" s="2">
        <v>727.19091840736598</v>
      </c>
      <c r="C4386" s="2">
        <v>7.1785166666666704</v>
      </c>
      <c r="D4386" s="2" t="s">
        <v>70</v>
      </c>
      <c r="E4386" s="2" t="s">
        <v>29133</v>
      </c>
      <c r="F4386" s="2">
        <v>267245</v>
      </c>
      <c r="G4386" s="3" t="str">
        <f>HYPERLINK("http://funmeta.oebiotech.com/network/267245", "http://funmeta.oebiotech.com/network/267245")</f>
        <v>http://funmeta.oebiotech.com/network/267245</v>
      </c>
      <c r="H4386" s="2"/>
      <c r="I4386" s="2">
        <v>45083</v>
      </c>
      <c r="J4386" s="2"/>
      <c r="K4386" s="2"/>
      <c r="L4386" s="2"/>
      <c r="M4386" s="2"/>
      <c r="N4386" s="2"/>
      <c r="O4386" s="2">
        <v>53394548</v>
      </c>
      <c r="P4386" s="2"/>
      <c r="Q4386" s="2" t="s">
        <v>29134</v>
      </c>
      <c r="R4386" s="2" t="s">
        <v>29135</v>
      </c>
      <c r="S4386" s="2" t="s">
        <v>50</v>
      </c>
      <c r="T4386" s="2" t="s">
        <v>51</v>
      </c>
      <c r="U4386" s="2" t="s">
        <v>5754</v>
      </c>
      <c r="V4386" s="2" t="s">
        <v>59</v>
      </c>
      <c r="W4386" s="2">
        <v>37.799999999999997</v>
      </c>
      <c r="X4386" s="2">
        <v>0</v>
      </c>
      <c r="Y4386" s="2" t="s">
        <v>751</v>
      </c>
      <c r="Z4386" s="2" t="s">
        <v>21675</v>
      </c>
      <c r="AA4386" s="2">
        <v>0.89826725980520805</v>
      </c>
      <c r="AB4386" s="2">
        <v>0.14722253760123399</v>
      </c>
      <c r="AC4386" s="2">
        <v>25249.142385032999</v>
      </c>
      <c r="AD4386" s="2">
        <v>22879.5051678778</v>
      </c>
      <c r="AE4386" s="2">
        <v>26440.509456410498</v>
      </c>
      <c r="AF4386" s="2">
        <v>23860.145057690901</v>
      </c>
      <c r="AG4386" s="2">
        <v>26085.934832926301</v>
      </c>
      <c r="AH4386" s="2">
        <v>23360.614401580398</v>
      </c>
      <c r="AI4386" s="2">
        <v>24198.666565274401</v>
      </c>
      <c r="AJ4386" s="2">
        <v>27548.983996315699</v>
      </c>
      <c r="AK4386" s="2">
        <v>23151.101910924601</v>
      </c>
      <c r="AL4386" s="2">
        <v>21055.778807275299</v>
      </c>
      <c r="AM4386" s="2">
        <v>26258.300690403601</v>
      </c>
      <c r="AN4386" s="2">
        <v>22230.038241179798</v>
      </c>
      <c r="AO4386" s="2">
        <v>22079.678698879699</v>
      </c>
      <c r="AP4386" s="2">
        <v>22502.132658603699</v>
      </c>
    </row>
    <row r="4387" spans="1:42" ht="14.5" x14ac:dyDescent="0.35">
      <c r="A4387" s="2" t="s">
        <v>29136</v>
      </c>
      <c r="B4387" s="2">
        <v>331.067017566044</v>
      </c>
      <c r="C4387" s="2">
        <v>2.6285500000000002</v>
      </c>
      <c r="D4387" s="2" t="s">
        <v>70</v>
      </c>
      <c r="E4387" s="2" t="s">
        <v>29137</v>
      </c>
      <c r="F4387" s="2">
        <v>54446</v>
      </c>
      <c r="G4387" s="3" t="str">
        <f>HYPERLINK("http://funmeta.oebiotech.com/network/54446", "http://funmeta.oebiotech.com/network/54446")</f>
        <v>http://funmeta.oebiotech.com/network/54446</v>
      </c>
      <c r="H4387" s="2" t="s">
        <v>29138</v>
      </c>
      <c r="I4387" s="2">
        <v>86308</v>
      </c>
      <c r="J4387" s="2"/>
      <c r="K4387" s="2">
        <v>172518</v>
      </c>
      <c r="L4387" s="2"/>
      <c r="M4387" s="2"/>
      <c r="N4387" s="2"/>
      <c r="O4387" s="2">
        <v>131750880</v>
      </c>
      <c r="P4387" s="2"/>
      <c r="Q4387" s="2" t="s">
        <v>29139</v>
      </c>
      <c r="R4387" s="2" t="s">
        <v>29140</v>
      </c>
      <c r="S4387" s="2" t="s">
        <v>115</v>
      </c>
      <c r="T4387" s="2" t="s">
        <v>7439</v>
      </c>
      <c r="U4387" s="2" t="s">
        <v>41</v>
      </c>
      <c r="V4387" s="2" t="s">
        <v>59</v>
      </c>
      <c r="W4387" s="2">
        <v>39.200000000000003</v>
      </c>
      <c r="X4387" s="2">
        <v>0</v>
      </c>
      <c r="Y4387" s="2" t="s">
        <v>408</v>
      </c>
      <c r="Z4387" s="2" t="s">
        <v>29141</v>
      </c>
      <c r="AA4387" s="2">
        <v>-0.18425428949722</v>
      </c>
      <c r="AB4387" s="2">
        <v>0.14714411427950899</v>
      </c>
      <c r="AC4387" s="2">
        <v>6991.2787080567996</v>
      </c>
      <c r="AD4387" s="2">
        <v>5472.4660363531902</v>
      </c>
      <c r="AE4387" s="2">
        <v>7105.5834746028004</v>
      </c>
      <c r="AF4387" s="2">
        <v>6966.4105972018297</v>
      </c>
      <c r="AG4387" s="2">
        <v>6825.1571182429097</v>
      </c>
      <c r="AH4387" s="2">
        <v>7072.86664170932</v>
      </c>
      <c r="AI4387" s="2">
        <v>7096.8465082476396</v>
      </c>
      <c r="AJ4387" s="2">
        <v>6880.80790833632</v>
      </c>
      <c r="AK4387" s="2">
        <v>5607.7355085754098</v>
      </c>
      <c r="AL4387" s="2">
        <v>4886.8752512927304</v>
      </c>
      <c r="AM4387" s="2">
        <v>5237.4722100503204</v>
      </c>
      <c r="AN4387" s="2">
        <v>6126.2014398688398</v>
      </c>
      <c r="AO4387" s="2">
        <v>5429.96599142992</v>
      </c>
      <c r="AP4387" s="2">
        <v>5546.5458169019103</v>
      </c>
    </row>
    <row r="4388" spans="1:42" ht="14.5" x14ac:dyDescent="0.35">
      <c r="A4388" s="2" t="s">
        <v>29142</v>
      </c>
      <c r="B4388" s="2">
        <v>340.111581536502</v>
      </c>
      <c r="C4388" s="2">
        <v>6.3487499999999999</v>
      </c>
      <c r="D4388" s="2" t="s">
        <v>70</v>
      </c>
      <c r="E4388" s="2" t="s">
        <v>29143</v>
      </c>
      <c r="F4388" s="2">
        <v>267467</v>
      </c>
      <c r="G4388" s="3" t="str">
        <f>HYPERLINK("http://funmeta.oebiotech.com/network/267467", "http://funmeta.oebiotech.com/network/267467")</f>
        <v>http://funmeta.oebiotech.com/network/267467</v>
      </c>
      <c r="H4388" s="2"/>
      <c r="I4388" s="2">
        <v>45525</v>
      </c>
      <c r="J4388" s="2"/>
      <c r="K4388" s="2"/>
      <c r="L4388" s="2"/>
      <c r="M4388" s="2"/>
      <c r="N4388" s="2"/>
      <c r="O4388" s="2">
        <v>2400</v>
      </c>
      <c r="P4388" s="2" t="s">
        <v>29144</v>
      </c>
      <c r="Q4388" s="2" t="s">
        <v>29145</v>
      </c>
      <c r="R4388" s="2" t="s">
        <v>29146</v>
      </c>
      <c r="S4388" s="2" t="s">
        <v>491</v>
      </c>
      <c r="T4388" s="2" t="s">
        <v>2184</v>
      </c>
      <c r="U4388" s="2" t="s">
        <v>3838</v>
      </c>
      <c r="V4388" s="2" t="s">
        <v>59</v>
      </c>
      <c r="W4388" s="2">
        <v>37.200000000000003</v>
      </c>
      <c r="X4388" s="2">
        <v>0</v>
      </c>
      <c r="Y4388" s="2" t="s">
        <v>118</v>
      </c>
      <c r="Z4388" s="2" t="s">
        <v>29147</v>
      </c>
      <c r="AA4388" s="2">
        <v>7.1272848251439003</v>
      </c>
      <c r="AB4388" s="2">
        <v>0.147096003289547</v>
      </c>
      <c r="AC4388" s="2">
        <v>2825.44293420845</v>
      </c>
      <c r="AD4388" s="2">
        <v>1321.57127411648</v>
      </c>
      <c r="AE4388" s="2">
        <v>3132.67679398172</v>
      </c>
      <c r="AF4388" s="2">
        <v>2909.7211600342598</v>
      </c>
      <c r="AG4388" s="2">
        <v>2620.4020717901299</v>
      </c>
      <c r="AH4388" s="2">
        <v>3037.23321958415</v>
      </c>
      <c r="AI4388" s="2">
        <v>2707.3164641230501</v>
      </c>
      <c r="AJ4388" s="2">
        <v>2545.30789573742</v>
      </c>
      <c r="AK4388" s="2">
        <v>1061.5138360266601</v>
      </c>
      <c r="AL4388" s="2">
        <v>812.28885519684002</v>
      </c>
      <c r="AM4388" s="2">
        <v>1451.74749377434</v>
      </c>
      <c r="AN4388" s="2">
        <v>1679.44127005314</v>
      </c>
      <c r="AO4388" s="2">
        <v>1414.7519660371599</v>
      </c>
      <c r="AP4388" s="2">
        <v>1509.68422361076</v>
      </c>
    </row>
    <row r="4389" spans="1:42" ht="14.5" x14ac:dyDescent="0.35">
      <c r="A4389" s="2" t="s">
        <v>29148</v>
      </c>
      <c r="B4389" s="2">
        <v>545.20050699221599</v>
      </c>
      <c r="C4389" s="2">
        <v>6.1053333333333297</v>
      </c>
      <c r="D4389" s="2" t="s">
        <v>70</v>
      </c>
      <c r="E4389" s="2" t="s">
        <v>29149</v>
      </c>
      <c r="F4389" s="2">
        <v>54896</v>
      </c>
      <c r="G4389" s="3" t="str">
        <f>HYPERLINK("http://funmeta.oebiotech.com/network/54896", "http://funmeta.oebiotech.com/network/54896")</f>
        <v>http://funmeta.oebiotech.com/network/54896</v>
      </c>
      <c r="H4389" s="2" t="s">
        <v>29150</v>
      </c>
      <c r="I4389" s="2"/>
      <c r="J4389" s="2"/>
      <c r="K4389" s="2"/>
      <c r="L4389" s="2"/>
      <c r="M4389" s="2"/>
      <c r="N4389" s="2"/>
      <c r="O4389" s="2">
        <v>5374699</v>
      </c>
      <c r="P4389" s="2" t="s">
        <v>29151</v>
      </c>
      <c r="Q4389" s="2" t="s">
        <v>29152</v>
      </c>
      <c r="R4389" s="2" t="s">
        <v>29153</v>
      </c>
      <c r="S4389" s="2" t="s">
        <v>89</v>
      </c>
      <c r="T4389" s="2" t="s">
        <v>90</v>
      </c>
      <c r="U4389" s="2" t="s">
        <v>1248</v>
      </c>
      <c r="V4389" s="2" t="s">
        <v>59</v>
      </c>
      <c r="W4389" s="2">
        <v>44.7</v>
      </c>
      <c r="X4389" s="2">
        <v>36.1</v>
      </c>
      <c r="Y4389" s="2" t="s">
        <v>408</v>
      </c>
      <c r="Z4389" s="2" t="s">
        <v>29154</v>
      </c>
      <c r="AA4389" s="2">
        <v>-4.6550549759046396</v>
      </c>
      <c r="AB4389" s="2">
        <v>0.14709225085974501</v>
      </c>
      <c r="AC4389" s="2">
        <v>2649.57424533622</v>
      </c>
      <c r="AD4389" s="2">
        <v>792.05230736343799</v>
      </c>
      <c r="AE4389" s="2">
        <v>3433.6072561810201</v>
      </c>
      <c r="AF4389" s="2">
        <v>2753.2822251287098</v>
      </c>
      <c r="AG4389" s="2">
        <v>3845.5110674888701</v>
      </c>
      <c r="AH4389" s="2">
        <v>1660.2384486507699</v>
      </c>
      <c r="AI4389" s="2">
        <v>2931.7779291586398</v>
      </c>
      <c r="AJ4389" s="2">
        <v>1273.02854540932</v>
      </c>
      <c r="AK4389" s="2">
        <v>1809.0136425327501</v>
      </c>
      <c r="AL4389" s="2">
        <v>2.7106294003980101E-5</v>
      </c>
      <c r="AM4389" s="2">
        <v>2.7106294003980101E-5</v>
      </c>
      <c r="AN4389" s="2">
        <v>952.62962956049898</v>
      </c>
      <c r="AO4389" s="2">
        <v>1091.2235786938299</v>
      </c>
      <c r="AP4389" s="2">
        <v>899.44693918096198</v>
      </c>
    </row>
    <row r="4390" spans="1:42" ht="14.5" x14ac:dyDescent="0.35">
      <c r="A4390" s="2" t="s">
        <v>29155</v>
      </c>
      <c r="B4390" s="2">
        <v>521.948454532901</v>
      </c>
      <c r="C4390" s="2">
        <v>5.4735333333333296</v>
      </c>
      <c r="D4390" s="2" t="s">
        <v>34</v>
      </c>
      <c r="E4390" s="2" t="s">
        <v>29156</v>
      </c>
      <c r="F4390" s="2">
        <v>46861</v>
      </c>
      <c r="G4390" s="3" t="str">
        <f>HYPERLINK("http://funmeta.oebiotech.com/network/46861", "http://funmeta.oebiotech.com/network/46861")</f>
        <v>http://funmeta.oebiotech.com/network/46861</v>
      </c>
      <c r="H4390" s="2" t="s">
        <v>29157</v>
      </c>
      <c r="I4390" s="2">
        <v>5136</v>
      </c>
      <c r="J4390" s="2"/>
      <c r="K4390" s="2">
        <v>17677</v>
      </c>
      <c r="L4390" s="2" t="s">
        <v>29158</v>
      </c>
      <c r="M4390" s="2" t="s">
        <v>29159</v>
      </c>
      <c r="N4390" s="2" t="s">
        <v>29160</v>
      </c>
      <c r="O4390" s="2">
        <v>6176</v>
      </c>
      <c r="P4390" s="2" t="s">
        <v>29161</v>
      </c>
      <c r="Q4390" s="2" t="s">
        <v>29162</v>
      </c>
      <c r="R4390" s="2" t="s">
        <v>29163</v>
      </c>
      <c r="S4390" s="2" t="s">
        <v>79</v>
      </c>
      <c r="T4390" s="2" t="s">
        <v>80</v>
      </c>
      <c r="U4390" s="2" t="s">
        <v>81</v>
      </c>
      <c r="V4390" s="2" t="s">
        <v>59</v>
      </c>
      <c r="W4390" s="2">
        <v>36.9</v>
      </c>
      <c r="X4390" s="2">
        <v>0</v>
      </c>
      <c r="Y4390" s="2" t="s">
        <v>340</v>
      </c>
      <c r="Z4390" s="2" t="s">
        <v>29164</v>
      </c>
      <c r="AA4390" s="2">
        <v>1.62398901348706</v>
      </c>
      <c r="AB4390" s="2">
        <v>0.14708361068995901</v>
      </c>
      <c r="AC4390" s="2">
        <v>16596.0900450751</v>
      </c>
      <c r="AD4390" s="2">
        <v>13570.913475445899</v>
      </c>
      <c r="AE4390" s="2">
        <v>16606.9077112177</v>
      </c>
      <c r="AF4390" s="2">
        <v>15982.5213132639</v>
      </c>
      <c r="AG4390" s="2">
        <v>17629.683289385099</v>
      </c>
      <c r="AH4390" s="2">
        <v>20200.065503547601</v>
      </c>
      <c r="AI4390" s="2">
        <v>17171.423200534198</v>
      </c>
      <c r="AJ4390" s="2">
        <v>11985.939252502299</v>
      </c>
      <c r="AK4390" s="2">
        <v>10424.8504561277</v>
      </c>
      <c r="AL4390" s="2">
        <v>13058.851225423199</v>
      </c>
      <c r="AM4390" s="2">
        <v>11251.7373283707</v>
      </c>
      <c r="AN4390" s="2">
        <v>19897.262561466501</v>
      </c>
      <c r="AO4390" s="2">
        <v>12237.0369103753</v>
      </c>
      <c r="AP4390" s="2">
        <v>14555.742370911799</v>
      </c>
    </row>
    <row r="4391" spans="1:42" ht="14.5" x14ac:dyDescent="0.35">
      <c r="A4391" s="2" t="s">
        <v>29165</v>
      </c>
      <c r="B4391" s="2">
        <v>681.33870661935396</v>
      </c>
      <c r="C4391" s="2">
        <v>7.5886500000000003</v>
      </c>
      <c r="D4391" s="2" t="s">
        <v>70</v>
      </c>
      <c r="E4391" s="2" t="s">
        <v>29166</v>
      </c>
      <c r="F4391" s="2">
        <v>205653</v>
      </c>
      <c r="G4391" s="3" t="str">
        <f>HYPERLINK("http://funmeta.oebiotech.com/network/205653", "http://funmeta.oebiotech.com/network/205653")</f>
        <v>http://funmeta.oebiotech.com/network/205653</v>
      </c>
      <c r="H4391" s="2" t="s">
        <v>29167</v>
      </c>
      <c r="I4391" s="2"/>
      <c r="J4391" s="2"/>
      <c r="K4391" s="2"/>
      <c r="L4391" s="2"/>
      <c r="M4391" s="2"/>
      <c r="N4391" s="2"/>
      <c r="O4391" s="2"/>
      <c r="P4391" s="2"/>
      <c r="Q4391" s="2" t="s">
        <v>29168</v>
      </c>
      <c r="R4391" s="2" t="s">
        <v>29169</v>
      </c>
      <c r="S4391" s="2" t="s">
        <v>50</v>
      </c>
      <c r="T4391" s="2" t="s">
        <v>201</v>
      </c>
      <c r="U4391" s="2" t="s">
        <v>241</v>
      </c>
      <c r="V4391" s="2" t="s">
        <v>59</v>
      </c>
      <c r="W4391" s="2">
        <v>37.4</v>
      </c>
      <c r="X4391" s="2">
        <v>0</v>
      </c>
      <c r="Y4391" s="2" t="s">
        <v>118</v>
      </c>
      <c r="Z4391" s="2" t="s">
        <v>29170</v>
      </c>
      <c r="AA4391" s="2">
        <v>-0.82473832226286603</v>
      </c>
      <c r="AB4391" s="2">
        <v>0.147083201196164</v>
      </c>
      <c r="AC4391" s="2">
        <v>1647.8582652631501</v>
      </c>
      <c r="AD4391" s="2">
        <v>3227.4504737050902</v>
      </c>
      <c r="AE4391" s="2">
        <v>1295.6179888269701</v>
      </c>
      <c r="AF4391" s="2">
        <v>1910.1760111429201</v>
      </c>
      <c r="AG4391" s="2">
        <v>1963.1219353183899</v>
      </c>
      <c r="AH4391" s="2">
        <v>1576.26657170928</v>
      </c>
      <c r="AI4391" s="2">
        <v>1322.94139133512</v>
      </c>
      <c r="AJ4391" s="2">
        <v>1819.02569324619</v>
      </c>
      <c r="AK4391" s="2">
        <v>2992.2543554400499</v>
      </c>
      <c r="AL4391" s="2">
        <v>2835.2754264085902</v>
      </c>
      <c r="AM4391" s="2">
        <v>3158.9571611461301</v>
      </c>
      <c r="AN4391" s="2">
        <v>3162.34403709855</v>
      </c>
      <c r="AO4391" s="2">
        <v>4248.0586198864703</v>
      </c>
      <c r="AP4391" s="2">
        <v>2967.8132422507401</v>
      </c>
    </row>
    <row r="4392" spans="1:42" ht="14.5" x14ac:dyDescent="0.35">
      <c r="A4392" s="2" t="s">
        <v>29171</v>
      </c>
      <c r="B4392" s="2">
        <v>489.21307651464099</v>
      </c>
      <c r="C4392" s="2">
        <v>6.2923</v>
      </c>
      <c r="D4392" s="2" t="s">
        <v>70</v>
      </c>
      <c r="E4392" s="2" t="s">
        <v>29172</v>
      </c>
      <c r="F4392" s="2">
        <v>54987</v>
      </c>
      <c r="G4392" s="3" t="str">
        <f>HYPERLINK("http://funmeta.oebiotech.com/network/54987", "http://funmeta.oebiotech.com/network/54987")</f>
        <v>http://funmeta.oebiotech.com/network/54987</v>
      </c>
      <c r="H4392" s="2" t="s">
        <v>29173</v>
      </c>
      <c r="I4392" s="2">
        <v>86762</v>
      </c>
      <c r="J4392" s="2"/>
      <c r="K4392" s="2"/>
      <c r="L4392" s="2"/>
      <c r="M4392" s="2"/>
      <c r="N4392" s="2"/>
      <c r="O4392" s="2">
        <v>53396783</v>
      </c>
      <c r="P4392" s="2" t="s">
        <v>29174</v>
      </c>
      <c r="Q4392" s="2" t="s">
        <v>29175</v>
      </c>
      <c r="R4392" s="2" t="s">
        <v>29176</v>
      </c>
      <c r="S4392" s="2" t="s">
        <v>491</v>
      </c>
      <c r="T4392" s="2" t="s">
        <v>2251</v>
      </c>
      <c r="U4392" s="2" t="s">
        <v>2252</v>
      </c>
      <c r="V4392" s="2" t="s">
        <v>59</v>
      </c>
      <c r="W4392" s="2">
        <v>38.5</v>
      </c>
      <c r="X4392" s="2">
        <v>0</v>
      </c>
      <c r="Y4392" s="2" t="s">
        <v>408</v>
      </c>
      <c r="Z4392" s="2" t="s">
        <v>29177</v>
      </c>
      <c r="AA4392" s="2">
        <v>0.15821508113958699</v>
      </c>
      <c r="AB4392" s="2">
        <v>0.14706536496275699</v>
      </c>
      <c r="AC4392" s="2">
        <v>3597.34831192519</v>
      </c>
      <c r="AD4392" s="2">
        <v>1892.4202371701599</v>
      </c>
      <c r="AE4392" s="2">
        <v>3582.7582235554</v>
      </c>
      <c r="AF4392" s="2">
        <v>3464.95111602625</v>
      </c>
      <c r="AG4392" s="2">
        <v>4029.1248877838598</v>
      </c>
      <c r="AH4392" s="2">
        <v>3259.4100862538899</v>
      </c>
      <c r="AI4392" s="2">
        <v>3607.9599293105398</v>
      </c>
      <c r="AJ4392" s="2">
        <v>3639.8856286211699</v>
      </c>
      <c r="AK4392" s="2">
        <v>1698.8820150818101</v>
      </c>
      <c r="AL4392" s="2">
        <v>3002.2725009795799</v>
      </c>
      <c r="AM4392" s="2">
        <v>2048.8728896410298</v>
      </c>
      <c r="AN4392" s="2">
        <v>1160.9881853931799</v>
      </c>
      <c r="AO4392" s="2">
        <v>2659.0248782786998</v>
      </c>
      <c r="AP4392" s="2">
        <v>784.48095364667904</v>
      </c>
    </row>
    <row r="4393" spans="1:42" ht="14.5" x14ac:dyDescent="0.35">
      <c r="A4393" s="2" t="s">
        <v>29178</v>
      </c>
      <c r="B4393" s="2">
        <v>347.13801911646601</v>
      </c>
      <c r="C4393" s="2">
        <v>6.5888166666666699</v>
      </c>
      <c r="D4393" s="2" t="s">
        <v>34</v>
      </c>
      <c r="E4393" s="2" t="s">
        <v>29179</v>
      </c>
      <c r="F4393" s="2">
        <v>203898</v>
      </c>
      <c r="G4393" s="3" t="str">
        <f>HYPERLINK("http://funmeta.oebiotech.com/network/203898", "http://funmeta.oebiotech.com/network/203898")</f>
        <v>http://funmeta.oebiotech.com/network/203898</v>
      </c>
      <c r="H4393" s="2" t="s">
        <v>29180</v>
      </c>
      <c r="I4393" s="2"/>
      <c r="J4393" s="2"/>
      <c r="K4393" s="2"/>
      <c r="L4393" s="2"/>
      <c r="M4393" s="2"/>
      <c r="N4393" s="2"/>
      <c r="O4393" s="2">
        <v>9861430</v>
      </c>
      <c r="P4393" s="2"/>
      <c r="Q4393" s="2" t="s">
        <v>29181</v>
      </c>
      <c r="R4393" s="2" t="s">
        <v>29182</v>
      </c>
      <c r="S4393" s="2" t="s">
        <v>491</v>
      </c>
      <c r="T4393" s="2" t="s">
        <v>1516</v>
      </c>
      <c r="U4393" s="2" t="s">
        <v>24452</v>
      </c>
      <c r="V4393" s="2" t="s">
        <v>59</v>
      </c>
      <c r="W4393" s="2">
        <v>36.299999999999997</v>
      </c>
      <c r="X4393" s="2">
        <v>0</v>
      </c>
      <c r="Y4393" s="2" t="s">
        <v>340</v>
      </c>
      <c r="Z4393" s="2" t="s">
        <v>29183</v>
      </c>
      <c r="AA4393" s="2">
        <v>-0.271383950706442</v>
      </c>
      <c r="AB4393" s="2">
        <v>0.14704053110587201</v>
      </c>
      <c r="AC4393" s="2">
        <v>22648.1111349438</v>
      </c>
      <c r="AD4393" s="2">
        <v>19311.130256351898</v>
      </c>
      <c r="AE4393" s="2">
        <v>20008.002551216199</v>
      </c>
      <c r="AF4393" s="2">
        <v>24178.509541380601</v>
      </c>
      <c r="AG4393" s="2">
        <v>28140.093500068298</v>
      </c>
      <c r="AH4393" s="2">
        <v>27158.5496562587</v>
      </c>
      <c r="AI4393" s="2">
        <v>18699.476916541302</v>
      </c>
      <c r="AJ4393" s="2">
        <v>17704.0346441976</v>
      </c>
      <c r="AK4393" s="2">
        <v>21619.959752049799</v>
      </c>
      <c r="AL4393" s="2">
        <v>19815.088895117198</v>
      </c>
      <c r="AM4393" s="2">
        <v>18762.585094774</v>
      </c>
      <c r="AN4393" s="2">
        <v>19749.389137155398</v>
      </c>
      <c r="AO4393" s="2">
        <v>22886.500187936901</v>
      </c>
      <c r="AP4393" s="2">
        <v>13033.258471078399</v>
      </c>
    </row>
    <row r="4394" spans="1:42" ht="14.5" x14ac:dyDescent="0.35">
      <c r="A4394" s="2" t="s">
        <v>29184</v>
      </c>
      <c r="B4394" s="2">
        <v>250.071585189134</v>
      </c>
      <c r="C4394" s="2">
        <v>4.4710000000000001</v>
      </c>
      <c r="D4394" s="2" t="s">
        <v>70</v>
      </c>
      <c r="E4394" s="2" t="s">
        <v>29185</v>
      </c>
      <c r="F4394" s="2">
        <v>51420</v>
      </c>
      <c r="G4394" s="3" t="str">
        <f>HYPERLINK("http://funmeta.oebiotech.com/network/51420", "http://funmeta.oebiotech.com/network/51420")</f>
        <v>http://funmeta.oebiotech.com/network/51420</v>
      </c>
      <c r="H4394" s="2" t="s">
        <v>29186</v>
      </c>
      <c r="I4394" s="2">
        <v>34534</v>
      </c>
      <c r="J4394" s="2"/>
      <c r="K4394" s="2">
        <v>68616</v>
      </c>
      <c r="L4394" s="2"/>
      <c r="M4394" s="2"/>
      <c r="N4394" s="2"/>
      <c r="O4394" s="2">
        <v>709625</v>
      </c>
      <c r="P4394" s="2" t="s">
        <v>29187</v>
      </c>
      <c r="Q4394" s="2" t="s">
        <v>29188</v>
      </c>
      <c r="R4394" s="2" t="s">
        <v>29189</v>
      </c>
      <c r="S4394" s="2" t="s">
        <v>89</v>
      </c>
      <c r="T4394" s="2" t="s">
        <v>90</v>
      </c>
      <c r="U4394" s="2" t="s">
        <v>99</v>
      </c>
      <c r="V4394" s="2" t="s">
        <v>59</v>
      </c>
      <c r="W4394" s="2">
        <v>38.4</v>
      </c>
      <c r="X4394" s="2">
        <v>0</v>
      </c>
      <c r="Y4394" s="2" t="s">
        <v>408</v>
      </c>
      <c r="Z4394" s="2" t="s">
        <v>20238</v>
      </c>
      <c r="AA4394" s="2">
        <v>-2.4912830594287798</v>
      </c>
      <c r="AB4394" s="2">
        <v>0.14701963581129701</v>
      </c>
      <c r="AC4394" s="2">
        <v>1104.3130829162101</v>
      </c>
      <c r="AD4394" s="2">
        <v>2595.8664916927601</v>
      </c>
      <c r="AE4394" s="2">
        <v>1176.94358615433</v>
      </c>
      <c r="AF4394" s="2">
        <v>925.72687340775406</v>
      </c>
      <c r="AG4394" s="2">
        <v>963.03530947875197</v>
      </c>
      <c r="AH4394" s="2">
        <v>1103.5593217068899</v>
      </c>
      <c r="AI4394" s="2">
        <v>1463.53109807036</v>
      </c>
      <c r="AJ4394" s="2">
        <v>993.08230867919599</v>
      </c>
      <c r="AK4394" s="2">
        <v>2656.0253531834801</v>
      </c>
      <c r="AL4394" s="2">
        <v>1934.1476046929399</v>
      </c>
      <c r="AM4394" s="2">
        <v>2910.57368992898</v>
      </c>
      <c r="AN4394" s="2">
        <v>2742.81532561825</v>
      </c>
      <c r="AO4394" s="2">
        <v>2798.8301978754198</v>
      </c>
      <c r="AP4394" s="2">
        <v>2532.8067788574899</v>
      </c>
    </row>
    <row r="4395" spans="1:42" ht="14.5" x14ac:dyDescent="0.35">
      <c r="A4395" s="2" t="s">
        <v>29190</v>
      </c>
      <c r="B4395" s="2">
        <v>282.11230335005098</v>
      </c>
      <c r="C4395" s="2">
        <v>10.036016666666701</v>
      </c>
      <c r="D4395" s="2" t="s">
        <v>34</v>
      </c>
      <c r="E4395" s="2" t="s">
        <v>29191</v>
      </c>
      <c r="F4395" s="2">
        <v>207814</v>
      </c>
      <c r="G4395" s="3" t="str">
        <f>HYPERLINK("http://funmeta.oebiotech.com/network/207814", "http://funmeta.oebiotech.com/network/207814")</f>
        <v>http://funmeta.oebiotech.com/network/207814</v>
      </c>
      <c r="H4395" s="2" t="s">
        <v>29192</v>
      </c>
      <c r="I4395" s="2">
        <v>44065</v>
      </c>
      <c r="J4395" s="2"/>
      <c r="K4395" s="2">
        <v>76162</v>
      </c>
      <c r="L4395" s="2"/>
      <c r="M4395" s="2"/>
      <c r="N4395" s="2"/>
      <c r="O4395" s="2">
        <v>3718</v>
      </c>
      <c r="P4395" s="2" t="s">
        <v>29193</v>
      </c>
      <c r="Q4395" s="2" t="s">
        <v>29194</v>
      </c>
      <c r="R4395" s="2" t="s">
        <v>29195</v>
      </c>
      <c r="S4395" s="2" t="s">
        <v>115</v>
      </c>
      <c r="T4395" s="2" t="s">
        <v>7439</v>
      </c>
      <c r="U4395" s="2" t="s">
        <v>41</v>
      </c>
      <c r="V4395" s="2" t="s">
        <v>59</v>
      </c>
      <c r="W4395" s="2">
        <v>39.200000000000003</v>
      </c>
      <c r="X4395" s="2">
        <v>0</v>
      </c>
      <c r="Y4395" s="2" t="s">
        <v>394</v>
      </c>
      <c r="Z4395" s="2" t="s">
        <v>29196</v>
      </c>
      <c r="AA4395" s="2">
        <v>-0.59204341783385295</v>
      </c>
      <c r="AB4395" s="2">
        <v>0.14677037049952599</v>
      </c>
      <c r="AC4395" s="2">
        <v>1914.8148338792701</v>
      </c>
      <c r="AD4395" s="2">
        <v>484.25904035606999</v>
      </c>
      <c r="AE4395" s="2">
        <v>1861.4496011663</v>
      </c>
      <c r="AF4395" s="2">
        <v>1818.13161660997</v>
      </c>
      <c r="AG4395" s="2">
        <v>1893.1341009764899</v>
      </c>
      <c r="AH4395" s="2">
        <v>2168.7121227899902</v>
      </c>
      <c r="AI4395" s="2">
        <v>1788.2327102884301</v>
      </c>
      <c r="AJ4395" s="2">
        <v>1959.2288514444499</v>
      </c>
      <c r="AK4395" s="2">
        <v>464.12356929583399</v>
      </c>
      <c r="AL4395" s="2">
        <v>351.742644041034</v>
      </c>
      <c r="AM4395" s="2">
        <v>473.925189009409</v>
      </c>
      <c r="AN4395" s="2">
        <v>405.48791367769002</v>
      </c>
      <c r="AO4395" s="2">
        <v>652.92986952864396</v>
      </c>
      <c r="AP4395" s="2">
        <v>557.34505658380897</v>
      </c>
    </row>
    <row r="4396" spans="1:42" ht="14.5" x14ac:dyDescent="0.35">
      <c r="A4396" s="2" t="s">
        <v>29197</v>
      </c>
      <c r="B4396" s="2">
        <v>611.15489506756899</v>
      </c>
      <c r="C4396" s="2">
        <v>10.1513166666667</v>
      </c>
      <c r="D4396" s="2" t="s">
        <v>34</v>
      </c>
      <c r="E4396" s="2" t="s">
        <v>29198</v>
      </c>
      <c r="F4396" s="2">
        <v>29649</v>
      </c>
      <c r="G4396" s="3" t="str">
        <f>HYPERLINK("http://funmeta.oebiotech.com/network/29649", "http://funmeta.oebiotech.com/network/29649")</f>
        <v>http://funmeta.oebiotech.com/network/29649</v>
      </c>
      <c r="H4396" s="2"/>
      <c r="I4396" s="2">
        <v>48015</v>
      </c>
      <c r="J4396" s="2" t="s">
        <v>29199</v>
      </c>
      <c r="K4396" s="2"/>
      <c r="L4396" s="2"/>
      <c r="M4396" s="2"/>
      <c r="N4396" s="2"/>
      <c r="O4396" s="2">
        <v>3144808</v>
      </c>
      <c r="P4396" s="2"/>
      <c r="Q4396" s="2" t="s">
        <v>29200</v>
      </c>
      <c r="R4396" s="2" t="s">
        <v>29201</v>
      </c>
      <c r="S4396" s="2" t="s">
        <v>115</v>
      </c>
      <c r="T4396" s="2" t="s">
        <v>139</v>
      </c>
      <c r="U4396" s="2" t="s">
        <v>140</v>
      </c>
      <c r="V4396" s="2" t="s">
        <v>59</v>
      </c>
      <c r="W4396" s="2">
        <v>38.299999999999997</v>
      </c>
      <c r="X4396" s="2">
        <v>0</v>
      </c>
      <c r="Y4396" s="2" t="s">
        <v>340</v>
      </c>
      <c r="Z4396" s="2" t="s">
        <v>29202</v>
      </c>
      <c r="AA4396" s="2">
        <v>4.1254289333047902</v>
      </c>
      <c r="AB4396" s="2">
        <v>0.14666947035974401</v>
      </c>
      <c r="AC4396" s="2">
        <v>4154.8220634292602</v>
      </c>
      <c r="AD4396" s="2">
        <v>2479.6405629159899</v>
      </c>
      <c r="AE4396" s="2">
        <v>4548.6670115233901</v>
      </c>
      <c r="AF4396" s="2">
        <v>3779.4467549628798</v>
      </c>
      <c r="AG4396" s="2">
        <v>3574.41120584797</v>
      </c>
      <c r="AH4396" s="2">
        <v>4252.1741477105797</v>
      </c>
      <c r="AI4396" s="2">
        <v>3782.7356416378102</v>
      </c>
      <c r="AJ4396" s="2">
        <v>4991.4976188929204</v>
      </c>
      <c r="AK4396" s="2">
        <v>1822.51946795137</v>
      </c>
      <c r="AL4396" s="2">
        <v>2945.78950364209</v>
      </c>
      <c r="AM4396" s="2">
        <v>1966.24665933647</v>
      </c>
      <c r="AN4396" s="2">
        <v>2320.23617075934</v>
      </c>
      <c r="AO4396" s="2">
        <v>3500.9862544110902</v>
      </c>
      <c r="AP4396" s="2">
        <v>2322.0653213955702</v>
      </c>
    </row>
    <row r="4397" spans="1:42" ht="14.5" x14ac:dyDescent="0.35">
      <c r="A4397" s="2" t="s">
        <v>29203</v>
      </c>
      <c r="B4397" s="2">
        <v>606.28429782477497</v>
      </c>
      <c r="C4397" s="2">
        <v>13.762549999999999</v>
      </c>
      <c r="D4397" s="2" t="s">
        <v>34</v>
      </c>
      <c r="E4397" s="2" t="s">
        <v>29204</v>
      </c>
      <c r="F4397" s="2">
        <v>61649</v>
      </c>
      <c r="G4397" s="3" t="str">
        <f>HYPERLINK("http://funmeta.oebiotech.com/network/61649", "http://funmeta.oebiotech.com/network/61649")</f>
        <v>http://funmeta.oebiotech.com/network/61649</v>
      </c>
      <c r="H4397" s="2" t="s">
        <v>29205</v>
      </c>
      <c r="I4397" s="2">
        <v>92950</v>
      </c>
      <c r="J4397" s="2"/>
      <c r="K4397" s="2"/>
      <c r="L4397" s="2"/>
      <c r="M4397" s="2"/>
      <c r="N4397" s="2"/>
      <c r="O4397" s="2">
        <v>162960</v>
      </c>
      <c r="P4397" s="2" t="s">
        <v>29206</v>
      </c>
      <c r="Q4397" s="2" t="s">
        <v>29207</v>
      </c>
      <c r="R4397" s="2" t="s">
        <v>29208</v>
      </c>
      <c r="S4397" s="2" t="s">
        <v>89</v>
      </c>
      <c r="T4397" s="2" t="s">
        <v>90</v>
      </c>
      <c r="U4397" s="2" t="s">
        <v>99</v>
      </c>
      <c r="V4397" s="2" t="s">
        <v>42</v>
      </c>
      <c r="W4397" s="2">
        <v>44</v>
      </c>
      <c r="X4397" s="2">
        <v>46</v>
      </c>
      <c r="Y4397" s="2" t="s">
        <v>43</v>
      </c>
      <c r="Z4397" s="2" t="s">
        <v>29209</v>
      </c>
      <c r="AA4397" s="2">
        <v>0.20108223333163799</v>
      </c>
      <c r="AB4397" s="2">
        <v>0.14659766400969801</v>
      </c>
      <c r="AC4397" s="2">
        <v>3026.2818585273499</v>
      </c>
      <c r="AD4397" s="2">
        <v>1578.2522166116</v>
      </c>
      <c r="AE4397" s="2">
        <v>2915.3697518701501</v>
      </c>
      <c r="AF4397" s="2">
        <v>3284.7540592932701</v>
      </c>
      <c r="AG4397" s="2">
        <v>3015.23632361706</v>
      </c>
      <c r="AH4397" s="2">
        <v>2930.7107319808401</v>
      </c>
      <c r="AI4397" s="2">
        <v>3007.4268050352298</v>
      </c>
      <c r="AJ4397" s="2">
        <v>3004.19347936755</v>
      </c>
      <c r="AK4397" s="2">
        <v>1615.00626328153</v>
      </c>
      <c r="AL4397" s="2">
        <v>1919.26055196692</v>
      </c>
      <c r="AM4397" s="2">
        <v>1783.1363098142299</v>
      </c>
      <c r="AN4397" s="2">
        <v>1333.30507852963</v>
      </c>
      <c r="AO4397" s="2">
        <v>1454.6541538056499</v>
      </c>
      <c r="AP4397" s="2">
        <v>1364.1509422716399</v>
      </c>
    </row>
    <row r="4398" spans="1:42" ht="14.5" x14ac:dyDescent="0.35">
      <c r="A4398" s="2" t="s">
        <v>29210</v>
      </c>
      <c r="B4398" s="2">
        <v>499.19368909872099</v>
      </c>
      <c r="C4398" s="2">
        <v>6.26755</v>
      </c>
      <c r="D4398" s="2" t="s">
        <v>34</v>
      </c>
      <c r="E4398" s="2" t="s">
        <v>29211</v>
      </c>
      <c r="F4398" s="2">
        <v>289914</v>
      </c>
      <c r="G4398" s="3" t="str">
        <f>HYPERLINK("http://funmeta.oebiotech.com/network/289914", "http://funmeta.oebiotech.com/network/289914")</f>
        <v>http://funmeta.oebiotech.com/network/289914</v>
      </c>
      <c r="H4398" s="2"/>
      <c r="I4398" s="2">
        <v>985233</v>
      </c>
      <c r="J4398" s="2"/>
      <c r="K4398" s="2"/>
      <c r="L4398" s="2"/>
      <c r="M4398" s="2"/>
      <c r="N4398" s="2"/>
      <c r="O4398" s="2">
        <v>9826264</v>
      </c>
      <c r="P4398" s="2"/>
      <c r="Q4398" s="2" t="s">
        <v>29212</v>
      </c>
      <c r="R4398" s="2" t="s">
        <v>29213</v>
      </c>
      <c r="S4398" s="2" t="s">
        <v>115</v>
      </c>
      <c r="T4398" s="2" t="s">
        <v>575</v>
      </c>
      <c r="U4398" s="2" t="s">
        <v>576</v>
      </c>
      <c r="V4398" s="2" t="s">
        <v>59</v>
      </c>
      <c r="W4398" s="2">
        <v>38.4</v>
      </c>
      <c r="X4398" s="2">
        <v>0</v>
      </c>
      <c r="Y4398" s="2" t="s">
        <v>323</v>
      </c>
      <c r="Z4398" s="2" t="s">
        <v>4387</v>
      </c>
      <c r="AA4398" s="2">
        <v>-0.34477522409926498</v>
      </c>
      <c r="AB4398" s="2">
        <v>0.14652275843788201</v>
      </c>
      <c r="AC4398" s="2">
        <v>1795.3556285791001</v>
      </c>
      <c r="AD4398" s="2">
        <v>132.267125472629</v>
      </c>
      <c r="AE4398" s="2">
        <v>3035.9974456322998</v>
      </c>
      <c r="AF4398" s="2">
        <v>2240.5486516988199</v>
      </c>
      <c r="AG4398" s="2">
        <v>1367.20015108187</v>
      </c>
      <c r="AH4398" s="2">
        <v>1898.5219090779699</v>
      </c>
      <c r="AI4398" s="2">
        <v>893.41337550284697</v>
      </c>
      <c r="AJ4398" s="2">
        <v>1336.4522384807899</v>
      </c>
      <c r="AK4398" s="2">
        <v>793.60261730430204</v>
      </c>
      <c r="AL4398" s="2">
        <v>2.7106294003980101E-5</v>
      </c>
      <c r="AM4398" s="2">
        <v>2.7106294003980101E-5</v>
      </c>
      <c r="AN4398" s="2">
        <v>2.7106294003980101E-5</v>
      </c>
      <c r="AO4398" s="2">
        <v>2.7106294003980101E-5</v>
      </c>
      <c r="AP4398" s="2">
        <v>2.7106294003980101E-5</v>
      </c>
    </row>
    <row r="4399" spans="1:42" ht="14.5" x14ac:dyDescent="0.35">
      <c r="A4399" s="2" t="s">
        <v>29214</v>
      </c>
      <c r="B4399" s="2">
        <v>239.10645796774901</v>
      </c>
      <c r="C4399" s="2">
        <v>5.48966666666667</v>
      </c>
      <c r="D4399" s="2" t="s">
        <v>34</v>
      </c>
      <c r="E4399" s="2" t="s">
        <v>29215</v>
      </c>
      <c r="F4399" s="2">
        <v>83452</v>
      </c>
      <c r="G4399" s="3" t="str">
        <f>HYPERLINK("http://funmeta.oebiotech.com/network/83452", "http://funmeta.oebiotech.com/network/83452")</f>
        <v>http://funmeta.oebiotech.com/network/83452</v>
      </c>
      <c r="H4399" s="2" t="s">
        <v>29216</v>
      </c>
      <c r="I4399" s="2"/>
      <c r="J4399" s="2"/>
      <c r="K4399" s="2"/>
      <c r="L4399" s="2"/>
      <c r="M4399" s="2"/>
      <c r="N4399" s="2"/>
      <c r="O4399" s="2">
        <v>131770418</v>
      </c>
      <c r="P4399" s="2"/>
      <c r="Q4399" s="2" t="s">
        <v>29217</v>
      </c>
      <c r="R4399" s="2" t="s">
        <v>29218</v>
      </c>
      <c r="S4399" s="2" t="s">
        <v>89</v>
      </c>
      <c r="T4399" s="2" t="s">
        <v>90</v>
      </c>
      <c r="U4399" s="2" t="s">
        <v>99</v>
      </c>
      <c r="V4399" s="2" t="s">
        <v>59</v>
      </c>
      <c r="W4399" s="2">
        <v>36.700000000000003</v>
      </c>
      <c r="X4399" s="2">
        <v>0</v>
      </c>
      <c r="Y4399" s="2" t="s">
        <v>43</v>
      </c>
      <c r="Z4399" s="2" t="s">
        <v>29219</v>
      </c>
      <c r="AA4399" s="2">
        <v>2.0512470666114102</v>
      </c>
      <c r="AB4399" s="2">
        <v>0.14647908174985499</v>
      </c>
      <c r="AC4399" s="2">
        <v>1438.6272452632099</v>
      </c>
      <c r="AD4399" s="2">
        <v>2.7106294003980101E-5</v>
      </c>
      <c r="AE4399" s="2">
        <v>1408.4867708832001</v>
      </c>
      <c r="AF4399" s="2">
        <v>1213.7722585133599</v>
      </c>
      <c r="AG4399" s="2">
        <v>1710.0705060845801</v>
      </c>
      <c r="AH4399" s="2">
        <v>1585.85123123412</v>
      </c>
      <c r="AI4399" s="2">
        <v>1579.3493186112601</v>
      </c>
      <c r="AJ4399" s="2">
        <v>1134.2333862527601</v>
      </c>
      <c r="AK4399" s="2">
        <v>2.7106294003980101E-5</v>
      </c>
      <c r="AL4399" s="2">
        <v>2.7106294003980101E-5</v>
      </c>
      <c r="AM4399" s="2">
        <v>2.7106294003980101E-5</v>
      </c>
      <c r="AN4399" s="2">
        <v>2.7106294003980101E-5</v>
      </c>
      <c r="AO4399" s="2">
        <v>2.7106294003980101E-5</v>
      </c>
      <c r="AP4399" s="2">
        <v>2.7106294003980101E-5</v>
      </c>
    </row>
    <row r="4400" spans="1:42" ht="14.5" x14ac:dyDescent="0.35">
      <c r="A4400" s="2" t="s">
        <v>29220</v>
      </c>
      <c r="B4400" s="2">
        <v>341.31624511697203</v>
      </c>
      <c r="C4400" s="2">
        <v>12.3610166666667</v>
      </c>
      <c r="D4400" s="2" t="s">
        <v>34</v>
      </c>
      <c r="E4400" s="2" t="s">
        <v>29221</v>
      </c>
      <c r="F4400" s="2">
        <v>9016</v>
      </c>
      <c r="G4400" s="3" t="str">
        <f>HYPERLINK("http://funmeta.oebiotech.com/network/9016", "http://funmeta.oebiotech.com/network/9016")</f>
        <v>http://funmeta.oebiotech.com/network/9016</v>
      </c>
      <c r="H4400" s="2" t="s">
        <v>29222</v>
      </c>
      <c r="I4400" s="2">
        <v>3718</v>
      </c>
      <c r="J4400" s="2" t="s">
        <v>29223</v>
      </c>
      <c r="K4400" s="2">
        <v>64032</v>
      </c>
      <c r="L4400" s="2"/>
      <c r="M4400" s="2"/>
      <c r="N4400" s="2"/>
      <c r="O4400" s="2">
        <v>5283446</v>
      </c>
      <c r="P4400" s="2" t="s">
        <v>29224</v>
      </c>
      <c r="Q4400" s="2" t="s">
        <v>29225</v>
      </c>
      <c r="R4400" s="2" t="s">
        <v>29226</v>
      </c>
      <c r="S4400" s="2" t="s">
        <v>1677</v>
      </c>
      <c r="T4400" s="2" t="s">
        <v>1678</v>
      </c>
      <c r="U4400" s="2" t="s">
        <v>1679</v>
      </c>
      <c r="V4400" s="2" t="s">
        <v>59</v>
      </c>
      <c r="W4400" s="2">
        <v>43.4</v>
      </c>
      <c r="X4400" s="2">
        <v>33.4</v>
      </c>
      <c r="Y4400" s="2" t="s">
        <v>43</v>
      </c>
      <c r="Z4400" s="2" t="s">
        <v>29227</v>
      </c>
      <c r="AA4400" s="2">
        <v>-3.0448725675969901E-2</v>
      </c>
      <c r="AB4400" s="2">
        <v>0.14642666505440299</v>
      </c>
      <c r="AC4400" s="2">
        <v>26371.3732155504</v>
      </c>
      <c r="AD4400" s="2">
        <v>22256.701044453199</v>
      </c>
      <c r="AE4400" s="2">
        <v>32110.919174995099</v>
      </c>
      <c r="AF4400" s="2">
        <v>21325.5596461758</v>
      </c>
      <c r="AG4400" s="2">
        <v>24652.253397063301</v>
      </c>
      <c r="AH4400" s="2">
        <v>29236.852051186801</v>
      </c>
      <c r="AI4400" s="2">
        <v>30035.425858805898</v>
      </c>
      <c r="AJ4400" s="2">
        <v>20867.229165075601</v>
      </c>
      <c r="AK4400" s="2">
        <v>17342.332285717501</v>
      </c>
      <c r="AL4400" s="2">
        <v>35048.724270500097</v>
      </c>
      <c r="AM4400" s="2">
        <v>21600.089157103899</v>
      </c>
      <c r="AN4400" s="2">
        <v>26166.530309103</v>
      </c>
      <c r="AO4400" s="2">
        <v>16311.070267932901</v>
      </c>
      <c r="AP4400" s="2">
        <v>17071.459976361799</v>
      </c>
    </row>
    <row r="4401" spans="1:42" ht="14.5" x14ac:dyDescent="0.35">
      <c r="A4401" s="2" t="s">
        <v>29228</v>
      </c>
      <c r="B4401" s="2">
        <v>327.059714588921</v>
      </c>
      <c r="C4401" s="2">
        <v>2.2171833333333302</v>
      </c>
      <c r="D4401" s="2" t="s">
        <v>70</v>
      </c>
      <c r="E4401" s="2" t="s">
        <v>29229</v>
      </c>
      <c r="F4401" s="2">
        <v>53614</v>
      </c>
      <c r="G4401" s="3" t="str">
        <f>HYPERLINK("http://funmeta.oebiotech.com/network/53614", "http://funmeta.oebiotech.com/network/53614")</f>
        <v>http://funmeta.oebiotech.com/network/53614</v>
      </c>
      <c r="H4401" s="2" t="s">
        <v>29230</v>
      </c>
      <c r="I4401" s="2">
        <v>6454</v>
      </c>
      <c r="J4401" s="2"/>
      <c r="K4401" s="2">
        <v>197010</v>
      </c>
      <c r="L4401" s="2" t="s">
        <v>29231</v>
      </c>
      <c r="M4401" s="2"/>
      <c r="N4401" s="2"/>
      <c r="O4401" s="2">
        <v>4488</v>
      </c>
      <c r="P4401" s="2" t="s">
        <v>29232</v>
      </c>
      <c r="Q4401" s="2" t="s">
        <v>29233</v>
      </c>
      <c r="R4401" s="2" t="s">
        <v>29234</v>
      </c>
      <c r="S4401" s="2" t="s">
        <v>148</v>
      </c>
      <c r="T4401" s="2" t="s">
        <v>149</v>
      </c>
      <c r="U4401" s="2" t="s">
        <v>10041</v>
      </c>
      <c r="V4401" s="2" t="s">
        <v>59</v>
      </c>
      <c r="W4401" s="2">
        <v>45.4</v>
      </c>
      <c r="X4401" s="2">
        <v>31.5</v>
      </c>
      <c r="Y4401" s="2" t="s">
        <v>408</v>
      </c>
      <c r="Z4401" s="2" t="s">
        <v>29235</v>
      </c>
      <c r="AA4401" s="2">
        <v>-0.35622865442603102</v>
      </c>
      <c r="AB4401" s="2">
        <v>0.146409259711825</v>
      </c>
      <c r="AC4401" s="2">
        <v>2654.8533722105199</v>
      </c>
      <c r="AD4401" s="2">
        <v>1216.1588259641301</v>
      </c>
      <c r="AE4401" s="2">
        <v>2510.9754430902199</v>
      </c>
      <c r="AF4401" s="2">
        <v>2660.9066888787902</v>
      </c>
      <c r="AG4401" s="2">
        <v>2826.3372747398698</v>
      </c>
      <c r="AH4401" s="2">
        <v>2324.8823515253398</v>
      </c>
      <c r="AI4401" s="2">
        <v>2735.5131817338502</v>
      </c>
      <c r="AJ4401" s="2">
        <v>2870.5052932950398</v>
      </c>
      <c r="AK4401" s="2">
        <v>1314.5351055717899</v>
      </c>
      <c r="AL4401" s="2">
        <v>1195.4528621890299</v>
      </c>
      <c r="AM4401" s="2">
        <v>1154.9100381195501</v>
      </c>
      <c r="AN4401" s="2">
        <v>1019.94436777654</v>
      </c>
      <c r="AO4401" s="2">
        <v>1379.4299963559599</v>
      </c>
      <c r="AP4401" s="2">
        <v>1232.6805857719201</v>
      </c>
    </row>
    <row r="4402" spans="1:42" ht="14.5" x14ac:dyDescent="0.35">
      <c r="A4402" s="2" t="s">
        <v>29236</v>
      </c>
      <c r="B4402" s="2">
        <v>361.16414097833899</v>
      </c>
      <c r="C4402" s="2">
        <v>4.4450666666666701</v>
      </c>
      <c r="D4402" s="2" t="s">
        <v>34</v>
      </c>
      <c r="E4402" s="5" t="s">
        <v>29237</v>
      </c>
      <c r="F4402" s="2">
        <v>256778</v>
      </c>
      <c r="G4402" s="3" t="str">
        <f>HYPERLINK("http://funmeta.oebiotech.com/network/256778", "http://funmeta.oebiotech.com/network/256778")</f>
        <v>http://funmeta.oebiotech.com/network/256778</v>
      </c>
      <c r="H4402" s="2" t="s">
        <v>29238</v>
      </c>
      <c r="I4402" s="2"/>
      <c r="J4402" s="2"/>
      <c r="K4402" s="2"/>
      <c r="L4402" s="2"/>
      <c r="M4402" s="2"/>
      <c r="N4402" s="2"/>
      <c r="O4402" s="2"/>
      <c r="P4402" s="2"/>
      <c r="Q4402" s="2" t="s">
        <v>29239</v>
      </c>
      <c r="R4402" s="2" t="s">
        <v>29240</v>
      </c>
      <c r="S4402" s="2" t="s">
        <v>89</v>
      </c>
      <c r="T4402" s="2" t="s">
        <v>90</v>
      </c>
      <c r="U4402" s="2" t="s">
        <v>99</v>
      </c>
      <c r="V4402" s="2" t="s">
        <v>59</v>
      </c>
      <c r="W4402" s="2">
        <v>37.799999999999997</v>
      </c>
      <c r="X4402" s="2">
        <v>0</v>
      </c>
      <c r="Y4402" s="2" t="s">
        <v>340</v>
      </c>
      <c r="Z4402" s="2" t="s">
        <v>29241</v>
      </c>
      <c r="AA4402" s="2">
        <v>-2.6395959700990099</v>
      </c>
      <c r="AB4402" s="2">
        <v>0.14615548032082901</v>
      </c>
      <c r="AC4402" s="2">
        <v>34934.059991584902</v>
      </c>
      <c r="AD4402" s="2">
        <v>37680.140684207399</v>
      </c>
      <c r="AE4402" s="2">
        <v>34644.546031649901</v>
      </c>
      <c r="AF4402" s="2">
        <v>38393.221963195203</v>
      </c>
      <c r="AG4402" s="2">
        <v>33337.904705021399</v>
      </c>
      <c r="AH4402" s="2">
        <v>33245.737194157897</v>
      </c>
      <c r="AI4402" s="2">
        <v>35085.1157268975</v>
      </c>
      <c r="AJ4402" s="2">
        <v>34897.834328587298</v>
      </c>
      <c r="AK4402" s="2">
        <v>35757.985586415802</v>
      </c>
      <c r="AL4402" s="2">
        <v>40710.451158570198</v>
      </c>
      <c r="AM4402" s="2">
        <v>37956.393722788998</v>
      </c>
      <c r="AN4402" s="2">
        <v>38073.407494482402</v>
      </c>
      <c r="AO4402" s="2">
        <v>32871.900112397998</v>
      </c>
      <c r="AP4402" s="2">
        <v>40710.706030589201</v>
      </c>
    </row>
    <row r="4403" spans="1:42" ht="14.5" x14ac:dyDescent="0.35">
      <c r="A4403" s="2" t="s">
        <v>29242</v>
      </c>
      <c r="B4403" s="2">
        <v>345.13304667800799</v>
      </c>
      <c r="C4403" s="2">
        <v>4.4289500000000004</v>
      </c>
      <c r="D4403" s="2" t="s">
        <v>34</v>
      </c>
      <c r="E4403" s="2" t="s">
        <v>29243</v>
      </c>
      <c r="F4403" s="2">
        <v>60753</v>
      </c>
      <c r="G4403" s="3" t="str">
        <f>HYPERLINK("http://funmeta.oebiotech.com/network/60753", "http://funmeta.oebiotech.com/network/60753")</f>
        <v>http://funmeta.oebiotech.com/network/60753</v>
      </c>
      <c r="H4403" s="2" t="s">
        <v>29244</v>
      </c>
      <c r="I4403" s="2">
        <v>72156</v>
      </c>
      <c r="J4403" s="2"/>
      <c r="K4403" s="2">
        <v>75544</v>
      </c>
      <c r="L4403" s="2" t="s">
        <v>29245</v>
      </c>
      <c r="M4403" s="2" t="s">
        <v>12240</v>
      </c>
      <c r="N4403" s="2" t="s">
        <v>12241</v>
      </c>
      <c r="O4403" s="2">
        <v>46173376</v>
      </c>
      <c r="P4403" s="2"/>
      <c r="Q4403" s="2" t="s">
        <v>29246</v>
      </c>
      <c r="R4403" s="2" t="s">
        <v>29247</v>
      </c>
      <c r="S4403" s="2" t="s">
        <v>115</v>
      </c>
      <c r="T4403" s="2" t="s">
        <v>116</v>
      </c>
      <c r="U4403" s="2" t="s">
        <v>117</v>
      </c>
      <c r="V4403" s="2" t="s">
        <v>59</v>
      </c>
      <c r="W4403" s="2">
        <v>38.799999999999997</v>
      </c>
      <c r="X4403" s="2">
        <v>0</v>
      </c>
      <c r="Y4403" s="2" t="s">
        <v>340</v>
      </c>
      <c r="Z4403" s="2" t="s">
        <v>29248</v>
      </c>
      <c r="AA4403" s="2">
        <v>2.2798328800681</v>
      </c>
      <c r="AB4403" s="2">
        <v>0.146052722992602</v>
      </c>
      <c r="AC4403" s="2">
        <v>48635.473124628501</v>
      </c>
      <c r="AD4403" s="2">
        <v>51442.489273374602</v>
      </c>
      <c r="AE4403" s="2">
        <v>45229.004428031702</v>
      </c>
      <c r="AF4403" s="2">
        <v>51994.301101778699</v>
      </c>
      <c r="AG4403" s="2">
        <v>49760.549394182803</v>
      </c>
      <c r="AH4403" s="2">
        <v>47649.722077844403</v>
      </c>
      <c r="AI4403" s="2">
        <v>51040.138544011301</v>
      </c>
      <c r="AJ4403" s="2">
        <v>46139.123201922201</v>
      </c>
      <c r="AK4403" s="2">
        <v>52362.899015435098</v>
      </c>
      <c r="AL4403" s="2">
        <v>50512.112404131702</v>
      </c>
      <c r="AM4403" s="2">
        <v>53752.601946141498</v>
      </c>
      <c r="AN4403" s="2">
        <v>53727.317971174998</v>
      </c>
      <c r="AO4403" s="2">
        <v>46527.110334687997</v>
      </c>
      <c r="AP4403" s="2">
        <v>51772.893968676501</v>
      </c>
    </row>
    <row r="4404" spans="1:42" ht="14.5" x14ac:dyDescent="0.35">
      <c r="A4404" s="2" t="s">
        <v>29249</v>
      </c>
      <c r="B4404" s="2">
        <v>371.11339747470799</v>
      </c>
      <c r="C4404" s="2">
        <v>7.7512499999999998</v>
      </c>
      <c r="D4404" s="2" t="s">
        <v>70</v>
      </c>
      <c r="E4404" s="2" t="s">
        <v>29250</v>
      </c>
      <c r="F4404" s="2">
        <v>267053</v>
      </c>
      <c r="G4404" s="3" t="str">
        <f>HYPERLINK("http://funmeta.oebiotech.com/network/267053", "http://funmeta.oebiotech.com/network/267053")</f>
        <v>http://funmeta.oebiotech.com/network/267053</v>
      </c>
      <c r="H4404" s="2"/>
      <c r="I4404" s="2">
        <v>44624</v>
      </c>
      <c r="J4404" s="2"/>
      <c r="K4404" s="2"/>
      <c r="L4404" s="2"/>
      <c r="M4404" s="2"/>
      <c r="N4404" s="2"/>
      <c r="O4404" s="2">
        <v>6728948</v>
      </c>
      <c r="P4404" s="2"/>
      <c r="Q4404" s="2" t="s">
        <v>29251</v>
      </c>
      <c r="R4404" s="2" t="s">
        <v>29252</v>
      </c>
      <c r="S4404" s="2" t="s">
        <v>115</v>
      </c>
      <c r="T4404" s="2" t="s">
        <v>1371</v>
      </c>
      <c r="U4404" s="2" t="s">
        <v>6597</v>
      </c>
      <c r="V4404" s="2" t="s">
        <v>59</v>
      </c>
      <c r="W4404" s="2">
        <v>38.1</v>
      </c>
      <c r="X4404" s="2">
        <v>0</v>
      </c>
      <c r="Y4404" s="2" t="s">
        <v>408</v>
      </c>
      <c r="Z4404" s="2" t="s">
        <v>29253</v>
      </c>
      <c r="AA4404" s="2">
        <v>-0.70242109079325499</v>
      </c>
      <c r="AB4404" s="2">
        <v>0.14590144563207699</v>
      </c>
      <c r="AC4404" s="2">
        <v>1832.2194817326299</v>
      </c>
      <c r="AD4404" s="2">
        <v>351.71443432902299</v>
      </c>
      <c r="AE4404" s="2">
        <v>2469.0899661840199</v>
      </c>
      <c r="AF4404" s="2">
        <v>2171.1399572236501</v>
      </c>
      <c r="AG4404" s="2">
        <v>1443.9792368742301</v>
      </c>
      <c r="AH4404" s="2">
        <v>1689.53609797935</v>
      </c>
      <c r="AI4404" s="2">
        <v>1609.62867220104</v>
      </c>
      <c r="AJ4404" s="2">
        <v>1609.9429599334701</v>
      </c>
      <c r="AK4404" s="2">
        <v>349.48052600208598</v>
      </c>
      <c r="AL4404" s="2">
        <v>463.43684325663401</v>
      </c>
      <c r="AM4404" s="2">
        <v>260.56121288077702</v>
      </c>
      <c r="AN4404" s="2">
        <v>152.699083962315</v>
      </c>
      <c r="AO4404" s="2">
        <v>423.32817709871199</v>
      </c>
      <c r="AP4404" s="2">
        <v>460.78076277361498</v>
      </c>
    </row>
    <row r="4405" spans="1:42" ht="14.5" x14ac:dyDescent="0.35">
      <c r="A4405" s="2" t="s">
        <v>29254</v>
      </c>
      <c r="B4405" s="2">
        <v>581.28105977846099</v>
      </c>
      <c r="C4405" s="2">
        <v>4.3994166666666699</v>
      </c>
      <c r="D4405" s="2" t="s">
        <v>70</v>
      </c>
      <c r="E4405" s="2" t="s">
        <v>29255</v>
      </c>
      <c r="F4405" s="2">
        <v>277022</v>
      </c>
      <c r="G4405" s="3" t="str">
        <f>HYPERLINK("http://funmeta.oebiotech.com/network/277022", "http://funmeta.oebiotech.com/network/277022")</f>
        <v>http://funmeta.oebiotech.com/network/277022</v>
      </c>
      <c r="H4405" s="2"/>
      <c r="I4405" s="2">
        <v>68639</v>
      </c>
      <c r="J4405" s="2"/>
      <c r="K4405" s="2"/>
      <c r="L4405" s="2" t="s">
        <v>29256</v>
      </c>
      <c r="M4405" s="2"/>
      <c r="N4405" s="2"/>
      <c r="O4405" s="2">
        <v>443007</v>
      </c>
      <c r="P4405" s="2" t="s">
        <v>29257</v>
      </c>
      <c r="Q4405" s="2" t="s">
        <v>29258</v>
      </c>
      <c r="R4405" s="2" t="s">
        <v>29259</v>
      </c>
      <c r="S4405" s="2" t="s">
        <v>148</v>
      </c>
      <c r="T4405" s="2" t="s">
        <v>149</v>
      </c>
      <c r="U4405" s="2" t="s">
        <v>1593</v>
      </c>
      <c r="V4405" s="2" t="s">
        <v>59</v>
      </c>
      <c r="W4405" s="2">
        <v>37.1</v>
      </c>
      <c r="X4405" s="2">
        <v>0</v>
      </c>
      <c r="Y4405" s="2" t="s">
        <v>560</v>
      </c>
      <c r="Z4405" s="2" t="s">
        <v>29260</v>
      </c>
      <c r="AA4405" s="2">
        <v>-9.9264313300441298</v>
      </c>
      <c r="AB4405" s="2">
        <v>0.14586313290689101</v>
      </c>
      <c r="AC4405" s="2">
        <v>3011.9584110281198</v>
      </c>
      <c r="AD4405" s="2">
        <v>4879.3216439095504</v>
      </c>
      <c r="AE4405" s="2">
        <v>2528.6268492172399</v>
      </c>
      <c r="AF4405" s="2">
        <v>2974.1968024963899</v>
      </c>
      <c r="AG4405" s="2">
        <v>2884.76497818183</v>
      </c>
      <c r="AH4405" s="2">
        <v>2784.6727235399899</v>
      </c>
      <c r="AI4405" s="2">
        <v>4589.5195155199799</v>
      </c>
      <c r="AJ4405" s="2">
        <v>2309.96959721332</v>
      </c>
      <c r="AK4405" s="2">
        <v>3358.23674523402</v>
      </c>
      <c r="AL4405" s="2">
        <v>5381.6230873913801</v>
      </c>
      <c r="AM4405" s="2">
        <v>6263.7510404445102</v>
      </c>
      <c r="AN4405" s="2">
        <v>4209.5174760834698</v>
      </c>
      <c r="AO4405" s="2">
        <v>4579.3676992594901</v>
      </c>
      <c r="AP4405" s="2">
        <v>5483.43381504441</v>
      </c>
    </row>
    <row r="4406" spans="1:42" ht="14.5" x14ac:dyDescent="0.35">
      <c r="A4406" s="2" t="s">
        <v>29261</v>
      </c>
      <c r="B4406" s="2">
        <v>327.123372247426</v>
      </c>
      <c r="C4406" s="2">
        <v>4.6304499999999997</v>
      </c>
      <c r="D4406" s="2" t="s">
        <v>70</v>
      </c>
      <c r="E4406" s="5" t="s">
        <v>29262</v>
      </c>
      <c r="F4406" s="2">
        <v>35993</v>
      </c>
      <c r="G4406" s="3" t="str">
        <f>HYPERLINK("http://funmeta.oebiotech.com/network/35993", "http://funmeta.oebiotech.com/network/35993")</f>
        <v>http://funmeta.oebiotech.com/network/35993</v>
      </c>
      <c r="H4406" s="2" t="s">
        <v>29263</v>
      </c>
      <c r="I4406" s="2">
        <v>6954</v>
      </c>
      <c r="J4406" s="2" t="s">
        <v>29264</v>
      </c>
      <c r="K4406" s="2">
        <v>28833</v>
      </c>
      <c r="L4406" s="2" t="s">
        <v>29265</v>
      </c>
      <c r="M4406" s="2" t="s">
        <v>236</v>
      </c>
      <c r="N4406" s="2" t="s">
        <v>237</v>
      </c>
      <c r="O4406" s="2">
        <v>439551</v>
      </c>
      <c r="P4406" s="2" t="s">
        <v>29266</v>
      </c>
      <c r="Q4406" s="2" t="s">
        <v>29267</v>
      </c>
      <c r="R4406" s="2" t="s">
        <v>29268</v>
      </c>
      <c r="S4406" s="2" t="s">
        <v>50</v>
      </c>
      <c r="T4406" s="2" t="s">
        <v>201</v>
      </c>
      <c r="U4406" s="2" t="s">
        <v>241</v>
      </c>
      <c r="V4406" s="2" t="s">
        <v>42</v>
      </c>
      <c r="W4406" s="2">
        <v>52.9</v>
      </c>
      <c r="X4406" s="2">
        <v>82.9</v>
      </c>
      <c r="Y4406" s="2" t="s">
        <v>751</v>
      </c>
      <c r="Z4406" s="2" t="s">
        <v>25359</v>
      </c>
      <c r="AA4406" s="2">
        <v>-1.22798134412726</v>
      </c>
      <c r="AB4406" s="2">
        <v>0.145853286155914</v>
      </c>
      <c r="AC4406" s="2">
        <v>356264.79520056403</v>
      </c>
      <c r="AD4406" s="2">
        <v>362912.38659816398</v>
      </c>
      <c r="AE4406" s="2">
        <v>355278.69731727801</v>
      </c>
      <c r="AF4406" s="2">
        <v>378865.63199277298</v>
      </c>
      <c r="AG4406" s="2">
        <v>340476.77357961203</v>
      </c>
      <c r="AH4406" s="2">
        <v>342758.78071646701</v>
      </c>
      <c r="AI4406" s="2">
        <v>365974.739534633</v>
      </c>
      <c r="AJ4406" s="2">
        <v>354234.14806262398</v>
      </c>
      <c r="AK4406" s="2">
        <v>351355.82191124198</v>
      </c>
      <c r="AL4406" s="2">
        <v>371824.43707735703</v>
      </c>
      <c r="AM4406" s="2">
        <v>350574.50309944898</v>
      </c>
      <c r="AN4406" s="2">
        <v>379311.97747321398</v>
      </c>
      <c r="AO4406" s="2">
        <v>337167.56559329003</v>
      </c>
      <c r="AP4406" s="2">
        <v>387240.014434429</v>
      </c>
    </row>
    <row r="4407" spans="1:42" ht="14.5" x14ac:dyDescent="0.35">
      <c r="A4407" s="2" t="s">
        <v>29269</v>
      </c>
      <c r="B4407" s="2">
        <v>332.28015373068899</v>
      </c>
      <c r="C4407" s="2">
        <v>10.3988666666667</v>
      </c>
      <c r="D4407" s="2" t="s">
        <v>34</v>
      </c>
      <c r="E4407" s="2" t="s">
        <v>29270</v>
      </c>
      <c r="F4407" s="2">
        <v>3018</v>
      </c>
      <c r="G4407" s="3" t="str">
        <f>HYPERLINK("http://funmeta.oebiotech.com/network/3018", "http://funmeta.oebiotech.com/network/3018")</f>
        <v>http://funmeta.oebiotech.com/network/3018</v>
      </c>
      <c r="H4407" s="2"/>
      <c r="I4407" s="2">
        <v>96882</v>
      </c>
      <c r="J4407" s="2" t="s">
        <v>29271</v>
      </c>
      <c r="K4407" s="2"/>
      <c r="L4407" s="2"/>
      <c r="M4407" s="2"/>
      <c r="N4407" s="2"/>
      <c r="O4407" s="2">
        <v>56935843</v>
      </c>
      <c r="P4407" s="2"/>
      <c r="Q4407" s="2" t="s">
        <v>29272</v>
      </c>
      <c r="R4407" s="2" t="s">
        <v>29273</v>
      </c>
      <c r="S4407" s="2" t="s">
        <v>50</v>
      </c>
      <c r="T4407" s="2" t="s">
        <v>229</v>
      </c>
      <c r="U4407" s="2" t="s">
        <v>433</v>
      </c>
      <c r="V4407" s="2" t="s">
        <v>59</v>
      </c>
      <c r="W4407" s="2">
        <v>37</v>
      </c>
      <c r="X4407" s="2">
        <v>4.0599999999999996</v>
      </c>
      <c r="Y4407" s="2" t="s">
        <v>43</v>
      </c>
      <c r="Z4407" s="2" t="s">
        <v>2693</v>
      </c>
      <c r="AA4407" s="2">
        <v>1.9686253479690701</v>
      </c>
      <c r="AB4407" s="2">
        <v>0.145852167641951</v>
      </c>
      <c r="AC4407" s="2">
        <v>4924.8464242057698</v>
      </c>
      <c r="AD4407" s="2">
        <v>6609.3916135025702</v>
      </c>
      <c r="AE4407" s="2">
        <v>5089.6032421546197</v>
      </c>
      <c r="AF4407" s="2">
        <v>4615.0942270473797</v>
      </c>
      <c r="AG4407" s="2">
        <v>5227.7844896451097</v>
      </c>
      <c r="AH4407" s="2">
        <v>4855.8997634410698</v>
      </c>
      <c r="AI4407" s="2">
        <v>4920.5490206315699</v>
      </c>
      <c r="AJ4407" s="2">
        <v>4840.1478023148702</v>
      </c>
      <c r="AK4407" s="2">
        <v>7872.4447076981596</v>
      </c>
      <c r="AL4407" s="2">
        <v>5574.9793501047998</v>
      </c>
      <c r="AM4407" s="2">
        <v>7396.7522182329003</v>
      </c>
      <c r="AN4407" s="2">
        <v>6349.0055135577504</v>
      </c>
      <c r="AO4407" s="2">
        <v>6408.5547122349199</v>
      </c>
      <c r="AP4407" s="2">
        <v>6054.6131791868902</v>
      </c>
    </row>
    <row r="4408" spans="1:42" ht="14.5" x14ac:dyDescent="0.35">
      <c r="A4408" s="2" t="s">
        <v>29274</v>
      </c>
      <c r="B4408" s="2">
        <v>491.14031018054601</v>
      </c>
      <c r="C4408" s="2">
        <v>4.3994166666666699</v>
      </c>
      <c r="D4408" s="2" t="s">
        <v>70</v>
      </c>
      <c r="E4408" s="2" t="s">
        <v>29275</v>
      </c>
      <c r="F4408" s="2">
        <v>58927</v>
      </c>
      <c r="G4408" s="3" t="str">
        <f>HYPERLINK("http://funmeta.oebiotech.com/network/58927", "http://funmeta.oebiotech.com/network/58927")</f>
        <v>http://funmeta.oebiotech.com/network/58927</v>
      </c>
      <c r="H4408" s="2" t="s">
        <v>29276</v>
      </c>
      <c r="I4408" s="2">
        <v>90367</v>
      </c>
      <c r="J4408" s="2"/>
      <c r="K4408" s="2">
        <v>168248</v>
      </c>
      <c r="L4408" s="2"/>
      <c r="M4408" s="2"/>
      <c r="N4408" s="2"/>
      <c r="O4408" s="2">
        <v>85260329</v>
      </c>
      <c r="P4408" s="2" t="s">
        <v>29277</v>
      </c>
      <c r="Q4408" s="2" t="s">
        <v>29278</v>
      </c>
      <c r="R4408" s="2" t="s">
        <v>29279</v>
      </c>
      <c r="S4408" s="2" t="s">
        <v>79</v>
      </c>
      <c r="T4408" s="2" t="s">
        <v>80</v>
      </c>
      <c r="U4408" s="2" t="s">
        <v>81</v>
      </c>
      <c r="V4408" s="2" t="s">
        <v>59</v>
      </c>
      <c r="W4408" s="2">
        <v>47.1</v>
      </c>
      <c r="X4408" s="2">
        <v>43.2</v>
      </c>
      <c r="Y4408" s="2" t="s">
        <v>286</v>
      </c>
      <c r="Z4408" s="2" t="s">
        <v>19304</v>
      </c>
      <c r="AA4408" s="2">
        <v>-0.71492414729063303</v>
      </c>
      <c r="AB4408" s="2">
        <v>0.14574760668008699</v>
      </c>
      <c r="AC4408" s="2">
        <v>103431.549573371</v>
      </c>
      <c r="AD4408" s="2">
        <v>107114.48571415999</v>
      </c>
      <c r="AE4408" s="2">
        <v>104796.498690137</v>
      </c>
      <c r="AF4408" s="2">
        <v>104413.152615136</v>
      </c>
      <c r="AG4408" s="2">
        <v>107932.342930164</v>
      </c>
      <c r="AH4408" s="2">
        <v>105429.893946948</v>
      </c>
      <c r="AI4408" s="2">
        <v>100404.841348623</v>
      </c>
      <c r="AJ4408" s="2">
        <v>97612.567909218094</v>
      </c>
      <c r="AK4408" s="2">
        <v>114965.769560316</v>
      </c>
      <c r="AL4408" s="2">
        <v>113076.74798254701</v>
      </c>
      <c r="AM4408" s="2">
        <v>105570.23521441899</v>
      </c>
      <c r="AN4408" s="2">
        <v>101569.76575468</v>
      </c>
      <c r="AO4408" s="2">
        <v>104561.041585728</v>
      </c>
      <c r="AP4408" s="2">
        <v>102943.354187269</v>
      </c>
    </row>
    <row r="4409" spans="1:42" ht="14.5" x14ac:dyDescent="0.35">
      <c r="A4409" s="2" t="s">
        <v>29280</v>
      </c>
      <c r="B4409" s="2">
        <v>312.36228861379999</v>
      </c>
      <c r="C4409" s="2">
        <v>11.02375</v>
      </c>
      <c r="D4409" s="2" t="s">
        <v>34</v>
      </c>
      <c r="E4409" s="2" t="s">
        <v>29281</v>
      </c>
      <c r="F4409" s="2">
        <v>9155</v>
      </c>
      <c r="G4409" s="3" t="str">
        <f>HYPERLINK("http://funmeta.oebiotech.com/network/9155", "http://funmeta.oebiotech.com/network/9155")</f>
        <v>http://funmeta.oebiotech.com/network/9155</v>
      </c>
      <c r="H4409" s="2"/>
      <c r="I4409" s="2">
        <v>97456</v>
      </c>
      <c r="J4409" s="2" t="s">
        <v>29282</v>
      </c>
      <c r="K4409" s="2"/>
      <c r="L4409" s="2"/>
      <c r="M4409" s="2"/>
      <c r="N4409" s="2"/>
      <c r="O4409" s="2">
        <v>22171964</v>
      </c>
      <c r="P4409" s="2"/>
      <c r="Q4409" s="2" t="s">
        <v>29283</v>
      </c>
      <c r="R4409" s="2" t="s">
        <v>29284</v>
      </c>
      <c r="S4409" s="2" t="s">
        <v>3194</v>
      </c>
      <c r="T4409" s="2" t="s">
        <v>3195</v>
      </c>
      <c r="U4409" s="2" t="s">
        <v>3196</v>
      </c>
      <c r="V4409" s="2" t="s">
        <v>59</v>
      </c>
      <c r="W4409" s="2">
        <v>39.1</v>
      </c>
      <c r="X4409" s="2">
        <v>0</v>
      </c>
      <c r="Y4409" s="2" t="s">
        <v>43</v>
      </c>
      <c r="Z4409" s="2" t="s">
        <v>29285</v>
      </c>
      <c r="AA4409" s="2">
        <v>-0.639635792114438</v>
      </c>
      <c r="AB4409" s="2">
        <v>0.14573087609513</v>
      </c>
      <c r="AC4409" s="2">
        <v>8591.1343554330106</v>
      </c>
      <c r="AD4409" s="2">
        <v>10953.7549007608</v>
      </c>
      <c r="AE4409" s="2">
        <v>7971.79996113384</v>
      </c>
      <c r="AF4409" s="2">
        <v>9239.1151682874606</v>
      </c>
      <c r="AG4409" s="2">
        <v>7511.1945574791698</v>
      </c>
      <c r="AH4409" s="2">
        <v>11992.021206429799</v>
      </c>
      <c r="AI4409" s="2">
        <v>6821.4782517083004</v>
      </c>
      <c r="AJ4409" s="2">
        <v>8011.1969875595196</v>
      </c>
      <c r="AK4409" s="2">
        <v>9954.5059909530792</v>
      </c>
      <c r="AL4409" s="2">
        <v>10125.8649238912</v>
      </c>
      <c r="AM4409" s="2">
        <v>9612.3144053821998</v>
      </c>
      <c r="AN4409" s="2">
        <v>13643.956595556499</v>
      </c>
      <c r="AO4409" s="2">
        <v>9897.1255018972297</v>
      </c>
      <c r="AP4409" s="2">
        <v>12488.761986884399</v>
      </c>
    </row>
    <row r="4410" spans="1:42" ht="14.5" x14ac:dyDescent="0.35">
      <c r="A4410" s="2" t="s">
        <v>29286</v>
      </c>
      <c r="B4410" s="2">
        <v>294.13446087799298</v>
      </c>
      <c r="C4410" s="2">
        <v>4.7579333333333302</v>
      </c>
      <c r="D4410" s="2" t="s">
        <v>70</v>
      </c>
      <c r="E4410" s="2" t="s">
        <v>29287</v>
      </c>
      <c r="F4410" s="2">
        <v>115424</v>
      </c>
      <c r="G4410" s="3" t="str">
        <f>HYPERLINK("http://funmeta.oebiotech.com/network/115424", "http://funmeta.oebiotech.com/network/115424")</f>
        <v>http://funmeta.oebiotech.com/network/115424</v>
      </c>
      <c r="H4410" s="2" t="s">
        <v>29288</v>
      </c>
      <c r="I4410" s="2"/>
      <c r="J4410" s="2"/>
      <c r="K4410" s="2"/>
      <c r="L4410" s="2"/>
      <c r="M4410" s="2"/>
      <c r="N4410" s="2"/>
      <c r="O4410" s="2">
        <v>13890535</v>
      </c>
      <c r="P4410" s="2"/>
      <c r="Q4410" s="2" t="s">
        <v>29289</v>
      </c>
      <c r="R4410" s="2" t="s">
        <v>29290</v>
      </c>
      <c r="S4410" s="2" t="s">
        <v>89</v>
      </c>
      <c r="T4410" s="2" t="s">
        <v>90</v>
      </c>
      <c r="U4410" s="2" t="s">
        <v>99</v>
      </c>
      <c r="V4410" s="2" t="s">
        <v>59</v>
      </c>
      <c r="W4410" s="2">
        <v>38.1</v>
      </c>
      <c r="X4410" s="2">
        <v>0</v>
      </c>
      <c r="Y4410" s="2" t="s">
        <v>408</v>
      </c>
      <c r="Z4410" s="2" t="s">
        <v>29291</v>
      </c>
      <c r="AA4410" s="2">
        <v>-0.94512374986284298</v>
      </c>
      <c r="AB4410" s="2">
        <v>0.14560364246084001</v>
      </c>
      <c r="AC4410" s="2">
        <v>4106.2485279081502</v>
      </c>
      <c r="AD4410" s="2">
        <v>5712.6523686480105</v>
      </c>
      <c r="AE4410" s="2">
        <v>4024.27236703675</v>
      </c>
      <c r="AF4410" s="2">
        <v>4209.4216016403998</v>
      </c>
      <c r="AG4410" s="2">
        <v>4264.2811664302799</v>
      </c>
      <c r="AH4410" s="2">
        <v>3454.3545256328198</v>
      </c>
      <c r="AI4410" s="2">
        <v>4187.9281450266599</v>
      </c>
      <c r="AJ4410" s="2">
        <v>4497.2333616819697</v>
      </c>
      <c r="AK4410" s="2">
        <v>6484.9236730554903</v>
      </c>
      <c r="AL4410" s="2">
        <v>6138.7430064477003</v>
      </c>
      <c r="AM4410" s="2">
        <v>5899.62802254079</v>
      </c>
      <c r="AN4410" s="2">
        <v>5104.79080088915</v>
      </c>
      <c r="AO4410" s="2">
        <v>4885.9758953396204</v>
      </c>
      <c r="AP4410" s="2">
        <v>5761.8528136153</v>
      </c>
    </row>
    <row r="4411" spans="1:42" ht="14.5" x14ac:dyDescent="0.35">
      <c r="A4411" s="2" t="s">
        <v>29292</v>
      </c>
      <c r="B4411" s="2">
        <v>599.27082145495399</v>
      </c>
      <c r="C4411" s="2">
        <v>5.6725000000000003</v>
      </c>
      <c r="D4411" s="2" t="s">
        <v>70</v>
      </c>
      <c r="E4411" s="2" t="s">
        <v>29293</v>
      </c>
      <c r="F4411" s="2">
        <v>205148</v>
      </c>
      <c r="G4411" s="3" t="str">
        <f>HYPERLINK("http://funmeta.oebiotech.com/network/205148", "http://funmeta.oebiotech.com/network/205148")</f>
        <v>http://funmeta.oebiotech.com/network/205148</v>
      </c>
      <c r="H4411" s="2" t="s">
        <v>29294</v>
      </c>
      <c r="I4411" s="2"/>
      <c r="J4411" s="2"/>
      <c r="K4411" s="2"/>
      <c r="L4411" s="2"/>
      <c r="M4411" s="2"/>
      <c r="N4411" s="2"/>
      <c r="O4411" s="2">
        <v>3085086</v>
      </c>
      <c r="P4411" s="2"/>
      <c r="Q4411" s="2" t="s">
        <v>29295</v>
      </c>
      <c r="R4411" s="2" t="s">
        <v>29296</v>
      </c>
      <c r="S4411" s="2" t="s">
        <v>41</v>
      </c>
      <c r="T4411" s="2" t="s">
        <v>41</v>
      </c>
      <c r="U4411" s="2" t="s">
        <v>41</v>
      </c>
      <c r="V4411" s="2" t="s">
        <v>42</v>
      </c>
      <c r="W4411" s="2">
        <v>43</v>
      </c>
      <c r="X4411" s="2">
        <v>47.5</v>
      </c>
      <c r="Y4411" s="2" t="s">
        <v>408</v>
      </c>
      <c r="Z4411" s="2" t="s">
        <v>29297</v>
      </c>
      <c r="AA4411" s="2">
        <v>-1.36889630175245</v>
      </c>
      <c r="AB4411" s="2">
        <v>0.14557221124032799</v>
      </c>
      <c r="AC4411" s="2">
        <v>134555.58180563699</v>
      </c>
      <c r="AD4411" s="2">
        <v>131109.06455112199</v>
      </c>
      <c r="AE4411" s="2">
        <v>137896.21668744099</v>
      </c>
      <c r="AF4411" s="2">
        <v>133673.85913115999</v>
      </c>
      <c r="AG4411" s="2">
        <v>131147.059243061</v>
      </c>
      <c r="AH4411" s="2">
        <v>135716.43778762399</v>
      </c>
      <c r="AI4411" s="2">
        <v>129087.014426799</v>
      </c>
      <c r="AJ4411" s="2">
        <v>139812.90355773599</v>
      </c>
      <c r="AK4411" s="2">
        <v>129089.014209505</v>
      </c>
      <c r="AL4411" s="2">
        <v>137893.149809942</v>
      </c>
      <c r="AM4411" s="2">
        <v>135771.87516760101</v>
      </c>
      <c r="AN4411" s="2">
        <v>130415.324566924</v>
      </c>
      <c r="AO4411" s="2">
        <v>126210.06414491701</v>
      </c>
      <c r="AP4411" s="2">
        <v>127274.95940784201</v>
      </c>
    </row>
    <row r="4412" spans="1:42" ht="14.5" x14ac:dyDescent="0.35">
      <c r="A4412" s="2" t="s">
        <v>29298</v>
      </c>
      <c r="B4412" s="2">
        <v>185.117340308498</v>
      </c>
      <c r="C4412" s="2">
        <v>6.5379166666666704</v>
      </c>
      <c r="D4412" s="2" t="s">
        <v>70</v>
      </c>
      <c r="E4412" s="2" t="s">
        <v>29299</v>
      </c>
      <c r="F4412" s="2">
        <v>1901</v>
      </c>
      <c r="G4412" s="3" t="str">
        <f>HYPERLINK("http://funmeta.oebiotech.com/network/1901", "http://funmeta.oebiotech.com/network/1901")</f>
        <v>http://funmeta.oebiotech.com/network/1901</v>
      </c>
      <c r="H4412" s="2"/>
      <c r="I4412" s="2"/>
      <c r="J4412" s="2" t="s">
        <v>29300</v>
      </c>
      <c r="K4412" s="2"/>
      <c r="L4412" s="2"/>
      <c r="M4412" s="2"/>
      <c r="N4412" s="2"/>
      <c r="O4412" s="2">
        <v>9859090</v>
      </c>
      <c r="P4412" s="2"/>
      <c r="Q4412" s="2" t="s">
        <v>29301</v>
      </c>
      <c r="R4412" s="2" t="s">
        <v>29302</v>
      </c>
      <c r="S4412" s="2" t="s">
        <v>89</v>
      </c>
      <c r="T4412" s="2" t="s">
        <v>4218</v>
      </c>
      <c r="U4412" s="2" t="s">
        <v>5830</v>
      </c>
      <c r="V4412" s="2" t="s">
        <v>59</v>
      </c>
      <c r="W4412" s="2">
        <v>44</v>
      </c>
      <c r="X4412" s="2">
        <v>29.4</v>
      </c>
      <c r="Y4412" s="2" t="s">
        <v>751</v>
      </c>
      <c r="Z4412" s="2" t="s">
        <v>29303</v>
      </c>
      <c r="AA4412" s="2">
        <v>-4.7894069633994203</v>
      </c>
      <c r="AB4412" s="2">
        <v>0.145566906770833</v>
      </c>
      <c r="AC4412" s="2">
        <v>12243.6563921415</v>
      </c>
      <c r="AD4412" s="2">
        <v>13965.0716633539</v>
      </c>
      <c r="AE4412" s="2">
        <v>12127.6881934012</v>
      </c>
      <c r="AF4412" s="2">
        <v>12023.768818312599</v>
      </c>
      <c r="AG4412" s="2">
        <v>13570.706950047401</v>
      </c>
      <c r="AH4412" s="2">
        <v>11816.4442786076</v>
      </c>
      <c r="AI4412" s="2">
        <v>11705.236485940701</v>
      </c>
      <c r="AJ4412" s="2">
        <v>12218.093626539699</v>
      </c>
      <c r="AK4412" s="2">
        <v>14835.2563956905</v>
      </c>
      <c r="AL4412" s="2">
        <v>13722.9123762646</v>
      </c>
      <c r="AM4412" s="2">
        <v>13663.5740001332</v>
      </c>
      <c r="AN4412" s="2">
        <v>14081.7081237277</v>
      </c>
      <c r="AO4412" s="2">
        <v>14540.3890495368</v>
      </c>
      <c r="AP4412" s="2">
        <v>12946.590034770399</v>
      </c>
    </row>
    <row r="4413" spans="1:42" ht="14.5" x14ac:dyDescent="0.35">
      <c r="A4413" s="2" t="s">
        <v>29304</v>
      </c>
      <c r="B4413" s="2">
        <v>597.14026518243497</v>
      </c>
      <c r="C4413" s="2">
        <v>10.0583166666667</v>
      </c>
      <c r="D4413" s="2" t="s">
        <v>70</v>
      </c>
      <c r="E4413" s="2" t="s">
        <v>29305</v>
      </c>
      <c r="F4413" s="2">
        <v>54642</v>
      </c>
      <c r="G4413" s="3" t="str">
        <f>HYPERLINK("http://funmeta.oebiotech.com/network/54642", "http://funmeta.oebiotech.com/network/54642")</f>
        <v>http://funmeta.oebiotech.com/network/54642</v>
      </c>
      <c r="H4413" s="2" t="s">
        <v>29306</v>
      </c>
      <c r="I4413" s="2">
        <v>4023</v>
      </c>
      <c r="J4413" s="2"/>
      <c r="K4413" s="2">
        <v>77092</v>
      </c>
      <c r="L4413" s="2"/>
      <c r="M4413" s="2"/>
      <c r="N4413" s="2"/>
      <c r="O4413" s="2">
        <v>3334</v>
      </c>
      <c r="P4413" s="2" t="s">
        <v>29307</v>
      </c>
      <c r="Q4413" s="2" t="s">
        <v>29308</v>
      </c>
      <c r="R4413" s="2" t="s">
        <v>29309</v>
      </c>
      <c r="S4413" s="2" t="s">
        <v>491</v>
      </c>
      <c r="T4413" s="2" t="s">
        <v>15878</v>
      </c>
      <c r="U4413" s="2" t="s">
        <v>29310</v>
      </c>
      <c r="V4413" s="2" t="s">
        <v>59</v>
      </c>
      <c r="W4413" s="2">
        <v>36.799999999999997</v>
      </c>
      <c r="X4413" s="2">
        <v>0</v>
      </c>
      <c r="Y4413" s="2" t="s">
        <v>560</v>
      </c>
      <c r="Z4413" s="2" t="s">
        <v>29311</v>
      </c>
      <c r="AA4413" s="2">
        <v>3.0866619781637401</v>
      </c>
      <c r="AB4413" s="2">
        <v>0.14554916765645001</v>
      </c>
      <c r="AC4413" s="2">
        <v>5608.6944184628901</v>
      </c>
      <c r="AD4413" s="2">
        <v>3668.7538841575101</v>
      </c>
      <c r="AE4413" s="2">
        <v>4614.5475892811201</v>
      </c>
      <c r="AF4413" s="2">
        <v>4433.5583368954203</v>
      </c>
      <c r="AG4413" s="2">
        <v>4460.3935980358901</v>
      </c>
      <c r="AH4413" s="2">
        <v>6900.4592494415601</v>
      </c>
      <c r="AI4413" s="2">
        <v>7027.6847981587198</v>
      </c>
      <c r="AJ4413" s="2">
        <v>6215.5229389646101</v>
      </c>
      <c r="AK4413" s="2">
        <v>3218.8710990556501</v>
      </c>
      <c r="AL4413" s="2">
        <v>3548.7092975947899</v>
      </c>
      <c r="AM4413" s="2">
        <v>2631.6010703797401</v>
      </c>
      <c r="AN4413" s="2">
        <v>3963.6797810802</v>
      </c>
      <c r="AO4413" s="2">
        <v>4501.7882990895196</v>
      </c>
      <c r="AP4413" s="2">
        <v>4147.8737577451502</v>
      </c>
    </row>
    <row r="4414" spans="1:42" ht="14.5" x14ac:dyDescent="0.35">
      <c r="A4414" s="2" t="s">
        <v>29312</v>
      </c>
      <c r="B4414" s="2">
        <v>487.24798488790202</v>
      </c>
      <c r="C4414" s="2">
        <v>9.8244000000000007</v>
      </c>
      <c r="D4414" s="2" t="s">
        <v>34</v>
      </c>
      <c r="E4414" s="2" t="s">
        <v>29313</v>
      </c>
      <c r="F4414" s="2">
        <v>211609</v>
      </c>
      <c r="G4414" s="3" t="str">
        <f>HYPERLINK("http://funmeta.oebiotech.com/network/211609", "http://funmeta.oebiotech.com/network/211609")</f>
        <v>http://funmeta.oebiotech.com/network/211609</v>
      </c>
      <c r="H4414" s="2" t="s">
        <v>29314</v>
      </c>
      <c r="I4414" s="2"/>
      <c r="J4414" s="2"/>
      <c r="K4414" s="2"/>
      <c r="L4414" s="2"/>
      <c r="M4414" s="2"/>
      <c r="N4414" s="2"/>
      <c r="O4414" s="2">
        <v>9828909</v>
      </c>
      <c r="P4414" s="2"/>
      <c r="Q4414" s="2" t="s">
        <v>29315</v>
      </c>
      <c r="R4414" s="2" t="s">
        <v>29316</v>
      </c>
      <c r="S4414" s="2" t="s">
        <v>41</v>
      </c>
      <c r="T4414" s="2" t="s">
        <v>41</v>
      </c>
      <c r="U4414" s="2" t="s">
        <v>41</v>
      </c>
      <c r="V4414" s="2" t="s">
        <v>59</v>
      </c>
      <c r="W4414" s="2">
        <v>38.799999999999997</v>
      </c>
      <c r="X4414" s="2">
        <v>0</v>
      </c>
      <c r="Y4414" s="2" t="s">
        <v>340</v>
      </c>
      <c r="Z4414" s="2" t="s">
        <v>29317</v>
      </c>
      <c r="AA4414" s="2">
        <v>2.2316108758184399</v>
      </c>
      <c r="AB4414" s="2">
        <v>0.14540189859559799</v>
      </c>
      <c r="AC4414" s="2">
        <v>13636.9898689984</v>
      </c>
      <c r="AD4414" s="2">
        <v>15322.121835399799</v>
      </c>
      <c r="AE4414" s="2">
        <v>14569.8575990302</v>
      </c>
      <c r="AF4414" s="2">
        <v>13035.355053917699</v>
      </c>
      <c r="AG4414" s="2">
        <v>13264.718851267</v>
      </c>
      <c r="AH4414" s="2">
        <v>13935.1807316174</v>
      </c>
      <c r="AI4414" s="2">
        <v>13008.8782252315</v>
      </c>
      <c r="AJ4414" s="2">
        <v>14007.948752926901</v>
      </c>
      <c r="AK4414" s="2">
        <v>16141.651711280399</v>
      </c>
      <c r="AL4414" s="2">
        <v>15516.209656552201</v>
      </c>
      <c r="AM4414" s="2">
        <v>14776.765839678301</v>
      </c>
      <c r="AN4414" s="2">
        <v>14533.3722242639</v>
      </c>
      <c r="AO4414" s="2">
        <v>15792.096075171799</v>
      </c>
      <c r="AP4414" s="2">
        <v>15172.635505452099</v>
      </c>
    </row>
    <row r="4415" spans="1:42" ht="14.5" x14ac:dyDescent="0.35">
      <c r="A4415" s="2" t="s">
        <v>29318</v>
      </c>
      <c r="B4415" s="2">
        <v>887.25688402215701</v>
      </c>
      <c r="C4415" s="2">
        <v>5.37571666666667</v>
      </c>
      <c r="D4415" s="2" t="s">
        <v>70</v>
      </c>
      <c r="E4415" s="2" t="s">
        <v>29319</v>
      </c>
      <c r="F4415" s="2">
        <v>63360</v>
      </c>
      <c r="G4415" s="3" t="str">
        <f>HYPERLINK("http://funmeta.oebiotech.com/network/63360", "http://funmeta.oebiotech.com/network/63360")</f>
        <v>http://funmeta.oebiotech.com/network/63360</v>
      </c>
      <c r="H4415" s="2" t="s">
        <v>29320</v>
      </c>
      <c r="I4415" s="2"/>
      <c r="J4415" s="2"/>
      <c r="K4415" s="2"/>
      <c r="L4415" s="2"/>
      <c r="M4415" s="2"/>
      <c r="N4415" s="2"/>
      <c r="O4415" s="2">
        <v>131752777</v>
      </c>
      <c r="P4415" s="2" t="s">
        <v>29321</v>
      </c>
      <c r="Q4415" s="2" t="s">
        <v>29322</v>
      </c>
      <c r="R4415" s="2" t="s">
        <v>29323</v>
      </c>
      <c r="S4415" s="2" t="s">
        <v>115</v>
      </c>
      <c r="T4415" s="2" t="s">
        <v>1095</v>
      </c>
      <c r="U4415" s="2" t="s">
        <v>41</v>
      </c>
      <c r="V4415" s="2" t="s">
        <v>59</v>
      </c>
      <c r="W4415" s="2">
        <v>36.1</v>
      </c>
      <c r="X4415" s="2">
        <v>0</v>
      </c>
      <c r="Y4415" s="2" t="s">
        <v>408</v>
      </c>
      <c r="Z4415" s="2" t="s">
        <v>29324</v>
      </c>
      <c r="AA4415" s="2">
        <v>1.4545806257198099</v>
      </c>
      <c r="AB4415" s="2">
        <v>0.14511397804946799</v>
      </c>
      <c r="AC4415" s="2">
        <v>27735.0082392449</v>
      </c>
      <c r="AD4415" s="2">
        <v>30143.610005958701</v>
      </c>
      <c r="AE4415" s="2">
        <v>29044.058832996401</v>
      </c>
      <c r="AF4415" s="2">
        <v>26398.3710685025</v>
      </c>
      <c r="AG4415" s="2">
        <v>24678.940218812699</v>
      </c>
      <c r="AH4415" s="2">
        <v>26899.081172817099</v>
      </c>
      <c r="AI4415" s="2">
        <v>30915.579578765799</v>
      </c>
      <c r="AJ4415" s="2">
        <v>28474.0185635747</v>
      </c>
      <c r="AK4415" s="2">
        <v>30766.755956893299</v>
      </c>
      <c r="AL4415" s="2">
        <v>30822.528719593902</v>
      </c>
      <c r="AM4415" s="2">
        <v>28184.613886108898</v>
      </c>
      <c r="AN4415" s="2">
        <v>31562.769585596201</v>
      </c>
      <c r="AO4415" s="2">
        <v>27991.903175058502</v>
      </c>
      <c r="AP4415" s="2">
        <v>31533.0887125015</v>
      </c>
    </row>
    <row r="4416" spans="1:42" ht="14.5" x14ac:dyDescent="0.35">
      <c r="A4416" s="2" t="s">
        <v>29325</v>
      </c>
      <c r="B4416" s="2">
        <v>1027.55321487936</v>
      </c>
      <c r="C4416" s="2">
        <v>5.2266333333333304</v>
      </c>
      <c r="D4416" s="2" t="s">
        <v>70</v>
      </c>
      <c r="E4416" s="2" t="s">
        <v>29326</v>
      </c>
      <c r="F4416" s="2">
        <v>228948</v>
      </c>
      <c r="G4416" s="3" t="str">
        <f>HYPERLINK("http://funmeta.oebiotech.com/network/228948", "http://funmeta.oebiotech.com/network/228948")</f>
        <v>http://funmeta.oebiotech.com/network/228948</v>
      </c>
      <c r="H4416" s="2" t="s">
        <v>29327</v>
      </c>
      <c r="I4416" s="2"/>
      <c r="J4416" s="2"/>
      <c r="K4416" s="2"/>
      <c r="L4416" s="2"/>
      <c r="M4416" s="2"/>
      <c r="N4416" s="2"/>
      <c r="O4416" s="2"/>
      <c r="P4416" s="2"/>
      <c r="Q4416" s="2" t="s">
        <v>29328</v>
      </c>
      <c r="R4416" s="2" t="s">
        <v>29329</v>
      </c>
      <c r="S4416" s="2" t="s">
        <v>41</v>
      </c>
      <c r="T4416" s="2" t="s">
        <v>41</v>
      </c>
      <c r="U4416" s="2" t="s">
        <v>41</v>
      </c>
      <c r="V4416" s="2" t="s">
        <v>59</v>
      </c>
      <c r="W4416" s="2">
        <v>38.1</v>
      </c>
      <c r="X4416" s="2">
        <v>0</v>
      </c>
      <c r="Y4416" s="2" t="s">
        <v>408</v>
      </c>
      <c r="Z4416" s="2" t="s">
        <v>29330</v>
      </c>
      <c r="AA4416" s="2">
        <v>0.25648874371810099</v>
      </c>
      <c r="AB4416" s="2">
        <v>0.145095475446677</v>
      </c>
      <c r="AC4416" s="2">
        <v>25609.382233327899</v>
      </c>
      <c r="AD4416" s="2">
        <v>28847.722905147399</v>
      </c>
      <c r="AE4416" s="2">
        <v>30783.715300301199</v>
      </c>
      <c r="AF4416" s="2">
        <v>26234.948568990902</v>
      </c>
      <c r="AG4416" s="2">
        <v>22821.531553239602</v>
      </c>
      <c r="AH4416" s="2">
        <v>26130.4968547137</v>
      </c>
      <c r="AI4416" s="2">
        <v>27296.261437409899</v>
      </c>
      <c r="AJ4416" s="2">
        <v>20389.339685312199</v>
      </c>
      <c r="AK4416" s="2">
        <v>23566.244156215998</v>
      </c>
      <c r="AL4416" s="2">
        <v>27147.5131462192</v>
      </c>
      <c r="AM4416" s="2">
        <v>34143.750702106503</v>
      </c>
      <c r="AN4416" s="2">
        <v>30059.830040651301</v>
      </c>
      <c r="AO4416" s="2">
        <v>32412.200573793099</v>
      </c>
      <c r="AP4416" s="2">
        <v>25756.798811898199</v>
      </c>
    </row>
    <row r="4417" spans="1:42" ht="14.5" x14ac:dyDescent="0.35">
      <c r="A4417" s="2" t="s">
        <v>29331</v>
      </c>
      <c r="B4417" s="2">
        <v>567.25982687122496</v>
      </c>
      <c r="C4417" s="2">
        <v>10.5637333333333</v>
      </c>
      <c r="D4417" s="2" t="s">
        <v>70</v>
      </c>
      <c r="E4417" s="2" t="s">
        <v>29332</v>
      </c>
      <c r="F4417" s="2">
        <v>377664</v>
      </c>
      <c r="G4417" s="3" t="str">
        <f>HYPERLINK("http://funmeta.oebiotech.com/network/377664", "http://funmeta.oebiotech.com/network/377664")</f>
        <v>http://funmeta.oebiotech.com/network/377664</v>
      </c>
      <c r="H4417" s="2"/>
      <c r="I4417" s="2">
        <v>453962</v>
      </c>
      <c r="J4417" s="2"/>
      <c r="K4417" s="2"/>
      <c r="L4417" s="2"/>
      <c r="M4417" s="2"/>
      <c r="N4417" s="2"/>
      <c r="O4417" s="2">
        <v>10577938</v>
      </c>
      <c r="P4417" s="2"/>
      <c r="Q4417" s="2" t="s">
        <v>29333</v>
      </c>
      <c r="R4417" s="2" t="s">
        <v>29334</v>
      </c>
      <c r="S4417" s="2" t="s">
        <v>50</v>
      </c>
      <c r="T4417" s="2" t="s">
        <v>201</v>
      </c>
      <c r="U4417" s="2" t="s">
        <v>241</v>
      </c>
      <c r="V4417" s="2" t="s">
        <v>59</v>
      </c>
      <c r="W4417" s="2">
        <v>38.299999999999997</v>
      </c>
      <c r="X4417" s="2">
        <v>0</v>
      </c>
      <c r="Y4417" s="2" t="s">
        <v>408</v>
      </c>
      <c r="Z4417" s="2" t="s">
        <v>2465</v>
      </c>
      <c r="AA4417" s="2">
        <v>-0.248064029201678</v>
      </c>
      <c r="AB4417" s="2">
        <v>0.144973034856023</v>
      </c>
      <c r="AC4417" s="2">
        <v>1917.1041967966901</v>
      </c>
      <c r="AD4417" s="2">
        <v>413.64521714531702</v>
      </c>
      <c r="AE4417" s="2">
        <v>2179.8846619852502</v>
      </c>
      <c r="AF4417" s="2">
        <v>2479.3750039452698</v>
      </c>
      <c r="AG4417" s="2">
        <v>1955.81640954403</v>
      </c>
      <c r="AH4417" s="2">
        <v>1864.63246056253</v>
      </c>
      <c r="AI4417" s="2">
        <v>1236.77505358236</v>
      </c>
      <c r="AJ4417" s="2">
        <v>1786.1415911607201</v>
      </c>
      <c r="AK4417" s="2">
        <v>497.00109434510802</v>
      </c>
      <c r="AL4417" s="2">
        <v>321.34841622695399</v>
      </c>
      <c r="AM4417" s="2">
        <v>364.55314771156299</v>
      </c>
      <c r="AN4417" s="2">
        <v>2.7106294003980101E-5</v>
      </c>
      <c r="AO4417" s="2">
        <v>993.53350879647303</v>
      </c>
      <c r="AP4417" s="2">
        <v>305.43510868551198</v>
      </c>
    </row>
    <row r="4418" spans="1:42" ht="14.5" x14ac:dyDescent="0.35">
      <c r="A4418" s="2" t="s">
        <v>29335</v>
      </c>
      <c r="B4418" s="2">
        <v>667.16456638547299</v>
      </c>
      <c r="C4418" s="2">
        <v>4.7765333333333304</v>
      </c>
      <c r="D4418" s="2" t="s">
        <v>70</v>
      </c>
      <c r="E4418" s="2" t="s">
        <v>29336</v>
      </c>
      <c r="F4418" s="2">
        <v>203114</v>
      </c>
      <c r="G4418" s="3" t="str">
        <f>HYPERLINK("http://funmeta.oebiotech.com/network/203114", "http://funmeta.oebiotech.com/network/203114")</f>
        <v>http://funmeta.oebiotech.com/network/203114</v>
      </c>
      <c r="H4418" s="2" t="s">
        <v>29337</v>
      </c>
      <c r="I4418" s="2"/>
      <c r="J4418" s="2"/>
      <c r="K4418" s="2"/>
      <c r="L4418" s="2"/>
      <c r="M4418" s="2"/>
      <c r="N4418" s="2"/>
      <c r="O4418" s="2"/>
      <c r="P4418" s="2"/>
      <c r="Q4418" s="2" t="s">
        <v>29338</v>
      </c>
      <c r="R4418" s="2" t="s">
        <v>29339</v>
      </c>
      <c r="S4418" s="2" t="s">
        <v>41</v>
      </c>
      <c r="T4418" s="2" t="s">
        <v>41</v>
      </c>
      <c r="U4418" s="2" t="s">
        <v>41</v>
      </c>
      <c r="V4418" s="2" t="s">
        <v>59</v>
      </c>
      <c r="W4418" s="2">
        <v>36.1</v>
      </c>
      <c r="X4418" s="2">
        <v>0</v>
      </c>
      <c r="Y4418" s="2" t="s">
        <v>118</v>
      </c>
      <c r="Z4418" s="2" t="s">
        <v>29340</v>
      </c>
      <c r="AA4418" s="2">
        <v>-3.4085459128118698</v>
      </c>
      <c r="AB4418" s="2">
        <v>0.144970024831304</v>
      </c>
      <c r="AC4418" s="2">
        <v>3270.84287340533</v>
      </c>
      <c r="AD4418" s="2">
        <v>5168.29890879309</v>
      </c>
      <c r="AE4418" s="2">
        <v>2231.2312432281301</v>
      </c>
      <c r="AF4418" s="2">
        <v>3213.8287280139102</v>
      </c>
      <c r="AG4418" s="2">
        <v>5693.9333719216302</v>
      </c>
      <c r="AH4418" s="2">
        <v>3176.1180135114701</v>
      </c>
      <c r="AI4418" s="2">
        <v>2692.6805499398201</v>
      </c>
      <c r="AJ4418" s="2">
        <v>2617.2653338170098</v>
      </c>
      <c r="AK4418" s="2">
        <v>5662.6726497626496</v>
      </c>
      <c r="AL4418" s="2">
        <v>4737.4935391429399</v>
      </c>
      <c r="AM4418" s="2">
        <v>5942.5332683791503</v>
      </c>
      <c r="AN4418" s="2">
        <v>4661.64108601117</v>
      </c>
      <c r="AO4418" s="2">
        <v>5405.4127095017102</v>
      </c>
      <c r="AP4418" s="2">
        <v>4600.0401999609003</v>
      </c>
    </row>
    <row r="4419" spans="1:42" ht="14.5" x14ac:dyDescent="0.35">
      <c r="A4419" s="2" t="s">
        <v>29341</v>
      </c>
      <c r="B4419" s="2">
        <v>343.24876693002398</v>
      </c>
      <c r="C4419" s="2">
        <v>8.5526</v>
      </c>
      <c r="D4419" s="2" t="s">
        <v>70</v>
      </c>
      <c r="E4419" s="2" t="s">
        <v>29342</v>
      </c>
      <c r="F4419" s="2">
        <v>3138</v>
      </c>
      <c r="G4419" s="3" t="str">
        <f>HYPERLINK("http://funmeta.oebiotech.com/network/3138", "http://funmeta.oebiotech.com/network/3138")</f>
        <v>http://funmeta.oebiotech.com/network/3138</v>
      </c>
      <c r="H4419" s="2"/>
      <c r="I4419" s="2">
        <v>35485</v>
      </c>
      <c r="J4419" s="2" t="s">
        <v>29343</v>
      </c>
      <c r="K4419" s="2">
        <v>28592</v>
      </c>
      <c r="L4419" s="2" t="s">
        <v>29344</v>
      </c>
      <c r="M4419" s="2"/>
      <c r="N4419" s="2"/>
      <c r="O4419" s="2">
        <v>643684</v>
      </c>
      <c r="P4419" s="2"/>
      <c r="Q4419" s="2" t="s">
        <v>29345</v>
      </c>
      <c r="R4419" s="2" t="s">
        <v>29346</v>
      </c>
      <c r="S4419" s="2" t="s">
        <v>50</v>
      </c>
      <c r="T4419" s="2" t="s">
        <v>229</v>
      </c>
      <c r="U4419" s="2" t="s">
        <v>433</v>
      </c>
      <c r="V4419" s="2" t="s">
        <v>59</v>
      </c>
      <c r="W4419" s="2">
        <v>38.299999999999997</v>
      </c>
      <c r="X4419" s="2">
        <v>0</v>
      </c>
      <c r="Y4419" s="2" t="s">
        <v>408</v>
      </c>
      <c r="Z4419" s="2" t="s">
        <v>11119</v>
      </c>
      <c r="AA4419" s="2">
        <v>-0.77414390984314396</v>
      </c>
      <c r="AB4419" s="2">
        <v>0.14494794921623699</v>
      </c>
      <c r="AC4419" s="2">
        <v>1986.52103353388</v>
      </c>
      <c r="AD4419" s="2">
        <v>551.03906797786794</v>
      </c>
      <c r="AE4419" s="2">
        <v>2220.2272756904099</v>
      </c>
      <c r="AF4419" s="2">
        <v>1601.61387890537</v>
      </c>
      <c r="AG4419" s="2">
        <v>1997.0355398940801</v>
      </c>
      <c r="AH4419" s="2">
        <v>2367.1919182409301</v>
      </c>
      <c r="AI4419" s="2">
        <v>1718.4362082855801</v>
      </c>
      <c r="AJ4419" s="2">
        <v>2014.6213801869101</v>
      </c>
      <c r="AK4419" s="2">
        <v>477.42826734659297</v>
      </c>
      <c r="AL4419" s="2">
        <v>678.09562827654997</v>
      </c>
      <c r="AM4419" s="2">
        <v>418.42565196182198</v>
      </c>
      <c r="AN4419" s="2">
        <v>441.78474800645802</v>
      </c>
      <c r="AO4419" s="2">
        <v>819.22489092248804</v>
      </c>
      <c r="AP4419" s="2">
        <v>471.27522135329798</v>
      </c>
    </row>
    <row r="4420" spans="1:42" ht="14.5" x14ac:dyDescent="0.35">
      <c r="A4420" s="2" t="s">
        <v>29347</v>
      </c>
      <c r="B4420" s="2">
        <v>616.12179614469005</v>
      </c>
      <c r="C4420" s="2">
        <v>3.9694833333333301</v>
      </c>
      <c r="D4420" s="2" t="s">
        <v>70</v>
      </c>
      <c r="E4420" s="2" t="s">
        <v>29348</v>
      </c>
      <c r="F4420" s="2">
        <v>203888</v>
      </c>
      <c r="G4420" s="3" t="str">
        <f>HYPERLINK("http://funmeta.oebiotech.com/network/203888", "http://funmeta.oebiotech.com/network/203888")</f>
        <v>http://funmeta.oebiotech.com/network/203888</v>
      </c>
      <c r="H4420" s="2" t="s">
        <v>29349</v>
      </c>
      <c r="I4420" s="2"/>
      <c r="J4420" s="2"/>
      <c r="K4420" s="2"/>
      <c r="L4420" s="2"/>
      <c r="M4420" s="2"/>
      <c r="N4420" s="2"/>
      <c r="O4420" s="2">
        <v>138566969</v>
      </c>
      <c r="P4420" s="2"/>
      <c r="Q4420" s="2" t="s">
        <v>29350</v>
      </c>
      <c r="R4420" s="2" t="s">
        <v>29351</v>
      </c>
      <c r="S4420" s="2" t="s">
        <v>41</v>
      </c>
      <c r="T4420" s="2" t="s">
        <v>41</v>
      </c>
      <c r="U4420" s="2" t="s">
        <v>41</v>
      </c>
      <c r="V4420" s="2" t="s">
        <v>59</v>
      </c>
      <c r="W4420" s="2">
        <v>37.9</v>
      </c>
      <c r="X4420" s="2">
        <v>0</v>
      </c>
      <c r="Y4420" s="2" t="s">
        <v>408</v>
      </c>
      <c r="Z4420" s="2" t="s">
        <v>29352</v>
      </c>
      <c r="AA4420" s="2">
        <v>1.95360155543436</v>
      </c>
      <c r="AB4420" s="2">
        <v>0.14476945045540701</v>
      </c>
      <c r="AC4420" s="2">
        <v>6500.7765664239096</v>
      </c>
      <c r="AD4420" s="2">
        <v>4609.7234328612403</v>
      </c>
      <c r="AE4420" s="2">
        <v>5800.8303221034403</v>
      </c>
      <c r="AF4420" s="2">
        <v>7198.7162276066001</v>
      </c>
      <c r="AG4420" s="2">
        <v>5095.7854572300603</v>
      </c>
      <c r="AH4420" s="2">
        <v>7694.4842391147404</v>
      </c>
      <c r="AI4420" s="2">
        <v>7695.9329556573002</v>
      </c>
      <c r="AJ4420" s="2">
        <v>5518.9101968313398</v>
      </c>
      <c r="AK4420" s="2">
        <v>4912.7860236700599</v>
      </c>
      <c r="AL4420" s="2">
        <v>5618.2712965810797</v>
      </c>
      <c r="AM4420" s="2">
        <v>4525.9670590264104</v>
      </c>
      <c r="AN4420" s="2">
        <v>3702.9364749414299</v>
      </c>
      <c r="AO4420" s="2">
        <v>3899.5686520204499</v>
      </c>
      <c r="AP4420" s="2">
        <v>4998.8110909280404</v>
      </c>
    </row>
    <row r="4421" spans="1:42" ht="14.5" x14ac:dyDescent="0.35">
      <c r="A4421" s="2" t="s">
        <v>29353</v>
      </c>
      <c r="B4421" s="2">
        <v>373.12592615333</v>
      </c>
      <c r="C4421" s="2">
        <v>3.4744666666666699</v>
      </c>
      <c r="D4421" s="2" t="s">
        <v>34</v>
      </c>
      <c r="E4421" s="2" t="s">
        <v>29354</v>
      </c>
      <c r="F4421" s="2">
        <v>63627</v>
      </c>
      <c r="G4421" s="3" t="str">
        <f>HYPERLINK("http://funmeta.oebiotech.com/network/63627", "http://funmeta.oebiotech.com/network/63627")</f>
        <v>http://funmeta.oebiotech.com/network/63627</v>
      </c>
      <c r="H4421" s="2" t="s">
        <v>29355</v>
      </c>
      <c r="I4421" s="2">
        <v>94962</v>
      </c>
      <c r="J4421" s="2"/>
      <c r="K4421" s="2">
        <v>168588</v>
      </c>
      <c r="L4421" s="2"/>
      <c r="M4421" s="2"/>
      <c r="N4421" s="2"/>
      <c r="O4421" s="2">
        <v>9974117</v>
      </c>
      <c r="P4421" s="2"/>
      <c r="Q4421" s="2" t="s">
        <v>29356</v>
      </c>
      <c r="R4421" s="2" t="s">
        <v>29357</v>
      </c>
      <c r="S4421" s="2" t="s">
        <v>89</v>
      </c>
      <c r="T4421" s="2" t="s">
        <v>90</v>
      </c>
      <c r="U4421" s="2" t="s">
        <v>91</v>
      </c>
      <c r="V4421" s="2" t="s">
        <v>59</v>
      </c>
      <c r="W4421" s="2">
        <v>38.6</v>
      </c>
      <c r="X4421" s="2">
        <v>0</v>
      </c>
      <c r="Y4421" s="2" t="s">
        <v>340</v>
      </c>
      <c r="Z4421" s="2" t="s">
        <v>29358</v>
      </c>
      <c r="AA4421" s="2">
        <v>8.4698289024353495E-4</v>
      </c>
      <c r="AB4421" s="2">
        <v>0.144549337311633</v>
      </c>
      <c r="AC4421" s="2">
        <v>4693.02079892441</v>
      </c>
      <c r="AD4421" s="2">
        <v>6421.7262369356104</v>
      </c>
      <c r="AE4421" s="2">
        <v>4804.1364033427599</v>
      </c>
      <c r="AF4421" s="2">
        <v>5867.5972333918698</v>
      </c>
      <c r="AG4421" s="2">
        <v>3788.3813390407399</v>
      </c>
      <c r="AH4421" s="2">
        <v>4887.4250328773196</v>
      </c>
      <c r="AI4421" s="2">
        <v>4361.4055351259603</v>
      </c>
      <c r="AJ4421" s="2">
        <v>4449.1792497678198</v>
      </c>
      <c r="AK4421" s="2">
        <v>7482.5952286018501</v>
      </c>
      <c r="AL4421" s="2">
        <v>5530.2400961951198</v>
      </c>
      <c r="AM4421" s="2">
        <v>6171.7617791618304</v>
      </c>
      <c r="AN4421" s="2">
        <v>6700.4073123303397</v>
      </c>
      <c r="AO4421" s="2">
        <v>5717.0660130343904</v>
      </c>
      <c r="AP4421" s="2">
        <v>6928.28699229016</v>
      </c>
    </row>
    <row r="4422" spans="1:42" ht="14.5" x14ac:dyDescent="0.35">
      <c r="A4422" s="2" t="s">
        <v>29359</v>
      </c>
      <c r="B4422" s="2">
        <v>153.05462683339101</v>
      </c>
      <c r="C4422" s="2">
        <v>2.24525</v>
      </c>
      <c r="D4422" s="2" t="s">
        <v>70</v>
      </c>
      <c r="E4422" s="2" t="s">
        <v>29360</v>
      </c>
      <c r="F4422" s="2">
        <v>273286</v>
      </c>
      <c r="G4422" s="3" t="str">
        <f>HYPERLINK("http://funmeta.oebiotech.com/network/273286", "http://funmeta.oebiotech.com/network/273286")</f>
        <v>http://funmeta.oebiotech.com/network/273286</v>
      </c>
      <c r="H4422" s="2" t="s">
        <v>29361</v>
      </c>
      <c r="I4422" s="2">
        <v>58314</v>
      </c>
      <c r="J4422" s="2"/>
      <c r="K4422" s="2"/>
      <c r="L4422" s="2"/>
      <c r="M4422" s="2"/>
      <c r="N4422" s="2"/>
      <c r="O4422" s="2">
        <v>18458355</v>
      </c>
      <c r="P4422" s="2" t="s">
        <v>29362</v>
      </c>
      <c r="Q4422" s="2" t="s">
        <v>29363</v>
      </c>
      <c r="R4422" s="2" t="s">
        <v>29364</v>
      </c>
      <c r="S4422" s="2" t="s">
        <v>148</v>
      </c>
      <c r="T4422" s="2" t="s">
        <v>392</v>
      </c>
      <c r="U4422" s="2" t="s">
        <v>2045</v>
      </c>
      <c r="V4422" s="2" t="s">
        <v>42</v>
      </c>
      <c r="W4422" s="2">
        <v>48.5</v>
      </c>
      <c r="X4422" s="2">
        <v>52.6</v>
      </c>
      <c r="Y4422" s="2" t="s">
        <v>118</v>
      </c>
      <c r="Z4422" s="2" t="s">
        <v>9402</v>
      </c>
      <c r="AA4422" s="2">
        <v>-7.08096058008271</v>
      </c>
      <c r="AB4422" s="2">
        <v>0.14442180466823901</v>
      </c>
      <c r="AC4422" s="2">
        <v>7481.4107864235702</v>
      </c>
      <c r="AD4422" s="2">
        <v>5984.9519872930796</v>
      </c>
      <c r="AE4422" s="2">
        <v>7703.7507175743503</v>
      </c>
      <c r="AF4422" s="2">
        <v>6828.3942875932398</v>
      </c>
      <c r="AG4422" s="2">
        <v>7753.6231254083896</v>
      </c>
      <c r="AH4422" s="2">
        <v>7554.6655297152201</v>
      </c>
      <c r="AI4422" s="2">
        <v>7027.7208938656904</v>
      </c>
      <c r="AJ4422" s="2">
        <v>8020.3101643845102</v>
      </c>
      <c r="AK4422" s="2">
        <v>5956.25693331193</v>
      </c>
      <c r="AL4422" s="2">
        <v>6192.6193079740497</v>
      </c>
      <c r="AM4422" s="2">
        <v>6331.4186315939196</v>
      </c>
      <c r="AN4422" s="2">
        <v>5984.2069180201597</v>
      </c>
      <c r="AO4422" s="2">
        <v>5796.9013220597699</v>
      </c>
      <c r="AP4422" s="2">
        <v>5648.3088107986696</v>
      </c>
    </row>
    <row r="4423" spans="1:42" ht="14.5" x14ac:dyDescent="0.35">
      <c r="A4423" s="2" t="s">
        <v>29365</v>
      </c>
      <c r="B4423" s="2">
        <v>463.16070338246698</v>
      </c>
      <c r="C4423" s="2">
        <v>5.1153166666666703</v>
      </c>
      <c r="D4423" s="2" t="s">
        <v>70</v>
      </c>
      <c r="E4423" s="2" t="s">
        <v>29366</v>
      </c>
      <c r="F4423" s="2">
        <v>53066</v>
      </c>
      <c r="G4423" s="3" t="str">
        <f>HYPERLINK("http://funmeta.oebiotech.com/network/53066", "http://funmeta.oebiotech.com/network/53066")</f>
        <v>http://funmeta.oebiotech.com/network/53066</v>
      </c>
      <c r="H4423" s="2" t="s">
        <v>29367</v>
      </c>
      <c r="I4423" s="2">
        <v>1408</v>
      </c>
      <c r="J4423" s="2"/>
      <c r="K4423" s="2">
        <v>100147</v>
      </c>
      <c r="L4423" s="2" t="s">
        <v>29368</v>
      </c>
      <c r="M4423" s="2"/>
      <c r="N4423" s="2"/>
      <c r="O4423" s="2">
        <v>4421</v>
      </c>
      <c r="P4423" s="2" t="s">
        <v>29369</v>
      </c>
      <c r="Q4423" s="2" t="s">
        <v>29370</v>
      </c>
      <c r="R4423" s="2" t="s">
        <v>29371</v>
      </c>
      <c r="S4423" s="2" t="s">
        <v>491</v>
      </c>
      <c r="T4423" s="2" t="s">
        <v>3019</v>
      </c>
      <c r="U4423" s="2" t="s">
        <v>10208</v>
      </c>
      <c r="V4423" s="2" t="s">
        <v>59</v>
      </c>
      <c r="W4423" s="2">
        <v>38.5</v>
      </c>
      <c r="X4423" s="2">
        <v>0</v>
      </c>
      <c r="Y4423" s="2" t="s">
        <v>560</v>
      </c>
      <c r="Z4423" s="2" t="s">
        <v>29372</v>
      </c>
      <c r="AA4423" s="2">
        <v>-3.4571239198853601</v>
      </c>
      <c r="AB4423" s="2">
        <v>0.144396883259025</v>
      </c>
      <c r="AC4423" s="2">
        <v>6011.5434553978703</v>
      </c>
      <c r="AD4423" s="2">
        <v>7618.5591628239999</v>
      </c>
      <c r="AE4423" s="2">
        <v>6087.3329286697399</v>
      </c>
      <c r="AF4423" s="2">
        <v>5957.0258102527396</v>
      </c>
      <c r="AG4423" s="2">
        <v>6506.6915689243397</v>
      </c>
      <c r="AH4423" s="2">
        <v>6023.6651021381804</v>
      </c>
      <c r="AI4423" s="2">
        <v>5601.5441347516298</v>
      </c>
      <c r="AJ4423" s="2">
        <v>5893.0011876505696</v>
      </c>
      <c r="AK4423" s="2">
        <v>7672.52692574088</v>
      </c>
      <c r="AL4423" s="2">
        <v>8379.9454532507698</v>
      </c>
      <c r="AM4423" s="2">
        <v>7363.4307622357101</v>
      </c>
      <c r="AN4423" s="2">
        <v>8378.4020248492907</v>
      </c>
      <c r="AO4423" s="2">
        <v>6573.60299553395</v>
      </c>
      <c r="AP4423" s="2">
        <v>7343.4468153333901</v>
      </c>
    </row>
    <row r="4424" spans="1:42" ht="14.5" x14ac:dyDescent="0.35">
      <c r="A4424" s="2" t="s">
        <v>29373</v>
      </c>
      <c r="B4424" s="2">
        <v>585.19967863525096</v>
      </c>
      <c r="C4424" s="2">
        <v>3.6167500000000001</v>
      </c>
      <c r="D4424" s="2" t="s">
        <v>70</v>
      </c>
      <c r="E4424" s="2" t="s">
        <v>29374</v>
      </c>
      <c r="F4424" s="2">
        <v>53238</v>
      </c>
      <c r="G4424" s="3" t="str">
        <f>HYPERLINK("http://funmeta.oebiotech.com/network/53238", "http://funmeta.oebiotech.com/network/53238")</f>
        <v>http://funmeta.oebiotech.com/network/53238</v>
      </c>
      <c r="H4424" s="2" t="s">
        <v>29375</v>
      </c>
      <c r="I4424" s="2">
        <v>43288</v>
      </c>
      <c r="J4424" s="2"/>
      <c r="K4424" s="2">
        <v>7822</v>
      </c>
      <c r="L4424" s="2" t="s">
        <v>29376</v>
      </c>
      <c r="M4424" s="2"/>
      <c r="N4424" s="2"/>
      <c r="O4424" s="2">
        <v>4614</v>
      </c>
      <c r="P4424" s="2" t="s">
        <v>29377</v>
      </c>
      <c r="Q4424" s="2" t="s">
        <v>29378</v>
      </c>
      <c r="R4424" s="2" t="s">
        <v>29379</v>
      </c>
      <c r="S4424" s="2" t="s">
        <v>491</v>
      </c>
      <c r="T4424" s="2" t="s">
        <v>3519</v>
      </c>
      <c r="U4424" s="2" t="s">
        <v>29380</v>
      </c>
      <c r="V4424" s="2" t="s">
        <v>59</v>
      </c>
      <c r="W4424" s="2">
        <v>36.4</v>
      </c>
      <c r="X4424" s="2">
        <v>0</v>
      </c>
      <c r="Y4424" s="2" t="s">
        <v>560</v>
      </c>
      <c r="Z4424" s="2" t="s">
        <v>29381</v>
      </c>
      <c r="AA4424" s="2">
        <v>-5.85390823296063</v>
      </c>
      <c r="AB4424" s="2">
        <v>0.144379438023336</v>
      </c>
      <c r="AC4424" s="2">
        <v>6643.8893111162897</v>
      </c>
      <c r="AD4424" s="2">
        <v>4882.2684076417499</v>
      </c>
      <c r="AE4424" s="2">
        <v>6394.3970137020797</v>
      </c>
      <c r="AF4424" s="2">
        <v>6553.2147364594102</v>
      </c>
      <c r="AG4424" s="2">
        <v>6033.9752760540296</v>
      </c>
      <c r="AH4424" s="2">
        <v>6155.87111123865</v>
      </c>
      <c r="AI4424" s="2">
        <v>7847.4434534910897</v>
      </c>
      <c r="AJ4424" s="2">
        <v>6878.4342757524701</v>
      </c>
      <c r="AK4424" s="2">
        <v>4831.6245495524799</v>
      </c>
      <c r="AL4424" s="2">
        <v>6037.9536929653796</v>
      </c>
      <c r="AM4424" s="2">
        <v>3419.8113632532099</v>
      </c>
      <c r="AN4424" s="2">
        <v>4994.4590430223498</v>
      </c>
      <c r="AO4424" s="2">
        <v>4631.74851669294</v>
      </c>
      <c r="AP4424" s="2">
        <v>5378.01328036416</v>
      </c>
    </row>
    <row r="4425" spans="1:42" ht="14.5" x14ac:dyDescent="0.35">
      <c r="A4425" s="2" t="s">
        <v>29382</v>
      </c>
      <c r="B4425" s="2">
        <v>136.06176861567801</v>
      </c>
      <c r="C4425" s="2">
        <v>1.06171666666667</v>
      </c>
      <c r="D4425" s="2" t="s">
        <v>34</v>
      </c>
      <c r="E4425" s="2" t="s">
        <v>29383</v>
      </c>
      <c r="F4425" s="2">
        <v>48313</v>
      </c>
      <c r="G4425" s="3" t="str">
        <f>HYPERLINK("http://funmeta.oebiotech.com/network/48313", "http://funmeta.oebiotech.com/network/48313")</f>
        <v>http://funmeta.oebiotech.com/network/48313</v>
      </c>
      <c r="H4425" s="2" t="s">
        <v>29384</v>
      </c>
      <c r="I4425" s="2">
        <v>7080</v>
      </c>
      <c r="J4425" s="2"/>
      <c r="K4425" s="2">
        <v>27983</v>
      </c>
      <c r="L4425" s="2" t="s">
        <v>29385</v>
      </c>
      <c r="M4425" s="2"/>
      <c r="N4425" s="2"/>
      <c r="O4425" s="2">
        <v>114926</v>
      </c>
      <c r="P4425" s="2" t="s">
        <v>29386</v>
      </c>
      <c r="Q4425" s="2" t="s">
        <v>29387</v>
      </c>
      <c r="R4425" s="2" t="s">
        <v>29388</v>
      </c>
      <c r="S4425" s="2" t="s">
        <v>491</v>
      </c>
      <c r="T4425" s="2" t="s">
        <v>4517</v>
      </c>
      <c r="U4425" s="2" t="s">
        <v>4518</v>
      </c>
      <c r="V4425" s="2" t="s">
        <v>59</v>
      </c>
      <c r="W4425" s="2">
        <v>39.1</v>
      </c>
      <c r="X4425" s="2">
        <v>7.92</v>
      </c>
      <c r="Y4425" s="2" t="s">
        <v>1115</v>
      </c>
      <c r="Z4425" s="2" t="s">
        <v>29389</v>
      </c>
      <c r="AA4425" s="2">
        <v>-1.96150050754525E-2</v>
      </c>
      <c r="AB4425" s="2">
        <v>0.14426477456067399</v>
      </c>
      <c r="AC4425" s="2">
        <v>26378.538466600301</v>
      </c>
      <c r="AD4425" s="2">
        <v>28580.712845741298</v>
      </c>
      <c r="AE4425" s="2">
        <v>29285.4763481749</v>
      </c>
      <c r="AF4425" s="2">
        <v>26368.641039919901</v>
      </c>
      <c r="AG4425" s="2">
        <v>25090.656818014901</v>
      </c>
      <c r="AH4425" s="2">
        <v>25019.7453588321</v>
      </c>
      <c r="AI4425" s="2">
        <v>25439.822453296401</v>
      </c>
      <c r="AJ4425" s="2">
        <v>27066.888781363599</v>
      </c>
      <c r="AK4425" s="2">
        <v>30948.092621047999</v>
      </c>
      <c r="AL4425" s="2">
        <v>29180.0742449358</v>
      </c>
      <c r="AM4425" s="2">
        <v>28466.847354542198</v>
      </c>
      <c r="AN4425" s="2">
        <v>27343.037836409399</v>
      </c>
      <c r="AO4425" s="2">
        <v>28137.244665961302</v>
      </c>
      <c r="AP4425" s="2">
        <v>27408.980351551101</v>
      </c>
    </row>
    <row r="4426" spans="1:42" ht="14.5" x14ac:dyDescent="0.35">
      <c r="A4426" s="2" t="s">
        <v>29390</v>
      </c>
      <c r="B4426" s="2">
        <v>551.32294035211396</v>
      </c>
      <c r="C4426" s="2">
        <v>5.3391000000000002</v>
      </c>
      <c r="D4426" s="2" t="s">
        <v>70</v>
      </c>
      <c r="E4426" s="2" t="s">
        <v>29391</v>
      </c>
      <c r="F4426" s="2">
        <v>43527</v>
      </c>
      <c r="G4426" s="3" t="str">
        <f>HYPERLINK("http://funmeta.oebiotech.com/network/43527", "http://funmeta.oebiotech.com/network/43527")</f>
        <v>http://funmeta.oebiotech.com/network/43527</v>
      </c>
      <c r="H4426" s="2"/>
      <c r="I4426" s="2">
        <v>57636</v>
      </c>
      <c r="J4426" s="2" t="s">
        <v>29392</v>
      </c>
      <c r="K4426" s="2">
        <v>20538</v>
      </c>
      <c r="L4426" s="2"/>
      <c r="M4426" s="2"/>
      <c r="N4426" s="2"/>
      <c r="O4426" s="2">
        <v>16755625</v>
      </c>
      <c r="P4426" s="2"/>
      <c r="Q4426" s="2" t="s">
        <v>29393</v>
      </c>
      <c r="R4426" s="2" t="s">
        <v>29394</v>
      </c>
      <c r="S4426" s="2" t="s">
        <v>50</v>
      </c>
      <c r="T4426" s="2" t="s">
        <v>124</v>
      </c>
      <c r="U4426" s="2" t="s">
        <v>125</v>
      </c>
      <c r="V4426" s="2" t="s">
        <v>42</v>
      </c>
      <c r="W4426" s="2">
        <v>49.4</v>
      </c>
      <c r="X4426" s="2">
        <v>53.6</v>
      </c>
      <c r="Y4426" s="2" t="s">
        <v>408</v>
      </c>
      <c r="Z4426" s="2" t="s">
        <v>29395</v>
      </c>
      <c r="AA4426" s="2">
        <v>0.75775532165973403</v>
      </c>
      <c r="AB4426" s="2">
        <v>0.144235839611776</v>
      </c>
      <c r="AC4426" s="2">
        <v>93456.595181669894</v>
      </c>
      <c r="AD4426" s="2">
        <v>96585.595953443801</v>
      </c>
      <c r="AE4426" s="2">
        <v>92878.478871427506</v>
      </c>
      <c r="AF4426" s="2">
        <v>90014.490287578199</v>
      </c>
      <c r="AG4426" s="2">
        <v>96291.294750672096</v>
      </c>
      <c r="AH4426" s="2">
        <v>98154.103389658994</v>
      </c>
      <c r="AI4426" s="2">
        <v>93251.032960844095</v>
      </c>
      <c r="AJ4426" s="2">
        <v>90150.170829838302</v>
      </c>
      <c r="AK4426" s="2">
        <v>94888.319672573503</v>
      </c>
      <c r="AL4426" s="2">
        <v>94903.940984598798</v>
      </c>
      <c r="AM4426" s="2">
        <v>96574.582751428097</v>
      </c>
      <c r="AN4426" s="2">
        <v>98551.363726487005</v>
      </c>
      <c r="AO4426" s="2">
        <v>91724.776099949406</v>
      </c>
      <c r="AP4426" s="2">
        <v>102870.592485626</v>
      </c>
    </row>
    <row r="4427" spans="1:42" ht="14.5" x14ac:dyDescent="0.35">
      <c r="A4427" s="2" t="s">
        <v>29396</v>
      </c>
      <c r="B4427" s="2">
        <v>469.23259597558001</v>
      </c>
      <c r="C4427" s="2">
        <v>11.1218</v>
      </c>
      <c r="D4427" s="2" t="s">
        <v>34</v>
      </c>
      <c r="E4427" s="2" t="s">
        <v>29397</v>
      </c>
      <c r="F4427" s="2">
        <v>26072</v>
      </c>
      <c r="G4427" s="3" t="str">
        <f>HYPERLINK("http://funmeta.oebiotech.com/network/26072", "http://funmeta.oebiotech.com/network/26072")</f>
        <v>http://funmeta.oebiotech.com/network/26072</v>
      </c>
      <c r="H4427" s="2"/>
      <c r="I4427" s="2"/>
      <c r="J4427" s="2" t="s">
        <v>29398</v>
      </c>
      <c r="K4427" s="2"/>
      <c r="L4427" s="2"/>
      <c r="M4427" s="2"/>
      <c r="N4427" s="2"/>
      <c r="O4427" s="2">
        <v>5283537</v>
      </c>
      <c r="P4427" s="2"/>
      <c r="Q4427" s="2" t="s">
        <v>29399</v>
      </c>
      <c r="R4427" s="2" t="s">
        <v>29400</v>
      </c>
      <c r="S4427" s="2" t="s">
        <v>50</v>
      </c>
      <c r="T4427" s="2" t="s">
        <v>51</v>
      </c>
      <c r="U4427" s="2" t="s">
        <v>273</v>
      </c>
      <c r="V4427" s="2" t="s">
        <v>59</v>
      </c>
      <c r="W4427" s="2">
        <v>46.1</v>
      </c>
      <c r="X4427" s="2">
        <v>32.9</v>
      </c>
      <c r="Y4427" s="2" t="s">
        <v>505</v>
      </c>
      <c r="Z4427" s="2" t="s">
        <v>29401</v>
      </c>
      <c r="AA4427" s="2">
        <v>7.8607177884123802E-2</v>
      </c>
      <c r="AB4427" s="2">
        <v>0.14423079913041201</v>
      </c>
      <c r="AC4427" s="2">
        <v>73774.452714878906</v>
      </c>
      <c r="AD4427" s="2">
        <v>79154.927252470705</v>
      </c>
      <c r="AE4427" s="2">
        <v>77596.324902624896</v>
      </c>
      <c r="AF4427" s="2">
        <v>72563.034378108496</v>
      </c>
      <c r="AG4427" s="2">
        <v>76986.367870065005</v>
      </c>
      <c r="AH4427" s="2">
        <v>77927.555430573499</v>
      </c>
      <c r="AI4427" s="2">
        <v>66502.561027555406</v>
      </c>
      <c r="AJ4427" s="2">
        <v>71070.872680346205</v>
      </c>
      <c r="AK4427" s="2">
        <v>61174.561085540998</v>
      </c>
      <c r="AL4427" s="2">
        <v>80798.003731892401</v>
      </c>
      <c r="AM4427" s="2">
        <v>84412.801957040399</v>
      </c>
      <c r="AN4427" s="2">
        <v>79808.650619148306</v>
      </c>
      <c r="AO4427" s="2">
        <v>103613.424632706</v>
      </c>
      <c r="AP4427" s="2">
        <v>65122.121488496101</v>
      </c>
    </row>
    <row r="4428" spans="1:42" ht="14.5" x14ac:dyDescent="0.35">
      <c r="A4428" s="2" t="s">
        <v>29402</v>
      </c>
      <c r="B4428" s="2">
        <v>214.21644423084601</v>
      </c>
      <c r="C4428" s="2">
        <v>11.004099999999999</v>
      </c>
      <c r="D4428" s="2" t="s">
        <v>34</v>
      </c>
      <c r="E4428" s="2" t="s">
        <v>29403</v>
      </c>
      <c r="F4428" s="2">
        <v>64493</v>
      </c>
      <c r="G4428" s="3" t="str">
        <f>HYPERLINK("http://funmeta.oebiotech.com/network/64493", "http://funmeta.oebiotech.com/network/64493")</f>
        <v>http://funmeta.oebiotech.com/network/64493</v>
      </c>
      <c r="H4428" s="2" t="s">
        <v>29404</v>
      </c>
      <c r="I4428" s="2">
        <v>95803</v>
      </c>
      <c r="J4428" s="2"/>
      <c r="K4428" s="2"/>
      <c r="L4428" s="2"/>
      <c r="M4428" s="2"/>
      <c r="N4428" s="2"/>
      <c r="O4428" s="2">
        <v>543426</v>
      </c>
      <c r="P4428" s="2" t="s">
        <v>29405</v>
      </c>
      <c r="Q4428" s="2" t="s">
        <v>29406</v>
      </c>
      <c r="R4428" s="2" t="s">
        <v>29407</v>
      </c>
      <c r="S4428" s="2" t="s">
        <v>79</v>
      </c>
      <c r="T4428" s="2" t="s">
        <v>80</v>
      </c>
      <c r="U4428" s="2" t="s">
        <v>2820</v>
      </c>
      <c r="V4428" s="2" t="s">
        <v>59</v>
      </c>
      <c r="W4428" s="2">
        <v>47</v>
      </c>
      <c r="X4428" s="2">
        <v>37.9</v>
      </c>
      <c r="Y4428" s="2" t="s">
        <v>43</v>
      </c>
      <c r="Z4428" s="2" t="s">
        <v>29408</v>
      </c>
      <c r="AA4428" s="2">
        <v>-0.492848687533192</v>
      </c>
      <c r="AB4428" s="2">
        <v>0.14421437203371801</v>
      </c>
      <c r="AC4428" s="2">
        <v>2877.2058753585402</v>
      </c>
      <c r="AD4428" s="2">
        <v>4326.7497803904698</v>
      </c>
      <c r="AE4428" s="2">
        <v>3007.2681283224401</v>
      </c>
      <c r="AF4428" s="2">
        <v>2456.7852273226199</v>
      </c>
      <c r="AG4428" s="2">
        <v>3162.9723880308302</v>
      </c>
      <c r="AH4428" s="2">
        <v>2447.4017958693498</v>
      </c>
      <c r="AI4428" s="2">
        <v>3072.3724540332601</v>
      </c>
      <c r="AJ4428" s="2">
        <v>3116.4352585727302</v>
      </c>
      <c r="AK4428" s="2">
        <v>4126.8238148302798</v>
      </c>
      <c r="AL4428" s="2">
        <v>4290.1280084139198</v>
      </c>
      <c r="AM4428" s="2">
        <v>4337.1024340457898</v>
      </c>
      <c r="AN4428" s="2">
        <v>4708.2708894958996</v>
      </c>
      <c r="AO4428" s="2">
        <v>4033.8051293168101</v>
      </c>
      <c r="AP4428" s="2">
        <v>4464.3684062401098</v>
      </c>
    </row>
    <row r="4429" spans="1:42" ht="14.5" x14ac:dyDescent="0.35">
      <c r="A4429" s="2" t="s">
        <v>29409</v>
      </c>
      <c r="B4429" s="2">
        <v>180.097356991049</v>
      </c>
      <c r="C4429" s="2">
        <v>5.5897333333333297</v>
      </c>
      <c r="D4429" s="2" t="s">
        <v>34</v>
      </c>
      <c r="E4429" s="2" t="s">
        <v>29410</v>
      </c>
      <c r="F4429" s="2">
        <v>53877</v>
      </c>
      <c r="G4429" s="3" t="str">
        <f>HYPERLINK("http://funmeta.oebiotech.com/network/53877", "http://funmeta.oebiotech.com/network/53877")</f>
        <v>http://funmeta.oebiotech.com/network/53877</v>
      </c>
      <c r="H4429" s="2" t="s">
        <v>29411</v>
      </c>
      <c r="I4429" s="2">
        <v>85759</v>
      </c>
      <c r="J4429" s="2"/>
      <c r="K4429" s="2"/>
      <c r="L4429" s="2"/>
      <c r="M4429" s="2"/>
      <c r="N4429" s="2"/>
      <c r="O4429" s="2">
        <v>102466</v>
      </c>
      <c r="P4429" s="2"/>
      <c r="Q4429" s="2" t="s">
        <v>29412</v>
      </c>
      <c r="R4429" s="2" t="s">
        <v>29413</v>
      </c>
      <c r="S4429" s="2" t="s">
        <v>89</v>
      </c>
      <c r="T4429" s="2" t="s">
        <v>90</v>
      </c>
      <c r="U4429" s="2" t="s">
        <v>99</v>
      </c>
      <c r="V4429" s="2" t="s">
        <v>59</v>
      </c>
      <c r="W4429" s="2">
        <v>37.9</v>
      </c>
      <c r="X4429" s="2">
        <v>0</v>
      </c>
      <c r="Y4429" s="2" t="s">
        <v>43</v>
      </c>
      <c r="Z4429" s="2" t="s">
        <v>29414</v>
      </c>
      <c r="AA4429" s="2">
        <v>-3.24160397944312</v>
      </c>
      <c r="AB4429" s="2">
        <v>0.14409704937835899</v>
      </c>
      <c r="AC4429" s="2">
        <v>3564.1944920864598</v>
      </c>
      <c r="AD4429" s="2">
        <v>5177.26853936518</v>
      </c>
      <c r="AE4429" s="2">
        <v>3584.3635683525899</v>
      </c>
      <c r="AF4429" s="2">
        <v>3762.8599422566499</v>
      </c>
      <c r="AG4429" s="2">
        <v>3205.1994633007698</v>
      </c>
      <c r="AH4429" s="2">
        <v>3253.1088570092902</v>
      </c>
      <c r="AI4429" s="2">
        <v>3359.6847763076598</v>
      </c>
      <c r="AJ4429" s="2">
        <v>4219.9503452918298</v>
      </c>
      <c r="AK4429" s="2">
        <v>5176.67038973527</v>
      </c>
      <c r="AL4429" s="2">
        <v>4607.0370637463802</v>
      </c>
      <c r="AM4429" s="2">
        <v>5812.7646432441898</v>
      </c>
      <c r="AN4429" s="2">
        <v>5816.0622863917597</v>
      </c>
      <c r="AO4429" s="2">
        <v>4098.5704939641901</v>
      </c>
      <c r="AP4429" s="2">
        <v>5552.5063591093203</v>
      </c>
    </row>
    <row r="4430" spans="1:42" ht="14.5" x14ac:dyDescent="0.35">
      <c r="A4430" s="2" t="s">
        <v>29415</v>
      </c>
      <c r="B4430" s="2">
        <v>737.05322123485405</v>
      </c>
      <c r="C4430" s="2">
        <v>3.95061666666667</v>
      </c>
      <c r="D4430" s="2" t="s">
        <v>70</v>
      </c>
      <c r="E4430" s="2" t="s">
        <v>29416</v>
      </c>
      <c r="F4430" s="2">
        <v>212436</v>
      </c>
      <c r="G4430" s="3" t="str">
        <f>HYPERLINK("http://funmeta.oebiotech.com/network/212436", "http://funmeta.oebiotech.com/network/212436")</f>
        <v>http://funmeta.oebiotech.com/network/212436</v>
      </c>
      <c r="H4430" s="2" t="s">
        <v>29417</v>
      </c>
      <c r="I4430" s="2"/>
      <c r="J4430" s="2"/>
      <c r="K4430" s="2"/>
      <c r="L4430" s="2"/>
      <c r="M4430" s="2"/>
      <c r="N4430" s="2"/>
      <c r="O4430" s="2"/>
      <c r="P4430" s="2"/>
      <c r="Q4430" s="2" t="s">
        <v>29418</v>
      </c>
      <c r="R4430" s="2" t="s">
        <v>29419</v>
      </c>
      <c r="S4430" s="2" t="s">
        <v>41</v>
      </c>
      <c r="T4430" s="2" t="s">
        <v>41</v>
      </c>
      <c r="U4430" s="2" t="s">
        <v>41</v>
      </c>
      <c r="V4430" s="2" t="s">
        <v>59</v>
      </c>
      <c r="W4430" s="2">
        <v>37.200000000000003</v>
      </c>
      <c r="X4430" s="2">
        <v>0</v>
      </c>
      <c r="Y4430" s="2" t="s">
        <v>560</v>
      </c>
      <c r="Z4430" s="2" t="s">
        <v>29420</v>
      </c>
      <c r="AA4430" s="2">
        <v>-0.65817586413608098</v>
      </c>
      <c r="AB4430" s="2">
        <v>0.14407315348423699</v>
      </c>
      <c r="AC4430" s="2">
        <v>5967.0135848251202</v>
      </c>
      <c r="AD4430" s="2">
        <v>8003.1328564226797</v>
      </c>
      <c r="AE4430" s="2">
        <v>4738.1884226520096</v>
      </c>
      <c r="AF4430" s="2">
        <v>6847.9182076614097</v>
      </c>
      <c r="AG4430" s="2">
        <v>6439.7136804296797</v>
      </c>
      <c r="AH4430" s="2">
        <v>4896.9557252765298</v>
      </c>
      <c r="AI4430" s="2">
        <v>7835.5123142846096</v>
      </c>
      <c r="AJ4430" s="2">
        <v>5043.7931586464802</v>
      </c>
      <c r="AK4430" s="2">
        <v>8514.4539467759896</v>
      </c>
      <c r="AL4430" s="2">
        <v>8762.8342088960508</v>
      </c>
      <c r="AM4430" s="2">
        <v>9717.3853952024892</v>
      </c>
      <c r="AN4430" s="2">
        <v>6482.5213173412403</v>
      </c>
      <c r="AO4430" s="2">
        <v>6759.7887697094902</v>
      </c>
      <c r="AP4430" s="2">
        <v>7781.8135006108396</v>
      </c>
    </row>
    <row r="4431" spans="1:42" ht="14.5" x14ac:dyDescent="0.35">
      <c r="A4431" s="2" t="s">
        <v>29421</v>
      </c>
      <c r="B4431" s="2">
        <v>559.10929689474403</v>
      </c>
      <c r="C4431" s="2">
        <v>4.7931333333333299</v>
      </c>
      <c r="D4431" s="2" t="s">
        <v>70</v>
      </c>
      <c r="E4431" s="2" t="s">
        <v>29422</v>
      </c>
      <c r="F4431" s="2">
        <v>33223</v>
      </c>
      <c r="G4431" s="3" t="str">
        <f>HYPERLINK("http://funmeta.oebiotech.com/network/33223", "http://funmeta.oebiotech.com/network/33223")</f>
        <v>http://funmeta.oebiotech.com/network/33223</v>
      </c>
      <c r="H4431" s="2"/>
      <c r="I4431" s="2">
        <v>51550</v>
      </c>
      <c r="J4431" s="2" t="s">
        <v>29423</v>
      </c>
      <c r="K4431" s="2"/>
      <c r="L4431" s="2"/>
      <c r="M4431" s="2"/>
      <c r="N4431" s="2"/>
      <c r="O4431" s="2">
        <v>44259954</v>
      </c>
      <c r="P4431" s="2"/>
      <c r="Q4431" s="2" t="s">
        <v>29424</v>
      </c>
      <c r="R4431" s="2" t="s">
        <v>29425</v>
      </c>
      <c r="S4431" s="2" t="s">
        <v>115</v>
      </c>
      <c r="T4431" s="2" t="s">
        <v>139</v>
      </c>
      <c r="U4431" s="2" t="s">
        <v>140</v>
      </c>
      <c r="V4431" s="2" t="s">
        <v>59</v>
      </c>
      <c r="W4431" s="2">
        <v>38.6</v>
      </c>
      <c r="X4431" s="2">
        <v>0</v>
      </c>
      <c r="Y4431" s="2" t="s">
        <v>118</v>
      </c>
      <c r="Z4431" s="2" t="s">
        <v>29426</v>
      </c>
      <c r="AA4431" s="2">
        <v>-5.7339445601472701E-2</v>
      </c>
      <c r="AB4431" s="2">
        <v>0.14404510402291501</v>
      </c>
      <c r="AC4431" s="2">
        <v>34389.914263460101</v>
      </c>
      <c r="AD4431" s="2">
        <v>37352.5166581866</v>
      </c>
      <c r="AE4431" s="2">
        <v>34066.6821512448</v>
      </c>
      <c r="AF4431" s="2">
        <v>30673.0497148141</v>
      </c>
      <c r="AG4431" s="2">
        <v>32440.8978474287</v>
      </c>
      <c r="AH4431" s="2">
        <v>34437.805432741698</v>
      </c>
      <c r="AI4431" s="2">
        <v>32582.170818357601</v>
      </c>
      <c r="AJ4431" s="2">
        <v>42138.879616173501</v>
      </c>
      <c r="AK4431" s="2">
        <v>39108.971498211402</v>
      </c>
      <c r="AL4431" s="2">
        <v>35791.460834013502</v>
      </c>
      <c r="AM4431" s="2">
        <v>34587.800115091297</v>
      </c>
      <c r="AN4431" s="2">
        <v>37420.089077142198</v>
      </c>
      <c r="AO4431" s="2">
        <v>38047.600478136701</v>
      </c>
      <c r="AP4431" s="2">
        <v>39159.177946524404</v>
      </c>
    </row>
    <row r="4432" spans="1:42" ht="14.5" x14ac:dyDescent="0.35">
      <c r="A4432" s="2" t="s">
        <v>29427</v>
      </c>
      <c r="B4432" s="2">
        <v>281.15352924520801</v>
      </c>
      <c r="C4432" s="2">
        <v>9.6898833333333307</v>
      </c>
      <c r="D4432" s="2" t="s">
        <v>34</v>
      </c>
      <c r="E4432" s="2" t="s">
        <v>29428</v>
      </c>
      <c r="F4432" s="2">
        <v>289873</v>
      </c>
      <c r="G4432" s="3" t="str">
        <f>HYPERLINK("http://funmeta.oebiotech.com/network/289873", "http://funmeta.oebiotech.com/network/289873")</f>
        <v>http://funmeta.oebiotech.com/network/289873</v>
      </c>
      <c r="H4432" s="2"/>
      <c r="I4432" s="2">
        <v>985054</v>
      </c>
      <c r="J4432" s="2"/>
      <c r="K4432" s="2"/>
      <c r="L4432" s="2"/>
      <c r="M4432" s="2"/>
      <c r="N4432" s="2"/>
      <c r="O4432" s="2">
        <v>11208265</v>
      </c>
      <c r="P4432" s="2"/>
      <c r="Q4432" s="2" t="s">
        <v>29429</v>
      </c>
      <c r="R4432" s="2" t="s">
        <v>29430</v>
      </c>
      <c r="S4432" s="2" t="s">
        <v>115</v>
      </c>
      <c r="T4432" s="2" t="s">
        <v>575</v>
      </c>
      <c r="U4432" s="2" t="s">
        <v>576</v>
      </c>
      <c r="V4432" s="2" t="s">
        <v>59</v>
      </c>
      <c r="W4432" s="2">
        <v>38.799999999999997</v>
      </c>
      <c r="X4432" s="2">
        <v>0</v>
      </c>
      <c r="Y4432" s="2" t="s">
        <v>266</v>
      </c>
      <c r="Z4432" s="2" t="s">
        <v>29431</v>
      </c>
      <c r="AA4432" s="2">
        <v>-0.27509663211508401</v>
      </c>
      <c r="AB4432" s="2">
        <v>0.14400256786527799</v>
      </c>
      <c r="AC4432" s="2">
        <v>11479.616332691399</v>
      </c>
      <c r="AD4432" s="2">
        <v>13198.683834551201</v>
      </c>
      <c r="AE4432" s="2">
        <v>11222.1081148017</v>
      </c>
      <c r="AF4432" s="2">
        <v>11840.2715696872</v>
      </c>
      <c r="AG4432" s="2">
        <v>11280.500232296999</v>
      </c>
      <c r="AH4432" s="2">
        <v>11208.1429214045</v>
      </c>
      <c r="AI4432" s="2">
        <v>11028.966998133499</v>
      </c>
      <c r="AJ4432" s="2">
        <v>12297.7081598247</v>
      </c>
      <c r="AK4432" s="2">
        <v>12051.115856881701</v>
      </c>
      <c r="AL4432" s="2">
        <v>12574.2869257886</v>
      </c>
      <c r="AM4432" s="2">
        <v>12774.726458417101</v>
      </c>
      <c r="AN4432" s="2">
        <v>14337.9359047054</v>
      </c>
      <c r="AO4432" s="2">
        <v>13279.076390390301</v>
      </c>
      <c r="AP4432" s="2">
        <v>14174.961471123899</v>
      </c>
    </row>
    <row r="4433" spans="1:42" ht="14.5" x14ac:dyDescent="0.35">
      <c r="A4433" s="2" t="s">
        <v>29432</v>
      </c>
      <c r="B4433" s="2">
        <v>495.16584819573899</v>
      </c>
      <c r="C4433" s="2">
        <v>5.6725000000000003</v>
      </c>
      <c r="D4433" s="2" t="s">
        <v>70</v>
      </c>
      <c r="E4433" s="2" t="s">
        <v>29433</v>
      </c>
      <c r="F4433" s="2">
        <v>31612</v>
      </c>
      <c r="G4433" s="3" t="str">
        <f>HYPERLINK("http://funmeta.oebiotech.com/network/31612", "http://funmeta.oebiotech.com/network/31612")</f>
        <v>http://funmeta.oebiotech.com/network/31612</v>
      </c>
      <c r="H4433" s="2" t="s">
        <v>29434</v>
      </c>
      <c r="I4433" s="2">
        <v>49945</v>
      </c>
      <c r="J4433" s="2" t="s">
        <v>29435</v>
      </c>
      <c r="K4433" s="2">
        <v>6559</v>
      </c>
      <c r="L4433" s="2" t="s">
        <v>18141</v>
      </c>
      <c r="M4433" s="2"/>
      <c r="N4433" s="2"/>
      <c r="O4433" s="2">
        <v>44258664</v>
      </c>
      <c r="P4433" s="2" t="s">
        <v>29436</v>
      </c>
      <c r="Q4433" s="2" t="s">
        <v>29437</v>
      </c>
      <c r="R4433" s="2" t="s">
        <v>29438</v>
      </c>
      <c r="S4433" s="2" t="s">
        <v>491</v>
      </c>
      <c r="T4433" s="2" t="s">
        <v>2251</v>
      </c>
      <c r="U4433" s="2" t="s">
        <v>2252</v>
      </c>
      <c r="V4433" s="2" t="s">
        <v>59</v>
      </c>
      <c r="W4433" s="2">
        <v>37.799999999999997</v>
      </c>
      <c r="X4433" s="2">
        <v>0</v>
      </c>
      <c r="Y4433" s="2" t="s">
        <v>408</v>
      </c>
      <c r="Z4433" s="2" t="s">
        <v>29439</v>
      </c>
      <c r="AA4433" s="2">
        <v>-0.46170556120482498</v>
      </c>
      <c r="AB4433" s="2">
        <v>0.143907436215538</v>
      </c>
      <c r="AC4433" s="2">
        <v>3673.2422554459999</v>
      </c>
      <c r="AD4433" s="2">
        <v>2147.28442054265</v>
      </c>
      <c r="AE4433" s="2">
        <v>3918.0732844293002</v>
      </c>
      <c r="AF4433" s="2">
        <v>4282.1148034994503</v>
      </c>
      <c r="AG4433" s="2">
        <v>3275.04966543931</v>
      </c>
      <c r="AH4433" s="2">
        <v>3976.6734059345499</v>
      </c>
      <c r="AI4433" s="2">
        <v>3679.4575563111598</v>
      </c>
      <c r="AJ4433" s="2">
        <v>2908.0848170622598</v>
      </c>
      <c r="AK4433" s="2">
        <v>2363.3145130033199</v>
      </c>
      <c r="AL4433" s="2">
        <v>1905.5968551757901</v>
      </c>
      <c r="AM4433" s="2">
        <v>1820.1699933022601</v>
      </c>
      <c r="AN4433" s="2">
        <v>2582.9742007134</v>
      </c>
      <c r="AO4433" s="2">
        <v>2364.34869999084</v>
      </c>
      <c r="AP4433" s="2">
        <v>1847.3022610702701</v>
      </c>
    </row>
    <row r="4434" spans="1:42" ht="14.5" x14ac:dyDescent="0.35">
      <c r="A4434" s="2" t="s">
        <v>29440</v>
      </c>
      <c r="B4434" s="2">
        <v>447.27488193889201</v>
      </c>
      <c r="C4434" s="2">
        <v>11.08745</v>
      </c>
      <c r="D4434" s="2" t="s">
        <v>70</v>
      </c>
      <c r="E4434" s="2" t="s">
        <v>29441</v>
      </c>
      <c r="F4434" s="2">
        <v>47081</v>
      </c>
      <c r="G4434" s="3" t="str">
        <f>HYPERLINK("http://funmeta.oebiotech.com/network/47081", "http://funmeta.oebiotech.com/network/47081")</f>
        <v>http://funmeta.oebiotech.com/network/47081</v>
      </c>
      <c r="H4434" s="2" t="s">
        <v>29442</v>
      </c>
      <c r="I4434" s="2">
        <v>5526</v>
      </c>
      <c r="J4434" s="2"/>
      <c r="K4434" s="2">
        <v>172644</v>
      </c>
      <c r="L4434" s="2"/>
      <c r="M4434" s="2"/>
      <c r="N4434" s="2"/>
      <c r="O4434" s="2">
        <v>22833531</v>
      </c>
      <c r="P4434" s="2" t="s">
        <v>29443</v>
      </c>
      <c r="Q4434" s="2" t="s">
        <v>29444</v>
      </c>
      <c r="R4434" s="2" t="s">
        <v>29445</v>
      </c>
      <c r="S4434" s="2" t="s">
        <v>50</v>
      </c>
      <c r="T4434" s="2" t="s">
        <v>124</v>
      </c>
      <c r="U4434" s="2" t="s">
        <v>125</v>
      </c>
      <c r="V4434" s="2" t="s">
        <v>59</v>
      </c>
      <c r="W4434" s="2">
        <v>39</v>
      </c>
      <c r="X4434" s="2">
        <v>0</v>
      </c>
      <c r="Y4434" s="2" t="s">
        <v>408</v>
      </c>
      <c r="Z4434" s="2" t="s">
        <v>29446</v>
      </c>
      <c r="AA4434" s="2">
        <v>-0.82189138419086905</v>
      </c>
      <c r="AB4434" s="2">
        <v>0.14385173317524799</v>
      </c>
      <c r="AC4434" s="2">
        <v>10355.8376302828</v>
      </c>
      <c r="AD4434" s="2">
        <v>8483.8953133371797</v>
      </c>
      <c r="AE4434" s="2">
        <v>10337.357670498001</v>
      </c>
      <c r="AF4434" s="2">
        <v>8772.6082826993606</v>
      </c>
      <c r="AG4434" s="2">
        <v>9794.5470376548201</v>
      </c>
      <c r="AH4434" s="2">
        <v>12289.836877072001</v>
      </c>
      <c r="AI4434" s="2">
        <v>11099.2811754868</v>
      </c>
      <c r="AJ4434" s="2">
        <v>9841.3947382856804</v>
      </c>
      <c r="AK4434" s="2">
        <v>8169.9295017361701</v>
      </c>
      <c r="AL4434" s="2">
        <v>8453.7983017911902</v>
      </c>
      <c r="AM4434" s="2">
        <v>7704.8633909594801</v>
      </c>
      <c r="AN4434" s="2">
        <v>9039.2477991161795</v>
      </c>
      <c r="AO4434" s="2">
        <v>9259.3306073231906</v>
      </c>
      <c r="AP4434" s="2">
        <v>8276.2022790968604</v>
      </c>
    </row>
    <row r="4435" spans="1:42" ht="14.5" x14ac:dyDescent="0.35">
      <c r="A4435" s="2" t="s">
        <v>29447</v>
      </c>
      <c r="B4435" s="2">
        <v>339.04809498987902</v>
      </c>
      <c r="C4435" s="2">
        <v>6.5379166666666704</v>
      </c>
      <c r="D4435" s="2" t="s">
        <v>70</v>
      </c>
      <c r="E4435" s="2" t="s">
        <v>29448</v>
      </c>
      <c r="F4435" s="2">
        <v>58739</v>
      </c>
      <c r="G4435" s="3" t="str">
        <f>HYPERLINK("http://funmeta.oebiotech.com/network/58739", "http://funmeta.oebiotech.com/network/58739")</f>
        <v>http://funmeta.oebiotech.com/network/58739</v>
      </c>
      <c r="H4435" s="2" t="s">
        <v>29449</v>
      </c>
      <c r="I4435" s="2">
        <v>90189</v>
      </c>
      <c r="J4435" s="2"/>
      <c r="K4435" s="2">
        <v>174780</v>
      </c>
      <c r="L4435" s="2"/>
      <c r="M4435" s="2"/>
      <c r="N4435" s="2"/>
      <c r="O4435" s="2">
        <v>44333108</v>
      </c>
      <c r="P4435" s="2"/>
      <c r="Q4435" s="2" t="s">
        <v>29450</v>
      </c>
      <c r="R4435" s="2" t="s">
        <v>29451</v>
      </c>
      <c r="S4435" s="2" t="s">
        <v>491</v>
      </c>
      <c r="T4435" s="2" t="s">
        <v>2184</v>
      </c>
      <c r="U4435" s="2" t="s">
        <v>41</v>
      </c>
      <c r="V4435" s="2" t="s">
        <v>59</v>
      </c>
      <c r="W4435" s="2">
        <v>37.5</v>
      </c>
      <c r="X4435" s="2">
        <v>0</v>
      </c>
      <c r="Y4435" s="2" t="s">
        <v>408</v>
      </c>
      <c r="Z4435" s="2" t="s">
        <v>29452</v>
      </c>
      <c r="AA4435" s="2">
        <v>0.75641023080470404</v>
      </c>
      <c r="AB4435" s="2">
        <v>0.143846517115018</v>
      </c>
      <c r="AC4435" s="2">
        <v>1689.2946949331199</v>
      </c>
      <c r="AD4435" s="2">
        <v>3623.9740194250398</v>
      </c>
      <c r="AE4435" s="2">
        <v>1387.28146246047</v>
      </c>
      <c r="AF4435" s="2">
        <v>2070.7239665074499</v>
      </c>
      <c r="AG4435" s="2">
        <v>1707.3950578776801</v>
      </c>
      <c r="AH4435" s="2">
        <v>1285.8965439696799</v>
      </c>
      <c r="AI4435" s="2">
        <v>1915.21067992401</v>
      </c>
      <c r="AJ4435" s="2">
        <v>1769.2604588594199</v>
      </c>
      <c r="AK4435" s="2">
        <v>1879.3996230770799</v>
      </c>
      <c r="AL4435" s="2">
        <v>5336.3583634222196</v>
      </c>
      <c r="AM4435" s="2">
        <v>4128.4418369580799</v>
      </c>
      <c r="AN4435" s="2">
        <v>1889.6946798520701</v>
      </c>
      <c r="AO4435" s="2">
        <v>4924.8730137197999</v>
      </c>
      <c r="AP4435" s="2">
        <v>3585.0765995210099</v>
      </c>
    </row>
    <row r="4436" spans="1:42" ht="14.5" x14ac:dyDescent="0.35">
      <c r="A4436" s="2" t="s">
        <v>29453</v>
      </c>
      <c r="B4436" s="2">
        <v>569.14395490659001</v>
      </c>
      <c r="C4436" s="2">
        <v>9.5804500000000008</v>
      </c>
      <c r="D4436" s="2" t="s">
        <v>34</v>
      </c>
      <c r="E4436" s="2" t="s">
        <v>29454</v>
      </c>
      <c r="F4436" s="2">
        <v>29123</v>
      </c>
      <c r="G4436" s="3" t="str">
        <f>HYPERLINK("http://funmeta.oebiotech.com/network/29123", "http://funmeta.oebiotech.com/network/29123")</f>
        <v>http://funmeta.oebiotech.com/network/29123</v>
      </c>
      <c r="H4436" s="2"/>
      <c r="I4436" s="2"/>
      <c r="J4436" s="2" t="s">
        <v>29455</v>
      </c>
      <c r="K4436" s="2"/>
      <c r="L4436" s="2" t="s">
        <v>29456</v>
      </c>
      <c r="M4436" s="2"/>
      <c r="N4436" s="2"/>
      <c r="O4436" s="2">
        <v>42607507</v>
      </c>
      <c r="P4436" s="2"/>
      <c r="Q4436" s="2"/>
      <c r="R4436" s="2" t="s">
        <v>29457</v>
      </c>
      <c r="S4436" s="2" t="s">
        <v>115</v>
      </c>
      <c r="T4436" s="2" t="s">
        <v>139</v>
      </c>
      <c r="U4436" s="2" t="s">
        <v>957</v>
      </c>
      <c r="V4436" s="2" t="s">
        <v>59</v>
      </c>
      <c r="W4436" s="2">
        <v>41.7</v>
      </c>
      <c r="X4436" s="2">
        <v>15.3</v>
      </c>
      <c r="Y4436" s="2" t="s">
        <v>323</v>
      </c>
      <c r="Z4436" s="2" t="s">
        <v>29458</v>
      </c>
      <c r="AA4436" s="2">
        <v>3.9131868666324001</v>
      </c>
      <c r="AB4436" s="2">
        <v>0.14382703553941001</v>
      </c>
      <c r="AC4436" s="2">
        <v>19873.551333147701</v>
      </c>
      <c r="AD4436" s="2">
        <v>16322.346228919099</v>
      </c>
      <c r="AE4436" s="2">
        <v>16124.738760743599</v>
      </c>
      <c r="AF4436" s="2">
        <v>13372.9331733001</v>
      </c>
      <c r="AG4436" s="2">
        <v>17344.9040179771</v>
      </c>
      <c r="AH4436" s="2">
        <v>28104.81831762</v>
      </c>
      <c r="AI4436" s="2">
        <v>22940.654372249701</v>
      </c>
      <c r="AJ4436" s="2">
        <v>21353.259356995801</v>
      </c>
      <c r="AK4436" s="2">
        <v>13697.463217770501</v>
      </c>
      <c r="AL4436" s="2">
        <v>12430.2821705836</v>
      </c>
      <c r="AM4436" s="2">
        <v>15426.9411897103</v>
      </c>
      <c r="AN4436" s="2">
        <v>16554.673666014201</v>
      </c>
      <c r="AO4436" s="2">
        <v>22620.645656121502</v>
      </c>
      <c r="AP4436" s="2">
        <v>17204.0714733145</v>
      </c>
    </row>
    <row r="4437" spans="1:42" ht="14.5" x14ac:dyDescent="0.35">
      <c r="A4437" s="2" t="s">
        <v>29459</v>
      </c>
      <c r="B4437" s="2">
        <v>179.08512742960301</v>
      </c>
      <c r="C4437" s="2">
        <v>7.6440666666666699</v>
      </c>
      <c r="D4437" s="2" t="s">
        <v>34</v>
      </c>
      <c r="E4437" s="2" t="s">
        <v>29460</v>
      </c>
      <c r="F4437" s="2">
        <v>54397</v>
      </c>
      <c r="G4437" s="3" t="str">
        <f>HYPERLINK("http://funmeta.oebiotech.com/network/54397", "http://funmeta.oebiotech.com/network/54397")</f>
        <v>http://funmeta.oebiotech.com/network/54397</v>
      </c>
      <c r="H4437" s="2" t="s">
        <v>29461</v>
      </c>
      <c r="I4437" s="2">
        <v>86269</v>
      </c>
      <c r="J4437" s="2"/>
      <c r="K4437" s="2"/>
      <c r="L4437" s="2"/>
      <c r="M4437" s="2"/>
      <c r="N4437" s="2"/>
      <c r="O4437" s="2">
        <v>87194674</v>
      </c>
      <c r="P4437" s="2"/>
      <c r="Q4437" s="2" t="s">
        <v>29462</v>
      </c>
      <c r="R4437" s="2" t="s">
        <v>29463</v>
      </c>
      <c r="S4437" s="2" t="s">
        <v>89</v>
      </c>
      <c r="T4437" s="2" t="s">
        <v>90</v>
      </c>
      <c r="U4437" s="2" t="s">
        <v>99</v>
      </c>
      <c r="V4437" s="2" t="s">
        <v>59</v>
      </c>
      <c r="W4437" s="2">
        <v>39</v>
      </c>
      <c r="X4437" s="2">
        <v>8.48</v>
      </c>
      <c r="Y4437" s="2" t="s">
        <v>43</v>
      </c>
      <c r="Z4437" s="2" t="s">
        <v>27491</v>
      </c>
      <c r="AA4437" s="2">
        <v>1.5666021023497401</v>
      </c>
      <c r="AB4437" s="2">
        <v>0.143765567308763</v>
      </c>
      <c r="AC4437" s="2">
        <v>14649.117685822501</v>
      </c>
      <c r="AD4437" s="2">
        <v>16791.1965208363</v>
      </c>
      <c r="AE4437" s="2">
        <v>15397.644731026599</v>
      </c>
      <c r="AF4437" s="2">
        <v>13057.8365632189</v>
      </c>
      <c r="AG4437" s="2">
        <v>17037.4118489094</v>
      </c>
      <c r="AH4437" s="2">
        <v>13051.5831230248</v>
      </c>
      <c r="AI4437" s="2">
        <v>14226.0664302033</v>
      </c>
      <c r="AJ4437" s="2">
        <v>15124.1634185522</v>
      </c>
      <c r="AK4437" s="2">
        <v>17128.598141726499</v>
      </c>
      <c r="AL4437" s="2">
        <v>15628.8005586329</v>
      </c>
      <c r="AM4437" s="2">
        <v>19144.9528414917</v>
      </c>
      <c r="AN4437" s="2">
        <v>16263.325718644701</v>
      </c>
      <c r="AO4437" s="2">
        <v>16989.190532630699</v>
      </c>
      <c r="AP4437" s="2">
        <v>15592.3113318911</v>
      </c>
    </row>
    <row r="4438" spans="1:42" ht="14.5" x14ac:dyDescent="0.35">
      <c r="A4438" s="2" t="s">
        <v>29464</v>
      </c>
      <c r="B4438" s="2">
        <v>207.101697616264</v>
      </c>
      <c r="C4438" s="2">
        <v>4.1584500000000002</v>
      </c>
      <c r="D4438" s="2" t="s">
        <v>34</v>
      </c>
      <c r="E4438" s="2" t="s">
        <v>29465</v>
      </c>
      <c r="F4438" s="2">
        <v>203321</v>
      </c>
      <c r="G4438" s="3" t="str">
        <f>HYPERLINK("http://funmeta.oebiotech.com/network/203321", "http://funmeta.oebiotech.com/network/203321")</f>
        <v>http://funmeta.oebiotech.com/network/203321</v>
      </c>
      <c r="H4438" s="2" t="s">
        <v>29466</v>
      </c>
      <c r="I4438" s="2"/>
      <c r="J4438" s="2"/>
      <c r="K4438" s="2"/>
      <c r="L4438" s="2"/>
      <c r="M4438" s="2"/>
      <c r="N4438" s="2"/>
      <c r="O4438" s="2"/>
      <c r="P4438" s="2"/>
      <c r="Q4438" s="2" t="s">
        <v>29467</v>
      </c>
      <c r="R4438" s="2" t="s">
        <v>29468</v>
      </c>
      <c r="S4438" s="2" t="s">
        <v>115</v>
      </c>
      <c r="T4438" s="2" t="s">
        <v>1384</v>
      </c>
      <c r="U4438" s="2" t="s">
        <v>41</v>
      </c>
      <c r="V4438" s="2" t="s">
        <v>42</v>
      </c>
      <c r="W4438" s="2">
        <v>52.4</v>
      </c>
      <c r="X4438" s="2">
        <v>68.5</v>
      </c>
      <c r="Y4438" s="2" t="s">
        <v>141</v>
      </c>
      <c r="Z4438" s="2" t="s">
        <v>29469</v>
      </c>
      <c r="AA4438" s="2">
        <v>0.56614079778527904</v>
      </c>
      <c r="AB4438" s="2">
        <v>0.14373116239297701</v>
      </c>
      <c r="AC4438" s="2">
        <v>18595.7686266602</v>
      </c>
      <c r="AD4438" s="2">
        <v>20548.689525361999</v>
      </c>
      <c r="AE4438" s="2">
        <v>18797.601490114801</v>
      </c>
      <c r="AF4438" s="2">
        <v>20321.754462534602</v>
      </c>
      <c r="AG4438" s="2">
        <v>17404.725880161499</v>
      </c>
      <c r="AH4438" s="2">
        <v>17413.9961060889</v>
      </c>
      <c r="AI4438" s="2">
        <v>17644.687983822299</v>
      </c>
      <c r="AJ4438" s="2">
        <v>19991.845837239001</v>
      </c>
      <c r="AK4438" s="2">
        <v>21659.7640119151</v>
      </c>
      <c r="AL4438" s="2">
        <v>20644.434686412798</v>
      </c>
      <c r="AM4438" s="2">
        <v>20037.802122240901</v>
      </c>
      <c r="AN4438" s="2">
        <v>20125.658229565601</v>
      </c>
      <c r="AO4438" s="2">
        <v>19583.286074328498</v>
      </c>
      <c r="AP4438" s="2">
        <v>21241.192027709301</v>
      </c>
    </row>
    <row r="4439" spans="1:42" ht="14.5" x14ac:dyDescent="0.35">
      <c r="A4439" s="2" t="s">
        <v>29470</v>
      </c>
      <c r="B4439" s="2">
        <v>440.181280994151</v>
      </c>
      <c r="C4439" s="2">
        <v>4.8173500000000002</v>
      </c>
      <c r="D4439" s="2" t="s">
        <v>34</v>
      </c>
      <c r="E4439" s="2" t="s">
        <v>29471</v>
      </c>
      <c r="F4439" s="2">
        <v>257888</v>
      </c>
      <c r="G4439" s="3" t="str">
        <f>HYPERLINK("http://funmeta.oebiotech.com/network/257888", "http://funmeta.oebiotech.com/network/257888")</f>
        <v>http://funmeta.oebiotech.com/network/257888</v>
      </c>
      <c r="H4439" s="2"/>
      <c r="I4439" s="2">
        <v>1313</v>
      </c>
      <c r="J4439" s="2"/>
      <c r="K4439" s="2"/>
      <c r="L4439" s="2" t="s">
        <v>29472</v>
      </c>
      <c r="M4439" s="2"/>
      <c r="N4439" s="2"/>
      <c r="O4439" s="2">
        <v>54675783</v>
      </c>
      <c r="P4439" s="2" t="s">
        <v>29473</v>
      </c>
      <c r="Q4439" s="2" t="s">
        <v>29474</v>
      </c>
      <c r="R4439" s="2" t="s">
        <v>29475</v>
      </c>
      <c r="S4439" s="2" t="s">
        <v>115</v>
      </c>
      <c r="T4439" s="2" t="s">
        <v>10885</v>
      </c>
      <c r="U4439" s="2" t="s">
        <v>41</v>
      </c>
      <c r="V4439" s="2" t="s">
        <v>59</v>
      </c>
      <c r="W4439" s="2">
        <v>37.200000000000003</v>
      </c>
      <c r="X4439" s="2">
        <v>0</v>
      </c>
      <c r="Y4439" s="2" t="s">
        <v>141</v>
      </c>
      <c r="Z4439" s="2" t="s">
        <v>29476</v>
      </c>
      <c r="AA4439" s="2">
        <v>-0.723936986562011</v>
      </c>
      <c r="AB4439" s="2">
        <v>0.14372317631845999</v>
      </c>
      <c r="AC4439" s="2">
        <v>7532.2699016283404</v>
      </c>
      <c r="AD4439" s="2">
        <v>9555.5891394582795</v>
      </c>
      <c r="AE4439" s="2">
        <v>7725.5915137772499</v>
      </c>
      <c r="AF4439" s="2">
        <v>7780.6074131346204</v>
      </c>
      <c r="AG4439" s="2">
        <v>7096.5478164533897</v>
      </c>
      <c r="AH4439" s="2">
        <v>8554.0201850378908</v>
      </c>
      <c r="AI4439" s="2">
        <v>7056.8725796630797</v>
      </c>
      <c r="AJ4439" s="2">
        <v>6979.9799017038004</v>
      </c>
      <c r="AK4439" s="2">
        <v>7546.5382419106299</v>
      </c>
      <c r="AL4439" s="2">
        <v>9337.9686588372406</v>
      </c>
      <c r="AM4439" s="2">
        <v>12394.328450085</v>
      </c>
      <c r="AN4439" s="2">
        <v>8979.2376092387294</v>
      </c>
      <c r="AO4439" s="2">
        <v>10205.8104827593</v>
      </c>
      <c r="AP4439" s="2">
        <v>8869.6513939188007</v>
      </c>
    </row>
    <row r="4440" spans="1:42" ht="14.5" x14ac:dyDescent="0.35">
      <c r="A4440" s="2" t="s">
        <v>29477</v>
      </c>
      <c r="B4440" s="2">
        <v>127.12296538012301</v>
      </c>
      <c r="C4440" s="2">
        <v>0.65180000000000005</v>
      </c>
      <c r="D4440" s="2" t="s">
        <v>34</v>
      </c>
      <c r="E4440" s="2" t="s">
        <v>29478</v>
      </c>
      <c r="F4440" s="2">
        <v>201646</v>
      </c>
      <c r="G4440" s="3" t="str">
        <f>HYPERLINK("http://funmeta.oebiotech.com/network/201646", "http://funmeta.oebiotech.com/network/201646")</f>
        <v>http://funmeta.oebiotech.com/network/201646</v>
      </c>
      <c r="H4440" s="2" t="s">
        <v>29479</v>
      </c>
      <c r="I4440" s="2"/>
      <c r="J4440" s="2"/>
      <c r="K4440" s="2"/>
      <c r="L4440" s="2"/>
      <c r="M4440" s="2"/>
      <c r="N4440" s="2"/>
      <c r="O4440" s="2">
        <v>6484262</v>
      </c>
      <c r="P4440" s="2"/>
      <c r="Q4440" s="2" t="s">
        <v>29480</v>
      </c>
      <c r="R4440" s="2" t="s">
        <v>29481</v>
      </c>
      <c r="S4440" s="2" t="s">
        <v>41</v>
      </c>
      <c r="T4440" s="2" t="s">
        <v>41</v>
      </c>
      <c r="U4440" s="2" t="s">
        <v>41</v>
      </c>
      <c r="V4440" s="2" t="s">
        <v>59</v>
      </c>
      <c r="W4440" s="2">
        <v>42.5</v>
      </c>
      <c r="X4440" s="2">
        <v>17.2</v>
      </c>
      <c r="Y4440" s="2" t="s">
        <v>141</v>
      </c>
      <c r="Z4440" s="2" t="s">
        <v>29482</v>
      </c>
      <c r="AA4440" s="2">
        <v>-6.5998773882665798E-2</v>
      </c>
      <c r="AB4440" s="2">
        <v>0.14367268486281501</v>
      </c>
      <c r="AC4440" s="2">
        <v>5316.7137604914196</v>
      </c>
      <c r="AD4440" s="2">
        <v>6910.1894594904898</v>
      </c>
      <c r="AE4440" s="2">
        <v>3981.0908785624101</v>
      </c>
      <c r="AF4440" s="2">
        <v>5863.65546710731</v>
      </c>
      <c r="AG4440" s="2">
        <v>5092.4233007822304</v>
      </c>
      <c r="AH4440" s="2">
        <v>5533.8721960522298</v>
      </c>
      <c r="AI4440" s="2">
        <v>5773.9545839970697</v>
      </c>
      <c r="AJ4440" s="2">
        <v>5655.2861364472501</v>
      </c>
      <c r="AK4440" s="2">
        <v>7101.0504084306804</v>
      </c>
      <c r="AL4440" s="2">
        <v>6404.2464929317603</v>
      </c>
      <c r="AM4440" s="2">
        <v>7345.1203433221599</v>
      </c>
      <c r="AN4440" s="2">
        <v>6807.3479923568902</v>
      </c>
      <c r="AO4440" s="2">
        <v>6728.0192110204298</v>
      </c>
      <c r="AP4440" s="2">
        <v>7075.3523088810298</v>
      </c>
    </row>
    <row r="4441" spans="1:42" ht="14.5" x14ac:dyDescent="0.35">
      <c r="A4441" s="2" t="s">
        <v>29483</v>
      </c>
      <c r="B4441" s="2">
        <v>279.23179988935101</v>
      </c>
      <c r="C4441" s="2">
        <v>12.953900000000001</v>
      </c>
      <c r="D4441" s="2" t="s">
        <v>34</v>
      </c>
      <c r="E4441" s="2" t="s">
        <v>29484</v>
      </c>
      <c r="F4441" s="2">
        <v>3237</v>
      </c>
      <c r="G4441" s="3" t="str">
        <f>HYPERLINK("http://funmeta.oebiotech.com/network/3237", "http://funmeta.oebiotech.com/network/3237")</f>
        <v>http://funmeta.oebiotech.com/network/3237</v>
      </c>
      <c r="H4441" s="2" t="s">
        <v>29485</v>
      </c>
      <c r="I4441" s="2">
        <v>43441</v>
      </c>
      <c r="J4441" s="2" t="s">
        <v>29486</v>
      </c>
      <c r="K4441" s="2">
        <v>86022</v>
      </c>
      <c r="L4441" s="2" t="s">
        <v>29487</v>
      </c>
      <c r="M4441" s="2" t="s">
        <v>4579</v>
      </c>
      <c r="N4441" s="2" t="s">
        <v>4580</v>
      </c>
      <c r="O4441" s="2">
        <v>5316080</v>
      </c>
      <c r="P4441" s="2"/>
      <c r="Q4441" s="2" t="s">
        <v>29488</v>
      </c>
      <c r="R4441" s="2" t="s">
        <v>29489</v>
      </c>
      <c r="S4441" s="2" t="s">
        <v>50</v>
      </c>
      <c r="T4441" s="2" t="s">
        <v>229</v>
      </c>
      <c r="U4441" s="2" t="s">
        <v>433</v>
      </c>
      <c r="V4441" s="2" t="s">
        <v>59</v>
      </c>
      <c r="W4441" s="2">
        <v>39.299999999999997</v>
      </c>
      <c r="X4441" s="2">
        <v>0</v>
      </c>
      <c r="Y4441" s="2" t="s">
        <v>141</v>
      </c>
      <c r="Z4441" s="2" t="s">
        <v>1361</v>
      </c>
      <c r="AA4441" s="2">
        <v>-0.191555830961886</v>
      </c>
      <c r="AB4441" s="2">
        <v>0.143410519754188</v>
      </c>
      <c r="AC4441" s="2">
        <v>3745.6199920981499</v>
      </c>
      <c r="AD4441" s="2">
        <v>2279.7097742714</v>
      </c>
      <c r="AE4441" s="2">
        <v>3532.1973602584899</v>
      </c>
      <c r="AF4441" s="2">
        <v>3506.7713060452202</v>
      </c>
      <c r="AG4441" s="2">
        <v>3496.75403702631</v>
      </c>
      <c r="AH4441" s="2">
        <v>3884.3657583018098</v>
      </c>
      <c r="AI4441" s="2">
        <v>4059.2300609304698</v>
      </c>
      <c r="AJ4441" s="2">
        <v>3994.4014300266099</v>
      </c>
      <c r="AK4441" s="2">
        <v>2633.7400743072099</v>
      </c>
      <c r="AL4441" s="2">
        <v>2817.6847399183598</v>
      </c>
      <c r="AM4441" s="2">
        <v>2144.3501587453402</v>
      </c>
      <c r="AN4441" s="2">
        <v>2354.8579736199399</v>
      </c>
      <c r="AO4441" s="2">
        <v>1861.10150253199</v>
      </c>
      <c r="AP4441" s="2">
        <v>1866.52419650556</v>
      </c>
    </row>
    <row r="4442" spans="1:42" ht="14.5" x14ac:dyDescent="0.35">
      <c r="A4442" s="2" t="s">
        <v>29490</v>
      </c>
      <c r="B4442" s="2">
        <v>707.21327604840496</v>
      </c>
      <c r="C4442" s="2">
        <v>5.1527500000000002</v>
      </c>
      <c r="D4442" s="2" t="s">
        <v>70</v>
      </c>
      <c r="E4442" s="2" t="s">
        <v>29491</v>
      </c>
      <c r="F4442" s="2">
        <v>266960</v>
      </c>
      <c r="G4442" s="3" t="str">
        <f>HYPERLINK("http://funmeta.oebiotech.com/network/266960", "http://funmeta.oebiotech.com/network/266960")</f>
        <v>http://funmeta.oebiotech.com/network/266960</v>
      </c>
      <c r="H4442" s="2"/>
      <c r="I4442" s="2">
        <v>44394</v>
      </c>
      <c r="J4442" s="2"/>
      <c r="K4442" s="2"/>
      <c r="L4442" s="2"/>
      <c r="M4442" s="2"/>
      <c r="N4442" s="2"/>
      <c r="O4442" s="2">
        <v>5962587</v>
      </c>
      <c r="P4442" s="2" t="s">
        <v>29492</v>
      </c>
      <c r="Q4442" s="2" t="s">
        <v>29493</v>
      </c>
      <c r="R4442" s="2" t="s">
        <v>29494</v>
      </c>
      <c r="S4442" s="2" t="s">
        <v>115</v>
      </c>
      <c r="T4442" s="2" t="s">
        <v>4730</v>
      </c>
      <c r="U4442" s="2" t="s">
        <v>41</v>
      </c>
      <c r="V4442" s="2" t="s">
        <v>59</v>
      </c>
      <c r="W4442" s="2">
        <v>39.299999999999997</v>
      </c>
      <c r="X4442" s="2">
        <v>0</v>
      </c>
      <c r="Y4442" s="2" t="s">
        <v>560</v>
      </c>
      <c r="Z4442" s="2" t="s">
        <v>29495</v>
      </c>
      <c r="AA4442" s="2">
        <v>-0.17524034440453701</v>
      </c>
      <c r="AB4442" s="2">
        <v>0.143310527135669</v>
      </c>
      <c r="AC4442" s="2">
        <v>13374.8491575998</v>
      </c>
      <c r="AD4442" s="2">
        <v>16030.2297212838</v>
      </c>
      <c r="AE4442" s="2">
        <v>14853.389659582401</v>
      </c>
      <c r="AF4442" s="2">
        <v>13764.589314422699</v>
      </c>
      <c r="AG4442" s="2">
        <v>14914.584713963201</v>
      </c>
      <c r="AH4442" s="2">
        <v>14316.811873103799</v>
      </c>
      <c r="AI4442" s="2">
        <v>11929.457082753701</v>
      </c>
      <c r="AJ4442" s="2">
        <v>10470.262301773</v>
      </c>
      <c r="AK4442" s="2">
        <v>19235.31095983</v>
      </c>
      <c r="AL4442" s="2">
        <v>14846.727797130199</v>
      </c>
      <c r="AM4442" s="2">
        <v>12138.468382535701</v>
      </c>
      <c r="AN4442" s="2">
        <v>14521.1741639951</v>
      </c>
      <c r="AO4442" s="2">
        <v>19675.150756097799</v>
      </c>
      <c r="AP4442" s="2">
        <v>15764.5462681139</v>
      </c>
    </row>
    <row r="4443" spans="1:42" ht="14.5" x14ac:dyDescent="0.35">
      <c r="A4443" s="2" t="s">
        <v>29496</v>
      </c>
      <c r="B4443" s="2">
        <v>506.324340810401</v>
      </c>
      <c r="C4443" s="2">
        <v>10.661899999999999</v>
      </c>
      <c r="D4443" s="2" t="s">
        <v>70</v>
      </c>
      <c r="E4443" s="2" t="s">
        <v>29497</v>
      </c>
      <c r="F4443" s="2">
        <v>19821</v>
      </c>
      <c r="G4443" s="3" t="str">
        <f>HYPERLINK("http://funmeta.oebiotech.com/network/19821", "http://funmeta.oebiotech.com/network/19821")</f>
        <v>http://funmeta.oebiotech.com/network/19821</v>
      </c>
      <c r="H4443" s="2"/>
      <c r="I4443" s="2">
        <v>40268</v>
      </c>
      <c r="J4443" s="2" t="s">
        <v>29498</v>
      </c>
      <c r="K4443" s="2">
        <v>73854</v>
      </c>
      <c r="L4443" s="2"/>
      <c r="M4443" s="2"/>
      <c r="N4443" s="2"/>
      <c r="O4443" s="2">
        <v>42607442</v>
      </c>
      <c r="P4443" s="2"/>
      <c r="Q4443" s="2" t="s">
        <v>29499</v>
      </c>
      <c r="R4443" s="2" t="s">
        <v>29500</v>
      </c>
      <c r="S4443" s="2" t="s">
        <v>50</v>
      </c>
      <c r="T4443" s="2" t="s">
        <v>51</v>
      </c>
      <c r="U4443" s="2" t="s">
        <v>168</v>
      </c>
      <c r="V4443" s="2" t="s">
        <v>42</v>
      </c>
      <c r="W4443" s="2">
        <v>53.1</v>
      </c>
      <c r="X4443" s="2">
        <v>71.599999999999994</v>
      </c>
      <c r="Y4443" s="2" t="s">
        <v>118</v>
      </c>
      <c r="Z4443" s="2" t="s">
        <v>29501</v>
      </c>
      <c r="AA4443" s="2">
        <v>-1.71944994131331</v>
      </c>
      <c r="AB4443" s="2">
        <v>0.14323129919731301</v>
      </c>
      <c r="AC4443" s="2">
        <v>1828.8069403156701</v>
      </c>
      <c r="AD4443" s="2">
        <v>3407.7261596620401</v>
      </c>
      <c r="AE4443" s="2">
        <v>1853.7308013760401</v>
      </c>
      <c r="AF4443" s="2">
        <v>1748.06946705821</v>
      </c>
      <c r="AG4443" s="2">
        <v>1874.81953283949</v>
      </c>
      <c r="AH4443" s="2">
        <v>1726.5527572461699</v>
      </c>
      <c r="AI4443" s="2">
        <v>1655.1009638191199</v>
      </c>
      <c r="AJ4443" s="2">
        <v>2114.5681195549801</v>
      </c>
      <c r="AK4443" s="2">
        <v>4723.7490572386496</v>
      </c>
      <c r="AL4443" s="2">
        <v>3537.9452535784899</v>
      </c>
      <c r="AM4443" s="2">
        <v>2661.28177703646</v>
      </c>
      <c r="AN4443" s="2">
        <v>3110.6001539490799</v>
      </c>
      <c r="AO4443" s="2">
        <v>2993.5460381343501</v>
      </c>
      <c r="AP4443" s="2">
        <v>3419.23467803524</v>
      </c>
    </row>
    <row r="4444" spans="1:42" ht="14.5" x14ac:dyDescent="0.35">
      <c r="A4444" s="2" t="s">
        <v>29502</v>
      </c>
      <c r="B4444" s="2">
        <v>571.36338321236997</v>
      </c>
      <c r="C4444" s="2">
        <v>9.9588999999999999</v>
      </c>
      <c r="D4444" s="2" t="s">
        <v>34</v>
      </c>
      <c r="E4444" s="2" t="s">
        <v>29503</v>
      </c>
      <c r="F4444" s="2">
        <v>59175</v>
      </c>
      <c r="G4444" s="3" t="str">
        <f>HYPERLINK("http://funmeta.oebiotech.com/network/59175", "http://funmeta.oebiotech.com/network/59175")</f>
        <v>http://funmeta.oebiotech.com/network/59175</v>
      </c>
      <c r="H4444" s="2" t="s">
        <v>29504</v>
      </c>
      <c r="I4444" s="2">
        <v>90597</v>
      </c>
      <c r="J4444" s="2"/>
      <c r="K4444" s="2"/>
      <c r="L4444" s="2"/>
      <c r="M4444" s="2"/>
      <c r="N4444" s="2"/>
      <c r="O4444" s="2">
        <v>13916711</v>
      </c>
      <c r="P4444" s="2" t="s">
        <v>29505</v>
      </c>
      <c r="Q4444" s="2" t="s">
        <v>29506</v>
      </c>
      <c r="R4444" s="2" t="s">
        <v>29507</v>
      </c>
      <c r="S4444" s="2" t="s">
        <v>50</v>
      </c>
      <c r="T4444" s="2" t="s">
        <v>201</v>
      </c>
      <c r="U4444" s="2" t="s">
        <v>210</v>
      </c>
      <c r="V4444" s="2" t="s">
        <v>59</v>
      </c>
      <c r="W4444" s="2">
        <v>36.299999999999997</v>
      </c>
      <c r="X4444" s="2">
        <v>0</v>
      </c>
      <c r="Y4444" s="2" t="s">
        <v>394</v>
      </c>
      <c r="Z4444" s="2" t="s">
        <v>29508</v>
      </c>
      <c r="AA4444" s="2">
        <v>0.79396065800387605</v>
      </c>
      <c r="AB4444" s="2">
        <v>0.14315519259193099</v>
      </c>
      <c r="AC4444" s="2">
        <v>2978.89833679516</v>
      </c>
      <c r="AD4444" s="2">
        <v>1509.9174610555399</v>
      </c>
      <c r="AE4444" s="2">
        <v>3011.9022727599699</v>
      </c>
      <c r="AF4444" s="2">
        <v>2408.9032105259298</v>
      </c>
      <c r="AG4444" s="2">
        <v>2921.1953347900899</v>
      </c>
      <c r="AH4444" s="2">
        <v>3067.8290697516099</v>
      </c>
      <c r="AI4444" s="2">
        <v>2933.9438337194301</v>
      </c>
      <c r="AJ4444" s="2">
        <v>3529.6162992239501</v>
      </c>
      <c r="AK4444" s="2">
        <v>1697.63024842969</v>
      </c>
      <c r="AL4444" s="2">
        <v>1293.7682595557501</v>
      </c>
      <c r="AM4444" s="2">
        <v>1268.44788669677</v>
      </c>
      <c r="AN4444" s="2">
        <v>2106.4759110645</v>
      </c>
      <c r="AO4444" s="2">
        <v>1426.44693022925</v>
      </c>
      <c r="AP4444" s="2">
        <v>1266.7355303572699</v>
      </c>
    </row>
    <row r="4445" spans="1:42" ht="14.5" x14ac:dyDescent="0.35">
      <c r="A4445" s="2" t="s">
        <v>29509</v>
      </c>
      <c r="B4445" s="2">
        <v>188.17586302924201</v>
      </c>
      <c r="C4445" s="2">
        <v>0.66754999999999998</v>
      </c>
      <c r="D4445" s="2" t="s">
        <v>34</v>
      </c>
      <c r="E4445" s="2" t="s">
        <v>29510</v>
      </c>
      <c r="F4445" s="2">
        <v>202235</v>
      </c>
      <c r="G4445" s="3" t="str">
        <f>HYPERLINK("http://funmeta.oebiotech.com/network/202235", "http://funmeta.oebiotech.com/network/202235")</f>
        <v>http://funmeta.oebiotech.com/network/202235</v>
      </c>
      <c r="H4445" s="2" t="s">
        <v>29511</v>
      </c>
      <c r="I4445" s="2"/>
      <c r="J4445" s="2"/>
      <c r="K4445" s="2"/>
      <c r="L4445" s="2"/>
      <c r="M4445" s="2"/>
      <c r="N4445" s="2"/>
      <c r="O4445" s="2">
        <v>4470972</v>
      </c>
      <c r="P4445" s="2"/>
      <c r="Q4445" s="2" t="s">
        <v>29512</v>
      </c>
      <c r="R4445" s="2" t="s">
        <v>29513</v>
      </c>
      <c r="S4445" s="2" t="s">
        <v>89</v>
      </c>
      <c r="T4445" s="2" t="s">
        <v>90</v>
      </c>
      <c r="U4445" s="2" t="s">
        <v>99</v>
      </c>
      <c r="V4445" s="2" t="s">
        <v>59</v>
      </c>
      <c r="W4445" s="2">
        <v>38.9</v>
      </c>
      <c r="X4445" s="2">
        <v>0</v>
      </c>
      <c r="Y4445" s="2" t="s">
        <v>43</v>
      </c>
      <c r="Z4445" s="2" t="s">
        <v>29514</v>
      </c>
      <c r="AA4445" s="2">
        <v>0.73052441507166799</v>
      </c>
      <c r="AB4445" s="2">
        <v>0.14314532916647499</v>
      </c>
      <c r="AC4445" s="2">
        <v>251.17300245280899</v>
      </c>
      <c r="AD4445" s="2">
        <v>1624.8093840352501</v>
      </c>
      <c r="AE4445" s="2">
        <v>222.01820222608899</v>
      </c>
      <c r="AF4445" s="2">
        <v>174.211221443455</v>
      </c>
      <c r="AG4445" s="2">
        <v>189.26584335221401</v>
      </c>
      <c r="AH4445" s="2">
        <v>370.08151065887802</v>
      </c>
      <c r="AI4445" s="2">
        <v>154.950531560147</v>
      </c>
      <c r="AJ4445" s="2">
        <v>396.51070547607299</v>
      </c>
      <c r="AK4445" s="2">
        <v>1774.94213476953</v>
      </c>
      <c r="AL4445" s="2">
        <v>1263.13956725444</v>
      </c>
      <c r="AM4445" s="2">
        <v>1700.02416364028</v>
      </c>
      <c r="AN4445" s="2">
        <v>1658.19778062109</v>
      </c>
      <c r="AO4445" s="2">
        <v>1817.33877640073</v>
      </c>
      <c r="AP4445" s="2">
        <v>1535.21388152541</v>
      </c>
    </row>
    <row r="4446" spans="1:42" ht="14.5" x14ac:dyDescent="0.35">
      <c r="A4446" s="2" t="s">
        <v>29515</v>
      </c>
      <c r="B4446" s="2">
        <v>422.32753412265203</v>
      </c>
      <c r="C4446" s="2">
        <v>10.422466666666701</v>
      </c>
      <c r="D4446" s="2" t="s">
        <v>70</v>
      </c>
      <c r="E4446" s="2" t="s">
        <v>29516</v>
      </c>
      <c r="F4446" s="2">
        <v>48728</v>
      </c>
      <c r="G4446" s="3" t="str">
        <f>HYPERLINK("http://funmeta.oebiotech.com/network/48728", "http://funmeta.oebiotech.com/network/48728")</f>
        <v>http://funmeta.oebiotech.com/network/48728</v>
      </c>
      <c r="H4446" s="2" t="s">
        <v>29517</v>
      </c>
      <c r="I4446" s="2"/>
      <c r="J4446" s="2"/>
      <c r="K4446" s="2"/>
      <c r="L4446" s="2"/>
      <c r="M4446" s="2"/>
      <c r="N4446" s="2"/>
      <c r="O4446" s="2"/>
      <c r="P4446" s="2" t="s">
        <v>29518</v>
      </c>
      <c r="Q4446" s="2" t="s">
        <v>29519</v>
      </c>
      <c r="R4446" s="2" t="s">
        <v>29520</v>
      </c>
      <c r="S4446" s="2" t="s">
        <v>50</v>
      </c>
      <c r="T4446" s="2" t="s">
        <v>229</v>
      </c>
      <c r="U4446" s="2" t="s">
        <v>1914</v>
      </c>
      <c r="V4446" s="2" t="s">
        <v>59</v>
      </c>
      <c r="W4446" s="2">
        <v>37.299999999999997</v>
      </c>
      <c r="X4446" s="2">
        <v>0</v>
      </c>
      <c r="Y4446" s="2" t="s">
        <v>118</v>
      </c>
      <c r="Z4446" s="2" t="s">
        <v>29521</v>
      </c>
      <c r="AA4446" s="2">
        <v>-0.11426306451846199</v>
      </c>
      <c r="AB4446" s="2">
        <v>0.14295390339774</v>
      </c>
      <c r="AC4446" s="2">
        <v>596.23749400131999</v>
      </c>
      <c r="AD4446" s="2">
        <v>2019.0188988372399</v>
      </c>
      <c r="AE4446" s="2">
        <v>388.45355470689401</v>
      </c>
      <c r="AF4446" s="2">
        <v>711.47293588979903</v>
      </c>
      <c r="AG4446" s="2">
        <v>477.25003541699903</v>
      </c>
      <c r="AH4446" s="2">
        <v>514.56617198126003</v>
      </c>
      <c r="AI4446" s="2">
        <v>848.30140529498306</v>
      </c>
      <c r="AJ4446" s="2">
        <v>637.38086071798705</v>
      </c>
      <c r="AK4446" s="2">
        <v>2226.84547278733</v>
      </c>
      <c r="AL4446" s="2">
        <v>1679.11187838966</v>
      </c>
      <c r="AM4446" s="2">
        <v>1710.7855046929401</v>
      </c>
      <c r="AN4446" s="2">
        <v>1889.84450949751</v>
      </c>
      <c r="AO4446" s="2">
        <v>1975.9087863621501</v>
      </c>
      <c r="AP4446" s="2">
        <v>2631.6172412938699</v>
      </c>
    </row>
    <row r="4447" spans="1:42" ht="14.5" x14ac:dyDescent="0.35">
      <c r="A4447" s="2" t="s">
        <v>29522</v>
      </c>
      <c r="B4447" s="2">
        <v>595.26191678254895</v>
      </c>
      <c r="C4447" s="2">
        <v>10.2458166666667</v>
      </c>
      <c r="D4447" s="2" t="s">
        <v>34</v>
      </c>
      <c r="E4447" s="2" t="s">
        <v>29523</v>
      </c>
      <c r="F4447" s="2">
        <v>43655</v>
      </c>
      <c r="G4447" s="3" t="str">
        <f>HYPERLINK("http://funmeta.oebiotech.com/network/43655", "http://funmeta.oebiotech.com/network/43655")</f>
        <v>http://funmeta.oebiotech.com/network/43655</v>
      </c>
      <c r="H4447" s="2"/>
      <c r="I4447" s="2"/>
      <c r="J4447" s="2" t="s">
        <v>29524</v>
      </c>
      <c r="K4447" s="2"/>
      <c r="L4447" s="2"/>
      <c r="M4447" s="2"/>
      <c r="N4447" s="2"/>
      <c r="O4447" s="2">
        <v>15768142</v>
      </c>
      <c r="P4447" s="2"/>
      <c r="Q4447" s="2" t="s">
        <v>29525</v>
      </c>
      <c r="R4447" s="2" t="s">
        <v>29526</v>
      </c>
      <c r="S4447" s="2" t="s">
        <v>50</v>
      </c>
      <c r="T4447" s="2" t="s">
        <v>124</v>
      </c>
      <c r="U4447" s="2" t="s">
        <v>125</v>
      </c>
      <c r="V4447" s="2" t="s">
        <v>59</v>
      </c>
      <c r="W4447" s="2">
        <v>36</v>
      </c>
      <c r="X4447" s="2">
        <v>0</v>
      </c>
      <c r="Y4447" s="2" t="s">
        <v>141</v>
      </c>
      <c r="Z4447" s="2" t="s">
        <v>29527</v>
      </c>
      <c r="AA4447" s="2">
        <v>2.2877034683133299</v>
      </c>
      <c r="AB4447" s="2">
        <v>0.14287277665916001</v>
      </c>
      <c r="AC4447" s="2">
        <v>3845.6832023138099</v>
      </c>
      <c r="AD4447" s="2">
        <v>2219.0821754552799</v>
      </c>
      <c r="AE4447" s="2">
        <v>3687.13132369612</v>
      </c>
      <c r="AF4447" s="2">
        <v>3599.03547890355</v>
      </c>
      <c r="AG4447" s="2">
        <v>3921.9587209762299</v>
      </c>
      <c r="AH4447" s="2">
        <v>5294.1414016153603</v>
      </c>
      <c r="AI4447" s="2">
        <v>2690.3564857432202</v>
      </c>
      <c r="AJ4447" s="2">
        <v>3881.4758029483901</v>
      </c>
      <c r="AK4447" s="2">
        <v>2509.30649607537</v>
      </c>
      <c r="AL4447" s="2">
        <v>2449.39409455123</v>
      </c>
      <c r="AM4447" s="2">
        <v>1935.53611201276</v>
      </c>
      <c r="AN4447" s="2">
        <v>2014.62781028669</v>
      </c>
      <c r="AO4447" s="2">
        <v>2515.48272256256</v>
      </c>
      <c r="AP4447" s="2">
        <v>1890.14581724308</v>
      </c>
    </row>
    <row r="4448" spans="1:42" ht="14.5" x14ac:dyDescent="0.35">
      <c r="A4448" s="2" t="s">
        <v>29528</v>
      </c>
      <c r="B4448" s="2">
        <v>211.16910917476</v>
      </c>
      <c r="C4448" s="2">
        <v>5.1048166666666699</v>
      </c>
      <c r="D4448" s="2" t="s">
        <v>34</v>
      </c>
      <c r="E4448" s="2" t="s">
        <v>29529</v>
      </c>
      <c r="F4448" s="2">
        <v>1088</v>
      </c>
      <c r="G4448" s="3" t="str">
        <f>HYPERLINK("http://funmeta.oebiotech.com/network/1088", "http://funmeta.oebiotech.com/network/1088")</f>
        <v>http://funmeta.oebiotech.com/network/1088</v>
      </c>
      <c r="H4448" s="2"/>
      <c r="I4448" s="2">
        <v>74260</v>
      </c>
      <c r="J4448" s="2" t="s">
        <v>29530</v>
      </c>
      <c r="K4448" s="2"/>
      <c r="L4448" s="2"/>
      <c r="M4448" s="2"/>
      <c r="N4448" s="2"/>
      <c r="O4448" s="2">
        <v>5312724</v>
      </c>
      <c r="P4448" s="2"/>
      <c r="Q4448" s="2" t="s">
        <v>29531</v>
      </c>
      <c r="R4448" s="2" t="s">
        <v>29532</v>
      </c>
      <c r="S4448" s="2" t="s">
        <v>50</v>
      </c>
      <c r="T4448" s="2" t="s">
        <v>229</v>
      </c>
      <c r="U4448" s="2" t="s">
        <v>433</v>
      </c>
      <c r="V4448" s="2" t="s">
        <v>42</v>
      </c>
      <c r="W4448" s="2">
        <v>51.1</v>
      </c>
      <c r="X4448" s="2">
        <v>59.5</v>
      </c>
      <c r="Y4448" s="2" t="s">
        <v>266</v>
      </c>
      <c r="Z4448" s="2" t="s">
        <v>29533</v>
      </c>
      <c r="AA4448" s="2">
        <v>-0.70042117288815398</v>
      </c>
      <c r="AB4448" s="2">
        <v>0.142793521129432</v>
      </c>
      <c r="AC4448" s="2">
        <v>129793.743479991</v>
      </c>
      <c r="AD4448" s="2">
        <v>125930.127124905</v>
      </c>
      <c r="AE4448" s="2">
        <v>132996.40528084699</v>
      </c>
      <c r="AF4448" s="2">
        <v>125361.30070883301</v>
      </c>
      <c r="AG4448" s="2">
        <v>124508.372001664</v>
      </c>
      <c r="AH4448" s="2">
        <v>125995.29241702599</v>
      </c>
      <c r="AI4448" s="2">
        <v>125678.585731737</v>
      </c>
      <c r="AJ4448" s="2">
        <v>144222.50473983699</v>
      </c>
      <c r="AK4448" s="2">
        <v>123481.70624322499</v>
      </c>
      <c r="AL4448" s="2">
        <v>123743.280349817</v>
      </c>
      <c r="AM4448" s="2">
        <v>127826.053799873</v>
      </c>
      <c r="AN4448" s="2">
        <v>126502.452980095</v>
      </c>
      <c r="AO4448" s="2">
        <v>124171.798394379</v>
      </c>
      <c r="AP4448" s="2">
        <v>129855.470982044</v>
      </c>
    </row>
    <row r="4449" spans="1:42" ht="14.5" x14ac:dyDescent="0.35">
      <c r="A4449" s="2" t="s">
        <v>29534</v>
      </c>
      <c r="B4449" s="2">
        <v>350.30513805352399</v>
      </c>
      <c r="C4449" s="2">
        <v>11.778700000000001</v>
      </c>
      <c r="D4449" s="2" t="s">
        <v>34</v>
      </c>
      <c r="E4449" s="2" t="s">
        <v>29535</v>
      </c>
      <c r="F4449" s="2">
        <v>679</v>
      </c>
      <c r="G4449" s="3" t="str">
        <f>HYPERLINK("http://funmeta.oebiotech.com/network/679", "http://funmeta.oebiotech.com/network/679")</f>
        <v>http://funmeta.oebiotech.com/network/679</v>
      </c>
      <c r="H4449" s="2" t="s">
        <v>29536</v>
      </c>
      <c r="I4449" s="2">
        <v>34846</v>
      </c>
      <c r="J4449" s="2" t="s">
        <v>29537</v>
      </c>
      <c r="K4449" s="2">
        <v>53487</v>
      </c>
      <c r="L4449" s="2" t="s">
        <v>29538</v>
      </c>
      <c r="M4449" s="2" t="s">
        <v>29539</v>
      </c>
      <c r="N4449" s="2" t="s">
        <v>29540</v>
      </c>
      <c r="O4449" s="2">
        <v>5497181</v>
      </c>
      <c r="P4449" s="2" t="s">
        <v>29541</v>
      </c>
      <c r="Q4449" s="2" t="s">
        <v>29542</v>
      </c>
      <c r="R4449" s="2" t="s">
        <v>29543</v>
      </c>
      <c r="S4449" s="2" t="s">
        <v>50</v>
      </c>
      <c r="T4449" s="2" t="s">
        <v>229</v>
      </c>
      <c r="U4449" s="2" t="s">
        <v>433</v>
      </c>
      <c r="V4449" s="2" t="s">
        <v>59</v>
      </c>
      <c r="W4449" s="2">
        <v>38.200000000000003</v>
      </c>
      <c r="X4449" s="2">
        <v>0</v>
      </c>
      <c r="Y4449" s="2" t="s">
        <v>43</v>
      </c>
      <c r="Z4449" s="2" t="s">
        <v>29544</v>
      </c>
      <c r="AA4449" s="2">
        <v>-0.65569901688697796</v>
      </c>
      <c r="AB4449" s="2">
        <v>0.14268961736796101</v>
      </c>
      <c r="AC4449" s="2">
        <v>1637.98192446949</v>
      </c>
      <c r="AD4449" s="2">
        <v>231.51334196544599</v>
      </c>
      <c r="AE4449" s="2">
        <v>1458.5089115731</v>
      </c>
      <c r="AF4449" s="2">
        <v>1593.7763221718501</v>
      </c>
      <c r="AG4449" s="2">
        <v>1540.0192212209799</v>
      </c>
      <c r="AH4449" s="2">
        <v>2256.7232923126899</v>
      </c>
      <c r="AI4449" s="2">
        <v>1549.56794201978</v>
      </c>
      <c r="AJ4449" s="2">
        <v>1429.2958575185701</v>
      </c>
      <c r="AK4449" s="2">
        <v>181.75463615447501</v>
      </c>
      <c r="AL4449" s="2">
        <v>108.444243219524</v>
      </c>
      <c r="AM4449" s="2">
        <v>242.62383998589399</v>
      </c>
      <c r="AN4449" s="2">
        <v>563.41872407790095</v>
      </c>
      <c r="AO4449" s="2">
        <v>130.82581921137401</v>
      </c>
      <c r="AP4449" s="2">
        <v>162.01278914350701</v>
      </c>
    </row>
    <row r="4450" spans="1:42" ht="14.5" x14ac:dyDescent="0.35">
      <c r="A4450" s="2" t="s">
        <v>29545</v>
      </c>
      <c r="B4450" s="2">
        <v>261.08693410368699</v>
      </c>
      <c r="C4450" s="2">
        <v>4.1757666666666697</v>
      </c>
      <c r="D4450" s="2" t="s">
        <v>34</v>
      </c>
      <c r="E4450" s="2" t="s">
        <v>29546</v>
      </c>
      <c r="F4450" s="2">
        <v>56551</v>
      </c>
      <c r="G4450" s="3" t="str">
        <f>HYPERLINK("http://funmeta.oebiotech.com/network/56551", "http://funmeta.oebiotech.com/network/56551")</f>
        <v>http://funmeta.oebiotech.com/network/56551</v>
      </c>
      <c r="H4450" s="2" t="s">
        <v>29547</v>
      </c>
      <c r="I4450" s="2">
        <v>88186</v>
      </c>
      <c r="J4450" s="2"/>
      <c r="K4450" s="2">
        <v>165178</v>
      </c>
      <c r="L4450" s="2"/>
      <c r="M4450" s="2"/>
      <c r="N4450" s="2"/>
      <c r="O4450" s="2">
        <v>151564</v>
      </c>
      <c r="P4450" s="2" t="s">
        <v>29548</v>
      </c>
      <c r="Q4450" s="2" t="s">
        <v>29549</v>
      </c>
      <c r="R4450" s="2" t="s">
        <v>29550</v>
      </c>
      <c r="S4450" s="2" t="s">
        <v>39</v>
      </c>
      <c r="T4450" s="2" t="s">
        <v>3154</v>
      </c>
      <c r="U4450" s="2" t="s">
        <v>41</v>
      </c>
      <c r="V4450" s="2" t="s">
        <v>59</v>
      </c>
      <c r="W4450" s="2">
        <v>37.700000000000003</v>
      </c>
      <c r="X4450" s="2">
        <v>0</v>
      </c>
      <c r="Y4450" s="2" t="s">
        <v>394</v>
      </c>
      <c r="Z4450" s="2" t="s">
        <v>29551</v>
      </c>
      <c r="AA4450" s="2">
        <v>-0.189176595214395</v>
      </c>
      <c r="AB4450" s="2">
        <v>0.14262820839379101</v>
      </c>
      <c r="AC4450" s="2">
        <v>2468.9886393788602</v>
      </c>
      <c r="AD4450" s="2">
        <v>1001.5842262041</v>
      </c>
      <c r="AE4450" s="2">
        <v>2899.9540109590498</v>
      </c>
      <c r="AF4450" s="2">
        <v>2754.0299323710701</v>
      </c>
      <c r="AG4450" s="2">
        <v>2027.41897316157</v>
      </c>
      <c r="AH4450" s="2">
        <v>2132.0738892797799</v>
      </c>
      <c r="AI4450" s="2">
        <v>2791.7397695275799</v>
      </c>
      <c r="AJ4450" s="2">
        <v>2208.7152609741102</v>
      </c>
      <c r="AK4450" s="2">
        <v>1305.53802816394</v>
      </c>
      <c r="AL4450" s="2">
        <v>828.62210592719202</v>
      </c>
      <c r="AM4450" s="2">
        <v>1259.5235790302099</v>
      </c>
      <c r="AN4450" s="2">
        <v>1112.7832211266</v>
      </c>
      <c r="AO4450" s="2">
        <v>411.32952813689798</v>
      </c>
      <c r="AP4450" s="2">
        <v>1091.70889483975</v>
      </c>
    </row>
    <row r="4451" spans="1:42" ht="14.5" x14ac:dyDescent="0.35">
      <c r="A4451" s="2" t="s">
        <v>29552</v>
      </c>
      <c r="B4451" s="2">
        <v>191.10242196421601</v>
      </c>
      <c r="C4451" s="2">
        <v>0.73473333333333302</v>
      </c>
      <c r="D4451" s="2" t="s">
        <v>34</v>
      </c>
      <c r="E4451" s="2" t="s">
        <v>29553</v>
      </c>
      <c r="F4451" s="2">
        <v>62512</v>
      </c>
      <c r="G4451" s="3" t="str">
        <f>HYPERLINK("http://funmeta.oebiotech.com/network/62512", "http://funmeta.oebiotech.com/network/62512")</f>
        <v>http://funmeta.oebiotech.com/network/62512</v>
      </c>
      <c r="H4451" s="2" t="s">
        <v>29554</v>
      </c>
      <c r="I4451" s="2">
        <v>93813</v>
      </c>
      <c r="J4451" s="2"/>
      <c r="K4451" s="2"/>
      <c r="L4451" s="2"/>
      <c r="M4451" s="2"/>
      <c r="N4451" s="2"/>
      <c r="O4451" s="2">
        <v>10198007</v>
      </c>
      <c r="P4451" s="2" t="s">
        <v>29555</v>
      </c>
      <c r="Q4451" s="2" t="s">
        <v>29556</v>
      </c>
      <c r="R4451" s="2" t="s">
        <v>29557</v>
      </c>
      <c r="S4451" s="2" t="s">
        <v>89</v>
      </c>
      <c r="T4451" s="2" t="s">
        <v>90</v>
      </c>
      <c r="U4451" s="2" t="s">
        <v>99</v>
      </c>
      <c r="V4451" s="2" t="s">
        <v>42</v>
      </c>
      <c r="W4451" s="2">
        <v>50.3</v>
      </c>
      <c r="X4451" s="2">
        <v>59.6</v>
      </c>
      <c r="Y4451" s="2" t="s">
        <v>394</v>
      </c>
      <c r="Z4451" s="2" t="s">
        <v>29558</v>
      </c>
      <c r="AA4451" s="2">
        <v>-1.1120976719743201</v>
      </c>
      <c r="AB4451" s="2">
        <v>0.14257613391601701</v>
      </c>
      <c r="AC4451" s="2">
        <v>30027.609403288599</v>
      </c>
      <c r="AD4451" s="2">
        <v>27640.392012140899</v>
      </c>
      <c r="AE4451" s="2">
        <v>31198.084737286601</v>
      </c>
      <c r="AF4451" s="2">
        <v>31763.2982206585</v>
      </c>
      <c r="AG4451" s="2">
        <v>31993.348481585399</v>
      </c>
      <c r="AH4451" s="2">
        <v>29390.699951797498</v>
      </c>
      <c r="AI4451" s="2">
        <v>28644.194973509701</v>
      </c>
      <c r="AJ4451" s="2">
        <v>27176.030054894101</v>
      </c>
      <c r="AK4451" s="2">
        <v>27232.000648595</v>
      </c>
      <c r="AL4451" s="2">
        <v>28663.138012690699</v>
      </c>
      <c r="AM4451" s="2">
        <v>25712.971151953901</v>
      </c>
      <c r="AN4451" s="2">
        <v>28711.9961011378</v>
      </c>
      <c r="AO4451" s="2">
        <v>30434.293595314201</v>
      </c>
      <c r="AP4451" s="2">
        <v>25087.952563153602</v>
      </c>
    </row>
    <row r="4452" spans="1:42" ht="14.5" x14ac:dyDescent="0.35">
      <c r="A4452" s="2" t="s">
        <v>29559</v>
      </c>
      <c r="B4452" s="2">
        <v>319.21215751265498</v>
      </c>
      <c r="C4452" s="2">
        <v>4.8087833333333299</v>
      </c>
      <c r="D4452" s="2" t="s">
        <v>70</v>
      </c>
      <c r="E4452" s="2" t="s">
        <v>29560</v>
      </c>
      <c r="F4452" s="2">
        <v>93682</v>
      </c>
      <c r="G4452" s="3" t="str">
        <f>HYPERLINK("http://funmeta.oebiotech.com/network/93682", "http://funmeta.oebiotech.com/network/93682")</f>
        <v>http://funmeta.oebiotech.com/network/93682</v>
      </c>
      <c r="H4452" s="2" t="s">
        <v>29561</v>
      </c>
      <c r="I4452" s="2"/>
      <c r="J4452" s="2"/>
      <c r="K4452" s="2"/>
      <c r="L4452" s="2"/>
      <c r="M4452" s="2"/>
      <c r="N4452" s="2"/>
      <c r="O4452" s="2">
        <v>131779644</v>
      </c>
      <c r="P4452" s="2"/>
      <c r="Q4452" s="2" t="s">
        <v>29562</v>
      </c>
      <c r="R4452" s="2" t="s">
        <v>29563</v>
      </c>
      <c r="S4452" s="2" t="s">
        <v>50</v>
      </c>
      <c r="T4452" s="2" t="s">
        <v>448</v>
      </c>
      <c r="U4452" s="2" t="s">
        <v>7051</v>
      </c>
      <c r="V4452" s="2" t="s">
        <v>59</v>
      </c>
      <c r="W4452" s="2">
        <v>38.4</v>
      </c>
      <c r="X4452" s="2">
        <v>0</v>
      </c>
      <c r="Y4452" s="2" t="s">
        <v>408</v>
      </c>
      <c r="Z4452" s="2" t="s">
        <v>29564</v>
      </c>
      <c r="AA4452" s="2">
        <v>-1.6585477241655799</v>
      </c>
      <c r="AB4452" s="2">
        <v>0.142518518370673</v>
      </c>
      <c r="AC4452" s="2">
        <v>1820.6437983980099</v>
      </c>
      <c r="AD4452" s="2">
        <v>3319.6808104650299</v>
      </c>
      <c r="AE4452" s="2">
        <v>2092.8734190351602</v>
      </c>
      <c r="AF4452" s="2">
        <v>1942.8433042024201</v>
      </c>
      <c r="AG4452" s="2">
        <v>1576.1702814483699</v>
      </c>
      <c r="AH4452" s="2">
        <v>2123.8801123133298</v>
      </c>
      <c r="AI4452" s="2">
        <v>1575.5528106526101</v>
      </c>
      <c r="AJ4452" s="2">
        <v>1612.54286273616</v>
      </c>
      <c r="AK4452" s="2">
        <v>3652.8324550092102</v>
      </c>
      <c r="AL4452" s="2">
        <v>2833.0633407864998</v>
      </c>
      <c r="AM4452" s="2">
        <v>3359.40609825097</v>
      </c>
      <c r="AN4452" s="2">
        <v>3641.3633919108001</v>
      </c>
      <c r="AO4452" s="2">
        <v>2525.51977173968</v>
      </c>
      <c r="AP4452" s="2">
        <v>3905.89980509304</v>
      </c>
    </row>
    <row r="4453" spans="1:42" ht="14.5" x14ac:dyDescent="0.35">
      <c r="A4453" s="2" t="s">
        <v>29565</v>
      </c>
      <c r="B4453" s="2">
        <v>355.15387046154302</v>
      </c>
      <c r="C4453" s="2">
        <v>4.9463833333333298</v>
      </c>
      <c r="D4453" s="2" t="s">
        <v>34</v>
      </c>
      <c r="E4453" s="2" t="s">
        <v>29566</v>
      </c>
      <c r="F4453" s="2">
        <v>48615</v>
      </c>
      <c r="G4453" s="3" t="str">
        <f>HYPERLINK("http://funmeta.oebiotech.com/network/48615", "http://funmeta.oebiotech.com/network/48615")</f>
        <v>http://funmeta.oebiotech.com/network/48615</v>
      </c>
      <c r="H4453" s="2" t="s">
        <v>29567</v>
      </c>
      <c r="I4453" s="2">
        <v>58316</v>
      </c>
      <c r="J4453" s="2"/>
      <c r="K4453" s="2">
        <v>67263</v>
      </c>
      <c r="L4453" s="2"/>
      <c r="M4453" s="2"/>
      <c r="N4453" s="2"/>
      <c r="O4453" s="2">
        <v>124072</v>
      </c>
      <c r="P4453" s="2" t="s">
        <v>29568</v>
      </c>
      <c r="Q4453" s="2" t="s">
        <v>29569</v>
      </c>
      <c r="R4453" s="2" t="s">
        <v>29570</v>
      </c>
      <c r="S4453" s="2" t="s">
        <v>115</v>
      </c>
      <c r="T4453" s="2" t="s">
        <v>575</v>
      </c>
      <c r="U4453" s="2" t="s">
        <v>576</v>
      </c>
      <c r="V4453" s="2" t="s">
        <v>59</v>
      </c>
      <c r="W4453" s="2">
        <v>39</v>
      </c>
      <c r="X4453" s="2">
        <v>0</v>
      </c>
      <c r="Y4453" s="2" t="s">
        <v>141</v>
      </c>
      <c r="Z4453" s="2" t="s">
        <v>29571</v>
      </c>
      <c r="AA4453" s="2">
        <v>-0.34871142091773699</v>
      </c>
      <c r="AB4453" s="2">
        <v>0.14251225818459501</v>
      </c>
      <c r="AC4453" s="2">
        <v>64288.047340947604</v>
      </c>
      <c r="AD4453" s="2">
        <v>67847.663308250805</v>
      </c>
      <c r="AE4453" s="2">
        <v>66261.744611587797</v>
      </c>
      <c r="AF4453" s="2">
        <v>68894.773672034702</v>
      </c>
      <c r="AG4453" s="2">
        <v>61278.663035222402</v>
      </c>
      <c r="AH4453" s="2">
        <v>62959.622971525998</v>
      </c>
      <c r="AI4453" s="2">
        <v>64052.570874375197</v>
      </c>
      <c r="AJ4453" s="2">
        <v>62280.908880939503</v>
      </c>
      <c r="AK4453" s="2">
        <v>74012.212501846807</v>
      </c>
      <c r="AL4453" s="2">
        <v>67987.2848727643</v>
      </c>
      <c r="AM4453" s="2">
        <v>67626.045952959699</v>
      </c>
      <c r="AN4453" s="2">
        <v>74504.683870264096</v>
      </c>
      <c r="AO4453" s="2">
        <v>57677.176091610098</v>
      </c>
      <c r="AP4453" s="2">
        <v>65278.576560060101</v>
      </c>
    </row>
    <row r="4454" spans="1:42" ht="14.5" x14ac:dyDescent="0.35">
      <c r="A4454" s="2" t="s">
        <v>29572</v>
      </c>
      <c r="B4454" s="2">
        <v>957.51113075367596</v>
      </c>
      <c r="C4454" s="2">
        <v>4.8264500000000004</v>
      </c>
      <c r="D4454" s="2" t="s">
        <v>70</v>
      </c>
      <c r="E4454" s="2" t="s">
        <v>29573</v>
      </c>
      <c r="F4454" s="2">
        <v>225644</v>
      </c>
      <c r="G4454" s="3" t="str">
        <f>HYPERLINK("http://funmeta.oebiotech.com/network/225644", "http://funmeta.oebiotech.com/network/225644")</f>
        <v>http://funmeta.oebiotech.com/network/225644</v>
      </c>
      <c r="H4454" s="2" t="s">
        <v>29574</v>
      </c>
      <c r="I4454" s="2"/>
      <c r="J4454" s="2"/>
      <c r="K4454" s="2"/>
      <c r="L4454" s="2"/>
      <c r="M4454" s="2"/>
      <c r="N4454" s="2"/>
      <c r="O4454" s="2"/>
      <c r="P4454" s="2"/>
      <c r="Q4454" s="2" t="s">
        <v>29575</v>
      </c>
      <c r="R4454" s="2" t="s">
        <v>29576</v>
      </c>
      <c r="S4454" s="2" t="s">
        <v>41</v>
      </c>
      <c r="T4454" s="2" t="s">
        <v>41</v>
      </c>
      <c r="U4454" s="2" t="s">
        <v>41</v>
      </c>
      <c r="V4454" s="2" t="s">
        <v>59</v>
      </c>
      <c r="W4454" s="2">
        <v>40</v>
      </c>
      <c r="X4454" s="2">
        <v>10.199999999999999</v>
      </c>
      <c r="Y4454" s="2" t="s">
        <v>408</v>
      </c>
      <c r="Z4454" s="2" t="s">
        <v>29577</v>
      </c>
      <c r="AA4454" s="2">
        <v>3.5835698097252303E-2</v>
      </c>
      <c r="AB4454" s="2">
        <v>0.14242963922287</v>
      </c>
      <c r="AC4454" s="2">
        <v>96826.949526470693</v>
      </c>
      <c r="AD4454" s="2">
        <v>101056.01553301601</v>
      </c>
      <c r="AE4454" s="2">
        <v>101802.27985474801</v>
      </c>
      <c r="AF4454" s="2">
        <v>105439.864334731</v>
      </c>
      <c r="AG4454" s="2">
        <v>91728.849931064906</v>
      </c>
      <c r="AH4454" s="2">
        <v>104309.46671314001</v>
      </c>
      <c r="AI4454" s="2">
        <v>89181.218060156199</v>
      </c>
      <c r="AJ4454" s="2">
        <v>88500.018264984305</v>
      </c>
      <c r="AK4454" s="2">
        <v>99642.577587481399</v>
      </c>
      <c r="AL4454" s="2">
        <v>100527.544668692</v>
      </c>
      <c r="AM4454" s="2">
        <v>107361.868240622</v>
      </c>
      <c r="AN4454" s="2">
        <v>93884.171043291601</v>
      </c>
      <c r="AO4454" s="2">
        <v>107651.89436107699</v>
      </c>
      <c r="AP4454" s="2">
        <v>97268.037296933806</v>
      </c>
    </row>
    <row r="4455" spans="1:42" ht="14.5" x14ac:dyDescent="0.35">
      <c r="A4455" s="2" t="s">
        <v>29578</v>
      </c>
      <c r="B4455" s="2">
        <v>187.107756440543</v>
      </c>
      <c r="C4455" s="2">
        <v>1.06171666666667</v>
      </c>
      <c r="D4455" s="2" t="s">
        <v>34</v>
      </c>
      <c r="E4455" s="2" t="s">
        <v>29579</v>
      </c>
      <c r="F4455" s="2">
        <v>53735</v>
      </c>
      <c r="G4455" s="3" t="str">
        <f>HYPERLINK("http://funmeta.oebiotech.com/network/53735", "http://funmeta.oebiotech.com/network/53735")</f>
        <v>http://funmeta.oebiotech.com/network/53735</v>
      </c>
      <c r="H4455" s="2" t="s">
        <v>29580</v>
      </c>
      <c r="I4455" s="2">
        <v>85610</v>
      </c>
      <c r="J4455" s="2"/>
      <c r="K4455" s="2">
        <v>73393</v>
      </c>
      <c r="L4455" s="2"/>
      <c r="M4455" s="2"/>
      <c r="N4455" s="2"/>
      <c r="O4455" s="2">
        <v>83525</v>
      </c>
      <c r="P4455" s="2" t="s">
        <v>29581</v>
      </c>
      <c r="Q4455" s="2" t="s">
        <v>29582</v>
      </c>
      <c r="R4455" s="2" t="s">
        <v>29583</v>
      </c>
      <c r="S4455" s="2" t="s">
        <v>89</v>
      </c>
      <c r="T4455" s="2" t="s">
        <v>90</v>
      </c>
      <c r="U4455" s="2" t="s">
        <v>99</v>
      </c>
      <c r="V4455" s="2" t="s">
        <v>59</v>
      </c>
      <c r="W4455" s="2">
        <v>36</v>
      </c>
      <c r="X4455" s="2">
        <v>0</v>
      </c>
      <c r="Y4455" s="2" t="s">
        <v>67</v>
      </c>
      <c r="Z4455" s="2" t="s">
        <v>29584</v>
      </c>
      <c r="AA4455" s="2">
        <v>0.202531935678056</v>
      </c>
      <c r="AB4455" s="2">
        <v>0.142416907403805</v>
      </c>
      <c r="AC4455" s="2">
        <v>3377.1169961068499</v>
      </c>
      <c r="AD4455" s="2">
        <v>1913.5930032870899</v>
      </c>
      <c r="AE4455" s="2">
        <v>3895.9033829108298</v>
      </c>
      <c r="AF4455" s="2">
        <v>3500.4308445097399</v>
      </c>
      <c r="AG4455" s="2">
        <v>2789.4475662848599</v>
      </c>
      <c r="AH4455" s="2">
        <v>4005.5011015452301</v>
      </c>
      <c r="AI4455" s="2">
        <v>3043.2830384034901</v>
      </c>
      <c r="AJ4455" s="2">
        <v>3028.1360429869601</v>
      </c>
      <c r="AK4455" s="2">
        <v>1908.73877774004</v>
      </c>
      <c r="AL4455" s="2">
        <v>1787.37458457563</v>
      </c>
      <c r="AM4455" s="2">
        <v>1889.30410870172</v>
      </c>
      <c r="AN4455" s="2">
        <v>2127.98650000007</v>
      </c>
      <c r="AO4455" s="2">
        <v>2020.0247493505101</v>
      </c>
      <c r="AP4455" s="2">
        <v>1748.1292993545401</v>
      </c>
    </row>
    <row r="4456" spans="1:42" ht="14.5" x14ac:dyDescent="0.35">
      <c r="A4456" s="2" t="s">
        <v>29585</v>
      </c>
      <c r="B4456" s="2">
        <v>533.12786130621203</v>
      </c>
      <c r="C4456" s="2">
        <v>4.4359166666666701</v>
      </c>
      <c r="D4456" s="2" t="s">
        <v>70</v>
      </c>
      <c r="E4456" s="2" t="s">
        <v>29586</v>
      </c>
      <c r="F4456" s="2">
        <v>52657</v>
      </c>
      <c r="G4456" s="3" t="str">
        <f>HYPERLINK("http://funmeta.oebiotech.com/network/52657", "http://funmeta.oebiotech.com/network/52657")</f>
        <v>http://funmeta.oebiotech.com/network/52657</v>
      </c>
      <c r="H4456" s="2" t="s">
        <v>29587</v>
      </c>
      <c r="I4456" s="2">
        <v>43339</v>
      </c>
      <c r="J4456" s="2"/>
      <c r="K4456" s="2">
        <v>102484</v>
      </c>
      <c r="L4456" s="2" t="s">
        <v>29588</v>
      </c>
      <c r="M4456" s="2"/>
      <c r="N4456" s="2"/>
      <c r="O4456" s="2">
        <v>5344</v>
      </c>
      <c r="P4456" s="2" t="s">
        <v>29589</v>
      </c>
      <c r="Q4456" s="2" t="s">
        <v>29590</v>
      </c>
      <c r="R4456" s="2" t="s">
        <v>29591</v>
      </c>
      <c r="S4456" s="2" t="s">
        <v>148</v>
      </c>
      <c r="T4456" s="2" t="s">
        <v>149</v>
      </c>
      <c r="U4456" s="2" t="s">
        <v>4282</v>
      </c>
      <c r="V4456" s="2" t="s">
        <v>59</v>
      </c>
      <c r="W4456" s="2">
        <v>38.200000000000003</v>
      </c>
      <c r="X4456" s="2">
        <v>0</v>
      </c>
      <c r="Y4456" s="2" t="s">
        <v>560</v>
      </c>
      <c r="Z4456" s="2" t="s">
        <v>29592</v>
      </c>
      <c r="AA4456" s="2">
        <v>-0.72423898173748602</v>
      </c>
      <c r="AB4456" s="2">
        <v>0.14229869078495699</v>
      </c>
      <c r="AC4456" s="2">
        <v>3762.83006241876</v>
      </c>
      <c r="AD4456" s="2">
        <v>5878.7503067098196</v>
      </c>
      <c r="AE4456" s="2">
        <v>5537.4867595959504</v>
      </c>
      <c r="AF4456" s="2">
        <v>3988.4107043919798</v>
      </c>
      <c r="AG4456" s="2">
        <v>4352.4866038530499</v>
      </c>
      <c r="AH4456" s="2">
        <v>2749.4373907980698</v>
      </c>
      <c r="AI4456" s="2">
        <v>3267.28732741555</v>
      </c>
      <c r="AJ4456" s="2">
        <v>2681.8715884579701</v>
      </c>
      <c r="AK4456" s="2">
        <v>6383.3426397742596</v>
      </c>
      <c r="AL4456" s="2">
        <v>4822.7209839058796</v>
      </c>
      <c r="AM4456" s="2">
        <v>4142.5672981676898</v>
      </c>
      <c r="AN4456" s="2">
        <v>5255.6790826140896</v>
      </c>
      <c r="AO4456" s="2">
        <v>5753.75388762072</v>
      </c>
      <c r="AP4456" s="2">
        <v>8914.4379481762699</v>
      </c>
    </row>
    <row r="4457" spans="1:42" ht="14.5" x14ac:dyDescent="0.35">
      <c r="A4457" s="2" t="s">
        <v>29593</v>
      </c>
      <c r="B4457" s="2">
        <v>279.08609227398699</v>
      </c>
      <c r="C4457" s="2">
        <v>4.1925499999999998</v>
      </c>
      <c r="D4457" s="2" t="s">
        <v>34</v>
      </c>
      <c r="E4457" s="2" t="s">
        <v>29594</v>
      </c>
      <c r="F4457" s="2">
        <v>46923</v>
      </c>
      <c r="G4457" s="3" t="str">
        <f>HYPERLINK("http://funmeta.oebiotech.com/network/46923", "http://funmeta.oebiotech.com/network/46923")</f>
        <v>http://funmeta.oebiotech.com/network/46923</v>
      </c>
      <c r="H4457" s="2" t="s">
        <v>29595</v>
      </c>
      <c r="I4457" s="2">
        <v>4195</v>
      </c>
      <c r="J4457" s="2"/>
      <c r="K4457" s="2">
        <v>18323</v>
      </c>
      <c r="L4457" s="2" t="s">
        <v>29596</v>
      </c>
      <c r="M4457" s="2" t="s">
        <v>29597</v>
      </c>
      <c r="N4457" s="2" t="s">
        <v>29598</v>
      </c>
      <c r="O4457" s="2">
        <v>112072</v>
      </c>
      <c r="P4457" s="2" t="s">
        <v>29599</v>
      </c>
      <c r="Q4457" s="2" t="s">
        <v>29600</v>
      </c>
      <c r="R4457" s="2" t="s">
        <v>29601</v>
      </c>
      <c r="S4457" s="2" t="s">
        <v>89</v>
      </c>
      <c r="T4457" s="2" t="s">
        <v>1600</v>
      </c>
      <c r="U4457" s="2" t="s">
        <v>3890</v>
      </c>
      <c r="V4457" s="2" t="s">
        <v>59</v>
      </c>
      <c r="W4457" s="2">
        <v>38.9</v>
      </c>
      <c r="X4457" s="2">
        <v>0</v>
      </c>
      <c r="Y4457" s="2" t="s">
        <v>340</v>
      </c>
      <c r="Z4457" s="2" t="s">
        <v>29602</v>
      </c>
      <c r="AA4457" s="2">
        <v>2.8893741205052601</v>
      </c>
      <c r="AB4457" s="2">
        <v>0.14226360484204501</v>
      </c>
      <c r="AC4457" s="2">
        <v>3871.5824673248899</v>
      </c>
      <c r="AD4457" s="2">
        <v>2394.1165959749901</v>
      </c>
      <c r="AE4457" s="2">
        <v>3221.61260229961</v>
      </c>
      <c r="AF4457" s="2">
        <v>4090.83553080918</v>
      </c>
      <c r="AG4457" s="2">
        <v>4113.2007264480199</v>
      </c>
      <c r="AH4457" s="2">
        <v>3950.47376161394</v>
      </c>
      <c r="AI4457" s="2">
        <v>4227.4806155366396</v>
      </c>
      <c r="AJ4457" s="2">
        <v>3625.8915672419698</v>
      </c>
      <c r="AK4457" s="2">
        <v>2458.4740820743</v>
      </c>
      <c r="AL4457" s="2">
        <v>2203.7967267466001</v>
      </c>
      <c r="AM4457" s="2">
        <v>2980.8880700012701</v>
      </c>
      <c r="AN4457" s="2">
        <v>2678.7911456638499</v>
      </c>
      <c r="AO4457" s="2">
        <v>2079.76613196792</v>
      </c>
      <c r="AP4457" s="2">
        <v>1962.98341939598</v>
      </c>
    </row>
    <row r="4458" spans="1:42" ht="14.5" x14ac:dyDescent="0.35">
      <c r="A4458" s="2" t="s">
        <v>29603</v>
      </c>
      <c r="B4458" s="2">
        <v>285.14823902978901</v>
      </c>
      <c r="C4458" s="2">
        <v>5.5233833333333298</v>
      </c>
      <c r="D4458" s="2" t="s">
        <v>34</v>
      </c>
      <c r="E4458" s="2" t="s">
        <v>29604</v>
      </c>
      <c r="F4458" s="2">
        <v>210808</v>
      </c>
      <c r="G4458" s="3" t="str">
        <f>HYPERLINK("http://funmeta.oebiotech.com/network/210808", "http://funmeta.oebiotech.com/network/210808")</f>
        <v>http://funmeta.oebiotech.com/network/210808</v>
      </c>
      <c r="H4458" s="2" t="s">
        <v>29605</v>
      </c>
      <c r="I4458" s="2"/>
      <c r="J4458" s="2"/>
      <c r="K4458" s="2"/>
      <c r="L4458" s="2"/>
      <c r="M4458" s="2"/>
      <c r="N4458" s="2"/>
      <c r="O4458" s="2">
        <v>9992142</v>
      </c>
      <c r="P4458" s="2"/>
      <c r="Q4458" s="2" t="s">
        <v>29606</v>
      </c>
      <c r="R4458" s="2" t="s">
        <v>29607</v>
      </c>
      <c r="S4458" s="2" t="s">
        <v>491</v>
      </c>
      <c r="T4458" s="2" t="s">
        <v>3019</v>
      </c>
      <c r="U4458" s="2" t="s">
        <v>3020</v>
      </c>
      <c r="V4458" s="2" t="s">
        <v>59</v>
      </c>
      <c r="W4458" s="2">
        <v>38.299999999999997</v>
      </c>
      <c r="X4458" s="2">
        <v>0</v>
      </c>
      <c r="Y4458" s="2" t="s">
        <v>340</v>
      </c>
      <c r="Z4458" s="2" t="s">
        <v>29608</v>
      </c>
      <c r="AA4458" s="2">
        <v>2.5762190000474101</v>
      </c>
      <c r="AB4458" s="2">
        <v>0.14214967395591199</v>
      </c>
      <c r="AC4458" s="2">
        <v>5633.2120067183196</v>
      </c>
      <c r="AD4458" s="2">
        <v>7397.4515572661403</v>
      </c>
      <c r="AE4458" s="2">
        <v>6007.8566787260997</v>
      </c>
      <c r="AF4458" s="2">
        <v>5183.7953415968304</v>
      </c>
      <c r="AG4458" s="2">
        <v>6589.8878377333003</v>
      </c>
      <c r="AH4458" s="2">
        <v>4892.0554233531902</v>
      </c>
      <c r="AI4458" s="2">
        <v>5863.6479625493603</v>
      </c>
      <c r="AJ4458" s="2">
        <v>5262.0287963511601</v>
      </c>
      <c r="AK4458" s="2">
        <v>7192.3443653875702</v>
      </c>
      <c r="AL4458" s="2">
        <v>7190.06624571263</v>
      </c>
      <c r="AM4458" s="2">
        <v>7689.8971980740898</v>
      </c>
      <c r="AN4458" s="2">
        <v>6546.0636147176401</v>
      </c>
      <c r="AO4458" s="2">
        <v>9269.7062232657609</v>
      </c>
      <c r="AP4458" s="2">
        <v>6496.6316964391299</v>
      </c>
    </row>
    <row r="4459" spans="1:42" ht="14.5" x14ac:dyDescent="0.35">
      <c r="A4459" s="2" t="s">
        <v>29609</v>
      </c>
      <c r="B4459" s="2">
        <v>325.21204913065702</v>
      </c>
      <c r="C4459" s="2">
        <v>4.2251833333333302</v>
      </c>
      <c r="D4459" s="2" t="s">
        <v>34</v>
      </c>
      <c r="E4459" s="2" t="s">
        <v>29610</v>
      </c>
      <c r="F4459" s="2">
        <v>64921</v>
      </c>
      <c r="G4459" s="3" t="str">
        <f>HYPERLINK("http://funmeta.oebiotech.com/network/64921", "http://funmeta.oebiotech.com/network/64921")</f>
        <v>http://funmeta.oebiotech.com/network/64921</v>
      </c>
      <c r="H4459" s="2" t="s">
        <v>29611</v>
      </c>
      <c r="I4459" s="2">
        <v>96171</v>
      </c>
      <c r="J4459" s="2"/>
      <c r="K4459" s="2"/>
      <c r="L4459" s="2"/>
      <c r="M4459" s="2"/>
      <c r="N4459" s="2"/>
      <c r="O4459" s="2">
        <v>68555</v>
      </c>
      <c r="P4459" s="2" t="s">
        <v>29612</v>
      </c>
      <c r="Q4459" s="2" t="s">
        <v>29613</v>
      </c>
      <c r="R4459" s="2" t="s">
        <v>29614</v>
      </c>
      <c r="S4459" s="2" t="s">
        <v>148</v>
      </c>
      <c r="T4459" s="2" t="s">
        <v>24170</v>
      </c>
      <c r="U4459" s="2" t="s">
        <v>41</v>
      </c>
      <c r="V4459" s="2" t="s">
        <v>59</v>
      </c>
      <c r="W4459" s="2">
        <v>38.5</v>
      </c>
      <c r="X4459" s="2">
        <v>0</v>
      </c>
      <c r="Y4459" s="2" t="s">
        <v>43</v>
      </c>
      <c r="Z4459" s="2" t="s">
        <v>29615</v>
      </c>
      <c r="AA4459" s="2">
        <v>-0.43845580002249102</v>
      </c>
      <c r="AB4459" s="2">
        <v>0.14209954158237201</v>
      </c>
      <c r="AC4459" s="2">
        <v>1749.35359305062</v>
      </c>
      <c r="AD4459" s="2">
        <v>370.70506861115098</v>
      </c>
      <c r="AE4459" s="2">
        <v>1951.21764263253</v>
      </c>
      <c r="AF4459" s="2">
        <v>1318.57071840397</v>
      </c>
      <c r="AG4459" s="2">
        <v>1545.4549875441601</v>
      </c>
      <c r="AH4459" s="2">
        <v>1837.21325707138</v>
      </c>
      <c r="AI4459" s="2">
        <v>2028.6789020543299</v>
      </c>
      <c r="AJ4459" s="2">
        <v>1814.98605059736</v>
      </c>
      <c r="AK4459" s="2">
        <v>265.27411243531401</v>
      </c>
      <c r="AL4459" s="2">
        <v>542.54054356281301</v>
      </c>
      <c r="AM4459" s="2">
        <v>463.08867655838702</v>
      </c>
      <c r="AN4459" s="2">
        <v>336.59154103056602</v>
      </c>
      <c r="AO4459" s="2">
        <v>385.88367938613902</v>
      </c>
      <c r="AP4459" s="2">
        <v>230.85185869368499</v>
      </c>
    </row>
    <row r="4460" spans="1:42" ht="14.5" x14ac:dyDescent="0.35">
      <c r="A4460" s="2" t="s">
        <v>29616</v>
      </c>
      <c r="B4460" s="2">
        <v>388.96096647867103</v>
      </c>
      <c r="C4460" s="2">
        <v>2.4278</v>
      </c>
      <c r="D4460" s="2" t="s">
        <v>70</v>
      </c>
      <c r="E4460" s="2" t="s">
        <v>29617</v>
      </c>
      <c r="F4460" s="2">
        <v>199432</v>
      </c>
      <c r="G4460" s="3" t="str">
        <f>HYPERLINK("http://funmeta.oebiotech.com/network/199432", "http://funmeta.oebiotech.com/network/199432")</f>
        <v>http://funmeta.oebiotech.com/network/199432</v>
      </c>
      <c r="H4460" s="2" t="s">
        <v>29618</v>
      </c>
      <c r="I4460" s="2"/>
      <c r="J4460" s="2"/>
      <c r="K4460" s="2"/>
      <c r="L4460" s="2"/>
      <c r="M4460" s="2"/>
      <c r="N4460" s="2"/>
      <c r="O4460" s="2">
        <v>133909</v>
      </c>
      <c r="P4460" s="2"/>
      <c r="Q4460" s="2" t="s">
        <v>29619</v>
      </c>
      <c r="R4460" s="2" t="s">
        <v>29620</v>
      </c>
      <c r="S4460" s="2" t="s">
        <v>41</v>
      </c>
      <c r="T4460" s="2" t="s">
        <v>41</v>
      </c>
      <c r="U4460" s="2" t="s">
        <v>41</v>
      </c>
      <c r="V4460" s="2" t="s">
        <v>59</v>
      </c>
      <c r="W4460" s="2">
        <v>38</v>
      </c>
      <c r="X4460" s="2">
        <v>0</v>
      </c>
      <c r="Y4460" s="2" t="s">
        <v>560</v>
      </c>
      <c r="Z4460" s="2" t="s">
        <v>29621</v>
      </c>
      <c r="AA4460" s="2">
        <v>1.8646313398282199</v>
      </c>
      <c r="AB4460" s="2">
        <v>0.142008729584748</v>
      </c>
      <c r="AC4460" s="2">
        <v>2400.06515349848</v>
      </c>
      <c r="AD4460" s="2">
        <v>1037.8775872952699</v>
      </c>
      <c r="AE4460" s="2">
        <v>2518.5573454065998</v>
      </c>
      <c r="AF4460" s="2">
        <v>2079.2992423661099</v>
      </c>
      <c r="AG4460" s="2">
        <v>2724.05822610729</v>
      </c>
      <c r="AH4460" s="2">
        <v>2339.9878961848199</v>
      </c>
      <c r="AI4460" s="2">
        <v>2351.5529076429798</v>
      </c>
      <c r="AJ4460" s="2">
        <v>2386.93530328309</v>
      </c>
      <c r="AK4460" s="2">
        <v>1100.9870989445301</v>
      </c>
      <c r="AL4460" s="2">
        <v>1228.0074492997301</v>
      </c>
      <c r="AM4460" s="2">
        <v>1069.81737970009</v>
      </c>
      <c r="AN4460" s="2">
        <v>1013.8839939706</v>
      </c>
      <c r="AO4460" s="2">
        <v>750.90957724512805</v>
      </c>
      <c r="AP4460" s="2">
        <v>1063.6600246115599</v>
      </c>
    </row>
    <row r="4461" spans="1:42" ht="14.5" x14ac:dyDescent="0.35">
      <c r="A4461" s="2" t="s">
        <v>29622</v>
      </c>
      <c r="B4461" s="2">
        <v>621.471790462179</v>
      </c>
      <c r="C4461" s="2">
        <v>14.4975</v>
      </c>
      <c r="D4461" s="2" t="s">
        <v>34</v>
      </c>
      <c r="E4461" s="2" t="s">
        <v>29623</v>
      </c>
      <c r="F4461" s="2">
        <v>54826</v>
      </c>
      <c r="G4461" s="3" t="str">
        <f>HYPERLINK("http://funmeta.oebiotech.com/network/54826", "http://funmeta.oebiotech.com/network/54826")</f>
        <v>http://funmeta.oebiotech.com/network/54826</v>
      </c>
      <c r="H4461" s="2" t="s">
        <v>29624</v>
      </c>
      <c r="I4461" s="2">
        <v>86619</v>
      </c>
      <c r="J4461" s="2"/>
      <c r="K4461" s="2"/>
      <c r="L4461" s="2"/>
      <c r="M4461" s="2"/>
      <c r="N4461" s="2"/>
      <c r="O4461" s="2">
        <v>393475</v>
      </c>
      <c r="P4461" s="2" t="s">
        <v>29625</v>
      </c>
      <c r="Q4461" s="2" t="s">
        <v>29626</v>
      </c>
      <c r="R4461" s="2" t="s">
        <v>29627</v>
      </c>
      <c r="S4461" s="2" t="s">
        <v>50</v>
      </c>
      <c r="T4461" s="2" t="s">
        <v>229</v>
      </c>
      <c r="U4461" s="2" t="s">
        <v>1283</v>
      </c>
      <c r="V4461" s="2" t="s">
        <v>59</v>
      </c>
      <c r="W4461" s="2">
        <v>38.200000000000003</v>
      </c>
      <c r="X4461" s="2">
        <v>0</v>
      </c>
      <c r="Y4461" s="2" t="s">
        <v>141</v>
      </c>
      <c r="Z4461" s="2" t="s">
        <v>29628</v>
      </c>
      <c r="AA4461" s="2">
        <v>-1.0812640843324399</v>
      </c>
      <c r="AB4461" s="2">
        <v>0.14199357276417801</v>
      </c>
      <c r="AC4461" s="2">
        <v>1810.9649063387899</v>
      </c>
      <c r="AD4461" s="2">
        <v>436.09014696402397</v>
      </c>
      <c r="AE4461" s="2">
        <v>1806.9869934850699</v>
      </c>
      <c r="AF4461" s="2">
        <v>1301.08938413893</v>
      </c>
      <c r="AG4461" s="2">
        <v>1830.7151383529001</v>
      </c>
      <c r="AH4461" s="2">
        <v>2079.92921477249</v>
      </c>
      <c r="AI4461" s="2">
        <v>1910.8664373244701</v>
      </c>
      <c r="AJ4461" s="2">
        <v>1936.2022699588999</v>
      </c>
      <c r="AK4461" s="2">
        <v>412.708601083828</v>
      </c>
      <c r="AL4461" s="2">
        <v>377.57528799845801</v>
      </c>
      <c r="AM4461" s="2">
        <v>614.19681923689905</v>
      </c>
      <c r="AN4461" s="2">
        <v>518.19558677240695</v>
      </c>
      <c r="AO4461" s="2">
        <v>347.57137300586197</v>
      </c>
      <c r="AP4461" s="2">
        <v>346.29321368669201</v>
      </c>
    </row>
    <row r="4462" spans="1:42" ht="14.5" x14ac:dyDescent="0.35">
      <c r="A4462" s="2" t="s">
        <v>29629</v>
      </c>
      <c r="B4462" s="2">
        <v>357.16896852117202</v>
      </c>
      <c r="C4462" s="2">
        <v>6.4298666666666699</v>
      </c>
      <c r="D4462" s="2" t="s">
        <v>34</v>
      </c>
      <c r="E4462" s="2" t="s">
        <v>29630</v>
      </c>
      <c r="F4462" s="2">
        <v>82639</v>
      </c>
      <c r="G4462" s="3" t="str">
        <f>HYPERLINK("http://funmeta.oebiotech.com/network/82639", "http://funmeta.oebiotech.com/network/82639")</f>
        <v>http://funmeta.oebiotech.com/network/82639</v>
      </c>
      <c r="H4462" s="2" t="s">
        <v>29631</v>
      </c>
      <c r="I4462" s="2"/>
      <c r="J4462" s="2"/>
      <c r="K4462" s="2"/>
      <c r="L4462" s="2"/>
      <c r="M4462" s="2"/>
      <c r="N4462" s="2"/>
      <c r="O4462" s="2">
        <v>14356144</v>
      </c>
      <c r="P4462" s="2"/>
      <c r="Q4462" s="2" t="s">
        <v>29632</v>
      </c>
      <c r="R4462" s="2" t="s">
        <v>29633</v>
      </c>
      <c r="S4462" s="2" t="s">
        <v>491</v>
      </c>
      <c r="T4462" s="2" t="s">
        <v>15878</v>
      </c>
      <c r="U4462" s="2" t="s">
        <v>41</v>
      </c>
      <c r="V4462" s="2" t="s">
        <v>59</v>
      </c>
      <c r="W4462" s="2">
        <v>38.299999999999997</v>
      </c>
      <c r="X4462" s="2">
        <v>0</v>
      </c>
      <c r="Y4462" s="2" t="s">
        <v>340</v>
      </c>
      <c r="Z4462" s="2" t="s">
        <v>29634</v>
      </c>
      <c r="AA4462" s="2">
        <v>0.73647053887679703</v>
      </c>
      <c r="AB4462" s="2">
        <v>0.14195024791778599</v>
      </c>
      <c r="AC4462" s="2">
        <v>4288.0473590769998</v>
      </c>
      <c r="AD4462" s="2">
        <v>5929.9663275249704</v>
      </c>
      <c r="AE4462" s="2">
        <v>4387.6053390393799</v>
      </c>
      <c r="AF4462" s="2">
        <v>4645.1423042368297</v>
      </c>
      <c r="AG4462" s="2">
        <v>4664.4561693157902</v>
      </c>
      <c r="AH4462" s="2">
        <v>2822.9147212142102</v>
      </c>
      <c r="AI4462" s="2">
        <v>4591.4660498467001</v>
      </c>
      <c r="AJ4462" s="2">
        <v>4616.6995708090799</v>
      </c>
      <c r="AK4462" s="2">
        <v>5296.6113935250696</v>
      </c>
      <c r="AL4462" s="2">
        <v>6053.7217305388504</v>
      </c>
      <c r="AM4462" s="2">
        <v>5135.3314218676596</v>
      </c>
      <c r="AN4462" s="2">
        <v>6645.0790018502803</v>
      </c>
      <c r="AO4462" s="2">
        <v>6398.2606155808999</v>
      </c>
      <c r="AP4462" s="2">
        <v>6050.7938017870501</v>
      </c>
    </row>
    <row r="4463" spans="1:42" ht="14.5" x14ac:dyDescent="0.35">
      <c r="A4463" s="2" t="s">
        <v>29635</v>
      </c>
      <c r="B4463" s="2">
        <v>546.28323977685795</v>
      </c>
      <c r="C4463" s="2">
        <v>10.6706166666667</v>
      </c>
      <c r="D4463" s="2" t="s">
        <v>70</v>
      </c>
      <c r="E4463" s="2" t="s">
        <v>29636</v>
      </c>
      <c r="F4463" s="2">
        <v>267365</v>
      </c>
      <c r="G4463" s="3" t="str">
        <f>HYPERLINK("http://funmeta.oebiotech.com/network/267365", "http://funmeta.oebiotech.com/network/267365")</f>
        <v>http://funmeta.oebiotech.com/network/267365</v>
      </c>
      <c r="H4463" s="2"/>
      <c r="I4463" s="2">
        <v>45331</v>
      </c>
      <c r="J4463" s="2"/>
      <c r="K4463" s="2"/>
      <c r="L4463" s="2"/>
      <c r="M4463" s="2"/>
      <c r="N4463" s="2"/>
      <c r="O4463" s="2">
        <v>71684654</v>
      </c>
      <c r="P4463" s="2" t="s">
        <v>29637</v>
      </c>
      <c r="Q4463" s="2" t="s">
        <v>29638</v>
      </c>
      <c r="R4463" s="2" t="s">
        <v>29639</v>
      </c>
      <c r="S4463" s="2" t="s">
        <v>50</v>
      </c>
      <c r="T4463" s="2" t="s">
        <v>51</v>
      </c>
      <c r="U4463" s="2" t="s">
        <v>257</v>
      </c>
      <c r="V4463" s="2" t="s">
        <v>59</v>
      </c>
      <c r="W4463" s="2">
        <v>39.1</v>
      </c>
      <c r="X4463" s="2">
        <v>0</v>
      </c>
      <c r="Y4463" s="2" t="s">
        <v>408</v>
      </c>
      <c r="Z4463" s="2" t="s">
        <v>29640</v>
      </c>
      <c r="AA4463" s="2">
        <v>-1.00237469975032</v>
      </c>
      <c r="AB4463" s="2">
        <v>0.141828028951208</v>
      </c>
      <c r="AC4463" s="2">
        <v>3568.89319083595</v>
      </c>
      <c r="AD4463" s="2">
        <v>5252.0483436455397</v>
      </c>
      <c r="AE4463" s="2">
        <v>4865.07130798463</v>
      </c>
      <c r="AF4463" s="2">
        <v>3773.3312998122301</v>
      </c>
      <c r="AG4463" s="2">
        <v>3504.4047051628299</v>
      </c>
      <c r="AH4463" s="2">
        <v>3119.1392726199801</v>
      </c>
      <c r="AI4463" s="2">
        <v>3116.01103582633</v>
      </c>
      <c r="AJ4463" s="2">
        <v>3035.4015236096702</v>
      </c>
      <c r="AK4463" s="2">
        <v>5832.7541712592702</v>
      </c>
      <c r="AL4463" s="2">
        <v>5783.31406197041</v>
      </c>
      <c r="AM4463" s="2">
        <v>5523.9475974422903</v>
      </c>
      <c r="AN4463" s="2">
        <v>4571.6443047653902</v>
      </c>
      <c r="AO4463" s="2">
        <v>5700.8842606953904</v>
      </c>
      <c r="AP4463" s="2">
        <v>4099.7456657405</v>
      </c>
    </row>
    <row r="4464" spans="1:42" ht="14.5" x14ac:dyDescent="0.35">
      <c r="A4464" s="2" t="s">
        <v>29641</v>
      </c>
      <c r="B4464" s="2">
        <v>427.12096957530702</v>
      </c>
      <c r="C4464" s="2">
        <v>3.4744666666666699</v>
      </c>
      <c r="D4464" s="2" t="s">
        <v>34</v>
      </c>
      <c r="E4464" s="2" t="s">
        <v>29642</v>
      </c>
      <c r="F4464" s="2">
        <v>254971</v>
      </c>
      <c r="G4464" s="3" t="str">
        <f>HYPERLINK("http://funmeta.oebiotech.com/network/254971", "http://funmeta.oebiotech.com/network/254971")</f>
        <v>http://funmeta.oebiotech.com/network/254971</v>
      </c>
      <c r="H4464" s="2" t="s">
        <v>29643</v>
      </c>
      <c r="I4464" s="2"/>
      <c r="J4464" s="2"/>
      <c r="K4464" s="2"/>
      <c r="L4464" s="2"/>
      <c r="M4464" s="2"/>
      <c r="N4464" s="2"/>
      <c r="O4464" s="2">
        <v>599030</v>
      </c>
      <c r="P4464" s="2"/>
      <c r="Q4464" s="2" t="s">
        <v>29644</v>
      </c>
      <c r="R4464" s="2" t="s">
        <v>29645</v>
      </c>
      <c r="S4464" s="2" t="s">
        <v>50</v>
      </c>
      <c r="T4464" s="2" t="s">
        <v>201</v>
      </c>
      <c r="U4464" s="2" t="s">
        <v>202</v>
      </c>
      <c r="V4464" s="2" t="s">
        <v>59</v>
      </c>
      <c r="W4464" s="2">
        <v>44.7</v>
      </c>
      <c r="X4464" s="2">
        <v>30.4</v>
      </c>
      <c r="Y4464" s="2" t="s">
        <v>323</v>
      </c>
      <c r="Z4464" s="2" t="s">
        <v>24977</v>
      </c>
      <c r="AA4464" s="2">
        <v>-0.278843475772793</v>
      </c>
      <c r="AB4464" s="2">
        <v>0.141729413742477</v>
      </c>
      <c r="AC4464" s="2">
        <v>38274.395111919097</v>
      </c>
      <c r="AD4464" s="2">
        <v>35699.968492064203</v>
      </c>
      <c r="AE4464" s="2">
        <v>39595.269273455298</v>
      </c>
      <c r="AF4464" s="2">
        <v>38500.167975979602</v>
      </c>
      <c r="AG4464" s="2">
        <v>36199.860992578397</v>
      </c>
      <c r="AH4464" s="2">
        <v>35757.4940398123</v>
      </c>
      <c r="AI4464" s="2">
        <v>41566.842793617398</v>
      </c>
      <c r="AJ4464" s="2">
        <v>38026.735596071703</v>
      </c>
      <c r="AK4464" s="2">
        <v>38927.739239378498</v>
      </c>
      <c r="AL4464" s="2">
        <v>32997.656173434298</v>
      </c>
      <c r="AM4464" s="2">
        <v>35325.603030332102</v>
      </c>
      <c r="AN4464" s="2">
        <v>36127.313321360904</v>
      </c>
      <c r="AO4464" s="2">
        <v>32977.266509642701</v>
      </c>
      <c r="AP4464" s="2">
        <v>37844.232678236498</v>
      </c>
    </row>
    <row r="4465" spans="1:42" ht="14.5" x14ac:dyDescent="0.35">
      <c r="A4465" s="2" t="s">
        <v>29646</v>
      </c>
      <c r="B4465" s="2">
        <v>487.08473433202602</v>
      </c>
      <c r="C4465" s="2">
        <v>3.7155666666666698</v>
      </c>
      <c r="D4465" s="2" t="s">
        <v>34</v>
      </c>
      <c r="E4465" s="2" t="s">
        <v>29647</v>
      </c>
      <c r="F4465" s="2">
        <v>81988</v>
      </c>
      <c r="G4465" s="3" t="str">
        <f>HYPERLINK("http://funmeta.oebiotech.com/network/81988", "http://funmeta.oebiotech.com/network/81988")</f>
        <v>http://funmeta.oebiotech.com/network/81988</v>
      </c>
      <c r="H4465" s="2" t="s">
        <v>29648</v>
      </c>
      <c r="I4465" s="2"/>
      <c r="J4465" s="2"/>
      <c r="K4465" s="2">
        <v>88691</v>
      </c>
      <c r="L4465" s="2"/>
      <c r="M4465" s="2"/>
      <c r="N4465" s="2"/>
      <c r="O4465" s="2">
        <v>124202073</v>
      </c>
      <c r="P4465" s="2"/>
      <c r="Q4465" s="2" t="s">
        <v>29649</v>
      </c>
      <c r="R4465" s="2" t="s">
        <v>29650</v>
      </c>
      <c r="S4465" s="2" t="s">
        <v>79</v>
      </c>
      <c r="T4465" s="2" t="s">
        <v>80</v>
      </c>
      <c r="U4465" s="2" t="s">
        <v>81</v>
      </c>
      <c r="V4465" s="2" t="s">
        <v>59</v>
      </c>
      <c r="W4465" s="2">
        <v>37.9</v>
      </c>
      <c r="X4465" s="2">
        <v>0</v>
      </c>
      <c r="Y4465" s="2" t="s">
        <v>340</v>
      </c>
      <c r="Z4465" s="2" t="s">
        <v>29651</v>
      </c>
      <c r="AA4465" s="2">
        <v>-0.25567147542692897</v>
      </c>
      <c r="AB4465" s="2">
        <v>0.14152930054089799</v>
      </c>
      <c r="AC4465" s="2">
        <v>2505.5064610049799</v>
      </c>
      <c r="AD4465" s="2">
        <v>974.22344820433898</v>
      </c>
      <c r="AE4465" s="2">
        <v>2194.6931357192502</v>
      </c>
      <c r="AF4465" s="2">
        <v>2809.62856419629</v>
      </c>
      <c r="AG4465" s="2">
        <v>2653.7595926165</v>
      </c>
      <c r="AH4465" s="2">
        <v>2167.1601234715599</v>
      </c>
      <c r="AI4465" s="2">
        <v>3144.2091730656098</v>
      </c>
      <c r="AJ4465" s="2">
        <v>2063.5881769606999</v>
      </c>
      <c r="AK4465" s="2">
        <v>608.44600841654699</v>
      </c>
      <c r="AL4465" s="2">
        <v>504.98348827663102</v>
      </c>
      <c r="AM4465" s="2">
        <v>1450.0021333119701</v>
      </c>
      <c r="AN4465" s="2">
        <v>374.65942594782399</v>
      </c>
      <c r="AO4465" s="2">
        <v>1239.10623910514</v>
      </c>
      <c r="AP4465" s="2">
        <v>1668.14339416792</v>
      </c>
    </row>
    <row r="4466" spans="1:42" ht="14.5" x14ac:dyDescent="0.35">
      <c r="A4466" s="2" t="s">
        <v>29652</v>
      </c>
      <c r="B4466" s="2">
        <v>463.14695363406702</v>
      </c>
      <c r="C4466" s="2">
        <v>4.3459666666666701</v>
      </c>
      <c r="D4466" s="2" t="s">
        <v>70</v>
      </c>
      <c r="E4466" s="2" t="s">
        <v>29653</v>
      </c>
      <c r="F4466" s="2">
        <v>199141</v>
      </c>
      <c r="G4466" s="3" t="str">
        <f>HYPERLINK("http://funmeta.oebiotech.com/network/199141", "http://funmeta.oebiotech.com/network/199141")</f>
        <v>http://funmeta.oebiotech.com/network/199141</v>
      </c>
      <c r="H4466" s="2" t="s">
        <v>29654</v>
      </c>
      <c r="I4466" s="2"/>
      <c r="J4466" s="2"/>
      <c r="K4466" s="2">
        <v>55379</v>
      </c>
      <c r="L4466" s="2"/>
      <c r="M4466" s="2"/>
      <c r="N4466" s="2"/>
      <c r="O4466" s="2">
        <v>18462</v>
      </c>
      <c r="P4466" s="2"/>
      <c r="Q4466" s="2" t="s">
        <v>29655</v>
      </c>
      <c r="R4466" s="2" t="s">
        <v>29656</v>
      </c>
      <c r="S4466" s="2" t="s">
        <v>50</v>
      </c>
      <c r="T4466" s="2" t="s">
        <v>201</v>
      </c>
      <c r="U4466" s="2" t="s">
        <v>265</v>
      </c>
      <c r="V4466" s="2" t="s">
        <v>59</v>
      </c>
      <c r="W4466" s="2">
        <v>38.5</v>
      </c>
      <c r="X4466" s="2">
        <v>0</v>
      </c>
      <c r="Y4466" s="2" t="s">
        <v>560</v>
      </c>
      <c r="Z4466" s="2" t="s">
        <v>29657</v>
      </c>
      <c r="AA4466" s="2">
        <v>0.79732903091871599</v>
      </c>
      <c r="AB4466" s="2">
        <v>0.141426867355326</v>
      </c>
      <c r="AC4466" s="2">
        <v>12358.8854374452</v>
      </c>
      <c r="AD4466" s="2">
        <v>10041.975366864999</v>
      </c>
      <c r="AE4466" s="2">
        <v>15353.8571044899</v>
      </c>
      <c r="AF4466" s="2">
        <v>11289.0987638716</v>
      </c>
      <c r="AG4466" s="2">
        <v>10068.3316656222</v>
      </c>
      <c r="AH4466" s="2">
        <v>14184.503734440401</v>
      </c>
      <c r="AI4466" s="2">
        <v>12232.6292093006</v>
      </c>
      <c r="AJ4466" s="2">
        <v>11024.8921469468</v>
      </c>
      <c r="AK4466" s="2">
        <v>11820.6520090307</v>
      </c>
      <c r="AL4466" s="2">
        <v>8243.2558369905892</v>
      </c>
      <c r="AM4466" s="2">
        <v>10911.518938589499</v>
      </c>
      <c r="AN4466" s="2">
        <v>10586.4015489467</v>
      </c>
      <c r="AO4466" s="2">
        <v>7810.5649132178396</v>
      </c>
      <c r="AP4466" s="2">
        <v>10879.4589544147</v>
      </c>
    </row>
    <row r="4467" spans="1:42" ht="14.5" x14ac:dyDescent="0.35">
      <c r="A4467" s="2" t="s">
        <v>29658</v>
      </c>
      <c r="B4467" s="2">
        <v>359.09812778223699</v>
      </c>
      <c r="C4467" s="2">
        <v>3.82433333333333</v>
      </c>
      <c r="D4467" s="2" t="s">
        <v>70</v>
      </c>
      <c r="E4467" s="2" t="s">
        <v>29659</v>
      </c>
      <c r="F4467" s="2">
        <v>48048</v>
      </c>
      <c r="G4467" s="3" t="str">
        <f>HYPERLINK("http://funmeta.oebiotech.com/network/48048", "http://funmeta.oebiotech.com/network/48048")</f>
        <v>http://funmeta.oebiotech.com/network/48048</v>
      </c>
      <c r="H4467" s="2" t="s">
        <v>29660</v>
      </c>
      <c r="I4467" s="2">
        <v>1499</v>
      </c>
      <c r="J4467" s="2"/>
      <c r="K4467" s="2">
        <v>7563</v>
      </c>
      <c r="L4467" s="2" t="s">
        <v>29661</v>
      </c>
      <c r="M4467" s="2" t="s">
        <v>29662</v>
      </c>
      <c r="N4467" s="2" t="s">
        <v>29663</v>
      </c>
      <c r="O4467" s="2">
        <v>68499</v>
      </c>
      <c r="P4467" s="2" t="s">
        <v>29664</v>
      </c>
      <c r="Q4467" s="2" t="s">
        <v>29665</v>
      </c>
      <c r="R4467" s="2" t="s">
        <v>29666</v>
      </c>
      <c r="S4467" s="2" t="s">
        <v>89</v>
      </c>
      <c r="T4467" s="2" t="s">
        <v>90</v>
      </c>
      <c r="U4467" s="2" t="s">
        <v>99</v>
      </c>
      <c r="V4467" s="2" t="s">
        <v>59</v>
      </c>
      <c r="W4467" s="2">
        <v>38.5</v>
      </c>
      <c r="X4467" s="2">
        <v>0</v>
      </c>
      <c r="Y4467" s="2" t="s">
        <v>560</v>
      </c>
      <c r="Z4467" s="2" t="s">
        <v>29667</v>
      </c>
      <c r="AA4467" s="2">
        <v>-4.3876834166119201</v>
      </c>
      <c r="AB4467" s="2">
        <v>0.14141684050119999</v>
      </c>
      <c r="AC4467" s="2">
        <v>3627.8522672803701</v>
      </c>
      <c r="AD4467" s="2">
        <v>5176.9595428361599</v>
      </c>
      <c r="AE4467" s="2">
        <v>2876.2366822589102</v>
      </c>
      <c r="AF4467" s="2">
        <v>3927.6805493552502</v>
      </c>
      <c r="AG4467" s="2">
        <v>3991.7704402265599</v>
      </c>
      <c r="AH4467" s="2">
        <v>3477.6742748933202</v>
      </c>
      <c r="AI4467" s="2">
        <v>3042.09394506227</v>
      </c>
      <c r="AJ4467" s="2">
        <v>4451.6577118859104</v>
      </c>
      <c r="AK4467" s="2">
        <v>5510.2088315862402</v>
      </c>
      <c r="AL4467" s="2">
        <v>4890.0353398123498</v>
      </c>
      <c r="AM4467" s="2">
        <v>5882.3560316105204</v>
      </c>
      <c r="AN4467" s="2">
        <v>5097.3840942219704</v>
      </c>
      <c r="AO4467" s="2">
        <v>4882.8300375774897</v>
      </c>
      <c r="AP4467" s="2">
        <v>4798.9429222084</v>
      </c>
    </row>
    <row r="4468" spans="1:42" ht="14.5" x14ac:dyDescent="0.35">
      <c r="A4468" s="2" t="s">
        <v>29668</v>
      </c>
      <c r="B4468" s="2">
        <v>747.24346441945795</v>
      </c>
      <c r="C4468" s="2">
        <v>4.6857333333333298</v>
      </c>
      <c r="D4468" s="2" t="s">
        <v>70</v>
      </c>
      <c r="E4468" s="2" t="s">
        <v>29669</v>
      </c>
      <c r="F4468" s="2">
        <v>279672</v>
      </c>
      <c r="G4468" s="3" t="str">
        <f>HYPERLINK("http://funmeta.oebiotech.com/network/279672", "http://funmeta.oebiotech.com/network/279672")</f>
        <v>http://funmeta.oebiotech.com/network/279672</v>
      </c>
      <c r="H4468" s="2"/>
      <c r="I4468" s="2">
        <v>72392</v>
      </c>
      <c r="J4468" s="2"/>
      <c r="K4468" s="2"/>
      <c r="L4468" s="2" t="s">
        <v>29670</v>
      </c>
      <c r="M4468" s="2"/>
      <c r="N4468" s="2"/>
      <c r="O4468" s="2">
        <v>213032</v>
      </c>
      <c r="P4468" s="2" t="s">
        <v>29671</v>
      </c>
      <c r="Q4468" s="2" t="s">
        <v>29672</v>
      </c>
      <c r="R4468" s="2" t="s">
        <v>29673</v>
      </c>
      <c r="S4468" s="2" t="s">
        <v>148</v>
      </c>
      <c r="T4468" s="2" t="s">
        <v>149</v>
      </c>
      <c r="U4468" s="2" t="s">
        <v>5024</v>
      </c>
      <c r="V4468" s="2" t="s">
        <v>59</v>
      </c>
      <c r="W4468" s="2">
        <v>38</v>
      </c>
      <c r="X4468" s="2">
        <v>0</v>
      </c>
      <c r="Y4468" s="2" t="s">
        <v>560</v>
      </c>
      <c r="Z4468" s="2" t="s">
        <v>29674</v>
      </c>
      <c r="AA4468" s="2">
        <v>-3.4390475707447998</v>
      </c>
      <c r="AB4468" s="2">
        <v>0.14140652742186199</v>
      </c>
      <c r="AC4468" s="2">
        <v>5666.6797000630104</v>
      </c>
      <c r="AD4468" s="2">
        <v>7400.8927656646702</v>
      </c>
      <c r="AE4468" s="2">
        <v>4885.7136068500104</v>
      </c>
      <c r="AF4468" s="2">
        <v>6415.5617565866596</v>
      </c>
      <c r="AG4468" s="2">
        <v>6167.5708188398903</v>
      </c>
      <c r="AH4468" s="2">
        <v>5156.26109882944</v>
      </c>
      <c r="AI4468" s="2">
        <v>6163.0453038713204</v>
      </c>
      <c r="AJ4468" s="2">
        <v>5211.9256154007398</v>
      </c>
      <c r="AK4468" s="2">
        <v>5984.04854249664</v>
      </c>
      <c r="AL4468" s="2">
        <v>8981.0774137553908</v>
      </c>
      <c r="AM4468" s="2">
        <v>7235.92598254321</v>
      </c>
      <c r="AN4468" s="2">
        <v>7263.8272320907799</v>
      </c>
      <c r="AO4468" s="2">
        <v>7477.8614072607797</v>
      </c>
      <c r="AP4468" s="2">
        <v>7462.6160158412404</v>
      </c>
    </row>
    <row r="4469" spans="1:42" ht="14.5" x14ac:dyDescent="0.35">
      <c r="A4469" s="2" t="s">
        <v>29675</v>
      </c>
      <c r="B4469" s="2">
        <v>791.45759792343199</v>
      </c>
      <c r="C4469" s="2">
        <v>12.5211166666667</v>
      </c>
      <c r="D4469" s="2" t="s">
        <v>70</v>
      </c>
      <c r="E4469" s="2" t="s">
        <v>29676</v>
      </c>
      <c r="F4469" s="2">
        <v>266461</v>
      </c>
      <c r="G4469" s="3" t="str">
        <f>HYPERLINK("http://funmeta.oebiotech.com/network/266461", "http://funmeta.oebiotech.com/network/266461")</f>
        <v>http://funmeta.oebiotech.com/network/266461</v>
      </c>
      <c r="H4469" s="2"/>
      <c r="I4469" s="2">
        <v>43240</v>
      </c>
      <c r="J4469" s="2"/>
      <c r="K4469" s="2"/>
      <c r="L4469" s="2" t="s">
        <v>29677</v>
      </c>
      <c r="M4469" s="2"/>
      <c r="N4469" s="2"/>
      <c r="O4469" s="2">
        <v>250948</v>
      </c>
      <c r="P4469" s="2"/>
      <c r="Q4469" s="2" t="s">
        <v>29678</v>
      </c>
      <c r="R4469" s="2" t="s">
        <v>29679</v>
      </c>
      <c r="S4469" s="2" t="s">
        <v>50</v>
      </c>
      <c r="T4469" s="2" t="s">
        <v>124</v>
      </c>
      <c r="U4469" s="2" t="s">
        <v>929</v>
      </c>
      <c r="V4469" s="2" t="s">
        <v>59</v>
      </c>
      <c r="W4469" s="2">
        <v>37.9</v>
      </c>
      <c r="X4469" s="2">
        <v>0</v>
      </c>
      <c r="Y4469" s="2" t="s">
        <v>560</v>
      </c>
      <c r="Z4469" s="2" t="s">
        <v>29680</v>
      </c>
      <c r="AA4469" s="2">
        <v>6.0007391641523604</v>
      </c>
      <c r="AB4469" s="2">
        <v>0.141363593751057</v>
      </c>
      <c r="AC4469" s="2">
        <v>4245.5273767593999</v>
      </c>
      <c r="AD4469" s="2">
        <v>2496.66282658522</v>
      </c>
      <c r="AE4469" s="2">
        <v>4060.7324118406</v>
      </c>
      <c r="AF4469" s="2">
        <v>4242.2727333620596</v>
      </c>
      <c r="AG4469" s="2">
        <v>4110.8440173324097</v>
      </c>
      <c r="AH4469" s="2">
        <v>3610.3763696685401</v>
      </c>
      <c r="AI4469" s="2">
        <v>5950.5454597607604</v>
      </c>
      <c r="AJ4469" s="2">
        <v>3498.3932685919999</v>
      </c>
      <c r="AK4469" s="2">
        <v>2108.8493155901901</v>
      </c>
      <c r="AL4469" s="2">
        <v>2750.5096074498001</v>
      </c>
      <c r="AM4469" s="2">
        <v>1593.42829568812</v>
      </c>
      <c r="AN4469" s="2">
        <v>2270.85926734758</v>
      </c>
      <c r="AO4469" s="2">
        <v>2405.2172505304802</v>
      </c>
      <c r="AP4469" s="2">
        <v>3851.11322290512</v>
      </c>
    </row>
    <row r="4470" spans="1:42" ht="14.5" x14ac:dyDescent="0.35">
      <c r="A4470" s="2" t="s">
        <v>29681</v>
      </c>
      <c r="B4470" s="2">
        <v>451.19710194987101</v>
      </c>
      <c r="C4470" s="2">
        <v>6.2733666666666696</v>
      </c>
      <c r="D4470" s="2" t="s">
        <v>70</v>
      </c>
      <c r="E4470" s="2" t="s">
        <v>29682</v>
      </c>
      <c r="F4470" s="2">
        <v>63204</v>
      </c>
      <c r="G4470" s="3" t="str">
        <f>HYPERLINK("http://funmeta.oebiotech.com/network/63204", "http://funmeta.oebiotech.com/network/63204")</f>
        <v>http://funmeta.oebiotech.com/network/63204</v>
      </c>
      <c r="H4470" s="2" t="s">
        <v>29683</v>
      </c>
      <c r="I4470" s="2">
        <v>94512</v>
      </c>
      <c r="J4470" s="2"/>
      <c r="K4470" s="2">
        <v>171847</v>
      </c>
      <c r="L4470" s="2"/>
      <c r="M4470" s="2"/>
      <c r="N4470" s="2"/>
      <c r="O4470" s="2">
        <v>131752774</v>
      </c>
      <c r="P4470" s="2" t="s">
        <v>29684</v>
      </c>
      <c r="Q4470" s="2" t="s">
        <v>29685</v>
      </c>
      <c r="R4470" s="2" t="s">
        <v>29686</v>
      </c>
      <c r="S4470" s="2" t="s">
        <v>50</v>
      </c>
      <c r="T4470" s="2" t="s">
        <v>201</v>
      </c>
      <c r="U4470" s="2" t="s">
        <v>636</v>
      </c>
      <c r="V4470" s="2" t="s">
        <v>59</v>
      </c>
      <c r="W4470" s="2">
        <v>38</v>
      </c>
      <c r="X4470" s="2">
        <v>0</v>
      </c>
      <c r="Y4470" s="2" t="s">
        <v>408</v>
      </c>
      <c r="Z4470" s="2" t="s">
        <v>29687</v>
      </c>
      <c r="AA4470" s="2">
        <v>-0.62584854604462203</v>
      </c>
      <c r="AB4470" s="2">
        <v>0.14135043297567301</v>
      </c>
      <c r="AC4470" s="2">
        <v>1796.0589037437201</v>
      </c>
      <c r="AD4470" s="2">
        <v>3392.2781663092701</v>
      </c>
      <c r="AE4470" s="2">
        <v>2245.2911277456801</v>
      </c>
      <c r="AF4470" s="2">
        <v>1120.25147373761</v>
      </c>
      <c r="AG4470" s="2">
        <v>2270.97400722063</v>
      </c>
      <c r="AH4470" s="2">
        <v>1188.05021249468</v>
      </c>
      <c r="AI4470" s="2">
        <v>1878.3871308836499</v>
      </c>
      <c r="AJ4470" s="2">
        <v>2073.39947038009</v>
      </c>
      <c r="AK4470" s="2">
        <v>2398.4980295263999</v>
      </c>
      <c r="AL4470" s="2">
        <v>3559.5945908797498</v>
      </c>
      <c r="AM4470" s="2">
        <v>3487.75060430434</v>
      </c>
      <c r="AN4470" s="2">
        <v>3077.9244526818702</v>
      </c>
      <c r="AO4470" s="2">
        <v>4506.40211999852</v>
      </c>
      <c r="AP4470" s="2">
        <v>3323.4992004647502</v>
      </c>
    </row>
    <row r="4471" spans="1:42" ht="14.5" x14ac:dyDescent="0.35">
      <c r="A4471" s="2" t="s">
        <v>29688</v>
      </c>
      <c r="B4471" s="2">
        <v>337.17817402806401</v>
      </c>
      <c r="C4471" s="2">
        <v>11.141500000000001</v>
      </c>
      <c r="D4471" s="2" t="s">
        <v>34</v>
      </c>
      <c r="E4471" s="2" t="s">
        <v>29689</v>
      </c>
      <c r="F4471" s="2">
        <v>2866</v>
      </c>
      <c r="G4471" s="3" t="str">
        <f>HYPERLINK("http://funmeta.oebiotech.com/network/2866", "http://funmeta.oebiotech.com/network/2866")</f>
        <v>http://funmeta.oebiotech.com/network/2866</v>
      </c>
      <c r="H4471" s="2"/>
      <c r="I4471" s="2">
        <v>74925</v>
      </c>
      <c r="J4471" s="2" t="s">
        <v>29690</v>
      </c>
      <c r="K4471" s="2"/>
      <c r="L4471" s="2"/>
      <c r="M4471" s="2"/>
      <c r="N4471" s="2"/>
      <c r="O4471" s="2">
        <v>9543673</v>
      </c>
      <c r="P4471" s="2"/>
      <c r="Q4471" s="2" t="s">
        <v>29691</v>
      </c>
      <c r="R4471" s="2" t="s">
        <v>29692</v>
      </c>
      <c r="S4471" s="2" t="s">
        <v>50</v>
      </c>
      <c r="T4471" s="2" t="s">
        <v>229</v>
      </c>
      <c r="U4471" s="2" t="s">
        <v>433</v>
      </c>
      <c r="V4471" s="2" t="s">
        <v>59</v>
      </c>
      <c r="W4471" s="2">
        <v>39</v>
      </c>
      <c r="X4471" s="2">
        <v>0</v>
      </c>
      <c r="Y4471" s="2" t="s">
        <v>340</v>
      </c>
      <c r="Z4471" s="2" t="s">
        <v>29693</v>
      </c>
      <c r="AA4471" s="2">
        <v>2.0337975130826198</v>
      </c>
      <c r="AB4471" s="2">
        <v>0.14125550348709801</v>
      </c>
      <c r="AC4471" s="2">
        <v>2051.0243376854201</v>
      </c>
      <c r="AD4471" s="2">
        <v>707.25436880545396</v>
      </c>
      <c r="AE4471" s="2">
        <v>1995.7230580760299</v>
      </c>
      <c r="AF4471" s="2">
        <v>1938.1386488640501</v>
      </c>
      <c r="AG4471" s="2">
        <v>1948.15712527972</v>
      </c>
      <c r="AH4471" s="2">
        <v>2163.7083670850998</v>
      </c>
      <c r="AI4471" s="2">
        <v>2124.4322770942999</v>
      </c>
      <c r="AJ4471" s="2">
        <v>2135.9865497133401</v>
      </c>
      <c r="AK4471" s="2">
        <v>354.75671957969098</v>
      </c>
      <c r="AL4471" s="2">
        <v>641.55914015588996</v>
      </c>
      <c r="AM4471" s="2">
        <v>769.33256942732999</v>
      </c>
      <c r="AN4471" s="2">
        <v>666.89560838904504</v>
      </c>
      <c r="AO4471" s="2">
        <v>874.66520682194403</v>
      </c>
      <c r="AP4471" s="2">
        <v>936.31696845882402</v>
      </c>
    </row>
    <row r="4472" spans="1:42" ht="14.5" x14ac:dyDescent="0.35">
      <c r="A4472" s="2" t="s">
        <v>29694</v>
      </c>
      <c r="B4472" s="2">
        <v>427.121096220661</v>
      </c>
      <c r="C4472" s="2">
        <v>3.7155666666666698</v>
      </c>
      <c r="D4472" s="2" t="s">
        <v>34</v>
      </c>
      <c r="E4472" s="2" t="s">
        <v>29695</v>
      </c>
      <c r="F4472" s="2">
        <v>207098</v>
      </c>
      <c r="G4472" s="3" t="str">
        <f>HYPERLINK("http://funmeta.oebiotech.com/network/207098", "http://funmeta.oebiotech.com/network/207098")</f>
        <v>http://funmeta.oebiotech.com/network/207098</v>
      </c>
      <c r="H4472" s="2" t="s">
        <v>29696</v>
      </c>
      <c r="I4472" s="2"/>
      <c r="J4472" s="2"/>
      <c r="K4472" s="2"/>
      <c r="L4472" s="2"/>
      <c r="M4472" s="2"/>
      <c r="N4472" s="2"/>
      <c r="O4472" s="2">
        <v>100058</v>
      </c>
      <c r="P4472" s="2"/>
      <c r="Q4472" s="2" t="s">
        <v>29697</v>
      </c>
      <c r="R4472" s="2" t="s">
        <v>29698</v>
      </c>
      <c r="S4472" s="2" t="s">
        <v>50</v>
      </c>
      <c r="T4472" s="2" t="s">
        <v>201</v>
      </c>
      <c r="U4472" s="2" t="s">
        <v>202</v>
      </c>
      <c r="V4472" s="2" t="s">
        <v>59</v>
      </c>
      <c r="W4472" s="2">
        <v>38.200000000000003</v>
      </c>
      <c r="X4472" s="2">
        <v>6.31</v>
      </c>
      <c r="Y4472" s="2" t="s">
        <v>323</v>
      </c>
      <c r="Z4472" s="2" t="s">
        <v>24977</v>
      </c>
      <c r="AA4472" s="2">
        <v>3.4532841133764099E-2</v>
      </c>
      <c r="AB4472" s="2">
        <v>0.141215931621716</v>
      </c>
      <c r="AC4472" s="2">
        <v>34482.247579271498</v>
      </c>
      <c r="AD4472" s="2">
        <v>36739.877125819003</v>
      </c>
      <c r="AE4472" s="2">
        <v>35919.250133986898</v>
      </c>
      <c r="AF4472" s="2">
        <v>33870.9747822754</v>
      </c>
      <c r="AG4472" s="2">
        <v>32986.664697300999</v>
      </c>
      <c r="AH4472" s="2">
        <v>33119.2268421673</v>
      </c>
      <c r="AI4472" s="2">
        <v>37952.363175118102</v>
      </c>
      <c r="AJ4472" s="2">
        <v>33045.005844780397</v>
      </c>
      <c r="AK4472" s="2">
        <v>35314.313399341299</v>
      </c>
      <c r="AL4472" s="2">
        <v>38143.907128861203</v>
      </c>
      <c r="AM4472" s="2">
        <v>35396.550652444101</v>
      </c>
      <c r="AN4472" s="2">
        <v>36285.502395862699</v>
      </c>
      <c r="AO4472" s="2">
        <v>36364.554795976699</v>
      </c>
      <c r="AP4472" s="2">
        <v>38934.434382427702</v>
      </c>
    </row>
    <row r="4473" spans="1:42" ht="14.5" x14ac:dyDescent="0.35">
      <c r="A4473" s="2" t="s">
        <v>29699</v>
      </c>
      <c r="B4473" s="2">
        <v>423.20225059504702</v>
      </c>
      <c r="C4473" s="2">
        <v>5.2079666666666702</v>
      </c>
      <c r="D4473" s="2" t="s">
        <v>70</v>
      </c>
      <c r="E4473" s="2" t="s">
        <v>29700</v>
      </c>
      <c r="F4473" s="2">
        <v>207624</v>
      </c>
      <c r="G4473" s="3" t="str">
        <f>HYPERLINK("http://funmeta.oebiotech.com/network/207624", "http://funmeta.oebiotech.com/network/207624")</f>
        <v>http://funmeta.oebiotech.com/network/207624</v>
      </c>
      <c r="H4473" s="2" t="s">
        <v>29701</v>
      </c>
      <c r="I4473" s="2"/>
      <c r="J4473" s="2"/>
      <c r="K4473" s="2"/>
      <c r="L4473" s="2"/>
      <c r="M4473" s="2"/>
      <c r="N4473" s="2"/>
      <c r="O4473" s="2"/>
      <c r="P4473" s="2"/>
      <c r="Q4473" s="2" t="s">
        <v>29702</v>
      </c>
      <c r="R4473" s="2" t="s">
        <v>29703</v>
      </c>
      <c r="S4473" s="2" t="s">
        <v>41</v>
      </c>
      <c r="T4473" s="2" t="s">
        <v>41</v>
      </c>
      <c r="U4473" s="2" t="s">
        <v>41</v>
      </c>
      <c r="V4473" s="2" t="s">
        <v>42</v>
      </c>
      <c r="W4473" s="2">
        <v>51.3</v>
      </c>
      <c r="X4473" s="2">
        <v>62.9</v>
      </c>
      <c r="Y4473" s="2" t="s">
        <v>408</v>
      </c>
      <c r="Z4473" s="2" t="s">
        <v>29704</v>
      </c>
      <c r="AA4473" s="2">
        <v>-0.50489760236288095</v>
      </c>
      <c r="AB4473" s="2">
        <v>0.14117172241060499</v>
      </c>
      <c r="AC4473" s="2">
        <v>21669.800544287398</v>
      </c>
      <c r="AD4473" s="2">
        <v>23744.322896899201</v>
      </c>
      <c r="AE4473" s="2">
        <v>22065.258702541301</v>
      </c>
      <c r="AF4473" s="2">
        <v>21164.174906764601</v>
      </c>
      <c r="AG4473" s="2">
        <v>22636.6373864825</v>
      </c>
      <c r="AH4473" s="2">
        <v>20468.345239419199</v>
      </c>
      <c r="AI4473" s="2">
        <v>20233.570803647199</v>
      </c>
      <c r="AJ4473" s="2">
        <v>23450.816226869501</v>
      </c>
      <c r="AK4473" s="2">
        <v>21413.576283168499</v>
      </c>
      <c r="AL4473" s="2">
        <v>23362.9478549491</v>
      </c>
      <c r="AM4473" s="2">
        <v>24848.796759081401</v>
      </c>
      <c r="AN4473" s="2">
        <v>25517.763037086199</v>
      </c>
      <c r="AO4473" s="2">
        <v>24532.041791715099</v>
      </c>
      <c r="AP4473" s="2">
        <v>22790.8116553949</v>
      </c>
    </row>
    <row r="4474" spans="1:42" ht="14.5" x14ac:dyDescent="0.35">
      <c r="A4474" s="2" t="s">
        <v>29705</v>
      </c>
      <c r="B4474" s="2">
        <v>507.25958678097601</v>
      </c>
      <c r="C4474" s="2">
        <v>8.6008499999999994</v>
      </c>
      <c r="D4474" s="2" t="s">
        <v>70</v>
      </c>
      <c r="E4474" s="2" t="s">
        <v>29706</v>
      </c>
      <c r="F4474" s="2">
        <v>60779</v>
      </c>
      <c r="G4474" s="3" t="str">
        <f>HYPERLINK("http://funmeta.oebiotech.com/network/60779", "http://funmeta.oebiotech.com/network/60779")</f>
        <v>http://funmeta.oebiotech.com/network/60779</v>
      </c>
      <c r="H4474" s="2" t="s">
        <v>29707</v>
      </c>
      <c r="I4474" s="2">
        <v>92109</v>
      </c>
      <c r="J4474" s="2"/>
      <c r="K4474" s="2">
        <v>168976</v>
      </c>
      <c r="L4474" s="2"/>
      <c r="M4474" s="2"/>
      <c r="N4474" s="2"/>
      <c r="O4474" s="2">
        <v>62182</v>
      </c>
      <c r="P4474" s="2" t="s">
        <v>29708</v>
      </c>
      <c r="Q4474" s="2" t="s">
        <v>29709</v>
      </c>
      <c r="R4474" s="2" t="s">
        <v>29710</v>
      </c>
      <c r="S4474" s="2" t="s">
        <v>5916</v>
      </c>
      <c r="T4474" s="2" t="s">
        <v>5917</v>
      </c>
      <c r="U4474" s="2" t="s">
        <v>5918</v>
      </c>
      <c r="V4474" s="2" t="s">
        <v>59</v>
      </c>
      <c r="W4474" s="2">
        <v>38.200000000000003</v>
      </c>
      <c r="X4474" s="2">
        <v>0</v>
      </c>
      <c r="Y4474" s="2" t="s">
        <v>560</v>
      </c>
      <c r="Z4474" s="2" t="s">
        <v>29711</v>
      </c>
      <c r="AA4474" s="2">
        <v>-2.4370530813472402</v>
      </c>
      <c r="AB4474" s="2">
        <v>0.14116890858581799</v>
      </c>
      <c r="AC4474" s="2">
        <v>1916.8309990794501</v>
      </c>
      <c r="AD4474" s="2">
        <v>529.24259077936597</v>
      </c>
      <c r="AE4474" s="2">
        <v>1501.00646486755</v>
      </c>
      <c r="AF4474" s="2">
        <v>2034.4274766418901</v>
      </c>
      <c r="AG4474" s="2">
        <v>2184.8542900132902</v>
      </c>
      <c r="AH4474" s="2">
        <v>1820.16847748187</v>
      </c>
      <c r="AI4474" s="2">
        <v>2288.31420055122</v>
      </c>
      <c r="AJ4474" s="2">
        <v>1672.2150849208499</v>
      </c>
      <c r="AK4474" s="2">
        <v>135.587892116945</v>
      </c>
      <c r="AL4474" s="2">
        <v>571.74806992947902</v>
      </c>
      <c r="AM4474" s="2">
        <v>627.06826723816005</v>
      </c>
      <c r="AN4474" s="2">
        <v>654.62166590912</v>
      </c>
      <c r="AO4474" s="2">
        <v>692.40377200343403</v>
      </c>
      <c r="AP4474" s="2">
        <v>494.02587747905699</v>
      </c>
    </row>
    <row r="4475" spans="1:42" ht="14.5" x14ac:dyDescent="0.35">
      <c r="A4475" s="2" t="s">
        <v>29712</v>
      </c>
      <c r="B4475" s="2">
        <v>631.23862619416002</v>
      </c>
      <c r="C4475" s="2">
        <v>5.0258500000000002</v>
      </c>
      <c r="D4475" s="2" t="s">
        <v>34</v>
      </c>
      <c r="E4475" s="2" t="s">
        <v>29713</v>
      </c>
      <c r="F4475" s="2">
        <v>266782</v>
      </c>
      <c r="G4475" s="3" t="str">
        <f>HYPERLINK("http://funmeta.oebiotech.com/network/266782", "http://funmeta.oebiotech.com/network/266782")</f>
        <v>http://funmeta.oebiotech.com/network/266782</v>
      </c>
      <c r="H4475" s="2"/>
      <c r="I4475" s="2">
        <v>43961</v>
      </c>
      <c r="J4475" s="2"/>
      <c r="K4475" s="2"/>
      <c r="L4475" s="2"/>
      <c r="M4475" s="2"/>
      <c r="N4475" s="2"/>
      <c r="O4475" s="2">
        <v>54699399</v>
      </c>
      <c r="P4475" s="2"/>
      <c r="Q4475" s="2" t="s">
        <v>29714</v>
      </c>
      <c r="R4475" s="2" t="s">
        <v>29715</v>
      </c>
      <c r="S4475" s="2" t="s">
        <v>50</v>
      </c>
      <c r="T4475" s="2" t="s">
        <v>201</v>
      </c>
      <c r="U4475" s="2" t="s">
        <v>210</v>
      </c>
      <c r="V4475" s="2" t="s">
        <v>59</v>
      </c>
      <c r="W4475" s="2">
        <v>37.4</v>
      </c>
      <c r="X4475" s="2">
        <v>0</v>
      </c>
      <c r="Y4475" s="2" t="s">
        <v>141</v>
      </c>
      <c r="Z4475" s="2" t="s">
        <v>29716</v>
      </c>
      <c r="AA4475" s="2">
        <v>0.16735656242494801</v>
      </c>
      <c r="AB4475" s="2">
        <v>0.14112510723392399</v>
      </c>
      <c r="AC4475" s="2">
        <v>4971.1928764246904</v>
      </c>
      <c r="AD4475" s="2">
        <v>7127.9122848215202</v>
      </c>
      <c r="AE4475" s="2">
        <v>4943.5611532674202</v>
      </c>
      <c r="AF4475" s="2">
        <v>5275.8020252443503</v>
      </c>
      <c r="AG4475" s="2">
        <v>5905.64495980639</v>
      </c>
      <c r="AH4475" s="2">
        <v>3933.2761127294002</v>
      </c>
      <c r="AI4475" s="2">
        <v>2628.1756112384501</v>
      </c>
      <c r="AJ4475" s="2">
        <v>7140.6973962621396</v>
      </c>
      <c r="AK4475" s="2">
        <v>7273.7122998630402</v>
      </c>
      <c r="AL4475" s="2">
        <v>7667.3925479543896</v>
      </c>
      <c r="AM4475" s="2">
        <v>6855.6537923534097</v>
      </c>
      <c r="AN4475" s="2">
        <v>5786.8146498548704</v>
      </c>
      <c r="AO4475" s="2">
        <v>5647.5114732444499</v>
      </c>
      <c r="AP4475" s="2">
        <v>9536.3889456589404</v>
      </c>
    </row>
    <row r="4476" spans="1:42" ht="14.5" x14ac:dyDescent="0.35">
      <c r="A4476" s="2" t="s">
        <v>29717</v>
      </c>
      <c r="B4476" s="2">
        <v>163.07521759412199</v>
      </c>
      <c r="C4476" s="2">
        <v>5.01</v>
      </c>
      <c r="D4476" s="2" t="s">
        <v>34</v>
      </c>
      <c r="E4476" s="2" t="s">
        <v>29718</v>
      </c>
      <c r="F4476" s="2">
        <v>266256</v>
      </c>
      <c r="G4476" s="3" t="str">
        <f>HYPERLINK("http://funmeta.oebiotech.com/network/266256", "http://funmeta.oebiotech.com/network/266256")</f>
        <v>http://funmeta.oebiotech.com/network/266256</v>
      </c>
      <c r="H4476" s="2"/>
      <c r="I4476" s="2">
        <v>24105</v>
      </c>
      <c r="J4476" s="2"/>
      <c r="K4476" s="2"/>
      <c r="L4476" s="2"/>
      <c r="M4476" s="2"/>
      <c r="N4476" s="2"/>
      <c r="O4476" s="2">
        <v>80652</v>
      </c>
      <c r="P4476" s="2"/>
      <c r="Q4476" s="2" t="s">
        <v>29719</v>
      </c>
      <c r="R4476" s="2" t="s">
        <v>29720</v>
      </c>
      <c r="S4476" s="2" t="s">
        <v>115</v>
      </c>
      <c r="T4476" s="2" t="s">
        <v>7439</v>
      </c>
      <c r="U4476" s="2" t="s">
        <v>41</v>
      </c>
      <c r="V4476" s="2" t="s">
        <v>59</v>
      </c>
      <c r="W4476" s="2">
        <v>38.9</v>
      </c>
      <c r="X4476" s="2">
        <v>0</v>
      </c>
      <c r="Y4476" s="2" t="s">
        <v>141</v>
      </c>
      <c r="Z4476" s="2" t="s">
        <v>29721</v>
      </c>
      <c r="AA4476" s="2">
        <v>-0.76854975703921302</v>
      </c>
      <c r="AB4476" s="2">
        <v>0.141053264376721</v>
      </c>
      <c r="AC4476" s="2">
        <v>55885.959518051597</v>
      </c>
      <c r="AD4476" s="2">
        <v>58803.205624894603</v>
      </c>
      <c r="AE4476" s="2">
        <v>53418.897146465402</v>
      </c>
      <c r="AF4476" s="2">
        <v>60364.120809201297</v>
      </c>
      <c r="AG4476" s="2">
        <v>54532.886932540299</v>
      </c>
      <c r="AH4476" s="2">
        <v>56405.929975765903</v>
      </c>
      <c r="AI4476" s="2">
        <v>55012.095925802401</v>
      </c>
      <c r="AJ4476" s="2">
        <v>55581.826318534302</v>
      </c>
      <c r="AK4476" s="2">
        <v>58937.974897409302</v>
      </c>
      <c r="AL4476" s="2">
        <v>59618.2600178551</v>
      </c>
      <c r="AM4476" s="2">
        <v>56873.067777550699</v>
      </c>
      <c r="AN4476" s="2">
        <v>65037.478359994901</v>
      </c>
      <c r="AO4476" s="2">
        <v>53384.943415316397</v>
      </c>
      <c r="AP4476" s="2">
        <v>58967.509281241502</v>
      </c>
    </row>
    <row r="4477" spans="1:42" ht="14.5" x14ac:dyDescent="0.35">
      <c r="A4477" s="2" t="s">
        <v>29722</v>
      </c>
      <c r="B4477" s="2">
        <v>328.247992388309</v>
      </c>
      <c r="C4477" s="2">
        <v>8.7834500000000002</v>
      </c>
      <c r="D4477" s="2" t="s">
        <v>34</v>
      </c>
      <c r="E4477" s="2" t="s">
        <v>29723</v>
      </c>
      <c r="F4477" s="2">
        <v>3066</v>
      </c>
      <c r="G4477" s="3" t="str">
        <f>HYPERLINK("http://funmeta.oebiotech.com/network/3066", "http://funmeta.oebiotech.com/network/3066")</f>
        <v>http://funmeta.oebiotech.com/network/3066</v>
      </c>
      <c r="H4477" s="2"/>
      <c r="I4477" s="2">
        <v>35362</v>
      </c>
      <c r="J4477" s="2" t="s">
        <v>29724</v>
      </c>
      <c r="K4477" s="2"/>
      <c r="L4477" s="2"/>
      <c r="M4477" s="2"/>
      <c r="N4477" s="2"/>
      <c r="O4477" s="2">
        <v>5282870</v>
      </c>
      <c r="P4477" s="2" t="s">
        <v>29725</v>
      </c>
      <c r="Q4477" s="2" t="s">
        <v>29726</v>
      </c>
      <c r="R4477" s="2" t="s">
        <v>29727</v>
      </c>
      <c r="S4477" s="2" t="s">
        <v>50</v>
      </c>
      <c r="T4477" s="2" t="s">
        <v>229</v>
      </c>
      <c r="U4477" s="2" t="s">
        <v>1360</v>
      </c>
      <c r="V4477" s="2" t="s">
        <v>59</v>
      </c>
      <c r="W4477" s="2">
        <v>38.700000000000003</v>
      </c>
      <c r="X4477" s="2">
        <v>0</v>
      </c>
      <c r="Y4477" s="2" t="s">
        <v>43</v>
      </c>
      <c r="Z4477" s="2" t="s">
        <v>6441</v>
      </c>
      <c r="AA4477" s="2">
        <v>-0.78198182895506596</v>
      </c>
      <c r="AB4477" s="2">
        <v>0.141036146305201</v>
      </c>
      <c r="AC4477" s="2">
        <v>5049.97203453776</v>
      </c>
      <c r="AD4477" s="2">
        <v>3499.8916238380202</v>
      </c>
      <c r="AE4477" s="2">
        <v>4449.3276971162104</v>
      </c>
      <c r="AF4477" s="2">
        <v>5452.0866679303899</v>
      </c>
      <c r="AG4477" s="2">
        <v>4510.7937427531597</v>
      </c>
      <c r="AH4477" s="2">
        <v>5213.34688087837</v>
      </c>
      <c r="AI4477" s="2">
        <v>5339.4116392986398</v>
      </c>
      <c r="AJ4477" s="2">
        <v>5334.8655792498002</v>
      </c>
      <c r="AK4477" s="2">
        <v>3856.3009682612101</v>
      </c>
      <c r="AL4477" s="2">
        <v>4435.8343408384299</v>
      </c>
      <c r="AM4477" s="2">
        <v>3530.9937074424101</v>
      </c>
      <c r="AN4477" s="2">
        <v>3532.9170062316098</v>
      </c>
      <c r="AO4477" s="2">
        <v>2721.82365763809</v>
      </c>
      <c r="AP4477" s="2">
        <v>2921.4800626163601</v>
      </c>
    </row>
    <row r="4478" spans="1:42" ht="14.5" x14ac:dyDescent="0.35">
      <c r="A4478" s="2" t="s">
        <v>29728</v>
      </c>
      <c r="B4478" s="2">
        <v>478.29175162232701</v>
      </c>
      <c r="C4478" s="2">
        <v>10.113516666666699</v>
      </c>
      <c r="D4478" s="2" t="s">
        <v>34</v>
      </c>
      <c r="E4478" s="2" t="s">
        <v>29729</v>
      </c>
      <c r="F4478" s="2">
        <v>21172</v>
      </c>
      <c r="G4478" s="3" t="str">
        <f>HYPERLINK("http://funmeta.oebiotech.com/network/21172", "http://funmeta.oebiotech.com/network/21172")</f>
        <v>http://funmeta.oebiotech.com/network/21172</v>
      </c>
      <c r="H4478" s="2" t="s">
        <v>29730</v>
      </c>
      <c r="I4478" s="2">
        <v>62292</v>
      </c>
      <c r="J4478" s="2" t="s">
        <v>29731</v>
      </c>
      <c r="K4478" s="2">
        <v>83058</v>
      </c>
      <c r="L4478" s="2"/>
      <c r="M4478" s="2"/>
      <c r="N4478" s="2"/>
      <c r="O4478" s="2">
        <v>52925130</v>
      </c>
      <c r="P4478" s="2" t="s">
        <v>29732</v>
      </c>
      <c r="Q4478" s="2" t="s">
        <v>29733</v>
      </c>
      <c r="R4478" s="2" t="s">
        <v>29734</v>
      </c>
      <c r="S4478" s="2" t="s">
        <v>50</v>
      </c>
      <c r="T4478" s="2" t="s">
        <v>51</v>
      </c>
      <c r="U4478" s="2" t="s">
        <v>257</v>
      </c>
      <c r="V4478" s="2" t="s">
        <v>42</v>
      </c>
      <c r="W4478" s="2">
        <v>52.5</v>
      </c>
      <c r="X4478" s="2">
        <v>82.5</v>
      </c>
      <c r="Y4478" s="2" t="s">
        <v>394</v>
      </c>
      <c r="Z4478" s="2" t="s">
        <v>29735</v>
      </c>
      <c r="AA4478" s="2">
        <v>-2.2296767564181601</v>
      </c>
      <c r="AB4478" s="2">
        <v>0.14095525509312301</v>
      </c>
      <c r="AC4478" s="2">
        <v>10634.5418991149</v>
      </c>
      <c r="AD4478" s="2">
        <v>12679.531210086099</v>
      </c>
      <c r="AE4478" s="2">
        <v>11110.3106632452</v>
      </c>
      <c r="AF4478" s="2">
        <v>11352.4925909843</v>
      </c>
      <c r="AG4478" s="2">
        <v>10416.829491639601</v>
      </c>
      <c r="AH4478" s="2">
        <v>10144.1437740294</v>
      </c>
      <c r="AI4478" s="2">
        <v>10443.0150766114</v>
      </c>
      <c r="AJ4478" s="2">
        <v>10340.4597981796</v>
      </c>
      <c r="AK4478" s="2">
        <v>15158.6716863783</v>
      </c>
      <c r="AL4478" s="2">
        <v>14381.726632159</v>
      </c>
      <c r="AM4478" s="2">
        <v>12979.372610733</v>
      </c>
      <c r="AN4478" s="2">
        <v>10588.316468102201</v>
      </c>
      <c r="AO4478" s="2">
        <v>11396.985744383999</v>
      </c>
      <c r="AP4478" s="2">
        <v>11572.114118760301</v>
      </c>
    </row>
    <row r="4479" spans="1:42" ht="14.5" x14ac:dyDescent="0.35">
      <c r="A4479" s="2" t="s">
        <v>29736</v>
      </c>
      <c r="B4479" s="2">
        <v>271.19140835177001</v>
      </c>
      <c r="C4479" s="2">
        <v>9.3915166666666696</v>
      </c>
      <c r="D4479" s="2" t="s">
        <v>70</v>
      </c>
      <c r="E4479" s="2" t="s">
        <v>29737</v>
      </c>
      <c r="F4479" s="2">
        <v>53672</v>
      </c>
      <c r="G4479" s="3" t="str">
        <f>HYPERLINK("http://funmeta.oebiotech.com/network/53672", "http://funmeta.oebiotech.com/network/53672")</f>
        <v>http://funmeta.oebiotech.com/network/53672</v>
      </c>
      <c r="H4479" s="2" t="s">
        <v>29738</v>
      </c>
      <c r="I4479" s="2">
        <v>1304</v>
      </c>
      <c r="J4479" s="2"/>
      <c r="K4479" s="2">
        <v>35677</v>
      </c>
      <c r="L4479" s="2"/>
      <c r="M4479" s="2"/>
      <c r="N4479" s="2"/>
      <c r="O4479" s="2">
        <v>2366</v>
      </c>
      <c r="P4479" s="2" t="s">
        <v>29739</v>
      </c>
      <c r="Q4479" s="2" t="s">
        <v>29740</v>
      </c>
      <c r="R4479" s="2" t="s">
        <v>29741</v>
      </c>
      <c r="S4479" s="2" t="s">
        <v>1677</v>
      </c>
      <c r="T4479" s="2" t="s">
        <v>1678</v>
      </c>
      <c r="U4479" s="2" t="s">
        <v>1679</v>
      </c>
      <c r="V4479" s="2" t="s">
        <v>59</v>
      </c>
      <c r="W4479" s="2">
        <v>38.700000000000003</v>
      </c>
      <c r="X4479" s="2">
        <v>0</v>
      </c>
      <c r="Y4479" s="2" t="s">
        <v>560</v>
      </c>
      <c r="Z4479" s="2" t="s">
        <v>29742</v>
      </c>
      <c r="AA4479" s="2">
        <v>-5.1873791615026104</v>
      </c>
      <c r="AB4479" s="2">
        <v>0.14092986617386299</v>
      </c>
      <c r="AC4479" s="2">
        <v>3183.2007949519598</v>
      </c>
      <c r="AD4479" s="2">
        <v>4562.6184662706401</v>
      </c>
      <c r="AE4479" s="2">
        <v>3032.5858343601699</v>
      </c>
      <c r="AF4479" s="2">
        <v>3514.99670491598</v>
      </c>
      <c r="AG4479" s="2">
        <v>3264.5097753599198</v>
      </c>
      <c r="AH4479" s="2">
        <v>3112.9309963077199</v>
      </c>
      <c r="AI4479" s="2">
        <v>3177.8913214069698</v>
      </c>
      <c r="AJ4479" s="2">
        <v>2996.2901373609998</v>
      </c>
      <c r="AK4479" s="2">
        <v>4547.30607848405</v>
      </c>
      <c r="AL4479" s="2">
        <v>5068.7354341046002</v>
      </c>
      <c r="AM4479" s="2">
        <v>4568.0531995761703</v>
      </c>
      <c r="AN4479" s="2">
        <v>4566.0129503753396</v>
      </c>
      <c r="AO4479" s="2">
        <v>4535.0806283314096</v>
      </c>
      <c r="AP4479" s="2">
        <v>4090.5225067523002</v>
      </c>
    </row>
    <row r="4480" spans="1:42" ht="14.5" x14ac:dyDescent="0.35">
      <c r="A4480" s="2" t="s">
        <v>29743</v>
      </c>
      <c r="B4480" s="2">
        <v>278.03296836505302</v>
      </c>
      <c r="C4480" s="2">
        <v>1.64625</v>
      </c>
      <c r="D4480" s="2" t="s">
        <v>34</v>
      </c>
      <c r="E4480" s="2" t="s">
        <v>29744</v>
      </c>
      <c r="F4480" s="2">
        <v>64765</v>
      </c>
      <c r="G4480" s="3" t="str">
        <f>HYPERLINK("http://funmeta.oebiotech.com/network/64765", "http://funmeta.oebiotech.com/network/64765")</f>
        <v>http://funmeta.oebiotech.com/network/64765</v>
      </c>
      <c r="H4480" s="2" t="s">
        <v>29745</v>
      </c>
      <c r="I4480" s="2">
        <v>96064</v>
      </c>
      <c r="J4480" s="2"/>
      <c r="K4480" s="2">
        <v>90242</v>
      </c>
      <c r="L4480" s="2"/>
      <c r="M4480" s="2"/>
      <c r="N4480" s="2"/>
      <c r="O4480" s="2">
        <v>102261219</v>
      </c>
      <c r="P4480" s="2" t="s">
        <v>29746</v>
      </c>
      <c r="Q4480" s="2" t="s">
        <v>29747</v>
      </c>
      <c r="R4480" s="2" t="s">
        <v>29748</v>
      </c>
      <c r="S4480" s="2" t="s">
        <v>115</v>
      </c>
      <c r="T4480" s="2" t="s">
        <v>116</v>
      </c>
      <c r="U4480" s="2" t="s">
        <v>117</v>
      </c>
      <c r="V4480" s="2" t="s">
        <v>59</v>
      </c>
      <c r="W4480" s="2">
        <v>38.4</v>
      </c>
      <c r="X4480" s="2">
        <v>0</v>
      </c>
      <c r="Y4480" s="2" t="s">
        <v>43</v>
      </c>
      <c r="Z4480" s="2" t="s">
        <v>29749</v>
      </c>
      <c r="AA4480" s="2">
        <v>0.26631469247690098</v>
      </c>
      <c r="AB4480" s="2">
        <v>0.14090594945465501</v>
      </c>
      <c r="AC4480" s="2">
        <v>3681.1837864919498</v>
      </c>
      <c r="AD4480" s="2">
        <v>2269.90952758085</v>
      </c>
      <c r="AE4480" s="2">
        <v>3213.9383807976101</v>
      </c>
      <c r="AF4480" s="2">
        <v>3884.2126366848302</v>
      </c>
      <c r="AG4480" s="2">
        <v>3401.53056981294</v>
      </c>
      <c r="AH4480" s="2">
        <v>4110.9027494411803</v>
      </c>
      <c r="AI4480" s="2">
        <v>3650.3610670631701</v>
      </c>
      <c r="AJ4480" s="2">
        <v>3826.1573151519901</v>
      </c>
      <c r="AK4480" s="2">
        <v>2032.0278001250699</v>
      </c>
      <c r="AL4480" s="2">
        <v>2021.7908030890201</v>
      </c>
      <c r="AM4480" s="2">
        <v>2767.39369906296</v>
      </c>
      <c r="AN4480" s="2">
        <v>2438.7528917255399</v>
      </c>
      <c r="AO4480" s="2">
        <v>2305.6247732648899</v>
      </c>
      <c r="AP4480" s="2">
        <v>2053.8671982176002</v>
      </c>
    </row>
    <row r="4481" spans="1:42" ht="14.5" x14ac:dyDescent="0.35">
      <c r="A4481" s="2" t="s">
        <v>29750</v>
      </c>
      <c r="B4481" s="2">
        <v>285.169490512903</v>
      </c>
      <c r="C4481" s="2">
        <v>11.1218</v>
      </c>
      <c r="D4481" s="2" t="s">
        <v>34</v>
      </c>
      <c r="E4481" s="2" t="s">
        <v>29751</v>
      </c>
      <c r="F4481" s="2">
        <v>10269</v>
      </c>
      <c r="G4481" s="3" t="str">
        <f>HYPERLINK("http://funmeta.oebiotech.com/network/10269", "http://funmeta.oebiotech.com/network/10269")</f>
        <v>http://funmeta.oebiotech.com/network/10269</v>
      </c>
      <c r="H4481" s="2"/>
      <c r="I4481" s="2"/>
      <c r="J4481" s="2" t="s">
        <v>29752</v>
      </c>
      <c r="K4481" s="2">
        <v>78821</v>
      </c>
      <c r="L4481" s="2"/>
      <c r="M4481" s="2"/>
      <c r="N4481" s="2"/>
      <c r="O4481" s="2">
        <v>16066476</v>
      </c>
      <c r="P4481" s="2"/>
      <c r="Q4481" s="2" t="s">
        <v>29753</v>
      </c>
      <c r="R4481" s="2" t="s">
        <v>29754</v>
      </c>
      <c r="S4481" s="2" t="s">
        <v>79</v>
      </c>
      <c r="T4481" s="2" t="s">
        <v>80</v>
      </c>
      <c r="U4481" s="2" t="s">
        <v>81</v>
      </c>
      <c r="V4481" s="2" t="s">
        <v>59</v>
      </c>
      <c r="W4481" s="2">
        <v>44.8</v>
      </c>
      <c r="X4481" s="2">
        <v>28.5</v>
      </c>
      <c r="Y4481" s="2" t="s">
        <v>141</v>
      </c>
      <c r="Z4481" s="2" t="s">
        <v>29755</v>
      </c>
      <c r="AA4481" s="2">
        <v>-0.52879744335878398</v>
      </c>
      <c r="AB4481" s="2">
        <v>0.140857010395389</v>
      </c>
      <c r="AC4481" s="2">
        <v>6444.6291357831296</v>
      </c>
      <c r="AD4481" s="2">
        <v>7801.0468761679804</v>
      </c>
      <c r="AE4481" s="2">
        <v>6513.9840761591804</v>
      </c>
      <c r="AF4481" s="2">
        <v>6753.1541788089698</v>
      </c>
      <c r="AG4481" s="2">
        <v>6154.3861651493999</v>
      </c>
      <c r="AH4481" s="2">
        <v>6619.0494956148204</v>
      </c>
      <c r="AI4481" s="2">
        <v>6271.11957638083</v>
      </c>
      <c r="AJ4481" s="2">
        <v>6356.08132258559</v>
      </c>
      <c r="AK4481" s="2">
        <v>7492.14316227171</v>
      </c>
      <c r="AL4481" s="2">
        <v>7854.0243396830801</v>
      </c>
      <c r="AM4481" s="2">
        <v>7981.7366203666397</v>
      </c>
      <c r="AN4481" s="2">
        <v>7896.6675730854604</v>
      </c>
      <c r="AO4481" s="2">
        <v>7983.5764225658704</v>
      </c>
      <c r="AP4481" s="2">
        <v>7598.1331390350997</v>
      </c>
    </row>
    <row r="4482" spans="1:42" ht="14.5" x14ac:dyDescent="0.35">
      <c r="A4482" s="2" t="s">
        <v>29756</v>
      </c>
      <c r="B4482" s="2">
        <v>583.23996737459697</v>
      </c>
      <c r="C4482" s="2">
        <v>6.3677999999999999</v>
      </c>
      <c r="D4482" s="2" t="s">
        <v>70</v>
      </c>
      <c r="E4482" s="2" t="s">
        <v>29757</v>
      </c>
      <c r="F4482" s="2">
        <v>52653</v>
      </c>
      <c r="G4482" s="3" t="str">
        <f>HYPERLINK("http://funmeta.oebiotech.com/network/52653", "http://funmeta.oebiotech.com/network/52653")</f>
        <v>http://funmeta.oebiotech.com/network/52653</v>
      </c>
      <c r="H4482" s="2" t="s">
        <v>29758</v>
      </c>
      <c r="I4482" s="2"/>
      <c r="J4482" s="2"/>
      <c r="K4482" s="2">
        <v>59040</v>
      </c>
      <c r="L4482" s="2"/>
      <c r="M4482" s="2"/>
      <c r="N4482" s="2"/>
      <c r="O4482" s="2"/>
      <c r="P4482" s="2" t="s">
        <v>29759</v>
      </c>
      <c r="Q4482" s="2" t="s">
        <v>29760</v>
      </c>
      <c r="R4482" s="2" t="s">
        <v>29761</v>
      </c>
      <c r="S4482" s="2" t="s">
        <v>115</v>
      </c>
      <c r="T4482" s="2" t="s">
        <v>10885</v>
      </c>
      <c r="U4482" s="2" t="s">
        <v>41</v>
      </c>
      <c r="V4482" s="2" t="s">
        <v>42</v>
      </c>
      <c r="W4482" s="2">
        <v>46.1</v>
      </c>
      <c r="X4482" s="2">
        <v>47.6</v>
      </c>
      <c r="Y4482" s="2" t="s">
        <v>751</v>
      </c>
      <c r="Z4482" s="2" t="s">
        <v>29762</v>
      </c>
      <c r="AA4482" s="2">
        <v>-1.6354080236556501</v>
      </c>
      <c r="AB4482" s="2">
        <v>0.140766347135552</v>
      </c>
      <c r="AC4482" s="2">
        <v>14481.0309111484</v>
      </c>
      <c r="AD4482" s="2">
        <v>11583.9605789423</v>
      </c>
      <c r="AE4482" s="2">
        <v>10621.728410592899</v>
      </c>
      <c r="AF4482" s="2">
        <v>15008.616503700499</v>
      </c>
      <c r="AG4482" s="2">
        <v>12582.849336941499</v>
      </c>
      <c r="AH4482" s="2">
        <v>13235.046684655799</v>
      </c>
      <c r="AI4482" s="2">
        <v>20934.225891811901</v>
      </c>
      <c r="AJ4482" s="2">
        <v>14503.718639188</v>
      </c>
      <c r="AK4482" s="2">
        <v>8111.6678318472505</v>
      </c>
      <c r="AL4482" s="2">
        <v>11471.7904726623</v>
      </c>
      <c r="AM4482" s="2">
        <v>14754.5176140781</v>
      </c>
      <c r="AN4482" s="2">
        <v>9531.1761493792601</v>
      </c>
      <c r="AO4482" s="2">
        <v>12382.311034304401</v>
      </c>
      <c r="AP4482" s="2">
        <v>13252.3003713827</v>
      </c>
    </row>
    <row r="4483" spans="1:42" ht="14.5" x14ac:dyDescent="0.35">
      <c r="A4483" s="2" t="s">
        <v>29763</v>
      </c>
      <c r="B4483" s="2">
        <v>415.23349270823002</v>
      </c>
      <c r="C4483" s="2">
        <v>6.8197000000000001</v>
      </c>
      <c r="D4483" s="2" t="s">
        <v>70</v>
      </c>
      <c r="E4483" s="2" t="s">
        <v>29764</v>
      </c>
      <c r="F4483" s="2">
        <v>53315</v>
      </c>
      <c r="G4483" s="3" t="str">
        <f>HYPERLINK("http://funmeta.oebiotech.com/network/53315", "http://funmeta.oebiotech.com/network/53315")</f>
        <v>http://funmeta.oebiotech.com/network/53315</v>
      </c>
      <c r="H4483" s="2" t="s">
        <v>29765</v>
      </c>
      <c r="I4483" s="2">
        <v>1936</v>
      </c>
      <c r="J4483" s="2"/>
      <c r="K4483" s="2">
        <v>8207</v>
      </c>
      <c r="L4483" s="2" t="s">
        <v>29766</v>
      </c>
      <c r="M4483" s="2"/>
      <c r="N4483" s="2"/>
      <c r="O4483" s="2">
        <v>5910</v>
      </c>
      <c r="P4483" s="2" t="s">
        <v>29767</v>
      </c>
      <c r="Q4483" s="2" t="s">
        <v>29768</v>
      </c>
      <c r="R4483" s="2" t="s">
        <v>29769</v>
      </c>
      <c r="S4483" s="2" t="s">
        <v>39</v>
      </c>
      <c r="T4483" s="2" t="s">
        <v>41</v>
      </c>
      <c r="U4483" s="2" t="s">
        <v>41</v>
      </c>
      <c r="V4483" s="2" t="s">
        <v>59</v>
      </c>
      <c r="W4483" s="2">
        <v>38.9</v>
      </c>
      <c r="X4483" s="2">
        <v>0</v>
      </c>
      <c r="Y4483" s="2" t="s">
        <v>560</v>
      </c>
      <c r="Z4483" s="2" t="s">
        <v>29770</v>
      </c>
      <c r="AA4483" s="2">
        <v>-3.8112014047860701</v>
      </c>
      <c r="AB4483" s="2">
        <v>0.14067316386371101</v>
      </c>
      <c r="AC4483" s="2">
        <v>2014.1272831215499</v>
      </c>
      <c r="AD4483" s="2">
        <v>3916.6355980307899</v>
      </c>
      <c r="AE4483" s="2">
        <v>1847.3657170548099</v>
      </c>
      <c r="AF4483" s="2">
        <v>2364.4491475201398</v>
      </c>
      <c r="AG4483" s="2">
        <v>2524.0423867698</v>
      </c>
      <c r="AH4483" s="2">
        <v>1693.85489790869</v>
      </c>
      <c r="AI4483" s="2">
        <v>2058.5692098254999</v>
      </c>
      <c r="AJ4483" s="2">
        <v>1596.48233965036</v>
      </c>
      <c r="AK4483" s="2">
        <v>3312.0811550203498</v>
      </c>
      <c r="AL4483" s="2">
        <v>6628.90798505366</v>
      </c>
      <c r="AM4483" s="2">
        <v>3674.8430610840201</v>
      </c>
      <c r="AN4483" s="2">
        <v>2331.7838819829099</v>
      </c>
      <c r="AO4483" s="2">
        <v>4466.4604161081797</v>
      </c>
      <c r="AP4483" s="2">
        <v>3085.7370889356098</v>
      </c>
    </row>
    <row r="4484" spans="1:42" ht="14.5" x14ac:dyDescent="0.35">
      <c r="A4484" s="2" t="s">
        <v>29771</v>
      </c>
      <c r="B4484" s="2">
        <v>241.00178879587901</v>
      </c>
      <c r="C4484" s="2">
        <v>0.55359999999999998</v>
      </c>
      <c r="D4484" s="2" t="s">
        <v>34</v>
      </c>
      <c r="E4484" s="2" t="s">
        <v>29772</v>
      </c>
      <c r="F4484" s="2">
        <v>212742</v>
      </c>
      <c r="G4484" s="3" t="str">
        <f>HYPERLINK("http://funmeta.oebiotech.com/network/212742", "http://funmeta.oebiotech.com/network/212742")</f>
        <v>http://funmeta.oebiotech.com/network/212742</v>
      </c>
      <c r="H4484" s="2" t="s">
        <v>29773</v>
      </c>
      <c r="I4484" s="2">
        <v>45247</v>
      </c>
      <c r="J4484" s="2"/>
      <c r="K4484" s="2"/>
      <c r="L4484" s="2"/>
      <c r="M4484" s="2"/>
      <c r="N4484" s="2"/>
      <c r="O4484" s="2">
        <v>2061</v>
      </c>
      <c r="P4484" s="2" t="s">
        <v>29774</v>
      </c>
      <c r="Q4484" s="2" t="s">
        <v>29775</v>
      </c>
      <c r="R4484" s="2" t="s">
        <v>29776</v>
      </c>
      <c r="S4484" s="2" t="s">
        <v>148</v>
      </c>
      <c r="T4484" s="2" t="s">
        <v>392</v>
      </c>
      <c r="U4484" s="2" t="s">
        <v>8632</v>
      </c>
      <c r="V4484" s="2" t="s">
        <v>59</v>
      </c>
      <c r="W4484" s="2">
        <v>36.799999999999997</v>
      </c>
      <c r="X4484" s="2">
        <v>0</v>
      </c>
      <c r="Y4484" s="2" t="s">
        <v>340</v>
      </c>
      <c r="Z4484" s="2" t="s">
        <v>29777</v>
      </c>
      <c r="AA4484" s="2">
        <v>3.9035022876058201</v>
      </c>
      <c r="AB4484" s="2">
        <v>0.14067194040714401</v>
      </c>
      <c r="AC4484" s="2">
        <v>2337.4858465861998</v>
      </c>
      <c r="AD4484" s="2">
        <v>978.69684021416799</v>
      </c>
      <c r="AE4484" s="2">
        <v>1943.35373214741</v>
      </c>
      <c r="AF4484" s="2">
        <v>2633.7341099965402</v>
      </c>
      <c r="AG4484" s="2">
        <v>2505.6348581923198</v>
      </c>
      <c r="AH4484" s="2">
        <v>2194.3989528055999</v>
      </c>
      <c r="AI4484" s="2">
        <v>2170.9522072796699</v>
      </c>
      <c r="AJ4484" s="2">
        <v>2576.8412190956901</v>
      </c>
      <c r="AK4484" s="2">
        <v>1164.8264957873901</v>
      </c>
      <c r="AL4484" s="2">
        <v>701.54300902255704</v>
      </c>
      <c r="AM4484" s="2">
        <v>860.50451787891802</v>
      </c>
      <c r="AN4484" s="2">
        <v>1129.27829922301</v>
      </c>
      <c r="AO4484" s="2">
        <v>1085.3876142107499</v>
      </c>
      <c r="AP4484" s="2">
        <v>930.64110516238497</v>
      </c>
    </row>
    <row r="4485" spans="1:42" ht="14.5" x14ac:dyDescent="0.35">
      <c r="A4485" s="2" t="s">
        <v>29778</v>
      </c>
      <c r="B4485" s="2">
        <v>491.14025280984998</v>
      </c>
      <c r="C4485" s="2">
        <v>2.8180833333333299</v>
      </c>
      <c r="D4485" s="2" t="s">
        <v>70</v>
      </c>
      <c r="E4485" s="2" t="s">
        <v>29779</v>
      </c>
      <c r="F4485" s="2">
        <v>212656</v>
      </c>
      <c r="G4485" s="3" t="str">
        <f>HYPERLINK("http://funmeta.oebiotech.com/network/212656", "http://funmeta.oebiotech.com/network/212656")</f>
        <v>http://funmeta.oebiotech.com/network/212656</v>
      </c>
      <c r="H4485" s="2" t="s">
        <v>29780</v>
      </c>
      <c r="I4485" s="2"/>
      <c r="J4485" s="2"/>
      <c r="K4485" s="2"/>
      <c r="L4485" s="2"/>
      <c r="M4485" s="2"/>
      <c r="N4485" s="2"/>
      <c r="O4485" s="2">
        <v>87604756</v>
      </c>
      <c r="P4485" s="2"/>
      <c r="Q4485" s="2" t="s">
        <v>29781</v>
      </c>
      <c r="R4485" s="2" t="s">
        <v>29782</v>
      </c>
      <c r="S4485" s="2" t="s">
        <v>41</v>
      </c>
      <c r="T4485" s="2" t="s">
        <v>41</v>
      </c>
      <c r="U4485" s="2" t="s">
        <v>41</v>
      </c>
      <c r="V4485" s="2" t="s">
        <v>59</v>
      </c>
      <c r="W4485" s="2">
        <v>38.5</v>
      </c>
      <c r="X4485" s="2">
        <v>0</v>
      </c>
      <c r="Y4485" s="2" t="s">
        <v>560</v>
      </c>
      <c r="Z4485" s="2" t="s">
        <v>29783</v>
      </c>
      <c r="AA4485" s="2">
        <v>-0.76466839709261103</v>
      </c>
      <c r="AB4485" s="2">
        <v>0.14065749126034799</v>
      </c>
      <c r="AC4485" s="2">
        <v>8296.7689846416306</v>
      </c>
      <c r="AD4485" s="2">
        <v>6357.0622750071398</v>
      </c>
      <c r="AE4485" s="2">
        <v>8889.0324427912492</v>
      </c>
      <c r="AF4485" s="2">
        <v>7191.2927237103104</v>
      </c>
      <c r="AG4485" s="2">
        <v>9130.7662694643604</v>
      </c>
      <c r="AH4485" s="2">
        <v>8366.6957798111907</v>
      </c>
      <c r="AI4485" s="2">
        <v>10095.795186532599</v>
      </c>
      <c r="AJ4485" s="2">
        <v>6107.0315055400597</v>
      </c>
      <c r="AK4485" s="2">
        <v>6810.26128658365</v>
      </c>
      <c r="AL4485" s="2">
        <v>6135.1053177919803</v>
      </c>
      <c r="AM4485" s="2">
        <v>5033.4873431073902</v>
      </c>
      <c r="AN4485" s="2">
        <v>6878.19389276944</v>
      </c>
      <c r="AO4485" s="2">
        <v>7190.8830163743196</v>
      </c>
      <c r="AP4485" s="2">
        <v>6094.4427934160803</v>
      </c>
    </row>
    <row r="4486" spans="1:42" ht="14.5" x14ac:dyDescent="0.35">
      <c r="A4486" s="2" t="s">
        <v>29784</v>
      </c>
      <c r="B4486" s="2">
        <v>765.437859408809</v>
      </c>
      <c r="C4486" s="2">
        <v>10.6985333333333</v>
      </c>
      <c r="D4486" s="2" t="s">
        <v>34</v>
      </c>
      <c r="E4486" s="2" t="s">
        <v>29785</v>
      </c>
      <c r="F4486" s="2">
        <v>61743</v>
      </c>
      <c r="G4486" s="3" t="str">
        <f>HYPERLINK("http://funmeta.oebiotech.com/network/61743", "http://funmeta.oebiotech.com/network/61743")</f>
        <v>http://funmeta.oebiotech.com/network/61743</v>
      </c>
      <c r="H4486" s="2" t="s">
        <v>29786</v>
      </c>
      <c r="I4486" s="2">
        <v>93065</v>
      </c>
      <c r="J4486" s="2"/>
      <c r="K4486" s="2"/>
      <c r="L4486" s="2"/>
      <c r="M4486" s="2"/>
      <c r="N4486" s="2"/>
      <c r="O4486" s="2">
        <v>73820915</v>
      </c>
      <c r="P4486" s="2" t="s">
        <v>29787</v>
      </c>
      <c r="Q4486" s="2" t="s">
        <v>29788</v>
      </c>
      <c r="R4486" s="2" t="s">
        <v>29789</v>
      </c>
      <c r="S4486" s="2" t="s">
        <v>50</v>
      </c>
      <c r="T4486" s="2" t="s">
        <v>124</v>
      </c>
      <c r="U4486" s="2" t="s">
        <v>523</v>
      </c>
      <c r="V4486" s="2" t="s">
        <v>42</v>
      </c>
      <c r="W4486" s="2">
        <v>51.3</v>
      </c>
      <c r="X4486" s="2">
        <v>70</v>
      </c>
      <c r="Y4486" s="2" t="s">
        <v>470</v>
      </c>
      <c r="Z4486" s="2" t="s">
        <v>29790</v>
      </c>
      <c r="AA4486" s="2">
        <v>-2.2943515467659901</v>
      </c>
      <c r="AB4486" s="2">
        <v>0.140603379338614</v>
      </c>
      <c r="AC4486" s="2">
        <v>66339.266211040303</v>
      </c>
      <c r="AD4486" s="2">
        <v>70411.053912376505</v>
      </c>
      <c r="AE4486" s="2">
        <v>70816.365334056405</v>
      </c>
      <c r="AF4486" s="2">
        <v>69847.071404933406</v>
      </c>
      <c r="AG4486" s="2">
        <v>68221.820855215701</v>
      </c>
      <c r="AH4486" s="2">
        <v>59061.490062535297</v>
      </c>
      <c r="AI4486" s="2">
        <v>65986.3444509111</v>
      </c>
      <c r="AJ4486" s="2">
        <v>64102.505158590102</v>
      </c>
      <c r="AK4486" s="2">
        <v>66670.871321902305</v>
      </c>
      <c r="AL4486" s="2">
        <v>67372.120059849898</v>
      </c>
      <c r="AM4486" s="2">
        <v>58013.588113476799</v>
      </c>
      <c r="AN4486" s="2">
        <v>71971.605428901705</v>
      </c>
      <c r="AO4486" s="2">
        <v>78209.597923655194</v>
      </c>
      <c r="AP4486" s="2">
        <v>80228.540626473099</v>
      </c>
    </row>
    <row r="4487" spans="1:42" ht="14.5" x14ac:dyDescent="0.35">
      <c r="A4487" s="2" t="s">
        <v>29791</v>
      </c>
      <c r="B4487" s="2">
        <v>443.16985023651898</v>
      </c>
      <c r="C4487" s="2">
        <v>4.5826500000000001</v>
      </c>
      <c r="D4487" s="2" t="s">
        <v>34</v>
      </c>
      <c r="E4487" s="2" t="s">
        <v>29792</v>
      </c>
      <c r="F4487" s="2">
        <v>28987</v>
      </c>
      <c r="G4487" s="3" t="str">
        <f>HYPERLINK("http://funmeta.oebiotech.com/network/28987", "http://funmeta.oebiotech.com/network/28987")</f>
        <v>http://funmeta.oebiotech.com/network/28987</v>
      </c>
      <c r="H4487" s="2"/>
      <c r="I4487" s="2"/>
      <c r="J4487" s="2" t="s">
        <v>29793</v>
      </c>
      <c r="K4487" s="2">
        <v>140078</v>
      </c>
      <c r="L4487" s="2"/>
      <c r="M4487" s="2"/>
      <c r="N4487" s="2"/>
      <c r="O4487" s="2">
        <v>44257136</v>
      </c>
      <c r="P4487" s="2"/>
      <c r="Q4487" s="2" t="s">
        <v>29794</v>
      </c>
      <c r="R4487" s="2" t="s">
        <v>29795</v>
      </c>
      <c r="S4487" s="2" t="s">
        <v>115</v>
      </c>
      <c r="T4487" s="2" t="s">
        <v>139</v>
      </c>
      <c r="U4487" s="2" t="s">
        <v>1552</v>
      </c>
      <c r="V4487" s="2" t="s">
        <v>59</v>
      </c>
      <c r="W4487" s="2">
        <v>46</v>
      </c>
      <c r="X4487" s="2">
        <v>37.5</v>
      </c>
      <c r="Y4487" s="2" t="s">
        <v>266</v>
      </c>
      <c r="Z4487" s="2" t="s">
        <v>29796</v>
      </c>
      <c r="AA4487" s="2">
        <v>-0.42155306966863798</v>
      </c>
      <c r="AB4487" s="2">
        <v>0.14057784403944101</v>
      </c>
      <c r="AC4487" s="2">
        <v>119859.404210024</v>
      </c>
      <c r="AD4487" s="2">
        <v>124650.274360312</v>
      </c>
      <c r="AE4487" s="2">
        <v>113856.519276263</v>
      </c>
      <c r="AF4487" s="2">
        <v>127429.105134535</v>
      </c>
      <c r="AG4487" s="2">
        <v>119435.70862098099</v>
      </c>
      <c r="AH4487" s="2">
        <v>110640.75916415</v>
      </c>
      <c r="AI4487" s="2">
        <v>122944.667963257</v>
      </c>
      <c r="AJ4487" s="2">
        <v>124849.66510096</v>
      </c>
      <c r="AK4487" s="2">
        <v>126497.06865547701</v>
      </c>
      <c r="AL4487" s="2">
        <v>121672.42640579501</v>
      </c>
      <c r="AM4487" s="2">
        <v>119942.114232219</v>
      </c>
      <c r="AN4487" s="2">
        <v>137808.941509678</v>
      </c>
      <c r="AO4487" s="2">
        <v>106128.543500285</v>
      </c>
      <c r="AP4487" s="2">
        <v>135852.551858419</v>
      </c>
    </row>
    <row r="4488" spans="1:42" ht="14.5" x14ac:dyDescent="0.35">
      <c r="A4488" s="2" t="s">
        <v>29797</v>
      </c>
      <c r="B4488" s="2">
        <v>555.28065112911497</v>
      </c>
      <c r="C4488" s="2">
        <v>8.2186333333333295</v>
      </c>
      <c r="D4488" s="2" t="s">
        <v>70</v>
      </c>
      <c r="E4488" s="2" t="s">
        <v>29798</v>
      </c>
      <c r="F4488" s="2">
        <v>3823</v>
      </c>
      <c r="G4488" s="3" t="str">
        <f>HYPERLINK("http://funmeta.oebiotech.com/network/3823", "http://funmeta.oebiotech.com/network/3823")</f>
        <v>http://funmeta.oebiotech.com/network/3823</v>
      </c>
      <c r="H4488" s="2"/>
      <c r="I4488" s="2"/>
      <c r="J4488" s="2" t="s">
        <v>29799</v>
      </c>
      <c r="K4488" s="2"/>
      <c r="L4488" s="2"/>
      <c r="M4488" s="2"/>
      <c r="N4488" s="2"/>
      <c r="O4488" s="2">
        <v>118713841</v>
      </c>
      <c r="P4488" s="2"/>
      <c r="Q4488" s="2" t="s">
        <v>29800</v>
      </c>
      <c r="R4488" s="2" t="s">
        <v>29801</v>
      </c>
      <c r="S4488" s="2" t="s">
        <v>50</v>
      </c>
      <c r="T4488" s="2" t="s">
        <v>229</v>
      </c>
      <c r="U4488" s="2" t="s">
        <v>766</v>
      </c>
      <c r="V4488" s="2" t="s">
        <v>59</v>
      </c>
      <c r="W4488" s="2">
        <v>37.799999999999997</v>
      </c>
      <c r="X4488" s="2">
        <v>0</v>
      </c>
      <c r="Y4488" s="2" t="s">
        <v>408</v>
      </c>
      <c r="Z4488" s="2" t="s">
        <v>23085</v>
      </c>
      <c r="AA4488" s="2">
        <v>-0.85180961408364297</v>
      </c>
      <c r="AB4488" s="2">
        <v>0.140501485118041</v>
      </c>
      <c r="AC4488" s="2">
        <v>2655.4406968777198</v>
      </c>
      <c r="AD4488" s="2">
        <v>1275.6651915233899</v>
      </c>
      <c r="AE4488" s="2">
        <v>2554.2438766607202</v>
      </c>
      <c r="AF4488" s="2">
        <v>3025.7848754916399</v>
      </c>
      <c r="AG4488" s="2">
        <v>2953.2273743557298</v>
      </c>
      <c r="AH4488" s="2">
        <v>2649.0518977317402</v>
      </c>
      <c r="AI4488" s="2">
        <v>2451.1321696346999</v>
      </c>
      <c r="AJ4488" s="2">
        <v>2299.2039873917702</v>
      </c>
      <c r="AK4488" s="2">
        <v>780.87263172144003</v>
      </c>
      <c r="AL4488" s="2">
        <v>1657.8869675824801</v>
      </c>
      <c r="AM4488" s="2">
        <v>1405.3789289026899</v>
      </c>
      <c r="AN4488" s="2">
        <v>1204.27208633894</v>
      </c>
      <c r="AO4488" s="2">
        <v>1270.69485418574</v>
      </c>
      <c r="AP4488" s="2">
        <v>1334.8856804090699</v>
      </c>
    </row>
    <row r="4489" spans="1:42" ht="14.5" x14ac:dyDescent="0.35">
      <c r="A4489" s="2" t="s">
        <v>29802</v>
      </c>
      <c r="B4489" s="2">
        <v>556.31718286327498</v>
      </c>
      <c r="C4489" s="2">
        <v>10.661899999999999</v>
      </c>
      <c r="D4489" s="2" t="s">
        <v>70</v>
      </c>
      <c r="E4489" s="2" t="s">
        <v>29803</v>
      </c>
      <c r="F4489" s="2">
        <v>206953</v>
      </c>
      <c r="G4489" s="3" t="str">
        <f>HYPERLINK("http://funmeta.oebiotech.com/network/206953", "http://funmeta.oebiotech.com/network/206953")</f>
        <v>http://funmeta.oebiotech.com/network/206953</v>
      </c>
      <c r="H4489" s="2" t="s">
        <v>29804</v>
      </c>
      <c r="I4489" s="2"/>
      <c r="J4489" s="2"/>
      <c r="K4489" s="2"/>
      <c r="L4489" s="2"/>
      <c r="M4489" s="2"/>
      <c r="N4489" s="2"/>
      <c r="O4489" s="2">
        <v>13491648</v>
      </c>
      <c r="P4489" s="2"/>
      <c r="Q4489" s="2" t="s">
        <v>29805</v>
      </c>
      <c r="R4489" s="2" t="s">
        <v>29806</v>
      </c>
      <c r="S4489" s="2" t="s">
        <v>1444</v>
      </c>
      <c r="T4489" s="2" t="s">
        <v>4040</v>
      </c>
      <c r="U4489" s="2" t="s">
        <v>8914</v>
      </c>
      <c r="V4489" s="2" t="s">
        <v>42</v>
      </c>
      <c r="W4489" s="2">
        <v>48.3</v>
      </c>
      <c r="X4489" s="2">
        <v>67.7</v>
      </c>
      <c r="Y4489" s="2" t="s">
        <v>751</v>
      </c>
      <c r="Z4489" s="2" t="s">
        <v>29807</v>
      </c>
      <c r="AA4489" s="2">
        <v>2.5581315209224802</v>
      </c>
      <c r="AB4489" s="2">
        <v>0.140465461343771</v>
      </c>
      <c r="AC4489" s="2">
        <v>2904.61743856781</v>
      </c>
      <c r="AD4489" s="2">
        <v>4398.0973389589599</v>
      </c>
      <c r="AE4489" s="2">
        <v>2338.4212640463602</v>
      </c>
      <c r="AF4489" s="2">
        <v>3285.4331052862899</v>
      </c>
      <c r="AG4489" s="2">
        <v>3172.87622172486</v>
      </c>
      <c r="AH4489" s="2">
        <v>2720.5309345253099</v>
      </c>
      <c r="AI4489" s="2">
        <v>2645.7962379742198</v>
      </c>
      <c r="AJ4489" s="2">
        <v>3264.6468678497999</v>
      </c>
      <c r="AK4489" s="2">
        <v>3964.01084955023</v>
      </c>
      <c r="AL4489" s="2">
        <v>4610.8469740929904</v>
      </c>
      <c r="AM4489" s="2">
        <v>3654.5000515479501</v>
      </c>
      <c r="AN4489" s="2">
        <v>4590.4971486373497</v>
      </c>
      <c r="AO4489" s="2">
        <v>5151.6474772409201</v>
      </c>
      <c r="AP4489" s="2">
        <v>4417.0815326843403</v>
      </c>
    </row>
    <row r="4490" spans="1:42" ht="14.5" x14ac:dyDescent="0.35">
      <c r="A4490" s="2" t="s">
        <v>29808</v>
      </c>
      <c r="B4490" s="2">
        <v>546.14399330172296</v>
      </c>
      <c r="C4490" s="2">
        <v>4.1337999999999999</v>
      </c>
      <c r="D4490" s="2" t="s">
        <v>70</v>
      </c>
      <c r="E4490" s="2" t="s">
        <v>29809</v>
      </c>
      <c r="F4490" s="2">
        <v>58666</v>
      </c>
      <c r="G4490" s="3" t="str">
        <f>HYPERLINK("http://funmeta.oebiotech.com/network/58666", "http://funmeta.oebiotech.com/network/58666")</f>
        <v>http://funmeta.oebiotech.com/network/58666</v>
      </c>
      <c r="H4490" s="2" t="s">
        <v>29810</v>
      </c>
      <c r="I4490" s="2">
        <v>90129</v>
      </c>
      <c r="J4490" s="2"/>
      <c r="K4490" s="2"/>
      <c r="L4490" s="2"/>
      <c r="M4490" s="2"/>
      <c r="N4490" s="2"/>
      <c r="O4490" s="2">
        <v>131751605</v>
      </c>
      <c r="P4490" s="2" t="s">
        <v>29811</v>
      </c>
      <c r="Q4490" s="2" t="s">
        <v>29812</v>
      </c>
      <c r="R4490" s="2" t="s">
        <v>29813</v>
      </c>
      <c r="S4490" s="2" t="s">
        <v>79</v>
      </c>
      <c r="T4490" s="2" t="s">
        <v>80</v>
      </c>
      <c r="U4490" s="2" t="s">
        <v>81</v>
      </c>
      <c r="V4490" s="2" t="s">
        <v>59</v>
      </c>
      <c r="W4490" s="2">
        <v>37.6</v>
      </c>
      <c r="X4490" s="2">
        <v>0</v>
      </c>
      <c r="Y4490" s="2" t="s">
        <v>118</v>
      </c>
      <c r="Z4490" s="2" t="s">
        <v>29814</v>
      </c>
      <c r="AA4490" s="2">
        <v>-4.4767940363944296</v>
      </c>
      <c r="AB4490" s="2">
        <v>0.14043797353867099</v>
      </c>
      <c r="AC4490" s="2">
        <v>7532.2481088514396</v>
      </c>
      <c r="AD4490" s="2">
        <v>9507.2893306060705</v>
      </c>
      <c r="AE4490" s="2">
        <v>7084.4229113501196</v>
      </c>
      <c r="AF4490" s="2">
        <v>6881.49893019704</v>
      </c>
      <c r="AG4490" s="2">
        <v>8443.1292080882904</v>
      </c>
      <c r="AH4490" s="2">
        <v>9823.7638350672496</v>
      </c>
      <c r="AI4490" s="2">
        <v>6295.4653931379798</v>
      </c>
      <c r="AJ4490" s="2">
        <v>6665.20837526793</v>
      </c>
      <c r="AK4490" s="2">
        <v>9701.5854345265907</v>
      </c>
      <c r="AL4490" s="2">
        <v>10122.4995656704</v>
      </c>
      <c r="AM4490" s="2">
        <v>9114.1344080318595</v>
      </c>
      <c r="AN4490" s="2">
        <v>10988.0352274944</v>
      </c>
      <c r="AO4490" s="2">
        <v>7653.7384532669003</v>
      </c>
      <c r="AP4490" s="2">
        <v>9463.7428946462496</v>
      </c>
    </row>
    <row r="4491" spans="1:42" ht="14.5" x14ac:dyDescent="0.35">
      <c r="A4491" s="2" t="s">
        <v>29815</v>
      </c>
      <c r="B4491" s="2">
        <v>377.02340654649697</v>
      </c>
      <c r="C4491" s="2">
        <v>9.2194500000000001</v>
      </c>
      <c r="D4491" s="2" t="s">
        <v>70</v>
      </c>
      <c r="E4491" s="2" t="s">
        <v>29816</v>
      </c>
      <c r="F4491" s="2">
        <v>256621</v>
      </c>
      <c r="G4491" s="3" t="str">
        <f>HYPERLINK("http://funmeta.oebiotech.com/network/256621", "http://funmeta.oebiotech.com/network/256621")</f>
        <v>http://funmeta.oebiotech.com/network/256621</v>
      </c>
      <c r="H4491" s="2" t="s">
        <v>29817</v>
      </c>
      <c r="I4491" s="2"/>
      <c r="J4491" s="2"/>
      <c r="K4491" s="2"/>
      <c r="L4491" s="2"/>
      <c r="M4491" s="2"/>
      <c r="N4491" s="2"/>
      <c r="O4491" s="2">
        <v>3015907</v>
      </c>
      <c r="P4491" s="2"/>
      <c r="Q4491" s="2" t="s">
        <v>29818</v>
      </c>
      <c r="R4491" s="2" t="s">
        <v>29819</v>
      </c>
      <c r="S4491" s="2" t="s">
        <v>79</v>
      </c>
      <c r="T4491" s="2" t="s">
        <v>80</v>
      </c>
      <c r="U4491" s="2" t="s">
        <v>249</v>
      </c>
      <c r="V4491" s="2" t="s">
        <v>59</v>
      </c>
      <c r="W4491" s="2">
        <v>38.4</v>
      </c>
      <c r="X4491" s="2">
        <v>0</v>
      </c>
      <c r="Y4491" s="2" t="s">
        <v>118</v>
      </c>
      <c r="Z4491" s="2" t="s">
        <v>29820</v>
      </c>
      <c r="AA4491" s="2">
        <v>4.6326466055496001</v>
      </c>
      <c r="AB4491" s="2">
        <v>0.140426036642952</v>
      </c>
      <c r="AC4491" s="2">
        <v>6363.2360428801403</v>
      </c>
      <c r="AD4491" s="2">
        <v>7833.2944761613799</v>
      </c>
      <c r="AE4491" s="2">
        <v>6035.2983329782901</v>
      </c>
      <c r="AF4491" s="2">
        <v>6571.2606036423604</v>
      </c>
      <c r="AG4491" s="2">
        <v>6777.6199110173302</v>
      </c>
      <c r="AH4491" s="2">
        <v>6151.0530131804499</v>
      </c>
      <c r="AI4491" s="2">
        <v>6415.7780961301496</v>
      </c>
      <c r="AJ4491" s="2">
        <v>6228.4063003322899</v>
      </c>
      <c r="AK4491" s="2">
        <v>8324.9986387424196</v>
      </c>
      <c r="AL4491" s="2">
        <v>7258.3317444998602</v>
      </c>
      <c r="AM4491" s="2">
        <v>8593.3440684998095</v>
      </c>
      <c r="AN4491" s="2">
        <v>7551.0974380682001</v>
      </c>
      <c r="AO4491" s="2">
        <v>7961.0579877194396</v>
      </c>
      <c r="AP4491" s="2">
        <v>7310.9369794385602</v>
      </c>
    </row>
    <row r="4492" spans="1:42" ht="14.5" x14ac:dyDescent="0.35">
      <c r="A4492" s="2" t="s">
        <v>29821</v>
      </c>
      <c r="B4492" s="2">
        <v>213.159516290102</v>
      </c>
      <c r="C4492" s="2">
        <v>0.76544999999999996</v>
      </c>
      <c r="D4492" s="2" t="s">
        <v>34</v>
      </c>
      <c r="E4492" s="2" t="s">
        <v>29822</v>
      </c>
      <c r="F4492" s="2">
        <v>82802</v>
      </c>
      <c r="G4492" s="3" t="str">
        <f>HYPERLINK("http://funmeta.oebiotech.com/network/82802", "http://funmeta.oebiotech.com/network/82802")</f>
        <v>http://funmeta.oebiotech.com/network/82802</v>
      </c>
      <c r="H4492" s="2" t="s">
        <v>29823</v>
      </c>
      <c r="I4492" s="2">
        <v>1264</v>
      </c>
      <c r="J4492" s="2"/>
      <c r="K4492" s="2"/>
      <c r="L4492" s="2"/>
      <c r="M4492" s="2"/>
      <c r="N4492" s="2"/>
      <c r="O4492" s="2">
        <v>93285</v>
      </c>
      <c r="P4492" s="2" t="s">
        <v>29824</v>
      </c>
      <c r="Q4492" s="2" t="s">
        <v>29825</v>
      </c>
      <c r="R4492" s="2" t="s">
        <v>29826</v>
      </c>
      <c r="S4492" s="2" t="s">
        <v>148</v>
      </c>
      <c r="T4492" s="2" t="s">
        <v>3772</v>
      </c>
      <c r="U4492" s="2" t="s">
        <v>41</v>
      </c>
      <c r="V4492" s="2" t="s">
        <v>59</v>
      </c>
      <c r="W4492" s="2">
        <v>38.799999999999997</v>
      </c>
      <c r="X4492" s="2">
        <v>0</v>
      </c>
      <c r="Y4492" s="2" t="s">
        <v>43</v>
      </c>
      <c r="Z4492" s="2" t="s">
        <v>29827</v>
      </c>
      <c r="AA4492" s="2">
        <v>-1.21987379788539</v>
      </c>
      <c r="AB4492" s="2">
        <v>0.140244954285869</v>
      </c>
      <c r="AC4492" s="2">
        <v>7203.2858294349899</v>
      </c>
      <c r="AD4492" s="2">
        <v>9054.1264157958794</v>
      </c>
      <c r="AE4492" s="2">
        <v>7097.7344426771597</v>
      </c>
      <c r="AF4492" s="2">
        <v>7020.8595838244</v>
      </c>
      <c r="AG4492" s="2">
        <v>6910.4413823421801</v>
      </c>
      <c r="AH4492" s="2">
        <v>6252.7836265979704</v>
      </c>
      <c r="AI4492" s="2">
        <v>6880.4090008032299</v>
      </c>
      <c r="AJ4492" s="2">
        <v>9057.4869403650191</v>
      </c>
      <c r="AK4492" s="2">
        <v>9544.0586232394999</v>
      </c>
      <c r="AL4492" s="2">
        <v>9749.4232485623997</v>
      </c>
      <c r="AM4492" s="2">
        <v>7937.9588694281802</v>
      </c>
      <c r="AN4492" s="2">
        <v>9606.2127303809593</v>
      </c>
      <c r="AO4492" s="2">
        <v>7403.1023670425302</v>
      </c>
      <c r="AP4492" s="2">
        <v>10084.0026561217</v>
      </c>
    </row>
    <row r="4493" spans="1:42" ht="14.5" x14ac:dyDescent="0.35">
      <c r="A4493" s="2" t="s">
        <v>29828</v>
      </c>
      <c r="B4493" s="2">
        <v>599.28630532304305</v>
      </c>
      <c r="C4493" s="2">
        <v>9.1537000000000006</v>
      </c>
      <c r="D4493" s="2" t="s">
        <v>70</v>
      </c>
      <c r="E4493" s="2" t="s">
        <v>29829</v>
      </c>
      <c r="F4493" s="2">
        <v>279670</v>
      </c>
      <c r="G4493" s="3" t="str">
        <f>HYPERLINK("http://funmeta.oebiotech.com/network/279670", "http://funmeta.oebiotech.com/network/279670")</f>
        <v>http://funmeta.oebiotech.com/network/279670</v>
      </c>
      <c r="H4493" s="2"/>
      <c r="I4493" s="2">
        <v>72390</v>
      </c>
      <c r="J4493" s="2"/>
      <c r="K4493" s="2"/>
      <c r="L4493" s="2" t="s">
        <v>29830</v>
      </c>
      <c r="M4493" s="2"/>
      <c r="N4493" s="2"/>
      <c r="O4493" s="2">
        <v>176879</v>
      </c>
      <c r="P4493" s="2" t="s">
        <v>29831</v>
      </c>
      <c r="Q4493" s="2" t="s">
        <v>29832</v>
      </c>
      <c r="R4493" s="2" t="s">
        <v>29833</v>
      </c>
      <c r="S4493" s="2" t="s">
        <v>148</v>
      </c>
      <c r="T4493" s="2" t="s">
        <v>149</v>
      </c>
      <c r="U4493" s="2" t="s">
        <v>5292</v>
      </c>
      <c r="V4493" s="2" t="s">
        <v>59</v>
      </c>
      <c r="W4493" s="2">
        <v>38.299999999999997</v>
      </c>
      <c r="X4493" s="2">
        <v>0</v>
      </c>
      <c r="Y4493" s="2" t="s">
        <v>560</v>
      </c>
      <c r="Z4493" s="2" t="s">
        <v>29834</v>
      </c>
      <c r="AA4493" s="2">
        <v>-2.0044557221586601</v>
      </c>
      <c r="AB4493" s="2">
        <v>0.14019573633396701</v>
      </c>
      <c r="AC4493" s="2">
        <v>1577.3579933434901</v>
      </c>
      <c r="AD4493" s="2">
        <v>2.7106294003980101E-5</v>
      </c>
      <c r="AE4493" s="2">
        <v>822.50511309222395</v>
      </c>
      <c r="AF4493" s="2">
        <v>916.56398843067905</v>
      </c>
      <c r="AG4493" s="2">
        <v>1466.7889995395899</v>
      </c>
      <c r="AH4493" s="2">
        <v>1433.9600362716999</v>
      </c>
      <c r="AI4493" s="2">
        <v>3100.5948127366</v>
      </c>
      <c r="AJ4493" s="2">
        <v>1723.73500999014</v>
      </c>
      <c r="AK4493" s="2">
        <v>2.7106294003980101E-5</v>
      </c>
      <c r="AL4493" s="2">
        <v>2.7106294003980101E-5</v>
      </c>
      <c r="AM4493" s="2">
        <v>2.7106294003980101E-5</v>
      </c>
      <c r="AN4493" s="2">
        <v>2.7106294003980101E-5</v>
      </c>
      <c r="AO4493" s="2">
        <v>2.7106294003980101E-5</v>
      </c>
      <c r="AP4493" s="2">
        <v>2.7106294003980101E-5</v>
      </c>
    </row>
    <row r="4494" spans="1:42" ht="14.5" x14ac:dyDescent="0.35">
      <c r="A4494" s="2" t="s">
        <v>29835</v>
      </c>
      <c r="B4494" s="2">
        <v>158.01246425682999</v>
      </c>
      <c r="C4494" s="2">
        <v>0.63648333333333296</v>
      </c>
      <c r="D4494" s="2" t="s">
        <v>34</v>
      </c>
      <c r="E4494" s="2" t="s">
        <v>29836</v>
      </c>
      <c r="F4494" s="2">
        <v>212077</v>
      </c>
      <c r="G4494" s="3" t="str">
        <f>HYPERLINK("http://funmeta.oebiotech.com/network/212077", "http://funmeta.oebiotech.com/network/212077")</f>
        <v>http://funmeta.oebiotech.com/network/212077</v>
      </c>
      <c r="H4494" s="2" t="s">
        <v>29837</v>
      </c>
      <c r="I4494" s="2">
        <v>64745</v>
      </c>
      <c r="J4494" s="2"/>
      <c r="K4494" s="2">
        <v>50519</v>
      </c>
      <c r="L4494" s="2" t="s">
        <v>29838</v>
      </c>
      <c r="M4494" s="2" t="s">
        <v>29839</v>
      </c>
      <c r="N4494" s="2" t="s">
        <v>29840</v>
      </c>
      <c r="O4494" s="2">
        <v>31257</v>
      </c>
      <c r="P4494" s="2" t="s">
        <v>29841</v>
      </c>
      <c r="Q4494" s="2" t="s">
        <v>29842</v>
      </c>
      <c r="R4494" s="2" t="s">
        <v>29843</v>
      </c>
      <c r="S4494" s="2" t="s">
        <v>89</v>
      </c>
      <c r="T4494" s="2" t="s">
        <v>19794</v>
      </c>
      <c r="U4494" s="2" t="s">
        <v>19795</v>
      </c>
      <c r="V4494" s="2" t="s">
        <v>59</v>
      </c>
      <c r="W4494" s="2">
        <v>37.200000000000003</v>
      </c>
      <c r="X4494" s="2">
        <v>0</v>
      </c>
      <c r="Y4494" s="2" t="s">
        <v>43</v>
      </c>
      <c r="Z4494" s="2" t="s">
        <v>29844</v>
      </c>
      <c r="AA4494" s="2">
        <v>4.96150128393852</v>
      </c>
      <c r="AB4494" s="2">
        <v>0.14019273827909601</v>
      </c>
      <c r="AC4494" s="2">
        <v>5070.1848657323499</v>
      </c>
      <c r="AD4494" s="2">
        <v>6818.8049083819797</v>
      </c>
      <c r="AE4494" s="2">
        <v>5339.7098882723703</v>
      </c>
      <c r="AF4494" s="2">
        <v>5416.5222438746496</v>
      </c>
      <c r="AG4494" s="2">
        <v>5355.7998558805702</v>
      </c>
      <c r="AH4494" s="2">
        <v>5203.2249285173002</v>
      </c>
      <c r="AI4494" s="2">
        <v>3396.2854751047598</v>
      </c>
      <c r="AJ4494" s="2">
        <v>5709.5668027444299</v>
      </c>
      <c r="AK4494" s="2">
        <v>7532.2997624055997</v>
      </c>
      <c r="AL4494" s="2">
        <v>5899.9287871569904</v>
      </c>
      <c r="AM4494" s="2">
        <v>5563.9966992068103</v>
      </c>
      <c r="AN4494" s="2">
        <v>7434.2943101322699</v>
      </c>
      <c r="AO4494" s="2">
        <v>6992.439347429</v>
      </c>
      <c r="AP4494" s="2">
        <v>7489.8705439612004</v>
      </c>
    </row>
    <row r="4495" spans="1:42" ht="14.5" x14ac:dyDescent="0.35">
      <c r="A4495" s="2" t="s">
        <v>29845</v>
      </c>
      <c r="B4495" s="2">
        <v>222.0758560939</v>
      </c>
      <c r="C4495" s="2">
        <v>4.1056666666666697</v>
      </c>
      <c r="D4495" s="2" t="s">
        <v>34</v>
      </c>
      <c r="E4495" s="2" t="s">
        <v>29846</v>
      </c>
      <c r="F4495" s="2">
        <v>199734</v>
      </c>
      <c r="G4495" s="3" t="str">
        <f>HYPERLINK("http://funmeta.oebiotech.com/network/199734", "http://funmeta.oebiotech.com/network/199734")</f>
        <v>http://funmeta.oebiotech.com/network/199734</v>
      </c>
      <c r="H4495" s="2" t="s">
        <v>29847</v>
      </c>
      <c r="I4495" s="2">
        <v>64746</v>
      </c>
      <c r="J4495" s="2"/>
      <c r="K4495" s="2">
        <v>18094</v>
      </c>
      <c r="L4495" s="2" t="s">
        <v>29848</v>
      </c>
      <c r="M4495" s="2" t="s">
        <v>1589</v>
      </c>
      <c r="N4495" s="2" t="s">
        <v>1590</v>
      </c>
      <c r="O4495" s="2">
        <v>671</v>
      </c>
      <c r="P4495" s="2" t="s">
        <v>29849</v>
      </c>
      <c r="Q4495" s="2" t="s">
        <v>29850</v>
      </c>
      <c r="R4495" s="2" t="s">
        <v>29851</v>
      </c>
      <c r="S4495" s="2" t="s">
        <v>148</v>
      </c>
      <c r="T4495" s="2" t="s">
        <v>6221</v>
      </c>
      <c r="U4495" s="2" t="s">
        <v>23296</v>
      </c>
      <c r="V4495" s="2" t="s">
        <v>59</v>
      </c>
      <c r="W4495" s="2">
        <v>38.799999999999997</v>
      </c>
      <c r="X4495" s="2">
        <v>0</v>
      </c>
      <c r="Y4495" s="2" t="s">
        <v>43</v>
      </c>
      <c r="Z4495" s="2" t="s">
        <v>13779</v>
      </c>
      <c r="AA4495" s="2">
        <v>-1.1182531580937101</v>
      </c>
      <c r="AB4495" s="2">
        <v>0.14017934201558699</v>
      </c>
      <c r="AC4495" s="2">
        <v>7528.8402703290703</v>
      </c>
      <c r="AD4495" s="2">
        <v>8929.9253711994406</v>
      </c>
      <c r="AE4495" s="2">
        <v>7602.7999269291504</v>
      </c>
      <c r="AF4495" s="2">
        <v>7863.8686625379296</v>
      </c>
      <c r="AG4495" s="2">
        <v>7112.7247737624302</v>
      </c>
      <c r="AH4495" s="2">
        <v>6959.4334809501597</v>
      </c>
      <c r="AI4495" s="2">
        <v>7912.9627252332903</v>
      </c>
      <c r="AJ4495" s="2">
        <v>7721.25205256145</v>
      </c>
      <c r="AK4495" s="2">
        <v>8457.7479106626597</v>
      </c>
      <c r="AL4495" s="2">
        <v>8886.9962429262905</v>
      </c>
      <c r="AM4495" s="2">
        <v>9153.8871492521102</v>
      </c>
      <c r="AN4495" s="2">
        <v>9134.4278358340707</v>
      </c>
      <c r="AO4495" s="2">
        <v>9063.4320952380604</v>
      </c>
      <c r="AP4495" s="2">
        <v>8883.0609932834595</v>
      </c>
    </row>
    <row r="4496" spans="1:42" ht="14.5" x14ac:dyDescent="0.35">
      <c r="A4496" s="2" t="s">
        <v>29852</v>
      </c>
      <c r="B4496" s="2">
        <v>801.46347953259396</v>
      </c>
      <c r="C4496" s="2">
        <v>11.234683333333299</v>
      </c>
      <c r="D4496" s="2" t="s">
        <v>70</v>
      </c>
      <c r="E4496" s="2" t="s">
        <v>29853</v>
      </c>
      <c r="F4496" s="2">
        <v>63911</v>
      </c>
      <c r="G4496" s="3" t="str">
        <f>HYPERLINK("http://funmeta.oebiotech.com/network/63911", "http://funmeta.oebiotech.com/network/63911")</f>
        <v>http://funmeta.oebiotech.com/network/63911</v>
      </c>
      <c r="H4496" s="2" t="s">
        <v>29854</v>
      </c>
      <c r="I4496" s="2">
        <v>95244</v>
      </c>
      <c r="J4496" s="2"/>
      <c r="K4496" s="2"/>
      <c r="L4496" s="2"/>
      <c r="M4496" s="2"/>
      <c r="N4496" s="2"/>
      <c r="O4496" s="2">
        <v>85084513</v>
      </c>
      <c r="P4496" s="2" t="s">
        <v>29855</v>
      </c>
      <c r="Q4496" s="2" t="s">
        <v>29856</v>
      </c>
      <c r="R4496" s="2" t="s">
        <v>29857</v>
      </c>
      <c r="S4496" s="2" t="s">
        <v>50</v>
      </c>
      <c r="T4496" s="2" t="s">
        <v>201</v>
      </c>
      <c r="U4496" s="2" t="s">
        <v>202</v>
      </c>
      <c r="V4496" s="2" t="s">
        <v>59</v>
      </c>
      <c r="W4496" s="2">
        <v>38.200000000000003</v>
      </c>
      <c r="X4496" s="2">
        <v>0</v>
      </c>
      <c r="Y4496" s="2" t="s">
        <v>118</v>
      </c>
      <c r="Z4496" s="2" t="s">
        <v>29858</v>
      </c>
      <c r="AA4496" s="2">
        <v>-0.89171233055389998</v>
      </c>
      <c r="AB4496" s="2">
        <v>0.14016639627501401</v>
      </c>
      <c r="AC4496" s="2">
        <v>36156.917813853201</v>
      </c>
      <c r="AD4496" s="2">
        <v>39040.683534058197</v>
      </c>
      <c r="AE4496" s="2">
        <v>36837.730453130003</v>
      </c>
      <c r="AF4496" s="2">
        <v>34030.800119015097</v>
      </c>
      <c r="AG4496" s="2">
        <v>36035.057707291096</v>
      </c>
      <c r="AH4496" s="2">
        <v>36131.827971475097</v>
      </c>
      <c r="AI4496" s="2">
        <v>34163.874483921099</v>
      </c>
      <c r="AJ4496" s="2">
        <v>39742.216148286701</v>
      </c>
      <c r="AK4496" s="2">
        <v>34117.188271887702</v>
      </c>
      <c r="AL4496" s="2">
        <v>33673.569703175097</v>
      </c>
      <c r="AM4496" s="2">
        <v>40778.291056157199</v>
      </c>
      <c r="AN4496" s="2">
        <v>41470.127193216402</v>
      </c>
      <c r="AO4496" s="2">
        <v>42152.678680760597</v>
      </c>
      <c r="AP4496" s="2">
        <v>42052.246299152001</v>
      </c>
    </row>
    <row r="4497" spans="1:42" ht="14.5" x14ac:dyDescent="0.35">
      <c r="A4497" s="2" t="s">
        <v>29859</v>
      </c>
      <c r="B4497" s="2">
        <v>552.23098454262197</v>
      </c>
      <c r="C4497" s="2">
        <v>10.132666666666699</v>
      </c>
      <c r="D4497" s="2" t="s">
        <v>34</v>
      </c>
      <c r="E4497" s="2" t="s">
        <v>29860</v>
      </c>
      <c r="F4497" s="2">
        <v>210079</v>
      </c>
      <c r="G4497" s="3" t="str">
        <f>HYPERLINK("http://funmeta.oebiotech.com/network/210079", "http://funmeta.oebiotech.com/network/210079")</f>
        <v>http://funmeta.oebiotech.com/network/210079</v>
      </c>
      <c r="H4497" s="2" t="s">
        <v>29861</v>
      </c>
      <c r="I4497" s="2"/>
      <c r="J4497" s="2"/>
      <c r="K4497" s="2"/>
      <c r="L4497" s="2"/>
      <c r="M4497" s="2"/>
      <c r="N4497" s="2"/>
      <c r="O4497" s="2">
        <v>86278323</v>
      </c>
      <c r="P4497" s="2"/>
      <c r="Q4497" s="2" t="s">
        <v>29862</v>
      </c>
      <c r="R4497" s="2" t="s">
        <v>29863</v>
      </c>
      <c r="S4497" s="2" t="s">
        <v>41</v>
      </c>
      <c r="T4497" s="2" t="s">
        <v>41</v>
      </c>
      <c r="U4497" s="2" t="s">
        <v>41</v>
      </c>
      <c r="V4497" s="2" t="s">
        <v>59</v>
      </c>
      <c r="W4497" s="2">
        <v>37.1</v>
      </c>
      <c r="X4497" s="2">
        <v>0</v>
      </c>
      <c r="Y4497" s="2" t="s">
        <v>323</v>
      </c>
      <c r="Z4497" s="2" t="s">
        <v>29864</v>
      </c>
      <c r="AA4497" s="2">
        <v>3.2463912647309399</v>
      </c>
      <c r="AB4497" s="2">
        <v>0.14016594453992301</v>
      </c>
      <c r="AC4497" s="2">
        <v>1847.8361065383101</v>
      </c>
      <c r="AD4497" s="2">
        <v>496.23865926866102</v>
      </c>
      <c r="AE4497" s="2">
        <v>2199.1738438918401</v>
      </c>
      <c r="AF4497" s="2">
        <v>1578.36303492506</v>
      </c>
      <c r="AG4497" s="2">
        <v>1610.95786592781</v>
      </c>
      <c r="AH4497" s="2">
        <v>1762.4370045641499</v>
      </c>
      <c r="AI4497" s="2">
        <v>1717.37133336231</v>
      </c>
      <c r="AJ4497" s="2">
        <v>2218.7135565587</v>
      </c>
      <c r="AK4497" s="2">
        <v>699.63431153153499</v>
      </c>
      <c r="AL4497" s="2">
        <v>311.12778591177602</v>
      </c>
      <c r="AM4497" s="2">
        <v>676.65567518752403</v>
      </c>
      <c r="AN4497" s="2">
        <v>374.229314844915</v>
      </c>
      <c r="AO4497" s="2">
        <v>510.416253767142</v>
      </c>
      <c r="AP4497" s="2">
        <v>405.368614369071</v>
      </c>
    </row>
    <row r="4498" spans="1:42" ht="14.5" x14ac:dyDescent="0.35">
      <c r="A4498" s="2" t="s">
        <v>29865</v>
      </c>
      <c r="B4498" s="2">
        <v>425.21796810111101</v>
      </c>
      <c r="C4498" s="2">
        <v>4.22216666666667</v>
      </c>
      <c r="D4498" s="2" t="s">
        <v>70</v>
      </c>
      <c r="E4498" s="2" t="s">
        <v>29866</v>
      </c>
      <c r="F4498" s="2">
        <v>63717</v>
      </c>
      <c r="G4498" s="3" t="str">
        <f>HYPERLINK("http://funmeta.oebiotech.com/network/63717", "http://funmeta.oebiotech.com/network/63717")</f>
        <v>http://funmeta.oebiotech.com/network/63717</v>
      </c>
      <c r="H4498" s="2" t="s">
        <v>29867</v>
      </c>
      <c r="I4498" s="2">
        <v>95053</v>
      </c>
      <c r="J4498" s="2"/>
      <c r="K4498" s="2"/>
      <c r="L4498" s="2"/>
      <c r="M4498" s="2"/>
      <c r="N4498" s="2"/>
      <c r="O4498" s="2">
        <v>5317587</v>
      </c>
      <c r="P4498" s="2" t="s">
        <v>29868</v>
      </c>
      <c r="Q4498" s="2" t="s">
        <v>29869</v>
      </c>
      <c r="R4498" s="2" t="s">
        <v>29870</v>
      </c>
      <c r="S4498" s="2" t="s">
        <v>50</v>
      </c>
      <c r="T4498" s="2" t="s">
        <v>229</v>
      </c>
      <c r="U4498" s="2" t="s">
        <v>16559</v>
      </c>
      <c r="V4498" s="2" t="s">
        <v>59</v>
      </c>
      <c r="W4498" s="2">
        <v>38.799999999999997</v>
      </c>
      <c r="X4498" s="2">
        <v>0</v>
      </c>
      <c r="Y4498" s="2" t="s">
        <v>408</v>
      </c>
      <c r="Z4498" s="2" t="s">
        <v>29871</v>
      </c>
      <c r="AA4498" s="2">
        <v>-0.32484489320584797</v>
      </c>
      <c r="AB4498" s="2">
        <v>0.14009631501018699</v>
      </c>
      <c r="AC4498" s="2">
        <v>5436.0800567127799</v>
      </c>
      <c r="AD4498" s="2">
        <v>3780.93195492116</v>
      </c>
      <c r="AE4498" s="2">
        <v>6762.7431470461097</v>
      </c>
      <c r="AF4498" s="2">
        <v>5723.8388985486699</v>
      </c>
      <c r="AG4498" s="2">
        <v>5029.8723354416397</v>
      </c>
      <c r="AH4498" s="2">
        <v>5852.6801829576498</v>
      </c>
      <c r="AI4498" s="2">
        <v>5082.92195808223</v>
      </c>
      <c r="AJ4498" s="2">
        <v>4164.4238182004001</v>
      </c>
      <c r="AK4498" s="2">
        <v>2992.2257560427702</v>
      </c>
      <c r="AL4498" s="2">
        <v>3369.1043192704201</v>
      </c>
      <c r="AM4498" s="2">
        <v>3612.42416465118</v>
      </c>
      <c r="AN4498" s="2">
        <v>4147.3599677830198</v>
      </c>
      <c r="AO4498" s="2">
        <v>4206.2140951957499</v>
      </c>
      <c r="AP4498" s="2">
        <v>4358.2634265838396</v>
      </c>
    </row>
    <row r="4499" spans="1:42" ht="14.5" x14ac:dyDescent="0.35">
      <c r="A4499" s="2" t="s">
        <v>29872</v>
      </c>
      <c r="B4499" s="2">
        <v>321.96174030749302</v>
      </c>
      <c r="C4499" s="2">
        <v>0.91621666666666701</v>
      </c>
      <c r="D4499" s="2" t="s">
        <v>34</v>
      </c>
      <c r="E4499" s="2" t="s">
        <v>29873</v>
      </c>
      <c r="F4499" s="2">
        <v>256073</v>
      </c>
      <c r="G4499" s="3" t="str">
        <f>HYPERLINK("http://funmeta.oebiotech.com/network/256073", "http://funmeta.oebiotech.com/network/256073")</f>
        <v>http://funmeta.oebiotech.com/network/256073</v>
      </c>
      <c r="H4499" s="2" t="s">
        <v>29874</v>
      </c>
      <c r="I4499" s="2"/>
      <c r="J4499" s="2"/>
      <c r="K4499" s="2"/>
      <c r="L4499" s="2"/>
      <c r="M4499" s="2"/>
      <c r="N4499" s="2"/>
      <c r="O4499" s="2"/>
      <c r="P4499" s="2"/>
      <c r="Q4499" s="2" t="s">
        <v>29875</v>
      </c>
      <c r="R4499" s="2" t="s">
        <v>29876</v>
      </c>
      <c r="S4499" s="2" t="s">
        <v>89</v>
      </c>
      <c r="T4499" s="2" t="s">
        <v>6048</v>
      </c>
      <c r="U4499" s="2" t="s">
        <v>6049</v>
      </c>
      <c r="V4499" s="2" t="s">
        <v>59</v>
      </c>
      <c r="W4499" s="2">
        <v>38.799999999999997</v>
      </c>
      <c r="X4499" s="2">
        <v>0</v>
      </c>
      <c r="Y4499" s="2" t="s">
        <v>394</v>
      </c>
      <c r="Z4499" s="2" t="s">
        <v>29877</v>
      </c>
      <c r="AA4499" s="2">
        <v>8.9641955509816101E-2</v>
      </c>
      <c r="AB4499" s="2">
        <v>0.13970106256217801</v>
      </c>
      <c r="AC4499" s="2">
        <v>21797.6700991199</v>
      </c>
      <c r="AD4499" s="2">
        <v>20014.680926679699</v>
      </c>
      <c r="AE4499" s="2">
        <v>22715.055537148499</v>
      </c>
      <c r="AF4499" s="2">
        <v>22700.258727953798</v>
      </c>
      <c r="AG4499" s="2">
        <v>21248.394052828098</v>
      </c>
      <c r="AH4499" s="2">
        <v>20900.577612438999</v>
      </c>
      <c r="AI4499" s="2">
        <v>21716.835132336601</v>
      </c>
      <c r="AJ4499" s="2">
        <v>21504.899532013598</v>
      </c>
      <c r="AK4499" s="2">
        <v>20593.006859426001</v>
      </c>
      <c r="AL4499" s="2">
        <v>20464.216335631801</v>
      </c>
      <c r="AM4499" s="2">
        <v>18240.166863169099</v>
      </c>
      <c r="AN4499" s="2">
        <v>20989.1645458934</v>
      </c>
      <c r="AO4499" s="2">
        <v>20782.072662424202</v>
      </c>
      <c r="AP4499" s="2">
        <v>19019.4582935336</v>
      </c>
    </row>
    <row r="4500" spans="1:42" ht="14.5" x14ac:dyDescent="0.35">
      <c r="A4500" s="2" t="s">
        <v>29878</v>
      </c>
      <c r="B4500" s="2">
        <v>525.24927857057298</v>
      </c>
      <c r="C4500" s="2">
        <v>10.141083333333301</v>
      </c>
      <c r="D4500" s="2" t="s">
        <v>70</v>
      </c>
      <c r="E4500" s="2" t="s">
        <v>29879</v>
      </c>
      <c r="F4500" s="2">
        <v>205668</v>
      </c>
      <c r="G4500" s="3" t="str">
        <f>HYPERLINK("http://funmeta.oebiotech.com/network/205668", "http://funmeta.oebiotech.com/network/205668")</f>
        <v>http://funmeta.oebiotech.com/network/205668</v>
      </c>
      <c r="H4500" s="2" t="s">
        <v>29880</v>
      </c>
      <c r="I4500" s="2"/>
      <c r="J4500" s="2"/>
      <c r="K4500" s="2"/>
      <c r="L4500" s="2"/>
      <c r="M4500" s="2"/>
      <c r="N4500" s="2"/>
      <c r="O4500" s="2">
        <v>5070778</v>
      </c>
      <c r="P4500" s="2"/>
      <c r="Q4500" s="2" t="s">
        <v>29881</v>
      </c>
      <c r="R4500" s="2" t="s">
        <v>29882</v>
      </c>
      <c r="S4500" s="2" t="s">
        <v>148</v>
      </c>
      <c r="T4500" s="2" t="s">
        <v>11004</v>
      </c>
      <c r="U4500" s="2" t="s">
        <v>41</v>
      </c>
      <c r="V4500" s="2" t="s">
        <v>59</v>
      </c>
      <c r="W4500" s="2">
        <v>38.5</v>
      </c>
      <c r="X4500" s="2">
        <v>0</v>
      </c>
      <c r="Y4500" s="2" t="s">
        <v>408</v>
      </c>
      <c r="Z4500" s="2" t="s">
        <v>10929</v>
      </c>
      <c r="AA4500" s="2">
        <v>-0.235650239197228</v>
      </c>
      <c r="AB4500" s="2">
        <v>0.13969266150613899</v>
      </c>
      <c r="AC4500" s="2">
        <v>7793.73279817415</v>
      </c>
      <c r="AD4500" s="2">
        <v>9715.7387436506906</v>
      </c>
      <c r="AE4500" s="2">
        <v>7103.7723093281002</v>
      </c>
      <c r="AF4500" s="2">
        <v>7227.4918632916697</v>
      </c>
      <c r="AG4500" s="2">
        <v>7540.0855984125201</v>
      </c>
      <c r="AH4500" s="2">
        <v>9101.4408396615199</v>
      </c>
      <c r="AI4500" s="2">
        <v>8819.1727008670696</v>
      </c>
      <c r="AJ4500" s="2">
        <v>6970.4334774840299</v>
      </c>
      <c r="AK4500" s="2">
        <v>8939.8938855994493</v>
      </c>
      <c r="AL4500" s="2">
        <v>9073.5882768232696</v>
      </c>
      <c r="AM4500" s="2">
        <v>9665.3724916611609</v>
      </c>
      <c r="AN4500" s="2">
        <v>8083.8085565811698</v>
      </c>
      <c r="AO4500" s="2">
        <v>12143.6880305389</v>
      </c>
      <c r="AP4500" s="2">
        <v>10388.0812207002</v>
      </c>
    </row>
    <row r="4501" spans="1:42" ht="14.5" x14ac:dyDescent="0.35">
      <c r="A4501" s="2" t="s">
        <v>29883</v>
      </c>
      <c r="B4501" s="2">
        <v>573.25242648401399</v>
      </c>
      <c r="C4501" s="2">
        <v>4.2619999999999996</v>
      </c>
      <c r="D4501" s="2" t="s">
        <v>34</v>
      </c>
      <c r="E4501" s="2" t="s">
        <v>29884</v>
      </c>
      <c r="F4501" s="2">
        <v>211007</v>
      </c>
      <c r="G4501" s="3" t="str">
        <f>HYPERLINK("http://funmeta.oebiotech.com/network/211007", "http://funmeta.oebiotech.com/network/211007")</f>
        <v>http://funmeta.oebiotech.com/network/211007</v>
      </c>
      <c r="H4501" s="2" t="s">
        <v>29885</v>
      </c>
      <c r="I4501" s="2"/>
      <c r="J4501" s="2"/>
      <c r="K4501" s="2"/>
      <c r="L4501" s="2"/>
      <c r="M4501" s="2"/>
      <c r="N4501" s="2"/>
      <c r="O4501" s="2"/>
      <c r="P4501" s="2"/>
      <c r="Q4501" s="2" t="s">
        <v>29886</v>
      </c>
      <c r="R4501" s="2" t="s">
        <v>29887</v>
      </c>
      <c r="S4501" s="2" t="s">
        <v>491</v>
      </c>
      <c r="T4501" s="2" t="s">
        <v>5190</v>
      </c>
      <c r="U4501" s="2" t="s">
        <v>5191</v>
      </c>
      <c r="V4501" s="2" t="s">
        <v>59</v>
      </c>
      <c r="W4501" s="2">
        <v>37</v>
      </c>
      <c r="X4501" s="2">
        <v>0</v>
      </c>
      <c r="Y4501" s="2" t="s">
        <v>43</v>
      </c>
      <c r="Z4501" s="2" t="s">
        <v>29888</v>
      </c>
      <c r="AA4501" s="2">
        <v>-3.55083425211145</v>
      </c>
      <c r="AB4501" s="2">
        <v>0.13966766466441899</v>
      </c>
      <c r="AC4501" s="2">
        <v>4355.1779112383701</v>
      </c>
      <c r="AD4501" s="2">
        <v>2514.3157416392501</v>
      </c>
      <c r="AE4501" s="2">
        <v>3734.1607148139101</v>
      </c>
      <c r="AF4501" s="2">
        <v>3416.0783927499801</v>
      </c>
      <c r="AG4501" s="2">
        <v>6858.52855932887</v>
      </c>
      <c r="AH4501" s="2">
        <v>3738.64943358747</v>
      </c>
      <c r="AI4501" s="2">
        <v>4383.8167690051396</v>
      </c>
      <c r="AJ4501" s="2">
        <v>3999.8335979448598</v>
      </c>
      <c r="AK4501" s="2">
        <v>2712.0838736288001</v>
      </c>
      <c r="AL4501" s="2">
        <v>2616.71822579742</v>
      </c>
      <c r="AM4501" s="2">
        <v>1970.39644539489</v>
      </c>
      <c r="AN4501" s="2">
        <v>1504.8883401954599</v>
      </c>
      <c r="AO4501" s="2">
        <v>2447.9054708179201</v>
      </c>
      <c r="AP4501" s="2">
        <v>3833.90209400098</v>
      </c>
    </row>
    <row r="4502" spans="1:42" ht="14.5" x14ac:dyDescent="0.35">
      <c r="A4502" s="2" t="s">
        <v>29889</v>
      </c>
      <c r="B4502" s="2">
        <v>461.32714366093001</v>
      </c>
      <c r="C4502" s="2">
        <v>10.9720333333333</v>
      </c>
      <c r="D4502" s="2" t="s">
        <v>70</v>
      </c>
      <c r="E4502" s="2" t="s">
        <v>29890</v>
      </c>
      <c r="F4502" s="2">
        <v>45441</v>
      </c>
      <c r="G4502" s="3" t="str">
        <f>HYPERLINK("http://funmeta.oebiotech.com/network/45441", "http://funmeta.oebiotech.com/network/45441")</f>
        <v>http://funmeta.oebiotech.com/network/45441</v>
      </c>
      <c r="H4502" s="2"/>
      <c r="I4502" s="2">
        <v>42207</v>
      </c>
      <c r="J4502" s="2" t="s">
        <v>29891</v>
      </c>
      <c r="K4502" s="2"/>
      <c r="L4502" s="2"/>
      <c r="M4502" s="2"/>
      <c r="N4502" s="2"/>
      <c r="O4502" s="2">
        <v>5283746</v>
      </c>
      <c r="P4502" s="2"/>
      <c r="Q4502" s="2" t="s">
        <v>29892</v>
      </c>
      <c r="R4502" s="2" t="s">
        <v>29893</v>
      </c>
      <c r="S4502" s="2" t="s">
        <v>50</v>
      </c>
      <c r="T4502" s="2" t="s">
        <v>124</v>
      </c>
      <c r="U4502" s="2" t="s">
        <v>982</v>
      </c>
      <c r="V4502" s="2" t="s">
        <v>59</v>
      </c>
      <c r="W4502" s="2">
        <v>37.6</v>
      </c>
      <c r="X4502" s="2">
        <v>0</v>
      </c>
      <c r="Y4502" s="2" t="s">
        <v>408</v>
      </c>
      <c r="Z4502" s="2" t="s">
        <v>29894</v>
      </c>
      <c r="AA4502" s="2">
        <v>-0.25095253802713002</v>
      </c>
      <c r="AB4502" s="2">
        <v>0.13966476080212301</v>
      </c>
      <c r="AC4502" s="2">
        <v>3541.1581409887999</v>
      </c>
      <c r="AD4502" s="2">
        <v>2130.0205010806999</v>
      </c>
      <c r="AE4502" s="2">
        <v>3580.0124395929602</v>
      </c>
      <c r="AF4502" s="2">
        <v>3559.6513450191401</v>
      </c>
      <c r="AG4502" s="2">
        <v>3575.8023508083002</v>
      </c>
      <c r="AH4502" s="2">
        <v>4270.4208705600604</v>
      </c>
      <c r="AI4502" s="2">
        <v>3189.6495625161701</v>
      </c>
      <c r="AJ4502" s="2">
        <v>3071.4122774361699</v>
      </c>
      <c r="AK4502" s="2">
        <v>1752.5101134250201</v>
      </c>
      <c r="AL4502" s="2">
        <v>2193.38650398966</v>
      </c>
      <c r="AM4502" s="2">
        <v>1982.8073642531999</v>
      </c>
      <c r="AN4502" s="2">
        <v>2112.74524282932</v>
      </c>
      <c r="AO4502" s="2">
        <v>2074.1342340503902</v>
      </c>
      <c r="AP4502" s="2">
        <v>2664.5395479366198</v>
      </c>
    </row>
    <row r="4503" spans="1:42" ht="14.5" x14ac:dyDescent="0.35">
      <c r="A4503" s="2" t="s">
        <v>29895</v>
      </c>
      <c r="B4503" s="2">
        <v>489.21827408210299</v>
      </c>
      <c r="C4503" s="2">
        <v>3.82433333333333</v>
      </c>
      <c r="D4503" s="2" t="s">
        <v>70</v>
      </c>
      <c r="E4503" s="2" t="s">
        <v>29896</v>
      </c>
      <c r="F4503" s="2">
        <v>212856</v>
      </c>
      <c r="G4503" s="3" t="str">
        <f>HYPERLINK("http://funmeta.oebiotech.com/network/212856", "http://funmeta.oebiotech.com/network/212856")</f>
        <v>http://funmeta.oebiotech.com/network/212856</v>
      </c>
      <c r="H4503" s="2" t="s">
        <v>29897</v>
      </c>
      <c r="I4503" s="2">
        <v>432514</v>
      </c>
      <c r="J4503" s="2"/>
      <c r="K4503" s="2"/>
      <c r="L4503" s="2"/>
      <c r="M4503" s="2"/>
      <c r="N4503" s="2"/>
      <c r="O4503" s="2">
        <v>9035</v>
      </c>
      <c r="P4503" s="2"/>
      <c r="Q4503" s="2" t="s">
        <v>29898</v>
      </c>
      <c r="R4503" s="2" t="s">
        <v>29899</v>
      </c>
      <c r="S4503" s="2" t="s">
        <v>41</v>
      </c>
      <c r="T4503" s="2" t="s">
        <v>41</v>
      </c>
      <c r="U4503" s="2" t="s">
        <v>41</v>
      </c>
      <c r="V4503" s="2" t="s">
        <v>59</v>
      </c>
      <c r="W4503" s="2">
        <v>37.6</v>
      </c>
      <c r="X4503" s="2">
        <v>0</v>
      </c>
      <c r="Y4503" s="2" t="s">
        <v>560</v>
      </c>
      <c r="Z4503" s="2" t="s">
        <v>29900</v>
      </c>
      <c r="AA4503" s="2">
        <v>4.9772082347539399</v>
      </c>
      <c r="AB4503" s="2">
        <v>0.139606658159563</v>
      </c>
      <c r="AC4503" s="2">
        <v>3869.3663907097398</v>
      </c>
      <c r="AD4503" s="2">
        <v>5920.9468603947398</v>
      </c>
      <c r="AE4503" s="2">
        <v>2856.90903716002</v>
      </c>
      <c r="AF4503" s="2">
        <v>4283.7541811854699</v>
      </c>
      <c r="AG4503" s="2">
        <v>4700.0434322399096</v>
      </c>
      <c r="AH4503" s="2">
        <v>3699.7954240531499</v>
      </c>
      <c r="AI4503" s="2">
        <v>3480.30535538099</v>
      </c>
      <c r="AJ4503" s="2">
        <v>4195.3909142388802</v>
      </c>
      <c r="AK4503" s="2">
        <v>3566.5560287971398</v>
      </c>
      <c r="AL4503" s="2">
        <v>8825.7111616597304</v>
      </c>
      <c r="AM4503" s="2">
        <v>7308.1334071691199</v>
      </c>
      <c r="AN4503" s="2">
        <v>5488.1159719337502</v>
      </c>
      <c r="AO4503" s="2">
        <v>5257.4054577932002</v>
      </c>
      <c r="AP4503" s="2">
        <v>5079.7591350154999</v>
      </c>
    </row>
    <row r="4504" spans="1:42" ht="14.5" x14ac:dyDescent="0.35">
      <c r="A4504" s="2" t="s">
        <v>29901</v>
      </c>
      <c r="B4504" s="2">
        <v>221.08075280555201</v>
      </c>
      <c r="C4504" s="2">
        <v>4.63378333333333</v>
      </c>
      <c r="D4504" s="2" t="s">
        <v>34</v>
      </c>
      <c r="E4504" s="2" t="s">
        <v>29902</v>
      </c>
      <c r="F4504" s="2">
        <v>267045</v>
      </c>
      <c r="G4504" s="3" t="str">
        <f>HYPERLINK("http://funmeta.oebiotech.com/network/267045", "http://funmeta.oebiotech.com/network/267045")</f>
        <v>http://funmeta.oebiotech.com/network/267045</v>
      </c>
      <c r="H4504" s="2"/>
      <c r="I4504" s="2">
        <v>44615</v>
      </c>
      <c r="J4504" s="2"/>
      <c r="K4504" s="2"/>
      <c r="L4504" s="2"/>
      <c r="M4504" s="2"/>
      <c r="N4504" s="2"/>
      <c r="O4504" s="2">
        <v>3919910</v>
      </c>
      <c r="P4504" s="2"/>
      <c r="Q4504" s="2" t="s">
        <v>29903</v>
      </c>
      <c r="R4504" s="2" t="s">
        <v>29904</v>
      </c>
      <c r="S4504" s="2" t="s">
        <v>148</v>
      </c>
      <c r="T4504" s="2" t="s">
        <v>149</v>
      </c>
      <c r="U4504" s="2" t="s">
        <v>1593</v>
      </c>
      <c r="V4504" s="2" t="s">
        <v>59</v>
      </c>
      <c r="W4504" s="2">
        <v>38.799999999999997</v>
      </c>
      <c r="X4504" s="2">
        <v>0</v>
      </c>
      <c r="Y4504" s="2" t="s">
        <v>394</v>
      </c>
      <c r="Z4504" s="2" t="s">
        <v>10123</v>
      </c>
      <c r="AA4504" s="2">
        <v>-0.37482707306003998</v>
      </c>
      <c r="AB4504" s="2">
        <v>0.139601562567196</v>
      </c>
      <c r="AC4504" s="2">
        <v>6219.6192733604103</v>
      </c>
      <c r="AD4504" s="2">
        <v>7665.4461966947802</v>
      </c>
      <c r="AE4504" s="2">
        <v>6016.4940025528504</v>
      </c>
      <c r="AF4504" s="2">
        <v>6773.9958211094399</v>
      </c>
      <c r="AG4504" s="2">
        <v>5914.6941318918098</v>
      </c>
      <c r="AH4504" s="2">
        <v>6334.5608001461896</v>
      </c>
      <c r="AI4504" s="2">
        <v>6593.0304775600698</v>
      </c>
      <c r="AJ4504" s="2">
        <v>5684.9404069020902</v>
      </c>
      <c r="AK4504" s="2">
        <v>8031.05999538984</v>
      </c>
      <c r="AL4504" s="2">
        <v>8194.3131701177899</v>
      </c>
      <c r="AM4504" s="2">
        <v>7213.1971850231002</v>
      </c>
      <c r="AN4504" s="2">
        <v>7691.9621948952099</v>
      </c>
      <c r="AO4504" s="2">
        <v>7701.7453062249297</v>
      </c>
      <c r="AP4504" s="2">
        <v>7160.3993285177903</v>
      </c>
    </row>
    <row r="4505" spans="1:42" ht="14.5" x14ac:dyDescent="0.35">
      <c r="A4505" s="2" t="s">
        <v>29905</v>
      </c>
      <c r="B4505" s="2">
        <v>356.27906213894403</v>
      </c>
      <c r="C4505" s="2">
        <v>13.283333333333299</v>
      </c>
      <c r="D4505" s="2" t="s">
        <v>34</v>
      </c>
      <c r="E4505" s="2" t="s">
        <v>29906</v>
      </c>
      <c r="F4505" s="2">
        <v>83247</v>
      </c>
      <c r="G4505" s="3" t="str">
        <f>HYPERLINK("http://funmeta.oebiotech.com/network/83247", "http://funmeta.oebiotech.com/network/83247")</f>
        <v>http://funmeta.oebiotech.com/network/83247</v>
      </c>
      <c r="H4505" s="2" t="s">
        <v>29907</v>
      </c>
      <c r="I4505" s="2"/>
      <c r="J4505" s="2"/>
      <c r="K4505" s="2"/>
      <c r="L4505" s="2"/>
      <c r="M4505" s="2"/>
      <c r="N4505" s="2"/>
      <c r="O4505" s="2">
        <v>131770392</v>
      </c>
      <c r="P4505" s="2"/>
      <c r="Q4505" s="2" t="s">
        <v>29908</v>
      </c>
      <c r="R4505" s="2" t="s">
        <v>29909</v>
      </c>
      <c r="S4505" s="2" t="s">
        <v>50</v>
      </c>
      <c r="T4505" s="2" t="s">
        <v>229</v>
      </c>
      <c r="U4505" s="2" t="s">
        <v>1914</v>
      </c>
      <c r="V4505" s="2" t="s">
        <v>59</v>
      </c>
      <c r="W4505" s="2">
        <v>38.700000000000003</v>
      </c>
      <c r="X4505" s="2">
        <v>8.2799999999999999E-2</v>
      </c>
      <c r="Y4505" s="2" t="s">
        <v>266</v>
      </c>
      <c r="Z4505" s="2" t="s">
        <v>29910</v>
      </c>
      <c r="AA4505" s="2">
        <v>-1.2670403141773099</v>
      </c>
      <c r="AB4505" s="2">
        <v>0.13949598558160001</v>
      </c>
      <c r="AC4505" s="2">
        <v>234546.793473545</v>
      </c>
      <c r="AD4505" s="2">
        <v>227932.12428861001</v>
      </c>
      <c r="AE4505" s="2">
        <v>221150.07902451101</v>
      </c>
      <c r="AF4505" s="2">
        <v>230854.90841902699</v>
      </c>
      <c r="AG4505" s="2">
        <v>242828.26141811101</v>
      </c>
      <c r="AH4505" s="2">
        <v>235382.03009213399</v>
      </c>
      <c r="AI4505" s="2">
        <v>231976.59925517201</v>
      </c>
      <c r="AJ4505" s="2">
        <v>245088.88263231199</v>
      </c>
      <c r="AK4505" s="2">
        <v>261384.01849180899</v>
      </c>
      <c r="AL4505" s="2">
        <v>252453.00187936801</v>
      </c>
      <c r="AM4505" s="2">
        <v>222746.62219982501</v>
      </c>
      <c r="AN4505" s="2">
        <v>223762.14474723701</v>
      </c>
      <c r="AO4505" s="2">
        <v>215442.35471875599</v>
      </c>
      <c r="AP4505" s="2">
        <v>191804.603694663</v>
      </c>
    </row>
    <row r="4506" spans="1:42" ht="14.5" x14ac:dyDescent="0.35">
      <c r="A4506" s="2" t="s">
        <v>29911</v>
      </c>
      <c r="B4506" s="2">
        <v>405.33590043804003</v>
      </c>
      <c r="C4506" s="2">
        <v>12.548816666666699</v>
      </c>
      <c r="D4506" s="2" t="s">
        <v>34</v>
      </c>
      <c r="E4506" s="2" t="s">
        <v>29912</v>
      </c>
      <c r="F4506" s="2">
        <v>199677</v>
      </c>
      <c r="G4506" s="3" t="str">
        <f>HYPERLINK("http://funmeta.oebiotech.com/network/199677", "http://funmeta.oebiotech.com/network/199677")</f>
        <v>http://funmeta.oebiotech.com/network/199677</v>
      </c>
      <c r="H4506" s="2" t="s">
        <v>29913</v>
      </c>
      <c r="I4506" s="2"/>
      <c r="J4506" s="2"/>
      <c r="K4506" s="2"/>
      <c r="L4506" s="2"/>
      <c r="M4506" s="2"/>
      <c r="N4506" s="2"/>
      <c r="O4506" s="2">
        <v>72732616</v>
      </c>
      <c r="P4506" s="2"/>
      <c r="Q4506" s="2" t="s">
        <v>29914</v>
      </c>
      <c r="R4506" s="2" t="s">
        <v>29915</v>
      </c>
      <c r="S4506" s="2" t="s">
        <v>50</v>
      </c>
      <c r="T4506" s="2" t="s">
        <v>124</v>
      </c>
      <c r="U4506" s="2" t="s">
        <v>982</v>
      </c>
      <c r="V4506" s="2" t="s">
        <v>59</v>
      </c>
      <c r="W4506" s="2">
        <v>38.5</v>
      </c>
      <c r="X4506" s="2">
        <v>0</v>
      </c>
      <c r="Y4506" s="2" t="s">
        <v>394</v>
      </c>
      <c r="Z4506" s="2" t="s">
        <v>29916</v>
      </c>
      <c r="AA4506" s="2">
        <v>-1.0418833987182301</v>
      </c>
      <c r="AB4506" s="2">
        <v>0.13948775189386101</v>
      </c>
      <c r="AC4506" s="2">
        <v>10359.0701129357</v>
      </c>
      <c r="AD4506" s="2">
        <v>8478.1735556208205</v>
      </c>
      <c r="AE4506" s="2">
        <v>10020.041029342199</v>
      </c>
      <c r="AF4506" s="2">
        <v>10883.7812775743</v>
      </c>
      <c r="AG4506" s="2">
        <v>10879.4113685008</v>
      </c>
      <c r="AH4506" s="2">
        <v>10397.8706671619</v>
      </c>
      <c r="AI4506" s="2">
        <v>8965.0326831044604</v>
      </c>
      <c r="AJ4506" s="2">
        <v>11008.2836519305</v>
      </c>
      <c r="AK4506" s="2">
        <v>11018.1829213976</v>
      </c>
      <c r="AL4506" s="2">
        <v>9257.2960262574907</v>
      </c>
      <c r="AM4506" s="2">
        <v>8083.8453544468402</v>
      </c>
      <c r="AN4506" s="2">
        <v>7531.3218703135999</v>
      </c>
      <c r="AO4506" s="2">
        <v>7752.7510655651804</v>
      </c>
      <c r="AP4506" s="2">
        <v>7225.6440957441901</v>
      </c>
    </row>
    <row r="4507" spans="1:42" ht="14.5" x14ac:dyDescent="0.35">
      <c r="A4507" s="2" t="s">
        <v>29917</v>
      </c>
      <c r="B4507" s="2">
        <v>451.21138399702699</v>
      </c>
      <c r="C4507" s="2">
        <v>9.1582833333333298</v>
      </c>
      <c r="D4507" s="2" t="s">
        <v>34</v>
      </c>
      <c r="E4507" s="2" t="s">
        <v>29918</v>
      </c>
      <c r="F4507" s="2">
        <v>64999</v>
      </c>
      <c r="G4507" s="3" t="str">
        <f>HYPERLINK("http://funmeta.oebiotech.com/network/64999", "http://funmeta.oebiotech.com/network/64999")</f>
        <v>http://funmeta.oebiotech.com/network/64999</v>
      </c>
      <c r="H4507" s="2" t="s">
        <v>29919</v>
      </c>
      <c r="I4507" s="2">
        <v>96206</v>
      </c>
      <c r="J4507" s="2"/>
      <c r="K4507" s="2">
        <v>135732</v>
      </c>
      <c r="L4507" s="2"/>
      <c r="M4507" s="2"/>
      <c r="N4507" s="2"/>
      <c r="O4507" s="2">
        <v>5282219</v>
      </c>
      <c r="P4507" s="2" t="s">
        <v>29920</v>
      </c>
      <c r="Q4507" s="2" t="s">
        <v>29921</v>
      </c>
      <c r="R4507" s="2" t="s">
        <v>29922</v>
      </c>
      <c r="S4507" s="2" t="s">
        <v>115</v>
      </c>
      <c r="T4507" s="2" t="s">
        <v>12600</v>
      </c>
      <c r="U4507" s="2" t="s">
        <v>41</v>
      </c>
      <c r="V4507" s="2" t="s">
        <v>59</v>
      </c>
      <c r="W4507" s="2">
        <v>37.4</v>
      </c>
      <c r="X4507" s="2">
        <v>0</v>
      </c>
      <c r="Y4507" s="2" t="s">
        <v>394</v>
      </c>
      <c r="Z4507" s="2" t="s">
        <v>29923</v>
      </c>
      <c r="AA4507" s="2">
        <v>-0.29123322615898301</v>
      </c>
      <c r="AB4507" s="2">
        <v>0.13935163463356701</v>
      </c>
      <c r="AC4507" s="2">
        <v>4348.1875944846397</v>
      </c>
      <c r="AD4507" s="2">
        <v>2751.0508531485402</v>
      </c>
      <c r="AE4507" s="2">
        <v>3757.7737161366199</v>
      </c>
      <c r="AF4507" s="2">
        <v>4233.6435295843303</v>
      </c>
      <c r="AG4507" s="2">
        <v>5541.1185111364002</v>
      </c>
      <c r="AH4507" s="2">
        <v>4441.7982470151001</v>
      </c>
      <c r="AI4507" s="2">
        <v>4432.2115998434801</v>
      </c>
      <c r="AJ4507" s="2">
        <v>3682.5799631918899</v>
      </c>
      <c r="AK4507" s="2">
        <v>2162.9061265499499</v>
      </c>
      <c r="AL4507" s="2">
        <v>2619.8292160013998</v>
      </c>
      <c r="AM4507" s="2">
        <v>3032.3496243470399</v>
      </c>
      <c r="AN4507" s="2">
        <v>2070.3097572849501</v>
      </c>
      <c r="AO4507" s="2">
        <v>3862.6596584137201</v>
      </c>
      <c r="AP4507" s="2">
        <v>2758.2507362941901</v>
      </c>
    </row>
    <row r="4508" spans="1:42" ht="14.5" x14ac:dyDescent="0.35">
      <c r="A4508" s="2" t="s">
        <v>29924</v>
      </c>
      <c r="B4508" s="2">
        <v>643.23647828713194</v>
      </c>
      <c r="C4508" s="2">
        <v>6.4626999999999999</v>
      </c>
      <c r="D4508" s="2" t="s">
        <v>70</v>
      </c>
      <c r="E4508" s="2" t="s">
        <v>29925</v>
      </c>
      <c r="F4508" s="2">
        <v>206765</v>
      </c>
      <c r="G4508" s="3" t="str">
        <f>HYPERLINK("http://funmeta.oebiotech.com/network/206765", "http://funmeta.oebiotech.com/network/206765")</f>
        <v>http://funmeta.oebiotech.com/network/206765</v>
      </c>
      <c r="H4508" s="2" t="s">
        <v>29926</v>
      </c>
      <c r="I4508" s="2">
        <v>435939</v>
      </c>
      <c r="J4508" s="2"/>
      <c r="K4508" s="2"/>
      <c r="L4508" s="2"/>
      <c r="M4508" s="2"/>
      <c r="N4508" s="2"/>
      <c r="O4508" s="2">
        <v>216220</v>
      </c>
      <c r="P4508" s="2"/>
      <c r="Q4508" s="2" t="s">
        <v>29927</v>
      </c>
      <c r="R4508" s="2" t="s">
        <v>29928</v>
      </c>
      <c r="S4508" s="2" t="s">
        <v>115</v>
      </c>
      <c r="T4508" s="2" t="s">
        <v>12600</v>
      </c>
      <c r="U4508" s="2" t="s">
        <v>41</v>
      </c>
      <c r="V4508" s="2" t="s">
        <v>59</v>
      </c>
      <c r="W4508" s="2">
        <v>37.9</v>
      </c>
      <c r="X4508" s="2">
        <v>0</v>
      </c>
      <c r="Y4508" s="2" t="s">
        <v>560</v>
      </c>
      <c r="Z4508" s="2" t="s">
        <v>29929</v>
      </c>
      <c r="AA4508" s="2">
        <v>-3.4520362739587198</v>
      </c>
      <c r="AB4508" s="2">
        <v>0.13935049816884701</v>
      </c>
      <c r="AC4508" s="2">
        <v>37170.048894478001</v>
      </c>
      <c r="AD4508" s="2">
        <v>39994.162223514497</v>
      </c>
      <c r="AE4508" s="2">
        <v>39490.140980679796</v>
      </c>
      <c r="AF4508" s="2">
        <v>32713.509204614998</v>
      </c>
      <c r="AG4508" s="2">
        <v>38193.241668103699</v>
      </c>
      <c r="AH4508" s="2">
        <v>35653.368565002202</v>
      </c>
      <c r="AI4508" s="2">
        <v>34780.496636308097</v>
      </c>
      <c r="AJ4508" s="2">
        <v>42189.536312159398</v>
      </c>
      <c r="AK4508" s="2">
        <v>40092.667071041098</v>
      </c>
      <c r="AL4508" s="2">
        <v>40720.260440805097</v>
      </c>
      <c r="AM4508" s="2">
        <v>44080.6020900035</v>
      </c>
      <c r="AN4508" s="2">
        <v>37764.710803198897</v>
      </c>
      <c r="AO4508" s="2">
        <v>40433.403549130897</v>
      </c>
      <c r="AP4508" s="2">
        <v>36873.329386907601</v>
      </c>
    </row>
    <row r="4509" spans="1:42" ht="14.5" x14ac:dyDescent="0.35">
      <c r="A4509" s="2" t="s">
        <v>29930</v>
      </c>
      <c r="B4509" s="2">
        <v>333.06313212181402</v>
      </c>
      <c r="C4509" s="2">
        <v>0.76995000000000002</v>
      </c>
      <c r="D4509" s="2" t="s">
        <v>70</v>
      </c>
      <c r="E4509" s="2" t="s">
        <v>29931</v>
      </c>
      <c r="F4509" s="2">
        <v>54345</v>
      </c>
      <c r="G4509" s="3" t="str">
        <f>HYPERLINK("http://funmeta.oebiotech.com/network/54345", "http://funmeta.oebiotech.com/network/54345")</f>
        <v>http://funmeta.oebiotech.com/network/54345</v>
      </c>
      <c r="H4509" s="2" t="s">
        <v>29932</v>
      </c>
      <c r="I4509" s="2">
        <v>86232</v>
      </c>
      <c r="J4509" s="2"/>
      <c r="K4509" s="2">
        <v>168246</v>
      </c>
      <c r="L4509" s="2"/>
      <c r="M4509" s="2"/>
      <c r="N4509" s="2"/>
      <c r="O4509" s="2">
        <v>131750865</v>
      </c>
      <c r="P4509" s="2" t="s">
        <v>29933</v>
      </c>
      <c r="Q4509" s="2" t="s">
        <v>29934</v>
      </c>
      <c r="R4509" s="2" t="s">
        <v>29935</v>
      </c>
      <c r="S4509" s="2" t="s">
        <v>79</v>
      </c>
      <c r="T4509" s="2" t="s">
        <v>80</v>
      </c>
      <c r="U4509" s="2" t="s">
        <v>2021</v>
      </c>
      <c r="V4509" s="2" t="s">
        <v>59</v>
      </c>
      <c r="W4509" s="2">
        <v>41.1</v>
      </c>
      <c r="X4509" s="2">
        <v>22.3</v>
      </c>
      <c r="Y4509" s="2" t="s">
        <v>751</v>
      </c>
      <c r="Z4509" s="2" t="s">
        <v>29936</v>
      </c>
      <c r="AA4509" s="2">
        <v>4.3772868089084502</v>
      </c>
      <c r="AB4509" s="2">
        <v>0.139227614756046</v>
      </c>
      <c r="AC4509" s="2">
        <v>24817.367612384201</v>
      </c>
      <c r="AD4509" s="2">
        <v>21451.7066039325</v>
      </c>
      <c r="AE4509" s="2">
        <v>32970.274702028997</v>
      </c>
      <c r="AF4509" s="2">
        <v>19937.187249879698</v>
      </c>
      <c r="AG4509" s="2">
        <v>19731.082667543102</v>
      </c>
      <c r="AH4509" s="2">
        <v>23212.226421430601</v>
      </c>
      <c r="AI4509" s="2">
        <v>22235.264808048301</v>
      </c>
      <c r="AJ4509" s="2">
        <v>30818.169825374302</v>
      </c>
      <c r="AK4509" s="2">
        <v>24452.506634367401</v>
      </c>
      <c r="AL4509" s="2">
        <v>19752.545612627498</v>
      </c>
      <c r="AM4509" s="2">
        <v>25882.270077441099</v>
      </c>
      <c r="AN4509" s="2">
        <v>19238.1883952565</v>
      </c>
      <c r="AO4509" s="2">
        <v>18661.8323587792</v>
      </c>
      <c r="AP4509" s="2">
        <v>20722.8965451234</v>
      </c>
    </row>
    <row r="4510" spans="1:42" ht="14.5" x14ac:dyDescent="0.35">
      <c r="A4510" s="2" t="s">
        <v>29937</v>
      </c>
      <c r="B4510" s="2">
        <v>381.097127919873</v>
      </c>
      <c r="C4510" s="2">
        <v>0.71055000000000001</v>
      </c>
      <c r="D4510" s="2" t="s">
        <v>70</v>
      </c>
      <c r="E4510" s="2" t="s">
        <v>29938</v>
      </c>
      <c r="F4510" s="2">
        <v>30519</v>
      </c>
      <c r="G4510" s="3" t="str">
        <f>HYPERLINK("http://funmeta.oebiotech.com/network/30519", "http://funmeta.oebiotech.com/network/30519")</f>
        <v>http://funmeta.oebiotech.com/network/30519</v>
      </c>
      <c r="H4510" s="2"/>
      <c r="I4510" s="2">
        <v>48857</v>
      </c>
      <c r="J4510" s="2" t="s">
        <v>29939</v>
      </c>
      <c r="K4510" s="2"/>
      <c r="L4510" s="2"/>
      <c r="M4510" s="2"/>
      <c r="N4510" s="2"/>
      <c r="O4510" s="2">
        <v>10449654</v>
      </c>
      <c r="P4510" s="2"/>
      <c r="Q4510" s="2" t="s">
        <v>29940</v>
      </c>
      <c r="R4510" s="2" t="s">
        <v>29941</v>
      </c>
      <c r="S4510" s="2" t="s">
        <v>115</v>
      </c>
      <c r="T4510" s="2" t="s">
        <v>139</v>
      </c>
      <c r="U4510" s="2" t="s">
        <v>8586</v>
      </c>
      <c r="V4510" s="2" t="s">
        <v>59</v>
      </c>
      <c r="W4510" s="2">
        <v>36.6</v>
      </c>
      <c r="X4510" s="2">
        <v>0</v>
      </c>
      <c r="Y4510" s="2" t="s">
        <v>408</v>
      </c>
      <c r="Z4510" s="2" t="s">
        <v>29942</v>
      </c>
      <c r="AA4510" s="2">
        <v>-2.52472959971736</v>
      </c>
      <c r="AB4510" s="2">
        <v>0.139178398443246</v>
      </c>
      <c r="AC4510" s="2">
        <v>65311.829275668802</v>
      </c>
      <c r="AD4510" s="2">
        <v>58789.8831390212</v>
      </c>
      <c r="AE4510" s="2">
        <v>48628.213757656697</v>
      </c>
      <c r="AF4510" s="2">
        <v>86795.025500230302</v>
      </c>
      <c r="AG4510" s="2">
        <v>50551.136388465799</v>
      </c>
      <c r="AH4510" s="2">
        <v>84297.7725954372</v>
      </c>
      <c r="AI4510" s="2">
        <v>81671.661426913401</v>
      </c>
      <c r="AJ4510" s="2">
        <v>39927.165985309199</v>
      </c>
      <c r="AK4510" s="2">
        <v>48897.464460778698</v>
      </c>
      <c r="AL4510" s="2">
        <v>57917.685839319704</v>
      </c>
      <c r="AM4510" s="2">
        <v>47256.756574099098</v>
      </c>
      <c r="AN4510" s="2">
        <v>72179.487537736903</v>
      </c>
      <c r="AO4510" s="2">
        <v>74283.020456590806</v>
      </c>
      <c r="AP4510" s="2">
        <v>52204.883965601803</v>
      </c>
    </row>
    <row r="4511" spans="1:42" ht="14.5" x14ac:dyDescent="0.35">
      <c r="A4511" s="2" t="s">
        <v>29943</v>
      </c>
      <c r="B4511" s="2">
        <v>1024.2743040489399</v>
      </c>
      <c r="C4511" s="2">
        <v>9.6761166666666707</v>
      </c>
      <c r="D4511" s="2" t="s">
        <v>70</v>
      </c>
      <c r="E4511" s="2" t="s">
        <v>29944</v>
      </c>
      <c r="F4511" s="2">
        <v>28550</v>
      </c>
      <c r="G4511" s="3" t="str">
        <f>HYPERLINK("http://funmeta.oebiotech.com/network/28550", "http://funmeta.oebiotech.com/network/28550")</f>
        <v>http://funmeta.oebiotech.com/network/28550</v>
      </c>
      <c r="H4511" s="2"/>
      <c r="I4511" s="2"/>
      <c r="J4511" s="2" t="s">
        <v>29945</v>
      </c>
      <c r="K4511" s="2"/>
      <c r="L4511" s="2"/>
      <c r="M4511" s="2"/>
      <c r="N4511" s="2"/>
      <c r="O4511" s="2">
        <v>101083474</v>
      </c>
      <c r="P4511" s="2"/>
      <c r="Q4511" s="2" t="s">
        <v>29946</v>
      </c>
      <c r="R4511" s="2" t="s">
        <v>29947</v>
      </c>
      <c r="S4511" s="2" t="s">
        <v>115</v>
      </c>
      <c r="T4511" s="2" t="s">
        <v>139</v>
      </c>
      <c r="U4511" s="2" t="s">
        <v>140</v>
      </c>
      <c r="V4511" s="2" t="s">
        <v>59</v>
      </c>
      <c r="W4511" s="2">
        <v>36</v>
      </c>
      <c r="X4511" s="2">
        <v>0</v>
      </c>
      <c r="Y4511" s="2" t="s">
        <v>408</v>
      </c>
      <c r="Z4511" s="2" t="s">
        <v>29948</v>
      </c>
      <c r="AA4511" s="2">
        <v>4.2470882623336399</v>
      </c>
      <c r="AB4511" s="2">
        <v>0.139104906014242</v>
      </c>
      <c r="AC4511" s="2">
        <v>1756.7512414001701</v>
      </c>
      <c r="AD4511" s="2">
        <v>51.1531507260542</v>
      </c>
      <c r="AE4511" s="2">
        <v>2269.58484465129</v>
      </c>
      <c r="AF4511" s="2">
        <v>2.7106294003980101E-5</v>
      </c>
      <c r="AG4511" s="2">
        <v>983.15845386731701</v>
      </c>
      <c r="AH4511" s="2">
        <v>3400.6789474248899</v>
      </c>
      <c r="AI4511" s="2">
        <v>1714.92650177427</v>
      </c>
      <c r="AJ4511" s="2">
        <v>2172.1586735769401</v>
      </c>
      <c r="AK4511" s="2">
        <v>2.7106294003980101E-5</v>
      </c>
      <c r="AL4511" s="2">
        <v>2.7106294003980101E-5</v>
      </c>
      <c r="AM4511" s="2">
        <v>2.7106294003980101E-5</v>
      </c>
      <c r="AN4511" s="2">
        <v>17.401317957774801</v>
      </c>
      <c r="AO4511" s="2">
        <v>229.480219968082</v>
      </c>
      <c r="AP4511" s="2">
        <v>60.0372851115863</v>
      </c>
    </row>
    <row r="4512" spans="1:42" ht="14.5" x14ac:dyDescent="0.35">
      <c r="A4512" s="2" t="s">
        <v>29949</v>
      </c>
      <c r="B4512" s="2">
        <v>303.12250232586098</v>
      </c>
      <c r="C4512" s="2">
        <v>4.5663166666666699</v>
      </c>
      <c r="D4512" s="2" t="s">
        <v>34</v>
      </c>
      <c r="E4512" s="2" t="s">
        <v>29950</v>
      </c>
      <c r="F4512" s="2">
        <v>200572</v>
      </c>
      <c r="G4512" s="3" t="str">
        <f>HYPERLINK("http://funmeta.oebiotech.com/network/200572", "http://funmeta.oebiotech.com/network/200572")</f>
        <v>http://funmeta.oebiotech.com/network/200572</v>
      </c>
      <c r="H4512" s="2" t="s">
        <v>29951</v>
      </c>
      <c r="I4512" s="2"/>
      <c r="J4512" s="2"/>
      <c r="K4512" s="2"/>
      <c r="L4512" s="2"/>
      <c r="M4512" s="2"/>
      <c r="N4512" s="2"/>
      <c r="O4512" s="2">
        <v>3367</v>
      </c>
      <c r="P4512" s="2"/>
      <c r="Q4512" s="2" t="s">
        <v>29952</v>
      </c>
      <c r="R4512" s="2" t="s">
        <v>29953</v>
      </c>
      <c r="S4512" s="2" t="s">
        <v>1444</v>
      </c>
      <c r="T4512" s="2" t="s">
        <v>3595</v>
      </c>
      <c r="U4512" s="2" t="s">
        <v>41</v>
      </c>
      <c r="V4512" s="2" t="s">
        <v>59</v>
      </c>
      <c r="W4512" s="2">
        <v>38.1</v>
      </c>
      <c r="X4512" s="2">
        <v>0</v>
      </c>
      <c r="Y4512" s="2" t="s">
        <v>43</v>
      </c>
      <c r="Z4512" s="2" t="s">
        <v>29954</v>
      </c>
      <c r="AA4512" s="2">
        <v>4.7167609003696098</v>
      </c>
      <c r="AB4512" s="2">
        <v>0.13897226265233001</v>
      </c>
      <c r="AC4512" s="2">
        <v>7872.2916264167397</v>
      </c>
      <c r="AD4512" s="2">
        <v>9635.9686015781408</v>
      </c>
      <c r="AE4512" s="2">
        <v>8201.2876485830493</v>
      </c>
      <c r="AF4512" s="2">
        <v>8909.7101553133707</v>
      </c>
      <c r="AG4512" s="2">
        <v>8292.8091758498795</v>
      </c>
      <c r="AH4512" s="2">
        <v>6332.7143973437296</v>
      </c>
      <c r="AI4512" s="2">
        <v>7846.4588170217603</v>
      </c>
      <c r="AJ4512" s="2">
        <v>7650.76956438864</v>
      </c>
      <c r="AK4512" s="2">
        <v>9583.0183472354292</v>
      </c>
      <c r="AL4512" s="2">
        <v>10189.5434723542</v>
      </c>
      <c r="AM4512" s="2">
        <v>10669.991023815999</v>
      </c>
      <c r="AN4512" s="2">
        <v>10266.5658551455</v>
      </c>
      <c r="AO4512" s="2">
        <v>9176.8841053488595</v>
      </c>
      <c r="AP4512" s="2">
        <v>7929.8088055688204</v>
      </c>
    </row>
    <row r="4513" spans="1:42" ht="14.5" x14ac:dyDescent="0.35">
      <c r="A4513" s="2" t="s">
        <v>29955</v>
      </c>
      <c r="B4513" s="2">
        <v>469.243767891142</v>
      </c>
      <c r="C4513" s="2">
        <v>5.3342833333333299</v>
      </c>
      <c r="D4513" s="2" t="s">
        <v>34</v>
      </c>
      <c r="E4513" s="2" t="s">
        <v>29956</v>
      </c>
      <c r="F4513" s="2">
        <v>257640</v>
      </c>
      <c r="G4513" s="3" t="str">
        <f>HYPERLINK("http://funmeta.oebiotech.com/network/257640", "http://funmeta.oebiotech.com/network/257640")</f>
        <v>http://funmeta.oebiotech.com/network/257640</v>
      </c>
      <c r="H4513" s="2" t="s">
        <v>29957</v>
      </c>
      <c r="I4513" s="2"/>
      <c r="J4513" s="2"/>
      <c r="K4513" s="2"/>
      <c r="L4513" s="2"/>
      <c r="M4513" s="2"/>
      <c r="N4513" s="2"/>
      <c r="O4513" s="2"/>
      <c r="P4513" s="2"/>
      <c r="Q4513" s="2" t="s">
        <v>29958</v>
      </c>
      <c r="R4513" s="2" t="s">
        <v>29959</v>
      </c>
      <c r="S4513" s="2" t="s">
        <v>41</v>
      </c>
      <c r="T4513" s="2" t="s">
        <v>41</v>
      </c>
      <c r="U4513" s="2" t="s">
        <v>41</v>
      </c>
      <c r="V4513" s="2" t="s">
        <v>59</v>
      </c>
      <c r="W4513" s="2">
        <v>37.200000000000003</v>
      </c>
      <c r="X4513" s="2">
        <v>0</v>
      </c>
      <c r="Y4513" s="2" t="s">
        <v>323</v>
      </c>
      <c r="Z4513" s="2" t="s">
        <v>29960</v>
      </c>
      <c r="AA4513" s="2">
        <v>0.64893740900187402</v>
      </c>
      <c r="AB4513" s="2">
        <v>0.13887997252728401</v>
      </c>
      <c r="AC4513" s="2">
        <v>22414.596024322502</v>
      </c>
      <c r="AD4513" s="2">
        <v>19923.713757695001</v>
      </c>
      <c r="AE4513" s="2">
        <v>20794.026212491401</v>
      </c>
      <c r="AF4513" s="2">
        <v>20285.424432271</v>
      </c>
      <c r="AG4513" s="2">
        <v>23089.991476073799</v>
      </c>
      <c r="AH4513" s="2">
        <v>20589.262996698799</v>
      </c>
      <c r="AI4513" s="2">
        <v>26511.391789368099</v>
      </c>
      <c r="AJ4513" s="2">
        <v>23217.479239032</v>
      </c>
      <c r="AK4513" s="2">
        <v>17232.373090652101</v>
      </c>
      <c r="AL4513" s="2">
        <v>23333.3506318412</v>
      </c>
      <c r="AM4513" s="2">
        <v>20110.106226293199</v>
      </c>
      <c r="AN4513" s="2">
        <v>19203.031553023098</v>
      </c>
      <c r="AO4513" s="2">
        <v>18543.050366903699</v>
      </c>
      <c r="AP4513" s="2">
        <v>21120.370677456998</v>
      </c>
    </row>
    <row r="4514" spans="1:42" ht="14.5" x14ac:dyDescent="0.35">
      <c r="A4514" s="2" t="s">
        <v>29961</v>
      </c>
      <c r="B4514" s="2">
        <v>227.07906917541399</v>
      </c>
      <c r="C4514" s="2">
        <v>3.6785666666666699</v>
      </c>
      <c r="D4514" s="2" t="s">
        <v>34</v>
      </c>
      <c r="E4514" s="2" t="s">
        <v>29962</v>
      </c>
      <c r="F4514" s="2">
        <v>208420</v>
      </c>
      <c r="G4514" s="3" t="str">
        <f>HYPERLINK("http://funmeta.oebiotech.com/network/208420", "http://funmeta.oebiotech.com/network/208420")</f>
        <v>http://funmeta.oebiotech.com/network/208420</v>
      </c>
      <c r="H4514" s="2" t="s">
        <v>29963</v>
      </c>
      <c r="I4514" s="2"/>
      <c r="J4514" s="2"/>
      <c r="K4514" s="2"/>
      <c r="L4514" s="2"/>
      <c r="M4514" s="2"/>
      <c r="N4514" s="2"/>
      <c r="O4514" s="2">
        <v>76500745</v>
      </c>
      <c r="P4514" s="2"/>
      <c r="Q4514" s="2" t="s">
        <v>29964</v>
      </c>
      <c r="R4514" s="2" t="s">
        <v>29965</v>
      </c>
      <c r="S4514" s="2" t="s">
        <v>41</v>
      </c>
      <c r="T4514" s="2" t="s">
        <v>41</v>
      </c>
      <c r="U4514" s="2" t="s">
        <v>41</v>
      </c>
      <c r="V4514" s="2" t="s">
        <v>59</v>
      </c>
      <c r="W4514" s="2">
        <v>39.700000000000003</v>
      </c>
      <c r="X4514" s="2">
        <v>0</v>
      </c>
      <c r="Y4514" s="2" t="s">
        <v>67</v>
      </c>
      <c r="Z4514" s="2" t="s">
        <v>29966</v>
      </c>
      <c r="AA4514" s="2">
        <v>-0.28962046163004201</v>
      </c>
      <c r="AB4514" s="2">
        <v>0.138864729467961</v>
      </c>
      <c r="AC4514" s="2">
        <v>4969.1836792255299</v>
      </c>
      <c r="AD4514" s="2">
        <v>3631.9533276669199</v>
      </c>
      <c r="AE4514" s="2">
        <v>4620.4462578643097</v>
      </c>
      <c r="AF4514" s="2">
        <v>5063.2869970001202</v>
      </c>
      <c r="AG4514" s="2">
        <v>5089.4013328070296</v>
      </c>
      <c r="AH4514" s="2">
        <v>5515.5809428048697</v>
      </c>
      <c r="AI4514" s="2">
        <v>4792.3807157035399</v>
      </c>
      <c r="AJ4514" s="2">
        <v>4734.0058291733103</v>
      </c>
      <c r="AK4514" s="2">
        <v>3483.3397953867898</v>
      </c>
      <c r="AL4514" s="2">
        <v>3503.76918353971</v>
      </c>
      <c r="AM4514" s="2">
        <v>3721.5824057329601</v>
      </c>
      <c r="AN4514" s="2">
        <v>3785.77233005887</v>
      </c>
      <c r="AO4514" s="2">
        <v>3528.49991950914</v>
      </c>
      <c r="AP4514" s="2">
        <v>3768.7563317740501</v>
      </c>
    </row>
    <row r="4515" spans="1:42" ht="14.5" x14ac:dyDescent="0.35">
      <c r="A4515" s="2" t="s">
        <v>29967</v>
      </c>
      <c r="B4515" s="2">
        <v>168.138107559601</v>
      </c>
      <c r="C4515" s="2">
        <v>11.670033333333301</v>
      </c>
      <c r="D4515" s="2" t="s">
        <v>34</v>
      </c>
      <c r="E4515" s="2" t="s">
        <v>29968</v>
      </c>
      <c r="F4515" s="2">
        <v>255816</v>
      </c>
      <c r="G4515" s="3" t="str">
        <f>HYPERLINK("http://funmeta.oebiotech.com/network/255816", "http://funmeta.oebiotech.com/network/255816")</f>
        <v>http://funmeta.oebiotech.com/network/255816</v>
      </c>
      <c r="H4515" s="2" t="s">
        <v>29969</v>
      </c>
      <c r="I4515" s="2">
        <v>71458</v>
      </c>
      <c r="J4515" s="2"/>
      <c r="K4515" s="2"/>
      <c r="L4515" s="2" t="s">
        <v>29970</v>
      </c>
      <c r="M4515" s="2"/>
      <c r="N4515" s="2"/>
      <c r="O4515" s="2">
        <v>136330</v>
      </c>
      <c r="P4515" s="2" t="s">
        <v>29971</v>
      </c>
      <c r="Q4515" s="2" t="s">
        <v>29972</v>
      </c>
      <c r="R4515" s="2" t="s">
        <v>29973</v>
      </c>
      <c r="S4515" s="2" t="s">
        <v>50</v>
      </c>
      <c r="T4515" s="2" t="s">
        <v>201</v>
      </c>
      <c r="U4515" s="2" t="s">
        <v>265</v>
      </c>
      <c r="V4515" s="2" t="s">
        <v>42</v>
      </c>
      <c r="W4515" s="2">
        <v>48.1</v>
      </c>
      <c r="X4515" s="2">
        <v>46.9</v>
      </c>
      <c r="Y4515" s="2" t="s">
        <v>330</v>
      </c>
      <c r="Z4515" s="2" t="s">
        <v>11678</v>
      </c>
      <c r="AA4515" s="2">
        <v>-1.2194103550381199</v>
      </c>
      <c r="AB4515" s="2">
        <v>0.13872584516417499</v>
      </c>
      <c r="AC4515" s="2">
        <v>5357.3076452941104</v>
      </c>
      <c r="AD4515" s="2">
        <v>3838.9842916787502</v>
      </c>
      <c r="AE4515" s="2">
        <v>5341.3719349317698</v>
      </c>
      <c r="AF4515" s="2">
        <v>5032.5489326164397</v>
      </c>
      <c r="AG4515" s="2">
        <v>5171.6535943626404</v>
      </c>
      <c r="AH4515" s="2">
        <v>5697.21181796987</v>
      </c>
      <c r="AI4515" s="2">
        <v>5482.8448380255104</v>
      </c>
      <c r="AJ4515" s="2">
        <v>5418.2147538584404</v>
      </c>
      <c r="AK4515" s="2">
        <v>3215.53385032701</v>
      </c>
      <c r="AL4515" s="2">
        <v>4784.71188456253</v>
      </c>
      <c r="AM4515" s="2">
        <v>3693.3379899734</v>
      </c>
      <c r="AN4515" s="2">
        <v>4758.5794408193296</v>
      </c>
      <c r="AO4515" s="2">
        <v>3249.2279718340401</v>
      </c>
      <c r="AP4515" s="2">
        <v>3332.5146125562101</v>
      </c>
    </row>
    <row r="4516" spans="1:42" ht="14.5" x14ac:dyDescent="0.35">
      <c r="A4516" s="2" t="s">
        <v>29974</v>
      </c>
      <c r="B4516" s="2">
        <v>319.08102782484099</v>
      </c>
      <c r="C4516" s="2">
        <v>5.1837999999999997</v>
      </c>
      <c r="D4516" s="2" t="s">
        <v>34</v>
      </c>
      <c r="E4516" s="2" t="s">
        <v>29975</v>
      </c>
      <c r="F4516" s="2">
        <v>35049</v>
      </c>
      <c r="G4516" s="3" t="str">
        <f>HYPERLINK("http://funmeta.oebiotech.com/network/35049", "http://funmeta.oebiotech.com/network/35049")</f>
        <v>http://funmeta.oebiotech.com/network/35049</v>
      </c>
      <c r="H4516" s="2"/>
      <c r="I4516" s="2">
        <v>41021</v>
      </c>
      <c r="J4516" s="2" t="s">
        <v>29976</v>
      </c>
      <c r="K4516" s="2">
        <v>15871</v>
      </c>
      <c r="L4516" s="2" t="s">
        <v>29977</v>
      </c>
      <c r="M4516" s="2"/>
      <c r="N4516" s="2"/>
      <c r="O4516" s="2">
        <v>99613</v>
      </c>
      <c r="P4516" s="2"/>
      <c r="Q4516" s="2" t="s">
        <v>29978</v>
      </c>
      <c r="R4516" s="2" t="s">
        <v>29979</v>
      </c>
      <c r="S4516" s="2" t="s">
        <v>115</v>
      </c>
      <c r="T4516" s="2" t="s">
        <v>2833</v>
      </c>
      <c r="U4516" s="2" t="s">
        <v>41</v>
      </c>
      <c r="V4516" s="2" t="s">
        <v>59</v>
      </c>
      <c r="W4516" s="2">
        <v>38.5</v>
      </c>
      <c r="X4516" s="2">
        <v>0</v>
      </c>
      <c r="Y4516" s="2" t="s">
        <v>394</v>
      </c>
      <c r="Z4516" s="2" t="s">
        <v>29980</v>
      </c>
      <c r="AA4516" s="2">
        <v>-0.63316425965269396</v>
      </c>
      <c r="AB4516" s="2">
        <v>0.138722764509358</v>
      </c>
      <c r="AC4516" s="2">
        <v>2925.0366124794</v>
      </c>
      <c r="AD4516" s="2">
        <v>4898.59459678646</v>
      </c>
      <c r="AE4516" s="2">
        <v>2588.1451047629298</v>
      </c>
      <c r="AF4516" s="2">
        <v>2438.689711385</v>
      </c>
      <c r="AG4516" s="2">
        <v>2901.7279313651502</v>
      </c>
      <c r="AH4516" s="2">
        <v>3257.2102089080099</v>
      </c>
      <c r="AI4516" s="2">
        <v>3421.2117364461001</v>
      </c>
      <c r="AJ4516" s="2">
        <v>2943.2349820092199</v>
      </c>
      <c r="AK4516" s="2">
        <v>1890.47980915366</v>
      </c>
      <c r="AL4516" s="2">
        <v>4693.9910274866097</v>
      </c>
      <c r="AM4516" s="2">
        <v>4092.74858040151</v>
      </c>
      <c r="AN4516" s="2">
        <v>7233.0087223587998</v>
      </c>
      <c r="AO4516" s="2">
        <v>5413.5722029914896</v>
      </c>
      <c r="AP4516" s="2">
        <v>6067.7672383267</v>
      </c>
    </row>
    <row r="4517" spans="1:42" ht="14.5" x14ac:dyDescent="0.35">
      <c r="A4517" s="2" t="s">
        <v>29981</v>
      </c>
      <c r="B4517" s="2">
        <v>453.21283278053198</v>
      </c>
      <c r="C4517" s="2">
        <v>5.5993333333333304</v>
      </c>
      <c r="D4517" s="2" t="s">
        <v>70</v>
      </c>
      <c r="E4517" s="2" t="s">
        <v>29982</v>
      </c>
      <c r="F4517" s="2">
        <v>60509</v>
      </c>
      <c r="G4517" s="3" t="str">
        <f>HYPERLINK("http://funmeta.oebiotech.com/network/60509", "http://funmeta.oebiotech.com/network/60509")</f>
        <v>http://funmeta.oebiotech.com/network/60509</v>
      </c>
      <c r="H4517" s="2" t="s">
        <v>29983</v>
      </c>
      <c r="I4517" s="2"/>
      <c r="J4517" s="2"/>
      <c r="K4517" s="2"/>
      <c r="L4517" s="2" t="s">
        <v>29984</v>
      </c>
      <c r="M4517" s="2"/>
      <c r="N4517" s="2"/>
      <c r="O4517" s="2">
        <v>5088211</v>
      </c>
      <c r="P4517" s="2" t="s">
        <v>29985</v>
      </c>
      <c r="Q4517" s="2" t="s">
        <v>29986</v>
      </c>
      <c r="R4517" s="2" t="s">
        <v>29987</v>
      </c>
      <c r="S4517" s="2" t="s">
        <v>50</v>
      </c>
      <c r="T4517" s="2" t="s">
        <v>201</v>
      </c>
      <c r="U4517" s="2" t="s">
        <v>241</v>
      </c>
      <c r="V4517" s="2" t="s">
        <v>42</v>
      </c>
      <c r="W4517" s="2">
        <v>51</v>
      </c>
      <c r="X4517" s="2">
        <v>56.6</v>
      </c>
      <c r="Y4517" s="2" t="s">
        <v>408</v>
      </c>
      <c r="Z4517" s="2" t="s">
        <v>29988</v>
      </c>
      <c r="AA4517" s="2">
        <v>-0.424905285907273</v>
      </c>
      <c r="AB4517" s="2">
        <v>0.13870705520295601</v>
      </c>
      <c r="AC4517" s="2">
        <v>238664.19333799501</v>
      </c>
      <c r="AD4517" s="2">
        <v>244213.09332883899</v>
      </c>
      <c r="AE4517" s="2">
        <v>249168.481489659</v>
      </c>
      <c r="AF4517" s="2">
        <v>240164.09158922301</v>
      </c>
      <c r="AG4517" s="2">
        <v>242574.67528565801</v>
      </c>
      <c r="AH4517" s="2">
        <v>224320.95837085901</v>
      </c>
      <c r="AI4517" s="2">
        <v>217187.249724358</v>
      </c>
      <c r="AJ4517" s="2">
        <v>258569.70356821199</v>
      </c>
      <c r="AK4517" s="2">
        <v>242953.41557438899</v>
      </c>
      <c r="AL4517" s="2">
        <v>239558.172778209</v>
      </c>
      <c r="AM4517" s="2">
        <v>258225.19707403099</v>
      </c>
      <c r="AN4517" s="2">
        <v>246546.59003627501</v>
      </c>
      <c r="AO4517" s="2">
        <v>245139.46128987701</v>
      </c>
      <c r="AP4517" s="2">
        <v>232855.723220254</v>
      </c>
    </row>
    <row r="4518" spans="1:42" ht="14.5" x14ac:dyDescent="0.35">
      <c r="A4518" s="2" t="s">
        <v>29989</v>
      </c>
      <c r="B4518" s="2">
        <v>437.06365207162202</v>
      </c>
      <c r="C4518" s="2">
        <v>2.0508333333333302</v>
      </c>
      <c r="D4518" s="2" t="s">
        <v>34</v>
      </c>
      <c r="E4518" s="2" t="s">
        <v>29990</v>
      </c>
      <c r="F4518" s="2">
        <v>202502</v>
      </c>
      <c r="G4518" s="3" t="str">
        <f>HYPERLINK("http://funmeta.oebiotech.com/network/202502", "http://funmeta.oebiotech.com/network/202502")</f>
        <v>http://funmeta.oebiotech.com/network/202502</v>
      </c>
      <c r="H4518" s="2" t="s">
        <v>29991</v>
      </c>
      <c r="I4518" s="2"/>
      <c r="J4518" s="2"/>
      <c r="K4518" s="2"/>
      <c r="L4518" s="2"/>
      <c r="M4518" s="2"/>
      <c r="N4518" s="2"/>
      <c r="O4518" s="2">
        <v>321135</v>
      </c>
      <c r="P4518" s="2"/>
      <c r="Q4518" s="2" t="s">
        <v>29992</v>
      </c>
      <c r="R4518" s="2" t="s">
        <v>29993</v>
      </c>
      <c r="S4518" s="2" t="s">
        <v>148</v>
      </c>
      <c r="T4518" s="2" t="s">
        <v>22540</v>
      </c>
      <c r="U4518" s="2" t="s">
        <v>22541</v>
      </c>
      <c r="V4518" s="2" t="s">
        <v>59</v>
      </c>
      <c r="W4518" s="2">
        <v>37.200000000000003</v>
      </c>
      <c r="X4518" s="2">
        <v>0</v>
      </c>
      <c r="Y4518" s="2" t="s">
        <v>340</v>
      </c>
      <c r="Z4518" s="2" t="s">
        <v>29994</v>
      </c>
      <c r="AA4518" s="2">
        <v>0.82003954842653504</v>
      </c>
      <c r="AB4518" s="2">
        <v>0.13869761452458601</v>
      </c>
      <c r="AC4518" s="2">
        <v>7318.4598892099302</v>
      </c>
      <c r="AD4518" s="2">
        <v>5484.0325705291798</v>
      </c>
      <c r="AE4518" s="2">
        <v>8146.9907079234299</v>
      </c>
      <c r="AF4518" s="2">
        <v>7365.8870319072603</v>
      </c>
      <c r="AG4518" s="2">
        <v>7282.2101846879305</v>
      </c>
      <c r="AH4518" s="2">
        <v>7685.0826914438003</v>
      </c>
      <c r="AI4518" s="2">
        <v>6279.2158499410898</v>
      </c>
      <c r="AJ4518" s="2">
        <v>7151.3728693560897</v>
      </c>
      <c r="AK4518" s="2">
        <v>3136.2276293764598</v>
      </c>
      <c r="AL4518" s="2">
        <v>5342.1906747283201</v>
      </c>
      <c r="AM4518" s="2">
        <v>7314.3975449089503</v>
      </c>
      <c r="AN4518" s="2">
        <v>5939.4084451313502</v>
      </c>
      <c r="AO4518" s="2">
        <v>5215.3583023311503</v>
      </c>
      <c r="AP4518" s="2">
        <v>5956.6128266988699</v>
      </c>
    </row>
    <row r="4519" spans="1:42" ht="14.5" x14ac:dyDescent="0.35">
      <c r="A4519" s="2" t="s">
        <v>29995</v>
      </c>
      <c r="B4519" s="2">
        <v>291.122085322825</v>
      </c>
      <c r="C4519" s="2">
        <v>4.89903333333333</v>
      </c>
      <c r="D4519" s="2" t="s">
        <v>34</v>
      </c>
      <c r="E4519" s="2" t="s">
        <v>29996</v>
      </c>
      <c r="F4519" s="2">
        <v>515470</v>
      </c>
      <c r="G4519" s="3" t="str">
        <f>HYPERLINK("http://funmeta.oebiotech.com/network/515470", "http://funmeta.oebiotech.com/network/515470")</f>
        <v>http://funmeta.oebiotech.com/network/515470</v>
      </c>
      <c r="H4519" s="2"/>
      <c r="I4519" s="2">
        <v>96492</v>
      </c>
      <c r="J4519" s="2"/>
      <c r="K4519" s="2"/>
      <c r="L4519" s="2"/>
      <c r="M4519" s="2"/>
      <c r="N4519" s="2"/>
      <c r="O4519" s="2">
        <v>131866484</v>
      </c>
      <c r="P4519" s="2" t="s">
        <v>29997</v>
      </c>
      <c r="Q4519" s="2" t="s">
        <v>27863</v>
      </c>
      <c r="R4519" s="2" t="s">
        <v>29998</v>
      </c>
      <c r="S4519" s="2" t="s">
        <v>148</v>
      </c>
      <c r="T4519" s="2" t="s">
        <v>149</v>
      </c>
      <c r="U4519" s="2" t="s">
        <v>1593</v>
      </c>
      <c r="V4519" s="2" t="s">
        <v>59</v>
      </c>
      <c r="W4519" s="2">
        <v>39.1</v>
      </c>
      <c r="X4519" s="2">
        <v>0</v>
      </c>
      <c r="Y4519" s="2" t="s">
        <v>323</v>
      </c>
      <c r="Z4519" s="2" t="s">
        <v>29999</v>
      </c>
      <c r="AA4519" s="2">
        <v>-0.56974846347078201</v>
      </c>
      <c r="AB4519" s="2">
        <v>0.138692047366269</v>
      </c>
      <c r="AC4519" s="2">
        <v>2063.6239265938898</v>
      </c>
      <c r="AD4519" s="2">
        <v>3872.6673762751102</v>
      </c>
      <c r="AE4519" s="2">
        <v>1012.99796843508</v>
      </c>
      <c r="AF4519" s="2">
        <v>3520.01461408047</v>
      </c>
      <c r="AG4519" s="2">
        <v>2473.5029497187402</v>
      </c>
      <c r="AH4519" s="2">
        <v>1606.32553091249</v>
      </c>
      <c r="AI4519" s="2">
        <v>2519.3000227495199</v>
      </c>
      <c r="AJ4519" s="2">
        <v>1249.6024736670499</v>
      </c>
      <c r="AK4519" s="2">
        <v>3728.6567422355301</v>
      </c>
      <c r="AL4519" s="2">
        <v>4582.3446942824003</v>
      </c>
      <c r="AM4519" s="2">
        <v>2877.7212209184099</v>
      </c>
      <c r="AN4519" s="2">
        <v>2556.42753970072</v>
      </c>
      <c r="AO4519" s="2">
        <v>5424.7634113245404</v>
      </c>
      <c r="AP4519" s="2">
        <v>4066.0906491890501</v>
      </c>
    </row>
    <row r="4520" spans="1:42" ht="14.5" x14ac:dyDescent="0.35">
      <c r="A4520" s="2" t="s">
        <v>30000</v>
      </c>
      <c r="B4520" s="2">
        <v>323.108515502535</v>
      </c>
      <c r="C4520" s="2">
        <v>7.3181333333333303</v>
      </c>
      <c r="D4520" s="2" t="s">
        <v>70</v>
      </c>
      <c r="E4520" s="2" t="s">
        <v>30001</v>
      </c>
      <c r="F4520" s="2">
        <v>200157</v>
      </c>
      <c r="G4520" s="3" t="str">
        <f>HYPERLINK("http://funmeta.oebiotech.com/network/200157", "http://funmeta.oebiotech.com/network/200157")</f>
        <v>http://funmeta.oebiotech.com/network/200157</v>
      </c>
      <c r="H4520" s="2" t="s">
        <v>30002</v>
      </c>
      <c r="I4520" s="2">
        <v>336311</v>
      </c>
      <c r="J4520" s="2"/>
      <c r="K4520" s="2"/>
      <c r="L4520" s="2"/>
      <c r="M4520" s="2"/>
      <c r="N4520" s="2"/>
      <c r="O4520" s="2">
        <v>8773</v>
      </c>
      <c r="P4520" s="2"/>
      <c r="Q4520" s="2" t="s">
        <v>30003</v>
      </c>
      <c r="R4520" s="2" t="s">
        <v>30004</v>
      </c>
      <c r="S4520" s="2" t="s">
        <v>89</v>
      </c>
      <c r="T4520" s="2" t="s">
        <v>90</v>
      </c>
      <c r="U4520" s="2" t="s">
        <v>99</v>
      </c>
      <c r="V4520" s="2" t="s">
        <v>59</v>
      </c>
      <c r="W4520" s="2">
        <v>38.1</v>
      </c>
      <c r="X4520" s="2">
        <v>0</v>
      </c>
      <c r="Y4520" s="2" t="s">
        <v>408</v>
      </c>
      <c r="Z4520" s="2" t="s">
        <v>30005</v>
      </c>
      <c r="AA4520" s="2">
        <v>-3.9131486206500501</v>
      </c>
      <c r="AB4520" s="2">
        <v>0.13868918714471601</v>
      </c>
      <c r="AC4520" s="2">
        <v>5640.7875568180298</v>
      </c>
      <c r="AD4520" s="2">
        <v>7172.4726634551898</v>
      </c>
      <c r="AE4520" s="2">
        <v>5198.9323695475396</v>
      </c>
      <c r="AF4520" s="2">
        <v>5578.22007014667</v>
      </c>
      <c r="AG4520" s="2">
        <v>5863.2800683028099</v>
      </c>
      <c r="AH4520" s="2">
        <v>5440.3089040533096</v>
      </c>
      <c r="AI4520" s="2">
        <v>6018.0129630723704</v>
      </c>
      <c r="AJ4520" s="2">
        <v>5745.9709657854801</v>
      </c>
      <c r="AK4520" s="2">
        <v>7891.9728980036298</v>
      </c>
      <c r="AL4520" s="2">
        <v>8075.9132571741202</v>
      </c>
      <c r="AM4520" s="2">
        <v>7432.3692888736095</v>
      </c>
      <c r="AN4520" s="2">
        <v>6219.6240679644097</v>
      </c>
      <c r="AO4520" s="2">
        <v>6506.4058223512502</v>
      </c>
      <c r="AP4520" s="2">
        <v>6908.5506463641404</v>
      </c>
    </row>
    <row r="4521" spans="1:42" ht="14.5" x14ac:dyDescent="0.35">
      <c r="A4521" s="2" t="s">
        <v>30006</v>
      </c>
      <c r="B4521" s="2">
        <v>417.26098830389401</v>
      </c>
      <c r="C4521" s="2">
        <v>10.132666666666699</v>
      </c>
      <c r="D4521" s="2" t="s">
        <v>34</v>
      </c>
      <c r="E4521" s="2" t="s">
        <v>30007</v>
      </c>
      <c r="F4521" s="2">
        <v>53085</v>
      </c>
      <c r="G4521" s="3" t="str">
        <f>HYPERLINK("http://funmeta.oebiotech.com/network/53085", "http://funmeta.oebiotech.com/network/53085")</f>
        <v>http://funmeta.oebiotech.com/network/53085</v>
      </c>
      <c r="H4521" s="2" t="s">
        <v>30008</v>
      </c>
      <c r="I4521" s="2">
        <v>844</v>
      </c>
      <c r="J4521" s="2"/>
      <c r="K4521" s="2">
        <v>2569</v>
      </c>
      <c r="L4521" s="2" t="s">
        <v>30009</v>
      </c>
      <c r="M4521" s="2"/>
      <c r="N4521" s="2"/>
      <c r="O4521" s="2">
        <v>51263</v>
      </c>
      <c r="P4521" s="2" t="s">
        <v>30010</v>
      </c>
      <c r="Q4521" s="2" t="s">
        <v>30011</v>
      </c>
      <c r="R4521" s="2" t="s">
        <v>30012</v>
      </c>
      <c r="S4521" s="2" t="s">
        <v>148</v>
      </c>
      <c r="T4521" s="2" t="s">
        <v>149</v>
      </c>
      <c r="U4521" s="2" t="s">
        <v>4630</v>
      </c>
      <c r="V4521" s="2" t="s">
        <v>59</v>
      </c>
      <c r="W4521" s="2">
        <v>38.799999999999997</v>
      </c>
      <c r="X4521" s="2">
        <v>0</v>
      </c>
      <c r="Y4521" s="2" t="s">
        <v>394</v>
      </c>
      <c r="Z4521" s="2" t="s">
        <v>30013</v>
      </c>
      <c r="AA4521" s="2">
        <v>0.29539246495737898</v>
      </c>
      <c r="AB4521" s="2">
        <v>0.13868411645255399</v>
      </c>
      <c r="AC4521" s="2">
        <v>1687.2398885702601</v>
      </c>
      <c r="AD4521" s="2">
        <v>406.70081879733999</v>
      </c>
      <c r="AE4521" s="2">
        <v>1724.9398298696401</v>
      </c>
      <c r="AF4521" s="2">
        <v>1776.7485471049499</v>
      </c>
      <c r="AG4521" s="2">
        <v>1469.18642141389</v>
      </c>
      <c r="AH4521" s="2">
        <v>1569.26301004538</v>
      </c>
      <c r="AI4521" s="2">
        <v>1788.6549286456</v>
      </c>
      <c r="AJ4521" s="2">
        <v>1794.6465943421099</v>
      </c>
      <c r="AK4521" s="2">
        <v>357.53892558194201</v>
      </c>
      <c r="AL4521" s="2">
        <v>371.67294258181698</v>
      </c>
      <c r="AM4521" s="2">
        <v>553.00781815939797</v>
      </c>
      <c r="AN4521" s="2">
        <v>296.15802143287601</v>
      </c>
      <c r="AO4521" s="2">
        <v>448.43344050172198</v>
      </c>
      <c r="AP4521" s="2">
        <v>413.393764526285</v>
      </c>
    </row>
    <row r="4522" spans="1:42" ht="14.5" x14ac:dyDescent="0.35">
      <c r="A4522" s="2" t="s">
        <v>30014</v>
      </c>
      <c r="B4522" s="2">
        <v>289.07146832641598</v>
      </c>
      <c r="C4522" s="2">
        <v>3.7494000000000001</v>
      </c>
      <c r="D4522" s="2" t="s">
        <v>70</v>
      </c>
      <c r="E4522" s="2" t="s">
        <v>30015</v>
      </c>
      <c r="F4522" s="2">
        <v>254840</v>
      </c>
      <c r="G4522" s="3" t="str">
        <f>HYPERLINK("http://funmeta.oebiotech.com/network/254840", "http://funmeta.oebiotech.com/network/254840")</f>
        <v>http://funmeta.oebiotech.com/network/254840</v>
      </c>
      <c r="H4522" s="2" t="s">
        <v>30016</v>
      </c>
      <c r="I4522" s="2"/>
      <c r="J4522" s="2"/>
      <c r="K4522" s="2"/>
      <c r="L4522" s="2"/>
      <c r="M4522" s="2"/>
      <c r="N4522" s="2"/>
      <c r="O4522" s="2">
        <v>61327</v>
      </c>
      <c r="P4522" s="2" t="s">
        <v>30017</v>
      </c>
      <c r="Q4522" s="2" t="s">
        <v>30018</v>
      </c>
      <c r="R4522" s="2" t="s">
        <v>30019</v>
      </c>
      <c r="S4522" s="2" t="s">
        <v>89</v>
      </c>
      <c r="T4522" s="2" t="s">
        <v>90</v>
      </c>
      <c r="U4522" s="2" t="s">
        <v>99</v>
      </c>
      <c r="V4522" s="2" t="s">
        <v>59</v>
      </c>
      <c r="W4522" s="2">
        <v>37.799999999999997</v>
      </c>
      <c r="X4522" s="2">
        <v>0</v>
      </c>
      <c r="Y4522" s="2" t="s">
        <v>408</v>
      </c>
      <c r="Z4522" s="2" t="s">
        <v>30020</v>
      </c>
      <c r="AA4522" s="2">
        <v>-3.1981610754998702</v>
      </c>
      <c r="AB4522" s="2">
        <v>0.13866834817868801</v>
      </c>
      <c r="AC4522" s="2">
        <v>3247.6776840971802</v>
      </c>
      <c r="AD4522" s="2">
        <v>1830.4170277739599</v>
      </c>
      <c r="AE4522" s="2">
        <v>3623.1208803423201</v>
      </c>
      <c r="AF4522" s="2">
        <v>3145.2515979888099</v>
      </c>
      <c r="AG4522" s="2">
        <v>2794.4384180413299</v>
      </c>
      <c r="AH4522" s="2">
        <v>3463.1397089074899</v>
      </c>
      <c r="AI4522" s="2">
        <v>3798.96738206686</v>
      </c>
      <c r="AJ4522" s="2">
        <v>2661.1481172362701</v>
      </c>
      <c r="AK4522" s="2">
        <v>2110.6975292666998</v>
      </c>
      <c r="AL4522" s="2">
        <v>2010.8263449548999</v>
      </c>
      <c r="AM4522" s="2">
        <v>1656.07503904143</v>
      </c>
      <c r="AN4522" s="2">
        <v>1342.51997545107</v>
      </c>
      <c r="AO4522" s="2">
        <v>1722.9111750147799</v>
      </c>
      <c r="AP4522" s="2">
        <v>2139.4721029149</v>
      </c>
    </row>
    <row r="4523" spans="1:42" ht="14.5" x14ac:dyDescent="0.35">
      <c r="A4523" s="2" t="s">
        <v>30021</v>
      </c>
      <c r="B4523" s="2">
        <v>262.12840971307401</v>
      </c>
      <c r="C4523" s="2">
        <v>1.06171666666667</v>
      </c>
      <c r="D4523" s="2" t="s">
        <v>34</v>
      </c>
      <c r="E4523" s="2" t="s">
        <v>30022</v>
      </c>
      <c r="F4523" s="2">
        <v>52190</v>
      </c>
      <c r="G4523" s="3" t="str">
        <f>HYPERLINK("http://funmeta.oebiotech.com/network/52190", "http://funmeta.oebiotech.com/network/52190")</f>
        <v>http://funmeta.oebiotech.com/network/52190</v>
      </c>
      <c r="H4523" s="2" t="s">
        <v>30023</v>
      </c>
      <c r="I4523" s="2"/>
      <c r="J4523" s="2"/>
      <c r="K4523" s="2"/>
      <c r="L4523" s="2"/>
      <c r="M4523" s="2"/>
      <c r="N4523" s="2"/>
      <c r="O4523" s="2"/>
      <c r="P4523" s="2" t="s">
        <v>30024</v>
      </c>
      <c r="Q4523" s="2" t="s">
        <v>30025</v>
      </c>
      <c r="R4523" s="2" t="s">
        <v>30026</v>
      </c>
      <c r="S4523" s="2" t="s">
        <v>50</v>
      </c>
      <c r="T4523" s="2" t="s">
        <v>229</v>
      </c>
      <c r="U4523" s="2" t="s">
        <v>1914</v>
      </c>
      <c r="V4523" s="2" t="s">
        <v>59</v>
      </c>
      <c r="W4523" s="2">
        <v>38.700000000000003</v>
      </c>
      <c r="X4523" s="2">
        <v>0</v>
      </c>
      <c r="Y4523" s="2" t="s">
        <v>266</v>
      </c>
      <c r="Z4523" s="2" t="s">
        <v>30027</v>
      </c>
      <c r="AA4523" s="2">
        <v>-0.39847550014268301</v>
      </c>
      <c r="AB4523" s="2">
        <v>0.13861784279902101</v>
      </c>
      <c r="AC4523" s="2">
        <v>5262.9932927066802</v>
      </c>
      <c r="AD4523" s="2">
        <v>3680.9871579877099</v>
      </c>
      <c r="AE4523" s="2">
        <v>6662.38484823624</v>
      </c>
      <c r="AF4523" s="2">
        <v>5867.9238159207898</v>
      </c>
      <c r="AG4523" s="2">
        <v>4753.1858127453297</v>
      </c>
      <c r="AH4523" s="2">
        <v>4552.7920355190699</v>
      </c>
      <c r="AI4523" s="2">
        <v>5106.2835949314003</v>
      </c>
      <c r="AJ4523" s="2">
        <v>4635.3896488872397</v>
      </c>
      <c r="AK4523" s="2">
        <v>3294.66428566685</v>
      </c>
      <c r="AL4523" s="2">
        <v>3996.6664543813499</v>
      </c>
      <c r="AM4523" s="2">
        <v>3285.9709954564601</v>
      </c>
      <c r="AN4523" s="2">
        <v>4023.9937926491202</v>
      </c>
      <c r="AO4523" s="2">
        <v>4160.5776400179002</v>
      </c>
      <c r="AP4523" s="2">
        <v>3324.0497797546</v>
      </c>
    </row>
    <row r="4524" spans="1:42" ht="14.5" x14ac:dyDescent="0.35">
      <c r="A4524" s="2" t="s">
        <v>30028</v>
      </c>
      <c r="B4524" s="2">
        <v>982.26324079686299</v>
      </c>
      <c r="C4524" s="2">
        <v>9.7135833333333306</v>
      </c>
      <c r="D4524" s="2" t="s">
        <v>70</v>
      </c>
      <c r="E4524" s="2" t="s">
        <v>30029</v>
      </c>
      <c r="F4524" s="2">
        <v>254690</v>
      </c>
      <c r="G4524" s="3" t="str">
        <f>HYPERLINK("http://funmeta.oebiotech.com/network/254690", "http://funmeta.oebiotech.com/network/254690")</f>
        <v>http://funmeta.oebiotech.com/network/254690</v>
      </c>
      <c r="H4524" s="2" t="s">
        <v>30030</v>
      </c>
      <c r="I4524" s="2"/>
      <c r="J4524" s="2"/>
      <c r="K4524" s="2"/>
      <c r="L4524" s="2"/>
      <c r="M4524" s="2"/>
      <c r="N4524" s="2"/>
      <c r="O4524" s="2"/>
      <c r="P4524" s="2"/>
      <c r="Q4524" s="2" t="s">
        <v>30031</v>
      </c>
      <c r="R4524" s="2" t="s">
        <v>30032</v>
      </c>
      <c r="S4524" s="2" t="s">
        <v>41</v>
      </c>
      <c r="T4524" s="2" t="s">
        <v>41</v>
      </c>
      <c r="U4524" s="2" t="s">
        <v>41</v>
      </c>
      <c r="V4524" s="2" t="s">
        <v>59</v>
      </c>
      <c r="W4524" s="2">
        <v>36.299999999999997</v>
      </c>
      <c r="X4524" s="2">
        <v>0</v>
      </c>
      <c r="Y4524" s="2" t="s">
        <v>751</v>
      </c>
      <c r="Z4524" s="2" t="s">
        <v>30033</v>
      </c>
      <c r="AA4524" s="2">
        <v>3.8880153926893799</v>
      </c>
      <c r="AB4524" s="2">
        <v>0.13858841808714101</v>
      </c>
      <c r="AC4524" s="2">
        <v>13522.332642675899</v>
      </c>
      <c r="AD4524" s="2">
        <v>16057.5510907768</v>
      </c>
      <c r="AE4524" s="2">
        <v>14339.4637845815</v>
      </c>
      <c r="AF4524" s="2">
        <v>12032.630863529001</v>
      </c>
      <c r="AG4524" s="2">
        <v>12746.4997160565</v>
      </c>
      <c r="AH4524" s="2">
        <v>11750.325057023199</v>
      </c>
      <c r="AI4524" s="2">
        <v>13395.211908474999</v>
      </c>
      <c r="AJ4524" s="2">
        <v>16869.8645263904</v>
      </c>
      <c r="AK4524" s="2">
        <v>11071.404122440799</v>
      </c>
      <c r="AL4524" s="2">
        <v>17278.242814470301</v>
      </c>
      <c r="AM4524" s="2">
        <v>18338.760136454599</v>
      </c>
      <c r="AN4524" s="2">
        <v>18797.914181583401</v>
      </c>
      <c r="AO4524" s="2">
        <v>16593.798018769099</v>
      </c>
      <c r="AP4524" s="2">
        <v>14265.187270942601</v>
      </c>
    </row>
    <row r="4525" spans="1:42" ht="14.5" x14ac:dyDescent="0.35">
      <c r="A4525" s="2" t="s">
        <v>30034</v>
      </c>
      <c r="B4525" s="2">
        <v>481.113816611056</v>
      </c>
      <c r="C4525" s="2">
        <v>5.5431833333333298</v>
      </c>
      <c r="D4525" s="2" t="s">
        <v>70</v>
      </c>
      <c r="E4525" s="2" t="s">
        <v>30035</v>
      </c>
      <c r="F4525" s="2">
        <v>30483</v>
      </c>
      <c r="G4525" s="3" t="str">
        <f>HYPERLINK("http://funmeta.oebiotech.com/network/30483", "http://funmeta.oebiotech.com/network/30483")</f>
        <v>http://funmeta.oebiotech.com/network/30483</v>
      </c>
      <c r="H4525" s="2"/>
      <c r="I4525" s="2"/>
      <c r="J4525" s="2" t="s">
        <v>30036</v>
      </c>
      <c r="K4525" s="2"/>
      <c r="L4525" s="2"/>
      <c r="M4525" s="2"/>
      <c r="N4525" s="2"/>
      <c r="O4525" s="2">
        <v>14334939</v>
      </c>
      <c r="P4525" s="2"/>
      <c r="Q4525" s="2" t="s">
        <v>30037</v>
      </c>
      <c r="R4525" s="2" t="s">
        <v>30038</v>
      </c>
      <c r="S4525" s="2" t="s">
        <v>115</v>
      </c>
      <c r="T4525" s="2" t="s">
        <v>139</v>
      </c>
      <c r="U4525" s="2" t="s">
        <v>140</v>
      </c>
      <c r="V4525" s="2" t="s">
        <v>42</v>
      </c>
      <c r="W4525" s="2">
        <v>55.3</v>
      </c>
      <c r="X4525" s="2">
        <v>79.7</v>
      </c>
      <c r="Y4525" s="2" t="s">
        <v>751</v>
      </c>
      <c r="Z4525" s="2" t="s">
        <v>30039</v>
      </c>
      <c r="AA4525" s="2">
        <v>-0.40760007544089399</v>
      </c>
      <c r="AB4525" s="2">
        <v>0.13858670994036801</v>
      </c>
      <c r="AC4525" s="2">
        <v>106309.622184875</v>
      </c>
      <c r="AD4525" s="2">
        <v>102577.82400753</v>
      </c>
      <c r="AE4525" s="2">
        <v>106235.662156766</v>
      </c>
      <c r="AF4525" s="2">
        <v>96550.702114278305</v>
      </c>
      <c r="AG4525" s="2">
        <v>104726.17614753199</v>
      </c>
      <c r="AH4525" s="2">
        <v>108041.95723111799</v>
      </c>
      <c r="AI4525" s="2">
        <v>109957.8527976</v>
      </c>
      <c r="AJ4525" s="2">
        <v>112345.38266195401</v>
      </c>
      <c r="AK4525" s="2">
        <v>103713.629663429</v>
      </c>
      <c r="AL4525" s="2">
        <v>96319.8229646619</v>
      </c>
      <c r="AM4525" s="2">
        <v>112297.70187527299</v>
      </c>
      <c r="AN4525" s="2">
        <v>101472.223908739</v>
      </c>
      <c r="AO4525" s="2">
        <v>98833.982619023504</v>
      </c>
      <c r="AP4525" s="2">
        <v>102829.583014053</v>
      </c>
    </row>
    <row r="4526" spans="1:42" ht="14.5" x14ac:dyDescent="0.35">
      <c r="A4526" s="2" t="s">
        <v>30040</v>
      </c>
      <c r="B4526" s="2">
        <v>965.50834648571299</v>
      </c>
      <c r="C4526" s="2">
        <v>10.5277666666667</v>
      </c>
      <c r="D4526" s="2" t="s">
        <v>34</v>
      </c>
      <c r="E4526" s="2" t="s">
        <v>30041</v>
      </c>
      <c r="F4526" s="2">
        <v>275868</v>
      </c>
      <c r="G4526" s="3" t="str">
        <f>HYPERLINK("http://funmeta.oebiotech.com/network/275868", "http://funmeta.oebiotech.com/network/275868")</f>
        <v>http://funmeta.oebiotech.com/network/275868</v>
      </c>
      <c r="H4526" s="2"/>
      <c r="I4526" s="2">
        <v>67272</v>
      </c>
      <c r="J4526" s="2"/>
      <c r="K4526" s="2"/>
      <c r="L4526" s="2" t="s">
        <v>30042</v>
      </c>
      <c r="M4526" s="2"/>
      <c r="N4526" s="2"/>
      <c r="O4526" s="2">
        <v>441904</v>
      </c>
      <c r="P4526" s="2" t="s">
        <v>30043</v>
      </c>
      <c r="Q4526" s="2" t="s">
        <v>30044</v>
      </c>
      <c r="R4526" s="2" t="s">
        <v>30045</v>
      </c>
      <c r="S4526" s="2" t="s">
        <v>50</v>
      </c>
      <c r="T4526" s="2" t="s">
        <v>201</v>
      </c>
      <c r="U4526" s="2" t="s">
        <v>202</v>
      </c>
      <c r="V4526" s="2" t="s">
        <v>59</v>
      </c>
      <c r="W4526" s="2">
        <v>37.5</v>
      </c>
      <c r="X4526" s="2">
        <v>0</v>
      </c>
      <c r="Y4526" s="2" t="s">
        <v>323</v>
      </c>
      <c r="Z4526" s="2" t="s">
        <v>30046</v>
      </c>
      <c r="AA4526" s="2">
        <v>0.32906735548877603</v>
      </c>
      <c r="AB4526" s="2">
        <v>0.13857303999103501</v>
      </c>
      <c r="AC4526" s="2">
        <v>7808.9579215438098</v>
      </c>
      <c r="AD4526" s="2">
        <v>5634.1181427381298</v>
      </c>
      <c r="AE4526" s="2">
        <v>9792.5277177173703</v>
      </c>
      <c r="AF4526" s="2">
        <v>9764.5088597351296</v>
      </c>
      <c r="AG4526" s="2">
        <v>7970.9355064301699</v>
      </c>
      <c r="AH4526" s="2">
        <v>4856.6729824814302</v>
      </c>
      <c r="AI4526" s="2">
        <v>5839.5804953800498</v>
      </c>
      <c r="AJ4526" s="2">
        <v>8629.5219675187</v>
      </c>
      <c r="AK4526" s="2">
        <v>7806.4683259058302</v>
      </c>
      <c r="AL4526" s="2">
        <v>6558.1194274930504</v>
      </c>
      <c r="AM4526" s="2">
        <v>4035.4063371122402</v>
      </c>
      <c r="AN4526" s="2">
        <v>4721.6563295159804</v>
      </c>
      <c r="AO4526" s="2">
        <v>5208.9804861636103</v>
      </c>
      <c r="AP4526" s="2">
        <v>5474.0779502380701</v>
      </c>
    </row>
    <row r="4527" spans="1:42" ht="14.5" x14ac:dyDescent="0.35">
      <c r="A4527" s="2" t="s">
        <v>30047</v>
      </c>
      <c r="B4527" s="2">
        <v>787.18784749629901</v>
      </c>
      <c r="C4527" s="2">
        <v>9.4170999999999996</v>
      </c>
      <c r="D4527" s="2" t="s">
        <v>70</v>
      </c>
      <c r="E4527" s="2" t="s">
        <v>30048</v>
      </c>
      <c r="F4527" s="2">
        <v>32981</v>
      </c>
      <c r="G4527" s="3" t="str">
        <f>HYPERLINK("http://funmeta.oebiotech.com/network/32981", "http://funmeta.oebiotech.com/network/32981")</f>
        <v>http://funmeta.oebiotech.com/network/32981</v>
      </c>
      <c r="H4527" s="2" t="s">
        <v>30049</v>
      </c>
      <c r="I4527" s="2">
        <v>51308</v>
      </c>
      <c r="J4527" s="2" t="s">
        <v>30050</v>
      </c>
      <c r="K4527" s="2"/>
      <c r="L4527" s="2"/>
      <c r="M4527" s="2"/>
      <c r="N4527" s="2"/>
      <c r="O4527" s="2">
        <v>44259786</v>
      </c>
      <c r="P4527" s="2" t="s">
        <v>30051</v>
      </c>
      <c r="Q4527" s="2" t="s">
        <v>30052</v>
      </c>
      <c r="R4527" s="2" t="s">
        <v>30053</v>
      </c>
      <c r="S4527" s="2" t="s">
        <v>115</v>
      </c>
      <c r="T4527" s="2" t="s">
        <v>139</v>
      </c>
      <c r="U4527" s="2" t="s">
        <v>140</v>
      </c>
      <c r="V4527" s="2" t="s">
        <v>59</v>
      </c>
      <c r="W4527" s="2">
        <v>37.200000000000003</v>
      </c>
      <c r="X4527" s="2">
        <v>0</v>
      </c>
      <c r="Y4527" s="2" t="s">
        <v>118</v>
      </c>
      <c r="Z4527" s="2" t="s">
        <v>30054</v>
      </c>
      <c r="AA4527" s="2">
        <v>-7.6109823320851699</v>
      </c>
      <c r="AB4527" s="2">
        <v>0.138498599581103</v>
      </c>
      <c r="AC4527" s="2">
        <v>53677.022196123798</v>
      </c>
      <c r="AD4527" s="2">
        <v>50343.044267093697</v>
      </c>
      <c r="AE4527" s="2">
        <v>56298.508024057999</v>
      </c>
      <c r="AF4527" s="2">
        <v>55055.380702030801</v>
      </c>
      <c r="AG4527" s="2">
        <v>51699.175958533</v>
      </c>
      <c r="AH4527" s="2">
        <v>50921.8152325638</v>
      </c>
      <c r="AI4527" s="2">
        <v>49303.702976244698</v>
      </c>
      <c r="AJ4527" s="2">
        <v>58783.550283312303</v>
      </c>
      <c r="AK4527" s="2">
        <v>53351.2782978264</v>
      </c>
      <c r="AL4527" s="2">
        <v>45070.087286158501</v>
      </c>
      <c r="AM4527" s="2">
        <v>43244.0952873309</v>
      </c>
      <c r="AN4527" s="2">
        <v>52267.237165833503</v>
      </c>
      <c r="AO4527" s="2">
        <v>57396.663649991599</v>
      </c>
      <c r="AP4527" s="2">
        <v>50728.903915421601</v>
      </c>
    </row>
    <row r="4528" spans="1:42" ht="14.5" x14ac:dyDescent="0.35">
      <c r="A4528" s="2" t="s">
        <v>30055</v>
      </c>
      <c r="B4528" s="2">
        <v>349.25799804360599</v>
      </c>
      <c r="C4528" s="2">
        <v>4.7541500000000001</v>
      </c>
      <c r="D4528" s="2" t="s">
        <v>34</v>
      </c>
      <c r="E4528" s="2" t="s">
        <v>30056</v>
      </c>
      <c r="F4528" s="2">
        <v>266262</v>
      </c>
      <c r="G4528" s="3" t="str">
        <f>HYPERLINK("http://funmeta.oebiotech.com/network/266262", "http://funmeta.oebiotech.com/network/266262")</f>
        <v>http://funmeta.oebiotech.com/network/266262</v>
      </c>
      <c r="H4528" s="2"/>
      <c r="I4528" s="2">
        <v>34493</v>
      </c>
      <c r="J4528" s="2"/>
      <c r="K4528" s="2"/>
      <c r="L4528" s="2"/>
      <c r="M4528" s="2"/>
      <c r="N4528" s="2"/>
      <c r="O4528" s="2">
        <v>93321</v>
      </c>
      <c r="P4528" s="2" t="s">
        <v>30057</v>
      </c>
      <c r="Q4528" s="2" t="s">
        <v>30058</v>
      </c>
      <c r="R4528" s="2" t="s">
        <v>30059</v>
      </c>
      <c r="S4528" s="2" t="s">
        <v>50</v>
      </c>
      <c r="T4528" s="2" t="s">
        <v>229</v>
      </c>
      <c r="U4528" s="2" t="s">
        <v>230</v>
      </c>
      <c r="V4528" s="2" t="s">
        <v>59</v>
      </c>
      <c r="W4528" s="2">
        <v>38.299999999999997</v>
      </c>
      <c r="X4528" s="2">
        <v>0</v>
      </c>
      <c r="Y4528" s="2" t="s">
        <v>394</v>
      </c>
      <c r="Z4528" s="2" t="s">
        <v>30060</v>
      </c>
      <c r="AA4528" s="2">
        <v>-1.34173346364949</v>
      </c>
      <c r="AB4528" s="2">
        <v>0.13845775633235299</v>
      </c>
      <c r="AC4528" s="2">
        <v>3700.2105025750402</v>
      </c>
      <c r="AD4528" s="2">
        <v>5451.55456814641</v>
      </c>
      <c r="AE4528" s="2">
        <v>3395.3221614546001</v>
      </c>
      <c r="AF4528" s="2">
        <v>2476.8332559554001</v>
      </c>
      <c r="AG4528" s="2">
        <v>3908.7314162665298</v>
      </c>
      <c r="AH4528" s="2">
        <v>3717.2243565373901</v>
      </c>
      <c r="AI4528" s="2">
        <v>4362.9682385919205</v>
      </c>
      <c r="AJ4528" s="2">
        <v>4340.1835866443698</v>
      </c>
      <c r="AK4528" s="2">
        <v>5648.8328992569204</v>
      </c>
      <c r="AL4528" s="2">
        <v>5003.25551554309</v>
      </c>
      <c r="AM4528" s="2">
        <v>6645.9082673397397</v>
      </c>
      <c r="AN4528" s="2">
        <v>4966.0792573639301</v>
      </c>
      <c r="AO4528" s="2">
        <v>3743.5321901818702</v>
      </c>
      <c r="AP4528" s="2">
        <v>6701.7192791929001</v>
      </c>
    </row>
    <row r="4529" spans="1:42" ht="14.5" x14ac:dyDescent="0.35">
      <c r="A4529" s="2" t="s">
        <v>30061</v>
      </c>
      <c r="B4529" s="2">
        <v>331.11637297469701</v>
      </c>
      <c r="C4529" s="2">
        <v>5.3016333333333296</v>
      </c>
      <c r="D4529" s="2" t="s">
        <v>70</v>
      </c>
      <c r="E4529" s="2" t="s">
        <v>30062</v>
      </c>
      <c r="F4529" s="2">
        <v>83787</v>
      </c>
      <c r="G4529" s="3" t="str">
        <f>HYPERLINK("http://funmeta.oebiotech.com/network/83787", "http://funmeta.oebiotech.com/network/83787")</f>
        <v>http://funmeta.oebiotech.com/network/83787</v>
      </c>
      <c r="H4529" s="2" t="s">
        <v>30063</v>
      </c>
      <c r="I4529" s="2"/>
      <c r="J4529" s="2"/>
      <c r="K4529" s="2">
        <v>84273</v>
      </c>
      <c r="L4529" s="2"/>
      <c r="M4529" s="2"/>
      <c r="N4529" s="2"/>
      <c r="O4529" s="2">
        <v>562543</v>
      </c>
      <c r="P4529" s="2"/>
      <c r="Q4529" s="2" t="s">
        <v>30064</v>
      </c>
      <c r="R4529" s="2" t="s">
        <v>30065</v>
      </c>
      <c r="S4529" s="2" t="s">
        <v>115</v>
      </c>
      <c r="T4529" s="2" t="s">
        <v>4730</v>
      </c>
      <c r="U4529" s="2" t="s">
        <v>41</v>
      </c>
      <c r="V4529" s="2" t="s">
        <v>59</v>
      </c>
      <c r="W4529" s="2">
        <v>37.5</v>
      </c>
      <c r="X4529" s="2">
        <v>0</v>
      </c>
      <c r="Y4529" s="2" t="s">
        <v>792</v>
      </c>
      <c r="Z4529" s="2" t="s">
        <v>30066</v>
      </c>
      <c r="AA4529" s="2">
        <v>0.49122011402684801</v>
      </c>
      <c r="AB4529" s="2">
        <v>0.13843380965833399</v>
      </c>
      <c r="AC4529" s="2">
        <v>2625.4009604582402</v>
      </c>
      <c r="AD4529" s="2">
        <v>4067.1058450775499</v>
      </c>
      <c r="AE4529" s="2">
        <v>2789.2398454039399</v>
      </c>
      <c r="AF4529" s="2">
        <v>3242.9474313156402</v>
      </c>
      <c r="AG4529" s="2">
        <v>2457.1561915731199</v>
      </c>
      <c r="AH4529" s="2">
        <v>2529.99328163072</v>
      </c>
      <c r="AI4529" s="2">
        <v>2462.27386765851</v>
      </c>
      <c r="AJ4529" s="2">
        <v>2270.7951451675099</v>
      </c>
      <c r="AK4529" s="2">
        <v>4127.4568025154304</v>
      </c>
      <c r="AL4529" s="2">
        <v>4718.29982287436</v>
      </c>
      <c r="AM4529" s="2">
        <v>4320.3801601615896</v>
      </c>
      <c r="AN4529" s="2">
        <v>3788.2575243179699</v>
      </c>
      <c r="AO4529" s="2">
        <v>4215.8026508247003</v>
      </c>
      <c r="AP4529" s="2">
        <v>3232.4381097712298</v>
      </c>
    </row>
    <row r="4530" spans="1:42" ht="14.5" x14ac:dyDescent="0.35">
      <c r="A4530" s="2" t="s">
        <v>30067</v>
      </c>
      <c r="B4530" s="2">
        <v>545.16397007638</v>
      </c>
      <c r="C4530" s="2">
        <v>4.6304499999999997</v>
      </c>
      <c r="D4530" s="2" t="s">
        <v>70</v>
      </c>
      <c r="E4530" s="2" t="s">
        <v>30068</v>
      </c>
      <c r="F4530" s="2">
        <v>257188</v>
      </c>
      <c r="G4530" s="3" t="str">
        <f>HYPERLINK("http://funmeta.oebiotech.com/network/257188", "http://funmeta.oebiotech.com/network/257188")</f>
        <v>http://funmeta.oebiotech.com/network/257188</v>
      </c>
      <c r="H4530" s="2" t="s">
        <v>30069</v>
      </c>
      <c r="I4530" s="2"/>
      <c r="J4530" s="2"/>
      <c r="K4530" s="2"/>
      <c r="L4530" s="2"/>
      <c r="M4530" s="2"/>
      <c r="N4530" s="2"/>
      <c r="O4530" s="2"/>
      <c r="P4530" s="2"/>
      <c r="Q4530" s="2" t="s">
        <v>30070</v>
      </c>
      <c r="R4530" s="2" t="s">
        <v>30071</v>
      </c>
      <c r="S4530" s="2" t="s">
        <v>89</v>
      </c>
      <c r="T4530" s="2" t="s">
        <v>90</v>
      </c>
      <c r="U4530" s="2" t="s">
        <v>99</v>
      </c>
      <c r="V4530" s="2" t="s">
        <v>59</v>
      </c>
      <c r="W4530" s="2">
        <v>40</v>
      </c>
      <c r="X4530" s="2">
        <v>3.57</v>
      </c>
      <c r="Y4530" s="2" t="s">
        <v>286</v>
      </c>
      <c r="Z4530" s="2" t="s">
        <v>30072</v>
      </c>
      <c r="AA4530" s="2">
        <v>-0.19276157521315901</v>
      </c>
      <c r="AB4530" s="2">
        <v>0.13838830682849201</v>
      </c>
      <c r="AC4530" s="2">
        <v>231456.89725156501</v>
      </c>
      <c r="AD4530" s="2">
        <v>237329.172057672</v>
      </c>
      <c r="AE4530" s="2">
        <v>233353.076329684</v>
      </c>
      <c r="AF4530" s="2">
        <v>255680.58782963001</v>
      </c>
      <c r="AG4530" s="2">
        <v>224833.066487395</v>
      </c>
      <c r="AH4530" s="2">
        <v>219053.27809082501</v>
      </c>
      <c r="AI4530" s="2">
        <v>220632.92490830299</v>
      </c>
      <c r="AJ4530" s="2">
        <v>235188.449863555</v>
      </c>
      <c r="AK4530" s="2">
        <v>237260.50720667199</v>
      </c>
      <c r="AL4530" s="2">
        <v>239302.15736115599</v>
      </c>
      <c r="AM4530" s="2">
        <v>226113.81261377301</v>
      </c>
      <c r="AN4530" s="2">
        <v>259835.20670523</v>
      </c>
      <c r="AO4530" s="2">
        <v>216841.302038277</v>
      </c>
      <c r="AP4530" s="2">
        <v>244622.046420923</v>
      </c>
    </row>
    <row r="4531" spans="1:42" ht="14.5" x14ac:dyDescent="0.35">
      <c r="A4531" s="2" t="s">
        <v>30073</v>
      </c>
      <c r="B4531" s="2">
        <v>339.252761064477</v>
      </c>
      <c r="C4531" s="2">
        <v>5.6228833333333297</v>
      </c>
      <c r="D4531" s="2" t="s">
        <v>34</v>
      </c>
      <c r="E4531" s="2" t="s">
        <v>30074</v>
      </c>
      <c r="F4531" s="2">
        <v>83663</v>
      </c>
      <c r="G4531" s="3" t="str">
        <f>HYPERLINK("http://funmeta.oebiotech.com/network/83663", "http://funmeta.oebiotech.com/network/83663")</f>
        <v>http://funmeta.oebiotech.com/network/83663</v>
      </c>
      <c r="H4531" s="2" t="s">
        <v>30075</v>
      </c>
      <c r="I4531" s="2"/>
      <c r="J4531" s="2"/>
      <c r="K4531" s="2">
        <v>58299</v>
      </c>
      <c r="L4531" s="2"/>
      <c r="M4531" s="2"/>
      <c r="N4531" s="2"/>
      <c r="O4531" s="2">
        <v>49852310</v>
      </c>
      <c r="P4531" s="2"/>
      <c r="Q4531" s="2" t="s">
        <v>30076</v>
      </c>
      <c r="R4531" s="2" t="s">
        <v>30077</v>
      </c>
      <c r="S4531" s="2" t="s">
        <v>79</v>
      </c>
      <c r="T4531" s="2" t="s">
        <v>80</v>
      </c>
      <c r="U4531" s="2" t="s">
        <v>2820</v>
      </c>
      <c r="V4531" s="2" t="s">
        <v>59</v>
      </c>
      <c r="W4531" s="2">
        <v>38.1</v>
      </c>
      <c r="X4531" s="2">
        <v>0</v>
      </c>
      <c r="Y4531" s="2" t="s">
        <v>340</v>
      </c>
      <c r="Z4531" s="2" t="s">
        <v>30078</v>
      </c>
      <c r="AA4531" s="2">
        <v>-2.16949465947914</v>
      </c>
      <c r="AB4531" s="2">
        <v>0.138336259945812</v>
      </c>
      <c r="AC4531" s="2">
        <v>5523.8765205057598</v>
      </c>
      <c r="AD4531" s="2">
        <v>7476.5988882175598</v>
      </c>
      <c r="AE4531" s="2">
        <v>6642.4583967246099</v>
      </c>
      <c r="AF4531" s="2">
        <v>5720.1323836475904</v>
      </c>
      <c r="AG4531" s="2">
        <v>5210.6395352520303</v>
      </c>
      <c r="AH4531" s="2">
        <v>3456.4061556490501</v>
      </c>
      <c r="AI4531" s="2">
        <v>6108.1232384848699</v>
      </c>
      <c r="AJ4531" s="2">
        <v>6005.4994132764004</v>
      </c>
      <c r="AK4531" s="2">
        <v>6928.0582885141503</v>
      </c>
      <c r="AL4531" s="2">
        <v>6581.4024991340002</v>
      </c>
      <c r="AM4531" s="2">
        <v>9594.3049856585403</v>
      </c>
      <c r="AN4531" s="2">
        <v>6358.8667888054697</v>
      </c>
      <c r="AO4531" s="2">
        <v>6428.76966574177</v>
      </c>
      <c r="AP4531" s="2">
        <v>8968.1911014514299</v>
      </c>
    </row>
    <row r="4532" spans="1:42" ht="14.5" x14ac:dyDescent="0.35">
      <c r="A4532" s="2" t="s">
        <v>30079</v>
      </c>
      <c r="B4532" s="2">
        <v>580.30753480390797</v>
      </c>
      <c r="C4532" s="2">
        <v>7.1174833333333298</v>
      </c>
      <c r="D4532" s="2" t="s">
        <v>34</v>
      </c>
      <c r="E4532" s="2" t="s">
        <v>30080</v>
      </c>
      <c r="F4532" s="2">
        <v>46748</v>
      </c>
      <c r="G4532" s="3" t="str">
        <f>HYPERLINK("http://funmeta.oebiotech.com/network/46748", "http://funmeta.oebiotech.com/network/46748")</f>
        <v>http://funmeta.oebiotech.com/network/46748</v>
      </c>
      <c r="H4532" s="2"/>
      <c r="I4532" s="2"/>
      <c r="J4532" s="2" t="s">
        <v>30081</v>
      </c>
      <c r="K4532" s="2">
        <v>136361</v>
      </c>
      <c r="L4532" s="2"/>
      <c r="M4532" s="2"/>
      <c r="N4532" s="2"/>
      <c r="O4532" s="2">
        <v>101953438</v>
      </c>
      <c r="P4532" s="2"/>
      <c r="Q4532" s="2" t="s">
        <v>30082</v>
      </c>
      <c r="R4532" s="2" t="s">
        <v>30083</v>
      </c>
      <c r="S4532" s="2" t="s">
        <v>50</v>
      </c>
      <c r="T4532" s="2" t="s">
        <v>124</v>
      </c>
      <c r="U4532" s="2" t="s">
        <v>125</v>
      </c>
      <c r="V4532" s="2" t="s">
        <v>59</v>
      </c>
      <c r="W4532" s="2">
        <v>37.1</v>
      </c>
      <c r="X4532" s="2">
        <v>0</v>
      </c>
      <c r="Y4532" s="2" t="s">
        <v>340</v>
      </c>
      <c r="Z4532" s="2" t="s">
        <v>30084</v>
      </c>
      <c r="AA4532" s="2">
        <v>1.2327956651954</v>
      </c>
      <c r="AB4532" s="2">
        <v>0.138104795824986</v>
      </c>
      <c r="AC4532" s="2">
        <v>22414.072261141799</v>
      </c>
      <c r="AD4532" s="2">
        <v>19569.282922303199</v>
      </c>
      <c r="AE4532" s="2">
        <v>27698.577899271</v>
      </c>
      <c r="AF4532" s="2">
        <v>20221.531062039001</v>
      </c>
      <c r="AG4532" s="2">
        <v>19583.281872369698</v>
      </c>
      <c r="AH4532" s="2">
        <v>24533.960919331301</v>
      </c>
      <c r="AI4532" s="2">
        <v>21971.203541311999</v>
      </c>
      <c r="AJ4532" s="2">
        <v>20475.878272528102</v>
      </c>
      <c r="AK4532" s="2">
        <v>18943.403746870001</v>
      </c>
      <c r="AL4532" s="2">
        <v>20656.5538981963</v>
      </c>
      <c r="AM4532" s="2">
        <v>20179.007027200299</v>
      </c>
      <c r="AN4532" s="2">
        <v>17988.358511125702</v>
      </c>
      <c r="AO4532" s="2">
        <v>14872.1777830137</v>
      </c>
      <c r="AP4532" s="2">
        <v>24776.196567412899</v>
      </c>
    </row>
    <row r="4533" spans="1:42" ht="14.5" x14ac:dyDescent="0.35">
      <c r="A4533" s="2" t="s">
        <v>30085</v>
      </c>
      <c r="B4533" s="2">
        <v>553.26515248900205</v>
      </c>
      <c r="C4533" s="2">
        <v>5.5993333333333304</v>
      </c>
      <c r="D4533" s="2" t="s">
        <v>70</v>
      </c>
      <c r="E4533" s="2" t="s">
        <v>30086</v>
      </c>
      <c r="F4533" s="2">
        <v>3826</v>
      </c>
      <c r="G4533" s="3" t="str">
        <f>HYPERLINK("http://funmeta.oebiotech.com/network/3826", "http://funmeta.oebiotech.com/network/3826")</f>
        <v>http://funmeta.oebiotech.com/network/3826</v>
      </c>
      <c r="H4533" s="2"/>
      <c r="I4533" s="2"/>
      <c r="J4533" s="2" t="s">
        <v>30087</v>
      </c>
      <c r="K4533" s="2"/>
      <c r="L4533" s="2"/>
      <c r="M4533" s="2"/>
      <c r="N4533" s="2"/>
      <c r="O4533" s="2">
        <v>118713845</v>
      </c>
      <c r="P4533" s="2"/>
      <c r="Q4533" s="2" t="s">
        <v>30088</v>
      </c>
      <c r="R4533" s="2" t="s">
        <v>30089</v>
      </c>
      <c r="S4533" s="2" t="s">
        <v>50</v>
      </c>
      <c r="T4533" s="2" t="s">
        <v>229</v>
      </c>
      <c r="U4533" s="2" t="s">
        <v>766</v>
      </c>
      <c r="V4533" s="2" t="s">
        <v>59</v>
      </c>
      <c r="W4533" s="2">
        <v>38.299999999999997</v>
      </c>
      <c r="X4533" s="2">
        <v>0</v>
      </c>
      <c r="Y4533" s="2" t="s">
        <v>408</v>
      </c>
      <c r="Z4533" s="2" t="s">
        <v>30090</v>
      </c>
      <c r="AA4533" s="2">
        <v>-0.55726558733176401</v>
      </c>
      <c r="AB4533" s="2">
        <v>0.13802629723158</v>
      </c>
      <c r="AC4533" s="2">
        <v>2672.9481738456502</v>
      </c>
      <c r="AD4533" s="2">
        <v>1031.84907410869</v>
      </c>
      <c r="AE4533" s="2">
        <v>2190.7822980794799</v>
      </c>
      <c r="AF4533" s="2">
        <v>2742.4011680416402</v>
      </c>
      <c r="AG4533" s="2">
        <v>2772.39362345975</v>
      </c>
      <c r="AH4533" s="2">
        <v>3058.1659716897402</v>
      </c>
      <c r="AI4533" s="2">
        <v>1986.1751053924299</v>
      </c>
      <c r="AJ4533" s="2">
        <v>3287.7708764108602</v>
      </c>
      <c r="AK4533" s="2">
        <v>1089.17966824826</v>
      </c>
      <c r="AL4533" s="2">
        <v>1783.0459517537599</v>
      </c>
      <c r="AM4533" s="2">
        <v>2.7106294003980101E-5</v>
      </c>
      <c r="AN4533" s="2">
        <v>2441.5730598858299</v>
      </c>
      <c r="AO4533" s="2">
        <v>877.29571055170697</v>
      </c>
      <c r="AP4533" s="2">
        <v>2.7106294003980101E-5</v>
      </c>
    </row>
    <row r="4534" spans="1:42" ht="14.5" x14ac:dyDescent="0.35">
      <c r="A4534" s="2" t="s">
        <v>30091</v>
      </c>
      <c r="B4534" s="2">
        <v>443.11938989930502</v>
      </c>
      <c r="C4534" s="2">
        <v>4.22216666666667</v>
      </c>
      <c r="D4534" s="2" t="s">
        <v>70</v>
      </c>
      <c r="E4534" s="2" t="s">
        <v>30092</v>
      </c>
      <c r="F4534" s="2">
        <v>267123</v>
      </c>
      <c r="G4534" s="3" t="str">
        <f>HYPERLINK("http://funmeta.oebiotech.com/network/267123", "http://funmeta.oebiotech.com/network/267123")</f>
        <v>http://funmeta.oebiotech.com/network/267123</v>
      </c>
      <c r="H4534" s="2"/>
      <c r="I4534" s="2">
        <v>44839</v>
      </c>
      <c r="J4534" s="2"/>
      <c r="K4534" s="2"/>
      <c r="L4534" s="2"/>
      <c r="M4534" s="2"/>
      <c r="N4534" s="2"/>
      <c r="O4534" s="2">
        <v>5353484</v>
      </c>
      <c r="P4534" s="2" t="s">
        <v>30093</v>
      </c>
      <c r="Q4534" s="2" t="s">
        <v>30094</v>
      </c>
      <c r="R4534" s="2" t="s">
        <v>30095</v>
      </c>
      <c r="S4534" s="2" t="s">
        <v>115</v>
      </c>
      <c r="T4534" s="2" t="s">
        <v>116</v>
      </c>
      <c r="U4534" s="2" t="s">
        <v>41</v>
      </c>
      <c r="V4534" s="2" t="s">
        <v>59</v>
      </c>
      <c r="W4534" s="2">
        <v>38.799999999999997</v>
      </c>
      <c r="X4534" s="2">
        <v>0</v>
      </c>
      <c r="Y4534" s="2" t="s">
        <v>560</v>
      </c>
      <c r="Z4534" s="2" t="s">
        <v>30096</v>
      </c>
      <c r="AA4534" s="2">
        <v>-3.2587123631027399</v>
      </c>
      <c r="AB4534" s="2">
        <v>0.13796686678343301</v>
      </c>
      <c r="AC4534" s="2">
        <v>3962.7114515432399</v>
      </c>
      <c r="AD4534" s="2">
        <v>5741.8391640379996</v>
      </c>
      <c r="AE4534" s="2">
        <v>4247.9557287596999</v>
      </c>
      <c r="AF4534" s="2">
        <v>4662.5710984404604</v>
      </c>
      <c r="AG4534" s="2">
        <v>4051.4854177491602</v>
      </c>
      <c r="AH4534" s="2">
        <v>3318.5299260339898</v>
      </c>
      <c r="AI4534" s="2">
        <v>3725.7272529561401</v>
      </c>
      <c r="AJ4534" s="2">
        <v>3769.9992853200001</v>
      </c>
      <c r="AK4534" s="2">
        <v>5645.1848862898296</v>
      </c>
      <c r="AL4534" s="2">
        <v>4540.5691333191498</v>
      </c>
      <c r="AM4534" s="2">
        <v>5981.0961459372802</v>
      </c>
      <c r="AN4534" s="2">
        <v>4002.15357344023</v>
      </c>
      <c r="AO4534" s="2">
        <v>6981.1165227266101</v>
      </c>
      <c r="AP4534" s="2">
        <v>7300.9147225148699</v>
      </c>
    </row>
    <row r="4535" spans="1:42" ht="14.5" x14ac:dyDescent="0.35">
      <c r="A4535" s="2" t="s">
        <v>30097</v>
      </c>
      <c r="B4535" s="2">
        <v>359.13960359356503</v>
      </c>
      <c r="C4535" s="2">
        <v>6.7070999999999996</v>
      </c>
      <c r="D4535" s="2" t="s">
        <v>70</v>
      </c>
      <c r="E4535" s="2" t="s">
        <v>30098</v>
      </c>
      <c r="F4535" s="2">
        <v>47720</v>
      </c>
      <c r="G4535" s="3" t="str">
        <f>HYPERLINK("http://funmeta.oebiotech.com/network/47720", "http://funmeta.oebiotech.com/network/47720")</f>
        <v>http://funmeta.oebiotech.com/network/47720</v>
      </c>
      <c r="H4535" s="2" t="s">
        <v>30099</v>
      </c>
      <c r="I4535" s="2">
        <v>2249</v>
      </c>
      <c r="J4535" s="2"/>
      <c r="K4535" s="2">
        <v>8776</v>
      </c>
      <c r="L4535" s="2" t="s">
        <v>30100</v>
      </c>
      <c r="M4535" s="2"/>
      <c r="N4535" s="2"/>
      <c r="O4535" s="2">
        <v>3001055</v>
      </c>
      <c r="P4535" s="2" t="s">
        <v>30101</v>
      </c>
      <c r="Q4535" s="2" t="s">
        <v>30102</v>
      </c>
      <c r="R4535" s="2" t="s">
        <v>30103</v>
      </c>
      <c r="S4535" s="2" t="s">
        <v>1677</v>
      </c>
      <c r="T4535" s="2" t="s">
        <v>1678</v>
      </c>
      <c r="U4535" s="2" t="s">
        <v>1679</v>
      </c>
      <c r="V4535" s="2" t="s">
        <v>59</v>
      </c>
      <c r="W4535" s="2">
        <v>36</v>
      </c>
      <c r="X4535" s="2">
        <v>0</v>
      </c>
      <c r="Y4535" s="2" t="s">
        <v>408</v>
      </c>
      <c r="Z4535" s="2" t="s">
        <v>30104</v>
      </c>
      <c r="AA4535" s="2">
        <v>0.44292222133324899</v>
      </c>
      <c r="AB4535" s="2">
        <v>0.13795037602586099</v>
      </c>
      <c r="AC4535" s="2">
        <v>1487.55488988713</v>
      </c>
      <c r="AD4535" s="2">
        <v>183.667932228643</v>
      </c>
      <c r="AE4535" s="2">
        <v>1512.0360989375899</v>
      </c>
      <c r="AF4535" s="2">
        <v>1597.6545859723799</v>
      </c>
      <c r="AG4535" s="2">
        <v>1964.9478394345001</v>
      </c>
      <c r="AH4535" s="2">
        <v>1142.8674703834299</v>
      </c>
      <c r="AI4535" s="2">
        <v>1418.53792967905</v>
      </c>
      <c r="AJ4535" s="2">
        <v>1289.28541491581</v>
      </c>
      <c r="AK4535" s="2">
        <v>223.05499160651499</v>
      </c>
      <c r="AL4535" s="2">
        <v>219.94295067360099</v>
      </c>
      <c r="AM4535" s="2">
        <v>49.7715079578592</v>
      </c>
      <c r="AN4535" s="2">
        <v>387.32985160745199</v>
      </c>
      <c r="AO4535" s="2">
        <v>173.87794537996399</v>
      </c>
      <c r="AP4535" s="2">
        <v>48.030346146466897</v>
      </c>
    </row>
    <row r="4536" spans="1:42" ht="14.5" x14ac:dyDescent="0.35">
      <c r="A4536" s="2" t="s">
        <v>30105</v>
      </c>
      <c r="B4536" s="2">
        <v>158.15394475248101</v>
      </c>
      <c r="C4536" s="2">
        <v>9.2149333333333292</v>
      </c>
      <c r="D4536" s="2" t="s">
        <v>34</v>
      </c>
      <c r="E4536" s="2" t="s">
        <v>30106</v>
      </c>
      <c r="F4536" s="2">
        <v>6113</v>
      </c>
      <c r="G4536" s="3" t="str">
        <f>HYPERLINK("http://funmeta.oebiotech.com/network/6113", "http://funmeta.oebiotech.com/network/6113")</f>
        <v>http://funmeta.oebiotech.com/network/6113</v>
      </c>
      <c r="H4536" s="2" t="s">
        <v>30107</v>
      </c>
      <c r="I4536" s="2">
        <v>46088</v>
      </c>
      <c r="J4536" s="2" t="s">
        <v>30108</v>
      </c>
      <c r="K4536" s="2"/>
      <c r="L4536" s="2"/>
      <c r="M4536" s="2"/>
      <c r="N4536" s="2"/>
      <c r="O4536" s="2">
        <v>6434541</v>
      </c>
      <c r="P4536" s="2" t="s">
        <v>30109</v>
      </c>
      <c r="Q4536" s="2" t="s">
        <v>30110</v>
      </c>
      <c r="R4536" s="2" t="s">
        <v>30111</v>
      </c>
      <c r="S4536" s="2" t="s">
        <v>50</v>
      </c>
      <c r="T4536" s="2" t="s">
        <v>229</v>
      </c>
      <c r="U4536" s="2" t="s">
        <v>1283</v>
      </c>
      <c r="V4536" s="2" t="s">
        <v>59</v>
      </c>
      <c r="W4536" s="2">
        <v>39.1</v>
      </c>
      <c r="X4536" s="2">
        <v>0</v>
      </c>
      <c r="Y4536" s="2" t="s">
        <v>43</v>
      </c>
      <c r="Z4536" s="2" t="s">
        <v>25299</v>
      </c>
      <c r="AA4536" s="2">
        <v>2.9187821509465899E-2</v>
      </c>
      <c r="AB4536" s="2">
        <v>0.13794017207803899</v>
      </c>
      <c r="AC4536" s="2">
        <v>9528.4774827844194</v>
      </c>
      <c r="AD4536" s="2">
        <v>10998.4010557125</v>
      </c>
      <c r="AE4536" s="2">
        <v>9388.4582338187702</v>
      </c>
      <c r="AF4536" s="2">
        <v>9828.2800274839501</v>
      </c>
      <c r="AG4536" s="2">
        <v>9208.0196083237806</v>
      </c>
      <c r="AH4536" s="2">
        <v>9335.6660527543099</v>
      </c>
      <c r="AI4536" s="2">
        <v>10079.973014208101</v>
      </c>
      <c r="AJ4536" s="2">
        <v>9330.4679601176194</v>
      </c>
      <c r="AK4536" s="2">
        <v>11738.064619568901</v>
      </c>
      <c r="AL4536" s="2">
        <v>11381.638618496199</v>
      </c>
      <c r="AM4536" s="2">
        <v>10921.5202771147</v>
      </c>
      <c r="AN4536" s="2">
        <v>10299.6349878275</v>
      </c>
      <c r="AO4536" s="2">
        <v>11410.3240404837</v>
      </c>
      <c r="AP4536" s="2">
        <v>10239.223790784101</v>
      </c>
    </row>
    <row r="4537" spans="1:42" ht="14.5" x14ac:dyDescent="0.35">
      <c r="A4537" s="2" t="s">
        <v>30112</v>
      </c>
      <c r="B4537" s="2">
        <v>311.200197351329</v>
      </c>
      <c r="C4537" s="2">
        <v>5.65513333333333</v>
      </c>
      <c r="D4537" s="2" t="s">
        <v>34</v>
      </c>
      <c r="E4537" s="2" t="s">
        <v>30113</v>
      </c>
      <c r="F4537" s="2">
        <v>266916</v>
      </c>
      <c r="G4537" s="3" t="str">
        <f>HYPERLINK("http://funmeta.oebiotech.com/network/266916", "http://funmeta.oebiotech.com/network/266916")</f>
        <v>http://funmeta.oebiotech.com/network/266916</v>
      </c>
      <c r="H4537" s="2"/>
      <c r="I4537" s="2">
        <v>44295</v>
      </c>
      <c r="J4537" s="2"/>
      <c r="K4537" s="2"/>
      <c r="L4537" s="2"/>
      <c r="M4537" s="2"/>
      <c r="N4537" s="2"/>
      <c r="O4537" s="2">
        <v>6710737</v>
      </c>
      <c r="P4537" s="2" t="s">
        <v>30114</v>
      </c>
      <c r="Q4537" s="2" t="s">
        <v>30115</v>
      </c>
      <c r="R4537" s="2" t="s">
        <v>30116</v>
      </c>
      <c r="S4537" s="2" t="s">
        <v>50</v>
      </c>
      <c r="T4537" s="2" t="s">
        <v>201</v>
      </c>
      <c r="U4537" s="2" t="s">
        <v>241</v>
      </c>
      <c r="V4537" s="2" t="s">
        <v>59</v>
      </c>
      <c r="W4537" s="2">
        <v>38</v>
      </c>
      <c r="X4537" s="2">
        <v>0</v>
      </c>
      <c r="Y4537" s="2" t="s">
        <v>141</v>
      </c>
      <c r="Z4537" s="2" t="s">
        <v>30117</v>
      </c>
      <c r="AA4537" s="2">
        <v>-1.09430561819411</v>
      </c>
      <c r="AB4537" s="2">
        <v>0.13775694195872401</v>
      </c>
      <c r="AC4537" s="2">
        <v>2290.1238886404599</v>
      </c>
      <c r="AD4537" s="2">
        <v>954.62975845180301</v>
      </c>
      <c r="AE4537" s="2">
        <v>2185.36098828181</v>
      </c>
      <c r="AF4537" s="2">
        <v>2369.8742278735799</v>
      </c>
      <c r="AG4537" s="2">
        <v>2250.8541078026001</v>
      </c>
      <c r="AH4537" s="2">
        <v>2618.9517392063799</v>
      </c>
      <c r="AI4537" s="2">
        <v>2398.5196252022401</v>
      </c>
      <c r="AJ4537" s="2">
        <v>1917.1826434761299</v>
      </c>
      <c r="AK4537" s="2">
        <v>621.084486928655</v>
      </c>
      <c r="AL4537" s="2">
        <v>883.54560833162896</v>
      </c>
      <c r="AM4537" s="2">
        <v>1249.1632256384401</v>
      </c>
      <c r="AN4537" s="2">
        <v>1385.94277532767</v>
      </c>
      <c r="AO4537" s="2">
        <v>650.80227037603004</v>
      </c>
      <c r="AP4537" s="2">
        <v>937.24018410839199</v>
      </c>
    </row>
    <row r="4538" spans="1:42" ht="14.5" x14ac:dyDescent="0.35">
      <c r="A4538" s="2" t="s">
        <v>30118</v>
      </c>
      <c r="B4538" s="2">
        <v>896.55058053673804</v>
      </c>
      <c r="C4538" s="2">
        <v>9.9973333333333301</v>
      </c>
      <c r="D4538" s="2" t="s">
        <v>34</v>
      </c>
      <c r="E4538" s="2" t="s">
        <v>30119</v>
      </c>
      <c r="F4538" s="2">
        <v>274750</v>
      </c>
      <c r="G4538" s="3" t="str">
        <f>HYPERLINK("http://funmeta.oebiotech.com/network/274750", "http://funmeta.oebiotech.com/network/274750")</f>
        <v>http://funmeta.oebiotech.com/network/274750</v>
      </c>
      <c r="H4538" s="2"/>
      <c r="I4538" s="2">
        <v>65416</v>
      </c>
      <c r="J4538" s="2"/>
      <c r="K4538" s="2"/>
      <c r="L4538" s="2"/>
      <c r="M4538" s="2"/>
      <c r="N4538" s="2"/>
      <c r="O4538" s="2">
        <v>177386</v>
      </c>
      <c r="P4538" s="2"/>
      <c r="Q4538" s="2" t="s">
        <v>30120</v>
      </c>
      <c r="R4538" s="2" t="s">
        <v>30121</v>
      </c>
      <c r="S4538" s="2" t="s">
        <v>89</v>
      </c>
      <c r="T4538" s="2" t="s">
        <v>1600</v>
      </c>
      <c r="U4538" s="2" t="s">
        <v>1601</v>
      </c>
      <c r="V4538" s="2" t="s">
        <v>59</v>
      </c>
      <c r="W4538" s="2">
        <v>36.4</v>
      </c>
      <c r="X4538" s="2">
        <v>0</v>
      </c>
      <c r="Y4538" s="2" t="s">
        <v>43</v>
      </c>
      <c r="Z4538" s="2" t="s">
        <v>30122</v>
      </c>
      <c r="AA4538" s="2">
        <v>1.60786883401946</v>
      </c>
      <c r="AB4538" s="2">
        <v>0.13773946952481</v>
      </c>
      <c r="AC4538" s="2">
        <v>1857.4905478928599</v>
      </c>
      <c r="AD4538" s="2">
        <v>90.5079800458645</v>
      </c>
      <c r="AE4538" s="2">
        <v>2599.2604632017401</v>
      </c>
      <c r="AF4538" s="2">
        <v>2344.81064704556</v>
      </c>
      <c r="AG4538" s="2">
        <v>710.77443048741804</v>
      </c>
      <c r="AH4538" s="2">
        <v>4023.8687171362099</v>
      </c>
      <c r="AI4538" s="2">
        <v>276.76101843491699</v>
      </c>
      <c r="AJ4538" s="2">
        <v>1189.46801105132</v>
      </c>
      <c r="AK4538" s="2">
        <v>2.7106294003980101E-5</v>
      </c>
      <c r="AL4538" s="2">
        <v>2.7106294003980101E-5</v>
      </c>
      <c r="AM4538" s="2">
        <v>2.7106294003980101E-5</v>
      </c>
      <c r="AN4538" s="2">
        <v>246.957658743206</v>
      </c>
      <c r="AO4538" s="2">
        <v>296.09011310680501</v>
      </c>
      <c r="AP4538" s="2">
        <v>2.7106294003980101E-5</v>
      </c>
    </row>
    <row r="4539" spans="1:42" ht="14.5" x14ac:dyDescent="0.35">
      <c r="A4539" s="2" t="s">
        <v>30123</v>
      </c>
      <c r="B4539" s="2">
        <v>327.25283820766202</v>
      </c>
      <c r="C4539" s="2">
        <v>9.7661333333333307</v>
      </c>
      <c r="D4539" s="2" t="s">
        <v>34</v>
      </c>
      <c r="E4539" s="2" t="s">
        <v>30124</v>
      </c>
      <c r="F4539" s="2">
        <v>2269</v>
      </c>
      <c r="G4539" s="3" t="str">
        <f>HYPERLINK("http://funmeta.oebiotech.com/network/2269", "http://funmeta.oebiotech.com/network/2269")</f>
        <v>http://funmeta.oebiotech.com/network/2269</v>
      </c>
      <c r="H4539" s="2"/>
      <c r="I4539" s="2">
        <v>74817</v>
      </c>
      <c r="J4539" s="2" t="s">
        <v>30125</v>
      </c>
      <c r="K4539" s="2">
        <v>137795</v>
      </c>
      <c r="L4539" s="2"/>
      <c r="M4539" s="2"/>
      <c r="N4539" s="2"/>
      <c r="O4539" s="2">
        <v>5283026</v>
      </c>
      <c r="P4539" s="2"/>
      <c r="Q4539" s="2" t="s">
        <v>30126</v>
      </c>
      <c r="R4539" s="2" t="s">
        <v>30127</v>
      </c>
      <c r="S4539" s="2" t="s">
        <v>50</v>
      </c>
      <c r="T4539" s="2" t="s">
        <v>229</v>
      </c>
      <c r="U4539" s="2" t="s">
        <v>433</v>
      </c>
      <c r="V4539" s="2" t="s">
        <v>59</v>
      </c>
      <c r="W4539" s="2">
        <v>40.1</v>
      </c>
      <c r="X4539" s="2">
        <v>35.700000000000003</v>
      </c>
      <c r="Y4539" s="2" t="s">
        <v>141</v>
      </c>
      <c r="Z4539" s="2" t="s">
        <v>12412</v>
      </c>
      <c r="AA4539" s="2">
        <v>-0.42931580179385398</v>
      </c>
      <c r="AB4539" s="2">
        <v>0.13764203382679899</v>
      </c>
      <c r="AC4539" s="2">
        <v>19753.632717012999</v>
      </c>
      <c r="AD4539" s="2">
        <v>21825.713730275402</v>
      </c>
      <c r="AE4539" s="2">
        <v>19869.487156639301</v>
      </c>
      <c r="AF4539" s="2">
        <v>20674.497885823399</v>
      </c>
      <c r="AG4539" s="2">
        <v>20182.495331834001</v>
      </c>
      <c r="AH4539" s="2">
        <v>21723.592220846302</v>
      </c>
      <c r="AI4539" s="2">
        <v>17687.151467650099</v>
      </c>
      <c r="AJ4539" s="2">
        <v>18384.5722392848</v>
      </c>
      <c r="AK4539" s="2">
        <v>21766.5130776154</v>
      </c>
      <c r="AL4539" s="2">
        <v>23560.0540277736</v>
      </c>
      <c r="AM4539" s="2">
        <v>23379.436927928698</v>
      </c>
      <c r="AN4539" s="2">
        <v>20277.428601739401</v>
      </c>
      <c r="AO4539" s="2">
        <v>21790.847940219799</v>
      </c>
      <c r="AP4539" s="2">
        <v>20180.0018063756</v>
      </c>
    </row>
    <row r="4540" spans="1:42" ht="14.5" x14ac:dyDescent="0.35">
      <c r="A4540" s="2" t="s">
        <v>30128</v>
      </c>
      <c r="B4540" s="2">
        <v>367.263276001961</v>
      </c>
      <c r="C4540" s="2">
        <v>12.9914166666667</v>
      </c>
      <c r="D4540" s="2" t="s">
        <v>34</v>
      </c>
      <c r="E4540" s="2" t="s">
        <v>30129</v>
      </c>
      <c r="F4540" s="2">
        <v>58878</v>
      </c>
      <c r="G4540" s="3" t="str">
        <f>HYPERLINK("http://funmeta.oebiotech.com/network/58878", "http://funmeta.oebiotech.com/network/58878")</f>
        <v>http://funmeta.oebiotech.com/network/58878</v>
      </c>
      <c r="H4540" s="2" t="s">
        <v>30130</v>
      </c>
      <c r="I4540" s="2"/>
      <c r="J4540" s="2"/>
      <c r="K4540" s="2"/>
      <c r="L4540" s="2"/>
      <c r="M4540" s="2"/>
      <c r="N4540" s="2"/>
      <c r="O4540" s="2">
        <v>131751641</v>
      </c>
      <c r="P4540" s="2" t="s">
        <v>30131</v>
      </c>
      <c r="Q4540" s="2" t="s">
        <v>30132</v>
      </c>
      <c r="R4540" s="2" t="s">
        <v>30133</v>
      </c>
      <c r="S4540" s="2" t="s">
        <v>50</v>
      </c>
      <c r="T4540" s="2" t="s">
        <v>201</v>
      </c>
      <c r="U4540" s="2" t="s">
        <v>241</v>
      </c>
      <c r="V4540" s="2" t="s">
        <v>59</v>
      </c>
      <c r="W4540" s="2">
        <v>36.799999999999997</v>
      </c>
      <c r="X4540" s="2">
        <v>0</v>
      </c>
      <c r="Y4540" s="2" t="s">
        <v>141</v>
      </c>
      <c r="Z4540" s="2" t="s">
        <v>30134</v>
      </c>
      <c r="AA4540" s="2">
        <v>0.310302298292986</v>
      </c>
      <c r="AB4540" s="2">
        <v>0.13761983492363</v>
      </c>
      <c r="AC4540" s="2">
        <v>1289.6329691537401</v>
      </c>
      <c r="AD4540" s="2">
        <v>2.7106294003980101E-5</v>
      </c>
      <c r="AE4540" s="2">
        <v>872.64436304259402</v>
      </c>
      <c r="AF4540" s="2">
        <v>1164.4378756327401</v>
      </c>
      <c r="AG4540" s="2">
        <v>1174.44588147846</v>
      </c>
      <c r="AH4540" s="2">
        <v>1526.86267752668</v>
      </c>
      <c r="AI4540" s="2">
        <v>1474.8052299220799</v>
      </c>
      <c r="AJ4540" s="2">
        <v>1524.60178731987</v>
      </c>
      <c r="AK4540" s="2">
        <v>2.7106294003980101E-5</v>
      </c>
      <c r="AL4540" s="2">
        <v>2.7106294003980101E-5</v>
      </c>
      <c r="AM4540" s="2">
        <v>2.7106294003980101E-5</v>
      </c>
      <c r="AN4540" s="2">
        <v>2.7106294003980101E-5</v>
      </c>
      <c r="AO4540" s="2">
        <v>2.7106294003980101E-5</v>
      </c>
      <c r="AP4540" s="2">
        <v>2.7106294003980101E-5</v>
      </c>
    </row>
    <row r="4541" spans="1:42" ht="14.5" x14ac:dyDescent="0.35">
      <c r="A4541" s="2" t="s">
        <v>30135</v>
      </c>
      <c r="B4541" s="2">
        <v>475.10015504454799</v>
      </c>
      <c r="C4541" s="2">
        <v>4.3281833333333299</v>
      </c>
      <c r="D4541" s="2" t="s">
        <v>70</v>
      </c>
      <c r="E4541" s="2" t="s">
        <v>30136</v>
      </c>
      <c r="F4541" s="2">
        <v>257067</v>
      </c>
      <c r="G4541" s="3" t="str">
        <f>HYPERLINK("http://funmeta.oebiotech.com/network/257067", "http://funmeta.oebiotech.com/network/257067")</f>
        <v>http://funmeta.oebiotech.com/network/257067</v>
      </c>
      <c r="H4541" s="2" t="s">
        <v>30137</v>
      </c>
      <c r="I4541" s="2"/>
      <c r="J4541" s="2"/>
      <c r="K4541" s="2"/>
      <c r="L4541" s="2"/>
      <c r="M4541" s="2"/>
      <c r="N4541" s="2"/>
      <c r="O4541" s="2"/>
      <c r="P4541" s="2"/>
      <c r="Q4541" s="2" t="s">
        <v>30138</v>
      </c>
      <c r="R4541" s="2" t="s">
        <v>30139</v>
      </c>
      <c r="S4541" s="2" t="s">
        <v>79</v>
      </c>
      <c r="T4541" s="2" t="s">
        <v>80</v>
      </c>
      <c r="U4541" s="2" t="s">
        <v>81</v>
      </c>
      <c r="V4541" s="2" t="s">
        <v>59</v>
      </c>
      <c r="W4541" s="2">
        <v>38.1</v>
      </c>
      <c r="X4541" s="2">
        <v>0</v>
      </c>
      <c r="Y4541" s="2" t="s">
        <v>286</v>
      </c>
      <c r="Z4541" s="2" t="s">
        <v>30140</v>
      </c>
      <c r="AA4541" s="2">
        <v>-1.76024330077592</v>
      </c>
      <c r="AB4541" s="2">
        <v>0.13751196103919999</v>
      </c>
      <c r="AC4541" s="2">
        <v>10849.173730852401</v>
      </c>
      <c r="AD4541" s="2">
        <v>13051.713778596501</v>
      </c>
      <c r="AE4541" s="2">
        <v>10360.1810042261</v>
      </c>
      <c r="AF4541" s="2">
        <v>12347.875911352599</v>
      </c>
      <c r="AG4541" s="2">
        <v>9252.2044872777806</v>
      </c>
      <c r="AH4541" s="2">
        <v>12058.580944498801</v>
      </c>
      <c r="AI4541" s="2">
        <v>11715.336907786301</v>
      </c>
      <c r="AJ4541" s="2">
        <v>9360.8631299726294</v>
      </c>
      <c r="AK4541" s="2">
        <v>11546.886136261801</v>
      </c>
      <c r="AL4541" s="2">
        <v>16792.0752212835</v>
      </c>
      <c r="AM4541" s="2">
        <v>14241.325076883601</v>
      </c>
      <c r="AN4541" s="2">
        <v>11682.3545221474</v>
      </c>
      <c r="AO4541" s="2">
        <v>12048.974704452799</v>
      </c>
      <c r="AP4541" s="2">
        <v>11998.6670105498</v>
      </c>
    </row>
    <row r="4542" spans="1:42" ht="14.5" x14ac:dyDescent="0.35">
      <c r="A4542" s="2" t="s">
        <v>30141</v>
      </c>
      <c r="B4542" s="2">
        <v>529.25743405449998</v>
      </c>
      <c r="C4542" s="2">
        <v>9.1761499999999998</v>
      </c>
      <c r="D4542" s="2" t="s">
        <v>70</v>
      </c>
      <c r="E4542" s="2" t="s">
        <v>30142</v>
      </c>
      <c r="F4542" s="2">
        <v>266787</v>
      </c>
      <c r="G4542" s="3" t="str">
        <f>HYPERLINK("http://funmeta.oebiotech.com/network/266787", "http://funmeta.oebiotech.com/network/266787")</f>
        <v>http://funmeta.oebiotech.com/network/266787</v>
      </c>
      <c r="H4542" s="2"/>
      <c r="I4542" s="2">
        <v>43970</v>
      </c>
      <c r="J4542" s="2"/>
      <c r="K4542" s="2"/>
      <c r="L4542" s="2" t="s">
        <v>30143</v>
      </c>
      <c r="M4542" s="2"/>
      <c r="N4542" s="2"/>
      <c r="O4542" s="2">
        <v>253602</v>
      </c>
      <c r="P4542" s="2" t="s">
        <v>30144</v>
      </c>
      <c r="Q4542" s="2" t="s">
        <v>30145</v>
      </c>
      <c r="R4542" s="2" t="s">
        <v>30146</v>
      </c>
      <c r="S4542" s="2" t="s">
        <v>148</v>
      </c>
      <c r="T4542" s="2" t="s">
        <v>3772</v>
      </c>
      <c r="U4542" s="2" t="s">
        <v>18665</v>
      </c>
      <c r="V4542" s="2" t="s">
        <v>59</v>
      </c>
      <c r="W4542" s="2">
        <v>38.6</v>
      </c>
      <c r="X4542" s="2">
        <v>0</v>
      </c>
      <c r="Y4542" s="2" t="s">
        <v>560</v>
      </c>
      <c r="Z4542" s="2" t="s">
        <v>30147</v>
      </c>
      <c r="AA4542" s="2">
        <v>3.57238279304616</v>
      </c>
      <c r="AB4542" s="2">
        <v>0.13731094345845701</v>
      </c>
      <c r="AC4542" s="2">
        <v>6630.7149772631601</v>
      </c>
      <c r="AD4542" s="2">
        <v>8087.9046319803101</v>
      </c>
      <c r="AE4542" s="2">
        <v>6501.1622351910701</v>
      </c>
      <c r="AF4542" s="2">
        <v>6044.2116594848903</v>
      </c>
      <c r="AG4542" s="2">
        <v>7134.0330874233196</v>
      </c>
      <c r="AH4542" s="2">
        <v>6775.0097336097597</v>
      </c>
      <c r="AI4542" s="2">
        <v>6475.5920363777104</v>
      </c>
      <c r="AJ4542" s="2">
        <v>6854.2811114922197</v>
      </c>
      <c r="AK4542" s="2">
        <v>7890.4304213579198</v>
      </c>
      <c r="AL4542" s="2">
        <v>7607.9277502267096</v>
      </c>
      <c r="AM4542" s="2">
        <v>9040.7542619225605</v>
      </c>
      <c r="AN4542" s="2">
        <v>7913.4087204265197</v>
      </c>
      <c r="AO4542" s="2">
        <v>7506.7287329560904</v>
      </c>
      <c r="AP4542" s="2">
        <v>8568.1779049920897</v>
      </c>
    </row>
    <row r="4543" spans="1:42" ht="14.5" x14ac:dyDescent="0.35">
      <c r="A4543" s="2" t="s">
        <v>30148</v>
      </c>
      <c r="B4543" s="2">
        <v>567.02957575549101</v>
      </c>
      <c r="C4543" s="2">
        <v>9.05826666666667</v>
      </c>
      <c r="D4543" s="2" t="s">
        <v>70</v>
      </c>
      <c r="E4543" s="2" t="s">
        <v>30149</v>
      </c>
      <c r="F4543" s="2">
        <v>10143</v>
      </c>
      <c r="G4543" s="3" t="str">
        <f>HYPERLINK("http://funmeta.oebiotech.com/network/10143", "http://funmeta.oebiotech.com/network/10143")</f>
        <v>http://funmeta.oebiotech.com/network/10143</v>
      </c>
      <c r="H4543" s="2"/>
      <c r="I4543" s="2"/>
      <c r="J4543" s="2" t="s">
        <v>30150</v>
      </c>
      <c r="K4543" s="2"/>
      <c r="L4543" s="2"/>
      <c r="M4543" s="2"/>
      <c r="N4543" s="2"/>
      <c r="O4543" s="2">
        <v>134812259</v>
      </c>
      <c r="P4543" s="2"/>
      <c r="Q4543" s="2" t="s">
        <v>30151</v>
      </c>
      <c r="R4543" s="2" t="s">
        <v>30152</v>
      </c>
      <c r="S4543" s="2" t="s">
        <v>491</v>
      </c>
      <c r="T4543" s="2" t="s">
        <v>7823</v>
      </c>
      <c r="U4543" s="2" t="s">
        <v>41</v>
      </c>
      <c r="V4543" s="2" t="s">
        <v>59</v>
      </c>
      <c r="W4543" s="2">
        <v>36.4</v>
      </c>
      <c r="X4543" s="2">
        <v>0</v>
      </c>
      <c r="Y4543" s="2" t="s">
        <v>560</v>
      </c>
      <c r="Z4543" s="2" t="s">
        <v>30153</v>
      </c>
      <c r="AA4543" s="2">
        <v>2.5534699534771201</v>
      </c>
      <c r="AB4543" s="2">
        <v>0.13726679097547301</v>
      </c>
      <c r="AC4543" s="2">
        <v>6022.9014621740298</v>
      </c>
      <c r="AD4543" s="2">
        <v>7580.0653934624997</v>
      </c>
      <c r="AE4543" s="2">
        <v>6396.8325383928604</v>
      </c>
      <c r="AF4543" s="2">
        <v>5137.0939849431397</v>
      </c>
      <c r="AG4543" s="2">
        <v>5459.5200646662397</v>
      </c>
      <c r="AH4543" s="2">
        <v>6145.6797784513701</v>
      </c>
      <c r="AI4543" s="2">
        <v>6346.6236955919303</v>
      </c>
      <c r="AJ4543" s="2">
        <v>6651.6587109986103</v>
      </c>
      <c r="AK4543" s="2">
        <v>8380.6173082562691</v>
      </c>
      <c r="AL4543" s="2">
        <v>6870.6174787025202</v>
      </c>
      <c r="AM4543" s="2">
        <v>8128.2793742128797</v>
      </c>
      <c r="AN4543" s="2">
        <v>7177.5909129134798</v>
      </c>
      <c r="AO4543" s="2">
        <v>8182.0653554788796</v>
      </c>
      <c r="AP4543" s="2">
        <v>6741.2219312109701</v>
      </c>
    </row>
    <row r="4544" spans="1:42" ht="14.5" x14ac:dyDescent="0.35">
      <c r="A4544" s="2" t="s">
        <v>30154</v>
      </c>
      <c r="B4544" s="2">
        <v>419.24039572501999</v>
      </c>
      <c r="C4544" s="2">
        <v>5.7914500000000002</v>
      </c>
      <c r="D4544" s="2" t="s">
        <v>34</v>
      </c>
      <c r="E4544" s="2" t="s">
        <v>30155</v>
      </c>
      <c r="F4544" s="2">
        <v>267515</v>
      </c>
      <c r="G4544" s="3" t="str">
        <f>HYPERLINK("http://funmeta.oebiotech.com/network/267515", "http://funmeta.oebiotech.com/network/267515")</f>
        <v>http://funmeta.oebiotech.com/network/267515</v>
      </c>
      <c r="H4544" s="2"/>
      <c r="I4544" s="2">
        <v>45595</v>
      </c>
      <c r="J4544" s="2"/>
      <c r="K4544" s="2"/>
      <c r="L4544" s="2"/>
      <c r="M4544" s="2"/>
      <c r="N4544" s="2"/>
      <c r="O4544" s="2">
        <v>10905349</v>
      </c>
      <c r="P4544" s="2" t="s">
        <v>30156</v>
      </c>
      <c r="Q4544" s="2" t="s">
        <v>30157</v>
      </c>
      <c r="R4544" s="2" t="s">
        <v>30158</v>
      </c>
      <c r="S4544" s="2" t="s">
        <v>50</v>
      </c>
      <c r="T4544" s="2" t="s">
        <v>229</v>
      </c>
      <c r="U4544" s="2" t="s">
        <v>766</v>
      </c>
      <c r="V4544" s="2" t="s">
        <v>59</v>
      </c>
      <c r="W4544" s="2">
        <v>38.700000000000003</v>
      </c>
      <c r="X4544" s="2">
        <v>0</v>
      </c>
      <c r="Y4544" s="2" t="s">
        <v>323</v>
      </c>
      <c r="Z4544" s="2" t="s">
        <v>30159</v>
      </c>
      <c r="AA4544" s="2">
        <v>-3.4894179429263802E-2</v>
      </c>
      <c r="AB4544" s="2">
        <v>0.137155266475399</v>
      </c>
      <c r="AC4544" s="2">
        <v>23445.153724249401</v>
      </c>
      <c r="AD4544" s="2">
        <v>21856.0430112713</v>
      </c>
      <c r="AE4544" s="2">
        <v>23345.733428984298</v>
      </c>
      <c r="AF4544" s="2">
        <v>24107.8837223052</v>
      </c>
      <c r="AG4544" s="2">
        <v>23598.6723004952</v>
      </c>
      <c r="AH4544" s="2">
        <v>22844.979336751399</v>
      </c>
      <c r="AI4544" s="2">
        <v>22737.266770566701</v>
      </c>
      <c r="AJ4544" s="2">
        <v>24036.386786393301</v>
      </c>
      <c r="AK4544" s="2">
        <v>20608.495291108</v>
      </c>
      <c r="AL4544" s="2">
        <v>22689.663075635599</v>
      </c>
      <c r="AM4544" s="2">
        <v>21692.558194352299</v>
      </c>
      <c r="AN4544" s="2">
        <v>21324.7891295626</v>
      </c>
      <c r="AO4544" s="2">
        <v>22833.505563797102</v>
      </c>
      <c r="AP4544" s="2">
        <v>21987.246813172002</v>
      </c>
    </row>
    <row r="4545" spans="1:42" ht="14.5" x14ac:dyDescent="0.35">
      <c r="A4545" s="2" t="s">
        <v>30160</v>
      </c>
      <c r="B4545" s="2">
        <v>383.059516977241</v>
      </c>
      <c r="C4545" s="2">
        <v>2.5397333333333298</v>
      </c>
      <c r="D4545" s="2" t="s">
        <v>70</v>
      </c>
      <c r="E4545" s="2" t="s">
        <v>30161</v>
      </c>
      <c r="F4545" s="2">
        <v>47627</v>
      </c>
      <c r="G4545" s="3" t="str">
        <f>HYPERLINK("http://funmeta.oebiotech.com/network/47627", "http://funmeta.oebiotech.com/network/47627")</f>
        <v>http://funmeta.oebiotech.com/network/47627</v>
      </c>
      <c r="H4545" s="2" t="s">
        <v>30162</v>
      </c>
      <c r="I4545" s="2">
        <v>6294</v>
      </c>
      <c r="J4545" s="2"/>
      <c r="K4545" s="2">
        <v>18406</v>
      </c>
      <c r="L4545" s="2" t="s">
        <v>30163</v>
      </c>
      <c r="M4545" s="2" t="s">
        <v>30164</v>
      </c>
      <c r="N4545" s="2" t="s">
        <v>30165</v>
      </c>
      <c r="O4545" s="2">
        <v>65110</v>
      </c>
      <c r="P4545" s="2" t="s">
        <v>30166</v>
      </c>
      <c r="Q4545" s="2" t="s">
        <v>30167</v>
      </c>
      <c r="R4545" s="2" t="s">
        <v>30168</v>
      </c>
      <c r="S4545" s="2" t="s">
        <v>1444</v>
      </c>
      <c r="T4545" s="2" t="s">
        <v>30169</v>
      </c>
      <c r="U4545" s="2" t="s">
        <v>30170</v>
      </c>
      <c r="V4545" s="2" t="s">
        <v>59</v>
      </c>
      <c r="W4545" s="2">
        <v>40.1</v>
      </c>
      <c r="X4545" s="2">
        <v>9.7100000000000009</v>
      </c>
      <c r="Y4545" s="2" t="s">
        <v>408</v>
      </c>
      <c r="Z4545" s="2" t="s">
        <v>30171</v>
      </c>
      <c r="AA4545" s="2">
        <v>-4.2476714413196399</v>
      </c>
      <c r="AB4545" s="2">
        <v>0.13707982782403899</v>
      </c>
      <c r="AC4545" s="2">
        <v>38044.419268687503</v>
      </c>
      <c r="AD4545" s="2">
        <v>40537.164835677497</v>
      </c>
      <c r="AE4545" s="2">
        <v>38273.101348196898</v>
      </c>
      <c r="AF4545" s="2">
        <v>39134.686163693201</v>
      </c>
      <c r="AG4545" s="2">
        <v>39940.503806365203</v>
      </c>
      <c r="AH4545" s="2">
        <v>40224.966888785697</v>
      </c>
      <c r="AI4545" s="2">
        <v>37269.6103475087</v>
      </c>
      <c r="AJ4545" s="2">
        <v>33423.647057575203</v>
      </c>
      <c r="AK4545" s="2">
        <v>42945.813339692497</v>
      </c>
      <c r="AL4545" s="2">
        <v>42464.562925805898</v>
      </c>
      <c r="AM4545" s="2">
        <v>39119.318317296304</v>
      </c>
      <c r="AN4545" s="2">
        <v>38548.529790676199</v>
      </c>
      <c r="AO4545" s="2">
        <v>38181.1394169458</v>
      </c>
      <c r="AP4545" s="2">
        <v>41963.625223648</v>
      </c>
    </row>
    <row r="4546" spans="1:42" ht="14.5" x14ac:dyDescent="0.35">
      <c r="A4546" s="2" t="s">
        <v>30172</v>
      </c>
      <c r="B4546" s="2">
        <v>393.12969121960401</v>
      </c>
      <c r="C4546" s="2">
        <v>1.5991</v>
      </c>
      <c r="D4546" s="2" t="s">
        <v>70</v>
      </c>
      <c r="E4546" s="2" t="s">
        <v>30173</v>
      </c>
      <c r="F4546" s="2">
        <v>46914</v>
      </c>
      <c r="G4546" s="3" t="str">
        <f>HYPERLINK("http://funmeta.oebiotech.com/network/46914", "http://funmeta.oebiotech.com/network/46914")</f>
        <v>http://funmeta.oebiotech.com/network/46914</v>
      </c>
      <c r="H4546" s="2" t="s">
        <v>30174</v>
      </c>
      <c r="I4546" s="2">
        <v>42</v>
      </c>
      <c r="J4546" s="2"/>
      <c r="K4546" s="2">
        <v>15765</v>
      </c>
      <c r="L4546" s="2" t="s">
        <v>30175</v>
      </c>
      <c r="M4546" s="2" t="s">
        <v>30176</v>
      </c>
      <c r="N4546" s="2" t="s">
        <v>30177</v>
      </c>
      <c r="O4546" s="2">
        <v>6047</v>
      </c>
      <c r="P4546" s="2" t="s">
        <v>30178</v>
      </c>
      <c r="Q4546" s="2" t="s">
        <v>30179</v>
      </c>
      <c r="R4546" s="2" t="s">
        <v>30180</v>
      </c>
      <c r="S4546" s="2" t="s">
        <v>89</v>
      </c>
      <c r="T4546" s="2" t="s">
        <v>90</v>
      </c>
      <c r="U4546" s="2" t="s">
        <v>99</v>
      </c>
      <c r="V4546" s="2" t="s">
        <v>59</v>
      </c>
      <c r="W4546" s="2">
        <v>38</v>
      </c>
      <c r="X4546" s="2">
        <v>0</v>
      </c>
      <c r="Y4546" s="2" t="s">
        <v>560</v>
      </c>
      <c r="Z4546" s="2" t="s">
        <v>30181</v>
      </c>
      <c r="AA4546" s="2">
        <v>-1.6441465872594401</v>
      </c>
      <c r="AB4546" s="2">
        <v>0.13696217976212599</v>
      </c>
      <c r="AC4546" s="2">
        <v>5469.8257723465003</v>
      </c>
      <c r="AD4546" s="2">
        <v>4127.4092093571699</v>
      </c>
      <c r="AE4546" s="2">
        <v>5875.6599407407102</v>
      </c>
      <c r="AF4546" s="2">
        <v>5708.4945273826297</v>
      </c>
      <c r="AG4546" s="2">
        <v>5250.9656736791303</v>
      </c>
      <c r="AH4546" s="2">
        <v>5596.0478473817802</v>
      </c>
      <c r="AI4546" s="2">
        <v>5129.5708958355599</v>
      </c>
      <c r="AJ4546" s="2">
        <v>5258.2157490591899</v>
      </c>
      <c r="AK4546" s="2">
        <v>3754.43892930522</v>
      </c>
      <c r="AL4546" s="2">
        <v>3978.3738162028899</v>
      </c>
      <c r="AM4546" s="2">
        <v>4688.87595957759</v>
      </c>
      <c r="AN4546" s="2">
        <v>4383.0226479252497</v>
      </c>
      <c r="AO4546" s="2">
        <v>4021.4101827305899</v>
      </c>
      <c r="AP4546" s="2">
        <v>3938.3337204014601</v>
      </c>
    </row>
    <row r="4547" spans="1:42" ht="14.5" x14ac:dyDescent="0.35">
      <c r="A4547" s="2" t="s">
        <v>30182</v>
      </c>
      <c r="B4547" s="2">
        <v>391.17369464628899</v>
      </c>
      <c r="C4547" s="2">
        <v>7.0086666666666702</v>
      </c>
      <c r="D4547" s="2" t="s">
        <v>70</v>
      </c>
      <c r="E4547" s="2" t="s">
        <v>30183</v>
      </c>
      <c r="F4547" s="2">
        <v>266914</v>
      </c>
      <c r="G4547" s="3" t="str">
        <f>HYPERLINK("http://funmeta.oebiotech.com/network/266914", "http://funmeta.oebiotech.com/network/266914")</f>
        <v>http://funmeta.oebiotech.com/network/266914</v>
      </c>
      <c r="H4547" s="2"/>
      <c r="I4547" s="2">
        <v>44291</v>
      </c>
      <c r="J4547" s="2"/>
      <c r="K4547" s="2"/>
      <c r="L4547" s="2" t="s">
        <v>30184</v>
      </c>
      <c r="M4547" s="2"/>
      <c r="N4547" s="2"/>
      <c r="O4547" s="2">
        <v>16490</v>
      </c>
      <c r="P4547" s="2" t="s">
        <v>30185</v>
      </c>
      <c r="Q4547" s="2" t="s">
        <v>30186</v>
      </c>
      <c r="R4547" s="2" t="s">
        <v>30187</v>
      </c>
      <c r="S4547" s="2" t="s">
        <v>50</v>
      </c>
      <c r="T4547" s="2" t="s">
        <v>124</v>
      </c>
      <c r="U4547" s="2" t="s">
        <v>1136</v>
      </c>
      <c r="V4547" s="2" t="s">
        <v>59</v>
      </c>
      <c r="W4547" s="2">
        <v>36.799999999999997</v>
      </c>
      <c r="X4547" s="2">
        <v>0</v>
      </c>
      <c r="Y4547" s="2" t="s">
        <v>751</v>
      </c>
      <c r="Z4547" s="2" t="s">
        <v>13180</v>
      </c>
      <c r="AA4547" s="2">
        <v>2.5727816202259</v>
      </c>
      <c r="AB4547" s="2">
        <v>0.13686337323349601</v>
      </c>
      <c r="AC4547" s="2">
        <v>2136.9858760780498</v>
      </c>
      <c r="AD4547" s="2">
        <v>829.80563588662096</v>
      </c>
      <c r="AE4547" s="2">
        <v>2431.6191388513898</v>
      </c>
      <c r="AF4547" s="2">
        <v>2494.25785535567</v>
      </c>
      <c r="AG4547" s="2">
        <v>2244.7616440801498</v>
      </c>
      <c r="AH4547" s="2">
        <v>1651.5176972265899</v>
      </c>
      <c r="AI4547" s="2">
        <v>1766.3180272475399</v>
      </c>
      <c r="AJ4547" s="2">
        <v>2233.4408937069602</v>
      </c>
      <c r="AK4547" s="2">
        <v>960.28216399399798</v>
      </c>
      <c r="AL4547" s="2">
        <v>798.75519436965499</v>
      </c>
      <c r="AM4547" s="2">
        <v>974.38873980937501</v>
      </c>
      <c r="AN4547" s="2">
        <v>917.95619471237399</v>
      </c>
      <c r="AO4547" s="2">
        <v>757.52388910459194</v>
      </c>
      <c r="AP4547" s="2">
        <v>569.92763332973402</v>
      </c>
    </row>
    <row r="4548" spans="1:42" ht="14.5" x14ac:dyDescent="0.35">
      <c r="A4548" s="2" t="s">
        <v>30188</v>
      </c>
      <c r="B4548" s="2">
        <v>671.29024850358803</v>
      </c>
      <c r="C4548" s="2">
        <v>5.0599499999999997</v>
      </c>
      <c r="D4548" s="2" t="s">
        <v>70</v>
      </c>
      <c r="E4548" s="2" t="s">
        <v>30189</v>
      </c>
      <c r="F4548" s="2">
        <v>64601</v>
      </c>
      <c r="G4548" s="3" t="str">
        <f>HYPERLINK("http://funmeta.oebiotech.com/network/64601", "http://funmeta.oebiotech.com/network/64601")</f>
        <v>http://funmeta.oebiotech.com/network/64601</v>
      </c>
      <c r="H4548" s="2" t="s">
        <v>30190</v>
      </c>
      <c r="I4548" s="2">
        <v>95903</v>
      </c>
      <c r="J4548" s="2"/>
      <c r="K4548" s="2"/>
      <c r="L4548" s="2"/>
      <c r="M4548" s="2"/>
      <c r="N4548" s="2"/>
      <c r="O4548" s="2">
        <v>641764</v>
      </c>
      <c r="P4548" s="2" t="s">
        <v>30191</v>
      </c>
      <c r="Q4548" s="2" t="s">
        <v>30192</v>
      </c>
      <c r="R4548" s="2" t="s">
        <v>30193</v>
      </c>
      <c r="S4548" s="2" t="s">
        <v>115</v>
      </c>
      <c r="T4548" s="2" t="s">
        <v>116</v>
      </c>
      <c r="U4548" s="2" t="s">
        <v>117</v>
      </c>
      <c r="V4548" s="2" t="s">
        <v>59</v>
      </c>
      <c r="W4548" s="2">
        <v>37.9</v>
      </c>
      <c r="X4548" s="2">
        <v>0</v>
      </c>
      <c r="Y4548" s="2" t="s">
        <v>560</v>
      </c>
      <c r="Z4548" s="2" t="s">
        <v>30194</v>
      </c>
      <c r="AA4548" s="2">
        <v>4.07546851371184</v>
      </c>
      <c r="AB4548" s="2">
        <v>0.13674776747876399</v>
      </c>
      <c r="AC4548" s="2">
        <v>12903.2882302774</v>
      </c>
      <c r="AD4548" s="2">
        <v>10358.2599492101</v>
      </c>
      <c r="AE4548" s="2">
        <v>15792.6625031639</v>
      </c>
      <c r="AF4548" s="2">
        <v>8224.3221255953704</v>
      </c>
      <c r="AG4548" s="2">
        <v>10224.466298831399</v>
      </c>
      <c r="AH4548" s="2">
        <v>13691.402668107699</v>
      </c>
      <c r="AI4548" s="2">
        <v>13813.5814572619</v>
      </c>
      <c r="AJ4548" s="2">
        <v>15673.2943287039</v>
      </c>
      <c r="AK4548" s="2">
        <v>10072.3450972542</v>
      </c>
      <c r="AL4548" s="2">
        <v>12767.350222459199</v>
      </c>
      <c r="AM4548" s="2">
        <v>9266.8542464818202</v>
      </c>
      <c r="AN4548" s="2">
        <v>9356.8234798464691</v>
      </c>
      <c r="AO4548" s="2">
        <v>12389.085095128599</v>
      </c>
      <c r="AP4548" s="2">
        <v>8297.1015540900298</v>
      </c>
    </row>
    <row r="4549" spans="1:42" ht="14.5" x14ac:dyDescent="0.35">
      <c r="A4549" s="2" t="s">
        <v>30195</v>
      </c>
      <c r="B4549" s="2">
        <v>469.30072714283398</v>
      </c>
      <c r="C4549" s="2">
        <v>4.4609500000000004</v>
      </c>
      <c r="D4549" s="2" t="s">
        <v>34</v>
      </c>
      <c r="E4549" s="2" t="s">
        <v>30196</v>
      </c>
      <c r="F4549" s="2">
        <v>21171</v>
      </c>
      <c r="G4549" s="3" t="str">
        <f>HYPERLINK("http://funmeta.oebiotech.com/network/21171", "http://funmeta.oebiotech.com/network/21171")</f>
        <v>http://funmeta.oebiotech.com/network/21171</v>
      </c>
      <c r="H4549" s="2" t="s">
        <v>30197</v>
      </c>
      <c r="I4549" s="2">
        <v>62290</v>
      </c>
      <c r="J4549" s="2" t="s">
        <v>30198</v>
      </c>
      <c r="K4549" s="2"/>
      <c r="L4549" s="2"/>
      <c r="M4549" s="2"/>
      <c r="N4549" s="2"/>
      <c r="O4549" s="2">
        <v>52925129</v>
      </c>
      <c r="P4549" s="2"/>
      <c r="Q4549" s="2" t="s">
        <v>30199</v>
      </c>
      <c r="R4549" s="2" t="s">
        <v>30200</v>
      </c>
      <c r="S4549" s="2" t="s">
        <v>50</v>
      </c>
      <c r="T4549" s="2" t="s">
        <v>51</v>
      </c>
      <c r="U4549" s="2" t="s">
        <v>257</v>
      </c>
      <c r="V4549" s="2" t="s">
        <v>59</v>
      </c>
      <c r="W4549" s="2">
        <v>36.200000000000003</v>
      </c>
      <c r="X4549" s="2">
        <v>0</v>
      </c>
      <c r="Y4549" s="2" t="s">
        <v>43</v>
      </c>
      <c r="Z4549" s="2" t="s">
        <v>30201</v>
      </c>
      <c r="AA4549" s="2">
        <v>-6.62066292675261</v>
      </c>
      <c r="AB4549" s="2">
        <v>0.13639434789393001</v>
      </c>
      <c r="AC4549" s="2">
        <v>3548.1427239674499</v>
      </c>
      <c r="AD4549" s="2">
        <v>1743.9861223564101</v>
      </c>
      <c r="AE4549" s="2">
        <v>3688.8850160142701</v>
      </c>
      <c r="AF4549" s="2">
        <v>2502.9235672979498</v>
      </c>
      <c r="AG4549" s="2">
        <v>4250.03792959157</v>
      </c>
      <c r="AH4549" s="2">
        <v>3643.5755936679102</v>
      </c>
      <c r="AI4549" s="2">
        <v>3242.9306063679401</v>
      </c>
      <c r="AJ4549" s="2">
        <v>3960.5036308650701</v>
      </c>
      <c r="AK4549" s="2">
        <v>716.035204032774</v>
      </c>
      <c r="AL4549" s="2">
        <v>1422.8486169939699</v>
      </c>
      <c r="AM4549" s="2">
        <v>2088.8206961883202</v>
      </c>
      <c r="AN4549" s="2">
        <v>647.33127480358303</v>
      </c>
      <c r="AO4549" s="2">
        <v>4375.9957432006804</v>
      </c>
      <c r="AP4549" s="2">
        <v>1212.8851989191401</v>
      </c>
    </row>
    <row r="4550" spans="1:42" ht="14.5" x14ac:dyDescent="0.35">
      <c r="A4550" s="2" t="s">
        <v>30202</v>
      </c>
      <c r="B4550" s="2">
        <v>323.19536699152798</v>
      </c>
      <c r="C4550" s="2">
        <v>11.827999999999999</v>
      </c>
      <c r="D4550" s="2" t="s">
        <v>34</v>
      </c>
      <c r="E4550" s="2" t="s">
        <v>30203</v>
      </c>
      <c r="F4550" s="2">
        <v>266816</v>
      </c>
      <c r="G4550" s="3" t="str">
        <f>HYPERLINK("http://funmeta.oebiotech.com/network/266816", "http://funmeta.oebiotech.com/network/266816")</f>
        <v>http://funmeta.oebiotech.com/network/266816</v>
      </c>
      <c r="H4550" s="2"/>
      <c r="I4550" s="2">
        <v>44029</v>
      </c>
      <c r="J4550" s="2"/>
      <c r="K4550" s="2"/>
      <c r="L4550" s="2"/>
      <c r="M4550" s="2"/>
      <c r="N4550" s="2"/>
      <c r="O4550" s="2">
        <v>6918612</v>
      </c>
      <c r="P4550" s="2" t="s">
        <v>30204</v>
      </c>
      <c r="Q4550" s="2" t="s">
        <v>30205</v>
      </c>
      <c r="R4550" s="2" t="s">
        <v>30206</v>
      </c>
      <c r="S4550" s="2" t="s">
        <v>39</v>
      </c>
      <c r="T4550" s="2" t="s">
        <v>26067</v>
      </c>
      <c r="U4550" s="2" t="s">
        <v>41</v>
      </c>
      <c r="V4550" s="2" t="s">
        <v>59</v>
      </c>
      <c r="W4550" s="2">
        <v>36.5</v>
      </c>
      <c r="X4550" s="2">
        <v>0</v>
      </c>
      <c r="Y4550" s="2" t="s">
        <v>43</v>
      </c>
      <c r="Z4550" s="2" t="s">
        <v>30207</v>
      </c>
      <c r="AA4550" s="2">
        <v>-3.8234000754819202</v>
      </c>
      <c r="AB4550" s="2">
        <v>0.136330319536588</v>
      </c>
      <c r="AC4550" s="2">
        <v>1256.2638295838899</v>
      </c>
      <c r="AD4550" s="2">
        <v>19.013028993550499</v>
      </c>
      <c r="AE4550" s="2">
        <v>1423.80069441817</v>
      </c>
      <c r="AF4550" s="2">
        <v>1323.7665518916001</v>
      </c>
      <c r="AG4550" s="2">
        <v>1298.0235597400199</v>
      </c>
      <c r="AH4550" s="2">
        <v>1018.5962041976099</v>
      </c>
      <c r="AI4550" s="2">
        <v>1360.6584625045</v>
      </c>
      <c r="AJ4550" s="2">
        <v>1112.7375047514499</v>
      </c>
      <c r="AK4550" s="2">
        <v>114.078038429833</v>
      </c>
      <c r="AL4550" s="2">
        <v>2.7106294003980101E-5</v>
      </c>
      <c r="AM4550" s="2">
        <v>2.7106294003980101E-5</v>
      </c>
      <c r="AN4550" s="2">
        <v>2.7106294003980101E-5</v>
      </c>
      <c r="AO4550" s="2">
        <v>2.7106294003980101E-5</v>
      </c>
      <c r="AP4550" s="2">
        <v>2.7106294003980101E-5</v>
      </c>
    </row>
    <row r="4551" spans="1:42" ht="14.5" x14ac:dyDescent="0.35">
      <c r="A4551" s="2" t="s">
        <v>30208</v>
      </c>
      <c r="B4551" s="2">
        <v>580.45691408582104</v>
      </c>
      <c r="C4551" s="2">
        <v>13.3571166666667</v>
      </c>
      <c r="D4551" s="2" t="s">
        <v>34</v>
      </c>
      <c r="E4551" s="2" t="s">
        <v>30209</v>
      </c>
      <c r="F4551" s="2">
        <v>256653</v>
      </c>
      <c r="G4551" s="3" t="str">
        <f>HYPERLINK("http://funmeta.oebiotech.com/network/256653", "http://funmeta.oebiotech.com/network/256653")</f>
        <v>http://funmeta.oebiotech.com/network/256653</v>
      </c>
      <c r="H4551" s="2" t="s">
        <v>30210</v>
      </c>
      <c r="I4551" s="2"/>
      <c r="J4551" s="2"/>
      <c r="K4551" s="2"/>
      <c r="L4551" s="2"/>
      <c r="M4551" s="2"/>
      <c r="N4551" s="2"/>
      <c r="O4551" s="2">
        <v>12895785</v>
      </c>
      <c r="P4551" s="2"/>
      <c r="Q4551" s="2" t="s">
        <v>30211</v>
      </c>
      <c r="R4551" s="2" t="s">
        <v>30212</v>
      </c>
      <c r="S4551" s="2" t="s">
        <v>50</v>
      </c>
      <c r="T4551" s="2" t="s">
        <v>124</v>
      </c>
      <c r="U4551" s="2" t="s">
        <v>523</v>
      </c>
      <c r="V4551" s="2" t="s">
        <v>42</v>
      </c>
      <c r="W4551" s="2">
        <v>50</v>
      </c>
      <c r="X4551" s="2">
        <v>58.8</v>
      </c>
      <c r="Y4551" s="2" t="s">
        <v>470</v>
      </c>
      <c r="Z4551" s="2" t="s">
        <v>30213</v>
      </c>
      <c r="AA4551" s="2">
        <v>-0.44632144818049702</v>
      </c>
      <c r="AB4551" s="2">
        <v>0.136230933616248</v>
      </c>
      <c r="AC4551" s="2">
        <v>4454.7899868762697</v>
      </c>
      <c r="AD4551" s="2">
        <v>6317.19855716652</v>
      </c>
      <c r="AE4551" s="2">
        <v>4036.1637726638</v>
      </c>
      <c r="AF4551" s="2">
        <v>4691.41946241188</v>
      </c>
      <c r="AG4551" s="2">
        <v>4531.6435956804498</v>
      </c>
      <c r="AH4551" s="2">
        <v>5107.7450311458297</v>
      </c>
      <c r="AI4551" s="2">
        <v>4196.1850942451001</v>
      </c>
      <c r="AJ4551" s="2">
        <v>4165.5829651105796</v>
      </c>
      <c r="AK4551" s="2">
        <v>9011.1608672592902</v>
      </c>
      <c r="AL4551" s="2">
        <v>6485.6728987494698</v>
      </c>
      <c r="AM4551" s="2">
        <v>7170.4746219451799</v>
      </c>
      <c r="AN4551" s="2">
        <v>5446.4821059811802</v>
      </c>
      <c r="AO4551" s="2">
        <v>5020.7089647007297</v>
      </c>
      <c r="AP4551" s="2">
        <v>4768.6918843632902</v>
      </c>
    </row>
    <row r="4552" spans="1:42" ht="14.5" x14ac:dyDescent="0.35">
      <c r="A4552" s="2" t="s">
        <v>30214</v>
      </c>
      <c r="B4552" s="2">
        <v>604.45656955862</v>
      </c>
      <c r="C4552" s="2">
        <v>13.512233333333301</v>
      </c>
      <c r="D4552" s="2" t="s">
        <v>34</v>
      </c>
      <c r="E4552" s="2" t="s">
        <v>30215</v>
      </c>
      <c r="F4552" s="2">
        <v>242972</v>
      </c>
      <c r="G4552" s="3" t="str">
        <f>HYPERLINK("http://funmeta.oebiotech.com/network/242972", "http://funmeta.oebiotech.com/network/242972")</f>
        <v>http://funmeta.oebiotech.com/network/242972</v>
      </c>
      <c r="H4552" s="2" t="s">
        <v>30216</v>
      </c>
      <c r="I4552" s="2"/>
      <c r="J4552" s="2"/>
      <c r="K4552" s="2"/>
      <c r="L4552" s="2"/>
      <c r="M4552" s="2"/>
      <c r="N4552" s="2"/>
      <c r="O4552" s="2"/>
      <c r="P4552" s="2"/>
      <c r="Q4552" s="2" t="s">
        <v>30217</v>
      </c>
      <c r="R4552" s="2" t="s">
        <v>30218</v>
      </c>
      <c r="S4552" s="2" t="s">
        <v>41</v>
      </c>
      <c r="T4552" s="2" t="s">
        <v>41</v>
      </c>
      <c r="U4552" s="2" t="s">
        <v>41</v>
      </c>
      <c r="V4552" s="2" t="s">
        <v>59</v>
      </c>
      <c r="W4552" s="2">
        <v>39.200000000000003</v>
      </c>
      <c r="X4552" s="2">
        <v>2.91</v>
      </c>
      <c r="Y4552" s="2" t="s">
        <v>394</v>
      </c>
      <c r="Z4552" s="2" t="s">
        <v>30219</v>
      </c>
      <c r="AA4552" s="2">
        <v>-0.98691179044437305</v>
      </c>
      <c r="AB4552" s="2">
        <v>0.13612152250649801</v>
      </c>
      <c r="AC4552" s="2">
        <v>16210.408103162399</v>
      </c>
      <c r="AD4552" s="2">
        <v>13062.2974641438</v>
      </c>
      <c r="AE4552" s="2">
        <v>12922.3014312574</v>
      </c>
      <c r="AF4552" s="2">
        <v>14319.8638328139</v>
      </c>
      <c r="AG4552" s="2">
        <v>19774.826273342202</v>
      </c>
      <c r="AH4552" s="2">
        <v>18007.4409704506</v>
      </c>
      <c r="AI4552" s="2">
        <v>14212.558412943499</v>
      </c>
      <c r="AJ4552" s="2">
        <v>18025.457698167</v>
      </c>
      <c r="AK4552" s="2">
        <v>22352.2708064371</v>
      </c>
      <c r="AL4552" s="2">
        <v>16505.534424921199</v>
      </c>
      <c r="AM4552" s="2">
        <v>11037.881602164</v>
      </c>
      <c r="AN4552" s="2">
        <v>9722.7135953017005</v>
      </c>
      <c r="AO4552" s="2">
        <v>10038.520901906</v>
      </c>
      <c r="AP4552" s="2">
        <v>8716.8634541329393</v>
      </c>
    </row>
    <row r="4553" spans="1:42" ht="14.5" x14ac:dyDescent="0.35">
      <c r="A4553" s="2" t="s">
        <v>30220</v>
      </c>
      <c r="B4553" s="2">
        <v>407.35154278932498</v>
      </c>
      <c r="C4553" s="2">
        <v>15.0373</v>
      </c>
      <c r="D4553" s="2" t="s">
        <v>34</v>
      </c>
      <c r="E4553" s="2" t="s">
        <v>30221</v>
      </c>
      <c r="F4553" s="2">
        <v>200220</v>
      </c>
      <c r="G4553" s="3" t="str">
        <f>HYPERLINK("http://funmeta.oebiotech.com/network/200220", "http://funmeta.oebiotech.com/network/200220")</f>
        <v>http://funmeta.oebiotech.com/network/200220</v>
      </c>
      <c r="H4553" s="2" t="s">
        <v>30222</v>
      </c>
      <c r="I4553" s="2"/>
      <c r="J4553" s="2"/>
      <c r="K4553" s="2"/>
      <c r="L4553" s="2"/>
      <c r="M4553" s="2"/>
      <c r="N4553" s="2"/>
      <c r="O4553" s="2">
        <v>11524680</v>
      </c>
      <c r="P4553" s="2"/>
      <c r="Q4553" s="2" t="s">
        <v>30223</v>
      </c>
      <c r="R4553" s="2" t="s">
        <v>30224</v>
      </c>
      <c r="S4553" s="2" t="s">
        <v>50</v>
      </c>
      <c r="T4553" s="2" t="s">
        <v>229</v>
      </c>
      <c r="U4553" s="2" t="s">
        <v>16559</v>
      </c>
      <c r="V4553" s="2" t="s">
        <v>59</v>
      </c>
      <c r="W4553" s="2">
        <v>37.299999999999997</v>
      </c>
      <c r="X4553" s="2">
        <v>0</v>
      </c>
      <c r="Y4553" s="2" t="s">
        <v>141</v>
      </c>
      <c r="Z4553" s="2" t="s">
        <v>30225</v>
      </c>
      <c r="AA4553" s="2">
        <v>-1.01089420856629</v>
      </c>
      <c r="AB4553" s="2">
        <v>0.13608521411166999</v>
      </c>
      <c r="AC4553" s="2">
        <v>10832.612113433701</v>
      </c>
      <c r="AD4553" s="2">
        <v>12569.4389009922</v>
      </c>
      <c r="AE4553" s="2">
        <v>10524.5334338555</v>
      </c>
      <c r="AF4553" s="2">
        <v>11831.732800954</v>
      </c>
      <c r="AG4553" s="2">
        <v>12231.471725952</v>
      </c>
      <c r="AH4553" s="2">
        <v>10988.403823558099</v>
      </c>
      <c r="AI4553" s="2">
        <v>9239.4997414226691</v>
      </c>
      <c r="AJ4553" s="2">
        <v>10180.0311548602</v>
      </c>
      <c r="AK4553" s="2">
        <v>11891.4307992948</v>
      </c>
      <c r="AL4553" s="2">
        <v>13338.9484971033</v>
      </c>
      <c r="AM4553" s="2">
        <v>12854.780349382099</v>
      </c>
      <c r="AN4553" s="2">
        <v>11709.7719039681</v>
      </c>
      <c r="AO4553" s="2">
        <v>12218.974934813499</v>
      </c>
      <c r="AP4553" s="2">
        <v>13402.726921391501</v>
      </c>
    </row>
    <row r="4554" spans="1:42" ht="14.5" x14ac:dyDescent="0.35">
      <c r="A4554" s="2" t="s">
        <v>30226</v>
      </c>
      <c r="B4554" s="2">
        <v>163.01875611330601</v>
      </c>
      <c r="C4554" s="2">
        <v>0.63648333333333296</v>
      </c>
      <c r="D4554" s="2" t="s">
        <v>34</v>
      </c>
      <c r="E4554" s="2" t="s">
        <v>30227</v>
      </c>
      <c r="F4554" s="2">
        <v>56863</v>
      </c>
      <c r="G4554" s="3" t="str">
        <f>HYPERLINK("http://funmeta.oebiotech.com/network/56863", "http://funmeta.oebiotech.com/network/56863")</f>
        <v>http://funmeta.oebiotech.com/network/56863</v>
      </c>
      <c r="H4554" s="2" t="s">
        <v>30228</v>
      </c>
      <c r="I4554" s="2">
        <v>88533</v>
      </c>
      <c r="J4554" s="2"/>
      <c r="K4554" s="2"/>
      <c r="L4554" s="2"/>
      <c r="M4554" s="2"/>
      <c r="N4554" s="2"/>
      <c r="O4554" s="2">
        <v>23642</v>
      </c>
      <c r="P4554" s="2" t="s">
        <v>30229</v>
      </c>
      <c r="Q4554" s="2" t="s">
        <v>30230</v>
      </c>
      <c r="R4554" s="2" t="s">
        <v>30231</v>
      </c>
      <c r="S4554" s="2" t="s">
        <v>148</v>
      </c>
      <c r="T4554" s="2" t="s">
        <v>30232</v>
      </c>
      <c r="U4554" s="2" t="s">
        <v>41</v>
      </c>
      <c r="V4554" s="2" t="s">
        <v>59</v>
      </c>
      <c r="W4554" s="2">
        <v>37.299999999999997</v>
      </c>
      <c r="X4554" s="2">
        <v>0</v>
      </c>
      <c r="Y4554" s="2" t="s">
        <v>323</v>
      </c>
      <c r="Z4554" s="2" t="s">
        <v>19001</v>
      </c>
      <c r="AA4554" s="2">
        <v>-0.36022968494089103</v>
      </c>
      <c r="AB4554" s="2">
        <v>0.13596956150696901</v>
      </c>
      <c r="AC4554" s="2">
        <v>2440.2786345167901</v>
      </c>
      <c r="AD4554" s="2">
        <v>3968.4623930091798</v>
      </c>
      <c r="AE4554" s="2">
        <v>2650.0429195238899</v>
      </c>
      <c r="AF4554" s="2">
        <v>2673.5805215772898</v>
      </c>
      <c r="AG4554" s="2">
        <v>1350.02062015609</v>
      </c>
      <c r="AH4554" s="2">
        <v>1827.36287526806</v>
      </c>
      <c r="AI4554" s="2">
        <v>3170.2160235255801</v>
      </c>
      <c r="AJ4554" s="2">
        <v>2970.4488470498</v>
      </c>
      <c r="AK4554" s="2">
        <v>4487.51372678185</v>
      </c>
      <c r="AL4554" s="2">
        <v>4563.7701573997001</v>
      </c>
      <c r="AM4554" s="2">
        <v>3886.6536615580499</v>
      </c>
      <c r="AN4554" s="2">
        <v>3662.0976479343499</v>
      </c>
      <c r="AO4554" s="2">
        <v>3007.2105963611202</v>
      </c>
      <c r="AP4554" s="2">
        <v>4203.5285680200104</v>
      </c>
    </row>
    <row r="4555" spans="1:42" ht="14.5" x14ac:dyDescent="0.35">
      <c r="A4555" s="2" t="s">
        <v>30233</v>
      </c>
      <c r="B4555" s="2">
        <v>634.19288143368203</v>
      </c>
      <c r="C4555" s="2">
        <v>3.6547999999999998</v>
      </c>
      <c r="D4555" s="2" t="s">
        <v>70</v>
      </c>
      <c r="E4555" s="2" t="s">
        <v>30234</v>
      </c>
      <c r="F4555" s="2">
        <v>206345</v>
      </c>
      <c r="G4555" s="3" t="str">
        <f>HYPERLINK("http://funmeta.oebiotech.com/network/206345", "http://funmeta.oebiotech.com/network/206345")</f>
        <v>http://funmeta.oebiotech.com/network/206345</v>
      </c>
      <c r="H4555" s="2" t="s">
        <v>30235</v>
      </c>
      <c r="I4555" s="2"/>
      <c r="J4555" s="2"/>
      <c r="K4555" s="2"/>
      <c r="L4555" s="2"/>
      <c r="M4555" s="2"/>
      <c r="N4555" s="2"/>
      <c r="O4555" s="2">
        <v>5384876</v>
      </c>
      <c r="P4555" s="2"/>
      <c r="Q4555" s="2" t="s">
        <v>30236</v>
      </c>
      <c r="R4555" s="2" t="s">
        <v>30237</v>
      </c>
      <c r="S4555" s="2" t="s">
        <v>491</v>
      </c>
      <c r="T4555" s="2" t="s">
        <v>1341</v>
      </c>
      <c r="U4555" s="2" t="s">
        <v>6866</v>
      </c>
      <c r="V4555" s="2" t="s">
        <v>59</v>
      </c>
      <c r="W4555" s="2">
        <v>38</v>
      </c>
      <c r="X4555" s="2">
        <v>0</v>
      </c>
      <c r="Y4555" s="2" t="s">
        <v>751</v>
      </c>
      <c r="Z4555" s="2" t="s">
        <v>30238</v>
      </c>
      <c r="AA4555" s="2">
        <v>-0.18007638587877201</v>
      </c>
      <c r="AB4555" s="2">
        <v>0.135920383103873</v>
      </c>
      <c r="AC4555" s="2">
        <v>4323.2790338956502</v>
      </c>
      <c r="AD4555" s="2">
        <v>5948.3692531148499</v>
      </c>
      <c r="AE4555" s="2">
        <v>3351.4878286162202</v>
      </c>
      <c r="AF4555" s="2">
        <v>4189.4842379052898</v>
      </c>
      <c r="AG4555" s="2">
        <v>5187.4945507802204</v>
      </c>
      <c r="AH4555" s="2">
        <v>4494.1714838699099</v>
      </c>
      <c r="AI4555" s="2">
        <v>4690.7386825514704</v>
      </c>
      <c r="AJ4555" s="2">
        <v>4026.2974196507898</v>
      </c>
      <c r="AK4555" s="2">
        <v>5374.9404386556498</v>
      </c>
      <c r="AL4555" s="2">
        <v>4664.6801963376201</v>
      </c>
      <c r="AM4555" s="2">
        <v>5891.1065031655298</v>
      </c>
      <c r="AN4555" s="2">
        <v>6420.3105825351604</v>
      </c>
      <c r="AO4555" s="2">
        <v>5860.7780225405404</v>
      </c>
      <c r="AP4555" s="2">
        <v>7478.3997754545799</v>
      </c>
    </row>
    <row r="4556" spans="1:42" ht="14.5" x14ac:dyDescent="0.35">
      <c r="A4556" s="2" t="s">
        <v>30239</v>
      </c>
      <c r="B4556" s="2">
        <v>751.32586894984297</v>
      </c>
      <c r="C4556" s="2">
        <v>8.2317499999999999</v>
      </c>
      <c r="D4556" s="2" t="s">
        <v>34</v>
      </c>
      <c r="E4556" s="2" t="s">
        <v>30240</v>
      </c>
      <c r="F4556" s="2">
        <v>27981</v>
      </c>
      <c r="G4556" s="3" t="str">
        <f>HYPERLINK("http://funmeta.oebiotech.com/network/27981", "http://funmeta.oebiotech.com/network/27981")</f>
        <v>http://funmeta.oebiotech.com/network/27981</v>
      </c>
      <c r="H4556" s="2"/>
      <c r="I4556" s="2"/>
      <c r="J4556" s="2" t="s">
        <v>30241</v>
      </c>
      <c r="K4556" s="2"/>
      <c r="L4556" s="2"/>
      <c r="M4556" s="2"/>
      <c r="N4556" s="2"/>
      <c r="O4556" s="2">
        <v>134812428</v>
      </c>
      <c r="P4556" s="2"/>
      <c r="Q4556" s="2" t="s">
        <v>30242</v>
      </c>
      <c r="R4556" s="2" t="s">
        <v>30243</v>
      </c>
      <c r="S4556" s="2" t="s">
        <v>50</v>
      </c>
      <c r="T4556" s="2" t="s">
        <v>51</v>
      </c>
      <c r="U4556" s="2" t="s">
        <v>52</v>
      </c>
      <c r="V4556" s="2" t="s">
        <v>59</v>
      </c>
      <c r="W4556" s="2">
        <v>36.5</v>
      </c>
      <c r="X4556" s="2">
        <v>0</v>
      </c>
      <c r="Y4556" s="2" t="s">
        <v>67</v>
      </c>
      <c r="Z4556" s="2" t="s">
        <v>30244</v>
      </c>
      <c r="AA4556" s="2">
        <v>-2.43581973991291</v>
      </c>
      <c r="AB4556" s="2">
        <v>0.13582041617794999</v>
      </c>
      <c r="AC4556" s="2">
        <v>24439.270248422901</v>
      </c>
      <c r="AD4556" s="2">
        <v>27029.342658531699</v>
      </c>
      <c r="AE4556" s="2">
        <v>20527.653654899601</v>
      </c>
      <c r="AF4556" s="2">
        <v>29868.3885139993</v>
      </c>
      <c r="AG4556" s="2">
        <v>24748.159041983599</v>
      </c>
      <c r="AH4556" s="2">
        <v>23406.6651219214</v>
      </c>
      <c r="AI4556" s="2">
        <v>23285.051738833699</v>
      </c>
      <c r="AJ4556" s="2">
        <v>24799.703418900001</v>
      </c>
      <c r="AK4556" s="2">
        <v>27968.737827557299</v>
      </c>
      <c r="AL4556" s="2">
        <v>23849.155454510699</v>
      </c>
      <c r="AM4556" s="2">
        <v>30072.576127183998</v>
      </c>
      <c r="AN4556" s="2">
        <v>27535.7999862496</v>
      </c>
      <c r="AO4556" s="2">
        <v>25186.638056761301</v>
      </c>
      <c r="AP4556" s="2">
        <v>27563.148498927199</v>
      </c>
    </row>
    <row r="4557" spans="1:42" ht="14.5" x14ac:dyDescent="0.35">
      <c r="A4557" s="2" t="s">
        <v>30245</v>
      </c>
      <c r="B4557" s="2">
        <v>180.058630497173</v>
      </c>
      <c r="C4557" s="2">
        <v>3.6547999999999998</v>
      </c>
      <c r="D4557" s="2" t="s">
        <v>70</v>
      </c>
      <c r="E4557" s="2" t="s">
        <v>30246</v>
      </c>
      <c r="F4557" s="2">
        <v>303190</v>
      </c>
      <c r="G4557" s="3" t="str">
        <f>HYPERLINK("http://funmeta.oebiotech.com/network/303190", "http://funmeta.oebiotech.com/network/303190")</f>
        <v>http://funmeta.oebiotech.com/network/303190</v>
      </c>
      <c r="H4557" s="2"/>
      <c r="I4557" s="2">
        <v>329205</v>
      </c>
      <c r="J4557" s="2"/>
      <c r="K4557" s="2"/>
      <c r="L4557" s="2"/>
      <c r="M4557" s="2"/>
      <c r="N4557" s="2"/>
      <c r="O4557" s="2">
        <v>135502804</v>
      </c>
      <c r="P4557" s="2"/>
      <c r="Q4557" s="2" t="s">
        <v>30247</v>
      </c>
      <c r="R4557" s="2" t="s">
        <v>30248</v>
      </c>
      <c r="S4557" s="2" t="s">
        <v>5916</v>
      </c>
      <c r="T4557" s="2" t="s">
        <v>5917</v>
      </c>
      <c r="U4557" s="2" t="s">
        <v>5918</v>
      </c>
      <c r="V4557" s="2" t="s">
        <v>59</v>
      </c>
      <c r="W4557" s="2">
        <v>36.9</v>
      </c>
      <c r="X4557" s="2">
        <v>0</v>
      </c>
      <c r="Y4557" s="2" t="s">
        <v>751</v>
      </c>
      <c r="Z4557" s="2" t="s">
        <v>30249</v>
      </c>
      <c r="AA4557" s="2">
        <v>-7.3410130133006399</v>
      </c>
      <c r="AB4557" s="2">
        <v>0.13556032732613699</v>
      </c>
      <c r="AC4557" s="2">
        <v>2206.74061769644</v>
      </c>
      <c r="AD4557" s="2">
        <v>907.58770274942697</v>
      </c>
      <c r="AE4557" s="2">
        <v>1829.4626291510299</v>
      </c>
      <c r="AF4557" s="2">
        <v>2622.3082454688001</v>
      </c>
      <c r="AG4557" s="2">
        <v>1969.1135163839499</v>
      </c>
      <c r="AH4557" s="2">
        <v>2069.2365846653101</v>
      </c>
      <c r="AI4557" s="2">
        <v>2616.92899561186</v>
      </c>
      <c r="AJ4557" s="2">
        <v>2133.3937348976901</v>
      </c>
      <c r="AK4557" s="2">
        <v>792.51607260006404</v>
      </c>
      <c r="AL4557" s="2">
        <v>616.09794273934995</v>
      </c>
      <c r="AM4557" s="2">
        <v>975.09342273394896</v>
      </c>
      <c r="AN4557" s="2">
        <v>850.59170362459895</v>
      </c>
      <c r="AO4557" s="2">
        <v>1048.55839008775</v>
      </c>
      <c r="AP4557" s="2">
        <v>1162.6686847108499</v>
      </c>
    </row>
    <row r="4558" spans="1:42" ht="14.5" x14ac:dyDescent="0.35">
      <c r="A4558" s="2" t="s">
        <v>30250</v>
      </c>
      <c r="B4558" s="2">
        <v>475.21855766359101</v>
      </c>
      <c r="C4558" s="2">
        <v>4.3640166666666698</v>
      </c>
      <c r="D4558" s="2" t="s">
        <v>70</v>
      </c>
      <c r="E4558" s="2" t="s">
        <v>30251</v>
      </c>
      <c r="F4558" s="2">
        <v>267479</v>
      </c>
      <c r="G4558" s="3" t="str">
        <f>HYPERLINK("http://funmeta.oebiotech.com/network/267479", "http://funmeta.oebiotech.com/network/267479")</f>
        <v>http://funmeta.oebiotech.com/network/267479</v>
      </c>
      <c r="H4558" s="2"/>
      <c r="I4558" s="2">
        <v>45544</v>
      </c>
      <c r="J4558" s="2"/>
      <c r="K4558" s="2"/>
      <c r="L4558" s="2"/>
      <c r="M4558" s="2"/>
      <c r="N4558" s="2"/>
      <c r="O4558" s="2">
        <v>5329098</v>
      </c>
      <c r="P4558" s="2" t="s">
        <v>30252</v>
      </c>
      <c r="Q4558" s="2" t="s">
        <v>30253</v>
      </c>
      <c r="R4558" s="2" t="s">
        <v>30254</v>
      </c>
      <c r="S4558" s="2" t="s">
        <v>491</v>
      </c>
      <c r="T4558" s="2" t="s">
        <v>2184</v>
      </c>
      <c r="U4558" s="2" t="s">
        <v>13266</v>
      </c>
      <c r="V4558" s="2" t="s">
        <v>59</v>
      </c>
      <c r="W4558" s="2">
        <v>37.6</v>
      </c>
      <c r="X4558" s="2">
        <v>0</v>
      </c>
      <c r="Y4558" s="2" t="s">
        <v>560</v>
      </c>
      <c r="Z4558" s="2" t="s">
        <v>30255</v>
      </c>
      <c r="AA4558" s="2">
        <v>9.6760477224771897</v>
      </c>
      <c r="AB4558" s="2">
        <v>0.13553868740147301</v>
      </c>
      <c r="AC4558" s="2">
        <v>46048.021092505798</v>
      </c>
      <c r="AD4558" s="2">
        <v>43297.743854345303</v>
      </c>
      <c r="AE4558" s="2">
        <v>47960.0503137626</v>
      </c>
      <c r="AF4558" s="2">
        <v>49948.500662816201</v>
      </c>
      <c r="AG4558" s="2">
        <v>45388.796265964098</v>
      </c>
      <c r="AH4558" s="2">
        <v>43645.346777120998</v>
      </c>
      <c r="AI4558" s="2">
        <v>43866.885983468099</v>
      </c>
      <c r="AJ4558" s="2">
        <v>45478.546551902902</v>
      </c>
      <c r="AK4558" s="2">
        <v>45150.400133032701</v>
      </c>
      <c r="AL4558" s="2">
        <v>46078.1762047702</v>
      </c>
      <c r="AM4558" s="2">
        <v>43388.322950647998</v>
      </c>
      <c r="AN4558" s="2">
        <v>47137.628788502203</v>
      </c>
      <c r="AO4558" s="2">
        <v>37179.267527898301</v>
      </c>
      <c r="AP4558" s="2">
        <v>40852.667521220203</v>
      </c>
    </row>
    <row r="4559" spans="1:42" ht="14.5" x14ac:dyDescent="0.35">
      <c r="A4559" s="2" t="s">
        <v>30256</v>
      </c>
      <c r="B4559" s="2">
        <v>285.24243195278802</v>
      </c>
      <c r="C4559" s="2">
        <v>9.3321500000000004</v>
      </c>
      <c r="D4559" s="2" t="s">
        <v>34</v>
      </c>
      <c r="E4559" s="2" t="s">
        <v>30257</v>
      </c>
      <c r="F4559" s="2">
        <v>10481</v>
      </c>
      <c r="G4559" s="3" t="str">
        <f>HYPERLINK("http://funmeta.oebiotech.com/network/10481", "http://funmeta.oebiotech.com/network/10481")</f>
        <v>http://funmeta.oebiotech.com/network/10481</v>
      </c>
      <c r="H4559" s="2"/>
      <c r="I4559" s="2"/>
      <c r="J4559" s="2" t="s">
        <v>30258</v>
      </c>
      <c r="K4559" s="2"/>
      <c r="L4559" s="2"/>
      <c r="M4559" s="2"/>
      <c r="N4559" s="2"/>
      <c r="O4559" s="2">
        <v>137323854</v>
      </c>
      <c r="P4559" s="2"/>
      <c r="Q4559" s="2" t="s">
        <v>30259</v>
      </c>
      <c r="R4559" s="2" t="s">
        <v>30260</v>
      </c>
      <c r="S4559" s="2" t="s">
        <v>50</v>
      </c>
      <c r="T4559" s="2" t="s">
        <v>229</v>
      </c>
      <c r="U4559" s="2" t="s">
        <v>1283</v>
      </c>
      <c r="V4559" s="2" t="s">
        <v>59</v>
      </c>
      <c r="W4559" s="2">
        <v>43.2</v>
      </c>
      <c r="X4559" s="2">
        <v>24.8</v>
      </c>
      <c r="Y4559" s="2" t="s">
        <v>266</v>
      </c>
      <c r="Z4559" s="2" t="s">
        <v>30261</v>
      </c>
      <c r="AA4559" s="2">
        <v>3.5183849857571399E-2</v>
      </c>
      <c r="AB4559" s="2">
        <v>0.13549315809315901</v>
      </c>
      <c r="AC4559" s="2">
        <v>5645.9231976077899</v>
      </c>
      <c r="AD4559" s="2">
        <v>4300.21683630595</v>
      </c>
      <c r="AE4559" s="2">
        <v>6010.2598409739803</v>
      </c>
      <c r="AF4559" s="2">
        <v>5392.7585618861103</v>
      </c>
      <c r="AG4559" s="2">
        <v>5229.9919091709298</v>
      </c>
      <c r="AH4559" s="2">
        <v>6043.2651521825601</v>
      </c>
      <c r="AI4559" s="2">
        <v>5251.8542481509203</v>
      </c>
      <c r="AJ4559" s="2">
        <v>5947.4094732822496</v>
      </c>
      <c r="AK4559" s="2">
        <v>4721.4339002692896</v>
      </c>
      <c r="AL4559" s="2">
        <v>4695.5625999640297</v>
      </c>
      <c r="AM4559" s="2">
        <v>4377.4054310953197</v>
      </c>
      <c r="AN4559" s="2">
        <v>4068.9433044790298</v>
      </c>
      <c r="AO4559" s="2">
        <v>4076.5072297822799</v>
      </c>
      <c r="AP4559" s="2">
        <v>3861.4485522457398</v>
      </c>
    </row>
    <row r="4560" spans="1:42" ht="14.5" x14ac:dyDescent="0.35">
      <c r="A4560" s="2" t="s">
        <v>30262</v>
      </c>
      <c r="B4560" s="2">
        <v>362.32617934006697</v>
      </c>
      <c r="C4560" s="2">
        <v>9.52328333333333</v>
      </c>
      <c r="D4560" s="2" t="s">
        <v>34</v>
      </c>
      <c r="E4560" s="2" t="s">
        <v>30263</v>
      </c>
      <c r="F4560" s="2">
        <v>56386</v>
      </c>
      <c r="G4560" s="3" t="str">
        <f>HYPERLINK("http://funmeta.oebiotech.com/network/56386", "http://funmeta.oebiotech.com/network/56386")</f>
        <v>http://funmeta.oebiotech.com/network/56386</v>
      </c>
      <c r="H4560" s="2" t="s">
        <v>30264</v>
      </c>
      <c r="I4560" s="2">
        <v>88038</v>
      </c>
      <c r="J4560" s="2"/>
      <c r="K4560" s="2">
        <v>172568</v>
      </c>
      <c r="L4560" s="2"/>
      <c r="M4560" s="2"/>
      <c r="N4560" s="2"/>
      <c r="O4560" s="2">
        <v>14259007</v>
      </c>
      <c r="P4560" s="2" t="s">
        <v>30265</v>
      </c>
      <c r="Q4560" s="2" t="s">
        <v>30266</v>
      </c>
      <c r="R4560" s="2" t="s">
        <v>30267</v>
      </c>
      <c r="S4560" s="2" t="s">
        <v>50</v>
      </c>
      <c r="T4560" s="2" t="s">
        <v>229</v>
      </c>
      <c r="U4560" s="2" t="s">
        <v>433</v>
      </c>
      <c r="V4560" s="2" t="s">
        <v>59</v>
      </c>
      <c r="W4560" s="2">
        <v>38.6</v>
      </c>
      <c r="X4560" s="2">
        <v>0</v>
      </c>
      <c r="Y4560" s="2" t="s">
        <v>43</v>
      </c>
      <c r="Z4560" s="2" t="s">
        <v>30268</v>
      </c>
      <c r="AA4560" s="2">
        <v>-0.88863635285256404</v>
      </c>
      <c r="AB4560" s="2">
        <v>0.13544135010267899</v>
      </c>
      <c r="AC4560" s="2">
        <v>2997.6916804883799</v>
      </c>
      <c r="AD4560" s="2">
        <v>4544.8143941623402</v>
      </c>
      <c r="AE4560" s="2">
        <v>3661.8933108364599</v>
      </c>
      <c r="AF4560" s="2">
        <v>2688.3363488107598</v>
      </c>
      <c r="AG4560" s="2">
        <v>3596.1985367243801</v>
      </c>
      <c r="AH4560" s="2">
        <v>1652.0290338969901</v>
      </c>
      <c r="AI4560" s="2">
        <v>2695.6815050762798</v>
      </c>
      <c r="AJ4560" s="2">
        <v>3692.01134758541</v>
      </c>
      <c r="AK4560" s="2">
        <v>4841.9486524624399</v>
      </c>
      <c r="AL4560" s="2">
        <v>4777.9136225424299</v>
      </c>
      <c r="AM4560" s="2">
        <v>4287.45273990437</v>
      </c>
      <c r="AN4560" s="2">
        <v>5297.6600752635704</v>
      </c>
      <c r="AO4560" s="2">
        <v>3978.4502204077999</v>
      </c>
      <c r="AP4560" s="2">
        <v>4085.46105439342</v>
      </c>
    </row>
    <row r="4561" spans="1:42" ht="14.5" x14ac:dyDescent="0.35">
      <c r="A4561" s="2" t="s">
        <v>30269</v>
      </c>
      <c r="B4561" s="2">
        <v>367.30264108712998</v>
      </c>
      <c r="C4561" s="2">
        <v>13.9295333333333</v>
      </c>
      <c r="D4561" s="2" t="s">
        <v>34</v>
      </c>
      <c r="E4561" s="2" t="s">
        <v>30270</v>
      </c>
      <c r="F4561" s="2">
        <v>267289</v>
      </c>
      <c r="G4561" s="3" t="str">
        <f>HYPERLINK("http://funmeta.oebiotech.com/network/267289", "http://funmeta.oebiotech.com/network/267289")</f>
        <v>http://funmeta.oebiotech.com/network/267289</v>
      </c>
      <c r="H4561" s="2"/>
      <c r="I4561" s="2">
        <v>45176</v>
      </c>
      <c r="J4561" s="2"/>
      <c r="K4561" s="2"/>
      <c r="L4561" s="2"/>
      <c r="M4561" s="2"/>
      <c r="N4561" s="2"/>
      <c r="O4561" s="2">
        <v>5311215</v>
      </c>
      <c r="P4561" s="2" t="s">
        <v>30271</v>
      </c>
      <c r="Q4561" s="2" t="s">
        <v>30272</v>
      </c>
      <c r="R4561" s="2" t="s">
        <v>30273</v>
      </c>
      <c r="S4561" s="2" t="s">
        <v>491</v>
      </c>
      <c r="T4561" s="2" t="s">
        <v>2251</v>
      </c>
      <c r="U4561" s="2" t="s">
        <v>2252</v>
      </c>
      <c r="V4561" s="2" t="s">
        <v>59</v>
      </c>
      <c r="W4561" s="2">
        <v>36.6</v>
      </c>
      <c r="X4561" s="2">
        <v>0</v>
      </c>
      <c r="Y4561" s="2" t="s">
        <v>141</v>
      </c>
      <c r="Z4561" s="2" t="s">
        <v>30274</v>
      </c>
      <c r="AA4561" s="2">
        <v>8.0634722513363801</v>
      </c>
      <c r="AB4561" s="2">
        <v>0.13534964844740099</v>
      </c>
      <c r="AC4561" s="2">
        <v>34518.664198963503</v>
      </c>
      <c r="AD4561" s="2">
        <v>41377.011753180901</v>
      </c>
      <c r="AE4561" s="2">
        <v>34803.732551051202</v>
      </c>
      <c r="AF4561" s="2">
        <v>72505.959199082397</v>
      </c>
      <c r="AG4561" s="2">
        <v>44730.923961102897</v>
      </c>
      <c r="AH4561" s="2">
        <v>11157.5955799034</v>
      </c>
      <c r="AI4561" s="2">
        <v>12155.141859806499</v>
      </c>
      <c r="AJ4561" s="2">
        <v>31758.632042834499</v>
      </c>
      <c r="AK4561" s="2">
        <v>27902.704501910001</v>
      </c>
      <c r="AL4561" s="2">
        <v>65685.706091512402</v>
      </c>
      <c r="AM4561" s="2">
        <v>44197.975791693701</v>
      </c>
      <c r="AN4561" s="2">
        <v>43545.289374046697</v>
      </c>
      <c r="AO4561" s="2">
        <v>22336.865817694801</v>
      </c>
      <c r="AP4561" s="2">
        <v>44593.528942227902</v>
      </c>
    </row>
    <row r="4562" spans="1:42" ht="14.5" x14ac:dyDescent="0.35">
      <c r="A4562" s="2" t="s">
        <v>30275</v>
      </c>
      <c r="B4562" s="2">
        <v>899.47618736066499</v>
      </c>
      <c r="C4562" s="2">
        <v>11.1178166666667</v>
      </c>
      <c r="D4562" s="2" t="s">
        <v>70</v>
      </c>
      <c r="E4562" s="2" t="s">
        <v>30276</v>
      </c>
      <c r="F4562" s="2">
        <v>534679</v>
      </c>
      <c r="G4562" s="3" t="str">
        <f>HYPERLINK("http://funmeta.oebiotech.com/network/534679", "http://funmeta.oebiotech.com/network/534679")</f>
        <v>http://funmeta.oebiotech.com/network/534679</v>
      </c>
      <c r="H4562" s="2"/>
      <c r="I4562" s="2">
        <v>985012</v>
      </c>
      <c r="J4562" s="2"/>
      <c r="K4562" s="2"/>
      <c r="L4562" s="2"/>
      <c r="M4562" s="2"/>
      <c r="N4562" s="2"/>
      <c r="O4562" s="2">
        <v>12308714</v>
      </c>
      <c r="P4562" s="2"/>
      <c r="Q4562" s="2" t="s">
        <v>30277</v>
      </c>
      <c r="R4562" s="2" t="s">
        <v>30278</v>
      </c>
      <c r="S4562" s="2" t="s">
        <v>50</v>
      </c>
      <c r="T4562" s="2" t="s">
        <v>201</v>
      </c>
      <c r="U4562" s="2" t="s">
        <v>210</v>
      </c>
      <c r="V4562" s="2" t="s">
        <v>59</v>
      </c>
      <c r="W4562" s="2">
        <v>37.200000000000003</v>
      </c>
      <c r="X4562" s="2">
        <v>0</v>
      </c>
      <c r="Y4562" s="2" t="s">
        <v>560</v>
      </c>
      <c r="Z4562" s="2" t="s">
        <v>30279</v>
      </c>
      <c r="AA4562" s="2">
        <v>2.4602581213775001</v>
      </c>
      <c r="AB4562" s="2">
        <v>0.13531500932342</v>
      </c>
      <c r="AC4562" s="2">
        <v>10154.3236837944</v>
      </c>
      <c r="AD4562" s="2">
        <v>12310.0978290404</v>
      </c>
      <c r="AE4562" s="2">
        <v>13501.511580742799</v>
      </c>
      <c r="AF4562" s="2">
        <v>9829.6671436830893</v>
      </c>
      <c r="AG4562" s="2">
        <v>9657.9157653097209</v>
      </c>
      <c r="AH4562" s="2">
        <v>7244.0068299990999</v>
      </c>
      <c r="AI4562" s="2">
        <v>8467.3811166701507</v>
      </c>
      <c r="AJ4562" s="2">
        <v>12225.459666361499</v>
      </c>
      <c r="AK4562" s="2">
        <v>13433.2228588121</v>
      </c>
      <c r="AL4562" s="2">
        <v>11935.730102195201</v>
      </c>
      <c r="AM4562" s="2">
        <v>12368.7340458158</v>
      </c>
      <c r="AN4562" s="2">
        <v>12883.0299378614</v>
      </c>
      <c r="AO4562" s="2">
        <v>11832.2113091023</v>
      </c>
      <c r="AP4562" s="2">
        <v>11407.6587204553</v>
      </c>
    </row>
    <row r="4563" spans="1:42" ht="14.5" x14ac:dyDescent="0.35">
      <c r="A4563" s="2" t="s">
        <v>30280</v>
      </c>
      <c r="B4563" s="2">
        <v>235.13276249946099</v>
      </c>
      <c r="C4563" s="2">
        <v>4.4609500000000004</v>
      </c>
      <c r="D4563" s="2" t="s">
        <v>34</v>
      </c>
      <c r="E4563" s="2" t="s">
        <v>30281</v>
      </c>
      <c r="F4563" s="2">
        <v>57450</v>
      </c>
      <c r="G4563" s="3" t="str">
        <f>HYPERLINK("http://funmeta.oebiotech.com/network/57450", "http://funmeta.oebiotech.com/network/57450")</f>
        <v>http://funmeta.oebiotech.com/network/57450</v>
      </c>
      <c r="H4563" s="2" t="s">
        <v>30282</v>
      </c>
      <c r="I4563" s="2">
        <v>89070</v>
      </c>
      <c r="J4563" s="2"/>
      <c r="K4563" s="2">
        <v>169246</v>
      </c>
      <c r="L4563" s="2"/>
      <c r="M4563" s="2"/>
      <c r="N4563" s="2"/>
      <c r="O4563" s="2">
        <v>68361950</v>
      </c>
      <c r="P4563" s="2"/>
      <c r="Q4563" s="2" t="s">
        <v>30283</v>
      </c>
      <c r="R4563" s="2" t="s">
        <v>30284</v>
      </c>
      <c r="S4563" s="2" t="s">
        <v>50</v>
      </c>
      <c r="T4563" s="2" t="s">
        <v>201</v>
      </c>
      <c r="U4563" s="2" t="s">
        <v>265</v>
      </c>
      <c r="V4563" s="2" t="s">
        <v>59</v>
      </c>
      <c r="W4563" s="2">
        <v>38.799999999999997</v>
      </c>
      <c r="X4563" s="2">
        <v>0</v>
      </c>
      <c r="Y4563" s="2" t="s">
        <v>141</v>
      </c>
      <c r="Z4563" s="2" t="s">
        <v>14527</v>
      </c>
      <c r="AA4563" s="2">
        <v>-0.42980816034683</v>
      </c>
      <c r="AB4563" s="2">
        <v>0.135307509583074</v>
      </c>
      <c r="AC4563" s="2">
        <v>3137.6785712440501</v>
      </c>
      <c r="AD4563" s="2">
        <v>4497.4288019093201</v>
      </c>
      <c r="AE4563" s="2">
        <v>2808.45755799272</v>
      </c>
      <c r="AF4563" s="2">
        <v>3546.5501139652401</v>
      </c>
      <c r="AG4563" s="2">
        <v>3214.9794984523</v>
      </c>
      <c r="AH4563" s="2">
        <v>2642.6933628762299</v>
      </c>
      <c r="AI4563" s="2">
        <v>3673.7123170725599</v>
      </c>
      <c r="AJ4563" s="2">
        <v>2939.67857710526</v>
      </c>
      <c r="AK4563" s="2">
        <v>4668.0844118006798</v>
      </c>
      <c r="AL4563" s="2">
        <v>4380.8660273821597</v>
      </c>
      <c r="AM4563" s="2">
        <v>5006.4273192528799</v>
      </c>
      <c r="AN4563" s="2">
        <v>4815.1979239283301</v>
      </c>
      <c r="AO4563" s="2">
        <v>4074.6270427166801</v>
      </c>
      <c r="AP4563" s="2">
        <v>4039.3700863752101</v>
      </c>
    </row>
    <row r="4564" spans="1:42" ht="14.5" x14ac:dyDescent="0.35">
      <c r="A4564" s="2" t="s">
        <v>30285</v>
      </c>
      <c r="B4564" s="2">
        <v>229.06816236066001</v>
      </c>
      <c r="C4564" s="2">
        <v>3.2173500000000002</v>
      </c>
      <c r="D4564" s="2" t="s">
        <v>34</v>
      </c>
      <c r="E4564" s="2" t="s">
        <v>30286</v>
      </c>
      <c r="F4564" s="2">
        <v>57800</v>
      </c>
      <c r="G4564" s="3" t="str">
        <f>HYPERLINK("http://funmeta.oebiotech.com/network/57800", "http://funmeta.oebiotech.com/network/57800")</f>
        <v>http://funmeta.oebiotech.com/network/57800</v>
      </c>
      <c r="H4564" s="2" t="s">
        <v>30287</v>
      </c>
      <c r="I4564" s="2">
        <v>89393</v>
      </c>
      <c r="J4564" s="2"/>
      <c r="K4564" s="2"/>
      <c r="L4564" s="2"/>
      <c r="M4564" s="2"/>
      <c r="N4564" s="2"/>
      <c r="O4564" s="2">
        <v>62333</v>
      </c>
      <c r="P4564" s="2" t="s">
        <v>30288</v>
      </c>
      <c r="Q4564" s="2" t="s">
        <v>30289</v>
      </c>
      <c r="R4564" s="2" t="s">
        <v>30290</v>
      </c>
      <c r="S4564" s="2" t="s">
        <v>89</v>
      </c>
      <c r="T4564" s="2" t="s">
        <v>4218</v>
      </c>
      <c r="U4564" s="2" t="s">
        <v>4219</v>
      </c>
      <c r="V4564" s="2" t="s">
        <v>59</v>
      </c>
      <c r="W4564" s="2">
        <v>39</v>
      </c>
      <c r="X4564" s="2">
        <v>0</v>
      </c>
      <c r="Y4564" s="2" t="s">
        <v>323</v>
      </c>
      <c r="Z4564" s="2" t="s">
        <v>30291</v>
      </c>
      <c r="AA4564" s="2">
        <v>-0.46819745120365303</v>
      </c>
      <c r="AB4564" s="2">
        <v>0.13530464862665401</v>
      </c>
      <c r="AC4564" s="2">
        <v>1295.5960741819899</v>
      </c>
      <c r="AD4564" s="2">
        <v>2543.4697784047298</v>
      </c>
      <c r="AE4564" s="2">
        <v>1510.7752623716599</v>
      </c>
      <c r="AF4564" s="2">
        <v>1468.6447178624801</v>
      </c>
      <c r="AG4564" s="2">
        <v>1300.22105162962</v>
      </c>
      <c r="AH4564" s="2">
        <v>1049.1271856322501</v>
      </c>
      <c r="AI4564" s="2">
        <v>1168.6562996538901</v>
      </c>
      <c r="AJ4564" s="2">
        <v>1276.15192794207</v>
      </c>
      <c r="AK4564" s="2">
        <v>2640.35563652155</v>
      </c>
      <c r="AL4564" s="2">
        <v>2821.4161055684399</v>
      </c>
      <c r="AM4564" s="2">
        <v>2431.8501750452201</v>
      </c>
      <c r="AN4564" s="2">
        <v>2329.7856263198501</v>
      </c>
      <c r="AO4564" s="2">
        <v>2637.3427941507298</v>
      </c>
      <c r="AP4564" s="2">
        <v>2400.0683328226</v>
      </c>
    </row>
    <row r="4565" spans="1:42" ht="14.5" x14ac:dyDescent="0.35">
      <c r="A4565" s="2" t="s">
        <v>30292</v>
      </c>
      <c r="B4565" s="2">
        <v>437.10062018499201</v>
      </c>
      <c r="C4565" s="2">
        <v>4.6857333333333298</v>
      </c>
      <c r="D4565" s="2" t="s">
        <v>70</v>
      </c>
      <c r="E4565" s="2" t="s">
        <v>30293</v>
      </c>
      <c r="F4565" s="2">
        <v>56825</v>
      </c>
      <c r="G4565" s="3" t="str">
        <f>HYPERLINK("http://funmeta.oebiotech.com/network/56825", "http://funmeta.oebiotech.com/network/56825")</f>
        <v>http://funmeta.oebiotech.com/network/56825</v>
      </c>
      <c r="H4565" s="2" t="s">
        <v>30294</v>
      </c>
      <c r="I4565" s="2">
        <v>88502</v>
      </c>
      <c r="J4565" s="2"/>
      <c r="K4565" s="2">
        <v>176123</v>
      </c>
      <c r="L4565" s="2"/>
      <c r="M4565" s="2"/>
      <c r="N4565" s="2"/>
      <c r="O4565" s="2">
        <v>1151680</v>
      </c>
      <c r="P4565" s="2" t="s">
        <v>30295</v>
      </c>
      <c r="Q4565" s="2" t="s">
        <v>30296</v>
      </c>
      <c r="R4565" s="2" t="s">
        <v>30297</v>
      </c>
      <c r="S4565" s="2" t="s">
        <v>79</v>
      </c>
      <c r="T4565" s="2" t="s">
        <v>80</v>
      </c>
      <c r="U4565" s="2" t="s">
        <v>2820</v>
      </c>
      <c r="V4565" s="2" t="s">
        <v>59</v>
      </c>
      <c r="W4565" s="2">
        <v>37.700000000000003</v>
      </c>
      <c r="X4565" s="2">
        <v>0</v>
      </c>
      <c r="Y4565" s="2" t="s">
        <v>118</v>
      </c>
      <c r="Z4565" s="2" t="s">
        <v>30298</v>
      </c>
      <c r="AA4565" s="2">
        <v>1.6252716157531</v>
      </c>
      <c r="AB4565" s="2">
        <v>0.135284338958267</v>
      </c>
      <c r="AC4565" s="2">
        <v>9000.8865160775604</v>
      </c>
      <c r="AD4565" s="2">
        <v>7279.3022292831902</v>
      </c>
      <c r="AE4565" s="2">
        <v>9108.2283090921192</v>
      </c>
      <c r="AF4565" s="2">
        <v>8569.8285270407505</v>
      </c>
      <c r="AG4565" s="2">
        <v>10878.9422635458</v>
      </c>
      <c r="AH4565" s="2">
        <v>9266.6258180468794</v>
      </c>
      <c r="AI4565" s="2">
        <v>7619.70869548473</v>
      </c>
      <c r="AJ4565" s="2">
        <v>8561.98548325507</v>
      </c>
      <c r="AK4565" s="2">
        <v>8730.1413943867792</v>
      </c>
      <c r="AL4565" s="2">
        <v>7714.5863849492398</v>
      </c>
      <c r="AM4565" s="2">
        <v>6928.1063254456503</v>
      </c>
      <c r="AN4565" s="2">
        <v>7519.3791435224803</v>
      </c>
      <c r="AO4565" s="2">
        <v>6455.6657461243003</v>
      </c>
      <c r="AP4565" s="2">
        <v>6327.9343812707202</v>
      </c>
    </row>
    <row r="4566" spans="1:42" ht="14.5" x14ac:dyDescent="0.35">
      <c r="A4566" s="2" t="s">
        <v>30299</v>
      </c>
      <c r="B4566" s="2">
        <v>496.17589594487202</v>
      </c>
      <c r="C4566" s="2">
        <v>5.4125166666666704</v>
      </c>
      <c r="D4566" s="2" t="s">
        <v>70</v>
      </c>
      <c r="E4566" s="2" t="s">
        <v>30300</v>
      </c>
      <c r="F4566" s="2">
        <v>212942</v>
      </c>
      <c r="G4566" s="3" t="str">
        <f>HYPERLINK("http://funmeta.oebiotech.com/network/212942", "http://funmeta.oebiotech.com/network/212942")</f>
        <v>http://funmeta.oebiotech.com/network/212942</v>
      </c>
      <c r="H4566" s="2" t="s">
        <v>30301</v>
      </c>
      <c r="I4566" s="2"/>
      <c r="J4566" s="2"/>
      <c r="K4566" s="2"/>
      <c r="L4566" s="2"/>
      <c r="M4566" s="2"/>
      <c r="N4566" s="2"/>
      <c r="O4566" s="2">
        <v>9955469</v>
      </c>
      <c r="P4566" s="2"/>
      <c r="Q4566" s="2" t="s">
        <v>30302</v>
      </c>
      <c r="R4566" s="2" t="s">
        <v>30303</v>
      </c>
      <c r="S4566" s="2" t="s">
        <v>41</v>
      </c>
      <c r="T4566" s="2" t="s">
        <v>41</v>
      </c>
      <c r="U4566" s="2" t="s">
        <v>41</v>
      </c>
      <c r="V4566" s="2" t="s">
        <v>59</v>
      </c>
      <c r="W4566" s="2">
        <v>37.299999999999997</v>
      </c>
      <c r="X4566" s="2">
        <v>0</v>
      </c>
      <c r="Y4566" s="2" t="s">
        <v>408</v>
      </c>
      <c r="Z4566" s="2" t="s">
        <v>30304</v>
      </c>
      <c r="AA4566" s="2">
        <v>-4.00745500081982</v>
      </c>
      <c r="AB4566" s="2">
        <v>0.13516005527126301</v>
      </c>
      <c r="AC4566" s="2">
        <v>2149.3258740327301</v>
      </c>
      <c r="AD4566" s="2">
        <v>876.32884468570103</v>
      </c>
      <c r="AE4566" s="2">
        <v>1924.79761624814</v>
      </c>
      <c r="AF4566" s="2">
        <v>2283.0355450284801</v>
      </c>
      <c r="AG4566" s="2">
        <v>2012.9726282077199</v>
      </c>
      <c r="AH4566" s="2">
        <v>1958.0159626382199</v>
      </c>
      <c r="AI4566" s="2">
        <v>2362.1758313441901</v>
      </c>
      <c r="AJ4566" s="2">
        <v>2354.9576607296399</v>
      </c>
      <c r="AK4566" s="2">
        <v>946.15680030129101</v>
      </c>
      <c r="AL4566" s="2">
        <v>1252.7503197021399</v>
      </c>
      <c r="AM4566" s="2">
        <v>894.90412259584195</v>
      </c>
      <c r="AN4566" s="2">
        <v>521.55440943976305</v>
      </c>
      <c r="AO4566" s="2">
        <v>1075.6248396056601</v>
      </c>
      <c r="AP4566" s="2">
        <v>566.98257646950901</v>
      </c>
    </row>
    <row r="4567" spans="1:42" ht="14.5" x14ac:dyDescent="0.35">
      <c r="A4567" s="2" t="s">
        <v>30305</v>
      </c>
      <c r="B4567" s="2">
        <v>423.23943584090102</v>
      </c>
      <c r="C4567" s="2">
        <v>10.271599999999999</v>
      </c>
      <c r="D4567" s="2" t="s">
        <v>70</v>
      </c>
      <c r="E4567" s="2" t="s">
        <v>30306</v>
      </c>
      <c r="F4567" s="2">
        <v>267288</v>
      </c>
      <c r="G4567" s="3" t="str">
        <f>HYPERLINK("http://funmeta.oebiotech.com/network/267288", "http://funmeta.oebiotech.com/network/267288")</f>
        <v>http://funmeta.oebiotech.com/network/267288</v>
      </c>
      <c r="H4567" s="2"/>
      <c r="I4567" s="2">
        <v>45175</v>
      </c>
      <c r="J4567" s="2"/>
      <c r="K4567" s="2"/>
      <c r="L4567" s="2"/>
      <c r="M4567" s="2"/>
      <c r="N4567" s="2"/>
      <c r="O4567" s="2">
        <v>91886116</v>
      </c>
      <c r="P4567" s="2" t="s">
        <v>30307</v>
      </c>
      <c r="Q4567" s="2" t="s">
        <v>30308</v>
      </c>
      <c r="R4567" s="2" t="s">
        <v>30309</v>
      </c>
      <c r="S4567" s="2" t="s">
        <v>41</v>
      </c>
      <c r="T4567" s="2" t="s">
        <v>41</v>
      </c>
      <c r="U4567" s="2" t="s">
        <v>41</v>
      </c>
      <c r="V4567" s="2" t="s">
        <v>59</v>
      </c>
      <c r="W4567" s="2">
        <v>38.799999999999997</v>
      </c>
      <c r="X4567" s="2">
        <v>0</v>
      </c>
      <c r="Y4567" s="2" t="s">
        <v>408</v>
      </c>
      <c r="Z4567" s="2" t="s">
        <v>18506</v>
      </c>
      <c r="AA4567" s="2">
        <v>1.6095117300934001</v>
      </c>
      <c r="AB4567" s="2">
        <v>0.135094152907593</v>
      </c>
      <c r="AC4567" s="2">
        <v>7826.94687140317</v>
      </c>
      <c r="AD4567" s="2">
        <v>9523.8917846622808</v>
      </c>
      <c r="AE4567" s="2">
        <v>7375.8979009300001</v>
      </c>
      <c r="AF4567" s="2">
        <v>8457.1286408260494</v>
      </c>
      <c r="AG4567" s="2">
        <v>7306.5307938750802</v>
      </c>
      <c r="AH4567" s="2">
        <v>8213.0082596465909</v>
      </c>
      <c r="AI4567" s="2">
        <v>8171.8202677289901</v>
      </c>
      <c r="AJ4567" s="2">
        <v>7437.2953654123203</v>
      </c>
      <c r="AK4567" s="2">
        <v>7887.2166071155898</v>
      </c>
      <c r="AL4567" s="2">
        <v>8537.9238775433805</v>
      </c>
      <c r="AM4567" s="2">
        <v>9374.7818001143496</v>
      </c>
      <c r="AN4567" s="2">
        <v>11308.6849794712</v>
      </c>
      <c r="AO4567" s="2">
        <v>10523.718126011499</v>
      </c>
      <c r="AP4567" s="2">
        <v>9511.0253177176292</v>
      </c>
    </row>
    <row r="4568" spans="1:42" ht="14.5" x14ac:dyDescent="0.35">
      <c r="A4568" s="2" t="s">
        <v>30310</v>
      </c>
      <c r="B4568" s="2">
        <v>523.11932268725798</v>
      </c>
      <c r="C4568" s="2">
        <v>5.5431833333333298</v>
      </c>
      <c r="D4568" s="2" t="s">
        <v>70</v>
      </c>
      <c r="E4568" s="2" t="s">
        <v>30311</v>
      </c>
      <c r="F4568" s="2">
        <v>534688</v>
      </c>
      <c r="G4568" s="3" t="str">
        <f>HYPERLINK("http://funmeta.oebiotech.com/network/534688", "http://funmeta.oebiotech.com/network/534688")</f>
        <v>http://funmeta.oebiotech.com/network/534688</v>
      </c>
      <c r="H4568" s="2"/>
      <c r="I4568" s="2">
        <v>985115</v>
      </c>
      <c r="J4568" s="2"/>
      <c r="K4568" s="2"/>
      <c r="L4568" s="2"/>
      <c r="M4568" s="2"/>
      <c r="N4568" s="2"/>
      <c r="O4568" s="2">
        <v>10978265</v>
      </c>
      <c r="P4568" s="2"/>
      <c r="Q4568" s="2" t="s">
        <v>30312</v>
      </c>
      <c r="R4568" s="2" t="s">
        <v>30313</v>
      </c>
      <c r="S4568" s="2" t="s">
        <v>115</v>
      </c>
      <c r="T4568" s="2" t="s">
        <v>139</v>
      </c>
      <c r="U4568" s="2" t="s">
        <v>1806</v>
      </c>
      <c r="V4568" s="2" t="s">
        <v>59</v>
      </c>
      <c r="W4568" s="2">
        <v>38.9</v>
      </c>
      <c r="X4568" s="2">
        <v>0</v>
      </c>
      <c r="Y4568" s="2" t="s">
        <v>560</v>
      </c>
      <c r="Z4568" s="2" t="s">
        <v>30314</v>
      </c>
      <c r="AA4568" s="2">
        <v>1.16529329087359</v>
      </c>
      <c r="AB4568" s="2">
        <v>0.13506925335049799</v>
      </c>
      <c r="AC4568" s="2">
        <v>13910.5555489706</v>
      </c>
      <c r="AD4568" s="2">
        <v>11818.298890014799</v>
      </c>
      <c r="AE4568" s="2">
        <v>15692.126914881001</v>
      </c>
      <c r="AF4568" s="2">
        <v>11078.652467027199</v>
      </c>
      <c r="AG4568" s="2">
        <v>14390.124250938299</v>
      </c>
      <c r="AH4568" s="2">
        <v>14115.788985871501</v>
      </c>
      <c r="AI4568" s="2">
        <v>12903.9639397134</v>
      </c>
      <c r="AJ4568" s="2">
        <v>15282.6767353922</v>
      </c>
      <c r="AK4568" s="2">
        <v>14597.764172613999</v>
      </c>
      <c r="AL4568" s="2">
        <v>12338.3485524363</v>
      </c>
      <c r="AM4568" s="2">
        <v>11885.611234964401</v>
      </c>
      <c r="AN4568" s="2">
        <v>10229.6527042789</v>
      </c>
      <c r="AO4568" s="2">
        <v>11743.025030705599</v>
      </c>
      <c r="AP4568" s="2">
        <v>10115.391645089399</v>
      </c>
    </row>
    <row r="4569" spans="1:42" ht="14.5" x14ac:dyDescent="0.35">
      <c r="A4569" s="2" t="s">
        <v>30315</v>
      </c>
      <c r="B4569" s="2">
        <v>457.24416302248397</v>
      </c>
      <c r="C4569" s="2">
        <v>5.99163333333333</v>
      </c>
      <c r="D4569" s="2" t="s">
        <v>70</v>
      </c>
      <c r="E4569" s="2" t="s">
        <v>30316</v>
      </c>
      <c r="F4569" s="2">
        <v>266756</v>
      </c>
      <c r="G4569" s="3" t="str">
        <f>HYPERLINK("http://funmeta.oebiotech.com/network/266756", "http://funmeta.oebiotech.com/network/266756")</f>
        <v>http://funmeta.oebiotech.com/network/266756</v>
      </c>
      <c r="H4569" s="2"/>
      <c r="I4569" s="2">
        <v>43915</v>
      </c>
      <c r="J4569" s="2"/>
      <c r="K4569" s="2"/>
      <c r="L4569" s="2" t="s">
        <v>30317</v>
      </c>
      <c r="M4569" s="2"/>
      <c r="N4569" s="2"/>
      <c r="O4569" s="2">
        <v>9548612</v>
      </c>
      <c r="P4569" s="2" t="s">
        <v>30318</v>
      </c>
      <c r="Q4569" s="2" t="s">
        <v>30319</v>
      </c>
      <c r="R4569" s="2" t="s">
        <v>30320</v>
      </c>
      <c r="S4569" s="2" t="s">
        <v>50</v>
      </c>
      <c r="T4569" s="2" t="s">
        <v>201</v>
      </c>
      <c r="U4569" s="2" t="s">
        <v>241</v>
      </c>
      <c r="V4569" s="2" t="s">
        <v>59</v>
      </c>
      <c r="W4569" s="2">
        <v>38.9</v>
      </c>
      <c r="X4569" s="2">
        <v>0</v>
      </c>
      <c r="Y4569" s="2" t="s">
        <v>408</v>
      </c>
      <c r="Z4569" s="2" t="s">
        <v>30321</v>
      </c>
      <c r="AA4569" s="2">
        <v>-0.34770239238176898</v>
      </c>
      <c r="AB4569" s="2">
        <v>0.13492283926944801</v>
      </c>
      <c r="AC4569" s="2">
        <v>2918.8985991732202</v>
      </c>
      <c r="AD4569" s="2">
        <v>4356.9714736988199</v>
      </c>
      <c r="AE4569" s="2">
        <v>2541.97508291841</v>
      </c>
      <c r="AF4569" s="2">
        <v>2540.2631480530299</v>
      </c>
      <c r="AG4569" s="2">
        <v>2923.5519186168099</v>
      </c>
      <c r="AH4569" s="2">
        <v>2614.3901644081002</v>
      </c>
      <c r="AI4569" s="2">
        <v>3495.6431911623299</v>
      </c>
      <c r="AJ4569" s="2">
        <v>3397.5680898806099</v>
      </c>
      <c r="AK4569" s="2">
        <v>4428.2710001943096</v>
      </c>
      <c r="AL4569" s="2">
        <v>4645.5708058682203</v>
      </c>
      <c r="AM4569" s="2">
        <v>4949.6611292128</v>
      </c>
      <c r="AN4569" s="2">
        <v>4632.5123429490704</v>
      </c>
      <c r="AO4569" s="2">
        <v>4343.7031913456904</v>
      </c>
      <c r="AP4569" s="2">
        <v>3142.1103726228198</v>
      </c>
    </row>
    <row r="4570" spans="1:42" ht="14.5" x14ac:dyDescent="0.35">
      <c r="A4570" s="2" t="s">
        <v>30322</v>
      </c>
      <c r="B4570" s="2">
        <v>499.08569166082401</v>
      </c>
      <c r="C4570" s="2">
        <v>4.6857333333333298</v>
      </c>
      <c r="D4570" s="2" t="s">
        <v>70</v>
      </c>
      <c r="E4570" s="2" t="s">
        <v>30323</v>
      </c>
      <c r="F4570" s="2">
        <v>53133</v>
      </c>
      <c r="G4570" s="3" t="str">
        <f>HYPERLINK("http://funmeta.oebiotech.com/network/53133", "http://funmeta.oebiotech.com/network/53133")</f>
        <v>http://funmeta.oebiotech.com/network/53133</v>
      </c>
      <c r="H4570" s="2" t="s">
        <v>30324</v>
      </c>
      <c r="I4570" s="2">
        <v>2029</v>
      </c>
      <c r="J4570" s="2"/>
      <c r="K4570" s="2">
        <v>39669</v>
      </c>
      <c r="L4570" s="2" t="s">
        <v>30325</v>
      </c>
      <c r="M4570" s="2"/>
      <c r="N4570" s="2"/>
      <c r="O4570" s="2">
        <v>3059</v>
      </c>
      <c r="P4570" s="2" t="s">
        <v>30326</v>
      </c>
      <c r="Q4570" s="2" t="s">
        <v>30327</v>
      </c>
      <c r="R4570" s="2" t="s">
        <v>30328</v>
      </c>
      <c r="S4570" s="2" t="s">
        <v>148</v>
      </c>
      <c r="T4570" s="2" t="s">
        <v>149</v>
      </c>
      <c r="U4570" s="2" t="s">
        <v>5292</v>
      </c>
      <c r="V4570" s="2" t="s">
        <v>59</v>
      </c>
      <c r="W4570" s="2">
        <v>37.4</v>
      </c>
      <c r="X4570" s="2">
        <v>0</v>
      </c>
      <c r="Y4570" s="2" t="s">
        <v>560</v>
      </c>
      <c r="Z4570" s="2" t="s">
        <v>30329</v>
      </c>
      <c r="AA4570" s="2">
        <v>9.3323165798637202</v>
      </c>
      <c r="AB4570" s="2">
        <v>0.134920518494343</v>
      </c>
      <c r="AC4570" s="2">
        <v>6037.2290400746097</v>
      </c>
      <c r="AD4570" s="2">
        <v>7649.8302394080501</v>
      </c>
      <c r="AE4570" s="2">
        <v>6176.86729935523</v>
      </c>
      <c r="AF4570" s="2">
        <v>5154.21980675551</v>
      </c>
      <c r="AG4570" s="2">
        <v>4948.35084032553</v>
      </c>
      <c r="AH4570" s="2">
        <v>6273.5280888042898</v>
      </c>
      <c r="AI4570" s="2">
        <v>6333.2833341074402</v>
      </c>
      <c r="AJ4570" s="2">
        <v>7337.1248710996397</v>
      </c>
      <c r="AK4570" s="2">
        <v>7798.2705762223204</v>
      </c>
      <c r="AL4570" s="2">
        <v>6811.8517252779502</v>
      </c>
      <c r="AM4570" s="2">
        <v>6838.64658580986</v>
      </c>
      <c r="AN4570" s="2">
        <v>8287.7780603091996</v>
      </c>
      <c r="AO4570" s="2">
        <v>8684.5921002792402</v>
      </c>
      <c r="AP4570" s="2">
        <v>7477.8423885497205</v>
      </c>
    </row>
    <row r="4571" spans="1:42" ht="14.5" x14ac:dyDescent="0.35">
      <c r="A4571" s="2" t="s">
        <v>30330</v>
      </c>
      <c r="B4571" s="2">
        <v>393.11085106384002</v>
      </c>
      <c r="C4571" s="2">
        <v>6.7070999999999996</v>
      </c>
      <c r="D4571" s="2" t="s">
        <v>70</v>
      </c>
      <c r="E4571" s="2" t="s">
        <v>30331</v>
      </c>
      <c r="F4571" s="2">
        <v>205141</v>
      </c>
      <c r="G4571" s="3" t="str">
        <f>HYPERLINK("http://funmeta.oebiotech.com/network/205141", "http://funmeta.oebiotech.com/network/205141")</f>
        <v>http://funmeta.oebiotech.com/network/205141</v>
      </c>
      <c r="H4571" s="2" t="s">
        <v>30332</v>
      </c>
      <c r="I4571" s="2"/>
      <c r="J4571" s="2"/>
      <c r="K4571" s="2"/>
      <c r="L4571" s="2"/>
      <c r="M4571" s="2"/>
      <c r="N4571" s="2"/>
      <c r="O4571" s="2"/>
      <c r="P4571" s="2"/>
      <c r="Q4571" s="2" t="s">
        <v>30333</v>
      </c>
      <c r="R4571" s="2" t="s">
        <v>30334</v>
      </c>
      <c r="S4571" s="2" t="s">
        <v>41</v>
      </c>
      <c r="T4571" s="2" t="s">
        <v>41</v>
      </c>
      <c r="U4571" s="2" t="s">
        <v>41</v>
      </c>
      <c r="V4571" s="2" t="s">
        <v>59</v>
      </c>
      <c r="W4571" s="2">
        <v>37</v>
      </c>
      <c r="X4571" s="2">
        <v>0</v>
      </c>
      <c r="Y4571" s="2" t="s">
        <v>408</v>
      </c>
      <c r="Z4571" s="2" t="s">
        <v>30335</v>
      </c>
      <c r="AA4571" s="2">
        <v>-0.54194459475478296</v>
      </c>
      <c r="AB4571" s="2">
        <v>0.13484755973016499</v>
      </c>
      <c r="AC4571" s="2">
        <v>1510.5108791027901</v>
      </c>
      <c r="AD4571" s="2">
        <v>269.62739169059898</v>
      </c>
      <c r="AE4571" s="2">
        <v>1346.44609242921</v>
      </c>
      <c r="AF4571" s="2">
        <v>1841.6228268521099</v>
      </c>
      <c r="AG4571" s="2">
        <v>1771.08573311331</v>
      </c>
      <c r="AH4571" s="2">
        <v>1466.80608372915</v>
      </c>
      <c r="AI4571" s="2">
        <v>1132.4285907559899</v>
      </c>
      <c r="AJ4571" s="2">
        <v>1504.6759477369701</v>
      </c>
      <c r="AK4571" s="2">
        <v>333.42975818628997</v>
      </c>
      <c r="AL4571" s="2">
        <v>196.79174453754601</v>
      </c>
      <c r="AM4571" s="2">
        <v>126.229950548692</v>
      </c>
      <c r="AN4571" s="2">
        <v>458.99175592344602</v>
      </c>
      <c r="AO4571" s="2">
        <v>303.68236417026702</v>
      </c>
      <c r="AP4571" s="2">
        <v>198.638776777353</v>
      </c>
    </row>
    <row r="4572" spans="1:42" ht="14.5" x14ac:dyDescent="0.35">
      <c r="A4572" s="2" t="s">
        <v>30336</v>
      </c>
      <c r="B4572" s="2">
        <v>246.05920157281199</v>
      </c>
      <c r="C4572" s="2">
        <v>3.6738166666666698</v>
      </c>
      <c r="D4572" s="2" t="s">
        <v>70</v>
      </c>
      <c r="E4572" s="2" t="s">
        <v>30337</v>
      </c>
      <c r="F4572" s="2">
        <v>293599</v>
      </c>
      <c r="G4572" s="3" t="str">
        <f>HYPERLINK("http://funmeta.oebiotech.com/network/293599", "http://funmeta.oebiotech.com/network/293599")</f>
        <v>http://funmeta.oebiotech.com/network/293599</v>
      </c>
      <c r="H4572" s="2"/>
      <c r="I4572" s="2">
        <v>317547</v>
      </c>
      <c r="J4572" s="2"/>
      <c r="K4572" s="2"/>
      <c r="L4572" s="2"/>
      <c r="M4572" s="2"/>
      <c r="N4572" s="2"/>
      <c r="O4572" s="2">
        <v>462368</v>
      </c>
      <c r="P4572" s="2"/>
      <c r="Q4572" s="2" t="s">
        <v>30338</v>
      </c>
      <c r="R4572" s="2" t="s">
        <v>30339</v>
      </c>
      <c r="S4572" s="2" t="s">
        <v>89</v>
      </c>
      <c r="T4572" s="2" t="s">
        <v>90</v>
      </c>
      <c r="U4572" s="2" t="s">
        <v>99</v>
      </c>
      <c r="V4572" s="2" t="s">
        <v>59</v>
      </c>
      <c r="W4572" s="2">
        <v>37.5</v>
      </c>
      <c r="X4572" s="2">
        <v>0</v>
      </c>
      <c r="Y4572" s="2" t="s">
        <v>751</v>
      </c>
      <c r="Z4572" s="2" t="s">
        <v>30340</v>
      </c>
      <c r="AA4572" s="2">
        <v>-0.83617777878812305</v>
      </c>
      <c r="AB4572" s="2">
        <v>0.13475359891150299</v>
      </c>
      <c r="AC4572" s="2">
        <v>1968.3633248932399</v>
      </c>
      <c r="AD4572" s="2">
        <v>772.88827760502397</v>
      </c>
      <c r="AE4572" s="2">
        <v>2041.87292732537</v>
      </c>
      <c r="AF4572" s="2">
        <v>2011.9812396361899</v>
      </c>
      <c r="AG4572" s="2">
        <v>2012.18866169475</v>
      </c>
      <c r="AH4572" s="2">
        <v>1926.4245089225101</v>
      </c>
      <c r="AI4572" s="2">
        <v>1904.9153367773599</v>
      </c>
      <c r="AJ4572" s="2">
        <v>1912.79727500327</v>
      </c>
      <c r="AK4572" s="2">
        <v>747.22304236838204</v>
      </c>
      <c r="AL4572" s="2">
        <v>805.30277072809201</v>
      </c>
      <c r="AM4572" s="2">
        <v>691.03430149280905</v>
      </c>
      <c r="AN4572" s="2">
        <v>736.38406441960103</v>
      </c>
      <c r="AO4572" s="2">
        <v>765.49740539109303</v>
      </c>
      <c r="AP4572" s="2">
        <v>891.88808123016702</v>
      </c>
    </row>
    <row r="4573" spans="1:42" ht="14.5" x14ac:dyDescent="0.35">
      <c r="A4573" s="2" t="s">
        <v>30341</v>
      </c>
      <c r="B4573" s="2">
        <v>339.071915812714</v>
      </c>
      <c r="C4573" s="2">
        <v>2.6285500000000002</v>
      </c>
      <c r="D4573" s="2" t="s">
        <v>70</v>
      </c>
      <c r="E4573" s="2" t="s">
        <v>30342</v>
      </c>
      <c r="F4573" s="2">
        <v>55554</v>
      </c>
      <c r="G4573" s="3" t="str">
        <f>HYPERLINK("http://funmeta.oebiotech.com/network/55554", "http://funmeta.oebiotech.com/network/55554")</f>
        <v>http://funmeta.oebiotech.com/network/55554</v>
      </c>
      <c r="H4573" s="2" t="s">
        <v>30343</v>
      </c>
      <c r="I4573" s="2">
        <v>43929</v>
      </c>
      <c r="J4573" s="2"/>
      <c r="K4573" s="2">
        <v>4853</v>
      </c>
      <c r="L4573" s="2" t="s">
        <v>30344</v>
      </c>
      <c r="M4573" s="2"/>
      <c r="N4573" s="2"/>
      <c r="O4573" s="2">
        <v>5281417</v>
      </c>
      <c r="P4573" s="2" t="s">
        <v>30345</v>
      </c>
      <c r="Q4573" s="2" t="s">
        <v>30346</v>
      </c>
      <c r="R4573" s="2" t="s">
        <v>30347</v>
      </c>
      <c r="S4573" s="2" t="s">
        <v>115</v>
      </c>
      <c r="T4573" s="2" t="s">
        <v>758</v>
      </c>
      <c r="U4573" s="2" t="s">
        <v>759</v>
      </c>
      <c r="V4573" s="2" t="s">
        <v>59</v>
      </c>
      <c r="W4573" s="2">
        <v>38.700000000000003</v>
      </c>
      <c r="X4573" s="2">
        <v>0</v>
      </c>
      <c r="Y4573" s="2" t="s">
        <v>118</v>
      </c>
      <c r="Z4573" s="2" t="s">
        <v>30348</v>
      </c>
      <c r="AA4573" s="2">
        <v>-0.70526007535067803</v>
      </c>
      <c r="AB4573" s="2">
        <v>0.13472902555785299</v>
      </c>
      <c r="AC4573" s="2">
        <v>10281.355725559501</v>
      </c>
      <c r="AD4573" s="2">
        <v>8918.9530220804209</v>
      </c>
      <c r="AE4573" s="2">
        <v>10570.440071811399</v>
      </c>
      <c r="AF4573" s="2">
        <v>9596.6239577915094</v>
      </c>
      <c r="AG4573" s="2">
        <v>10305.8977650263</v>
      </c>
      <c r="AH4573" s="2">
        <v>10784.062924424499</v>
      </c>
      <c r="AI4573" s="2">
        <v>10100.3338156708</v>
      </c>
      <c r="AJ4573" s="2">
        <v>10330.775818632301</v>
      </c>
      <c r="AK4573" s="2">
        <v>9361.3148242764</v>
      </c>
      <c r="AL4573" s="2">
        <v>8381.6650480337103</v>
      </c>
      <c r="AM4573" s="2">
        <v>9276.8511332943599</v>
      </c>
      <c r="AN4573" s="2">
        <v>8633.5077883543399</v>
      </c>
      <c r="AO4573" s="2">
        <v>8630.6543891682504</v>
      </c>
      <c r="AP4573" s="2">
        <v>9229.7249493554391</v>
      </c>
    </row>
    <row r="4574" spans="1:42" ht="14.5" x14ac:dyDescent="0.35">
      <c r="A4574" s="2" t="s">
        <v>30349</v>
      </c>
      <c r="B4574" s="2">
        <v>263.159885126228</v>
      </c>
      <c r="C4574" s="2">
        <v>1.09313333333333</v>
      </c>
      <c r="D4574" s="2" t="s">
        <v>34</v>
      </c>
      <c r="E4574" s="2" t="s">
        <v>30350</v>
      </c>
      <c r="F4574" s="2">
        <v>198182</v>
      </c>
      <c r="G4574" s="3" t="str">
        <f>HYPERLINK("http://funmeta.oebiotech.com/network/198182", "http://funmeta.oebiotech.com/network/198182")</f>
        <v>http://funmeta.oebiotech.com/network/198182</v>
      </c>
      <c r="H4574" s="2" t="s">
        <v>30351</v>
      </c>
      <c r="I4574" s="2"/>
      <c r="J4574" s="2"/>
      <c r="K4574" s="2"/>
      <c r="L4574" s="2"/>
      <c r="M4574" s="2"/>
      <c r="N4574" s="2"/>
      <c r="O4574" s="2">
        <v>12879829</v>
      </c>
      <c r="P4574" s="2"/>
      <c r="Q4574" s="2" t="s">
        <v>30352</v>
      </c>
      <c r="R4574" s="2" t="s">
        <v>30353</v>
      </c>
      <c r="S4574" s="2" t="s">
        <v>50</v>
      </c>
      <c r="T4574" s="2" t="s">
        <v>229</v>
      </c>
      <c r="U4574" s="2" t="s">
        <v>1914</v>
      </c>
      <c r="V4574" s="2" t="s">
        <v>59</v>
      </c>
      <c r="W4574" s="2">
        <v>38.200000000000003</v>
      </c>
      <c r="X4574" s="2">
        <v>0</v>
      </c>
      <c r="Y4574" s="2" t="s">
        <v>43</v>
      </c>
      <c r="Z4574" s="2" t="s">
        <v>30354</v>
      </c>
      <c r="AA4574" s="2">
        <v>-1.07338819705119</v>
      </c>
      <c r="AB4574" s="2">
        <v>0.134642526671575</v>
      </c>
      <c r="AC4574" s="2">
        <v>879.94530366634694</v>
      </c>
      <c r="AD4574" s="2">
        <v>2143.9141835159398</v>
      </c>
      <c r="AE4574" s="2">
        <v>1189.3682538186999</v>
      </c>
      <c r="AF4574" s="2">
        <v>932.07790599057603</v>
      </c>
      <c r="AG4574" s="2">
        <v>1055.7958782800199</v>
      </c>
      <c r="AH4574" s="2">
        <v>642.95955159597497</v>
      </c>
      <c r="AI4574" s="2">
        <v>964.24078998384596</v>
      </c>
      <c r="AJ4574" s="2">
        <v>495.229442328966</v>
      </c>
      <c r="AK4574" s="2">
        <v>2076.3750112555399</v>
      </c>
      <c r="AL4574" s="2">
        <v>2150.96073318974</v>
      </c>
      <c r="AM4574" s="2">
        <v>1907.5760840130999</v>
      </c>
      <c r="AN4574" s="2">
        <v>2450.89079563514</v>
      </c>
      <c r="AO4574" s="2">
        <v>2393.6536309561002</v>
      </c>
      <c r="AP4574" s="2">
        <v>1884.0288460460099</v>
      </c>
    </row>
    <row r="4575" spans="1:42" ht="14.5" x14ac:dyDescent="0.35">
      <c r="A4575" s="2" t="s">
        <v>30355</v>
      </c>
      <c r="B4575" s="2">
        <v>373.259202232799</v>
      </c>
      <c r="C4575" s="2">
        <v>5.4314499999999999</v>
      </c>
      <c r="D4575" s="2" t="s">
        <v>70</v>
      </c>
      <c r="E4575" s="2" t="s">
        <v>30356</v>
      </c>
      <c r="F4575" s="2">
        <v>6360</v>
      </c>
      <c r="G4575" s="3" t="str">
        <f>HYPERLINK("http://funmeta.oebiotech.com/network/6360", "http://funmeta.oebiotech.com/network/6360")</f>
        <v>http://funmeta.oebiotech.com/network/6360</v>
      </c>
      <c r="H4575" s="2" t="s">
        <v>30357</v>
      </c>
      <c r="I4575" s="2">
        <v>43512</v>
      </c>
      <c r="J4575" s="2" t="s">
        <v>30358</v>
      </c>
      <c r="K4575" s="2">
        <v>967297</v>
      </c>
      <c r="L4575" s="2"/>
      <c r="M4575" s="2"/>
      <c r="N4575" s="2"/>
      <c r="O4575" s="2">
        <v>3624980</v>
      </c>
      <c r="P4575" s="2" t="s">
        <v>30359</v>
      </c>
      <c r="Q4575" s="2" t="s">
        <v>30360</v>
      </c>
      <c r="R4575" s="2" t="s">
        <v>30361</v>
      </c>
      <c r="S4575" s="2" t="s">
        <v>50</v>
      </c>
      <c r="T4575" s="2" t="s">
        <v>229</v>
      </c>
      <c r="U4575" s="2" t="s">
        <v>1283</v>
      </c>
      <c r="V4575" s="2" t="s">
        <v>59</v>
      </c>
      <c r="W4575" s="2">
        <v>38.200000000000003</v>
      </c>
      <c r="X4575" s="2">
        <v>0</v>
      </c>
      <c r="Y4575" s="2" t="s">
        <v>408</v>
      </c>
      <c r="Z4575" s="2" t="s">
        <v>30362</v>
      </c>
      <c r="AA4575" s="2">
        <v>-1.09750950043383</v>
      </c>
      <c r="AB4575" s="2">
        <v>0.13456402278010299</v>
      </c>
      <c r="AC4575" s="2">
        <v>3830.2341043727301</v>
      </c>
      <c r="AD4575" s="2">
        <v>5129.5182466962497</v>
      </c>
      <c r="AE4575" s="2">
        <v>3613.76973899732</v>
      </c>
      <c r="AF4575" s="2">
        <v>3606.95462550914</v>
      </c>
      <c r="AG4575" s="2">
        <v>3946.7665257348099</v>
      </c>
      <c r="AH4575" s="2">
        <v>4000.5266956229998</v>
      </c>
      <c r="AI4575" s="2">
        <v>3853.0106994357702</v>
      </c>
      <c r="AJ4575" s="2">
        <v>3960.3763409363601</v>
      </c>
      <c r="AK4575" s="2">
        <v>4691.3717485649304</v>
      </c>
      <c r="AL4575" s="2">
        <v>4727.9078092446198</v>
      </c>
      <c r="AM4575" s="2">
        <v>5068.0852478089701</v>
      </c>
      <c r="AN4575" s="2">
        <v>5458.7581036437896</v>
      </c>
      <c r="AO4575" s="2">
        <v>5777.2748680068098</v>
      </c>
      <c r="AP4575" s="2">
        <v>5053.7117029083502</v>
      </c>
    </row>
    <row r="4576" spans="1:42" ht="14.5" x14ac:dyDescent="0.35">
      <c r="A4576" s="2" t="s">
        <v>30363</v>
      </c>
      <c r="B4576" s="2">
        <v>433.146911475737</v>
      </c>
      <c r="C4576" s="2">
        <v>3.7155666666666698</v>
      </c>
      <c r="D4576" s="2" t="s">
        <v>34</v>
      </c>
      <c r="E4576" s="2" t="s">
        <v>30364</v>
      </c>
      <c r="F4576" s="2">
        <v>35726</v>
      </c>
      <c r="G4576" s="3" t="str">
        <f>HYPERLINK("http://funmeta.oebiotech.com/network/35726", "http://funmeta.oebiotech.com/network/35726")</f>
        <v>http://funmeta.oebiotech.com/network/35726</v>
      </c>
      <c r="H4576" s="2"/>
      <c r="I4576" s="2"/>
      <c r="J4576" s="2" t="s">
        <v>30365</v>
      </c>
      <c r="K4576" s="2"/>
      <c r="L4576" s="2"/>
      <c r="M4576" s="2"/>
      <c r="N4576" s="2"/>
      <c r="O4576" s="2">
        <v>154585488</v>
      </c>
      <c r="P4576" s="2"/>
      <c r="Q4576" s="2" t="s">
        <v>30366</v>
      </c>
      <c r="R4576" s="2" t="s">
        <v>30367</v>
      </c>
      <c r="S4576" s="2" t="s">
        <v>491</v>
      </c>
      <c r="T4576" s="2" t="s">
        <v>5973</v>
      </c>
      <c r="U4576" s="2" t="s">
        <v>6296</v>
      </c>
      <c r="V4576" s="2" t="s">
        <v>42</v>
      </c>
      <c r="W4576" s="2">
        <v>48.6</v>
      </c>
      <c r="X4576" s="2">
        <v>49.8</v>
      </c>
      <c r="Y4576" s="2" t="s">
        <v>67</v>
      </c>
      <c r="Z4576" s="2" t="s">
        <v>9327</v>
      </c>
      <c r="AA4576" s="2">
        <v>2.0445494639469299E-2</v>
      </c>
      <c r="AB4576" s="2">
        <v>0.134560267783643</v>
      </c>
      <c r="AC4576" s="2">
        <v>437389.575300347</v>
      </c>
      <c r="AD4576" s="2">
        <v>430565.588486002</v>
      </c>
      <c r="AE4576" s="2">
        <v>438918.63236960798</v>
      </c>
      <c r="AF4576" s="2">
        <v>452032.93268771103</v>
      </c>
      <c r="AG4576" s="2">
        <v>411765.24910139001</v>
      </c>
      <c r="AH4576" s="2">
        <v>417450.87976321398</v>
      </c>
      <c r="AI4576" s="2">
        <v>477639.033733544</v>
      </c>
      <c r="AJ4576" s="2">
        <v>426530.72414661403</v>
      </c>
      <c r="AK4576" s="2">
        <v>436542.75556312402</v>
      </c>
      <c r="AL4576" s="2">
        <v>421446.95911741297</v>
      </c>
      <c r="AM4576" s="2">
        <v>418527.569444258</v>
      </c>
      <c r="AN4576" s="2">
        <v>436412.69878079498</v>
      </c>
      <c r="AO4576" s="2">
        <v>420013.299575274</v>
      </c>
      <c r="AP4576" s="2">
        <v>450450.24843515002</v>
      </c>
    </row>
    <row r="4577" spans="1:42" ht="14.5" x14ac:dyDescent="0.35">
      <c r="A4577" s="2" t="s">
        <v>30368</v>
      </c>
      <c r="B4577" s="2">
        <v>437.14320514376902</v>
      </c>
      <c r="C4577" s="2">
        <v>4.8836000000000004</v>
      </c>
      <c r="D4577" s="2" t="s">
        <v>34</v>
      </c>
      <c r="E4577" s="2" t="s">
        <v>30369</v>
      </c>
      <c r="F4577" s="2">
        <v>60316</v>
      </c>
      <c r="G4577" s="3" t="str">
        <f>HYPERLINK("http://funmeta.oebiotech.com/network/60316", "http://funmeta.oebiotech.com/network/60316")</f>
        <v>http://funmeta.oebiotech.com/network/60316</v>
      </c>
      <c r="H4577" s="2" t="s">
        <v>30370</v>
      </c>
      <c r="I4577" s="2">
        <v>3535</v>
      </c>
      <c r="J4577" s="2"/>
      <c r="K4577" s="2">
        <v>8113</v>
      </c>
      <c r="L4577" s="2" t="s">
        <v>30371</v>
      </c>
      <c r="M4577" s="2" t="s">
        <v>1432</v>
      </c>
      <c r="N4577" s="2" t="s">
        <v>1433</v>
      </c>
      <c r="O4577" s="2">
        <v>6072</v>
      </c>
      <c r="P4577" s="2" t="s">
        <v>30372</v>
      </c>
      <c r="Q4577" s="2" t="s">
        <v>30373</v>
      </c>
      <c r="R4577" s="2" t="s">
        <v>30374</v>
      </c>
      <c r="S4577" s="2" t="s">
        <v>115</v>
      </c>
      <c r="T4577" s="2" t="s">
        <v>139</v>
      </c>
      <c r="U4577" s="2" t="s">
        <v>140</v>
      </c>
      <c r="V4577" s="2" t="s">
        <v>42</v>
      </c>
      <c r="W4577" s="2">
        <v>55</v>
      </c>
      <c r="X4577" s="2">
        <v>84.4</v>
      </c>
      <c r="Y4577" s="2" t="s">
        <v>242</v>
      </c>
      <c r="Z4577" s="2" t="s">
        <v>30375</v>
      </c>
      <c r="AA4577" s="2">
        <v>-2.3347105034126199</v>
      </c>
      <c r="AB4577" s="2">
        <v>0.13453061575570499</v>
      </c>
      <c r="AC4577" s="2">
        <v>222283.18515158701</v>
      </c>
      <c r="AD4577" s="2">
        <v>227294.89735292201</v>
      </c>
      <c r="AE4577" s="2">
        <v>210258.346607107</v>
      </c>
      <c r="AF4577" s="2">
        <v>217192.58078525701</v>
      </c>
      <c r="AG4577" s="2">
        <v>236544.87419316801</v>
      </c>
      <c r="AH4577" s="2">
        <v>220893.229025921</v>
      </c>
      <c r="AI4577" s="2">
        <v>218328.15242912</v>
      </c>
      <c r="AJ4577" s="2">
        <v>230481.92786895001</v>
      </c>
      <c r="AK4577" s="2">
        <v>213218.661342812</v>
      </c>
      <c r="AL4577" s="2">
        <v>232037.01686270401</v>
      </c>
      <c r="AM4577" s="2">
        <v>234196.334716971</v>
      </c>
      <c r="AN4577" s="2">
        <v>224394.54768213001</v>
      </c>
      <c r="AO4577" s="2">
        <v>245927.36959824999</v>
      </c>
      <c r="AP4577" s="2">
        <v>213995.45391466701</v>
      </c>
    </row>
    <row r="4578" spans="1:42" ht="14.5" x14ac:dyDescent="0.35">
      <c r="A4578" s="2" t="s">
        <v>30376</v>
      </c>
      <c r="B4578" s="2">
        <v>192.06542952084499</v>
      </c>
      <c r="C4578" s="2">
        <v>4.2085666666666697</v>
      </c>
      <c r="D4578" s="2" t="s">
        <v>34</v>
      </c>
      <c r="E4578" s="2" t="s">
        <v>30377</v>
      </c>
      <c r="F4578" s="2">
        <v>47207</v>
      </c>
      <c r="G4578" s="3" t="str">
        <f>HYPERLINK("http://funmeta.oebiotech.com/network/47207", "http://funmeta.oebiotech.com/network/47207")</f>
        <v>http://funmeta.oebiotech.com/network/47207</v>
      </c>
      <c r="H4578" s="2" t="s">
        <v>30378</v>
      </c>
      <c r="I4578" s="2">
        <v>2975</v>
      </c>
      <c r="J4578" s="2"/>
      <c r="K4578" s="2">
        <v>27823</v>
      </c>
      <c r="L4578" s="2" t="s">
        <v>30379</v>
      </c>
      <c r="M4578" s="2" t="s">
        <v>30380</v>
      </c>
      <c r="N4578" s="2" t="s">
        <v>30381</v>
      </c>
      <c r="O4578" s="2">
        <v>1826</v>
      </c>
      <c r="P4578" s="2" t="s">
        <v>30382</v>
      </c>
      <c r="Q4578" s="2" t="s">
        <v>30383</v>
      </c>
      <c r="R4578" s="2" t="s">
        <v>30384</v>
      </c>
      <c r="S4578" s="2" t="s">
        <v>491</v>
      </c>
      <c r="T4578" s="2" t="s">
        <v>2184</v>
      </c>
      <c r="U4578" s="2" t="s">
        <v>8858</v>
      </c>
      <c r="V4578" s="2" t="s">
        <v>59</v>
      </c>
      <c r="W4578" s="2">
        <v>38.1</v>
      </c>
      <c r="X4578" s="2">
        <v>0</v>
      </c>
      <c r="Y4578" s="2" t="s">
        <v>394</v>
      </c>
      <c r="Z4578" s="2" t="s">
        <v>30385</v>
      </c>
      <c r="AA4578" s="2">
        <v>-0.47139167254331898</v>
      </c>
      <c r="AB4578" s="2">
        <v>0.13446287920465699</v>
      </c>
      <c r="AC4578" s="2">
        <v>3700.1027514706898</v>
      </c>
      <c r="AD4578" s="2">
        <v>5001.2568908061803</v>
      </c>
      <c r="AE4578" s="2">
        <v>3763.7563606070698</v>
      </c>
      <c r="AF4578" s="2">
        <v>3532.57150383098</v>
      </c>
      <c r="AG4578" s="2">
        <v>3586.3713340326499</v>
      </c>
      <c r="AH4578" s="2">
        <v>3553.7644862099301</v>
      </c>
      <c r="AI4578" s="2">
        <v>3629.4483739849802</v>
      </c>
      <c r="AJ4578" s="2">
        <v>4134.7044501585196</v>
      </c>
      <c r="AK4578" s="2">
        <v>4964.4177716394597</v>
      </c>
      <c r="AL4578" s="2">
        <v>4946.9034421127499</v>
      </c>
      <c r="AM4578" s="2">
        <v>4373.1626170584004</v>
      </c>
      <c r="AN4578" s="2">
        <v>5501.0446840451104</v>
      </c>
      <c r="AO4578" s="2">
        <v>4885.5436013340404</v>
      </c>
      <c r="AP4578" s="2">
        <v>5336.4692286473501</v>
      </c>
    </row>
    <row r="4579" spans="1:42" ht="14.5" x14ac:dyDescent="0.35">
      <c r="A4579" s="2" t="s">
        <v>30386</v>
      </c>
      <c r="B4579" s="2">
        <v>146.06003773986899</v>
      </c>
      <c r="C4579" s="2">
        <v>3.6785666666666699</v>
      </c>
      <c r="D4579" s="2" t="s">
        <v>34</v>
      </c>
      <c r="E4579" s="2" t="s">
        <v>30387</v>
      </c>
      <c r="F4579" s="2">
        <v>551139</v>
      </c>
      <c r="G4579" s="3" t="str">
        <f>HYPERLINK("http://funmeta.oebiotech.com/network/551139", "http://funmeta.oebiotech.com/network/551139")</f>
        <v>http://funmeta.oebiotech.com/network/551139</v>
      </c>
      <c r="H4579" s="2"/>
      <c r="I4579" s="2">
        <v>96392</v>
      </c>
      <c r="J4579" s="2"/>
      <c r="K4579" s="2"/>
      <c r="L4579" s="2"/>
      <c r="M4579" s="2"/>
      <c r="N4579" s="2"/>
      <c r="O4579" s="2"/>
      <c r="P4579" s="2"/>
      <c r="Q4579" s="2" t="s">
        <v>30388</v>
      </c>
      <c r="R4579" s="2" t="s">
        <v>30389</v>
      </c>
      <c r="S4579" s="2" t="s">
        <v>41</v>
      </c>
      <c r="T4579" s="2" t="s">
        <v>41</v>
      </c>
      <c r="U4579" s="2" t="s">
        <v>41</v>
      </c>
      <c r="V4579" s="2" t="s">
        <v>42</v>
      </c>
      <c r="W4579" s="2">
        <v>48.2</v>
      </c>
      <c r="X4579" s="2">
        <v>46.4</v>
      </c>
      <c r="Y4579" s="2" t="s">
        <v>394</v>
      </c>
      <c r="Z4579" s="2" t="s">
        <v>30390</v>
      </c>
      <c r="AA4579" s="2">
        <v>-1.7517632630495199E-2</v>
      </c>
      <c r="AB4579" s="2">
        <v>0.134434337990575</v>
      </c>
      <c r="AC4579" s="2">
        <v>4322.9894186747197</v>
      </c>
      <c r="AD4579" s="2">
        <v>3032.5057676547599</v>
      </c>
      <c r="AE4579" s="2">
        <v>4664.7837407731404</v>
      </c>
      <c r="AF4579" s="2">
        <v>4588.11952786438</v>
      </c>
      <c r="AG4579" s="2">
        <v>3851.9303548569401</v>
      </c>
      <c r="AH4579" s="2">
        <v>4734.1911551332496</v>
      </c>
      <c r="AI4579" s="2">
        <v>4169.2699086593002</v>
      </c>
      <c r="AJ4579" s="2">
        <v>3929.6418247613301</v>
      </c>
      <c r="AK4579" s="2">
        <v>2872.0350909561898</v>
      </c>
      <c r="AL4579" s="2">
        <v>2821.9909997208701</v>
      </c>
      <c r="AM4579" s="2">
        <v>3042.5951888917298</v>
      </c>
      <c r="AN4579" s="2">
        <v>3247.9920094922199</v>
      </c>
      <c r="AO4579" s="2">
        <v>2976.2235598716302</v>
      </c>
      <c r="AP4579" s="2">
        <v>3234.1977569959099</v>
      </c>
    </row>
    <row r="4580" spans="1:42" ht="14.5" x14ac:dyDescent="0.35">
      <c r="A4580" s="2" t="s">
        <v>30391</v>
      </c>
      <c r="B4580" s="2">
        <v>753.23968585970704</v>
      </c>
      <c r="C4580" s="2">
        <v>4.1337999999999999</v>
      </c>
      <c r="D4580" s="2" t="s">
        <v>70</v>
      </c>
      <c r="E4580" s="2" t="s">
        <v>30392</v>
      </c>
      <c r="F4580" s="2">
        <v>60156</v>
      </c>
      <c r="G4580" s="3" t="str">
        <f>HYPERLINK("http://funmeta.oebiotech.com/network/60156", "http://funmeta.oebiotech.com/network/60156")</f>
        <v>http://funmeta.oebiotech.com/network/60156</v>
      </c>
      <c r="H4580" s="2" t="s">
        <v>30393</v>
      </c>
      <c r="I4580" s="2">
        <v>91539</v>
      </c>
      <c r="J4580" s="2"/>
      <c r="K4580" s="2"/>
      <c r="L4580" s="2"/>
      <c r="M4580" s="2"/>
      <c r="N4580" s="2"/>
      <c r="O4580" s="2">
        <v>101093581</v>
      </c>
      <c r="P4580" s="2"/>
      <c r="Q4580" s="2" t="s">
        <v>30394</v>
      </c>
      <c r="R4580" s="2" t="s">
        <v>30395</v>
      </c>
      <c r="S4580" s="2" t="s">
        <v>1184</v>
      </c>
      <c r="T4580" s="2" t="s">
        <v>1185</v>
      </c>
      <c r="U4580" s="2" t="s">
        <v>41</v>
      </c>
      <c r="V4580" s="2" t="s">
        <v>59</v>
      </c>
      <c r="W4580" s="2">
        <v>41.1</v>
      </c>
      <c r="X4580" s="2">
        <v>20.5</v>
      </c>
      <c r="Y4580" s="2" t="s">
        <v>118</v>
      </c>
      <c r="Z4580" s="2" t="s">
        <v>30396</v>
      </c>
      <c r="AA4580" s="2">
        <v>-0.42819934418847599</v>
      </c>
      <c r="AB4580" s="2">
        <v>0.13433059707891701</v>
      </c>
      <c r="AC4580" s="2">
        <v>25905.8254338519</v>
      </c>
      <c r="AD4580" s="2">
        <v>23545.864801952601</v>
      </c>
      <c r="AE4580" s="2">
        <v>27954.102018897302</v>
      </c>
      <c r="AF4580" s="2">
        <v>24475.8940768676</v>
      </c>
      <c r="AG4580" s="2">
        <v>24918.683581467099</v>
      </c>
      <c r="AH4580" s="2">
        <v>24270.8122270065</v>
      </c>
      <c r="AI4580" s="2">
        <v>29566.924396587001</v>
      </c>
      <c r="AJ4580" s="2">
        <v>24248.536302286</v>
      </c>
      <c r="AK4580" s="2">
        <v>24675.968573603001</v>
      </c>
      <c r="AL4580" s="2">
        <v>22700.795198193398</v>
      </c>
      <c r="AM4580" s="2">
        <v>22619.6898365835</v>
      </c>
      <c r="AN4580" s="2">
        <v>22923.079769032502</v>
      </c>
      <c r="AO4580" s="2">
        <v>21220.161577647999</v>
      </c>
      <c r="AP4580" s="2">
        <v>27135.493856655001</v>
      </c>
    </row>
    <row r="4581" spans="1:42" ht="14.5" x14ac:dyDescent="0.35">
      <c r="A4581" s="2" t="s">
        <v>30397</v>
      </c>
      <c r="B4581" s="2">
        <v>248.07967587501901</v>
      </c>
      <c r="C4581" s="2">
        <v>9.4170999999999996</v>
      </c>
      <c r="D4581" s="2" t="s">
        <v>70</v>
      </c>
      <c r="E4581" s="2" t="s">
        <v>30398</v>
      </c>
      <c r="F4581" s="2">
        <v>278573</v>
      </c>
      <c r="G4581" s="3" t="str">
        <f>HYPERLINK("http://funmeta.oebiotech.com/network/278573", "http://funmeta.oebiotech.com/network/278573")</f>
        <v>http://funmeta.oebiotech.com/network/278573</v>
      </c>
      <c r="H4581" s="2"/>
      <c r="I4581" s="2">
        <v>70853</v>
      </c>
      <c r="J4581" s="2"/>
      <c r="K4581" s="2"/>
      <c r="L4581" s="2" t="s">
        <v>30399</v>
      </c>
      <c r="M4581" s="2"/>
      <c r="N4581" s="2"/>
      <c r="O4581" s="2">
        <v>222304</v>
      </c>
      <c r="P4581" s="2" t="s">
        <v>30400</v>
      </c>
      <c r="Q4581" s="2" t="s">
        <v>30401</v>
      </c>
      <c r="R4581" s="2" t="s">
        <v>30402</v>
      </c>
      <c r="S4581" s="2" t="s">
        <v>491</v>
      </c>
      <c r="T4581" s="2" t="s">
        <v>3519</v>
      </c>
      <c r="U4581" s="2" t="s">
        <v>3520</v>
      </c>
      <c r="V4581" s="2" t="s">
        <v>59</v>
      </c>
      <c r="W4581" s="2">
        <v>38.299999999999997</v>
      </c>
      <c r="X4581" s="2">
        <v>0</v>
      </c>
      <c r="Y4581" s="2" t="s">
        <v>408</v>
      </c>
      <c r="Z4581" s="2" t="s">
        <v>30403</v>
      </c>
      <c r="AA4581" s="2">
        <v>3.75748553123944</v>
      </c>
      <c r="AB4581" s="2">
        <v>0.13431146662881799</v>
      </c>
      <c r="AC4581" s="2">
        <v>3248.99833412102</v>
      </c>
      <c r="AD4581" s="2">
        <v>4952.0756807446196</v>
      </c>
      <c r="AE4581" s="2">
        <v>3655.4549472371</v>
      </c>
      <c r="AF4581" s="2">
        <v>3119.66813570661</v>
      </c>
      <c r="AG4581" s="2">
        <v>2960.24520877952</v>
      </c>
      <c r="AH4581" s="2">
        <v>4704.3035349617203</v>
      </c>
      <c r="AI4581" s="2">
        <v>2558.1654822166602</v>
      </c>
      <c r="AJ4581" s="2">
        <v>2496.1526958245399</v>
      </c>
      <c r="AK4581" s="2">
        <v>3982.9962595841898</v>
      </c>
      <c r="AL4581" s="2">
        <v>4195.1223453755902</v>
      </c>
      <c r="AM4581" s="2">
        <v>3948.8348703769002</v>
      </c>
      <c r="AN4581" s="2">
        <v>6514.2765821069597</v>
      </c>
      <c r="AO4581" s="2">
        <v>5156.6194632576899</v>
      </c>
      <c r="AP4581" s="2">
        <v>5914.6045637663801</v>
      </c>
    </row>
    <row r="4582" spans="1:42" ht="14.5" x14ac:dyDescent="0.35">
      <c r="A4582" s="2" t="s">
        <v>30404</v>
      </c>
      <c r="B4582" s="2">
        <v>857.31318702636395</v>
      </c>
      <c r="C4582" s="2">
        <v>7.3370666666666704</v>
      </c>
      <c r="D4582" s="2" t="s">
        <v>70</v>
      </c>
      <c r="E4582" s="2" t="s">
        <v>30405</v>
      </c>
      <c r="F4582" s="2">
        <v>211996</v>
      </c>
      <c r="G4582" s="3" t="str">
        <f>HYPERLINK("http://funmeta.oebiotech.com/network/211996", "http://funmeta.oebiotech.com/network/211996")</f>
        <v>http://funmeta.oebiotech.com/network/211996</v>
      </c>
      <c r="H4582" s="2" t="s">
        <v>30406</v>
      </c>
      <c r="I4582" s="2">
        <v>821910</v>
      </c>
      <c r="J4582" s="2"/>
      <c r="K4582" s="2"/>
      <c r="L4582" s="2"/>
      <c r="M4582" s="2"/>
      <c r="N4582" s="2"/>
      <c r="O4582" s="2">
        <v>46199207</v>
      </c>
      <c r="P4582" s="2"/>
      <c r="Q4582" s="2" t="s">
        <v>30407</v>
      </c>
      <c r="R4582" s="2" t="s">
        <v>30408</v>
      </c>
      <c r="S4582" s="2" t="s">
        <v>491</v>
      </c>
      <c r="T4582" s="2" t="s">
        <v>7431</v>
      </c>
      <c r="U4582" s="2" t="s">
        <v>7432</v>
      </c>
      <c r="V4582" s="2" t="s">
        <v>59</v>
      </c>
      <c r="W4582" s="2">
        <v>36.299999999999997</v>
      </c>
      <c r="X4582" s="2">
        <v>0</v>
      </c>
      <c r="Y4582" s="2" t="s">
        <v>560</v>
      </c>
      <c r="Z4582" s="2" t="s">
        <v>30409</v>
      </c>
      <c r="AA4582" s="2">
        <v>-4.8924424034967204</v>
      </c>
      <c r="AB4582" s="2">
        <v>0.134206811999068</v>
      </c>
      <c r="AC4582" s="2">
        <v>6062.9641908857902</v>
      </c>
      <c r="AD4582" s="2">
        <v>4393.8194594410297</v>
      </c>
      <c r="AE4582" s="2">
        <v>5924.3997720221996</v>
      </c>
      <c r="AF4582" s="2">
        <v>4617.95014354456</v>
      </c>
      <c r="AG4582" s="2">
        <v>4823.3959171333099</v>
      </c>
      <c r="AH4582" s="2">
        <v>7043.4340903364</v>
      </c>
      <c r="AI4582" s="2">
        <v>7109.85137553613</v>
      </c>
      <c r="AJ4582" s="2">
        <v>6858.75384674216</v>
      </c>
      <c r="AK4582" s="2">
        <v>5099.7895527873698</v>
      </c>
      <c r="AL4582" s="2">
        <v>4523.0447181661903</v>
      </c>
      <c r="AM4582" s="2">
        <v>4183.6384970061899</v>
      </c>
      <c r="AN4582" s="2">
        <v>3947.32059526184</v>
      </c>
      <c r="AO4582" s="2">
        <v>3649.10157571215</v>
      </c>
      <c r="AP4582" s="2">
        <v>4960.0218177124298</v>
      </c>
    </row>
    <row r="4583" spans="1:42" ht="14.5" x14ac:dyDescent="0.35">
      <c r="A4583" s="2" t="s">
        <v>30410</v>
      </c>
      <c r="B4583" s="2">
        <v>399.14246811560997</v>
      </c>
      <c r="C4583" s="2">
        <v>5.8977166666666703</v>
      </c>
      <c r="D4583" s="2" t="s">
        <v>70</v>
      </c>
      <c r="E4583" s="2" t="s">
        <v>30411</v>
      </c>
      <c r="F4583" s="2">
        <v>257768</v>
      </c>
      <c r="G4583" s="3" t="str">
        <f>HYPERLINK("http://funmeta.oebiotech.com/network/257768", "http://funmeta.oebiotech.com/network/257768")</f>
        <v>http://funmeta.oebiotech.com/network/257768</v>
      </c>
      <c r="H4583" s="2"/>
      <c r="I4583" s="2">
        <v>518</v>
      </c>
      <c r="J4583" s="2"/>
      <c r="K4583" s="2"/>
      <c r="L4583" s="2"/>
      <c r="M4583" s="2"/>
      <c r="N4583" s="2"/>
      <c r="O4583" s="2">
        <v>73879</v>
      </c>
      <c r="P4583" s="2" t="s">
        <v>30412</v>
      </c>
      <c r="Q4583" s="2" t="s">
        <v>30413</v>
      </c>
      <c r="R4583" s="2" t="s">
        <v>30414</v>
      </c>
      <c r="S4583" s="2" t="s">
        <v>148</v>
      </c>
      <c r="T4583" s="2" t="s">
        <v>149</v>
      </c>
      <c r="U4583" s="2" t="s">
        <v>41</v>
      </c>
      <c r="V4583" s="2" t="s">
        <v>59</v>
      </c>
      <c r="W4583" s="2">
        <v>38.9</v>
      </c>
      <c r="X4583" s="2">
        <v>0</v>
      </c>
      <c r="Y4583" s="2" t="s">
        <v>560</v>
      </c>
      <c r="Z4583" s="2" t="s">
        <v>30415</v>
      </c>
      <c r="AA4583" s="2">
        <v>-3.0727057765049501</v>
      </c>
      <c r="AB4583" s="2">
        <v>0.13418269382194301</v>
      </c>
      <c r="AC4583" s="2">
        <v>1435.3240458180901</v>
      </c>
      <c r="AD4583" s="2">
        <v>202.221531305789</v>
      </c>
      <c r="AE4583" s="2">
        <v>1151.45594511285</v>
      </c>
      <c r="AF4583" s="2">
        <v>1490.8113871047999</v>
      </c>
      <c r="AG4583" s="2">
        <v>1372.7152560269001</v>
      </c>
      <c r="AH4583" s="2">
        <v>1452.3894858645399</v>
      </c>
      <c r="AI4583" s="2">
        <v>1839.5547780731399</v>
      </c>
      <c r="AJ4583" s="2">
        <v>1305.0174227263101</v>
      </c>
      <c r="AK4583" s="2">
        <v>379.16733345810502</v>
      </c>
      <c r="AL4583" s="2">
        <v>156.27129914413001</v>
      </c>
      <c r="AM4583" s="2">
        <v>206.794720555498</v>
      </c>
      <c r="AN4583" s="2">
        <v>125.27185477670901</v>
      </c>
      <c r="AO4583" s="2">
        <v>2.7106294003980101E-5</v>
      </c>
      <c r="AP4583" s="2">
        <v>345.82395279399702</v>
      </c>
    </row>
    <row r="4584" spans="1:42" ht="14.5" x14ac:dyDescent="0.35">
      <c r="A4584" s="2" t="s">
        <v>30416</v>
      </c>
      <c r="B4584" s="2">
        <v>1009.57519979777</v>
      </c>
      <c r="C4584" s="2">
        <v>5.3519166666666704</v>
      </c>
      <c r="D4584" s="2" t="s">
        <v>34</v>
      </c>
      <c r="E4584" s="2" t="s">
        <v>30417</v>
      </c>
      <c r="F4584" s="2">
        <v>229020</v>
      </c>
      <c r="G4584" s="3" t="str">
        <f>HYPERLINK("http://funmeta.oebiotech.com/network/229020", "http://funmeta.oebiotech.com/network/229020")</f>
        <v>http://funmeta.oebiotech.com/network/229020</v>
      </c>
      <c r="H4584" s="2" t="s">
        <v>30418</v>
      </c>
      <c r="I4584" s="2"/>
      <c r="J4584" s="2"/>
      <c r="K4584" s="2"/>
      <c r="L4584" s="2"/>
      <c r="M4584" s="2"/>
      <c r="N4584" s="2"/>
      <c r="O4584" s="2"/>
      <c r="P4584" s="2"/>
      <c r="Q4584" s="2" t="s">
        <v>30419</v>
      </c>
      <c r="R4584" s="2" t="s">
        <v>30420</v>
      </c>
      <c r="S4584" s="2" t="s">
        <v>41</v>
      </c>
      <c r="T4584" s="2" t="s">
        <v>41</v>
      </c>
      <c r="U4584" s="2" t="s">
        <v>41</v>
      </c>
      <c r="V4584" s="2" t="s">
        <v>59</v>
      </c>
      <c r="W4584" s="2">
        <v>36.6</v>
      </c>
      <c r="X4584" s="2">
        <v>0</v>
      </c>
      <c r="Y4584" s="2" t="s">
        <v>470</v>
      </c>
      <c r="Z4584" s="2" t="s">
        <v>30421</v>
      </c>
      <c r="AA4584" s="2">
        <v>-8.2107008613116705E-2</v>
      </c>
      <c r="AB4584" s="2">
        <v>0.13414509593412699</v>
      </c>
      <c r="AC4584" s="2">
        <v>60011.448073225903</v>
      </c>
      <c r="AD4584" s="2">
        <v>63547.180245399803</v>
      </c>
      <c r="AE4584" s="2">
        <v>63871.1918627337</v>
      </c>
      <c r="AF4584" s="2">
        <v>66453.999652836501</v>
      </c>
      <c r="AG4584" s="2">
        <v>62093.494879539998</v>
      </c>
      <c r="AH4584" s="2">
        <v>57625.403446248602</v>
      </c>
      <c r="AI4584" s="2">
        <v>53239.184391139701</v>
      </c>
      <c r="AJ4584" s="2">
        <v>56785.4142068566</v>
      </c>
      <c r="AK4584" s="2">
        <v>60739.648103530897</v>
      </c>
      <c r="AL4584" s="2">
        <v>58704.387840458498</v>
      </c>
      <c r="AM4584" s="2">
        <v>58745.202284779298</v>
      </c>
      <c r="AN4584" s="2">
        <v>73800.647285328407</v>
      </c>
      <c r="AO4584" s="2">
        <v>65902.901816289203</v>
      </c>
      <c r="AP4584" s="2">
        <v>63390.294142012302</v>
      </c>
    </row>
    <row r="4585" spans="1:42" ht="14.5" x14ac:dyDescent="0.35">
      <c r="A4585" s="2" t="s">
        <v>30422</v>
      </c>
      <c r="B4585" s="2">
        <v>219.13383262955699</v>
      </c>
      <c r="C4585" s="2">
        <v>2.6402666666666699</v>
      </c>
      <c r="D4585" s="2" t="s">
        <v>34</v>
      </c>
      <c r="E4585" s="2" t="s">
        <v>30423</v>
      </c>
      <c r="F4585" s="2">
        <v>206444</v>
      </c>
      <c r="G4585" s="3" t="str">
        <f>HYPERLINK("http://funmeta.oebiotech.com/network/206444", "http://funmeta.oebiotech.com/network/206444")</f>
        <v>http://funmeta.oebiotech.com/network/206444</v>
      </c>
      <c r="H4585" s="2" t="s">
        <v>30424</v>
      </c>
      <c r="I4585" s="2"/>
      <c r="J4585" s="2"/>
      <c r="K4585" s="2"/>
      <c r="L4585" s="2"/>
      <c r="M4585" s="2"/>
      <c r="N4585" s="2"/>
      <c r="O4585" s="2"/>
      <c r="P4585" s="2"/>
      <c r="Q4585" s="2" t="s">
        <v>30425</v>
      </c>
      <c r="R4585" s="2" t="s">
        <v>30426</v>
      </c>
      <c r="S4585" s="2" t="s">
        <v>41</v>
      </c>
      <c r="T4585" s="2" t="s">
        <v>41</v>
      </c>
      <c r="U4585" s="2" t="s">
        <v>41</v>
      </c>
      <c r="V4585" s="2" t="s">
        <v>59</v>
      </c>
      <c r="W4585" s="2">
        <v>44.6</v>
      </c>
      <c r="X4585" s="2">
        <v>28.6</v>
      </c>
      <c r="Y4585" s="2" t="s">
        <v>394</v>
      </c>
      <c r="Z4585" s="2" t="s">
        <v>25208</v>
      </c>
      <c r="AA4585" s="2">
        <v>-0.46242648518825802</v>
      </c>
      <c r="AB4585" s="2">
        <v>0.13414056082504</v>
      </c>
      <c r="AC4585" s="2">
        <v>3292.1513371925098</v>
      </c>
      <c r="AD4585" s="2">
        <v>2068.8308715159001</v>
      </c>
      <c r="AE4585" s="2">
        <v>3670.3977761087899</v>
      </c>
      <c r="AF4585" s="2">
        <v>3313.8881025805399</v>
      </c>
      <c r="AG4585" s="2">
        <v>3351.0066067960402</v>
      </c>
      <c r="AH4585" s="2">
        <v>2993.2836618403699</v>
      </c>
      <c r="AI4585" s="2">
        <v>3138.7156631797102</v>
      </c>
      <c r="AJ4585" s="2">
        <v>3285.6162126496201</v>
      </c>
      <c r="AK4585" s="2">
        <v>1840.0231836175701</v>
      </c>
      <c r="AL4585" s="2">
        <v>2038.0391224320399</v>
      </c>
      <c r="AM4585" s="2">
        <v>2084.5293712548</v>
      </c>
      <c r="AN4585" s="2">
        <v>2163.8223705649998</v>
      </c>
      <c r="AO4585" s="2">
        <v>2055.8488254455501</v>
      </c>
      <c r="AP4585" s="2">
        <v>2230.72235578045</v>
      </c>
    </row>
    <row r="4586" spans="1:42" ht="14.5" x14ac:dyDescent="0.35">
      <c r="A4586" s="2" t="s">
        <v>30427</v>
      </c>
      <c r="B4586" s="2">
        <v>507.07423698572802</v>
      </c>
      <c r="C4586" s="2">
        <v>3.6357833333333298</v>
      </c>
      <c r="D4586" s="2" t="s">
        <v>70</v>
      </c>
      <c r="E4586" s="2" t="s">
        <v>30428</v>
      </c>
      <c r="F4586" s="2">
        <v>206690</v>
      </c>
      <c r="G4586" s="3" t="str">
        <f>HYPERLINK("http://funmeta.oebiotech.com/network/206690", "http://funmeta.oebiotech.com/network/206690")</f>
        <v>http://funmeta.oebiotech.com/network/206690</v>
      </c>
      <c r="H4586" s="2" t="s">
        <v>30429</v>
      </c>
      <c r="I4586" s="2"/>
      <c r="J4586" s="2"/>
      <c r="K4586" s="2">
        <v>75458</v>
      </c>
      <c r="L4586" s="2"/>
      <c r="M4586" s="2"/>
      <c r="N4586" s="2"/>
      <c r="O4586" s="2">
        <v>3330</v>
      </c>
      <c r="P4586" s="2"/>
      <c r="Q4586" s="2" t="s">
        <v>30430</v>
      </c>
      <c r="R4586" s="2" t="s">
        <v>30431</v>
      </c>
      <c r="S4586" s="2" t="s">
        <v>148</v>
      </c>
      <c r="T4586" s="2" t="s">
        <v>149</v>
      </c>
      <c r="U4586" s="2" t="s">
        <v>30432</v>
      </c>
      <c r="V4586" s="2" t="s">
        <v>59</v>
      </c>
      <c r="W4586" s="2">
        <v>39.1</v>
      </c>
      <c r="X4586" s="2">
        <v>0</v>
      </c>
      <c r="Y4586" s="2" t="s">
        <v>560</v>
      </c>
      <c r="Z4586" s="2" t="s">
        <v>30433</v>
      </c>
      <c r="AA4586" s="2">
        <v>-3.1048080917731902</v>
      </c>
      <c r="AB4586" s="2">
        <v>0.13405412967014299</v>
      </c>
      <c r="AC4586" s="2">
        <v>2198.9232083839302</v>
      </c>
      <c r="AD4586" s="2">
        <v>3419.1296304481798</v>
      </c>
      <c r="AE4586" s="2">
        <v>2033.40558898688</v>
      </c>
      <c r="AF4586" s="2">
        <v>2032.21476010232</v>
      </c>
      <c r="AG4586" s="2">
        <v>2329.3738729619899</v>
      </c>
      <c r="AH4586" s="2">
        <v>1991.77163129369</v>
      </c>
      <c r="AI4586" s="2">
        <v>2407.77844390681</v>
      </c>
      <c r="AJ4586" s="2">
        <v>2398.9949530518902</v>
      </c>
      <c r="AK4586" s="2">
        <v>3441.62202859529</v>
      </c>
      <c r="AL4586" s="2">
        <v>3328.16505892948</v>
      </c>
      <c r="AM4586" s="2">
        <v>3317.4274199627598</v>
      </c>
      <c r="AN4586" s="2">
        <v>3719.4358007721098</v>
      </c>
      <c r="AO4586" s="2">
        <v>3228.2235550802202</v>
      </c>
      <c r="AP4586" s="2">
        <v>3479.9039193492499</v>
      </c>
    </row>
    <row r="4587" spans="1:42" ht="14.5" x14ac:dyDescent="0.35">
      <c r="A4587" s="2" t="s">
        <v>30434</v>
      </c>
      <c r="B4587" s="2">
        <v>943.486586320014</v>
      </c>
      <c r="C4587" s="2">
        <v>9.9781666666666702</v>
      </c>
      <c r="D4587" s="2" t="s">
        <v>34</v>
      </c>
      <c r="E4587" s="2" t="s">
        <v>30435</v>
      </c>
      <c r="F4587" s="2">
        <v>52326</v>
      </c>
      <c r="G4587" s="3" t="str">
        <f>HYPERLINK("http://funmeta.oebiotech.com/network/52326", "http://funmeta.oebiotech.com/network/52326")</f>
        <v>http://funmeta.oebiotech.com/network/52326</v>
      </c>
      <c r="H4587" s="2" t="s">
        <v>30436</v>
      </c>
      <c r="I4587" s="2"/>
      <c r="J4587" s="2"/>
      <c r="K4587" s="2"/>
      <c r="L4587" s="2"/>
      <c r="M4587" s="2"/>
      <c r="N4587" s="2"/>
      <c r="O4587" s="2">
        <v>53481832</v>
      </c>
      <c r="P4587" s="2"/>
      <c r="Q4587" s="2" t="s">
        <v>30437</v>
      </c>
      <c r="R4587" s="2" t="s">
        <v>30438</v>
      </c>
      <c r="S4587" s="2" t="s">
        <v>50</v>
      </c>
      <c r="T4587" s="2" t="s">
        <v>51</v>
      </c>
      <c r="U4587" s="2" t="s">
        <v>1989</v>
      </c>
      <c r="V4587" s="2" t="s">
        <v>59</v>
      </c>
      <c r="W4587" s="2">
        <v>38.299999999999997</v>
      </c>
      <c r="X4587" s="2">
        <v>0</v>
      </c>
      <c r="Y4587" s="2" t="s">
        <v>340</v>
      </c>
      <c r="Z4587" s="2" t="s">
        <v>30439</v>
      </c>
      <c r="AA4587" s="2">
        <v>0.400538149285043</v>
      </c>
      <c r="AB4587" s="2">
        <v>0.134053179644163</v>
      </c>
      <c r="AC4587" s="2">
        <v>71932.860274599399</v>
      </c>
      <c r="AD4587" s="2">
        <v>74744.732853582696</v>
      </c>
      <c r="AE4587" s="2">
        <v>74699.183810315793</v>
      </c>
      <c r="AF4587" s="2">
        <v>71784.108865910195</v>
      </c>
      <c r="AG4587" s="2">
        <v>71658.319909222104</v>
      </c>
      <c r="AH4587" s="2">
        <v>68686.966619604296</v>
      </c>
      <c r="AI4587" s="2">
        <v>71648.122013987202</v>
      </c>
      <c r="AJ4587" s="2">
        <v>73120.460428556893</v>
      </c>
      <c r="AK4587" s="2">
        <v>67025.570433226603</v>
      </c>
      <c r="AL4587" s="2">
        <v>79011.1291532412</v>
      </c>
      <c r="AM4587" s="2">
        <v>74730.132579414494</v>
      </c>
      <c r="AN4587" s="2">
        <v>76500.683238402198</v>
      </c>
      <c r="AO4587" s="2">
        <v>73614.612203259196</v>
      </c>
      <c r="AP4587" s="2">
        <v>77586.2695139524</v>
      </c>
    </row>
    <row r="4588" spans="1:42" ht="14.5" x14ac:dyDescent="0.35">
      <c r="A4588" s="2" t="s">
        <v>30440</v>
      </c>
      <c r="B4588" s="2">
        <v>418.221763101823</v>
      </c>
      <c r="C4588" s="2">
        <v>8.8024666666666693</v>
      </c>
      <c r="D4588" s="2" t="s">
        <v>34</v>
      </c>
      <c r="E4588" s="2" t="s">
        <v>30441</v>
      </c>
      <c r="F4588" s="2">
        <v>210557</v>
      </c>
      <c r="G4588" s="3" t="str">
        <f>HYPERLINK("http://funmeta.oebiotech.com/network/210557", "http://funmeta.oebiotech.com/network/210557")</f>
        <v>http://funmeta.oebiotech.com/network/210557</v>
      </c>
      <c r="H4588" s="2" t="s">
        <v>30442</v>
      </c>
      <c r="I4588" s="2"/>
      <c r="J4588" s="2"/>
      <c r="K4588" s="2"/>
      <c r="L4588" s="2"/>
      <c r="M4588" s="2"/>
      <c r="N4588" s="2"/>
      <c r="O4588" s="2">
        <v>539225</v>
      </c>
      <c r="P4588" s="2"/>
      <c r="Q4588" s="2" t="s">
        <v>30443</v>
      </c>
      <c r="R4588" s="2" t="s">
        <v>30444</v>
      </c>
      <c r="S4588" s="2" t="s">
        <v>50</v>
      </c>
      <c r="T4588" s="2" t="s">
        <v>124</v>
      </c>
      <c r="U4588" s="2" t="s">
        <v>929</v>
      </c>
      <c r="V4588" s="2" t="s">
        <v>42</v>
      </c>
      <c r="W4588" s="2">
        <v>51.5</v>
      </c>
      <c r="X4588" s="2">
        <v>63.5</v>
      </c>
      <c r="Y4588" s="2" t="s">
        <v>43</v>
      </c>
      <c r="Z4588" s="2" t="s">
        <v>30445</v>
      </c>
      <c r="AA4588" s="2">
        <v>-1.6268417336029799</v>
      </c>
      <c r="AB4588" s="2">
        <v>0.13392361271394199</v>
      </c>
      <c r="AC4588" s="2">
        <v>21932.272265978601</v>
      </c>
      <c r="AD4588" s="2">
        <v>18140.824672755301</v>
      </c>
      <c r="AE4588" s="2">
        <v>26607.755474583701</v>
      </c>
      <c r="AF4588" s="2">
        <v>22045.421361699999</v>
      </c>
      <c r="AG4588" s="2">
        <v>19938.890908775698</v>
      </c>
      <c r="AH4588" s="2">
        <v>19049.720980735099</v>
      </c>
      <c r="AI4588" s="2">
        <v>22399.449295905699</v>
      </c>
      <c r="AJ4588" s="2">
        <v>21552.395574171602</v>
      </c>
      <c r="AK4588" s="2">
        <v>11812.918642786801</v>
      </c>
      <c r="AL4588" s="2">
        <v>34177.370761919403</v>
      </c>
      <c r="AM4588" s="2">
        <v>17846.535745867899</v>
      </c>
      <c r="AN4588" s="2">
        <v>19856.907716494901</v>
      </c>
      <c r="AO4588" s="2">
        <v>15673.1686880494</v>
      </c>
      <c r="AP4588" s="2">
        <v>9478.0464814131792</v>
      </c>
    </row>
    <row r="4589" spans="1:42" ht="14.5" x14ac:dyDescent="0.35">
      <c r="A4589" s="2" t="s">
        <v>30446</v>
      </c>
      <c r="B4589" s="2">
        <v>525.17243187734903</v>
      </c>
      <c r="C4589" s="2">
        <v>5.4683000000000002</v>
      </c>
      <c r="D4589" s="2" t="s">
        <v>70</v>
      </c>
      <c r="E4589" s="2" t="s">
        <v>30447</v>
      </c>
      <c r="F4589" s="2">
        <v>209843</v>
      </c>
      <c r="G4589" s="3" t="str">
        <f>HYPERLINK("http://funmeta.oebiotech.com/network/209843", "http://funmeta.oebiotech.com/network/209843")</f>
        <v>http://funmeta.oebiotech.com/network/209843</v>
      </c>
      <c r="H4589" s="2" t="s">
        <v>30448</v>
      </c>
      <c r="I4589" s="2"/>
      <c r="J4589" s="2"/>
      <c r="K4589" s="2"/>
      <c r="L4589" s="2"/>
      <c r="M4589" s="2"/>
      <c r="N4589" s="2"/>
      <c r="O4589" s="2">
        <v>71905</v>
      </c>
      <c r="P4589" s="2"/>
      <c r="Q4589" s="2" t="s">
        <v>30449</v>
      </c>
      <c r="R4589" s="2" t="s">
        <v>30450</v>
      </c>
      <c r="S4589" s="2" t="s">
        <v>491</v>
      </c>
      <c r="T4589" s="2" t="s">
        <v>3019</v>
      </c>
      <c r="U4589" s="2" t="s">
        <v>3020</v>
      </c>
      <c r="V4589" s="2" t="s">
        <v>59</v>
      </c>
      <c r="W4589" s="2">
        <v>37.1</v>
      </c>
      <c r="X4589" s="2">
        <v>0</v>
      </c>
      <c r="Y4589" s="2" t="s">
        <v>560</v>
      </c>
      <c r="Z4589" s="2" t="s">
        <v>30451</v>
      </c>
      <c r="AA4589" s="2">
        <v>-2.8573991573659101</v>
      </c>
      <c r="AB4589" s="2">
        <v>0.13390514046556601</v>
      </c>
      <c r="AC4589" s="2">
        <v>7360.8709293342699</v>
      </c>
      <c r="AD4589" s="2">
        <v>5489.9242770828096</v>
      </c>
      <c r="AE4589" s="2">
        <v>6225.7083311298302</v>
      </c>
      <c r="AF4589" s="2">
        <v>7831.9959019505304</v>
      </c>
      <c r="AG4589" s="2">
        <v>8162.4260669506102</v>
      </c>
      <c r="AH4589" s="2">
        <v>7065.3097169858502</v>
      </c>
      <c r="AI4589" s="2">
        <v>4971.8916672917403</v>
      </c>
      <c r="AJ4589" s="2">
        <v>9907.8938916970601</v>
      </c>
      <c r="AK4589" s="2">
        <v>5764.5219877909203</v>
      </c>
      <c r="AL4589" s="2">
        <v>5760.6977544724105</v>
      </c>
      <c r="AM4589" s="2">
        <v>4467.3345365926998</v>
      </c>
      <c r="AN4589" s="2">
        <v>5537.6026570751701</v>
      </c>
      <c r="AO4589" s="2">
        <v>6507.1955410320697</v>
      </c>
      <c r="AP4589" s="2">
        <v>4902.1931855336097</v>
      </c>
    </row>
    <row r="4590" spans="1:42" ht="14.5" x14ac:dyDescent="0.35">
      <c r="A4590" s="2" t="s">
        <v>30452</v>
      </c>
      <c r="B4590" s="2">
        <v>693.276260760534</v>
      </c>
      <c r="C4590" s="2">
        <v>7.1024166666666702</v>
      </c>
      <c r="D4590" s="2" t="s">
        <v>70</v>
      </c>
      <c r="E4590" s="2" t="s">
        <v>30453</v>
      </c>
      <c r="F4590" s="2">
        <v>61376</v>
      </c>
      <c r="G4590" s="3" t="str">
        <f>HYPERLINK("http://funmeta.oebiotech.com/network/61376", "http://funmeta.oebiotech.com/network/61376")</f>
        <v>http://funmeta.oebiotech.com/network/61376</v>
      </c>
      <c r="H4590" s="2" t="s">
        <v>30454</v>
      </c>
      <c r="I4590" s="2">
        <v>92698</v>
      </c>
      <c r="J4590" s="2"/>
      <c r="K4590" s="2"/>
      <c r="L4590" s="2"/>
      <c r="M4590" s="2"/>
      <c r="N4590" s="2"/>
      <c r="O4590" s="2">
        <v>73066469</v>
      </c>
      <c r="P4590" s="2" t="s">
        <v>30455</v>
      </c>
      <c r="Q4590" s="2" t="s">
        <v>30456</v>
      </c>
      <c r="R4590" s="2" t="s">
        <v>30457</v>
      </c>
      <c r="S4590" s="2" t="s">
        <v>50</v>
      </c>
      <c r="T4590" s="2" t="s">
        <v>106</v>
      </c>
      <c r="U4590" s="2" t="s">
        <v>41</v>
      </c>
      <c r="V4590" s="2" t="s">
        <v>42</v>
      </c>
      <c r="W4590" s="2">
        <v>56.4</v>
      </c>
      <c r="X4590" s="2">
        <v>90.1</v>
      </c>
      <c r="Y4590" s="2" t="s">
        <v>792</v>
      </c>
      <c r="Z4590" s="2" t="s">
        <v>30458</v>
      </c>
      <c r="AA4590" s="2">
        <v>-0.18752332802938501</v>
      </c>
      <c r="AB4590" s="2">
        <v>0.133871190391123</v>
      </c>
      <c r="AC4590" s="2">
        <v>205766.01767267799</v>
      </c>
      <c r="AD4590" s="2">
        <v>201874.724891466</v>
      </c>
      <c r="AE4590" s="2">
        <v>212346.57957422201</v>
      </c>
      <c r="AF4590" s="2">
        <v>194400.74628522099</v>
      </c>
      <c r="AG4590" s="2">
        <v>206674.19036685801</v>
      </c>
      <c r="AH4590" s="2">
        <v>203995.15502947001</v>
      </c>
      <c r="AI4590" s="2">
        <v>210077.74942866201</v>
      </c>
      <c r="AJ4590" s="2">
        <v>207101.68535163699</v>
      </c>
      <c r="AK4590" s="2">
        <v>197447.818166351</v>
      </c>
      <c r="AL4590" s="2">
        <v>204120.131327168</v>
      </c>
      <c r="AM4590" s="2">
        <v>212944.17246417599</v>
      </c>
      <c r="AN4590" s="2">
        <v>196798.40714091001</v>
      </c>
      <c r="AO4590" s="2">
        <v>205154.40493767199</v>
      </c>
      <c r="AP4590" s="2">
        <v>194783.415312517</v>
      </c>
    </row>
    <row r="4591" spans="1:42" ht="14.5" x14ac:dyDescent="0.35">
      <c r="A4591" s="2" t="s">
        <v>30459</v>
      </c>
      <c r="B4591" s="2">
        <v>495.25993038740199</v>
      </c>
      <c r="C4591" s="2">
        <v>5.97258333333333</v>
      </c>
      <c r="D4591" s="2" t="s">
        <v>70</v>
      </c>
      <c r="E4591" s="2" t="s">
        <v>30460</v>
      </c>
      <c r="F4591" s="2">
        <v>58668</v>
      </c>
      <c r="G4591" s="3" t="str">
        <f>HYPERLINK("http://funmeta.oebiotech.com/network/58668", "http://funmeta.oebiotech.com/network/58668")</f>
        <v>http://funmeta.oebiotech.com/network/58668</v>
      </c>
      <c r="H4591" s="2" t="s">
        <v>30461</v>
      </c>
      <c r="I4591" s="2">
        <v>90130</v>
      </c>
      <c r="J4591" s="2"/>
      <c r="K4591" s="2"/>
      <c r="L4591" s="2"/>
      <c r="M4591" s="2"/>
      <c r="N4591" s="2"/>
      <c r="O4591" s="2">
        <v>131751606</v>
      </c>
      <c r="P4591" s="2"/>
      <c r="Q4591" s="2" t="s">
        <v>30462</v>
      </c>
      <c r="R4591" s="2" t="s">
        <v>30463</v>
      </c>
      <c r="S4591" s="2" t="s">
        <v>50</v>
      </c>
      <c r="T4591" s="2" t="s">
        <v>201</v>
      </c>
      <c r="U4591" s="2" t="s">
        <v>202</v>
      </c>
      <c r="V4591" s="2" t="s">
        <v>42</v>
      </c>
      <c r="W4591" s="2">
        <v>50.8</v>
      </c>
      <c r="X4591" s="2">
        <v>61.4</v>
      </c>
      <c r="Y4591" s="2" t="s">
        <v>751</v>
      </c>
      <c r="Z4591" s="2" t="s">
        <v>1463</v>
      </c>
      <c r="AA4591" s="2">
        <v>-5.0624658590176098E-2</v>
      </c>
      <c r="AB4591" s="2">
        <v>0.13369092078359199</v>
      </c>
      <c r="AC4591" s="2">
        <v>82794.207863649703</v>
      </c>
      <c r="AD4591" s="2">
        <v>85644.995491952403</v>
      </c>
      <c r="AE4591" s="2">
        <v>86734.8356493709</v>
      </c>
      <c r="AF4591" s="2">
        <v>75689.104601388695</v>
      </c>
      <c r="AG4591" s="2">
        <v>85032.753175146601</v>
      </c>
      <c r="AH4591" s="2">
        <v>82000.687616478797</v>
      </c>
      <c r="AI4591" s="2">
        <v>82306.847361815599</v>
      </c>
      <c r="AJ4591" s="2">
        <v>85001.018777697405</v>
      </c>
      <c r="AK4591" s="2">
        <v>83033.676661594</v>
      </c>
      <c r="AL4591" s="2">
        <v>83715.053407701897</v>
      </c>
      <c r="AM4591" s="2">
        <v>88758.282921188002</v>
      </c>
      <c r="AN4591" s="2">
        <v>90260.047269243107</v>
      </c>
      <c r="AO4591" s="2">
        <v>84638.295933745001</v>
      </c>
      <c r="AP4591" s="2">
        <v>83464.616758242701</v>
      </c>
    </row>
    <row r="4592" spans="1:42" ht="14.5" x14ac:dyDescent="0.35">
      <c r="A4592" s="2" t="s">
        <v>30464</v>
      </c>
      <c r="B4592" s="2">
        <v>227.01615165433299</v>
      </c>
      <c r="C4592" s="2">
        <v>1.06171666666667</v>
      </c>
      <c r="D4592" s="2" t="s">
        <v>34</v>
      </c>
      <c r="E4592" s="2" t="s">
        <v>30465</v>
      </c>
      <c r="F4592" s="2">
        <v>56152</v>
      </c>
      <c r="G4592" s="3" t="str">
        <f>HYPERLINK("http://funmeta.oebiotech.com/network/56152", "http://funmeta.oebiotech.com/network/56152")</f>
        <v>http://funmeta.oebiotech.com/network/56152</v>
      </c>
      <c r="H4592" s="2" t="s">
        <v>30466</v>
      </c>
      <c r="I4592" s="2">
        <v>87845</v>
      </c>
      <c r="J4592" s="2"/>
      <c r="K4592" s="2">
        <v>172444</v>
      </c>
      <c r="L4592" s="2"/>
      <c r="M4592" s="2"/>
      <c r="N4592" s="2"/>
      <c r="O4592" s="2">
        <v>5316316</v>
      </c>
      <c r="P4592" s="2" t="s">
        <v>30467</v>
      </c>
      <c r="Q4592" s="2" t="s">
        <v>30468</v>
      </c>
      <c r="R4592" s="2" t="s">
        <v>30469</v>
      </c>
      <c r="S4592" s="2" t="s">
        <v>89</v>
      </c>
      <c r="T4592" s="2" t="s">
        <v>4218</v>
      </c>
      <c r="U4592" s="2" t="s">
        <v>4219</v>
      </c>
      <c r="V4592" s="2" t="s">
        <v>59</v>
      </c>
      <c r="W4592" s="2">
        <v>38.1</v>
      </c>
      <c r="X4592" s="2">
        <v>0</v>
      </c>
      <c r="Y4592" s="2" t="s">
        <v>323</v>
      </c>
      <c r="Z4592" s="2" t="s">
        <v>30470</v>
      </c>
      <c r="AA4592" s="2">
        <v>-0.35102778364649301</v>
      </c>
      <c r="AB4592" s="2">
        <v>0.13361309459335699</v>
      </c>
      <c r="AC4592" s="2">
        <v>2861.5188733780701</v>
      </c>
      <c r="AD4592" s="2">
        <v>4152.6602678900299</v>
      </c>
      <c r="AE4592" s="2">
        <v>2767.8429795690799</v>
      </c>
      <c r="AF4592" s="2">
        <v>2726.82129901082</v>
      </c>
      <c r="AG4592" s="2">
        <v>3198.4707177014002</v>
      </c>
      <c r="AH4592" s="2">
        <v>3077.6247986982498</v>
      </c>
      <c r="AI4592" s="2">
        <v>2707.97476980693</v>
      </c>
      <c r="AJ4592" s="2">
        <v>2690.3786754819298</v>
      </c>
      <c r="AK4592" s="2">
        <v>4115.8620717676504</v>
      </c>
      <c r="AL4592" s="2">
        <v>3648.3126024263001</v>
      </c>
      <c r="AM4592" s="2">
        <v>4214.2354740505498</v>
      </c>
      <c r="AN4592" s="2">
        <v>4276.98920499835</v>
      </c>
      <c r="AO4592" s="2">
        <v>4837.2652332195003</v>
      </c>
      <c r="AP4592" s="2">
        <v>3823.2970208778202</v>
      </c>
    </row>
    <row r="4593" spans="1:42" ht="14.5" x14ac:dyDescent="0.35">
      <c r="A4593" s="2" t="s">
        <v>30471</v>
      </c>
      <c r="B4593" s="2">
        <v>381.09292478160398</v>
      </c>
      <c r="C4593" s="2">
        <v>3.7494000000000001</v>
      </c>
      <c r="D4593" s="2" t="s">
        <v>70</v>
      </c>
      <c r="E4593" s="2" t="s">
        <v>30472</v>
      </c>
      <c r="F4593" s="2">
        <v>204610</v>
      </c>
      <c r="G4593" s="3" t="str">
        <f>HYPERLINK("http://funmeta.oebiotech.com/network/204610", "http://funmeta.oebiotech.com/network/204610")</f>
        <v>http://funmeta.oebiotech.com/network/204610</v>
      </c>
      <c r="H4593" s="2" t="s">
        <v>30473</v>
      </c>
      <c r="I4593" s="2"/>
      <c r="J4593" s="2"/>
      <c r="K4593" s="2"/>
      <c r="L4593" s="2"/>
      <c r="M4593" s="2"/>
      <c r="N4593" s="2"/>
      <c r="O4593" s="2">
        <v>134087</v>
      </c>
      <c r="P4593" s="2"/>
      <c r="Q4593" s="2" t="s">
        <v>30474</v>
      </c>
      <c r="R4593" s="2" t="s">
        <v>30475</v>
      </c>
      <c r="S4593" s="2" t="s">
        <v>41</v>
      </c>
      <c r="T4593" s="2" t="s">
        <v>41</v>
      </c>
      <c r="U4593" s="2" t="s">
        <v>41</v>
      </c>
      <c r="V4593" s="2" t="s">
        <v>59</v>
      </c>
      <c r="W4593" s="2">
        <v>37.700000000000003</v>
      </c>
      <c r="X4593" s="2">
        <v>0</v>
      </c>
      <c r="Y4593" s="2" t="s">
        <v>751</v>
      </c>
      <c r="Z4593" s="2" t="s">
        <v>30476</v>
      </c>
      <c r="AA4593" s="2">
        <v>-2.5716437481211201</v>
      </c>
      <c r="AB4593" s="2">
        <v>0.133593544068113</v>
      </c>
      <c r="AC4593" s="2">
        <v>4257.9238512766797</v>
      </c>
      <c r="AD4593" s="2">
        <v>5585.7012429299702</v>
      </c>
      <c r="AE4593" s="2">
        <v>4312.4288236170296</v>
      </c>
      <c r="AF4593" s="2">
        <v>4156.9192376483197</v>
      </c>
      <c r="AG4593" s="2">
        <v>3773.9935847874499</v>
      </c>
      <c r="AH4593" s="2">
        <v>4525.9664868425398</v>
      </c>
      <c r="AI4593" s="2">
        <v>4505.2552589560801</v>
      </c>
      <c r="AJ4593" s="2">
        <v>4272.9797158086503</v>
      </c>
      <c r="AK4593" s="2">
        <v>5210.8193246481196</v>
      </c>
      <c r="AL4593" s="2">
        <v>6123.8435453570801</v>
      </c>
      <c r="AM4593" s="2">
        <v>5807.0098379445199</v>
      </c>
      <c r="AN4593" s="2">
        <v>5084.8565127378897</v>
      </c>
      <c r="AO4593" s="2">
        <v>6102.5358019302903</v>
      </c>
      <c r="AP4593" s="2">
        <v>5185.1424349619001</v>
      </c>
    </row>
    <row r="4594" spans="1:42" ht="14.5" x14ac:dyDescent="0.35">
      <c r="A4594" s="2" t="s">
        <v>30477</v>
      </c>
      <c r="B4594" s="2">
        <v>353.21088285476401</v>
      </c>
      <c r="C4594" s="2">
        <v>5.01</v>
      </c>
      <c r="D4594" s="2" t="s">
        <v>34</v>
      </c>
      <c r="E4594" s="2" t="s">
        <v>30478</v>
      </c>
      <c r="F4594" s="2">
        <v>267405</v>
      </c>
      <c r="G4594" s="3" t="str">
        <f>HYPERLINK("http://funmeta.oebiotech.com/network/267405", "http://funmeta.oebiotech.com/network/267405")</f>
        <v>http://funmeta.oebiotech.com/network/267405</v>
      </c>
      <c r="H4594" s="2"/>
      <c r="I4594" s="2">
        <v>45409</v>
      </c>
      <c r="J4594" s="2"/>
      <c r="K4594" s="2"/>
      <c r="L4594" s="2"/>
      <c r="M4594" s="2"/>
      <c r="N4594" s="2"/>
      <c r="O4594" s="2">
        <v>15413267</v>
      </c>
      <c r="P4594" s="2" t="s">
        <v>30479</v>
      </c>
      <c r="Q4594" s="2" t="s">
        <v>30480</v>
      </c>
      <c r="R4594" s="2" t="s">
        <v>30481</v>
      </c>
      <c r="S4594" s="2" t="s">
        <v>50</v>
      </c>
      <c r="T4594" s="2" t="s">
        <v>229</v>
      </c>
      <c r="U4594" s="2" t="s">
        <v>766</v>
      </c>
      <c r="V4594" s="2" t="s">
        <v>59</v>
      </c>
      <c r="W4594" s="2">
        <v>38.200000000000003</v>
      </c>
      <c r="X4594" s="2">
        <v>0</v>
      </c>
      <c r="Y4594" s="2" t="s">
        <v>141</v>
      </c>
      <c r="Z4594" s="2" t="s">
        <v>9469</v>
      </c>
      <c r="AA4594" s="2">
        <v>-0.643777146991104</v>
      </c>
      <c r="AB4594" s="2">
        <v>0.13343935777431401</v>
      </c>
      <c r="AC4594" s="2">
        <v>12594.175067603701</v>
      </c>
      <c r="AD4594" s="2">
        <v>14417.9248468599</v>
      </c>
      <c r="AE4594" s="2">
        <v>12608.5690037066</v>
      </c>
      <c r="AF4594" s="2">
        <v>12542.5424529762</v>
      </c>
      <c r="AG4594" s="2">
        <v>14267.8698433875</v>
      </c>
      <c r="AH4594" s="2">
        <v>11314.345268794301</v>
      </c>
      <c r="AI4594" s="2">
        <v>12926.907664415599</v>
      </c>
      <c r="AJ4594" s="2">
        <v>11904.8161723419</v>
      </c>
      <c r="AK4594" s="2">
        <v>13439.7685409107</v>
      </c>
      <c r="AL4594" s="2">
        <v>17009.826357755301</v>
      </c>
      <c r="AM4594" s="2">
        <v>13952.0017134846</v>
      </c>
      <c r="AN4594" s="2">
        <v>13461.9824076273</v>
      </c>
      <c r="AO4594" s="2">
        <v>14296.9449987841</v>
      </c>
      <c r="AP4594" s="2">
        <v>14347.0250625971</v>
      </c>
    </row>
    <row r="4595" spans="1:42" ht="14.5" x14ac:dyDescent="0.35">
      <c r="A4595" s="2" t="s">
        <v>30482</v>
      </c>
      <c r="B4595" s="2">
        <v>232.04339891415501</v>
      </c>
      <c r="C4595" s="2">
        <v>1.8080000000000001</v>
      </c>
      <c r="D4595" s="2" t="s">
        <v>70</v>
      </c>
      <c r="E4595" s="2" t="s">
        <v>30483</v>
      </c>
      <c r="F4595" s="2">
        <v>61961</v>
      </c>
      <c r="G4595" s="3" t="str">
        <f>HYPERLINK("http://funmeta.oebiotech.com/network/61961", "http://funmeta.oebiotech.com/network/61961")</f>
        <v>http://funmeta.oebiotech.com/network/61961</v>
      </c>
      <c r="H4595" s="2" t="s">
        <v>30484</v>
      </c>
      <c r="I4595" s="2">
        <v>93257</v>
      </c>
      <c r="J4595" s="2"/>
      <c r="K4595" s="2"/>
      <c r="L4595" s="2"/>
      <c r="M4595" s="2"/>
      <c r="N4595" s="2"/>
      <c r="O4595" s="2">
        <v>368117</v>
      </c>
      <c r="P4595" s="2" t="s">
        <v>30485</v>
      </c>
      <c r="Q4595" s="2" t="s">
        <v>30486</v>
      </c>
      <c r="R4595" s="2" t="s">
        <v>30487</v>
      </c>
      <c r="S4595" s="2" t="s">
        <v>491</v>
      </c>
      <c r="T4595" s="2" t="s">
        <v>2184</v>
      </c>
      <c r="U4595" s="2" t="s">
        <v>3838</v>
      </c>
      <c r="V4595" s="2" t="s">
        <v>59</v>
      </c>
      <c r="W4595" s="2">
        <v>36.200000000000003</v>
      </c>
      <c r="X4595" s="2">
        <v>0</v>
      </c>
      <c r="Y4595" s="2" t="s">
        <v>118</v>
      </c>
      <c r="Z4595" s="2" t="s">
        <v>30488</v>
      </c>
      <c r="AA4595" s="2">
        <v>-1.6058736295642599</v>
      </c>
      <c r="AB4595" s="2">
        <v>0.13337660166565601</v>
      </c>
      <c r="AC4595" s="2">
        <v>1791.06986824716</v>
      </c>
      <c r="AD4595" s="2">
        <v>581.347963512923</v>
      </c>
      <c r="AE4595" s="2">
        <v>1411.59926588138</v>
      </c>
      <c r="AF4595" s="2">
        <v>1962.9716119202301</v>
      </c>
      <c r="AG4595" s="2">
        <v>1723.8358146268699</v>
      </c>
      <c r="AH4595" s="2">
        <v>1920.33142864759</v>
      </c>
      <c r="AI4595" s="2">
        <v>1984.7385585073</v>
      </c>
      <c r="AJ4595" s="2">
        <v>1742.94252989959</v>
      </c>
      <c r="AK4595" s="2">
        <v>437.93022131242401</v>
      </c>
      <c r="AL4595" s="2">
        <v>726.19031539886305</v>
      </c>
      <c r="AM4595" s="2">
        <v>449.83345432713497</v>
      </c>
      <c r="AN4595" s="2">
        <v>672.19556826673499</v>
      </c>
      <c r="AO4595" s="2">
        <v>626.47920895535106</v>
      </c>
      <c r="AP4595" s="2">
        <v>575.459012817028</v>
      </c>
    </row>
    <row r="4596" spans="1:42" ht="14.5" x14ac:dyDescent="0.35">
      <c r="A4596" s="2" t="s">
        <v>30489</v>
      </c>
      <c r="B4596" s="2">
        <v>395.14858196863503</v>
      </c>
      <c r="C4596" s="2">
        <v>4.5826500000000001</v>
      </c>
      <c r="D4596" s="2" t="s">
        <v>34</v>
      </c>
      <c r="E4596" s="2" t="s">
        <v>30490</v>
      </c>
      <c r="F4596" s="2">
        <v>208850</v>
      </c>
      <c r="G4596" s="3" t="str">
        <f>HYPERLINK("http://funmeta.oebiotech.com/network/208850", "http://funmeta.oebiotech.com/network/208850")</f>
        <v>http://funmeta.oebiotech.com/network/208850</v>
      </c>
      <c r="H4596" s="2" t="s">
        <v>30491</v>
      </c>
      <c r="I4596" s="2"/>
      <c r="J4596" s="2"/>
      <c r="K4596" s="2"/>
      <c r="L4596" s="2"/>
      <c r="M4596" s="2"/>
      <c r="N4596" s="2"/>
      <c r="O4596" s="2">
        <v>123992</v>
      </c>
      <c r="P4596" s="2"/>
      <c r="Q4596" s="2" t="s">
        <v>30492</v>
      </c>
      <c r="R4596" s="2" t="s">
        <v>30493</v>
      </c>
      <c r="S4596" s="2" t="s">
        <v>41</v>
      </c>
      <c r="T4596" s="2" t="s">
        <v>41</v>
      </c>
      <c r="U4596" s="2" t="s">
        <v>41</v>
      </c>
      <c r="V4596" s="2" t="s">
        <v>59</v>
      </c>
      <c r="W4596" s="2">
        <v>37</v>
      </c>
      <c r="X4596" s="2">
        <v>0</v>
      </c>
      <c r="Y4596" s="2" t="s">
        <v>394</v>
      </c>
      <c r="Z4596" s="2" t="s">
        <v>30494</v>
      </c>
      <c r="AA4596" s="2">
        <v>-2.5845383308792398</v>
      </c>
      <c r="AB4596" s="2">
        <v>0.13336482388946899</v>
      </c>
      <c r="AC4596" s="2">
        <v>10581.6985871956</v>
      </c>
      <c r="AD4596" s="2">
        <v>8699.7208079997799</v>
      </c>
      <c r="AE4596" s="2">
        <v>10723.433803350699</v>
      </c>
      <c r="AF4596" s="2">
        <v>12964.277786716701</v>
      </c>
      <c r="AG4596" s="2">
        <v>9718.1135783381706</v>
      </c>
      <c r="AH4596" s="2">
        <v>10293.3980138394</v>
      </c>
      <c r="AI4596" s="2">
        <v>10318.949817644099</v>
      </c>
      <c r="AJ4596" s="2">
        <v>9472.0185232844196</v>
      </c>
      <c r="AK4596" s="2">
        <v>10373.9608873009</v>
      </c>
      <c r="AL4596" s="2">
        <v>10068.068428537899</v>
      </c>
      <c r="AM4596" s="2">
        <v>6472.5215358625001</v>
      </c>
      <c r="AN4596" s="2">
        <v>8557.1451114014708</v>
      </c>
      <c r="AO4596" s="2">
        <v>8377.7317801571207</v>
      </c>
      <c r="AP4596" s="2">
        <v>8348.8971047388095</v>
      </c>
    </row>
    <row r="4597" spans="1:42" ht="14.5" x14ac:dyDescent="0.35">
      <c r="A4597" s="2" t="s">
        <v>30495</v>
      </c>
      <c r="B4597" s="2">
        <v>517.20765651490899</v>
      </c>
      <c r="C4597" s="2">
        <v>5.9351500000000001</v>
      </c>
      <c r="D4597" s="2" t="s">
        <v>70</v>
      </c>
      <c r="E4597" s="2" t="s">
        <v>30496</v>
      </c>
      <c r="F4597" s="2">
        <v>44754</v>
      </c>
      <c r="G4597" s="3" t="str">
        <f>HYPERLINK("http://funmeta.oebiotech.com/network/44754", "http://funmeta.oebiotech.com/network/44754")</f>
        <v>http://funmeta.oebiotech.com/network/44754</v>
      </c>
      <c r="H4597" s="2"/>
      <c r="I4597" s="2"/>
      <c r="J4597" s="2" t="s">
        <v>30497</v>
      </c>
      <c r="K4597" s="2"/>
      <c r="L4597" s="2"/>
      <c r="M4597" s="2"/>
      <c r="N4597" s="2"/>
      <c r="O4597" s="2"/>
      <c r="P4597" s="2"/>
      <c r="Q4597" s="2" t="s">
        <v>30498</v>
      </c>
      <c r="R4597" s="2" t="s">
        <v>30499</v>
      </c>
      <c r="S4597" s="2" t="s">
        <v>50</v>
      </c>
      <c r="T4597" s="2" t="s">
        <v>124</v>
      </c>
      <c r="U4597" s="2" t="s">
        <v>567</v>
      </c>
      <c r="V4597" s="2" t="s">
        <v>59</v>
      </c>
      <c r="W4597" s="2">
        <v>43.1</v>
      </c>
      <c r="X4597" s="2">
        <v>21.5</v>
      </c>
      <c r="Y4597" s="2" t="s">
        <v>408</v>
      </c>
      <c r="Z4597" s="2" t="s">
        <v>30500</v>
      </c>
      <c r="AA4597" s="2">
        <v>-0.55978901185054497</v>
      </c>
      <c r="AB4597" s="2">
        <v>0.13331493949314599</v>
      </c>
      <c r="AC4597" s="2">
        <v>29352.865573529001</v>
      </c>
      <c r="AD4597" s="2">
        <v>31672.462911923001</v>
      </c>
      <c r="AE4597" s="2">
        <v>32553.001280332799</v>
      </c>
      <c r="AF4597" s="2">
        <v>27308.7123965176</v>
      </c>
      <c r="AG4597" s="2">
        <v>29279.086273651599</v>
      </c>
      <c r="AH4597" s="2">
        <v>29927.975064620401</v>
      </c>
      <c r="AI4597" s="2">
        <v>28107.407751399802</v>
      </c>
      <c r="AJ4597" s="2">
        <v>28941.010674651701</v>
      </c>
      <c r="AK4597" s="2">
        <v>28138.585527421601</v>
      </c>
      <c r="AL4597" s="2">
        <v>30030.426015698999</v>
      </c>
      <c r="AM4597" s="2">
        <v>31953.0193877975</v>
      </c>
      <c r="AN4597" s="2">
        <v>35616.063458561897</v>
      </c>
      <c r="AO4597" s="2">
        <v>31499.5921503752</v>
      </c>
      <c r="AP4597" s="2">
        <v>32797.090931682498</v>
      </c>
    </row>
    <row r="4598" spans="1:42" ht="14.5" x14ac:dyDescent="0.35">
      <c r="A4598" s="2" t="s">
        <v>30501</v>
      </c>
      <c r="B4598" s="2">
        <v>443.06372320783697</v>
      </c>
      <c r="C4598" s="2">
        <v>4.2764166666666696</v>
      </c>
      <c r="D4598" s="2" t="s">
        <v>70</v>
      </c>
      <c r="E4598" s="2" t="s">
        <v>30502</v>
      </c>
      <c r="F4598" s="2">
        <v>62848</v>
      </c>
      <c r="G4598" s="3" t="str">
        <f>HYPERLINK("http://funmeta.oebiotech.com/network/62848", "http://funmeta.oebiotech.com/network/62848")</f>
        <v>http://funmeta.oebiotech.com/network/62848</v>
      </c>
      <c r="H4598" s="2" t="s">
        <v>30503</v>
      </c>
      <c r="I4598" s="2">
        <v>94144</v>
      </c>
      <c r="J4598" s="2"/>
      <c r="K4598" s="2">
        <v>166537</v>
      </c>
      <c r="L4598" s="2"/>
      <c r="M4598" s="2"/>
      <c r="N4598" s="2"/>
      <c r="O4598" s="2">
        <v>62106</v>
      </c>
      <c r="P4598" s="2" t="s">
        <v>30504</v>
      </c>
      <c r="Q4598" s="2" t="s">
        <v>30505</v>
      </c>
      <c r="R4598" s="2" t="s">
        <v>30506</v>
      </c>
      <c r="S4598" s="2" t="s">
        <v>491</v>
      </c>
      <c r="T4598" s="2" t="s">
        <v>9656</v>
      </c>
      <c r="U4598" s="2" t="s">
        <v>9657</v>
      </c>
      <c r="V4598" s="2" t="s">
        <v>59</v>
      </c>
      <c r="W4598" s="2">
        <v>39.1</v>
      </c>
      <c r="X4598" s="2">
        <v>0</v>
      </c>
      <c r="Y4598" s="2" t="s">
        <v>560</v>
      </c>
      <c r="Z4598" s="2" t="s">
        <v>30507</v>
      </c>
      <c r="AA4598" s="2">
        <v>1.95753106780491</v>
      </c>
      <c r="AB4598" s="2">
        <v>0.13328400470893401</v>
      </c>
      <c r="AC4598" s="2">
        <v>12064.2038556648</v>
      </c>
      <c r="AD4598" s="2">
        <v>14388.3354222045</v>
      </c>
      <c r="AE4598" s="2">
        <v>14962.402859265099</v>
      </c>
      <c r="AF4598" s="2">
        <v>12043.4620371332</v>
      </c>
      <c r="AG4598" s="2">
        <v>12441.1906975901</v>
      </c>
      <c r="AH4598" s="2">
        <v>14489.5846224175</v>
      </c>
      <c r="AI4598" s="2">
        <v>9803.8645460504194</v>
      </c>
      <c r="AJ4598" s="2">
        <v>8644.7183715324809</v>
      </c>
      <c r="AK4598" s="2">
        <v>15289.897970207099</v>
      </c>
      <c r="AL4598" s="2">
        <v>17187.425287538401</v>
      </c>
      <c r="AM4598" s="2">
        <v>12585.0416135668</v>
      </c>
      <c r="AN4598" s="2">
        <v>14036.3290970533</v>
      </c>
      <c r="AO4598" s="2">
        <v>14285.1468756017</v>
      </c>
      <c r="AP4598" s="2">
        <v>12946.17168926</v>
      </c>
    </row>
    <row r="4599" spans="1:42" ht="14.5" x14ac:dyDescent="0.35">
      <c r="A4599" s="2" t="s">
        <v>30508</v>
      </c>
      <c r="B4599" s="2">
        <v>111.007611457886</v>
      </c>
      <c r="C4599" s="2">
        <v>1.06171666666667</v>
      </c>
      <c r="D4599" s="2" t="s">
        <v>34</v>
      </c>
      <c r="E4599" s="2" t="s">
        <v>30509</v>
      </c>
      <c r="F4599" s="2">
        <v>81824</v>
      </c>
      <c r="G4599" s="3" t="str">
        <f>HYPERLINK("http://funmeta.oebiotech.com/network/81824", "http://funmeta.oebiotech.com/network/81824")</f>
        <v>http://funmeta.oebiotech.com/network/81824</v>
      </c>
      <c r="H4599" s="2" t="s">
        <v>30510</v>
      </c>
      <c r="I4599" s="2"/>
      <c r="J4599" s="2"/>
      <c r="K4599" s="2">
        <v>86395</v>
      </c>
      <c r="L4599" s="2"/>
      <c r="M4599" s="2"/>
      <c r="N4599" s="2"/>
      <c r="O4599" s="2">
        <v>4161539</v>
      </c>
      <c r="P4599" s="2"/>
      <c r="Q4599" s="2" t="s">
        <v>30511</v>
      </c>
      <c r="R4599" s="2" t="s">
        <v>30512</v>
      </c>
      <c r="S4599" s="2" t="s">
        <v>491</v>
      </c>
      <c r="T4599" s="2" t="s">
        <v>9656</v>
      </c>
      <c r="U4599" s="2" t="s">
        <v>9657</v>
      </c>
      <c r="V4599" s="2" t="s">
        <v>59</v>
      </c>
      <c r="W4599" s="2">
        <v>41.7</v>
      </c>
      <c r="X4599" s="2">
        <v>10.9</v>
      </c>
      <c r="Y4599" s="2" t="s">
        <v>266</v>
      </c>
      <c r="Z4599" s="2" t="s">
        <v>30513</v>
      </c>
      <c r="AA4599" s="2">
        <v>-0.460106183393444</v>
      </c>
      <c r="AB4599" s="2">
        <v>0.13317779797481</v>
      </c>
      <c r="AC4599" s="2">
        <v>22048.713952423001</v>
      </c>
      <c r="AD4599" s="2">
        <v>23983.799813988</v>
      </c>
      <c r="AE4599" s="2">
        <v>22723.462665015999</v>
      </c>
      <c r="AF4599" s="2">
        <v>21678.679850121101</v>
      </c>
      <c r="AG4599" s="2">
        <v>20708.973490980399</v>
      </c>
      <c r="AH4599" s="2">
        <v>23957.774165543498</v>
      </c>
      <c r="AI4599" s="2">
        <v>20756.727597781701</v>
      </c>
      <c r="AJ4599" s="2">
        <v>22466.665945095501</v>
      </c>
      <c r="AK4599" s="2">
        <v>24700.313081361899</v>
      </c>
      <c r="AL4599" s="2">
        <v>21454.5976574655</v>
      </c>
      <c r="AM4599" s="2">
        <v>23797.571866243601</v>
      </c>
      <c r="AN4599" s="2">
        <v>26018.503816529799</v>
      </c>
      <c r="AO4599" s="2">
        <v>24741.324670517399</v>
      </c>
      <c r="AP4599" s="2">
        <v>23190.487791809799</v>
      </c>
    </row>
    <row r="4600" spans="1:42" ht="14.5" x14ac:dyDescent="0.35">
      <c r="A4600" s="2" t="s">
        <v>30514</v>
      </c>
      <c r="B4600" s="2">
        <v>709.378168902948</v>
      </c>
      <c r="C4600" s="2">
        <v>7.5277166666666702</v>
      </c>
      <c r="D4600" s="2" t="s">
        <v>70</v>
      </c>
      <c r="E4600" s="2" t="s">
        <v>30515</v>
      </c>
      <c r="F4600" s="2">
        <v>274619</v>
      </c>
      <c r="G4600" s="3" t="str">
        <f>HYPERLINK("http://funmeta.oebiotech.com/network/274619", "http://funmeta.oebiotech.com/network/274619")</f>
        <v>http://funmeta.oebiotech.com/network/274619</v>
      </c>
      <c r="H4600" s="2"/>
      <c r="I4600" s="2">
        <v>64750</v>
      </c>
      <c r="J4600" s="2"/>
      <c r="K4600" s="2"/>
      <c r="L4600" s="2"/>
      <c r="M4600" s="2"/>
      <c r="N4600" s="2"/>
      <c r="O4600" s="2">
        <v>10360860</v>
      </c>
      <c r="P4600" s="2" t="s">
        <v>30516</v>
      </c>
      <c r="Q4600" s="2" t="s">
        <v>30517</v>
      </c>
      <c r="R4600" s="2" t="s">
        <v>30518</v>
      </c>
      <c r="S4600" s="2" t="s">
        <v>491</v>
      </c>
      <c r="T4600" s="2" t="s">
        <v>2184</v>
      </c>
      <c r="U4600" s="2" t="s">
        <v>2185</v>
      </c>
      <c r="V4600" s="2" t="s">
        <v>59</v>
      </c>
      <c r="W4600" s="2">
        <v>39</v>
      </c>
      <c r="X4600" s="2">
        <v>0</v>
      </c>
      <c r="Y4600" s="2" t="s">
        <v>560</v>
      </c>
      <c r="Z4600" s="2" t="s">
        <v>30519</v>
      </c>
      <c r="AA4600" s="2">
        <v>-2.5106268793727202</v>
      </c>
      <c r="AB4600" s="2">
        <v>0.13316301882473999</v>
      </c>
      <c r="AC4600" s="2">
        <v>6370.6627448903901</v>
      </c>
      <c r="AD4600" s="2">
        <v>4905.3363179842099</v>
      </c>
      <c r="AE4600" s="2">
        <v>7014.1583727890502</v>
      </c>
      <c r="AF4600" s="2">
        <v>6053.6619654084598</v>
      </c>
      <c r="AG4600" s="2">
        <v>6585.7154286799496</v>
      </c>
      <c r="AH4600" s="2">
        <v>5998.6656161144301</v>
      </c>
      <c r="AI4600" s="2">
        <v>6063.49310578313</v>
      </c>
      <c r="AJ4600" s="2">
        <v>6508.2819805673398</v>
      </c>
      <c r="AK4600" s="2">
        <v>6320.2310942100103</v>
      </c>
      <c r="AL4600" s="2">
        <v>5209.1436044451902</v>
      </c>
      <c r="AM4600" s="2">
        <v>4514.0970285356398</v>
      </c>
      <c r="AN4600" s="2">
        <v>4001.7050462050902</v>
      </c>
      <c r="AO4600" s="2">
        <v>4630.6415290842597</v>
      </c>
      <c r="AP4600" s="2">
        <v>4756.1996054250703</v>
      </c>
    </row>
    <row r="4601" spans="1:42" ht="14.5" x14ac:dyDescent="0.35">
      <c r="A4601" s="2" t="s">
        <v>30520</v>
      </c>
      <c r="B4601" s="2">
        <v>823.74256499202602</v>
      </c>
      <c r="C4601" s="2">
        <v>0.62090000000000001</v>
      </c>
      <c r="D4601" s="2" t="s">
        <v>70</v>
      </c>
      <c r="E4601" s="2" t="s">
        <v>30521</v>
      </c>
      <c r="F4601" s="2">
        <v>65081</v>
      </c>
      <c r="G4601" s="3" t="str">
        <f>HYPERLINK("http://funmeta.oebiotech.com/network/65081", "http://funmeta.oebiotech.com/network/65081")</f>
        <v>http://funmeta.oebiotech.com/network/65081</v>
      </c>
      <c r="H4601" s="2" t="s">
        <v>30522</v>
      </c>
      <c r="I4601" s="2"/>
      <c r="J4601" s="2"/>
      <c r="K4601" s="2"/>
      <c r="L4601" s="2"/>
      <c r="M4601" s="2"/>
      <c r="N4601" s="2"/>
      <c r="O4601" s="2">
        <v>131753266</v>
      </c>
      <c r="P4601" s="2"/>
      <c r="Q4601" s="2" t="s">
        <v>30523</v>
      </c>
      <c r="R4601" s="2" t="s">
        <v>30524</v>
      </c>
      <c r="S4601" s="2" t="s">
        <v>50</v>
      </c>
      <c r="T4601" s="2" t="s">
        <v>448</v>
      </c>
      <c r="U4601" s="2" t="s">
        <v>9987</v>
      </c>
      <c r="V4601" s="2" t="s">
        <v>59</v>
      </c>
      <c r="W4601" s="2">
        <v>38</v>
      </c>
      <c r="X4601" s="2">
        <v>0</v>
      </c>
      <c r="Y4601" s="2" t="s">
        <v>408</v>
      </c>
      <c r="Z4601" s="2" t="s">
        <v>30525</v>
      </c>
      <c r="AA4601" s="2">
        <v>3.7700336305086402</v>
      </c>
      <c r="AB4601" s="2">
        <v>0.13309927938760699</v>
      </c>
      <c r="AC4601" s="2">
        <v>13869.5355215572</v>
      </c>
      <c r="AD4601" s="2">
        <v>16606.8090060633</v>
      </c>
      <c r="AE4601" s="2">
        <v>15733.951896701201</v>
      </c>
      <c r="AF4601" s="2">
        <v>15292.7401069437</v>
      </c>
      <c r="AG4601" s="2">
        <v>11583.727850052001</v>
      </c>
      <c r="AH4601" s="2">
        <v>15560.2038685351</v>
      </c>
      <c r="AI4601" s="2">
        <v>13696.926290802499</v>
      </c>
      <c r="AJ4601" s="2">
        <v>11349.6631163088</v>
      </c>
      <c r="AK4601" s="2">
        <v>21777.357139059099</v>
      </c>
      <c r="AL4601" s="2">
        <v>17953.065462527102</v>
      </c>
      <c r="AM4601" s="2">
        <v>20132.804149858599</v>
      </c>
      <c r="AN4601" s="2">
        <v>12792.594187678</v>
      </c>
      <c r="AO4601" s="2">
        <v>11976.8515194796</v>
      </c>
      <c r="AP4601" s="2">
        <v>15008.181577777599</v>
      </c>
    </row>
    <row r="4602" spans="1:42" ht="14.5" x14ac:dyDescent="0.35">
      <c r="A4602" s="2" t="s">
        <v>30526</v>
      </c>
      <c r="B4602" s="2">
        <v>941.45661790314398</v>
      </c>
      <c r="C4602" s="2">
        <v>11.234683333333299</v>
      </c>
      <c r="D4602" s="2" t="s">
        <v>70</v>
      </c>
      <c r="E4602" s="2" t="s">
        <v>30527</v>
      </c>
      <c r="F4602" s="2">
        <v>52388</v>
      </c>
      <c r="G4602" s="3" t="str">
        <f>HYPERLINK("http://funmeta.oebiotech.com/network/52388", "http://funmeta.oebiotech.com/network/52388")</f>
        <v>http://funmeta.oebiotech.com/network/52388</v>
      </c>
      <c r="H4602" s="2" t="s">
        <v>30528</v>
      </c>
      <c r="I4602" s="2"/>
      <c r="J4602" s="2"/>
      <c r="K4602" s="2"/>
      <c r="L4602" s="2"/>
      <c r="M4602" s="2"/>
      <c r="N4602" s="2"/>
      <c r="O4602" s="2">
        <v>53481894</v>
      </c>
      <c r="P4602" s="2"/>
      <c r="Q4602" s="2" t="s">
        <v>30529</v>
      </c>
      <c r="R4602" s="2" t="s">
        <v>30530</v>
      </c>
      <c r="S4602" s="2" t="s">
        <v>50</v>
      </c>
      <c r="T4602" s="2" t="s">
        <v>51</v>
      </c>
      <c r="U4602" s="2" t="s">
        <v>1989</v>
      </c>
      <c r="V4602" s="2" t="s">
        <v>59</v>
      </c>
      <c r="W4602" s="2">
        <v>37.1</v>
      </c>
      <c r="X4602" s="2">
        <v>0</v>
      </c>
      <c r="Y4602" s="2" t="s">
        <v>408</v>
      </c>
      <c r="Z4602" s="2" t="s">
        <v>30531</v>
      </c>
      <c r="AA4602" s="2">
        <v>-2.2875011160790102</v>
      </c>
      <c r="AB4602" s="2">
        <v>0.13297963452907599</v>
      </c>
      <c r="AC4602" s="2">
        <v>7787.6105264555499</v>
      </c>
      <c r="AD4602" s="2">
        <v>5678.9685239303199</v>
      </c>
      <c r="AE4602" s="2">
        <v>5872.9327086843796</v>
      </c>
      <c r="AF4602" s="2">
        <v>6567.0573722253203</v>
      </c>
      <c r="AG4602" s="2">
        <v>10170.376535629201</v>
      </c>
      <c r="AH4602" s="2">
        <v>9061.9865698260292</v>
      </c>
      <c r="AI4602" s="2">
        <v>9872.7345312708894</v>
      </c>
      <c r="AJ4602" s="2">
        <v>5180.5754410975096</v>
      </c>
      <c r="AK4602" s="2">
        <v>5423.8384174737603</v>
      </c>
      <c r="AL4602" s="2">
        <v>6119.6890296070596</v>
      </c>
      <c r="AM4602" s="2">
        <v>4730.0020878982496</v>
      </c>
      <c r="AN4602" s="2">
        <v>6758.1941455814904</v>
      </c>
      <c r="AO4602" s="2">
        <v>6843.8897251262897</v>
      </c>
      <c r="AP4602" s="2">
        <v>4198.1977378950596</v>
      </c>
    </row>
    <row r="4603" spans="1:42" ht="14.5" x14ac:dyDescent="0.35">
      <c r="A4603" s="2" t="s">
        <v>30532</v>
      </c>
      <c r="B4603" s="2">
        <v>224.05330085655501</v>
      </c>
      <c r="C4603" s="2">
        <v>0.811483333333333</v>
      </c>
      <c r="D4603" s="2" t="s">
        <v>34</v>
      </c>
      <c r="E4603" s="2" t="s">
        <v>30533</v>
      </c>
      <c r="F4603" s="2">
        <v>82579</v>
      </c>
      <c r="G4603" s="3" t="str">
        <f>HYPERLINK("http://funmeta.oebiotech.com/network/82579", "http://funmeta.oebiotech.com/network/82579")</f>
        <v>http://funmeta.oebiotech.com/network/82579</v>
      </c>
      <c r="H4603" s="2" t="s">
        <v>30534</v>
      </c>
      <c r="I4603" s="2"/>
      <c r="J4603" s="2"/>
      <c r="K4603" s="2"/>
      <c r="L4603" s="2"/>
      <c r="M4603" s="2"/>
      <c r="N4603" s="2"/>
      <c r="O4603" s="2">
        <v>164578</v>
      </c>
      <c r="P4603" s="2" t="s">
        <v>30535</v>
      </c>
      <c r="Q4603" s="2" t="s">
        <v>30536</v>
      </c>
      <c r="R4603" s="2" t="s">
        <v>30537</v>
      </c>
      <c r="S4603" s="2" t="s">
        <v>148</v>
      </c>
      <c r="T4603" s="2" t="s">
        <v>149</v>
      </c>
      <c r="U4603" s="2" t="s">
        <v>1593</v>
      </c>
      <c r="V4603" s="2" t="s">
        <v>59</v>
      </c>
      <c r="W4603" s="2">
        <v>37.799999999999997</v>
      </c>
      <c r="X4603" s="2">
        <v>0</v>
      </c>
      <c r="Y4603" s="2" t="s">
        <v>43</v>
      </c>
      <c r="Z4603" s="2" t="s">
        <v>30538</v>
      </c>
      <c r="AA4603" s="2">
        <v>1.9252951133346601</v>
      </c>
      <c r="AB4603" s="2">
        <v>0.132914134078126</v>
      </c>
      <c r="AC4603" s="2">
        <v>4641.6567743018604</v>
      </c>
      <c r="AD4603" s="2">
        <v>3193.71623465224</v>
      </c>
      <c r="AE4603" s="2">
        <v>5287.8133532370402</v>
      </c>
      <c r="AF4603" s="2">
        <v>4989.6020686556003</v>
      </c>
      <c r="AG4603" s="2">
        <v>4238.29726244621</v>
      </c>
      <c r="AH4603" s="2">
        <v>4775.7150790371497</v>
      </c>
      <c r="AI4603" s="2">
        <v>3958.66162078251</v>
      </c>
      <c r="AJ4603" s="2">
        <v>4599.8512616526796</v>
      </c>
      <c r="AK4603" s="2">
        <v>3027.4004080477198</v>
      </c>
      <c r="AL4603" s="2">
        <v>3736.4241272884801</v>
      </c>
      <c r="AM4603" s="2">
        <v>3055.5624277543702</v>
      </c>
      <c r="AN4603" s="2">
        <v>4268.5109667652096</v>
      </c>
      <c r="AO4603" s="2">
        <v>2724.2741121966801</v>
      </c>
      <c r="AP4603" s="2">
        <v>2350.1253658609498</v>
      </c>
    </row>
    <row r="4604" spans="1:42" ht="14.5" x14ac:dyDescent="0.35">
      <c r="A4604" s="2" t="s">
        <v>30539</v>
      </c>
      <c r="B4604" s="2">
        <v>161.05955977403499</v>
      </c>
      <c r="C4604" s="2">
        <v>4.9463833333333298</v>
      </c>
      <c r="D4604" s="2" t="s">
        <v>34</v>
      </c>
      <c r="E4604" s="2" t="s">
        <v>30540</v>
      </c>
      <c r="F4604" s="2">
        <v>302739</v>
      </c>
      <c r="G4604" s="3" t="str">
        <f>HYPERLINK("http://funmeta.oebiotech.com/network/302739", "http://funmeta.oebiotech.com/network/302739")</f>
        <v>http://funmeta.oebiotech.com/network/302739</v>
      </c>
      <c r="H4604" s="2"/>
      <c r="I4604" s="2">
        <v>328498</v>
      </c>
      <c r="J4604" s="2"/>
      <c r="K4604" s="2"/>
      <c r="L4604" s="2"/>
      <c r="M4604" s="2"/>
      <c r="N4604" s="2"/>
      <c r="O4604" s="2">
        <v>6749</v>
      </c>
      <c r="P4604" s="2"/>
      <c r="Q4604" s="2" t="s">
        <v>30541</v>
      </c>
      <c r="R4604" s="2" t="s">
        <v>30542</v>
      </c>
      <c r="S4604" s="2" t="s">
        <v>148</v>
      </c>
      <c r="T4604" s="2" t="s">
        <v>6221</v>
      </c>
      <c r="U4604" s="2" t="s">
        <v>20983</v>
      </c>
      <c r="V4604" s="2" t="s">
        <v>59</v>
      </c>
      <c r="W4604" s="2">
        <v>38.4</v>
      </c>
      <c r="X4604" s="2">
        <v>0</v>
      </c>
      <c r="Y4604" s="2" t="s">
        <v>394</v>
      </c>
      <c r="Z4604" s="2" t="s">
        <v>25497</v>
      </c>
      <c r="AA4604" s="2">
        <v>-0.91316105163250405</v>
      </c>
      <c r="AB4604" s="2">
        <v>0.13288117644933201</v>
      </c>
      <c r="AC4604" s="2">
        <v>11437.9129716387</v>
      </c>
      <c r="AD4604" s="2">
        <v>13064.869814758</v>
      </c>
      <c r="AE4604" s="2">
        <v>11991.9703827877</v>
      </c>
      <c r="AF4604" s="2">
        <v>12458.9537963415</v>
      </c>
      <c r="AG4604" s="2">
        <v>10421.603533747701</v>
      </c>
      <c r="AH4604" s="2">
        <v>10585.253591210199</v>
      </c>
      <c r="AI4604" s="2">
        <v>11737.186056914001</v>
      </c>
      <c r="AJ4604" s="2">
        <v>11432.510468831</v>
      </c>
      <c r="AK4604" s="2">
        <v>13755.3068054777</v>
      </c>
      <c r="AL4604" s="2">
        <v>12207.397557132501</v>
      </c>
      <c r="AM4604" s="2">
        <v>12213.517024896601</v>
      </c>
      <c r="AN4604" s="2">
        <v>14378.1634117374</v>
      </c>
      <c r="AO4604" s="2">
        <v>12228.7968895018</v>
      </c>
      <c r="AP4604" s="2">
        <v>13606.0371998017</v>
      </c>
    </row>
    <row r="4605" spans="1:42" ht="14.5" x14ac:dyDescent="0.35">
      <c r="A4605" s="2" t="s">
        <v>30543</v>
      </c>
      <c r="B4605" s="2">
        <v>858.34346209435603</v>
      </c>
      <c r="C4605" s="2">
        <v>9.5820000000000007</v>
      </c>
      <c r="D4605" s="2" t="s">
        <v>70</v>
      </c>
      <c r="E4605" s="2" t="s">
        <v>30544</v>
      </c>
      <c r="F4605" s="2">
        <v>211786</v>
      </c>
      <c r="G4605" s="3" t="str">
        <f>HYPERLINK("http://funmeta.oebiotech.com/network/211786", "http://funmeta.oebiotech.com/network/211786")</f>
        <v>http://funmeta.oebiotech.com/network/211786</v>
      </c>
      <c r="H4605" s="2" t="s">
        <v>30545</v>
      </c>
      <c r="I4605" s="2"/>
      <c r="J4605" s="2"/>
      <c r="K4605" s="2"/>
      <c r="L4605" s="2"/>
      <c r="M4605" s="2"/>
      <c r="N4605" s="2"/>
      <c r="O4605" s="2">
        <v>13068166</v>
      </c>
      <c r="P4605" s="2"/>
      <c r="Q4605" s="2" t="s">
        <v>30546</v>
      </c>
      <c r="R4605" s="2" t="s">
        <v>30547</v>
      </c>
      <c r="S4605" s="2" t="s">
        <v>41</v>
      </c>
      <c r="T4605" s="2" t="s">
        <v>41</v>
      </c>
      <c r="U4605" s="2" t="s">
        <v>41</v>
      </c>
      <c r="V4605" s="2" t="s">
        <v>59</v>
      </c>
      <c r="W4605" s="2">
        <v>43.1</v>
      </c>
      <c r="X4605" s="2">
        <v>42</v>
      </c>
      <c r="Y4605" s="2" t="s">
        <v>408</v>
      </c>
      <c r="Z4605" s="2" t="s">
        <v>30548</v>
      </c>
      <c r="AA4605" s="2">
        <v>-3.3204116160056598</v>
      </c>
      <c r="AB4605" s="2">
        <v>0.13286603226854499</v>
      </c>
      <c r="AC4605" s="2">
        <v>62534.836849052597</v>
      </c>
      <c r="AD4605" s="2">
        <v>54805.557406733104</v>
      </c>
      <c r="AE4605" s="2">
        <v>68532.735380596496</v>
      </c>
      <c r="AF4605" s="2">
        <v>54207.669413777498</v>
      </c>
      <c r="AG4605" s="2">
        <v>66022.611908806604</v>
      </c>
      <c r="AH4605" s="2">
        <v>104263.96261186201</v>
      </c>
      <c r="AI4605" s="2">
        <v>41308.100952574998</v>
      </c>
      <c r="AJ4605" s="2">
        <v>40873.940826698301</v>
      </c>
      <c r="AK4605" s="2">
        <v>114236.357279267</v>
      </c>
      <c r="AL4605" s="2">
        <v>25150.228677446499</v>
      </c>
      <c r="AM4605" s="2">
        <v>39464.030063315797</v>
      </c>
      <c r="AN4605" s="2">
        <v>24595.351079058099</v>
      </c>
      <c r="AO4605" s="2">
        <v>53098.5750888896</v>
      </c>
      <c r="AP4605" s="2">
        <v>72288.802252421898</v>
      </c>
    </row>
    <row r="4606" spans="1:42" ht="14.5" x14ac:dyDescent="0.35">
      <c r="A4606" s="2" t="s">
        <v>30549</v>
      </c>
      <c r="B4606" s="2">
        <v>225.03988542942199</v>
      </c>
      <c r="C4606" s="2">
        <v>4.7218999999999998</v>
      </c>
      <c r="D4606" s="2" t="s">
        <v>70</v>
      </c>
      <c r="E4606" s="2" t="s">
        <v>30550</v>
      </c>
      <c r="F4606" s="2">
        <v>257208</v>
      </c>
      <c r="G4606" s="3" t="str">
        <f>HYPERLINK("http://funmeta.oebiotech.com/network/257208", "http://funmeta.oebiotech.com/network/257208")</f>
        <v>http://funmeta.oebiotech.com/network/257208</v>
      </c>
      <c r="H4606" s="2" t="s">
        <v>30551</v>
      </c>
      <c r="I4606" s="2">
        <v>63845</v>
      </c>
      <c r="J4606" s="2"/>
      <c r="K4606" s="2">
        <v>17582</v>
      </c>
      <c r="L4606" s="2" t="s">
        <v>30552</v>
      </c>
      <c r="M4606" s="2" t="s">
        <v>30553</v>
      </c>
      <c r="N4606" s="2" t="s">
        <v>30554</v>
      </c>
      <c r="O4606" s="2">
        <v>189062</v>
      </c>
      <c r="P4606" s="2" t="s">
        <v>30555</v>
      </c>
      <c r="Q4606" s="2" t="s">
        <v>30556</v>
      </c>
      <c r="R4606" s="2" t="s">
        <v>30557</v>
      </c>
      <c r="S4606" s="2" t="s">
        <v>89</v>
      </c>
      <c r="T4606" s="2" t="s">
        <v>4218</v>
      </c>
      <c r="U4606" s="2" t="s">
        <v>4219</v>
      </c>
      <c r="V4606" s="2" t="s">
        <v>59</v>
      </c>
      <c r="W4606" s="2">
        <v>46.8</v>
      </c>
      <c r="X4606" s="2">
        <v>39.799999999999997</v>
      </c>
      <c r="Y4606" s="2" t="s">
        <v>118</v>
      </c>
      <c r="Z4606" s="2" t="s">
        <v>30558</v>
      </c>
      <c r="AA4606" s="2">
        <v>-2.54891574077087</v>
      </c>
      <c r="AB4606" s="2">
        <v>0.13284131344283301</v>
      </c>
      <c r="AC4606" s="2">
        <v>2494.6547744142599</v>
      </c>
      <c r="AD4606" s="2">
        <v>3710.1960241599099</v>
      </c>
      <c r="AE4606" s="2">
        <v>2844.1466837584398</v>
      </c>
      <c r="AF4606" s="2">
        <v>2375.8695475213999</v>
      </c>
      <c r="AG4606" s="2">
        <v>2308.2346820378002</v>
      </c>
      <c r="AH4606" s="2">
        <v>2358.6587286152499</v>
      </c>
      <c r="AI4606" s="2">
        <v>2404.04338247036</v>
      </c>
      <c r="AJ4606" s="2">
        <v>2676.9756220823401</v>
      </c>
      <c r="AK4606" s="2">
        <v>3545.46101708981</v>
      </c>
      <c r="AL4606" s="2">
        <v>3952.6395012620601</v>
      </c>
      <c r="AM4606" s="2">
        <v>3987.47068392858</v>
      </c>
      <c r="AN4606" s="2">
        <v>3625.2559141575398</v>
      </c>
      <c r="AO4606" s="2">
        <v>3540.5106232857902</v>
      </c>
      <c r="AP4606" s="2">
        <v>3609.8384052357001</v>
      </c>
    </row>
    <row r="4607" spans="1:42" ht="14.5" x14ac:dyDescent="0.35">
      <c r="A4607" s="2" t="s">
        <v>30559</v>
      </c>
      <c r="B4607" s="2">
        <v>513.21817099651901</v>
      </c>
      <c r="C4607" s="2">
        <v>3.9694833333333301</v>
      </c>
      <c r="D4607" s="2" t="s">
        <v>70</v>
      </c>
      <c r="E4607" s="2" t="s">
        <v>30560</v>
      </c>
      <c r="F4607" s="2">
        <v>10226</v>
      </c>
      <c r="G4607" s="3" t="str">
        <f>HYPERLINK("http://funmeta.oebiotech.com/network/10226", "http://funmeta.oebiotech.com/network/10226")</f>
        <v>http://funmeta.oebiotech.com/network/10226</v>
      </c>
      <c r="H4607" s="2"/>
      <c r="I4607" s="2"/>
      <c r="J4607" s="2" t="s">
        <v>30561</v>
      </c>
      <c r="K4607" s="2"/>
      <c r="L4607" s="2"/>
      <c r="M4607" s="2"/>
      <c r="N4607" s="2"/>
      <c r="O4607" s="2">
        <v>56936285</v>
      </c>
      <c r="P4607" s="2"/>
      <c r="Q4607" s="2" t="s">
        <v>30562</v>
      </c>
      <c r="R4607" s="2" t="s">
        <v>30563</v>
      </c>
      <c r="S4607" s="2" t="s">
        <v>50</v>
      </c>
      <c r="T4607" s="2" t="s">
        <v>229</v>
      </c>
      <c r="U4607" s="2" t="s">
        <v>230</v>
      </c>
      <c r="V4607" s="2" t="s">
        <v>42</v>
      </c>
      <c r="W4607" s="2">
        <v>54.7</v>
      </c>
      <c r="X4607" s="2">
        <v>80.5</v>
      </c>
      <c r="Y4607" s="2" t="s">
        <v>118</v>
      </c>
      <c r="Z4607" s="2" t="s">
        <v>30564</v>
      </c>
      <c r="AA4607" s="2">
        <v>-1.37772840328712</v>
      </c>
      <c r="AB4607" s="2">
        <v>0.132796351813709</v>
      </c>
      <c r="AC4607" s="2">
        <v>71388.175446334004</v>
      </c>
      <c r="AD4607" s="2">
        <v>74840.689603042294</v>
      </c>
      <c r="AE4607" s="2">
        <v>68790.987425347994</v>
      </c>
      <c r="AF4607" s="2">
        <v>71279.691760001704</v>
      </c>
      <c r="AG4607" s="2">
        <v>67182.751845386098</v>
      </c>
      <c r="AH4607" s="2">
        <v>71205.739376672704</v>
      </c>
      <c r="AI4607" s="2">
        <v>76254.502190110303</v>
      </c>
      <c r="AJ4607" s="2">
        <v>73615.380080485396</v>
      </c>
      <c r="AK4607" s="2">
        <v>77817.6512110966</v>
      </c>
      <c r="AL4607" s="2">
        <v>64760.112686851302</v>
      </c>
      <c r="AM4607" s="2">
        <v>82539.117582088307</v>
      </c>
      <c r="AN4607" s="2">
        <v>74500.219833198207</v>
      </c>
      <c r="AO4607" s="2">
        <v>68272.679009423504</v>
      </c>
      <c r="AP4607" s="2">
        <v>81154.357295595604</v>
      </c>
    </row>
    <row r="4608" spans="1:42" ht="14.5" x14ac:dyDescent="0.35">
      <c r="A4608" s="2" t="s">
        <v>30565</v>
      </c>
      <c r="B4608" s="2">
        <v>551.25997683482001</v>
      </c>
      <c r="C4608" s="2">
        <v>11.60595</v>
      </c>
      <c r="D4608" s="2" t="s">
        <v>70</v>
      </c>
      <c r="E4608" s="2" t="s">
        <v>30566</v>
      </c>
      <c r="F4608" s="2">
        <v>45253</v>
      </c>
      <c r="G4608" s="3" t="str">
        <f>HYPERLINK("http://funmeta.oebiotech.com/network/45253", "http://funmeta.oebiotech.com/network/45253")</f>
        <v>http://funmeta.oebiotech.com/network/45253</v>
      </c>
      <c r="H4608" s="2"/>
      <c r="I4608" s="2">
        <v>42021</v>
      </c>
      <c r="J4608" s="2" t="s">
        <v>30567</v>
      </c>
      <c r="K4608" s="2"/>
      <c r="L4608" s="2"/>
      <c r="M4608" s="2"/>
      <c r="N4608" s="2"/>
      <c r="O4608" s="2">
        <v>9547332</v>
      </c>
      <c r="P4608" s="2"/>
      <c r="Q4608" s="2" t="s">
        <v>30568</v>
      </c>
      <c r="R4608" s="2" t="s">
        <v>30569</v>
      </c>
      <c r="S4608" s="2" t="s">
        <v>50</v>
      </c>
      <c r="T4608" s="2" t="s">
        <v>124</v>
      </c>
      <c r="U4608" s="2" t="s">
        <v>982</v>
      </c>
      <c r="V4608" s="2" t="s">
        <v>42</v>
      </c>
      <c r="W4608" s="2">
        <v>50</v>
      </c>
      <c r="X4608" s="2">
        <v>55.8</v>
      </c>
      <c r="Y4608" s="2" t="s">
        <v>408</v>
      </c>
      <c r="Z4608" s="2" t="s">
        <v>30570</v>
      </c>
      <c r="AA4608" s="2">
        <v>-0.34714996819749799</v>
      </c>
      <c r="AB4608" s="2">
        <v>0.132794874044356</v>
      </c>
      <c r="AC4608" s="2">
        <v>23694.186276168799</v>
      </c>
      <c r="AD4608" s="2">
        <v>26465.306219954899</v>
      </c>
      <c r="AE4608" s="2">
        <v>28060.6562736786</v>
      </c>
      <c r="AF4608" s="2">
        <v>23428.994080454398</v>
      </c>
      <c r="AG4608" s="2">
        <v>25387.618848804399</v>
      </c>
      <c r="AH4608" s="2">
        <v>20822.6822477676</v>
      </c>
      <c r="AI4608" s="2">
        <v>21485.980630565798</v>
      </c>
      <c r="AJ4608" s="2">
        <v>22979.1855757423</v>
      </c>
      <c r="AK4608" s="2">
        <v>23599.821973690501</v>
      </c>
      <c r="AL4608" s="2">
        <v>28486.7374174047</v>
      </c>
      <c r="AM4608" s="2">
        <v>26842.590987596101</v>
      </c>
      <c r="AN4608" s="2">
        <v>23296.7065828751</v>
      </c>
      <c r="AO4608" s="2">
        <v>32729.7864526841</v>
      </c>
      <c r="AP4608" s="2">
        <v>23836.1939054789</v>
      </c>
    </row>
    <row r="4609" spans="1:42" ht="14.5" x14ac:dyDescent="0.35">
      <c r="A4609" s="2" t="s">
        <v>30571</v>
      </c>
      <c r="B4609" s="2">
        <v>497.223986661514</v>
      </c>
      <c r="C4609" s="2">
        <v>4.09636666666667</v>
      </c>
      <c r="D4609" s="2" t="s">
        <v>70</v>
      </c>
      <c r="E4609" s="2" t="s">
        <v>30572</v>
      </c>
      <c r="F4609" s="2">
        <v>61944</v>
      </c>
      <c r="G4609" s="3" t="str">
        <f>HYPERLINK("http://funmeta.oebiotech.com/network/61944", "http://funmeta.oebiotech.com/network/61944")</f>
        <v>http://funmeta.oebiotech.com/network/61944</v>
      </c>
      <c r="H4609" s="2" t="s">
        <v>30573</v>
      </c>
      <c r="I4609" s="2">
        <v>93244</v>
      </c>
      <c r="J4609" s="2"/>
      <c r="K4609" s="2"/>
      <c r="L4609" s="2"/>
      <c r="M4609" s="2"/>
      <c r="N4609" s="2"/>
      <c r="O4609" s="2">
        <v>11414008</v>
      </c>
      <c r="P4609" s="2" t="s">
        <v>30574</v>
      </c>
      <c r="Q4609" s="2" t="s">
        <v>30575</v>
      </c>
      <c r="R4609" s="2" t="s">
        <v>30576</v>
      </c>
      <c r="S4609" s="2" t="s">
        <v>115</v>
      </c>
      <c r="T4609" s="2" t="s">
        <v>116</v>
      </c>
      <c r="U4609" s="2" t="s">
        <v>2028</v>
      </c>
      <c r="V4609" s="2" t="s">
        <v>59</v>
      </c>
      <c r="W4609" s="2">
        <v>39.299999999999997</v>
      </c>
      <c r="X4609" s="2">
        <v>0</v>
      </c>
      <c r="Y4609" s="2" t="s">
        <v>560</v>
      </c>
      <c r="Z4609" s="2" t="s">
        <v>30577</v>
      </c>
      <c r="AA4609" s="2">
        <v>1.0735642410796999</v>
      </c>
      <c r="AB4609" s="2">
        <v>0.132769610307999</v>
      </c>
      <c r="AC4609" s="2">
        <v>4881.1805756400499</v>
      </c>
      <c r="AD4609" s="2">
        <v>6212.2392532315998</v>
      </c>
      <c r="AE4609" s="2">
        <v>4394.1149144685596</v>
      </c>
      <c r="AF4609" s="2">
        <v>4897.5049914347501</v>
      </c>
      <c r="AG4609" s="2">
        <v>4792.5334916307002</v>
      </c>
      <c r="AH4609" s="2">
        <v>4514.3309535367198</v>
      </c>
      <c r="AI4609" s="2">
        <v>4793.1634634196398</v>
      </c>
      <c r="AJ4609" s="2">
        <v>5895.4356393499302</v>
      </c>
      <c r="AK4609" s="2">
        <v>6662.8275503885097</v>
      </c>
      <c r="AL4609" s="2">
        <v>6217.1905731487204</v>
      </c>
      <c r="AM4609" s="2">
        <v>6199.8457281084202</v>
      </c>
      <c r="AN4609" s="2">
        <v>6144.4104437941096</v>
      </c>
      <c r="AO4609" s="2">
        <v>5937.6083587289504</v>
      </c>
      <c r="AP4609" s="2">
        <v>6111.5528652208995</v>
      </c>
    </row>
    <row r="4610" spans="1:42" ht="14.5" x14ac:dyDescent="0.35">
      <c r="A4610" s="2" t="s">
        <v>30578</v>
      </c>
      <c r="B4610" s="2">
        <v>337.14428858891398</v>
      </c>
      <c r="C4610" s="2">
        <v>9.6570666666666707</v>
      </c>
      <c r="D4610" s="2" t="s">
        <v>70</v>
      </c>
      <c r="E4610" s="2" t="s">
        <v>30579</v>
      </c>
      <c r="F4610" s="2">
        <v>33988</v>
      </c>
      <c r="G4610" s="3" t="str">
        <f>HYPERLINK("http://funmeta.oebiotech.com/network/33988", "http://funmeta.oebiotech.com/network/33988")</f>
        <v>http://funmeta.oebiotech.com/network/33988</v>
      </c>
      <c r="H4610" s="2"/>
      <c r="I4610" s="2">
        <v>52301</v>
      </c>
      <c r="J4610" s="2" t="s">
        <v>30580</v>
      </c>
      <c r="K4610" s="2"/>
      <c r="L4610" s="2"/>
      <c r="M4610" s="2"/>
      <c r="N4610" s="2"/>
      <c r="O4610" s="2">
        <v>14412534</v>
      </c>
      <c r="P4610" s="2"/>
      <c r="Q4610" s="2" t="s">
        <v>30581</v>
      </c>
      <c r="R4610" s="2" t="s">
        <v>30582</v>
      </c>
      <c r="S4610" s="2" t="s">
        <v>115</v>
      </c>
      <c r="T4610" s="2" t="s">
        <v>12600</v>
      </c>
      <c r="U4610" s="2" t="s">
        <v>12601</v>
      </c>
      <c r="V4610" s="2" t="s">
        <v>42</v>
      </c>
      <c r="W4610" s="2">
        <v>52.7</v>
      </c>
      <c r="X4610" s="2">
        <v>69.2</v>
      </c>
      <c r="Y4610" s="2" t="s">
        <v>751</v>
      </c>
      <c r="Z4610" s="2" t="s">
        <v>30583</v>
      </c>
      <c r="AA4610" s="2">
        <v>-0.685525996977708</v>
      </c>
      <c r="AB4610" s="2">
        <v>0.13272467424868301</v>
      </c>
      <c r="AC4610" s="2">
        <v>1419.69518858987</v>
      </c>
      <c r="AD4610" s="2">
        <v>11.5094652031761</v>
      </c>
      <c r="AE4610" s="2">
        <v>2874.4639535889701</v>
      </c>
      <c r="AF4610" s="2">
        <v>1458.1884410850801</v>
      </c>
      <c r="AG4610" s="2">
        <v>963.111547925933</v>
      </c>
      <c r="AH4610" s="2">
        <v>926.98335029621205</v>
      </c>
      <c r="AI4610" s="2">
        <v>1451.7333423883599</v>
      </c>
      <c r="AJ4610" s="2">
        <v>843.69049625466096</v>
      </c>
      <c r="AK4610" s="2">
        <v>2.7106294003980101E-5</v>
      </c>
      <c r="AL4610" s="2">
        <v>69.056655687586598</v>
      </c>
      <c r="AM4610" s="2">
        <v>2.7106294003980101E-5</v>
      </c>
      <c r="AN4610" s="2">
        <v>2.7106294003980101E-5</v>
      </c>
      <c r="AO4610" s="2">
        <v>2.7106294003980101E-5</v>
      </c>
      <c r="AP4610" s="2">
        <v>2.7106294003980101E-5</v>
      </c>
    </row>
    <row r="4611" spans="1:42" ht="14.5" x14ac:dyDescent="0.35">
      <c r="A4611" s="2" t="s">
        <v>30584</v>
      </c>
      <c r="B4611" s="2">
        <v>357.09299142672899</v>
      </c>
      <c r="C4611" s="2">
        <v>7.7996333333333299</v>
      </c>
      <c r="D4611" s="2" t="s">
        <v>70</v>
      </c>
      <c r="E4611" s="2" t="s">
        <v>30585</v>
      </c>
      <c r="F4611" s="2">
        <v>212517</v>
      </c>
      <c r="G4611" s="3" t="str">
        <f>HYPERLINK("http://funmeta.oebiotech.com/network/212517", "http://funmeta.oebiotech.com/network/212517")</f>
        <v>http://funmeta.oebiotech.com/network/212517</v>
      </c>
      <c r="H4611" s="2" t="s">
        <v>30586</v>
      </c>
      <c r="I4611" s="2">
        <v>314749</v>
      </c>
      <c r="J4611" s="2"/>
      <c r="K4611" s="2"/>
      <c r="L4611" s="2"/>
      <c r="M4611" s="2"/>
      <c r="N4611" s="2"/>
      <c r="O4611" s="2">
        <v>50287</v>
      </c>
      <c r="P4611" s="2"/>
      <c r="Q4611" s="2" t="s">
        <v>30587</v>
      </c>
      <c r="R4611" s="2" t="s">
        <v>30588</v>
      </c>
      <c r="S4611" s="2" t="s">
        <v>491</v>
      </c>
      <c r="T4611" s="2" t="s">
        <v>3519</v>
      </c>
      <c r="U4611" s="2" t="s">
        <v>19069</v>
      </c>
      <c r="V4611" s="2" t="s">
        <v>59</v>
      </c>
      <c r="W4611" s="2">
        <v>37.1</v>
      </c>
      <c r="X4611" s="2">
        <v>0</v>
      </c>
      <c r="Y4611" s="2" t="s">
        <v>408</v>
      </c>
      <c r="Z4611" s="2" t="s">
        <v>30589</v>
      </c>
      <c r="AA4611" s="2">
        <v>2.7363723358073999</v>
      </c>
      <c r="AB4611" s="2">
        <v>0.13271777934411999</v>
      </c>
      <c r="AC4611" s="2">
        <v>8089.0116624041702</v>
      </c>
      <c r="AD4611" s="2">
        <v>9399.77417141146</v>
      </c>
      <c r="AE4611" s="2">
        <v>8414.4630074547495</v>
      </c>
      <c r="AF4611" s="2">
        <v>7789.6326222293801</v>
      </c>
      <c r="AG4611" s="2">
        <v>7883.5837216190603</v>
      </c>
      <c r="AH4611" s="2">
        <v>8449.1708118594797</v>
      </c>
      <c r="AI4611" s="2">
        <v>8463.2253947909903</v>
      </c>
      <c r="AJ4611" s="2">
        <v>7533.9944164713697</v>
      </c>
      <c r="AK4611" s="2">
        <v>9888.8153209699994</v>
      </c>
      <c r="AL4611" s="2">
        <v>9270.2387144797794</v>
      </c>
      <c r="AM4611" s="2">
        <v>8922.9784229420693</v>
      </c>
      <c r="AN4611" s="2">
        <v>9652.0652996004592</v>
      </c>
      <c r="AO4611" s="2">
        <v>9620.0678455133202</v>
      </c>
      <c r="AP4611" s="2">
        <v>9044.4794249631395</v>
      </c>
    </row>
    <row r="4612" spans="1:42" ht="14.5" x14ac:dyDescent="0.35">
      <c r="A4612" s="2" t="s">
        <v>30590</v>
      </c>
      <c r="B4612" s="2">
        <v>191.070397456346</v>
      </c>
      <c r="C4612" s="2">
        <v>1.60873333333333</v>
      </c>
      <c r="D4612" s="2" t="s">
        <v>34</v>
      </c>
      <c r="E4612" s="2" t="s">
        <v>30591</v>
      </c>
      <c r="F4612" s="2">
        <v>58360</v>
      </c>
      <c r="G4612" s="3" t="str">
        <f>HYPERLINK("http://funmeta.oebiotech.com/network/58360", "http://funmeta.oebiotech.com/network/58360")</f>
        <v>http://funmeta.oebiotech.com/network/58360</v>
      </c>
      <c r="H4612" s="2" t="s">
        <v>30592</v>
      </c>
      <c r="I4612" s="2">
        <v>43817</v>
      </c>
      <c r="J4612" s="2"/>
      <c r="K4612" s="2">
        <v>86549</v>
      </c>
      <c r="L4612" s="2"/>
      <c r="M4612" s="2"/>
      <c r="N4612" s="2"/>
      <c r="O4612" s="2">
        <v>717531</v>
      </c>
      <c r="P4612" s="2" t="s">
        <v>30593</v>
      </c>
      <c r="Q4612" s="2" t="s">
        <v>30594</v>
      </c>
      <c r="R4612" s="2" t="s">
        <v>30595</v>
      </c>
      <c r="S4612" s="2" t="s">
        <v>115</v>
      </c>
      <c r="T4612" s="2" t="s">
        <v>116</v>
      </c>
      <c r="U4612" s="2" t="s">
        <v>117</v>
      </c>
      <c r="V4612" s="2" t="s">
        <v>59</v>
      </c>
      <c r="W4612" s="2">
        <v>39.200000000000003</v>
      </c>
      <c r="X4612" s="2">
        <v>0</v>
      </c>
      <c r="Y4612" s="2" t="s">
        <v>1115</v>
      </c>
      <c r="Z4612" s="2" t="s">
        <v>30596</v>
      </c>
      <c r="AA4612" s="2">
        <v>0.60960780783965196</v>
      </c>
      <c r="AB4612" s="2">
        <v>0.132615628317482</v>
      </c>
      <c r="AC4612" s="2">
        <v>3120.2038437055999</v>
      </c>
      <c r="AD4612" s="2">
        <v>1823.11226410464</v>
      </c>
      <c r="AE4612" s="2">
        <v>2648.1409973270202</v>
      </c>
      <c r="AF4612" s="2">
        <v>3120.4488580152201</v>
      </c>
      <c r="AG4612" s="2">
        <v>3489.6307793490901</v>
      </c>
      <c r="AH4612" s="2">
        <v>3640.8329780584399</v>
      </c>
      <c r="AI4612" s="2">
        <v>3014.01976975662</v>
      </c>
      <c r="AJ4612" s="2">
        <v>2808.1496797272298</v>
      </c>
      <c r="AK4612" s="2">
        <v>1464.3329207819199</v>
      </c>
      <c r="AL4612" s="2">
        <v>1540.12650121248</v>
      </c>
      <c r="AM4612" s="2">
        <v>1746.0786188412301</v>
      </c>
      <c r="AN4612" s="2">
        <v>1732.75896761425</v>
      </c>
      <c r="AO4612" s="2">
        <v>2083.5311485941202</v>
      </c>
      <c r="AP4612" s="2">
        <v>2371.8454275838399</v>
      </c>
    </row>
    <row r="4613" spans="1:42" ht="14.5" x14ac:dyDescent="0.35">
      <c r="A4613" s="2" t="s">
        <v>30597</v>
      </c>
      <c r="B4613" s="2">
        <v>212.200541362178</v>
      </c>
      <c r="C4613" s="2">
        <v>12.3610166666667</v>
      </c>
      <c r="D4613" s="2" t="s">
        <v>34</v>
      </c>
      <c r="E4613" s="2" t="s">
        <v>30598</v>
      </c>
      <c r="F4613" s="2">
        <v>2457</v>
      </c>
      <c r="G4613" s="3" t="str">
        <f>HYPERLINK("http://funmeta.oebiotech.com/network/2457", "http://funmeta.oebiotech.com/network/2457")</f>
        <v>http://funmeta.oebiotech.com/network/2457</v>
      </c>
      <c r="H4613" s="2"/>
      <c r="I4613" s="2">
        <v>74859</v>
      </c>
      <c r="J4613" s="2" t="s">
        <v>30599</v>
      </c>
      <c r="K4613" s="2"/>
      <c r="L4613" s="2"/>
      <c r="M4613" s="2"/>
      <c r="N4613" s="2"/>
      <c r="O4613" s="2">
        <v>5182019</v>
      </c>
      <c r="P4613" s="2"/>
      <c r="Q4613" s="2" t="s">
        <v>30600</v>
      </c>
      <c r="R4613" s="2" t="s">
        <v>30601</v>
      </c>
      <c r="S4613" s="2" t="s">
        <v>50</v>
      </c>
      <c r="T4613" s="2" t="s">
        <v>229</v>
      </c>
      <c r="U4613" s="2" t="s">
        <v>433</v>
      </c>
      <c r="V4613" s="2" t="s">
        <v>42</v>
      </c>
      <c r="W4613" s="2">
        <v>52.9</v>
      </c>
      <c r="X4613" s="2">
        <v>72.400000000000006</v>
      </c>
      <c r="Y4613" s="2" t="s">
        <v>141</v>
      </c>
      <c r="Z4613" s="2" t="s">
        <v>30602</v>
      </c>
      <c r="AA4613" s="2">
        <v>-1.5248309765935</v>
      </c>
      <c r="AB4613" s="2">
        <v>0.132537254768513</v>
      </c>
      <c r="AC4613" s="2">
        <v>29235.464279094998</v>
      </c>
      <c r="AD4613" s="2">
        <v>25300.8625909402</v>
      </c>
      <c r="AE4613" s="2">
        <v>32668.3608399064</v>
      </c>
      <c r="AF4613" s="2">
        <v>23883.961015548899</v>
      </c>
      <c r="AG4613" s="2">
        <v>27386.6575380098</v>
      </c>
      <c r="AH4613" s="2">
        <v>32928.911980497804</v>
      </c>
      <c r="AI4613" s="2">
        <v>34318.352429029597</v>
      </c>
      <c r="AJ4613" s="2">
        <v>24226.541871577501</v>
      </c>
      <c r="AK4613" s="2">
        <v>21522.566179487902</v>
      </c>
      <c r="AL4613" s="2">
        <v>38643.705050955803</v>
      </c>
      <c r="AM4613" s="2">
        <v>23329.431476720001</v>
      </c>
      <c r="AN4613" s="2">
        <v>32893.656968843003</v>
      </c>
      <c r="AO4613" s="2">
        <v>16562.623077504999</v>
      </c>
      <c r="AP4613" s="2">
        <v>18853.192792129401</v>
      </c>
    </row>
    <row r="4614" spans="1:42" ht="14.5" x14ac:dyDescent="0.35">
      <c r="A4614" s="2" t="s">
        <v>30603</v>
      </c>
      <c r="B4614" s="2">
        <v>226.995798306241</v>
      </c>
      <c r="C4614" s="2">
        <v>0.90876666666666694</v>
      </c>
      <c r="D4614" s="2" t="s">
        <v>70</v>
      </c>
      <c r="E4614" s="2" t="s">
        <v>30604</v>
      </c>
      <c r="F4614" s="2">
        <v>257345</v>
      </c>
      <c r="G4614" s="3" t="str">
        <f>HYPERLINK("http://funmeta.oebiotech.com/network/257345", "http://funmeta.oebiotech.com/network/257345")</f>
        <v>http://funmeta.oebiotech.com/network/257345</v>
      </c>
      <c r="H4614" s="2" t="s">
        <v>30605</v>
      </c>
      <c r="I4614" s="2"/>
      <c r="J4614" s="2"/>
      <c r="K4614" s="2"/>
      <c r="L4614" s="2"/>
      <c r="M4614" s="2"/>
      <c r="N4614" s="2"/>
      <c r="O4614" s="2">
        <v>23431615</v>
      </c>
      <c r="P4614" s="2"/>
      <c r="Q4614" s="2" t="s">
        <v>30606</v>
      </c>
      <c r="R4614" s="2" t="s">
        <v>30607</v>
      </c>
      <c r="S4614" s="2" t="s">
        <v>79</v>
      </c>
      <c r="T4614" s="2" t="s">
        <v>80</v>
      </c>
      <c r="U4614" s="2" t="s">
        <v>81</v>
      </c>
      <c r="V4614" s="2" t="s">
        <v>59</v>
      </c>
      <c r="W4614" s="2">
        <v>38.200000000000003</v>
      </c>
      <c r="X4614" s="2">
        <v>8.74</v>
      </c>
      <c r="Y4614" s="2" t="s">
        <v>118</v>
      </c>
      <c r="Z4614" s="2" t="s">
        <v>30608</v>
      </c>
      <c r="AA4614" s="2">
        <v>-1.88215032723054</v>
      </c>
      <c r="AB4614" s="2">
        <v>0.13252565415461501</v>
      </c>
      <c r="AC4614" s="2">
        <v>28834.303617203401</v>
      </c>
      <c r="AD4614" s="2">
        <v>31518.542483445501</v>
      </c>
      <c r="AE4614" s="2">
        <v>29714.953750982801</v>
      </c>
      <c r="AF4614" s="2">
        <v>29543.668261754599</v>
      </c>
      <c r="AG4614" s="2">
        <v>28026.1279603</v>
      </c>
      <c r="AH4614" s="2">
        <v>30123.652998051501</v>
      </c>
      <c r="AI4614" s="2">
        <v>28069.961386551498</v>
      </c>
      <c r="AJ4614" s="2">
        <v>27527.4573455803</v>
      </c>
      <c r="AK4614" s="2">
        <v>31604.5939139947</v>
      </c>
      <c r="AL4614" s="2">
        <v>26416.5434877644</v>
      </c>
      <c r="AM4614" s="2">
        <v>38657.692597376597</v>
      </c>
      <c r="AN4614" s="2">
        <v>27970.293193982299</v>
      </c>
      <c r="AO4614" s="2">
        <v>31837.907145571</v>
      </c>
      <c r="AP4614" s="2">
        <v>32624.2245619842</v>
      </c>
    </row>
    <row r="4615" spans="1:42" ht="14.5" x14ac:dyDescent="0.35">
      <c r="A4615" s="2" t="s">
        <v>30609</v>
      </c>
      <c r="B4615" s="2">
        <v>259.08109741501198</v>
      </c>
      <c r="C4615" s="2">
        <v>4.5485499999999996</v>
      </c>
      <c r="D4615" s="2" t="s">
        <v>34</v>
      </c>
      <c r="E4615" s="2" t="s">
        <v>30610</v>
      </c>
      <c r="F4615" s="2">
        <v>53165</v>
      </c>
      <c r="G4615" s="3" t="str">
        <f>HYPERLINK("http://funmeta.oebiotech.com/network/53165", "http://funmeta.oebiotech.com/network/53165")</f>
        <v>http://funmeta.oebiotech.com/network/53165</v>
      </c>
      <c r="H4615" s="2" t="s">
        <v>30611</v>
      </c>
      <c r="I4615" s="2">
        <v>1998</v>
      </c>
      <c r="J4615" s="2"/>
      <c r="K4615" s="2">
        <v>490877</v>
      </c>
      <c r="L4615" s="2" t="s">
        <v>30612</v>
      </c>
      <c r="M4615" s="2"/>
      <c r="N4615" s="2"/>
      <c r="O4615" s="2">
        <v>50599</v>
      </c>
      <c r="P4615" s="2" t="s">
        <v>30613</v>
      </c>
      <c r="Q4615" s="2" t="s">
        <v>30614</v>
      </c>
      <c r="R4615" s="2" t="s">
        <v>30615</v>
      </c>
      <c r="S4615" s="2" t="s">
        <v>1444</v>
      </c>
      <c r="T4615" s="2" t="s">
        <v>3595</v>
      </c>
      <c r="U4615" s="2" t="s">
        <v>21777</v>
      </c>
      <c r="V4615" s="2" t="s">
        <v>59</v>
      </c>
      <c r="W4615" s="2">
        <v>38.4</v>
      </c>
      <c r="X4615" s="2">
        <v>0</v>
      </c>
      <c r="Y4615" s="2" t="s">
        <v>323</v>
      </c>
      <c r="Z4615" s="2" t="s">
        <v>30616</v>
      </c>
      <c r="AA4615" s="2">
        <v>3.9665744533934402</v>
      </c>
      <c r="AB4615" s="2">
        <v>0.13247856782061099</v>
      </c>
      <c r="AC4615" s="2">
        <v>2518.7218514967799</v>
      </c>
      <c r="AD4615" s="2">
        <v>3896.16900539471</v>
      </c>
      <c r="AE4615" s="2">
        <v>2777.3287723553099</v>
      </c>
      <c r="AF4615" s="2">
        <v>2085.69826593672</v>
      </c>
      <c r="AG4615" s="2">
        <v>2507.1584883864598</v>
      </c>
      <c r="AH4615" s="2">
        <v>2239.42435030158</v>
      </c>
      <c r="AI4615" s="2">
        <v>2741.9232827360102</v>
      </c>
      <c r="AJ4615" s="2">
        <v>2760.79794926458</v>
      </c>
      <c r="AK4615" s="2">
        <v>3913.7307857963201</v>
      </c>
      <c r="AL4615" s="2">
        <v>2664.8178483903598</v>
      </c>
      <c r="AM4615" s="2">
        <v>4032.6611210186602</v>
      </c>
      <c r="AN4615" s="2">
        <v>4488.7701931138899</v>
      </c>
      <c r="AO4615" s="2">
        <v>3871.8765391839802</v>
      </c>
      <c r="AP4615" s="2">
        <v>4405.1575448650301</v>
      </c>
    </row>
    <row r="4616" spans="1:42" ht="14.5" x14ac:dyDescent="0.35">
      <c r="A4616" s="2" t="s">
        <v>30617</v>
      </c>
      <c r="B4616" s="2">
        <v>419.11896658627001</v>
      </c>
      <c r="C4616" s="2">
        <v>3.7118500000000001</v>
      </c>
      <c r="D4616" s="2" t="s">
        <v>70</v>
      </c>
      <c r="E4616" s="2" t="s">
        <v>30618</v>
      </c>
      <c r="F4616" s="2">
        <v>56282</v>
      </c>
      <c r="G4616" s="3" t="str">
        <f>HYPERLINK("http://funmeta.oebiotech.com/network/56282", "http://funmeta.oebiotech.com/network/56282")</f>
        <v>http://funmeta.oebiotech.com/network/56282</v>
      </c>
      <c r="H4616" s="2" t="s">
        <v>30619</v>
      </c>
      <c r="I4616" s="2">
        <v>87941</v>
      </c>
      <c r="J4616" s="2"/>
      <c r="K4616" s="2"/>
      <c r="L4616" s="2"/>
      <c r="M4616" s="2"/>
      <c r="N4616" s="2"/>
      <c r="O4616" s="2">
        <v>578941</v>
      </c>
      <c r="P4616" s="2" t="s">
        <v>30620</v>
      </c>
      <c r="Q4616" s="2" t="s">
        <v>30621</v>
      </c>
      <c r="R4616" s="2" t="s">
        <v>30622</v>
      </c>
      <c r="S4616" s="2" t="s">
        <v>89</v>
      </c>
      <c r="T4616" s="2" t="s">
        <v>90</v>
      </c>
      <c r="U4616" s="2" t="s">
        <v>99</v>
      </c>
      <c r="V4616" s="2" t="s">
        <v>59</v>
      </c>
      <c r="W4616" s="2">
        <v>38.299999999999997</v>
      </c>
      <c r="X4616" s="2">
        <v>0</v>
      </c>
      <c r="Y4616" s="2" t="s">
        <v>560</v>
      </c>
      <c r="Z4616" s="2" t="s">
        <v>30623</v>
      </c>
      <c r="AA4616" s="2">
        <v>-4.4524485489094303</v>
      </c>
      <c r="AB4616" s="2">
        <v>0.13245780295482101</v>
      </c>
      <c r="AC4616" s="2">
        <v>6300.7468566348398</v>
      </c>
      <c r="AD4616" s="2">
        <v>7670.1901571132003</v>
      </c>
      <c r="AE4616" s="2">
        <v>6383.5234636000996</v>
      </c>
      <c r="AF4616" s="2">
        <v>6184.6938438556299</v>
      </c>
      <c r="AG4616" s="2">
        <v>5489.8261418127004</v>
      </c>
      <c r="AH4616" s="2">
        <v>6289.6093960100497</v>
      </c>
      <c r="AI4616" s="2">
        <v>6965.5888535718404</v>
      </c>
      <c r="AJ4616" s="2">
        <v>6491.2394409587296</v>
      </c>
      <c r="AK4616" s="2">
        <v>8346.6709331705006</v>
      </c>
      <c r="AL4616" s="2">
        <v>7099.1182391297498</v>
      </c>
      <c r="AM4616" s="2">
        <v>7881.3899936586604</v>
      </c>
      <c r="AN4616" s="2">
        <v>7330.5091063750897</v>
      </c>
      <c r="AO4616" s="2">
        <v>7257.8629150535598</v>
      </c>
      <c r="AP4616" s="2">
        <v>8105.5897552916203</v>
      </c>
    </row>
    <row r="4617" spans="1:42" ht="14.5" x14ac:dyDescent="0.35">
      <c r="A4617" s="2" t="s">
        <v>30624</v>
      </c>
      <c r="B4617" s="2">
        <v>141.10164443763199</v>
      </c>
      <c r="C4617" s="2">
        <v>3.4190666666666698</v>
      </c>
      <c r="D4617" s="2" t="s">
        <v>34</v>
      </c>
      <c r="E4617" s="2" t="s">
        <v>30625</v>
      </c>
      <c r="F4617" s="2">
        <v>63543</v>
      </c>
      <c r="G4617" s="3" t="str">
        <f>HYPERLINK("http://funmeta.oebiotech.com/network/63543", "http://funmeta.oebiotech.com/network/63543")</f>
        <v>http://funmeta.oebiotech.com/network/63543</v>
      </c>
      <c r="H4617" s="2" t="s">
        <v>30626</v>
      </c>
      <c r="I4617" s="2">
        <v>94874</v>
      </c>
      <c r="J4617" s="2"/>
      <c r="K4617" s="2">
        <v>59982</v>
      </c>
      <c r="L4617" s="2"/>
      <c r="M4617" s="2"/>
      <c r="N4617" s="2"/>
      <c r="O4617" s="2">
        <v>61240</v>
      </c>
      <c r="P4617" s="2" t="s">
        <v>30627</v>
      </c>
      <c r="Q4617" s="2" t="s">
        <v>30628</v>
      </c>
      <c r="R4617" s="2" t="s">
        <v>30629</v>
      </c>
      <c r="S4617" s="2" t="s">
        <v>79</v>
      </c>
      <c r="T4617" s="2" t="s">
        <v>80</v>
      </c>
      <c r="U4617" s="2" t="s">
        <v>2820</v>
      </c>
      <c r="V4617" s="2" t="s">
        <v>59</v>
      </c>
      <c r="W4617" s="2">
        <v>37.9</v>
      </c>
      <c r="X4617" s="2">
        <v>2.62</v>
      </c>
      <c r="Y4617" s="2" t="s">
        <v>43</v>
      </c>
      <c r="Z4617" s="2" t="s">
        <v>30630</v>
      </c>
      <c r="AA4617" s="2">
        <v>-4.8347527899842904</v>
      </c>
      <c r="AB4617" s="2">
        <v>0.13236606382319099</v>
      </c>
      <c r="AC4617" s="2">
        <v>11941.320553897</v>
      </c>
      <c r="AD4617" s="2">
        <v>10421.383549468401</v>
      </c>
      <c r="AE4617" s="2">
        <v>11121.6565477311</v>
      </c>
      <c r="AF4617" s="2">
        <v>11755.3958772517</v>
      </c>
      <c r="AG4617" s="2">
        <v>12502.9391104067</v>
      </c>
      <c r="AH4617" s="2">
        <v>12660.719512219101</v>
      </c>
      <c r="AI4617" s="2">
        <v>11408.261203095501</v>
      </c>
      <c r="AJ4617" s="2">
        <v>12198.951072678001</v>
      </c>
      <c r="AK4617" s="2">
        <v>10235.8899861556</v>
      </c>
      <c r="AL4617" s="2">
        <v>10326.1259985788</v>
      </c>
      <c r="AM4617" s="2">
        <v>11919.611121187199</v>
      </c>
      <c r="AN4617" s="2">
        <v>10206.643817980201</v>
      </c>
      <c r="AO4617" s="2">
        <v>9414.5509782606805</v>
      </c>
      <c r="AP4617" s="2">
        <v>10425.4793946481</v>
      </c>
    </row>
    <row r="4618" spans="1:42" ht="14.5" x14ac:dyDescent="0.35">
      <c r="A4618" s="2" t="s">
        <v>30631</v>
      </c>
      <c r="B4618" s="2">
        <v>1143.5213538807</v>
      </c>
      <c r="C4618" s="2">
        <v>5.84148333333333</v>
      </c>
      <c r="D4618" s="2" t="s">
        <v>70</v>
      </c>
      <c r="E4618" s="2" t="s">
        <v>30632</v>
      </c>
      <c r="F4618" s="2">
        <v>58541</v>
      </c>
      <c r="G4618" s="3" t="str">
        <f>HYPERLINK("http://funmeta.oebiotech.com/network/58541", "http://funmeta.oebiotech.com/network/58541")</f>
        <v>http://funmeta.oebiotech.com/network/58541</v>
      </c>
      <c r="H4618" s="2" t="s">
        <v>30633</v>
      </c>
      <c r="I4618" s="2"/>
      <c r="J4618" s="2"/>
      <c r="K4618" s="2"/>
      <c r="L4618" s="2"/>
      <c r="M4618" s="2"/>
      <c r="N4618" s="2"/>
      <c r="O4618" s="2">
        <v>131751576</v>
      </c>
      <c r="P4618" s="2" t="s">
        <v>30634</v>
      </c>
      <c r="Q4618" s="2" t="s">
        <v>30635</v>
      </c>
      <c r="R4618" s="2" t="s">
        <v>30636</v>
      </c>
      <c r="S4618" s="2" t="s">
        <v>50</v>
      </c>
      <c r="T4618" s="2" t="s">
        <v>201</v>
      </c>
      <c r="U4618" s="2" t="s">
        <v>202</v>
      </c>
      <c r="V4618" s="2" t="s">
        <v>59</v>
      </c>
      <c r="W4618" s="2">
        <v>37.299999999999997</v>
      </c>
      <c r="X4618" s="2">
        <v>0</v>
      </c>
      <c r="Y4618" s="2" t="s">
        <v>408</v>
      </c>
      <c r="Z4618" s="2" t="s">
        <v>30637</v>
      </c>
      <c r="AA4618" s="2">
        <v>-1.3999402409996</v>
      </c>
      <c r="AB4618" s="2">
        <v>0.132326338622961</v>
      </c>
      <c r="AC4618" s="2">
        <v>16873.369528375399</v>
      </c>
      <c r="AD4618" s="2">
        <v>14582.5765604843</v>
      </c>
      <c r="AE4618" s="2">
        <v>18157.038326274</v>
      </c>
      <c r="AF4618" s="2">
        <v>16094.790174125499</v>
      </c>
      <c r="AG4618" s="2">
        <v>15995.0181509383</v>
      </c>
      <c r="AH4618" s="2">
        <v>14464.341194057401</v>
      </c>
      <c r="AI4618" s="2">
        <v>17989.551979762899</v>
      </c>
      <c r="AJ4618" s="2">
        <v>18539.477345094401</v>
      </c>
      <c r="AK4618" s="2">
        <v>13697.1071208671</v>
      </c>
      <c r="AL4618" s="2">
        <v>10320.798462602301</v>
      </c>
      <c r="AM4618" s="2">
        <v>14992.3840084695</v>
      </c>
      <c r="AN4618" s="2">
        <v>17408.300110390301</v>
      </c>
      <c r="AO4618" s="2">
        <v>14414.0491045704</v>
      </c>
      <c r="AP4618" s="2">
        <v>16662.8205560061</v>
      </c>
    </row>
    <row r="4619" spans="1:42" ht="14.5" x14ac:dyDescent="0.35">
      <c r="A4619" s="2" t="s">
        <v>30638</v>
      </c>
      <c r="B4619" s="2">
        <v>305.06796144270999</v>
      </c>
      <c r="C4619" s="2">
        <v>0.85473333333333301</v>
      </c>
      <c r="D4619" s="2" t="s">
        <v>70</v>
      </c>
      <c r="E4619" s="2" t="s">
        <v>30639</v>
      </c>
      <c r="F4619" s="2">
        <v>204435</v>
      </c>
      <c r="G4619" s="3" t="str">
        <f>HYPERLINK("http://funmeta.oebiotech.com/network/204435", "http://funmeta.oebiotech.com/network/204435")</f>
        <v>http://funmeta.oebiotech.com/network/204435</v>
      </c>
      <c r="H4619" s="2" t="s">
        <v>30640</v>
      </c>
      <c r="I4619" s="2"/>
      <c r="J4619" s="2"/>
      <c r="K4619" s="2"/>
      <c r="L4619" s="2"/>
      <c r="M4619" s="2"/>
      <c r="N4619" s="2"/>
      <c r="O4619" s="2"/>
      <c r="P4619" s="2"/>
      <c r="Q4619" s="2" t="s">
        <v>30641</v>
      </c>
      <c r="R4619" s="2" t="s">
        <v>30642</v>
      </c>
      <c r="S4619" s="2" t="s">
        <v>41</v>
      </c>
      <c r="T4619" s="2" t="s">
        <v>41</v>
      </c>
      <c r="U4619" s="2" t="s">
        <v>41</v>
      </c>
      <c r="V4619" s="2" t="s">
        <v>59</v>
      </c>
      <c r="W4619" s="2">
        <v>37.6</v>
      </c>
      <c r="X4619" s="2">
        <v>0</v>
      </c>
      <c r="Y4619" s="2" t="s">
        <v>751</v>
      </c>
      <c r="Z4619" s="2" t="s">
        <v>30643</v>
      </c>
      <c r="AA4619" s="2">
        <v>-0.16143737522899099</v>
      </c>
      <c r="AB4619" s="2">
        <v>0.13229825582722801</v>
      </c>
      <c r="AC4619" s="2">
        <v>5224.0499112727503</v>
      </c>
      <c r="AD4619" s="2">
        <v>3705.0788216852402</v>
      </c>
      <c r="AE4619" s="2">
        <v>5719.4691381767498</v>
      </c>
      <c r="AF4619" s="2">
        <v>5751.36411966988</v>
      </c>
      <c r="AG4619" s="2">
        <v>4809.3867285550396</v>
      </c>
      <c r="AH4619" s="2">
        <v>5252.44370592221</v>
      </c>
      <c r="AI4619" s="2">
        <v>5360.8742558416698</v>
      </c>
      <c r="AJ4619" s="2">
        <v>4450.7615194709597</v>
      </c>
      <c r="AK4619" s="2">
        <v>4082.8213812375502</v>
      </c>
      <c r="AL4619" s="2">
        <v>3161.4206673338299</v>
      </c>
      <c r="AM4619" s="2">
        <v>2184.2910343727999</v>
      </c>
      <c r="AN4619" s="2">
        <v>3956.7712421173601</v>
      </c>
      <c r="AO4619" s="2">
        <v>4545.0536715388398</v>
      </c>
      <c r="AP4619" s="2">
        <v>4300.1149335110604</v>
      </c>
    </row>
    <row r="4620" spans="1:42" ht="14.5" x14ac:dyDescent="0.35">
      <c r="A4620" s="2" t="s">
        <v>30644</v>
      </c>
      <c r="B4620" s="2">
        <v>337.16335717159802</v>
      </c>
      <c r="C4620" s="2">
        <v>6.6313500000000003</v>
      </c>
      <c r="D4620" s="2" t="s">
        <v>70</v>
      </c>
      <c r="E4620" s="2" t="s">
        <v>30645</v>
      </c>
      <c r="F4620" s="2">
        <v>47053</v>
      </c>
      <c r="G4620" s="3" t="str">
        <f>HYPERLINK("http://funmeta.oebiotech.com/network/47053", "http://funmeta.oebiotech.com/network/47053")</f>
        <v>http://funmeta.oebiotech.com/network/47053</v>
      </c>
      <c r="H4620" s="2" t="s">
        <v>30646</v>
      </c>
      <c r="I4620" s="2">
        <v>3293</v>
      </c>
      <c r="J4620" s="2"/>
      <c r="K4620" s="2">
        <v>27596</v>
      </c>
      <c r="L4620" s="2" t="s">
        <v>30647</v>
      </c>
      <c r="M4620" s="2" t="s">
        <v>15688</v>
      </c>
      <c r="N4620" s="2" t="s">
        <v>15689</v>
      </c>
      <c r="O4620" s="2">
        <v>64969</v>
      </c>
      <c r="P4620" s="2" t="s">
        <v>30648</v>
      </c>
      <c r="Q4620" s="2" t="s">
        <v>30649</v>
      </c>
      <c r="R4620" s="2" t="s">
        <v>30650</v>
      </c>
      <c r="S4620" s="2" t="s">
        <v>89</v>
      </c>
      <c r="T4620" s="2" t="s">
        <v>90</v>
      </c>
      <c r="U4620" s="2" t="s">
        <v>99</v>
      </c>
      <c r="V4620" s="2" t="s">
        <v>59</v>
      </c>
      <c r="W4620" s="2">
        <v>39</v>
      </c>
      <c r="X4620" s="2">
        <v>0</v>
      </c>
      <c r="Y4620" s="2" t="s">
        <v>560</v>
      </c>
      <c r="Z4620" s="2" t="s">
        <v>30651</v>
      </c>
      <c r="AA4620" s="2">
        <v>1.1248506158435301</v>
      </c>
      <c r="AB4620" s="2">
        <v>0.13224171659966399</v>
      </c>
      <c r="AC4620" s="2">
        <v>1139.66365921396</v>
      </c>
      <c r="AD4620" s="2">
        <v>2471.6696867898199</v>
      </c>
      <c r="AE4620" s="2">
        <v>870.00883758496195</v>
      </c>
      <c r="AF4620" s="2">
        <v>942.36277590005898</v>
      </c>
      <c r="AG4620" s="2">
        <v>1604.78926189499</v>
      </c>
      <c r="AH4620" s="2">
        <v>863.21880564801097</v>
      </c>
      <c r="AI4620" s="2">
        <v>974.69314384707798</v>
      </c>
      <c r="AJ4620" s="2">
        <v>1582.9091304086801</v>
      </c>
      <c r="AK4620" s="2">
        <v>1668.53851572088</v>
      </c>
      <c r="AL4620" s="2">
        <v>2922.4746370415601</v>
      </c>
      <c r="AM4620" s="2">
        <v>2577.1016475235101</v>
      </c>
      <c r="AN4620" s="2">
        <v>2617.6137801437199</v>
      </c>
      <c r="AO4620" s="2">
        <v>2922.3621328229201</v>
      </c>
      <c r="AP4620" s="2">
        <v>2121.9274074863101</v>
      </c>
    </row>
    <row r="4621" spans="1:42" ht="14.5" x14ac:dyDescent="0.35">
      <c r="A4621" s="2" t="s">
        <v>30652</v>
      </c>
      <c r="B4621" s="2">
        <v>523.01540564363302</v>
      </c>
      <c r="C4621" s="2">
        <v>3.4826666666666699</v>
      </c>
      <c r="D4621" s="2" t="s">
        <v>70</v>
      </c>
      <c r="E4621" s="2" t="s">
        <v>30653</v>
      </c>
      <c r="F4621" s="2">
        <v>255274</v>
      </c>
      <c r="G4621" s="3" t="str">
        <f>HYPERLINK("http://funmeta.oebiotech.com/network/255274", "http://funmeta.oebiotech.com/network/255274")</f>
        <v>http://funmeta.oebiotech.com/network/255274</v>
      </c>
      <c r="H4621" s="2" t="s">
        <v>30654</v>
      </c>
      <c r="I4621" s="2"/>
      <c r="J4621" s="2"/>
      <c r="K4621" s="2"/>
      <c r="L4621" s="2"/>
      <c r="M4621" s="2"/>
      <c r="N4621" s="2"/>
      <c r="O4621" s="2">
        <v>71587386</v>
      </c>
      <c r="P4621" s="2"/>
      <c r="Q4621" s="2" t="s">
        <v>30655</v>
      </c>
      <c r="R4621" s="2" t="s">
        <v>30656</v>
      </c>
      <c r="S4621" s="2" t="s">
        <v>491</v>
      </c>
      <c r="T4621" s="2" t="s">
        <v>8753</v>
      </c>
      <c r="U4621" s="2" t="s">
        <v>41</v>
      </c>
      <c r="V4621" s="2" t="s">
        <v>59</v>
      </c>
      <c r="W4621" s="2">
        <v>38.700000000000003</v>
      </c>
      <c r="X4621" s="2">
        <v>0</v>
      </c>
      <c r="Y4621" s="2" t="s">
        <v>560</v>
      </c>
      <c r="Z4621" s="2" t="s">
        <v>30657</v>
      </c>
      <c r="AA4621" s="2">
        <v>-3.3606142421800498</v>
      </c>
      <c r="AB4621" s="2">
        <v>0.13222771061611699</v>
      </c>
      <c r="AC4621" s="2">
        <v>2738.3167288990799</v>
      </c>
      <c r="AD4621" s="2">
        <v>1486.5013873006601</v>
      </c>
      <c r="AE4621" s="2">
        <v>2699.3009650444101</v>
      </c>
      <c r="AF4621" s="2">
        <v>2682.2947467179902</v>
      </c>
      <c r="AG4621" s="2">
        <v>3303.1721916739202</v>
      </c>
      <c r="AH4621" s="2">
        <v>2601.9571197642799</v>
      </c>
      <c r="AI4621" s="2">
        <v>2781.0622473018402</v>
      </c>
      <c r="AJ4621" s="2">
        <v>2362.1131028920099</v>
      </c>
      <c r="AK4621" s="2">
        <v>1284.63965171115</v>
      </c>
      <c r="AL4621" s="2">
        <v>2025.2029386623899</v>
      </c>
      <c r="AM4621" s="2">
        <v>1530.95322275026</v>
      </c>
      <c r="AN4621" s="2">
        <v>1498.7550330240599</v>
      </c>
      <c r="AO4621" s="2">
        <v>1163.60709615264</v>
      </c>
      <c r="AP4621" s="2">
        <v>1415.8503815034601</v>
      </c>
    </row>
    <row r="4622" spans="1:42" ht="14.5" x14ac:dyDescent="0.35">
      <c r="A4622" s="2" t="s">
        <v>30658</v>
      </c>
      <c r="B4622" s="2">
        <v>179.14284509184299</v>
      </c>
      <c r="C4622" s="2">
        <v>5.7384500000000003</v>
      </c>
      <c r="D4622" s="2" t="s">
        <v>34</v>
      </c>
      <c r="E4622" s="2" t="s">
        <v>30659</v>
      </c>
      <c r="F4622" s="2">
        <v>688</v>
      </c>
      <c r="G4622" s="3" t="str">
        <f>HYPERLINK("http://funmeta.oebiotech.com/network/688", "http://funmeta.oebiotech.com/network/688")</f>
        <v>http://funmeta.oebiotech.com/network/688</v>
      </c>
      <c r="H4622" s="2"/>
      <c r="I4622" s="2">
        <v>34856</v>
      </c>
      <c r="J4622" s="2" t="s">
        <v>30660</v>
      </c>
      <c r="K4622" s="2"/>
      <c r="L4622" s="2"/>
      <c r="M4622" s="2"/>
      <c r="N4622" s="2"/>
      <c r="O4622" s="2">
        <v>5282853</v>
      </c>
      <c r="P4622" s="2"/>
      <c r="Q4622" s="2" t="s">
        <v>30661</v>
      </c>
      <c r="R4622" s="2" t="s">
        <v>30662</v>
      </c>
      <c r="S4622" s="2" t="s">
        <v>50</v>
      </c>
      <c r="T4622" s="2" t="s">
        <v>229</v>
      </c>
      <c r="U4622" s="2" t="s">
        <v>433</v>
      </c>
      <c r="V4622" s="2" t="s">
        <v>42</v>
      </c>
      <c r="W4622" s="2">
        <v>48.6</v>
      </c>
      <c r="X4622" s="2">
        <v>48</v>
      </c>
      <c r="Y4622" s="2" t="s">
        <v>266</v>
      </c>
      <c r="Z4622" s="2" t="s">
        <v>24400</v>
      </c>
      <c r="AA4622" s="2">
        <v>-1.0020002790373299</v>
      </c>
      <c r="AB4622" s="2">
        <v>0.132205472298981</v>
      </c>
      <c r="AC4622" s="2">
        <v>23376.430408382199</v>
      </c>
      <c r="AD4622" s="2">
        <v>21605.221731224501</v>
      </c>
      <c r="AE4622" s="2">
        <v>22100.032425586902</v>
      </c>
      <c r="AF4622" s="2">
        <v>24444.1170731989</v>
      </c>
      <c r="AG4622" s="2">
        <v>24860.427826640698</v>
      </c>
      <c r="AH4622" s="2">
        <v>22663.5782565429</v>
      </c>
      <c r="AI4622" s="2">
        <v>22551.3750396457</v>
      </c>
      <c r="AJ4622" s="2">
        <v>23639.051828678301</v>
      </c>
      <c r="AK4622" s="2">
        <v>20837.832034954499</v>
      </c>
      <c r="AL4622" s="2">
        <v>20979.4074474029</v>
      </c>
      <c r="AM4622" s="2">
        <v>23799.391067694</v>
      </c>
      <c r="AN4622" s="2">
        <v>20950.0214345887</v>
      </c>
      <c r="AO4622" s="2">
        <v>22163.270318461698</v>
      </c>
      <c r="AP4622" s="2">
        <v>20901.408084244998</v>
      </c>
    </row>
    <row r="4623" spans="1:42" ht="14.5" x14ac:dyDescent="0.35">
      <c r="A4623" s="2" t="s">
        <v>30663</v>
      </c>
      <c r="B4623" s="2">
        <v>380.20900438639597</v>
      </c>
      <c r="C4623" s="2">
        <v>13.120983333333299</v>
      </c>
      <c r="D4623" s="2" t="s">
        <v>34</v>
      </c>
      <c r="E4623" s="2" t="s">
        <v>30664</v>
      </c>
      <c r="F4623" s="2">
        <v>203745</v>
      </c>
      <c r="G4623" s="3" t="str">
        <f>HYPERLINK("http://funmeta.oebiotech.com/network/203745", "http://funmeta.oebiotech.com/network/203745")</f>
        <v>http://funmeta.oebiotech.com/network/203745</v>
      </c>
      <c r="H4623" s="2" t="s">
        <v>30665</v>
      </c>
      <c r="I4623" s="2">
        <v>423196</v>
      </c>
      <c r="J4623" s="2"/>
      <c r="K4623" s="2"/>
      <c r="L4623" s="2"/>
      <c r="M4623" s="2"/>
      <c r="N4623" s="2"/>
      <c r="O4623" s="2">
        <v>60848</v>
      </c>
      <c r="P4623" s="2"/>
      <c r="Q4623" s="2" t="s">
        <v>30666</v>
      </c>
      <c r="R4623" s="2" t="s">
        <v>30667</v>
      </c>
      <c r="S4623" s="2" t="s">
        <v>491</v>
      </c>
      <c r="T4623" s="2" t="s">
        <v>5190</v>
      </c>
      <c r="U4623" s="2" t="s">
        <v>5191</v>
      </c>
      <c r="V4623" s="2" t="s">
        <v>59</v>
      </c>
      <c r="W4623" s="2">
        <v>37.200000000000003</v>
      </c>
      <c r="X4623" s="2">
        <v>0</v>
      </c>
      <c r="Y4623" s="2" t="s">
        <v>394</v>
      </c>
      <c r="Z4623" s="2" t="s">
        <v>30668</v>
      </c>
      <c r="AA4623" s="2">
        <v>2.3810325996331798</v>
      </c>
      <c r="AB4623" s="2">
        <v>0.132051397786735</v>
      </c>
      <c r="AC4623" s="2">
        <v>1821.2279147080501</v>
      </c>
      <c r="AD4623" s="2">
        <v>659.77765853328901</v>
      </c>
      <c r="AE4623" s="2">
        <v>1768.3288162604799</v>
      </c>
      <c r="AF4623" s="2">
        <v>1845.30757176887</v>
      </c>
      <c r="AG4623" s="2">
        <v>1861.9465679504201</v>
      </c>
      <c r="AH4623" s="2">
        <v>1829.34368276687</v>
      </c>
      <c r="AI4623" s="2">
        <v>1879.74589829196</v>
      </c>
      <c r="AJ4623" s="2">
        <v>1742.6949512096701</v>
      </c>
      <c r="AK4623" s="2">
        <v>635.17429614941602</v>
      </c>
      <c r="AL4623" s="2">
        <v>517.63118397229903</v>
      </c>
      <c r="AM4623" s="2">
        <v>701.88149057612895</v>
      </c>
      <c r="AN4623" s="2">
        <v>481.83641054119897</v>
      </c>
      <c r="AO4623" s="2">
        <v>850.46206626334197</v>
      </c>
      <c r="AP4623" s="2">
        <v>771.68050369734999</v>
      </c>
    </row>
    <row r="4624" spans="1:42" ht="14.5" x14ac:dyDescent="0.35">
      <c r="A4624" s="2" t="s">
        <v>30669</v>
      </c>
      <c r="B4624" s="2">
        <v>275.16360974390898</v>
      </c>
      <c r="C4624" s="2">
        <v>6.1123333333333303</v>
      </c>
      <c r="D4624" s="2" t="s">
        <v>34</v>
      </c>
      <c r="E4624" s="2" t="s">
        <v>30670</v>
      </c>
      <c r="F4624" s="2">
        <v>35965</v>
      </c>
      <c r="G4624" s="3" t="str">
        <f>HYPERLINK("http://funmeta.oebiotech.com/network/35965", "http://funmeta.oebiotech.com/network/35965")</f>
        <v>http://funmeta.oebiotech.com/network/35965</v>
      </c>
      <c r="H4624" s="2"/>
      <c r="I4624" s="2">
        <v>53628</v>
      </c>
      <c r="J4624" s="2" t="s">
        <v>30671</v>
      </c>
      <c r="K4624" s="2">
        <v>8277</v>
      </c>
      <c r="L4624" s="2" t="s">
        <v>30672</v>
      </c>
      <c r="M4624" s="2"/>
      <c r="N4624" s="2"/>
      <c r="O4624" s="2">
        <v>93017</v>
      </c>
      <c r="P4624" s="2"/>
      <c r="Q4624" s="2" t="s">
        <v>30673</v>
      </c>
      <c r="R4624" s="2" t="s">
        <v>30674</v>
      </c>
      <c r="S4624" s="2" t="s">
        <v>50</v>
      </c>
      <c r="T4624" s="2" t="s">
        <v>201</v>
      </c>
      <c r="U4624" s="2" t="s">
        <v>241</v>
      </c>
      <c r="V4624" s="2" t="s">
        <v>59</v>
      </c>
      <c r="W4624" s="2">
        <v>38.4</v>
      </c>
      <c r="X4624" s="2">
        <v>0</v>
      </c>
      <c r="Y4624" s="2" t="s">
        <v>394</v>
      </c>
      <c r="Z4624" s="2" t="s">
        <v>27477</v>
      </c>
      <c r="AA4624" s="2">
        <v>-2.0471938602092199</v>
      </c>
      <c r="AB4624" s="2">
        <v>0.13197474400131601</v>
      </c>
      <c r="AC4624" s="2">
        <v>2290.4579431081302</v>
      </c>
      <c r="AD4624" s="2">
        <v>3662.3834165562398</v>
      </c>
      <c r="AE4624" s="2">
        <v>2106.1635176955101</v>
      </c>
      <c r="AF4624" s="2">
        <v>2441.2470788006999</v>
      </c>
      <c r="AG4624" s="2">
        <v>2320.7221380103601</v>
      </c>
      <c r="AH4624" s="2">
        <v>2415.5419392215799</v>
      </c>
      <c r="AI4624" s="2">
        <v>1259.7898693760201</v>
      </c>
      <c r="AJ4624" s="2">
        <v>3199.2831155446202</v>
      </c>
      <c r="AK4624" s="2">
        <v>3783.6072450353699</v>
      </c>
      <c r="AL4624" s="2">
        <v>3408.96230705176</v>
      </c>
      <c r="AM4624" s="2">
        <v>3800.28736904878</v>
      </c>
      <c r="AN4624" s="2">
        <v>3397.6757088947302</v>
      </c>
      <c r="AO4624" s="2">
        <v>3499.1540507975701</v>
      </c>
      <c r="AP4624" s="2">
        <v>4084.61381850926</v>
      </c>
    </row>
    <row r="4625" spans="1:42" ht="14.5" x14ac:dyDescent="0.35">
      <c r="A4625" s="2" t="s">
        <v>30675</v>
      </c>
      <c r="B4625" s="2">
        <v>463.32564904971599</v>
      </c>
      <c r="C4625" s="2">
        <v>5.1837999999999997</v>
      </c>
      <c r="D4625" s="2" t="s">
        <v>34</v>
      </c>
      <c r="E4625" s="2" t="s">
        <v>30676</v>
      </c>
      <c r="F4625" s="2">
        <v>52111</v>
      </c>
      <c r="G4625" s="3" t="str">
        <f>HYPERLINK("http://funmeta.oebiotech.com/network/52111", "http://funmeta.oebiotech.com/network/52111")</f>
        <v>http://funmeta.oebiotech.com/network/52111</v>
      </c>
      <c r="H4625" s="2" t="s">
        <v>30677</v>
      </c>
      <c r="I4625" s="2"/>
      <c r="J4625" s="2"/>
      <c r="K4625" s="2">
        <v>169592</v>
      </c>
      <c r="L4625" s="2"/>
      <c r="M4625" s="2"/>
      <c r="N4625" s="2"/>
      <c r="O4625" s="2">
        <v>53481556</v>
      </c>
      <c r="P4625" s="2"/>
      <c r="Q4625" s="2" t="s">
        <v>30678</v>
      </c>
      <c r="R4625" s="2" t="s">
        <v>30679</v>
      </c>
      <c r="S4625" s="2" t="s">
        <v>89</v>
      </c>
      <c r="T4625" s="2" t="s">
        <v>90</v>
      </c>
      <c r="U4625" s="2" t="s">
        <v>99</v>
      </c>
      <c r="V4625" s="2" t="s">
        <v>59</v>
      </c>
      <c r="W4625" s="2">
        <v>37.5</v>
      </c>
      <c r="X4625" s="2">
        <v>0</v>
      </c>
      <c r="Y4625" s="2" t="s">
        <v>43</v>
      </c>
      <c r="Z4625" s="2" t="s">
        <v>30680</v>
      </c>
      <c r="AA4625" s="2">
        <v>4.0187911010369</v>
      </c>
      <c r="AB4625" s="2">
        <v>0.13196530772355999</v>
      </c>
      <c r="AC4625" s="2">
        <v>5095.2251342163199</v>
      </c>
      <c r="AD4625" s="2">
        <v>3015.9495426625199</v>
      </c>
      <c r="AE4625" s="2">
        <v>4039.9283410860698</v>
      </c>
      <c r="AF4625" s="2">
        <v>2732.0404383622099</v>
      </c>
      <c r="AG4625" s="2">
        <v>4860.7990572527697</v>
      </c>
      <c r="AH4625" s="2">
        <v>5737.5198080662904</v>
      </c>
      <c r="AI4625" s="2">
        <v>4608.3299495912997</v>
      </c>
      <c r="AJ4625" s="2">
        <v>8592.7332109392992</v>
      </c>
      <c r="AK4625" s="2">
        <v>1563.61189411788</v>
      </c>
      <c r="AL4625" s="2">
        <v>2341.3213131314501</v>
      </c>
      <c r="AM4625" s="2">
        <v>4440.6132013271599</v>
      </c>
      <c r="AN4625" s="2">
        <v>4813.7662963480598</v>
      </c>
      <c r="AO4625" s="2">
        <v>1746.58257799129</v>
      </c>
      <c r="AP4625" s="2">
        <v>3189.80197305928</v>
      </c>
    </row>
    <row r="4626" spans="1:42" ht="14.5" x14ac:dyDescent="0.35">
      <c r="A4626" s="2" t="s">
        <v>30681</v>
      </c>
      <c r="B4626" s="2">
        <v>449.19548234496301</v>
      </c>
      <c r="C4626" s="2">
        <v>8.4891833333333295</v>
      </c>
      <c r="D4626" s="2" t="s">
        <v>34</v>
      </c>
      <c r="E4626" s="2" t="s">
        <v>30682</v>
      </c>
      <c r="F4626" s="2">
        <v>29324</v>
      </c>
      <c r="G4626" s="3" t="str">
        <f>HYPERLINK("http://funmeta.oebiotech.com/network/29324", "http://funmeta.oebiotech.com/network/29324")</f>
        <v>http://funmeta.oebiotech.com/network/29324</v>
      </c>
      <c r="H4626" s="2"/>
      <c r="I4626" s="2">
        <v>47698</v>
      </c>
      <c r="J4626" s="2" t="s">
        <v>30683</v>
      </c>
      <c r="K4626" s="2"/>
      <c r="L4626" s="2"/>
      <c r="M4626" s="2"/>
      <c r="N4626" s="2"/>
      <c r="O4626" s="2">
        <v>131018</v>
      </c>
      <c r="P4626" s="2"/>
      <c r="Q4626" s="2" t="s">
        <v>30684</v>
      </c>
      <c r="R4626" s="2" t="s">
        <v>30685</v>
      </c>
      <c r="S4626" s="2" t="s">
        <v>115</v>
      </c>
      <c r="T4626" s="2" t="s">
        <v>1371</v>
      </c>
      <c r="U4626" s="2" t="s">
        <v>3261</v>
      </c>
      <c r="V4626" s="2" t="s">
        <v>59</v>
      </c>
      <c r="W4626" s="2">
        <v>45.8</v>
      </c>
      <c r="X4626" s="2">
        <v>39.9</v>
      </c>
      <c r="Y4626" s="2" t="s">
        <v>266</v>
      </c>
      <c r="Z4626" s="2" t="s">
        <v>6251</v>
      </c>
      <c r="AA4626" s="2">
        <v>-0.820902515081396</v>
      </c>
      <c r="AB4626" s="2">
        <v>0.1319143463603</v>
      </c>
      <c r="AC4626" s="2">
        <v>47978.6575967842</v>
      </c>
      <c r="AD4626" s="2">
        <v>50477.255058060902</v>
      </c>
      <c r="AE4626" s="2">
        <v>53703.632397500201</v>
      </c>
      <c r="AF4626" s="2">
        <v>48156.467251524897</v>
      </c>
      <c r="AG4626" s="2">
        <v>43005.030260470601</v>
      </c>
      <c r="AH4626" s="2">
        <v>48279.097467455998</v>
      </c>
      <c r="AI4626" s="2">
        <v>47844.0311797678</v>
      </c>
      <c r="AJ4626" s="2">
        <v>46883.687023985702</v>
      </c>
      <c r="AK4626" s="2">
        <v>52633.139185079803</v>
      </c>
      <c r="AL4626" s="2">
        <v>50245.214028193703</v>
      </c>
      <c r="AM4626" s="2">
        <v>50204.236691150101</v>
      </c>
      <c r="AN4626" s="2">
        <v>51476.954832758202</v>
      </c>
      <c r="AO4626" s="2">
        <v>47948.2344146709</v>
      </c>
      <c r="AP4626" s="2">
        <v>50355.751196512501</v>
      </c>
    </row>
    <row r="4627" spans="1:42" ht="14.5" x14ac:dyDescent="0.35">
      <c r="A4627" s="2" t="s">
        <v>30686</v>
      </c>
      <c r="B4627" s="2">
        <v>143.081427589942</v>
      </c>
      <c r="C4627" s="2">
        <v>0.76544999999999996</v>
      </c>
      <c r="D4627" s="2" t="s">
        <v>34</v>
      </c>
      <c r="E4627" s="2" t="s">
        <v>30687</v>
      </c>
      <c r="F4627" s="2">
        <v>350886</v>
      </c>
      <c r="G4627" s="3" t="str">
        <f>HYPERLINK("http://funmeta.oebiotech.com/network/350886", "http://funmeta.oebiotech.com/network/350886")</f>
        <v>http://funmeta.oebiotech.com/network/350886</v>
      </c>
      <c r="H4627" s="2"/>
      <c r="I4627" s="2">
        <v>425969</v>
      </c>
      <c r="J4627" s="2"/>
      <c r="K4627" s="2"/>
      <c r="L4627" s="2"/>
      <c r="M4627" s="2"/>
      <c r="N4627" s="2"/>
      <c r="O4627" s="2">
        <v>84169</v>
      </c>
      <c r="P4627" s="2"/>
      <c r="Q4627" s="2" t="s">
        <v>30688</v>
      </c>
      <c r="R4627" s="2" t="s">
        <v>30689</v>
      </c>
      <c r="S4627" s="2" t="s">
        <v>491</v>
      </c>
      <c r="T4627" s="2" t="s">
        <v>2238</v>
      </c>
      <c r="U4627" s="2" t="s">
        <v>30690</v>
      </c>
      <c r="V4627" s="2" t="s">
        <v>59</v>
      </c>
      <c r="W4627" s="2">
        <v>39</v>
      </c>
      <c r="X4627" s="2">
        <v>0</v>
      </c>
      <c r="Y4627" s="2" t="s">
        <v>440</v>
      </c>
      <c r="Z4627" s="2" t="s">
        <v>30691</v>
      </c>
      <c r="AA4627" s="2">
        <v>-0.61103468163529895</v>
      </c>
      <c r="AB4627" s="2">
        <v>0.13188045502146101</v>
      </c>
      <c r="AC4627" s="2">
        <v>21893.5898776381</v>
      </c>
      <c r="AD4627" s="2">
        <v>19994.579365005098</v>
      </c>
      <c r="AE4627" s="2">
        <v>23422.102852755001</v>
      </c>
      <c r="AF4627" s="2">
        <v>23106.1846548213</v>
      </c>
      <c r="AG4627" s="2">
        <v>21498.203781546399</v>
      </c>
      <c r="AH4627" s="2">
        <v>20729.8360595745</v>
      </c>
      <c r="AI4627" s="2">
        <v>21531.052909892402</v>
      </c>
      <c r="AJ4627" s="2">
        <v>21074.159007238799</v>
      </c>
      <c r="AK4627" s="2">
        <v>18315.922653907</v>
      </c>
      <c r="AL4627" s="2">
        <v>18601.668118315101</v>
      </c>
      <c r="AM4627" s="2">
        <v>22628.383678238399</v>
      </c>
      <c r="AN4627" s="2">
        <v>20718.683596162598</v>
      </c>
      <c r="AO4627" s="2">
        <v>20346.3938034772</v>
      </c>
      <c r="AP4627" s="2">
        <v>19356.424339930501</v>
      </c>
    </row>
    <row r="4628" spans="1:42" ht="14.5" x14ac:dyDescent="0.35">
      <c r="A4628" s="2" t="s">
        <v>30692</v>
      </c>
      <c r="B4628" s="2">
        <v>349.198562959149</v>
      </c>
      <c r="C4628" s="2">
        <v>9.4668666666666699</v>
      </c>
      <c r="D4628" s="2" t="s">
        <v>34</v>
      </c>
      <c r="E4628" s="2" t="s">
        <v>30693</v>
      </c>
      <c r="F4628" s="2">
        <v>4182</v>
      </c>
      <c r="G4628" s="3" t="str">
        <f>HYPERLINK("http://funmeta.oebiotech.com/network/4182", "http://funmeta.oebiotech.com/network/4182")</f>
        <v>http://funmeta.oebiotech.com/network/4182</v>
      </c>
      <c r="H4628" s="2"/>
      <c r="I4628" s="2">
        <v>36202</v>
      </c>
      <c r="J4628" s="2" t="s">
        <v>30694</v>
      </c>
      <c r="K4628" s="2">
        <v>34230</v>
      </c>
      <c r="L4628" s="2" t="s">
        <v>30695</v>
      </c>
      <c r="M4628" s="2" t="s">
        <v>9009</v>
      </c>
      <c r="N4628" s="2" t="s">
        <v>9010</v>
      </c>
      <c r="O4628" s="2">
        <v>9548881</v>
      </c>
      <c r="P4628" s="2" t="s">
        <v>30696</v>
      </c>
      <c r="Q4628" s="2" t="s">
        <v>30697</v>
      </c>
      <c r="R4628" s="2" t="s">
        <v>30698</v>
      </c>
      <c r="S4628" s="2" t="s">
        <v>50</v>
      </c>
      <c r="T4628" s="2" t="s">
        <v>229</v>
      </c>
      <c r="U4628" s="2" t="s">
        <v>766</v>
      </c>
      <c r="V4628" s="2" t="s">
        <v>59</v>
      </c>
      <c r="W4628" s="2">
        <v>37.1</v>
      </c>
      <c r="X4628" s="2">
        <v>0</v>
      </c>
      <c r="Y4628" s="2" t="s">
        <v>323</v>
      </c>
      <c r="Z4628" s="2" t="s">
        <v>24250</v>
      </c>
      <c r="AA4628" s="2">
        <v>5.5851405648391E-2</v>
      </c>
      <c r="AB4628" s="2">
        <v>0.131840226325219</v>
      </c>
      <c r="AC4628" s="2">
        <v>13220.816421624701</v>
      </c>
      <c r="AD4628" s="2">
        <v>14851.384169102101</v>
      </c>
      <c r="AE4628" s="2">
        <v>13331.106242635</v>
      </c>
      <c r="AF4628" s="2">
        <v>13381.9193294944</v>
      </c>
      <c r="AG4628" s="2">
        <v>13290.3868496821</v>
      </c>
      <c r="AH4628" s="2">
        <v>13027.8231856026</v>
      </c>
      <c r="AI4628" s="2">
        <v>13427.863339773699</v>
      </c>
      <c r="AJ4628" s="2">
        <v>12865.799582560399</v>
      </c>
      <c r="AK4628" s="2">
        <v>17190.559124574502</v>
      </c>
      <c r="AL4628" s="2">
        <v>15166.329421955301</v>
      </c>
      <c r="AM4628" s="2">
        <v>14700.948091080299</v>
      </c>
      <c r="AN4628" s="2">
        <v>14059.163786291199</v>
      </c>
      <c r="AO4628" s="2">
        <v>14342.795192465501</v>
      </c>
      <c r="AP4628" s="2">
        <v>13648.5093982456</v>
      </c>
    </row>
    <row r="4629" spans="1:42" ht="14.5" x14ac:dyDescent="0.35">
      <c r="A4629" s="2" t="s">
        <v>30699</v>
      </c>
      <c r="B4629" s="2">
        <v>287.17150123318999</v>
      </c>
      <c r="C4629" s="2">
        <v>2.2389333333333301</v>
      </c>
      <c r="D4629" s="2" t="s">
        <v>34</v>
      </c>
      <c r="E4629" s="2" t="s">
        <v>30700</v>
      </c>
      <c r="F4629" s="2">
        <v>213296</v>
      </c>
      <c r="G4629" s="3" t="str">
        <f>HYPERLINK("http://funmeta.oebiotech.com/network/213296", "http://funmeta.oebiotech.com/network/213296")</f>
        <v>http://funmeta.oebiotech.com/network/213296</v>
      </c>
      <c r="H4629" s="2" t="s">
        <v>30701</v>
      </c>
      <c r="I4629" s="2"/>
      <c r="J4629" s="2"/>
      <c r="K4629" s="2"/>
      <c r="L4629" s="2"/>
      <c r="M4629" s="2"/>
      <c r="N4629" s="2"/>
      <c r="O4629" s="2">
        <v>20455010</v>
      </c>
      <c r="P4629" s="2"/>
      <c r="Q4629" s="2" t="s">
        <v>30702</v>
      </c>
      <c r="R4629" s="2" t="s">
        <v>30703</v>
      </c>
      <c r="S4629" s="2" t="s">
        <v>89</v>
      </c>
      <c r="T4629" s="2" t="s">
        <v>90</v>
      </c>
      <c r="U4629" s="2" t="s">
        <v>99</v>
      </c>
      <c r="V4629" s="2" t="s">
        <v>59</v>
      </c>
      <c r="W4629" s="2">
        <v>38.9</v>
      </c>
      <c r="X4629" s="2">
        <v>0</v>
      </c>
      <c r="Y4629" s="2" t="s">
        <v>43</v>
      </c>
      <c r="Z4629" s="2" t="s">
        <v>30704</v>
      </c>
      <c r="AA4629" s="2">
        <v>0.44438695745946999</v>
      </c>
      <c r="AB4629" s="2">
        <v>0.13180940983537001</v>
      </c>
      <c r="AC4629" s="2">
        <v>1174.9626779299001</v>
      </c>
      <c r="AD4629" s="2">
        <v>0.72869041069891605</v>
      </c>
      <c r="AE4629" s="2">
        <v>1093.47800542806</v>
      </c>
      <c r="AF4629" s="2">
        <v>1318.21222821063</v>
      </c>
      <c r="AG4629" s="2">
        <v>1180.8984575203301</v>
      </c>
      <c r="AH4629" s="2">
        <v>1306.89791159531</v>
      </c>
      <c r="AI4629" s="2">
        <v>736.51795376862003</v>
      </c>
      <c r="AJ4629" s="2">
        <v>1413.77151105643</v>
      </c>
      <c r="AK4629" s="2">
        <v>1.8378895598689799</v>
      </c>
      <c r="AL4629" s="2">
        <v>2.7106294003980101E-5</v>
      </c>
      <c r="AM4629" s="2">
        <v>2.5341444791484999</v>
      </c>
      <c r="AN4629" s="2">
        <v>2.7106294003980101E-5</v>
      </c>
      <c r="AO4629" s="2">
        <v>2.7106294003980101E-5</v>
      </c>
      <c r="AP4629" s="2">
        <v>2.7106294003980101E-5</v>
      </c>
    </row>
    <row r="4630" spans="1:42" ht="14.5" x14ac:dyDescent="0.35">
      <c r="A4630" s="2" t="s">
        <v>30705</v>
      </c>
      <c r="B4630" s="2">
        <v>475.197519300517</v>
      </c>
      <c r="C4630" s="2">
        <v>5.8600666666666701</v>
      </c>
      <c r="D4630" s="2" t="s">
        <v>70</v>
      </c>
      <c r="E4630" s="2" t="s">
        <v>30706</v>
      </c>
      <c r="F4630" s="2">
        <v>55548</v>
      </c>
      <c r="G4630" s="3" t="str">
        <f>HYPERLINK("http://funmeta.oebiotech.com/network/55548", "http://funmeta.oebiotech.com/network/55548")</f>
        <v>http://funmeta.oebiotech.com/network/55548</v>
      </c>
      <c r="H4630" s="2" t="s">
        <v>30707</v>
      </c>
      <c r="I4630" s="2">
        <v>87210</v>
      </c>
      <c r="J4630" s="2"/>
      <c r="K4630" s="2"/>
      <c r="L4630" s="2"/>
      <c r="M4630" s="2"/>
      <c r="N4630" s="2"/>
      <c r="O4630" s="2">
        <v>50908588</v>
      </c>
      <c r="P4630" s="2" t="s">
        <v>30708</v>
      </c>
      <c r="Q4630" s="2" t="s">
        <v>30709</v>
      </c>
      <c r="R4630" s="2" t="s">
        <v>30710</v>
      </c>
      <c r="S4630" s="2" t="s">
        <v>115</v>
      </c>
      <c r="T4630" s="2" t="s">
        <v>758</v>
      </c>
      <c r="U4630" s="2" t="s">
        <v>10001</v>
      </c>
      <c r="V4630" s="2" t="s">
        <v>59</v>
      </c>
      <c r="W4630" s="2">
        <v>38.5</v>
      </c>
      <c r="X4630" s="2">
        <v>0</v>
      </c>
      <c r="Y4630" s="2" t="s">
        <v>408</v>
      </c>
      <c r="Z4630" s="2" t="s">
        <v>30711</v>
      </c>
      <c r="AA4630" s="2">
        <v>0.37919994863441497</v>
      </c>
      <c r="AB4630" s="2">
        <v>0.13177135892585001</v>
      </c>
      <c r="AC4630" s="2">
        <v>1972.5158980203</v>
      </c>
      <c r="AD4630" s="2">
        <v>600.40705517053902</v>
      </c>
      <c r="AE4630" s="2">
        <v>2858.74323835216</v>
      </c>
      <c r="AF4630" s="2">
        <v>2113.4922127997802</v>
      </c>
      <c r="AG4630" s="2">
        <v>1131.3276936576301</v>
      </c>
      <c r="AH4630" s="2">
        <v>2550.7521187891398</v>
      </c>
      <c r="AI4630" s="2">
        <v>1197.14978089901</v>
      </c>
      <c r="AJ4630" s="2">
        <v>1983.6303436240901</v>
      </c>
      <c r="AK4630" s="2">
        <v>484.20140126455402</v>
      </c>
      <c r="AL4630" s="2">
        <v>628.85225304945197</v>
      </c>
      <c r="AM4630" s="2">
        <v>976.37553779511404</v>
      </c>
      <c r="AN4630" s="2">
        <v>556.66076294113304</v>
      </c>
      <c r="AO4630" s="2">
        <v>483.71076402849798</v>
      </c>
      <c r="AP4630" s="2">
        <v>472.64161194448201</v>
      </c>
    </row>
    <row r="4631" spans="1:42" ht="14.5" x14ac:dyDescent="0.35">
      <c r="A4631" s="2" t="s">
        <v>30712</v>
      </c>
      <c r="B4631" s="2">
        <v>763.509189001663</v>
      </c>
      <c r="C4631" s="2">
        <v>10.113516666666699</v>
      </c>
      <c r="D4631" s="2" t="s">
        <v>34</v>
      </c>
      <c r="E4631" s="2" t="s">
        <v>30713</v>
      </c>
      <c r="F4631" s="2">
        <v>277122</v>
      </c>
      <c r="G4631" s="3" t="str">
        <f>HYPERLINK("http://funmeta.oebiotech.com/network/277122", "http://funmeta.oebiotech.com/network/277122")</f>
        <v>http://funmeta.oebiotech.com/network/277122</v>
      </c>
      <c r="H4631" s="2"/>
      <c r="I4631" s="2">
        <v>68801</v>
      </c>
      <c r="J4631" s="2"/>
      <c r="K4631" s="2"/>
      <c r="L4631" s="2" t="s">
        <v>30714</v>
      </c>
      <c r="M4631" s="2"/>
      <c r="N4631" s="2"/>
      <c r="O4631" s="2">
        <v>183094</v>
      </c>
      <c r="P4631" s="2" t="s">
        <v>30715</v>
      </c>
      <c r="Q4631" s="2" t="s">
        <v>30716</v>
      </c>
      <c r="R4631" s="2" t="s">
        <v>30717</v>
      </c>
      <c r="S4631" s="2" t="s">
        <v>79</v>
      </c>
      <c r="T4631" s="2" t="s">
        <v>80</v>
      </c>
      <c r="U4631" s="2" t="s">
        <v>81</v>
      </c>
      <c r="V4631" s="2" t="s">
        <v>59</v>
      </c>
      <c r="W4631" s="2">
        <v>36.700000000000003</v>
      </c>
      <c r="X4631" s="2">
        <v>0</v>
      </c>
      <c r="Y4631" s="2" t="s">
        <v>43</v>
      </c>
      <c r="Z4631" s="2" t="s">
        <v>30718</v>
      </c>
      <c r="AA4631" s="2">
        <v>-1.5210102934780101</v>
      </c>
      <c r="AB4631" s="2">
        <v>0.131726700071851</v>
      </c>
      <c r="AC4631" s="2">
        <v>2754.6817912363899</v>
      </c>
      <c r="AD4631" s="2">
        <v>4532.3104949655699</v>
      </c>
      <c r="AE4631" s="2">
        <v>2290.1823344014801</v>
      </c>
      <c r="AF4631" s="2">
        <v>3001.4759180414399</v>
      </c>
      <c r="AG4631" s="2">
        <v>2835.1002301753501</v>
      </c>
      <c r="AH4631" s="2">
        <v>2020.4962014549701</v>
      </c>
      <c r="AI4631" s="2">
        <v>3048.4478073273399</v>
      </c>
      <c r="AJ4631" s="2">
        <v>3332.3882560177399</v>
      </c>
      <c r="AK4631" s="2">
        <v>6342.8512999997001</v>
      </c>
      <c r="AL4631" s="2">
        <v>5795.7159701022902</v>
      </c>
      <c r="AM4631" s="2">
        <v>3589.3570228201302</v>
      </c>
      <c r="AN4631" s="2">
        <v>2202.14734521017</v>
      </c>
      <c r="AO4631" s="2">
        <v>4056.0711367951999</v>
      </c>
      <c r="AP4631" s="2">
        <v>5207.7201948659404</v>
      </c>
    </row>
    <row r="4632" spans="1:42" ht="14.5" x14ac:dyDescent="0.35">
      <c r="A4632" s="2" t="s">
        <v>30719</v>
      </c>
      <c r="B4632" s="2">
        <v>602.46216087274195</v>
      </c>
      <c r="C4632" s="2">
        <v>13.9533666666667</v>
      </c>
      <c r="D4632" s="2" t="s">
        <v>34</v>
      </c>
      <c r="E4632" s="2" t="s">
        <v>30720</v>
      </c>
      <c r="F4632" s="2">
        <v>57580</v>
      </c>
      <c r="G4632" s="3" t="str">
        <f>HYPERLINK("http://funmeta.oebiotech.com/network/57580", "http://funmeta.oebiotech.com/network/57580")</f>
        <v>http://funmeta.oebiotech.com/network/57580</v>
      </c>
      <c r="H4632" s="2" t="s">
        <v>30721</v>
      </c>
      <c r="I4632" s="2">
        <v>89185</v>
      </c>
      <c r="J4632" s="2"/>
      <c r="K4632" s="2">
        <v>172759</v>
      </c>
      <c r="L4632" s="2"/>
      <c r="M4632" s="2"/>
      <c r="N4632" s="2"/>
      <c r="O4632" s="2">
        <v>13491355</v>
      </c>
      <c r="P4632" s="2" t="s">
        <v>30722</v>
      </c>
      <c r="Q4632" s="2" t="s">
        <v>30723</v>
      </c>
      <c r="R4632" s="2" t="s">
        <v>30724</v>
      </c>
      <c r="S4632" s="2" t="s">
        <v>50</v>
      </c>
      <c r="T4632" s="2" t="s">
        <v>201</v>
      </c>
      <c r="U4632" s="2" t="s">
        <v>6839</v>
      </c>
      <c r="V4632" s="2" t="s">
        <v>59</v>
      </c>
      <c r="W4632" s="2">
        <v>36.1</v>
      </c>
      <c r="X4632" s="2">
        <v>0</v>
      </c>
      <c r="Y4632" s="2" t="s">
        <v>43</v>
      </c>
      <c r="Z4632" s="2" t="s">
        <v>30725</v>
      </c>
      <c r="AA4632" s="2">
        <v>-0.82736840276579404</v>
      </c>
      <c r="AB4632" s="2">
        <v>0.131654935920542</v>
      </c>
      <c r="AC4632" s="2">
        <v>2193.0039611146699</v>
      </c>
      <c r="AD4632" s="2">
        <v>904.33844913062001</v>
      </c>
      <c r="AE4632" s="2">
        <v>1784.4145377550999</v>
      </c>
      <c r="AF4632" s="2">
        <v>1652.1729873756699</v>
      </c>
      <c r="AG4632" s="2">
        <v>2083.22864076013</v>
      </c>
      <c r="AH4632" s="2">
        <v>2814.2941735560998</v>
      </c>
      <c r="AI4632" s="2">
        <v>2244.2845764650401</v>
      </c>
      <c r="AJ4632" s="2">
        <v>2579.62885077598</v>
      </c>
      <c r="AK4632" s="2">
        <v>1238.43643696658</v>
      </c>
      <c r="AL4632" s="2">
        <v>1033.49632443832</v>
      </c>
      <c r="AM4632" s="2">
        <v>846.76133122199701</v>
      </c>
      <c r="AN4632" s="2">
        <v>465.963020050615</v>
      </c>
      <c r="AO4632" s="2">
        <v>727.26125359334799</v>
      </c>
      <c r="AP4632" s="2">
        <v>1114.1123285128599</v>
      </c>
    </row>
    <row r="4633" spans="1:42" ht="14.5" x14ac:dyDescent="0.35">
      <c r="A4633" s="2" t="s">
        <v>30726</v>
      </c>
      <c r="B4633" s="2">
        <v>285.07630658966099</v>
      </c>
      <c r="C4633" s="2">
        <v>4.9873666666666701</v>
      </c>
      <c r="D4633" s="2" t="s">
        <v>70</v>
      </c>
      <c r="E4633" s="2" t="s">
        <v>30727</v>
      </c>
      <c r="F4633" s="2">
        <v>33885</v>
      </c>
      <c r="G4633" s="3" t="str">
        <f>HYPERLINK("http://funmeta.oebiotech.com/network/33885", "http://funmeta.oebiotech.com/network/33885")</f>
        <v>http://funmeta.oebiotech.com/network/33885</v>
      </c>
      <c r="H4633" s="2"/>
      <c r="I4633" s="2">
        <v>43644</v>
      </c>
      <c r="J4633" s="2" t="s">
        <v>30728</v>
      </c>
      <c r="K4633" s="2"/>
      <c r="L4633" s="2"/>
      <c r="M4633" s="2"/>
      <c r="N4633" s="2"/>
      <c r="O4633" s="2">
        <v>6022229</v>
      </c>
      <c r="P4633" s="2" t="s">
        <v>30729</v>
      </c>
      <c r="Q4633" s="2" t="s">
        <v>30730</v>
      </c>
      <c r="R4633" s="2" t="s">
        <v>30731</v>
      </c>
      <c r="S4633" s="2" t="s">
        <v>115</v>
      </c>
      <c r="T4633" s="2" t="s">
        <v>12600</v>
      </c>
      <c r="U4633" s="2" t="s">
        <v>12601</v>
      </c>
      <c r="V4633" s="2" t="s">
        <v>59</v>
      </c>
      <c r="W4633" s="2">
        <v>38.700000000000003</v>
      </c>
      <c r="X4633" s="2">
        <v>0</v>
      </c>
      <c r="Y4633" s="2" t="s">
        <v>408</v>
      </c>
      <c r="Z4633" s="2" t="s">
        <v>30732</v>
      </c>
      <c r="AA4633" s="2">
        <v>-2.2514449840973998</v>
      </c>
      <c r="AB4633" s="2">
        <v>0.13164286724240901</v>
      </c>
      <c r="AC4633" s="2">
        <v>9148.5848844862703</v>
      </c>
      <c r="AD4633" s="2">
        <v>7734.8807061490797</v>
      </c>
      <c r="AE4633" s="2">
        <v>9589.8162350982493</v>
      </c>
      <c r="AF4633" s="2">
        <v>8881.0050574788202</v>
      </c>
      <c r="AG4633" s="2">
        <v>9241.9638468645408</v>
      </c>
      <c r="AH4633" s="2">
        <v>8194.8717246115102</v>
      </c>
      <c r="AI4633" s="2">
        <v>9142.6486557546796</v>
      </c>
      <c r="AJ4633" s="2">
        <v>9841.2037871098291</v>
      </c>
      <c r="AK4633" s="2">
        <v>7964.80355119449</v>
      </c>
      <c r="AL4633" s="2">
        <v>7058.1871129756501</v>
      </c>
      <c r="AM4633" s="2">
        <v>8324.3281947517899</v>
      </c>
      <c r="AN4633" s="2">
        <v>8346.6620218193602</v>
      </c>
      <c r="AO4633" s="2">
        <v>7258.8685421301798</v>
      </c>
      <c r="AP4633" s="2">
        <v>7456.4348140229804</v>
      </c>
    </row>
    <row r="4634" spans="1:42" ht="14.5" x14ac:dyDescent="0.35">
      <c r="A4634" s="2" t="s">
        <v>30733</v>
      </c>
      <c r="B4634" s="2">
        <v>342.04388068010201</v>
      </c>
      <c r="C4634" s="2">
        <v>1.1107833333333299</v>
      </c>
      <c r="D4634" s="2" t="s">
        <v>70</v>
      </c>
      <c r="E4634" s="2" t="s">
        <v>30734</v>
      </c>
      <c r="F4634" s="2">
        <v>47173</v>
      </c>
      <c r="G4634" s="3" t="str">
        <f>HYPERLINK("http://funmeta.oebiotech.com/network/47173", "http://funmeta.oebiotech.com/network/47173")</f>
        <v>http://funmeta.oebiotech.com/network/47173</v>
      </c>
      <c r="H4634" s="2" t="s">
        <v>30735</v>
      </c>
      <c r="I4634" s="2">
        <v>5677</v>
      </c>
      <c r="J4634" s="2"/>
      <c r="K4634" s="2">
        <v>89930</v>
      </c>
      <c r="L4634" s="2"/>
      <c r="M4634" s="2"/>
      <c r="N4634" s="2"/>
      <c r="O4634" s="2">
        <v>22833544</v>
      </c>
      <c r="P4634" s="2" t="s">
        <v>30736</v>
      </c>
      <c r="Q4634" s="2" t="s">
        <v>30737</v>
      </c>
      <c r="R4634" s="2" t="s">
        <v>30738</v>
      </c>
      <c r="S4634" s="2" t="s">
        <v>89</v>
      </c>
      <c r="T4634" s="2" t="s">
        <v>90</v>
      </c>
      <c r="U4634" s="2" t="s">
        <v>99</v>
      </c>
      <c r="V4634" s="2" t="s">
        <v>59</v>
      </c>
      <c r="W4634" s="2">
        <v>41.2</v>
      </c>
      <c r="X4634" s="2">
        <v>20.5</v>
      </c>
      <c r="Y4634" s="2" t="s">
        <v>408</v>
      </c>
      <c r="Z4634" s="2" t="s">
        <v>30739</v>
      </c>
      <c r="AA4634" s="2">
        <v>1.2294987878705901</v>
      </c>
      <c r="AB4634" s="2">
        <v>0.13161705466809401</v>
      </c>
      <c r="AC4634" s="2">
        <v>5355.9771210095896</v>
      </c>
      <c r="AD4634" s="2">
        <v>4084.83376432143</v>
      </c>
      <c r="AE4634" s="2">
        <v>5553.0401667230299</v>
      </c>
      <c r="AF4634" s="2">
        <v>5278.6978970628197</v>
      </c>
      <c r="AG4634" s="2">
        <v>5662.6962050702696</v>
      </c>
      <c r="AH4634" s="2">
        <v>4877.7040800552504</v>
      </c>
      <c r="AI4634" s="2">
        <v>5650.8986828247398</v>
      </c>
      <c r="AJ4634" s="2">
        <v>5112.8256943214001</v>
      </c>
      <c r="AK4634" s="2">
        <v>4013.4449456685902</v>
      </c>
      <c r="AL4634" s="2">
        <v>4115.7239479197997</v>
      </c>
      <c r="AM4634" s="2">
        <v>3527.11298202531</v>
      </c>
      <c r="AN4634" s="2">
        <v>4669.8578312560203</v>
      </c>
      <c r="AO4634" s="2">
        <v>4158.8255999228104</v>
      </c>
      <c r="AP4634" s="2">
        <v>4024.0372791360701</v>
      </c>
    </row>
    <row r="4635" spans="1:42" ht="14.5" x14ac:dyDescent="0.35">
      <c r="A4635" s="2" t="s">
        <v>30740</v>
      </c>
      <c r="B4635" s="2">
        <v>491.03314149628699</v>
      </c>
      <c r="C4635" s="2">
        <v>10.008749999999999</v>
      </c>
      <c r="D4635" s="2" t="s">
        <v>70</v>
      </c>
      <c r="E4635" s="2" t="s">
        <v>30741</v>
      </c>
      <c r="F4635" s="2">
        <v>115462</v>
      </c>
      <c r="G4635" s="3" t="str">
        <f>HYPERLINK("http://funmeta.oebiotech.com/network/115462", "http://funmeta.oebiotech.com/network/115462")</f>
        <v>http://funmeta.oebiotech.com/network/115462</v>
      </c>
      <c r="H4635" s="2" t="s">
        <v>30742</v>
      </c>
      <c r="I4635" s="2"/>
      <c r="J4635" s="2"/>
      <c r="K4635" s="2">
        <v>64414</v>
      </c>
      <c r="L4635" s="2"/>
      <c r="M4635" s="2"/>
      <c r="N4635" s="2"/>
      <c r="O4635" s="2">
        <v>187488</v>
      </c>
      <c r="P4635" s="2"/>
      <c r="Q4635" s="2" t="s">
        <v>30743</v>
      </c>
      <c r="R4635" s="2" t="s">
        <v>30744</v>
      </c>
      <c r="S4635" s="2" t="s">
        <v>89</v>
      </c>
      <c r="T4635" s="2" t="s">
        <v>1773</v>
      </c>
      <c r="U4635" s="2" t="s">
        <v>21134</v>
      </c>
      <c r="V4635" s="2" t="s">
        <v>59</v>
      </c>
      <c r="W4635" s="2">
        <v>37.6</v>
      </c>
      <c r="X4635" s="2">
        <v>0</v>
      </c>
      <c r="Y4635" s="2" t="s">
        <v>560</v>
      </c>
      <c r="Z4635" s="2" t="s">
        <v>30745</v>
      </c>
      <c r="AA4635" s="2">
        <v>1.62558488688331</v>
      </c>
      <c r="AB4635" s="2">
        <v>0.13133298919081701</v>
      </c>
      <c r="AC4635" s="2">
        <v>11450.4947391971</v>
      </c>
      <c r="AD4635" s="2">
        <v>12879.528313487401</v>
      </c>
      <c r="AE4635" s="2">
        <v>11927.084463546</v>
      </c>
      <c r="AF4635" s="2">
        <v>10757.2366064242</v>
      </c>
      <c r="AG4635" s="2">
        <v>11534.8674137625</v>
      </c>
      <c r="AH4635" s="2">
        <v>11091.506464584099</v>
      </c>
      <c r="AI4635" s="2">
        <v>12230.066847605</v>
      </c>
      <c r="AJ4635" s="2">
        <v>11162.206639260799</v>
      </c>
      <c r="AK4635" s="2">
        <v>14079.4586812465</v>
      </c>
      <c r="AL4635" s="2">
        <v>12146.2042817415</v>
      </c>
      <c r="AM4635" s="2">
        <v>12520.800649868001</v>
      </c>
      <c r="AN4635" s="2">
        <v>12744.269366627799</v>
      </c>
      <c r="AO4635" s="2">
        <v>13143.273293599401</v>
      </c>
      <c r="AP4635" s="2">
        <v>12643.163607840999</v>
      </c>
    </row>
    <row r="4636" spans="1:42" ht="14.5" x14ac:dyDescent="0.35">
      <c r="A4636" s="2" t="s">
        <v>30746</v>
      </c>
      <c r="B4636" s="2">
        <v>263.19827742726397</v>
      </c>
      <c r="C4636" s="2">
        <v>10.2647666666667</v>
      </c>
      <c r="D4636" s="2" t="s">
        <v>34</v>
      </c>
      <c r="E4636" s="2" t="s">
        <v>30747</v>
      </c>
      <c r="F4636" s="2">
        <v>7232</v>
      </c>
      <c r="G4636" s="3" t="str">
        <f>HYPERLINK("http://funmeta.oebiotech.com/network/7232", "http://funmeta.oebiotech.com/network/7232")</f>
        <v>http://funmeta.oebiotech.com/network/7232</v>
      </c>
      <c r="H4636" s="2"/>
      <c r="I4636" s="2">
        <v>44859</v>
      </c>
      <c r="J4636" s="2" t="s">
        <v>30748</v>
      </c>
      <c r="K4636" s="2">
        <v>143579</v>
      </c>
      <c r="L4636" s="2"/>
      <c r="M4636" s="2"/>
      <c r="N4636" s="2"/>
      <c r="O4636" s="2">
        <v>5352674</v>
      </c>
      <c r="P4636" s="2" t="s">
        <v>30749</v>
      </c>
      <c r="Q4636" s="2" t="s">
        <v>30750</v>
      </c>
      <c r="R4636" s="2" t="s">
        <v>30751</v>
      </c>
      <c r="S4636" s="2" t="s">
        <v>50</v>
      </c>
      <c r="T4636" s="2" t="s">
        <v>229</v>
      </c>
      <c r="U4636" s="2" t="s">
        <v>1914</v>
      </c>
      <c r="V4636" s="2" t="s">
        <v>59</v>
      </c>
      <c r="W4636" s="2">
        <v>38.299999999999997</v>
      </c>
      <c r="X4636" s="2">
        <v>0</v>
      </c>
      <c r="Y4636" s="2" t="s">
        <v>323</v>
      </c>
      <c r="Z4636" s="2" t="s">
        <v>18077</v>
      </c>
      <c r="AA4636" s="2">
        <v>0.52708358349753404</v>
      </c>
      <c r="AB4636" s="2">
        <v>0.13128175451135901</v>
      </c>
      <c r="AC4636" s="2">
        <v>2527.1301322495101</v>
      </c>
      <c r="AD4636" s="2">
        <v>3776.7581247940302</v>
      </c>
      <c r="AE4636" s="2">
        <v>2623.7603051430801</v>
      </c>
      <c r="AF4636" s="2">
        <v>2383.5892822017099</v>
      </c>
      <c r="AG4636" s="2">
        <v>2526.7193532946299</v>
      </c>
      <c r="AH4636" s="2">
        <v>2536.0445730411202</v>
      </c>
      <c r="AI4636" s="2">
        <v>2585.0246249294401</v>
      </c>
      <c r="AJ4636" s="2">
        <v>2507.64265488706</v>
      </c>
      <c r="AK4636" s="2">
        <v>4298.53201048341</v>
      </c>
      <c r="AL4636" s="2">
        <v>3134.25996788679</v>
      </c>
      <c r="AM4636" s="2">
        <v>3773.3947711231199</v>
      </c>
      <c r="AN4636" s="2">
        <v>3652.9880658817001</v>
      </c>
      <c r="AO4636" s="2">
        <v>4288.1246357438604</v>
      </c>
      <c r="AP4636" s="2">
        <v>3513.24929764528</v>
      </c>
    </row>
    <row r="4637" spans="1:42" ht="14.5" x14ac:dyDescent="0.35">
      <c r="A4637" s="2" t="s">
        <v>30752</v>
      </c>
      <c r="B4637" s="2">
        <v>253.10524815934301</v>
      </c>
      <c r="C4637" s="2">
        <v>6.5379166666666704</v>
      </c>
      <c r="D4637" s="2" t="s">
        <v>70</v>
      </c>
      <c r="E4637" s="2" t="s">
        <v>30753</v>
      </c>
      <c r="F4637" s="2">
        <v>57873</v>
      </c>
      <c r="G4637" s="3" t="str">
        <f>HYPERLINK("http://funmeta.oebiotech.com/network/57873", "http://funmeta.oebiotech.com/network/57873")</f>
        <v>http://funmeta.oebiotech.com/network/57873</v>
      </c>
      <c r="H4637" s="2" t="s">
        <v>30754</v>
      </c>
      <c r="I4637" s="2"/>
      <c r="J4637" s="2"/>
      <c r="K4637" s="2"/>
      <c r="L4637" s="2"/>
      <c r="M4637" s="2"/>
      <c r="N4637" s="2"/>
      <c r="O4637" s="2">
        <v>73001424</v>
      </c>
      <c r="P4637" s="2" t="s">
        <v>30755</v>
      </c>
      <c r="Q4637" s="2" t="s">
        <v>30756</v>
      </c>
      <c r="R4637" s="2" t="s">
        <v>30757</v>
      </c>
      <c r="S4637" s="2" t="s">
        <v>115</v>
      </c>
      <c r="T4637" s="2" t="s">
        <v>16891</v>
      </c>
      <c r="U4637" s="2" t="s">
        <v>41</v>
      </c>
      <c r="V4637" s="2" t="s">
        <v>59</v>
      </c>
      <c r="W4637" s="2">
        <v>38.6</v>
      </c>
      <c r="X4637" s="2">
        <v>0</v>
      </c>
      <c r="Y4637" s="2" t="s">
        <v>751</v>
      </c>
      <c r="Z4637" s="2" t="s">
        <v>30758</v>
      </c>
      <c r="AA4637" s="2">
        <v>-0.78545576530213901</v>
      </c>
      <c r="AB4637" s="2">
        <v>0.13124036128504901</v>
      </c>
      <c r="AC4637" s="2">
        <v>5150.7179716378496</v>
      </c>
      <c r="AD4637" s="2">
        <v>6473.5390821532801</v>
      </c>
      <c r="AE4637" s="2">
        <v>5704.8173016292703</v>
      </c>
      <c r="AF4637" s="2">
        <v>4763.2503901052796</v>
      </c>
      <c r="AG4637" s="2">
        <v>5414.77048904406</v>
      </c>
      <c r="AH4637" s="2">
        <v>5063.6716223276198</v>
      </c>
      <c r="AI4637" s="2">
        <v>4740.1790090160002</v>
      </c>
      <c r="AJ4637" s="2">
        <v>5217.6190177048602</v>
      </c>
      <c r="AK4637" s="2">
        <v>6690.4141150956002</v>
      </c>
      <c r="AL4637" s="2">
        <v>6411.3159757629701</v>
      </c>
      <c r="AM4637" s="2">
        <v>7155.38714191494</v>
      </c>
      <c r="AN4637" s="2">
        <v>6280.1676336245</v>
      </c>
      <c r="AO4637" s="2">
        <v>5701.7754310935197</v>
      </c>
      <c r="AP4637" s="2">
        <v>6602.1741954281697</v>
      </c>
    </row>
    <row r="4638" spans="1:42" ht="14.5" x14ac:dyDescent="0.35">
      <c r="A4638" s="2" t="s">
        <v>30759</v>
      </c>
      <c r="B4638" s="2">
        <v>104.07053331403699</v>
      </c>
      <c r="C4638" s="2">
        <v>0.71894999999999998</v>
      </c>
      <c r="D4638" s="2" t="s">
        <v>34</v>
      </c>
      <c r="E4638" s="2" t="s">
        <v>30760</v>
      </c>
      <c r="F4638" s="2">
        <v>2482</v>
      </c>
      <c r="G4638" s="3" t="str">
        <f>HYPERLINK("http://funmeta.oebiotech.com/network/2482", "http://funmeta.oebiotech.com/network/2482")</f>
        <v>http://funmeta.oebiotech.com/network/2482</v>
      </c>
      <c r="H4638" s="2" t="s">
        <v>30761</v>
      </c>
      <c r="I4638" s="2"/>
      <c r="J4638" s="2" t="s">
        <v>30762</v>
      </c>
      <c r="K4638" s="2">
        <v>16865</v>
      </c>
      <c r="L4638" s="2" t="s">
        <v>30763</v>
      </c>
      <c r="M4638" s="2" t="s">
        <v>30764</v>
      </c>
      <c r="N4638" s="2" t="s">
        <v>30765</v>
      </c>
      <c r="O4638" s="2">
        <v>119</v>
      </c>
      <c r="P4638" s="2" t="s">
        <v>30766</v>
      </c>
      <c r="Q4638" s="2" t="s">
        <v>30767</v>
      </c>
      <c r="R4638" s="2" t="s">
        <v>30768</v>
      </c>
      <c r="S4638" s="2" t="s">
        <v>89</v>
      </c>
      <c r="T4638" s="2" t="s">
        <v>90</v>
      </c>
      <c r="U4638" s="2" t="s">
        <v>99</v>
      </c>
      <c r="V4638" s="2" t="s">
        <v>42</v>
      </c>
      <c r="W4638" s="2">
        <v>53.5</v>
      </c>
      <c r="X4638" s="2">
        <v>70.099999999999994</v>
      </c>
      <c r="Y4638" s="2" t="s">
        <v>394</v>
      </c>
      <c r="Z4638" s="2" t="s">
        <v>30769</v>
      </c>
      <c r="AA4638" s="2">
        <v>-0.69520860743419399</v>
      </c>
      <c r="AB4638" s="2">
        <v>0.131201523119062</v>
      </c>
      <c r="AC4638" s="2">
        <v>49155.823617297603</v>
      </c>
      <c r="AD4638" s="2">
        <v>52831.004765097197</v>
      </c>
      <c r="AE4638" s="2">
        <v>48743.011144485798</v>
      </c>
      <c r="AF4638" s="2">
        <v>48038.558851143498</v>
      </c>
      <c r="AG4638" s="2">
        <v>52176.598066431798</v>
      </c>
      <c r="AH4638" s="2">
        <v>39609.162464167101</v>
      </c>
      <c r="AI4638" s="2">
        <v>52012.409632770497</v>
      </c>
      <c r="AJ4638" s="2">
        <v>54355.201544786803</v>
      </c>
      <c r="AK4638" s="2">
        <v>43435.855635259097</v>
      </c>
      <c r="AL4638" s="2">
        <v>50650.576849515601</v>
      </c>
      <c r="AM4638" s="2">
        <v>65318.834090555698</v>
      </c>
      <c r="AN4638" s="2">
        <v>50994.535017998598</v>
      </c>
      <c r="AO4638" s="2">
        <v>56216.486210301096</v>
      </c>
      <c r="AP4638" s="2">
        <v>50369.740786953</v>
      </c>
    </row>
    <row r="4639" spans="1:42" ht="14.5" x14ac:dyDescent="0.35">
      <c r="A4639" s="2" t="s">
        <v>30770</v>
      </c>
      <c r="B4639" s="2">
        <v>630.28378937451396</v>
      </c>
      <c r="C4639" s="2">
        <v>4.9343500000000002</v>
      </c>
      <c r="D4639" s="2" t="s">
        <v>70</v>
      </c>
      <c r="E4639" s="2" t="s">
        <v>30771</v>
      </c>
      <c r="F4639" s="2">
        <v>52828</v>
      </c>
      <c r="G4639" s="3" t="str">
        <f>HYPERLINK("http://funmeta.oebiotech.com/network/52828", "http://funmeta.oebiotech.com/network/52828")</f>
        <v>http://funmeta.oebiotech.com/network/52828</v>
      </c>
      <c r="H4639" s="2" t="s">
        <v>30772</v>
      </c>
      <c r="I4639" s="2">
        <v>943</v>
      </c>
      <c r="J4639" s="2"/>
      <c r="K4639" s="2">
        <v>2637</v>
      </c>
      <c r="L4639" s="2" t="s">
        <v>30773</v>
      </c>
      <c r="M4639" s="2"/>
      <c r="N4639" s="2"/>
      <c r="O4639" s="2">
        <v>37768</v>
      </c>
      <c r="P4639" s="2" t="s">
        <v>30774</v>
      </c>
      <c r="Q4639" s="2" t="s">
        <v>30775</v>
      </c>
      <c r="R4639" s="2" t="s">
        <v>30776</v>
      </c>
      <c r="S4639" s="2" t="s">
        <v>79</v>
      </c>
      <c r="T4639" s="2" t="s">
        <v>80</v>
      </c>
      <c r="U4639" s="2" t="s">
        <v>81</v>
      </c>
      <c r="V4639" s="2" t="s">
        <v>59</v>
      </c>
      <c r="W4639" s="2">
        <v>37.9</v>
      </c>
      <c r="X4639" s="2">
        <v>0</v>
      </c>
      <c r="Y4639" s="2" t="s">
        <v>408</v>
      </c>
      <c r="Z4639" s="2" t="s">
        <v>30777</v>
      </c>
      <c r="AA4639" s="2">
        <v>-0.25620439182905402</v>
      </c>
      <c r="AB4639" s="2">
        <v>0.13118083561985899</v>
      </c>
      <c r="AC4639" s="2">
        <v>13541.3245900194</v>
      </c>
      <c r="AD4639" s="2">
        <v>11641.8538205161</v>
      </c>
      <c r="AE4639" s="2">
        <v>13871.435659119301</v>
      </c>
      <c r="AF4639" s="2">
        <v>15562.180746415799</v>
      </c>
      <c r="AG4639" s="2">
        <v>13484.530194594499</v>
      </c>
      <c r="AH4639" s="2">
        <v>12990.0658307504</v>
      </c>
      <c r="AI4639" s="2">
        <v>13854.797335790599</v>
      </c>
      <c r="AJ4639" s="2">
        <v>11484.937773445999</v>
      </c>
      <c r="AK4639" s="2">
        <v>9644.8266104414397</v>
      </c>
      <c r="AL4639" s="2">
        <v>12277.537666672801</v>
      </c>
      <c r="AM4639" s="2">
        <v>13302.407249351199</v>
      </c>
      <c r="AN4639" s="2">
        <v>9904.9059880037203</v>
      </c>
      <c r="AO4639" s="2">
        <v>12295.8218934753</v>
      </c>
      <c r="AP4639" s="2">
        <v>12425.6235151524</v>
      </c>
    </row>
    <row r="4640" spans="1:42" ht="14.5" x14ac:dyDescent="0.35">
      <c r="A4640" s="2" t="s">
        <v>30778</v>
      </c>
      <c r="B4640" s="2">
        <v>183.08055408070101</v>
      </c>
      <c r="C4640" s="2">
        <v>9.7855500000000006</v>
      </c>
      <c r="D4640" s="2" t="s">
        <v>34</v>
      </c>
      <c r="E4640" s="2" t="s">
        <v>30779</v>
      </c>
      <c r="F4640" s="2">
        <v>47759</v>
      </c>
      <c r="G4640" s="3" t="str">
        <f>HYPERLINK("http://funmeta.oebiotech.com/network/47759", "http://funmeta.oebiotech.com/network/47759")</f>
        <v>http://funmeta.oebiotech.com/network/47759</v>
      </c>
      <c r="H4640" s="2" t="s">
        <v>30780</v>
      </c>
      <c r="I4640" s="2">
        <v>63430</v>
      </c>
      <c r="J4640" s="2"/>
      <c r="K4640" s="2">
        <v>17016</v>
      </c>
      <c r="L4640" s="2" t="s">
        <v>30781</v>
      </c>
      <c r="M4640" s="2" t="s">
        <v>10334</v>
      </c>
      <c r="N4640" s="2" t="s">
        <v>10335</v>
      </c>
      <c r="O4640" s="2">
        <v>158980</v>
      </c>
      <c r="P4640" s="2" t="s">
        <v>30782</v>
      </c>
      <c r="Q4640" s="2" t="s">
        <v>30783</v>
      </c>
      <c r="R4640" s="2" t="s">
        <v>30784</v>
      </c>
      <c r="S4640" s="2" t="s">
        <v>89</v>
      </c>
      <c r="T4640" s="2" t="s">
        <v>90</v>
      </c>
      <c r="U4640" s="2" t="s">
        <v>99</v>
      </c>
      <c r="V4640" s="2" t="s">
        <v>59</v>
      </c>
      <c r="W4640" s="2">
        <v>38</v>
      </c>
      <c r="X4640" s="2">
        <v>0</v>
      </c>
      <c r="Y4640" s="2" t="s">
        <v>43</v>
      </c>
      <c r="Z4640" s="2" t="s">
        <v>30785</v>
      </c>
      <c r="AA4640" s="2">
        <v>4.6310399334103103</v>
      </c>
      <c r="AB4640" s="2">
        <v>0.13117715339536401</v>
      </c>
      <c r="AC4640" s="2">
        <v>8355.6045470656099</v>
      </c>
      <c r="AD4640" s="2">
        <v>9628.6536597308204</v>
      </c>
      <c r="AE4640" s="2">
        <v>8048.8824200245299</v>
      </c>
      <c r="AF4640" s="2">
        <v>8621.6097579297202</v>
      </c>
      <c r="AG4640" s="2">
        <v>8108.71573884589</v>
      </c>
      <c r="AH4640" s="2">
        <v>8636.3712755505603</v>
      </c>
      <c r="AI4640" s="2">
        <v>8634.3415249238606</v>
      </c>
      <c r="AJ4640" s="2">
        <v>8083.7065651190896</v>
      </c>
      <c r="AK4640" s="2">
        <v>9680.5781165115695</v>
      </c>
      <c r="AL4640" s="2">
        <v>9720.4483211782408</v>
      </c>
      <c r="AM4640" s="2">
        <v>9558.7371098507101</v>
      </c>
      <c r="AN4640" s="2">
        <v>9109.1283922468992</v>
      </c>
      <c r="AO4640" s="2">
        <v>10351.898881916501</v>
      </c>
      <c r="AP4640" s="2">
        <v>9351.1311366810096</v>
      </c>
    </row>
    <row r="4641" spans="1:42" ht="14.5" x14ac:dyDescent="0.35">
      <c r="A4641" s="2" t="s">
        <v>30786</v>
      </c>
      <c r="B4641" s="2">
        <v>605.19904952261402</v>
      </c>
      <c r="C4641" s="2">
        <v>6.9616666666666696</v>
      </c>
      <c r="D4641" s="2" t="s">
        <v>34</v>
      </c>
      <c r="E4641" s="2" t="s">
        <v>30787</v>
      </c>
      <c r="F4641" s="2">
        <v>257368</v>
      </c>
      <c r="G4641" s="3" t="str">
        <f>HYPERLINK("http://funmeta.oebiotech.com/network/257368", "http://funmeta.oebiotech.com/network/257368")</f>
        <v>http://funmeta.oebiotech.com/network/257368</v>
      </c>
      <c r="H4641" s="2" t="s">
        <v>30788</v>
      </c>
      <c r="I4641" s="2"/>
      <c r="J4641" s="2"/>
      <c r="K4641" s="2"/>
      <c r="L4641" s="2"/>
      <c r="M4641" s="2"/>
      <c r="N4641" s="2"/>
      <c r="O4641" s="2"/>
      <c r="P4641" s="2"/>
      <c r="Q4641" s="2" t="s">
        <v>30789</v>
      </c>
      <c r="R4641" s="2" t="s">
        <v>30790</v>
      </c>
      <c r="S4641" s="2" t="s">
        <v>115</v>
      </c>
      <c r="T4641" s="2" t="s">
        <v>1371</v>
      </c>
      <c r="U4641" s="2" t="s">
        <v>1372</v>
      </c>
      <c r="V4641" s="2" t="s">
        <v>59</v>
      </c>
      <c r="W4641" s="2">
        <v>37.9</v>
      </c>
      <c r="X4641" s="2">
        <v>1.83</v>
      </c>
      <c r="Y4641" s="2" t="s">
        <v>323</v>
      </c>
      <c r="Z4641" s="2" t="s">
        <v>30791</v>
      </c>
      <c r="AA4641" s="2">
        <v>-0.48618689460402198</v>
      </c>
      <c r="AB4641" s="2">
        <v>0.13102219241663601</v>
      </c>
      <c r="AC4641" s="2">
        <v>160993.47614581799</v>
      </c>
      <c r="AD4641" s="2">
        <v>165480.61213431699</v>
      </c>
      <c r="AE4641" s="2">
        <v>148062.91400766099</v>
      </c>
      <c r="AF4641" s="2">
        <v>172470.778075465</v>
      </c>
      <c r="AG4641" s="2">
        <v>163112.066528739</v>
      </c>
      <c r="AH4641" s="2">
        <v>170636.43483489301</v>
      </c>
      <c r="AI4641" s="2">
        <v>160589.76526815101</v>
      </c>
      <c r="AJ4641" s="2">
        <v>151088.89816000001</v>
      </c>
      <c r="AK4641" s="2">
        <v>177064.36550684299</v>
      </c>
      <c r="AL4641" s="2">
        <v>168788.720729578</v>
      </c>
      <c r="AM4641" s="2">
        <v>160798.763522555</v>
      </c>
      <c r="AN4641" s="2">
        <v>171748.32328481899</v>
      </c>
      <c r="AO4641" s="2">
        <v>162270.716741663</v>
      </c>
      <c r="AP4641" s="2">
        <v>152212.783020442</v>
      </c>
    </row>
    <row r="4642" spans="1:42" ht="14.5" x14ac:dyDescent="0.35">
      <c r="A4642" s="2" t="s">
        <v>30792</v>
      </c>
      <c r="B4642" s="2">
        <v>429.04851589115901</v>
      </c>
      <c r="C4642" s="2">
        <v>3.7870499999999998</v>
      </c>
      <c r="D4642" s="2" t="s">
        <v>70</v>
      </c>
      <c r="E4642" s="2" t="s">
        <v>30793</v>
      </c>
      <c r="F4642" s="2">
        <v>197125</v>
      </c>
      <c r="G4642" s="3" t="str">
        <f>HYPERLINK("http://funmeta.oebiotech.com/network/197125", "http://funmeta.oebiotech.com/network/197125")</f>
        <v>http://funmeta.oebiotech.com/network/197125</v>
      </c>
      <c r="H4642" s="2" t="s">
        <v>30794</v>
      </c>
      <c r="I4642" s="2"/>
      <c r="J4642" s="2"/>
      <c r="K4642" s="2"/>
      <c r="L4642" s="2"/>
      <c r="M4642" s="2"/>
      <c r="N4642" s="2"/>
      <c r="O4642" s="2">
        <v>71579211</v>
      </c>
      <c r="P4642" s="2"/>
      <c r="Q4642" s="2" t="s">
        <v>30795</v>
      </c>
      <c r="R4642" s="2" t="s">
        <v>30796</v>
      </c>
      <c r="S4642" s="2" t="s">
        <v>115</v>
      </c>
      <c r="T4642" s="2" t="s">
        <v>139</v>
      </c>
      <c r="U4642" s="2" t="s">
        <v>1437</v>
      </c>
      <c r="V4642" s="2" t="s">
        <v>59</v>
      </c>
      <c r="W4642" s="2">
        <v>38</v>
      </c>
      <c r="X4642" s="2">
        <v>0</v>
      </c>
      <c r="Y4642" s="2" t="s">
        <v>408</v>
      </c>
      <c r="Z4642" s="2" t="s">
        <v>30797</v>
      </c>
      <c r="AA4642" s="2">
        <v>-3.0987198105157399</v>
      </c>
      <c r="AB4642" s="2">
        <v>0.13099904628897699</v>
      </c>
      <c r="AC4642" s="2">
        <v>3553.3514091953198</v>
      </c>
      <c r="AD4642" s="2">
        <v>4971.1692420920599</v>
      </c>
      <c r="AE4642" s="2">
        <v>3623.52023810436</v>
      </c>
      <c r="AF4642" s="2">
        <v>2944.8352843252201</v>
      </c>
      <c r="AG4642" s="2">
        <v>3192.56855674396</v>
      </c>
      <c r="AH4642" s="2">
        <v>3476.8675067241102</v>
      </c>
      <c r="AI4642" s="2">
        <v>4089.1999255840901</v>
      </c>
      <c r="AJ4642" s="2">
        <v>3993.1169436901801</v>
      </c>
      <c r="AK4642" s="2">
        <v>4152.9952077712196</v>
      </c>
      <c r="AL4642" s="2">
        <v>6194.1566985347299</v>
      </c>
      <c r="AM4642" s="2">
        <v>4877.6649579389205</v>
      </c>
      <c r="AN4642" s="2">
        <v>4395.5296832763597</v>
      </c>
      <c r="AO4642" s="2">
        <v>5248.2686594495599</v>
      </c>
      <c r="AP4642" s="2">
        <v>4958.4002455815998</v>
      </c>
    </row>
    <row r="4643" spans="1:42" ht="14.5" x14ac:dyDescent="0.35">
      <c r="A4643" s="2" t="s">
        <v>30798</v>
      </c>
      <c r="B4643" s="2">
        <v>501.29836362667601</v>
      </c>
      <c r="C4643" s="2">
        <v>7.1594666666666704</v>
      </c>
      <c r="D4643" s="2" t="s">
        <v>70</v>
      </c>
      <c r="E4643" s="2" t="s">
        <v>30799</v>
      </c>
      <c r="F4643" s="2">
        <v>281576</v>
      </c>
      <c r="G4643" s="3" t="str">
        <f>HYPERLINK("http://funmeta.oebiotech.com/network/281576", "http://funmeta.oebiotech.com/network/281576")</f>
        <v>http://funmeta.oebiotech.com/network/281576</v>
      </c>
      <c r="H4643" s="2"/>
      <c r="I4643" s="2">
        <v>268917</v>
      </c>
      <c r="J4643" s="2"/>
      <c r="K4643" s="2"/>
      <c r="L4643" s="2"/>
      <c r="M4643" s="2"/>
      <c r="N4643" s="2"/>
      <c r="O4643" s="2">
        <v>69765</v>
      </c>
      <c r="P4643" s="2"/>
      <c r="Q4643" s="2" t="s">
        <v>30800</v>
      </c>
      <c r="R4643" s="2" t="s">
        <v>30801</v>
      </c>
      <c r="S4643" s="2" t="s">
        <v>148</v>
      </c>
      <c r="T4643" s="2" t="s">
        <v>392</v>
      </c>
      <c r="U4643" s="2" t="s">
        <v>1177</v>
      </c>
      <c r="V4643" s="2" t="s">
        <v>59</v>
      </c>
      <c r="W4643" s="2">
        <v>36.4</v>
      </c>
      <c r="X4643" s="2">
        <v>0</v>
      </c>
      <c r="Y4643" s="2" t="s">
        <v>560</v>
      </c>
      <c r="Z4643" s="2" t="s">
        <v>30802</v>
      </c>
      <c r="AA4643" s="2">
        <v>2.6935560992619401</v>
      </c>
      <c r="AB4643" s="2">
        <v>0.13090640424154701</v>
      </c>
      <c r="AC4643" s="2">
        <v>1065.3185339377401</v>
      </c>
      <c r="AD4643" s="2">
        <v>2255.92806065473</v>
      </c>
      <c r="AE4643" s="2">
        <v>1263.3024946263199</v>
      </c>
      <c r="AF4643" s="2">
        <v>875.60945424853298</v>
      </c>
      <c r="AG4643" s="2">
        <v>718.10949392738996</v>
      </c>
      <c r="AH4643" s="2">
        <v>1136.68320367673</v>
      </c>
      <c r="AI4643" s="2">
        <v>1418.92227256152</v>
      </c>
      <c r="AJ4643" s="2">
        <v>979.28428458592703</v>
      </c>
      <c r="AK4643" s="2">
        <v>2368.6876006223401</v>
      </c>
      <c r="AL4643" s="2">
        <v>2198.57601494144</v>
      </c>
      <c r="AM4643" s="2">
        <v>2473.3176436998801</v>
      </c>
      <c r="AN4643" s="2">
        <v>2484.5095045020298</v>
      </c>
      <c r="AO4643" s="2">
        <v>2013.45570541134</v>
      </c>
      <c r="AP4643" s="2">
        <v>1997.0218947513399</v>
      </c>
    </row>
    <row r="4644" spans="1:42" ht="14.5" x14ac:dyDescent="0.35">
      <c r="A4644" s="2" t="s">
        <v>30803</v>
      </c>
      <c r="B4644" s="2">
        <v>121.101076139474</v>
      </c>
      <c r="C4644" s="2">
        <v>4.3632666666666697</v>
      </c>
      <c r="D4644" s="2" t="s">
        <v>34</v>
      </c>
      <c r="E4644" s="2" t="s">
        <v>30804</v>
      </c>
      <c r="F4644" s="2">
        <v>52446</v>
      </c>
      <c r="G4644" s="3" t="str">
        <f>HYPERLINK("http://funmeta.oebiotech.com/network/52446", "http://funmeta.oebiotech.com/network/52446")</f>
        <v>http://funmeta.oebiotech.com/network/52446</v>
      </c>
      <c r="H4644" s="2" t="s">
        <v>30805</v>
      </c>
      <c r="I4644" s="2">
        <v>70134</v>
      </c>
      <c r="J4644" s="2"/>
      <c r="K4644" s="2">
        <v>34039</v>
      </c>
      <c r="L4644" s="2" t="s">
        <v>30806</v>
      </c>
      <c r="M4644" s="2"/>
      <c r="N4644" s="2"/>
      <c r="O4644" s="2">
        <v>7247</v>
      </c>
      <c r="P4644" s="2" t="s">
        <v>30807</v>
      </c>
      <c r="Q4644" s="2" t="s">
        <v>30808</v>
      </c>
      <c r="R4644" s="2" t="s">
        <v>30809</v>
      </c>
      <c r="S4644" s="2" t="s">
        <v>148</v>
      </c>
      <c r="T4644" s="2" t="s">
        <v>149</v>
      </c>
      <c r="U4644" s="2" t="s">
        <v>41</v>
      </c>
      <c r="V4644" s="2" t="s">
        <v>59</v>
      </c>
      <c r="W4644" s="2">
        <v>39.1</v>
      </c>
      <c r="X4644" s="2">
        <v>0</v>
      </c>
      <c r="Y4644" s="2" t="s">
        <v>394</v>
      </c>
      <c r="Z4644" s="2" t="s">
        <v>30810</v>
      </c>
      <c r="AA4644" s="2">
        <v>-0.83832206023600397</v>
      </c>
      <c r="AB4644" s="2">
        <v>0.13087747311173301</v>
      </c>
      <c r="AC4644" s="2">
        <v>17667.345003302202</v>
      </c>
      <c r="AD4644" s="2">
        <v>16154.557293710701</v>
      </c>
      <c r="AE4644" s="2">
        <v>17306.560908858999</v>
      </c>
      <c r="AF4644" s="2">
        <v>17235.249621038402</v>
      </c>
      <c r="AG4644" s="2">
        <v>18339.3505687135</v>
      </c>
      <c r="AH4644" s="2">
        <v>16892.666303725298</v>
      </c>
      <c r="AI4644" s="2">
        <v>18422.226902112401</v>
      </c>
      <c r="AJ4644" s="2">
        <v>17808.015715364301</v>
      </c>
      <c r="AK4644" s="2">
        <v>16601.787540642701</v>
      </c>
      <c r="AL4644" s="2">
        <v>15688.6275917042</v>
      </c>
      <c r="AM4644" s="2">
        <v>17257.450195117101</v>
      </c>
      <c r="AN4644" s="2">
        <v>15243.5975373616</v>
      </c>
      <c r="AO4644" s="2">
        <v>15352.347842650801</v>
      </c>
      <c r="AP4644" s="2">
        <v>16783.533054787698</v>
      </c>
    </row>
    <row r="4645" spans="1:42" ht="14.5" x14ac:dyDescent="0.35">
      <c r="A4645" s="2" t="s">
        <v>30811</v>
      </c>
      <c r="B4645" s="2">
        <v>251.092155955187</v>
      </c>
      <c r="C4645" s="2">
        <v>7.88835</v>
      </c>
      <c r="D4645" s="2" t="s">
        <v>70</v>
      </c>
      <c r="E4645" s="2" t="s">
        <v>30812</v>
      </c>
      <c r="F4645" s="2">
        <v>64499</v>
      </c>
      <c r="G4645" s="3" t="str">
        <f>HYPERLINK("http://funmeta.oebiotech.com/network/64499", "http://funmeta.oebiotech.com/network/64499")</f>
        <v>http://funmeta.oebiotech.com/network/64499</v>
      </c>
      <c r="H4645" s="2" t="s">
        <v>30813</v>
      </c>
      <c r="I4645" s="2">
        <v>95809</v>
      </c>
      <c r="J4645" s="2"/>
      <c r="K4645" s="2">
        <v>166521</v>
      </c>
      <c r="L4645" s="2"/>
      <c r="M4645" s="2"/>
      <c r="N4645" s="2"/>
      <c r="O4645" s="2">
        <v>12531626</v>
      </c>
      <c r="P4645" s="2" t="s">
        <v>30814</v>
      </c>
      <c r="Q4645" s="2" t="s">
        <v>30815</v>
      </c>
      <c r="R4645" s="2" t="s">
        <v>30816</v>
      </c>
      <c r="S4645" s="2" t="s">
        <v>491</v>
      </c>
      <c r="T4645" s="2" t="s">
        <v>2251</v>
      </c>
      <c r="U4645" s="2" t="s">
        <v>2252</v>
      </c>
      <c r="V4645" s="2" t="s">
        <v>42</v>
      </c>
      <c r="W4645" s="2">
        <v>47.4</v>
      </c>
      <c r="X4645" s="2">
        <v>48.8</v>
      </c>
      <c r="Y4645" s="2" t="s">
        <v>408</v>
      </c>
      <c r="Z4645" s="2" t="s">
        <v>30817</v>
      </c>
      <c r="AA4645" s="2">
        <v>-1.6556619092459099</v>
      </c>
      <c r="AB4645" s="2">
        <v>0.13083961123959001</v>
      </c>
      <c r="AC4645" s="2">
        <v>16606.197548903601</v>
      </c>
      <c r="AD4645" s="2">
        <v>18129.2503309475</v>
      </c>
      <c r="AE4645" s="2">
        <v>17267.5333613892</v>
      </c>
      <c r="AF4645" s="2">
        <v>16869.563584617801</v>
      </c>
      <c r="AG4645" s="2">
        <v>17128.5859254528</v>
      </c>
      <c r="AH4645" s="2">
        <v>16408.016393333201</v>
      </c>
      <c r="AI4645" s="2">
        <v>15958.986787735599</v>
      </c>
      <c r="AJ4645" s="2">
        <v>16004.499240893099</v>
      </c>
      <c r="AK4645" s="2">
        <v>18836.084175952499</v>
      </c>
      <c r="AL4645" s="2">
        <v>18216.365481650999</v>
      </c>
      <c r="AM4645" s="2">
        <v>19119.766177673599</v>
      </c>
      <c r="AN4645" s="2">
        <v>16964.113677360001</v>
      </c>
      <c r="AO4645" s="2">
        <v>18505.190524260099</v>
      </c>
      <c r="AP4645" s="2">
        <v>17133.981948787601</v>
      </c>
    </row>
    <row r="4646" spans="1:42" ht="14.5" x14ac:dyDescent="0.35">
      <c r="A4646" s="2" t="s">
        <v>30818</v>
      </c>
      <c r="B4646" s="2">
        <v>468.99481458315603</v>
      </c>
      <c r="C4646" s="2">
        <v>2.3296000000000001</v>
      </c>
      <c r="D4646" s="2" t="s">
        <v>70</v>
      </c>
      <c r="E4646" s="2" t="s">
        <v>30819</v>
      </c>
      <c r="F4646" s="2">
        <v>52672</v>
      </c>
      <c r="G4646" s="3" t="str">
        <f>HYPERLINK("http://funmeta.oebiotech.com/network/52672", "http://funmeta.oebiotech.com/network/52672")</f>
        <v>http://funmeta.oebiotech.com/network/52672</v>
      </c>
      <c r="H4646" s="2" t="s">
        <v>30820</v>
      </c>
      <c r="I4646" s="2">
        <v>1692</v>
      </c>
      <c r="J4646" s="2"/>
      <c r="K4646" s="2">
        <v>160401</v>
      </c>
      <c r="L4646" s="2" t="s">
        <v>30821</v>
      </c>
      <c r="M4646" s="2"/>
      <c r="N4646" s="2"/>
      <c r="O4646" s="2">
        <v>4674</v>
      </c>
      <c r="P4646" s="2" t="s">
        <v>30822</v>
      </c>
      <c r="Q4646" s="2" t="s">
        <v>30823</v>
      </c>
      <c r="R4646" s="2" t="s">
        <v>30824</v>
      </c>
      <c r="S4646" s="2" t="s">
        <v>89</v>
      </c>
      <c r="T4646" s="2" t="s">
        <v>6048</v>
      </c>
      <c r="U4646" s="2" t="s">
        <v>12523</v>
      </c>
      <c r="V4646" s="2" t="s">
        <v>59</v>
      </c>
      <c r="W4646" s="2">
        <v>38.799999999999997</v>
      </c>
      <c r="X4646" s="2">
        <v>0</v>
      </c>
      <c r="Y4646" s="2" t="s">
        <v>560</v>
      </c>
      <c r="Z4646" s="2" t="s">
        <v>30825</v>
      </c>
      <c r="AA4646" s="2">
        <v>-0.12530543609414299</v>
      </c>
      <c r="AB4646" s="2">
        <v>0.13066343161489999</v>
      </c>
      <c r="AC4646" s="2">
        <v>4225.0487302769097</v>
      </c>
      <c r="AD4646" s="2">
        <v>2986.1969279585201</v>
      </c>
      <c r="AE4646" s="2">
        <v>4406.0075706022399</v>
      </c>
      <c r="AF4646" s="2">
        <v>4063.1417450736999</v>
      </c>
      <c r="AG4646" s="2">
        <v>4330.7686243566905</v>
      </c>
      <c r="AH4646" s="2">
        <v>4269.5587553939604</v>
      </c>
      <c r="AI4646" s="2">
        <v>3923.6259841327101</v>
      </c>
      <c r="AJ4646" s="2">
        <v>4357.1897021021296</v>
      </c>
      <c r="AK4646" s="2">
        <v>2547.0050857319302</v>
      </c>
      <c r="AL4646" s="2">
        <v>3620.5217730333702</v>
      </c>
      <c r="AM4646" s="2">
        <v>2812.50497152968</v>
      </c>
      <c r="AN4646" s="2">
        <v>3310.2795935714398</v>
      </c>
      <c r="AO4646" s="2">
        <v>3033.0325089616899</v>
      </c>
      <c r="AP4646" s="2">
        <v>2593.8376349230198</v>
      </c>
    </row>
    <row r="4647" spans="1:42" ht="14.5" x14ac:dyDescent="0.35">
      <c r="A4647" s="2" t="s">
        <v>30826</v>
      </c>
      <c r="B4647" s="2">
        <v>349.19845352049902</v>
      </c>
      <c r="C4647" s="2">
        <v>9.9588999999999999</v>
      </c>
      <c r="D4647" s="2" t="s">
        <v>34</v>
      </c>
      <c r="E4647" s="2" t="s">
        <v>30827</v>
      </c>
      <c r="F4647" s="2">
        <v>2987</v>
      </c>
      <c r="G4647" s="3" t="str">
        <f>HYPERLINK("http://funmeta.oebiotech.com/network/2987", "http://funmeta.oebiotech.com/network/2987")</f>
        <v>http://funmeta.oebiotech.com/network/2987</v>
      </c>
      <c r="H4647" s="2"/>
      <c r="I4647" s="2">
        <v>74953</v>
      </c>
      <c r="J4647" s="2" t="s">
        <v>30828</v>
      </c>
      <c r="K4647" s="2"/>
      <c r="L4647" s="2"/>
      <c r="M4647" s="2"/>
      <c r="N4647" s="2"/>
      <c r="O4647" s="2">
        <v>16061057</v>
      </c>
      <c r="P4647" s="2"/>
      <c r="Q4647" s="2" t="s">
        <v>30829</v>
      </c>
      <c r="R4647" s="2" t="s">
        <v>30830</v>
      </c>
      <c r="S4647" s="2" t="s">
        <v>50</v>
      </c>
      <c r="T4647" s="2" t="s">
        <v>229</v>
      </c>
      <c r="U4647" s="2" t="s">
        <v>1360</v>
      </c>
      <c r="V4647" s="2" t="s">
        <v>59</v>
      </c>
      <c r="W4647" s="2">
        <v>41.3</v>
      </c>
      <c r="X4647" s="2">
        <v>13.5</v>
      </c>
      <c r="Y4647" s="2" t="s">
        <v>323</v>
      </c>
      <c r="Z4647" s="2" t="s">
        <v>24250</v>
      </c>
      <c r="AA4647" s="2">
        <v>-0.27963455986788699</v>
      </c>
      <c r="AB4647" s="2">
        <v>0.130646086994267</v>
      </c>
      <c r="AC4647" s="2">
        <v>24492.020275408599</v>
      </c>
      <c r="AD4647" s="2">
        <v>23019.406977795599</v>
      </c>
      <c r="AE4647" s="2">
        <v>24993.121810441</v>
      </c>
      <c r="AF4647" s="2">
        <v>24037.885505442599</v>
      </c>
      <c r="AG4647" s="2">
        <v>24528.681004321301</v>
      </c>
      <c r="AH4647" s="2">
        <v>25170.726736075601</v>
      </c>
      <c r="AI4647" s="2">
        <v>24175.3581856577</v>
      </c>
      <c r="AJ4647" s="2">
        <v>24046.348410513299</v>
      </c>
      <c r="AK4647" s="2">
        <v>23929.347637559698</v>
      </c>
      <c r="AL4647" s="2">
        <v>23457.6424690147</v>
      </c>
      <c r="AM4647" s="2">
        <v>22760.991764809201</v>
      </c>
      <c r="AN4647" s="2">
        <v>21958.934492933298</v>
      </c>
      <c r="AO4647" s="2">
        <v>23861.711828144798</v>
      </c>
      <c r="AP4647" s="2">
        <v>22147.813674312001</v>
      </c>
    </row>
    <row r="4648" spans="1:42" ht="14.5" x14ac:dyDescent="0.35">
      <c r="A4648" s="2" t="s">
        <v>30831</v>
      </c>
      <c r="B4648" s="2">
        <v>382.11442508386301</v>
      </c>
      <c r="C4648" s="2">
        <v>4.09636666666667</v>
      </c>
      <c r="D4648" s="2" t="s">
        <v>70</v>
      </c>
      <c r="E4648" s="2" t="s">
        <v>30832</v>
      </c>
      <c r="F4648" s="2">
        <v>254868</v>
      </c>
      <c r="G4648" s="3" t="str">
        <f>HYPERLINK("http://funmeta.oebiotech.com/network/254868", "http://funmeta.oebiotech.com/network/254868")</f>
        <v>http://funmeta.oebiotech.com/network/254868</v>
      </c>
      <c r="H4648" s="2" t="s">
        <v>30833</v>
      </c>
      <c r="I4648" s="2">
        <v>66132</v>
      </c>
      <c r="J4648" s="2"/>
      <c r="K4648" s="2">
        <v>17990</v>
      </c>
      <c r="L4648" s="2" t="s">
        <v>30834</v>
      </c>
      <c r="M4648" s="2"/>
      <c r="N4648" s="2"/>
      <c r="O4648" s="2">
        <v>440255</v>
      </c>
      <c r="P4648" s="2" t="s">
        <v>30835</v>
      </c>
      <c r="Q4648" s="2" t="s">
        <v>30836</v>
      </c>
      <c r="R4648" s="2" t="s">
        <v>30837</v>
      </c>
      <c r="S4648" s="2" t="s">
        <v>491</v>
      </c>
      <c r="T4648" s="2" t="s">
        <v>2184</v>
      </c>
      <c r="U4648" s="2" t="s">
        <v>8858</v>
      </c>
      <c r="V4648" s="2" t="s">
        <v>59</v>
      </c>
      <c r="W4648" s="2">
        <v>47.6</v>
      </c>
      <c r="X4648" s="2">
        <v>42.4</v>
      </c>
      <c r="Y4648" s="2" t="s">
        <v>408</v>
      </c>
      <c r="Z4648" s="2" t="s">
        <v>30838</v>
      </c>
      <c r="AA4648" s="2">
        <v>0.20842315827939201</v>
      </c>
      <c r="AB4648" s="2">
        <v>0.130616553217931</v>
      </c>
      <c r="AC4648" s="2">
        <v>20137.090921487499</v>
      </c>
      <c r="AD4648" s="2">
        <v>21789.8265550045</v>
      </c>
      <c r="AE4648" s="2">
        <v>19273.993786931602</v>
      </c>
      <c r="AF4648" s="2">
        <v>20703.193827559498</v>
      </c>
      <c r="AG4648" s="2">
        <v>20533.070677462802</v>
      </c>
      <c r="AH4648" s="2">
        <v>20689.0840079025</v>
      </c>
      <c r="AI4648" s="2">
        <v>19822.2088389401</v>
      </c>
      <c r="AJ4648" s="2">
        <v>19800.994390128501</v>
      </c>
      <c r="AK4648" s="2">
        <v>21429.590952489802</v>
      </c>
      <c r="AL4648" s="2">
        <v>20508.3788332576</v>
      </c>
      <c r="AM4648" s="2">
        <v>22867.693096584298</v>
      </c>
      <c r="AN4648" s="2">
        <v>22139.926542014298</v>
      </c>
      <c r="AO4648" s="2">
        <v>20332.0613542682</v>
      </c>
      <c r="AP4648" s="2">
        <v>23461.308551412701</v>
      </c>
    </row>
    <row r="4649" spans="1:42" ht="14.5" x14ac:dyDescent="0.35">
      <c r="A4649" s="2" t="s">
        <v>30839</v>
      </c>
      <c r="B4649" s="2">
        <v>317.13771970587601</v>
      </c>
      <c r="C4649" s="2">
        <v>3.9663166666666698</v>
      </c>
      <c r="D4649" s="2" t="s">
        <v>34</v>
      </c>
      <c r="E4649" s="2" t="s">
        <v>30840</v>
      </c>
      <c r="F4649" s="2">
        <v>204159</v>
      </c>
      <c r="G4649" s="3" t="str">
        <f>HYPERLINK("http://funmeta.oebiotech.com/network/204159", "http://funmeta.oebiotech.com/network/204159")</f>
        <v>http://funmeta.oebiotech.com/network/204159</v>
      </c>
      <c r="H4649" s="2" t="s">
        <v>30841</v>
      </c>
      <c r="I4649" s="2"/>
      <c r="J4649" s="2"/>
      <c r="K4649" s="2"/>
      <c r="L4649" s="2"/>
      <c r="M4649" s="2"/>
      <c r="N4649" s="2"/>
      <c r="O4649" s="2">
        <v>9817104</v>
      </c>
      <c r="P4649" s="2"/>
      <c r="Q4649" s="2" t="s">
        <v>30842</v>
      </c>
      <c r="R4649" s="2" t="s">
        <v>30843</v>
      </c>
      <c r="S4649" s="2" t="s">
        <v>491</v>
      </c>
      <c r="T4649" s="2" t="s">
        <v>2238</v>
      </c>
      <c r="U4649" s="2" t="s">
        <v>41</v>
      </c>
      <c r="V4649" s="2" t="s">
        <v>59</v>
      </c>
      <c r="W4649" s="2">
        <v>36.799999999999997</v>
      </c>
      <c r="X4649" s="2">
        <v>0</v>
      </c>
      <c r="Y4649" s="2" t="s">
        <v>340</v>
      </c>
      <c r="Z4649" s="2" t="s">
        <v>30844</v>
      </c>
      <c r="AA4649" s="2">
        <v>1.0269174439231601</v>
      </c>
      <c r="AB4649" s="2">
        <v>0.13059665787206001</v>
      </c>
      <c r="AC4649" s="2">
        <v>1554.1862388444799</v>
      </c>
      <c r="AD4649" s="2">
        <v>272.70077908969898</v>
      </c>
      <c r="AE4649" s="2">
        <v>1772.0468876621601</v>
      </c>
      <c r="AF4649" s="2">
        <v>1982.0201244817499</v>
      </c>
      <c r="AG4649" s="2">
        <v>1885.65542135848</v>
      </c>
      <c r="AH4649" s="2">
        <v>675.786866244762</v>
      </c>
      <c r="AI4649" s="2">
        <v>1448.2966966947899</v>
      </c>
      <c r="AJ4649" s="2">
        <v>1561.3114366249099</v>
      </c>
      <c r="AK4649" s="2">
        <v>2.7106294003980101E-5</v>
      </c>
      <c r="AL4649" s="2">
        <v>608.15571694927098</v>
      </c>
      <c r="AM4649" s="2">
        <v>2.7106294003980101E-5</v>
      </c>
      <c r="AN4649" s="2">
        <v>601.93761275133602</v>
      </c>
      <c r="AO4649" s="2">
        <v>2.7106294003980101E-5</v>
      </c>
      <c r="AP4649" s="2">
        <v>426.111263518702</v>
      </c>
    </row>
    <row r="4650" spans="1:42" ht="14.5" x14ac:dyDescent="0.35">
      <c r="A4650" s="2" t="s">
        <v>30845</v>
      </c>
      <c r="B4650" s="2">
        <v>264.14424462842697</v>
      </c>
      <c r="C4650" s="2">
        <v>1.58995</v>
      </c>
      <c r="D4650" s="2" t="s">
        <v>34</v>
      </c>
      <c r="E4650" s="2" t="s">
        <v>30846</v>
      </c>
      <c r="F4650" s="2">
        <v>202643</v>
      </c>
      <c r="G4650" s="3" t="str">
        <f>HYPERLINK("http://funmeta.oebiotech.com/network/202643", "http://funmeta.oebiotech.com/network/202643")</f>
        <v>http://funmeta.oebiotech.com/network/202643</v>
      </c>
      <c r="H4650" s="2" t="s">
        <v>30847</v>
      </c>
      <c r="I4650" s="2"/>
      <c r="J4650" s="2"/>
      <c r="K4650" s="2"/>
      <c r="L4650" s="2"/>
      <c r="M4650" s="2"/>
      <c r="N4650" s="2"/>
      <c r="O4650" s="2">
        <v>56998</v>
      </c>
      <c r="P4650" s="2"/>
      <c r="Q4650" s="2" t="s">
        <v>30848</v>
      </c>
      <c r="R4650" s="2" t="s">
        <v>30849</v>
      </c>
      <c r="S4650" s="2" t="s">
        <v>41</v>
      </c>
      <c r="T4650" s="2" t="s">
        <v>41</v>
      </c>
      <c r="U4650" s="2" t="s">
        <v>41</v>
      </c>
      <c r="V4650" s="2" t="s">
        <v>59</v>
      </c>
      <c r="W4650" s="2">
        <v>37</v>
      </c>
      <c r="X4650" s="2">
        <v>0</v>
      </c>
      <c r="Y4650" s="2" t="s">
        <v>141</v>
      </c>
      <c r="Z4650" s="2" t="s">
        <v>30850</v>
      </c>
      <c r="AA4650" s="2">
        <v>-4.4695678224175701</v>
      </c>
      <c r="AB4650" s="2">
        <v>0.130560980590021</v>
      </c>
      <c r="AC4650" s="2">
        <v>17025.6674311034</v>
      </c>
      <c r="AD4650" s="2">
        <v>18458.907778853401</v>
      </c>
      <c r="AE4650" s="2">
        <v>17541.968181717399</v>
      </c>
      <c r="AF4650" s="2">
        <v>16675.764624716699</v>
      </c>
      <c r="AG4650" s="2">
        <v>16548.783379272401</v>
      </c>
      <c r="AH4650" s="2">
        <v>17704.743850969298</v>
      </c>
      <c r="AI4650" s="2">
        <v>17197.273432883201</v>
      </c>
      <c r="AJ4650" s="2">
        <v>16485.471117061399</v>
      </c>
      <c r="AK4650" s="2">
        <v>18650.360930615501</v>
      </c>
      <c r="AL4650" s="2">
        <v>17769.352428593</v>
      </c>
      <c r="AM4650" s="2">
        <v>19113.284098141601</v>
      </c>
      <c r="AN4650" s="2">
        <v>19359.429777935002</v>
      </c>
      <c r="AO4650" s="2">
        <v>18399.509890597801</v>
      </c>
      <c r="AP4650" s="2">
        <v>17461.509547237401</v>
      </c>
    </row>
    <row r="4651" spans="1:42" ht="14.5" x14ac:dyDescent="0.35">
      <c r="A4651" s="2" t="s">
        <v>30851</v>
      </c>
      <c r="B4651" s="2">
        <v>192.024708113754</v>
      </c>
      <c r="C4651" s="2">
        <v>1.9954833333333299</v>
      </c>
      <c r="D4651" s="2" t="s">
        <v>34</v>
      </c>
      <c r="E4651" s="2" t="s">
        <v>30852</v>
      </c>
      <c r="F4651" s="2">
        <v>256208</v>
      </c>
      <c r="G4651" s="3" t="str">
        <f>HYPERLINK("http://funmeta.oebiotech.com/network/256208", "http://funmeta.oebiotech.com/network/256208")</f>
        <v>http://funmeta.oebiotech.com/network/256208</v>
      </c>
      <c r="H4651" s="2" t="s">
        <v>30853</v>
      </c>
      <c r="I4651" s="2"/>
      <c r="J4651" s="2"/>
      <c r="K4651" s="2">
        <v>64220</v>
      </c>
      <c r="L4651" s="2"/>
      <c r="M4651" s="2"/>
      <c r="N4651" s="2"/>
      <c r="O4651" s="2">
        <v>8887</v>
      </c>
      <c r="P4651" s="2"/>
      <c r="Q4651" s="2" t="s">
        <v>30854</v>
      </c>
      <c r="R4651" s="2" t="s">
        <v>30855</v>
      </c>
      <c r="S4651" s="2" t="s">
        <v>89</v>
      </c>
      <c r="T4651" s="2" t="s">
        <v>90</v>
      </c>
      <c r="U4651" s="2" t="s">
        <v>99</v>
      </c>
      <c r="V4651" s="2" t="s">
        <v>59</v>
      </c>
      <c r="W4651" s="2">
        <v>38.1</v>
      </c>
      <c r="X4651" s="2">
        <v>0</v>
      </c>
      <c r="Y4651" s="2" t="s">
        <v>323</v>
      </c>
      <c r="Z4651" s="2" t="s">
        <v>30856</v>
      </c>
      <c r="AA4651" s="2">
        <v>2.2800782177407899</v>
      </c>
      <c r="AB4651" s="2">
        <v>0.13054267244260501</v>
      </c>
      <c r="AC4651" s="2">
        <v>4689.2171076330997</v>
      </c>
      <c r="AD4651" s="2">
        <v>3483.90371527967</v>
      </c>
      <c r="AE4651" s="2">
        <v>4565.3075415509702</v>
      </c>
      <c r="AF4651" s="2">
        <v>5228.7418056398701</v>
      </c>
      <c r="AG4651" s="2">
        <v>4482.3493303466303</v>
      </c>
      <c r="AH4651" s="2">
        <v>4584.0223586055599</v>
      </c>
      <c r="AI4651" s="2">
        <v>4582.9272285956304</v>
      </c>
      <c r="AJ4651" s="2">
        <v>4691.9543810599498</v>
      </c>
      <c r="AK4651" s="2">
        <v>3235.0845400799499</v>
      </c>
      <c r="AL4651" s="2">
        <v>3515.5728877177098</v>
      </c>
      <c r="AM4651" s="2">
        <v>3759.6408799281598</v>
      </c>
      <c r="AN4651" s="2">
        <v>3796.7109241045</v>
      </c>
      <c r="AO4651" s="2">
        <v>3409.2271262285299</v>
      </c>
      <c r="AP4651" s="2">
        <v>3187.1859336192001</v>
      </c>
    </row>
    <row r="4652" spans="1:42" ht="14.5" x14ac:dyDescent="0.35">
      <c r="A4652" s="2" t="s">
        <v>30857</v>
      </c>
      <c r="B4652" s="2">
        <v>457.28058050947197</v>
      </c>
      <c r="C4652" s="2">
        <v>10.523999999999999</v>
      </c>
      <c r="D4652" s="2" t="s">
        <v>70</v>
      </c>
      <c r="E4652" s="2" t="s">
        <v>30858</v>
      </c>
      <c r="F4652" s="2">
        <v>267256</v>
      </c>
      <c r="G4652" s="3" t="str">
        <f>HYPERLINK("http://funmeta.oebiotech.com/network/267256", "http://funmeta.oebiotech.com/network/267256")</f>
        <v>http://funmeta.oebiotech.com/network/267256</v>
      </c>
      <c r="H4652" s="2"/>
      <c r="I4652" s="2">
        <v>45111</v>
      </c>
      <c r="J4652" s="2"/>
      <c r="K4652" s="2"/>
      <c r="L4652" s="2"/>
      <c r="M4652" s="2"/>
      <c r="N4652" s="2"/>
      <c r="O4652" s="2">
        <v>91746215</v>
      </c>
      <c r="P4652" s="2"/>
      <c r="Q4652" s="2" t="s">
        <v>30859</v>
      </c>
      <c r="R4652" s="2" t="s">
        <v>30860</v>
      </c>
      <c r="S4652" s="2" t="s">
        <v>50</v>
      </c>
      <c r="T4652" s="2" t="s">
        <v>229</v>
      </c>
      <c r="U4652" s="2" t="s">
        <v>766</v>
      </c>
      <c r="V4652" s="2" t="s">
        <v>59</v>
      </c>
      <c r="W4652" s="2">
        <v>37.4</v>
      </c>
      <c r="X4652" s="2">
        <v>0</v>
      </c>
      <c r="Y4652" s="2" t="s">
        <v>408</v>
      </c>
      <c r="Z4652" s="2" t="s">
        <v>11775</v>
      </c>
      <c r="AA4652" s="2">
        <v>-0.27010773252949399</v>
      </c>
      <c r="AB4652" s="2">
        <v>0.130521871350297</v>
      </c>
      <c r="AC4652" s="2">
        <v>1130.01455515772</v>
      </c>
      <c r="AD4652" s="2">
        <v>2.7106294003980101E-5</v>
      </c>
      <c r="AE4652" s="2">
        <v>1013.32803799312</v>
      </c>
      <c r="AF4652" s="2">
        <v>1219.89277458949</v>
      </c>
      <c r="AG4652" s="2">
        <v>981.77476616426804</v>
      </c>
      <c r="AH4652" s="2">
        <v>1092.6063946153099</v>
      </c>
      <c r="AI4652" s="2">
        <v>1166.43645710083</v>
      </c>
      <c r="AJ4652" s="2">
        <v>1306.04890048332</v>
      </c>
      <c r="AK4652" s="2">
        <v>2.7106294003980101E-5</v>
      </c>
      <c r="AL4652" s="2">
        <v>2.7106294003980101E-5</v>
      </c>
      <c r="AM4652" s="2">
        <v>2.7106294003980101E-5</v>
      </c>
      <c r="AN4652" s="2">
        <v>2.7106294003980101E-5</v>
      </c>
      <c r="AO4652" s="2">
        <v>2.7106294003980101E-5</v>
      </c>
      <c r="AP4652" s="2">
        <v>2.7106294003980101E-5</v>
      </c>
    </row>
    <row r="4653" spans="1:42" ht="14.5" x14ac:dyDescent="0.35">
      <c r="A4653" s="2" t="s">
        <v>30861</v>
      </c>
      <c r="B4653" s="2">
        <v>353.12366488188297</v>
      </c>
      <c r="C4653" s="2">
        <v>4.3640166666666698</v>
      </c>
      <c r="D4653" s="2" t="s">
        <v>70</v>
      </c>
      <c r="E4653" s="2" t="s">
        <v>30862</v>
      </c>
      <c r="F4653" s="2">
        <v>202368</v>
      </c>
      <c r="G4653" s="3" t="str">
        <f>HYPERLINK("http://funmeta.oebiotech.com/network/202368", "http://funmeta.oebiotech.com/network/202368")</f>
        <v>http://funmeta.oebiotech.com/network/202368</v>
      </c>
      <c r="H4653" s="2" t="s">
        <v>30863</v>
      </c>
      <c r="I4653" s="2"/>
      <c r="J4653" s="2"/>
      <c r="K4653" s="2"/>
      <c r="L4653" s="2"/>
      <c r="M4653" s="2"/>
      <c r="N4653" s="2"/>
      <c r="O4653" s="2">
        <v>69724</v>
      </c>
      <c r="P4653" s="2"/>
      <c r="Q4653" s="2" t="s">
        <v>30864</v>
      </c>
      <c r="R4653" s="2" t="s">
        <v>30865</v>
      </c>
      <c r="S4653" s="2" t="s">
        <v>491</v>
      </c>
      <c r="T4653" s="2" t="s">
        <v>4914</v>
      </c>
      <c r="U4653" s="2" t="s">
        <v>4915</v>
      </c>
      <c r="V4653" s="2" t="s">
        <v>59</v>
      </c>
      <c r="W4653" s="2">
        <v>38.700000000000003</v>
      </c>
      <c r="X4653" s="2">
        <v>0</v>
      </c>
      <c r="Y4653" s="2" t="s">
        <v>560</v>
      </c>
      <c r="Z4653" s="2" t="s">
        <v>30866</v>
      </c>
      <c r="AA4653" s="2">
        <v>2.3199884364921801</v>
      </c>
      <c r="AB4653" s="2">
        <v>0.13051937716345</v>
      </c>
      <c r="AC4653" s="2">
        <v>2961.0153392413099</v>
      </c>
      <c r="AD4653" s="2">
        <v>1373.6941686105599</v>
      </c>
      <c r="AE4653" s="2">
        <v>2854.7250692067801</v>
      </c>
      <c r="AF4653" s="2">
        <v>3503.3773941025202</v>
      </c>
      <c r="AG4653" s="2">
        <v>2225.7245491961598</v>
      </c>
      <c r="AH4653" s="2">
        <v>4762.2783939045703</v>
      </c>
      <c r="AI4653" s="2">
        <v>2710.00872007936</v>
      </c>
      <c r="AJ4653" s="2">
        <v>1709.9779089584699</v>
      </c>
      <c r="AK4653" s="2">
        <v>1307.11369398631</v>
      </c>
      <c r="AL4653" s="2">
        <v>1564.30176041904</v>
      </c>
      <c r="AM4653" s="2">
        <v>1273.78841179554</v>
      </c>
      <c r="AN4653" s="2">
        <v>2471.9502086185598</v>
      </c>
      <c r="AO4653" s="2">
        <v>903.57652392796103</v>
      </c>
      <c r="AP4653" s="2">
        <v>721.43441291594195</v>
      </c>
    </row>
    <row r="4654" spans="1:42" ht="14.5" x14ac:dyDescent="0.35">
      <c r="A4654" s="2" t="s">
        <v>30867</v>
      </c>
      <c r="B4654" s="2">
        <v>308.29442545210401</v>
      </c>
      <c r="C4654" s="2">
        <v>12.6061333333333</v>
      </c>
      <c r="D4654" s="2" t="s">
        <v>34</v>
      </c>
      <c r="E4654" s="2" t="s">
        <v>30868</v>
      </c>
      <c r="F4654" s="2">
        <v>36122</v>
      </c>
      <c r="G4654" s="3" t="str">
        <f>HYPERLINK("http://funmeta.oebiotech.com/network/36122", "http://funmeta.oebiotech.com/network/36122")</f>
        <v>http://funmeta.oebiotech.com/network/36122</v>
      </c>
      <c r="H4654" s="2"/>
      <c r="I4654" s="2">
        <v>53710</v>
      </c>
      <c r="J4654" s="2" t="s">
        <v>30869</v>
      </c>
      <c r="K4654" s="2"/>
      <c r="L4654" s="2"/>
      <c r="M4654" s="2"/>
      <c r="N4654" s="2"/>
      <c r="O4654" s="2">
        <v>42608260</v>
      </c>
      <c r="P4654" s="2"/>
      <c r="Q4654" s="2" t="s">
        <v>30870</v>
      </c>
      <c r="R4654" s="2" t="s">
        <v>30871</v>
      </c>
      <c r="S4654" s="2" t="s">
        <v>50</v>
      </c>
      <c r="T4654" s="2" t="s">
        <v>201</v>
      </c>
      <c r="U4654" s="2" t="s">
        <v>241</v>
      </c>
      <c r="V4654" s="2" t="s">
        <v>42</v>
      </c>
      <c r="W4654" s="2">
        <v>52.2</v>
      </c>
      <c r="X4654" s="2">
        <v>65.5</v>
      </c>
      <c r="Y4654" s="2" t="s">
        <v>43</v>
      </c>
      <c r="Z4654" s="2" t="s">
        <v>30872</v>
      </c>
      <c r="AA4654" s="2">
        <v>-1.2602033327617901</v>
      </c>
      <c r="AB4654" s="2">
        <v>0.130442090617439</v>
      </c>
      <c r="AC4654" s="2">
        <v>10026.8521631859</v>
      </c>
      <c r="AD4654" s="2">
        <v>7794.5261280807299</v>
      </c>
      <c r="AE4654" s="2">
        <v>10609.5092762478</v>
      </c>
      <c r="AF4654" s="2">
        <v>7762.1651524614799</v>
      </c>
      <c r="AG4654" s="2">
        <v>7085.2697301845901</v>
      </c>
      <c r="AH4654" s="2">
        <v>13434.7524515971</v>
      </c>
      <c r="AI4654" s="2">
        <v>10538.948533499901</v>
      </c>
      <c r="AJ4654" s="2">
        <v>10730.4678351247</v>
      </c>
      <c r="AK4654" s="2">
        <v>7958.0535849547396</v>
      </c>
      <c r="AL4654" s="2">
        <v>9947.9815640763409</v>
      </c>
      <c r="AM4654" s="2">
        <v>6320.2400667327101</v>
      </c>
      <c r="AN4654" s="2">
        <v>5778.9604799722802</v>
      </c>
      <c r="AO4654" s="2">
        <v>6539.91335714672</v>
      </c>
      <c r="AP4654" s="2">
        <v>10222.0077156016</v>
      </c>
    </row>
    <row r="4655" spans="1:42" ht="14.5" x14ac:dyDescent="0.35">
      <c r="A4655" s="2" t="s">
        <v>30873</v>
      </c>
      <c r="B4655" s="2">
        <v>478.17057565650299</v>
      </c>
      <c r="C4655" s="2">
        <v>5.2337999999999996</v>
      </c>
      <c r="D4655" s="2" t="s">
        <v>34</v>
      </c>
      <c r="E4655" s="2" t="s">
        <v>30874</v>
      </c>
      <c r="F4655" s="2">
        <v>55590</v>
      </c>
      <c r="G4655" s="3" t="str">
        <f>HYPERLINK("http://funmeta.oebiotech.com/network/55590", "http://funmeta.oebiotech.com/network/55590")</f>
        <v>http://funmeta.oebiotech.com/network/55590</v>
      </c>
      <c r="H4655" s="2" t="s">
        <v>30875</v>
      </c>
      <c r="I4655" s="2">
        <v>87240</v>
      </c>
      <c r="J4655" s="2"/>
      <c r="K4655" s="2"/>
      <c r="L4655" s="2"/>
      <c r="M4655" s="2"/>
      <c r="N4655" s="2"/>
      <c r="O4655" s="2">
        <v>12444947</v>
      </c>
      <c r="P4655" s="2" t="s">
        <v>30876</v>
      </c>
      <c r="Q4655" s="2" t="s">
        <v>30877</v>
      </c>
      <c r="R4655" s="2" t="s">
        <v>30878</v>
      </c>
      <c r="S4655" s="2" t="s">
        <v>115</v>
      </c>
      <c r="T4655" s="2" t="s">
        <v>1371</v>
      </c>
      <c r="U4655" s="2" t="s">
        <v>1372</v>
      </c>
      <c r="V4655" s="2" t="s">
        <v>59</v>
      </c>
      <c r="W4655" s="2">
        <v>39</v>
      </c>
      <c r="X4655" s="2">
        <v>0</v>
      </c>
      <c r="Y4655" s="2" t="s">
        <v>43</v>
      </c>
      <c r="Z4655" s="2" t="s">
        <v>30879</v>
      </c>
      <c r="AA4655" s="2">
        <v>-0.42778302931304102</v>
      </c>
      <c r="AB4655" s="2">
        <v>0.13041206624238799</v>
      </c>
      <c r="AC4655" s="2">
        <v>5659.2121175168704</v>
      </c>
      <c r="AD4655" s="2">
        <v>7219.1843572464504</v>
      </c>
      <c r="AE4655" s="2">
        <v>4128.4217007002999</v>
      </c>
      <c r="AF4655" s="2">
        <v>6522.1590705132303</v>
      </c>
      <c r="AG4655" s="2">
        <v>6722.4309647385198</v>
      </c>
      <c r="AH4655" s="2">
        <v>5598.5153227866504</v>
      </c>
      <c r="AI4655" s="2">
        <v>5047.1595463305302</v>
      </c>
      <c r="AJ4655" s="2">
        <v>5936.5861000320001</v>
      </c>
      <c r="AK4655" s="2">
        <v>6649.2718015972796</v>
      </c>
      <c r="AL4655" s="2">
        <v>7013.6046109519903</v>
      </c>
      <c r="AM4655" s="2">
        <v>6319.41466922379</v>
      </c>
      <c r="AN4655" s="2">
        <v>7672.4515048724497</v>
      </c>
      <c r="AO4655" s="2">
        <v>7859.5570827177598</v>
      </c>
      <c r="AP4655" s="2">
        <v>7800.8064741154203</v>
      </c>
    </row>
    <row r="4656" spans="1:42" ht="14.5" x14ac:dyDescent="0.35">
      <c r="A4656" s="2" t="s">
        <v>30880</v>
      </c>
      <c r="B4656" s="2">
        <v>293.02676243180503</v>
      </c>
      <c r="C4656" s="2">
        <v>0.70245000000000002</v>
      </c>
      <c r="D4656" s="2" t="s">
        <v>34</v>
      </c>
      <c r="E4656" s="2" t="s">
        <v>30881</v>
      </c>
      <c r="F4656" s="2">
        <v>207834</v>
      </c>
      <c r="G4656" s="3" t="str">
        <f>HYPERLINK("http://funmeta.oebiotech.com/network/207834", "http://funmeta.oebiotech.com/network/207834")</f>
        <v>http://funmeta.oebiotech.com/network/207834</v>
      </c>
      <c r="H4656" s="2" t="s">
        <v>30882</v>
      </c>
      <c r="I4656" s="2">
        <v>321013</v>
      </c>
      <c r="J4656" s="2"/>
      <c r="K4656" s="2"/>
      <c r="L4656" s="2"/>
      <c r="M4656" s="2"/>
      <c r="N4656" s="2"/>
      <c r="O4656" s="2">
        <v>60860</v>
      </c>
      <c r="P4656" s="2"/>
      <c r="Q4656" s="2" t="s">
        <v>30883</v>
      </c>
      <c r="R4656" s="2" t="s">
        <v>30884</v>
      </c>
      <c r="S4656" s="2" t="s">
        <v>148</v>
      </c>
      <c r="T4656" s="2" t="s">
        <v>149</v>
      </c>
      <c r="U4656" s="2" t="s">
        <v>8963</v>
      </c>
      <c r="V4656" s="2" t="s">
        <v>59</v>
      </c>
      <c r="W4656" s="2">
        <v>37.299999999999997</v>
      </c>
      <c r="X4656" s="2">
        <v>0</v>
      </c>
      <c r="Y4656" s="2" t="s">
        <v>43</v>
      </c>
      <c r="Z4656" s="2" t="s">
        <v>30885</v>
      </c>
      <c r="AA4656" s="2">
        <v>3.6058027234233401</v>
      </c>
      <c r="AB4656" s="2">
        <v>0.13040143489598</v>
      </c>
      <c r="AC4656" s="2">
        <v>3606.30028897084</v>
      </c>
      <c r="AD4656" s="2">
        <v>2060.31091282546</v>
      </c>
      <c r="AE4656" s="2">
        <v>2830.8916842163399</v>
      </c>
      <c r="AF4656" s="2">
        <v>3992.4810189447098</v>
      </c>
      <c r="AG4656" s="2">
        <v>3555.63895237004</v>
      </c>
      <c r="AH4656" s="2">
        <v>3598.5155684798901</v>
      </c>
      <c r="AI4656" s="2">
        <v>3315.4631085360802</v>
      </c>
      <c r="AJ4656" s="2">
        <v>4344.8114012779997</v>
      </c>
      <c r="AK4656" s="2">
        <v>464.164544180017</v>
      </c>
      <c r="AL4656" s="2">
        <v>1915.99660730201</v>
      </c>
      <c r="AM4656" s="2">
        <v>1978.28464957657</v>
      </c>
      <c r="AN4656" s="2">
        <v>3617.2573220323802</v>
      </c>
      <c r="AO4656" s="2">
        <v>2335.6159534019898</v>
      </c>
      <c r="AP4656" s="2">
        <v>2050.5464004597802</v>
      </c>
    </row>
    <row r="4657" spans="1:42" ht="14.5" x14ac:dyDescent="0.35">
      <c r="A4657" s="2" t="s">
        <v>30886</v>
      </c>
      <c r="B4657" s="2">
        <v>345.08245366155802</v>
      </c>
      <c r="C4657" s="2">
        <v>3.42648333333333</v>
      </c>
      <c r="D4657" s="2" t="s">
        <v>70</v>
      </c>
      <c r="E4657" s="2" t="s">
        <v>30887</v>
      </c>
      <c r="F4657" s="2">
        <v>62636</v>
      </c>
      <c r="G4657" s="3" t="str">
        <f>HYPERLINK("http://funmeta.oebiotech.com/network/62636", "http://funmeta.oebiotech.com/network/62636")</f>
        <v>http://funmeta.oebiotech.com/network/62636</v>
      </c>
      <c r="H4657" s="2" t="s">
        <v>30888</v>
      </c>
      <c r="I4657" s="2"/>
      <c r="J4657" s="2"/>
      <c r="K4657" s="2"/>
      <c r="L4657" s="2"/>
      <c r="M4657" s="2"/>
      <c r="N4657" s="2"/>
      <c r="O4657" s="2">
        <v>78385296</v>
      </c>
      <c r="P4657" s="2" t="s">
        <v>30889</v>
      </c>
      <c r="Q4657" s="2" t="s">
        <v>30890</v>
      </c>
      <c r="R4657" s="2" t="s">
        <v>30891</v>
      </c>
      <c r="S4657" s="2" t="s">
        <v>148</v>
      </c>
      <c r="T4657" s="2" t="s">
        <v>149</v>
      </c>
      <c r="U4657" s="2" t="s">
        <v>1593</v>
      </c>
      <c r="V4657" s="2" t="s">
        <v>42</v>
      </c>
      <c r="W4657" s="2">
        <v>47.1</v>
      </c>
      <c r="X4657" s="2">
        <v>48</v>
      </c>
      <c r="Y4657" s="2" t="s">
        <v>118</v>
      </c>
      <c r="Z4657" s="2" t="s">
        <v>30892</v>
      </c>
      <c r="AA4657" s="2">
        <v>-0.77054900212893396</v>
      </c>
      <c r="AB4657" s="2">
        <v>0.13037745152817201</v>
      </c>
      <c r="AC4657" s="2">
        <v>10580.916992598</v>
      </c>
      <c r="AD4657" s="2">
        <v>12413.0336610255</v>
      </c>
      <c r="AE4657" s="2">
        <v>9707.3580098693692</v>
      </c>
      <c r="AF4657" s="2">
        <v>9166.3063914467493</v>
      </c>
      <c r="AG4657" s="2">
        <v>11082.019415098101</v>
      </c>
      <c r="AH4657" s="2">
        <v>10946.54655451</v>
      </c>
      <c r="AI4657" s="2">
        <v>10583.251814875601</v>
      </c>
      <c r="AJ4657" s="2">
        <v>12000.019769788199</v>
      </c>
      <c r="AK4657" s="2">
        <v>11638.282277349401</v>
      </c>
      <c r="AL4657" s="2">
        <v>14535.1929549533</v>
      </c>
      <c r="AM4657" s="2">
        <v>12089.111559827001</v>
      </c>
      <c r="AN4657" s="2">
        <v>14099.9358056036</v>
      </c>
      <c r="AO4657" s="2">
        <v>11472.9828004396</v>
      </c>
      <c r="AP4657" s="2">
        <v>10642.6965679802</v>
      </c>
    </row>
    <row r="4658" spans="1:42" ht="14.5" x14ac:dyDescent="0.35">
      <c r="A4658" s="2" t="s">
        <v>30893</v>
      </c>
      <c r="B4658" s="2">
        <v>117.017993249166</v>
      </c>
      <c r="C4658" s="2">
        <v>1.22268333333333</v>
      </c>
      <c r="D4658" s="2" t="s">
        <v>70</v>
      </c>
      <c r="E4658" s="2" t="s">
        <v>30894</v>
      </c>
      <c r="F4658" s="2">
        <v>47312</v>
      </c>
      <c r="G4658" s="3" t="str">
        <f>HYPERLINK("http://funmeta.oebiotech.com/network/47312", "http://funmeta.oebiotech.com/network/47312")</f>
        <v>http://funmeta.oebiotech.com/network/47312</v>
      </c>
      <c r="H4658" s="2" t="s">
        <v>30895</v>
      </c>
      <c r="I4658" s="2">
        <v>4244</v>
      </c>
      <c r="J4658" s="2"/>
      <c r="K4658" s="2">
        <v>15908</v>
      </c>
      <c r="L4658" s="2" t="s">
        <v>30896</v>
      </c>
      <c r="M4658" s="2" t="s">
        <v>16728</v>
      </c>
      <c r="N4658" s="2" t="s">
        <v>16729</v>
      </c>
      <c r="O4658" s="2">
        <v>5460407</v>
      </c>
      <c r="P4658" s="2" t="s">
        <v>30897</v>
      </c>
      <c r="Q4658" s="2" t="s">
        <v>30898</v>
      </c>
      <c r="R4658" s="2" t="s">
        <v>30899</v>
      </c>
      <c r="S4658" s="2" t="s">
        <v>79</v>
      </c>
      <c r="T4658" s="2" t="s">
        <v>80</v>
      </c>
      <c r="U4658" s="2" t="s">
        <v>81</v>
      </c>
      <c r="V4658" s="2" t="s">
        <v>59</v>
      </c>
      <c r="W4658" s="2">
        <v>37.6</v>
      </c>
      <c r="X4658" s="2">
        <v>0</v>
      </c>
      <c r="Y4658" s="2" t="s">
        <v>751</v>
      </c>
      <c r="Z4658" s="2" t="s">
        <v>30900</v>
      </c>
      <c r="AA4658" s="2">
        <v>-9.8427890031430394</v>
      </c>
      <c r="AB4658" s="2">
        <v>0.13025968387828099</v>
      </c>
      <c r="AC4658" s="2">
        <v>23024.395254346698</v>
      </c>
      <c r="AD4658" s="2">
        <v>21263.969039452699</v>
      </c>
      <c r="AE4658" s="2">
        <v>22744.0097433716</v>
      </c>
      <c r="AF4658" s="2">
        <v>23957.344977491601</v>
      </c>
      <c r="AG4658" s="2">
        <v>23856.240174225401</v>
      </c>
      <c r="AH4658" s="2">
        <v>21550.534819867898</v>
      </c>
      <c r="AI4658" s="2">
        <v>22139.680303983401</v>
      </c>
      <c r="AJ4658" s="2">
        <v>23898.561507140301</v>
      </c>
      <c r="AK4658" s="2">
        <v>20744.102104951999</v>
      </c>
      <c r="AL4658" s="2">
        <v>21059.806165764101</v>
      </c>
      <c r="AM4658" s="2">
        <v>19267.254149003398</v>
      </c>
      <c r="AN4658" s="2">
        <v>22847.493541294301</v>
      </c>
      <c r="AO4658" s="2">
        <v>20957.6153738379</v>
      </c>
      <c r="AP4658" s="2">
        <v>22707.542901864501</v>
      </c>
    </row>
    <row r="4659" spans="1:42" ht="14.5" x14ac:dyDescent="0.35">
      <c r="A4659" s="2" t="s">
        <v>30901</v>
      </c>
      <c r="B4659" s="2">
        <v>435.201108692844</v>
      </c>
      <c r="C4659" s="2">
        <v>5.2493499999999997</v>
      </c>
      <c r="D4659" s="2" t="s">
        <v>34</v>
      </c>
      <c r="E4659" s="2" t="s">
        <v>30902</v>
      </c>
      <c r="F4659" s="2">
        <v>61931</v>
      </c>
      <c r="G4659" s="3" t="str">
        <f>HYPERLINK("http://funmeta.oebiotech.com/network/61931", "http://funmeta.oebiotech.com/network/61931")</f>
        <v>http://funmeta.oebiotech.com/network/61931</v>
      </c>
      <c r="H4659" s="2" t="s">
        <v>30903</v>
      </c>
      <c r="I4659" s="2">
        <v>93231</v>
      </c>
      <c r="J4659" s="2"/>
      <c r="K4659" s="2"/>
      <c r="L4659" s="2"/>
      <c r="M4659" s="2"/>
      <c r="N4659" s="2"/>
      <c r="O4659" s="2">
        <v>61184</v>
      </c>
      <c r="P4659" s="2" t="s">
        <v>30904</v>
      </c>
      <c r="Q4659" s="2" t="s">
        <v>30905</v>
      </c>
      <c r="R4659" s="2" t="s">
        <v>30906</v>
      </c>
      <c r="S4659" s="2" t="s">
        <v>50</v>
      </c>
      <c r="T4659" s="2" t="s">
        <v>201</v>
      </c>
      <c r="U4659" s="2" t="s">
        <v>636</v>
      </c>
      <c r="V4659" s="2" t="s">
        <v>59</v>
      </c>
      <c r="W4659" s="2">
        <v>38.5</v>
      </c>
      <c r="X4659" s="2">
        <v>0</v>
      </c>
      <c r="Y4659" s="2" t="s">
        <v>141</v>
      </c>
      <c r="Z4659" s="2" t="s">
        <v>30907</v>
      </c>
      <c r="AA4659" s="2">
        <v>-0.52113450244400705</v>
      </c>
      <c r="AB4659" s="2">
        <v>0.13010784799106201</v>
      </c>
      <c r="AC4659" s="2">
        <v>38512.517073523297</v>
      </c>
      <c r="AD4659" s="2">
        <v>36037.885099357598</v>
      </c>
      <c r="AE4659" s="2">
        <v>39285.399731765501</v>
      </c>
      <c r="AF4659" s="2">
        <v>42485.774221154599</v>
      </c>
      <c r="AG4659" s="2">
        <v>37823.1528653942</v>
      </c>
      <c r="AH4659" s="2">
        <v>33958.721513265104</v>
      </c>
      <c r="AI4659" s="2">
        <v>36155.414794337397</v>
      </c>
      <c r="AJ4659" s="2">
        <v>41366.639315223198</v>
      </c>
      <c r="AK4659" s="2">
        <v>34604.220162136</v>
      </c>
      <c r="AL4659" s="2">
        <v>35634.884636135401</v>
      </c>
      <c r="AM4659" s="2">
        <v>40332.490305501298</v>
      </c>
      <c r="AN4659" s="2">
        <v>34189.164808335001</v>
      </c>
      <c r="AO4659" s="2">
        <v>35905.641536324998</v>
      </c>
      <c r="AP4659" s="2">
        <v>35560.909147712802</v>
      </c>
    </row>
    <row r="4660" spans="1:42" ht="14.5" x14ac:dyDescent="0.35">
      <c r="A4660" s="2" t="s">
        <v>30908</v>
      </c>
      <c r="B4660" s="2">
        <v>182.99143897274101</v>
      </c>
      <c r="C4660" s="2">
        <v>0.63648333333333296</v>
      </c>
      <c r="D4660" s="2" t="s">
        <v>34</v>
      </c>
      <c r="E4660" s="2" t="s">
        <v>30909</v>
      </c>
      <c r="F4660" s="2">
        <v>57897</v>
      </c>
      <c r="G4660" s="3" t="str">
        <f>HYPERLINK("http://funmeta.oebiotech.com/network/57897", "http://funmeta.oebiotech.com/network/57897")</f>
        <v>http://funmeta.oebiotech.com/network/57897</v>
      </c>
      <c r="H4660" s="2" t="s">
        <v>30910</v>
      </c>
      <c r="I4660" s="2">
        <v>89480</v>
      </c>
      <c r="J4660" s="2"/>
      <c r="K4660" s="2"/>
      <c r="L4660" s="2" t="s">
        <v>30911</v>
      </c>
      <c r="M4660" s="2"/>
      <c r="N4660" s="2"/>
      <c r="O4660" s="2">
        <v>10347</v>
      </c>
      <c r="P4660" s="2" t="s">
        <v>30912</v>
      </c>
      <c r="Q4660" s="2" t="s">
        <v>30913</v>
      </c>
      <c r="R4660" s="2" t="s">
        <v>30914</v>
      </c>
      <c r="S4660" s="2" t="s">
        <v>491</v>
      </c>
      <c r="T4660" s="2" t="s">
        <v>12134</v>
      </c>
      <c r="U4660" s="2" t="s">
        <v>14916</v>
      </c>
      <c r="V4660" s="2" t="s">
        <v>59</v>
      </c>
      <c r="W4660" s="2">
        <v>37.299999999999997</v>
      </c>
      <c r="X4660" s="2">
        <v>0</v>
      </c>
      <c r="Y4660" s="2" t="s">
        <v>141</v>
      </c>
      <c r="Z4660" s="2" t="s">
        <v>30915</v>
      </c>
      <c r="AA4660" s="2">
        <v>-4.8763170756713601</v>
      </c>
      <c r="AB4660" s="2">
        <v>0.13010373930194599</v>
      </c>
      <c r="AC4660" s="2">
        <v>8822.2745442070609</v>
      </c>
      <c r="AD4660" s="2">
        <v>10709.161312014599</v>
      </c>
      <c r="AE4660" s="2">
        <v>10296.2042744259</v>
      </c>
      <c r="AF4660" s="2">
        <v>10590.854948730799</v>
      </c>
      <c r="AG4660" s="2">
        <v>6657.1347274514301</v>
      </c>
      <c r="AH4660" s="2">
        <v>9010.2390315032007</v>
      </c>
      <c r="AI4660" s="2">
        <v>9075.3371641042995</v>
      </c>
      <c r="AJ4660" s="2">
        <v>7303.8771190267598</v>
      </c>
      <c r="AK4660" s="2">
        <v>11464.242147536101</v>
      </c>
      <c r="AL4660" s="2">
        <v>9586.2710343277104</v>
      </c>
      <c r="AM4660" s="2">
        <v>9987.8006901371009</v>
      </c>
      <c r="AN4660" s="2">
        <v>10652.4836178594</v>
      </c>
      <c r="AO4660" s="2">
        <v>9741.6716342224408</v>
      </c>
      <c r="AP4660" s="2">
        <v>12822.498748005</v>
      </c>
    </row>
    <row r="4661" spans="1:42" ht="14.5" x14ac:dyDescent="0.35">
      <c r="A4661" s="2" t="s">
        <v>30916</v>
      </c>
      <c r="B4661" s="2">
        <v>253.17967892855299</v>
      </c>
      <c r="C4661" s="2">
        <v>10.1513166666667</v>
      </c>
      <c r="D4661" s="2" t="s">
        <v>34</v>
      </c>
      <c r="E4661" s="2" t="s">
        <v>30917</v>
      </c>
      <c r="F4661" s="2">
        <v>256141</v>
      </c>
      <c r="G4661" s="3" t="str">
        <f>HYPERLINK("http://funmeta.oebiotech.com/network/256141", "http://funmeta.oebiotech.com/network/256141")</f>
        <v>http://funmeta.oebiotech.com/network/256141</v>
      </c>
      <c r="H4661" s="2" t="s">
        <v>30918</v>
      </c>
      <c r="I4661" s="2"/>
      <c r="J4661" s="2"/>
      <c r="K4661" s="2"/>
      <c r="L4661" s="2"/>
      <c r="M4661" s="2"/>
      <c r="N4661" s="2"/>
      <c r="O4661" s="2">
        <v>24752885</v>
      </c>
      <c r="P4661" s="2"/>
      <c r="Q4661" s="2" t="s">
        <v>30919</v>
      </c>
      <c r="R4661" s="2" t="s">
        <v>30920</v>
      </c>
      <c r="S4661" s="2" t="s">
        <v>50</v>
      </c>
      <c r="T4661" s="2" t="s">
        <v>201</v>
      </c>
      <c r="U4661" s="2" t="s">
        <v>265</v>
      </c>
      <c r="V4661" s="2" t="s">
        <v>42</v>
      </c>
      <c r="W4661" s="2">
        <v>48.2</v>
      </c>
      <c r="X4661" s="2">
        <v>45.5</v>
      </c>
      <c r="Y4661" s="2" t="s">
        <v>4572</v>
      </c>
      <c r="Z4661" s="2" t="s">
        <v>24557</v>
      </c>
      <c r="AA4661" s="2">
        <v>-0.52606362859531897</v>
      </c>
      <c r="AB4661" s="2">
        <v>0.13008475957777799</v>
      </c>
      <c r="AC4661" s="2">
        <v>11727.2628816873</v>
      </c>
      <c r="AD4661" s="2">
        <v>13231.5653691403</v>
      </c>
      <c r="AE4661" s="2">
        <v>12085.028173643999</v>
      </c>
      <c r="AF4661" s="2">
        <v>11714.022880855</v>
      </c>
      <c r="AG4661" s="2">
        <v>12229.0871623482</v>
      </c>
      <c r="AH4661" s="2">
        <v>11476.949812840599</v>
      </c>
      <c r="AI4661" s="2">
        <v>11744.3698650693</v>
      </c>
      <c r="AJ4661" s="2">
        <v>11114.119395367001</v>
      </c>
      <c r="AK4661" s="2">
        <v>13543.433930527401</v>
      </c>
      <c r="AL4661" s="2">
        <v>14410.1215351912</v>
      </c>
      <c r="AM4661" s="2">
        <v>12978.9999777346</v>
      </c>
      <c r="AN4661" s="2">
        <v>12531.0231725713</v>
      </c>
      <c r="AO4661" s="2">
        <v>14082.406499709999</v>
      </c>
      <c r="AP4661" s="2">
        <v>11843.4070991073</v>
      </c>
    </row>
    <row r="4662" spans="1:42" ht="14.5" x14ac:dyDescent="0.35">
      <c r="A4662" s="2" t="s">
        <v>30921</v>
      </c>
      <c r="B4662" s="2">
        <v>126.031054143893</v>
      </c>
      <c r="C4662" s="2">
        <v>3.4003333333333301</v>
      </c>
      <c r="D4662" s="2" t="s">
        <v>34</v>
      </c>
      <c r="E4662" s="2" t="s">
        <v>30922</v>
      </c>
      <c r="F4662" s="2">
        <v>257001</v>
      </c>
      <c r="G4662" s="3" t="str">
        <f>HYPERLINK("http://funmeta.oebiotech.com/network/257001", "http://funmeta.oebiotech.com/network/257001")</f>
        <v>http://funmeta.oebiotech.com/network/257001</v>
      </c>
      <c r="H4662" s="2" t="s">
        <v>30923</v>
      </c>
      <c r="I4662" s="2"/>
      <c r="J4662" s="2"/>
      <c r="K4662" s="2"/>
      <c r="L4662" s="2"/>
      <c r="M4662" s="2"/>
      <c r="N4662" s="2"/>
      <c r="O4662" s="2"/>
      <c r="P4662" s="2"/>
      <c r="Q4662" s="2" t="s">
        <v>30924</v>
      </c>
      <c r="R4662" s="2" t="s">
        <v>30925</v>
      </c>
      <c r="S4662" s="2" t="s">
        <v>491</v>
      </c>
      <c r="T4662" s="2" t="s">
        <v>2321</v>
      </c>
      <c r="U4662" s="2" t="s">
        <v>2322</v>
      </c>
      <c r="V4662" s="2" t="s">
        <v>59</v>
      </c>
      <c r="W4662" s="2">
        <v>43.5</v>
      </c>
      <c r="X4662" s="2">
        <v>24.6</v>
      </c>
      <c r="Y4662" s="2" t="s">
        <v>394</v>
      </c>
      <c r="Z4662" s="2" t="s">
        <v>30926</v>
      </c>
      <c r="AA4662" s="2">
        <v>-0.73031764423623702</v>
      </c>
      <c r="AB4662" s="2">
        <v>0.13005918871239699</v>
      </c>
      <c r="AC4662" s="2">
        <v>16682.963539868</v>
      </c>
      <c r="AD4662" s="2">
        <v>15328.525143798999</v>
      </c>
      <c r="AE4662" s="2">
        <v>16905.461581691699</v>
      </c>
      <c r="AF4662" s="2">
        <v>15628.9769618915</v>
      </c>
      <c r="AG4662" s="2">
        <v>16865.272368536302</v>
      </c>
      <c r="AH4662" s="2">
        <v>16186.8178566314</v>
      </c>
      <c r="AI4662" s="2">
        <v>17021.170310963698</v>
      </c>
      <c r="AJ4662" s="2">
        <v>17490.082159493399</v>
      </c>
      <c r="AK4662" s="2">
        <v>15236.8805168826</v>
      </c>
      <c r="AL4662" s="2">
        <v>15617.085364745901</v>
      </c>
      <c r="AM4662" s="2">
        <v>15416.560718410799</v>
      </c>
      <c r="AN4662" s="2">
        <v>15530.339625914299</v>
      </c>
      <c r="AO4662" s="2">
        <v>14801.7463052775</v>
      </c>
      <c r="AP4662" s="2">
        <v>15368.5383315626</v>
      </c>
    </row>
    <row r="4663" spans="1:42" ht="14.5" x14ac:dyDescent="0.35">
      <c r="A4663" s="2" t="s">
        <v>30927</v>
      </c>
      <c r="B4663" s="2">
        <v>499.37531119529501</v>
      </c>
      <c r="C4663" s="2">
        <v>12.097849999999999</v>
      </c>
      <c r="D4663" s="2" t="s">
        <v>34</v>
      </c>
      <c r="E4663" s="2" t="s">
        <v>30928</v>
      </c>
      <c r="F4663" s="2">
        <v>266650</v>
      </c>
      <c r="G4663" s="3" t="str">
        <f>HYPERLINK("http://funmeta.oebiotech.com/network/266650", "http://funmeta.oebiotech.com/network/266650")</f>
        <v>http://funmeta.oebiotech.com/network/266650</v>
      </c>
      <c r="H4663" s="2"/>
      <c r="I4663" s="2">
        <v>43717</v>
      </c>
      <c r="J4663" s="2"/>
      <c r="K4663" s="2"/>
      <c r="L4663" s="2"/>
      <c r="M4663" s="2"/>
      <c r="N4663" s="2"/>
      <c r="O4663" s="2">
        <v>6708573</v>
      </c>
      <c r="P4663" s="2" t="s">
        <v>30929</v>
      </c>
      <c r="Q4663" s="2" t="s">
        <v>30930</v>
      </c>
      <c r="R4663" s="2" t="s">
        <v>30931</v>
      </c>
      <c r="S4663" s="2" t="s">
        <v>50</v>
      </c>
      <c r="T4663" s="2" t="s">
        <v>201</v>
      </c>
      <c r="U4663" s="2" t="s">
        <v>210</v>
      </c>
      <c r="V4663" s="2" t="s">
        <v>59</v>
      </c>
      <c r="W4663" s="2">
        <v>42.4</v>
      </c>
      <c r="X4663" s="2">
        <v>27.9</v>
      </c>
      <c r="Y4663" s="2" t="s">
        <v>394</v>
      </c>
      <c r="Z4663" s="2" t="s">
        <v>30932</v>
      </c>
      <c r="AA4663" s="2">
        <v>-5.7694347468264198</v>
      </c>
      <c r="AB4663" s="2">
        <v>0.129922458224071</v>
      </c>
      <c r="AC4663" s="2">
        <v>1299.49184948074</v>
      </c>
      <c r="AD4663" s="2">
        <v>117.413488177454</v>
      </c>
      <c r="AE4663" s="2">
        <v>1149.79766076179</v>
      </c>
      <c r="AF4663" s="2">
        <v>1672.5178967924501</v>
      </c>
      <c r="AG4663" s="2">
        <v>1478.0048065623901</v>
      </c>
      <c r="AH4663" s="2">
        <v>1066.50133596757</v>
      </c>
      <c r="AI4663" s="2">
        <v>916.35486391894096</v>
      </c>
      <c r="AJ4663" s="2">
        <v>1513.7745328813101</v>
      </c>
      <c r="AK4663" s="2">
        <v>2.7106294003980101E-5</v>
      </c>
      <c r="AL4663" s="2">
        <v>71.825193755114896</v>
      </c>
      <c r="AM4663" s="2">
        <v>132.67628158717099</v>
      </c>
      <c r="AN4663" s="2">
        <v>2.7106294003980101E-5</v>
      </c>
      <c r="AO4663" s="2">
        <v>499.97937240355401</v>
      </c>
      <c r="AP4663" s="2">
        <v>2.7106294003980101E-5</v>
      </c>
    </row>
    <row r="4664" spans="1:42" ht="14.5" x14ac:dyDescent="0.35">
      <c r="A4664" s="2" t="s">
        <v>30933</v>
      </c>
      <c r="B4664" s="2">
        <v>355.302598435128</v>
      </c>
      <c r="C4664" s="2">
        <v>13.972099999999999</v>
      </c>
      <c r="D4664" s="2" t="s">
        <v>34</v>
      </c>
      <c r="E4664" s="2" t="s">
        <v>30934</v>
      </c>
      <c r="F4664" s="2">
        <v>514375</v>
      </c>
      <c r="G4664" s="3" t="str">
        <f>HYPERLINK("http://funmeta.oebiotech.com/network/514375", "http://funmeta.oebiotech.com/network/514375")</f>
        <v>http://funmeta.oebiotech.com/network/514375</v>
      </c>
      <c r="H4664" s="2"/>
      <c r="I4664" s="2">
        <v>96383</v>
      </c>
      <c r="J4664" s="2"/>
      <c r="K4664" s="2"/>
      <c r="L4664" s="2"/>
      <c r="M4664" s="2"/>
      <c r="N4664" s="2"/>
      <c r="O4664" s="2">
        <v>71684525</v>
      </c>
      <c r="P4664" s="2"/>
      <c r="Q4664" s="2" t="s">
        <v>30935</v>
      </c>
      <c r="R4664" s="2" t="s">
        <v>30936</v>
      </c>
      <c r="S4664" s="2" t="s">
        <v>50</v>
      </c>
      <c r="T4664" s="2" t="s">
        <v>229</v>
      </c>
      <c r="U4664" s="2" t="s">
        <v>1914</v>
      </c>
      <c r="V4664" s="2" t="s">
        <v>59</v>
      </c>
      <c r="W4664" s="2">
        <v>37.799999999999997</v>
      </c>
      <c r="X4664" s="2">
        <v>0</v>
      </c>
      <c r="Y4664" s="2" t="s">
        <v>43</v>
      </c>
      <c r="Z4664" s="2" t="s">
        <v>30937</v>
      </c>
      <c r="AA4664" s="2">
        <v>6.6543560276016196</v>
      </c>
      <c r="AB4664" s="2">
        <v>0.12989270693914101</v>
      </c>
      <c r="AC4664" s="2">
        <v>24988.6291357915</v>
      </c>
      <c r="AD4664" s="2">
        <v>30826.443227631898</v>
      </c>
      <c r="AE4664" s="2">
        <v>26314.381502747801</v>
      </c>
      <c r="AF4664" s="2">
        <v>54382.313435458404</v>
      </c>
      <c r="AG4664" s="2">
        <v>33744.228897963003</v>
      </c>
      <c r="AH4664" s="2">
        <v>5086.6469419826099</v>
      </c>
      <c r="AI4664" s="2">
        <v>7111.5459290843901</v>
      </c>
      <c r="AJ4664" s="2">
        <v>23292.6581075129</v>
      </c>
      <c r="AK4664" s="2">
        <v>20965.571675267001</v>
      </c>
      <c r="AL4664" s="2">
        <v>49080.053271887897</v>
      </c>
      <c r="AM4664" s="2">
        <v>32349.3424402407</v>
      </c>
      <c r="AN4664" s="2">
        <v>32015.695053273499</v>
      </c>
      <c r="AO4664" s="2">
        <v>15888.7499460774</v>
      </c>
      <c r="AP4664" s="2">
        <v>34659.246979044998</v>
      </c>
    </row>
    <row r="4665" spans="1:42" ht="14.5" x14ac:dyDescent="0.35">
      <c r="A4665" s="2" t="s">
        <v>30938</v>
      </c>
      <c r="B4665" s="2">
        <v>133.085943767039</v>
      </c>
      <c r="C4665" s="2">
        <v>3.6614666666666702</v>
      </c>
      <c r="D4665" s="2" t="s">
        <v>34</v>
      </c>
      <c r="E4665" s="2" t="s">
        <v>30939</v>
      </c>
      <c r="F4665" s="2">
        <v>1887</v>
      </c>
      <c r="G4665" s="3" t="str">
        <f>HYPERLINK("http://funmeta.oebiotech.com/network/1887", "http://funmeta.oebiotech.com/network/1887")</f>
        <v>http://funmeta.oebiotech.com/network/1887</v>
      </c>
      <c r="H4665" s="2" t="s">
        <v>30940</v>
      </c>
      <c r="I4665" s="2">
        <v>4142</v>
      </c>
      <c r="J4665" s="2" t="s">
        <v>30941</v>
      </c>
      <c r="K4665" s="2">
        <v>44510</v>
      </c>
      <c r="L4665" s="2"/>
      <c r="M4665" s="2"/>
      <c r="N4665" s="2"/>
      <c r="O4665" s="2">
        <v>83697</v>
      </c>
      <c r="P4665" s="2" t="s">
        <v>30942</v>
      </c>
      <c r="Q4665" s="2" t="s">
        <v>30943</v>
      </c>
      <c r="R4665" s="2" t="s">
        <v>30944</v>
      </c>
      <c r="S4665" s="2" t="s">
        <v>50</v>
      </c>
      <c r="T4665" s="2" t="s">
        <v>229</v>
      </c>
      <c r="U4665" s="2" t="s">
        <v>433</v>
      </c>
      <c r="V4665" s="2" t="s">
        <v>59</v>
      </c>
      <c r="W4665" s="2">
        <v>39.1</v>
      </c>
      <c r="X4665" s="2">
        <v>0</v>
      </c>
      <c r="Y4665" s="2" t="s">
        <v>394</v>
      </c>
      <c r="Z4665" s="2" t="s">
        <v>30945</v>
      </c>
      <c r="AA4665" s="2">
        <v>0.174831589376619</v>
      </c>
      <c r="AB4665" s="2">
        <v>0.129864367793397</v>
      </c>
      <c r="AC4665" s="2">
        <v>2065.6973287044498</v>
      </c>
      <c r="AD4665" s="2">
        <v>3224.4003909447301</v>
      </c>
      <c r="AE4665" s="2">
        <v>2130.9977600811999</v>
      </c>
      <c r="AF4665" s="2">
        <v>2098.4818258320902</v>
      </c>
      <c r="AG4665" s="2">
        <v>1956.3141139726499</v>
      </c>
      <c r="AH4665" s="2">
        <v>2212.8784823922801</v>
      </c>
      <c r="AI4665" s="2">
        <v>1956.1273027483401</v>
      </c>
      <c r="AJ4665" s="2">
        <v>2039.38448720015</v>
      </c>
      <c r="AK4665" s="2">
        <v>2954.0195264724998</v>
      </c>
      <c r="AL4665" s="2">
        <v>3075.08505279679</v>
      </c>
      <c r="AM4665" s="2">
        <v>3441.7327716995801</v>
      </c>
      <c r="AN4665" s="2">
        <v>3374.5928490415899</v>
      </c>
      <c r="AO4665" s="2">
        <v>3554.1793572310098</v>
      </c>
      <c r="AP4665" s="2">
        <v>2946.7927884269102</v>
      </c>
    </row>
    <row r="4666" spans="1:42" ht="14.5" x14ac:dyDescent="0.35">
      <c r="A4666" s="2" t="s">
        <v>30946</v>
      </c>
      <c r="B4666" s="2">
        <v>171.0287279019</v>
      </c>
      <c r="C4666" s="2">
        <v>0.79598333333333304</v>
      </c>
      <c r="D4666" s="2" t="s">
        <v>34</v>
      </c>
      <c r="E4666" s="2" t="s">
        <v>30947</v>
      </c>
      <c r="F4666" s="2">
        <v>48621</v>
      </c>
      <c r="G4666" s="3" t="str">
        <f>HYPERLINK("http://funmeta.oebiotech.com/network/48621", "http://funmeta.oebiotech.com/network/48621")</f>
        <v>http://funmeta.oebiotech.com/network/48621</v>
      </c>
      <c r="H4666" s="2" t="s">
        <v>30948</v>
      </c>
      <c r="I4666" s="2">
        <v>3295</v>
      </c>
      <c r="J4666" s="2"/>
      <c r="K4666" s="2">
        <v>30778</v>
      </c>
      <c r="L4666" s="2" t="s">
        <v>30949</v>
      </c>
      <c r="M4666" s="2" t="s">
        <v>3346</v>
      </c>
      <c r="N4666" s="2" t="s">
        <v>3347</v>
      </c>
      <c r="O4666" s="2">
        <v>370</v>
      </c>
      <c r="P4666" s="2" t="s">
        <v>30950</v>
      </c>
      <c r="Q4666" s="2" t="s">
        <v>30951</v>
      </c>
      <c r="R4666" s="2" t="s">
        <v>30952</v>
      </c>
      <c r="S4666" s="2" t="s">
        <v>148</v>
      </c>
      <c r="T4666" s="2" t="s">
        <v>149</v>
      </c>
      <c r="U4666" s="2" t="s">
        <v>1593</v>
      </c>
      <c r="V4666" s="2" t="s">
        <v>59</v>
      </c>
      <c r="W4666" s="2">
        <v>38.4</v>
      </c>
      <c r="X4666" s="2">
        <v>0</v>
      </c>
      <c r="Y4666" s="2" t="s">
        <v>394</v>
      </c>
      <c r="Z4666" s="2" t="s">
        <v>30953</v>
      </c>
      <c r="AA4666" s="2">
        <v>-0.42241899107419401</v>
      </c>
      <c r="AB4666" s="2">
        <v>0.129643092797322</v>
      </c>
      <c r="AC4666" s="2">
        <v>6780.7611958828902</v>
      </c>
      <c r="AD4666" s="2">
        <v>8171.3598193573698</v>
      </c>
      <c r="AE4666" s="2">
        <v>6997.11391146596</v>
      </c>
      <c r="AF4666" s="2">
        <v>6773.4894918092996</v>
      </c>
      <c r="AG4666" s="2">
        <v>6228.56322020063</v>
      </c>
      <c r="AH4666" s="2">
        <v>6398.7664169890704</v>
      </c>
      <c r="AI4666" s="2">
        <v>6497.6261231772796</v>
      </c>
      <c r="AJ4666" s="2">
        <v>7789.0080116550898</v>
      </c>
      <c r="AK4666" s="2">
        <v>7382.0475796332903</v>
      </c>
      <c r="AL4666" s="2">
        <v>8034.6879884604596</v>
      </c>
      <c r="AM4666" s="2">
        <v>7805.71089867519</v>
      </c>
      <c r="AN4666" s="2">
        <v>8215.9047412713608</v>
      </c>
      <c r="AO4666" s="2">
        <v>8438.7354744014392</v>
      </c>
      <c r="AP4666" s="2">
        <v>9151.0722337024908</v>
      </c>
    </row>
    <row r="4667" spans="1:42" ht="14.5" x14ac:dyDescent="0.35">
      <c r="A4667" s="2" t="s">
        <v>30954</v>
      </c>
      <c r="B4667" s="2">
        <v>362.26851424235798</v>
      </c>
      <c r="C4667" s="2">
        <v>9.1395166666666707</v>
      </c>
      <c r="D4667" s="2" t="s">
        <v>34</v>
      </c>
      <c r="E4667" s="2" t="s">
        <v>30955</v>
      </c>
      <c r="F4667" s="2">
        <v>4847</v>
      </c>
      <c r="G4667" s="3" t="str">
        <f>HYPERLINK("http://funmeta.oebiotech.com/network/4847", "http://funmeta.oebiotech.com/network/4847")</f>
        <v>http://funmeta.oebiotech.com/network/4847</v>
      </c>
      <c r="H4667" s="2" t="s">
        <v>30956</v>
      </c>
      <c r="I4667" s="2"/>
      <c r="J4667" s="2" t="s">
        <v>30957</v>
      </c>
      <c r="K4667" s="2">
        <v>72637</v>
      </c>
      <c r="L4667" s="2"/>
      <c r="M4667" s="2"/>
      <c r="N4667" s="2"/>
      <c r="O4667" s="2">
        <v>6439179</v>
      </c>
      <c r="P4667" s="2" t="s">
        <v>30958</v>
      </c>
      <c r="Q4667" s="2" t="s">
        <v>30959</v>
      </c>
      <c r="R4667" s="2" t="s">
        <v>30960</v>
      </c>
      <c r="S4667" s="2" t="s">
        <v>50</v>
      </c>
      <c r="T4667" s="2" t="s">
        <v>229</v>
      </c>
      <c r="U4667" s="2" t="s">
        <v>433</v>
      </c>
      <c r="V4667" s="2" t="s">
        <v>42</v>
      </c>
      <c r="W4667" s="2">
        <v>53.7</v>
      </c>
      <c r="X4667" s="2">
        <v>74.599999999999994</v>
      </c>
      <c r="Y4667" s="2" t="s">
        <v>43</v>
      </c>
      <c r="Z4667" s="2" t="s">
        <v>21799</v>
      </c>
      <c r="AA4667" s="2">
        <v>-1.32517719098683</v>
      </c>
      <c r="AB4667" s="2">
        <v>0.12964174860786801</v>
      </c>
      <c r="AC4667" s="2">
        <v>32695.626609512099</v>
      </c>
      <c r="AD4667" s="2">
        <v>30900.019163546502</v>
      </c>
      <c r="AE4667" s="2">
        <v>32438.7992713741</v>
      </c>
      <c r="AF4667" s="2">
        <v>32141.925751850202</v>
      </c>
      <c r="AG4667" s="2">
        <v>32356.036220471298</v>
      </c>
      <c r="AH4667" s="2">
        <v>34128.729070927802</v>
      </c>
      <c r="AI4667" s="2">
        <v>32477.463134841299</v>
      </c>
      <c r="AJ4667" s="2">
        <v>32630.806207607799</v>
      </c>
      <c r="AK4667" s="2">
        <v>28152.694896388199</v>
      </c>
      <c r="AL4667" s="2">
        <v>30455.4309834019</v>
      </c>
      <c r="AM4667" s="2">
        <v>32896.9122947625</v>
      </c>
      <c r="AN4667" s="2">
        <v>31820.160660567999</v>
      </c>
      <c r="AO4667" s="2">
        <v>31379.416570947302</v>
      </c>
      <c r="AP4667" s="2">
        <v>30695.499575211401</v>
      </c>
    </row>
    <row r="4668" spans="1:42" ht="14.5" x14ac:dyDescent="0.35">
      <c r="A4668" s="2" t="s">
        <v>30961</v>
      </c>
      <c r="B4668" s="2">
        <v>451.04707801857001</v>
      </c>
      <c r="C4668" s="2">
        <v>2.5589</v>
      </c>
      <c r="D4668" s="2" t="s">
        <v>70</v>
      </c>
      <c r="E4668" s="2" t="s">
        <v>30962</v>
      </c>
      <c r="F4668" s="2">
        <v>208534</v>
      </c>
      <c r="G4668" s="3" t="str">
        <f>HYPERLINK("http://funmeta.oebiotech.com/network/208534", "http://funmeta.oebiotech.com/network/208534")</f>
        <v>http://funmeta.oebiotech.com/network/208534</v>
      </c>
      <c r="H4668" s="2" t="s">
        <v>30963</v>
      </c>
      <c r="I4668" s="2">
        <v>448208</v>
      </c>
      <c r="J4668" s="2"/>
      <c r="K4668" s="2"/>
      <c r="L4668" s="2"/>
      <c r="M4668" s="2"/>
      <c r="N4668" s="2"/>
      <c r="O4668" s="2">
        <v>29698</v>
      </c>
      <c r="P4668" s="2"/>
      <c r="Q4668" s="2" t="s">
        <v>30964</v>
      </c>
      <c r="R4668" s="2" t="s">
        <v>30965</v>
      </c>
      <c r="S4668" s="2" t="s">
        <v>491</v>
      </c>
      <c r="T4668" s="2" t="s">
        <v>3519</v>
      </c>
      <c r="U4668" s="2" t="s">
        <v>7268</v>
      </c>
      <c r="V4668" s="2" t="s">
        <v>59</v>
      </c>
      <c r="W4668" s="2">
        <v>38.200000000000003</v>
      </c>
      <c r="X4668" s="2">
        <v>0</v>
      </c>
      <c r="Y4668" s="2" t="s">
        <v>560</v>
      </c>
      <c r="Z4668" s="2" t="s">
        <v>30966</v>
      </c>
      <c r="AA4668" s="2">
        <v>-0.51867653921407997</v>
      </c>
      <c r="AB4668" s="2">
        <v>0.129538631278343</v>
      </c>
      <c r="AC4668" s="2">
        <v>16000.406398364299</v>
      </c>
      <c r="AD4668" s="2">
        <v>17717.521967063101</v>
      </c>
      <c r="AE4668" s="2">
        <v>16039.3395835182</v>
      </c>
      <c r="AF4668" s="2">
        <v>16747.556558317399</v>
      </c>
      <c r="AG4668" s="2">
        <v>16295.1254232874</v>
      </c>
      <c r="AH4668" s="2">
        <v>17562.384025417599</v>
      </c>
      <c r="AI4668" s="2">
        <v>15020.9250134335</v>
      </c>
      <c r="AJ4668" s="2">
        <v>14337.1077862117</v>
      </c>
      <c r="AK4668" s="2">
        <v>18189.040872917401</v>
      </c>
      <c r="AL4668" s="2">
        <v>18716.206360378401</v>
      </c>
      <c r="AM4668" s="2">
        <v>16708.156925998999</v>
      </c>
      <c r="AN4668" s="2">
        <v>17626.785197023699</v>
      </c>
      <c r="AO4668" s="2">
        <v>16326.8339459495</v>
      </c>
      <c r="AP4668" s="2">
        <v>18738.108500110298</v>
      </c>
    </row>
    <row r="4669" spans="1:42" ht="14.5" x14ac:dyDescent="0.35">
      <c r="A4669" s="2" t="s">
        <v>30967</v>
      </c>
      <c r="B4669" s="2">
        <v>481.33652258616303</v>
      </c>
      <c r="C4669" s="2">
        <v>5.2337999999999996</v>
      </c>
      <c r="D4669" s="2" t="s">
        <v>34</v>
      </c>
      <c r="E4669" s="2" t="s">
        <v>30968</v>
      </c>
      <c r="F4669" s="2">
        <v>207138</v>
      </c>
      <c r="G4669" s="3" t="str">
        <f>HYPERLINK("http://funmeta.oebiotech.com/network/207138", "http://funmeta.oebiotech.com/network/207138")</f>
        <v>http://funmeta.oebiotech.com/network/207138</v>
      </c>
      <c r="H4669" s="2" t="s">
        <v>30969</v>
      </c>
      <c r="I4669" s="2"/>
      <c r="J4669" s="2"/>
      <c r="K4669" s="2"/>
      <c r="L4669" s="2"/>
      <c r="M4669" s="2"/>
      <c r="N4669" s="2"/>
      <c r="O4669" s="2">
        <v>588785</v>
      </c>
      <c r="P4669" s="2"/>
      <c r="Q4669" s="2" t="s">
        <v>30970</v>
      </c>
      <c r="R4669" s="2" t="s">
        <v>30971</v>
      </c>
      <c r="S4669" s="2" t="s">
        <v>79</v>
      </c>
      <c r="T4669" s="2" t="s">
        <v>80</v>
      </c>
      <c r="U4669" s="2" t="s">
        <v>81</v>
      </c>
      <c r="V4669" s="2" t="s">
        <v>59</v>
      </c>
      <c r="W4669" s="2">
        <v>37.5</v>
      </c>
      <c r="X4669" s="2">
        <v>0</v>
      </c>
      <c r="Y4669" s="2" t="s">
        <v>43</v>
      </c>
      <c r="Z4669" s="2" t="s">
        <v>30972</v>
      </c>
      <c r="AA4669" s="2">
        <v>4.5291984915836299</v>
      </c>
      <c r="AB4669" s="2">
        <v>0.129306928670232</v>
      </c>
      <c r="AC4669" s="2">
        <v>4496.8796273944599</v>
      </c>
      <c r="AD4669" s="2">
        <v>2663.6609307024301</v>
      </c>
      <c r="AE4669" s="2">
        <v>4536.3478449444601</v>
      </c>
      <c r="AF4669" s="2">
        <v>5220.4607449569203</v>
      </c>
      <c r="AG4669" s="2">
        <v>4051.7927559725199</v>
      </c>
      <c r="AH4669" s="2">
        <v>6225.4777767976502</v>
      </c>
      <c r="AI4669" s="2">
        <v>1432.22077316949</v>
      </c>
      <c r="AJ4669" s="2">
        <v>5514.9778685257197</v>
      </c>
      <c r="AK4669" s="2">
        <v>1760.4544662563701</v>
      </c>
      <c r="AL4669" s="2">
        <v>2106.96183731679</v>
      </c>
      <c r="AM4669" s="2">
        <v>3696.7412819159999</v>
      </c>
      <c r="AN4669" s="2">
        <v>1450.9302426818599</v>
      </c>
      <c r="AO4669" s="2">
        <v>3331.0458750959101</v>
      </c>
      <c r="AP4669" s="2">
        <v>3635.83188094766</v>
      </c>
    </row>
    <row r="4670" spans="1:42" ht="14.5" x14ac:dyDescent="0.35">
      <c r="A4670" s="2" t="s">
        <v>30973</v>
      </c>
      <c r="B4670" s="2">
        <v>239.96763076642699</v>
      </c>
      <c r="C4670" s="2">
        <v>6.6499833333333296</v>
      </c>
      <c r="D4670" s="2" t="s">
        <v>70</v>
      </c>
      <c r="E4670" s="2" t="s">
        <v>30974</v>
      </c>
      <c r="F4670" s="2">
        <v>516557</v>
      </c>
      <c r="G4670" s="3" t="str">
        <f>HYPERLINK("http://funmeta.oebiotech.com/network/516557", "http://funmeta.oebiotech.com/network/516557")</f>
        <v>http://funmeta.oebiotech.com/network/516557</v>
      </c>
      <c r="H4670" s="2"/>
      <c r="I4670" s="2">
        <v>96598</v>
      </c>
      <c r="J4670" s="2"/>
      <c r="K4670" s="2"/>
      <c r="L4670" s="2"/>
      <c r="M4670" s="2"/>
      <c r="N4670" s="2"/>
      <c r="O4670" s="2">
        <v>131506</v>
      </c>
      <c r="P4670" s="2"/>
      <c r="Q4670" s="2" t="s">
        <v>30975</v>
      </c>
      <c r="R4670" s="2" t="s">
        <v>30976</v>
      </c>
      <c r="S4670" s="2" t="s">
        <v>148</v>
      </c>
      <c r="T4670" s="2" t="s">
        <v>5205</v>
      </c>
      <c r="U4670" s="2" t="s">
        <v>41</v>
      </c>
      <c r="V4670" s="2" t="s">
        <v>59</v>
      </c>
      <c r="W4670" s="2">
        <v>38.5</v>
      </c>
      <c r="X4670" s="2">
        <v>0</v>
      </c>
      <c r="Y4670" s="2" t="s">
        <v>751</v>
      </c>
      <c r="Z4670" s="2" t="s">
        <v>30977</v>
      </c>
      <c r="AA4670" s="2">
        <v>-1.2565904231060601</v>
      </c>
      <c r="AB4670" s="2">
        <v>0.12929350215190499</v>
      </c>
      <c r="AC4670" s="2">
        <v>5930.9383478617701</v>
      </c>
      <c r="AD4670" s="2">
        <v>7246.9889337578497</v>
      </c>
      <c r="AE4670" s="2">
        <v>5721.7674725475099</v>
      </c>
      <c r="AF4670" s="2">
        <v>5867.3129630611502</v>
      </c>
      <c r="AG4670" s="2">
        <v>5907.3221119247901</v>
      </c>
      <c r="AH4670" s="2">
        <v>6172.5779481069303</v>
      </c>
      <c r="AI4670" s="2">
        <v>6225.9181280100502</v>
      </c>
      <c r="AJ4670" s="2">
        <v>5690.7314635202101</v>
      </c>
      <c r="AK4670" s="2">
        <v>7406.8706124622204</v>
      </c>
      <c r="AL4670" s="2">
        <v>7037.7342645783101</v>
      </c>
      <c r="AM4670" s="2">
        <v>7534.4479048105804</v>
      </c>
      <c r="AN4670" s="2">
        <v>6333.2792909948603</v>
      </c>
      <c r="AO4670" s="2">
        <v>8238.3890301502797</v>
      </c>
      <c r="AP4670" s="2">
        <v>6931.2124995508402</v>
      </c>
    </row>
    <row r="4671" spans="1:42" ht="14.5" x14ac:dyDescent="0.35">
      <c r="A4671" s="2" t="s">
        <v>30978</v>
      </c>
      <c r="B4671" s="2">
        <v>322.99354777697101</v>
      </c>
      <c r="C4671" s="2">
        <v>9.3251833333333298</v>
      </c>
      <c r="D4671" s="2" t="s">
        <v>70</v>
      </c>
      <c r="E4671" s="2" t="s">
        <v>30979</v>
      </c>
      <c r="F4671" s="2">
        <v>274225</v>
      </c>
      <c r="G4671" s="3" t="str">
        <f>HYPERLINK("http://funmeta.oebiotech.com/network/274225", "http://funmeta.oebiotech.com/network/274225")</f>
        <v>http://funmeta.oebiotech.com/network/274225</v>
      </c>
      <c r="H4671" s="2"/>
      <c r="I4671" s="2">
        <v>64016</v>
      </c>
      <c r="J4671" s="2"/>
      <c r="K4671" s="2"/>
      <c r="L4671" s="2" t="s">
        <v>30980</v>
      </c>
      <c r="M4671" s="2" t="s">
        <v>890</v>
      </c>
      <c r="N4671" s="2" t="s">
        <v>891</v>
      </c>
      <c r="O4671" s="2">
        <v>126747</v>
      </c>
      <c r="P4671" s="2" t="s">
        <v>30981</v>
      </c>
      <c r="Q4671" s="2" t="s">
        <v>30982</v>
      </c>
      <c r="R4671" s="2" t="s">
        <v>30983</v>
      </c>
      <c r="S4671" s="2" t="s">
        <v>79</v>
      </c>
      <c r="T4671" s="2" t="s">
        <v>18840</v>
      </c>
      <c r="U4671" s="2" t="s">
        <v>18841</v>
      </c>
      <c r="V4671" s="2" t="s">
        <v>59</v>
      </c>
      <c r="W4671" s="2">
        <v>38.9</v>
      </c>
      <c r="X4671" s="2">
        <v>0</v>
      </c>
      <c r="Y4671" s="2" t="s">
        <v>408</v>
      </c>
      <c r="Z4671" s="2" t="s">
        <v>30984</v>
      </c>
      <c r="AA4671" s="2">
        <v>-1.1162545286910699</v>
      </c>
      <c r="AB4671" s="2">
        <v>0.12929173882765599</v>
      </c>
      <c r="AC4671" s="2">
        <v>14661.6564868557</v>
      </c>
      <c r="AD4671" s="2">
        <v>16141.829217099301</v>
      </c>
      <c r="AE4671" s="2">
        <v>14752.662224936999</v>
      </c>
      <c r="AF4671" s="2">
        <v>15111.7192385411</v>
      </c>
      <c r="AG4671" s="2">
        <v>15099.6228339764</v>
      </c>
      <c r="AH4671" s="2">
        <v>14403.0298194025</v>
      </c>
      <c r="AI4671" s="2">
        <v>14564.5965662622</v>
      </c>
      <c r="AJ4671" s="2">
        <v>14038.308238015001</v>
      </c>
      <c r="AK4671" s="2">
        <v>16013.0460535817</v>
      </c>
      <c r="AL4671" s="2">
        <v>16010.9425820506</v>
      </c>
      <c r="AM4671" s="2">
        <v>17356.188827297199</v>
      </c>
      <c r="AN4671" s="2">
        <v>15356.5464844981</v>
      </c>
      <c r="AO4671" s="2">
        <v>17142.173795103601</v>
      </c>
      <c r="AP4671" s="2">
        <v>14972.077560064399</v>
      </c>
    </row>
    <row r="4672" spans="1:42" ht="14.5" x14ac:dyDescent="0.35">
      <c r="A4672" s="2" t="s">
        <v>30985</v>
      </c>
      <c r="B4672" s="2">
        <v>553.16824869167499</v>
      </c>
      <c r="C4672" s="2">
        <v>5.3202666666666696</v>
      </c>
      <c r="D4672" s="2" t="s">
        <v>70</v>
      </c>
      <c r="E4672" s="2" t="s">
        <v>30986</v>
      </c>
      <c r="F4672" s="2">
        <v>207797</v>
      </c>
      <c r="G4672" s="3" t="str">
        <f>HYPERLINK("http://funmeta.oebiotech.com/network/207797", "http://funmeta.oebiotech.com/network/207797")</f>
        <v>http://funmeta.oebiotech.com/network/207797</v>
      </c>
      <c r="H4672" s="2" t="s">
        <v>30987</v>
      </c>
      <c r="I4672" s="2">
        <v>45531</v>
      </c>
      <c r="J4672" s="2"/>
      <c r="K4672" s="2"/>
      <c r="L4672" s="2"/>
      <c r="M4672" s="2"/>
      <c r="N4672" s="2"/>
      <c r="O4672" s="2">
        <v>3707</v>
      </c>
      <c r="P4672" s="2" t="s">
        <v>30988</v>
      </c>
      <c r="Q4672" s="2" t="s">
        <v>30989</v>
      </c>
      <c r="R4672" s="2" t="s">
        <v>30990</v>
      </c>
      <c r="S4672" s="2" t="s">
        <v>491</v>
      </c>
      <c r="T4672" s="2" t="s">
        <v>2184</v>
      </c>
      <c r="U4672" s="2" t="s">
        <v>28429</v>
      </c>
      <c r="V4672" s="2" t="s">
        <v>59</v>
      </c>
      <c r="W4672" s="2">
        <v>37.299999999999997</v>
      </c>
      <c r="X4672" s="2">
        <v>0</v>
      </c>
      <c r="Y4672" s="2" t="s">
        <v>560</v>
      </c>
      <c r="Z4672" s="2" t="s">
        <v>30991</v>
      </c>
      <c r="AA4672" s="2">
        <v>9.51316145965842</v>
      </c>
      <c r="AB4672" s="2">
        <v>0.12924920428179401</v>
      </c>
      <c r="AC4672" s="2">
        <v>1178.50548347113</v>
      </c>
      <c r="AD4672" s="2">
        <v>2532.1250896852498</v>
      </c>
      <c r="AE4672" s="2">
        <v>1610.64582977945</v>
      </c>
      <c r="AF4672" s="2">
        <v>637.43091898306</v>
      </c>
      <c r="AG4672" s="2">
        <v>1631.4616837203901</v>
      </c>
      <c r="AH4672" s="2">
        <v>1001.18019666489</v>
      </c>
      <c r="AI4672" s="2">
        <v>690.03941469204005</v>
      </c>
      <c r="AJ4672" s="2">
        <v>1500.27485698693</v>
      </c>
      <c r="AK4672" s="2">
        <v>1786.0572203310801</v>
      </c>
      <c r="AL4672" s="2">
        <v>2245.9417181223998</v>
      </c>
      <c r="AM4672" s="2">
        <v>2201.9390363635398</v>
      </c>
      <c r="AN4672" s="2">
        <v>3255.8099249362999</v>
      </c>
      <c r="AO4672" s="2">
        <v>3264.73239683663</v>
      </c>
      <c r="AP4672" s="2">
        <v>2438.2702415215399</v>
      </c>
    </row>
    <row r="4673" spans="1:42" ht="14.5" x14ac:dyDescent="0.35">
      <c r="A4673" s="2" t="s">
        <v>30992</v>
      </c>
      <c r="B4673" s="2">
        <v>389.10929439537102</v>
      </c>
      <c r="C4673" s="2">
        <v>4.2405333333333299</v>
      </c>
      <c r="D4673" s="2" t="s">
        <v>70</v>
      </c>
      <c r="E4673" s="2" t="s">
        <v>30993</v>
      </c>
      <c r="F4673" s="2">
        <v>200111</v>
      </c>
      <c r="G4673" s="3" t="str">
        <f>HYPERLINK("http://funmeta.oebiotech.com/network/200111", "http://funmeta.oebiotech.com/network/200111")</f>
        <v>http://funmeta.oebiotech.com/network/200111</v>
      </c>
      <c r="H4673" s="2" t="s">
        <v>30994</v>
      </c>
      <c r="I4673" s="2"/>
      <c r="J4673" s="2"/>
      <c r="K4673" s="2"/>
      <c r="L4673" s="2"/>
      <c r="M4673" s="2"/>
      <c r="N4673" s="2"/>
      <c r="O4673" s="2">
        <v>3006315</v>
      </c>
      <c r="P4673" s="2"/>
      <c r="Q4673" s="2" t="s">
        <v>30995</v>
      </c>
      <c r="R4673" s="2" t="s">
        <v>30996</v>
      </c>
      <c r="S4673" s="2" t="s">
        <v>491</v>
      </c>
      <c r="T4673" s="2" t="s">
        <v>2238</v>
      </c>
      <c r="U4673" s="2" t="s">
        <v>30997</v>
      </c>
      <c r="V4673" s="2" t="s">
        <v>59</v>
      </c>
      <c r="W4673" s="2">
        <v>38.4</v>
      </c>
      <c r="X4673" s="2">
        <v>0</v>
      </c>
      <c r="Y4673" s="2" t="s">
        <v>560</v>
      </c>
      <c r="Z4673" s="2" t="s">
        <v>30998</v>
      </c>
      <c r="AA4673" s="2">
        <v>2.1485985849447502</v>
      </c>
      <c r="AB4673" s="2">
        <v>0.12906850544416701</v>
      </c>
      <c r="AC4673" s="2">
        <v>6992.0461757265202</v>
      </c>
      <c r="AD4673" s="2">
        <v>5522.1310054313899</v>
      </c>
      <c r="AE4673" s="2">
        <v>8520.9411427647392</v>
      </c>
      <c r="AF4673" s="2">
        <v>6172.0206907932597</v>
      </c>
      <c r="AG4673" s="2">
        <v>6987.63930410793</v>
      </c>
      <c r="AH4673" s="2">
        <v>6423.6915153794798</v>
      </c>
      <c r="AI4673" s="2">
        <v>7045.1521281220703</v>
      </c>
      <c r="AJ4673" s="2">
        <v>6802.8322731916196</v>
      </c>
      <c r="AK4673" s="2">
        <v>5801.5207831300304</v>
      </c>
      <c r="AL4673" s="2">
        <v>6192.0422192103797</v>
      </c>
      <c r="AM4673" s="2">
        <v>6049.8824613806501</v>
      </c>
      <c r="AN4673" s="2">
        <v>4589.6148576311198</v>
      </c>
      <c r="AO4673" s="2">
        <v>5519.2522286461899</v>
      </c>
      <c r="AP4673" s="2">
        <v>4980.4734825899504</v>
      </c>
    </row>
    <row r="4674" spans="1:42" ht="14.5" x14ac:dyDescent="0.35">
      <c r="A4674" s="2" t="s">
        <v>30999</v>
      </c>
      <c r="B4674" s="2">
        <v>467.183102799229</v>
      </c>
      <c r="C4674" s="2">
        <v>7.1697499999999996</v>
      </c>
      <c r="D4674" s="2" t="s">
        <v>34</v>
      </c>
      <c r="E4674" s="2" t="s">
        <v>31000</v>
      </c>
      <c r="F4674" s="2">
        <v>57032</v>
      </c>
      <c r="G4674" s="3" t="str">
        <f>HYPERLINK("http://funmeta.oebiotech.com/network/57032", "http://funmeta.oebiotech.com/network/57032")</f>
        <v>http://funmeta.oebiotech.com/network/57032</v>
      </c>
      <c r="H4674" s="2" t="s">
        <v>31001</v>
      </c>
      <c r="I4674" s="2">
        <v>88687</v>
      </c>
      <c r="J4674" s="2"/>
      <c r="K4674" s="2"/>
      <c r="L4674" s="2"/>
      <c r="M4674" s="2"/>
      <c r="N4674" s="2"/>
      <c r="O4674" s="2">
        <v>131751296</v>
      </c>
      <c r="P4674" s="2" t="s">
        <v>31002</v>
      </c>
      <c r="Q4674" s="2" t="s">
        <v>31003</v>
      </c>
      <c r="R4674" s="2" t="s">
        <v>31004</v>
      </c>
      <c r="S4674" s="2" t="s">
        <v>79</v>
      </c>
      <c r="T4674" s="2" t="s">
        <v>80</v>
      </c>
      <c r="U4674" s="2" t="s">
        <v>81</v>
      </c>
      <c r="V4674" s="2" t="s">
        <v>59</v>
      </c>
      <c r="W4674" s="2">
        <v>43.7</v>
      </c>
      <c r="X4674" s="2">
        <v>43.6</v>
      </c>
      <c r="Y4674" s="2" t="s">
        <v>266</v>
      </c>
      <c r="Z4674" s="2" t="s">
        <v>31005</v>
      </c>
      <c r="AA4674" s="2">
        <v>3.7696062991493502</v>
      </c>
      <c r="AB4674" s="2">
        <v>0.12904548006057601</v>
      </c>
      <c r="AC4674" s="2">
        <v>85205.310216954298</v>
      </c>
      <c r="AD4674" s="2">
        <v>88964.336538048607</v>
      </c>
      <c r="AE4674" s="2">
        <v>84875.609776263998</v>
      </c>
      <c r="AF4674" s="2">
        <v>76307.639407977098</v>
      </c>
      <c r="AG4674" s="2">
        <v>89989.883035210296</v>
      </c>
      <c r="AH4674" s="2">
        <v>88208.926362217506</v>
      </c>
      <c r="AI4674" s="2">
        <v>87082.8335902994</v>
      </c>
      <c r="AJ4674" s="2">
        <v>84766.969129757505</v>
      </c>
      <c r="AK4674" s="2">
        <v>91778.100532831901</v>
      </c>
      <c r="AL4674" s="2">
        <v>88507.105709764</v>
      </c>
      <c r="AM4674" s="2">
        <v>98888.160726945396</v>
      </c>
      <c r="AN4674" s="2">
        <v>80374.0040290834</v>
      </c>
      <c r="AO4674" s="2">
        <v>96285.195697090196</v>
      </c>
      <c r="AP4674" s="2">
        <v>77953.452532576499</v>
      </c>
    </row>
    <row r="4675" spans="1:42" ht="14.5" x14ac:dyDescent="0.35">
      <c r="A4675" s="2" t="s">
        <v>31006</v>
      </c>
      <c r="B4675" s="2">
        <v>331.05874006353901</v>
      </c>
      <c r="C4675" s="2">
        <v>3.7682166666666701</v>
      </c>
      <c r="D4675" s="2" t="s">
        <v>70</v>
      </c>
      <c r="E4675" s="2" t="s">
        <v>31007</v>
      </c>
      <c r="F4675" s="2">
        <v>52998</v>
      </c>
      <c r="G4675" s="3" t="str">
        <f>HYPERLINK("http://funmeta.oebiotech.com/network/52998", "http://funmeta.oebiotech.com/network/52998")</f>
        <v>http://funmeta.oebiotech.com/network/52998</v>
      </c>
      <c r="H4675" s="2" t="s">
        <v>31008</v>
      </c>
      <c r="I4675" s="2">
        <v>2702</v>
      </c>
      <c r="J4675" s="2"/>
      <c r="K4675" s="2">
        <v>31624</v>
      </c>
      <c r="L4675" s="2"/>
      <c r="M4675" s="2"/>
      <c r="N4675" s="2"/>
      <c r="O4675" s="2">
        <v>16850</v>
      </c>
      <c r="P4675" s="2" t="s">
        <v>31009</v>
      </c>
      <c r="Q4675" s="2" t="s">
        <v>31010</v>
      </c>
      <c r="R4675" s="2" t="s">
        <v>31011</v>
      </c>
      <c r="S4675" s="2" t="s">
        <v>491</v>
      </c>
      <c r="T4675" s="2" t="s">
        <v>2251</v>
      </c>
      <c r="U4675" s="2" t="s">
        <v>2252</v>
      </c>
      <c r="V4675" s="2" t="s">
        <v>59</v>
      </c>
      <c r="W4675" s="2">
        <v>36.299999999999997</v>
      </c>
      <c r="X4675" s="2">
        <v>0</v>
      </c>
      <c r="Y4675" s="2" t="s">
        <v>118</v>
      </c>
      <c r="Z4675" s="2" t="s">
        <v>31012</v>
      </c>
      <c r="AA4675" s="2">
        <v>-7.3990375403191502</v>
      </c>
      <c r="AB4675" s="2">
        <v>0.12897961576247299</v>
      </c>
      <c r="AC4675" s="2">
        <v>5102.9469070999303</v>
      </c>
      <c r="AD4675" s="2">
        <v>3825.62133636824</v>
      </c>
      <c r="AE4675" s="2">
        <v>5705.2479307731901</v>
      </c>
      <c r="AF4675" s="2">
        <v>4931.8879219062801</v>
      </c>
      <c r="AG4675" s="2">
        <v>4543.5716814976104</v>
      </c>
      <c r="AH4675" s="2">
        <v>5502.9393040938603</v>
      </c>
      <c r="AI4675" s="2">
        <v>4560.43788954908</v>
      </c>
      <c r="AJ4675" s="2">
        <v>5373.59671477957</v>
      </c>
      <c r="AK4675" s="2">
        <v>3816.7714914741</v>
      </c>
      <c r="AL4675" s="2">
        <v>3482.7662807122501</v>
      </c>
      <c r="AM4675" s="2">
        <v>3897.7346583056501</v>
      </c>
      <c r="AN4675" s="2">
        <v>4432.2687306404296</v>
      </c>
      <c r="AO4675" s="2">
        <v>3518.7886116310401</v>
      </c>
      <c r="AP4675" s="2">
        <v>3805.3982454459801</v>
      </c>
    </row>
    <row r="4676" spans="1:42" ht="14.5" x14ac:dyDescent="0.35">
      <c r="A4676" s="2" t="s">
        <v>31013</v>
      </c>
      <c r="B4676" s="2">
        <v>642.43539345657302</v>
      </c>
      <c r="C4676" s="2">
        <v>14.81635</v>
      </c>
      <c r="D4676" s="2" t="s">
        <v>34</v>
      </c>
      <c r="E4676" s="2" t="s">
        <v>31014</v>
      </c>
      <c r="F4676" s="2">
        <v>136297</v>
      </c>
      <c r="G4676" s="3" t="str">
        <f>HYPERLINK("http://funmeta.oebiotech.com/network/136297", "http://funmeta.oebiotech.com/network/136297")</f>
        <v>http://funmeta.oebiotech.com/network/136297</v>
      </c>
      <c r="H4676" s="2" t="s">
        <v>31015</v>
      </c>
      <c r="I4676" s="2"/>
      <c r="J4676" s="2"/>
      <c r="K4676" s="2"/>
      <c r="L4676" s="2"/>
      <c r="M4676" s="2"/>
      <c r="N4676" s="2"/>
      <c r="O4676" s="2">
        <v>131823275</v>
      </c>
      <c r="P4676" s="2"/>
      <c r="Q4676" s="2" t="s">
        <v>31016</v>
      </c>
      <c r="R4676" s="2" t="s">
        <v>31017</v>
      </c>
      <c r="S4676" s="2" t="s">
        <v>50</v>
      </c>
      <c r="T4676" s="2" t="s">
        <v>51</v>
      </c>
      <c r="U4676" s="2" t="s">
        <v>738</v>
      </c>
      <c r="V4676" s="2" t="s">
        <v>42</v>
      </c>
      <c r="W4676" s="2">
        <v>51.9</v>
      </c>
      <c r="X4676" s="2">
        <v>66.900000000000006</v>
      </c>
      <c r="Y4676" s="2" t="s">
        <v>43</v>
      </c>
      <c r="Z4676" s="2" t="s">
        <v>31018</v>
      </c>
      <c r="AA4676" s="2">
        <v>2.13508040018433</v>
      </c>
      <c r="AB4676" s="2">
        <v>0.12884512240358401</v>
      </c>
      <c r="AC4676" s="2">
        <v>8842.9947326699094</v>
      </c>
      <c r="AD4676" s="2">
        <v>5993.4153967928696</v>
      </c>
      <c r="AE4676" s="2">
        <v>15103.720419322501</v>
      </c>
      <c r="AF4676" s="2">
        <v>3316.0584586066698</v>
      </c>
      <c r="AG4676" s="2">
        <v>5503.4380467240198</v>
      </c>
      <c r="AH4676" s="2">
        <v>10077.619668048401</v>
      </c>
      <c r="AI4676" s="2">
        <v>12435.7344319556</v>
      </c>
      <c r="AJ4676" s="2">
        <v>6621.39737136227</v>
      </c>
      <c r="AK4676" s="2">
        <v>3621.52238566187</v>
      </c>
      <c r="AL4676" s="2">
        <v>10190.9921716966</v>
      </c>
      <c r="AM4676" s="2">
        <v>6231.9044470880799</v>
      </c>
      <c r="AN4676" s="2">
        <v>7985.6703360466199</v>
      </c>
      <c r="AO4676" s="2">
        <v>4186.5956303347903</v>
      </c>
      <c r="AP4676" s="2">
        <v>3743.8074099292398</v>
      </c>
    </row>
    <row r="4677" spans="1:42" ht="14.5" x14ac:dyDescent="0.35">
      <c r="A4677" s="2" t="s">
        <v>31019</v>
      </c>
      <c r="B4677" s="2">
        <v>361.059912125734</v>
      </c>
      <c r="C4677" s="2">
        <v>4.6857333333333298</v>
      </c>
      <c r="D4677" s="2" t="s">
        <v>70</v>
      </c>
      <c r="E4677" s="2" t="s">
        <v>31020</v>
      </c>
      <c r="F4677" s="2">
        <v>53488</v>
      </c>
      <c r="G4677" s="3" t="str">
        <f>HYPERLINK("http://funmeta.oebiotech.com/network/53488", "http://funmeta.oebiotech.com/network/53488")</f>
        <v>http://funmeta.oebiotech.com/network/53488</v>
      </c>
      <c r="H4677" s="2" t="s">
        <v>31021</v>
      </c>
      <c r="I4677" s="2">
        <v>4050</v>
      </c>
      <c r="J4677" s="2"/>
      <c r="K4677" s="2">
        <v>775287</v>
      </c>
      <c r="L4677" s="2" t="s">
        <v>31022</v>
      </c>
      <c r="M4677" s="2"/>
      <c r="N4677" s="2"/>
      <c r="O4677" s="2">
        <v>56339</v>
      </c>
      <c r="P4677" s="2" t="s">
        <v>31023</v>
      </c>
      <c r="Q4677" s="2" t="s">
        <v>31024</v>
      </c>
      <c r="R4677" s="2" t="s">
        <v>31025</v>
      </c>
      <c r="S4677" s="2" t="s">
        <v>148</v>
      </c>
      <c r="T4677" s="2" t="s">
        <v>149</v>
      </c>
      <c r="U4677" s="2" t="s">
        <v>3473</v>
      </c>
      <c r="V4677" s="2" t="s">
        <v>59</v>
      </c>
      <c r="W4677" s="2">
        <v>36.799999999999997</v>
      </c>
      <c r="X4677" s="2">
        <v>0</v>
      </c>
      <c r="Y4677" s="2" t="s">
        <v>118</v>
      </c>
      <c r="Z4677" s="2" t="s">
        <v>31026</v>
      </c>
      <c r="AA4677" s="2">
        <v>1.14818523824831</v>
      </c>
      <c r="AB4677" s="2">
        <v>0.128821201002282</v>
      </c>
      <c r="AC4677" s="2">
        <v>2573.0700370596001</v>
      </c>
      <c r="AD4677" s="2">
        <v>1327.3476391791901</v>
      </c>
      <c r="AE4677" s="2">
        <v>2124.5958379732501</v>
      </c>
      <c r="AF4677" s="2">
        <v>2320.8933178003699</v>
      </c>
      <c r="AG4677" s="2">
        <v>2355.8209710783199</v>
      </c>
      <c r="AH4677" s="2">
        <v>3234.1043891829599</v>
      </c>
      <c r="AI4677" s="2">
        <v>3112.6643390597401</v>
      </c>
      <c r="AJ4677" s="2">
        <v>2290.3413672629599</v>
      </c>
      <c r="AK4677" s="2">
        <v>1148.60837101934</v>
      </c>
      <c r="AL4677" s="2">
        <v>1533.5191934490199</v>
      </c>
      <c r="AM4677" s="2">
        <v>1501.8353162015101</v>
      </c>
      <c r="AN4677" s="2">
        <v>1115.99248257778</v>
      </c>
      <c r="AO4677" s="2">
        <v>1120.89288873328</v>
      </c>
      <c r="AP4677" s="2">
        <v>1543.2375830942301</v>
      </c>
    </row>
    <row r="4678" spans="1:42" ht="14.5" x14ac:dyDescent="0.35">
      <c r="A4678" s="2" t="s">
        <v>31027</v>
      </c>
      <c r="B4678" s="2">
        <v>557.34724124580396</v>
      </c>
      <c r="C4678" s="2">
        <v>9.8631833333333301</v>
      </c>
      <c r="D4678" s="2" t="s">
        <v>34</v>
      </c>
      <c r="E4678" s="2" t="s">
        <v>31028</v>
      </c>
      <c r="F4678" s="2">
        <v>208808</v>
      </c>
      <c r="G4678" s="3" t="str">
        <f>HYPERLINK("http://funmeta.oebiotech.com/network/208808", "http://funmeta.oebiotech.com/network/208808")</f>
        <v>http://funmeta.oebiotech.com/network/208808</v>
      </c>
      <c r="H4678" s="2" t="s">
        <v>31029</v>
      </c>
      <c r="I4678" s="2"/>
      <c r="J4678" s="2"/>
      <c r="K4678" s="2"/>
      <c r="L4678" s="2"/>
      <c r="M4678" s="2"/>
      <c r="N4678" s="2"/>
      <c r="O4678" s="2">
        <v>57369871</v>
      </c>
      <c r="P4678" s="2"/>
      <c r="Q4678" s="2" t="s">
        <v>31030</v>
      </c>
      <c r="R4678" s="2" t="s">
        <v>31031</v>
      </c>
      <c r="S4678" s="2" t="s">
        <v>115</v>
      </c>
      <c r="T4678" s="2" t="s">
        <v>1384</v>
      </c>
      <c r="U4678" s="2" t="s">
        <v>7130</v>
      </c>
      <c r="V4678" s="2" t="s">
        <v>59</v>
      </c>
      <c r="W4678" s="2">
        <v>37.799999999999997</v>
      </c>
      <c r="X4678" s="2">
        <v>0</v>
      </c>
      <c r="Y4678" s="2" t="s">
        <v>394</v>
      </c>
      <c r="Z4678" s="2" t="s">
        <v>31032</v>
      </c>
      <c r="AA4678" s="2">
        <v>-7.0213315196265905E-2</v>
      </c>
      <c r="AB4678" s="2">
        <v>0.12879466679604701</v>
      </c>
      <c r="AC4678" s="2">
        <v>4463.4430677155897</v>
      </c>
      <c r="AD4678" s="2">
        <v>5758.4769768859396</v>
      </c>
      <c r="AE4678" s="2">
        <v>4030.7303270891998</v>
      </c>
      <c r="AF4678" s="2">
        <v>4302.54443685967</v>
      </c>
      <c r="AG4678" s="2">
        <v>4369.0859473103301</v>
      </c>
      <c r="AH4678" s="2">
        <v>4680.1085910729598</v>
      </c>
      <c r="AI4678" s="2">
        <v>4244.6415158877699</v>
      </c>
      <c r="AJ4678" s="2">
        <v>5153.5475880736303</v>
      </c>
      <c r="AK4678" s="2">
        <v>6515.1847712402996</v>
      </c>
      <c r="AL4678" s="2">
        <v>5132.0642518773302</v>
      </c>
      <c r="AM4678" s="2">
        <v>5335.7350113521898</v>
      </c>
      <c r="AN4678" s="2">
        <v>5779.0929378555802</v>
      </c>
      <c r="AO4678" s="2">
        <v>6141.5841782593598</v>
      </c>
      <c r="AP4678" s="2">
        <v>5647.2007107309</v>
      </c>
    </row>
    <row r="4679" spans="1:42" ht="14.5" x14ac:dyDescent="0.35">
      <c r="A4679" s="2" t="s">
        <v>31033</v>
      </c>
      <c r="B4679" s="2">
        <v>479.11845207999698</v>
      </c>
      <c r="C4679" s="2">
        <v>4.9946333333333301</v>
      </c>
      <c r="D4679" s="2" t="s">
        <v>34</v>
      </c>
      <c r="E4679" s="2" t="s">
        <v>31034</v>
      </c>
      <c r="F4679" s="2">
        <v>30669</v>
      </c>
      <c r="G4679" s="3" t="str">
        <f>HYPERLINK("http://funmeta.oebiotech.com/network/30669", "http://funmeta.oebiotech.com/network/30669")</f>
        <v>http://funmeta.oebiotech.com/network/30669</v>
      </c>
      <c r="H4679" s="2" t="s">
        <v>31035</v>
      </c>
      <c r="I4679" s="2">
        <v>49007</v>
      </c>
      <c r="J4679" s="2" t="s">
        <v>31036</v>
      </c>
      <c r="K4679" s="2">
        <v>75750</v>
      </c>
      <c r="L4679" s="2"/>
      <c r="M4679" s="2"/>
      <c r="N4679" s="2"/>
      <c r="O4679" s="2">
        <v>5318645</v>
      </c>
      <c r="P4679" s="2"/>
      <c r="Q4679" s="2" t="s">
        <v>31037</v>
      </c>
      <c r="R4679" s="2" t="s">
        <v>31038</v>
      </c>
      <c r="S4679" s="2" t="s">
        <v>115</v>
      </c>
      <c r="T4679" s="2" t="s">
        <v>139</v>
      </c>
      <c r="U4679" s="2" t="s">
        <v>140</v>
      </c>
      <c r="V4679" s="2" t="s">
        <v>59</v>
      </c>
      <c r="W4679" s="2">
        <v>38.1</v>
      </c>
      <c r="X4679" s="2">
        <v>0</v>
      </c>
      <c r="Y4679" s="2" t="s">
        <v>67</v>
      </c>
      <c r="Z4679" s="2" t="s">
        <v>31039</v>
      </c>
      <c r="AA4679" s="2">
        <v>0.103548597117346</v>
      </c>
      <c r="AB4679" s="2">
        <v>0.128711010308212</v>
      </c>
      <c r="AC4679" s="2">
        <v>1661.0465475763799</v>
      </c>
      <c r="AD4679" s="2">
        <v>302.800951794789</v>
      </c>
      <c r="AE4679" s="2">
        <v>2531.0440347962399</v>
      </c>
      <c r="AF4679" s="2">
        <v>1970.7910014975901</v>
      </c>
      <c r="AG4679" s="2">
        <v>1342.3719425207</v>
      </c>
      <c r="AH4679" s="2">
        <v>1447.49091340569</v>
      </c>
      <c r="AI4679" s="2">
        <v>1934.9259719516201</v>
      </c>
      <c r="AJ4679" s="2">
        <v>739.65542128641903</v>
      </c>
      <c r="AK4679" s="2">
        <v>2.7106294003980101E-5</v>
      </c>
      <c r="AL4679" s="2">
        <v>2.7106294003980101E-5</v>
      </c>
      <c r="AM4679" s="2">
        <v>2.7106294003980101E-5</v>
      </c>
      <c r="AN4679" s="2">
        <v>937.29129429249701</v>
      </c>
      <c r="AO4679" s="2">
        <v>879.51430805105997</v>
      </c>
      <c r="AP4679" s="2">
        <v>2.7106294003980101E-5</v>
      </c>
    </row>
    <row r="4680" spans="1:42" ht="14.5" x14ac:dyDescent="0.35">
      <c r="A4680" s="2" t="s">
        <v>31040</v>
      </c>
      <c r="B4680" s="2">
        <v>399.04592396567102</v>
      </c>
      <c r="C4680" s="2">
        <v>4.0071500000000002</v>
      </c>
      <c r="D4680" s="2" t="s">
        <v>70</v>
      </c>
      <c r="E4680" s="2" t="s">
        <v>31041</v>
      </c>
      <c r="F4680" s="2">
        <v>279567</v>
      </c>
      <c r="G4680" s="3" t="str">
        <f>HYPERLINK("http://funmeta.oebiotech.com/network/279567", "http://funmeta.oebiotech.com/network/279567")</f>
        <v>http://funmeta.oebiotech.com/network/279567</v>
      </c>
      <c r="H4680" s="2"/>
      <c r="I4680" s="2">
        <v>72231</v>
      </c>
      <c r="J4680" s="2"/>
      <c r="K4680" s="2"/>
      <c r="L4680" s="2" t="s">
        <v>31042</v>
      </c>
      <c r="M4680" s="2"/>
      <c r="N4680" s="2"/>
      <c r="O4680" s="2">
        <v>9601227</v>
      </c>
      <c r="P4680" s="2" t="s">
        <v>31043</v>
      </c>
      <c r="Q4680" s="2" t="s">
        <v>31044</v>
      </c>
      <c r="R4680" s="2" t="s">
        <v>31045</v>
      </c>
      <c r="S4680" s="2" t="s">
        <v>89</v>
      </c>
      <c r="T4680" s="2" t="s">
        <v>31046</v>
      </c>
      <c r="U4680" s="2" t="s">
        <v>41</v>
      </c>
      <c r="V4680" s="2" t="s">
        <v>59</v>
      </c>
      <c r="W4680" s="2">
        <v>37.299999999999997</v>
      </c>
      <c r="X4680" s="2">
        <v>0</v>
      </c>
      <c r="Y4680" s="2" t="s">
        <v>408</v>
      </c>
      <c r="Z4680" s="2" t="s">
        <v>31047</v>
      </c>
      <c r="AA4680" s="2">
        <v>-3.6632753182062898</v>
      </c>
      <c r="AB4680" s="2">
        <v>0.128706761307431</v>
      </c>
      <c r="AC4680" s="2">
        <v>6450.55686660021</v>
      </c>
      <c r="AD4680" s="2">
        <v>4837.7200309404298</v>
      </c>
      <c r="AE4680" s="2">
        <v>7756.0117367582498</v>
      </c>
      <c r="AF4680" s="2">
        <v>6008.9023434082901</v>
      </c>
      <c r="AG4680" s="2">
        <v>6874.4280804779801</v>
      </c>
      <c r="AH4680" s="2">
        <v>6941.3381352962697</v>
      </c>
      <c r="AI4680" s="2">
        <v>5675.2377469452003</v>
      </c>
      <c r="AJ4680" s="2">
        <v>5447.4231567153001</v>
      </c>
      <c r="AK4680" s="2">
        <v>5016.1779790222399</v>
      </c>
      <c r="AL4680" s="2">
        <v>6055.5651674990304</v>
      </c>
      <c r="AM4680" s="2">
        <v>4770.9773846013304</v>
      </c>
      <c r="AN4680" s="2">
        <v>5292.79581291867</v>
      </c>
      <c r="AO4680" s="2">
        <v>2819.7900732053899</v>
      </c>
      <c r="AP4680" s="2">
        <v>5071.0137683959301</v>
      </c>
    </row>
    <row r="4681" spans="1:42" ht="14.5" x14ac:dyDescent="0.35">
      <c r="A4681" s="2" t="s">
        <v>31048</v>
      </c>
      <c r="B4681" s="2">
        <v>377.00945954060398</v>
      </c>
      <c r="C4681" s="2">
        <v>1.5611666666666699</v>
      </c>
      <c r="D4681" s="2" t="s">
        <v>70</v>
      </c>
      <c r="E4681" s="2" t="s">
        <v>31049</v>
      </c>
      <c r="F4681" s="2">
        <v>257452</v>
      </c>
      <c r="G4681" s="3" t="str">
        <f>HYPERLINK("http://funmeta.oebiotech.com/network/257452", "http://funmeta.oebiotech.com/network/257452")</f>
        <v>http://funmeta.oebiotech.com/network/257452</v>
      </c>
      <c r="H4681" s="2" t="s">
        <v>31050</v>
      </c>
      <c r="I4681" s="2"/>
      <c r="J4681" s="2"/>
      <c r="K4681" s="2"/>
      <c r="L4681" s="2"/>
      <c r="M4681" s="2"/>
      <c r="N4681" s="2"/>
      <c r="O4681" s="2"/>
      <c r="P4681" s="2"/>
      <c r="Q4681" s="2" t="s">
        <v>31051</v>
      </c>
      <c r="R4681" s="2" t="s">
        <v>31052</v>
      </c>
      <c r="S4681" s="2" t="s">
        <v>79</v>
      </c>
      <c r="T4681" s="2" t="s">
        <v>80</v>
      </c>
      <c r="U4681" s="2" t="s">
        <v>81</v>
      </c>
      <c r="V4681" s="2" t="s">
        <v>59</v>
      </c>
      <c r="W4681" s="2">
        <v>36.9</v>
      </c>
      <c r="X4681" s="2">
        <v>0</v>
      </c>
      <c r="Y4681" s="2" t="s">
        <v>408</v>
      </c>
      <c r="Z4681" s="2" t="s">
        <v>31053</v>
      </c>
      <c r="AA4681" s="2">
        <v>0.77901269864951705</v>
      </c>
      <c r="AB4681" s="2">
        <v>0.12867176874351499</v>
      </c>
      <c r="AC4681" s="2">
        <v>9160.5075931005395</v>
      </c>
      <c r="AD4681" s="2">
        <v>10563.708839372101</v>
      </c>
      <c r="AE4681" s="2">
        <v>9267.1757340955992</v>
      </c>
      <c r="AF4681" s="2">
        <v>9232.3935575471805</v>
      </c>
      <c r="AG4681" s="2">
        <v>9243.6548789280496</v>
      </c>
      <c r="AH4681" s="2">
        <v>8860.9088077890792</v>
      </c>
      <c r="AI4681" s="2">
        <v>8618.0976699697403</v>
      </c>
      <c r="AJ4681" s="2">
        <v>9740.8149102736097</v>
      </c>
      <c r="AK4681" s="2">
        <v>9648.5648903710498</v>
      </c>
      <c r="AL4681" s="2">
        <v>11331.035653512499</v>
      </c>
      <c r="AM4681" s="2">
        <v>9514.58166647707</v>
      </c>
      <c r="AN4681" s="2">
        <v>10820.7464840177</v>
      </c>
      <c r="AO4681" s="2">
        <v>11140.8725251612</v>
      </c>
      <c r="AP4681" s="2">
        <v>10926.451816693099</v>
      </c>
    </row>
    <row r="4682" spans="1:42" ht="14.5" x14ac:dyDescent="0.35">
      <c r="A4682" s="2" t="s">
        <v>31054</v>
      </c>
      <c r="B4682" s="2">
        <v>539.28585201936301</v>
      </c>
      <c r="C4682" s="2">
        <v>8.5111333333333299</v>
      </c>
      <c r="D4682" s="2" t="s">
        <v>70</v>
      </c>
      <c r="E4682" s="2" t="s">
        <v>31055</v>
      </c>
      <c r="F4682" s="2">
        <v>58611</v>
      </c>
      <c r="G4682" s="3" t="str">
        <f>HYPERLINK("http://funmeta.oebiotech.com/network/58611", "http://funmeta.oebiotech.com/network/58611")</f>
        <v>http://funmeta.oebiotech.com/network/58611</v>
      </c>
      <c r="H4682" s="2" t="s">
        <v>31056</v>
      </c>
      <c r="I4682" s="2">
        <v>90080</v>
      </c>
      <c r="J4682" s="2"/>
      <c r="K4682" s="2"/>
      <c r="L4682" s="2"/>
      <c r="M4682" s="2"/>
      <c r="N4682" s="2"/>
      <c r="O4682" s="2">
        <v>85072490</v>
      </c>
      <c r="P4682" s="2" t="s">
        <v>31057</v>
      </c>
      <c r="Q4682" s="2" t="s">
        <v>31058</v>
      </c>
      <c r="R4682" s="2" t="s">
        <v>31059</v>
      </c>
      <c r="S4682" s="2" t="s">
        <v>50</v>
      </c>
      <c r="T4682" s="2" t="s">
        <v>201</v>
      </c>
      <c r="U4682" s="2" t="s">
        <v>241</v>
      </c>
      <c r="V4682" s="2" t="s">
        <v>42</v>
      </c>
      <c r="W4682" s="2">
        <v>50</v>
      </c>
      <c r="X4682" s="2">
        <v>56.6</v>
      </c>
      <c r="Y4682" s="2" t="s">
        <v>408</v>
      </c>
      <c r="Z4682" s="2" t="s">
        <v>31060</v>
      </c>
      <c r="AA4682" s="2">
        <v>-0.64568445476000402</v>
      </c>
      <c r="AB4682" s="2">
        <v>0.128644023732608</v>
      </c>
      <c r="AC4682" s="2">
        <v>94517.8278933619</v>
      </c>
      <c r="AD4682" s="2">
        <v>97721.681803923595</v>
      </c>
      <c r="AE4682" s="2">
        <v>105938.819343925</v>
      </c>
      <c r="AF4682" s="2">
        <v>87812.289555468204</v>
      </c>
      <c r="AG4682" s="2">
        <v>91675.503776061407</v>
      </c>
      <c r="AH4682" s="2">
        <v>95002.188589510202</v>
      </c>
      <c r="AI4682" s="2">
        <v>91766.780394934598</v>
      </c>
      <c r="AJ4682" s="2">
        <v>94911.385700272294</v>
      </c>
      <c r="AK4682" s="2">
        <v>94210.102756850305</v>
      </c>
      <c r="AL4682" s="2">
        <v>95649.545554968194</v>
      </c>
      <c r="AM4682" s="2">
        <v>103037.178777526</v>
      </c>
      <c r="AN4682" s="2">
        <v>98440.549341307706</v>
      </c>
      <c r="AO4682" s="2">
        <v>96807.955212958899</v>
      </c>
      <c r="AP4682" s="2">
        <v>98184.759179930203</v>
      </c>
    </row>
    <row r="4683" spans="1:42" ht="14.5" x14ac:dyDescent="0.35">
      <c r="A4683" s="2" t="s">
        <v>31061</v>
      </c>
      <c r="B4683" s="2">
        <v>480.40454857711399</v>
      </c>
      <c r="C4683" s="2">
        <v>15.158049999999999</v>
      </c>
      <c r="D4683" s="2" t="s">
        <v>34</v>
      </c>
      <c r="E4683" s="2" t="s">
        <v>31062</v>
      </c>
      <c r="F4683" s="2">
        <v>58460</v>
      </c>
      <c r="G4683" s="3" t="str">
        <f>HYPERLINK("http://funmeta.oebiotech.com/network/58460", "http://funmeta.oebiotech.com/network/58460")</f>
        <v>http://funmeta.oebiotech.com/network/58460</v>
      </c>
      <c r="H4683" s="2" t="s">
        <v>31063</v>
      </c>
      <c r="I4683" s="2">
        <v>89932</v>
      </c>
      <c r="J4683" s="2"/>
      <c r="K4683" s="2"/>
      <c r="L4683" s="2"/>
      <c r="M4683" s="2"/>
      <c r="N4683" s="2"/>
      <c r="O4683" s="2">
        <v>13870434</v>
      </c>
      <c r="P4683" s="2" t="s">
        <v>31064</v>
      </c>
      <c r="Q4683" s="2" t="s">
        <v>31065</v>
      </c>
      <c r="R4683" s="2" t="s">
        <v>31066</v>
      </c>
      <c r="S4683" s="2" t="s">
        <v>50</v>
      </c>
      <c r="T4683" s="2" t="s">
        <v>124</v>
      </c>
      <c r="U4683" s="2" t="s">
        <v>5761</v>
      </c>
      <c r="V4683" s="2" t="s">
        <v>59</v>
      </c>
      <c r="W4683" s="2">
        <v>38.700000000000003</v>
      </c>
      <c r="X4683" s="2">
        <v>0</v>
      </c>
      <c r="Y4683" s="2" t="s">
        <v>43</v>
      </c>
      <c r="Z4683" s="2" t="s">
        <v>12464</v>
      </c>
      <c r="AA4683" s="2">
        <v>-0.40451209639930003</v>
      </c>
      <c r="AB4683" s="2">
        <v>0.128598703848397</v>
      </c>
      <c r="AC4683" s="2">
        <v>24183.078895761901</v>
      </c>
      <c r="AD4683" s="2">
        <v>22024.0832540829</v>
      </c>
      <c r="AE4683" s="2">
        <v>21632.166420646499</v>
      </c>
      <c r="AF4683" s="2">
        <v>20607.8112466598</v>
      </c>
      <c r="AG4683" s="2">
        <v>25841.820971171201</v>
      </c>
      <c r="AH4683" s="2">
        <v>25107.652612403799</v>
      </c>
      <c r="AI4683" s="2">
        <v>25376.9249485234</v>
      </c>
      <c r="AJ4683" s="2">
        <v>26532.097175166498</v>
      </c>
      <c r="AK4683" s="2">
        <v>23846.171879366699</v>
      </c>
      <c r="AL4683" s="2">
        <v>21544.013015977402</v>
      </c>
      <c r="AM4683" s="2">
        <v>21104.7178619638</v>
      </c>
      <c r="AN4683" s="2">
        <v>19876.150560987098</v>
      </c>
      <c r="AO4683" s="2">
        <v>23246.0277166249</v>
      </c>
      <c r="AP4683" s="2">
        <v>22527.418489577602</v>
      </c>
    </row>
    <row r="4684" spans="1:42" ht="14.5" x14ac:dyDescent="0.35">
      <c r="A4684" s="2" t="s">
        <v>31067</v>
      </c>
      <c r="B4684" s="2">
        <v>847.44985202046098</v>
      </c>
      <c r="C4684" s="2">
        <v>4.7186333333333303</v>
      </c>
      <c r="D4684" s="2" t="s">
        <v>34</v>
      </c>
      <c r="E4684" s="2" t="s">
        <v>31068</v>
      </c>
      <c r="F4684" s="2">
        <v>52291</v>
      </c>
      <c r="G4684" s="3" t="str">
        <f>HYPERLINK("http://funmeta.oebiotech.com/network/52291", "http://funmeta.oebiotech.com/network/52291")</f>
        <v>http://funmeta.oebiotech.com/network/52291</v>
      </c>
      <c r="H4684" s="2" t="s">
        <v>31069</v>
      </c>
      <c r="I4684" s="2"/>
      <c r="J4684" s="2"/>
      <c r="K4684" s="2"/>
      <c r="L4684" s="2"/>
      <c r="M4684" s="2"/>
      <c r="N4684" s="2"/>
      <c r="O4684" s="2">
        <v>53481798</v>
      </c>
      <c r="P4684" s="2"/>
      <c r="Q4684" s="2" t="s">
        <v>31070</v>
      </c>
      <c r="R4684" s="2" t="s">
        <v>31071</v>
      </c>
      <c r="S4684" s="2" t="s">
        <v>50</v>
      </c>
      <c r="T4684" s="2" t="s">
        <v>51</v>
      </c>
      <c r="U4684" s="2" t="s">
        <v>1989</v>
      </c>
      <c r="V4684" s="2" t="s">
        <v>59</v>
      </c>
      <c r="W4684" s="2">
        <v>38.4</v>
      </c>
      <c r="X4684" s="2">
        <v>0</v>
      </c>
      <c r="Y4684" s="2" t="s">
        <v>203</v>
      </c>
      <c r="Z4684" s="2" t="s">
        <v>31072</v>
      </c>
      <c r="AA4684" s="2">
        <v>0.20092291679155899</v>
      </c>
      <c r="AB4684" s="2">
        <v>0.12857979938830399</v>
      </c>
      <c r="AC4684" s="2">
        <v>994380.48801546195</v>
      </c>
      <c r="AD4684" s="2">
        <v>985109.24305571499</v>
      </c>
      <c r="AE4684" s="2">
        <v>985687.05050203402</v>
      </c>
      <c r="AF4684" s="2">
        <v>990035.40779973101</v>
      </c>
      <c r="AG4684" s="2">
        <v>983160.93843455799</v>
      </c>
      <c r="AH4684" s="2">
        <v>1032872.2611311</v>
      </c>
      <c r="AI4684" s="2">
        <v>1034976.09528632</v>
      </c>
      <c r="AJ4684" s="2">
        <v>939551.17493902997</v>
      </c>
      <c r="AK4684" s="2">
        <v>958638.02629331697</v>
      </c>
      <c r="AL4684" s="2">
        <v>953582.171233956</v>
      </c>
      <c r="AM4684" s="2">
        <v>1065187.0366111801</v>
      </c>
      <c r="AN4684" s="2">
        <v>964804.03731138702</v>
      </c>
      <c r="AO4684" s="2">
        <v>995868.88811050204</v>
      </c>
      <c r="AP4684" s="2">
        <v>972575.29877394799</v>
      </c>
    </row>
    <row r="4685" spans="1:42" ht="14.5" x14ac:dyDescent="0.35">
      <c r="A4685" s="2" t="s">
        <v>31073</v>
      </c>
      <c r="B4685" s="2">
        <v>323.11741824795303</v>
      </c>
      <c r="C4685" s="2">
        <v>1.6651</v>
      </c>
      <c r="D4685" s="2" t="s">
        <v>34</v>
      </c>
      <c r="E4685" s="2" t="s">
        <v>31074</v>
      </c>
      <c r="F4685" s="2">
        <v>53092</v>
      </c>
      <c r="G4685" s="3" t="str">
        <f>HYPERLINK("http://funmeta.oebiotech.com/network/53092", "http://funmeta.oebiotech.com/network/53092")</f>
        <v>http://funmeta.oebiotech.com/network/53092</v>
      </c>
      <c r="H4685" s="2" t="s">
        <v>31075</v>
      </c>
      <c r="I4685" s="2">
        <v>43367</v>
      </c>
      <c r="J4685" s="2"/>
      <c r="K4685" s="2"/>
      <c r="L4685" s="2"/>
      <c r="M4685" s="2"/>
      <c r="N4685" s="2"/>
      <c r="O4685" s="2">
        <v>5593</v>
      </c>
      <c r="P4685" s="2" t="s">
        <v>31076</v>
      </c>
      <c r="Q4685" s="2" t="s">
        <v>31077</v>
      </c>
      <c r="R4685" s="2" t="s">
        <v>31078</v>
      </c>
      <c r="S4685" s="2" t="s">
        <v>148</v>
      </c>
      <c r="T4685" s="2" t="s">
        <v>149</v>
      </c>
      <c r="U4685" s="2" t="s">
        <v>3684</v>
      </c>
      <c r="V4685" s="2" t="s">
        <v>59</v>
      </c>
      <c r="W4685" s="2">
        <v>36.299999999999997</v>
      </c>
      <c r="X4685" s="2">
        <v>0</v>
      </c>
      <c r="Y4685" s="2" t="s">
        <v>340</v>
      </c>
      <c r="Z4685" s="2" t="s">
        <v>31079</v>
      </c>
      <c r="AA4685" s="2">
        <v>6.2722586340426298</v>
      </c>
      <c r="AB4685" s="2">
        <v>0.128537773019955</v>
      </c>
      <c r="AC4685" s="2">
        <v>3440.3110263037702</v>
      </c>
      <c r="AD4685" s="2">
        <v>2300.34691128432</v>
      </c>
      <c r="AE4685" s="2">
        <v>3493.6800190693002</v>
      </c>
      <c r="AF4685" s="2">
        <v>3270.2020928310399</v>
      </c>
      <c r="AG4685" s="2">
        <v>3197.5148273534601</v>
      </c>
      <c r="AH4685" s="2">
        <v>3952.8009011578902</v>
      </c>
      <c r="AI4685" s="2">
        <v>3426.4492075038602</v>
      </c>
      <c r="AJ4685" s="2">
        <v>3301.2191099070501</v>
      </c>
      <c r="AK4685" s="2">
        <v>2314.7436216309602</v>
      </c>
      <c r="AL4685" s="2">
        <v>2167.7387998300001</v>
      </c>
      <c r="AM4685" s="2">
        <v>2334.2583499338102</v>
      </c>
      <c r="AN4685" s="2">
        <v>2299.9018971830901</v>
      </c>
      <c r="AO4685" s="2">
        <v>2328.36788742524</v>
      </c>
      <c r="AP4685" s="2">
        <v>2357.07091170281</v>
      </c>
    </row>
    <row r="4686" spans="1:42" ht="14.5" x14ac:dyDescent="0.35">
      <c r="A4686" s="2" t="s">
        <v>31080</v>
      </c>
      <c r="B4686" s="2">
        <v>425.143797936586</v>
      </c>
      <c r="C4686" s="2">
        <v>4.09636666666667</v>
      </c>
      <c r="D4686" s="2" t="s">
        <v>70</v>
      </c>
      <c r="E4686" s="2" t="s">
        <v>31081</v>
      </c>
      <c r="F4686" s="2">
        <v>204136</v>
      </c>
      <c r="G4686" s="3" t="str">
        <f>HYPERLINK("http://funmeta.oebiotech.com/network/204136", "http://funmeta.oebiotech.com/network/204136")</f>
        <v>http://funmeta.oebiotech.com/network/204136</v>
      </c>
      <c r="H4686" s="2" t="s">
        <v>31082</v>
      </c>
      <c r="I4686" s="2"/>
      <c r="J4686" s="2"/>
      <c r="K4686" s="2"/>
      <c r="L4686" s="2"/>
      <c r="M4686" s="2"/>
      <c r="N4686" s="2"/>
      <c r="O4686" s="2">
        <v>381525</v>
      </c>
      <c r="P4686" s="2"/>
      <c r="Q4686" s="2" t="s">
        <v>31083</v>
      </c>
      <c r="R4686" s="2" t="s">
        <v>31084</v>
      </c>
      <c r="S4686" s="2" t="s">
        <v>1444</v>
      </c>
      <c r="T4686" s="2" t="s">
        <v>23611</v>
      </c>
      <c r="U4686" s="2" t="s">
        <v>41</v>
      </c>
      <c r="V4686" s="2" t="s">
        <v>59</v>
      </c>
      <c r="W4686" s="2">
        <v>38.700000000000003</v>
      </c>
      <c r="X4686" s="2">
        <v>0</v>
      </c>
      <c r="Y4686" s="2" t="s">
        <v>560</v>
      </c>
      <c r="Z4686" s="2" t="s">
        <v>31085</v>
      </c>
      <c r="AA4686" s="2">
        <v>2.7283304158139901</v>
      </c>
      <c r="AB4686" s="2">
        <v>0.12842472160267299</v>
      </c>
      <c r="AC4686" s="2">
        <v>3309.2074704428801</v>
      </c>
      <c r="AD4686" s="2">
        <v>2130.7854473480302</v>
      </c>
      <c r="AE4686" s="2">
        <v>3442.8515755991698</v>
      </c>
      <c r="AF4686" s="2">
        <v>3513.0649835159902</v>
      </c>
      <c r="AG4686" s="2">
        <v>3334.1246188845098</v>
      </c>
      <c r="AH4686" s="2">
        <v>2916.7862759582099</v>
      </c>
      <c r="AI4686" s="2">
        <v>3386.8120797731999</v>
      </c>
      <c r="AJ4686" s="2">
        <v>3261.60528892618</v>
      </c>
      <c r="AK4686" s="2">
        <v>2269.6853218323199</v>
      </c>
      <c r="AL4686" s="2">
        <v>1992.79030930673</v>
      </c>
      <c r="AM4686" s="2">
        <v>2312.9384220080901</v>
      </c>
      <c r="AN4686" s="2">
        <v>2603.7173852024098</v>
      </c>
      <c r="AO4686" s="2">
        <v>1697.24732183366</v>
      </c>
      <c r="AP4686" s="2">
        <v>1908.3339239049501</v>
      </c>
    </row>
    <row r="4687" spans="1:42" ht="14.5" x14ac:dyDescent="0.35">
      <c r="A4687" s="2" t="s">
        <v>31086</v>
      </c>
      <c r="B4687" s="2">
        <v>806.57625129921303</v>
      </c>
      <c r="C4687" s="2">
        <v>14.883983333333299</v>
      </c>
      <c r="D4687" s="2" t="s">
        <v>34</v>
      </c>
      <c r="E4687" s="2" t="s">
        <v>31087</v>
      </c>
      <c r="F4687" s="2">
        <v>212716</v>
      </c>
      <c r="G4687" s="3" t="str">
        <f>HYPERLINK("http://funmeta.oebiotech.com/network/212716", "http://funmeta.oebiotech.com/network/212716")</f>
        <v>http://funmeta.oebiotech.com/network/212716</v>
      </c>
      <c r="H4687" s="2" t="s">
        <v>31088</v>
      </c>
      <c r="I4687" s="2"/>
      <c r="J4687" s="2"/>
      <c r="K4687" s="2"/>
      <c r="L4687" s="2"/>
      <c r="M4687" s="2"/>
      <c r="N4687" s="2"/>
      <c r="O4687" s="2">
        <v>23558714</v>
      </c>
      <c r="P4687" s="2"/>
      <c r="Q4687" s="2" t="s">
        <v>31089</v>
      </c>
      <c r="R4687" s="2" t="s">
        <v>31090</v>
      </c>
      <c r="S4687" s="2" t="s">
        <v>79</v>
      </c>
      <c r="T4687" s="2" t="s">
        <v>80</v>
      </c>
      <c r="U4687" s="2" t="s">
        <v>81</v>
      </c>
      <c r="V4687" s="2" t="s">
        <v>59</v>
      </c>
      <c r="W4687" s="2">
        <v>38.6</v>
      </c>
      <c r="X4687" s="2">
        <v>0</v>
      </c>
      <c r="Y4687" s="2" t="s">
        <v>394</v>
      </c>
      <c r="Z4687" s="2" t="s">
        <v>31091</v>
      </c>
      <c r="AA4687" s="2">
        <v>3.22739955951449</v>
      </c>
      <c r="AB4687" s="2">
        <v>0.12827544440060201</v>
      </c>
      <c r="AC4687" s="2">
        <v>74743.7797171196</v>
      </c>
      <c r="AD4687" s="2">
        <v>70820.917642358894</v>
      </c>
      <c r="AE4687" s="2">
        <v>68429.936133305499</v>
      </c>
      <c r="AF4687" s="2">
        <v>76724.048372281104</v>
      </c>
      <c r="AG4687" s="2">
        <v>70120.502189927094</v>
      </c>
      <c r="AH4687" s="2">
        <v>69154.214922195402</v>
      </c>
      <c r="AI4687" s="2">
        <v>71619.401263006104</v>
      </c>
      <c r="AJ4687" s="2">
        <v>92414.575422002395</v>
      </c>
      <c r="AK4687" s="2">
        <v>75776.598482495203</v>
      </c>
      <c r="AL4687" s="2">
        <v>65352.087306769201</v>
      </c>
      <c r="AM4687" s="2">
        <v>71335.051779537302</v>
      </c>
      <c r="AN4687" s="2">
        <v>64638.605267729799</v>
      </c>
      <c r="AO4687" s="2">
        <v>78276.615621283301</v>
      </c>
      <c r="AP4687" s="2">
        <v>69546.547396338705</v>
      </c>
    </row>
    <row r="4688" spans="1:42" ht="14.5" x14ac:dyDescent="0.35">
      <c r="A4688" s="2" t="s">
        <v>31092</v>
      </c>
      <c r="B4688" s="2">
        <v>150.054997599693</v>
      </c>
      <c r="C4688" s="2">
        <v>1.6275333333333299</v>
      </c>
      <c r="D4688" s="2" t="s">
        <v>34</v>
      </c>
      <c r="E4688" s="2" t="s">
        <v>31093</v>
      </c>
      <c r="F4688" s="2">
        <v>82231</v>
      </c>
      <c r="G4688" s="3" t="str">
        <f>HYPERLINK("http://funmeta.oebiotech.com/network/82231", "http://funmeta.oebiotech.com/network/82231")</f>
        <v>http://funmeta.oebiotech.com/network/82231</v>
      </c>
      <c r="H4688" s="2" t="s">
        <v>31094</v>
      </c>
      <c r="I4688" s="2">
        <v>63618</v>
      </c>
      <c r="J4688" s="2"/>
      <c r="K4688" s="2">
        <v>16660</v>
      </c>
      <c r="L4688" s="2" t="s">
        <v>31095</v>
      </c>
      <c r="M4688" s="2" t="s">
        <v>2005</v>
      </c>
      <c r="N4688" s="2" t="s">
        <v>2006</v>
      </c>
      <c r="O4688" s="2">
        <v>440104</v>
      </c>
      <c r="P4688" s="2" t="s">
        <v>31096</v>
      </c>
      <c r="Q4688" s="2" t="s">
        <v>31097</v>
      </c>
      <c r="R4688" s="2" t="s">
        <v>31098</v>
      </c>
      <c r="S4688" s="2" t="s">
        <v>148</v>
      </c>
      <c r="T4688" s="2" t="s">
        <v>392</v>
      </c>
      <c r="U4688" s="2" t="s">
        <v>393</v>
      </c>
      <c r="V4688" s="2" t="s">
        <v>59</v>
      </c>
      <c r="W4688" s="2">
        <v>42.4</v>
      </c>
      <c r="X4688" s="2">
        <v>15.8</v>
      </c>
      <c r="Y4688" s="2" t="s">
        <v>440</v>
      </c>
      <c r="Z4688" s="2" t="s">
        <v>20067</v>
      </c>
      <c r="AA4688" s="2">
        <v>0.286480698821232</v>
      </c>
      <c r="AB4688" s="2">
        <v>0.12824813767965801</v>
      </c>
      <c r="AC4688" s="2">
        <v>7196.9657426207395</v>
      </c>
      <c r="AD4688" s="2">
        <v>6029.9831950662801</v>
      </c>
      <c r="AE4688" s="2">
        <v>7327.9565941689798</v>
      </c>
      <c r="AF4688" s="2">
        <v>7202.48304008164</v>
      </c>
      <c r="AG4688" s="2">
        <v>7297.59737226373</v>
      </c>
      <c r="AH4688" s="2">
        <v>7107.1297463580904</v>
      </c>
      <c r="AI4688" s="2">
        <v>7160.3801862133596</v>
      </c>
      <c r="AJ4688" s="2">
        <v>7086.2475166386403</v>
      </c>
      <c r="AK4688" s="2">
        <v>5490.44691671293</v>
      </c>
      <c r="AL4688" s="2">
        <v>5853.64842635487</v>
      </c>
      <c r="AM4688" s="2">
        <v>6085.3992041788097</v>
      </c>
      <c r="AN4688" s="2">
        <v>6288.8540184860703</v>
      </c>
      <c r="AO4688" s="2">
        <v>6503.7694668941704</v>
      </c>
      <c r="AP4688" s="2">
        <v>5957.7811377708404</v>
      </c>
    </row>
    <row r="4689" spans="1:42" ht="14.5" x14ac:dyDescent="0.35">
      <c r="A4689" s="2" t="s">
        <v>31099</v>
      </c>
      <c r="B4689" s="2">
        <v>445.18197727318801</v>
      </c>
      <c r="C4689" s="2">
        <v>9.1537000000000006</v>
      </c>
      <c r="D4689" s="2" t="s">
        <v>70</v>
      </c>
      <c r="E4689" s="2" t="s">
        <v>31100</v>
      </c>
      <c r="F4689" s="2">
        <v>83557</v>
      </c>
      <c r="G4689" s="3" t="str">
        <f>HYPERLINK("http://funmeta.oebiotech.com/network/83557", "http://funmeta.oebiotech.com/network/83557")</f>
        <v>http://funmeta.oebiotech.com/network/83557</v>
      </c>
      <c r="H4689" s="2" t="s">
        <v>31101</v>
      </c>
      <c r="I4689" s="2">
        <v>73257</v>
      </c>
      <c r="J4689" s="2"/>
      <c r="K4689" s="2"/>
      <c r="L4689" s="2" t="s">
        <v>31102</v>
      </c>
      <c r="M4689" s="2" t="s">
        <v>13581</v>
      </c>
      <c r="N4689" s="2" t="s">
        <v>13582</v>
      </c>
      <c r="O4689" s="2">
        <v>156652</v>
      </c>
      <c r="P4689" s="2" t="s">
        <v>31103</v>
      </c>
      <c r="Q4689" s="2" t="s">
        <v>31104</v>
      </c>
      <c r="R4689" s="2" t="s">
        <v>31105</v>
      </c>
      <c r="S4689" s="2" t="s">
        <v>79</v>
      </c>
      <c r="T4689" s="2" t="s">
        <v>80</v>
      </c>
      <c r="U4689" s="2" t="s">
        <v>2820</v>
      </c>
      <c r="V4689" s="2" t="s">
        <v>59</v>
      </c>
      <c r="W4689" s="2">
        <v>38.5</v>
      </c>
      <c r="X4689" s="2">
        <v>0</v>
      </c>
      <c r="Y4689" s="2" t="s">
        <v>560</v>
      </c>
      <c r="Z4689" s="2" t="s">
        <v>31106</v>
      </c>
      <c r="AA4689" s="2">
        <v>-4.7712144955018001</v>
      </c>
      <c r="AB4689" s="2">
        <v>0.128130112826532</v>
      </c>
      <c r="AC4689" s="2">
        <v>1739.8692963211099</v>
      </c>
      <c r="AD4689" s="2">
        <v>562.490352732362</v>
      </c>
      <c r="AE4689" s="2">
        <v>1370.12241138378</v>
      </c>
      <c r="AF4689" s="2">
        <v>1852.62686280974</v>
      </c>
      <c r="AG4689" s="2">
        <v>2148.83527762725</v>
      </c>
      <c r="AH4689" s="2">
        <v>1737.55514543449</v>
      </c>
      <c r="AI4689" s="2">
        <v>1813.59073823877</v>
      </c>
      <c r="AJ4689" s="2">
        <v>1516.48534243261</v>
      </c>
      <c r="AK4689" s="2">
        <v>311.36890471993598</v>
      </c>
      <c r="AL4689" s="2">
        <v>607.79046167361901</v>
      </c>
      <c r="AM4689" s="2">
        <v>1091.6692121328499</v>
      </c>
      <c r="AN4689" s="2">
        <v>484.75079779343298</v>
      </c>
      <c r="AO4689" s="2">
        <v>588.78714928484203</v>
      </c>
      <c r="AP4689" s="2">
        <v>290.57559078949498</v>
      </c>
    </row>
    <row r="4690" spans="1:42" ht="14.5" x14ac:dyDescent="0.35">
      <c r="A4690" s="2" t="s">
        <v>31107</v>
      </c>
      <c r="B4690" s="2">
        <v>277.03264180014497</v>
      </c>
      <c r="C4690" s="2">
        <v>4.6492000000000004</v>
      </c>
      <c r="D4690" s="2" t="s">
        <v>70</v>
      </c>
      <c r="E4690" s="2" t="s">
        <v>31108</v>
      </c>
      <c r="F4690" s="2">
        <v>256177</v>
      </c>
      <c r="G4690" s="3" t="str">
        <f>HYPERLINK("http://funmeta.oebiotech.com/network/256177", "http://funmeta.oebiotech.com/network/256177")</f>
        <v>http://funmeta.oebiotech.com/network/256177</v>
      </c>
      <c r="H4690" s="2" t="s">
        <v>31109</v>
      </c>
      <c r="I4690" s="2"/>
      <c r="J4690" s="2"/>
      <c r="K4690" s="2"/>
      <c r="L4690" s="2"/>
      <c r="M4690" s="2"/>
      <c r="N4690" s="2"/>
      <c r="O4690" s="2">
        <v>56844155</v>
      </c>
      <c r="P4690" s="2"/>
      <c r="Q4690" s="2" t="s">
        <v>31110</v>
      </c>
      <c r="R4690" s="2" t="s">
        <v>31111</v>
      </c>
      <c r="S4690" s="2" t="s">
        <v>148</v>
      </c>
      <c r="T4690" s="2" t="s">
        <v>149</v>
      </c>
      <c r="U4690" s="2" t="s">
        <v>1593</v>
      </c>
      <c r="V4690" s="2" t="s">
        <v>59</v>
      </c>
      <c r="W4690" s="2">
        <v>38.9</v>
      </c>
      <c r="X4690" s="2">
        <v>0</v>
      </c>
      <c r="Y4690" s="2" t="s">
        <v>408</v>
      </c>
      <c r="Z4690" s="2" t="s">
        <v>31112</v>
      </c>
      <c r="AA4690" s="2">
        <v>-1.41675830753955</v>
      </c>
      <c r="AB4690" s="2">
        <v>0.128079272836327</v>
      </c>
      <c r="AC4690" s="2">
        <v>12445.6893240356</v>
      </c>
      <c r="AD4690" s="2">
        <v>13945.127679331599</v>
      </c>
      <c r="AE4690" s="2">
        <v>12069.095475826</v>
      </c>
      <c r="AF4690" s="2">
        <v>13007.985407176</v>
      </c>
      <c r="AG4690" s="2">
        <v>12479.675746298901</v>
      </c>
      <c r="AH4690" s="2">
        <v>14116.734443326601</v>
      </c>
      <c r="AI4690" s="2">
        <v>11512.972236567801</v>
      </c>
      <c r="AJ4690" s="2">
        <v>11487.6726350185</v>
      </c>
      <c r="AK4690" s="2">
        <v>13919.2518843134</v>
      </c>
      <c r="AL4690" s="2">
        <v>14475.422540703499</v>
      </c>
      <c r="AM4690" s="2">
        <v>14413.108272895999</v>
      </c>
      <c r="AN4690" s="2">
        <v>13759.631913562</v>
      </c>
      <c r="AO4690" s="2">
        <v>13895.2437940904</v>
      </c>
      <c r="AP4690" s="2">
        <v>13208.107670424501</v>
      </c>
    </row>
    <row r="4691" spans="1:42" ht="14.5" x14ac:dyDescent="0.35">
      <c r="A4691" s="2" t="s">
        <v>31113</v>
      </c>
      <c r="B4691" s="2">
        <v>151.075164218336</v>
      </c>
      <c r="C4691" s="2">
        <v>13.4866333333333</v>
      </c>
      <c r="D4691" s="2" t="s">
        <v>34</v>
      </c>
      <c r="E4691" s="2" t="s">
        <v>31114</v>
      </c>
      <c r="F4691" s="2">
        <v>201982</v>
      </c>
      <c r="G4691" s="3" t="str">
        <f>HYPERLINK("http://funmeta.oebiotech.com/network/201982", "http://funmeta.oebiotech.com/network/201982")</f>
        <v>http://funmeta.oebiotech.com/network/201982</v>
      </c>
      <c r="H4691" s="2" t="s">
        <v>31115</v>
      </c>
      <c r="I4691" s="2"/>
      <c r="J4691" s="2"/>
      <c r="K4691" s="2"/>
      <c r="L4691" s="2"/>
      <c r="M4691" s="2"/>
      <c r="N4691" s="2"/>
      <c r="O4691" s="2">
        <v>12918206</v>
      </c>
      <c r="P4691" s="2"/>
      <c r="Q4691" s="2" t="s">
        <v>31116</v>
      </c>
      <c r="R4691" s="2" t="s">
        <v>31117</v>
      </c>
      <c r="S4691" s="2" t="s">
        <v>41</v>
      </c>
      <c r="T4691" s="2" t="s">
        <v>41</v>
      </c>
      <c r="U4691" s="2" t="s">
        <v>41</v>
      </c>
      <c r="V4691" s="2" t="s">
        <v>59</v>
      </c>
      <c r="W4691" s="2">
        <v>41</v>
      </c>
      <c r="X4691" s="2">
        <v>8.94</v>
      </c>
      <c r="Y4691" s="2" t="s">
        <v>394</v>
      </c>
      <c r="Z4691" s="2" t="s">
        <v>23454</v>
      </c>
      <c r="AA4691" s="2">
        <v>-1.27790989432776</v>
      </c>
      <c r="AB4691" s="2">
        <v>0.12803384406042101</v>
      </c>
      <c r="AC4691" s="2">
        <v>3709.6469108684601</v>
      </c>
      <c r="AD4691" s="2">
        <v>2548.48651489445</v>
      </c>
      <c r="AE4691" s="2">
        <v>3535.0816420236401</v>
      </c>
      <c r="AF4691" s="2">
        <v>3927.24715394026</v>
      </c>
      <c r="AG4691" s="2">
        <v>4046.8921854012601</v>
      </c>
      <c r="AH4691" s="2">
        <v>3788.3982870289401</v>
      </c>
      <c r="AI4691" s="2">
        <v>3525.6935943271801</v>
      </c>
      <c r="AJ4691" s="2">
        <v>3434.5686024894899</v>
      </c>
      <c r="AK4691" s="2">
        <v>2356.1339960538098</v>
      </c>
      <c r="AL4691" s="2">
        <v>2502.54854021849</v>
      </c>
      <c r="AM4691" s="2">
        <v>2166.55760464492</v>
      </c>
      <c r="AN4691" s="2">
        <v>2529.6101368355999</v>
      </c>
      <c r="AO4691" s="2">
        <v>2917.56304455794</v>
      </c>
      <c r="AP4691" s="2">
        <v>2818.5057670559399</v>
      </c>
    </row>
    <row r="4692" spans="1:42" ht="14.5" x14ac:dyDescent="0.35">
      <c r="A4692" s="2" t="s">
        <v>31118</v>
      </c>
      <c r="B4692" s="2">
        <v>457.19610835261102</v>
      </c>
      <c r="C4692" s="2">
        <v>4.0871833333333303</v>
      </c>
      <c r="D4692" s="2" t="s">
        <v>34</v>
      </c>
      <c r="E4692" s="2" t="s">
        <v>31119</v>
      </c>
      <c r="F4692" s="2">
        <v>207423</v>
      </c>
      <c r="G4692" s="3" t="str">
        <f>HYPERLINK("http://funmeta.oebiotech.com/network/207423", "http://funmeta.oebiotech.com/network/207423")</f>
        <v>http://funmeta.oebiotech.com/network/207423</v>
      </c>
      <c r="H4692" s="2" t="s">
        <v>31120</v>
      </c>
      <c r="I4692" s="2"/>
      <c r="J4692" s="2"/>
      <c r="K4692" s="2"/>
      <c r="L4692" s="2"/>
      <c r="M4692" s="2"/>
      <c r="N4692" s="2"/>
      <c r="O4692" s="2">
        <v>21151249</v>
      </c>
      <c r="P4692" s="2"/>
      <c r="Q4692" s="2" t="s">
        <v>31121</v>
      </c>
      <c r="R4692" s="2" t="s">
        <v>31122</v>
      </c>
      <c r="S4692" s="2" t="s">
        <v>89</v>
      </c>
      <c r="T4692" s="2" t="s">
        <v>90</v>
      </c>
      <c r="U4692" s="2" t="s">
        <v>99</v>
      </c>
      <c r="V4692" s="2" t="s">
        <v>59</v>
      </c>
      <c r="W4692" s="2">
        <v>39.1</v>
      </c>
      <c r="X4692" s="2">
        <v>0</v>
      </c>
      <c r="Y4692" s="2" t="s">
        <v>340</v>
      </c>
      <c r="Z4692" s="2" t="s">
        <v>31123</v>
      </c>
      <c r="AA4692" s="2">
        <v>0.231458314713859</v>
      </c>
      <c r="AB4692" s="2">
        <v>0.12787038611809201</v>
      </c>
      <c r="AC4692" s="2">
        <v>11701.026016809899</v>
      </c>
      <c r="AD4692" s="2">
        <v>13527.059281976801</v>
      </c>
      <c r="AE4692" s="2">
        <v>11046.6078974298</v>
      </c>
      <c r="AF4692" s="2">
        <v>10750.4181273714</v>
      </c>
      <c r="AG4692" s="2">
        <v>11346.7133416001</v>
      </c>
      <c r="AH4692" s="2">
        <v>12752.689073347299</v>
      </c>
      <c r="AI4692" s="2">
        <v>9603.1876056433393</v>
      </c>
      <c r="AJ4692" s="2">
        <v>14706.5400554673</v>
      </c>
      <c r="AK4692" s="2">
        <v>14633.9232466455</v>
      </c>
      <c r="AL4692" s="2">
        <v>13599.206284206601</v>
      </c>
      <c r="AM4692" s="2">
        <v>13945.0174311877</v>
      </c>
      <c r="AN4692" s="2">
        <v>13020.348444085001</v>
      </c>
      <c r="AO4692" s="2">
        <v>12916.9767053862</v>
      </c>
      <c r="AP4692" s="2">
        <v>13046.8835803498</v>
      </c>
    </row>
    <row r="4693" spans="1:42" ht="14.5" x14ac:dyDescent="0.35">
      <c r="A4693" s="2" t="s">
        <v>31124</v>
      </c>
      <c r="B4693" s="2">
        <v>389.23078629495802</v>
      </c>
      <c r="C4693" s="2">
        <v>10.9087833333333</v>
      </c>
      <c r="D4693" s="2" t="s">
        <v>70</v>
      </c>
      <c r="E4693" s="2" t="s">
        <v>31125</v>
      </c>
      <c r="F4693" s="2">
        <v>45045</v>
      </c>
      <c r="G4693" s="3" t="str">
        <f>HYPERLINK("http://funmeta.oebiotech.com/network/45045", "http://funmeta.oebiotech.com/network/45045")</f>
        <v>http://funmeta.oebiotech.com/network/45045</v>
      </c>
      <c r="H4693" s="2" t="s">
        <v>31126</v>
      </c>
      <c r="I4693" s="2">
        <v>1094</v>
      </c>
      <c r="J4693" s="2" t="s">
        <v>31127</v>
      </c>
      <c r="K4693" s="2">
        <v>6715</v>
      </c>
      <c r="L4693" s="2" t="s">
        <v>31128</v>
      </c>
      <c r="M4693" s="2"/>
      <c r="N4693" s="2"/>
      <c r="O4693" s="2">
        <v>10631</v>
      </c>
      <c r="P4693" s="2" t="s">
        <v>31129</v>
      </c>
      <c r="Q4693" s="2" t="s">
        <v>31130</v>
      </c>
      <c r="R4693" s="2" t="s">
        <v>31131</v>
      </c>
      <c r="S4693" s="2" t="s">
        <v>50</v>
      </c>
      <c r="T4693" s="2" t="s">
        <v>124</v>
      </c>
      <c r="U4693" s="2" t="s">
        <v>929</v>
      </c>
      <c r="V4693" s="2" t="s">
        <v>59</v>
      </c>
      <c r="W4693" s="2">
        <v>36.299999999999997</v>
      </c>
      <c r="X4693" s="2">
        <v>0</v>
      </c>
      <c r="Y4693" s="2" t="s">
        <v>408</v>
      </c>
      <c r="Z4693" s="2" t="s">
        <v>21799</v>
      </c>
      <c r="AA4693" s="2">
        <v>-7.44101815405054</v>
      </c>
      <c r="AB4693" s="2">
        <v>0.12782273612186301</v>
      </c>
      <c r="AC4693" s="2">
        <v>1107.26233878221</v>
      </c>
      <c r="AD4693" s="2">
        <v>14.529470550536001</v>
      </c>
      <c r="AE4693" s="2">
        <v>940.82419411699902</v>
      </c>
      <c r="AF4693" s="2">
        <v>1238.82870933349</v>
      </c>
      <c r="AG4693" s="2">
        <v>881.60953369078698</v>
      </c>
      <c r="AH4693" s="2">
        <v>1193.3081418373099</v>
      </c>
      <c r="AI4693" s="2">
        <v>1150.77518846465</v>
      </c>
      <c r="AJ4693" s="2">
        <v>1238.2282652500301</v>
      </c>
      <c r="AK4693" s="2">
        <v>2.7106294003980101E-5</v>
      </c>
      <c r="AL4693" s="2">
        <v>2.7106294003980101E-5</v>
      </c>
      <c r="AM4693" s="2">
        <v>87.176687771745904</v>
      </c>
      <c r="AN4693" s="2">
        <v>2.7106294003980101E-5</v>
      </c>
      <c r="AO4693" s="2">
        <v>2.7106294003980101E-5</v>
      </c>
      <c r="AP4693" s="2">
        <v>2.7106294003980101E-5</v>
      </c>
    </row>
    <row r="4694" spans="1:42" ht="14.5" x14ac:dyDescent="0.35">
      <c r="A4694" s="2" t="s">
        <v>31132</v>
      </c>
      <c r="B4694" s="2">
        <v>451.15995084931899</v>
      </c>
      <c r="C4694" s="2">
        <v>3.5017</v>
      </c>
      <c r="D4694" s="2" t="s">
        <v>70</v>
      </c>
      <c r="E4694" s="2" t="s">
        <v>31133</v>
      </c>
      <c r="F4694" s="2">
        <v>199916</v>
      </c>
      <c r="G4694" s="3" t="str">
        <f>HYPERLINK("http://funmeta.oebiotech.com/network/199916", "http://funmeta.oebiotech.com/network/199916")</f>
        <v>http://funmeta.oebiotech.com/network/199916</v>
      </c>
      <c r="H4694" s="2" t="s">
        <v>31134</v>
      </c>
      <c r="I4694" s="2"/>
      <c r="J4694" s="2"/>
      <c r="K4694" s="2"/>
      <c r="L4694" s="2"/>
      <c r="M4694" s="2"/>
      <c r="N4694" s="2"/>
      <c r="O4694" s="2">
        <v>3082710</v>
      </c>
      <c r="P4694" s="2"/>
      <c r="Q4694" s="2" t="s">
        <v>31135</v>
      </c>
      <c r="R4694" s="2" t="s">
        <v>31136</v>
      </c>
      <c r="S4694" s="2" t="s">
        <v>50</v>
      </c>
      <c r="T4694" s="2" t="s">
        <v>229</v>
      </c>
      <c r="U4694" s="2" t="s">
        <v>433</v>
      </c>
      <c r="V4694" s="2" t="s">
        <v>59</v>
      </c>
      <c r="W4694" s="2">
        <v>39</v>
      </c>
      <c r="X4694" s="2">
        <v>3.8</v>
      </c>
      <c r="Y4694" s="2" t="s">
        <v>498</v>
      </c>
      <c r="Z4694" s="2" t="s">
        <v>24171</v>
      </c>
      <c r="AA4694" s="2">
        <v>-2.2553822547503599</v>
      </c>
      <c r="AB4694" s="2">
        <v>0.12779355005808701</v>
      </c>
      <c r="AC4694" s="2">
        <v>14934.5969673863</v>
      </c>
      <c r="AD4694" s="2">
        <v>16768.1869822722</v>
      </c>
      <c r="AE4694" s="2">
        <v>14983.2791741459</v>
      </c>
      <c r="AF4694" s="2">
        <v>15676.2519508062</v>
      </c>
      <c r="AG4694" s="2">
        <v>13169.7601767223</v>
      </c>
      <c r="AH4694" s="2">
        <v>15477.5692402144</v>
      </c>
      <c r="AI4694" s="2">
        <v>15929.2762260688</v>
      </c>
      <c r="AJ4694" s="2">
        <v>14371.445036360001</v>
      </c>
      <c r="AK4694" s="2">
        <v>15910.335873830099</v>
      </c>
      <c r="AL4694" s="2">
        <v>17225.711666906602</v>
      </c>
      <c r="AM4694" s="2">
        <v>17533.2567725064</v>
      </c>
      <c r="AN4694" s="2">
        <v>19171.2438878711</v>
      </c>
      <c r="AO4694" s="2">
        <v>13996.192075378</v>
      </c>
      <c r="AP4694" s="2">
        <v>16772.3816171408</v>
      </c>
    </row>
    <row r="4695" spans="1:42" ht="14.5" x14ac:dyDescent="0.35">
      <c r="A4695" s="2" t="s">
        <v>31137</v>
      </c>
      <c r="B4695" s="2">
        <v>371.08224055929003</v>
      </c>
      <c r="C4695" s="2">
        <v>3.2723666666666702</v>
      </c>
      <c r="D4695" s="2" t="s">
        <v>34</v>
      </c>
      <c r="E4695" s="2" t="s">
        <v>31138</v>
      </c>
      <c r="F4695" s="2">
        <v>273786</v>
      </c>
      <c r="G4695" s="3" t="str">
        <f>HYPERLINK("http://funmeta.oebiotech.com/network/273786", "http://funmeta.oebiotech.com/network/273786")</f>
        <v>http://funmeta.oebiotech.com/network/273786</v>
      </c>
      <c r="H4695" s="2"/>
      <c r="I4695" s="2">
        <v>63147</v>
      </c>
      <c r="J4695" s="2"/>
      <c r="K4695" s="2"/>
      <c r="L4695" s="2" t="s">
        <v>31139</v>
      </c>
      <c r="M4695" s="2" t="s">
        <v>31140</v>
      </c>
      <c r="N4695" s="2" t="s">
        <v>31141</v>
      </c>
      <c r="O4695" s="2">
        <v>439694</v>
      </c>
      <c r="P4695" s="2" t="s">
        <v>31142</v>
      </c>
      <c r="Q4695" s="2" t="s">
        <v>31143</v>
      </c>
      <c r="R4695" s="2" t="s">
        <v>31144</v>
      </c>
      <c r="S4695" s="2" t="s">
        <v>79</v>
      </c>
      <c r="T4695" s="2" t="s">
        <v>80</v>
      </c>
      <c r="U4695" s="2" t="s">
        <v>81</v>
      </c>
      <c r="V4695" s="2" t="s">
        <v>59</v>
      </c>
      <c r="W4695" s="2">
        <v>38.9</v>
      </c>
      <c r="X4695" s="2">
        <v>0</v>
      </c>
      <c r="Y4695" s="2" t="s">
        <v>394</v>
      </c>
      <c r="Z4695" s="2" t="s">
        <v>31145</v>
      </c>
      <c r="AA4695" s="2">
        <v>0.60392057548135702</v>
      </c>
      <c r="AB4695" s="2">
        <v>0.127781591689964</v>
      </c>
      <c r="AC4695" s="2">
        <v>4696.0176227442098</v>
      </c>
      <c r="AD4695" s="2">
        <v>6374.2039642746304</v>
      </c>
      <c r="AE4695" s="2">
        <v>7068.7788077453597</v>
      </c>
      <c r="AF4695" s="2">
        <v>4367.0012786841498</v>
      </c>
      <c r="AG4695" s="2">
        <v>4539.6257879756304</v>
      </c>
      <c r="AH4695" s="2">
        <v>3715.6471683546001</v>
      </c>
      <c r="AI4695" s="2">
        <v>5510.1438488909798</v>
      </c>
      <c r="AJ4695" s="2">
        <v>2974.9088448145299</v>
      </c>
      <c r="AK4695" s="2">
        <v>6896.4934477089</v>
      </c>
      <c r="AL4695" s="2">
        <v>6031.0841283316604</v>
      </c>
      <c r="AM4695" s="2">
        <v>6440.7609287760197</v>
      </c>
      <c r="AN4695" s="2">
        <v>7223.2592476044401</v>
      </c>
      <c r="AO4695" s="2">
        <v>6322.1783775261001</v>
      </c>
      <c r="AP4695" s="2">
        <v>5331.4476557006801</v>
      </c>
    </row>
    <row r="4696" spans="1:42" ht="14.5" x14ac:dyDescent="0.35">
      <c r="A4696" s="2" t="s">
        <v>31146</v>
      </c>
      <c r="B4696" s="2">
        <v>325.20060549544701</v>
      </c>
      <c r="C4696" s="2">
        <v>14.551116666666699</v>
      </c>
      <c r="D4696" s="2" t="s">
        <v>34</v>
      </c>
      <c r="E4696" s="2" t="s">
        <v>31147</v>
      </c>
      <c r="F4696" s="2">
        <v>47841</v>
      </c>
      <c r="G4696" s="3" t="str">
        <f>HYPERLINK("http://funmeta.oebiotech.com/network/47841", "http://funmeta.oebiotech.com/network/47841")</f>
        <v>http://funmeta.oebiotech.com/network/47841</v>
      </c>
      <c r="H4696" s="2" t="s">
        <v>31148</v>
      </c>
      <c r="I4696" s="2">
        <v>6525</v>
      </c>
      <c r="J4696" s="2"/>
      <c r="K4696" s="2">
        <v>28101</v>
      </c>
      <c r="L4696" s="2" t="s">
        <v>31149</v>
      </c>
      <c r="M4696" s="2"/>
      <c r="N4696" s="2"/>
      <c r="O4696" s="2">
        <v>132680</v>
      </c>
      <c r="P4696" s="2" t="s">
        <v>31150</v>
      </c>
      <c r="Q4696" s="2" t="s">
        <v>31151</v>
      </c>
      <c r="R4696" s="2" t="s">
        <v>31152</v>
      </c>
      <c r="S4696" s="2" t="s">
        <v>89</v>
      </c>
      <c r="T4696" s="2" t="s">
        <v>17212</v>
      </c>
      <c r="U4696" s="2" t="s">
        <v>17213</v>
      </c>
      <c r="V4696" s="2" t="s">
        <v>59</v>
      </c>
      <c r="W4696" s="2">
        <v>38.9</v>
      </c>
      <c r="X4696" s="2">
        <v>0</v>
      </c>
      <c r="Y4696" s="2" t="s">
        <v>340</v>
      </c>
      <c r="Z4696" s="2" t="s">
        <v>31153</v>
      </c>
      <c r="AA4696" s="2">
        <v>1.9955326313505699</v>
      </c>
      <c r="AB4696" s="2">
        <v>0.12773147724394099</v>
      </c>
      <c r="AC4696" s="2">
        <v>13946.6038817847</v>
      </c>
      <c r="AD4696" s="2">
        <v>15459.246520327801</v>
      </c>
      <c r="AE4696" s="2">
        <v>13193.0807322941</v>
      </c>
      <c r="AF4696" s="2">
        <v>15075.465462525201</v>
      </c>
      <c r="AG4696" s="2">
        <v>14680.0750103179</v>
      </c>
      <c r="AH4696" s="2">
        <v>13698.4252887969</v>
      </c>
      <c r="AI4696" s="2">
        <v>13245.417355252101</v>
      </c>
      <c r="AJ4696" s="2">
        <v>13787.159441522001</v>
      </c>
      <c r="AK4696" s="2">
        <v>17000.111791654501</v>
      </c>
      <c r="AL4696" s="2">
        <v>15605.763377699301</v>
      </c>
      <c r="AM4696" s="2">
        <v>15241.4527283771</v>
      </c>
      <c r="AN4696" s="2">
        <v>14557.0590477323</v>
      </c>
      <c r="AO4696" s="2">
        <v>15381.5121541646</v>
      </c>
      <c r="AP4696" s="2">
        <v>14969.580022339</v>
      </c>
    </row>
    <row r="4697" spans="1:42" ht="14.5" x14ac:dyDescent="0.35">
      <c r="A4697" s="2" t="s">
        <v>31154</v>
      </c>
      <c r="B4697" s="2">
        <v>279.062010323447</v>
      </c>
      <c r="C4697" s="2">
        <v>2.5780666666666701</v>
      </c>
      <c r="D4697" s="2" t="s">
        <v>70</v>
      </c>
      <c r="E4697" s="2" t="s">
        <v>31155</v>
      </c>
      <c r="F4697" s="2">
        <v>207313</v>
      </c>
      <c r="G4697" s="3" t="str">
        <f>HYPERLINK("http://funmeta.oebiotech.com/network/207313", "http://funmeta.oebiotech.com/network/207313")</f>
        <v>http://funmeta.oebiotech.com/network/207313</v>
      </c>
      <c r="H4697" s="2" t="s">
        <v>31156</v>
      </c>
      <c r="I4697" s="2"/>
      <c r="J4697" s="2"/>
      <c r="K4697" s="2"/>
      <c r="L4697" s="2"/>
      <c r="M4697" s="2"/>
      <c r="N4697" s="2"/>
      <c r="O4697" s="2">
        <v>133440</v>
      </c>
      <c r="P4697" s="2"/>
      <c r="Q4697" s="2" t="s">
        <v>31157</v>
      </c>
      <c r="R4697" s="2" t="s">
        <v>31158</v>
      </c>
      <c r="S4697" s="2" t="s">
        <v>41</v>
      </c>
      <c r="T4697" s="2" t="s">
        <v>41</v>
      </c>
      <c r="U4697" s="2" t="s">
        <v>41</v>
      </c>
      <c r="V4697" s="2" t="s">
        <v>59</v>
      </c>
      <c r="W4697" s="2">
        <v>38.799999999999997</v>
      </c>
      <c r="X4697" s="2">
        <v>0</v>
      </c>
      <c r="Y4697" s="2" t="s">
        <v>118</v>
      </c>
      <c r="Z4697" s="2" t="s">
        <v>31159</v>
      </c>
      <c r="AA4697" s="2">
        <v>-0.890337292617145</v>
      </c>
      <c r="AB4697" s="2">
        <v>0.127714633774234</v>
      </c>
      <c r="AC4697" s="2">
        <v>6507.6192539493604</v>
      </c>
      <c r="AD4697" s="2">
        <v>5265.3653565062596</v>
      </c>
      <c r="AE4697" s="2">
        <v>6654.4255411719596</v>
      </c>
      <c r="AF4697" s="2">
        <v>5950.6939967792496</v>
      </c>
      <c r="AG4697" s="2">
        <v>6406.9141436029204</v>
      </c>
      <c r="AH4697" s="2">
        <v>7140.2199373417498</v>
      </c>
      <c r="AI4697" s="2">
        <v>6832.1267434710799</v>
      </c>
      <c r="AJ4697" s="2">
        <v>6061.3351613291998</v>
      </c>
      <c r="AK4697" s="2">
        <v>5426.77145527824</v>
      </c>
      <c r="AL4697" s="2">
        <v>4985.51041214016</v>
      </c>
      <c r="AM4697" s="2">
        <v>5555.1264202973498</v>
      </c>
      <c r="AN4697" s="2">
        <v>5139.0541876552297</v>
      </c>
      <c r="AO4697" s="2">
        <v>4862.00072547128</v>
      </c>
      <c r="AP4697" s="2">
        <v>5623.7289381952996</v>
      </c>
    </row>
    <row r="4698" spans="1:42" ht="14.5" x14ac:dyDescent="0.35">
      <c r="A4698" s="2" t="s">
        <v>31160</v>
      </c>
      <c r="B4698" s="2">
        <v>548.06575849083902</v>
      </c>
      <c r="C4698" s="2">
        <v>4.7402166666666696</v>
      </c>
      <c r="D4698" s="2" t="s">
        <v>70</v>
      </c>
      <c r="E4698" s="2" t="s">
        <v>31161</v>
      </c>
      <c r="F4698" s="2">
        <v>267174</v>
      </c>
      <c r="G4698" s="3" t="str">
        <f>HYPERLINK("http://funmeta.oebiotech.com/network/267174", "http://funmeta.oebiotech.com/network/267174")</f>
        <v>http://funmeta.oebiotech.com/network/267174</v>
      </c>
      <c r="H4698" s="2"/>
      <c r="I4698" s="2">
        <v>44941</v>
      </c>
      <c r="J4698" s="2"/>
      <c r="K4698" s="2"/>
      <c r="L4698" s="2"/>
      <c r="M4698" s="2"/>
      <c r="N4698" s="2"/>
      <c r="O4698" s="2">
        <v>23583507</v>
      </c>
      <c r="P4698" s="2" t="s">
        <v>31162</v>
      </c>
      <c r="Q4698" s="2" t="s">
        <v>31163</v>
      </c>
      <c r="R4698" s="2" t="s">
        <v>31164</v>
      </c>
      <c r="S4698" s="2" t="s">
        <v>491</v>
      </c>
      <c r="T4698" s="2" t="s">
        <v>2184</v>
      </c>
      <c r="U4698" s="2" t="s">
        <v>22321</v>
      </c>
      <c r="V4698" s="2" t="s">
        <v>59</v>
      </c>
      <c r="W4698" s="2">
        <v>36.9</v>
      </c>
      <c r="X4698" s="2">
        <v>0</v>
      </c>
      <c r="Y4698" s="2" t="s">
        <v>408</v>
      </c>
      <c r="Z4698" s="2" t="s">
        <v>31165</v>
      </c>
      <c r="AA4698" s="2">
        <v>-6.0308788553541</v>
      </c>
      <c r="AB4698" s="2">
        <v>0.12771446283346</v>
      </c>
      <c r="AC4698" s="2">
        <v>4614.1850428427797</v>
      </c>
      <c r="AD4698" s="2">
        <v>3300.5622175626299</v>
      </c>
      <c r="AE4698" s="2">
        <v>4482.7728236376197</v>
      </c>
      <c r="AF4698" s="2">
        <v>5264.2431868183403</v>
      </c>
      <c r="AG4698" s="2">
        <v>3622.2705135762799</v>
      </c>
      <c r="AH4698" s="2">
        <v>4139.4577546301898</v>
      </c>
      <c r="AI4698" s="2">
        <v>4796.8594500632198</v>
      </c>
      <c r="AJ4698" s="2">
        <v>5379.5065283310296</v>
      </c>
      <c r="AK4698" s="2">
        <v>3748.6907436571501</v>
      </c>
      <c r="AL4698" s="2">
        <v>3170.0610838790699</v>
      </c>
      <c r="AM4698" s="2">
        <v>3252.5505262886099</v>
      </c>
      <c r="AN4698" s="2">
        <v>2988.2111383670599</v>
      </c>
      <c r="AO4698" s="2">
        <v>3392.18015447984</v>
      </c>
      <c r="AP4698" s="2">
        <v>3251.6796587040499</v>
      </c>
    </row>
    <row r="4699" spans="1:42" ht="14.5" x14ac:dyDescent="0.35">
      <c r="A4699" s="2" t="s">
        <v>31166</v>
      </c>
      <c r="B4699" s="2">
        <v>435.21456345614001</v>
      </c>
      <c r="C4699" s="2">
        <v>6.6124999999999998</v>
      </c>
      <c r="D4699" s="2" t="s">
        <v>70</v>
      </c>
      <c r="E4699" s="2" t="s">
        <v>31167</v>
      </c>
      <c r="F4699" s="2">
        <v>23697</v>
      </c>
      <c r="G4699" s="3" t="str">
        <f>HYPERLINK("http://funmeta.oebiotech.com/network/23697", "http://funmeta.oebiotech.com/network/23697")</f>
        <v>http://funmeta.oebiotech.com/network/23697</v>
      </c>
      <c r="H4699" s="2"/>
      <c r="I4699" s="2">
        <v>80023</v>
      </c>
      <c r="J4699" s="2" t="s">
        <v>31168</v>
      </c>
      <c r="K4699" s="2"/>
      <c r="L4699" s="2"/>
      <c r="M4699" s="2"/>
      <c r="N4699" s="2"/>
      <c r="O4699" s="2">
        <v>52927458</v>
      </c>
      <c r="P4699" s="2"/>
      <c r="Q4699" s="2" t="s">
        <v>31169</v>
      </c>
      <c r="R4699" s="2" t="s">
        <v>31170</v>
      </c>
      <c r="S4699" s="2" t="s">
        <v>50</v>
      </c>
      <c r="T4699" s="2" t="s">
        <v>51</v>
      </c>
      <c r="U4699" s="2" t="s">
        <v>738</v>
      </c>
      <c r="V4699" s="2" t="s">
        <v>59</v>
      </c>
      <c r="W4699" s="2">
        <v>36</v>
      </c>
      <c r="X4699" s="2">
        <v>0</v>
      </c>
      <c r="Y4699" s="2" t="s">
        <v>751</v>
      </c>
      <c r="Z4699" s="2" t="s">
        <v>31171</v>
      </c>
      <c r="AA4699" s="2">
        <v>-1.6838942670638499</v>
      </c>
      <c r="AB4699" s="2">
        <v>0.127707366904067</v>
      </c>
      <c r="AC4699" s="2">
        <v>2050.5547624512901</v>
      </c>
      <c r="AD4699" s="2">
        <v>881.90691986768002</v>
      </c>
      <c r="AE4699" s="2">
        <v>1817.0675774323799</v>
      </c>
      <c r="AF4699" s="2">
        <v>2228.8612833666598</v>
      </c>
      <c r="AG4699" s="2">
        <v>2460.8976343009199</v>
      </c>
      <c r="AH4699" s="2">
        <v>2113.9752385400702</v>
      </c>
      <c r="AI4699" s="2">
        <v>1894.0846335399101</v>
      </c>
      <c r="AJ4699" s="2">
        <v>1788.4422075277801</v>
      </c>
      <c r="AK4699" s="2">
        <v>591.422325562119</v>
      </c>
      <c r="AL4699" s="2">
        <v>779.88885884723402</v>
      </c>
      <c r="AM4699" s="2">
        <v>1128.6432769425801</v>
      </c>
      <c r="AN4699" s="2">
        <v>786.96844152822098</v>
      </c>
      <c r="AO4699" s="2">
        <v>1359.9168988479701</v>
      </c>
      <c r="AP4699" s="2">
        <v>644.60171747795903</v>
      </c>
    </row>
    <row r="4700" spans="1:42" ht="14.5" x14ac:dyDescent="0.35">
      <c r="A4700" s="2" t="s">
        <v>31172</v>
      </c>
      <c r="B4700" s="2">
        <v>265.158385679334</v>
      </c>
      <c r="C4700" s="2">
        <v>5.5233833333333298</v>
      </c>
      <c r="D4700" s="2" t="s">
        <v>34</v>
      </c>
      <c r="E4700" s="2" t="s">
        <v>31173</v>
      </c>
      <c r="F4700" s="2">
        <v>278503</v>
      </c>
      <c r="G4700" s="3" t="str">
        <f>HYPERLINK("http://funmeta.oebiotech.com/network/278503", "http://funmeta.oebiotech.com/network/278503")</f>
        <v>http://funmeta.oebiotech.com/network/278503</v>
      </c>
      <c r="H4700" s="2"/>
      <c r="I4700" s="2">
        <v>70781</v>
      </c>
      <c r="J4700" s="2"/>
      <c r="K4700" s="2"/>
      <c r="L4700" s="2" t="s">
        <v>31174</v>
      </c>
      <c r="M4700" s="2"/>
      <c r="N4700" s="2"/>
      <c r="O4700" s="2">
        <v>222845</v>
      </c>
      <c r="P4700" s="2"/>
      <c r="Q4700" s="2" t="s">
        <v>31175</v>
      </c>
      <c r="R4700" s="2" t="s">
        <v>31176</v>
      </c>
      <c r="S4700" s="2" t="s">
        <v>50</v>
      </c>
      <c r="T4700" s="2" t="s">
        <v>124</v>
      </c>
      <c r="U4700" s="2" t="s">
        <v>2093</v>
      </c>
      <c r="V4700" s="2" t="s">
        <v>59</v>
      </c>
      <c r="W4700" s="2">
        <v>38.6</v>
      </c>
      <c r="X4700" s="2">
        <v>0</v>
      </c>
      <c r="Y4700" s="2" t="s">
        <v>141</v>
      </c>
      <c r="Z4700" s="2" t="s">
        <v>31177</v>
      </c>
      <c r="AA4700" s="2">
        <v>-1.0845377745959399</v>
      </c>
      <c r="AB4700" s="2">
        <v>0.12764953571068799</v>
      </c>
      <c r="AC4700" s="2">
        <v>1619.15472812645</v>
      </c>
      <c r="AD4700" s="2">
        <v>353.10368723828998</v>
      </c>
      <c r="AE4700" s="2">
        <v>662.91131541187406</v>
      </c>
      <c r="AF4700" s="2">
        <v>1974.1779856707201</v>
      </c>
      <c r="AG4700" s="2">
        <v>1872.9323397190201</v>
      </c>
      <c r="AH4700" s="2">
        <v>2060.9556093840101</v>
      </c>
      <c r="AI4700" s="2">
        <v>1623.5580232570101</v>
      </c>
      <c r="AJ4700" s="2">
        <v>1520.39309531605</v>
      </c>
      <c r="AK4700" s="2">
        <v>2.7106294003980101E-5</v>
      </c>
      <c r="AL4700" s="2">
        <v>285.99286704189097</v>
      </c>
      <c r="AM4700" s="2">
        <v>2.7106294003980101E-5</v>
      </c>
      <c r="AN4700" s="2">
        <v>486.33561070415601</v>
      </c>
      <c r="AO4700" s="2">
        <v>927.56654750226903</v>
      </c>
      <c r="AP4700" s="2">
        <v>418.72704396883699</v>
      </c>
    </row>
    <row r="4701" spans="1:42" ht="14.5" x14ac:dyDescent="0.35">
      <c r="A4701" s="2" t="s">
        <v>31178</v>
      </c>
      <c r="B4701" s="2">
        <v>583.31254448475102</v>
      </c>
      <c r="C4701" s="2">
        <v>4.4179500000000003</v>
      </c>
      <c r="D4701" s="2" t="s">
        <v>70</v>
      </c>
      <c r="E4701" s="2" t="s">
        <v>31179</v>
      </c>
      <c r="F4701" s="2">
        <v>43748</v>
      </c>
      <c r="G4701" s="3" t="str">
        <f>HYPERLINK("http://funmeta.oebiotech.com/network/43748", "http://funmeta.oebiotech.com/network/43748")</f>
        <v>http://funmeta.oebiotech.com/network/43748</v>
      </c>
      <c r="H4701" s="2"/>
      <c r="I4701" s="2"/>
      <c r="J4701" s="2" t="s">
        <v>31180</v>
      </c>
      <c r="K4701" s="2"/>
      <c r="L4701" s="2"/>
      <c r="M4701" s="2"/>
      <c r="N4701" s="2"/>
      <c r="O4701" s="2"/>
      <c r="P4701" s="2"/>
      <c r="Q4701" s="2" t="s">
        <v>31181</v>
      </c>
      <c r="R4701" s="2" t="s">
        <v>31182</v>
      </c>
      <c r="S4701" s="2" t="s">
        <v>50</v>
      </c>
      <c r="T4701" s="2" t="s">
        <v>124</v>
      </c>
      <c r="U4701" s="2" t="s">
        <v>125</v>
      </c>
      <c r="V4701" s="2" t="s">
        <v>59</v>
      </c>
      <c r="W4701" s="2">
        <v>38</v>
      </c>
      <c r="X4701" s="2">
        <v>0</v>
      </c>
      <c r="Y4701" s="2" t="s">
        <v>408</v>
      </c>
      <c r="Z4701" s="2" t="s">
        <v>31183</v>
      </c>
      <c r="AA4701" s="2">
        <v>0.29455566351484103</v>
      </c>
      <c r="AB4701" s="2">
        <v>0.12762231022821799</v>
      </c>
      <c r="AC4701" s="2">
        <v>1301.1020047823099</v>
      </c>
      <c r="AD4701" s="2">
        <v>3144.6429428453698</v>
      </c>
      <c r="AE4701" s="2">
        <v>2.7106294003980101E-5</v>
      </c>
      <c r="AF4701" s="2">
        <v>1283.3919708283699</v>
      </c>
      <c r="AG4701" s="2">
        <v>1395.51567303406</v>
      </c>
      <c r="AH4701" s="2">
        <v>2703.0711362214101</v>
      </c>
      <c r="AI4701" s="2">
        <v>1560.12841741234</v>
      </c>
      <c r="AJ4701" s="2">
        <v>864.50480409138902</v>
      </c>
      <c r="AK4701" s="2">
        <v>1751.1529376277299</v>
      </c>
      <c r="AL4701" s="2">
        <v>3040.32981698512</v>
      </c>
      <c r="AM4701" s="2">
        <v>4352.6064832183602</v>
      </c>
      <c r="AN4701" s="2">
        <v>6035.45800479433</v>
      </c>
      <c r="AO4701" s="2">
        <v>886.45103695018202</v>
      </c>
      <c r="AP4701" s="2">
        <v>2801.8593774965202</v>
      </c>
    </row>
    <row r="4702" spans="1:42" ht="14.5" x14ac:dyDescent="0.35">
      <c r="A4702" s="2" t="s">
        <v>31184</v>
      </c>
      <c r="B4702" s="2">
        <v>299.163990909066</v>
      </c>
      <c r="C4702" s="2">
        <v>9.0455833333333295</v>
      </c>
      <c r="D4702" s="2" t="s">
        <v>34</v>
      </c>
      <c r="E4702" s="2" t="s">
        <v>31185</v>
      </c>
      <c r="F4702" s="2">
        <v>58160</v>
      </c>
      <c r="G4702" s="3" t="str">
        <f>HYPERLINK("http://funmeta.oebiotech.com/network/58160", "http://funmeta.oebiotech.com/network/58160")</f>
        <v>http://funmeta.oebiotech.com/network/58160</v>
      </c>
      <c r="H4702" s="2" t="s">
        <v>31186</v>
      </c>
      <c r="I4702" s="2">
        <v>89682</v>
      </c>
      <c r="J4702" s="2"/>
      <c r="K4702" s="2">
        <v>134355</v>
      </c>
      <c r="L4702" s="2"/>
      <c r="M4702" s="2"/>
      <c r="N4702" s="2"/>
      <c r="O4702" s="2">
        <v>1550607</v>
      </c>
      <c r="P4702" s="2" t="s">
        <v>31187</v>
      </c>
      <c r="Q4702" s="2" t="s">
        <v>31188</v>
      </c>
      <c r="R4702" s="2" t="s">
        <v>31189</v>
      </c>
      <c r="S4702" s="2" t="s">
        <v>50</v>
      </c>
      <c r="T4702" s="2" t="s">
        <v>201</v>
      </c>
      <c r="U4702" s="2" t="s">
        <v>1217</v>
      </c>
      <c r="V4702" s="2" t="s">
        <v>59</v>
      </c>
      <c r="W4702" s="2">
        <v>38</v>
      </c>
      <c r="X4702" s="2">
        <v>0</v>
      </c>
      <c r="Y4702" s="2" t="s">
        <v>394</v>
      </c>
      <c r="Z4702" s="2" t="s">
        <v>10585</v>
      </c>
      <c r="AA4702" s="2">
        <v>-0.60400130785496797</v>
      </c>
      <c r="AB4702" s="2">
        <v>0.12759285624292899</v>
      </c>
      <c r="AC4702" s="2">
        <v>5271.3838182199297</v>
      </c>
      <c r="AD4702" s="2">
        <v>4097.8394946461603</v>
      </c>
      <c r="AE4702" s="2">
        <v>5284.5665866900899</v>
      </c>
      <c r="AF4702" s="2">
        <v>4705.23907753604</v>
      </c>
      <c r="AG4702" s="2">
        <v>5649.8119492503401</v>
      </c>
      <c r="AH4702" s="2">
        <v>5459.5784134292999</v>
      </c>
      <c r="AI4702" s="2">
        <v>4985.8002441671897</v>
      </c>
      <c r="AJ4702" s="2">
        <v>5543.3066382466104</v>
      </c>
      <c r="AK4702" s="2">
        <v>3935.84194533462</v>
      </c>
      <c r="AL4702" s="2">
        <v>4442.0291118138302</v>
      </c>
      <c r="AM4702" s="2">
        <v>4017.7232976012301</v>
      </c>
      <c r="AN4702" s="2">
        <v>3821.2885144093798</v>
      </c>
      <c r="AO4702" s="2">
        <v>4225.6992981981903</v>
      </c>
      <c r="AP4702" s="2">
        <v>4144.4548005197203</v>
      </c>
    </row>
    <row r="4703" spans="1:42" ht="14.5" x14ac:dyDescent="0.35">
      <c r="A4703" s="2" t="s">
        <v>31190</v>
      </c>
      <c r="B4703" s="2">
        <v>536.982237828591</v>
      </c>
      <c r="C4703" s="2">
        <v>2.29613333333333</v>
      </c>
      <c r="D4703" s="2" t="s">
        <v>70</v>
      </c>
      <c r="E4703" s="2" t="s">
        <v>31191</v>
      </c>
      <c r="F4703" s="2">
        <v>48126</v>
      </c>
      <c r="G4703" s="3" t="str">
        <f>HYPERLINK("http://funmeta.oebiotech.com/network/48126", "http://funmeta.oebiotech.com/network/48126")</f>
        <v>http://funmeta.oebiotech.com/network/48126</v>
      </c>
      <c r="H4703" s="2" t="s">
        <v>31192</v>
      </c>
      <c r="I4703" s="2">
        <v>58160</v>
      </c>
      <c r="J4703" s="2"/>
      <c r="K4703" s="2">
        <v>28807</v>
      </c>
      <c r="L4703" s="2" t="s">
        <v>31193</v>
      </c>
      <c r="M4703" s="2" t="s">
        <v>4932</v>
      </c>
      <c r="N4703" s="2" t="s">
        <v>4933</v>
      </c>
      <c r="O4703" s="2">
        <v>146302</v>
      </c>
      <c r="P4703" s="2" t="s">
        <v>31194</v>
      </c>
      <c r="Q4703" s="2" t="s">
        <v>31195</v>
      </c>
      <c r="R4703" s="2" t="s">
        <v>31196</v>
      </c>
      <c r="S4703" s="2" t="s">
        <v>1444</v>
      </c>
      <c r="T4703" s="2" t="s">
        <v>4937</v>
      </c>
      <c r="U4703" s="2" t="s">
        <v>4938</v>
      </c>
      <c r="V4703" s="2" t="s">
        <v>59</v>
      </c>
      <c r="W4703" s="2">
        <v>37.4</v>
      </c>
      <c r="X4703" s="2">
        <v>0</v>
      </c>
      <c r="Y4703" s="2" t="s">
        <v>408</v>
      </c>
      <c r="Z4703" s="2" t="s">
        <v>31197</v>
      </c>
      <c r="AA4703" s="2">
        <v>-1.6494124673922099</v>
      </c>
      <c r="AB4703" s="2">
        <v>0.127581755524559</v>
      </c>
      <c r="AC4703" s="2">
        <v>2867.2161991783501</v>
      </c>
      <c r="AD4703" s="2">
        <v>1705.5521658185201</v>
      </c>
      <c r="AE4703" s="2">
        <v>3140.1637874152698</v>
      </c>
      <c r="AF4703" s="2">
        <v>2380.3302010311099</v>
      </c>
      <c r="AG4703" s="2">
        <v>3328.18468597317</v>
      </c>
      <c r="AH4703" s="2">
        <v>2774.1703991736299</v>
      </c>
      <c r="AI4703" s="2">
        <v>2609.5328652095</v>
      </c>
      <c r="AJ4703" s="2">
        <v>2970.9152562674399</v>
      </c>
      <c r="AK4703" s="2">
        <v>1501.8756807294999</v>
      </c>
      <c r="AL4703" s="2">
        <v>1691.0033649955001</v>
      </c>
      <c r="AM4703" s="2">
        <v>2013.7205220958101</v>
      </c>
      <c r="AN4703" s="2">
        <v>1710.9534960615799</v>
      </c>
      <c r="AO4703" s="2">
        <v>1576.5270912794399</v>
      </c>
      <c r="AP4703" s="2">
        <v>1739.2328397492699</v>
      </c>
    </row>
    <row r="4704" spans="1:42" ht="14.5" x14ac:dyDescent="0.35">
      <c r="A4704" s="2" t="s">
        <v>31198</v>
      </c>
      <c r="B4704" s="2">
        <v>275.05360286051098</v>
      </c>
      <c r="C4704" s="2">
        <v>0.71055000000000001</v>
      </c>
      <c r="D4704" s="2" t="s">
        <v>70</v>
      </c>
      <c r="E4704" s="2" t="s">
        <v>31199</v>
      </c>
      <c r="F4704" s="2">
        <v>204209</v>
      </c>
      <c r="G4704" s="3" t="str">
        <f>HYPERLINK("http://funmeta.oebiotech.com/network/204209", "http://funmeta.oebiotech.com/network/204209")</f>
        <v>http://funmeta.oebiotech.com/network/204209</v>
      </c>
      <c r="H4704" s="2" t="s">
        <v>31200</v>
      </c>
      <c r="I4704" s="2"/>
      <c r="J4704" s="2"/>
      <c r="K4704" s="2"/>
      <c r="L4704" s="2"/>
      <c r="M4704" s="2"/>
      <c r="N4704" s="2"/>
      <c r="O4704" s="2"/>
      <c r="P4704" s="2"/>
      <c r="Q4704" s="2" t="s">
        <v>31201</v>
      </c>
      <c r="R4704" s="2" t="s">
        <v>31202</v>
      </c>
      <c r="S4704" s="2" t="s">
        <v>41</v>
      </c>
      <c r="T4704" s="2" t="s">
        <v>41</v>
      </c>
      <c r="U4704" s="2" t="s">
        <v>41</v>
      </c>
      <c r="V4704" s="2" t="s">
        <v>59</v>
      </c>
      <c r="W4704" s="2">
        <v>37.6</v>
      </c>
      <c r="X4704" s="2">
        <v>7.63</v>
      </c>
      <c r="Y4704" s="2" t="s">
        <v>118</v>
      </c>
      <c r="Z4704" s="2" t="s">
        <v>31203</v>
      </c>
      <c r="AA4704" s="2">
        <v>2.3361246235586002</v>
      </c>
      <c r="AB4704" s="2">
        <v>0.12757923327498499</v>
      </c>
      <c r="AC4704" s="2">
        <v>53256.106632625102</v>
      </c>
      <c r="AD4704" s="2">
        <v>48123.3848083138</v>
      </c>
      <c r="AE4704" s="2">
        <v>51592.296720161597</v>
      </c>
      <c r="AF4704" s="2">
        <v>68520.987268331402</v>
      </c>
      <c r="AG4704" s="2">
        <v>34659.888058672499</v>
      </c>
      <c r="AH4704" s="2">
        <v>59173.453638098297</v>
      </c>
      <c r="AI4704" s="2">
        <v>66905.573909399507</v>
      </c>
      <c r="AJ4704" s="2">
        <v>38684.440201087498</v>
      </c>
      <c r="AK4704" s="2">
        <v>40637.159998083698</v>
      </c>
      <c r="AL4704" s="2">
        <v>43203.777344444803</v>
      </c>
      <c r="AM4704" s="2">
        <v>42295.3720564467</v>
      </c>
      <c r="AN4704" s="2">
        <v>59948.966705140898</v>
      </c>
      <c r="AO4704" s="2">
        <v>62702.823457092098</v>
      </c>
      <c r="AP4704" s="2">
        <v>39952.209288674501</v>
      </c>
    </row>
    <row r="4705" spans="1:42" ht="14.5" x14ac:dyDescent="0.35">
      <c r="A4705" s="2" t="s">
        <v>31204</v>
      </c>
      <c r="B4705" s="2">
        <v>396.31068528488498</v>
      </c>
      <c r="C4705" s="2">
        <v>11.3090333333333</v>
      </c>
      <c r="D4705" s="2" t="s">
        <v>34</v>
      </c>
      <c r="E4705" s="2" t="s">
        <v>31205</v>
      </c>
      <c r="F4705" s="2">
        <v>10440</v>
      </c>
      <c r="G4705" s="3" t="str">
        <f>HYPERLINK("http://funmeta.oebiotech.com/network/10440", "http://funmeta.oebiotech.com/network/10440")</f>
        <v>http://funmeta.oebiotech.com/network/10440</v>
      </c>
      <c r="H4705" s="2" t="s">
        <v>31206</v>
      </c>
      <c r="I4705" s="2">
        <v>43423</v>
      </c>
      <c r="J4705" s="2" t="s">
        <v>31207</v>
      </c>
      <c r="K4705" s="2">
        <v>52392</v>
      </c>
      <c r="L4705" s="2" t="s">
        <v>31208</v>
      </c>
      <c r="M4705" s="2" t="s">
        <v>31209</v>
      </c>
      <c r="N4705" s="2" t="s">
        <v>31210</v>
      </c>
      <c r="O4705" s="2">
        <v>5282280</v>
      </c>
      <c r="P4705" s="2" t="s">
        <v>31211</v>
      </c>
      <c r="Q4705" s="2" t="s">
        <v>31212</v>
      </c>
      <c r="R4705" s="2" t="s">
        <v>31213</v>
      </c>
      <c r="S4705" s="2" t="s">
        <v>50</v>
      </c>
      <c r="T4705" s="2" t="s">
        <v>18921</v>
      </c>
      <c r="U4705" s="2" t="s">
        <v>41</v>
      </c>
      <c r="V4705" s="2" t="s">
        <v>59</v>
      </c>
      <c r="W4705" s="2">
        <v>37.9</v>
      </c>
      <c r="X4705" s="2">
        <v>1.41</v>
      </c>
      <c r="Y4705" s="2" t="s">
        <v>43</v>
      </c>
      <c r="Z4705" s="2" t="s">
        <v>18202</v>
      </c>
      <c r="AA4705" s="2">
        <v>-0.39638151641802</v>
      </c>
      <c r="AB4705" s="2">
        <v>0.12757217214352901</v>
      </c>
      <c r="AC4705" s="2">
        <v>1112.1377452137101</v>
      </c>
      <c r="AD4705" s="2">
        <v>2.7106294003980101E-5</v>
      </c>
      <c r="AE4705" s="2">
        <v>1498.6087037884699</v>
      </c>
      <c r="AF4705" s="2">
        <v>1031.76774251091</v>
      </c>
      <c r="AG4705" s="2">
        <v>1032.5024245193999</v>
      </c>
      <c r="AH4705" s="2">
        <v>1217.95524997342</v>
      </c>
      <c r="AI4705" s="2">
        <v>697.21036398681099</v>
      </c>
      <c r="AJ4705" s="2">
        <v>1194.78198650327</v>
      </c>
      <c r="AK4705" s="2">
        <v>2.7106294003980101E-5</v>
      </c>
      <c r="AL4705" s="2">
        <v>2.7106294003980101E-5</v>
      </c>
      <c r="AM4705" s="2">
        <v>2.7106294003980101E-5</v>
      </c>
      <c r="AN4705" s="2">
        <v>2.7106294003980101E-5</v>
      </c>
      <c r="AO4705" s="2">
        <v>2.7106294003980101E-5</v>
      </c>
      <c r="AP4705" s="2">
        <v>2.7106294003980101E-5</v>
      </c>
    </row>
    <row r="4706" spans="1:42" ht="14.5" x14ac:dyDescent="0.35">
      <c r="A4706" s="2" t="s">
        <v>31214</v>
      </c>
      <c r="B4706" s="2">
        <v>425.32573143903699</v>
      </c>
      <c r="C4706" s="2">
        <v>11.3090333333333</v>
      </c>
      <c r="D4706" s="2" t="s">
        <v>34</v>
      </c>
      <c r="E4706" s="2" t="s">
        <v>31215</v>
      </c>
      <c r="F4706" s="2">
        <v>267552</v>
      </c>
      <c r="G4706" s="3" t="str">
        <f>HYPERLINK("http://funmeta.oebiotech.com/network/267552", "http://funmeta.oebiotech.com/network/267552")</f>
        <v>http://funmeta.oebiotech.com/network/267552</v>
      </c>
      <c r="H4706" s="2"/>
      <c r="I4706" s="2">
        <v>45687</v>
      </c>
      <c r="J4706" s="2"/>
      <c r="K4706" s="2"/>
      <c r="L4706" s="2"/>
      <c r="M4706" s="2"/>
      <c r="N4706" s="2"/>
      <c r="O4706" s="2">
        <v>5282175</v>
      </c>
      <c r="P4706" s="2" t="s">
        <v>31216</v>
      </c>
      <c r="Q4706" s="2" t="s">
        <v>31217</v>
      </c>
      <c r="R4706" s="2" t="s">
        <v>31218</v>
      </c>
      <c r="S4706" s="2" t="s">
        <v>50</v>
      </c>
      <c r="T4706" s="2" t="s">
        <v>229</v>
      </c>
      <c r="U4706" s="2" t="s">
        <v>766</v>
      </c>
      <c r="V4706" s="2" t="s">
        <v>59</v>
      </c>
      <c r="W4706" s="2">
        <v>37.299999999999997</v>
      </c>
      <c r="X4706" s="2">
        <v>0</v>
      </c>
      <c r="Y4706" s="2" t="s">
        <v>394</v>
      </c>
      <c r="Z4706" s="2" t="s">
        <v>17054</v>
      </c>
      <c r="AA4706" s="2">
        <v>-0.98864761526732503</v>
      </c>
      <c r="AB4706" s="2">
        <v>0.127556495129099</v>
      </c>
      <c r="AC4706" s="2">
        <v>1340.5543507095899</v>
      </c>
      <c r="AD4706" s="2">
        <v>2628.9639024130302</v>
      </c>
      <c r="AE4706" s="2">
        <v>1456.5834199835199</v>
      </c>
      <c r="AF4706" s="2">
        <v>1492.7579804265099</v>
      </c>
      <c r="AG4706" s="2">
        <v>1384.24039561164</v>
      </c>
      <c r="AH4706" s="2">
        <v>1448.03543737778</v>
      </c>
      <c r="AI4706" s="2">
        <v>1086.1322828078301</v>
      </c>
      <c r="AJ4706" s="2">
        <v>1175.57658805028</v>
      </c>
      <c r="AK4706" s="2">
        <v>2054.8513805849402</v>
      </c>
      <c r="AL4706" s="2">
        <v>3228.8892181541401</v>
      </c>
      <c r="AM4706" s="2">
        <v>1815.45395103128</v>
      </c>
      <c r="AN4706" s="2">
        <v>2743.86352915934</v>
      </c>
      <c r="AO4706" s="2">
        <v>2491.33703329339</v>
      </c>
      <c r="AP4706" s="2">
        <v>3439.3883022550899</v>
      </c>
    </row>
    <row r="4707" spans="1:42" ht="14.5" x14ac:dyDescent="0.35">
      <c r="A4707" s="2" t="s">
        <v>31219</v>
      </c>
      <c r="B4707" s="2">
        <v>413.217954927432</v>
      </c>
      <c r="C4707" s="2">
        <v>2.5589</v>
      </c>
      <c r="D4707" s="2" t="s">
        <v>70</v>
      </c>
      <c r="E4707" s="2" t="s">
        <v>31220</v>
      </c>
      <c r="F4707" s="2">
        <v>52839</v>
      </c>
      <c r="G4707" s="3" t="str">
        <f>HYPERLINK("http://funmeta.oebiotech.com/network/52839", "http://funmeta.oebiotech.com/network/52839")</f>
        <v>http://funmeta.oebiotech.com/network/52839</v>
      </c>
      <c r="H4707" s="2" t="s">
        <v>31221</v>
      </c>
      <c r="I4707" s="2">
        <v>43885</v>
      </c>
      <c r="J4707" s="2"/>
      <c r="K4707" s="2">
        <v>545681</v>
      </c>
      <c r="L4707" s="2" t="s">
        <v>31222</v>
      </c>
      <c r="M4707" s="2"/>
      <c r="N4707" s="2"/>
      <c r="O4707" s="2">
        <v>441314</v>
      </c>
      <c r="P4707" s="2" t="s">
        <v>31223</v>
      </c>
      <c r="Q4707" s="2" t="s">
        <v>31224</v>
      </c>
      <c r="R4707" s="2" t="s">
        <v>31225</v>
      </c>
      <c r="S4707" s="2" t="s">
        <v>491</v>
      </c>
      <c r="T4707" s="2" t="s">
        <v>7584</v>
      </c>
      <c r="U4707" s="2" t="s">
        <v>41</v>
      </c>
      <c r="V4707" s="2" t="s">
        <v>59</v>
      </c>
      <c r="W4707" s="2">
        <v>36</v>
      </c>
      <c r="X4707" s="2">
        <v>0</v>
      </c>
      <c r="Y4707" s="2" t="s">
        <v>560</v>
      </c>
      <c r="Z4707" s="2" t="s">
        <v>31226</v>
      </c>
      <c r="AA4707" s="2">
        <v>9.3816117792338591</v>
      </c>
      <c r="AB4707" s="2">
        <v>0.12744201921726001</v>
      </c>
      <c r="AC4707" s="2">
        <v>2113.1519601487798</v>
      </c>
      <c r="AD4707" s="2">
        <v>1029.1888379765901</v>
      </c>
      <c r="AE4707" s="2">
        <v>2153.10768052406</v>
      </c>
      <c r="AF4707" s="2">
        <v>1921.95475374796</v>
      </c>
      <c r="AG4707" s="2">
        <v>2072.6204956104598</v>
      </c>
      <c r="AH4707" s="2">
        <v>2248.2305663296302</v>
      </c>
      <c r="AI4707" s="2">
        <v>2071.7492159671701</v>
      </c>
      <c r="AJ4707" s="2">
        <v>2211.2490487134201</v>
      </c>
      <c r="AK4707" s="2">
        <v>1098.25564426755</v>
      </c>
      <c r="AL4707" s="2">
        <v>1053.3033000407499</v>
      </c>
      <c r="AM4707" s="2">
        <v>1017.40791939743</v>
      </c>
      <c r="AN4707" s="2">
        <v>1165.9562105290099</v>
      </c>
      <c r="AO4707" s="2">
        <v>925.80168347940003</v>
      </c>
      <c r="AP4707" s="2">
        <v>914.40827014539798</v>
      </c>
    </row>
    <row r="4708" spans="1:42" ht="14.5" x14ac:dyDescent="0.35">
      <c r="A4708" s="2" t="s">
        <v>31227</v>
      </c>
      <c r="B4708" s="2">
        <v>277.200843754402</v>
      </c>
      <c r="C4708" s="2">
        <v>4.7186333333333303</v>
      </c>
      <c r="D4708" s="2" t="s">
        <v>34</v>
      </c>
      <c r="E4708" s="2" t="s">
        <v>31228</v>
      </c>
      <c r="F4708" s="2">
        <v>53316</v>
      </c>
      <c r="G4708" s="3" t="str">
        <f>HYPERLINK("http://funmeta.oebiotech.com/network/53316", "http://funmeta.oebiotech.com/network/53316")</f>
        <v>http://funmeta.oebiotech.com/network/53316</v>
      </c>
      <c r="H4708" s="2" t="s">
        <v>31229</v>
      </c>
      <c r="I4708" s="2">
        <v>2078</v>
      </c>
      <c r="J4708" s="2"/>
      <c r="K4708" s="2">
        <v>8405</v>
      </c>
      <c r="L4708" s="2" t="s">
        <v>31230</v>
      </c>
      <c r="M4708" s="2"/>
      <c r="N4708" s="2"/>
      <c r="O4708" s="2">
        <v>4908</v>
      </c>
      <c r="P4708" s="2" t="s">
        <v>31231</v>
      </c>
      <c r="Q4708" s="2" t="s">
        <v>31232</v>
      </c>
      <c r="R4708" s="2" t="s">
        <v>31233</v>
      </c>
      <c r="S4708" s="2" t="s">
        <v>491</v>
      </c>
      <c r="T4708" s="2" t="s">
        <v>1516</v>
      </c>
      <c r="U4708" s="2" t="s">
        <v>24452</v>
      </c>
      <c r="V4708" s="2" t="s">
        <v>59</v>
      </c>
      <c r="W4708" s="2">
        <v>37.6</v>
      </c>
      <c r="X4708" s="2">
        <v>0</v>
      </c>
      <c r="Y4708" s="2" t="s">
        <v>43</v>
      </c>
      <c r="Z4708" s="2" t="s">
        <v>31234</v>
      </c>
      <c r="AA4708" s="2">
        <v>-5.5719859414556403</v>
      </c>
      <c r="AB4708" s="2">
        <v>0.12737948704433599</v>
      </c>
      <c r="AC4708" s="2">
        <v>2162.2732322452498</v>
      </c>
      <c r="AD4708" s="2">
        <v>3332.9632957716399</v>
      </c>
      <c r="AE4708" s="2">
        <v>1893.95552959464</v>
      </c>
      <c r="AF4708" s="2">
        <v>1948.28664606743</v>
      </c>
      <c r="AG4708" s="2">
        <v>2100.5406428965298</v>
      </c>
      <c r="AH4708" s="2">
        <v>2252.3042136920399</v>
      </c>
      <c r="AI4708" s="2">
        <v>2182.9277104788498</v>
      </c>
      <c r="AJ4708" s="2">
        <v>2595.6246507420001</v>
      </c>
      <c r="AK4708" s="2">
        <v>3803.06626086303</v>
      </c>
      <c r="AL4708" s="2">
        <v>3342.9158485525099</v>
      </c>
      <c r="AM4708" s="2">
        <v>3246.5193174515798</v>
      </c>
      <c r="AN4708" s="2">
        <v>2809.9227208883899</v>
      </c>
      <c r="AO4708" s="2">
        <v>3497.88228921465</v>
      </c>
      <c r="AP4708" s="2">
        <v>3297.4733376597001</v>
      </c>
    </row>
    <row r="4709" spans="1:42" ht="14.5" x14ac:dyDescent="0.35">
      <c r="A4709" s="2" t="s">
        <v>31235</v>
      </c>
      <c r="B4709" s="2">
        <v>683.17966573602496</v>
      </c>
      <c r="C4709" s="2">
        <v>3.4452333333333298</v>
      </c>
      <c r="D4709" s="2" t="s">
        <v>70</v>
      </c>
      <c r="E4709" s="2" t="s">
        <v>31236</v>
      </c>
      <c r="F4709" s="2">
        <v>58358</v>
      </c>
      <c r="G4709" s="3" t="str">
        <f>HYPERLINK("http://funmeta.oebiotech.com/network/58358", "http://funmeta.oebiotech.com/network/58358")</f>
        <v>http://funmeta.oebiotech.com/network/58358</v>
      </c>
      <c r="H4709" s="2" t="s">
        <v>31237</v>
      </c>
      <c r="I4709" s="2">
        <v>89842</v>
      </c>
      <c r="J4709" s="2"/>
      <c r="K4709" s="2">
        <v>143038</v>
      </c>
      <c r="L4709" s="2"/>
      <c r="M4709" s="2"/>
      <c r="N4709" s="2"/>
      <c r="O4709" s="2">
        <v>6148082</v>
      </c>
      <c r="P4709" s="2" t="s">
        <v>31238</v>
      </c>
      <c r="Q4709" s="2" t="s">
        <v>31239</v>
      </c>
      <c r="R4709" s="2" t="s">
        <v>31240</v>
      </c>
      <c r="S4709" s="2" t="s">
        <v>79</v>
      </c>
      <c r="T4709" s="2" t="s">
        <v>80</v>
      </c>
      <c r="U4709" s="2" t="s">
        <v>81</v>
      </c>
      <c r="V4709" s="2" t="s">
        <v>59</v>
      </c>
      <c r="W4709" s="2">
        <v>37.799999999999997</v>
      </c>
      <c r="X4709" s="2">
        <v>0</v>
      </c>
      <c r="Y4709" s="2" t="s">
        <v>560</v>
      </c>
      <c r="Z4709" s="2" t="s">
        <v>6476</v>
      </c>
      <c r="AA4709" s="2">
        <v>-4.7094196082422402</v>
      </c>
      <c r="AB4709" s="2">
        <v>0.127334328874599</v>
      </c>
      <c r="AC4709" s="2">
        <v>21753.619192157199</v>
      </c>
      <c r="AD4709" s="2">
        <v>18702.822963248698</v>
      </c>
      <c r="AE4709" s="2">
        <v>17504.001166578801</v>
      </c>
      <c r="AF4709" s="2">
        <v>19964.520039873001</v>
      </c>
      <c r="AG4709" s="2">
        <v>18812.077537613201</v>
      </c>
      <c r="AH4709" s="2">
        <v>17087.407898348501</v>
      </c>
      <c r="AI4709" s="2">
        <v>25332.1858947816</v>
      </c>
      <c r="AJ4709" s="2">
        <v>31821.522615748301</v>
      </c>
      <c r="AK4709" s="2">
        <v>21125.406956783801</v>
      </c>
      <c r="AL4709" s="2">
        <v>18144.735032796201</v>
      </c>
      <c r="AM4709" s="2">
        <v>16532.425882292198</v>
      </c>
      <c r="AN4709" s="2">
        <v>21531.526606315299</v>
      </c>
      <c r="AO4709" s="2">
        <v>16141.5210783399</v>
      </c>
      <c r="AP4709" s="2">
        <v>18741.322222964602</v>
      </c>
    </row>
    <row r="4710" spans="1:42" ht="14.5" x14ac:dyDescent="0.35">
      <c r="A4710" s="2" t="s">
        <v>31241</v>
      </c>
      <c r="B4710" s="2">
        <v>294.127833820842</v>
      </c>
      <c r="C4710" s="2">
        <v>3.7155666666666698</v>
      </c>
      <c r="D4710" s="2" t="s">
        <v>34</v>
      </c>
      <c r="E4710" s="2" t="s">
        <v>31242</v>
      </c>
      <c r="F4710" s="2">
        <v>53853</v>
      </c>
      <c r="G4710" s="3" t="str">
        <f>HYPERLINK("http://funmeta.oebiotech.com/network/53853", "http://funmeta.oebiotech.com/network/53853")</f>
        <v>http://funmeta.oebiotech.com/network/53853</v>
      </c>
      <c r="H4710" s="2" t="s">
        <v>31243</v>
      </c>
      <c r="I4710" s="2">
        <v>23946</v>
      </c>
      <c r="J4710" s="2"/>
      <c r="K4710" s="2">
        <v>5390</v>
      </c>
      <c r="L4710" s="2" t="s">
        <v>31244</v>
      </c>
      <c r="M4710" s="2"/>
      <c r="N4710" s="2"/>
      <c r="O4710" s="2">
        <v>439500</v>
      </c>
      <c r="P4710" s="2" t="s">
        <v>31245</v>
      </c>
      <c r="Q4710" s="2" t="s">
        <v>31246</v>
      </c>
      <c r="R4710" s="2" t="s">
        <v>31247</v>
      </c>
      <c r="S4710" s="2" t="s">
        <v>89</v>
      </c>
      <c r="T4710" s="2" t="s">
        <v>90</v>
      </c>
      <c r="U4710" s="2" t="s">
        <v>99</v>
      </c>
      <c r="V4710" s="2" t="s">
        <v>59</v>
      </c>
      <c r="W4710" s="2">
        <v>36.299999999999997</v>
      </c>
      <c r="X4710" s="2">
        <v>0</v>
      </c>
      <c r="Y4710" s="2" t="s">
        <v>43</v>
      </c>
      <c r="Z4710" s="2" t="s">
        <v>31248</v>
      </c>
      <c r="AA4710" s="2">
        <v>-6.31146547206232</v>
      </c>
      <c r="AB4710" s="2">
        <v>0.12731716311800301</v>
      </c>
      <c r="AC4710" s="2">
        <v>1664.3167599491901</v>
      </c>
      <c r="AD4710" s="2">
        <v>496.280178384419</v>
      </c>
      <c r="AE4710" s="2">
        <v>2262.85783190542</v>
      </c>
      <c r="AF4710" s="2">
        <v>1811.4664082945801</v>
      </c>
      <c r="AG4710" s="2">
        <v>1479.7401772948499</v>
      </c>
      <c r="AH4710" s="2">
        <v>1335.40072340353</v>
      </c>
      <c r="AI4710" s="2">
        <v>1742.2568379458801</v>
      </c>
      <c r="AJ4710" s="2">
        <v>1354.1785808509001</v>
      </c>
      <c r="AK4710" s="2">
        <v>245.06310092568199</v>
      </c>
      <c r="AL4710" s="2">
        <v>290.56698783337498</v>
      </c>
      <c r="AM4710" s="2">
        <v>652.28447941855904</v>
      </c>
      <c r="AN4710" s="2">
        <v>661.38235425866003</v>
      </c>
      <c r="AO4710" s="2">
        <v>692.15664599934598</v>
      </c>
      <c r="AP4710" s="2">
        <v>436.22750187089201</v>
      </c>
    </row>
    <row r="4711" spans="1:42" ht="14.5" x14ac:dyDescent="0.35">
      <c r="A4711" s="2" t="s">
        <v>31249</v>
      </c>
      <c r="B4711" s="2">
        <v>335.222756931177</v>
      </c>
      <c r="C4711" s="2">
        <v>8.5837666666666692</v>
      </c>
      <c r="D4711" s="2" t="s">
        <v>70</v>
      </c>
      <c r="E4711" s="2" t="s">
        <v>31250</v>
      </c>
      <c r="F4711" s="2">
        <v>1196</v>
      </c>
      <c r="G4711" s="3" t="str">
        <f>HYPERLINK("http://funmeta.oebiotech.com/network/1196", "http://funmeta.oebiotech.com/network/1196")</f>
        <v>http://funmeta.oebiotech.com/network/1196</v>
      </c>
      <c r="H4711" s="2"/>
      <c r="I4711" s="2">
        <v>45790</v>
      </c>
      <c r="J4711" s="2" t="s">
        <v>31251</v>
      </c>
      <c r="K4711" s="2">
        <v>67264</v>
      </c>
      <c r="L4711" s="2" t="s">
        <v>31252</v>
      </c>
      <c r="M4711" s="2" t="s">
        <v>31253</v>
      </c>
      <c r="N4711" s="2" t="s">
        <v>31254</v>
      </c>
      <c r="O4711" s="2">
        <v>5275520</v>
      </c>
      <c r="P4711" s="2"/>
      <c r="Q4711" s="2" t="s">
        <v>31255</v>
      </c>
      <c r="R4711" s="2" t="s">
        <v>31256</v>
      </c>
      <c r="S4711" s="2" t="s">
        <v>50</v>
      </c>
      <c r="T4711" s="2" t="s">
        <v>201</v>
      </c>
      <c r="U4711" s="2" t="s">
        <v>265</v>
      </c>
      <c r="V4711" s="2" t="s">
        <v>59</v>
      </c>
      <c r="W4711" s="2">
        <v>39.5</v>
      </c>
      <c r="X4711" s="2">
        <v>0</v>
      </c>
      <c r="Y4711" s="2" t="s">
        <v>560</v>
      </c>
      <c r="Z4711" s="2" t="s">
        <v>31257</v>
      </c>
      <c r="AA4711" s="2">
        <v>-7.7748262410273702E-2</v>
      </c>
      <c r="AB4711" s="2">
        <v>0.12727160402269799</v>
      </c>
      <c r="AC4711" s="2">
        <v>720.42646449754295</v>
      </c>
      <c r="AD4711" s="2">
        <v>2117.2138476446198</v>
      </c>
      <c r="AE4711" s="2">
        <v>717.03745014625201</v>
      </c>
      <c r="AF4711" s="2">
        <v>671.24030264853104</v>
      </c>
      <c r="AG4711" s="2">
        <v>920.94224954068</v>
      </c>
      <c r="AH4711" s="2">
        <v>858.69837811969501</v>
      </c>
      <c r="AI4711" s="2">
        <v>516.31827377998502</v>
      </c>
      <c r="AJ4711" s="2">
        <v>638.32213275011497</v>
      </c>
      <c r="AK4711" s="2">
        <v>1421.8867439457799</v>
      </c>
      <c r="AL4711" s="2">
        <v>1780.70848945131</v>
      </c>
      <c r="AM4711" s="2">
        <v>1888.02310768086</v>
      </c>
      <c r="AN4711" s="2">
        <v>2377.6139366734301</v>
      </c>
      <c r="AO4711" s="2">
        <v>3836.8904273503599</v>
      </c>
      <c r="AP4711" s="2">
        <v>1398.1603807660099</v>
      </c>
    </row>
    <row r="4712" spans="1:42" ht="14.5" x14ac:dyDescent="0.35">
      <c r="A4712" s="2" t="s">
        <v>31258</v>
      </c>
      <c r="B4712" s="2">
        <v>354.98969575364299</v>
      </c>
      <c r="C4712" s="2">
        <v>1.22268333333333</v>
      </c>
      <c r="D4712" s="2" t="s">
        <v>70</v>
      </c>
      <c r="E4712" s="2" t="s">
        <v>31259</v>
      </c>
      <c r="F4712" s="2">
        <v>57458</v>
      </c>
      <c r="G4712" s="3" t="str">
        <f>HYPERLINK("http://funmeta.oebiotech.com/network/57458", "http://funmeta.oebiotech.com/network/57458")</f>
        <v>http://funmeta.oebiotech.com/network/57458</v>
      </c>
      <c r="H4712" s="2" t="s">
        <v>31260</v>
      </c>
      <c r="I4712" s="2">
        <v>73038</v>
      </c>
      <c r="J4712" s="2"/>
      <c r="K4712" s="2"/>
      <c r="L4712" s="2" t="s">
        <v>31261</v>
      </c>
      <c r="M4712" s="2"/>
      <c r="N4712" s="2"/>
      <c r="O4712" s="2">
        <v>47364</v>
      </c>
      <c r="P4712" s="2" t="s">
        <v>31262</v>
      </c>
      <c r="Q4712" s="2" t="s">
        <v>31263</v>
      </c>
      <c r="R4712" s="2" t="s">
        <v>31264</v>
      </c>
      <c r="S4712" s="2" t="s">
        <v>2084</v>
      </c>
      <c r="T4712" s="2" t="s">
        <v>2085</v>
      </c>
      <c r="U4712" s="2" t="s">
        <v>2086</v>
      </c>
      <c r="V4712" s="2" t="s">
        <v>59</v>
      </c>
      <c r="W4712" s="2">
        <v>38.1</v>
      </c>
      <c r="X4712" s="2">
        <v>0</v>
      </c>
      <c r="Y4712" s="2" t="s">
        <v>560</v>
      </c>
      <c r="Z4712" s="2" t="s">
        <v>31265</v>
      </c>
      <c r="AA4712" s="2">
        <v>5.5337907850733101</v>
      </c>
      <c r="AB4712" s="2">
        <v>0.127267314763331</v>
      </c>
      <c r="AC4712" s="2">
        <v>788.48962387772201</v>
      </c>
      <c r="AD4712" s="2">
        <v>4088.4965807436702</v>
      </c>
      <c r="AE4712" s="2">
        <v>960.77143747349703</v>
      </c>
      <c r="AF4712" s="2">
        <v>816.62039468406294</v>
      </c>
      <c r="AG4712" s="2">
        <v>670.37421991292899</v>
      </c>
      <c r="AH4712" s="2">
        <v>887.99734991144396</v>
      </c>
      <c r="AI4712" s="2">
        <v>773.60107513045</v>
      </c>
      <c r="AJ4712" s="2">
        <v>621.57326615394697</v>
      </c>
      <c r="AK4712" s="2">
        <v>975.13443211734102</v>
      </c>
      <c r="AL4712" s="2">
        <v>1427.0852529994399</v>
      </c>
      <c r="AM4712" s="2">
        <v>19620.214105642099</v>
      </c>
      <c r="AN4712" s="2">
        <v>790.77591328373398</v>
      </c>
      <c r="AO4712" s="2">
        <v>959.96073671981605</v>
      </c>
      <c r="AP4712" s="2">
        <v>757.80904369955999</v>
      </c>
    </row>
    <row r="4713" spans="1:42" ht="14.5" x14ac:dyDescent="0.35">
      <c r="A4713" s="2" t="s">
        <v>31266</v>
      </c>
      <c r="B4713" s="2">
        <v>479.11827497246998</v>
      </c>
      <c r="C4713" s="2">
        <v>4.8488333333333298</v>
      </c>
      <c r="D4713" s="2" t="s">
        <v>34</v>
      </c>
      <c r="E4713" s="2" t="s">
        <v>31267</v>
      </c>
      <c r="F4713" s="2">
        <v>47665</v>
      </c>
      <c r="G4713" s="3" t="str">
        <f>HYPERLINK("http://funmeta.oebiotech.com/network/47665", "http://funmeta.oebiotech.com/network/47665")</f>
        <v>http://funmeta.oebiotech.com/network/47665</v>
      </c>
      <c r="H4713" s="2" t="s">
        <v>31268</v>
      </c>
      <c r="I4713" s="2">
        <v>6341</v>
      </c>
      <c r="J4713" s="2"/>
      <c r="K4713" s="2">
        <v>108080</v>
      </c>
      <c r="L4713" s="2" t="s">
        <v>31269</v>
      </c>
      <c r="M4713" s="2" t="s">
        <v>31270</v>
      </c>
      <c r="N4713" s="2" t="s">
        <v>31271</v>
      </c>
      <c r="O4713" s="2">
        <v>2154</v>
      </c>
      <c r="P4713" s="2" t="s">
        <v>31272</v>
      </c>
      <c r="Q4713" s="2" t="s">
        <v>31273</v>
      </c>
      <c r="R4713" s="2" t="s">
        <v>31274</v>
      </c>
      <c r="S4713" s="2" t="s">
        <v>491</v>
      </c>
      <c r="T4713" s="2" t="s">
        <v>4914</v>
      </c>
      <c r="U4713" s="2" t="s">
        <v>4915</v>
      </c>
      <c r="V4713" s="2" t="s">
        <v>59</v>
      </c>
      <c r="W4713" s="2">
        <v>38.1</v>
      </c>
      <c r="X4713" s="2">
        <v>0</v>
      </c>
      <c r="Y4713" s="2" t="s">
        <v>340</v>
      </c>
      <c r="Z4713" s="2" t="s">
        <v>31275</v>
      </c>
      <c r="AA4713" s="2">
        <v>-1.2470250251177699</v>
      </c>
      <c r="AB4713" s="2">
        <v>0.127209145391877</v>
      </c>
      <c r="AC4713" s="2">
        <v>28237.908567783801</v>
      </c>
      <c r="AD4713" s="2">
        <v>30185.013124910001</v>
      </c>
      <c r="AE4713" s="2">
        <v>27061.9158539157</v>
      </c>
      <c r="AF4713" s="2">
        <v>28065.2339512176</v>
      </c>
      <c r="AG4713" s="2">
        <v>28044.223587372398</v>
      </c>
      <c r="AH4713" s="2">
        <v>25530.995008600599</v>
      </c>
      <c r="AI4713" s="2">
        <v>31753.795689460701</v>
      </c>
      <c r="AJ4713" s="2">
        <v>28971.287316135898</v>
      </c>
      <c r="AK4713" s="2">
        <v>30865.2069203463</v>
      </c>
      <c r="AL4713" s="2">
        <v>32005.895482227599</v>
      </c>
      <c r="AM4713" s="2">
        <v>29673.6309129888</v>
      </c>
      <c r="AN4713" s="2">
        <v>30019.168175731302</v>
      </c>
      <c r="AO4713" s="2">
        <v>29928.457914521401</v>
      </c>
      <c r="AP4713" s="2">
        <v>28617.7193436446</v>
      </c>
    </row>
    <row r="4714" spans="1:42" ht="14.5" x14ac:dyDescent="0.35">
      <c r="A4714" s="2" t="s">
        <v>31276</v>
      </c>
      <c r="B4714" s="2">
        <v>285.20700732343499</v>
      </c>
      <c r="C4714" s="2">
        <v>9.1537000000000006</v>
      </c>
      <c r="D4714" s="2" t="s">
        <v>70</v>
      </c>
      <c r="E4714" s="2" t="s">
        <v>31277</v>
      </c>
      <c r="F4714" s="2">
        <v>257256</v>
      </c>
      <c r="G4714" s="3" t="str">
        <f>HYPERLINK("http://funmeta.oebiotech.com/network/257256", "http://funmeta.oebiotech.com/network/257256")</f>
        <v>http://funmeta.oebiotech.com/network/257256</v>
      </c>
      <c r="H4714" s="2" t="s">
        <v>31278</v>
      </c>
      <c r="I4714" s="2"/>
      <c r="J4714" s="2"/>
      <c r="K4714" s="2">
        <v>25646</v>
      </c>
      <c r="L4714" s="2"/>
      <c r="M4714" s="2"/>
      <c r="N4714" s="2"/>
      <c r="O4714" s="2">
        <v>119389</v>
      </c>
      <c r="P4714" s="2"/>
      <c r="Q4714" s="2" t="s">
        <v>31279</v>
      </c>
      <c r="R4714" s="2" t="s">
        <v>31280</v>
      </c>
      <c r="S4714" s="2" t="s">
        <v>50</v>
      </c>
      <c r="T4714" s="2" t="s">
        <v>229</v>
      </c>
      <c r="U4714" s="2" t="s">
        <v>433</v>
      </c>
      <c r="V4714" s="2" t="s">
        <v>59</v>
      </c>
      <c r="W4714" s="2">
        <v>39.700000000000003</v>
      </c>
      <c r="X4714" s="2">
        <v>0</v>
      </c>
      <c r="Y4714" s="2" t="s">
        <v>560</v>
      </c>
      <c r="Z4714" s="2" t="s">
        <v>31281</v>
      </c>
      <c r="AA4714" s="2">
        <v>-0.439128503902876</v>
      </c>
      <c r="AB4714" s="2">
        <v>0.12712085416333799</v>
      </c>
      <c r="AC4714" s="2">
        <v>5848.9965069829204</v>
      </c>
      <c r="AD4714" s="2">
        <v>7048.2150538542201</v>
      </c>
      <c r="AE4714" s="2">
        <v>5488.36697254709</v>
      </c>
      <c r="AF4714" s="2">
        <v>5802.7750362056404</v>
      </c>
      <c r="AG4714" s="2">
        <v>5773.7658286094502</v>
      </c>
      <c r="AH4714" s="2">
        <v>6228.1987017607398</v>
      </c>
      <c r="AI4714" s="2">
        <v>6181.0421035773497</v>
      </c>
      <c r="AJ4714" s="2">
        <v>5619.8303991972598</v>
      </c>
      <c r="AK4714" s="2">
        <v>7362.79371872088</v>
      </c>
      <c r="AL4714" s="2">
        <v>6443.5821913473501</v>
      </c>
      <c r="AM4714" s="2">
        <v>7075.7337575326401</v>
      </c>
      <c r="AN4714" s="2">
        <v>7523.0460614461099</v>
      </c>
      <c r="AO4714" s="2">
        <v>6684.7622600696004</v>
      </c>
      <c r="AP4714" s="2">
        <v>7199.3723340087499</v>
      </c>
    </row>
    <row r="4715" spans="1:42" ht="14.5" x14ac:dyDescent="0.35">
      <c r="A4715" s="2" t="s">
        <v>31282</v>
      </c>
      <c r="B4715" s="2">
        <v>233.18990168274101</v>
      </c>
      <c r="C4715" s="2">
        <v>9.5044666666666693</v>
      </c>
      <c r="D4715" s="2" t="s">
        <v>34</v>
      </c>
      <c r="E4715" s="2" t="s">
        <v>31283</v>
      </c>
      <c r="F4715" s="2">
        <v>54605</v>
      </c>
      <c r="G4715" s="3" t="str">
        <f>HYPERLINK("http://funmeta.oebiotech.com/network/54605", "http://funmeta.oebiotech.com/network/54605")</f>
        <v>http://funmeta.oebiotech.com/network/54605</v>
      </c>
      <c r="H4715" s="2" t="s">
        <v>31284</v>
      </c>
      <c r="I4715" s="2">
        <v>86435</v>
      </c>
      <c r="J4715" s="2"/>
      <c r="K4715" s="2"/>
      <c r="L4715" s="2"/>
      <c r="M4715" s="2"/>
      <c r="N4715" s="2"/>
      <c r="O4715" s="2">
        <v>5365976</v>
      </c>
      <c r="P4715" s="2" t="s">
        <v>31285</v>
      </c>
      <c r="Q4715" s="2" t="s">
        <v>31286</v>
      </c>
      <c r="R4715" s="2" t="s">
        <v>31287</v>
      </c>
      <c r="S4715" s="2" t="s">
        <v>50</v>
      </c>
      <c r="T4715" s="2" t="s">
        <v>201</v>
      </c>
      <c r="U4715" s="2" t="s">
        <v>636</v>
      </c>
      <c r="V4715" s="2" t="s">
        <v>59</v>
      </c>
      <c r="W4715" s="2">
        <v>39.1</v>
      </c>
      <c r="X4715" s="2">
        <v>0</v>
      </c>
      <c r="Y4715" s="2" t="s">
        <v>266</v>
      </c>
      <c r="Z4715" s="2" t="s">
        <v>31288</v>
      </c>
      <c r="AA4715" s="2">
        <v>-0.38822226332957299</v>
      </c>
      <c r="AB4715" s="2">
        <v>0.127053084841634</v>
      </c>
      <c r="AC4715" s="2">
        <v>2739.9894006663499</v>
      </c>
      <c r="AD4715" s="2">
        <v>1668.7403215168499</v>
      </c>
      <c r="AE4715" s="2">
        <v>2880.5665139530001</v>
      </c>
      <c r="AF4715" s="2">
        <v>2709.7383421007899</v>
      </c>
      <c r="AG4715" s="2">
        <v>2631.7360654856702</v>
      </c>
      <c r="AH4715" s="2">
        <v>2842.9126338197202</v>
      </c>
      <c r="AI4715" s="2">
        <v>2609.8553922106898</v>
      </c>
      <c r="AJ4715" s="2">
        <v>2765.1274564282098</v>
      </c>
      <c r="AK4715" s="2">
        <v>1649.18927284292</v>
      </c>
      <c r="AL4715" s="2">
        <v>1578.0416581617701</v>
      </c>
      <c r="AM4715" s="2">
        <v>1640.4372151518601</v>
      </c>
      <c r="AN4715" s="2">
        <v>1747.64869127568</v>
      </c>
      <c r="AO4715" s="2">
        <v>1743.22890259163</v>
      </c>
      <c r="AP4715" s="2">
        <v>1653.89618907726</v>
      </c>
    </row>
    <row r="4716" spans="1:42" ht="14.5" x14ac:dyDescent="0.35">
      <c r="A4716" s="2" t="s">
        <v>31289</v>
      </c>
      <c r="B4716" s="2">
        <v>353.229548566228</v>
      </c>
      <c r="C4716" s="2">
        <v>10.851416666666699</v>
      </c>
      <c r="D4716" s="2" t="s">
        <v>34</v>
      </c>
      <c r="E4716" s="2" t="s">
        <v>31290</v>
      </c>
      <c r="F4716" s="2">
        <v>1994</v>
      </c>
      <c r="G4716" s="3" t="str">
        <f>HYPERLINK("http://funmeta.oebiotech.com/network/1994", "http://funmeta.oebiotech.com/network/1994")</f>
        <v>http://funmeta.oebiotech.com/network/1994</v>
      </c>
      <c r="H4716" s="2"/>
      <c r="I4716" s="2"/>
      <c r="J4716" s="2" t="s">
        <v>31291</v>
      </c>
      <c r="K4716" s="2"/>
      <c r="L4716" s="2"/>
      <c r="M4716" s="2"/>
      <c r="N4716" s="2"/>
      <c r="O4716" s="2">
        <v>134812112</v>
      </c>
      <c r="P4716" s="2"/>
      <c r="Q4716" s="2" t="s">
        <v>31292</v>
      </c>
      <c r="R4716" s="2" t="s">
        <v>31293</v>
      </c>
      <c r="S4716" s="2" t="s">
        <v>50</v>
      </c>
      <c r="T4716" s="2" t="s">
        <v>229</v>
      </c>
      <c r="U4716" s="2" t="s">
        <v>433</v>
      </c>
      <c r="V4716" s="2" t="s">
        <v>59</v>
      </c>
      <c r="W4716" s="2">
        <v>39.200000000000003</v>
      </c>
      <c r="X4716" s="2">
        <v>1.2</v>
      </c>
      <c r="Y4716" s="2" t="s">
        <v>242</v>
      </c>
      <c r="Z4716" s="2" t="s">
        <v>27016</v>
      </c>
      <c r="AA4716" s="2">
        <v>-0.89723047435473402</v>
      </c>
      <c r="AB4716" s="2">
        <v>0.126953336157416</v>
      </c>
      <c r="AC4716" s="2">
        <v>39185.618719297301</v>
      </c>
      <c r="AD4716" s="2">
        <v>33097.041543031402</v>
      </c>
      <c r="AE4716" s="2">
        <v>25282.921856490098</v>
      </c>
      <c r="AF4716" s="2">
        <v>42358.839354434</v>
      </c>
      <c r="AG4716" s="2">
        <v>63289.864179841898</v>
      </c>
      <c r="AH4716" s="2">
        <v>16450.750662992701</v>
      </c>
      <c r="AI4716" s="2">
        <v>65054.559102612802</v>
      </c>
      <c r="AJ4716" s="2">
        <v>22676.777159412399</v>
      </c>
      <c r="AK4716" s="2">
        <v>27181.829959457798</v>
      </c>
      <c r="AL4716" s="2">
        <v>31478.312388933598</v>
      </c>
      <c r="AM4716" s="2">
        <v>21533.592899614199</v>
      </c>
      <c r="AN4716" s="2">
        <v>25614.571222537201</v>
      </c>
      <c r="AO4716" s="2">
        <v>29549.366619136799</v>
      </c>
      <c r="AP4716" s="2">
        <v>63224.576168508502</v>
      </c>
    </row>
    <row r="4717" spans="1:42" ht="14.5" x14ac:dyDescent="0.35">
      <c r="A4717" s="2" t="s">
        <v>31294</v>
      </c>
      <c r="B4717" s="2">
        <v>271.022178922492</v>
      </c>
      <c r="C4717" s="2">
        <v>0.98194999999999999</v>
      </c>
      <c r="D4717" s="2" t="s">
        <v>70</v>
      </c>
      <c r="E4717" s="2" t="s">
        <v>31295</v>
      </c>
      <c r="F4717" s="2">
        <v>200406</v>
      </c>
      <c r="G4717" s="3" t="str">
        <f>HYPERLINK("http://funmeta.oebiotech.com/network/200406", "http://funmeta.oebiotech.com/network/200406")</f>
        <v>http://funmeta.oebiotech.com/network/200406</v>
      </c>
      <c r="H4717" s="2" t="s">
        <v>31296</v>
      </c>
      <c r="I4717" s="2"/>
      <c r="J4717" s="2"/>
      <c r="K4717" s="2"/>
      <c r="L4717" s="2"/>
      <c r="M4717" s="2"/>
      <c r="N4717" s="2"/>
      <c r="O4717" s="2">
        <v>10130754</v>
      </c>
      <c r="P4717" s="2"/>
      <c r="Q4717" s="2" t="s">
        <v>31297</v>
      </c>
      <c r="R4717" s="2" t="s">
        <v>31298</v>
      </c>
      <c r="S4717" s="2" t="s">
        <v>89</v>
      </c>
      <c r="T4717" s="2" t="s">
        <v>90</v>
      </c>
      <c r="U4717" s="2" t="s">
        <v>22612</v>
      </c>
      <c r="V4717" s="2" t="s">
        <v>59</v>
      </c>
      <c r="W4717" s="2">
        <v>39.299999999999997</v>
      </c>
      <c r="X4717" s="2">
        <v>0</v>
      </c>
      <c r="Y4717" s="2" t="s">
        <v>408</v>
      </c>
      <c r="Z4717" s="2" t="s">
        <v>31299</v>
      </c>
      <c r="AA4717" s="2">
        <v>-1.1647741817983199</v>
      </c>
      <c r="AB4717" s="2">
        <v>0.126907879825607</v>
      </c>
      <c r="AC4717" s="2">
        <v>3889.2932254319899</v>
      </c>
      <c r="AD4717" s="2">
        <v>5195.6752159498201</v>
      </c>
      <c r="AE4717" s="2">
        <v>3880.96572727591</v>
      </c>
      <c r="AF4717" s="2">
        <v>4094.3626356209202</v>
      </c>
      <c r="AG4717" s="2">
        <v>4090.0677773129501</v>
      </c>
      <c r="AH4717" s="2">
        <v>4489.2240994584799</v>
      </c>
      <c r="AI4717" s="2">
        <v>3814.1189088557699</v>
      </c>
      <c r="AJ4717" s="2">
        <v>2967.0202040679101</v>
      </c>
      <c r="AK4717" s="2">
        <v>5181.8325459191001</v>
      </c>
      <c r="AL4717" s="2">
        <v>5918.4860797566998</v>
      </c>
      <c r="AM4717" s="2">
        <v>4947.9985571323996</v>
      </c>
      <c r="AN4717" s="2">
        <v>5369.2147705936104</v>
      </c>
      <c r="AO4717" s="2">
        <v>5399.2249955331999</v>
      </c>
      <c r="AP4717" s="2">
        <v>4357.2943467639197</v>
      </c>
    </row>
    <row r="4718" spans="1:42" ht="14.5" x14ac:dyDescent="0.35">
      <c r="A4718" s="2" t="s">
        <v>31300</v>
      </c>
      <c r="B4718" s="2">
        <v>261.05276560334698</v>
      </c>
      <c r="C4718" s="2">
        <v>1.22268333333333</v>
      </c>
      <c r="D4718" s="2" t="s">
        <v>70</v>
      </c>
      <c r="E4718" s="2" t="s">
        <v>31301</v>
      </c>
      <c r="F4718" s="2">
        <v>82298</v>
      </c>
      <c r="G4718" s="3" t="str">
        <f>HYPERLINK("http://funmeta.oebiotech.com/network/82298", "http://funmeta.oebiotech.com/network/82298")</f>
        <v>http://funmeta.oebiotech.com/network/82298</v>
      </c>
      <c r="H4718" s="2" t="s">
        <v>31302</v>
      </c>
      <c r="I4718" s="2">
        <v>71273</v>
      </c>
      <c r="J4718" s="2"/>
      <c r="K4718" s="2">
        <v>40154</v>
      </c>
      <c r="L4718" s="2" t="s">
        <v>31303</v>
      </c>
      <c r="M4718" s="2" t="s">
        <v>17102</v>
      </c>
      <c r="N4718" s="2" t="s">
        <v>17103</v>
      </c>
      <c r="O4718" s="2">
        <v>9427</v>
      </c>
      <c r="P4718" s="2" t="s">
        <v>31304</v>
      </c>
      <c r="Q4718" s="2" t="s">
        <v>31305</v>
      </c>
      <c r="R4718" s="2" t="s">
        <v>31306</v>
      </c>
      <c r="S4718" s="2" t="s">
        <v>1444</v>
      </c>
      <c r="T4718" s="2" t="s">
        <v>10689</v>
      </c>
      <c r="U4718" s="2" t="s">
        <v>41</v>
      </c>
      <c r="V4718" s="2" t="s">
        <v>59</v>
      </c>
      <c r="W4718" s="2">
        <v>39.9</v>
      </c>
      <c r="X4718" s="2">
        <v>2.4900000000000002</v>
      </c>
      <c r="Y4718" s="2" t="s">
        <v>118</v>
      </c>
      <c r="Z4718" s="2" t="s">
        <v>31307</v>
      </c>
      <c r="AA4718" s="2">
        <v>-0.27575498540183702</v>
      </c>
      <c r="AB4718" s="2">
        <v>0.126861267777824</v>
      </c>
      <c r="AC4718" s="2">
        <v>13750.6524797037</v>
      </c>
      <c r="AD4718" s="2">
        <v>12011.6190519995</v>
      </c>
      <c r="AE4718" s="2">
        <v>13480.101771830899</v>
      </c>
      <c r="AF4718" s="2">
        <v>14877.113802464901</v>
      </c>
      <c r="AG4718" s="2">
        <v>14387.0606629841</v>
      </c>
      <c r="AH4718" s="2">
        <v>12737.69095393</v>
      </c>
      <c r="AI4718" s="2">
        <v>13145.800055122399</v>
      </c>
      <c r="AJ4718" s="2">
        <v>13876.1476318897</v>
      </c>
      <c r="AK4718" s="2">
        <v>12141.3332238941</v>
      </c>
      <c r="AL4718" s="2">
        <v>12663.7000695959</v>
      </c>
      <c r="AM4718" s="2">
        <v>8801.7082423314496</v>
      </c>
      <c r="AN4718" s="2">
        <v>12587.349191102099</v>
      </c>
      <c r="AO4718" s="2">
        <v>12604.468213894699</v>
      </c>
      <c r="AP4718" s="2">
        <v>13271.1553711787</v>
      </c>
    </row>
    <row r="4719" spans="1:42" ht="14.5" x14ac:dyDescent="0.35">
      <c r="A4719" s="2" t="s">
        <v>31308</v>
      </c>
      <c r="B4719" s="2">
        <v>182.153788346943</v>
      </c>
      <c r="C4719" s="2">
        <v>11.670033333333301</v>
      </c>
      <c r="D4719" s="2" t="s">
        <v>34</v>
      </c>
      <c r="E4719" s="2" t="s">
        <v>31309</v>
      </c>
      <c r="F4719" s="2">
        <v>60891</v>
      </c>
      <c r="G4719" s="3" t="str">
        <f>HYPERLINK("http://funmeta.oebiotech.com/network/60891", "http://funmeta.oebiotech.com/network/60891")</f>
        <v>http://funmeta.oebiotech.com/network/60891</v>
      </c>
      <c r="H4719" s="2" t="s">
        <v>31310</v>
      </c>
      <c r="I4719" s="2"/>
      <c r="J4719" s="2"/>
      <c r="K4719" s="2"/>
      <c r="L4719" s="2"/>
      <c r="M4719" s="2"/>
      <c r="N4719" s="2"/>
      <c r="O4719" s="2">
        <v>93481789</v>
      </c>
      <c r="P4719" s="2" t="s">
        <v>31311</v>
      </c>
      <c r="Q4719" s="2" t="s">
        <v>31312</v>
      </c>
      <c r="R4719" s="2" t="s">
        <v>31313</v>
      </c>
      <c r="S4719" s="2" t="s">
        <v>79</v>
      </c>
      <c r="T4719" s="2" t="s">
        <v>80</v>
      </c>
      <c r="U4719" s="2" t="s">
        <v>2820</v>
      </c>
      <c r="V4719" s="2" t="s">
        <v>59</v>
      </c>
      <c r="W4719" s="2">
        <v>45.2</v>
      </c>
      <c r="X4719" s="2">
        <v>32.200000000000003</v>
      </c>
      <c r="Y4719" s="2" t="s">
        <v>330</v>
      </c>
      <c r="Z4719" s="2" t="s">
        <v>31314</v>
      </c>
      <c r="AA4719" s="2">
        <v>-0.92807476057211202</v>
      </c>
      <c r="AB4719" s="2">
        <v>0.12677052770517899</v>
      </c>
      <c r="AC4719" s="2">
        <v>7091.8352804262604</v>
      </c>
      <c r="AD4719" s="2">
        <v>5266.1946927885101</v>
      </c>
      <c r="AE4719" s="2">
        <v>7578.5451561080999</v>
      </c>
      <c r="AF4719" s="2">
        <v>6015.61004849242</v>
      </c>
      <c r="AG4719" s="2">
        <v>6458.8455653921101</v>
      </c>
      <c r="AH4719" s="2">
        <v>8042.3058736680196</v>
      </c>
      <c r="AI4719" s="2">
        <v>8200.7525112125404</v>
      </c>
      <c r="AJ4719" s="2">
        <v>6254.9525276843597</v>
      </c>
      <c r="AK4719" s="2">
        <v>3920.2796553021699</v>
      </c>
      <c r="AL4719" s="2">
        <v>7488.6302996128998</v>
      </c>
      <c r="AM4719" s="2">
        <v>4935.9346220519301</v>
      </c>
      <c r="AN4719" s="2">
        <v>7351.8522870188499</v>
      </c>
      <c r="AO4719" s="2">
        <v>3815.4192822080599</v>
      </c>
      <c r="AP4719" s="2">
        <v>4085.0520105371702</v>
      </c>
    </row>
    <row r="4720" spans="1:42" ht="14.5" x14ac:dyDescent="0.35">
      <c r="A4720" s="2" t="s">
        <v>31315</v>
      </c>
      <c r="B4720" s="2">
        <v>239.06707538709799</v>
      </c>
      <c r="C4720" s="2">
        <v>14.559100000000001</v>
      </c>
      <c r="D4720" s="2" t="s">
        <v>70</v>
      </c>
      <c r="E4720" s="2" t="s">
        <v>31316</v>
      </c>
      <c r="F4720" s="2">
        <v>47684</v>
      </c>
      <c r="G4720" s="3" t="str">
        <f>HYPERLINK("http://funmeta.oebiotech.com/network/47684", "http://funmeta.oebiotech.com/network/47684")</f>
        <v>http://funmeta.oebiotech.com/network/47684</v>
      </c>
      <c r="H4720" s="2" t="s">
        <v>31317</v>
      </c>
      <c r="I4720" s="2">
        <v>3927</v>
      </c>
      <c r="J4720" s="2"/>
      <c r="K4720" s="2">
        <v>104011</v>
      </c>
      <c r="L4720" s="2" t="s">
        <v>31318</v>
      </c>
      <c r="M4720" s="2"/>
      <c r="N4720" s="2"/>
      <c r="O4720" s="2">
        <v>2148</v>
      </c>
      <c r="P4720" s="2" t="s">
        <v>31319</v>
      </c>
      <c r="Q4720" s="2" t="s">
        <v>31320</v>
      </c>
      <c r="R4720" s="2" t="s">
        <v>31321</v>
      </c>
      <c r="S4720" s="2" t="s">
        <v>148</v>
      </c>
      <c r="T4720" s="2" t="s">
        <v>149</v>
      </c>
      <c r="U4720" s="2" t="s">
        <v>1593</v>
      </c>
      <c r="V4720" s="2" t="s">
        <v>59</v>
      </c>
      <c r="W4720" s="2">
        <v>38.6</v>
      </c>
      <c r="X4720" s="2">
        <v>0</v>
      </c>
      <c r="Y4720" s="2" t="s">
        <v>408</v>
      </c>
      <c r="Z4720" s="2" t="s">
        <v>31322</v>
      </c>
      <c r="AA4720" s="2">
        <v>-1.3895660036114501</v>
      </c>
      <c r="AB4720" s="2">
        <v>0.12671812231509699</v>
      </c>
      <c r="AC4720" s="2">
        <v>10486.399262448</v>
      </c>
      <c r="AD4720" s="2">
        <v>11674.831493942</v>
      </c>
      <c r="AE4720" s="2">
        <v>10022.7650326394</v>
      </c>
      <c r="AF4720" s="2">
        <v>11015.8806600844</v>
      </c>
      <c r="AG4720" s="2">
        <v>10341.894317421</v>
      </c>
      <c r="AH4720" s="2">
        <v>10968.0999791507</v>
      </c>
      <c r="AI4720" s="2">
        <v>10226.215102009801</v>
      </c>
      <c r="AJ4720" s="2">
        <v>10343.5404833827</v>
      </c>
      <c r="AK4720" s="2">
        <v>11477.0215076309</v>
      </c>
      <c r="AL4720" s="2">
        <v>11555.0895783955</v>
      </c>
      <c r="AM4720" s="2">
        <v>11793.015609747299</v>
      </c>
      <c r="AN4720" s="2">
        <v>12138.789103638999</v>
      </c>
      <c r="AO4720" s="2">
        <v>11566.560896963099</v>
      </c>
      <c r="AP4720" s="2">
        <v>11518.512267276299</v>
      </c>
    </row>
    <row r="4721" spans="1:42" ht="14.5" x14ac:dyDescent="0.35">
      <c r="A4721" s="2" t="s">
        <v>31323</v>
      </c>
      <c r="B4721" s="2">
        <v>513.32084755167398</v>
      </c>
      <c r="C4721" s="2">
        <v>11.18065</v>
      </c>
      <c r="D4721" s="2" t="s">
        <v>34</v>
      </c>
      <c r="E4721" s="2" t="s">
        <v>31324</v>
      </c>
      <c r="F4721" s="2">
        <v>83279</v>
      </c>
      <c r="G4721" s="3" t="str">
        <f>HYPERLINK("http://funmeta.oebiotech.com/network/83279", "http://funmeta.oebiotech.com/network/83279")</f>
        <v>http://funmeta.oebiotech.com/network/83279</v>
      </c>
      <c r="H4721" s="2" t="s">
        <v>31325</v>
      </c>
      <c r="I4721" s="2"/>
      <c r="J4721" s="2"/>
      <c r="K4721" s="2"/>
      <c r="L4721" s="2"/>
      <c r="M4721" s="2"/>
      <c r="N4721" s="2"/>
      <c r="O4721" s="2">
        <v>10029397</v>
      </c>
      <c r="P4721" s="2"/>
      <c r="Q4721" s="2" t="s">
        <v>31326</v>
      </c>
      <c r="R4721" s="2" t="s">
        <v>31327</v>
      </c>
      <c r="S4721" s="2" t="s">
        <v>50</v>
      </c>
      <c r="T4721" s="2" t="s">
        <v>51</v>
      </c>
      <c r="U4721" s="2" t="s">
        <v>738</v>
      </c>
      <c r="V4721" s="2" t="s">
        <v>59</v>
      </c>
      <c r="W4721" s="2">
        <v>37.9</v>
      </c>
      <c r="X4721" s="2">
        <v>0</v>
      </c>
      <c r="Y4721" s="2" t="s">
        <v>394</v>
      </c>
      <c r="Z4721" s="2" t="s">
        <v>31328</v>
      </c>
      <c r="AA4721" s="2">
        <v>4.1992860610760196</v>
      </c>
      <c r="AB4721" s="2">
        <v>0.12665903516056401</v>
      </c>
      <c r="AC4721" s="2">
        <v>1866.40159157372</v>
      </c>
      <c r="AD4721" s="2">
        <v>770.85635894121003</v>
      </c>
      <c r="AE4721" s="2">
        <v>1983.0138762742699</v>
      </c>
      <c r="AF4721" s="2">
        <v>1705.2528709523201</v>
      </c>
      <c r="AG4721" s="2">
        <v>2048.1399078326399</v>
      </c>
      <c r="AH4721" s="2">
        <v>1990.4328367970299</v>
      </c>
      <c r="AI4721" s="2">
        <v>1783.1923625340801</v>
      </c>
      <c r="AJ4721" s="2">
        <v>1688.37769505196</v>
      </c>
      <c r="AK4721" s="2">
        <v>643.80060815587206</v>
      </c>
      <c r="AL4721" s="2">
        <v>868.206984392555</v>
      </c>
      <c r="AM4721" s="2">
        <v>824.86523637846904</v>
      </c>
      <c r="AN4721" s="2">
        <v>693.342184560541</v>
      </c>
      <c r="AO4721" s="2">
        <v>520.346077018041</v>
      </c>
      <c r="AP4721" s="2">
        <v>1074.5770631417799</v>
      </c>
    </row>
    <row r="4722" spans="1:42" ht="14.5" x14ac:dyDescent="0.35">
      <c r="A4722" s="2" t="s">
        <v>31329</v>
      </c>
      <c r="B4722" s="2">
        <v>469.16942179879999</v>
      </c>
      <c r="C4722" s="2">
        <v>4.4179500000000003</v>
      </c>
      <c r="D4722" s="2" t="s">
        <v>70</v>
      </c>
      <c r="E4722" s="2" t="s">
        <v>31330</v>
      </c>
      <c r="F4722" s="2">
        <v>83738</v>
      </c>
      <c r="G4722" s="3" t="str">
        <f>HYPERLINK("http://funmeta.oebiotech.com/network/83738", "http://funmeta.oebiotech.com/network/83738")</f>
        <v>http://funmeta.oebiotech.com/network/83738</v>
      </c>
      <c r="H4722" s="2" t="s">
        <v>31331</v>
      </c>
      <c r="I4722" s="2"/>
      <c r="J4722" s="2"/>
      <c r="K4722" s="2">
        <v>28681</v>
      </c>
      <c r="L4722" s="2" t="s">
        <v>31332</v>
      </c>
      <c r="M4722" s="2" t="s">
        <v>26003</v>
      </c>
      <c r="N4722" s="2" t="s">
        <v>26004</v>
      </c>
      <c r="O4722" s="2">
        <v>439544</v>
      </c>
      <c r="P4722" s="2" t="s">
        <v>31333</v>
      </c>
      <c r="Q4722" s="2" t="s">
        <v>31334</v>
      </c>
      <c r="R4722" s="2" t="s">
        <v>31335</v>
      </c>
      <c r="S4722" s="2" t="s">
        <v>79</v>
      </c>
      <c r="T4722" s="2" t="s">
        <v>80</v>
      </c>
      <c r="U4722" s="2" t="s">
        <v>81</v>
      </c>
      <c r="V4722" s="2" t="s">
        <v>59</v>
      </c>
      <c r="W4722" s="2">
        <v>43</v>
      </c>
      <c r="X4722" s="2">
        <v>26.2</v>
      </c>
      <c r="Y4722" s="2" t="s">
        <v>408</v>
      </c>
      <c r="Z4722" s="2" t="s">
        <v>31336</v>
      </c>
      <c r="AA4722" s="2">
        <v>4.5010471919218604</v>
      </c>
      <c r="AB4722" s="2">
        <v>0.126648067650517</v>
      </c>
      <c r="AC4722" s="2">
        <v>26685.416627393399</v>
      </c>
      <c r="AD4722" s="2">
        <v>25304.935387628699</v>
      </c>
      <c r="AE4722" s="2">
        <v>27063.1179962104</v>
      </c>
      <c r="AF4722" s="2">
        <v>26952.908886521102</v>
      </c>
      <c r="AG4722" s="2">
        <v>25735.142685757499</v>
      </c>
      <c r="AH4722" s="2">
        <v>27849.5735785793</v>
      </c>
      <c r="AI4722" s="2">
        <v>25596.773756069499</v>
      </c>
      <c r="AJ4722" s="2">
        <v>26914.982861222699</v>
      </c>
      <c r="AK4722" s="2">
        <v>25664.068897641901</v>
      </c>
      <c r="AL4722" s="2">
        <v>25090.771735709</v>
      </c>
      <c r="AM4722" s="2">
        <v>25538.241323553899</v>
      </c>
      <c r="AN4722" s="2">
        <v>24768.470147682601</v>
      </c>
      <c r="AO4722" s="2">
        <v>25542.728647099098</v>
      </c>
      <c r="AP4722" s="2">
        <v>25225.3315740855</v>
      </c>
    </row>
    <row r="4723" spans="1:42" ht="14.5" x14ac:dyDescent="0.35">
      <c r="A4723" s="2" t="s">
        <v>31337</v>
      </c>
      <c r="B4723" s="2">
        <v>404.12009481248703</v>
      </c>
      <c r="C4723" s="2">
        <v>4.25878333333333</v>
      </c>
      <c r="D4723" s="2" t="s">
        <v>70</v>
      </c>
      <c r="E4723" s="2" t="s">
        <v>31338</v>
      </c>
      <c r="F4723" s="2">
        <v>50903</v>
      </c>
      <c r="G4723" s="3" t="str">
        <f>HYPERLINK("http://funmeta.oebiotech.com/network/50903", "http://funmeta.oebiotech.com/network/50903")</f>
        <v>http://funmeta.oebiotech.com/network/50903</v>
      </c>
      <c r="H4723" s="2" t="s">
        <v>31339</v>
      </c>
      <c r="I4723" s="2">
        <v>61656</v>
      </c>
      <c r="J4723" s="2"/>
      <c r="K4723" s="2"/>
      <c r="L4723" s="2" t="s">
        <v>1994</v>
      </c>
      <c r="M4723" s="2" t="s">
        <v>1995</v>
      </c>
      <c r="N4723" s="2" t="s">
        <v>1996</v>
      </c>
      <c r="O4723" s="2">
        <v>53480450</v>
      </c>
      <c r="P4723" s="2" t="s">
        <v>31340</v>
      </c>
      <c r="Q4723" s="2" t="s">
        <v>31341</v>
      </c>
      <c r="R4723" s="2" t="s">
        <v>31342</v>
      </c>
      <c r="S4723" s="2" t="s">
        <v>79</v>
      </c>
      <c r="T4723" s="2" t="s">
        <v>80</v>
      </c>
      <c r="U4723" s="2" t="s">
        <v>81</v>
      </c>
      <c r="V4723" s="2" t="s">
        <v>59</v>
      </c>
      <c r="W4723" s="2">
        <v>38.799999999999997</v>
      </c>
      <c r="X4723" s="2">
        <v>0</v>
      </c>
      <c r="Y4723" s="2" t="s">
        <v>408</v>
      </c>
      <c r="Z4723" s="2" t="s">
        <v>6175</v>
      </c>
      <c r="AA4723" s="2">
        <v>0.72590497020650802</v>
      </c>
      <c r="AB4723" s="2">
        <v>0.126646916965475</v>
      </c>
      <c r="AC4723" s="2">
        <v>40059.771851318998</v>
      </c>
      <c r="AD4723" s="2">
        <v>37483.326955512799</v>
      </c>
      <c r="AE4723" s="2">
        <v>42192.000422909499</v>
      </c>
      <c r="AF4723" s="2">
        <v>34623.221852169001</v>
      </c>
      <c r="AG4723" s="2">
        <v>40534.1915171621</v>
      </c>
      <c r="AH4723" s="2">
        <v>42705.5911790721</v>
      </c>
      <c r="AI4723" s="2">
        <v>38261.258397079997</v>
      </c>
      <c r="AJ4723" s="2">
        <v>42042.367739521098</v>
      </c>
      <c r="AK4723" s="2">
        <v>34574.430250660698</v>
      </c>
      <c r="AL4723" s="2">
        <v>37122.5589417394</v>
      </c>
      <c r="AM4723" s="2">
        <v>36711.196628031103</v>
      </c>
      <c r="AN4723" s="2">
        <v>43518.0158385869</v>
      </c>
      <c r="AO4723" s="2">
        <v>35665.084318469402</v>
      </c>
      <c r="AP4723" s="2">
        <v>37308.675755589597</v>
      </c>
    </row>
    <row r="4724" spans="1:42" ht="14.5" x14ac:dyDescent="0.35">
      <c r="A4724" s="2" t="s">
        <v>31343</v>
      </c>
      <c r="B4724" s="2">
        <v>527.23100017137494</v>
      </c>
      <c r="C4724" s="2">
        <v>1.4208666666666701</v>
      </c>
      <c r="D4724" s="2" t="s">
        <v>34</v>
      </c>
      <c r="E4724" s="2" t="s">
        <v>31344</v>
      </c>
      <c r="F4724" s="2">
        <v>515368</v>
      </c>
      <c r="G4724" s="3" t="str">
        <f>HYPERLINK("http://funmeta.oebiotech.com/network/515368", "http://funmeta.oebiotech.com/network/515368")</f>
        <v>http://funmeta.oebiotech.com/network/515368</v>
      </c>
      <c r="H4724" s="2"/>
      <c r="I4724" s="2">
        <v>96482</v>
      </c>
      <c r="J4724" s="2"/>
      <c r="K4724" s="2"/>
      <c r="L4724" s="2"/>
      <c r="M4724" s="2"/>
      <c r="N4724" s="2"/>
      <c r="O4724" s="2">
        <v>53387350</v>
      </c>
      <c r="P4724" s="2" t="s">
        <v>31345</v>
      </c>
      <c r="Q4724" s="2" t="s">
        <v>31346</v>
      </c>
      <c r="R4724" s="2" t="s">
        <v>31347</v>
      </c>
      <c r="S4724" s="2" t="s">
        <v>491</v>
      </c>
      <c r="T4724" s="2" t="s">
        <v>1516</v>
      </c>
      <c r="U4724" s="2" t="s">
        <v>31348</v>
      </c>
      <c r="V4724" s="2" t="s">
        <v>59</v>
      </c>
      <c r="W4724" s="2">
        <v>36.200000000000003</v>
      </c>
      <c r="X4724" s="2">
        <v>0</v>
      </c>
      <c r="Y4724" s="2" t="s">
        <v>340</v>
      </c>
      <c r="Z4724" s="2" t="s">
        <v>31349</v>
      </c>
      <c r="AA4724" s="2">
        <v>0.68497086144779296</v>
      </c>
      <c r="AB4724" s="2">
        <v>0.126605562211448</v>
      </c>
      <c r="AC4724" s="2">
        <v>3628.4304462333498</v>
      </c>
      <c r="AD4724" s="2">
        <v>2286.17201287133</v>
      </c>
      <c r="AE4724" s="2">
        <v>4178.2212107048899</v>
      </c>
      <c r="AF4724" s="2">
        <v>3515.28408847117</v>
      </c>
      <c r="AG4724" s="2">
        <v>3360.0275538334299</v>
      </c>
      <c r="AH4724" s="2">
        <v>3450.4847075695502</v>
      </c>
      <c r="AI4724" s="2">
        <v>4144.8530216647196</v>
      </c>
      <c r="AJ4724" s="2">
        <v>3121.7120951563202</v>
      </c>
      <c r="AK4724" s="2">
        <v>2382.9396790791402</v>
      </c>
      <c r="AL4724" s="2">
        <v>1088.5385587782</v>
      </c>
      <c r="AM4724" s="2">
        <v>2432.4894746362702</v>
      </c>
      <c r="AN4724" s="2">
        <v>2314.2847751671802</v>
      </c>
      <c r="AO4724" s="2">
        <v>2293.0110613714301</v>
      </c>
      <c r="AP4724" s="2">
        <v>3205.7685281957602</v>
      </c>
    </row>
    <row r="4725" spans="1:42" ht="14.5" x14ac:dyDescent="0.35">
      <c r="A4725" s="2" t="s">
        <v>31350</v>
      </c>
      <c r="B4725" s="2">
        <v>851.51518954466303</v>
      </c>
      <c r="C4725" s="2">
        <v>12.358783333333299</v>
      </c>
      <c r="D4725" s="2" t="s">
        <v>70</v>
      </c>
      <c r="E4725" s="2" t="s">
        <v>31351</v>
      </c>
      <c r="F4725" s="2">
        <v>82492</v>
      </c>
      <c r="G4725" s="3" t="str">
        <f>HYPERLINK("http://funmeta.oebiotech.com/network/82492", "http://funmeta.oebiotech.com/network/82492")</f>
        <v>http://funmeta.oebiotech.com/network/82492</v>
      </c>
      <c r="H4725" s="2" t="s">
        <v>31352</v>
      </c>
      <c r="I4725" s="2"/>
      <c r="J4725" s="2"/>
      <c r="K4725" s="2"/>
      <c r="L4725" s="2"/>
      <c r="M4725" s="2"/>
      <c r="N4725" s="2"/>
      <c r="O4725" s="2">
        <v>131769919</v>
      </c>
      <c r="P4725" s="2"/>
      <c r="Q4725" s="2" t="s">
        <v>31353</v>
      </c>
      <c r="R4725" s="2" t="s">
        <v>31354</v>
      </c>
      <c r="S4725" s="2" t="s">
        <v>79</v>
      </c>
      <c r="T4725" s="2" t="s">
        <v>80</v>
      </c>
      <c r="U4725" s="2" t="s">
        <v>81</v>
      </c>
      <c r="V4725" s="2" t="s">
        <v>42</v>
      </c>
      <c r="W4725" s="2">
        <v>50.3</v>
      </c>
      <c r="X4725" s="2">
        <v>59.9</v>
      </c>
      <c r="Y4725" s="2" t="s">
        <v>408</v>
      </c>
      <c r="Z4725" s="2" t="s">
        <v>31355</v>
      </c>
      <c r="AA4725" s="2">
        <v>3.69692035681468</v>
      </c>
      <c r="AB4725" s="2">
        <v>0.12633712782878101</v>
      </c>
      <c r="AC4725" s="2">
        <v>116206.789552866</v>
      </c>
      <c r="AD4725" s="2">
        <v>111235.427506161</v>
      </c>
      <c r="AE4725" s="2">
        <v>103596.224835681</v>
      </c>
      <c r="AF4725" s="2">
        <v>96800.2088983047</v>
      </c>
      <c r="AG4725" s="2">
        <v>121877.885292046</v>
      </c>
      <c r="AH4725" s="2">
        <v>119153.64931689401</v>
      </c>
      <c r="AI4725" s="2">
        <v>137144.23008686799</v>
      </c>
      <c r="AJ4725" s="2">
        <v>118668.538887403</v>
      </c>
      <c r="AK4725" s="2">
        <v>102226.54085167201</v>
      </c>
      <c r="AL4725" s="2">
        <v>105911.772303447</v>
      </c>
      <c r="AM4725" s="2">
        <v>107575.103395092</v>
      </c>
      <c r="AN4725" s="2">
        <v>113310.943996901</v>
      </c>
      <c r="AO4725" s="2">
        <v>112354.32697096901</v>
      </c>
      <c r="AP4725" s="2">
        <v>126033.877518883</v>
      </c>
    </row>
    <row r="4726" spans="1:42" ht="14.5" x14ac:dyDescent="0.35">
      <c r="A4726" s="2" t="s">
        <v>31356</v>
      </c>
      <c r="B4726" s="2">
        <v>299.11263363543401</v>
      </c>
      <c r="C4726" s="2">
        <v>4.5485499999999996</v>
      </c>
      <c r="D4726" s="2" t="s">
        <v>34</v>
      </c>
      <c r="E4726" s="2" t="s">
        <v>31357</v>
      </c>
      <c r="F4726" s="2">
        <v>50914</v>
      </c>
      <c r="G4726" s="3" t="str">
        <f>HYPERLINK("http://funmeta.oebiotech.com/network/50914", "http://funmeta.oebiotech.com/network/50914")</f>
        <v>http://funmeta.oebiotech.com/network/50914</v>
      </c>
      <c r="H4726" s="2" t="s">
        <v>31358</v>
      </c>
      <c r="I4726" s="2">
        <v>61666</v>
      </c>
      <c r="J4726" s="2"/>
      <c r="K4726" s="2"/>
      <c r="L4726" s="2" t="s">
        <v>1994</v>
      </c>
      <c r="M4726" s="2" t="s">
        <v>1995</v>
      </c>
      <c r="N4726" s="2" t="s">
        <v>1996</v>
      </c>
      <c r="O4726" s="2">
        <v>24862077</v>
      </c>
      <c r="P4726" s="2"/>
      <c r="Q4726" s="2" t="s">
        <v>31359</v>
      </c>
      <c r="R4726" s="2" t="s">
        <v>31360</v>
      </c>
      <c r="S4726" s="2" t="s">
        <v>79</v>
      </c>
      <c r="T4726" s="2" t="s">
        <v>80</v>
      </c>
      <c r="U4726" s="2" t="s">
        <v>81</v>
      </c>
      <c r="V4726" s="2" t="s">
        <v>59</v>
      </c>
      <c r="W4726" s="2">
        <v>41</v>
      </c>
      <c r="X4726" s="2">
        <v>11.3</v>
      </c>
      <c r="Y4726" s="2" t="s">
        <v>394</v>
      </c>
      <c r="Z4726" s="2" t="s">
        <v>23648</v>
      </c>
      <c r="AA4726" s="2">
        <v>0.34984037739128698</v>
      </c>
      <c r="AB4726" s="2">
        <v>0.12633482001737101</v>
      </c>
      <c r="AC4726" s="2">
        <v>21962.713074604901</v>
      </c>
      <c r="AD4726" s="2">
        <v>23819.9651256578</v>
      </c>
      <c r="AE4726" s="2">
        <v>20875.320082644299</v>
      </c>
      <c r="AF4726" s="2">
        <v>22647.755705107698</v>
      </c>
      <c r="AG4726" s="2">
        <v>21598.455022850801</v>
      </c>
      <c r="AH4726" s="2">
        <v>24018.223302889899</v>
      </c>
      <c r="AI4726" s="2">
        <v>21319.734792677202</v>
      </c>
      <c r="AJ4726" s="2">
        <v>21316.789541459701</v>
      </c>
      <c r="AK4726" s="2">
        <v>20819.315673680401</v>
      </c>
      <c r="AL4726" s="2">
        <v>25666.910980341701</v>
      </c>
      <c r="AM4726" s="2">
        <v>23829.618102064898</v>
      </c>
      <c r="AN4726" s="2">
        <v>24582.8457678335</v>
      </c>
      <c r="AO4726" s="2">
        <v>22998.0773878566</v>
      </c>
      <c r="AP4726" s="2">
        <v>25023.022842169499</v>
      </c>
    </row>
    <row r="4727" spans="1:42" ht="14.5" x14ac:dyDescent="0.35">
      <c r="A4727" s="2" t="s">
        <v>31361</v>
      </c>
      <c r="B4727" s="2">
        <v>671.17652817010696</v>
      </c>
      <c r="C4727" s="2">
        <v>5.4873666666666701</v>
      </c>
      <c r="D4727" s="2" t="s">
        <v>70</v>
      </c>
      <c r="E4727" s="2" t="s">
        <v>31362</v>
      </c>
      <c r="F4727" s="2">
        <v>54955</v>
      </c>
      <c r="G4727" s="3" t="str">
        <f>HYPERLINK("http://funmeta.oebiotech.com/network/54955", "http://funmeta.oebiotech.com/network/54955")</f>
        <v>http://funmeta.oebiotech.com/network/54955</v>
      </c>
      <c r="H4727" s="2" t="s">
        <v>31363</v>
      </c>
      <c r="I4727" s="2"/>
      <c r="J4727" s="2"/>
      <c r="K4727" s="2"/>
      <c r="L4727" s="2"/>
      <c r="M4727" s="2"/>
      <c r="N4727" s="2"/>
      <c r="O4727" s="2">
        <v>117793350</v>
      </c>
      <c r="P4727" s="2" t="s">
        <v>31364</v>
      </c>
      <c r="Q4727" s="2" t="s">
        <v>31365</v>
      </c>
      <c r="R4727" s="2" t="s">
        <v>31366</v>
      </c>
      <c r="S4727" s="2" t="s">
        <v>115</v>
      </c>
      <c r="T4727" s="2" t="s">
        <v>139</v>
      </c>
      <c r="U4727" s="2" t="s">
        <v>1437</v>
      </c>
      <c r="V4727" s="2" t="s">
        <v>59</v>
      </c>
      <c r="W4727" s="2">
        <v>36.799999999999997</v>
      </c>
      <c r="X4727" s="2">
        <v>0</v>
      </c>
      <c r="Y4727" s="2" t="s">
        <v>408</v>
      </c>
      <c r="Z4727" s="2" t="s">
        <v>31367</v>
      </c>
      <c r="AA4727" s="2">
        <v>-0.77689813848920397</v>
      </c>
      <c r="AB4727" s="2">
        <v>0.126203093035715</v>
      </c>
      <c r="AC4727" s="2">
        <v>1920.2965334578701</v>
      </c>
      <c r="AD4727" s="2">
        <v>532.23069575062505</v>
      </c>
      <c r="AE4727" s="2">
        <v>3201.3155740786201</v>
      </c>
      <c r="AF4727" s="2">
        <v>2489.6361265422101</v>
      </c>
      <c r="AG4727" s="2">
        <v>1032.2985096551499</v>
      </c>
      <c r="AH4727" s="2">
        <v>2217.7050531949899</v>
      </c>
      <c r="AI4727" s="2">
        <v>1155.95256466923</v>
      </c>
      <c r="AJ4727" s="2">
        <v>1424.87137260702</v>
      </c>
      <c r="AK4727" s="2">
        <v>2.7106294003980101E-5</v>
      </c>
      <c r="AL4727" s="2">
        <v>899.49697988789103</v>
      </c>
      <c r="AM4727" s="2">
        <v>2.7106294003980101E-5</v>
      </c>
      <c r="AN4727" s="2">
        <v>932.19158889002699</v>
      </c>
      <c r="AO4727" s="2">
        <v>666.20061386154896</v>
      </c>
      <c r="AP4727" s="2">
        <v>695.49493765169495</v>
      </c>
    </row>
    <row r="4728" spans="1:42" ht="14.5" x14ac:dyDescent="0.35">
      <c r="A4728" s="2" t="s">
        <v>31368</v>
      </c>
      <c r="B4728" s="2">
        <v>288.202898657123</v>
      </c>
      <c r="C4728" s="2">
        <v>1.4208666666666701</v>
      </c>
      <c r="D4728" s="2" t="s">
        <v>34</v>
      </c>
      <c r="E4728" s="2" t="s">
        <v>31369</v>
      </c>
      <c r="F4728" s="2">
        <v>53751</v>
      </c>
      <c r="G4728" s="3" t="str">
        <f>HYPERLINK("http://funmeta.oebiotech.com/network/53751", "http://funmeta.oebiotech.com/network/53751")</f>
        <v>http://funmeta.oebiotech.com/network/53751</v>
      </c>
      <c r="H4728" s="2" t="s">
        <v>31370</v>
      </c>
      <c r="I4728" s="2">
        <v>23721</v>
      </c>
      <c r="J4728" s="2"/>
      <c r="K4728" s="2">
        <v>73814</v>
      </c>
      <c r="L4728" s="2"/>
      <c r="M4728" s="2"/>
      <c r="N4728" s="2"/>
      <c r="O4728" s="2">
        <v>7009553</v>
      </c>
      <c r="P4728" s="2" t="s">
        <v>31371</v>
      </c>
      <c r="Q4728" s="2" t="s">
        <v>31372</v>
      </c>
      <c r="R4728" s="2" t="s">
        <v>31373</v>
      </c>
      <c r="S4728" s="2" t="s">
        <v>89</v>
      </c>
      <c r="T4728" s="2" t="s">
        <v>90</v>
      </c>
      <c r="U4728" s="2" t="s">
        <v>99</v>
      </c>
      <c r="V4728" s="2" t="s">
        <v>59</v>
      </c>
      <c r="W4728" s="2">
        <v>38.6</v>
      </c>
      <c r="X4728" s="2">
        <v>0</v>
      </c>
      <c r="Y4728" s="2" t="s">
        <v>394</v>
      </c>
      <c r="Z4728" s="2" t="s">
        <v>31374</v>
      </c>
      <c r="AA4728" s="2">
        <v>-0.40898694156865001</v>
      </c>
      <c r="AB4728" s="2">
        <v>0.126112653844832</v>
      </c>
      <c r="AC4728" s="2">
        <v>1752.4197270728901</v>
      </c>
      <c r="AD4728" s="2">
        <v>688.021782730425</v>
      </c>
      <c r="AE4728" s="2">
        <v>1640.3118409619101</v>
      </c>
      <c r="AF4728" s="2">
        <v>1632.37519094699</v>
      </c>
      <c r="AG4728" s="2">
        <v>1794.4772803650601</v>
      </c>
      <c r="AH4728" s="2">
        <v>1847.1732278954801</v>
      </c>
      <c r="AI4728" s="2">
        <v>1767.3975034735599</v>
      </c>
      <c r="AJ4728" s="2">
        <v>1832.7833187943399</v>
      </c>
      <c r="AK4728" s="2">
        <v>666.98694451791698</v>
      </c>
      <c r="AL4728" s="2">
        <v>610.18239668048</v>
      </c>
      <c r="AM4728" s="2">
        <v>495.65547080195802</v>
      </c>
      <c r="AN4728" s="2">
        <v>688.89515645887604</v>
      </c>
      <c r="AO4728" s="2">
        <v>861.19990656957395</v>
      </c>
      <c r="AP4728" s="2">
        <v>805.21082135374695</v>
      </c>
    </row>
    <row r="4729" spans="1:42" ht="14.5" x14ac:dyDescent="0.35">
      <c r="A4729" s="2" t="s">
        <v>31375</v>
      </c>
      <c r="B4729" s="2">
        <v>502.29376556377201</v>
      </c>
      <c r="C4729" s="2">
        <v>10.458866666666699</v>
      </c>
      <c r="D4729" s="2" t="s">
        <v>70</v>
      </c>
      <c r="E4729" s="2" t="s">
        <v>31376</v>
      </c>
      <c r="F4729" s="2">
        <v>21209</v>
      </c>
      <c r="G4729" s="3" t="str">
        <f>HYPERLINK("http://funmeta.oebiotech.com/network/21209", "http://funmeta.oebiotech.com/network/21209")</f>
        <v>http://funmeta.oebiotech.com/network/21209</v>
      </c>
      <c r="H4729" s="2" t="s">
        <v>31377</v>
      </c>
      <c r="I4729" s="2">
        <v>62272</v>
      </c>
      <c r="J4729" s="2" t="s">
        <v>31378</v>
      </c>
      <c r="K4729" s="2"/>
      <c r="L4729" s="2"/>
      <c r="M4729" s="2"/>
      <c r="N4729" s="2"/>
      <c r="O4729" s="2">
        <v>53480933</v>
      </c>
      <c r="P4729" s="2"/>
      <c r="Q4729" s="2" t="s">
        <v>31379</v>
      </c>
      <c r="R4729" s="2" t="s">
        <v>31380</v>
      </c>
      <c r="S4729" s="2" t="s">
        <v>50</v>
      </c>
      <c r="T4729" s="2" t="s">
        <v>51</v>
      </c>
      <c r="U4729" s="2" t="s">
        <v>257</v>
      </c>
      <c r="V4729" s="2" t="s">
        <v>42</v>
      </c>
      <c r="W4729" s="2">
        <v>49.1</v>
      </c>
      <c r="X4729" s="2">
        <v>49.5</v>
      </c>
      <c r="Y4729" s="2" t="s">
        <v>118</v>
      </c>
      <c r="Z4729" s="2" t="s">
        <v>31381</v>
      </c>
      <c r="AA4729" s="2">
        <v>-0.29296804937461102</v>
      </c>
      <c r="AB4729" s="2">
        <v>0.12609392991495599</v>
      </c>
      <c r="AC4729" s="2">
        <v>4382.7913669027303</v>
      </c>
      <c r="AD4729" s="2">
        <v>5925.2478558130097</v>
      </c>
      <c r="AE4729" s="2">
        <v>4350.3379041194803</v>
      </c>
      <c r="AF4729" s="2">
        <v>4828.0329162899998</v>
      </c>
      <c r="AG4729" s="2">
        <v>5250.8939810870397</v>
      </c>
      <c r="AH4729" s="2">
        <v>2693.3751604141999</v>
      </c>
      <c r="AI4729" s="2">
        <v>4535.0881434646599</v>
      </c>
      <c r="AJ4729" s="2">
        <v>4639.0200960410102</v>
      </c>
      <c r="AK4729" s="2">
        <v>5471.0581689931596</v>
      </c>
      <c r="AL4729" s="2">
        <v>6597.0034734744904</v>
      </c>
      <c r="AM4729" s="2">
        <v>6324.9283296952799</v>
      </c>
      <c r="AN4729" s="2">
        <v>4227.5566690867699</v>
      </c>
      <c r="AO4729" s="2">
        <v>6350.3034013696797</v>
      </c>
      <c r="AP4729" s="2">
        <v>6580.6370922586502</v>
      </c>
    </row>
    <row r="4730" spans="1:42" ht="14.5" x14ac:dyDescent="0.35">
      <c r="A4730" s="2" t="s">
        <v>31382</v>
      </c>
      <c r="B4730" s="2">
        <v>341.08459145119201</v>
      </c>
      <c r="C4730" s="2">
        <v>3.5873499999999998</v>
      </c>
      <c r="D4730" s="2" t="s">
        <v>34</v>
      </c>
      <c r="E4730" s="2" t="s">
        <v>31383</v>
      </c>
      <c r="F4730" s="2">
        <v>46868</v>
      </c>
      <c r="G4730" s="3" t="str">
        <f>HYPERLINK("http://funmeta.oebiotech.com/network/46868", "http://funmeta.oebiotech.com/network/46868")</f>
        <v>http://funmeta.oebiotech.com/network/46868</v>
      </c>
      <c r="H4730" s="2" t="s">
        <v>31384</v>
      </c>
      <c r="I4730" s="2">
        <v>3452</v>
      </c>
      <c r="J4730" s="2"/>
      <c r="K4730" s="2">
        <v>17361</v>
      </c>
      <c r="L4730" s="2" t="s">
        <v>31385</v>
      </c>
      <c r="M4730" s="2" t="s">
        <v>15342</v>
      </c>
      <c r="N4730" s="2" t="s">
        <v>15343</v>
      </c>
      <c r="O4730" s="2">
        <v>6131</v>
      </c>
      <c r="P4730" s="2" t="s">
        <v>31386</v>
      </c>
      <c r="Q4730" s="2" t="s">
        <v>31387</v>
      </c>
      <c r="R4730" s="2" t="s">
        <v>31388</v>
      </c>
      <c r="S4730" s="2" t="s">
        <v>1444</v>
      </c>
      <c r="T4730" s="2" t="s">
        <v>4040</v>
      </c>
      <c r="U4730" s="2" t="s">
        <v>8914</v>
      </c>
      <c r="V4730" s="2" t="s">
        <v>59</v>
      </c>
      <c r="W4730" s="2">
        <v>38.200000000000003</v>
      </c>
      <c r="X4730" s="2">
        <v>0</v>
      </c>
      <c r="Y4730" s="2" t="s">
        <v>43</v>
      </c>
      <c r="Z4730" s="2" t="s">
        <v>31389</v>
      </c>
      <c r="AA4730" s="2">
        <v>-3.3589922634343701</v>
      </c>
      <c r="AB4730" s="2">
        <v>0.12608497193600801</v>
      </c>
      <c r="AC4730" s="2">
        <v>1942.5508367949301</v>
      </c>
      <c r="AD4730" s="2">
        <v>3368.6513885036502</v>
      </c>
      <c r="AE4730" s="2">
        <v>1515.12205839229</v>
      </c>
      <c r="AF4730" s="2">
        <v>1435.1802436693399</v>
      </c>
      <c r="AG4730" s="2">
        <v>1931.6945408271999</v>
      </c>
      <c r="AH4730" s="2">
        <v>2376.1299957493602</v>
      </c>
      <c r="AI4730" s="2">
        <v>2054.6390858712898</v>
      </c>
      <c r="AJ4730" s="2">
        <v>2342.5390962601</v>
      </c>
      <c r="AK4730" s="2">
        <v>5179.6202519736999</v>
      </c>
      <c r="AL4730" s="2">
        <v>3311.7985998550398</v>
      </c>
      <c r="AM4730" s="2">
        <v>2878.7206286364799</v>
      </c>
      <c r="AN4730" s="2">
        <v>2450.3828004555198</v>
      </c>
      <c r="AO4730" s="2">
        <v>3287.2325766406202</v>
      </c>
      <c r="AP4730" s="2">
        <v>3104.1534734605202</v>
      </c>
    </row>
    <row r="4731" spans="1:42" ht="14.5" x14ac:dyDescent="0.35">
      <c r="A4731" s="2" t="s">
        <v>31390</v>
      </c>
      <c r="B4731" s="2">
        <v>241.15842581492799</v>
      </c>
      <c r="C4731" s="2">
        <v>5.7914500000000002</v>
      </c>
      <c r="D4731" s="2" t="s">
        <v>34</v>
      </c>
      <c r="E4731" s="2" t="s">
        <v>31391</v>
      </c>
      <c r="F4731" s="2">
        <v>267179</v>
      </c>
      <c r="G4731" s="3" t="str">
        <f>HYPERLINK("http://funmeta.oebiotech.com/network/267179", "http://funmeta.oebiotech.com/network/267179")</f>
        <v>http://funmeta.oebiotech.com/network/267179</v>
      </c>
      <c r="H4731" s="2"/>
      <c r="I4731" s="2">
        <v>44952</v>
      </c>
      <c r="J4731" s="2"/>
      <c r="K4731" s="2"/>
      <c r="L4731" s="2"/>
      <c r="M4731" s="2"/>
      <c r="N4731" s="2"/>
      <c r="O4731" s="2">
        <v>45073499</v>
      </c>
      <c r="P4731" s="2" t="s">
        <v>31392</v>
      </c>
      <c r="Q4731" s="2" t="s">
        <v>31393</v>
      </c>
      <c r="R4731" s="2" t="s">
        <v>31394</v>
      </c>
      <c r="S4731" s="2" t="s">
        <v>50</v>
      </c>
      <c r="T4731" s="2" t="s">
        <v>201</v>
      </c>
      <c r="U4731" s="2" t="s">
        <v>265</v>
      </c>
      <c r="V4731" s="2" t="s">
        <v>59</v>
      </c>
      <c r="W4731" s="2">
        <v>38.1</v>
      </c>
      <c r="X4731" s="2">
        <v>0</v>
      </c>
      <c r="Y4731" s="2" t="s">
        <v>141</v>
      </c>
      <c r="Z4731" s="2" t="s">
        <v>11614</v>
      </c>
      <c r="AA4731" s="2">
        <v>-1.02989499985056</v>
      </c>
      <c r="AB4731" s="2">
        <v>0.12602663124083599</v>
      </c>
      <c r="AC4731" s="2">
        <v>8002.3268007761399</v>
      </c>
      <c r="AD4731" s="2">
        <v>6654.7525409586797</v>
      </c>
      <c r="AE4731" s="2">
        <v>7716.0385559611896</v>
      </c>
      <c r="AF4731" s="2">
        <v>8229.7553036060508</v>
      </c>
      <c r="AG4731" s="2">
        <v>7591.1295826430296</v>
      </c>
      <c r="AH4731" s="2">
        <v>8222.4968812948791</v>
      </c>
      <c r="AI4731" s="2">
        <v>8452.1420670918706</v>
      </c>
      <c r="AJ4731" s="2">
        <v>7802.3984140598404</v>
      </c>
      <c r="AK4731" s="2">
        <v>6192.6950110869202</v>
      </c>
      <c r="AL4731" s="2">
        <v>7192.1496851867696</v>
      </c>
      <c r="AM4731" s="2">
        <v>7476.5039207817199</v>
      </c>
      <c r="AN4731" s="2">
        <v>7322.2564499319196</v>
      </c>
      <c r="AO4731" s="2">
        <v>6068.6121547045404</v>
      </c>
      <c r="AP4731" s="2">
        <v>5676.2980240602301</v>
      </c>
    </row>
    <row r="4732" spans="1:42" ht="14.5" x14ac:dyDescent="0.35">
      <c r="A4732" s="2" t="s">
        <v>31395</v>
      </c>
      <c r="B4732" s="2">
        <v>527.21050973453896</v>
      </c>
      <c r="C4732" s="2">
        <v>6.5939500000000004</v>
      </c>
      <c r="D4732" s="2" t="s">
        <v>70</v>
      </c>
      <c r="E4732" s="2" t="s">
        <v>31396</v>
      </c>
      <c r="F4732" s="2">
        <v>48271</v>
      </c>
      <c r="G4732" s="3" t="str">
        <f>HYPERLINK("http://funmeta.oebiotech.com/network/48271", "http://funmeta.oebiotech.com/network/48271")</f>
        <v>http://funmeta.oebiotech.com/network/48271</v>
      </c>
      <c r="H4732" s="2" t="s">
        <v>31397</v>
      </c>
      <c r="I4732" s="2">
        <v>44788</v>
      </c>
      <c r="J4732" s="2"/>
      <c r="K4732" s="2"/>
      <c r="L4732" s="2" t="s">
        <v>31398</v>
      </c>
      <c r="M4732" s="2" t="s">
        <v>17784</v>
      </c>
      <c r="N4732" s="2" t="s">
        <v>17785</v>
      </c>
      <c r="O4732" s="2">
        <v>171161</v>
      </c>
      <c r="P4732" s="2" t="s">
        <v>31399</v>
      </c>
      <c r="Q4732" s="2" t="s">
        <v>31400</v>
      </c>
      <c r="R4732" s="2" t="s">
        <v>31401</v>
      </c>
      <c r="S4732" s="2" t="s">
        <v>79</v>
      </c>
      <c r="T4732" s="2" t="s">
        <v>80</v>
      </c>
      <c r="U4732" s="2" t="s">
        <v>2820</v>
      </c>
      <c r="V4732" s="2" t="s">
        <v>59</v>
      </c>
      <c r="W4732" s="2">
        <v>37.5</v>
      </c>
      <c r="X4732" s="2">
        <v>0</v>
      </c>
      <c r="Y4732" s="2" t="s">
        <v>560</v>
      </c>
      <c r="Z4732" s="2" t="s">
        <v>31402</v>
      </c>
      <c r="AA4732" s="2">
        <v>-8.0038984920870995</v>
      </c>
      <c r="AB4732" s="2">
        <v>0.12560564934142601</v>
      </c>
      <c r="AC4732" s="2">
        <v>3380.1796922930698</v>
      </c>
      <c r="AD4732" s="2">
        <v>2158.8053845490299</v>
      </c>
      <c r="AE4732" s="2">
        <v>3059.3243085651102</v>
      </c>
      <c r="AF4732" s="2">
        <v>3116.6589110783102</v>
      </c>
      <c r="AG4732" s="2">
        <v>3989.4875258745901</v>
      </c>
      <c r="AH4732" s="2">
        <v>3357.1759900646698</v>
      </c>
      <c r="AI4732" s="2">
        <v>3463.0663484028601</v>
      </c>
      <c r="AJ4732" s="2">
        <v>3295.3650697728599</v>
      </c>
      <c r="AK4732" s="2">
        <v>1384.9467255526799</v>
      </c>
      <c r="AL4732" s="2">
        <v>2056.84058083026</v>
      </c>
      <c r="AM4732" s="2">
        <v>1861.3440892277599</v>
      </c>
      <c r="AN4732" s="2">
        <v>2474.3139418783298</v>
      </c>
      <c r="AO4732" s="2">
        <v>2589.9991476976902</v>
      </c>
      <c r="AP4732" s="2">
        <v>2585.3878221074501</v>
      </c>
    </row>
    <row r="4733" spans="1:42" ht="14.5" x14ac:dyDescent="0.35">
      <c r="A4733" s="2" t="s">
        <v>31403</v>
      </c>
      <c r="B4733" s="2">
        <v>255.206608838119</v>
      </c>
      <c r="C4733" s="2">
        <v>2.5831166666666698</v>
      </c>
      <c r="D4733" s="2" t="s">
        <v>34</v>
      </c>
      <c r="E4733" s="2" t="s">
        <v>31404</v>
      </c>
      <c r="F4733" s="2">
        <v>205591</v>
      </c>
      <c r="G4733" s="3" t="str">
        <f>HYPERLINK("http://funmeta.oebiotech.com/network/205591", "http://funmeta.oebiotech.com/network/205591")</f>
        <v>http://funmeta.oebiotech.com/network/205591</v>
      </c>
      <c r="H4733" s="2" t="s">
        <v>31405</v>
      </c>
      <c r="I4733" s="2"/>
      <c r="J4733" s="2"/>
      <c r="K4733" s="2"/>
      <c r="L4733" s="2"/>
      <c r="M4733" s="2"/>
      <c r="N4733" s="2"/>
      <c r="O4733" s="2"/>
      <c r="P4733" s="2"/>
      <c r="Q4733" s="2" t="s">
        <v>31406</v>
      </c>
      <c r="R4733" s="2" t="s">
        <v>31407</v>
      </c>
      <c r="S4733" s="2" t="s">
        <v>41</v>
      </c>
      <c r="T4733" s="2" t="s">
        <v>41</v>
      </c>
      <c r="U4733" s="2" t="s">
        <v>41</v>
      </c>
      <c r="V4733" s="2" t="s">
        <v>59</v>
      </c>
      <c r="W4733" s="2">
        <v>38.799999999999997</v>
      </c>
      <c r="X4733" s="2">
        <v>0</v>
      </c>
      <c r="Y4733" s="2" t="s">
        <v>43</v>
      </c>
      <c r="Z4733" s="2" t="s">
        <v>31408</v>
      </c>
      <c r="AA4733" s="2">
        <v>-0.40339102607898503</v>
      </c>
      <c r="AB4733" s="2">
        <v>0.12554669820915701</v>
      </c>
      <c r="AC4733" s="2">
        <v>8152.8030926534502</v>
      </c>
      <c r="AD4733" s="2">
        <v>6712.9713730672702</v>
      </c>
      <c r="AE4733" s="2">
        <v>7566.0011633264303</v>
      </c>
      <c r="AF4733" s="2">
        <v>8206.8780743485095</v>
      </c>
      <c r="AG4733" s="2">
        <v>7855.5034040461696</v>
      </c>
      <c r="AH4733" s="2">
        <v>8697.9032692110504</v>
      </c>
      <c r="AI4733" s="2">
        <v>8779.80303699877</v>
      </c>
      <c r="AJ4733" s="2">
        <v>7810.7296079897997</v>
      </c>
      <c r="AK4733" s="2">
        <v>7329.3322027776003</v>
      </c>
      <c r="AL4733" s="2">
        <v>6226.4639777789798</v>
      </c>
      <c r="AM4733" s="2">
        <v>6957.8074924502398</v>
      </c>
      <c r="AN4733" s="2">
        <v>6395.02205122133</v>
      </c>
      <c r="AO4733" s="2">
        <v>5326.8331391752999</v>
      </c>
      <c r="AP4733" s="2">
        <v>8042.3693750001603</v>
      </c>
    </row>
    <row r="4734" spans="1:42" ht="14.5" x14ac:dyDescent="0.35">
      <c r="A4734" s="2" t="s">
        <v>31409</v>
      </c>
      <c r="B4734" s="2">
        <v>771.41033382031799</v>
      </c>
      <c r="C4734" s="2">
        <v>10.7807333333333</v>
      </c>
      <c r="D4734" s="2" t="s">
        <v>70</v>
      </c>
      <c r="E4734" s="2" t="s">
        <v>31410</v>
      </c>
      <c r="F4734" s="2">
        <v>3690</v>
      </c>
      <c r="G4734" s="3" t="str">
        <f>HYPERLINK("http://funmeta.oebiotech.com/network/3690", "http://funmeta.oebiotech.com/network/3690")</f>
        <v>http://funmeta.oebiotech.com/network/3690</v>
      </c>
      <c r="H4734" s="2" t="s">
        <v>31411</v>
      </c>
      <c r="I4734" s="2">
        <v>36138</v>
      </c>
      <c r="J4734" s="2" t="s">
        <v>31412</v>
      </c>
      <c r="K4734" s="2">
        <v>87820</v>
      </c>
      <c r="L4734" s="2"/>
      <c r="M4734" s="2"/>
      <c r="N4734" s="2"/>
      <c r="O4734" s="2">
        <v>5283068</v>
      </c>
      <c r="P4734" s="2" t="s">
        <v>31413</v>
      </c>
      <c r="Q4734" s="2" t="s">
        <v>31414</v>
      </c>
      <c r="R4734" s="2" t="s">
        <v>31415</v>
      </c>
      <c r="S4734" s="2" t="s">
        <v>50</v>
      </c>
      <c r="T4734" s="2" t="s">
        <v>229</v>
      </c>
      <c r="U4734" s="2" t="s">
        <v>766</v>
      </c>
      <c r="V4734" s="2" t="s">
        <v>59</v>
      </c>
      <c r="W4734" s="2">
        <v>36.799999999999997</v>
      </c>
      <c r="X4734" s="2">
        <v>0</v>
      </c>
      <c r="Y4734" s="2" t="s">
        <v>560</v>
      </c>
      <c r="Z4734" s="2" t="s">
        <v>4119</v>
      </c>
      <c r="AA4734" s="2">
        <v>-1.34365927732283</v>
      </c>
      <c r="AB4734" s="2">
        <v>0.12552275141390501</v>
      </c>
      <c r="AC4734" s="2">
        <v>3827.9406487055799</v>
      </c>
      <c r="AD4734" s="2">
        <v>2209.6004574491499</v>
      </c>
      <c r="AE4734" s="2">
        <v>2108.1783693351199</v>
      </c>
      <c r="AF4734" s="2">
        <v>2079.04474710059</v>
      </c>
      <c r="AG4734" s="2">
        <v>5182.84538098146</v>
      </c>
      <c r="AH4734" s="2">
        <v>4975.0650611879901</v>
      </c>
      <c r="AI4734" s="2">
        <v>3885.5714532615202</v>
      </c>
      <c r="AJ4734" s="2">
        <v>4736.9388803668298</v>
      </c>
      <c r="AK4734" s="2">
        <v>1990.7337778429201</v>
      </c>
      <c r="AL4734" s="2">
        <v>1634.55437978437</v>
      </c>
      <c r="AM4734" s="2">
        <v>2039.7811993023599</v>
      </c>
      <c r="AN4734" s="2">
        <v>3015.3928313758302</v>
      </c>
      <c r="AO4734" s="2">
        <v>2150.2773675170702</v>
      </c>
      <c r="AP4734" s="2">
        <v>2426.8631888723799</v>
      </c>
    </row>
    <row r="4735" spans="1:42" ht="14.5" x14ac:dyDescent="0.35">
      <c r="A4735" s="2" t="s">
        <v>31416</v>
      </c>
      <c r="B4735" s="2">
        <v>269.15347696982599</v>
      </c>
      <c r="C4735" s="2">
        <v>4.9946333333333301</v>
      </c>
      <c r="D4735" s="2" t="s">
        <v>34</v>
      </c>
      <c r="E4735" s="2" t="s">
        <v>31417</v>
      </c>
      <c r="F4735" s="2">
        <v>44863</v>
      </c>
      <c r="G4735" s="3" t="str">
        <f>HYPERLINK("http://funmeta.oebiotech.com/network/44863", "http://funmeta.oebiotech.com/network/44863")</f>
        <v>http://funmeta.oebiotech.com/network/44863</v>
      </c>
      <c r="H4735" s="2"/>
      <c r="I4735" s="2">
        <v>4012</v>
      </c>
      <c r="J4735" s="2" t="s">
        <v>31418</v>
      </c>
      <c r="K4735" s="2">
        <v>42309</v>
      </c>
      <c r="L4735" s="2" t="s">
        <v>31419</v>
      </c>
      <c r="M4735" s="2"/>
      <c r="N4735" s="2"/>
      <c r="O4735" s="2">
        <v>223368</v>
      </c>
      <c r="P4735" s="2" t="s">
        <v>31420</v>
      </c>
      <c r="Q4735" s="2" t="s">
        <v>31421</v>
      </c>
      <c r="R4735" s="2" t="s">
        <v>31422</v>
      </c>
      <c r="S4735" s="2" t="s">
        <v>50</v>
      </c>
      <c r="T4735" s="2" t="s">
        <v>124</v>
      </c>
      <c r="U4735" s="2" t="s">
        <v>5245</v>
      </c>
      <c r="V4735" s="2" t="s">
        <v>59</v>
      </c>
      <c r="W4735" s="2">
        <v>39.299999999999997</v>
      </c>
      <c r="X4735" s="2">
        <v>0</v>
      </c>
      <c r="Y4735" s="2" t="s">
        <v>394</v>
      </c>
      <c r="Z4735" s="2" t="s">
        <v>31423</v>
      </c>
      <c r="AA4735" s="2">
        <v>-0.48235862106263</v>
      </c>
      <c r="AB4735" s="2">
        <v>0.125425448091877</v>
      </c>
      <c r="AC4735" s="2">
        <v>2705.8751416683999</v>
      </c>
      <c r="AD4735" s="2">
        <v>1507.09513912282</v>
      </c>
      <c r="AE4735" s="2">
        <v>2812.9261352426302</v>
      </c>
      <c r="AF4735" s="2">
        <v>2846.5626828294899</v>
      </c>
      <c r="AG4735" s="2">
        <v>2665.6593174712598</v>
      </c>
      <c r="AH4735" s="2">
        <v>2425.9761547456501</v>
      </c>
      <c r="AI4735" s="2">
        <v>2243.17199257948</v>
      </c>
      <c r="AJ4735" s="2">
        <v>3240.95456714191</v>
      </c>
      <c r="AK4735" s="2">
        <v>1366.95855462636</v>
      </c>
      <c r="AL4735" s="2">
        <v>2069.6934445955999</v>
      </c>
      <c r="AM4735" s="2">
        <v>1297.6417651730901</v>
      </c>
      <c r="AN4735" s="2">
        <v>2035.93908442314</v>
      </c>
      <c r="AO4735" s="2">
        <v>1022.17414981519</v>
      </c>
      <c r="AP4735" s="2">
        <v>1250.16383610355</v>
      </c>
    </row>
    <row r="4736" spans="1:42" ht="14.5" x14ac:dyDescent="0.35">
      <c r="A4736" s="2" t="s">
        <v>31424</v>
      </c>
      <c r="B4736" s="2">
        <v>472.144916255802</v>
      </c>
      <c r="C4736" s="2">
        <v>3.6970333333333301</v>
      </c>
      <c r="D4736" s="2" t="s">
        <v>34</v>
      </c>
      <c r="E4736" s="2" t="s">
        <v>31425</v>
      </c>
      <c r="F4736" s="2">
        <v>204334</v>
      </c>
      <c r="G4736" s="3" t="str">
        <f>HYPERLINK("http://funmeta.oebiotech.com/network/204334", "http://funmeta.oebiotech.com/network/204334")</f>
        <v>http://funmeta.oebiotech.com/network/204334</v>
      </c>
      <c r="H4736" s="2" t="s">
        <v>31426</v>
      </c>
      <c r="I4736" s="2"/>
      <c r="J4736" s="2"/>
      <c r="K4736" s="2"/>
      <c r="L4736" s="2"/>
      <c r="M4736" s="2"/>
      <c r="N4736" s="2"/>
      <c r="O4736" s="2"/>
      <c r="P4736" s="2"/>
      <c r="Q4736" s="2" t="s">
        <v>31427</v>
      </c>
      <c r="R4736" s="2" t="s">
        <v>31428</v>
      </c>
      <c r="S4736" s="2" t="s">
        <v>491</v>
      </c>
      <c r="T4736" s="2" t="s">
        <v>5190</v>
      </c>
      <c r="U4736" s="2" t="s">
        <v>5191</v>
      </c>
      <c r="V4736" s="2" t="s">
        <v>59</v>
      </c>
      <c r="W4736" s="2">
        <v>38.1</v>
      </c>
      <c r="X4736" s="2">
        <v>0</v>
      </c>
      <c r="Y4736" s="2" t="s">
        <v>340</v>
      </c>
      <c r="Z4736" s="2" t="s">
        <v>31429</v>
      </c>
      <c r="AA4736" s="2">
        <v>-1.4773075060596299</v>
      </c>
      <c r="AB4736" s="2">
        <v>0.12531069472202699</v>
      </c>
      <c r="AC4736" s="2">
        <v>5336.7931350864001</v>
      </c>
      <c r="AD4736" s="2">
        <v>3761.2211168407398</v>
      </c>
      <c r="AE4736" s="2">
        <v>3524.6700014374801</v>
      </c>
      <c r="AF4736" s="2">
        <v>6783.2052818987904</v>
      </c>
      <c r="AG4736" s="2">
        <v>6226.3157471873601</v>
      </c>
      <c r="AH4736" s="2">
        <v>5440.83486819872</v>
      </c>
      <c r="AI4736" s="2">
        <v>5689.7229315023797</v>
      </c>
      <c r="AJ4736" s="2">
        <v>4356.0099802936702</v>
      </c>
      <c r="AK4736" s="2">
        <v>2426.7284187395198</v>
      </c>
      <c r="AL4736" s="2">
        <v>3981.8599469532601</v>
      </c>
      <c r="AM4736" s="2">
        <v>4236.7177086955298</v>
      </c>
      <c r="AN4736" s="2">
        <v>3733.3342093463798</v>
      </c>
      <c r="AO4736" s="2">
        <v>3656.37188290926</v>
      </c>
      <c r="AP4736" s="2">
        <v>4532.3145344004997</v>
      </c>
    </row>
    <row r="4737" spans="1:42" ht="14.5" x14ac:dyDescent="0.35">
      <c r="A4737" s="2" t="s">
        <v>31430</v>
      </c>
      <c r="B4737" s="2">
        <v>1079.48029761356</v>
      </c>
      <c r="C4737" s="2">
        <v>5.7736666666666698</v>
      </c>
      <c r="D4737" s="2" t="s">
        <v>34</v>
      </c>
      <c r="E4737" s="2" t="s">
        <v>31431</v>
      </c>
      <c r="F4737" s="2">
        <v>205328</v>
      </c>
      <c r="G4737" s="3" t="str">
        <f>HYPERLINK("http://funmeta.oebiotech.com/network/205328", "http://funmeta.oebiotech.com/network/205328")</f>
        <v>http://funmeta.oebiotech.com/network/205328</v>
      </c>
      <c r="H4737" s="2" t="s">
        <v>31432</v>
      </c>
      <c r="I4737" s="2"/>
      <c r="J4737" s="2"/>
      <c r="K4737" s="2"/>
      <c r="L4737" s="2" t="s">
        <v>31433</v>
      </c>
      <c r="M4737" s="2"/>
      <c r="N4737" s="2"/>
      <c r="O4737" s="2">
        <v>2884</v>
      </c>
      <c r="P4737" s="2"/>
      <c r="Q4737" s="2" t="s">
        <v>31434</v>
      </c>
      <c r="R4737" s="2" t="s">
        <v>31435</v>
      </c>
      <c r="S4737" s="2" t="s">
        <v>89</v>
      </c>
      <c r="T4737" s="2" t="s">
        <v>90</v>
      </c>
      <c r="U4737" s="2" t="s">
        <v>99</v>
      </c>
      <c r="V4737" s="2" t="s">
        <v>59</v>
      </c>
      <c r="W4737" s="2">
        <v>36.799999999999997</v>
      </c>
      <c r="X4737" s="2">
        <v>0</v>
      </c>
      <c r="Y4737" s="2" t="s">
        <v>43</v>
      </c>
      <c r="Z4737" s="2" t="s">
        <v>31436</v>
      </c>
      <c r="AA4737" s="2">
        <v>0.167758754160555</v>
      </c>
      <c r="AB4737" s="2">
        <v>0.125234089744826</v>
      </c>
      <c r="AC4737" s="2">
        <v>1928.4104913787701</v>
      </c>
      <c r="AD4737" s="2">
        <v>361.13082779811299</v>
      </c>
      <c r="AE4737" s="2">
        <v>2666.5435465324899</v>
      </c>
      <c r="AF4737" s="2">
        <v>3474.8024224672499</v>
      </c>
      <c r="AG4737" s="2">
        <v>1783.29918182137</v>
      </c>
      <c r="AH4737" s="2">
        <v>1843.8844695089199</v>
      </c>
      <c r="AI4737" s="2">
        <v>2.7106294003980101E-5</v>
      </c>
      <c r="AJ4737" s="2">
        <v>1801.9333008363101</v>
      </c>
      <c r="AK4737" s="2">
        <v>2.7106294003980101E-5</v>
      </c>
      <c r="AL4737" s="2">
        <v>2166.78483125721</v>
      </c>
      <c r="AM4737" s="2">
        <v>2.7106294003980101E-5</v>
      </c>
      <c r="AN4737" s="2">
        <v>2.7106294003980101E-5</v>
      </c>
      <c r="AO4737" s="2">
        <v>2.7106294003980101E-5</v>
      </c>
      <c r="AP4737" s="2">
        <v>2.7106294003980101E-5</v>
      </c>
    </row>
    <row r="4738" spans="1:42" ht="14.5" x14ac:dyDescent="0.35">
      <c r="A4738" s="2" t="s">
        <v>31437</v>
      </c>
      <c r="B4738" s="2">
        <v>930.57585779627402</v>
      </c>
      <c r="C4738" s="2">
        <v>8.7125000000000004</v>
      </c>
      <c r="D4738" s="2" t="s">
        <v>70</v>
      </c>
      <c r="E4738" s="2" t="s">
        <v>31438</v>
      </c>
      <c r="F4738" s="2">
        <v>236110</v>
      </c>
      <c r="G4738" s="3" t="str">
        <f>HYPERLINK("http://funmeta.oebiotech.com/network/236110", "http://funmeta.oebiotech.com/network/236110")</f>
        <v>http://funmeta.oebiotech.com/network/236110</v>
      </c>
      <c r="H4738" s="2" t="s">
        <v>31439</v>
      </c>
      <c r="I4738" s="2"/>
      <c r="J4738" s="2"/>
      <c r="K4738" s="2"/>
      <c r="L4738" s="2"/>
      <c r="M4738" s="2"/>
      <c r="N4738" s="2"/>
      <c r="O4738" s="2"/>
      <c r="P4738" s="2"/>
      <c r="Q4738" s="2" t="s">
        <v>31440</v>
      </c>
      <c r="R4738" s="2" t="s">
        <v>31441</v>
      </c>
      <c r="S4738" s="2" t="s">
        <v>41</v>
      </c>
      <c r="T4738" s="2" t="s">
        <v>41</v>
      </c>
      <c r="U4738" s="2" t="s">
        <v>41</v>
      </c>
      <c r="V4738" s="2" t="s">
        <v>59</v>
      </c>
      <c r="W4738" s="2">
        <v>37.299999999999997</v>
      </c>
      <c r="X4738" s="2">
        <v>0</v>
      </c>
      <c r="Y4738" s="2" t="s">
        <v>118</v>
      </c>
      <c r="Z4738" s="2" t="s">
        <v>31442</v>
      </c>
      <c r="AA4738" s="2">
        <v>4.8746951129514304</v>
      </c>
      <c r="AB4738" s="2">
        <v>0.12518164104080601</v>
      </c>
      <c r="AC4738" s="2">
        <v>33176.598886595799</v>
      </c>
      <c r="AD4738" s="2">
        <v>35656.667812706</v>
      </c>
      <c r="AE4738" s="2">
        <v>36275.490219881802</v>
      </c>
      <c r="AF4738" s="2">
        <v>33199.874837891999</v>
      </c>
      <c r="AG4738" s="2">
        <v>34690.102889922302</v>
      </c>
      <c r="AH4738" s="2">
        <v>31356.697718293799</v>
      </c>
      <c r="AI4738" s="2">
        <v>30323.9472194523</v>
      </c>
      <c r="AJ4738" s="2">
        <v>33213.480434132704</v>
      </c>
      <c r="AK4738" s="2">
        <v>34491.4454057779</v>
      </c>
      <c r="AL4738" s="2">
        <v>33525.851393318902</v>
      </c>
      <c r="AM4738" s="2">
        <v>40767.7263310614</v>
      </c>
      <c r="AN4738" s="2">
        <v>33565.6230415557</v>
      </c>
      <c r="AO4738" s="2">
        <v>39460.295125050703</v>
      </c>
      <c r="AP4738" s="2">
        <v>32129.0655794714</v>
      </c>
    </row>
    <row r="4739" spans="1:42" ht="14.5" x14ac:dyDescent="0.35">
      <c r="A4739" s="2" t="s">
        <v>31443</v>
      </c>
      <c r="B4739" s="2">
        <v>189.159829098035</v>
      </c>
      <c r="C4739" s="2">
        <v>0.66754999999999998</v>
      </c>
      <c r="D4739" s="2" t="s">
        <v>34</v>
      </c>
      <c r="E4739" s="2" t="s">
        <v>31444</v>
      </c>
      <c r="F4739" s="2">
        <v>279823</v>
      </c>
      <c r="G4739" s="3" t="str">
        <f>HYPERLINK("http://funmeta.oebiotech.com/network/279823", "http://funmeta.oebiotech.com/network/279823")</f>
        <v>http://funmeta.oebiotech.com/network/279823</v>
      </c>
      <c r="H4739" s="2"/>
      <c r="I4739" s="2">
        <v>72646</v>
      </c>
      <c r="J4739" s="2"/>
      <c r="K4739" s="2"/>
      <c r="L4739" s="2" t="s">
        <v>31445</v>
      </c>
      <c r="M4739" s="2"/>
      <c r="N4739" s="2"/>
      <c r="O4739" s="2">
        <v>32490</v>
      </c>
      <c r="P4739" s="2" t="s">
        <v>31446</v>
      </c>
      <c r="Q4739" s="2" t="s">
        <v>31447</v>
      </c>
      <c r="R4739" s="2" t="s">
        <v>31448</v>
      </c>
      <c r="S4739" s="2" t="s">
        <v>89</v>
      </c>
      <c r="T4739" s="2" t="s">
        <v>90</v>
      </c>
      <c r="U4739" s="2" t="s">
        <v>99</v>
      </c>
      <c r="V4739" s="2" t="s">
        <v>59</v>
      </c>
      <c r="W4739" s="2">
        <v>39.200000000000003</v>
      </c>
      <c r="X4739" s="2">
        <v>0</v>
      </c>
      <c r="Y4739" s="2" t="s">
        <v>1249</v>
      </c>
      <c r="Z4739" s="2" t="s">
        <v>31449</v>
      </c>
      <c r="AA4739" s="2">
        <v>0.39742189644450598</v>
      </c>
      <c r="AB4739" s="2">
        <v>0.12511123073200001</v>
      </c>
      <c r="AC4739" s="2">
        <v>5028.0267147119002</v>
      </c>
      <c r="AD4739" s="2">
        <v>3624.1129720846502</v>
      </c>
      <c r="AE4739" s="2">
        <v>4514.6847554612104</v>
      </c>
      <c r="AF4739" s="2">
        <v>4535.81045646436</v>
      </c>
      <c r="AG4739" s="2">
        <v>4530.7572160741101</v>
      </c>
      <c r="AH4739" s="2">
        <v>6613.7954759294898</v>
      </c>
      <c r="AI4739" s="2">
        <v>4482.3558854827097</v>
      </c>
      <c r="AJ4739" s="2">
        <v>5490.7564988595504</v>
      </c>
      <c r="AK4739" s="2">
        <v>3334.7596707350899</v>
      </c>
      <c r="AL4739" s="2">
        <v>3106.6277018163701</v>
      </c>
      <c r="AM4739" s="2">
        <v>4359.4778585996501</v>
      </c>
      <c r="AN4739" s="2">
        <v>3608.6138608769802</v>
      </c>
      <c r="AO4739" s="2">
        <v>4107.6057846670301</v>
      </c>
      <c r="AP4739" s="2">
        <v>3227.5929558128</v>
      </c>
    </row>
    <row r="4740" spans="1:42" ht="14.5" x14ac:dyDescent="0.35">
      <c r="A4740" s="2" t="s">
        <v>31450</v>
      </c>
      <c r="B4740" s="2">
        <v>187.09671674283001</v>
      </c>
      <c r="C4740" s="2">
        <v>5.2266333333333304</v>
      </c>
      <c r="D4740" s="2" t="s">
        <v>70</v>
      </c>
      <c r="E4740" s="2" t="s">
        <v>31451</v>
      </c>
      <c r="F4740" s="2">
        <v>2867</v>
      </c>
      <c r="G4740" s="3" t="str">
        <f>HYPERLINK("http://funmeta.oebiotech.com/network/2867", "http://funmeta.oebiotech.com/network/2867")</f>
        <v>http://funmeta.oebiotech.com/network/2867</v>
      </c>
      <c r="H4740" s="2" t="s">
        <v>31452</v>
      </c>
      <c r="I4740" s="2">
        <v>5750</v>
      </c>
      <c r="J4740" s="2" t="s">
        <v>31453</v>
      </c>
      <c r="K4740" s="2">
        <v>48131</v>
      </c>
      <c r="L4740" s="2" t="s">
        <v>31454</v>
      </c>
      <c r="M4740" s="2"/>
      <c r="N4740" s="2"/>
      <c r="O4740" s="2">
        <v>2266</v>
      </c>
      <c r="P4740" s="2" t="s">
        <v>31455</v>
      </c>
      <c r="Q4740" s="2" t="s">
        <v>31456</v>
      </c>
      <c r="R4740" s="2" t="s">
        <v>31457</v>
      </c>
      <c r="S4740" s="2" t="s">
        <v>50</v>
      </c>
      <c r="T4740" s="2" t="s">
        <v>229</v>
      </c>
      <c r="U4740" s="2" t="s">
        <v>433</v>
      </c>
      <c r="V4740" s="2" t="s">
        <v>42</v>
      </c>
      <c r="W4740" s="2">
        <v>48.5</v>
      </c>
      <c r="X4740" s="2">
        <v>50.6</v>
      </c>
      <c r="Y4740" s="2" t="s">
        <v>118</v>
      </c>
      <c r="Z4740" s="2" t="s">
        <v>31458</v>
      </c>
      <c r="AA4740" s="2">
        <v>-4.60283979254742</v>
      </c>
      <c r="AB4740" s="2">
        <v>0.12501774632927001</v>
      </c>
      <c r="AC4740" s="2">
        <v>7830.9410597958904</v>
      </c>
      <c r="AD4740" s="2">
        <v>9087.8039834272004</v>
      </c>
      <c r="AE4740" s="2">
        <v>8255.8397104360793</v>
      </c>
      <c r="AF4740" s="2">
        <v>8563.1737338524999</v>
      </c>
      <c r="AG4740" s="2">
        <v>6948.3770025047497</v>
      </c>
      <c r="AH4740" s="2">
        <v>8064.5917738889302</v>
      </c>
      <c r="AI4740" s="2">
        <v>7432.9772179376696</v>
      </c>
      <c r="AJ4740" s="2">
        <v>7720.68692015543</v>
      </c>
      <c r="AK4740" s="2">
        <v>8589.4954111809293</v>
      </c>
      <c r="AL4740" s="2">
        <v>9181.1487597396008</v>
      </c>
      <c r="AM4740" s="2">
        <v>9508.6973992701605</v>
      </c>
      <c r="AN4740" s="2">
        <v>8826.7283455939505</v>
      </c>
      <c r="AO4740" s="2">
        <v>9408.5512719328908</v>
      </c>
      <c r="AP4740" s="2">
        <v>9012.2027128456903</v>
      </c>
    </row>
    <row r="4741" spans="1:42" ht="14.5" x14ac:dyDescent="0.35">
      <c r="A4741" s="2" t="s">
        <v>31459</v>
      </c>
      <c r="B4741" s="2">
        <v>725.13106034402097</v>
      </c>
      <c r="C4741" s="2">
        <v>3.6928666666666699</v>
      </c>
      <c r="D4741" s="2" t="s">
        <v>70</v>
      </c>
      <c r="E4741" s="2" t="s">
        <v>31460</v>
      </c>
      <c r="F4741" s="2">
        <v>206823</v>
      </c>
      <c r="G4741" s="3" t="str">
        <f>HYPERLINK("http://funmeta.oebiotech.com/network/206823", "http://funmeta.oebiotech.com/network/206823")</f>
        <v>http://funmeta.oebiotech.com/network/206823</v>
      </c>
      <c r="H4741" s="2" t="s">
        <v>31461</v>
      </c>
      <c r="I4741" s="2">
        <v>72506</v>
      </c>
      <c r="J4741" s="2"/>
      <c r="K4741" s="2">
        <v>81920</v>
      </c>
      <c r="L4741" s="2" t="s">
        <v>31462</v>
      </c>
      <c r="M4741" s="2"/>
      <c r="N4741" s="2"/>
      <c r="O4741" s="2">
        <v>86429</v>
      </c>
      <c r="P4741" s="2" t="s">
        <v>31463</v>
      </c>
      <c r="Q4741" s="2" t="s">
        <v>31464</v>
      </c>
      <c r="R4741" s="2" t="s">
        <v>31465</v>
      </c>
      <c r="S4741" s="2" t="s">
        <v>148</v>
      </c>
      <c r="T4741" s="2" t="s">
        <v>149</v>
      </c>
      <c r="U4741" s="2" t="s">
        <v>4630</v>
      </c>
      <c r="V4741" s="2" t="s">
        <v>59</v>
      </c>
      <c r="W4741" s="2">
        <v>36.299999999999997</v>
      </c>
      <c r="X4741" s="2">
        <v>0</v>
      </c>
      <c r="Y4741" s="2" t="s">
        <v>560</v>
      </c>
      <c r="Z4741" s="2" t="s">
        <v>31466</v>
      </c>
      <c r="AA4741" s="2">
        <v>7.4582421538188397</v>
      </c>
      <c r="AB4741" s="2">
        <v>0.12498590891669201</v>
      </c>
      <c r="AC4741" s="2">
        <v>5219.2599635921897</v>
      </c>
      <c r="AD4741" s="2">
        <v>3939.9085462622102</v>
      </c>
      <c r="AE4741" s="2">
        <v>6112.7539393445604</v>
      </c>
      <c r="AF4741" s="2">
        <v>5642.6747300766501</v>
      </c>
      <c r="AG4741" s="2">
        <v>5486.1452142604603</v>
      </c>
      <c r="AH4741" s="2">
        <v>4185.3736476211097</v>
      </c>
      <c r="AI4741" s="2">
        <v>5000.3828034499902</v>
      </c>
      <c r="AJ4741" s="2">
        <v>4888.2294468003602</v>
      </c>
      <c r="AK4741" s="2">
        <v>3633.6986420365802</v>
      </c>
      <c r="AL4741" s="2">
        <v>4302.3920783970098</v>
      </c>
      <c r="AM4741" s="2">
        <v>4049.3833043781101</v>
      </c>
      <c r="AN4741" s="2">
        <v>3567.8644462921102</v>
      </c>
      <c r="AO4741" s="2">
        <v>4344.8345895463299</v>
      </c>
      <c r="AP4741" s="2">
        <v>3741.27821692314</v>
      </c>
    </row>
    <row r="4742" spans="1:42" ht="14.5" x14ac:dyDescent="0.35">
      <c r="A4742" s="2" t="s">
        <v>31467</v>
      </c>
      <c r="B4742" s="2">
        <v>209.07856777808101</v>
      </c>
      <c r="C4742" s="2">
        <v>2.3537666666666701</v>
      </c>
      <c r="D4742" s="2" t="s">
        <v>34</v>
      </c>
      <c r="E4742" s="2" t="s">
        <v>31468</v>
      </c>
      <c r="F4742" s="2">
        <v>55676</v>
      </c>
      <c r="G4742" s="3" t="str">
        <f>HYPERLINK("http://funmeta.oebiotech.com/network/55676", "http://funmeta.oebiotech.com/network/55676")</f>
        <v>http://funmeta.oebiotech.com/network/55676</v>
      </c>
      <c r="H4742" s="2" t="s">
        <v>31469</v>
      </c>
      <c r="I4742" s="2">
        <v>87332</v>
      </c>
      <c r="J4742" s="2"/>
      <c r="K4742" s="2">
        <v>168964</v>
      </c>
      <c r="L4742" s="2"/>
      <c r="M4742" s="2"/>
      <c r="N4742" s="2"/>
      <c r="O4742" s="2">
        <v>131751114</v>
      </c>
      <c r="P4742" s="2"/>
      <c r="Q4742" s="2" t="s">
        <v>31470</v>
      </c>
      <c r="R4742" s="2" t="s">
        <v>31471</v>
      </c>
      <c r="S4742" s="2" t="s">
        <v>491</v>
      </c>
      <c r="T4742" s="2" t="s">
        <v>5973</v>
      </c>
      <c r="U4742" s="2" t="s">
        <v>6296</v>
      </c>
      <c r="V4742" s="2" t="s">
        <v>59</v>
      </c>
      <c r="W4742" s="2">
        <v>39.299999999999997</v>
      </c>
      <c r="X4742" s="2">
        <v>0</v>
      </c>
      <c r="Y4742" s="2" t="s">
        <v>323</v>
      </c>
      <c r="Z4742" s="2" t="s">
        <v>31472</v>
      </c>
      <c r="AA4742" s="2">
        <v>0.742497976657985</v>
      </c>
      <c r="AB4742" s="2">
        <v>0.124957031370122</v>
      </c>
      <c r="AC4742" s="2">
        <v>5304.68594185657</v>
      </c>
      <c r="AD4742" s="2">
        <v>6496.5873434390996</v>
      </c>
      <c r="AE4742" s="2">
        <v>5712.1402531393596</v>
      </c>
      <c r="AF4742" s="2">
        <v>5784.2282730792404</v>
      </c>
      <c r="AG4742" s="2">
        <v>5141.72660921857</v>
      </c>
      <c r="AH4742" s="2">
        <v>4952.3083207823902</v>
      </c>
      <c r="AI4742" s="2">
        <v>4910.5609179941102</v>
      </c>
      <c r="AJ4742" s="2">
        <v>5327.1512769257497</v>
      </c>
      <c r="AK4742" s="2">
        <v>6980.9854789004803</v>
      </c>
      <c r="AL4742" s="2">
        <v>6472.2188503977204</v>
      </c>
      <c r="AM4742" s="2">
        <v>5926.9072821549198</v>
      </c>
      <c r="AN4742" s="2">
        <v>6623.3488385855198</v>
      </c>
      <c r="AO4742" s="2">
        <v>6762.7065525021299</v>
      </c>
      <c r="AP4742" s="2">
        <v>6213.3570580938203</v>
      </c>
    </row>
    <row r="4743" spans="1:42" ht="14.5" x14ac:dyDescent="0.35">
      <c r="A4743" s="2" t="s">
        <v>31473</v>
      </c>
      <c r="B4743" s="2">
        <v>345.11889409886902</v>
      </c>
      <c r="C4743" s="2">
        <v>3.2222666666666702</v>
      </c>
      <c r="D4743" s="2" t="s">
        <v>70</v>
      </c>
      <c r="E4743" s="2" t="s">
        <v>31474</v>
      </c>
      <c r="F4743" s="2">
        <v>61730</v>
      </c>
      <c r="G4743" s="3" t="str">
        <f>HYPERLINK("http://funmeta.oebiotech.com/network/61730", "http://funmeta.oebiotech.com/network/61730")</f>
        <v>http://funmeta.oebiotech.com/network/61730</v>
      </c>
      <c r="H4743" s="2" t="s">
        <v>31475</v>
      </c>
      <c r="I4743" s="2">
        <v>93052</v>
      </c>
      <c r="J4743" s="2"/>
      <c r="K4743" s="2">
        <v>172529</v>
      </c>
      <c r="L4743" s="2"/>
      <c r="M4743" s="2"/>
      <c r="N4743" s="2"/>
      <c r="O4743" s="2">
        <v>75586327</v>
      </c>
      <c r="P4743" s="2"/>
      <c r="Q4743" s="2" t="s">
        <v>31476</v>
      </c>
      <c r="R4743" s="2" t="s">
        <v>31477</v>
      </c>
      <c r="S4743" s="2" t="s">
        <v>79</v>
      </c>
      <c r="T4743" s="2" t="s">
        <v>80</v>
      </c>
      <c r="U4743" s="2" t="s">
        <v>81</v>
      </c>
      <c r="V4743" s="2" t="s">
        <v>42</v>
      </c>
      <c r="W4743" s="2">
        <v>49.6</v>
      </c>
      <c r="X4743" s="2">
        <v>52.4</v>
      </c>
      <c r="Y4743" s="2" t="s">
        <v>408</v>
      </c>
      <c r="Z4743" s="2" t="s">
        <v>25058</v>
      </c>
      <c r="AA4743" s="2">
        <v>-0.70554716010426699</v>
      </c>
      <c r="AB4743" s="2">
        <v>0.124918198830899</v>
      </c>
      <c r="AC4743" s="2">
        <v>48381.037031256797</v>
      </c>
      <c r="AD4743" s="2">
        <v>50169.1268333767</v>
      </c>
      <c r="AE4743" s="2">
        <v>48291.446952519298</v>
      </c>
      <c r="AF4743" s="2">
        <v>50152.263273838398</v>
      </c>
      <c r="AG4743" s="2">
        <v>48385.836935687301</v>
      </c>
      <c r="AH4743" s="2">
        <v>47153.395226122397</v>
      </c>
      <c r="AI4743" s="2">
        <v>49023.122924210802</v>
      </c>
      <c r="AJ4743" s="2">
        <v>47280.156875162698</v>
      </c>
      <c r="AK4743" s="2">
        <v>49092.8314835247</v>
      </c>
      <c r="AL4743" s="2">
        <v>49482.305510254097</v>
      </c>
      <c r="AM4743" s="2">
        <v>50049.714909430702</v>
      </c>
      <c r="AN4743" s="2">
        <v>53500.368374856698</v>
      </c>
      <c r="AO4743" s="2">
        <v>49093.104986557199</v>
      </c>
      <c r="AP4743" s="2">
        <v>49796.435735636704</v>
      </c>
    </row>
    <row r="4744" spans="1:42" ht="14.5" x14ac:dyDescent="0.35">
      <c r="A4744" s="2" t="s">
        <v>31478</v>
      </c>
      <c r="B4744" s="2">
        <v>319.15377043201897</v>
      </c>
      <c r="C4744" s="2">
        <v>5.6884499999999996</v>
      </c>
      <c r="D4744" s="2" t="s">
        <v>34</v>
      </c>
      <c r="E4744" s="2" t="s">
        <v>31479</v>
      </c>
      <c r="F4744" s="2">
        <v>28249</v>
      </c>
      <c r="G4744" s="3" t="str">
        <f>HYPERLINK("http://funmeta.oebiotech.com/network/28249", "http://funmeta.oebiotech.com/network/28249")</f>
        <v>http://funmeta.oebiotech.com/network/28249</v>
      </c>
      <c r="H4744" s="2"/>
      <c r="I4744" s="2">
        <v>40980</v>
      </c>
      <c r="J4744" s="2" t="s">
        <v>31480</v>
      </c>
      <c r="K4744" s="2">
        <v>10106</v>
      </c>
      <c r="L4744" s="2" t="s">
        <v>31481</v>
      </c>
      <c r="M4744" s="2"/>
      <c r="N4744" s="2"/>
      <c r="O4744" s="2">
        <v>5281576</v>
      </c>
      <c r="P4744" s="2"/>
      <c r="Q4744" s="2" t="s">
        <v>31482</v>
      </c>
      <c r="R4744" s="2" t="s">
        <v>31483</v>
      </c>
      <c r="S4744" s="2" t="s">
        <v>115</v>
      </c>
      <c r="T4744" s="2" t="s">
        <v>1384</v>
      </c>
      <c r="U4744" s="2" t="s">
        <v>10767</v>
      </c>
      <c r="V4744" s="2" t="s">
        <v>59</v>
      </c>
      <c r="W4744" s="2">
        <v>38.1</v>
      </c>
      <c r="X4744" s="2">
        <v>0</v>
      </c>
      <c r="Y4744" s="2" t="s">
        <v>394</v>
      </c>
      <c r="Z4744" s="2" t="s">
        <v>31484</v>
      </c>
      <c r="AA4744" s="2">
        <v>-0.72231867804719196</v>
      </c>
      <c r="AB4744" s="2">
        <v>0.124896859225652</v>
      </c>
      <c r="AC4744" s="2">
        <v>1392.40975759713</v>
      </c>
      <c r="AD4744" s="2">
        <v>142.26369436380801</v>
      </c>
      <c r="AE4744" s="2">
        <v>2138.80040554271</v>
      </c>
      <c r="AF4744" s="2">
        <v>2295.8760439826101</v>
      </c>
      <c r="AG4744" s="2">
        <v>1207.68957026108</v>
      </c>
      <c r="AH4744" s="2">
        <v>908.98382400258799</v>
      </c>
      <c r="AI4744" s="2">
        <v>565.73338170813201</v>
      </c>
      <c r="AJ4744" s="2">
        <v>1237.37532008567</v>
      </c>
      <c r="AK4744" s="2">
        <v>350.29792564364499</v>
      </c>
      <c r="AL4744" s="2">
        <v>2.7106294003980101E-5</v>
      </c>
      <c r="AM4744" s="2">
        <v>2.7106294003980101E-5</v>
      </c>
      <c r="AN4744" s="2">
        <v>2.7106294003980101E-5</v>
      </c>
      <c r="AO4744" s="2">
        <v>258.20870144311601</v>
      </c>
      <c r="AP4744" s="2">
        <v>245.07545777720199</v>
      </c>
    </row>
    <row r="4745" spans="1:42" ht="14.5" x14ac:dyDescent="0.35">
      <c r="A4745" s="2" t="s">
        <v>31485</v>
      </c>
      <c r="B4745" s="2">
        <v>387.00692141458899</v>
      </c>
      <c r="C4745" s="2">
        <v>9.8749333333333293</v>
      </c>
      <c r="D4745" s="2" t="s">
        <v>70</v>
      </c>
      <c r="E4745" s="2" t="s">
        <v>31486</v>
      </c>
      <c r="F4745" s="2">
        <v>59570</v>
      </c>
      <c r="G4745" s="3" t="str">
        <f>HYPERLINK("http://funmeta.oebiotech.com/network/59570", "http://funmeta.oebiotech.com/network/59570")</f>
        <v>http://funmeta.oebiotech.com/network/59570</v>
      </c>
      <c r="H4745" s="2" t="s">
        <v>31487</v>
      </c>
      <c r="I4745" s="2">
        <v>90974</v>
      </c>
      <c r="J4745" s="2"/>
      <c r="K4745" s="2">
        <v>173932</v>
      </c>
      <c r="L4745" s="2"/>
      <c r="M4745" s="2"/>
      <c r="N4745" s="2"/>
      <c r="O4745" s="2">
        <v>85798858</v>
      </c>
      <c r="P4745" s="2" t="s">
        <v>31488</v>
      </c>
      <c r="Q4745" s="2" t="s">
        <v>31489</v>
      </c>
      <c r="R4745" s="2" t="s">
        <v>31490</v>
      </c>
      <c r="S4745" s="2" t="s">
        <v>50</v>
      </c>
      <c r="T4745" s="2" t="s">
        <v>229</v>
      </c>
      <c r="U4745" s="2" t="s">
        <v>433</v>
      </c>
      <c r="V4745" s="2" t="s">
        <v>59</v>
      </c>
      <c r="W4745" s="2">
        <v>37.6</v>
      </c>
      <c r="X4745" s="2">
        <v>0</v>
      </c>
      <c r="Y4745" s="2" t="s">
        <v>560</v>
      </c>
      <c r="Z4745" s="2" t="s">
        <v>31491</v>
      </c>
      <c r="AA4745" s="2">
        <v>-0.192034613686798</v>
      </c>
      <c r="AB4745" s="2">
        <v>0.12472564433765</v>
      </c>
      <c r="AC4745" s="2">
        <v>7657.4972791169403</v>
      </c>
      <c r="AD4745" s="2">
        <v>8960.3423940308694</v>
      </c>
      <c r="AE4745" s="2">
        <v>7705.0700543898402</v>
      </c>
      <c r="AF4745" s="2">
        <v>7038.0759146043902</v>
      </c>
      <c r="AG4745" s="2">
        <v>7732.3492503674497</v>
      </c>
      <c r="AH4745" s="2">
        <v>7915.60269959588</v>
      </c>
      <c r="AI4745" s="2">
        <v>7953.7295965182502</v>
      </c>
      <c r="AJ4745" s="2">
        <v>7600.1561592258104</v>
      </c>
      <c r="AK4745" s="2">
        <v>9083.2863375982797</v>
      </c>
      <c r="AL4745" s="2">
        <v>9886.1601811259807</v>
      </c>
      <c r="AM4745" s="2">
        <v>8401.0233300203399</v>
      </c>
      <c r="AN4745" s="2">
        <v>8278.3094001535792</v>
      </c>
      <c r="AO4745" s="2">
        <v>9750.6571411557397</v>
      </c>
      <c r="AP4745" s="2">
        <v>8362.6179741313008</v>
      </c>
    </row>
    <row r="4746" spans="1:42" ht="14.5" x14ac:dyDescent="0.35">
      <c r="A4746" s="2" t="s">
        <v>31492</v>
      </c>
      <c r="B4746" s="2">
        <v>391.12066975822103</v>
      </c>
      <c r="C4746" s="2">
        <v>1.34713333333333</v>
      </c>
      <c r="D4746" s="2" t="s">
        <v>34</v>
      </c>
      <c r="E4746" s="2" t="s">
        <v>31493</v>
      </c>
      <c r="F4746" s="2">
        <v>210734</v>
      </c>
      <c r="G4746" s="3" t="str">
        <f>HYPERLINK("http://funmeta.oebiotech.com/network/210734", "http://funmeta.oebiotech.com/network/210734")</f>
        <v>http://funmeta.oebiotech.com/network/210734</v>
      </c>
      <c r="H4746" s="2" t="s">
        <v>31494</v>
      </c>
      <c r="I4746" s="2">
        <v>72533</v>
      </c>
      <c r="J4746" s="2"/>
      <c r="K4746" s="2">
        <v>81942</v>
      </c>
      <c r="L4746" s="2" t="s">
        <v>31495</v>
      </c>
      <c r="M4746" s="2"/>
      <c r="N4746" s="2"/>
      <c r="O4746" s="2">
        <v>26033</v>
      </c>
      <c r="P4746" s="2" t="s">
        <v>31496</v>
      </c>
      <c r="Q4746" s="2" t="s">
        <v>31497</v>
      </c>
      <c r="R4746" s="2" t="s">
        <v>31498</v>
      </c>
      <c r="S4746" s="2" t="s">
        <v>89</v>
      </c>
      <c r="T4746" s="2" t="s">
        <v>15082</v>
      </c>
      <c r="U4746" s="2" t="s">
        <v>15083</v>
      </c>
      <c r="V4746" s="2" t="s">
        <v>59</v>
      </c>
      <c r="W4746" s="2">
        <v>37</v>
      </c>
      <c r="X4746" s="2">
        <v>0</v>
      </c>
      <c r="Y4746" s="2" t="s">
        <v>43</v>
      </c>
      <c r="Z4746" s="2" t="s">
        <v>31499</v>
      </c>
      <c r="AA4746" s="2">
        <v>1.91871143553763</v>
      </c>
      <c r="AB4746" s="2">
        <v>0.124548688115559</v>
      </c>
      <c r="AC4746" s="2">
        <v>2286.3516862031702</v>
      </c>
      <c r="AD4746" s="2">
        <v>3842.6533808838799</v>
      </c>
      <c r="AE4746" s="2">
        <v>3284.02078693251</v>
      </c>
      <c r="AF4746" s="2">
        <v>2474.47520196712</v>
      </c>
      <c r="AG4746" s="2">
        <v>1413.72094425303</v>
      </c>
      <c r="AH4746" s="2">
        <v>2035.72139208983</v>
      </c>
      <c r="AI4746" s="2">
        <v>2857.5778568821402</v>
      </c>
      <c r="AJ4746" s="2">
        <v>1652.5939350944</v>
      </c>
      <c r="AK4746" s="2">
        <v>3469.5236105243798</v>
      </c>
      <c r="AL4746" s="2">
        <v>1899.4418975127601</v>
      </c>
      <c r="AM4746" s="2">
        <v>4442.5898250964501</v>
      </c>
      <c r="AN4746" s="2">
        <v>3621.5901569942698</v>
      </c>
      <c r="AO4746" s="2">
        <v>5633.7426511763797</v>
      </c>
      <c r="AP4746" s="2">
        <v>3989.0321439990698</v>
      </c>
    </row>
    <row r="4747" spans="1:42" ht="14.5" x14ac:dyDescent="0.35">
      <c r="A4747" s="2" t="s">
        <v>31500</v>
      </c>
      <c r="B4747" s="2">
        <v>819.52660138010197</v>
      </c>
      <c r="C4747" s="2">
        <v>14.9023</v>
      </c>
      <c r="D4747" s="2" t="s">
        <v>70</v>
      </c>
      <c r="E4747" s="2" t="s">
        <v>31501</v>
      </c>
      <c r="F4747" s="2">
        <v>18033</v>
      </c>
      <c r="G4747" s="3" t="str">
        <f>HYPERLINK("http://funmeta.oebiotech.com/network/18033", "http://funmeta.oebiotech.com/network/18033")</f>
        <v>http://funmeta.oebiotech.com/network/18033</v>
      </c>
      <c r="H4747" s="2"/>
      <c r="I4747" s="2"/>
      <c r="J4747" s="2" t="s">
        <v>31502</v>
      </c>
      <c r="K4747" s="2"/>
      <c r="L4747" s="2"/>
      <c r="M4747" s="2"/>
      <c r="N4747" s="2"/>
      <c r="O4747" s="2">
        <v>5771744</v>
      </c>
      <c r="P4747" s="2"/>
      <c r="Q4747" s="2" t="s">
        <v>31503</v>
      </c>
      <c r="R4747" s="2" t="s">
        <v>31504</v>
      </c>
      <c r="S4747" s="2" t="s">
        <v>50</v>
      </c>
      <c r="T4747" s="2" t="s">
        <v>448</v>
      </c>
      <c r="U4747" s="2" t="s">
        <v>449</v>
      </c>
      <c r="V4747" s="2" t="s">
        <v>42</v>
      </c>
      <c r="W4747" s="2">
        <v>59</v>
      </c>
      <c r="X4747" s="2">
        <v>96.2</v>
      </c>
      <c r="Y4747" s="2" t="s">
        <v>408</v>
      </c>
      <c r="Z4747" s="2" t="s">
        <v>31505</v>
      </c>
      <c r="AA4747" s="2">
        <v>0.25814595634391702</v>
      </c>
      <c r="AB4747" s="2">
        <v>0.12448866687316</v>
      </c>
      <c r="AC4747" s="2">
        <v>310520.11634397501</v>
      </c>
      <c r="AD4747" s="2">
        <v>315479.32252661302</v>
      </c>
      <c r="AE4747" s="2">
        <v>304039.52145641501</v>
      </c>
      <c r="AF4747" s="2">
        <v>286316.23377811699</v>
      </c>
      <c r="AG4747" s="2">
        <v>303976.47260829498</v>
      </c>
      <c r="AH4747" s="2">
        <v>325177.78812591598</v>
      </c>
      <c r="AI4747" s="2">
        <v>316041.52685276698</v>
      </c>
      <c r="AJ4747" s="2">
        <v>327569.15524233901</v>
      </c>
      <c r="AK4747" s="2">
        <v>319180.92740237602</v>
      </c>
      <c r="AL4747" s="2">
        <v>301186.11451138603</v>
      </c>
      <c r="AM4747" s="2">
        <v>301406.38423667301</v>
      </c>
      <c r="AN4747" s="2">
        <v>328690.99811684701</v>
      </c>
      <c r="AO4747" s="2">
        <v>325315.86275600601</v>
      </c>
      <c r="AP4747" s="2">
        <v>317095.64813639002</v>
      </c>
    </row>
    <row r="4748" spans="1:42" ht="14.5" x14ac:dyDescent="0.35">
      <c r="A4748" s="2" t="s">
        <v>31506</v>
      </c>
      <c r="B4748" s="2">
        <v>557.16968299447001</v>
      </c>
      <c r="C4748" s="2">
        <v>1.4846333333333299</v>
      </c>
      <c r="D4748" s="2" t="s">
        <v>70</v>
      </c>
      <c r="E4748" s="2" t="s">
        <v>31507</v>
      </c>
      <c r="F4748" s="2">
        <v>57704</v>
      </c>
      <c r="G4748" s="3" t="str">
        <f>HYPERLINK("http://funmeta.oebiotech.com/network/57704", "http://funmeta.oebiotech.com/network/57704")</f>
        <v>http://funmeta.oebiotech.com/network/57704</v>
      </c>
      <c r="H4748" s="2" t="s">
        <v>31508</v>
      </c>
      <c r="I4748" s="2">
        <v>68497</v>
      </c>
      <c r="J4748" s="2"/>
      <c r="K4748" s="2"/>
      <c r="L4748" s="2" t="s">
        <v>31509</v>
      </c>
      <c r="M4748" s="2"/>
      <c r="N4748" s="2"/>
      <c r="O4748" s="2">
        <v>353825</v>
      </c>
      <c r="P4748" s="2" t="s">
        <v>31510</v>
      </c>
      <c r="Q4748" s="2" t="s">
        <v>31511</v>
      </c>
      <c r="R4748" s="2" t="s">
        <v>31512</v>
      </c>
      <c r="S4748" s="2" t="s">
        <v>491</v>
      </c>
      <c r="T4748" s="2" t="s">
        <v>1516</v>
      </c>
      <c r="U4748" s="2" t="s">
        <v>19544</v>
      </c>
      <c r="V4748" s="2" t="s">
        <v>59</v>
      </c>
      <c r="W4748" s="2">
        <v>45.3</v>
      </c>
      <c r="X4748" s="2">
        <v>32.5</v>
      </c>
      <c r="Y4748" s="2" t="s">
        <v>560</v>
      </c>
      <c r="Z4748" s="2" t="s">
        <v>31513</v>
      </c>
      <c r="AA4748" s="2">
        <v>-3.8108455899079798</v>
      </c>
      <c r="AB4748" s="2">
        <v>0.124467230698259</v>
      </c>
      <c r="AC4748" s="2">
        <v>17117.959155231601</v>
      </c>
      <c r="AD4748" s="2">
        <v>15414.341062715899</v>
      </c>
      <c r="AE4748" s="2">
        <v>16434.142628166101</v>
      </c>
      <c r="AF4748" s="2">
        <v>16569.1988585285</v>
      </c>
      <c r="AG4748" s="2">
        <v>17035.541403530198</v>
      </c>
      <c r="AH4748" s="2">
        <v>17478.352766600001</v>
      </c>
      <c r="AI4748" s="2">
        <v>18189.1202035434</v>
      </c>
      <c r="AJ4748" s="2">
        <v>17001.3990710213</v>
      </c>
      <c r="AK4748" s="2">
        <v>14890.116116753001</v>
      </c>
      <c r="AL4748" s="2">
        <v>14261.109879669</v>
      </c>
      <c r="AM4748" s="2">
        <v>13603.6226187138</v>
      </c>
      <c r="AN4748" s="2">
        <v>14891.5799296205</v>
      </c>
      <c r="AO4748" s="2">
        <v>17416.560992900198</v>
      </c>
      <c r="AP4748" s="2">
        <v>17423.056838638899</v>
      </c>
    </row>
    <row r="4749" spans="1:42" ht="14.5" x14ac:dyDescent="0.35">
      <c r="A4749" s="2" t="s">
        <v>31514</v>
      </c>
      <c r="B4749" s="2">
        <v>279.15025023256197</v>
      </c>
      <c r="C4749" s="2">
        <v>5.71</v>
      </c>
      <c r="D4749" s="2" t="s">
        <v>70</v>
      </c>
      <c r="E4749" s="2" t="s">
        <v>31515</v>
      </c>
      <c r="F4749" s="2">
        <v>202675</v>
      </c>
      <c r="G4749" s="3" t="str">
        <f>HYPERLINK("http://funmeta.oebiotech.com/network/202675", "http://funmeta.oebiotech.com/network/202675")</f>
        <v>http://funmeta.oebiotech.com/network/202675</v>
      </c>
      <c r="H4749" s="2" t="s">
        <v>31516</v>
      </c>
      <c r="I4749" s="2">
        <v>1272</v>
      </c>
      <c r="J4749" s="2"/>
      <c r="K4749" s="2"/>
      <c r="L4749" s="2"/>
      <c r="M4749" s="2"/>
      <c r="N4749" s="2"/>
      <c r="O4749" s="2">
        <v>162817</v>
      </c>
      <c r="P4749" s="2" t="s">
        <v>31517</v>
      </c>
      <c r="Q4749" s="2" t="s">
        <v>31518</v>
      </c>
      <c r="R4749" s="2" t="s">
        <v>31519</v>
      </c>
      <c r="S4749" s="2" t="s">
        <v>491</v>
      </c>
      <c r="T4749" s="2" t="s">
        <v>2597</v>
      </c>
      <c r="U4749" s="2" t="s">
        <v>2598</v>
      </c>
      <c r="V4749" s="2" t="s">
        <v>59</v>
      </c>
      <c r="W4749" s="2">
        <v>37.1</v>
      </c>
      <c r="X4749" s="2">
        <v>0</v>
      </c>
      <c r="Y4749" s="2" t="s">
        <v>118</v>
      </c>
      <c r="Z4749" s="2" t="s">
        <v>31520</v>
      </c>
      <c r="AA4749" s="2">
        <v>-0.13066218112381001</v>
      </c>
      <c r="AB4749" s="2">
        <v>0.12441122350052899</v>
      </c>
      <c r="AC4749" s="2">
        <v>451.33811228195498</v>
      </c>
      <c r="AD4749" s="2">
        <v>1500.6299085314499</v>
      </c>
      <c r="AE4749" s="2">
        <v>498.17164060754999</v>
      </c>
      <c r="AF4749" s="2">
        <v>480.68932886480502</v>
      </c>
      <c r="AG4749" s="2">
        <v>495.34202508685098</v>
      </c>
      <c r="AH4749" s="2">
        <v>409.649969065314</v>
      </c>
      <c r="AI4749" s="2">
        <v>255.40675310761901</v>
      </c>
      <c r="AJ4749" s="2">
        <v>568.76895695959104</v>
      </c>
      <c r="AK4749" s="2">
        <v>1507.7051903449999</v>
      </c>
      <c r="AL4749" s="2">
        <v>1730.50874036903</v>
      </c>
      <c r="AM4749" s="2">
        <v>1473.1587724635201</v>
      </c>
      <c r="AN4749" s="2">
        <v>1238.25127982502</v>
      </c>
      <c r="AO4749" s="2">
        <v>1585.1026747293499</v>
      </c>
      <c r="AP4749" s="2">
        <v>1469.0527934567699</v>
      </c>
    </row>
    <row r="4750" spans="1:42" ht="14.5" x14ac:dyDescent="0.35">
      <c r="A4750" s="2" t="s">
        <v>31521</v>
      </c>
      <c r="B4750" s="2">
        <v>503.14035037001901</v>
      </c>
      <c r="C4750" s="2">
        <v>1.3894500000000001</v>
      </c>
      <c r="D4750" s="2" t="s">
        <v>70</v>
      </c>
      <c r="E4750" s="2" t="s">
        <v>31522</v>
      </c>
      <c r="F4750" s="2">
        <v>48228</v>
      </c>
      <c r="G4750" s="3" t="str">
        <f>HYPERLINK("http://funmeta.oebiotech.com/network/48228", "http://funmeta.oebiotech.com/network/48228")</f>
        <v>http://funmeta.oebiotech.com/network/48228</v>
      </c>
      <c r="H4750" s="2" t="s">
        <v>31523</v>
      </c>
      <c r="I4750" s="2">
        <v>58207</v>
      </c>
      <c r="J4750" s="2"/>
      <c r="K4750" s="2">
        <v>2065</v>
      </c>
      <c r="L4750" s="2" t="s">
        <v>31524</v>
      </c>
      <c r="M4750" s="2" t="s">
        <v>17784</v>
      </c>
      <c r="N4750" s="2" t="s">
        <v>17785</v>
      </c>
      <c r="O4750" s="2">
        <v>440744</v>
      </c>
      <c r="P4750" s="2"/>
      <c r="Q4750" s="2" t="s">
        <v>31525</v>
      </c>
      <c r="R4750" s="2" t="s">
        <v>31526</v>
      </c>
      <c r="S4750" s="2" t="s">
        <v>79</v>
      </c>
      <c r="T4750" s="2" t="s">
        <v>80</v>
      </c>
      <c r="U4750" s="2" t="s">
        <v>2820</v>
      </c>
      <c r="V4750" s="2" t="s">
        <v>59</v>
      </c>
      <c r="W4750" s="2">
        <v>38.200000000000003</v>
      </c>
      <c r="X4750" s="2">
        <v>0</v>
      </c>
      <c r="Y4750" s="2" t="s">
        <v>560</v>
      </c>
      <c r="Z4750" s="2" t="s">
        <v>31527</v>
      </c>
      <c r="AA4750" s="2">
        <v>-3.20576195067826</v>
      </c>
      <c r="AB4750" s="2">
        <v>0.124385221678042</v>
      </c>
      <c r="AC4750" s="2">
        <v>5035.2674545542604</v>
      </c>
      <c r="AD4750" s="2">
        <v>6455.1393306595901</v>
      </c>
      <c r="AE4750" s="2">
        <v>5385.5359242895101</v>
      </c>
      <c r="AF4750" s="2">
        <v>5201.4274735095296</v>
      </c>
      <c r="AG4750" s="2">
        <v>6190.88381486451</v>
      </c>
      <c r="AH4750" s="2">
        <v>4112.6305875633998</v>
      </c>
      <c r="AI4750" s="2">
        <v>5016.1931155929797</v>
      </c>
      <c r="AJ4750" s="2">
        <v>4304.9338115056198</v>
      </c>
      <c r="AK4750" s="2">
        <v>6242.8561802992199</v>
      </c>
      <c r="AL4750" s="2">
        <v>7927.8330712878897</v>
      </c>
      <c r="AM4750" s="2">
        <v>6140.5991264200102</v>
      </c>
      <c r="AN4750" s="2">
        <v>6310.2301603902797</v>
      </c>
      <c r="AO4750" s="2">
        <v>6171.3131781455204</v>
      </c>
      <c r="AP4750" s="2">
        <v>5938.0042674146298</v>
      </c>
    </row>
    <row r="4751" spans="1:42" ht="14.5" x14ac:dyDescent="0.35">
      <c r="A4751" s="2" t="s">
        <v>31528</v>
      </c>
      <c r="B4751" s="2">
        <v>284.11259348205499</v>
      </c>
      <c r="C4751" s="2">
        <v>4.2251833333333302</v>
      </c>
      <c r="D4751" s="2" t="s">
        <v>34</v>
      </c>
      <c r="E4751" s="2" t="s">
        <v>31529</v>
      </c>
      <c r="F4751" s="2">
        <v>53722</v>
      </c>
      <c r="G4751" s="3" t="str">
        <f>HYPERLINK("http://funmeta.oebiotech.com/network/53722", "http://funmeta.oebiotech.com/network/53722")</f>
        <v>http://funmeta.oebiotech.com/network/53722</v>
      </c>
      <c r="H4751" s="2" t="s">
        <v>31530</v>
      </c>
      <c r="I4751" s="2">
        <v>330852</v>
      </c>
      <c r="J4751" s="2"/>
      <c r="K4751" s="2"/>
      <c r="L4751" s="2"/>
      <c r="M4751" s="2"/>
      <c r="N4751" s="2"/>
      <c r="O4751" s="2">
        <v>446132</v>
      </c>
      <c r="P4751" s="2" t="s">
        <v>31531</v>
      </c>
      <c r="Q4751" s="2" t="s">
        <v>31532</v>
      </c>
      <c r="R4751" s="2" t="s">
        <v>31533</v>
      </c>
      <c r="S4751" s="2" t="s">
        <v>89</v>
      </c>
      <c r="T4751" s="2" t="s">
        <v>90</v>
      </c>
      <c r="U4751" s="2" t="s">
        <v>99</v>
      </c>
      <c r="V4751" s="2" t="s">
        <v>59</v>
      </c>
      <c r="W4751" s="2">
        <v>37</v>
      </c>
      <c r="X4751" s="2">
        <v>0</v>
      </c>
      <c r="Y4751" s="2" t="s">
        <v>340</v>
      </c>
      <c r="Z4751" s="2" t="s">
        <v>31534</v>
      </c>
      <c r="AA4751" s="2">
        <v>2.6347674243885799</v>
      </c>
      <c r="AB4751" s="2">
        <v>0.124362996064164</v>
      </c>
      <c r="AC4751" s="2">
        <v>2861.2394532889998</v>
      </c>
      <c r="AD4751" s="2">
        <v>4132.3398810240496</v>
      </c>
      <c r="AE4751" s="2">
        <v>2673.0375775054099</v>
      </c>
      <c r="AF4751" s="2">
        <v>3270.0496167538799</v>
      </c>
      <c r="AG4751" s="2">
        <v>2553.6667638301901</v>
      </c>
      <c r="AH4751" s="2">
        <v>2518.4875015224502</v>
      </c>
      <c r="AI4751" s="2">
        <v>3118.5150971490202</v>
      </c>
      <c r="AJ4751" s="2">
        <v>3033.6801629730799</v>
      </c>
      <c r="AK4751" s="2">
        <v>4152.6097326583003</v>
      </c>
      <c r="AL4751" s="2">
        <v>4177.8418745602203</v>
      </c>
      <c r="AM4751" s="2">
        <v>3551.9949191794799</v>
      </c>
      <c r="AN4751" s="2">
        <v>4038.1699272587498</v>
      </c>
      <c r="AO4751" s="2">
        <v>3514.2739693989001</v>
      </c>
      <c r="AP4751" s="2">
        <v>5359.1488630886497</v>
      </c>
    </row>
    <row r="4752" spans="1:42" ht="14.5" x14ac:dyDescent="0.35">
      <c r="A4752" s="2" t="s">
        <v>31535</v>
      </c>
      <c r="B4752" s="2">
        <v>683.14051845052597</v>
      </c>
      <c r="C4752" s="2">
        <v>3.8614999999999999</v>
      </c>
      <c r="D4752" s="2" t="s">
        <v>70</v>
      </c>
      <c r="E4752" s="2" t="s">
        <v>31536</v>
      </c>
      <c r="F4752" s="2">
        <v>28342</v>
      </c>
      <c r="G4752" s="3" t="str">
        <f>HYPERLINK("http://funmeta.oebiotech.com/network/28342", "http://funmeta.oebiotech.com/network/28342")</f>
        <v>http://funmeta.oebiotech.com/network/28342</v>
      </c>
      <c r="H4752" s="2"/>
      <c r="I4752" s="2">
        <v>41025</v>
      </c>
      <c r="J4752" s="2" t="s">
        <v>31537</v>
      </c>
      <c r="K4752" s="2">
        <v>4572</v>
      </c>
      <c r="L4752" s="2" t="s">
        <v>31538</v>
      </c>
      <c r="M4752" s="2" t="s">
        <v>20737</v>
      </c>
      <c r="N4752" s="2" t="s">
        <v>20738</v>
      </c>
      <c r="O4752" s="2">
        <v>5280636</v>
      </c>
      <c r="P4752" s="2"/>
      <c r="Q4752" s="2" t="s">
        <v>31539</v>
      </c>
      <c r="R4752" s="2" t="s">
        <v>31540</v>
      </c>
      <c r="S4752" s="2" t="s">
        <v>115</v>
      </c>
      <c r="T4752" s="2" t="s">
        <v>20742</v>
      </c>
      <c r="U4752" s="2" t="s">
        <v>41</v>
      </c>
      <c r="V4752" s="2" t="s">
        <v>59</v>
      </c>
      <c r="W4752" s="2">
        <v>39.6</v>
      </c>
      <c r="X4752" s="2">
        <v>0</v>
      </c>
      <c r="Y4752" s="2" t="s">
        <v>560</v>
      </c>
      <c r="Z4752" s="2" t="s">
        <v>31541</v>
      </c>
      <c r="AA4752" s="2">
        <v>-0.161791439029982</v>
      </c>
      <c r="AB4752" s="2">
        <v>0.124356085568812</v>
      </c>
      <c r="AC4752" s="2">
        <v>1394.1553035566601</v>
      </c>
      <c r="AD4752" s="2">
        <v>2871.9776932868199</v>
      </c>
      <c r="AE4752" s="2">
        <v>967.06177494252097</v>
      </c>
      <c r="AF4752" s="2">
        <v>1827.25431173226</v>
      </c>
      <c r="AG4752" s="2">
        <v>2307.3174658016501</v>
      </c>
      <c r="AH4752" s="2">
        <v>613.69881855238498</v>
      </c>
      <c r="AI4752" s="2">
        <v>1423.8789376705199</v>
      </c>
      <c r="AJ4752" s="2">
        <v>1225.72051264064</v>
      </c>
      <c r="AK4752" s="2">
        <v>3492.1927986861701</v>
      </c>
      <c r="AL4752" s="2">
        <v>1128.0280149165701</v>
      </c>
      <c r="AM4752" s="2">
        <v>3620.97518446503</v>
      </c>
      <c r="AN4752" s="2">
        <v>2073.62888888623</v>
      </c>
      <c r="AO4752" s="2">
        <v>3144.6248269623002</v>
      </c>
      <c r="AP4752" s="2">
        <v>3772.4164458046498</v>
      </c>
    </row>
    <row r="4753" spans="1:42" ht="14.5" x14ac:dyDescent="0.35">
      <c r="A4753" s="2" t="s">
        <v>31542</v>
      </c>
      <c r="B4753" s="2">
        <v>568.33313964373497</v>
      </c>
      <c r="C4753" s="2">
        <v>11.2503166666667</v>
      </c>
      <c r="D4753" s="2" t="s">
        <v>34</v>
      </c>
      <c r="E4753" s="2" t="s">
        <v>31543</v>
      </c>
      <c r="F4753" s="2">
        <v>198842</v>
      </c>
      <c r="G4753" s="3" t="str">
        <f>HYPERLINK("http://funmeta.oebiotech.com/network/198842", "http://funmeta.oebiotech.com/network/198842")</f>
        <v>http://funmeta.oebiotech.com/network/198842</v>
      </c>
      <c r="H4753" s="2" t="s">
        <v>31544</v>
      </c>
      <c r="I4753" s="2"/>
      <c r="J4753" s="2"/>
      <c r="K4753" s="2"/>
      <c r="L4753" s="2"/>
      <c r="M4753" s="2"/>
      <c r="N4753" s="2"/>
      <c r="O4753" s="2">
        <v>85847147</v>
      </c>
      <c r="P4753" s="2"/>
      <c r="Q4753" s="2" t="s">
        <v>31545</v>
      </c>
      <c r="R4753" s="2" t="s">
        <v>31546</v>
      </c>
      <c r="S4753" s="2" t="s">
        <v>50</v>
      </c>
      <c r="T4753" s="2" t="s">
        <v>124</v>
      </c>
      <c r="U4753" s="2" t="s">
        <v>125</v>
      </c>
      <c r="V4753" s="2" t="s">
        <v>59</v>
      </c>
      <c r="W4753" s="2">
        <v>37.700000000000003</v>
      </c>
      <c r="X4753" s="2">
        <v>0</v>
      </c>
      <c r="Y4753" s="2" t="s">
        <v>323</v>
      </c>
      <c r="Z4753" s="2" t="s">
        <v>31547</v>
      </c>
      <c r="AA4753" s="2">
        <v>-4.7076040276302296</v>
      </c>
      <c r="AB4753" s="2">
        <v>0.124336299434556</v>
      </c>
      <c r="AC4753" s="2">
        <v>1508.4925890471</v>
      </c>
      <c r="AD4753" s="2">
        <v>409.84770931822402</v>
      </c>
      <c r="AE4753" s="2">
        <v>1287.54429964273</v>
      </c>
      <c r="AF4753" s="2">
        <v>1858.02459189415</v>
      </c>
      <c r="AG4753" s="2">
        <v>1494.6506151746701</v>
      </c>
      <c r="AH4753" s="2">
        <v>1862.5223377065099</v>
      </c>
      <c r="AI4753" s="2">
        <v>1178.51027318867</v>
      </c>
      <c r="AJ4753" s="2">
        <v>1369.7034166758999</v>
      </c>
      <c r="AK4753" s="2">
        <v>181.318878501423</v>
      </c>
      <c r="AL4753" s="2">
        <v>402.83047374537301</v>
      </c>
      <c r="AM4753" s="2">
        <v>727.25532271651196</v>
      </c>
      <c r="AN4753" s="2">
        <v>256.95773622584801</v>
      </c>
      <c r="AO4753" s="2">
        <v>604.07373359182202</v>
      </c>
      <c r="AP4753" s="2">
        <v>286.65011112836601</v>
      </c>
    </row>
    <row r="4754" spans="1:42" ht="14.5" x14ac:dyDescent="0.35">
      <c r="A4754" s="2" t="s">
        <v>31548</v>
      </c>
      <c r="B4754" s="2">
        <v>481.25694808809698</v>
      </c>
      <c r="C4754" s="2">
        <v>11.1346666666667</v>
      </c>
      <c r="D4754" s="2" t="s">
        <v>70</v>
      </c>
      <c r="E4754" s="2" t="s">
        <v>31549</v>
      </c>
      <c r="F4754" s="2">
        <v>23675</v>
      </c>
      <c r="G4754" s="3" t="str">
        <f>HYPERLINK("http://funmeta.oebiotech.com/network/23675", "http://funmeta.oebiotech.com/network/23675")</f>
        <v>http://funmeta.oebiotech.com/network/23675</v>
      </c>
      <c r="H4754" s="2"/>
      <c r="I4754" s="2">
        <v>80001</v>
      </c>
      <c r="J4754" s="2" t="s">
        <v>31550</v>
      </c>
      <c r="K4754" s="2">
        <v>138795</v>
      </c>
      <c r="L4754" s="2"/>
      <c r="M4754" s="2"/>
      <c r="N4754" s="2"/>
      <c r="O4754" s="2">
        <v>52927436</v>
      </c>
      <c r="P4754" s="2"/>
      <c r="Q4754" s="2" t="s">
        <v>31551</v>
      </c>
      <c r="R4754" s="2" t="s">
        <v>31552</v>
      </c>
      <c r="S4754" s="2" t="s">
        <v>50</v>
      </c>
      <c r="T4754" s="2" t="s">
        <v>51</v>
      </c>
      <c r="U4754" s="2" t="s">
        <v>738</v>
      </c>
      <c r="V4754" s="2" t="s">
        <v>59</v>
      </c>
      <c r="W4754" s="2">
        <v>45.4</v>
      </c>
      <c r="X4754" s="2">
        <v>34.6</v>
      </c>
      <c r="Y4754" s="2" t="s">
        <v>118</v>
      </c>
      <c r="Z4754" s="2" t="s">
        <v>31553</v>
      </c>
      <c r="AA4754" s="2">
        <v>-0.50815469138451397</v>
      </c>
      <c r="AB4754" s="2">
        <v>0.12428341787338899</v>
      </c>
      <c r="AC4754" s="2">
        <v>8202.5844539373502</v>
      </c>
      <c r="AD4754" s="2">
        <v>6638.0522549466295</v>
      </c>
      <c r="AE4754" s="2">
        <v>9045.2771490572795</v>
      </c>
      <c r="AF4754" s="2">
        <v>7977.8795858051299</v>
      </c>
      <c r="AG4754" s="2">
        <v>9070.0147502757409</v>
      </c>
      <c r="AH4754" s="2">
        <v>8490.9467666900891</v>
      </c>
      <c r="AI4754" s="2">
        <v>7673.5391291100896</v>
      </c>
      <c r="AJ4754" s="2">
        <v>6957.8493426857904</v>
      </c>
      <c r="AK4754" s="2">
        <v>4601.4814433708698</v>
      </c>
      <c r="AL4754" s="2">
        <v>6289.6357517609704</v>
      </c>
      <c r="AM4754" s="2">
        <v>6574.9919793277404</v>
      </c>
      <c r="AN4754" s="2">
        <v>7986.8488885070001</v>
      </c>
      <c r="AO4754" s="2">
        <v>7276.4989243497303</v>
      </c>
      <c r="AP4754" s="2">
        <v>7098.85654236348</v>
      </c>
    </row>
    <row r="4755" spans="1:42" ht="14.5" x14ac:dyDescent="0.35">
      <c r="A4755" s="2" t="s">
        <v>31554</v>
      </c>
      <c r="B4755" s="2">
        <v>435.346901375122</v>
      </c>
      <c r="C4755" s="2">
        <v>8.8768999999999991</v>
      </c>
      <c r="D4755" s="2" t="s">
        <v>34</v>
      </c>
      <c r="E4755" s="2" t="s">
        <v>31555</v>
      </c>
      <c r="F4755" s="2">
        <v>43593</v>
      </c>
      <c r="G4755" s="3" t="str">
        <f>HYPERLINK("http://funmeta.oebiotech.com/network/43593", "http://funmeta.oebiotech.com/network/43593")</f>
        <v>http://funmeta.oebiotech.com/network/43593</v>
      </c>
      <c r="H4755" s="2"/>
      <c r="I4755" s="2">
        <v>83867</v>
      </c>
      <c r="J4755" s="2" t="s">
        <v>31556</v>
      </c>
      <c r="K4755" s="2"/>
      <c r="L4755" s="2"/>
      <c r="M4755" s="2"/>
      <c r="N4755" s="2"/>
      <c r="O4755" s="2">
        <v>21593927</v>
      </c>
      <c r="P4755" s="2"/>
      <c r="Q4755" s="2" t="s">
        <v>31557</v>
      </c>
      <c r="R4755" s="2" t="s">
        <v>31558</v>
      </c>
      <c r="S4755" s="2" t="s">
        <v>50</v>
      </c>
      <c r="T4755" s="2" t="s">
        <v>124</v>
      </c>
      <c r="U4755" s="2" t="s">
        <v>2789</v>
      </c>
      <c r="V4755" s="2" t="s">
        <v>59</v>
      </c>
      <c r="W4755" s="2">
        <v>42.1</v>
      </c>
      <c r="X4755" s="2">
        <v>16.5</v>
      </c>
      <c r="Y4755" s="2" t="s">
        <v>266</v>
      </c>
      <c r="Z4755" s="2" t="s">
        <v>24134</v>
      </c>
      <c r="AA4755" s="2">
        <v>3.4511385412480201E-2</v>
      </c>
      <c r="AB4755" s="2">
        <v>0.124174923415122</v>
      </c>
      <c r="AC4755" s="2">
        <v>5664.7828973494297</v>
      </c>
      <c r="AD4755" s="2">
        <v>6976.51946044551</v>
      </c>
      <c r="AE4755" s="2">
        <v>5062.2583597442399</v>
      </c>
      <c r="AF4755" s="2">
        <v>5868.2997441259704</v>
      </c>
      <c r="AG4755" s="2">
        <v>5256.12666135784</v>
      </c>
      <c r="AH4755" s="2">
        <v>6339.09263408688</v>
      </c>
      <c r="AI4755" s="2">
        <v>6268.5647130423404</v>
      </c>
      <c r="AJ4755" s="2">
        <v>5194.3552717392804</v>
      </c>
      <c r="AK4755" s="2">
        <v>7759.9666516227499</v>
      </c>
      <c r="AL4755" s="2">
        <v>6241.5368469852201</v>
      </c>
      <c r="AM4755" s="2">
        <v>6553.95237773997</v>
      </c>
      <c r="AN4755" s="2">
        <v>6699.2448170052903</v>
      </c>
      <c r="AO4755" s="2">
        <v>6856.8961275582596</v>
      </c>
      <c r="AP4755" s="2">
        <v>7747.5199417615804</v>
      </c>
    </row>
    <row r="4756" spans="1:42" ht="14.5" x14ac:dyDescent="0.35">
      <c r="A4756" s="2" t="s">
        <v>31559</v>
      </c>
      <c r="B4756" s="2">
        <v>437.15599205053201</v>
      </c>
      <c r="C4756" s="2">
        <v>8.3238000000000003</v>
      </c>
      <c r="D4756" s="2" t="s">
        <v>34</v>
      </c>
      <c r="E4756" s="2" t="s">
        <v>31560</v>
      </c>
      <c r="F4756" s="2">
        <v>58571</v>
      </c>
      <c r="G4756" s="3" t="str">
        <f>HYPERLINK("http://funmeta.oebiotech.com/network/58571", "http://funmeta.oebiotech.com/network/58571")</f>
        <v>http://funmeta.oebiotech.com/network/58571</v>
      </c>
      <c r="H4756" s="2" t="s">
        <v>31561</v>
      </c>
      <c r="I4756" s="2">
        <v>90039</v>
      </c>
      <c r="J4756" s="2"/>
      <c r="K4756" s="2"/>
      <c r="L4756" s="2"/>
      <c r="M4756" s="2"/>
      <c r="N4756" s="2"/>
      <c r="O4756" s="2">
        <v>14213508</v>
      </c>
      <c r="P4756" s="2"/>
      <c r="Q4756" s="2" t="s">
        <v>31562</v>
      </c>
      <c r="R4756" s="2" t="s">
        <v>31563</v>
      </c>
      <c r="S4756" s="2" t="s">
        <v>50</v>
      </c>
      <c r="T4756" s="2" t="s">
        <v>201</v>
      </c>
      <c r="U4756" s="2" t="s">
        <v>636</v>
      </c>
      <c r="V4756" s="2" t="s">
        <v>59</v>
      </c>
      <c r="W4756" s="2">
        <v>36.200000000000003</v>
      </c>
      <c r="X4756" s="2">
        <v>0</v>
      </c>
      <c r="Y4756" s="2" t="s">
        <v>340</v>
      </c>
      <c r="Z4756" s="2" t="s">
        <v>10088</v>
      </c>
      <c r="AA4756" s="2">
        <v>-3.0988609515093302</v>
      </c>
      <c r="AB4756" s="2">
        <v>0.124161010992917</v>
      </c>
      <c r="AC4756" s="2">
        <v>1137.96025345155</v>
      </c>
      <c r="AD4756" s="2">
        <v>2.7106294003980101E-5</v>
      </c>
      <c r="AE4756" s="2">
        <v>861.25378455498696</v>
      </c>
      <c r="AF4756" s="2">
        <v>1105.75981593033</v>
      </c>
      <c r="AG4756" s="2">
        <v>1819.7733529715099</v>
      </c>
      <c r="AH4756" s="2">
        <v>876.229520869505</v>
      </c>
      <c r="AI4756" s="2">
        <v>587.70339091734695</v>
      </c>
      <c r="AJ4756" s="2">
        <v>1577.0416554655999</v>
      </c>
      <c r="AK4756" s="2">
        <v>2.7106294003980101E-5</v>
      </c>
      <c r="AL4756" s="2">
        <v>2.7106294003980101E-5</v>
      </c>
      <c r="AM4756" s="2">
        <v>2.7106294003980101E-5</v>
      </c>
      <c r="AN4756" s="2">
        <v>2.7106294003980101E-5</v>
      </c>
      <c r="AO4756" s="2">
        <v>2.7106294003980101E-5</v>
      </c>
      <c r="AP4756" s="2">
        <v>2.7106294003980101E-5</v>
      </c>
    </row>
    <row r="4757" spans="1:42" ht="14.5" x14ac:dyDescent="0.35">
      <c r="A4757" s="2" t="s">
        <v>31564</v>
      </c>
      <c r="B4757" s="2">
        <v>188.02221522164899</v>
      </c>
      <c r="C4757" s="2">
        <v>3.2723666666666702</v>
      </c>
      <c r="D4757" s="2" t="s">
        <v>34</v>
      </c>
      <c r="E4757" s="2" t="s">
        <v>31565</v>
      </c>
      <c r="F4757" s="2">
        <v>82147</v>
      </c>
      <c r="G4757" s="3" t="str">
        <f>HYPERLINK("http://funmeta.oebiotech.com/network/82147", "http://funmeta.oebiotech.com/network/82147")</f>
        <v>http://funmeta.oebiotech.com/network/82147</v>
      </c>
      <c r="H4757" s="2" t="s">
        <v>31566</v>
      </c>
      <c r="I4757" s="2">
        <v>69074</v>
      </c>
      <c r="J4757" s="2"/>
      <c r="K4757" s="2">
        <v>16712</v>
      </c>
      <c r="L4757" s="2" t="s">
        <v>31567</v>
      </c>
      <c r="M4757" s="2" t="s">
        <v>10334</v>
      </c>
      <c r="N4757" s="2" t="s">
        <v>10335</v>
      </c>
      <c r="O4757" s="2">
        <v>443233</v>
      </c>
      <c r="P4757" s="2"/>
      <c r="Q4757" s="2" t="s">
        <v>31568</v>
      </c>
      <c r="R4757" s="2" t="s">
        <v>31569</v>
      </c>
      <c r="S4757" s="2" t="s">
        <v>89</v>
      </c>
      <c r="T4757" s="2" t="s">
        <v>4218</v>
      </c>
      <c r="U4757" s="2" t="s">
        <v>31570</v>
      </c>
      <c r="V4757" s="2" t="s">
        <v>59</v>
      </c>
      <c r="W4757" s="2">
        <v>37.9</v>
      </c>
      <c r="X4757" s="2">
        <v>0</v>
      </c>
      <c r="Y4757" s="2" t="s">
        <v>43</v>
      </c>
      <c r="Z4757" s="2" t="s">
        <v>31571</v>
      </c>
      <c r="AA4757" s="2">
        <v>-0.70133053041563798</v>
      </c>
      <c r="AB4757" s="2">
        <v>0.12412953465259199</v>
      </c>
      <c r="AC4757" s="2">
        <v>5882.7913497310201</v>
      </c>
      <c r="AD4757" s="2">
        <v>7345.4286464270699</v>
      </c>
      <c r="AE4757" s="2">
        <v>5700.3353662763902</v>
      </c>
      <c r="AF4757" s="2">
        <v>5376.0092589327496</v>
      </c>
      <c r="AG4757" s="2">
        <v>6139.3422129063902</v>
      </c>
      <c r="AH4757" s="2">
        <v>6281.3764206691103</v>
      </c>
      <c r="AI4757" s="2">
        <v>6321.8948892358103</v>
      </c>
      <c r="AJ4757" s="2">
        <v>5477.7899503656799</v>
      </c>
      <c r="AK4757" s="2">
        <v>8461.0875073105599</v>
      </c>
      <c r="AL4757" s="2">
        <v>5938.9469469833803</v>
      </c>
      <c r="AM4757" s="2">
        <v>8393.9034355990298</v>
      </c>
      <c r="AN4757" s="2">
        <v>6118.8669743876299</v>
      </c>
      <c r="AO4757" s="2">
        <v>7167.6854928675202</v>
      </c>
      <c r="AP4757" s="2">
        <v>7992.0815214143104</v>
      </c>
    </row>
    <row r="4758" spans="1:42" ht="14.5" x14ac:dyDescent="0.35">
      <c r="A4758" s="2" t="s">
        <v>31572</v>
      </c>
      <c r="B4758" s="2">
        <v>269.22615511213502</v>
      </c>
      <c r="C4758" s="2">
        <v>4.9946333333333301</v>
      </c>
      <c r="D4758" s="2" t="s">
        <v>34</v>
      </c>
      <c r="E4758" s="2" t="s">
        <v>31573</v>
      </c>
      <c r="F4758" s="2">
        <v>83589</v>
      </c>
      <c r="G4758" s="3" t="str">
        <f>HYPERLINK("http://funmeta.oebiotech.com/network/83589", "http://funmeta.oebiotech.com/network/83589")</f>
        <v>http://funmeta.oebiotech.com/network/83589</v>
      </c>
      <c r="H4758" s="2" t="s">
        <v>31574</v>
      </c>
      <c r="I4758" s="2"/>
      <c r="J4758" s="2"/>
      <c r="K4758" s="2"/>
      <c r="L4758" s="2"/>
      <c r="M4758" s="2"/>
      <c r="N4758" s="2"/>
      <c r="O4758" s="2">
        <v>5287678</v>
      </c>
      <c r="P4758" s="2"/>
      <c r="Q4758" s="2" t="s">
        <v>31575</v>
      </c>
      <c r="R4758" s="2" t="s">
        <v>31576</v>
      </c>
      <c r="S4758" s="2" t="s">
        <v>50</v>
      </c>
      <c r="T4758" s="2" t="s">
        <v>201</v>
      </c>
      <c r="U4758" s="2" t="s">
        <v>636</v>
      </c>
      <c r="V4758" s="2" t="s">
        <v>59</v>
      </c>
      <c r="W4758" s="2">
        <v>38.200000000000003</v>
      </c>
      <c r="X4758" s="2">
        <v>0</v>
      </c>
      <c r="Y4758" s="2" t="s">
        <v>394</v>
      </c>
      <c r="Z4758" s="2" t="s">
        <v>31577</v>
      </c>
      <c r="AA4758" s="2">
        <v>-0.828493659897795</v>
      </c>
      <c r="AB4758" s="2">
        <v>0.124104553206169</v>
      </c>
      <c r="AC4758" s="2">
        <v>3069.2967989116401</v>
      </c>
      <c r="AD4758" s="2">
        <v>1789.27509874256</v>
      </c>
      <c r="AE4758" s="2">
        <v>3383.5084211179801</v>
      </c>
      <c r="AF4758" s="2">
        <v>2378.6624155893701</v>
      </c>
      <c r="AG4758" s="2">
        <v>3340.3798862604199</v>
      </c>
      <c r="AH4758" s="2">
        <v>3018.6462862589801</v>
      </c>
      <c r="AI4758" s="2">
        <v>3151.7411305430101</v>
      </c>
      <c r="AJ4758" s="2">
        <v>3142.8426537000901</v>
      </c>
      <c r="AK4758" s="2">
        <v>1583.67081867911</v>
      </c>
      <c r="AL4758" s="2">
        <v>2836.26553406217</v>
      </c>
      <c r="AM4758" s="2">
        <v>750.01580724675796</v>
      </c>
      <c r="AN4758" s="2">
        <v>2103.4147254916602</v>
      </c>
      <c r="AO4758" s="2">
        <v>1844.4622611290499</v>
      </c>
      <c r="AP4758" s="2">
        <v>1617.8214458466</v>
      </c>
    </row>
    <row r="4759" spans="1:42" ht="14.5" x14ac:dyDescent="0.35">
      <c r="A4759" s="2" t="s">
        <v>31578</v>
      </c>
      <c r="B4759" s="2">
        <v>898.56482774480196</v>
      </c>
      <c r="C4759" s="2">
        <v>9.9973333333333301</v>
      </c>
      <c r="D4759" s="2" t="s">
        <v>34</v>
      </c>
      <c r="E4759" s="2" t="s">
        <v>31579</v>
      </c>
      <c r="F4759" s="2">
        <v>218686</v>
      </c>
      <c r="G4759" s="3" t="str">
        <f>HYPERLINK("http://funmeta.oebiotech.com/network/218686", "http://funmeta.oebiotech.com/network/218686")</f>
        <v>http://funmeta.oebiotech.com/network/218686</v>
      </c>
      <c r="H4759" s="2" t="s">
        <v>31580</v>
      </c>
      <c r="I4759" s="2"/>
      <c r="J4759" s="2"/>
      <c r="K4759" s="2"/>
      <c r="L4759" s="2"/>
      <c r="M4759" s="2"/>
      <c r="N4759" s="2"/>
      <c r="O4759" s="2"/>
      <c r="P4759" s="2"/>
      <c r="Q4759" s="2" t="s">
        <v>31581</v>
      </c>
      <c r="R4759" s="2" t="s">
        <v>31582</v>
      </c>
      <c r="S4759" s="2" t="s">
        <v>41</v>
      </c>
      <c r="T4759" s="2" t="s">
        <v>41</v>
      </c>
      <c r="U4759" s="2" t="s">
        <v>41</v>
      </c>
      <c r="V4759" s="2" t="s">
        <v>59</v>
      </c>
      <c r="W4759" s="2">
        <v>36.200000000000003</v>
      </c>
      <c r="X4759" s="2">
        <v>0</v>
      </c>
      <c r="Y4759" s="2" t="s">
        <v>141</v>
      </c>
      <c r="Z4759" s="2" t="s">
        <v>31583</v>
      </c>
      <c r="AA4759" s="2">
        <v>2.39828369956561</v>
      </c>
      <c r="AB4759" s="2">
        <v>0.123983163675216</v>
      </c>
      <c r="AC4759" s="2">
        <v>1957.7514239333</v>
      </c>
      <c r="AD4759" s="2">
        <v>491.28124876659501</v>
      </c>
      <c r="AE4759" s="2">
        <v>2731.0553929073299</v>
      </c>
      <c r="AF4759" s="2">
        <v>2060.1829027236499</v>
      </c>
      <c r="AG4759" s="2">
        <v>626.79144724148398</v>
      </c>
      <c r="AH4759" s="2">
        <v>3771.6529806991798</v>
      </c>
      <c r="AI4759" s="2">
        <v>878.44533890202001</v>
      </c>
      <c r="AJ4759" s="2">
        <v>1678.38048112612</v>
      </c>
      <c r="AK4759" s="2">
        <v>604.56089632359999</v>
      </c>
      <c r="AL4759" s="2">
        <v>552.929523149533</v>
      </c>
      <c r="AM4759" s="2">
        <v>809.88466108441503</v>
      </c>
      <c r="AN4759" s="2">
        <v>679.85499457755304</v>
      </c>
      <c r="AO4759" s="2">
        <v>2.7106294003980101E-5</v>
      </c>
      <c r="AP4759" s="2">
        <v>300.45739035817201</v>
      </c>
    </row>
    <row r="4760" spans="1:42" ht="14.5" x14ac:dyDescent="0.35">
      <c r="A4760" s="2" t="s">
        <v>31584</v>
      </c>
      <c r="B4760" s="2">
        <v>295.13264708707999</v>
      </c>
      <c r="C4760" s="2">
        <v>4.7862166666666699</v>
      </c>
      <c r="D4760" s="2" t="s">
        <v>34</v>
      </c>
      <c r="E4760" s="2" t="s">
        <v>31585</v>
      </c>
      <c r="F4760" s="2">
        <v>57575</v>
      </c>
      <c r="G4760" s="3" t="str">
        <f>HYPERLINK("http://funmeta.oebiotech.com/network/57575", "http://funmeta.oebiotech.com/network/57575")</f>
        <v>http://funmeta.oebiotech.com/network/57575</v>
      </c>
      <c r="H4760" s="2" t="s">
        <v>31586</v>
      </c>
      <c r="I4760" s="2">
        <v>89180</v>
      </c>
      <c r="J4760" s="2"/>
      <c r="K4760" s="2">
        <v>174793</v>
      </c>
      <c r="L4760" s="2"/>
      <c r="M4760" s="2"/>
      <c r="N4760" s="2"/>
      <c r="O4760" s="2">
        <v>131751412</v>
      </c>
      <c r="P4760" s="2"/>
      <c r="Q4760" s="2" t="s">
        <v>31587</v>
      </c>
      <c r="R4760" s="2" t="s">
        <v>31588</v>
      </c>
      <c r="S4760" s="2" t="s">
        <v>115</v>
      </c>
      <c r="T4760" s="2" t="s">
        <v>4730</v>
      </c>
      <c r="U4760" s="2" t="s">
        <v>41</v>
      </c>
      <c r="V4760" s="2" t="s">
        <v>59</v>
      </c>
      <c r="W4760" s="2">
        <v>38.799999999999997</v>
      </c>
      <c r="X4760" s="2">
        <v>0</v>
      </c>
      <c r="Y4760" s="2" t="s">
        <v>394</v>
      </c>
      <c r="Z4760" s="2" t="s">
        <v>31589</v>
      </c>
      <c r="AA4760" s="2">
        <v>-0.76083436692030804</v>
      </c>
      <c r="AB4760" s="2">
        <v>0.123971844441289</v>
      </c>
      <c r="AC4760" s="2">
        <v>31883.178255707699</v>
      </c>
      <c r="AD4760" s="2">
        <v>33933.116246962301</v>
      </c>
      <c r="AE4760" s="2">
        <v>32785.711630945101</v>
      </c>
      <c r="AF4760" s="2">
        <v>33729.4285756967</v>
      </c>
      <c r="AG4760" s="2">
        <v>28912.187774084301</v>
      </c>
      <c r="AH4760" s="2">
        <v>31465.8128058781</v>
      </c>
      <c r="AI4760" s="2">
        <v>32953.165392049697</v>
      </c>
      <c r="AJ4760" s="2">
        <v>31452.7633555924</v>
      </c>
      <c r="AK4760" s="2">
        <v>36590.620697142498</v>
      </c>
      <c r="AL4760" s="2">
        <v>32540.764575752801</v>
      </c>
      <c r="AM4760" s="2">
        <v>32538.965267408999</v>
      </c>
      <c r="AN4760" s="2">
        <v>35537.2713749123</v>
      </c>
      <c r="AO4760" s="2">
        <v>30838.804230224199</v>
      </c>
      <c r="AP4760" s="2">
        <v>35552.271336332902</v>
      </c>
    </row>
    <row r="4761" spans="1:42" ht="14.5" x14ac:dyDescent="0.35">
      <c r="A4761" s="2" t="s">
        <v>31590</v>
      </c>
      <c r="B4761" s="2">
        <v>383.14828096921298</v>
      </c>
      <c r="C4761" s="2">
        <v>6.3386333333333296</v>
      </c>
      <c r="D4761" s="2" t="s">
        <v>34</v>
      </c>
      <c r="E4761" s="2" t="s">
        <v>31591</v>
      </c>
      <c r="F4761" s="2">
        <v>56992</v>
      </c>
      <c r="G4761" s="3" t="str">
        <f>HYPERLINK("http://funmeta.oebiotech.com/network/56992", "http://funmeta.oebiotech.com/network/56992")</f>
        <v>http://funmeta.oebiotech.com/network/56992</v>
      </c>
      <c r="H4761" s="2" t="s">
        <v>31592</v>
      </c>
      <c r="I4761" s="2">
        <v>88647</v>
      </c>
      <c r="J4761" s="2"/>
      <c r="K4761" s="2">
        <v>175626</v>
      </c>
      <c r="L4761" s="2"/>
      <c r="M4761" s="2"/>
      <c r="N4761" s="2"/>
      <c r="O4761" s="2">
        <v>100927765</v>
      </c>
      <c r="P4761" s="2"/>
      <c r="Q4761" s="2" t="s">
        <v>31593</v>
      </c>
      <c r="R4761" s="2" t="s">
        <v>31594</v>
      </c>
      <c r="S4761" s="2" t="s">
        <v>148</v>
      </c>
      <c r="T4761" s="2" t="s">
        <v>149</v>
      </c>
      <c r="U4761" s="2" t="s">
        <v>5024</v>
      </c>
      <c r="V4761" s="2" t="s">
        <v>59</v>
      </c>
      <c r="W4761" s="2">
        <v>37.9</v>
      </c>
      <c r="X4761" s="2">
        <v>0</v>
      </c>
      <c r="Y4761" s="2" t="s">
        <v>323</v>
      </c>
      <c r="Z4761" s="2" t="s">
        <v>31595</v>
      </c>
      <c r="AA4761" s="2">
        <v>1.20610603792162</v>
      </c>
      <c r="AB4761" s="2">
        <v>0.12384717476222901</v>
      </c>
      <c r="AC4761" s="2">
        <v>3464.4241356139401</v>
      </c>
      <c r="AD4761" s="2">
        <v>1831.74459096962</v>
      </c>
      <c r="AE4761" s="2">
        <v>2066.5824609758101</v>
      </c>
      <c r="AF4761" s="2">
        <v>5295.0979181925804</v>
      </c>
      <c r="AG4761" s="2">
        <v>4472.3887880033499</v>
      </c>
      <c r="AH4761" s="2">
        <v>2825.2061835172399</v>
      </c>
      <c r="AI4761" s="2">
        <v>3772.91450352429</v>
      </c>
      <c r="AJ4761" s="2">
        <v>2354.35495947034</v>
      </c>
      <c r="AK4761" s="2">
        <v>3420.9097676464298</v>
      </c>
      <c r="AL4761" s="2">
        <v>962.42209700014303</v>
      </c>
      <c r="AM4761" s="2">
        <v>2128.7726974347202</v>
      </c>
      <c r="AN4761" s="2">
        <v>2383.7688059081302</v>
      </c>
      <c r="AO4761" s="2">
        <v>1217.49115168974</v>
      </c>
      <c r="AP4761" s="2">
        <v>877.10302613858596</v>
      </c>
    </row>
    <row r="4762" spans="1:42" ht="14.5" x14ac:dyDescent="0.35">
      <c r="A4762" s="2" t="s">
        <v>31596</v>
      </c>
      <c r="B4762" s="2">
        <v>555.22389003857495</v>
      </c>
      <c r="C4762" s="2">
        <v>5.1153166666666703</v>
      </c>
      <c r="D4762" s="2" t="s">
        <v>70</v>
      </c>
      <c r="E4762" s="2" t="s">
        <v>31597</v>
      </c>
      <c r="F4762" s="2">
        <v>534664</v>
      </c>
      <c r="G4762" s="3" t="str">
        <f>HYPERLINK("http://funmeta.oebiotech.com/network/534664", "http://funmeta.oebiotech.com/network/534664")</f>
        <v>http://funmeta.oebiotech.com/network/534664</v>
      </c>
      <c r="H4762" s="2"/>
      <c r="I4762" s="2">
        <v>984933</v>
      </c>
      <c r="J4762" s="2"/>
      <c r="K4762" s="2"/>
      <c r="L4762" s="2"/>
      <c r="M4762" s="2"/>
      <c r="N4762" s="2"/>
      <c r="O4762" s="2">
        <v>24871103</v>
      </c>
      <c r="P4762" s="2"/>
      <c r="Q4762" s="2" t="s">
        <v>31598</v>
      </c>
      <c r="R4762" s="2" t="s">
        <v>31599</v>
      </c>
      <c r="S4762" s="2" t="s">
        <v>50</v>
      </c>
      <c r="T4762" s="2" t="s">
        <v>201</v>
      </c>
      <c r="U4762" s="2" t="s">
        <v>1217</v>
      </c>
      <c r="V4762" s="2" t="s">
        <v>59</v>
      </c>
      <c r="W4762" s="2">
        <v>38.299999999999997</v>
      </c>
      <c r="X4762" s="2">
        <v>0</v>
      </c>
      <c r="Y4762" s="2" t="s">
        <v>560</v>
      </c>
      <c r="Z4762" s="2" t="s">
        <v>31600</v>
      </c>
      <c r="AA4762" s="2">
        <v>0.57371944782614803</v>
      </c>
      <c r="AB4762" s="2">
        <v>0.123747912280763</v>
      </c>
      <c r="AC4762" s="2">
        <v>7804.2187577252898</v>
      </c>
      <c r="AD4762" s="2">
        <v>6109.8158003661201</v>
      </c>
      <c r="AE4762" s="2">
        <v>8299.9573208039492</v>
      </c>
      <c r="AF4762" s="2">
        <v>8816.3872072663307</v>
      </c>
      <c r="AG4762" s="2">
        <v>5510.3622248988804</v>
      </c>
      <c r="AH4762" s="2">
        <v>6950.3458135082201</v>
      </c>
      <c r="AI4762" s="2">
        <v>10256.613124866701</v>
      </c>
      <c r="AJ4762" s="2">
        <v>6991.6468550076297</v>
      </c>
      <c r="AK4762" s="2">
        <v>6199.7753565399998</v>
      </c>
      <c r="AL4762" s="2">
        <v>5844.9348613829698</v>
      </c>
      <c r="AM4762" s="2">
        <v>6130.1854027356803</v>
      </c>
      <c r="AN4762" s="2">
        <v>6395.7824571526899</v>
      </c>
      <c r="AO4762" s="2">
        <v>5411.0090570727498</v>
      </c>
      <c r="AP4762" s="2">
        <v>6677.2076673126603</v>
      </c>
    </row>
    <row r="4763" spans="1:42" ht="14.5" x14ac:dyDescent="0.35">
      <c r="A4763" s="2" t="s">
        <v>31601</v>
      </c>
      <c r="B4763" s="2">
        <v>443.16631637017298</v>
      </c>
      <c r="C4763" s="2">
        <v>9.9230666666666707</v>
      </c>
      <c r="D4763" s="2" t="s">
        <v>70</v>
      </c>
      <c r="E4763" s="2" t="s">
        <v>31602</v>
      </c>
      <c r="F4763" s="2">
        <v>211385</v>
      </c>
      <c r="G4763" s="3" t="str">
        <f>HYPERLINK("http://funmeta.oebiotech.com/network/211385", "http://funmeta.oebiotech.com/network/211385")</f>
        <v>http://funmeta.oebiotech.com/network/211385</v>
      </c>
      <c r="H4763" s="2" t="s">
        <v>31603</v>
      </c>
      <c r="I4763" s="2"/>
      <c r="J4763" s="2"/>
      <c r="K4763" s="2"/>
      <c r="L4763" s="2"/>
      <c r="M4763" s="2"/>
      <c r="N4763" s="2"/>
      <c r="O4763" s="2">
        <v>21923886</v>
      </c>
      <c r="P4763" s="2"/>
      <c r="Q4763" s="2" t="s">
        <v>31604</v>
      </c>
      <c r="R4763" s="2" t="s">
        <v>31605</v>
      </c>
      <c r="S4763" s="2" t="s">
        <v>41</v>
      </c>
      <c r="T4763" s="2" t="s">
        <v>41</v>
      </c>
      <c r="U4763" s="2" t="s">
        <v>41</v>
      </c>
      <c r="V4763" s="2" t="s">
        <v>59</v>
      </c>
      <c r="W4763" s="2">
        <v>39.200000000000003</v>
      </c>
      <c r="X4763" s="2">
        <v>0</v>
      </c>
      <c r="Y4763" s="2" t="s">
        <v>560</v>
      </c>
      <c r="Z4763" s="2" t="s">
        <v>31606</v>
      </c>
      <c r="AA4763" s="2">
        <v>1.2284062190021601</v>
      </c>
      <c r="AB4763" s="2">
        <v>0.123731860282064</v>
      </c>
      <c r="AC4763" s="2">
        <v>1864.49547471144</v>
      </c>
      <c r="AD4763" s="2">
        <v>754.50340131703604</v>
      </c>
      <c r="AE4763" s="2">
        <v>1972.20908199626</v>
      </c>
      <c r="AF4763" s="2">
        <v>2541.87982653278</v>
      </c>
      <c r="AG4763" s="2">
        <v>1481.8049270106301</v>
      </c>
      <c r="AH4763" s="2">
        <v>1661.2565205979199</v>
      </c>
      <c r="AI4763" s="2">
        <v>1601.48617965172</v>
      </c>
      <c r="AJ4763" s="2">
        <v>1928.33631247935</v>
      </c>
      <c r="AK4763" s="2">
        <v>576.29145133531404</v>
      </c>
      <c r="AL4763" s="2">
        <v>911.68440897647702</v>
      </c>
      <c r="AM4763" s="2">
        <v>724.30100037868601</v>
      </c>
      <c r="AN4763" s="2">
        <v>963.66221864063198</v>
      </c>
      <c r="AO4763" s="2">
        <v>717.24437213020201</v>
      </c>
      <c r="AP4763" s="2">
        <v>633.83695644090596</v>
      </c>
    </row>
    <row r="4764" spans="1:42" ht="14.5" x14ac:dyDescent="0.35">
      <c r="A4764" s="2" t="s">
        <v>31607</v>
      </c>
      <c r="B4764" s="2">
        <v>203.08190272726699</v>
      </c>
      <c r="C4764" s="2">
        <v>3.6738166666666698</v>
      </c>
      <c r="D4764" s="2" t="s">
        <v>70</v>
      </c>
      <c r="E4764" s="2" t="s">
        <v>31608</v>
      </c>
      <c r="F4764" s="2">
        <v>47303</v>
      </c>
      <c r="G4764" s="3" t="str">
        <f>HYPERLINK("http://funmeta.oebiotech.com/network/47303", "http://funmeta.oebiotech.com/network/47303")</f>
        <v>http://funmeta.oebiotech.com/network/47303</v>
      </c>
      <c r="H4764" s="2" t="s">
        <v>31609</v>
      </c>
      <c r="I4764" s="2">
        <v>33</v>
      </c>
      <c r="J4764" s="2"/>
      <c r="K4764" s="2">
        <v>16828</v>
      </c>
      <c r="L4764" s="2" t="s">
        <v>31610</v>
      </c>
      <c r="M4764" s="2" t="s">
        <v>31611</v>
      </c>
      <c r="N4764" s="2" t="s">
        <v>31612</v>
      </c>
      <c r="O4764" s="2">
        <v>6305</v>
      </c>
      <c r="P4764" s="2" t="s">
        <v>31613</v>
      </c>
      <c r="Q4764" s="2" t="s">
        <v>31614</v>
      </c>
      <c r="R4764" s="2" t="s">
        <v>31615</v>
      </c>
      <c r="S4764" s="2" t="s">
        <v>491</v>
      </c>
      <c r="T4764" s="2" t="s">
        <v>2184</v>
      </c>
      <c r="U4764" s="2" t="s">
        <v>8858</v>
      </c>
      <c r="V4764" s="2" t="s">
        <v>42</v>
      </c>
      <c r="W4764" s="2">
        <v>53.1</v>
      </c>
      <c r="X4764" s="2">
        <v>71.900000000000006</v>
      </c>
      <c r="Y4764" s="2" t="s">
        <v>118</v>
      </c>
      <c r="Z4764" s="2" t="s">
        <v>31616</v>
      </c>
      <c r="AA4764" s="2">
        <v>-3.4223857680652099</v>
      </c>
      <c r="AB4764" s="2">
        <v>0.123724868154103</v>
      </c>
      <c r="AC4764" s="2">
        <v>3516.90804618725</v>
      </c>
      <c r="AD4764" s="2">
        <v>2363.5623679380901</v>
      </c>
      <c r="AE4764" s="2">
        <v>3386.0955082277301</v>
      </c>
      <c r="AF4764" s="2">
        <v>3141.6993960333398</v>
      </c>
      <c r="AG4764" s="2">
        <v>3517.3093624723501</v>
      </c>
      <c r="AH4764" s="2">
        <v>4426.6745475149901</v>
      </c>
      <c r="AI4764" s="2">
        <v>3329.06408846973</v>
      </c>
      <c r="AJ4764" s="2">
        <v>3300.6053744053802</v>
      </c>
      <c r="AK4764" s="2">
        <v>2533.8238915226898</v>
      </c>
      <c r="AL4764" s="2">
        <v>2098.30012654039</v>
      </c>
      <c r="AM4764" s="2">
        <v>2577.2877769393799</v>
      </c>
      <c r="AN4764" s="2">
        <v>2463.0392417458402</v>
      </c>
      <c r="AO4764" s="2">
        <v>2182.2452272252899</v>
      </c>
      <c r="AP4764" s="2">
        <v>2326.67794365492</v>
      </c>
    </row>
    <row r="4765" spans="1:42" ht="14.5" x14ac:dyDescent="0.35">
      <c r="A4765" s="2" t="s">
        <v>31617</v>
      </c>
      <c r="B4765" s="2">
        <v>413.00567006192398</v>
      </c>
      <c r="C4765" s="2">
        <v>9.1675166666666694</v>
      </c>
      <c r="D4765" s="2" t="s">
        <v>70</v>
      </c>
      <c r="E4765" s="2" t="s">
        <v>31618</v>
      </c>
      <c r="F4765" s="2">
        <v>54807</v>
      </c>
      <c r="G4765" s="3" t="str">
        <f>HYPERLINK("http://funmeta.oebiotech.com/network/54807", "http://funmeta.oebiotech.com/network/54807")</f>
        <v>http://funmeta.oebiotech.com/network/54807</v>
      </c>
      <c r="H4765" s="2" t="s">
        <v>31619</v>
      </c>
      <c r="I4765" s="2"/>
      <c r="J4765" s="2"/>
      <c r="K4765" s="2">
        <v>17548</v>
      </c>
      <c r="L4765" s="2" t="s">
        <v>31620</v>
      </c>
      <c r="M4765" s="2" t="s">
        <v>31621</v>
      </c>
      <c r="N4765" s="2" t="s">
        <v>31622</v>
      </c>
      <c r="O4765" s="2">
        <v>131704328</v>
      </c>
      <c r="P4765" s="2" t="s">
        <v>31623</v>
      </c>
      <c r="Q4765" s="2" t="s">
        <v>31624</v>
      </c>
      <c r="R4765" s="2" t="s">
        <v>31625</v>
      </c>
      <c r="S4765" s="2" t="s">
        <v>79</v>
      </c>
      <c r="T4765" s="2" t="s">
        <v>80</v>
      </c>
      <c r="U4765" s="2" t="s">
        <v>81</v>
      </c>
      <c r="V4765" s="2" t="s">
        <v>59</v>
      </c>
      <c r="W4765" s="2">
        <v>37.6</v>
      </c>
      <c r="X4765" s="2">
        <v>0</v>
      </c>
      <c r="Y4765" s="2" t="s">
        <v>118</v>
      </c>
      <c r="Z4765" s="2" t="s">
        <v>31626</v>
      </c>
      <c r="AA4765" s="2">
        <v>3.0126831825510001</v>
      </c>
      <c r="AB4765" s="2">
        <v>0.123690803142262</v>
      </c>
      <c r="AC4765" s="2">
        <v>9116.2478873252894</v>
      </c>
      <c r="AD4765" s="2">
        <v>10452.501830267</v>
      </c>
      <c r="AE4765" s="2">
        <v>9106.6426167695608</v>
      </c>
      <c r="AF4765" s="2">
        <v>8966.1861402832801</v>
      </c>
      <c r="AG4765" s="2">
        <v>9650.8713245480194</v>
      </c>
      <c r="AH4765" s="2">
        <v>8573.5188767777108</v>
      </c>
      <c r="AI4765" s="2">
        <v>9593.79955465475</v>
      </c>
      <c r="AJ4765" s="2">
        <v>8806.4688109184208</v>
      </c>
      <c r="AK4765" s="2">
        <v>11950.361132521901</v>
      </c>
      <c r="AL4765" s="2">
        <v>10241.9537222611</v>
      </c>
      <c r="AM4765" s="2">
        <v>10730.9544951523</v>
      </c>
      <c r="AN4765" s="2">
        <v>9863.7055255186096</v>
      </c>
      <c r="AO4765" s="2">
        <v>9868.8065753357205</v>
      </c>
      <c r="AP4765" s="2">
        <v>10059.229530812599</v>
      </c>
    </row>
    <row r="4766" spans="1:42" ht="14.5" x14ac:dyDescent="0.35">
      <c r="A4766" s="2" t="s">
        <v>31627</v>
      </c>
      <c r="B4766" s="2">
        <v>135.043988027278</v>
      </c>
      <c r="C4766" s="2">
        <v>4.1056666666666697</v>
      </c>
      <c r="D4766" s="2" t="s">
        <v>34</v>
      </c>
      <c r="E4766" s="2" t="s">
        <v>31628</v>
      </c>
      <c r="F4766" s="2">
        <v>83697</v>
      </c>
      <c r="G4766" s="3" t="str">
        <f>HYPERLINK("http://funmeta.oebiotech.com/network/83697", "http://funmeta.oebiotech.com/network/83697")</f>
        <v>http://funmeta.oebiotech.com/network/83697</v>
      </c>
      <c r="H4766" s="2" t="s">
        <v>31629</v>
      </c>
      <c r="I4766" s="2">
        <v>5671</v>
      </c>
      <c r="J4766" s="2"/>
      <c r="K4766" s="2">
        <v>17656</v>
      </c>
      <c r="L4766" s="2" t="s">
        <v>31630</v>
      </c>
      <c r="M4766" s="2" t="s">
        <v>3346</v>
      </c>
      <c r="N4766" s="2" t="s">
        <v>3347</v>
      </c>
      <c r="O4766" s="2">
        <v>11914</v>
      </c>
      <c r="P4766" s="2" t="s">
        <v>31631</v>
      </c>
      <c r="Q4766" s="2" t="s">
        <v>31632</v>
      </c>
      <c r="R4766" s="2" t="s">
        <v>31633</v>
      </c>
      <c r="S4766" s="2" t="s">
        <v>148</v>
      </c>
      <c r="T4766" s="2" t="s">
        <v>149</v>
      </c>
      <c r="U4766" s="2" t="s">
        <v>41</v>
      </c>
      <c r="V4766" s="2" t="s">
        <v>59</v>
      </c>
      <c r="W4766" s="2">
        <v>46.4</v>
      </c>
      <c r="X4766" s="2">
        <v>36.299999999999997</v>
      </c>
      <c r="Y4766" s="2" t="s">
        <v>141</v>
      </c>
      <c r="Z4766" s="2" t="s">
        <v>26834</v>
      </c>
      <c r="AA4766" s="2">
        <v>-0.446163415554302</v>
      </c>
      <c r="AB4766" s="2">
        <v>0.12368765383839</v>
      </c>
      <c r="AC4766" s="2">
        <v>4758.6633889934401</v>
      </c>
      <c r="AD4766" s="2">
        <v>5881.3915645985098</v>
      </c>
      <c r="AE4766" s="2">
        <v>4573.5010659947002</v>
      </c>
      <c r="AF4766" s="2">
        <v>5069.4343160973403</v>
      </c>
      <c r="AG4766" s="2">
        <v>5187.4925363105503</v>
      </c>
      <c r="AH4766" s="2">
        <v>4478.2130823524103</v>
      </c>
      <c r="AI4766" s="2">
        <v>4523.3351717147198</v>
      </c>
      <c r="AJ4766" s="2">
        <v>4720.0041614909396</v>
      </c>
      <c r="AK4766" s="2">
        <v>5972.0315038532999</v>
      </c>
      <c r="AL4766" s="2">
        <v>6128.3662470422396</v>
      </c>
      <c r="AM4766" s="2">
        <v>5631.2002699493396</v>
      </c>
      <c r="AN4766" s="2">
        <v>5441.3904259096198</v>
      </c>
      <c r="AO4766" s="2">
        <v>6194.5191853985298</v>
      </c>
      <c r="AP4766" s="2">
        <v>5920.8417554380503</v>
      </c>
    </row>
    <row r="4767" spans="1:42" ht="14.5" x14ac:dyDescent="0.35">
      <c r="A4767" s="2" t="s">
        <v>31634</v>
      </c>
      <c r="B4767" s="2">
        <v>238.21634932086599</v>
      </c>
      <c r="C4767" s="2">
        <v>11.670033333333301</v>
      </c>
      <c r="D4767" s="2" t="s">
        <v>34</v>
      </c>
      <c r="E4767" s="2" t="s">
        <v>31635</v>
      </c>
      <c r="F4767" s="2">
        <v>61640</v>
      </c>
      <c r="G4767" s="3" t="str">
        <f>HYPERLINK("http://funmeta.oebiotech.com/network/61640", "http://funmeta.oebiotech.com/network/61640")</f>
        <v>http://funmeta.oebiotech.com/network/61640</v>
      </c>
      <c r="H4767" s="2" t="s">
        <v>31636</v>
      </c>
      <c r="I4767" s="2"/>
      <c r="J4767" s="2"/>
      <c r="K4767" s="2"/>
      <c r="L4767" s="2"/>
      <c r="M4767" s="2"/>
      <c r="N4767" s="2"/>
      <c r="O4767" s="2">
        <v>102115341</v>
      </c>
      <c r="P4767" s="2" t="s">
        <v>31637</v>
      </c>
      <c r="Q4767" s="2" t="s">
        <v>31638</v>
      </c>
      <c r="R4767" s="2" t="s">
        <v>31639</v>
      </c>
      <c r="S4767" s="2" t="s">
        <v>50</v>
      </c>
      <c r="T4767" s="2" t="s">
        <v>201</v>
      </c>
      <c r="U4767" s="2" t="s">
        <v>636</v>
      </c>
      <c r="V4767" s="2" t="s">
        <v>42</v>
      </c>
      <c r="W4767" s="2">
        <v>53.4</v>
      </c>
      <c r="X4767" s="2">
        <v>72.2</v>
      </c>
      <c r="Y4767" s="2" t="s">
        <v>43</v>
      </c>
      <c r="Z4767" s="2" t="s">
        <v>31640</v>
      </c>
      <c r="AA4767" s="2">
        <v>-0.87017899587616698</v>
      </c>
      <c r="AB4767" s="2">
        <v>0.123668404308499</v>
      </c>
      <c r="AC4767" s="2">
        <v>7194.36572405481</v>
      </c>
      <c r="AD4767" s="2">
        <v>5265.4653480156703</v>
      </c>
      <c r="AE4767" s="2">
        <v>7787.04379370897</v>
      </c>
      <c r="AF4767" s="2">
        <v>5988.7642388674803</v>
      </c>
      <c r="AG4767" s="2">
        <v>6215.2514651582196</v>
      </c>
      <c r="AH4767" s="2">
        <v>8555.1677919692102</v>
      </c>
      <c r="AI4767" s="2">
        <v>8451.6968018748594</v>
      </c>
      <c r="AJ4767" s="2">
        <v>6168.2702527501497</v>
      </c>
      <c r="AK4767" s="2">
        <v>3505.9609182822301</v>
      </c>
      <c r="AL4767" s="2">
        <v>8206.9949301601591</v>
      </c>
      <c r="AM4767" s="2">
        <v>4834.7221980497898</v>
      </c>
      <c r="AN4767" s="2">
        <v>7558.9706236602096</v>
      </c>
      <c r="AO4767" s="2">
        <v>3505.84846252939</v>
      </c>
      <c r="AP4767" s="2">
        <v>3980.2949554122301</v>
      </c>
    </row>
    <row r="4768" spans="1:42" ht="14.5" x14ac:dyDescent="0.35">
      <c r="A4768" s="2" t="s">
        <v>31641</v>
      </c>
      <c r="B4768" s="2">
        <v>134.096105026272</v>
      </c>
      <c r="C4768" s="2">
        <v>5.5395666666666701</v>
      </c>
      <c r="D4768" s="2" t="s">
        <v>34</v>
      </c>
      <c r="E4768" s="2" t="s">
        <v>31642</v>
      </c>
      <c r="F4768" s="2">
        <v>63272</v>
      </c>
      <c r="G4768" s="3" t="str">
        <f>HYPERLINK("http://funmeta.oebiotech.com/network/63272", "http://funmeta.oebiotech.com/network/63272")</f>
        <v>http://funmeta.oebiotech.com/network/63272</v>
      </c>
      <c r="H4768" s="2" t="s">
        <v>31643</v>
      </c>
      <c r="I4768" s="2"/>
      <c r="J4768" s="2"/>
      <c r="K4768" s="2"/>
      <c r="L4768" s="2"/>
      <c r="M4768" s="2"/>
      <c r="N4768" s="2"/>
      <c r="O4768" s="2">
        <v>45085810</v>
      </c>
      <c r="P4768" s="2" t="s">
        <v>31644</v>
      </c>
      <c r="Q4768" s="2" t="s">
        <v>31645</v>
      </c>
      <c r="R4768" s="2" t="s">
        <v>31646</v>
      </c>
      <c r="S4768" s="2" t="s">
        <v>491</v>
      </c>
      <c r="T4768" s="2" t="s">
        <v>2238</v>
      </c>
      <c r="U4768" s="2" t="s">
        <v>2239</v>
      </c>
      <c r="V4768" s="2" t="s">
        <v>59</v>
      </c>
      <c r="W4768" s="2">
        <v>45.3</v>
      </c>
      <c r="X4768" s="2">
        <v>32.200000000000003</v>
      </c>
      <c r="Y4768" s="2" t="s">
        <v>141</v>
      </c>
      <c r="Z4768" s="2" t="s">
        <v>16749</v>
      </c>
      <c r="AA4768" s="2">
        <v>-2.12286965363056</v>
      </c>
      <c r="AB4768" s="2">
        <v>0.123636949609918</v>
      </c>
      <c r="AC4768" s="2">
        <v>13117.626313437</v>
      </c>
      <c r="AD4768" s="2">
        <v>14291.615890872101</v>
      </c>
      <c r="AE4768" s="2">
        <v>13209.0477707135</v>
      </c>
      <c r="AF4768" s="2">
        <v>13061.859763242501</v>
      </c>
      <c r="AG4768" s="2">
        <v>12793.076491109699</v>
      </c>
      <c r="AH4768" s="2">
        <v>13363.691744760201</v>
      </c>
      <c r="AI4768" s="2">
        <v>12933.168838518201</v>
      </c>
      <c r="AJ4768" s="2">
        <v>13344.913272277699</v>
      </c>
      <c r="AK4768" s="2">
        <v>13607.040137972999</v>
      </c>
      <c r="AL4768" s="2">
        <v>14610.0610331874</v>
      </c>
      <c r="AM4768" s="2">
        <v>14834.162004129401</v>
      </c>
      <c r="AN4768" s="2">
        <v>14743.705401708001</v>
      </c>
      <c r="AO4768" s="2">
        <v>14084.837002988001</v>
      </c>
      <c r="AP4768" s="2">
        <v>13869.8897652467</v>
      </c>
    </row>
    <row r="4769" spans="1:42" ht="14.5" x14ac:dyDescent="0.35">
      <c r="A4769" s="2" t="s">
        <v>31647</v>
      </c>
      <c r="B4769" s="2">
        <v>353.302391367555</v>
      </c>
      <c r="C4769" s="2">
        <v>10.5845</v>
      </c>
      <c r="D4769" s="2" t="s">
        <v>34</v>
      </c>
      <c r="E4769" s="2" t="s">
        <v>31648</v>
      </c>
      <c r="F4769" s="2">
        <v>266522</v>
      </c>
      <c r="G4769" s="3" t="str">
        <f>HYPERLINK("http://funmeta.oebiotech.com/network/266522", "http://funmeta.oebiotech.com/network/266522")</f>
        <v>http://funmeta.oebiotech.com/network/266522</v>
      </c>
      <c r="H4769" s="2"/>
      <c r="I4769" s="2">
        <v>43451</v>
      </c>
      <c r="J4769" s="2"/>
      <c r="K4769" s="2"/>
      <c r="L4769" s="2"/>
      <c r="M4769" s="2"/>
      <c r="N4769" s="2"/>
      <c r="O4769" s="2">
        <v>1380</v>
      </c>
      <c r="P4769" s="2" t="s">
        <v>31649</v>
      </c>
      <c r="Q4769" s="2" t="s">
        <v>31650</v>
      </c>
      <c r="R4769" s="2" t="s">
        <v>31651</v>
      </c>
      <c r="S4769" s="2" t="s">
        <v>50</v>
      </c>
      <c r="T4769" s="2" t="s">
        <v>448</v>
      </c>
      <c r="U4769" s="2" t="s">
        <v>31652</v>
      </c>
      <c r="V4769" s="2" t="s">
        <v>59</v>
      </c>
      <c r="W4769" s="2">
        <v>38.5</v>
      </c>
      <c r="X4769" s="2">
        <v>0</v>
      </c>
      <c r="Y4769" s="2" t="s">
        <v>323</v>
      </c>
      <c r="Z4769" s="2" t="s">
        <v>31653</v>
      </c>
      <c r="AA4769" s="2">
        <v>-0.67971226264766405</v>
      </c>
      <c r="AB4769" s="2">
        <v>0.123566746683481</v>
      </c>
      <c r="AC4769" s="2">
        <v>3660.2807901971801</v>
      </c>
      <c r="AD4769" s="2">
        <v>4976.5857806411404</v>
      </c>
      <c r="AE4769" s="2">
        <v>3250.2771343035602</v>
      </c>
      <c r="AF4769" s="2">
        <v>3784.67677285218</v>
      </c>
      <c r="AG4769" s="2">
        <v>4099.2359717644104</v>
      </c>
      <c r="AH4769" s="2">
        <v>3598.6297048483002</v>
      </c>
      <c r="AI4769" s="2">
        <v>3886.8478498109098</v>
      </c>
      <c r="AJ4769" s="2">
        <v>3342.0173076036999</v>
      </c>
      <c r="AK4769" s="2">
        <v>5873.1459077649097</v>
      </c>
      <c r="AL4769" s="2">
        <v>3907.7613024993102</v>
      </c>
      <c r="AM4769" s="2">
        <v>4879.4354280161397</v>
      </c>
      <c r="AN4769" s="2">
        <v>4530.6194773636298</v>
      </c>
      <c r="AO4769" s="2">
        <v>4683.0879912006103</v>
      </c>
      <c r="AP4769" s="2">
        <v>5985.4645770022298</v>
      </c>
    </row>
    <row r="4770" spans="1:42" ht="14.5" x14ac:dyDescent="0.35">
      <c r="A4770" s="2" t="s">
        <v>31654</v>
      </c>
      <c r="B4770" s="2">
        <v>681.40038259952496</v>
      </c>
      <c r="C4770" s="2">
        <v>10.3798166666667</v>
      </c>
      <c r="D4770" s="2" t="s">
        <v>34</v>
      </c>
      <c r="E4770" s="2" t="s">
        <v>31655</v>
      </c>
      <c r="F4770" s="2">
        <v>28031</v>
      </c>
      <c r="G4770" s="3" t="str">
        <f>HYPERLINK("http://funmeta.oebiotech.com/network/28031", "http://funmeta.oebiotech.com/network/28031")</f>
        <v>http://funmeta.oebiotech.com/network/28031</v>
      </c>
      <c r="H4770" s="2"/>
      <c r="I4770" s="2"/>
      <c r="J4770" s="2" t="s">
        <v>31656</v>
      </c>
      <c r="K4770" s="2"/>
      <c r="L4770" s="2"/>
      <c r="M4770" s="2"/>
      <c r="N4770" s="2"/>
      <c r="O4770" s="2">
        <v>134812477</v>
      </c>
      <c r="P4770" s="2"/>
      <c r="Q4770" s="2" t="s">
        <v>31657</v>
      </c>
      <c r="R4770" s="2" t="s">
        <v>31658</v>
      </c>
      <c r="S4770" s="2" t="s">
        <v>50</v>
      </c>
      <c r="T4770" s="2" t="s">
        <v>51</v>
      </c>
      <c r="U4770" s="2" t="s">
        <v>738</v>
      </c>
      <c r="V4770" s="2" t="s">
        <v>59</v>
      </c>
      <c r="W4770" s="2">
        <v>39</v>
      </c>
      <c r="X4770" s="2">
        <v>3.4</v>
      </c>
      <c r="Y4770" s="2" t="s">
        <v>394</v>
      </c>
      <c r="Z4770" s="2" t="s">
        <v>31659</v>
      </c>
      <c r="AA4770" s="2">
        <v>4.4711801298046998</v>
      </c>
      <c r="AB4770" s="2">
        <v>0.12354547163556399</v>
      </c>
      <c r="AC4770" s="2">
        <v>34420.117316549498</v>
      </c>
      <c r="AD4770" s="2">
        <v>32314.0341470409</v>
      </c>
      <c r="AE4770" s="2">
        <v>33831.360086335801</v>
      </c>
      <c r="AF4770" s="2">
        <v>35750.7428214221</v>
      </c>
      <c r="AG4770" s="2">
        <v>37278.068771749502</v>
      </c>
      <c r="AH4770" s="2">
        <v>34178.627055048499</v>
      </c>
      <c r="AI4770" s="2">
        <v>32750.088382479898</v>
      </c>
      <c r="AJ4770" s="2">
        <v>32731.816782261201</v>
      </c>
      <c r="AK4770" s="2">
        <v>29778.113765769602</v>
      </c>
      <c r="AL4770" s="2">
        <v>29234.295967015099</v>
      </c>
      <c r="AM4770" s="2">
        <v>33161.9642138747</v>
      </c>
      <c r="AN4770" s="2">
        <v>35530.873389426401</v>
      </c>
      <c r="AO4770" s="2">
        <v>33874.194603296703</v>
      </c>
      <c r="AP4770" s="2">
        <v>32304.762942862999</v>
      </c>
    </row>
    <row r="4771" spans="1:42" ht="14.5" x14ac:dyDescent="0.35">
      <c r="A4771" s="2" t="s">
        <v>31660</v>
      </c>
      <c r="B4771" s="2">
        <v>491.285913221013</v>
      </c>
      <c r="C4771" s="2">
        <v>5.9351500000000001</v>
      </c>
      <c r="D4771" s="2" t="s">
        <v>70</v>
      </c>
      <c r="E4771" s="2" t="s">
        <v>31661</v>
      </c>
      <c r="F4771" s="2">
        <v>2901</v>
      </c>
      <c r="G4771" s="3" t="str">
        <f>HYPERLINK("http://funmeta.oebiotech.com/network/2901", "http://funmeta.oebiotech.com/network/2901")</f>
        <v>http://funmeta.oebiotech.com/network/2901</v>
      </c>
      <c r="H4771" s="2" t="s">
        <v>31662</v>
      </c>
      <c r="I4771" s="2">
        <v>5402</v>
      </c>
      <c r="J4771" s="2" t="s">
        <v>31663</v>
      </c>
      <c r="K4771" s="2"/>
      <c r="L4771" s="2"/>
      <c r="M4771" s="2"/>
      <c r="N4771" s="2"/>
      <c r="O4771" s="2">
        <v>16663321</v>
      </c>
      <c r="P4771" s="2" t="s">
        <v>31664</v>
      </c>
      <c r="Q4771" s="2" t="s">
        <v>31665</v>
      </c>
      <c r="R4771" s="2" t="s">
        <v>31666</v>
      </c>
      <c r="S4771" s="2" t="s">
        <v>89</v>
      </c>
      <c r="T4771" s="2" t="s">
        <v>4218</v>
      </c>
      <c r="U4771" s="2" t="s">
        <v>5830</v>
      </c>
      <c r="V4771" s="2" t="s">
        <v>59</v>
      </c>
      <c r="W4771" s="2">
        <v>39.299999999999997</v>
      </c>
      <c r="X4771" s="2">
        <v>0</v>
      </c>
      <c r="Y4771" s="2" t="s">
        <v>560</v>
      </c>
      <c r="Z4771" s="2" t="s">
        <v>31667</v>
      </c>
      <c r="AA4771" s="2">
        <v>-0.52398354677826198</v>
      </c>
      <c r="AB4771" s="2">
        <v>0.12352610511615</v>
      </c>
      <c r="AC4771" s="2">
        <v>3113.5170967831</v>
      </c>
      <c r="AD4771" s="2">
        <v>4265.2423355834499</v>
      </c>
      <c r="AE4771" s="2">
        <v>3050.3016137558302</v>
      </c>
      <c r="AF4771" s="2">
        <v>3612.5763680309101</v>
      </c>
      <c r="AG4771" s="2">
        <v>2630.6006684532599</v>
      </c>
      <c r="AH4771" s="2">
        <v>3002.7487731794699</v>
      </c>
      <c r="AI4771" s="2">
        <v>3630.9238720161502</v>
      </c>
      <c r="AJ4771" s="2">
        <v>2753.95128526296</v>
      </c>
      <c r="AK4771" s="2">
        <v>4604.9186938865296</v>
      </c>
      <c r="AL4771" s="2">
        <v>4525.2199004316099</v>
      </c>
      <c r="AM4771" s="2">
        <v>4110.39712916606</v>
      </c>
      <c r="AN4771" s="2">
        <v>4426.6532274763404</v>
      </c>
      <c r="AO4771" s="2">
        <v>4066.0170172568701</v>
      </c>
      <c r="AP4771" s="2">
        <v>3858.2480452832701</v>
      </c>
    </row>
    <row r="4772" spans="1:42" ht="14.5" x14ac:dyDescent="0.35">
      <c r="A4772" s="2" t="s">
        <v>31668</v>
      </c>
      <c r="B4772" s="2">
        <v>455.14059259594802</v>
      </c>
      <c r="C4772" s="2">
        <v>2.5205166666666701</v>
      </c>
      <c r="D4772" s="2" t="s">
        <v>70</v>
      </c>
      <c r="E4772" s="2" t="s">
        <v>31669</v>
      </c>
      <c r="F4772" s="2">
        <v>62206</v>
      </c>
      <c r="G4772" s="3" t="str">
        <f>HYPERLINK("http://funmeta.oebiotech.com/network/62206", "http://funmeta.oebiotech.com/network/62206")</f>
        <v>http://funmeta.oebiotech.com/network/62206</v>
      </c>
      <c r="H4772" s="2" t="s">
        <v>31670</v>
      </c>
      <c r="I4772" s="2">
        <v>93491</v>
      </c>
      <c r="J4772" s="2"/>
      <c r="K4772" s="2"/>
      <c r="L4772" s="2"/>
      <c r="M4772" s="2"/>
      <c r="N4772" s="2"/>
      <c r="O4772" s="2">
        <v>131752481</v>
      </c>
      <c r="P4772" s="2" t="s">
        <v>31671</v>
      </c>
      <c r="Q4772" s="2" t="s">
        <v>31672</v>
      </c>
      <c r="R4772" s="2" t="s">
        <v>31673</v>
      </c>
      <c r="S4772" s="2" t="s">
        <v>79</v>
      </c>
      <c r="T4772" s="2" t="s">
        <v>80</v>
      </c>
      <c r="U4772" s="2" t="s">
        <v>81</v>
      </c>
      <c r="V4772" s="2" t="s">
        <v>59</v>
      </c>
      <c r="W4772" s="2">
        <v>37.9</v>
      </c>
      <c r="X4772" s="2">
        <v>0</v>
      </c>
      <c r="Y4772" s="2" t="s">
        <v>751</v>
      </c>
      <c r="Z4772" s="2" t="s">
        <v>31674</v>
      </c>
      <c r="AA4772" s="2">
        <v>-7.7061899442201806E-2</v>
      </c>
      <c r="AB4772" s="2">
        <v>0.12349361790506</v>
      </c>
      <c r="AC4772" s="2">
        <v>6552.5294634101201</v>
      </c>
      <c r="AD4772" s="2">
        <v>5402.1124163069699</v>
      </c>
      <c r="AE4772" s="2">
        <v>6891.9346877155403</v>
      </c>
      <c r="AF4772" s="2">
        <v>6759.8382406850496</v>
      </c>
      <c r="AG4772" s="2">
        <v>6831.1827436983103</v>
      </c>
      <c r="AH4772" s="2">
        <v>6799.5303031096901</v>
      </c>
      <c r="AI4772" s="2">
        <v>5984.9668716807701</v>
      </c>
      <c r="AJ4772" s="2">
        <v>6047.7239335713903</v>
      </c>
      <c r="AK4772" s="2">
        <v>5545.7889476441196</v>
      </c>
      <c r="AL4772" s="2">
        <v>5288.4091008812802</v>
      </c>
      <c r="AM4772" s="2">
        <v>5353.6468119944502</v>
      </c>
      <c r="AN4772" s="2">
        <v>5933.5869909865096</v>
      </c>
      <c r="AO4772" s="2">
        <v>5052.4407383625903</v>
      </c>
      <c r="AP4772" s="2">
        <v>5238.8019079728801</v>
      </c>
    </row>
    <row r="4773" spans="1:42" ht="14.5" x14ac:dyDescent="0.35">
      <c r="A4773" s="2" t="s">
        <v>31675</v>
      </c>
      <c r="B4773" s="2">
        <v>678.46943161889305</v>
      </c>
      <c r="C4773" s="2">
        <v>14.094333333333299</v>
      </c>
      <c r="D4773" s="2" t="s">
        <v>34</v>
      </c>
      <c r="E4773" s="2" t="s">
        <v>31676</v>
      </c>
      <c r="F4773" s="2">
        <v>216112</v>
      </c>
      <c r="G4773" s="3" t="str">
        <f>HYPERLINK("http://funmeta.oebiotech.com/network/216112", "http://funmeta.oebiotech.com/network/216112")</f>
        <v>http://funmeta.oebiotech.com/network/216112</v>
      </c>
      <c r="H4773" s="2" t="s">
        <v>31677</v>
      </c>
      <c r="I4773" s="2"/>
      <c r="J4773" s="2"/>
      <c r="K4773" s="2"/>
      <c r="L4773" s="2"/>
      <c r="M4773" s="2"/>
      <c r="N4773" s="2"/>
      <c r="O4773" s="2"/>
      <c r="P4773" s="2"/>
      <c r="Q4773" s="2" t="s">
        <v>31678</v>
      </c>
      <c r="R4773" s="2" t="s">
        <v>31679</v>
      </c>
      <c r="S4773" s="2" t="s">
        <v>41</v>
      </c>
      <c r="T4773" s="2" t="s">
        <v>41</v>
      </c>
      <c r="U4773" s="2" t="s">
        <v>41</v>
      </c>
      <c r="V4773" s="2" t="s">
        <v>59</v>
      </c>
      <c r="W4773" s="2">
        <v>36.6</v>
      </c>
      <c r="X4773" s="2">
        <v>0</v>
      </c>
      <c r="Y4773" s="2" t="s">
        <v>43</v>
      </c>
      <c r="Z4773" s="2" t="s">
        <v>31680</v>
      </c>
      <c r="AA4773" s="2">
        <v>-1.5356533323603201</v>
      </c>
      <c r="AB4773" s="2">
        <v>0.123486700563324</v>
      </c>
      <c r="AC4773" s="2">
        <v>2597.3106113695299</v>
      </c>
      <c r="AD4773" s="2">
        <v>1398.1966859171901</v>
      </c>
      <c r="AE4773" s="2">
        <v>2453.2288240902199</v>
      </c>
      <c r="AF4773" s="2">
        <v>2118.1234088299898</v>
      </c>
      <c r="AG4773" s="2">
        <v>2956.4819207585701</v>
      </c>
      <c r="AH4773" s="2">
        <v>2799.5272437294202</v>
      </c>
      <c r="AI4773" s="2">
        <v>2447.7431177389899</v>
      </c>
      <c r="AJ4773" s="2">
        <v>2808.7591530700201</v>
      </c>
      <c r="AK4773" s="2">
        <v>677.84181976244804</v>
      </c>
      <c r="AL4773" s="2">
        <v>907.99511933534302</v>
      </c>
      <c r="AM4773" s="2">
        <v>1951.11046208943</v>
      </c>
      <c r="AN4773" s="2">
        <v>1305.24493213806</v>
      </c>
      <c r="AO4773" s="2">
        <v>1811.13696623755</v>
      </c>
      <c r="AP4773" s="2">
        <v>1735.85081594029</v>
      </c>
    </row>
    <row r="4774" spans="1:42" ht="14.5" x14ac:dyDescent="0.35">
      <c r="A4774" s="2" t="s">
        <v>31681</v>
      </c>
      <c r="B4774" s="2">
        <v>163.06012650640699</v>
      </c>
      <c r="C4774" s="2">
        <v>1.05673333333333</v>
      </c>
      <c r="D4774" s="2" t="s">
        <v>70</v>
      </c>
      <c r="E4774" s="2" t="s">
        <v>31682</v>
      </c>
      <c r="F4774" s="2">
        <v>54187</v>
      </c>
      <c r="G4774" s="3" t="str">
        <f>HYPERLINK("http://funmeta.oebiotech.com/network/54187", "http://funmeta.oebiotech.com/network/54187")</f>
        <v>http://funmeta.oebiotech.com/network/54187</v>
      </c>
      <c r="H4774" s="2" t="s">
        <v>31683</v>
      </c>
      <c r="I4774" s="2">
        <v>24062</v>
      </c>
      <c r="J4774" s="2"/>
      <c r="K4774" s="2">
        <v>42564</v>
      </c>
      <c r="L4774" s="2" t="s">
        <v>31684</v>
      </c>
      <c r="M4774" s="2"/>
      <c r="N4774" s="2"/>
      <c r="O4774" s="2">
        <v>444200</v>
      </c>
      <c r="P4774" s="2" t="s">
        <v>31685</v>
      </c>
      <c r="Q4774" s="2" t="s">
        <v>31686</v>
      </c>
      <c r="R4774" s="2" t="s">
        <v>31687</v>
      </c>
      <c r="S4774" s="2" t="s">
        <v>79</v>
      </c>
      <c r="T4774" s="2" t="s">
        <v>80</v>
      </c>
      <c r="U4774" s="2" t="s">
        <v>81</v>
      </c>
      <c r="V4774" s="2" t="s">
        <v>59</v>
      </c>
      <c r="W4774" s="2">
        <v>40.9</v>
      </c>
      <c r="X4774" s="2">
        <v>15.5</v>
      </c>
      <c r="Y4774" s="2" t="s">
        <v>118</v>
      </c>
      <c r="Z4774" s="2" t="s">
        <v>24595</v>
      </c>
      <c r="AA4774" s="2">
        <v>-6.5249844166154896</v>
      </c>
      <c r="AB4774" s="2">
        <v>0.123451844512315</v>
      </c>
      <c r="AC4774" s="2">
        <v>13274.6120316653</v>
      </c>
      <c r="AD4774" s="2">
        <v>11602.3760894485</v>
      </c>
      <c r="AE4774" s="2">
        <v>13367.326542258201</v>
      </c>
      <c r="AF4774" s="2">
        <v>14405.6685581906</v>
      </c>
      <c r="AG4774" s="2">
        <v>12939.403711728501</v>
      </c>
      <c r="AH4774" s="2">
        <v>14238.5844164789</v>
      </c>
      <c r="AI4774" s="2">
        <v>13660.7582665017</v>
      </c>
      <c r="AJ4774" s="2">
        <v>11035.9306948341</v>
      </c>
      <c r="AK4774" s="2">
        <v>12799.499042553</v>
      </c>
      <c r="AL4774" s="2">
        <v>9985.9625285555194</v>
      </c>
      <c r="AM4774" s="2">
        <v>11210.241605544101</v>
      </c>
      <c r="AN4774" s="2">
        <v>11008.812705881601</v>
      </c>
      <c r="AO4774" s="2">
        <v>13270.4072528617</v>
      </c>
      <c r="AP4774" s="2">
        <v>11339.3334012948</v>
      </c>
    </row>
    <row r="4775" spans="1:42" ht="14.5" x14ac:dyDescent="0.35">
      <c r="A4775" s="2" t="s">
        <v>31688</v>
      </c>
      <c r="B4775" s="2">
        <v>232.05867155072201</v>
      </c>
      <c r="C4775" s="2">
        <v>2.2312500000000002</v>
      </c>
      <c r="D4775" s="2" t="s">
        <v>70</v>
      </c>
      <c r="E4775" s="2" t="s">
        <v>31689</v>
      </c>
      <c r="F4775" s="2">
        <v>211681</v>
      </c>
      <c r="G4775" s="3" t="str">
        <f>HYPERLINK("http://funmeta.oebiotech.com/network/211681", "http://funmeta.oebiotech.com/network/211681")</f>
        <v>http://funmeta.oebiotech.com/network/211681</v>
      </c>
      <c r="H4775" s="2" t="s">
        <v>31690</v>
      </c>
      <c r="I4775" s="2"/>
      <c r="J4775" s="2"/>
      <c r="K4775" s="2"/>
      <c r="L4775" s="2"/>
      <c r="M4775" s="2"/>
      <c r="N4775" s="2"/>
      <c r="O4775" s="2">
        <v>87142341</v>
      </c>
      <c r="P4775" s="2"/>
      <c r="Q4775" s="2" t="s">
        <v>31691</v>
      </c>
      <c r="R4775" s="2" t="s">
        <v>31692</v>
      </c>
      <c r="S4775" s="2" t="s">
        <v>41</v>
      </c>
      <c r="T4775" s="2" t="s">
        <v>41</v>
      </c>
      <c r="U4775" s="2" t="s">
        <v>41</v>
      </c>
      <c r="V4775" s="2" t="s">
        <v>59</v>
      </c>
      <c r="W4775" s="2">
        <v>39.299999999999997</v>
      </c>
      <c r="X4775" s="2">
        <v>4.67</v>
      </c>
      <c r="Y4775" s="2" t="s">
        <v>118</v>
      </c>
      <c r="Z4775" s="2" t="s">
        <v>31693</v>
      </c>
      <c r="AA4775" s="2">
        <v>4.9895920186892102</v>
      </c>
      <c r="AB4775" s="2">
        <v>0.123441372793112</v>
      </c>
      <c r="AC4775" s="2">
        <v>8029.6948726054998</v>
      </c>
      <c r="AD4775" s="2">
        <v>6719.1482995879396</v>
      </c>
      <c r="AE4775" s="2">
        <v>7552.7398293202996</v>
      </c>
      <c r="AF4775" s="2">
        <v>6757.4771025530799</v>
      </c>
      <c r="AG4775" s="2">
        <v>8609.0812342999507</v>
      </c>
      <c r="AH4775" s="2">
        <v>8837.4552068967405</v>
      </c>
      <c r="AI4775" s="2">
        <v>8231.3264712057207</v>
      </c>
      <c r="AJ4775" s="2">
        <v>8190.0893913571799</v>
      </c>
      <c r="AK4775" s="2">
        <v>6161.16346601844</v>
      </c>
      <c r="AL4775" s="2">
        <v>7131.4851604066798</v>
      </c>
      <c r="AM4775" s="2">
        <v>6924.0853248520098</v>
      </c>
      <c r="AN4775" s="2">
        <v>6878.4993736247197</v>
      </c>
      <c r="AO4775" s="2">
        <v>6864.8839887312497</v>
      </c>
      <c r="AP4775" s="2">
        <v>6354.7724838945396</v>
      </c>
    </row>
    <row r="4776" spans="1:42" ht="14.5" x14ac:dyDescent="0.35">
      <c r="A4776" s="2" t="s">
        <v>31694</v>
      </c>
      <c r="B4776" s="2">
        <v>527.051456206887</v>
      </c>
      <c r="C4776" s="2">
        <v>9.9230666666666707</v>
      </c>
      <c r="D4776" s="2" t="s">
        <v>70</v>
      </c>
      <c r="E4776" s="2" t="s">
        <v>31695</v>
      </c>
      <c r="F4776" s="2">
        <v>47092</v>
      </c>
      <c r="G4776" s="3" t="str">
        <f>HYPERLINK("http://funmeta.oebiotech.com/network/47092", "http://funmeta.oebiotech.com/network/47092")</f>
        <v>http://funmeta.oebiotech.com/network/47092</v>
      </c>
      <c r="H4776" s="2" t="s">
        <v>31696</v>
      </c>
      <c r="I4776" s="2">
        <v>1596</v>
      </c>
      <c r="J4776" s="2"/>
      <c r="K4776" s="2">
        <v>137054</v>
      </c>
      <c r="L4776" s="2"/>
      <c r="M4776" s="2"/>
      <c r="N4776" s="2"/>
      <c r="O4776" s="2">
        <v>4183</v>
      </c>
      <c r="P4776" s="2" t="s">
        <v>31697</v>
      </c>
      <c r="Q4776" s="2" t="s">
        <v>31698</v>
      </c>
      <c r="R4776" s="2" t="s">
        <v>31699</v>
      </c>
      <c r="S4776" s="2" t="s">
        <v>89</v>
      </c>
      <c r="T4776" s="2" t="s">
        <v>1773</v>
      </c>
      <c r="U4776" s="2" t="s">
        <v>21134</v>
      </c>
      <c r="V4776" s="2" t="s">
        <v>59</v>
      </c>
      <c r="W4776" s="2">
        <v>37.6</v>
      </c>
      <c r="X4776" s="2">
        <v>0</v>
      </c>
      <c r="Y4776" s="2" t="s">
        <v>560</v>
      </c>
      <c r="Z4776" s="2" t="s">
        <v>31700</v>
      </c>
      <c r="AA4776" s="2">
        <v>-3.8154788881245101</v>
      </c>
      <c r="AB4776" s="2">
        <v>0.123329056870635</v>
      </c>
      <c r="AC4776" s="2">
        <v>12024.0822705805</v>
      </c>
      <c r="AD4776" s="2">
        <v>13547.288508850999</v>
      </c>
      <c r="AE4776" s="2">
        <v>13504.5092285465</v>
      </c>
      <c r="AF4776" s="2">
        <v>12301.1669318236</v>
      </c>
      <c r="AG4776" s="2">
        <v>10827.9684321235</v>
      </c>
      <c r="AH4776" s="2">
        <v>11309.705684106701</v>
      </c>
      <c r="AI4776" s="2">
        <v>12626.996774759</v>
      </c>
      <c r="AJ4776" s="2">
        <v>11574.1465721238</v>
      </c>
      <c r="AK4776" s="2">
        <v>14246.6195868099</v>
      </c>
      <c r="AL4776" s="2">
        <v>12380.5019400244</v>
      </c>
      <c r="AM4776" s="2">
        <v>13676.9257793375</v>
      </c>
      <c r="AN4776" s="2">
        <v>13015.4564903174</v>
      </c>
      <c r="AO4776" s="2">
        <v>15028.432597979499</v>
      </c>
      <c r="AP4776" s="2">
        <v>12935.7946586373</v>
      </c>
    </row>
    <row r="4777" spans="1:42" ht="14.5" x14ac:dyDescent="0.35">
      <c r="A4777" s="2" t="s">
        <v>31701</v>
      </c>
      <c r="B4777" s="2">
        <v>334.995971808207</v>
      </c>
      <c r="C4777" s="2">
        <v>0.93389999999999995</v>
      </c>
      <c r="D4777" s="2" t="s">
        <v>34</v>
      </c>
      <c r="E4777" s="2" t="s">
        <v>31702</v>
      </c>
      <c r="F4777" s="2">
        <v>29985</v>
      </c>
      <c r="G4777" s="3" t="str">
        <f>HYPERLINK("http://funmeta.oebiotech.com/network/29985", "http://funmeta.oebiotech.com/network/29985")</f>
        <v>http://funmeta.oebiotech.com/network/29985</v>
      </c>
      <c r="H4777" s="2" t="s">
        <v>31703</v>
      </c>
      <c r="I4777" s="2">
        <v>48339</v>
      </c>
      <c r="J4777" s="2" t="s">
        <v>31704</v>
      </c>
      <c r="K4777" s="2"/>
      <c r="L4777" s="2"/>
      <c r="M4777" s="2"/>
      <c r="N4777" s="2"/>
      <c r="O4777" s="2">
        <v>5319322</v>
      </c>
      <c r="P4777" s="2" t="s">
        <v>31705</v>
      </c>
      <c r="Q4777" s="2" t="s">
        <v>31706</v>
      </c>
      <c r="R4777" s="2" t="s">
        <v>31707</v>
      </c>
      <c r="S4777" s="2" t="s">
        <v>115</v>
      </c>
      <c r="T4777" s="2" t="s">
        <v>1371</v>
      </c>
      <c r="U4777" s="2" t="s">
        <v>19037</v>
      </c>
      <c r="V4777" s="2" t="s">
        <v>59</v>
      </c>
      <c r="W4777" s="2">
        <v>36</v>
      </c>
      <c r="X4777" s="2">
        <v>0</v>
      </c>
      <c r="Y4777" s="2" t="s">
        <v>340</v>
      </c>
      <c r="Z4777" s="2" t="s">
        <v>31708</v>
      </c>
      <c r="AA4777" s="2">
        <v>2.4516068229566699</v>
      </c>
      <c r="AB4777" s="2">
        <v>0.123328608760451</v>
      </c>
      <c r="AC4777" s="2">
        <v>2900.7559368632301</v>
      </c>
      <c r="AD4777" s="2">
        <v>1679.5514707145001</v>
      </c>
      <c r="AE4777" s="2">
        <v>3276.2241222686998</v>
      </c>
      <c r="AF4777" s="2">
        <v>3805.4480339739598</v>
      </c>
      <c r="AG4777" s="2">
        <v>2484.45679619884</v>
      </c>
      <c r="AH4777" s="2">
        <v>2159.8348894293799</v>
      </c>
      <c r="AI4777" s="2">
        <v>2947.8415480958502</v>
      </c>
      <c r="AJ4777" s="2">
        <v>2730.7302312126599</v>
      </c>
      <c r="AK4777" s="2">
        <v>1820.82053976149</v>
      </c>
      <c r="AL4777" s="2">
        <v>1110.3842583804001</v>
      </c>
      <c r="AM4777" s="2">
        <v>1511.2280197073901</v>
      </c>
      <c r="AN4777" s="2">
        <v>1787.19468368817</v>
      </c>
      <c r="AO4777" s="2">
        <v>1978.45251071504</v>
      </c>
      <c r="AP4777" s="2">
        <v>1869.2288120345299</v>
      </c>
    </row>
    <row r="4778" spans="1:42" ht="14.5" x14ac:dyDescent="0.35">
      <c r="A4778" s="2" t="s">
        <v>31709</v>
      </c>
      <c r="B4778" s="2">
        <v>207.065107342625</v>
      </c>
      <c r="C4778" s="2">
        <v>4.7359166666666699</v>
      </c>
      <c r="D4778" s="2" t="s">
        <v>34</v>
      </c>
      <c r="E4778" s="2" t="s">
        <v>31710</v>
      </c>
      <c r="F4778" s="2">
        <v>64750</v>
      </c>
      <c r="G4778" s="3" t="str">
        <f>HYPERLINK("http://funmeta.oebiotech.com/network/64750", "http://funmeta.oebiotech.com/network/64750")</f>
        <v>http://funmeta.oebiotech.com/network/64750</v>
      </c>
      <c r="H4778" s="2" t="s">
        <v>31711</v>
      </c>
      <c r="I4778" s="2">
        <v>96049</v>
      </c>
      <c r="J4778" s="2"/>
      <c r="K4778" s="2">
        <v>134255</v>
      </c>
      <c r="L4778" s="2"/>
      <c r="M4778" s="2"/>
      <c r="N4778" s="2"/>
      <c r="O4778" s="2">
        <v>44389277</v>
      </c>
      <c r="P4778" s="2"/>
      <c r="Q4778" s="2" t="s">
        <v>31712</v>
      </c>
      <c r="R4778" s="2" t="s">
        <v>31713</v>
      </c>
      <c r="S4778" s="2" t="s">
        <v>148</v>
      </c>
      <c r="T4778" s="2" t="s">
        <v>392</v>
      </c>
      <c r="U4778" s="2" t="s">
        <v>8632</v>
      </c>
      <c r="V4778" s="2" t="s">
        <v>42</v>
      </c>
      <c r="W4778" s="2">
        <v>50</v>
      </c>
      <c r="X4778" s="2">
        <v>55.1</v>
      </c>
      <c r="Y4778" s="2" t="s">
        <v>141</v>
      </c>
      <c r="Z4778" s="2" t="s">
        <v>22448</v>
      </c>
      <c r="AA4778" s="2">
        <v>-0.34761701889020302</v>
      </c>
      <c r="AB4778" s="2">
        <v>0.12322147241949701</v>
      </c>
      <c r="AC4778" s="2">
        <v>6305.8590656461602</v>
      </c>
      <c r="AD4778" s="2">
        <v>7487.9198146506897</v>
      </c>
      <c r="AE4778" s="2">
        <v>6011.2781355733596</v>
      </c>
      <c r="AF4778" s="2">
        <v>6134.8019529507101</v>
      </c>
      <c r="AG4778" s="2">
        <v>6490.9416562536899</v>
      </c>
      <c r="AH4778" s="2">
        <v>6512.2227849415804</v>
      </c>
      <c r="AI4778" s="2">
        <v>6013.1742662668803</v>
      </c>
      <c r="AJ4778" s="2">
        <v>6672.7355978907499</v>
      </c>
      <c r="AK4778" s="2">
        <v>7652.8513493640503</v>
      </c>
      <c r="AL4778" s="2">
        <v>8156.2903824592004</v>
      </c>
      <c r="AM4778" s="2">
        <v>7873.19336105406</v>
      </c>
      <c r="AN4778" s="2">
        <v>7305.8723405917399</v>
      </c>
      <c r="AO4778" s="2">
        <v>7120.0289903938201</v>
      </c>
      <c r="AP4778" s="2">
        <v>6819.28246404127</v>
      </c>
    </row>
    <row r="4779" spans="1:42" ht="14.5" x14ac:dyDescent="0.35">
      <c r="A4779" s="2" t="s">
        <v>31714</v>
      </c>
      <c r="B4779" s="2">
        <v>467.17325563744299</v>
      </c>
      <c r="C4779" s="2">
        <v>1.11073333333333</v>
      </c>
      <c r="D4779" s="2" t="s">
        <v>34</v>
      </c>
      <c r="E4779" s="2" t="s">
        <v>31715</v>
      </c>
      <c r="F4779" s="2">
        <v>203179</v>
      </c>
      <c r="G4779" s="3" t="str">
        <f>HYPERLINK("http://funmeta.oebiotech.com/network/203179", "http://funmeta.oebiotech.com/network/203179")</f>
        <v>http://funmeta.oebiotech.com/network/203179</v>
      </c>
      <c r="H4779" s="2" t="s">
        <v>31716</v>
      </c>
      <c r="I4779" s="2"/>
      <c r="J4779" s="2"/>
      <c r="K4779" s="2"/>
      <c r="L4779" s="2"/>
      <c r="M4779" s="2"/>
      <c r="N4779" s="2"/>
      <c r="O4779" s="2">
        <v>16307093</v>
      </c>
      <c r="P4779" s="2"/>
      <c r="Q4779" s="2" t="s">
        <v>31717</v>
      </c>
      <c r="R4779" s="2" t="s">
        <v>31718</v>
      </c>
      <c r="S4779" s="2" t="s">
        <v>148</v>
      </c>
      <c r="T4779" s="2" t="s">
        <v>149</v>
      </c>
      <c r="U4779" s="2" t="s">
        <v>25393</v>
      </c>
      <c r="V4779" s="2" t="s">
        <v>59</v>
      </c>
      <c r="W4779" s="2">
        <v>38.4</v>
      </c>
      <c r="X4779" s="2">
        <v>0</v>
      </c>
      <c r="Y4779" s="2" t="s">
        <v>340</v>
      </c>
      <c r="Z4779" s="2" t="s">
        <v>31719</v>
      </c>
      <c r="AA4779" s="2">
        <v>0.24471919111514201</v>
      </c>
      <c r="AB4779" s="2">
        <v>0.12317755498221</v>
      </c>
      <c r="AC4779" s="2">
        <v>3708.3267167199901</v>
      </c>
      <c r="AD4779" s="2">
        <v>5064.60729212776</v>
      </c>
      <c r="AE4779" s="2">
        <v>3850.97081006186</v>
      </c>
      <c r="AF4779" s="2">
        <v>3942.09184764271</v>
      </c>
      <c r="AG4779" s="2">
        <v>4315.2234458966605</v>
      </c>
      <c r="AH4779" s="2">
        <v>2773.6835414202901</v>
      </c>
      <c r="AI4779" s="2">
        <v>3831.86965488943</v>
      </c>
      <c r="AJ4779" s="2">
        <v>3536.1210004089698</v>
      </c>
      <c r="AK4779" s="2">
        <v>5257.78301141872</v>
      </c>
      <c r="AL4779" s="2">
        <v>5825.2739340872804</v>
      </c>
      <c r="AM4779" s="2">
        <v>4193.40238811982</v>
      </c>
      <c r="AN4779" s="2">
        <v>4115.5559256353199</v>
      </c>
      <c r="AO4779" s="2">
        <v>4994.3323605108699</v>
      </c>
      <c r="AP4779" s="2">
        <v>6001.2961329945301</v>
      </c>
    </row>
    <row r="4780" spans="1:42" ht="14.5" x14ac:dyDescent="0.35">
      <c r="A4780" s="2" t="s">
        <v>31720</v>
      </c>
      <c r="B4780" s="2">
        <v>470.20295786433098</v>
      </c>
      <c r="C4780" s="2">
        <v>5.5805999999999996</v>
      </c>
      <c r="D4780" s="2" t="s">
        <v>70</v>
      </c>
      <c r="E4780" s="2" t="s">
        <v>31721</v>
      </c>
      <c r="F4780" s="2">
        <v>82713</v>
      </c>
      <c r="G4780" s="3" t="str">
        <f>HYPERLINK("http://funmeta.oebiotech.com/network/82713", "http://funmeta.oebiotech.com/network/82713")</f>
        <v>http://funmeta.oebiotech.com/network/82713</v>
      </c>
      <c r="H4780" s="2" t="s">
        <v>31722</v>
      </c>
      <c r="I4780" s="2"/>
      <c r="J4780" s="2"/>
      <c r="K4780" s="2"/>
      <c r="L4780" s="2"/>
      <c r="M4780" s="2"/>
      <c r="N4780" s="2"/>
      <c r="O4780" s="2">
        <v>29919004</v>
      </c>
      <c r="P4780" s="2" t="s">
        <v>31723</v>
      </c>
      <c r="Q4780" s="2" t="s">
        <v>31724</v>
      </c>
      <c r="R4780" s="2" t="s">
        <v>31725</v>
      </c>
      <c r="S4780" s="2" t="s">
        <v>79</v>
      </c>
      <c r="T4780" s="2" t="s">
        <v>80</v>
      </c>
      <c r="U4780" s="2" t="s">
        <v>81</v>
      </c>
      <c r="V4780" s="2" t="s">
        <v>59</v>
      </c>
      <c r="W4780" s="2">
        <v>38.5</v>
      </c>
      <c r="X4780" s="2">
        <v>0</v>
      </c>
      <c r="Y4780" s="2" t="s">
        <v>408</v>
      </c>
      <c r="Z4780" s="2" t="s">
        <v>31726</v>
      </c>
      <c r="AA4780" s="2">
        <v>-0.49849163460784701</v>
      </c>
      <c r="AB4780" s="2">
        <v>0.12315626216563499</v>
      </c>
      <c r="AC4780" s="2">
        <v>9536.6854266253595</v>
      </c>
      <c r="AD4780" s="2">
        <v>7908.5035699173004</v>
      </c>
      <c r="AE4780" s="2">
        <v>10252.4078765911</v>
      </c>
      <c r="AF4780" s="2">
        <v>9780.2076091649396</v>
      </c>
      <c r="AG4780" s="2">
        <v>9275.4035373081606</v>
      </c>
      <c r="AH4780" s="2">
        <v>10179.389827623399</v>
      </c>
      <c r="AI4780" s="2">
        <v>6894.4676297092501</v>
      </c>
      <c r="AJ4780" s="2">
        <v>10838.2360793553</v>
      </c>
      <c r="AK4780" s="2">
        <v>7119.8744650895496</v>
      </c>
      <c r="AL4780" s="2">
        <v>8204.8580961949901</v>
      </c>
      <c r="AM4780" s="2">
        <v>7968.9500342861202</v>
      </c>
      <c r="AN4780" s="2">
        <v>9272.1108265100393</v>
      </c>
      <c r="AO4780" s="2">
        <v>8238.2094023736408</v>
      </c>
      <c r="AP4780" s="2">
        <v>6647.0185950494497</v>
      </c>
    </row>
    <row r="4781" spans="1:42" ht="14.5" x14ac:dyDescent="0.35">
      <c r="A4781" s="2" t="s">
        <v>31727</v>
      </c>
      <c r="B4781" s="2">
        <v>907.46616047902899</v>
      </c>
      <c r="C4781" s="2">
        <v>10.792766666666701</v>
      </c>
      <c r="D4781" s="2" t="s">
        <v>34</v>
      </c>
      <c r="E4781" s="2" t="s">
        <v>31728</v>
      </c>
      <c r="F4781" s="2">
        <v>58159</v>
      </c>
      <c r="G4781" s="3" t="str">
        <f>HYPERLINK("http://funmeta.oebiotech.com/network/58159", "http://funmeta.oebiotech.com/network/58159")</f>
        <v>http://funmeta.oebiotech.com/network/58159</v>
      </c>
      <c r="H4781" s="2" t="s">
        <v>31729</v>
      </c>
      <c r="I4781" s="2"/>
      <c r="J4781" s="2"/>
      <c r="K4781" s="2"/>
      <c r="L4781" s="2"/>
      <c r="M4781" s="2"/>
      <c r="N4781" s="2"/>
      <c r="O4781" s="2">
        <v>14236585</v>
      </c>
      <c r="P4781" s="2" t="s">
        <v>31730</v>
      </c>
      <c r="Q4781" s="2" t="s">
        <v>31731</v>
      </c>
      <c r="R4781" s="2" t="s">
        <v>31732</v>
      </c>
      <c r="S4781" s="2" t="s">
        <v>50</v>
      </c>
      <c r="T4781" s="2" t="s">
        <v>124</v>
      </c>
      <c r="U4781" s="2" t="s">
        <v>523</v>
      </c>
      <c r="V4781" s="2" t="s">
        <v>59</v>
      </c>
      <c r="W4781" s="2">
        <v>37.9</v>
      </c>
      <c r="X4781" s="2">
        <v>2.2599999999999998</v>
      </c>
      <c r="Y4781" s="2" t="s">
        <v>470</v>
      </c>
      <c r="Z4781" s="2" t="s">
        <v>5776</v>
      </c>
      <c r="AA4781" s="2">
        <v>-1.24848142567042E-2</v>
      </c>
      <c r="AB4781" s="2">
        <v>0.123088887699319</v>
      </c>
      <c r="AC4781" s="2">
        <v>226249.90647173399</v>
      </c>
      <c r="AD4781" s="2">
        <v>220207.44914611499</v>
      </c>
      <c r="AE4781" s="2">
        <v>221678.418623226</v>
      </c>
      <c r="AF4781" s="2">
        <v>233760.87013425</v>
      </c>
      <c r="AG4781" s="2">
        <v>213381.34811003099</v>
      </c>
      <c r="AH4781" s="2">
        <v>211063.20276442901</v>
      </c>
      <c r="AI4781" s="2">
        <v>223573.55332851101</v>
      </c>
      <c r="AJ4781" s="2">
        <v>254042.04586995699</v>
      </c>
      <c r="AK4781" s="2">
        <v>202296.68344129901</v>
      </c>
      <c r="AL4781" s="2">
        <v>203502.89827780201</v>
      </c>
      <c r="AM4781" s="2">
        <v>203679.11963319799</v>
      </c>
      <c r="AN4781" s="2">
        <v>218717.178919153</v>
      </c>
      <c r="AO4781" s="2">
        <v>259019.99074081299</v>
      </c>
      <c r="AP4781" s="2">
        <v>234028.823864423</v>
      </c>
    </row>
    <row r="4782" spans="1:42" ht="14.5" x14ac:dyDescent="0.35">
      <c r="A4782" s="2" t="s">
        <v>31733</v>
      </c>
      <c r="B4782" s="2">
        <v>404.13548938970303</v>
      </c>
      <c r="C4782" s="2">
        <v>8.6905333333333292</v>
      </c>
      <c r="D4782" s="2" t="s">
        <v>34</v>
      </c>
      <c r="E4782" s="2" t="s">
        <v>31734</v>
      </c>
      <c r="F4782" s="2">
        <v>254865</v>
      </c>
      <c r="G4782" s="3" t="str">
        <f>HYPERLINK("http://funmeta.oebiotech.com/network/254865", "http://funmeta.oebiotech.com/network/254865")</f>
        <v>http://funmeta.oebiotech.com/network/254865</v>
      </c>
      <c r="H4782" s="2" t="s">
        <v>31735</v>
      </c>
      <c r="I4782" s="2"/>
      <c r="J4782" s="2"/>
      <c r="K4782" s="2">
        <v>62875</v>
      </c>
      <c r="L4782" s="2"/>
      <c r="M4782" s="2"/>
      <c r="N4782" s="2"/>
      <c r="O4782" s="2">
        <v>161337</v>
      </c>
      <c r="P4782" s="2" t="s">
        <v>31736</v>
      </c>
      <c r="Q4782" s="2" t="s">
        <v>31737</v>
      </c>
      <c r="R4782" s="2" t="s">
        <v>31738</v>
      </c>
      <c r="S4782" s="2" t="s">
        <v>1444</v>
      </c>
      <c r="T4782" s="2" t="s">
        <v>3595</v>
      </c>
      <c r="U4782" s="2" t="s">
        <v>41</v>
      </c>
      <c r="V4782" s="2" t="s">
        <v>59</v>
      </c>
      <c r="W4782" s="2">
        <v>38.200000000000003</v>
      </c>
      <c r="X4782" s="2">
        <v>12.1</v>
      </c>
      <c r="Y4782" s="2" t="s">
        <v>323</v>
      </c>
      <c r="Z4782" s="2" t="s">
        <v>31739</v>
      </c>
      <c r="AA4782" s="2">
        <v>-2.1160601754842299</v>
      </c>
      <c r="AB4782" s="2">
        <v>0.12306974533833499</v>
      </c>
      <c r="AC4782" s="2">
        <v>43931.9870321454</v>
      </c>
      <c r="AD4782" s="2">
        <v>40957.828425755302</v>
      </c>
      <c r="AE4782" s="2">
        <v>47732.440930756697</v>
      </c>
      <c r="AF4782" s="2">
        <v>45558.405070658497</v>
      </c>
      <c r="AG4782" s="2">
        <v>41100.131398757097</v>
      </c>
      <c r="AH4782" s="2">
        <v>50139.632107750702</v>
      </c>
      <c r="AI4782" s="2">
        <v>41905.644983679602</v>
      </c>
      <c r="AJ4782" s="2">
        <v>37155.667701269696</v>
      </c>
      <c r="AK4782" s="2">
        <v>35443.3366428999</v>
      </c>
      <c r="AL4782" s="2">
        <v>45274.0828507154</v>
      </c>
      <c r="AM4782" s="2">
        <v>47504.3515903761</v>
      </c>
      <c r="AN4782" s="2">
        <v>38785.425594422297</v>
      </c>
      <c r="AO4782" s="2">
        <v>38819.711133855199</v>
      </c>
      <c r="AP4782" s="2">
        <v>39920.062742263101</v>
      </c>
    </row>
    <row r="4783" spans="1:42" ht="14.5" x14ac:dyDescent="0.35">
      <c r="A4783" s="2" t="s">
        <v>31740</v>
      </c>
      <c r="B4783" s="2">
        <v>589.27699996245894</v>
      </c>
      <c r="C4783" s="2">
        <v>11.0630666666667</v>
      </c>
      <c r="D4783" s="2" t="s">
        <v>34</v>
      </c>
      <c r="E4783" s="2" t="s">
        <v>31741</v>
      </c>
      <c r="F4783" s="2">
        <v>47928</v>
      </c>
      <c r="G4783" s="3" t="str">
        <f>HYPERLINK("http://funmeta.oebiotech.com/network/47928", "http://funmeta.oebiotech.com/network/47928")</f>
        <v>http://funmeta.oebiotech.com/network/47928</v>
      </c>
      <c r="H4783" s="2" t="s">
        <v>31742</v>
      </c>
      <c r="I4783" s="2">
        <v>6655</v>
      </c>
      <c r="J4783" s="2"/>
      <c r="K4783" s="2"/>
      <c r="L4783" s="2"/>
      <c r="M4783" s="2"/>
      <c r="N4783" s="2"/>
      <c r="O4783" s="2"/>
      <c r="P4783" s="2" t="s">
        <v>31743</v>
      </c>
      <c r="Q4783" s="2" t="s">
        <v>31744</v>
      </c>
      <c r="R4783" s="2" t="s">
        <v>31745</v>
      </c>
      <c r="S4783" s="2" t="s">
        <v>491</v>
      </c>
      <c r="T4783" s="2" t="s">
        <v>492</v>
      </c>
      <c r="U4783" s="2" t="s">
        <v>6398</v>
      </c>
      <c r="V4783" s="2" t="s">
        <v>59</v>
      </c>
      <c r="W4783" s="2">
        <v>45.1</v>
      </c>
      <c r="X4783" s="2">
        <v>39</v>
      </c>
      <c r="Y4783" s="2" t="s">
        <v>470</v>
      </c>
      <c r="Z4783" s="2" t="s">
        <v>31746</v>
      </c>
      <c r="AA4783" s="2">
        <v>-2.6955014438148601</v>
      </c>
      <c r="AB4783" s="2">
        <v>0.123056475571413</v>
      </c>
      <c r="AC4783" s="2">
        <v>32145.390633147701</v>
      </c>
      <c r="AD4783" s="2">
        <v>34148.685229114097</v>
      </c>
      <c r="AE4783" s="2">
        <v>31224.120204920098</v>
      </c>
      <c r="AF4783" s="2">
        <v>31836.626243542101</v>
      </c>
      <c r="AG4783" s="2">
        <v>33266.121736035202</v>
      </c>
      <c r="AH4783" s="2">
        <v>32609.035675033199</v>
      </c>
      <c r="AI4783" s="2">
        <v>32113.370003793101</v>
      </c>
      <c r="AJ4783" s="2">
        <v>31823.0699355623</v>
      </c>
      <c r="AK4783" s="2">
        <v>37433.360448301602</v>
      </c>
      <c r="AL4783" s="2">
        <v>35007.824305022201</v>
      </c>
      <c r="AM4783" s="2">
        <v>36408.829327134699</v>
      </c>
      <c r="AN4783" s="2">
        <v>31601.084622882601</v>
      </c>
      <c r="AO4783" s="2">
        <v>31024.985135432598</v>
      </c>
      <c r="AP4783" s="2">
        <v>33416.027535911198</v>
      </c>
    </row>
    <row r="4784" spans="1:42" ht="14.5" x14ac:dyDescent="0.35">
      <c r="A4784" s="2" t="s">
        <v>31747</v>
      </c>
      <c r="B4784" s="2">
        <v>552.49834543236102</v>
      </c>
      <c r="C4784" s="2">
        <v>14.56345</v>
      </c>
      <c r="D4784" s="2" t="s">
        <v>34</v>
      </c>
      <c r="E4784" s="2" t="s">
        <v>31748</v>
      </c>
      <c r="F4784" s="2">
        <v>39089</v>
      </c>
      <c r="G4784" s="3" t="str">
        <f>HYPERLINK("http://funmeta.oebiotech.com/network/39089", "http://funmeta.oebiotech.com/network/39089")</f>
        <v>http://funmeta.oebiotech.com/network/39089</v>
      </c>
      <c r="H4784" s="2"/>
      <c r="I4784" s="2">
        <v>102972</v>
      </c>
      <c r="J4784" s="2" t="s">
        <v>31749</v>
      </c>
      <c r="K4784" s="2"/>
      <c r="L4784" s="2"/>
      <c r="M4784" s="2"/>
      <c r="N4784" s="2"/>
      <c r="O4784" s="2">
        <v>70698956</v>
      </c>
      <c r="P4784" s="2"/>
      <c r="Q4784" s="2" t="s">
        <v>31750</v>
      </c>
      <c r="R4784" s="2" t="s">
        <v>31751</v>
      </c>
      <c r="S4784" s="2" t="s">
        <v>50</v>
      </c>
      <c r="T4784" s="2" t="s">
        <v>229</v>
      </c>
      <c r="U4784" s="2" t="s">
        <v>645</v>
      </c>
      <c r="V4784" s="2" t="s">
        <v>59</v>
      </c>
      <c r="W4784" s="2">
        <v>38.9</v>
      </c>
      <c r="X4784" s="2">
        <v>0</v>
      </c>
      <c r="Y4784" s="2" t="s">
        <v>394</v>
      </c>
      <c r="Z4784" s="2" t="s">
        <v>31752</v>
      </c>
      <c r="AA4784" s="2">
        <v>-0.52687539625489099</v>
      </c>
      <c r="AB4784" s="2">
        <v>0.123055004528663</v>
      </c>
      <c r="AC4784" s="2">
        <v>11986.292583332501</v>
      </c>
      <c r="AD4784" s="2">
        <v>13646.533464084599</v>
      </c>
      <c r="AE4784" s="2">
        <v>12417.188486668099</v>
      </c>
      <c r="AF4784" s="2">
        <v>12315.388936224101</v>
      </c>
      <c r="AG4784" s="2">
        <v>11698.259681985101</v>
      </c>
      <c r="AH4784" s="2">
        <v>11232.6741592658</v>
      </c>
      <c r="AI4784" s="2">
        <v>11638.7089859921</v>
      </c>
      <c r="AJ4784" s="2">
        <v>12615.53524986</v>
      </c>
      <c r="AK4784" s="2">
        <v>15123.9971937356</v>
      </c>
      <c r="AL4784" s="2">
        <v>15360.698876038799</v>
      </c>
      <c r="AM4784" s="2">
        <v>11903.853078607201</v>
      </c>
      <c r="AN4784" s="2">
        <v>13174.6321666362</v>
      </c>
      <c r="AO4784" s="2">
        <v>14566.059138709699</v>
      </c>
      <c r="AP4784" s="2">
        <v>11749.960330780301</v>
      </c>
    </row>
    <row r="4785" spans="1:42" ht="14.5" x14ac:dyDescent="0.35">
      <c r="A4785" s="2" t="s">
        <v>31753</v>
      </c>
      <c r="B4785" s="2">
        <v>301.20178348414697</v>
      </c>
      <c r="C4785" s="2">
        <v>7.1973833333333301</v>
      </c>
      <c r="D4785" s="2" t="s">
        <v>70</v>
      </c>
      <c r="E4785" s="2" t="s">
        <v>31754</v>
      </c>
      <c r="F4785" s="2">
        <v>2295</v>
      </c>
      <c r="G4785" s="3" t="str">
        <f>HYPERLINK("http://funmeta.oebiotech.com/network/2295", "http://funmeta.oebiotech.com/network/2295")</f>
        <v>http://funmeta.oebiotech.com/network/2295</v>
      </c>
      <c r="H4785" s="2"/>
      <c r="I4785" s="2">
        <v>65452</v>
      </c>
      <c r="J4785" s="2" t="s">
        <v>31755</v>
      </c>
      <c r="K4785" s="2">
        <v>67609</v>
      </c>
      <c r="L4785" s="2"/>
      <c r="M4785" s="2"/>
      <c r="N4785" s="2"/>
      <c r="O4785" s="2">
        <v>11065049</v>
      </c>
      <c r="P4785" s="2"/>
      <c r="Q4785" s="2" t="s">
        <v>31756</v>
      </c>
      <c r="R4785" s="2" t="s">
        <v>31757</v>
      </c>
      <c r="S4785" s="2" t="s">
        <v>50</v>
      </c>
      <c r="T4785" s="2" t="s">
        <v>229</v>
      </c>
      <c r="U4785" s="2" t="s">
        <v>433</v>
      </c>
      <c r="V4785" s="2" t="s">
        <v>59</v>
      </c>
      <c r="W4785" s="2">
        <v>46.2</v>
      </c>
      <c r="X4785" s="2">
        <v>38.4</v>
      </c>
      <c r="Y4785" s="2" t="s">
        <v>408</v>
      </c>
      <c r="Z4785" s="2" t="s">
        <v>31758</v>
      </c>
      <c r="AA4785" s="2">
        <v>-1.0309856717633501</v>
      </c>
      <c r="AB4785" s="2">
        <v>0.123034785964803</v>
      </c>
      <c r="AC4785" s="2">
        <v>6747.8885976030997</v>
      </c>
      <c r="AD4785" s="2">
        <v>5534.8619523055404</v>
      </c>
      <c r="AE4785" s="2">
        <v>7059.8464743365603</v>
      </c>
      <c r="AF4785" s="2">
        <v>6900.3157996133896</v>
      </c>
      <c r="AG4785" s="2">
        <v>6504.3537407362001</v>
      </c>
      <c r="AH4785" s="2">
        <v>6137.1152668017503</v>
      </c>
      <c r="AI4785" s="2">
        <v>7293.2298983102201</v>
      </c>
      <c r="AJ4785" s="2">
        <v>6592.4704058204497</v>
      </c>
      <c r="AK4785" s="2">
        <v>5408.2657949087397</v>
      </c>
      <c r="AL4785" s="2">
        <v>5343.4785569759697</v>
      </c>
      <c r="AM4785" s="2">
        <v>6107.79366063218</v>
      </c>
      <c r="AN4785" s="2">
        <v>4740.7892736713202</v>
      </c>
      <c r="AO4785" s="2">
        <v>6005.1117158199804</v>
      </c>
      <c r="AP4785" s="2">
        <v>5603.7327118250796</v>
      </c>
    </row>
    <row r="4786" spans="1:42" ht="14.5" x14ac:dyDescent="0.35">
      <c r="A4786" s="2" t="s">
        <v>31759</v>
      </c>
      <c r="B4786" s="2">
        <v>389.25435463469699</v>
      </c>
      <c r="C4786" s="2">
        <v>4.9511166666666702</v>
      </c>
      <c r="D4786" s="2" t="s">
        <v>70</v>
      </c>
      <c r="E4786" s="2" t="s">
        <v>31760</v>
      </c>
      <c r="F4786" s="2">
        <v>136045</v>
      </c>
      <c r="G4786" s="3" t="str">
        <f>HYPERLINK("http://funmeta.oebiotech.com/network/136045", "http://funmeta.oebiotech.com/network/136045")</f>
        <v>http://funmeta.oebiotech.com/network/136045</v>
      </c>
      <c r="H4786" s="2" t="s">
        <v>31761</v>
      </c>
      <c r="I4786" s="2">
        <v>414</v>
      </c>
      <c r="J4786" s="2"/>
      <c r="K4786" s="2">
        <v>76979</v>
      </c>
      <c r="L4786" s="2"/>
      <c r="M4786" s="2"/>
      <c r="N4786" s="2"/>
      <c r="O4786" s="2">
        <v>148879</v>
      </c>
      <c r="P4786" s="2" t="s">
        <v>31762</v>
      </c>
      <c r="Q4786" s="2" t="s">
        <v>31763</v>
      </c>
      <c r="R4786" s="2" t="s">
        <v>31764</v>
      </c>
      <c r="S4786" s="2" t="s">
        <v>50</v>
      </c>
      <c r="T4786" s="2" t="s">
        <v>448</v>
      </c>
      <c r="U4786" s="2" t="s">
        <v>1864</v>
      </c>
      <c r="V4786" s="2" t="s">
        <v>59</v>
      </c>
      <c r="W4786" s="2">
        <v>38.200000000000003</v>
      </c>
      <c r="X4786" s="2">
        <v>0</v>
      </c>
      <c r="Y4786" s="2" t="s">
        <v>408</v>
      </c>
      <c r="Z4786" s="2" t="s">
        <v>12412</v>
      </c>
      <c r="AA4786" s="2">
        <v>-0.35580360377926501</v>
      </c>
      <c r="AB4786" s="2">
        <v>0.123006170270299</v>
      </c>
      <c r="AC4786" s="2">
        <v>7547.5702885343999</v>
      </c>
      <c r="AD4786" s="2">
        <v>8787.8721100307503</v>
      </c>
      <c r="AE4786" s="2">
        <v>7302.7367024990599</v>
      </c>
      <c r="AF4786" s="2">
        <v>6887.5151517671302</v>
      </c>
      <c r="AG4786" s="2">
        <v>7170.5461704429699</v>
      </c>
      <c r="AH4786" s="2">
        <v>7182.4193363529002</v>
      </c>
      <c r="AI4786" s="2">
        <v>8851.1877794458105</v>
      </c>
      <c r="AJ4786" s="2">
        <v>7891.0165906985303</v>
      </c>
      <c r="AK4786" s="2">
        <v>8749.4324151870696</v>
      </c>
      <c r="AL4786" s="2">
        <v>8982.5970099329606</v>
      </c>
      <c r="AM4786" s="2">
        <v>9021.8262751025595</v>
      </c>
      <c r="AN4786" s="2">
        <v>8455.0843458032905</v>
      </c>
      <c r="AO4786" s="2">
        <v>8714.3347604604896</v>
      </c>
      <c r="AP4786" s="2">
        <v>8803.9578536981408</v>
      </c>
    </row>
    <row r="4787" spans="1:42" ht="14.5" x14ac:dyDescent="0.35">
      <c r="A4787" s="2" t="s">
        <v>31765</v>
      </c>
      <c r="B4787" s="2">
        <v>589.26546778901104</v>
      </c>
      <c r="C4787" s="2">
        <v>5.8600666666666701</v>
      </c>
      <c r="D4787" s="2" t="s">
        <v>70</v>
      </c>
      <c r="E4787" s="2" t="s">
        <v>31766</v>
      </c>
      <c r="F4787" s="2">
        <v>44826</v>
      </c>
      <c r="G4787" s="3" t="str">
        <f>HYPERLINK("http://funmeta.oebiotech.com/network/44826", "http://funmeta.oebiotech.com/network/44826")</f>
        <v>http://funmeta.oebiotech.com/network/44826</v>
      </c>
      <c r="H4787" s="2"/>
      <c r="I4787" s="2"/>
      <c r="J4787" s="2" t="s">
        <v>31767</v>
      </c>
      <c r="K4787" s="2"/>
      <c r="L4787" s="2"/>
      <c r="M4787" s="2"/>
      <c r="N4787" s="2"/>
      <c r="O4787" s="2"/>
      <c r="P4787" s="2"/>
      <c r="Q4787" s="2" t="s">
        <v>31768</v>
      </c>
      <c r="R4787" s="2" t="s">
        <v>31769</v>
      </c>
      <c r="S4787" s="2" t="s">
        <v>50</v>
      </c>
      <c r="T4787" s="2" t="s">
        <v>124</v>
      </c>
      <c r="U4787" s="2" t="s">
        <v>567</v>
      </c>
      <c r="V4787" s="2" t="s">
        <v>42</v>
      </c>
      <c r="W4787" s="2">
        <v>50.3</v>
      </c>
      <c r="X4787" s="2">
        <v>58.3</v>
      </c>
      <c r="Y4787" s="2" t="s">
        <v>408</v>
      </c>
      <c r="Z4787" s="2" t="s">
        <v>17452</v>
      </c>
      <c r="AA4787" s="2">
        <v>5.8905200536620198E-2</v>
      </c>
      <c r="AB4787" s="2">
        <v>0.122908442330373</v>
      </c>
      <c r="AC4787" s="2">
        <v>10240.2843737395</v>
      </c>
      <c r="AD4787" s="2">
        <v>11743.7316516683</v>
      </c>
      <c r="AE4787" s="2">
        <v>10364.5843038766</v>
      </c>
      <c r="AF4787" s="2">
        <v>10793.866312397</v>
      </c>
      <c r="AG4787" s="2">
        <v>10563.2762445157</v>
      </c>
      <c r="AH4787" s="2">
        <v>9595.5316357563097</v>
      </c>
      <c r="AI4787" s="2">
        <v>10717.4315570777</v>
      </c>
      <c r="AJ4787" s="2">
        <v>9407.0161888134207</v>
      </c>
      <c r="AK4787" s="2">
        <v>11991.892977825701</v>
      </c>
      <c r="AL4787" s="2">
        <v>11615.140017365</v>
      </c>
      <c r="AM4787" s="2">
        <v>11077.8522242583</v>
      </c>
      <c r="AN4787" s="2">
        <v>9887.6566397595707</v>
      </c>
      <c r="AO4787" s="2">
        <v>13110.6988890708</v>
      </c>
      <c r="AP4787" s="2">
        <v>12779.1491617303</v>
      </c>
    </row>
    <row r="4788" spans="1:42" ht="14.5" x14ac:dyDescent="0.35">
      <c r="A4788" s="2" t="s">
        <v>31770</v>
      </c>
      <c r="B4788" s="2">
        <v>325.12640269572</v>
      </c>
      <c r="C4788" s="2">
        <v>4.09636666666667</v>
      </c>
      <c r="D4788" s="2" t="s">
        <v>70</v>
      </c>
      <c r="E4788" s="2" t="s">
        <v>31771</v>
      </c>
      <c r="F4788" s="2">
        <v>462</v>
      </c>
      <c r="G4788" s="3" t="str">
        <f>HYPERLINK("http://funmeta.oebiotech.com/network/462", "http://funmeta.oebiotech.com/network/462")</f>
        <v>http://funmeta.oebiotech.com/network/462</v>
      </c>
      <c r="H4788" s="2" t="s">
        <v>31772</v>
      </c>
      <c r="I4788" s="2">
        <v>6522</v>
      </c>
      <c r="J4788" s="2" t="s">
        <v>31773</v>
      </c>
      <c r="K4788" s="2"/>
      <c r="L4788" s="2"/>
      <c r="M4788" s="2"/>
      <c r="N4788" s="2"/>
      <c r="O4788" s="2">
        <v>133402</v>
      </c>
      <c r="P4788" s="2" t="s">
        <v>31774</v>
      </c>
      <c r="Q4788" s="2" t="s">
        <v>31775</v>
      </c>
      <c r="R4788" s="2" t="s">
        <v>31776</v>
      </c>
      <c r="S4788" s="2" t="s">
        <v>89</v>
      </c>
      <c r="T4788" s="2" t="s">
        <v>90</v>
      </c>
      <c r="U4788" s="2" t="s">
        <v>99</v>
      </c>
      <c r="V4788" s="2" t="s">
        <v>59</v>
      </c>
      <c r="W4788" s="2">
        <v>38.4</v>
      </c>
      <c r="X4788" s="2">
        <v>0</v>
      </c>
      <c r="Y4788" s="2" t="s">
        <v>560</v>
      </c>
      <c r="Z4788" s="2" t="s">
        <v>31777</v>
      </c>
      <c r="AA4788" s="2">
        <v>0.85794972387188395</v>
      </c>
      <c r="AB4788" s="2">
        <v>0.122703031403763</v>
      </c>
      <c r="AC4788" s="2">
        <v>2320.6238892689098</v>
      </c>
      <c r="AD4788" s="2">
        <v>1239.3783338984899</v>
      </c>
      <c r="AE4788" s="2">
        <v>2391.45916108251</v>
      </c>
      <c r="AF4788" s="2">
        <v>1876.84469625929</v>
      </c>
      <c r="AG4788" s="2">
        <v>2663.4007247151299</v>
      </c>
      <c r="AH4788" s="2">
        <v>2359.8417117629001</v>
      </c>
      <c r="AI4788" s="2">
        <v>2340.61368989735</v>
      </c>
      <c r="AJ4788" s="2">
        <v>2291.58335189626</v>
      </c>
      <c r="AK4788" s="2">
        <v>1440.2546834730499</v>
      </c>
      <c r="AL4788" s="2">
        <v>1024.1455796728501</v>
      </c>
      <c r="AM4788" s="2">
        <v>1261.2889465565099</v>
      </c>
      <c r="AN4788" s="2">
        <v>1311.2779923589601</v>
      </c>
      <c r="AO4788" s="2">
        <v>830.83750854736104</v>
      </c>
      <c r="AP4788" s="2">
        <v>1568.4652927821801</v>
      </c>
    </row>
    <row r="4789" spans="1:42" ht="14.5" x14ac:dyDescent="0.35">
      <c r="A4789" s="2" t="s">
        <v>31778</v>
      </c>
      <c r="B4789" s="2">
        <v>783.32631170298703</v>
      </c>
      <c r="C4789" s="2">
        <v>10.936349999999999</v>
      </c>
      <c r="D4789" s="2" t="s">
        <v>70</v>
      </c>
      <c r="E4789" s="2" t="s">
        <v>31779</v>
      </c>
      <c r="F4789" s="2">
        <v>53422</v>
      </c>
      <c r="G4789" s="3" t="str">
        <f>HYPERLINK("http://funmeta.oebiotech.com/network/53422", "http://funmeta.oebiotech.com/network/53422")</f>
        <v>http://funmeta.oebiotech.com/network/53422</v>
      </c>
      <c r="H4789" s="2" t="s">
        <v>31780</v>
      </c>
      <c r="I4789" s="2">
        <v>66707</v>
      </c>
      <c r="J4789" s="2"/>
      <c r="K4789" s="2">
        <v>9212</v>
      </c>
      <c r="L4789" s="2" t="s">
        <v>31781</v>
      </c>
      <c r="M4789" s="2" t="s">
        <v>6315</v>
      </c>
      <c r="N4789" s="2" t="s">
        <v>6316</v>
      </c>
      <c r="O4789" s="2">
        <v>60464</v>
      </c>
      <c r="P4789" s="2" t="s">
        <v>31782</v>
      </c>
      <c r="Q4789" s="2" t="s">
        <v>31783</v>
      </c>
      <c r="R4789" s="2" t="s">
        <v>31784</v>
      </c>
      <c r="S4789" s="2" t="s">
        <v>491</v>
      </c>
      <c r="T4789" s="2" t="s">
        <v>1516</v>
      </c>
      <c r="U4789" s="2" t="s">
        <v>2355</v>
      </c>
      <c r="V4789" s="2" t="s">
        <v>59</v>
      </c>
      <c r="W4789" s="2">
        <v>37.700000000000003</v>
      </c>
      <c r="X4789" s="2">
        <v>0</v>
      </c>
      <c r="Y4789" s="2" t="s">
        <v>560</v>
      </c>
      <c r="Z4789" s="2" t="s">
        <v>31785</v>
      </c>
      <c r="AA4789" s="2">
        <v>2.0324150470575599</v>
      </c>
      <c r="AB4789" s="2">
        <v>0.12256172122299</v>
      </c>
      <c r="AC4789" s="2">
        <v>2845.44302088125</v>
      </c>
      <c r="AD4789" s="2">
        <v>4175.1443965657199</v>
      </c>
      <c r="AE4789" s="2">
        <v>2552.6922646944399</v>
      </c>
      <c r="AF4789" s="2">
        <v>2282.1106645479299</v>
      </c>
      <c r="AG4789" s="2">
        <v>4310.7840599572901</v>
      </c>
      <c r="AH4789" s="2">
        <v>2857.7835266199199</v>
      </c>
      <c r="AI4789" s="2">
        <v>2718.7877332384901</v>
      </c>
      <c r="AJ4789" s="2">
        <v>2350.4998762293999</v>
      </c>
      <c r="AK4789" s="2">
        <v>3953.8008392635002</v>
      </c>
      <c r="AL4789" s="2">
        <v>4010.1523639945799</v>
      </c>
      <c r="AM4789" s="2">
        <v>3856.87919556409</v>
      </c>
      <c r="AN4789" s="2">
        <v>5218.6753569128095</v>
      </c>
      <c r="AO4789" s="2">
        <v>3679.1991077538801</v>
      </c>
      <c r="AP4789" s="2">
        <v>4332.1595159054395</v>
      </c>
    </row>
    <row r="4790" spans="1:42" ht="14.5" x14ac:dyDescent="0.35">
      <c r="A4790" s="2" t="s">
        <v>31786</v>
      </c>
      <c r="B4790" s="2">
        <v>163.096415052585</v>
      </c>
      <c r="C4790" s="2">
        <v>3.9663166666666698</v>
      </c>
      <c r="D4790" s="2" t="s">
        <v>34</v>
      </c>
      <c r="E4790" s="2" t="s">
        <v>31787</v>
      </c>
      <c r="F4790" s="2">
        <v>81938</v>
      </c>
      <c r="G4790" s="3" t="str">
        <f>HYPERLINK("http://funmeta.oebiotech.com/network/81938", "http://funmeta.oebiotech.com/network/81938")</f>
        <v>http://funmeta.oebiotech.com/network/81938</v>
      </c>
      <c r="H4790" s="2" t="s">
        <v>31788</v>
      </c>
      <c r="I4790" s="2"/>
      <c r="J4790" s="2"/>
      <c r="K4790" s="2"/>
      <c r="L4790" s="2"/>
      <c r="M4790" s="2"/>
      <c r="N4790" s="2"/>
      <c r="O4790" s="2">
        <v>21286131</v>
      </c>
      <c r="P4790" s="2"/>
      <c r="Q4790" s="2" t="s">
        <v>31789</v>
      </c>
      <c r="R4790" s="2" t="s">
        <v>31790</v>
      </c>
      <c r="S4790" s="2" t="s">
        <v>89</v>
      </c>
      <c r="T4790" s="2" t="s">
        <v>90</v>
      </c>
      <c r="U4790" s="2" t="s">
        <v>7335</v>
      </c>
      <c r="V4790" s="2" t="s">
        <v>59</v>
      </c>
      <c r="W4790" s="2">
        <v>38.9</v>
      </c>
      <c r="X4790" s="2">
        <v>0</v>
      </c>
      <c r="Y4790" s="2" t="s">
        <v>266</v>
      </c>
      <c r="Z4790" s="2" t="s">
        <v>31791</v>
      </c>
      <c r="AA4790" s="2">
        <v>-0.43375271945296701</v>
      </c>
      <c r="AB4790" s="2">
        <v>0.122516073365091</v>
      </c>
      <c r="AC4790" s="2">
        <v>1142.9630318052</v>
      </c>
      <c r="AD4790" s="2">
        <v>2195.2700087907801</v>
      </c>
      <c r="AE4790" s="2">
        <v>998.67461572868001</v>
      </c>
      <c r="AF4790" s="2">
        <v>1098.6361843288701</v>
      </c>
      <c r="AG4790" s="2">
        <v>1241.1915223988201</v>
      </c>
      <c r="AH4790" s="2">
        <v>966.67432274133103</v>
      </c>
      <c r="AI4790" s="2">
        <v>1187.47645902927</v>
      </c>
      <c r="AJ4790" s="2">
        <v>1365.1250866042001</v>
      </c>
      <c r="AK4790" s="2">
        <v>1816.93224597319</v>
      </c>
      <c r="AL4790" s="2">
        <v>2022.0927558314499</v>
      </c>
      <c r="AM4790" s="2">
        <v>2124.6114596921798</v>
      </c>
      <c r="AN4790" s="2">
        <v>2289.7590415310101</v>
      </c>
      <c r="AO4790" s="2">
        <v>2614.2097554942202</v>
      </c>
      <c r="AP4790" s="2">
        <v>2304.0147942226299</v>
      </c>
    </row>
    <row r="4791" spans="1:42" ht="14.5" x14ac:dyDescent="0.35">
      <c r="A4791" s="2" t="s">
        <v>31792</v>
      </c>
      <c r="B4791" s="2">
        <v>327.10813347166999</v>
      </c>
      <c r="C4791" s="2">
        <v>4.2044333333333297</v>
      </c>
      <c r="D4791" s="2" t="s">
        <v>70</v>
      </c>
      <c r="E4791" s="2" t="s">
        <v>31793</v>
      </c>
      <c r="F4791" s="2">
        <v>64993</v>
      </c>
      <c r="G4791" s="3" t="str">
        <f>HYPERLINK("http://funmeta.oebiotech.com/network/64993", "http://funmeta.oebiotech.com/network/64993")</f>
        <v>http://funmeta.oebiotech.com/network/64993</v>
      </c>
      <c r="H4791" s="2" t="s">
        <v>31794</v>
      </c>
      <c r="I4791" s="2">
        <v>65606</v>
      </c>
      <c r="J4791" s="2"/>
      <c r="K4791" s="2">
        <v>18043</v>
      </c>
      <c r="L4791" s="2" t="s">
        <v>31795</v>
      </c>
      <c r="M4791" s="2"/>
      <c r="N4791" s="2"/>
      <c r="O4791" s="2">
        <v>10666</v>
      </c>
      <c r="P4791" s="2" t="s">
        <v>31796</v>
      </c>
      <c r="Q4791" s="2" t="s">
        <v>31797</v>
      </c>
      <c r="R4791" s="2" t="s">
        <v>31798</v>
      </c>
      <c r="S4791" s="2" t="s">
        <v>491</v>
      </c>
      <c r="T4791" s="2" t="s">
        <v>2238</v>
      </c>
      <c r="U4791" s="2" t="s">
        <v>31799</v>
      </c>
      <c r="V4791" s="2" t="s">
        <v>59</v>
      </c>
      <c r="W4791" s="2">
        <v>38.5</v>
      </c>
      <c r="X4791" s="2">
        <v>0</v>
      </c>
      <c r="Y4791" s="2" t="s">
        <v>560</v>
      </c>
      <c r="Z4791" s="2" t="s">
        <v>31800</v>
      </c>
      <c r="AA4791" s="2">
        <v>-5.3185481553794904</v>
      </c>
      <c r="AB4791" s="2">
        <v>0.12247701676617199</v>
      </c>
      <c r="AC4791" s="2">
        <v>3609.3533000206498</v>
      </c>
      <c r="AD4791" s="2">
        <v>4922.5458292737003</v>
      </c>
      <c r="AE4791" s="2">
        <v>4795.01640839222</v>
      </c>
      <c r="AF4791" s="2">
        <v>3119.38285590634</v>
      </c>
      <c r="AG4791" s="2">
        <v>3123.89084157154</v>
      </c>
      <c r="AH4791" s="2">
        <v>4241.1643272624297</v>
      </c>
      <c r="AI4791" s="2">
        <v>2905.8609480721002</v>
      </c>
      <c r="AJ4791" s="2">
        <v>3470.8044189192901</v>
      </c>
      <c r="AK4791" s="2">
        <v>5534.9955210423404</v>
      </c>
      <c r="AL4791" s="2">
        <v>4836.9984272804204</v>
      </c>
      <c r="AM4791" s="2">
        <v>4282.3375412202404</v>
      </c>
      <c r="AN4791" s="2">
        <v>4589.1935549015097</v>
      </c>
      <c r="AO4791" s="2">
        <v>5356.1367734735204</v>
      </c>
      <c r="AP4791" s="2">
        <v>4935.6131577241904</v>
      </c>
    </row>
    <row r="4792" spans="1:42" ht="14.5" x14ac:dyDescent="0.35">
      <c r="A4792" s="2" t="s">
        <v>31801</v>
      </c>
      <c r="B4792" s="2">
        <v>699.35792491706104</v>
      </c>
      <c r="C4792" s="2">
        <v>4.9873666666666701</v>
      </c>
      <c r="D4792" s="2" t="s">
        <v>70</v>
      </c>
      <c r="E4792" s="2" t="s">
        <v>31802</v>
      </c>
      <c r="F4792" s="2">
        <v>206101</v>
      </c>
      <c r="G4792" s="3" t="str">
        <f>HYPERLINK("http://funmeta.oebiotech.com/network/206101", "http://funmeta.oebiotech.com/network/206101")</f>
        <v>http://funmeta.oebiotech.com/network/206101</v>
      </c>
      <c r="H4792" s="2" t="s">
        <v>31803</v>
      </c>
      <c r="I4792" s="2">
        <v>355129</v>
      </c>
      <c r="J4792" s="2"/>
      <c r="K4792" s="2"/>
      <c r="L4792" s="2"/>
      <c r="M4792" s="2"/>
      <c r="N4792" s="2"/>
      <c r="O4792" s="2">
        <v>171682</v>
      </c>
      <c r="P4792" s="2"/>
      <c r="Q4792" s="2" t="s">
        <v>31804</v>
      </c>
      <c r="R4792" s="2" t="s">
        <v>31805</v>
      </c>
      <c r="S4792" s="2" t="s">
        <v>89</v>
      </c>
      <c r="T4792" s="2" t="s">
        <v>90</v>
      </c>
      <c r="U4792" s="2" t="s">
        <v>99</v>
      </c>
      <c r="V4792" s="2" t="s">
        <v>59</v>
      </c>
      <c r="W4792" s="2">
        <v>36.5</v>
      </c>
      <c r="X4792" s="2">
        <v>0</v>
      </c>
      <c r="Y4792" s="2" t="s">
        <v>560</v>
      </c>
      <c r="Z4792" s="2" t="s">
        <v>31806</v>
      </c>
      <c r="AA4792" s="2">
        <v>-4.4869723286707801</v>
      </c>
      <c r="AB4792" s="2">
        <v>0.12227458860679399</v>
      </c>
      <c r="AC4792" s="2">
        <v>6734.5305341106896</v>
      </c>
      <c r="AD4792" s="2">
        <v>8326.7639466682194</v>
      </c>
      <c r="AE4792" s="2">
        <v>6903.7922767350501</v>
      </c>
      <c r="AF4792" s="2">
        <v>7198.9034134501699</v>
      </c>
      <c r="AG4792" s="2">
        <v>6474.8962466662697</v>
      </c>
      <c r="AH4792" s="2">
        <v>7152.17384527371</v>
      </c>
      <c r="AI4792" s="2">
        <v>7543.2882409694103</v>
      </c>
      <c r="AJ4792" s="2">
        <v>5134.1291815695404</v>
      </c>
      <c r="AK4792" s="2">
        <v>7400.5766652871698</v>
      </c>
      <c r="AL4792" s="2">
        <v>9301.6353975984894</v>
      </c>
      <c r="AM4792" s="2">
        <v>8453.8668764110498</v>
      </c>
      <c r="AN4792" s="2">
        <v>8712.4061118139907</v>
      </c>
      <c r="AO4792" s="2">
        <v>6215.1655912229899</v>
      </c>
      <c r="AP4792" s="2">
        <v>9876.9330376756607</v>
      </c>
    </row>
    <row r="4793" spans="1:42" ht="14.5" x14ac:dyDescent="0.35">
      <c r="A4793" s="2" t="s">
        <v>31807</v>
      </c>
      <c r="B4793" s="2">
        <v>385.02164747974098</v>
      </c>
      <c r="C4793" s="2">
        <v>1.4777166666666699</v>
      </c>
      <c r="D4793" s="2" t="s">
        <v>34</v>
      </c>
      <c r="E4793" s="2" t="s">
        <v>31808</v>
      </c>
      <c r="F4793" s="2">
        <v>204806</v>
      </c>
      <c r="G4793" s="3" t="str">
        <f>HYPERLINK("http://funmeta.oebiotech.com/network/204806", "http://funmeta.oebiotech.com/network/204806")</f>
        <v>http://funmeta.oebiotech.com/network/204806</v>
      </c>
      <c r="H4793" s="2" t="s">
        <v>31809</v>
      </c>
      <c r="I4793" s="2"/>
      <c r="J4793" s="2"/>
      <c r="K4793" s="2"/>
      <c r="L4793" s="2"/>
      <c r="M4793" s="2"/>
      <c r="N4793" s="2"/>
      <c r="O4793" s="2">
        <v>11740717</v>
      </c>
      <c r="P4793" s="2"/>
      <c r="Q4793" s="2" t="s">
        <v>31810</v>
      </c>
      <c r="R4793" s="2" t="s">
        <v>31811</v>
      </c>
      <c r="S4793" s="2" t="s">
        <v>5916</v>
      </c>
      <c r="T4793" s="2" t="s">
        <v>5917</v>
      </c>
      <c r="U4793" s="2" t="s">
        <v>5918</v>
      </c>
      <c r="V4793" s="2" t="s">
        <v>59</v>
      </c>
      <c r="W4793" s="2">
        <v>38.700000000000003</v>
      </c>
      <c r="X4793" s="2">
        <v>0</v>
      </c>
      <c r="Y4793" s="2" t="s">
        <v>394</v>
      </c>
      <c r="Z4793" s="2" t="s">
        <v>31812</v>
      </c>
      <c r="AA4793" s="2">
        <v>-3.5063852525082502</v>
      </c>
      <c r="AB4793" s="2">
        <v>0.122204713951664</v>
      </c>
      <c r="AC4793" s="2">
        <v>11106.074804914701</v>
      </c>
      <c r="AD4793" s="2">
        <v>12272.8554381664</v>
      </c>
      <c r="AE4793" s="2">
        <v>10369.6669097903</v>
      </c>
      <c r="AF4793" s="2">
        <v>11427.206570451001</v>
      </c>
      <c r="AG4793" s="2">
        <v>11938.2566678568</v>
      </c>
      <c r="AH4793" s="2">
        <v>10788.5842530523</v>
      </c>
      <c r="AI4793" s="2">
        <v>11089.5469869689</v>
      </c>
      <c r="AJ4793" s="2">
        <v>11023.187441369</v>
      </c>
      <c r="AK4793" s="2">
        <v>11892.067491207799</v>
      </c>
      <c r="AL4793" s="2">
        <v>12392.647527932</v>
      </c>
      <c r="AM4793" s="2">
        <v>12300.7416879881</v>
      </c>
      <c r="AN4793" s="2">
        <v>12514.8361282142</v>
      </c>
      <c r="AO4793" s="2">
        <v>12387.4981482573</v>
      </c>
      <c r="AP4793" s="2">
        <v>12149.341645398799</v>
      </c>
    </row>
    <row r="4794" spans="1:42" ht="14.5" x14ac:dyDescent="0.35">
      <c r="A4794" s="2" t="s">
        <v>31813</v>
      </c>
      <c r="B4794" s="2">
        <v>431.15609837982203</v>
      </c>
      <c r="C4794" s="2">
        <v>5.7479666666666702</v>
      </c>
      <c r="D4794" s="2" t="s">
        <v>70</v>
      </c>
      <c r="E4794" s="2" t="s">
        <v>31814</v>
      </c>
      <c r="F4794" s="2">
        <v>82392</v>
      </c>
      <c r="G4794" s="3" t="str">
        <f>HYPERLINK("http://funmeta.oebiotech.com/network/82392", "http://funmeta.oebiotech.com/network/82392")</f>
        <v>http://funmeta.oebiotech.com/network/82392</v>
      </c>
      <c r="H4794" s="2" t="s">
        <v>31815</v>
      </c>
      <c r="I4794" s="2"/>
      <c r="J4794" s="2"/>
      <c r="K4794" s="2"/>
      <c r="L4794" s="2"/>
      <c r="M4794" s="2"/>
      <c r="N4794" s="2"/>
      <c r="O4794" s="2">
        <v>53297451</v>
      </c>
      <c r="P4794" s="2"/>
      <c r="Q4794" s="2" t="s">
        <v>31816</v>
      </c>
      <c r="R4794" s="2" t="s">
        <v>31817</v>
      </c>
      <c r="S4794" s="2" t="s">
        <v>79</v>
      </c>
      <c r="T4794" s="2" t="s">
        <v>80</v>
      </c>
      <c r="U4794" s="2" t="s">
        <v>81</v>
      </c>
      <c r="V4794" s="2" t="s">
        <v>59</v>
      </c>
      <c r="W4794" s="2">
        <v>47.3</v>
      </c>
      <c r="X4794" s="2">
        <v>44.5</v>
      </c>
      <c r="Y4794" s="2" t="s">
        <v>408</v>
      </c>
      <c r="Z4794" s="2" t="s">
        <v>31818</v>
      </c>
      <c r="AA4794" s="2">
        <v>4.0288585272386399</v>
      </c>
      <c r="AB4794" s="2">
        <v>0.122163964345887</v>
      </c>
      <c r="AC4794" s="2">
        <v>30906.110395668798</v>
      </c>
      <c r="AD4794" s="2">
        <v>32624.818450836501</v>
      </c>
      <c r="AE4794" s="2">
        <v>31889.581537839898</v>
      </c>
      <c r="AF4794" s="2">
        <v>29859.771077658901</v>
      </c>
      <c r="AG4794" s="2">
        <v>31092.026448220498</v>
      </c>
      <c r="AH4794" s="2">
        <v>30628.831879089801</v>
      </c>
      <c r="AI4794" s="2">
        <v>29272.5784249438</v>
      </c>
      <c r="AJ4794" s="2">
        <v>32693.873006260001</v>
      </c>
      <c r="AK4794" s="2">
        <v>32941.9311052021</v>
      </c>
      <c r="AL4794" s="2">
        <v>31740.08267892</v>
      </c>
      <c r="AM4794" s="2">
        <v>34495.5387045815</v>
      </c>
      <c r="AN4794" s="2">
        <v>31462.696974446</v>
      </c>
      <c r="AO4794" s="2">
        <v>34007.907157011301</v>
      </c>
      <c r="AP4794" s="2">
        <v>31100.754084857901</v>
      </c>
    </row>
    <row r="4795" spans="1:42" ht="14.5" x14ac:dyDescent="0.35">
      <c r="A4795" s="2" t="s">
        <v>31819</v>
      </c>
      <c r="B4795" s="2">
        <v>415.00116418739202</v>
      </c>
      <c r="C4795" s="2">
        <v>9.4482166666666707</v>
      </c>
      <c r="D4795" s="2" t="s">
        <v>70</v>
      </c>
      <c r="E4795" s="2" t="s">
        <v>31820</v>
      </c>
      <c r="F4795" s="2">
        <v>56937</v>
      </c>
      <c r="G4795" s="3" t="str">
        <f>HYPERLINK("http://funmeta.oebiotech.com/network/56937", "http://funmeta.oebiotech.com/network/56937")</f>
        <v>http://funmeta.oebiotech.com/network/56937</v>
      </c>
      <c r="H4795" s="2" t="s">
        <v>31821</v>
      </c>
      <c r="I4795" s="2">
        <v>88594</v>
      </c>
      <c r="J4795" s="2"/>
      <c r="K4795" s="2">
        <v>174030</v>
      </c>
      <c r="L4795" s="2"/>
      <c r="M4795" s="2"/>
      <c r="N4795" s="2"/>
      <c r="O4795" s="2">
        <v>20216911</v>
      </c>
      <c r="P4795" s="2" t="s">
        <v>31822</v>
      </c>
      <c r="Q4795" s="2" t="s">
        <v>31823</v>
      </c>
      <c r="R4795" s="2" t="s">
        <v>31824</v>
      </c>
      <c r="S4795" s="2" t="s">
        <v>5916</v>
      </c>
      <c r="T4795" s="2" t="s">
        <v>13666</v>
      </c>
      <c r="U4795" s="2" t="s">
        <v>41</v>
      </c>
      <c r="V4795" s="2" t="s">
        <v>59</v>
      </c>
      <c r="W4795" s="2">
        <v>36</v>
      </c>
      <c r="X4795" s="2">
        <v>0</v>
      </c>
      <c r="Y4795" s="2" t="s">
        <v>560</v>
      </c>
      <c r="Z4795" s="2" t="s">
        <v>31825</v>
      </c>
      <c r="AA4795" s="2">
        <v>-3.8830537494378601</v>
      </c>
      <c r="AB4795" s="2">
        <v>0.122154220455608</v>
      </c>
      <c r="AC4795" s="2">
        <v>8225.4502924303397</v>
      </c>
      <c r="AD4795" s="2">
        <v>9673.4279446936707</v>
      </c>
      <c r="AE4795" s="2">
        <v>8389.6055997199401</v>
      </c>
      <c r="AF4795" s="2">
        <v>9108.2534632165698</v>
      </c>
      <c r="AG4795" s="2">
        <v>8339.1514937369702</v>
      </c>
      <c r="AH4795" s="2">
        <v>7067.9974157960496</v>
      </c>
      <c r="AI4795" s="2">
        <v>9164.9991771746609</v>
      </c>
      <c r="AJ4795" s="2">
        <v>7282.6946049378303</v>
      </c>
      <c r="AK4795" s="2">
        <v>10650.7454730918</v>
      </c>
      <c r="AL4795" s="2">
        <v>10257.713429498801</v>
      </c>
      <c r="AM4795" s="2">
        <v>10033.4909821854</v>
      </c>
      <c r="AN4795" s="2">
        <v>8640.8263729230202</v>
      </c>
      <c r="AO4795" s="2">
        <v>9797.6736404801504</v>
      </c>
      <c r="AP4795" s="2">
        <v>8660.1177699828495</v>
      </c>
    </row>
    <row r="4796" spans="1:42" ht="14.5" x14ac:dyDescent="0.35">
      <c r="A4796" s="2" t="s">
        <v>31826</v>
      </c>
      <c r="B4796" s="2">
        <v>547.25453800254104</v>
      </c>
      <c r="C4796" s="2">
        <v>6.9144500000000004</v>
      </c>
      <c r="D4796" s="2" t="s">
        <v>70</v>
      </c>
      <c r="E4796" s="2" t="s">
        <v>31827</v>
      </c>
      <c r="F4796" s="2">
        <v>58821</v>
      </c>
      <c r="G4796" s="3" t="str">
        <f>HYPERLINK("http://funmeta.oebiotech.com/network/58821", "http://funmeta.oebiotech.com/network/58821")</f>
        <v>http://funmeta.oebiotech.com/network/58821</v>
      </c>
      <c r="H4796" s="2" t="s">
        <v>31828</v>
      </c>
      <c r="I4796" s="2"/>
      <c r="J4796" s="2"/>
      <c r="K4796" s="2">
        <v>138125</v>
      </c>
      <c r="L4796" s="2"/>
      <c r="M4796" s="2"/>
      <c r="N4796" s="2"/>
      <c r="O4796" s="2">
        <v>18772438</v>
      </c>
      <c r="P4796" s="2" t="s">
        <v>31829</v>
      </c>
      <c r="Q4796" s="2" t="s">
        <v>31830</v>
      </c>
      <c r="R4796" s="2" t="s">
        <v>31831</v>
      </c>
      <c r="S4796" s="2" t="s">
        <v>89</v>
      </c>
      <c r="T4796" s="2" t="s">
        <v>90</v>
      </c>
      <c r="U4796" s="2" t="s">
        <v>99</v>
      </c>
      <c r="V4796" s="2" t="s">
        <v>59</v>
      </c>
      <c r="W4796" s="2">
        <v>38.6</v>
      </c>
      <c r="X4796" s="2">
        <v>0</v>
      </c>
      <c r="Y4796" s="2" t="s">
        <v>560</v>
      </c>
      <c r="Z4796" s="2" t="s">
        <v>31832</v>
      </c>
      <c r="AA4796" s="2">
        <v>-3.04681341132232</v>
      </c>
      <c r="AB4796" s="2">
        <v>0.122113230171865</v>
      </c>
      <c r="AC4796" s="2">
        <v>1247.4317307025799</v>
      </c>
      <c r="AD4796" s="2">
        <v>2507.16965157819</v>
      </c>
      <c r="AE4796" s="2">
        <v>984.59915880769597</v>
      </c>
      <c r="AF4796" s="2">
        <v>1226.51341737297</v>
      </c>
      <c r="AG4796" s="2">
        <v>869.84789318791695</v>
      </c>
      <c r="AH4796" s="2">
        <v>762.69022228957101</v>
      </c>
      <c r="AI4796" s="2">
        <v>1642.7485826811101</v>
      </c>
      <c r="AJ4796" s="2">
        <v>1998.19110987621</v>
      </c>
      <c r="AK4796" s="2">
        <v>2658.9063178394499</v>
      </c>
      <c r="AL4796" s="2">
        <v>2856.4958427957099</v>
      </c>
      <c r="AM4796" s="2">
        <v>2271.98301890431</v>
      </c>
      <c r="AN4796" s="2">
        <v>1358.2020599836301</v>
      </c>
      <c r="AO4796" s="2">
        <v>3101.23339605103</v>
      </c>
      <c r="AP4796" s="2">
        <v>2796.1972738950299</v>
      </c>
    </row>
    <row r="4797" spans="1:42" ht="14.5" x14ac:dyDescent="0.35">
      <c r="A4797" s="2" t="s">
        <v>31833</v>
      </c>
      <c r="B4797" s="2">
        <v>245.13574008086499</v>
      </c>
      <c r="C4797" s="2">
        <v>4.2085666666666697</v>
      </c>
      <c r="D4797" s="2" t="s">
        <v>34</v>
      </c>
      <c r="E4797" s="2" t="s">
        <v>31834</v>
      </c>
      <c r="F4797" s="2">
        <v>212330</v>
      </c>
      <c r="G4797" s="3" t="str">
        <f>HYPERLINK("http://funmeta.oebiotech.com/network/212330", "http://funmeta.oebiotech.com/network/212330")</f>
        <v>http://funmeta.oebiotech.com/network/212330</v>
      </c>
      <c r="H4797" s="2" t="s">
        <v>31835</v>
      </c>
      <c r="I4797" s="2"/>
      <c r="J4797" s="2"/>
      <c r="K4797" s="2">
        <v>46785</v>
      </c>
      <c r="L4797" s="2"/>
      <c r="M4797" s="2"/>
      <c r="N4797" s="2"/>
      <c r="O4797" s="2"/>
      <c r="P4797" s="2"/>
      <c r="Q4797" s="2" t="s">
        <v>31836</v>
      </c>
      <c r="R4797" s="2" t="s">
        <v>31837</v>
      </c>
      <c r="S4797" s="2" t="s">
        <v>79</v>
      </c>
      <c r="T4797" s="2" t="s">
        <v>80</v>
      </c>
      <c r="U4797" s="2" t="s">
        <v>249</v>
      </c>
      <c r="V4797" s="2" t="s">
        <v>59</v>
      </c>
      <c r="W4797" s="2">
        <v>39.299999999999997</v>
      </c>
      <c r="X4797" s="2">
        <v>3.49</v>
      </c>
      <c r="Y4797" s="2" t="s">
        <v>67</v>
      </c>
      <c r="Z4797" s="2" t="s">
        <v>31838</v>
      </c>
      <c r="AA4797" s="2">
        <v>-0.92012374308732503</v>
      </c>
      <c r="AB4797" s="2">
        <v>0.122096308008246</v>
      </c>
      <c r="AC4797" s="2">
        <v>29209.381166227799</v>
      </c>
      <c r="AD4797" s="2">
        <v>35883.169252620501</v>
      </c>
      <c r="AE4797" s="2">
        <v>26358.260688225499</v>
      </c>
      <c r="AF4797" s="2">
        <v>38106.681971424703</v>
      </c>
      <c r="AG4797" s="2">
        <v>37796.0964823248</v>
      </c>
      <c r="AH4797" s="2">
        <v>17554.6819166196</v>
      </c>
      <c r="AI4797" s="2">
        <v>36863.217346482998</v>
      </c>
      <c r="AJ4797" s="2">
        <v>18577.3485922894</v>
      </c>
      <c r="AK4797" s="2">
        <v>20905.215193892502</v>
      </c>
      <c r="AL4797" s="2">
        <v>100029.725217486</v>
      </c>
      <c r="AM4797" s="2">
        <v>20639.8820650913</v>
      </c>
      <c r="AN4797" s="2">
        <v>20583.3564564017</v>
      </c>
      <c r="AO4797" s="2">
        <v>23365.670098971801</v>
      </c>
      <c r="AP4797" s="2">
        <v>29775.166483879599</v>
      </c>
    </row>
    <row r="4798" spans="1:42" ht="14.5" x14ac:dyDescent="0.35">
      <c r="A4798" s="2" t="s">
        <v>31839</v>
      </c>
      <c r="B4798" s="2">
        <v>327.23018848477898</v>
      </c>
      <c r="C4798" s="2">
        <v>11.924616666666701</v>
      </c>
      <c r="D4798" s="2" t="s">
        <v>34</v>
      </c>
      <c r="E4798" s="2" t="s">
        <v>31840</v>
      </c>
      <c r="F4798" s="2">
        <v>1116</v>
      </c>
      <c r="G4798" s="3" t="str">
        <f>HYPERLINK("http://funmeta.oebiotech.com/network/1116", "http://funmeta.oebiotech.com/network/1116")</f>
        <v>http://funmeta.oebiotech.com/network/1116</v>
      </c>
      <c r="H4798" s="2"/>
      <c r="I4798" s="2">
        <v>24087</v>
      </c>
      <c r="J4798" s="2" t="s">
        <v>31841</v>
      </c>
      <c r="K4798" s="2"/>
      <c r="L4798" s="2"/>
      <c r="M4798" s="2"/>
      <c r="N4798" s="2"/>
      <c r="O4798" s="2">
        <v>1899</v>
      </c>
      <c r="P4798" s="2" t="s">
        <v>31842</v>
      </c>
      <c r="Q4798" s="2" t="s">
        <v>31843</v>
      </c>
      <c r="R4798" s="2" t="s">
        <v>31844</v>
      </c>
      <c r="S4798" s="2" t="s">
        <v>50</v>
      </c>
      <c r="T4798" s="2" t="s">
        <v>229</v>
      </c>
      <c r="U4798" s="2" t="s">
        <v>433</v>
      </c>
      <c r="V4798" s="2" t="s">
        <v>59</v>
      </c>
      <c r="W4798" s="2">
        <v>38.1</v>
      </c>
      <c r="X4798" s="2">
        <v>0</v>
      </c>
      <c r="Y4798" s="2" t="s">
        <v>323</v>
      </c>
      <c r="Z4798" s="2" t="s">
        <v>15646</v>
      </c>
      <c r="AA4798" s="2">
        <v>2.42420082974491</v>
      </c>
      <c r="AB4798" s="2">
        <v>0.122058763275961</v>
      </c>
      <c r="AC4798" s="2">
        <v>1020.85410386105</v>
      </c>
      <c r="AD4798" s="2">
        <v>2.7106294003980101E-5</v>
      </c>
      <c r="AE4798" s="2">
        <v>1076.14485287056</v>
      </c>
      <c r="AF4798" s="2">
        <v>1023.99611947159</v>
      </c>
      <c r="AG4798" s="2">
        <v>1416.9136726353199</v>
      </c>
      <c r="AH4798" s="2">
        <v>782.93305017262605</v>
      </c>
      <c r="AI4798" s="2">
        <v>712.90950029403996</v>
      </c>
      <c r="AJ4798" s="2">
        <v>1112.22742772217</v>
      </c>
      <c r="AK4798" s="2">
        <v>2.7106294003980101E-5</v>
      </c>
      <c r="AL4798" s="2">
        <v>2.7106294003980101E-5</v>
      </c>
      <c r="AM4798" s="2">
        <v>2.7106294003980101E-5</v>
      </c>
      <c r="AN4798" s="2">
        <v>2.7106294003980101E-5</v>
      </c>
      <c r="AO4798" s="2">
        <v>2.7106294003980101E-5</v>
      </c>
      <c r="AP4798" s="2">
        <v>2.7106294003980101E-5</v>
      </c>
    </row>
    <row r="4799" spans="1:42" ht="14.5" x14ac:dyDescent="0.35">
      <c r="A4799" s="2" t="s">
        <v>31845</v>
      </c>
      <c r="B4799" s="2">
        <v>243.061020656333</v>
      </c>
      <c r="C4799" s="2">
        <v>0.78071666666666695</v>
      </c>
      <c r="D4799" s="2" t="s">
        <v>34</v>
      </c>
      <c r="E4799" s="2" t="s">
        <v>31846</v>
      </c>
      <c r="F4799" s="2">
        <v>211388</v>
      </c>
      <c r="G4799" s="3" t="str">
        <f>HYPERLINK("http://funmeta.oebiotech.com/network/211388", "http://funmeta.oebiotech.com/network/211388")</f>
        <v>http://funmeta.oebiotech.com/network/211388</v>
      </c>
      <c r="H4799" s="2" t="s">
        <v>31847</v>
      </c>
      <c r="I4799" s="2"/>
      <c r="J4799" s="2"/>
      <c r="K4799" s="2"/>
      <c r="L4799" s="2"/>
      <c r="M4799" s="2"/>
      <c r="N4799" s="2"/>
      <c r="O4799" s="2">
        <v>54061532</v>
      </c>
      <c r="P4799" s="2"/>
      <c r="Q4799" s="2" t="s">
        <v>31848</v>
      </c>
      <c r="R4799" s="2" t="s">
        <v>31849</v>
      </c>
      <c r="S4799" s="2" t="s">
        <v>41</v>
      </c>
      <c r="T4799" s="2" t="s">
        <v>41</v>
      </c>
      <c r="U4799" s="2" t="s">
        <v>41</v>
      </c>
      <c r="V4799" s="2" t="s">
        <v>59</v>
      </c>
      <c r="W4799" s="2">
        <v>38.6</v>
      </c>
      <c r="X4799" s="2">
        <v>0</v>
      </c>
      <c r="Y4799" s="2" t="s">
        <v>43</v>
      </c>
      <c r="Z4799" s="2" t="s">
        <v>31850</v>
      </c>
      <c r="AA4799" s="2">
        <v>-0.63023595014513001</v>
      </c>
      <c r="AB4799" s="2">
        <v>0.122040295783556</v>
      </c>
      <c r="AC4799" s="2">
        <v>4145.0525947913102</v>
      </c>
      <c r="AD4799" s="2">
        <v>2839.38433950129</v>
      </c>
      <c r="AE4799" s="2">
        <v>4074.3824883327202</v>
      </c>
      <c r="AF4799" s="2">
        <v>2903.9269478414799</v>
      </c>
      <c r="AG4799" s="2">
        <v>4910.9163240583102</v>
      </c>
      <c r="AH4799" s="2">
        <v>4320.5220492338703</v>
      </c>
      <c r="AI4799" s="2">
        <v>3950.1979383857201</v>
      </c>
      <c r="AJ4799" s="2">
        <v>4710.3698208957503</v>
      </c>
      <c r="AK4799" s="2">
        <v>2790.87253665158</v>
      </c>
      <c r="AL4799" s="2">
        <v>3151.2953252141401</v>
      </c>
      <c r="AM4799" s="2">
        <v>2793.9253346252899</v>
      </c>
      <c r="AN4799" s="2">
        <v>1920.5148102212499</v>
      </c>
      <c r="AO4799" s="2">
        <v>2741.2824817482801</v>
      </c>
      <c r="AP4799" s="2">
        <v>3638.4155485471802</v>
      </c>
    </row>
    <row r="4800" spans="1:42" ht="14.5" x14ac:dyDescent="0.35">
      <c r="A4800" s="2" t="s">
        <v>31851</v>
      </c>
      <c r="B4800" s="2">
        <v>595.41749261002701</v>
      </c>
      <c r="C4800" s="2">
        <v>13.666133333333301</v>
      </c>
      <c r="D4800" s="2" t="s">
        <v>34</v>
      </c>
      <c r="E4800" s="2" t="s">
        <v>31852</v>
      </c>
      <c r="F4800" s="2">
        <v>267195</v>
      </c>
      <c r="G4800" s="3" t="str">
        <f>HYPERLINK("http://funmeta.oebiotech.com/network/267195", "http://funmeta.oebiotech.com/network/267195")</f>
        <v>http://funmeta.oebiotech.com/network/267195</v>
      </c>
      <c r="H4800" s="2"/>
      <c r="I4800" s="2">
        <v>44979</v>
      </c>
      <c r="J4800" s="2"/>
      <c r="K4800" s="2"/>
      <c r="L4800" s="2"/>
      <c r="M4800" s="2"/>
      <c r="N4800" s="2"/>
      <c r="O4800" s="2">
        <v>71311691</v>
      </c>
      <c r="P4800" s="2" t="s">
        <v>31853</v>
      </c>
      <c r="Q4800" s="2" t="s">
        <v>31854</v>
      </c>
      <c r="R4800" s="2" t="s">
        <v>31855</v>
      </c>
      <c r="S4800" s="2" t="s">
        <v>50</v>
      </c>
      <c r="T4800" s="2" t="s">
        <v>693</v>
      </c>
      <c r="U4800" s="2" t="s">
        <v>16309</v>
      </c>
      <c r="V4800" s="2" t="s">
        <v>59</v>
      </c>
      <c r="W4800" s="2">
        <v>39.4</v>
      </c>
      <c r="X4800" s="2">
        <v>0</v>
      </c>
      <c r="Y4800" s="2" t="s">
        <v>43</v>
      </c>
      <c r="Z4800" s="2" t="s">
        <v>31856</v>
      </c>
      <c r="AA4800" s="2">
        <v>-0.46294482299944201</v>
      </c>
      <c r="AB4800" s="2">
        <v>0.122012773174297</v>
      </c>
      <c r="AC4800" s="2">
        <v>23837.620332463401</v>
      </c>
      <c r="AD4800" s="2">
        <v>21297.862654913399</v>
      </c>
      <c r="AE4800" s="2">
        <v>23641.346893670499</v>
      </c>
      <c r="AF4800" s="2">
        <v>21394.124900271101</v>
      </c>
      <c r="AG4800" s="2">
        <v>24446.6385681229</v>
      </c>
      <c r="AH4800" s="2">
        <v>25953.5422152914</v>
      </c>
      <c r="AI4800" s="2">
        <v>22353.8151042832</v>
      </c>
      <c r="AJ4800" s="2">
        <v>25236.254313141399</v>
      </c>
      <c r="AK4800" s="2">
        <v>29323.708525092301</v>
      </c>
      <c r="AL4800" s="2">
        <v>23850.8186873833</v>
      </c>
      <c r="AM4800" s="2">
        <v>20153.496731927498</v>
      </c>
      <c r="AN4800" s="2">
        <v>17683.311917179701</v>
      </c>
      <c r="AO4800" s="2">
        <v>18366.6270699181</v>
      </c>
      <c r="AP4800" s="2">
        <v>18409.212997979601</v>
      </c>
    </row>
    <row r="4801" spans="1:42" ht="14.5" x14ac:dyDescent="0.35">
      <c r="A4801" s="2" t="s">
        <v>31857</v>
      </c>
      <c r="B4801" s="2">
        <v>853.49405346514595</v>
      </c>
      <c r="C4801" s="2">
        <v>10.5876</v>
      </c>
      <c r="D4801" s="2" t="s">
        <v>70</v>
      </c>
      <c r="E4801" s="2" t="s">
        <v>31858</v>
      </c>
      <c r="F4801" s="2">
        <v>82703</v>
      </c>
      <c r="G4801" s="3" t="str">
        <f>HYPERLINK("http://funmeta.oebiotech.com/network/82703", "http://funmeta.oebiotech.com/network/82703")</f>
        <v>http://funmeta.oebiotech.com/network/82703</v>
      </c>
      <c r="H4801" s="2" t="s">
        <v>31859</v>
      </c>
      <c r="I4801" s="2"/>
      <c r="J4801" s="2"/>
      <c r="K4801" s="2"/>
      <c r="L4801" s="2"/>
      <c r="M4801" s="2"/>
      <c r="N4801" s="2"/>
      <c r="O4801" s="2">
        <v>131769974</v>
      </c>
      <c r="P4801" s="2"/>
      <c r="Q4801" s="2" t="s">
        <v>31860</v>
      </c>
      <c r="R4801" s="2" t="s">
        <v>31861</v>
      </c>
      <c r="S4801" s="2" t="s">
        <v>79</v>
      </c>
      <c r="T4801" s="2" t="s">
        <v>80</v>
      </c>
      <c r="U4801" s="2" t="s">
        <v>81</v>
      </c>
      <c r="V4801" s="2" t="s">
        <v>59</v>
      </c>
      <c r="W4801" s="2">
        <v>37.799999999999997</v>
      </c>
      <c r="X4801" s="2">
        <v>0</v>
      </c>
      <c r="Y4801" s="2" t="s">
        <v>408</v>
      </c>
      <c r="Z4801" s="2" t="s">
        <v>31862</v>
      </c>
      <c r="AA4801" s="2">
        <v>3.19233715755216</v>
      </c>
      <c r="AB4801" s="2">
        <v>0.12188482159196599</v>
      </c>
      <c r="AC4801" s="2">
        <v>10461.9319594671</v>
      </c>
      <c r="AD4801" s="2">
        <v>9059.1627339266997</v>
      </c>
      <c r="AE4801" s="2">
        <v>11308.5683824395</v>
      </c>
      <c r="AF4801" s="2">
        <v>9312.8827006967495</v>
      </c>
      <c r="AG4801" s="2">
        <v>9852.9687202271198</v>
      </c>
      <c r="AH4801" s="2">
        <v>11038.298135274899</v>
      </c>
      <c r="AI4801" s="2">
        <v>11404.986949076399</v>
      </c>
      <c r="AJ4801" s="2">
        <v>9853.8868690880408</v>
      </c>
      <c r="AK4801" s="2">
        <v>8286.1700827072491</v>
      </c>
      <c r="AL4801" s="2">
        <v>9985.6767201327293</v>
      </c>
      <c r="AM4801" s="2">
        <v>8685.1406991797594</v>
      </c>
      <c r="AN4801" s="2">
        <v>9636.4841236645698</v>
      </c>
      <c r="AO4801" s="2">
        <v>9060.12253872363</v>
      </c>
      <c r="AP4801" s="2">
        <v>8701.3822391522808</v>
      </c>
    </row>
    <row r="4802" spans="1:42" ht="14.5" x14ac:dyDescent="0.35">
      <c r="A4802" s="2" t="s">
        <v>31863</v>
      </c>
      <c r="B4802" s="2">
        <v>531.07545811583304</v>
      </c>
      <c r="C4802" s="2">
        <v>3.7118500000000001</v>
      </c>
      <c r="D4802" s="2" t="s">
        <v>70</v>
      </c>
      <c r="E4802" s="2" t="s">
        <v>31864</v>
      </c>
      <c r="F4802" s="2">
        <v>57219</v>
      </c>
      <c r="G4802" s="3" t="str">
        <f>HYPERLINK("http://funmeta.oebiotech.com/network/57219", "http://funmeta.oebiotech.com/network/57219")</f>
        <v>http://funmeta.oebiotech.com/network/57219</v>
      </c>
      <c r="H4802" s="2" t="s">
        <v>31865</v>
      </c>
      <c r="I4802" s="2">
        <v>88855</v>
      </c>
      <c r="J4802" s="2"/>
      <c r="K4802" s="2">
        <v>174489</v>
      </c>
      <c r="L4802" s="2"/>
      <c r="M4802" s="2"/>
      <c r="N4802" s="2"/>
      <c r="O4802" s="2">
        <v>92012255</v>
      </c>
      <c r="P4802" s="2" t="s">
        <v>31866</v>
      </c>
      <c r="Q4802" s="2" t="s">
        <v>31867</v>
      </c>
      <c r="R4802" s="2" t="s">
        <v>31868</v>
      </c>
      <c r="S4802" s="2" t="s">
        <v>115</v>
      </c>
      <c r="T4802" s="2" t="s">
        <v>116</v>
      </c>
      <c r="U4802" s="2" t="s">
        <v>117</v>
      </c>
      <c r="V4802" s="2" t="s">
        <v>59</v>
      </c>
      <c r="W4802" s="2">
        <v>38.4</v>
      </c>
      <c r="X4802" s="2">
        <v>0</v>
      </c>
      <c r="Y4802" s="2" t="s">
        <v>560</v>
      </c>
      <c r="Z4802" s="2" t="s">
        <v>31869</v>
      </c>
      <c r="AA4802" s="2">
        <v>-4.8314948402026001</v>
      </c>
      <c r="AB4802" s="2">
        <v>0.12186308095073201</v>
      </c>
      <c r="AC4802" s="2">
        <v>2624.9046843016099</v>
      </c>
      <c r="AD4802" s="2">
        <v>1469.1745841013101</v>
      </c>
      <c r="AE4802" s="2">
        <v>2700.98026693154</v>
      </c>
      <c r="AF4802" s="2">
        <v>2986.5839143261501</v>
      </c>
      <c r="AG4802" s="2">
        <v>2322.2536729335802</v>
      </c>
      <c r="AH4802" s="2">
        <v>3138.2665260813301</v>
      </c>
      <c r="AI4802" s="2">
        <v>2070.5742639914602</v>
      </c>
      <c r="AJ4802" s="2">
        <v>2530.7694615455998</v>
      </c>
      <c r="AK4802" s="2">
        <v>1575.7281104445001</v>
      </c>
      <c r="AL4802" s="2">
        <v>1255.25206565759</v>
      </c>
      <c r="AM4802" s="2">
        <v>976.341330975034</v>
      </c>
      <c r="AN4802" s="2">
        <v>1100.15566223672</v>
      </c>
      <c r="AO4802" s="2">
        <v>1925.55182437486</v>
      </c>
      <c r="AP4802" s="2">
        <v>1982.01851091915</v>
      </c>
    </row>
    <row r="4803" spans="1:42" ht="14.5" x14ac:dyDescent="0.35">
      <c r="A4803" s="2" t="s">
        <v>31870</v>
      </c>
      <c r="B4803" s="2">
        <v>142.04985551625799</v>
      </c>
      <c r="C4803" s="2">
        <v>1.27495</v>
      </c>
      <c r="D4803" s="2" t="s">
        <v>34</v>
      </c>
      <c r="E4803" s="2" t="s">
        <v>31871</v>
      </c>
      <c r="F4803" s="2">
        <v>208074</v>
      </c>
      <c r="G4803" s="3" t="str">
        <f>HYPERLINK("http://funmeta.oebiotech.com/network/208074", "http://funmeta.oebiotech.com/network/208074")</f>
        <v>http://funmeta.oebiotech.com/network/208074</v>
      </c>
      <c r="H4803" s="2" t="s">
        <v>31872</v>
      </c>
      <c r="I4803" s="2"/>
      <c r="J4803" s="2"/>
      <c r="K4803" s="2"/>
      <c r="L4803" s="2"/>
      <c r="M4803" s="2"/>
      <c r="N4803" s="2"/>
      <c r="O4803" s="2">
        <v>19689726</v>
      </c>
      <c r="P4803" s="2"/>
      <c r="Q4803" s="2" t="s">
        <v>31873</v>
      </c>
      <c r="R4803" s="2" t="s">
        <v>31874</v>
      </c>
      <c r="S4803" s="2" t="s">
        <v>41</v>
      </c>
      <c r="T4803" s="2" t="s">
        <v>41</v>
      </c>
      <c r="U4803" s="2" t="s">
        <v>41</v>
      </c>
      <c r="V4803" s="2" t="s">
        <v>59</v>
      </c>
      <c r="W4803" s="2">
        <v>39.700000000000003</v>
      </c>
      <c r="X4803" s="2">
        <v>0</v>
      </c>
      <c r="Y4803" s="2" t="s">
        <v>440</v>
      </c>
      <c r="Z4803" s="2" t="s">
        <v>31875</v>
      </c>
      <c r="AA4803" s="2">
        <v>-0.11289427851624</v>
      </c>
      <c r="AB4803" s="2">
        <v>0.12181338104540899</v>
      </c>
      <c r="AC4803" s="2">
        <v>7872.64399531873</v>
      </c>
      <c r="AD4803" s="2">
        <v>6657.8512700947804</v>
      </c>
      <c r="AE4803" s="2">
        <v>8342.8012160378494</v>
      </c>
      <c r="AF4803" s="2">
        <v>8248.0425725210498</v>
      </c>
      <c r="AG4803" s="2">
        <v>8657.4235966214801</v>
      </c>
      <c r="AH4803" s="2">
        <v>7856.6367816866004</v>
      </c>
      <c r="AI4803" s="2">
        <v>6765.8934873261196</v>
      </c>
      <c r="AJ4803" s="2">
        <v>7365.0663177192901</v>
      </c>
      <c r="AK4803" s="2">
        <v>6653.7218981804399</v>
      </c>
      <c r="AL4803" s="2">
        <v>6350.9695259763803</v>
      </c>
      <c r="AM4803" s="2">
        <v>6664.6341665104601</v>
      </c>
      <c r="AN4803" s="2">
        <v>6553.4188422991001</v>
      </c>
      <c r="AO4803" s="2">
        <v>6953.2669065454802</v>
      </c>
      <c r="AP4803" s="2">
        <v>6771.0962810568499</v>
      </c>
    </row>
    <row r="4804" spans="1:42" ht="14.5" x14ac:dyDescent="0.35">
      <c r="A4804" s="2" t="s">
        <v>31876</v>
      </c>
      <c r="B4804" s="2">
        <v>389.19542583521502</v>
      </c>
      <c r="C4804" s="2">
        <v>5.1684333333333301</v>
      </c>
      <c r="D4804" s="2" t="s">
        <v>34</v>
      </c>
      <c r="E4804" s="2" t="s">
        <v>31877</v>
      </c>
      <c r="F4804" s="2">
        <v>200001</v>
      </c>
      <c r="G4804" s="3" t="str">
        <f>HYPERLINK("http://funmeta.oebiotech.com/network/200001", "http://funmeta.oebiotech.com/network/200001")</f>
        <v>http://funmeta.oebiotech.com/network/200001</v>
      </c>
      <c r="H4804" s="2" t="s">
        <v>31878</v>
      </c>
      <c r="I4804" s="2"/>
      <c r="J4804" s="2"/>
      <c r="K4804" s="2"/>
      <c r="L4804" s="2"/>
      <c r="M4804" s="2"/>
      <c r="N4804" s="2"/>
      <c r="O4804" s="2">
        <v>612057</v>
      </c>
      <c r="P4804" s="2"/>
      <c r="Q4804" s="2" t="s">
        <v>31879</v>
      </c>
      <c r="R4804" s="2" t="s">
        <v>31880</v>
      </c>
      <c r="S4804" s="2" t="s">
        <v>50</v>
      </c>
      <c r="T4804" s="2" t="s">
        <v>201</v>
      </c>
      <c r="U4804" s="2" t="s">
        <v>241</v>
      </c>
      <c r="V4804" s="2" t="s">
        <v>42</v>
      </c>
      <c r="W4804" s="2">
        <v>51.4</v>
      </c>
      <c r="X4804" s="2">
        <v>64.099999999999994</v>
      </c>
      <c r="Y4804" s="2" t="s">
        <v>266</v>
      </c>
      <c r="Z4804" s="2" t="s">
        <v>29687</v>
      </c>
      <c r="AA4804" s="2">
        <v>-1.08127700867931</v>
      </c>
      <c r="AB4804" s="2">
        <v>0.121799462240996</v>
      </c>
      <c r="AC4804" s="2">
        <v>860952.23787873401</v>
      </c>
      <c r="AD4804" s="2">
        <v>854026.252259442</v>
      </c>
      <c r="AE4804" s="2">
        <v>864453.09068750695</v>
      </c>
      <c r="AF4804" s="2">
        <v>854975.44620844803</v>
      </c>
      <c r="AG4804" s="2">
        <v>885180.78712892695</v>
      </c>
      <c r="AH4804" s="2">
        <v>823102.47566210502</v>
      </c>
      <c r="AI4804" s="2">
        <v>833909.95611567795</v>
      </c>
      <c r="AJ4804" s="2">
        <v>904091.67146974197</v>
      </c>
      <c r="AK4804" s="2">
        <v>804138.58967565105</v>
      </c>
      <c r="AL4804" s="2">
        <v>876981.43609197799</v>
      </c>
      <c r="AM4804" s="2">
        <v>867043.43616559205</v>
      </c>
      <c r="AN4804" s="2">
        <v>846758.48298542399</v>
      </c>
      <c r="AO4804" s="2">
        <v>863868.448659054</v>
      </c>
      <c r="AP4804" s="2">
        <v>865367.11997895199</v>
      </c>
    </row>
    <row r="4805" spans="1:42" ht="14.5" x14ac:dyDescent="0.35">
      <c r="A4805" s="2" t="s">
        <v>31881</v>
      </c>
      <c r="B4805" s="2">
        <v>867.44891348470503</v>
      </c>
      <c r="C4805" s="2">
        <v>4.7862166666666699</v>
      </c>
      <c r="D4805" s="2" t="s">
        <v>34</v>
      </c>
      <c r="E4805" s="2" t="s">
        <v>31882</v>
      </c>
      <c r="F4805" s="2">
        <v>58619</v>
      </c>
      <c r="G4805" s="3" t="str">
        <f>HYPERLINK("http://funmeta.oebiotech.com/network/58619", "http://funmeta.oebiotech.com/network/58619")</f>
        <v>http://funmeta.oebiotech.com/network/58619</v>
      </c>
      <c r="H4805" s="2" t="s">
        <v>31883</v>
      </c>
      <c r="I4805" s="2">
        <v>90088</v>
      </c>
      <c r="J4805" s="2"/>
      <c r="K4805" s="2"/>
      <c r="L4805" s="2"/>
      <c r="M4805" s="2"/>
      <c r="N4805" s="2"/>
      <c r="O4805" s="2">
        <v>75055105</v>
      </c>
      <c r="P4805" s="2" t="s">
        <v>31884</v>
      </c>
      <c r="Q4805" s="2" t="s">
        <v>31885</v>
      </c>
      <c r="R4805" s="2" t="s">
        <v>31886</v>
      </c>
      <c r="S4805" s="2" t="s">
        <v>50</v>
      </c>
      <c r="T4805" s="2" t="s">
        <v>201</v>
      </c>
      <c r="U4805" s="2" t="s">
        <v>202</v>
      </c>
      <c r="V4805" s="2" t="s">
        <v>59</v>
      </c>
      <c r="W4805" s="2">
        <v>36.299999999999997</v>
      </c>
      <c r="X4805" s="2">
        <v>0</v>
      </c>
      <c r="Y4805" s="2" t="s">
        <v>4572</v>
      </c>
      <c r="Z4805" s="2" t="s">
        <v>31887</v>
      </c>
      <c r="AA4805" s="2">
        <v>-1.64902712257689</v>
      </c>
      <c r="AB4805" s="2">
        <v>0.121701204303046</v>
      </c>
      <c r="AC4805" s="2">
        <v>27360.378656921301</v>
      </c>
      <c r="AD4805" s="2">
        <v>31398.736392478899</v>
      </c>
      <c r="AE4805" s="2">
        <v>20993.575754562</v>
      </c>
      <c r="AF4805" s="2">
        <v>33610.5606015226</v>
      </c>
      <c r="AG4805" s="2">
        <v>32851.133058908097</v>
      </c>
      <c r="AH4805" s="2">
        <v>19901.097447153199</v>
      </c>
      <c r="AI4805" s="2">
        <v>30592.805193505199</v>
      </c>
      <c r="AJ4805" s="2">
        <v>26213.099885877</v>
      </c>
      <c r="AK4805" s="2">
        <v>36482.735957795798</v>
      </c>
      <c r="AL4805" s="2">
        <v>25678.198525612799</v>
      </c>
      <c r="AM4805" s="2">
        <v>11868.690730759299</v>
      </c>
      <c r="AN4805" s="2">
        <v>35791.378255373798</v>
      </c>
      <c r="AO4805" s="2">
        <v>43680.171689282601</v>
      </c>
      <c r="AP4805" s="2">
        <v>34891.243196048803</v>
      </c>
    </row>
    <row r="4806" spans="1:42" ht="14.5" x14ac:dyDescent="0.35">
      <c r="A4806" s="2" t="s">
        <v>31888</v>
      </c>
      <c r="B4806" s="2">
        <v>892.26613542719895</v>
      </c>
      <c r="C4806" s="2">
        <v>9.02708333333333</v>
      </c>
      <c r="D4806" s="2" t="s">
        <v>34</v>
      </c>
      <c r="E4806" s="2" t="s">
        <v>31889</v>
      </c>
      <c r="F4806" s="2">
        <v>273306</v>
      </c>
      <c r="G4806" s="3" t="str">
        <f>HYPERLINK("http://funmeta.oebiotech.com/network/273306", "http://funmeta.oebiotech.com/network/273306")</f>
        <v>http://funmeta.oebiotech.com/network/273306</v>
      </c>
      <c r="H4806" s="2" t="s">
        <v>31890</v>
      </c>
      <c r="I4806" s="2">
        <v>58465</v>
      </c>
      <c r="J4806" s="2"/>
      <c r="K4806" s="2"/>
      <c r="L4806" s="2"/>
      <c r="M4806" s="2"/>
      <c r="N4806" s="2"/>
      <c r="O4806" s="2">
        <v>50909810</v>
      </c>
      <c r="P4806" s="2" t="s">
        <v>31891</v>
      </c>
      <c r="Q4806" s="2" t="s">
        <v>31892</v>
      </c>
      <c r="R4806" s="2" t="s">
        <v>31893</v>
      </c>
      <c r="S4806" s="2" t="s">
        <v>79</v>
      </c>
      <c r="T4806" s="2" t="s">
        <v>80</v>
      </c>
      <c r="U4806" s="2" t="s">
        <v>81</v>
      </c>
      <c r="V4806" s="2" t="s">
        <v>59</v>
      </c>
      <c r="W4806" s="2">
        <v>36.799999999999997</v>
      </c>
      <c r="X4806" s="2">
        <v>0</v>
      </c>
      <c r="Y4806" s="2" t="s">
        <v>340</v>
      </c>
      <c r="Z4806" s="2" t="s">
        <v>31894</v>
      </c>
      <c r="AA4806" s="2">
        <v>-3.9129095689278701</v>
      </c>
      <c r="AB4806" s="2">
        <v>0.121694748819742</v>
      </c>
      <c r="AC4806" s="2">
        <v>16689.5258595585</v>
      </c>
      <c r="AD4806" s="2">
        <v>14579.421476608901</v>
      </c>
      <c r="AE4806" s="2">
        <v>18835.025895524999</v>
      </c>
      <c r="AF4806" s="2">
        <v>16058.410488035999</v>
      </c>
      <c r="AG4806" s="2">
        <v>19082.162765875</v>
      </c>
      <c r="AH4806" s="2">
        <v>16332.980462679299</v>
      </c>
      <c r="AI4806" s="2">
        <v>15905.246121771001</v>
      </c>
      <c r="AJ4806" s="2">
        <v>13923.3294234649</v>
      </c>
      <c r="AK4806" s="2">
        <v>14991.2825605815</v>
      </c>
      <c r="AL4806" s="2">
        <v>19034.181046141501</v>
      </c>
      <c r="AM4806" s="2">
        <v>13754.9787122249</v>
      </c>
      <c r="AN4806" s="2">
        <v>11894.2321691614</v>
      </c>
      <c r="AO4806" s="2">
        <v>15464.4924073927</v>
      </c>
      <c r="AP4806" s="2">
        <v>12337.3619641512</v>
      </c>
    </row>
    <row r="4807" spans="1:42" ht="14.5" x14ac:dyDescent="0.35">
      <c r="A4807" s="2" t="s">
        <v>31895</v>
      </c>
      <c r="B4807" s="2">
        <v>399.20211721488698</v>
      </c>
      <c r="C4807" s="2">
        <v>3.7303666666666699</v>
      </c>
      <c r="D4807" s="2" t="s">
        <v>70</v>
      </c>
      <c r="E4807" s="2" t="s">
        <v>31896</v>
      </c>
      <c r="F4807" s="2">
        <v>2859</v>
      </c>
      <c r="G4807" s="3" t="str">
        <f>HYPERLINK("http://funmeta.oebiotech.com/network/2859", "http://funmeta.oebiotech.com/network/2859")</f>
        <v>http://funmeta.oebiotech.com/network/2859</v>
      </c>
      <c r="H4807" s="2" t="s">
        <v>31897</v>
      </c>
      <c r="I4807" s="2">
        <v>74921</v>
      </c>
      <c r="J4807" s="2" t="s">
        <v>31898</v>
      </c>
      <c r="K4807" s="2">
        <v>89730</v>
      </c>
      <c r="L4807" s="2"/>
      <c r="M4807" s="2"/>
      <c r="N4807" s="2"/>
      <c r="O4807" s="2">
        <v>9543671</v>
      </c>
      <c r="P4807" s="2" t="s">
        <v>31899</v>
      </c>
      <c r="Q4807" s="2" t="s">
        <v>31900</v>
      </c>
      <c r="R4807" s="2" t="s">
        <v>31901</v>
      </c>
      <c r="S4807" s="2" t="s">
        <v>50</v>
      </c>
      <c r="T4807" s="2" t="s">
        <v>229</v>
      </c>
      <c r="U4807" s="2" t="s">
        <v>433</v>
      </c>
      <c r="V4807" s="2" t="s">
        <v>59</v>
      </c>
      <c r="W4807" s="2">
        <v>38.9</v>
      </c>
      <c r="X4807" s="2">
        <v>0</v>
      </c>
      <c r="Y4807" s="2" t="s">
        <v>560</v>
      </c>
      <c r="Z4807" s="2" t="s">
        <v>31902</v>
      </c>
      <c r="AA4807" s="2">
        <v>-0.81041468730245603</v>
      </c>
      <c r="AB4807" s="2">
        <v>0.121672391138358</v>
      </c>
      <c r="AC4807" s="2">
        <v>2643.0445068270601</v>
      </c>
      <c r="AD4807" s="2">
        <v>3739.7190885530899</v>
      </c>
      <c r="AE4807" s="2">
        <v>2538.1591215623998</v>
      </c>
      <c r="AF4807" s="2">
        <v>3113.5747465306799</v>
      </c>
      <c r="AG4807" s="2">
        <v>2360.6503325396902</v>
      </c>
      <c r="AH4807" s="2">
        <v>2791.1334823961201</v>
      </c>
      <c r="AI4807" s="2">
        <v>2915.59678613389</v>
      </c>
      <c r="AJ4807" s="2">
        <v>2139.1525717995701</v>
      </c>
      <c r="AK4807" s="2">
        <v>3701.0508611599898</v>
      </c>
      <c r="AL4807" s="2">
        <v>3706.0490261588102</v>
      </c>
      <c r="AM4807" s="2">
        <v>4099.6884445709602</v>
      </c>
      <c r="AN4807" s="2">
        <v>3295.2301410988698</v>
      </c>
      <c r="AO4807" s="2">
        <v>3774.8099778610899</v>
      </c>
      <c r="AP4807" s="2">
        <v>3861.4860804688101</v>
      </c>
    </row>
    <row r="4808" spans="1:42" ht="14.5" x14ac:dyDescent="0.35">
      <c r="A4808" s="2" t="s">
        <v>31903</v>
      </c>
      <c r="B4808" s="2">
        <v>504.00870261744899</v>
      </c>
      <c r="C4808" s="2">
        <v>2.2312500000000002</v>
      </c>
      <c r="D4808" s="2" t="s">
        <v>70</v>
      </c>
      <c r="E4808" s="2" t="s">
        <v>31904</v>
      </c>
      <c r="F4808" s="2">
        <v>203367</v>
      </c>
      <c r="G4808" s="3" t="str">
        <f>HYPERLINK("http://funmeta.oebiotech.com/network/203367", "http://funmeta.oebiotech.com/network/203367")</f>
        <v>http://funmeta.oebiotech.com/network/203367</v>
      </c>
      <c r="H4808" s="2" t="s">
        <v>31905</v>
      </c>
      <c r="I4808" s="2"/>
      <c r="J4808" s="2"/>
      <c r="K4808" s="2"/>
      <c r="L4808" s="2"/>
      <c r="M4808" s="2"/>
      <c r="N4808" s="2"/>
      <c r="O4808" s="2">
        <v>3104</v>
      </c>
      <c r="P4808" s="2"/>
      <c r="Q4808" s="2" t="s">
        <v>31906</v>
      </c>
      <c r="R4808" s="2" t="s">
        <v>31907</v>
      </c>
      <c r="S4808" s="2" t="s">
        <v>1444</v>
      </c>
      <c r="T4808" s="2" t="s">
        <v>4937</v>
      </c>
      <c r="U4808" s="2" t="s">
        <v>5723</v>
      </c>
      <c r="V4808" s="2" t="s">
        <v>59</v>
      </c>
      <c r="W4808" s="2">
        <v>38.700000000000003</v>
      </c>
      <c r="X4808" s="2">
        <v>0</v>
      </c>
      <c r="Y4808" s="2" t="s">
        <v>118</v>
      </c>
      <c r="Z4808" s="2" t="s">
        <v>31908</v>
      </c>
      <c r="AA4808" s="2">
        <v>-0.99378247964702804</v>
      </c>
      <c r="AB4808" s="2">
        <v>0.121584426452858</v>
      </c>
      <c r="AC4808" s="2">
        <v>3495.0427831739398</v>
      </c>
      <c r="AD4808" s="2">
        <v>2436.5538647564099</v>
      </c>
      <c r="AE4808" s="2">
        <v>3233.1656563865699</v>
      </c>
      <c r="AF4808" s="2">
        <v>3232.07926776042</v>
      </c>
      <c r="AG4808" s="2">
        <v>4089.4646492954198</v>
      </c>
      <c r="AH4808" s="2">
        <v>3468.9150502535599</v>
      </c>
      <c r="AI4808" s="2">
        <v>3280.9700887276099</v>
      </c>
      <c r="AJ4808" s="2">
        <v>3665.6619866200399</v>
      </c>
      <c r="AK4808" s="2">
        <v>2307.2352750454402</v>
      </c>
      <c r="AL4808" s="2">
        <v>2607.13073643197</v>
      </c>
      <c r="AM4808" s="2">
        <v>2536.4179693953602</v>
      </c>
      <c r="AN4808" s="2">
        <v>2484.2732984661602</v>
      </c>
      <c r="AO4808" s="2">
        <v>2448.6356203400601</v>
      </c>
      <c r="AP4808" s="2">
        <v>2235.63028885945</v>
      </c>
    </row>
    <row r="4809" spans="1:42" ht="14.5" x14ac:dyDescent="0.35">
      <c r="A4809" s="2" t="s">
        <v>31909</v>
      </c>
      <c r="B4809" s="2">
        <v>475.30546497899701</v>
      </c>
      <c r="C4809" s="2">
        <v>9.8631833333333301</v>
      </c>
      <c r="D4809" s="2" t="s">
        <v>34</v>
      </c>
      <c r="E4809" s="2" t="s">
        <v>31910</v>
      </c>
      <c r="F4809" s="2">
        <v>54929</v>
      </c>
      <c r="G4809" s="3" t="str">
        <f>HYPERLINK("http://funmeta.oebiotech.com/network/54929", "http://funmeta.oebiotech.com/network/54929")</f>
        <v>http://funmeta.oebiotech.com/network/54929</v>
      </c>
      <c r="H4809" s="2" t="s">
        <v>31911</v>
      </c>
      <c r="I4809" s="2"/>
      <c r="J4809" s="2"/>
      <c r="K4809" s="2"/>
      <c r="L4809" s="2"/>
      <c r="M4809" s="2"/>
      <c r="N4809" s="2"/>
      <c r="O4809" s="2">
        <v>131750955</v>
      </c>
      <c r="P4809" s="2" t="s">
        <v>31912</v>
      </c>
      <c r="Q4809" s="2" t="s">
        <v>31913</v>
      </c>
      <c r="R4809" s="2" t="s">
        <v>31914</v>
      </c>
      <c r="S4809" s="2" t="s">
        <v>50</v>
      </c>
      <c r="T4809" s="2" t="s">
        <v>124</v>
      </c>
      <c r="U4809" s="2" t="s">
        <v>567</v>
      </c>
      <c r="V4809" s="2" t="s">
        <v>59</v>
      </c>
      <c r="W4809" s="2">
        <v>44.5</v>
      </c>
      <c r="X4809" s="2">
        <v>25.3</v>
      </c>
      <c r="Y4809" s="2" t="s">
        <v>394</v>
      </c>
      <c r="Z4809" s="2" t="s">
        <v>31915</v>
      </c>
      <c r="AA4809" s="2">
        <v>0.104328253550751</v>
      </c>
      <c r="AB4809" s="2">
        <v>0.121375219654219</v>
      </c>
      <c r="AC4809" s="2">
        <v>63756.114526728503</v>
      </c>
      <c r="AD4809" s="2">
        <v>60806.338378155102</v>
      </c>
      <c r="AE4809" s="2">
        <v>55425.518646383898</v>
      </c>
      <c r="AF4809" s="2">
        <v>58319.944704520603</v>
      </c>
      <c r="AG4809" s="2">
        <v>68428.813132609503</v>
      </c>
      <c r="AH4809" s="2">
        <v>67139.776879930898</v>
      </c>
      <c r="AI4809" s="2">
        <v>65894.075138984103</v>
      </c>
      <c r="AJ4809" s="2">
        <v>67328.558657942005</v>
      </c>
      <c r="AK4809" s="2">
        <v>58099.858015985898</v>
      </c>
      <c r="AL4809" s="2">
        <v>60133.176429575702</v>
      </c>
      <c r="AM4809" s="2">
        <v>59424.366874870102</v>
      </c>
      <c r="AN4809" s="2">
        <v>59202.228555068003</v>
      </c>
      <c r="AO4809" s="2">
        <v>60207.197009400101</v>
      </c>
      <c r="AP4809" s="2">
        <v>67771.203384031003</v>
      </c>
    </row>
    <row r="4810" spans="1:42" ht="14.5" x14ac:dyDescent="0.35">
      <c r="A4810" s="2" t="s">
        <v>31916</v>
      </c>
      <c r="B4810" s="2">
        <v>375.15893079483601</v>
      </c>
      <c r="C4810" s="2">
        <v>9.7274833333333302</v>
      </c>
      <c r="D4810" s="2" t="s">
        <v>34</v>
      </c>
      <c r="E4810" s="2" t="s">
        <v>31917</v>
      </c>
      <c r="F4810" s="2">
        <v>55430</v>
      </c>
      <c r="G4810" s="3" t="str">
        <f>HYPERLINK("http://funmeta.oebiotech.com/network/55430", "http://funmeta.oebiotech.com/network/55430")</f>
        <v>http://funmeta.oebiotech.com/network/55430</v>
      </c>
      <c r="H4810" s="2" t="s">
        <v>31918</v>
      </c>
      <c r="I4810" s="2">
        <v>87122</v>
      </c>
      <c r="J4810" s="2"/>
      <c r="K4810" s="2"/>
      <c r="L4810" s="2"/>
      <c r="M4810" s="2"/>
      <c r="N4810" s="2"/>
      <c r="O4810" s="2">
        <v>341188</v>
      </c>
      <c r="P4810" s="2" t="s">
        <v>31919</v>
      </c>
      <c r="Q4810" s="2" t="s">
        <v>31920</v>
      </c>
      <c r="R4810" s="2" t="s">
        <v>31921</v>
      </c>
      <c r="S4810" s="2" t="s">
        <v>491</v>
      </c>
      <c r="T4810" s="2" t="s">
        <v>2251</v>
      </c>
      <c r="U4810" s="2" t="s">
        <v>2252</v>
      </c>
      <c r="V4810" s="2" t="s">
        <v>59</v>
      </c>
      <c r="W4810" s="2">
        <v>38.5</v>
      </c>
      <c r="X4810" s="2">
        <v>0</v>
      </c>
      <c r="Y4810" s="2" t="s">
        <v>266</v>
      </c>
      <c r="Z4810" s="2" t="s">
        <v>9107</v>
      </c>
      <c r="AA4810" s="2">
        <v>-0.39479219358773798</v>
      </c>
      <c r="AB4810" s="2">
        <v>0.121349615927794</v>
      </c>
      <c r="AC4810" s="2">
        <v>14043.38260187</v>
      </c>
      <c r="AD4810" s="2">
        <v>12566.234928870899</v>
      </c>
      <c r="AE4810" s="2">
        <v>13684.7757860163</v>
      </c>
      <c r="AF4810" s="2">
        <v>14172.3944922635</v>
      </c>
      <c r="AG4810" s="2">
        <v>14353.7051501308</v>
      </c>
      <c r="AH4810" s="2">
        <v>14971.9312049167</v>
      </c>
      <c r="AI4810" s="2">
        <v>13915.8487786981</v>
      </c>
      <c r="AJ4810" s="2">
        <v>13161.6401991947</v>
      </c>
      <c r="AK4810" s="2">
        <v>12387.4670123302</v>
      </c>
      <c r="AL4810" s="2">
        <v>12862.137171251599</v>
      </c>
      <c r="AM4810" s="2">
        <v>14376.2791364764</v>
      </c>
      <c r="AN4810" s="2">
        <v>10854.521624205599</v>
      </c>
      <c r="AO4810" s="2">
        <v>13009.459985547201</v>
      </c>
      <c r="AP4810" s="2">
        <v>11907.5446434145</v>
      </c>
    </row>
    <row r="4811" spans="1:42" ht="14.5" x14ac:dyDescent="0.35">
      <c r="A4811" s="2" t="s">
        <v>31922</v>
      </c>
      <c r="B4811" s="2">
        <v>182.190314979557</v>
      </c>
      <c r="C4811" s="2">
        <v>4.9946333333333301</v>
      </c>
      <c r="D4811" s="2" t="s">
        <v>34</v>
      </c>
      <c r="E4811" s="2" t="s">
        <v>31923</v>
      </c>
      <c r="F4811" s="2">
        <v>9165</v>
      </c>
      <c r="G4811" s="3" t="str">
        <f>HYPERLINK("http://funmeta.oebiotech.com/network/9165", "http://funmeta.oebiotech.com/network/9165")</f>
        <v>http://funmeta.oebiotech.com/network/9165</v>
      </c>
      <c r="H4811" s="2"/>
      <c r="I4811" s="2">
        <v>97466</v>
      </c>
      <c r="J4811" s="2" t="s">
        <v>31924</v>
      </c>
      <c r="K4811" s="2"/>
      <c r="L4811" s="2"/>
      <c r="M4811" s="2"/>
      <c r="N4811" s="2"/>
      <c r="O4811" s="2">
        <v>11805103</v>
      </c>
      <c r="P4811" s="2"/>
      <c r="Q4811" s="2" t="s">
        <v>31925</v>
      </c>
      <c r="R4811" s="2" t="s">
        <v>31926</v>
      </c>
      <c r="S4811" s="2" t="s">
        <v>3194</v>
      </c>
      <c r="T4811" s="2" t="s">
        <v>3195</v>
      </c>
      <c r="U4811" s="2" t="s">
        <v>14309</v>
      </c>
      <c r="V4811" s="2" t="s">
        <v>59</v>
      </c>
      <c r="W4811" s="2">
        <v>38.6</v>
      </c>
      <c r="X4811" s="2">
        <v>0</v>
      </c>
      <c r="Y4811" s="2" t="s">
        <v>43</v>
      </c>
      <c r="Z4811" s="2" t="s">
        <v>31927</v>
      </c>
      <c r="AA4811" s="2">
        <v>-6.8177882875322199E-2</v>
      </c>
      <c r="AB4811" s="2">
        <v>0.12132779329535801</v>
      </c>
      <c r="AC4811" s="2">
        <v>4664.5206690481</v>
      </c>
      <c r="AD4811" s="2">
        <v>5726.7706934871703</v>
      </c>
      <c r="AE4811" s="2">
        <v>4502.6807890567197</v>
      </c>
      <c r="AF4811" s="2">
        <v>4708.6723823423999</v>
      </c>
      <c r="AG4811" s="2">
        <v>4991.0920408976699</v>
      </c>
      <c r="AH4811" s="2">
        <v>4615.5552350248499</v>
      </c>
      <c r="AI4811" s="2">
        <v>4472.6125452379802</v>
      </c>
      <c r="AJ4811" s="2">
        <v>4696.5110217289503</v>
      </c>
      <c r="AK4811" s="2">
        <v>5592.0147129880897</v>
      </c>
      <c r="AL4811" s="2">
        <v>6062.3066455271</v>
      </c>
      <c r="AM4811" s="2">
        <v>5573.8293540031</v>
      </c>
      <c r="AN4811" s="2">
        <v>6061.6418012076001</v>
      </c>
      <c r="AO4811" s="2">
        <v>5250.3731709874601</v>
      </c>
      <c r="AP4811" s="2">
        <v>5820.4584762096802</v>
      </c>
    </row>
    <row r="4812" spans="1:42" ht="14.5" x14ac:dyDescent="0.35">
      <c r="A4812" s="2" t="s">
        <v>31928</v>
      </c>
      <c r="B4812" s="2">
        <v>994.528165230019</v>
      </c>
      <c r="C4812" s="2">
        <v>10.754849999999999</v>
      </c>
      <c r="D4812" s="2" t="s">
        <v>34</v>
      </c>
      <c r="E4812" s="2" t="s">
        <v>31929</v>
      </c>
      <c r="F4812" s="2">
        <v>231485</v>
      </c>
      <c r="G4812" s="3" t="str">
        <f>HYPERLINK("http://funmeta.oebiotech.com/network/231485", "http://funmeta.oebiotech.com/network/231485")</f>
        <v>http://funmeta.oebiotech.com/network/231485</v>
      </c>
      <c r="H4812" s="2" t="s">
        <v>31930</v>
      </c>
      <c r="I4812" s="2"/>
      <c r="J4812" s="2"/>
      <c r="K4812" s="2"/>
      <c r="L4812" s="2"/>
      <c r="M4812" s="2"/>
      <c r="N4812" s="2"/>
      <c r="O4812" s="2"/>
      <c r="P4812" s="2"/>
      <c r="Q4812" s="2" t="s">
        <v>31931</v>
      </c>
      <c r="R4812" s="2" t="s">
        <v>31932</v>
      </c>
      <c r="S4812" s="2" t="s">
        <v>41</v>
      </c>
      <c r="T4812" s="2" t="s">
        <v>41</v>
      </c>
      <c r="U4812" s="2" t="s">
        <v>41</v>
      </c>
      <c r="V4812" s="2" t="s">
        <v>42</v>
      </c>
      <c r="W4812" s="2">
        <v>53.3</v>
      </c>
      <c r="X4812" s="2">
        <v>71.900000000000006</v>
      </c>
      <c r="Y4812" s="2" t="s">
        <v>43</v>
      </c>
      <c r="Z4812" s="2" t="s">
        <v>31933</v>
      </c>
      <c r="AA4812" s="2">
        <v>-0.59735316244953196</v>
      </c>
      <c r="AB4812" s="2">
        <v>0.121084395490409</v>
      </c>
      <c r="AC4812" s="2">
        <v>26997.5272378505</v>
      </c>
      <c r="AD4812" s="2">
        <v>30406.021509309099</v>
      </c>
      <c r="AE4812" s="2">
        <v>26495.3364754707</v>
      </c>
      <c r="AF4812" s="2">
        <v>26556.471628957101</v>
      </c>
      <c r="AG4812" s="2">
        <v>28152.795786618401</v>
      </c>
      <c r="AH4812" s="2">
        <v>23553.469636757502</v>
      </c>
      <c r="AI4812" s="2">
        <v>28665.3966946111</v>
      </c>
      <c r="AJ4812" s="2">
        <v>28561.693204688301</v>
      </c>
      <c r="AK4812" s="2">
        <v>29109.695512995699</v>
      </c>
      <c r="AL4812" s="2">
        <v>25910.5123615218</v>
      </c>
      <c r="AM4812" s="2">
        <v>22700.6486778201</v>
      </c>
      <c r="AN4812" s="2">
        <v>26371.071146744202</v>
      </c>
      <c r="AO4812" s="2">
        <v>31136.917319928001</v>
      </c>
      <c r="AP4812" s="2">
        <v>47207.284036844801</v>
      </c>
    </row>
    <row r="4813" spans="1:42" ht="14.5" x14ac:dyDescent="0.35">
      <c r="A4813" s="2" t="s">
        <v>31934</v>
      </c>
      <c r="B4813" s="2">
        <v>327.07760896197902</v>
      </c>
      <c r="C4813" s="2">
        <v>10.471816666666699</v>
      </c>
      <c r="D4813" s="2" t="s">
        <v>34</v>
      </c>
      <c r="E4813" s="2" t="s">
        <v>31935</v>
      </c>
      <c r="F4813" s="2">
        <v>212661</v>
      </c>
      <c r="G4813" s="3" t="str">
        <f>HYPERLINK("http://funmeta.oebiotech.com/network/212661", "http://funmeta.oebiotech.com/network/212661")</f>
        <v>http://funmeta.oebiotech.com/network/212661</v>
      </c>
      <c r="H4813" s="2" t="s">
        <v>31936</v>
      </c>
      <c r="I4813" s="2">
        <v>69897</v>
      </c>
      <c r="J4813" s="2"/>
      <c r="K4813" s="2">
        <v>35033</v>
      </c>
      <c r="L4813" s="2" t="s">
        <v>31937</v>
      </c>
      <c r="M4813" s="2"/>
      <c r="N4813" s="2"/>
      <c r="O4813" s="2">
        <v>8289</v>
      </c>
      <c r="P4813" s="2" t="s">
        <v>31938</v>
      </c>
      <c r="Q4813" s="2" t="s">
        <v>31939</v>
      </c>
      <c r="R4813" s="2" t="s">
        <v>31940</v>
      </c>
      <c r="S4813" s="2" t="s">
        <v>89</v>
      </c>
      <c r="T4813" s="2" t="s">
        <v>894</v>
      </c>
      <c r="U4813" s="2" t="s">
        <v>895</v>
      </c>
      <c r="V4813" s="2" t="s">
        <v>42</v>
      </c>
      <c r="W4813" s="2">
        <v>52</v>
      </c>
      <c r="X4813" s="2">
        <v>65.599999999999994</v>
      </c>
      <c r="Y4813" s="2" t="s">
        <v>394</v>
      </c>
      <c r="Z4813" s="2" t="s">
        <v>31941</v>
      </c>
      <c r="AA4813" s="2">
        <v>-1.4201189355006401</v>
      </c>
      <c r="AB4813" s="2">
        <v>0.121056978686247</v>
      </c>
      <c r="AC4813" s="2">
        <v>3682.0837819702801</v>
      </c>
      <c r="AD4813" s="2">
        <v>4753.4558723403397</v>
      </c>
      <c r="AE4813" s="2">
        <v>3252.0795286453799</v>
      </c>
      <c r="AF4813" s="2">
        <v>4043.0862344352799</v>
      </c>
      <c r="AG4813" s="2">
        <v>3734.2257973113301</v>
      </c>
      <c r="AH4813" s="2">
        <v>3420.3197063513098</v>
      </c>
      <c r="AI4813" s="2">
        <v>4077.7837503642099</v>
      </c>
      <c r="AJ4813" s="2">
        <v>3565.0076747141402</v>
      </c>
      <c r="AK4813" s="2">
        <v>4663.8304547972102</v>
      </c>
      <c r="AL4813" s="2">
        <v>4784.2886960264204</v>
      </c>
      <c r="AM4813" s="2">
        <v>5165.55331245464</v>
      </c>
      <c r="AN4813" s="2">
        <v>4739.9650426874296</v>
      </c>
      <c r="AO4813" s="2">
        <v>4786.2634524984896</v>
      </c>
      <c r="AP4813" s="2">
        <v>4380.8342755778203</v>
      </c>
    </row>
    <row r="4814" spans="1:42" ht="14.5" x14ac:dyDescent="0.35">
      <c r="A4814" s="2" t="s">
        <v>31942</v>
      </c>
      <c r="B4814" s="2">
        <v>441.09569761804897</v>
      </c>
      <c r="C4814" s="2">
        <v>5.8043833333333303</v>
      </c>
      <c r="D4814" s="2" t="s">
        <v>70</v>
      </c>
      <c r="E4814" s="2" t="s">
        <v>31943</v>
      </c>
      <c r="F4814" s="2">
        <v>206946</v>
      </c>
      <c r="G4814" s="3" t="str">
        <f>HYPERLINK("http://funmeta.oebiotech.com/network/206946", "http://funmeta.oebiotech.com/network/206946")</f>
        <v>http://funmeta.oebiotech.com/network/206946</v>
      </c>
      <c r="H4814" s="2" t="s">
        <v>31944</v>
      </c>
      <c r="I4814" s="2"/>
      <c r="J4814" s="2"/>
      <c r="K4814" s="2"/>
      <c r="L4814" s="2"/>
      <c r="M4814" s="2"/>
      <c r="N4814" s="2"/>
      <c r="O4814" s="2">
        <v>370232</v>
      </c>
      <c r="P4814" s="2"/>
      <c r="Q4814" s="2" t="s">
        <v>31945</v>
      </c>
      <c r="R4814" s="2" t="s">
        <v>31946</v>
      </c>
      <c r="S4814" s="2" t="s">
        <v>115</v>
      </c>
      <c r="T4814" s="2" t="s">
        <v>4730</v>
      </c>
      <c r="U4814" s="2" t="s">
        <v>41</v>
      </c>
      <c r="V4814" s="2" t="s">
        <v>59</v>
      </c>
      <c r="W4814" s="2">
        <v>39.1</v>
      </c>
      <c r="X4814" s="2">
        <v>0</v>
      </c>
      <c r="Y4814" s="2" t="s">
        <v>408</v>
      </c>
      <c r="Z4814" s="2" t="s">
        <v>31947</v>
      </c>
      <c r="AA4814" s="2">
        <v>0.22844910802013499</v>
      </c>
      <c r="AB4814" s="2">
        <v>0.121043976429603</v>
      </c>
      <c r="AC4814" s="2">
        <v>1967.31616194772</v>
      </c>
      <c r="AD4814" s="2">
        <v>886.84402504671903</v>
      </c>
      <c r="AE4814" s="2">
        <v>2277.82200980077</v>
      </c>
      <c r="AF4814" s="2">
        <v>1392.47101048636</v>
      </c>
      <c r="AG4814" s="2">
        <v>1951.26847137871</v>
      </c>
      <c r="AH4814" s="2">
        <v>2168.0016173721801</v>
      </c>
      <c r="AI4814" s="2">
        <v>1717.4694515855799</v>
      </c>
      <c r="AJ4814" s="2">
        <v>2296.8644110627301</v>
      </c>
      <c r="AK4814" s="2">
        <v>795.44619167675899</v>
      </c>
      <c r="AL4814" s="2">
        <v>747.36607677796496</v>
      </c>
      <c r="AM4814" s="2">
        <v>1345.8388798287499</v>
      </c>
      <c r="AN4814" s="2">
        <v>885.44410289352697</v>
      </c>
      <c r="AO4814" s="2">
        <v>860.22966387819804</v>
      </c>
      <c r="AP4814" s="2">
        <v>686.73923522511404</v>
      </c>
    </row>
    <row r="4815" spans="1:42" ht="14.5" x14ac:dyDescent="0.35">
      <c r="A4815" s="2" t="s">
        <v>31948</v>
      </c>
      <c r="B4815" s="2">
        <v>718.34456101592605</v>
      </c>
      <c r="C4815" s="2">
        <v>5.8043833333333303</v>
      </c>
      <c r="D4815" s="2" t="s">
        <v>70</v>
      </c>
      <c r="E4815" s="2" t="s">
        <v>31949</v>
      </c>
      <c r="F4815" s="2">
        <v>258295</v>
      </c>
      <c r="G4815" s="3" t="str">
        <f>HYPERLINK("http://funmeta.oebiotech.com/network/258295", "http://funmeta.oebiotech.com/network/258295")</f>
        <v>http://funmeta.oebiotech.com/network/258295</v>
      </c>
      <c r="H4815" s="2"/>
      <c r="I4815" s="2">
        <v>3688</v>
      </c>
      <c r="J4815" s="2"/>
      <c r="K4815" s="2"/>
      <c r="L4815" s="2" t="s">
        <v>31950</v>
      </c>
      <c r="M4815" s="2"/>
      <c r="N4815" s="2"/>
      <c r="O4815" s="2">
        <v>6280</v>
      </c>
      <c r="P4815" s="2" t="s">
        <v>31951</v>
      </c>
      <c r="Q4815" s="2" t="s">
        <v>31952</v>
      </c>
      <c r="R4815" s="2" t="s">
        <v>31953</v>
      </c>
      <c r="S4815" s="2" t="s">
        <v>50</v>
      </c>
      <c r="T4815" s="2" t="s">
        <v>124</v>
      </c>
      <c r="U4815" s="2" t="s">
        <v>9346</v>
      </c>
      <c r="V4815" s="2" t="s">
        <v>59</v>
      </c>
      <c r="W4815" s="2">
        <v>38.9</v>
      </c>
      <c r="X4815" s="2">
        <v>0</v>
      </c>
      <c r="Y4815" s="2" t="s">
        <v>408</v>
      </c>
      <c r="Z4815" s="2" t="s">
        <v>31954</v>
      </c>
      <c r="AA4815" s="2">
        <v>0.21785285717911501</v>
      </c>
      <c r="AB4815" s="2">
        <v>0.12103891101706001</v>
      </c>
      <c r="AC4815" s="2">
        <v>28019.688191580899</v>
      </c>
      <c r="AD4815" s="2">
        <v>30571.465340914601</v>
      </c>
      <c r="AE4815" s="2">
        <v>26980.588995470898</v>
      </c>
      <c r="AF4815" s="2">
        <v>27904.595803856701</v>
      </c>
      <c r="AG4815" s="2">
        <v>32146.053721856701</v>
      </c>
      <c r="AH4815" s="2">
        <v>26925.947233028801</v>
      </c>
      <c r="AI4815" s="2">
        <v>24316.050269400701</v>
      </c>
      <c r="AJ4815" s="2">
        <v>29844.893125871498</v>
      </c>
      <c r="AK4815" s="2">
        <v>31685.361866973501</v>
      </c>
      <c r="AL4815" s="2">
        <v>34447.124565744904</v>
      </c>
      <c r="AM4815" s="2">
        <v>28273.2647256909</v>
      </c>
      <c r="AN4815" s="2">
        <v>28459.064948197702</v>
      </c>
      <c r="AO4815" s="2">
        <v>35127.1129958151</v>
      </c>
      <c r="AP4815" s="2">
        <v>25436.8629430654</v>
      </c>
    </row>
    <row r="4816" spans="1:42" ht="14.5" x14ac:dyDescent="0.35">
      <c r="A4816" s="2" t="s">
        <v>31955</v>
      </c>
      <c r="B4816" s="2">
        <v>415.19726105514002</v>
      </c>
      <c r="C4816" s="2">
        <v>5.6176666666666701</v>
      </c>
      <c r="D4816" s="2" t="s">
        <v>70</v>
      </c>
      <c r="E4816" s="2" t="s">
        <v>31956</v>
      </c>
      <c r="F4816" s="2">
        <v>57110</v>
      </c>
      <c r="G4816" s="3" t="str">
        <f>HYPERLINK("http://funmeta.oebiotech.com/network/57110", "http://funmeta.oebiotech.com/network/57110")</f>
        <v>http://funmeta.oebiotech.com/network/57110</v>
      </c>
      <c r="H4816" s="2" t="s">
        <v>31957</v>
      </c>
      <c r="I4816" s="2">
        <v>88762</v>
      </c>
      <c r="J4816" s="2"/>
      <c r="K4816" s="2">
        <v>168282</v>
      </c>
      <c r="L4816" s="2"/>
      <c r="M4816" s="2"/>
      <c r="N4816" s="2"/>
      <c r="O4816" s="2">
        <v>85225214</v>
      </c>
      <c r="P4816" s="2" t="s">
        <v>31958</v>
      </c>
      <c r="Q4816" s="2" t="s">
        <v>31959</v>
      </c>
      <c r="R4816" s="2" t="s">
        <v>31960</v>
      </c>
      <c r="S4816" s="2" t="s">
        <v>79</v>
      </c>
      <c r="T4816" s="2" t="s">
        <v>80</v>
      </c>
      <c r="U4816" s="2" t="s">
        <v>81</v>
      </c>
      <c r="V4816" s="2" t="s">
        <v>59</v>
      </c>
      <c r="W4816" s="2">
        <v>43.3</v>
      </c>
      <c r="X4816" s="2">
        <v>21.4</v>
      </c>
      <c r="Y4816" s="2" t="s">
        <v>408</v>
      </c>
      <c r="Z4816" s="2" t="s">
        <v>31961</v>
      </c>
      <c r="AA4816" s="2">
        <v>-0.25692624922216201</v>
      </c>
      <c r="AB4816" s="2">
        <v>0.120958758668217</v>
      </c>
      <c r="AC4816" s="2">
        <v>49998.907138430397</v>
      </c>
      <c r="AD4816" s="2">
        <v>47631.003201388601</v>
      </c>
      <c r="AE4816" s="2">
        <v>50434.1663415496</v>
      </c>
      <c r="AF4816" s="2">
        <v>48745.748693920897</v>
      </c>
      <c r="AG4816" s="2">
        <v>48300.144514369</v>
      </c>
      <c r="AH4816" s="2">
        <v>49682.618941178203</v>
      </c>
      <c r="AI4816" s="2">
        <v>50998.681366978002</v>
      </c>
      <c r="AJ4816" s="2">
        <v>51832.082972586897</v>
      </c>
      <c r="AK4816" s="2">
        <v>48380.992705183897</v>
      </c>
      <c r="AL4816" s="2">
        <v>45521.935547707697</v>
      </c>
      <c r="AM4816" s="2">
        <v>54087.710394867601</v>
      </c>
      <c r="AN4816" s="2">
        <v>48674.768451669799</v>
      </c>
      <c r="AO4816" s="2">
        <v>42844.115242637301</v>
      </c>
      <c r="AP4816" s="2">
        <v>46276.496866265297</v>
      </c>
    </row>
    <row r="4817" spans="1:42" ht="14.5" x14ac:dyDescent="0.35">
      <c r="A4817" s="2" t="s">
        <v>31962</v>
      </c>
      <c r="B4817" s="2">
        <v>447.25995699664003</v>
      </c>
      <c r="C4817" s="2">
        <v>5.6725000000000003</v>
      </c>
      <c r="D4817" s="2" t="s">
        <v>70</v>
      </c>
      <c r="E4817" s="2" t="s">
        <v>31963</v>
      </c>
      <c r="F4817" s="2">
        <v>63238</v>
      </c>
      <c r="G4817" s="3" t="str">
        <f>HYPERLINK("http://funmeta.oebiotech.com/network/63238", "http://funmeta.oebiotech.com/network/63238")</f>
        <v>http://funmeta.oebiotech.com/network/63238</v>
      </c>
      <c r="H4817" s="2" t="s">
        <v>31964</v>
      </c>
      <c r="I4817" s="2">
        <v>94546</v>
      </c>
      <c r="J4817" s="2"/>
      <c r="K4817" s="2"/>
      <c r="L4817" s="2"/>
      <c r="M4817" s="2"/>
      <c r="N4817" s="2"/>
      <c r="O4817" s="2">
        <v>71328884</v>
      </c>
      <c r="P4817" s="2" t="s">
        <v>31965</v>
      </c>
      <c r="Q4817" s="2" t="s">
        <v>31966</v>
      </c>
      <c r="R4817" s="2" t="s">
        <v>31967</v>
      </c>
      <c r="S4817" s="2" t="s">
        <v>491</v>
      </c>
      <c r="T4817" s="2" t="s">
        <v>4517</v>
      </c>
      <c r="U4817" s="2" t="s">
        <v>9396</v>
      </c>
      <c r="V4817" s="2" t="s">
        <v>59</v>
      </c>
      <c r="W4817" s="2">
        <v>37</v>
      </c>
      <c r="X4817" s="2">
        <v>0</v>
      </c>
      <c r="Y4817" s="2" t="s">
        <v>560</v>
      </c>
      <c r="Z4817" s="2" t="s">
        <v>31968</v>
      </c>
      <c r="AA4817" s="2">
        <v>-4.9208649233766604</v>
      </c>
      <c r="AB4817" s="2">
        <v>0.12094846025351901</v>
      </c>
      <c r="AC4817" s="2">
        <v>2944.5465336812999</v>
      </c>
      <c r="AD4817" s="2">
        <v>4189.8149542397896</v>
      </c>
      <c r="AE4817" s="2">
        <v>2152.49621232965</v>
      </c>
      <c r="AF4817" s="2">
        <v>2870.3770444461802</v>
      </c>
      <c r="AG4817" s="2">
        <v>2719.0963192981599</v>
      </c>
      <c r="AH4817" s="2">
        <v>2947.8258978327099</v>
      </c>
      <c r="AI4817" s="2">
        <v>3419.0933016424801</v>
      </c>
      <c r="AJ4817" s="2">
        <v>3558.39042653861</v>
      </c>
      <c r="AK4817" s="2">
        <v>3737.9191703556498</v>
      </c>
      <c r="AL4817" s="2">
        <v>5124.3138632399396</v>
      </c>
      <c r="AM4817" s="2">
        <v>4806.0632762999103</v>
      </c>
      <c r="AN4817" s="2">
        <v>3784.6592416580402</v>
      </c>
      <c r="AO4817" s="2">
        <v>4063.8568510003001</v>
      </c>
      <c r="AP4817" s="2">
        <v>3622.0773228848698</v>
      </c>
    </row>
    <row r="4818" spans="1:42" ht="14.5" x14ac:dyDescent="0.35">
      <c r="A4818" s="2" t="s">
        <v>31969</v>
      </c>
      <c r="B4818" s="2">
        <v>443.17455124684898</v>
      </c>
      <c r="C4818" s="2">
        <v>9.2929833333333303</v>
      </c>
      <c r="D4818" s="2" t="s">
        <v>34</v>
      </c>
      <c r="E4818" s="2" t="s">
        <v>31970</v>
      </c>
      <c r="F4818" s="2">
        <v>63918</v>
      </c>
      <c r="G4818" s="3" t="str">
        <f>HYPERLINK("http://funmeta.oebiotech.com/network/63918", "http://funmeta.oebiotech.com/network/63918")</f>
        <v>http://funmeta.oebiotech.com/network/63918</v>
      </c>
      <c r="H4818" s="2" t="s">
        <v>31971</v>
      </c>
      <c r="I4818" s="2">
        <v>95252</v>
      </c>
      <c r="J4818" s="2"/>
      <c r="K4818" s="2">
        <v>169887</v>
      </c>
      <c r="L4818" s="2"/>
      <c r="M4818" s="2"/>
      <c r="N4818" s="2"/>
      <c r="O4818" s="2">
        <v>10432278</v>
      </c>
      <c r="P4818" s="2" t="s">
        <v>31972</v>
      </c>
      <c r="Q4818" s="2" t="s">
        <v>31973</v>
      </c>
      <c r="R4818" s="2" t="s">
        <v>31974</v>
      </c>
      <c r="S4818" s="2" t="s">
        <v>491</v>
      </c>
      <c r="T4818" s="2" t="s">
        <v>2184</v>
      </c>
      <c r="U4818" s="2" t="s">
        <v>8546</v>
      </c>
      <c r="V4818" s="2" t="s">
        <v>59</v>
      </c>
      <c r="W4818" s="2">
        <v>38.1</v>
      </c>
      <c r="X4818" s="2">
        <v>0</v>
      </c>
      <c r="Y4818" s="2" t="s">
        <v>323</v>
      </c>
      <c r="Z4818" s="2" t="s">
        <v>31975</v>
      </c>
      <c r="AA4818" s="2">
        <v>3.6949271484261001</v>
      </c>
      <c r="AB4818" s="2">
        <v>0.12094014306638</v>
      </c>
      <c r="AC4818" s="2">
        <v>1887.10839771322</v>
      </c>
      <c r="AD4818" s="2">
        <v>890.44326131561104</v>
      </c>
      <c r="AE4818" s="2">
        <v>1717.0463507664499</v>
      </c>
      <c r="AF4818" s="2">
        <v>1722.6303834563701</v>
      </c>
      <c r="AG4818" s="2">
        <v>1970.67465470804</v>
      </c>
      <c r="AH4818" s="2">
        <v>2112.1901939408799</v>
      </c>
      <c r="AI4818" s="2">
        <v>1889.2482356902001</v>
      </c>
      <c r="AJ4818" s="2">
        <v>1910.8605677174</v>
      </c>
      <c r="AK4818" s="2">
        <v>1181.9364771537801</v>
      </c>
      <c r="AL4818" s="2">
        <v>885.67876252721601</v>
      </c>
      <c r="AM4818" s="2">
        <v>911.716003394994</v>
      </c>
      <c r="AN4818" s="2">
        <v>813.49800606757003</v>
      </c>
      <c r="AO4818" s="2">
        <v>797.997565610886</v>
      </c>
      <c r="AP4818" s="2">
        <v>751.83275313922104</v>
      </c>
    </row>
    <row r="4819" spans="1:42" ht="14.5" x14ac:dyDescent="0.35">
      <c r="A4819" s="2" t="s">
        <v>31976</v>
      </c>
      <c r="B4819" s="2">
        <v>284.09238890377901</v>
      </c>
      <c r="C4819" s="2">
        <v>8.4872333333333305</v>
      </c>
      <c r="D4819" s="2" t="s">
        <v>70</v>
      </c>
      <c r="E4819" s="2" t="s">
        <v>31977</v>
      </c>
      <c r="F4819" s="2">
        <v>204538</v>
      </c>
      <c r="G4819" s="3" t="str">
        <f>HYPERLINK("http://funmeta.oebiotech.com/network/204538", "http://funmeta.oebiotech.com/network/204538")</f>
        <v>http://funmeta.oebiotech.com/network/204538</v>
      </c>
      <c r="H4819" s="2" t="s">
        <v>31978</v>
      </c>
      <c r="I4819" s="2"/>
      <c r="J4819" s="2"/>
      <c r="K4819" s="2"/>
      <c r="L4819" s="2"/>
      <c r="M4819" s="2"/>
      <c r="N4819" s="2"/>
      <c r="O4819" s="2">
        <v>19962862</v>
      </c>
      <c r="P4819" s="2"/>
      <c r="Q4819" s="2" t="s">
        <v>31979</v>
      </c>
      <c r="R4819" s="2" t="s">
        <v>31980</v>
      </c>
      <c r="S4819" s="2" t="s">
        <v>41</v>
      </c>
      <c r="T4819" s="2" t="s">
        <v>41</v>
      </c>
      <c r="U4819" s="2" t="s">
        <v>41</v>
      </c>
      <c r="V4819" s="2" t="s">
        <v>59</v>
      </c>
      <c r="W4819" s="2">
        <v>47.8</v>
      </c>
      <c r="X4819" s="2">
        <v>43</v>
      </c>
      <c r="Y4819" s="2" t="s">
        <v>408</v>
      </c>
      <c r="Z4819" s="2" t="s">
        <v>31981</v>
      </c>
      <c r="AA4819" s="2">
        <v>-1.8512630474654499</v>
      </c>
      <c r="AB4819" s="2">
        <v>0.12091942128649499</v>
      </c>
      <c r="AC4819" s="2">
        <v>152483.61610828</v>
      </c>
      <c r="AD4819" s="2">
        <v>156723.51268562101</v>
      </c>
      <c r="AE4819" s="2">
        <v>167326.55801837501</v>
      </c>
      <c r="AF4819" s="2">
        <v>134511.52293673999</v>
      </c>
      <c r="AG4819" s="2">
        <v>149262.28325148899</v>
      </c>
      <c r="AH4819" s="2">
        <v>165125.185721324</v>
      </c>
      <c r="AI4819" s="2">
        <v>143847.00942010799</v>
      </c>
      <c r="AJ4819" s="2">
        <v>154829.13730164501</v>
      </c>
      <c r="AK4819" s="2">
        <v>162950.284786651</v>
      </c>
      <c r="AL4819" s="2">
        <v>147153.88435552199</v>
      </c>
      <c r="AM4819" s="2">
        <v>160420.19283443101</v>
      </c>
      <c r="AN4819" s="2">
        <v>154218.99592980099</v>
      </c>
      <c r="AO4819" s="2">
        <v>162498.07602641199</v>
      </c>
      <c r="AP4819" s="2">
        <v>153099.642180909</v>
      </c>
    </row>
    <row r="4820" spans="1:42" ht="14.5" x14ac:dyDescent="0.35">
      <c r="A4820" s="2" t="s">
        <v>31982</v>
      </c>
      <c r="B4820" s="2">
        <v>209.16471937924001</v>
      </c>
      <c r="C4820" s="2">
        <v>5.4227666666666696</v>
      </c>
      <c r="D4820" s="2" t="s">
        <v>34</v>
      </c>
      <c r="E4820" s="2" t="s">
        <v>31983</v>
      </c>
      <c r="F4820" s="2">
        <v>205613</v>
      </c>
      <c r="G4820" s="3" t="str">
        <f>HYPERLINK("http://funmeta.oebiotech.com/network/205613", "http://funmeta.oebiotech.com/network/205613")</f>
        <v>http://funmeta.oebiotech.com/network/205613</v>
      </c>
      <c r="H4820" s="2" t="s">
        <v>31984</v>
      </c>
      <c r="I4820" s="2">
        <v>3982</v>
      </c>
      <c r="J4820" s="2"/>
      <c r="K4820" s="2">
        <v>7071</v>
      </c>
      <c r="L4820" s="2" t="s">
        <v>31985</v>
      </c>
      <c r="M4820" s="2"/>
      <c r="N4820" s="2"/>
      <c r="O4820" s="2">
        <v>4284</v>
      </c>
      <c r="P4820" s="2" t="s">
        <v>31986</v>
      </c>
      <c r="Q4820" s="2" t="s">
        <v>31987</v>
      </c>
      <c r="R4820" s="2" t="s">
        <v>31988</v>
      </c>
      <c r="S4820" s="2" t="s">
        <v>148</v>
      </c>
      <c r="T4820" s="2" t="s">
        <v>149</v>
      </c>
      <c r="U4820" s="2" t="s">
        <v>21041</v>
      </c>
      <c r="V4820" s="2" t="s">
        <v>59</v>
      </c>
      <c r="W4820" s="2">
        <v>38.5</v>
      </c>
      <c r="X4820" s="2">
        <v>0</v>
      </c>
      <c r="Y4820" s="2" t="s">
        <v>43</v>
      </c>
      <c r="Z4820" s="2" t="s">
        <v>31989</v>
      </c>
      <c r="AA4820" s="2">
        <v>-0.62951745913134305</v>
      </c>
      <c r="AB4820" s="2">
        <v>0.12088346348623299</v>
      </c>
      <c r="AC4820" s="2">
        <v>252.81362009111601</v>
      </c>
      <c r="AD4820" s="2">
        <v>1300.37743375166</v>
      </c>
      <c r="AE4820" s="2">
        <v>178.004166275085</v>
      </c>
      <c r="AF4820" s="2">
        <v>223.113384686545</v>
      </c>
      <c r="AG4820" s="2">
        <v>433.02131993941498</v>
      </c>
      <c r="AH4820" s="2">
        <v>2.7106294003980101E-5</v>
      </c>
      <c r="AI4820" s="2">
        <v>222.576414864632</v>
      </c>
      <c r="AJ4820" s="2">
        <v>460.16640767472302</v>
      </c>
      <c r="AK4820" s="2">
        <v>1060.49622789656</v>
      </c>
      <c r="AL4820" s="2">
        <v>890.83651123150901</v>
      </c>
      <c r="AM4820" s="2">
        <v>1334.2686413020399</v>
      </c>
      <c r="AN4820" s="2">
        <v>1788.43137082619</v>
      </c>
      <c r="AO4820" s="2">
        <v>1218.0091599106299</v>
      </c>
      <c r="AP4820" s="2">
        <v>1510.22269134302</v>
      </c>
    </row>
    <row r="4821" spans="1:42" ht="14.5" x14ac:dyDescent="0.35">
      <c r="A4821" s="2" t="s">
        <v>31990</v>
      </c>
      <c r="B4821" s="2">
        <v>492.18721061244702</v>
      </c>
      <c r="C4821" s="2">
        <v>6.1423166666666704</v>
      </c>
      <c r="D4821" s="2" t="s">
        <v>70</v>
      </c>
      <c r="E4821" s="2" t="s">
        <v>31991</v>
      </c>
      <c r="F4821" s="2">
        <v>82963</v>
      </c>
      <c r="G4821" s="3" t="str">
        <f>HYPERLINK("http://funmeta.oebiotech.com/network/82963", "http://funmeta.oebiotech.com/network/82963")</f>
        <v>http://funmeta.oebiotech.com/network/82963</v>
      </c>
      <c r="H4821" s="2" t="s">
        <v>31992</v>
      </c>
      <c r="I4821" s="2"/>
      <c r="J4821" s="2"/>
      <c r="K4821" s="2"/>
      <c r="L4821" s="2"/>
      <c r="M4821" s="2"/>
      <c r="N4821" s="2"/>
      <c r="O4821" s="2">
        <v>131770048</v>
      </c>
      <c r="P4821" s="2"/>
      <c r="Q4821" s="2" t="s">
        <v>31993</v>
      </c>
      <c r="R4821" s="2" t="s">
        <v>31994</v>
      </c>
      <c r="S4821" s="2" t="s">
        <v>39</v>
      </c>
      <c r="T4821" s="2" t="s">
        <v>3915</v>
      </c>
      <c r="U4821" s="2" t="s">
        <v>41</v>
      </c>
      <c r="V4821" s="2" t="s">
        <v>59</v>
      </c>
      <c r="W4821" s="2">
        <v>38</v>
      </c>
      <c r="X4821" s="2">
        <v>0</v>
      </c>
      <c r="Y4821" s="2" t="s">
        <v>408</v>
      </c>
      <c r="Z4821" s="2" t="s">
        <v>31995</v>
      </c>
      <c r="AA4821" s="2">
        <v>-0.69131540322630602</v>
      </c>
      <c r="AB4821" s="2">
        <v>0.120845016409996</v>
      </c>
      <c r="AC4821" s="2">
        <v>2175.78238866023</v>
      </c>
      <c r="AD4821" s="2">
        <v>4135.2673977243503</v>
      </c>
      <c r="AE4821" s="2">
        <v>1687.5230032862</v>
      </c>
      <c r="AF4821" s="2">
        <v>3171.3495208743202</v>
      </c>
      <c r="AG4821" s="2">
        <v>2604.7356757089201</v>
      </c>
      <c r="AH4821" s="2">
        <v>1251.37546121176</v>
      </c>
      <c r="AI4821" s="2">
        <v>2988.77918627192</v>
      </c>
      <c r="AJ4821" s="2">
        <v>1350.93148460823</v>
      </c>
      <c r="AK4821" s="2">
        <v>2940.79391070464</v>
      </c>
      <c r="AL4821" s="2">
        <v>8327.1058546949407</v>
      </c>
      <c r="AM4821" s="2">
        <v>2700.29515235606</v>
      </c>
      <c r="AN4821" s="2">
        <v>1642.3176406099001</v>
      </c>
      <c r="AO4821" s="2">
        <v>6055.6968276775597</v>
      </c>
      <c r="AP4821" s="2">
        <v>3145.39500030299</v>
      </c>
    </row>
    <row r="4822" spans="1:42" ht="14.5" x14ac:dyDescent="0.35">
      <c r="A4822" s="2" t="s">
        <v>31996</v>
      </c>
      <c r="B4822" s="2">
        <v>523.08887405120095</v>
      </c>
      <c r="C4822" s="2">
        <v>2.1595499999999999</v>
      </c>
      <c r="D4822" s="2" t="s">
        <v>70</v>
      </c>
      <c r="E4822" s="2" t="s">
        <v>31997</v>
      </c>
      <c r="F4822" s="2">
        <v>515022</v>
      </c>
      <c r="G4822" s="3" t="str">
        <f>HYPERLINK("http://funmeta.oebiotech.com/network/515022", "http://funmeta.oebiotech.com/network/515022")</f>
        <v>http://funmeta.oebiotech.com/network/515022</v>
      </c>
      <c r="H4822" s="2"/>
      <c r="I4822" s="2">
        <v>96448</v>
      </c>
      <c r="J4822" s="2"/>
      <c r="K4822" s="2"/>
      <c r="L4822" s="2"/>
      <c r="M4822" s="2"/>
      <c r="N4822" s="2"/>
      <c r="O4822" s="2">
        <v>46190808</v>
      </c>
      <c r="P4822" s="2" t="s">
        <v>31998</v>
      </c>
      <c r="Q4822" s="2" t="s">
        <v>31999</v>
      </c>
      <c r="R4822" s="2" t="s">
        <v>32000</v>
      </c>
      <c r="S4822" s="2" t="s">
        <v>148</v>
      </c>
      <c r="T4822" s="2" t="s">
        <v>149</v>
      </c>
      <c r="U4822" s="2" t="s">
        <v>20618</v>
      </c>
      <c r="V4822" s="2" t="s">
        <v>59</v>
      </c>
      <c r="W4822" s="2">
        <v>36.299999999999997</v>
      </c>
      <c r="X4822" s="2">
        <v>0</v>
      </c>
      <c r="Y4822" s="2" t="s">
        <v>408</v>
      </c>
      <c r="Z4822" s="2" t="s">
        <v>32001</v>
      </c>
      <c r="AA4822" s="2">
        <v>5.0123950257440999</v>
      </c>
      <c r="AB4822" s="2">
        <v>0.12084069485633001</v>
      </c>
      <c r="AC4822" s="2">
        <v>5650.8596304469302</v>
      </c>
      <c r="AD4822" s="2">
        <v>7063.3494051704502</v>
      </c>
      <c r="AE4822" s="2">
        <v>4995.2342710879302</v>
      </c>
      <c r="AF4822" s="2">
        <v>4235.5077153522898</v>
      </c>
      <c r="AG4822" s="2">
        <v>5798.1466914706898</v>
      </c>
      <c r="AH4822" s="2">
        <v>6476.0458548652796</v>
      </c>
      <c r="AI4822" s="2">
        <v>6192.0130550628301</v>
      </c>
      <c r="AJ4822" s="2">
        <v>6208.2101948425698</v>
      </c>
      <c r="AK4822" s="2">
        <v>6216.62086195546</v>
      </c>
      <c r="AL4822" s="2">
        <v>6960.0999665872196</v>
      </c>
      <c r="AM4822" s="2">
        <v>7722.8061611066596</v>
      </c>
      <c r="AN4822" s="2">
        <v>6005.3153248939498</v>
      </c>
      <c r="AO4822" s="2">
        <v>7353.5623567259499</v>
      </c>
      <c r="AP4822" s="2">
        <v>8121.6917597534903</v>
      </c>
    </row>
    <row r="4823" spans="1:42" ht="14.5" x14ac:dyDescent="0.35">
      <c r="A4823" s="2" t="s">
        <v>32002</v>
      </c>
      <c r="B4823" s="2">
        <v>642.49300891159896</v>
      </c>
      <c r="C4823" s="2">
        <v>14.304083333333301</v>
      </c>
      <c r="D4823" s="2" t="s">
        <v>34</v>
      </c>
      <c r="E4823" s="2" t="s">
        <v>32003</v>
      </c>
      <c r="F4823" s="2">
        <v>248378</v>
      </c>
      <c r="G4823" s="3" t="str">
        <f>HYPERLINK("http://funmeta.oebiotech.com/network/248378", "http://funmeta.oebiotech.com/network/248378")</f>
        <v>http://funmeta.oebiotech.com/network/248378</v>
      </c>
      <c r="H4823" s="2" t="s">
        <v>32004</v>
      </c>
      <c r="I4823" s="2"/>
      <c r="J4823" s="2"/>
      <c r="K4823" s="2"/>
      <c r="L4823" s="2"/>
      <c r="M4823" s="2"/>
      <c r="N4823" s="2"/>
      <c r="O4823" s="2"/>
      <c r="P4823" s="2"/>
      <c r="Q4823" s="2" t="s">
        <v>32005</v>
      </c>
      <c r="R4823" s="2" t="s">
        <v>32006</v>
      </c>
      <c r="S4823" s="2" t="s">
        <v>41</v>
      </c>
      <c r="T4823" s="2" t="s">
        <v>41</v>
      </c>
      <c r="U4823" s="2" t="s">
        <v>41</v>
      </c>
      <c r="V4823" s="2" t="s">
        <v>42</v>
      </c>
      <c r="W4823" s="2">
        <v>50.7</v>
      </c>
      <c r="X4823" s="2">
        <v>60</v>
      </c>
      <c r="Y4823" s="2" t="s">
        <v>470</v>
      </c>
      <c r="Z4823" s="2" t="s">
        <v>32007</v>
      </c>
      <c r="AA4823" s="2">
        <v>-1.4982980211600401</v>
      </c>
      <c r="AB4823" s="2">
        <v>0.12081667235214399</v>
      </c>
      <c r="AC4823" s="2">
        <v>49486.920470109297</v>
      </c>
      <c r="AD4823" s="2">
        <v>52179.577300985598</v>
      </c>
      <c r="AE4823" s="2">
        <v>48702.512920003202</v>
      </c>
      <c r="AF4823" s="2">
        <v>46329.009956150498</v>
      </c>
      <c r="AG4823" s="2">
        <v>49687.6853203266</v>
      </c>
      <c r="AH4823" s="2">
        <v>51623.782027724497</v>
      </c>
      <c r="AI4823" s="2">
        <v>48396.747124448702</v>
      </c>
      <c r="AJ4823" s="2">
        <v>52181.785472002499</v>
      </c>
      <c r="AK4823" s="2">
        <v>52324.100168946497</v>
      </c>
      <c r="AL4823" s="2">
        <v>48031.533711286902</v>
      </c>
      <c r="AM4823" s="2">
        <v>53090.017842091198</v>
      </c>
      <c r="AN4823" s="2">
        <v>49636.681953050203</v>
      </c>
      <c r="AO4823" s="2">
        <v>48459.072697427502</v>
      </c>
      <c r="AP4823" s="2">
        <v>61536.057433111098</v>
      </c>
    </row>
    <row r="4824" spans="1:42" ht="14.5" x14ac:dyDescent="0.35">
      <c r="A4824" s="2" t="s">
        <v>32008</v>
      </c>
      <c r="B4824" s="2">
        <v>212.00768880773899</v>
      </c>
      <c r="C4824" s="2">
        <v>1.06171666666667</v>
      </c>
      <c r="D4824" s="2" t="s">
        <v>34</v>
      </c>
      <c r="E4824" s="2" t="s">
        <v>32009</v>
      </c>
      <c r="F4824" s="2">
        <v>204818</v>
      </c>
      <c r="G4824" s="3" t="str">
        <f>HYPERLINK("http://funmeta.oebiotech.com/network/204818", "http://funmeta.oebiotech.com/network/204818")</f>
        <v>http://funmeta.oebiotech.com/network/204818</v>
      </c>
      <c r="H4824" s="2" t="s">
        <v>32010</v>
      </c>
      <c r="I4824" s="2"/>
      <c r="J4824" s="2"/>
      <c r="K4824" s="2"/>
      <c r="L4824" s="2"/>
      <c r="M4824" s="2"/>
      <c r="N4824" s="2"/>
      <c r="O4824" s="2">
        <v>122271</v>
      </c>
      <c r="P4824" s="2"/>
      <c r="Q4824" s="2" t="s">
        <v>32011</v>
      </c>
      <c r="R4824" s="2" t="s">
        <v>32012</v>
      </c>
      <c r="S4824" s="2" t="s">
        <v>41</v>
      </c>
      <c r="T4824" s="2" t="s">
        <v>41</v>
      </c>
      <c r="U4824" s="2" t="s">
        <v>41</v>
      </c>
      <c r="V4824" s="2" t="s">
        <v>59</v>
      </c>
      <c r="W4824" s="2">
        <v>38.6</v>
      </c>
      <c r="X4824" s="2">
        <v>4.2300000000000004</v>
      </c>
      <c r="Y4824" s="2" t="s">
        <v>323</v>
      </c>
      <c r="Z4824" s="2" t="s">
        <v>32013</v>
      </c>
      <c r="AA4824" s="2">
        <v>-3.3131142828297202</v>
      </c>
      <c r="AB4824" s="2">
        <v>0.120784092453893</v>
      </c>
      <c r="AC4824" s="2">
        <v>1464.33686128506</v>
      </c>
      <c r="AD4824" s="2">
        <v>365.97638414966298</v>
      </c>
      <c r="AE4824" s="2">
        <v>1487.62557269026</v>
      </c>
      <c r="AF4824" s="2">
        <v>1411.5361500682</v>
      </c>
      <c r="AG4824" s="2">
        <v>1436.19006554063</v>
      </c>
      <c r="AH4824" s="2">
        <v>2086.9271179124798</v>
      </c>
      <c r="AI4824" s="2">
        <v>1484.2483093026699</v>
      </c>
      <c r="AJ4824" s="2">
        <v>879.49395219610301</v>
      </c>
      <c r="AK4824" s="2">
        <v>805.61998457949096</v>
      </c>
      <c r="AL4824" s="2">
        <v>482.96932875515301</v>
      </c>
      <c r="AM4824" s="2">
        <v>157.56968402052399</v>
      </c>
      <c r="AN4824" s="2">
        <v>242.434947133858</v>
      </c>
      <c r="AO4824" s="2">
        <v>507.26433330265502</v>
      </c>
      <c r="AP4824" s="2">
        <v>2.7106294003980101E-5</v>
      </c>
    </row>
    <row r="4825" spans="1:42" ht="14.5" x14ac:dyDescent="0.35">
      <c r="A4825" s="2" t="s">
        <v>32014</v>
      </c>
      <c r="B4825" s="2">
        <v>399.09284498947</v>
      </c>
      <c r="C4825" s="2">
        <v>4.3281833333333299</v>
      </c>
      <c r="D4825" s="2" t="s">
        <v>70</v>
      </c>
      <c r="E4825" s="2" t="s">
        <v>32015</v>
      </c>
      <c r="F4825" s="2">
        <v>256240</v>
      </c>
      <c r="G4825" s="3" t="str">
        <f>HYPERLINK("http://funmeta.oebiotech.com/network/256240", "http://funmeta.oebiotech.com/network/256240")</f>
        <v>http://funmeta.oebiotech.com/network/256240</v>
      </c>
      <c r="H4825" s="2" t="s">
        <v>32016</v>
      </c>
      <c r="I4825" s="2"/>
      <c r="J4825" s="2"/>
      <c r="K4825" s="2"/>
      <c r="L4825" s="2"/>
      <c r="M4825" s="2"/>
      <c r="N4825" s="2"/>
      <c r="O4825" s="2">
        <v>346340</v>
      </c>
      <c r="P4825" s="2"/>
      <c r="Q4825" s="2" t="s">
        <v>32017</v>
      </c>
      <c r="R4825" s="2" t="s">
        <v>32018</v>
      </c>
      <c r="S4825" s="2" t="s">
        <v>115</v>
      </c>
      <c r="T4825" s="2" t="s">
        <v>758</v>
      </c>
      <c r="U4825" s="2" t="s">
        <v>759</v>
      </c>
      <c r="V4825" s="2" t="s">
        <v>59</v>
      </c>
      <c r="W4825" s="2">
        <v>41.8</v>
      </c>
      <c r="X4825" s="2">
        <v>16.7</v>
      </c>
      <c r="Y4825" s="2" t="s">
        <v>408</v>
      </c>
      <c r="Z4825" s="2" t="s">
        <v>27471</v>
      </c>
      <c r="AA4825" s="2">
        <v>-1.2426996379356801</v>
      </c>
      <c r="AB4825" s="2">
        <v>0.120725498593032</v>
      </c>
      <c r="AC4825" s="2">
        <v>19190.4020360867</v>
      </c>
      <c r="AD4825" s="2">
        <v>17701.020009925101</v>
      </c>
      <c r="AE4825" s="2">
        <v>20566.774673661101</v>
      </c>
      <c r="AF4825" s="2">
        <v>20108.0551311413</v>
      </c>
      <c r="AG4825" s="2">
        <v>17622.1924757583</v>
      </c>
      <c r="AH4825" s="2">
        <v>19258.392222110098</v>
      </c>
      <c r="AI4825" s="2">
        <v>19103.6223885894</v>
      </c>
      <c r="AJ4825" s="2">
        <v>18483.375325259902</v>
      </c>
      <c r="AK4825" s="2">
        <v>18045.181607951701</v>
      </c>
      <c r="AL4825" s="2">
        <v>16563.8041728424</v>
      </c>
      <c r="AM4825" s="2">
        <v>18166.4528357745</v>
      </c>
      <c r="AN4825" s="2">
        <v>17471.720863874401</v>
      </c>
      <c r="AO4825" s="2">
        <v>18935.948477500599</v>
      </c>
      <c r="AP4825" s="2">
        <v>17023.012101607299</v>
      </c>
    </row>
    <row r="4826" spans="1:42" ht="14.5" x14ac:dyDescent="0.35">
      <c r="A4826" s="2" t="s">
        <v>32019</v>
      </c>
      <c r="B4826" s="2">
        <v>527.26418730286002</v>
      </c>
      <c r="C4826" s="2">
        <v>10.132666666666699</v>
      </c>
      <c r="D4826" s="2" t="s">
        <v>34</v>
      </c>
      <c r="E4826" s="2" t="s">
        <v>32020</v>
      </c>
      <c r="F4826" s="2">
        <v>24875</v>
      </c>
      <c r="G4826" s="3" t="str">
        <f>HYPERLINK("http://funmeta.oebiotech.com/network/24875", "http://funmeta.oebiotech.com/network/24875")</f>
        <v>http://funmeta.oebiotech.com/network/24875</v>
      </c>
      <c r="H4826" s="2"/>
      <c r="I4826" s="2"/>
      <c r="J4826" s="2" t="s">
        <v>32021</v>
      </c>
      <c r="K4826" s="2"/>
      <c r="L4826" s="2"/>
      <c r="M4826" s="2"/>
      <c r="N4826" s="2"/>
      <c r="O4826" s="2">
        <v>52928603</v>
      </c>
      <c r="P4826" s="2"/>
      <c r="Q4826" s="2" t="s">
        <v>32022</v>
      </c>
      <c r="R4826" s="2" t="s">
        <v>32023</v>
      </c>
      <c r="S4826" s="2" t="s">
        <v>50</v>
      </c>
      <c r="T4826" s="2" t="s">
        <v>51</v>
      </c>
      <c r="U4826" s="2" t="s">
        <v>52</v>
      </c>
      <c r="V4826" s="2" t="s">
        <v>59</v>
      </c>
      <c r="W4826" s="2">
        <v>37.200000000000003</v>
      </c>
      <c r="X4826" s="2">
        <v>0</v>
      </c>
      <c r="Y4826" s="2" t="s">
        <v>141</v>
      </c>
      <c r="Z4826" s="2" t="s">
        <v>32024</v>
      </c>
      <c r="AA4826" s="2">
        <v>4.7992166408438601</v>
      </c>
      <c r="AB4826" s="2">
        <v>0.120597651252661</v>
      </c>
      <c r="AC4826" s="2">
        <v>946.22576084398804</v>
      </c>
      <c r="AD4826" s="2">
        <v>2011.5160072444201</v>
      </c>
      <c r="AE4826" s="2">
        <v>956.008272995325</v>
      </c>
      <c r="AF4826" s="2">
        <v>865.91281180954002</v>
      </c>
      <c r="AG4826" s="2">
        <v>791.81698099079097</v>
      </c>
      <c r="AH4826" s="2">
        <v>996.02259685151205</v>
      </c>
      <c r="AI4826" s="2">
        <v>1089.19362099144</v>
      </c>
      <c r="AJ4826" s="2">
        <v>978.40028142531798</v>
      </c>
      <c r="AK4826" s="2">
        <v>2341.6506939345099</v>
      </c>
      <c r="AL4826" s="2">
        <v>1524.2273068279801</v>
      </c>
      <c r="AM4826" s="2">
        <v>1719.05033976303</v>
      </c>
      <c r="AN4826" s="2">
        <v>1918.88135034633</v>
      </c>
      <c r="AO4826" s="2">
        <v>1954.6898740509</v>
      </c>
      <c r="AP4826" s="2">
        <v>2610.59647854378</v>
      </c>
    </row>
    <row r="4827" spans="1:42" ht="14.5" x14ac:dyDescent="0.35">
      <c r="A4827" s="2" t="s">
        <v>32025</v>
      </c>
      <c r="B4827" s="2">
        <v>555.18449303556599</v>
      </c>
      <c r="C4827" s="2">
        <v>4.64978333333333</v>
      </c>
      <c r="D4827" s="2" t="s">
        <v>34</v>
      </c>
      <c r="E4827" s="2" t="s">
        <v>32026</v>
      </c>
      <c r="F4827" s="2">
        <v>32105</v>
      </c>
      <c r="G4827" s="3" t="str">
        <f>HYPERLINK("http://funmeta.oebiotech.com/network/32105", "http://funmeta.oebiotech.com/network/32105")</f>
        <v>http://funmeta.oebiotech.com/network/32105</v>
      </c>
      <c r="H4827" s="2"/>
      <c r="I4827" s="2"/>
      <c r="J4827" s="2" t="s">
        <v>32027</v>
      </c>
      <c r="K4827" s="2"/>
      <c r="L4827" s="2"/>
      <c r="M4827" s="2"/>
      <c r="N4827" s="2"/>
      <c r="O4827" s="2">
        <v>101921701</v>
      </c>
      <c r="P4827" s="2"/>
      <c r="Q4827" s="2" t="s">
        <v>32028</v>
      </c>
      <c r="R4827" s="2" t="s">
        <v>32029</v>
      </c>
      <c r="S4827" s="2" t="s">
        <v>115</v>
      </c>
      <c r="T4827" s="2" t="s">
        <v>139</v>
      </c>
      <c r="U4827" s="2" t="s">
        <v>140</v>
      </c>
      <c r="V4827" s="2" t="s">
        <v>59</v>
      </c>
      <c r="W4827" s="2">
        <v>37.299999999999997</v>
      </c>
      <c r="X4827" s="2">
        <v>0</v>
      </c>
      <c r="Y4827" s="2" t="s">
        <v>323</v>
      </c>
      <c r="Z4827" s="2" t="s">
        <v>32030</v>
      </c>
      <c r="AA4827" s="2">
        <v>1.5229661783023001</v>
      </c>
      <c r="AB4827" s="2">
        <v>0.120364028725813</v>
      </c>
      <c r="AC4827" s="2">
        <v>8521.6685221494809</v>
      </c>
      <c r="AD4827" s="2">
        <v>10765.9820285194</v>
      </c>
      <c r="AE4827" s="2">
        <v>11115.4595544192</v>
      </c>
      <c r="AF4827" s="2">
        <v>8397.0876202830295</v>
      </c>
      <c r="AG4827" s="2">
        <v>6489.2036165200498</v>
      </c>
      <c r="AH4827" s="2">
        <v>12363.4931828229</v>
      </c>
      <c r="AI4827" s="2">
        <v>7836.0176196924203</v>
      </c>
      <c r="AJ4827" s="2">
        <v>4928.7495391592902</v>
      </c>
      <c r="AK4827" s="2">
        <v>8948.7606093131708</v>
      </c>
      <c r="AL4827" s="2">
        <v>9606.37886946244</v>
      </c>
      <c r="AM4827" s="2">
        <v>7554.1685132141201</v>
      </c>
      <c r="AN4827" s="2">
        <v>13241.1243903375</v>
      </c>
      <c r="AO4827" s="2">
        <v>11494.872915099</v>
      </c>
      <c r="AP4827" s="2">
        <v>13750.586873690299</v>
      </c>
    </row>
    <row r="4828" spans="1:42" ht="14.5" x14ac:dyDescent="0.35">
      <c r="A4828" s="2" t="s">
        <v>32031</v>
      </c>
      <c r="B4828" s="2">
        <v>213.09069283343101</v>
      </c>
      <c r="C4828" s="2">
        <v>3.7887</v>
      </c>
      <c r="D4828" s="2" t="s">
        <v>34</v>
      </c>
      <c r="E4828" s="2" t="s">
        <v>32032</v>
      </c>
      <c r="F4828" s="2">
        <v>202007</v>
      </c>
      <c r="G4828" s="3" t="str">
        <f>HYPERLINK("http://funmeta.oebiotech.com/network/202007", "http://funmeta.oebiotech.com/network/202007")</f>
        <v>http://funmeta.oebiotech.com/network/202007</v>
      </c>
      <c r="H4828" s="2" t="s">
        <v>32033</v>
      </c>
      <c r="I4828" s="2">
        <v>44696</v>
      </c>
      <c r="J4828" s="2"/>
      <c r="K4828" s="2">
        <v>39005</v>
      </c>
      <c r="L4828" s="2"/>
      <c r="M4828" s="2"/>
      <c r="N4828" s="2"/>
      <c r="O4828" s="2">
        <v>78165</v>
      </c>
      <c r="P4828" s="2" t="s">
        <v>32034</v>
      </c>
      <c r="Q4828" s="2" t="s">
        <v>32035</v>
      </c>
      <c r="R4828" s="2" t="s">
        <v>32036</v>
      </c>
      <c r="S4828" s="2" t="s">
        <v>491</v>
      </c>
      <c r="T4828" s="2" t="s">
        <v>9777</v>
      </c>
      <c r="U4828" s="2" t="s">
        <v>9778</v>
      </c>
      <c r="V4828" s="2" t="s">
        <v>59</v>
      </c>
      <c r="W4828" s="2">
        <v>38</v>
      </c>
      <c r="X4828" s="2">
        <v>0</v>
      </c>
      <c r="Y4828" s="2" t="s">
        <v>43</v>
      </c>
      <c r="Z4828" s="2" t="s">
        <v>32037</v>
      </c>
      <c r="AA4828" s="2">
        <v>1.73489953226557</v>
      </c>
      <c r="AB4828" s="2">
        <v>0.120292714338951</v>
      </c>
      <c r="AC4828" s="2">
        <v>1787.4383111284101</v>
      </c>
      <c r="AD4828" s="2">
        <v>742.79250541401302</v>
      </c>
      <c r="AE4828" s="2">
        <v>1775.1442171623</v>
      </c>
      <c r="AF4828" s="2">
        <v>2472.6793180791301</v>
      </c>
      <c r="AG4828" s="2">
        <v>1777.1317899283299</v>
      </c>
      <c r="AH4828" s="2">
        <v>1630.9368699479501</v>
      </c>
      <c r="AI4828" s="2">
        <v>1672.5426335544</v>
      </c>
      <c r="AJ4828" s="2">
        <v>1396.1950380983701</v>
      </c>
      <c r="AK4828" s="2">
        <v>843.81380222727898</v>
      </c>
      <c r="AL4828" s="2">
        <v>568.76081263487697</v>
      </c>
      <c r="AM4828" s="2">
        <v>751.77570526250099</v>
      </c>
      <c r="AN4828" s="2">
        <v>831.06525228305998</v>
      </c>
      <c r="AO4828" s="2">
        <v>745.79476273216699</v>
      </c>
      <c r="AP4828" s="2">
        <v>715.54469734419399</v>
      </c>
    </row>
    <row r="4829" spans="1:42" ht="14.5" x14ac:dyDescent="0.35">
      <c r="A4829" s="2" t="s">
        <v>32038</v>
      </c>
      <c r="B4829" s="2">
        <v>373.11368532515502</v>
      </c>
      <c r="C4829" s="2">
        <v>2.7686999999999999</v>
      </c>
      <c r="D4829" s="2" t="s">
        <v>70</v>
      </c>
      <c r="E4829" s="2" t="s">
        <v>32039</v>
      </c>
      <c r="F4829" s="2">
        <v>61200</v>
      </c>
      <c r="G4829" s="3" t="str">
        <f>HYPERLINK("http://funmeta.oebiotech.com/network/61200", "http://funmeta.oebiotech.com/network/61200")</f>
        <v>http://funmeta.oebiotech.com/network/61200</v>
      </c>
      <c r="H4829" s="2" t="s">
        <v>32040</v>
      </c>
      <c r="I4829" s="2">
        <v>92512</v>
      </c>
      <c r="J4829" s="2"/>
      <c r="K4829" s="2">
        <v>168510</v>
      </c>
      <c r="L4829" s="2"/>
      <c r="M4829" s="2"/>
      <c r="N4829" s="2"/>
      <c r="O4829" s="2">
        <v>21924275</v>
      </c>
      <c r="P4829" s="2" t="s">
        <v>32041</v>
      </c>
      <c r="Q4829" s="2" t="s">
        <v>32042</v>
      </c>
      <c r="R4829" s="2" t="s">
        <v>32043</v>
      </c>
      <c r="S4829" s="2" t="s">
        <v>79</v>
      </c>
      <c r="T4829" s="2" t="s">
        <v>80</v>
      </c>
      <c r="U4829" s="2" t="s">
        <v>81</v>
      </c>
      <c r="V4829" s="2" t="s">
        <v>59</v>
      </c>
      <c r="W4829" s="2">
        <v>42.8</v>
      </c>
      <c r="X4829" s="2">
        <v>24.4</v>
      </c>
      <c r="Y4829" s="2" t="s">
        <v>286</v>
      </c>
      <c r="Z4829" s="2" t="s">
        <v>16454</v>
      </c>
      <c r="AA4829" s="2">
        <v>-1.02141593691467</v>
      </c>
      <c r="AB4829" s="2">
        <v>0.120276942577343</v>
      </c>
      <c r="AC4829" s="2">
        <v>69587.707048216893</v>
      </c>
      <c r="AD4829" s="2">
        <v>73332.735976427401</v>
      </c>
      <c r="AE4829" s="2">
        <v>65028.187120542803</v>
      </c>
      <c r="AF4829" s="2">
        <v>66306.431624676406</v>
      </c>
      <c r="AG4829" s="2">
        <v>70770.929763107997</v>
      </c>
      <c r="AH4829" s="2">
        <v>72716.746210600002</v>
      </c>
      <c r="AI4829" s="2">
        <v>73341.073264236096</v>
      </c>
      <c r="AJ4829" s="2">
        <v>69362.874306138096</v>
      </c>
      <c r="AK4829" s="2">
        <v>81464.139330999504</v>
      </c>
      <c r="AL4829" s="2">
        <v>64250.943879793602</v>
      </c>
      <c r="AM4829" s="2">
        <v>86123.410296921196</v>
      </c>
      <c r="AN4829" s="2">
        <v>58984.364956133599</v>
      </c>
      <c r="AO4829" s="2">
        <v>69526.260404301705</v>
      </c>
      <c r="AP4829" s="2">
        <v>79647.296990414994</v>
      </c>
    </row>
    <row r="4830" spans="1:42" ht="14.5" x14ac:dyDescent="0.35">
      <c r="A4830" s="2" t="s">
        <v>32044</v>
      </c>
      <c r="B4830" s="2">
        <v>505.25827857639399</v>
      </c>
      <c r="C4830" s="2">
        <v>10.2458166666667</v>
      </c>
      <c r="D4830" s="2" t="s">
        <v>34</v>
      </c>
      <c r="E4830" s="2" t="s">
        <v>32045</v>
      </c>
      <c r="F4830" s="2">
        <v>23683</v>
      </c>
      <c r="G4830" s="3" t="str">
        <f>HYPERLINK("http://funmeta.oebiotech.com/network/23683", "http://funmeta.oebiotech.com/network/23683")</f>
        <v>http://funmeta.oebiotech.com/network/23683</v>
      </c>
      <c r="H4830" s="2"/>
      <c r="I4830" s="2">
        <v>80009</v>
      </c>
      <c r="J4830" s="2" t="s">
        <v>32046</v>
      </c>
      <c r="K4830" s="2"/>
      <c r="L4830" s="2"/>
      <c r="M4830" s="2"/>
      <c r="N4830" s="2"/>
      <c r="O4830" s="2">
        <v>52927444</v>
      </c>
      <c r="P4830" s="2"/>
      <c r="Q4830" s="2" t="s">
        <v>32047</v>
      </c>
      <c r="R4830" s="2" t="s">
        <v>32048</v>
      </c>
      <c r="S4830" s="2" t="s">
        <v>50</v>
      </c>
      <c r="T4830" s="2" t="s">
        <v>51</v>
      </c>
      <c r="U4830" s="2" t="s">
        <v>738</v>
      </c>
      <c r="V4830" s="2" t="s">
        <v>59</v>
      </c>
      <c r="W4830" s="2">
        <v>37.9</v>
      </c>
      <c r="X4830" s="2">
        <v>0</v>
      </c>
      <c r="Y4830" s="2" t="s">
        <v>394</v>
      </c>
      <c r="Z4830" s="2" t="s">
        <v>32049</v>
      </c>
      <c r="AA4830" s="2">
        <v>4.3284652332475799</v>
      </c>
      <c r="AB4830" s="2">
        <v>0.12027410707066299</v>
      </c>
      <c r="AC4830" s="2">
        <v>4913.6990201633598</v>
      </c>
      <c r="AD4830" s="2">
        <v>3735.0044264991502</v>
      </c>
      <c r="AE4830" s="2">
        <v>5081.1800360008501</v>
      </c>
      <c r="AF4830" s="2">
        <v>5069.3477397811603</v>
      </c>
      <c r="AG4830" s="2">
        <v>4131.16307153244</v>
      </c>
      <c r="AH4830" s="2">
        <v>5058.3853686701495</v>
      </c>
      <c r="AI4830" s="2">
        <v>4437.0659937272603</v>
      </c>
      <c r="AJ4830" s="2">
        <v>5705.0519112683096</v>
      </c>
      <c r="AK4830" s="2">
        <v>3286.6125772639498</v>
      </c>
      <c r="AL4830" s="2">
        <v>4419.7668907384996</v>
      </c>
      <c r="AM4830" s="2">
        <v>3643.4513522828202</v>
      </c>
      <c r="AN4830" s="2">
        <v>3420.3553124598898</v>
      </c>
      <c r="AO4830" s="2">
        <v>3736.8071028510699</v>
      </c>
      <c r="AP4830" s="2">
        <v>3903.0333233986598</v>
      </c>
    </row>
    <row r="4831" spans="1:42" ht="14.5" x14ac:dyDescent="0.35">
      <c r="A4831" s="2" t="s">
        <v>32050</v>
      </c>
      <c r="B4831" s="2">
        <v>367.11840127122201</v>
      </c>
      <c r="C4831" s="2">
        <v>5.0599499999999997</v>
      </c>
      <c r="D4831" s="2" t="s">
        <v>70</v>
      </c>
      <c r="E4831" s="2" t="s">
        <v>32051</v>
      </c>
      <c r="F4831" s="2">
        <v>276137</v>
      </c>
      <c r="G4831" s="3" t="str">
        <f>HYPERLINK("http://funmeta.oebiotech.com/network/276137", "http://funmeta.oebiotech.com/network/276137")</f>
        <v>http://funmeta.oebiotech.com/network/276137</v>
      </c>
      <c r="H4831" s="2"/>
      <c r="I4831" s="2">
        <v>67594</v>
      </c>
      <c r="J4831" s="2"/>
      <c r="K4831" s="2"/>
      <c r="L4831" s="2" t="s">
        <v>32052</v>
      </c>
      <c r="M4831" s="2"/>
      <c r="N4831" s="2"/>
      <c r="O4831" s="2">
        <v>442150</v>
      </c>
      <c r="P4831" s="2" t="s">
        <v>32053</v>
      </c>
      <c r="Q4831" s="2" t="s">
        <v>32054</v>
      </c>
      <c r="R4831" s="2" t="s">
        <v>32055</v>
      </c>
      <c r="S4831" s="2" t="s">
        <v>115</v>
      </c>
      <c r="T4831" s="2" t="s">
        <v>758</v>
      </c>
      <c r="U4831" s="2" t="s">
        <v>6655</v>
      </c>
      <c r="V4831" s="2" t="s">
        <v>59</v>
      </c>
      <c r="W4831" s="2">
        <v>39.1</v>
      </c>
      <c r="X4831" s="2">
        <v>0</v>
      </c>
      <c r="Y4831" s="2" t="s">
        <v>2165</v>
      </c>
      <c r="Z4831" s="2" t="s">
        <v>6983</v>
      </c>
      <c r="AA4831" s="2">
        <v>-0.80451134595339902</v>
      </c>
      <c r="AB4831" s="2">
        <v>0.120241379064255</v>
      </c>
      <c r="AC4831" s="2">
        <v>8202.1993858318692</v>
      </c>
      <c r="AD4831" s="2">
        <v>6581.8259576379096</v>
      </c>
      <c r="AE4831" s="2">
        <v>9911.5754762022098</v>
      </c>
      <c r="AF4831" s="2">
        <v>6542.0303564367096</v>
      </c>
      <c r="AG4831" s="2">
        <v>6554.1406003762204</v>
      </c>
      <c r="AH4831" s="2">
        <v>7837.6433766436403</v>
      </c>
      <c r="AI4831" s="2">
        <v>9918.5097221008</v>
      </c>
      <c r="AJ4831" s="2">
        <v>8449.2967832316099</v>
      </c>
      <c r="AK4831" s="2">
        <v>7270.3822218416599</v>
      </c>
      <c r="AL4831" s="2">
        <v>6019.5512632911395</v>
      </c>
      <c r="AM4831" s="2">
        <v>7010.9623151987798</v>
      </c>
      <c r="AN4831" s="2">
        <v>5792.60576131177</v>
      </c>
      <c r="AO4831" s="2">
        <v>7451.5576762371602</v>
      </c>
      <c r="AP4831" s="2">
        <v>5945.8965079469299</v>
      </c>
    </row>
    <row r="4832" spans="1:42" ht="14.5" x14ac:dyDescent="0.35">
      <c r="A4832" s="2" t="s">
        <v>32056</v>
      </c>
      <c r="B4832" s="2">
        <v>297.22160279837101</v>
      </c>
      <c r="C4832" s="2">
        <v>12.9343166666667</v>
      </c>
      <c r="D4832" s="2" t="s">
        <v>34</v>
      </c>
      <c r="E4832" s="2" t="s">
        <v>32057</v>
      </c>
      <c r="F4832" s="2">
        <v>45028</v>
      </c>
      <c r="G4832" s="3" t="str">
        <f>HYPERLINK("http://funmeta.oebiotech.com/network/45028", "http://funmeta.oebiotech.com/network/45028")</f>
        <v>http://funmeta.oebiotech.com/network/45028</v>
      </c>
      <c r="H4832" s="2" t="s">
        <v>32058</v>
      </c>
      <c r="I4832" s="2">
        <v>402</v>
      </c>
      <c r="J4832" s="2" t="s">
        <v>32059</v>
      </c>
      <c r="K4832" s="2">
        <v>17026</v>
      </c>
      <c r="L4832" s="2" t="s">
        <v>32060</v>
      </c>
      <c r="M4832" s="2" t="s">
        <v>32061</v>
      </c>
      <c r="N4832" s="2" t="s">
        <v>32062</v>
      </c>
      <c r="O4832" s="2">
        <v>5994</v>
      </c>
      <c r="P4832" s="2" t="s">
        <v>32063</v>
      </c>
      <c r="Q4832" s="2" t="s">
        <v>32064</v>
      </c>
      <c r="R4832" s="2" t="s">
        <v>32065</v>
      </c>
      <c r="S4832" s="2" t="s">
        <v>50</v>
      </c>
      <c r="T4832" s="2" t="s">
        <v>124</v>
      </c>
      <c r="U4832" s="2" t="s">
        <v>929</v>
      </c>
      <c r="V4832" s="2" t="s">
        <v>59</v>
      </c>
      <c r="W4832" s="2">
        <v>36.5</v>
      </c>
      <c r="X4832" s="2">
        <v>0</v>
      </c>
      <c r="Y4832" s="2" t="s">
        <v>141</v>
      </c>
      <c r="Z4832" s="2" t="s">
        <v>32066</v>
      </c>
      <c r="AA4832" s="2">
        <v>0.98925154363828605</v>
      </c>
      <c r="AB4832" s="2">
        <v>0.12023606954110901</v>
      </c>
      <c r="AC4832" s="2">
        <v>961.46616837574595</v>
      </c>
      <c r="AD4832" s="2">
        <v>2.7106294003980101E-5</v>
      </c>
      <c r="AE4832" s="2">
        <v>960.43927004730597</v>
      </c>
      <c r="AF4832" s="2">
        <v>785.61812204608896</v>
      </c>
      <c r="AG4832" s="2">
        <v>881.54602525574705</v>
      </c>
      <c r="AH4832" s="2">
        <v>1116.1533325211401</v>
      </c>
      <c r="AI4832" s="2">
        <v>982.02856328099597</v>
      </c>
      <c r="AJ4832" s="2">
        <v>1043.0116971032</v>
      </c>
      <c r="AK4832" s="2">
        <v>2.7106294003980101E-5</v>
      </c>
      <c r="AL4832" s="2">
        <v>2.7106294003980101E-5</v>
      </c>
      <c r="AM4832" s="2">
        <v>2.7106294003980101E-5</v>
      </c>
      <c r="AN4832" s="2">
        <v>2.7106294003980101E-5</v>
      </c>
      <c r="AO4832" s="2">
        <v>2.7106294003980101E-5</v>
      </c>
      <c r="AP4832" s="2">
        <v>2.7106294003980101E-5</v>
      </c>
    </row>
    <row r="4833" spans="1:42" ht="14.5" x14ac:dyDescent="0.35">
      <c r="A4833" s="2" t="s">
        <v>32067</v>
      </c>
      <c r="B4833" s="2">
        <v>583.15704589445795</v>
      </c>
      <c r="C4833" s="2">
        <v>4.3640166666666698</v>
      </c>
      <c r="D4833" s="2" t="s">
        <v>70</v>
      </c>
      <c r="E4833" s="2" t="s">
        <v>32068</v>
      </c>
      <c r="F4833" s="2">
        <v>212953</v>
      </c>
      <c r="G4833" s="3" t="str">
        <f>HYPERLINK("http://funmeta.oebiotech.com/network/212953", "http://funmeta.oebiotech.com/network/212953")</f>
        <v>http://funmeta.oebiotech.com/network/212953</v>
      </c>
      <c r="H4833" s="2" t="s">
        <v>32069</v>
      </c>
      <c r="I4833" s="2"/>
      <c r="J4833" s="2"/>
      <c r="K4833" s="2"/>
      <c r="L4833" s="2"/>
      <c r="M4833" s="2"/>
      <c r="N4833" s="2"/>
      <c r="O4833" s="2">
        <v>139600775</v>
      </c>
      <c r="P4833" s="2"/>
      <c r="Q4833" s="2" t="s">
        <v>32070</v>
      </c>
      <c r="R4833" s="2" t="s">
        <v>32071</v>
      </c>
      <c r="S4833" s="2" t="s">
        <v>41</v>
      </c>
      <c r="T4833" s="2" t="s">
        <v>41</v>
      </c>
      <c r="U4833" s="2" t="s">
        <v>41</v>
      </c>
      <c r="V4833" s="2" t="s">
        <v>59</v>
      </c>
      <c r="W4833" s="2">
        <v>36.6</v>
      </c>
      <c r="X4833" s="2">
        <v>0</v>
      </c>
      <c r="Y4833" s="2" t="s">
        <v>118</v>
      </c>
      <c r="Z4833" s="2" t="s">
        <v>32072</v>
      </c>
      <c r="AA4833" s="2">
        <v>-2.9646819759790501</v>
      </c>
      <c r="AB4833" s="2">
        <v>0.120204632081424</v>
      </c>
      <c r="AC4833" s="2">
        <v>38484.035568546104</v>
      </c>
      <c r="AD4833" s="2">
        <v>35623.4647836</v>
      </c>
      <c r="AE4833" s="2">
        <v>34583.892590675103</v>
      </c>
      <c r="AF4833" s="2">
        <v>41069.9832633736</v>
      </c>
      <c r="AG4833" s="2">
        <v>31820.138021470299</v>
      </c>
      <c r="AH4833" s="2">
        <v>40484.205929526302</v>
      </c>
      <c r="AI4833" s="2">
        <v>47419.557140900797</v>
      </c>
      <c r="AJ4833" s="2">
        <v>35526.436465330597</v>
      </c>
      <c r="AK4833" s="2">
        <v>35130.343917499602</v>
      </c>
      <c r="AL4833" s="2">
        <v>37164.057527873003</v>
      </c>
      <c r="AM4833" s="2">
        <v>37432.214437142298</v>
      </c>
      <c r="AN4833" s="2">
        <v>37098.2285314564</v>
      </c>
      <c r="AO4833" s="2">
        <v>34280.605539440301</v>
      </c>
      <c r="AP4833" s="2">
        <v>32635.3387481885</v>
      </c>
    </row>
    <row r="4834" spans="1:42" ht="14.5" x14ac:dyDescent="0.35">
      <c r="A4834" s="2" t="s">
        <v>32073</v>
      </c>
      <c r="B4834" s="2">
        <v>242.283919009144</v>
      </c>
      <c r="C4834" s="2">
        <v>10.2458166666667</v>
      </c>
      <c r="D4834" s="2" t="s">
        <v>34</v>
      </c>
      <c r="E4834" s="2" t="s">
        <v>32074</v>
      </c>
      <c r="F4834" s="2">
        <v>199424</v>
      </c>
      <c r="G4834" s="3" t="str">
        <f>HYPERLINK("http://funmeta.oebiotech.com/network/199424", "http://funmeta.oebiotech.com/network/199424")</f>
        <v>http://funmeta.oebiotech.com/network/199424</v>
      </c>
      <c r="H4834" s="2" t="s">
        <v>32075</v>
      </c>
      <c r="I4834" s="2"/>
      <c r="J4834" s="2"/>
      <c r="K4834" s="2">
        <v>77507</v>
      </c>
      <c r="L4834" s="2"/>
      <c r="M4834" s="2"/>
      <c r="N4834" s="2"/>
      <c r="O4834" s="2"/>
      <c r="P4834" s="2"/>
      <c r="Q4834" s="2" t="s">
        <v>32076</v>
      </c>
      <c r="R4834" s="2" t="s">
        <v>32077</v>
      </c>
      <c r="S4834" s="2" t="s">
        <v>3194</v>
      </c>
      <c r="T4834" s="2" t="s">
        <v>3195</v>
      </c>
      <c r="U4834" s="2" t="s">
        <v>3196</v>
      </c>
      <c r="V4834" s="2" t="s">
        <v>59</v>
      </c>
      <c r="W4834" s="2">
        <v>38.9</v>
      </c>
      <c r="X4834" s="2">
        <v>0</v>
      </c>
      <c r="Y4834" s="2" t="s">
        <v>43</v>
      </c>
      <c r="Z4834" s="2" t="s">
        <v>32078</v>
      </c>
      <c r="AA4834" s="2">
        <v>-1.3714450204223501</v>
      </c>
      <c r="AB4834" s="2">
        <v>0.120155837178938</v>
      </c>
      <c r="AC4834" s="2">
        <v>7861.5558852216</v>
      </c>
      <c r="AD4834" s="2">
        <v>8954.9981520197398</v>
      </c>
      <c r="AE4834" s="2">
        <v>8204.8594679931794</v>
      </c>
      <c r="AF4834" s="2">
        <v>8069.4974907409396</v>
      </c>
      <c r="AG4834" s="2">
        <v>8239.2514444920998</v>
      </c>
      <c r="AH4834" s="2">
        <v>7480.0253814345397</v>
      </c>
      <c r="AI4834" s="2">
        <v>7389.4046348868997</v>
      </c>
      <c r="AJ4834" s="2">
        <v>7786.2968917819398</v>
      </c>
      <c r="AK4834" s="2">
        <v>8853.5345309212898</v>
      </c>
      <c r="AL4834" s="2">
        <v>9379.9992576863606</v>
      </c>
      <c r="AM4834" s="2">
        <v>8632.4630033142403</v>
      </c>
      <c r="AN4834" s="2">
        <v>9084.4057771985608</v>
      </c>
      <c r="AO4834" s="2">
        <v>9117.8977333265993</v>
      </c>
      <c r="AP4834" s="2">
        <v>8661.6886096713606</v>
      </c>
    </row>
    <row r="4835" spans="1:42" ht="14.5" x14ac:dyDescent="0.35">
      <c r="A4835" s="2" t="s">
        <v>32079</v>
      </c>
      <c r="B4835" s="2">
        <v>713.24354702657502</v>
      </c>
      <c r="C4835" s="2">
        <v>10.1513666666667</v>
      </c>
      <c r="D4835" s="2" t="s">
        <v>70</v>
      </c>
      <c r="E4835" s="2" t="s">
        <v>32080</v>
      </c>
      <c r="F4835" s="2">
        <v>56406</v>
      </c>
      <c r="G4835" s="3" t="str">
        <f>HYPERLINK("http://funmeta.oebiotech.com/network/56406", "http://funmeta.oebiotech.com/network/56406")</f>
        <v>http://funmeta.oebiotech.com/network/56406</v>
      </c>
      <c r="H4835" s="2" t="s">
        <v>32081</v>
      </c>
      <c r="I4835" s="2"/>
      <c r="J4835" s="2"/>
      <c r="K4835" s="2"/>
      <c r="L4835" s="2"/>
      <c r="M4835" s="2"/>
      <c r="N4835" s="2"/>
      <c r="O4835" s="2">
        <v>10247749</v>
      </c>
      <c r="P4835" s="2" t="s">
        <v>32082</v>
      </c>
      <c r="Q4835" s="2" t="s">
        <v>32083</v>
      </c>
      <c r="R4835" s="2" t="s">
        <v>32084</v>
      </c>
      <c r="S4835" s="2" t="s">
        <v>79</v>
      </c>
      <c r="T4835" s="2" t="s">
        <v>80</v>
      </c>
      <c r="U4835" s="2" t="s">
        <v>81</v>
      </c>
      <c r="V4835" s="2" t="s">
        <v>59</v>
      </c>
      <c r="W4835" s="2">
        <v>38.6</v>
      </c>
      <c r="X4835" s="2">
        <v>5.49</v>
      </c>
      <c r="Y4835" s="2" t="s">
        <v>560</v>
      </c>
      <c r="Z4835" s="2" t="s">
        <v>32085</v>
      </c>
      <c r="AA4835" s="2">
        <v>2.2492695781160599</v>
      </c>
      <c r="AB4835" s="2">
        <v>0.120095468764132</v>
      </c>
      <c r="AC4835" s="2">
        <v>1033.2816290795499</v>
      </c>
      <c r="AD4835" s="2">
        <v>2345.2573579180798</v>
      </c>
      <c r="AE4835" s="2">
        <v>987.45135434432495</v>
      </c>
      <c r="AF4835" s="2">
        <v>731.97589118226699</v>
      </c>
      <c r="AG4835" s="2">
        <v>1414.67364563705</v>
      </c>
      <c r="AH4835" s="2">
        <v>880.17646369567001</v>
      </c>
      <c r="AI4835" s="2">
        <v>242.051321095693</v>
      </c>
      <c r="AJ4835" s="2">
        <v>1943.3610985222899</v>
      </c>
      <c r="AK4835" s="2">
        <v>3034.2627711617602</v>
      </c>
      <c r="AL4835" s="2">
        <v>1181.13113378963</v>
      </c>
      <c r="AM4835" s="2">
        <v>1817.0570461597899</v>
      </c>
      <c r="AN4835" s="2">
        <v>2546.8300930885298</v>
      </c>
      <c r="AO4835" s="2">
        <v>2265.1768165343901</v>
      </c>
      <c r="AP4835" s="2">
        <v>3227.0862867744099</v>
      </c>
    </row>
    <row r="4836" spans="1:42" ht="14.5" x14ac:dyDescent="0.35">
      <c r="A4836" s="2" t="s">
        <v>32086</v>
      </c>
      <c r="B4836" s="2">
        <v>419.24370768282898</v>
      </c>
      <c r="C4836" s="2">
        <v>10.439399999999999</v>
      </c>
      <c r="D4836" s="2" t="s">
        <v>70</v>
      </c>
      <c r="E4836" s="2" t="s">
        <v>32087</v>
      </c>
      <c r="F4836" s="2">
        <v>2034</v>
      </c>
      <c r="G4836" s="3" t="str">
        <f>HYPERLINK("http://funmeta.oebiotech.com/network/2034", "http://funmeta.oebiotech.com/network/2034")</f>
        <v>http://funmeta.oebiotech.com/network/2034</v>
      </c>
      <c r="H4836" s="2"/>
      <c r="I4836" s="2"/>
      <c r="J4836" s="2" t="s">
        <v>32088</v>
      </c>
      <c r="K4836" s="2"/>
      <c r="L4836" s="2"/>
      <c r="M4836" s="2"/>
      <c r="N4836" s="2"/>
      <c r="O4836" s="2"/>
      <c r="P4836" s="2"/>
      <c r="Q4836" s="2" t="s">
        <v>32089</v>
      </c>
      <c r="R4836" s="2" t="s">
        <v>32090</v>
      </c>
      <c r="S4836" s="2" t="s">
        <v>41</v>
      </c>
      <c r="T4836" s="2" t="s">
        <v>41</v>
      </c>
      <c r="U4836" s="2" t="s">
        <v>41</v>
      </c>
      <c r="V4836" s="2" t="s">
        <v>42</v>
      </c>
      <c r="W4836" s="2">
        <v>53.8</v>
      </c>
      <c r="X4836" s="2">
        <v>72.5</v>
      </c>
      <c r="Y4836" s="2" t="s">
        <v>560</v>
      </c>
      <c r="Z4836" s="2" t="s">
        <v>32091</v>
      </c>
      <c r="AA4836" s="2">
        <v>-0.48722539393861802</v>
      </c>
      <c r="AB4836" s="2">
        <v>0.119848628100704</v>
      </c>
      <c r="AC4836" s="2">
        <v>3039.0472082889801</v>
      </c>
      <c r="AD4836" s="2">
        <v>1815.7142143600399</v>
      </c>
      <c r="AE4836" s="2">
        <v>2954.00756972198</v>
      </c>
      <c r="AF4836" s="2">
        <v>1858.0556915142699</v>
      </c>
      <c r="AG4836" s="2">
        <v>4070.1625904868301</v>
      </c>
      <c r="AH4836" s="2">
        <v>3543.8994962164202</v>
      </c>
      <c r="AI4836" s="2">
        <v>2827.7982193115299</v>
      </c>
      <c r="AJ4836" s="2">
        <v>2980.3596824828701</v>
      </c>
      <c r="AK4836" s="2">
        <v>1769.7922403371799</v>
      </c>
      <c r="AL4836" s="2">
        <v>2269.9979559746098</v>
      </c>
      <c r="AM4836" s="2">
        <v>1970.39311820685</v>
      </c>
      <c r="AN4836" s="2">
        <v>1523.1892271880299</v>
      </c>
      <c r="AO4836" s="2">
        <v>1745.38444891477</v>
      </c>
      <c r="AP4836" s="2">
        <v>1615.52829553881</v>
      </c>
    </row>
    <row r="4837" spans="1:42" ht="14.5" x14ac:dyDescent="0.35">
      <c r="A4837" s="2" t="s">
        <v>32092</v>
      </c>
      <c r="B4837" s="2">
        <v>375.10810723876602</v>
      </c>
      <c r="C4837" s="2">
        <v>4.3103166666666697</v>
      </c>
      <c r="D4837" s="2" t="s">
        <v>70</v>
      </c>
      <c r="E4837" s="2" t="s">
        <v>32093</v>
      </c>
      <c r="F4837" s="2">
        <v>51456</v>
      </c>
      <c r="G4837" s="3" t="str">
        <f>HYPERLINK("http://funmeta.oebiotech.com/network/51456", "http://funmeta.oebiotech.com/network/51456")</f>
        <v>http://funmeta.oebiotech.com/network/51456</v>
      </c>
      <c r="H4837" s="2" t="s">
        <v>32094</v>
      </c>
      <c r="I4837" s="2">
        <v>62412</v>
      </c>
      <c r="J4837" s="2"/>
      <c r="K4837" s="2"/>
      <c r="L4837" s="2"/>
      <c r="M4837" s="2"/>
      <c r="N4837" s="2"/>
      <c r="O4837" s="2">
        <v>5318321</v>
      </c>
      <c r="P4837" s="2"/>
      <c r="Q4837" s="2" t="s">
        <v>32095</v>
      </c>
      <c r="R4837" s="2" t="s">
        <v>32096</v>
      </c>
      <c r="S4837" s="2" t="s">
        <v>491</v>
      </c>
      <c r="T4837" s="2" t="s">
        <v>2943</v>
      </c>
      <c r="U4837" s="2" t="s">
        <v>41</v>
      </c>
      <c r="V4837" s="2" t="s">
        <v>59</v>
      </c>
      <c r="W4837" s="2">
        <v>38.299999999999997</v>
      </c>
      <c r="X4837" s="2">
        <v>0</v>
      </c>
      <c r="Y4837" s="2" t="s">
        <v>408</v>
      </c>
      <c r="Z4837" s="2" t="s">
        <v>32097</v>
      </c>
      <c r="AA4837" s="2">
        <v>-1.3144873210158301</v>
      </c>
      <c r="AB4837" s="2">
        <v>0.11984111739478499</v>
      </c>
      <c r="AC4837" s="2">
        <v>2981.2666057462902</v>
      </c>
      <c r="AD4837" s="2">
        <v>1451.1836771283699</v>
      </c>
      <c r="AE4837" s="2">
        <v>2733.1698783953202</v>
      </c>
      <c r="AF4837" s="2">
        <v>3358.9172988774299</v>
      </c>
      <c r="AG4837" s="2">
        <v>3051.9826026328501</v>
      </c>
      <c r="AH4837" s="2">
        <v>2485.8184801734401</v>
      </c>
      <c r="AI4837" s="2">
        <v>5100.9666948781596</v>
      </c>
      <c r="AJ4837" s="2">
        <v>1156.7446795205201</v>
      </c>
      <c r="AK4837" s="2">
        <v>849.88421374841505</v>
      </c>
      <c r="AL4837" s="2">
        <v>1017.42319126185</v>
      </c>
      <c r="AM4837" s="2">
        <v>1029.3386871800501</v>
      </c>
      <c r="AN4837" s="2">
        <v>2482.1324825238398</v>
      </c>
      <c r="AO4837" s="2">
        <v>1107.59572908276</v>
      </c>
      <c r="AP4837" s="2">
        <v>2220.7277589733199</v>
      </c>
    </row>
    <row r="4838" spans="1:42" ht="14.5" x14ac:dyDescent="0.35">
      <c r="A4838" s="2" t="s">
        <v>32098</v>
      </c>
      <c r="B4838" s="2">
        <v>337.09926015374799</v>
      </c>
      <c r="C4838" s="2">
        <v>8.3613499999999998</v>
      </c>
      <c r="D4838" s="2" t="s">
        <v>34</v>
      </c>
      <c r="E4838" s="2" t="s">
        <v>32099</v>
      </c>
      <c r="F4838" s="2">
        <v>56678</v>
      </c>
      <c r="G4838" s="3" t="str">
        <f>HYPERLINK("http://funmeta.oebiotech.com/network/56678", "http://funmeta.oebiotech.com/network/56678")</f>
        <v>http://funmeta.oebiotech.com/network/56678</v>
      </c>
      <c r="H4838" s="2" t="s">
        <v>32100</v>
      </c>
      <c r="I4838" s="2">
        <v>88338</v>
      </c>
      <c r="J4838" s="2"/>
      <c r="K4838" s="2"/>
      <c r="L4838" s="2"/>
      <c r="M4838" s="2"/>
      <c r="N4838" s="2"/>
      <c r="O4838" s="2">
        <v>71587802</v>
      </c>
      <c r="P4838" s="2" t="s">
        <v>32101</v>
      </c>
      <c r="Q4838" s="2" t="s">
        <v>32102</v>
      </c>
      <c r="R4838" s="2" t="s">
        <v>32103</v>
      </c>
      <c r="S4838" s="2" t="s">
        <v>89</v>
      </c>
      <c r="T4838" s="2" t="s">
        <v>894</v>
      </c>
      <c r="U4838" s="2" t="s">
        <v>895</v>
      </c>
      <c r="V4838" s="2" t="s">
        <v>59</v>
      </c>
      <c r="W4838" s="2">
        <v>38.299999999999997</v>
      </c>
      <c r="X4838" s="2">
        <v>0</v>
      </c>
      <c r="Y4838" s="2" t="s">
        <v>43</v>
      </c>
      <c r="Z4838" s="2" t="s">
        <v>32104</v>
      </c>
      <c r="AA4838" s="2">
        <v>-4.3808499344588396</v>
      </c>
      <c r="AB4838" s="2">
        <v>0.11972624674882699</v>
      </c>
      <c r="AC4838" s="2">
        <v>1018.33518851218</v>
      </c>
      <c r="AD4838" s="2">
        <v>2.7106294003980101E-5</v>
      </c>
      <c r="AE4838" s="2">
        <v>1164.9613461108399</v>
      </c>
      <c r="AF4838" s="2">
        <v>397.19464865587503</v>
      </c>
      <c r="AG4838" s="2">
        <v>1027.2684320048199</v>
      </c>
      <c r="AH4838" s="2">
        <v>1320.52479934241</v>
      </c>
      <c r="AI4838" s="2">
        <v>1036.4761044458801</v>
      </c>
      <c r="AJ4838" s="2">
        <v>1163.58580051323</v>
      </c>
      <c r="AK4838" s="2">
        <v>2.7106294003980101E-5</v>
      </c>
      <c r="AL4838" s="2">
        <v>2.7106294003980101E-5</v>
      </c>
      <c r="AM4838" s="2">
        <v>2.7106294003980101E-5</v>
      </c>
      <c r="AN4838" s="2">
        <v>2.7106294003980101E-5</v>
      </c>
      <c r="AO4838" s="2">
        <v>2.7106294003980101E-5</v>
      </c>
      <c r="AP4838" s="2">
        <v>2.7106294003980101E-5</v>
      </c>
    </row>
    <row r="4839" spans="1:42" ht="14.5" x14ac:dyDescent="0.35">
      <c r="A4839" s="2" t="s">
        <v>32105</v>
      </c>
      <c r="B4839" s="2">
        <v>191.14291713357599</v>
      </c>
      <c r="C4839" s="2">
        <v>4.9783166666666698</v>
      </c>
      <c r="D4839" s="2" t="s">
        <v>34</v>
      </c>
      <c r="E4839" s="2" t="s">
        <v>32106</v>
      </c>
      <c r="F4839" s="2">
        <v>256655</v>
      </c>
      <c r="G4839" s="3" t="str">
        <f>HYPERLINK("http://funmeta.oebiotech.com/network/256655", "http://funmeta.oebiotech.com/network/256655")</f>
        <v>http://funmeta.oebiotech.com/network/256655</v>
      </c>
      <c r="H4839" s="2" t="s">
        <v>32107</v>
      </c>
      <c r="I4839" s="2">
        <v>340051</v>
      </c>
      <c r="J4839" s="2"/>
      <c r="K4839" s="2"/>
      <c r="L4839" s="2"/>
      <c r="M4839" s="2"/>
      <c r="N4839" s="2"/>
      <c r="O4839" s="2">
        <v>5370052</v>
      </c>
      <c r="P4839" s="2"/>
      <c r="Q4839" s="2" t="s">
        <v>32108</v>
      </c>
      <c r="R4839" s="2" t="s">
        <v>32109</v>
      </c>
      <c r="S4839" s="2" t="s">
        <v>50</v>
      </c>
      <c r="T4839" s="2" t="s">
        <v>201</v>
      </c>
      <c r="U4839" s="2" t="s">
        <v>636</v>
      </c>
      <c r="V4839" s="2" t="s">
        <v>42</v>
      </c>
      <c r="W4839" s="2">
        <v>52.9</v>
      </c>
      <c r="X4839" s="2">
        <v>70</v>
      </c>
      <c r="Y4839" s="2" t="s">
        <v>141</v>
      </c>
      <c r="Z4839" s="2" t="s">
        <v>32110</v>
      </c>
      <c r="AA4839" s="2">
        <v>-0.59812221771401297</v>
      </c>
      <c r="AB4839" s="2">
        <v>0.119706038648192</v>
      </c>
      <c r="AC4839" s="2">
        <v>57841.142826524701</v>
      </c>
      <c r="AD4839" s="2">
        <v>59492.8388038228</v>
      </c>
      <c r="AE4839" s="2">
        <v>57782.146367627203</v>
      </c>
      <c r="AF4839" s="2">
        <v>56580.982826235297</v>
      </c>
      <c r="AG4839" s="2">
        <v>59387.949481841897</v>
      </c>
      <c r="AH4839" s="2">
        <v>56260.9648680686</v>
      </c>
      <c r="AI4839" s="2">
        <v>58518.1501359799</v>
      </c>
      <c r="AJ4839" s="2">
        <v>58516.663279395398</v>
      </c>
      <c r="AK4839" s="2">
        <v>58527.845086991503</v>
      </c>
      <c r="AL4839" s="2">
        <v>61002.273659754603</v>
      </c>
      <c r="AM4839" s="2">
        <v>58683.482751477197</v>
      </c>
      <c r="AN4839" s="2">
        <v>59458.826124076098</v>
      </c>
      <c r="AO4839" s="2">
        <v>57966.3578255592</v>
      </c>
      <c r="AP4839" s="2">
        <v>61318.247375078397</v>
      </c>
    </row>
    <row r="4840" spans="1:42" ht="14.5" x14ac:dyDescent="0.35">
      <c r="A4840" s="2" t="s">
        <v>32111</v>
      </c>
      <c r="B4840" s="2">
        <v>707.36200194555897</v>
      </c>
      <c r="C4840" s="2">
        <v>7.6094666666666697</v>
      </c>
      <c r="D4840" s="2" t="s">
        <v>70</v>
      </c>
      <c r="E4840" s="2" t="s">
        <v>32112</v>
      </c>
      <c r="F4840" s="2">
        <v>56342</v>
      </c>
      <c r="G4840" s="3" t="str">
        <f>HYPERLINK("http://funmeta.oebiotech.com/network/56342", "http://funmeta.oebiotech.com/network/56342")</f>
        <v>http://funmeta.oebiotech.com/network/56342</v>
      </c>
      <c r="H4840" s="2" t="s">
        <v>32113</v>
      </c>
      <c r="I4840" s="2">
        <v>87994</v>
      </c>
      <c r="J4840" s="2"/>
      <c r="K4840" s="2">
        <v>172580</v>
      </c>
      <c r="L4840" s="2"/>
      <c r="M4840" s="2"/>
      <c r="N4840" s="2"/>
      <c r="O4840" s="2">
        <v>102066549</v>
      </c>
      <c r="P4840" s="2"/>
      <c r="Q4840" s="2" t="s">
        <v>32114</v>
      </c>
      <c r="R4840" s="2" t="s">
        <v>32115</v>
      </c>
      <c r="S4840" s="2" t="s">
        <v>148</v>
      </c>
      <c r="T4840" s="2" t="s">
        <v>6221</v>
      </c>
      <c r="U4840" s="2" t="s">
        <v>17614</v>
      </c>
      <c r="V4840" s="2" t="s">
        <v>59</v>
      </c>
      <c r="W4840" s="2">
        <v>38.1</v>
      </c>
      <c r="X4840" s="2">
        <v>0</v>
      </c>
      <c r="Y4840" s="2" t="s">
        <v>560</v>
      </c>
      <c r="Z4840" s="2" t="s">
        <v>15133</v>
      </c>
      <c r="AA4840" s="2">
        <v>4.3194513770510596</v>
      </c>
      <c r="AB4840" s="2">
        <v>0.11969417541281301</v>
      </c>
      <c r="AC4840" s="2">
        <v>1535.2593757719301</v>
      </c>
      <c r="AD4840" s="2">
        <v>2695.20981411711</v>
      </c>
      <c r="AE4840" s="2">
        <v>1185.3139399807601</v>
      </c>
      <c r="AF4840" s="2">
        <v>1231.3307248265901</v>
      </c>
      <c r="AG4840" s="2">
        <v>1550.9545489048601</v>
      </c>
      <c r="AH4840" s="2">
        <v>2150.5069848609401</v>
      </c>
      <c r="AI4840" s="2">
        <v>1296.0998719847801</v>
      </c>
      <c r="AJ4840" s="2">
        <v>1797.3501840736301</v>
      </c>
      <c r="AK4840" s="2">
        <v>1897.42862426447</v>
      </c>
      <c r="AL4840" s="2">
        <v>2325.7766195146301</v>
      </c>
      <c r="AM4840" s="2">
        <v>2582.82430259066</v>
      </c>
      <c r="AN4840" s="2">
        <v>3275.13657523451</v>
      </c>
      <c r="AO4840" s="2">
        <v>2859.6110188221201</v>
      </c>
      <c r="AP4840" s="2">
        <v>3230.4817442762501</v>
      </c>
    </row>
    <row r="4841" spans="1:42" ht="14.5" x14ac:dyDescent="0.35">
      <c r="A4841" s="2" t="s">
        <v>32116</v>
      </c>
      <c r="B4841" s="2">
        <v>549.18103466736602</v>
      </c>
      <c r="C4841" s="2">
        <v>3.6928666666666699</v>
      </c>
      <c r="D4841" s="2" t="s">
        <v>70</v>
      </c>
      <c r="E4841" s="2" t="s">
        <v>32117</v>
      </c>
      <c r="F4841" s="2">
        <v>63166</v>
      </c>
      <c r="G4841" s="3" t="str">
        <f>HYPERLINK("http://funmeta.oebiotech.com/network/63166", "http://funmeta.oebiotech.com/network/63166")</f>
        <v>http://funmeta.oebiotech.com/network/63166</v>
      </c>
      <c r="H4841" s="2" t="s">
        <v>32118</v>
      </c>
      <c r="I4841" s="2">
        <v>94473</v>
      </c>
      <c r="J4841" s="2"/>
      <c r="K4841" s="2">
        <v>173280</v>
      </c>
      <c r="L4841" s="2"/>
      <c r="M4841" s="2"/>
      <c r="N4841" s="2"/>
      <c r="O4841" s="2">
        <v>73077146</v>
      </c>
      <c r="P4841" s="2" t="s">
        <v>32119</v>
      </c>
      <c r="Q4841" s="2" t="s">
        <v>32120</v>
      </c>
      <c r="R4841" s="2" t="s">
        <v>32121</v>
      </c>
      <c r="S4841" s="2" t="s">
        <v>79</v>
      </c>
      <c r="T4841" s="2" t="s">
        <v>80</v>
      </c>
      <c r="U4841" s="2" t="s">
        <v>81</v>
      </c>
      <c r="V4841" s="2" t="s">
        <v>42</v>
      </c>
      <c r="W4841" s="2">
        <v>52.5</v>
      </c>
      <c r="X4841" s="2">
        <v>71.900000000000006</v>
      </c>
      <c r="Y4841" s="2" t="s">
        <v>408</v>
      </c>
      <c r="Z4841" s="2" t="s">
        <v>32122</v>
      </c>
      <c r="AA4841" s="2">
        <v>-2.89434474735602</v>
      </c>
      <c r="AB4841" s="2">
        <v>0.119618848117655</v>
      </c>
      <c r="AC4841" s="2">
        <v>12611.846241012599</v>
      </c>
      <c r="AD4841" s="2">
        <v>11015.492412587701</v>
      </c>
      <c r="AE4841" s="2">
        <v>11018.0865696941</v>
      </c>
      <c r="AF4841" s="2">
        <v>13572.513480997401</v>
      </c>
      <c r="AG4841" s="2">
        <v>13482.884138814899</v>
      </c>
      <c r="AH4841" s="2">
        <v>12170.6344873899</v>
      </c>
      <c r="AI4841" s="2">
        <v>12505.0219730068</v>
      </c>
      <c r="AJ4841" s="2">
        <v>12921.9367961723</v>
      </c>
      <c r="AK4841" s="2">
        <v>8693.6114883869395</v>
      </c>
      <c r="AL4841" s="2">
        <v>11287.316440005799</v>
      </c>
      <c r="AM4841" s="2">
        <v>11657.9545712853</v>
      </c>
      <c r="AN4841" s="2">
        <v>12800.2393290245</v>
      </c>
      <c r="AO4841" s="2">
        <v>10274.4284320599</v>
      </c>
      <c r="AP4841" s="2">
        <v>11379.404214763999</v>
      </c>
    </row>
    <row r="4842" spans="1:42" ht="14.5" x14ac:dyDescent="0.35">
      <c r="A4842" s="2" t="s">
        <v>32123</v>
      </c>
      <c r="B4842" s="2">
        <v>441.176244570184</v>
      </c>
      <c r="C4842" s="2">
        <v>3.9884499999999998</v>
      </c>
      <c r="D4842" s="2" t="s">
        <v>70</v>
      </c>
      <c r="E4842" s="2" t="s">
        <v>32124</v>
      </c>
      <c r="F4842" s="2">
        <v>57112</v>
      </c>
      <c r="G4842" s="3" t="str">
        <f>HYPERLINK("http://funmeta.oebiotech.com/network/57112", "http://funmeta.oebiotech.com/network/57112")</f>
        <v>http://funmeta.oebiotech.com/network/57112</v>
      </c>
      <c r="H4842" s="2" t="s">
        <v>32125</v>
      </c>
      <c r="I4842" s="2"/>
      <c r="J4842" s="2"/>
      <c r="K4842" s="2"/>
      <c r="L4842" s="2"/>
      <c r="M4842" s="2"/>
      <c r="N4842" s="2"/>
      <c r="O4842" s="2">
        <v>131751333</v>
      </c>
      <c r="P4842" s="2" t="s">
        <v>32126</v>
      </c>
      <c r="Q4842" s="2" t="s">
        <v>32127</v>
      </c>
      <c r="R4842" s="2" t="s">
        <v>32128</v>
      </c>
      <c r="S4842" s="2" t="s">
        <v>50</v>
      </c>
      <c r="T4842" s="2" t="s">
        <v>201</v>
      </c>
      <c r="U4842" s="2" t="s">
        <v>1217</v>
      </c>
      <c r="V4842" s="2" t="s">
        <v>59</v>
      </c>
      <c r="W4842" s="2">
        <v>47</v>
      </c>
      <c r="X4842" s="2">
        <v>44.4</v>
      </c>
      <c r="Y4842" s="2" t="s">
        <v>408</v>
      </c>
      <c r="Z4842" s="2" t="s">
        <v>4723</v>
      </c>
      <c r="AA4842" s="2">
        <v>-0.94945670686218797</v>
      </c>
      <c r="AB4842" s="2">
        <v>0.119610487996406</v>
      </c>
      <c r="AC4842" s="2">
        <v>2993.57985483526</v>
      </c>
      <c r="AD4842" s="2">
        <v>1695.8272250559401</v>
      </c>
      <c r="AE4842" s="2">
        <v>4851.3896000279101</v>
      </c>
      <c r="AF4842" s="2">
        <v>2846.76988848682</v>
      </c>
      <c r="AG4842" s="2">
        <v>2884.3651691621499</v>
      </c>
      <c r="AH4842" s="2">
        <v>2417.2642588510198</v>
      </c>
      <c r="AI4842" s="2">
        <v>2601.02113962973</v>
      </c>
      <c r="AJ4842" s="2">
        <v>2360.6690728539402</v>
      </c>
      <c r="AK4842" s="2">
        <v>1961.9095735498199</v>
      </c>
      <c r="AL4842" s="2">
        <v>1853.0141711285301</v>
      </c>
      <c r="AM4842" s="2">
        <v>1320.2657807262001</v>
      </c>
      <c r="AN4842" s="2">
        <v>1502.83828163251</v>
      </c>
      <c r="AO4842" s="2">
        <v>1516.72856778188</v>
      </c>
      <c r="AP4842" s="2">
        <v>2020.2069755167199</v>
      </c>
    </row>
    <row r="4843" spans="1:42" ht="14.5" x14ac:dyDescent="0.35">
      <c r="A4843" s="2" t="s">
        <v>32129</v>
      </c>
      <c r="B4843" s="2">
        <v>545.38352834106195</v>
      </c>
      <c r="C4843" s="2">
        <v>10.471816666666699</v>
      </c>
      <c r="D4843" s="2" t="s">
        <v>34</v>
      </c>
      <c r="E4843" s="2" t="s">
        <v>32130</v>
      </c>
      <c r="F4843" s="2">
        <v>50898</v>
      </c>
      <c r="G4843" s="3" t="str">
        <f>HYPERLINK("http://funmeta.oebiotech.com/network/50898", "http://funmeta.oebiotech.com/network/50898")</f>
        <v>http://funmeta.oebiotech.com/network/50898</v>
      </c>
      <c r="H4843" s="2" t="s">
        <v>32131</v>
      </c>
      <c r="I4843" s="2"/>
      <c r="J4843" s="2"/>
      <c r="K4843" s="2"/>
      <c r="L4843" s="2" t="s">
        <v>1994</v>
      </c>
      <c r="M4843" s="2" t="s">
        <v>1995</v>
      </c>
      <c r="N4843" s="2" t="s">
        <v>1996</v>
      </c>
      <c r="O4843" s="2">
        <v>53480449</v>
      </c>
      <c r="P4843" s="2" t="s">
        <v>32132</v>
      </c>
      <c r="Q4843" s="2" t="s">
        <v>32133</v>
      </c>
      <c r="R4843" s="2" t="s">
        <v>32134</v>
      </c>
      <c r="S4843" s="2" t="s">
        <v>50</v>
      </c>
      <c r="T4843" s="2" t="s">
        <v>124</v>
      </c>
      <c r="U4843" s="2" t="s">
        <v>523</v>
      </c>
      <c r="V4843" s="2" t="s">
        <v>59</v>
      </c>
      <c r="W4843" s="2">
        <v>46.4</v>
      </c>
      <c r="X4843" s="2">
        <v>43.3</v>
      </c>
      <c r="Y4843" s="2" t="s">
        <v>141</v>
      </c>
      <c r="Z4843" s="2" t="s">
        <v>32135</v>
      </c>
      <c r="AA4843" s="2">
        <v>-0.244453817325373</v>
      </c>
      <c r="AB4843" s="2">
        <v>0.119585818313271</v>
      </c>
      <c r="AC4843" s="2">
        <v>92422.840108300894</v>
      </c>
      <c r="AD4843" s="2">
        <v>89568.615537009493</v>
      </c>
      <c r="AE4843" s="2">
        <v>95892.161405018705</v>
      </c>
      <c r="AF4843" s="2">
        <v>94990.382828656104</v>
      </c>
      <c r="AG4843" s="2">
        <v>92970.513416578295</v>
      </c>
      <c r="AH4843" s="2">
        <v>86923.793899270095</v>
      </c>
      <c r="AI4843" s="2">
        <v>86500.844607300402</v>
      </c>
      <c r="AJ4843" s="2">
        <v>97259.344492981996</v>
      </c>
      <c r="AK4843" s="2">
        <v>87360.688279780807</v>
      </c>
      <c r="AL4843" s="2">
        <v>87558.752421079902</v>
      </c>
      <c r="AM4843" s="2">
        <v>84269.927124319103</v>
      </c>
      <c r="AN4843" s="2">
        <v>92804.074502998803</v>
      </c>
      <c r="AO4843" s="2">
        <v>97070.037071908198</v>
      </c>
      <c r="AP4843" s="2">
        <v>88348.213821969999</v>
      </c>
    </row>
    <row r="4844" spans="1:42" ht="14.5" x14ac:dyDescent="0.35">
      <c r="A4844" s="2" t="s">
        <v>32136</v>
      </c>
      <c r="B4844" s="2">
        <v>171.07622296326301</v>
      </c>
      <c r="C4844" s="2">
        <v>0.73473333333333302</v>
      </c>
      <c r="D4844" s="2" t="s">
        <v>34</v>
      </c>
      <c r="E4844" s="2" t="s">
        <v>32137</v>
      </c>
      <c r="F4844" s="2">
        <v>52642</v>
      </c>
      <c r="G4844" s="3" t="str">
        <f>HYPERLINK("http://funmeta.oebiotech.com/network/52642", "http://funmeta.oebiotech.com/network/52642")</f>
        <v>http://funmeta.oebiotech.com/network/52642</v>
      </c>
      <c r="H4844" s="2" t="s">
        <v>32138</v>
      </c>
      <c r="I4844" s="2">
        <v>1145</v>
      </c>
      <c r="J4844" s="2"/>
      <c r="K4844" s="2">
        <v>6775</v>
      </c>
      <c r="L4844" s="2" t="s">
        <v>32139</v>
      </c>
      <c r="M4844" s="2"/>
      <c r="N4844" s="2"/>
      <c r="O4844" s="2">
        <v>4075</v>
      </c>
      <c r="P4844" s="2" t="s">
        <v>32140</v>
      </c>
      <c r="Q4844" s="2" t="s">
        <v>32141</v>
      </c>
      <c r="R4844" s="2" t="s">
        <v>32142</v>
      </c>
      <c r="S4844" s="2" t="s">
        <v>148</v>
      </c>
      <c r="T4844" s="2" t="s">
        <v>149</v>
      </c>
      <c r="U4844" s="2" t="s">
        <v>1593</v>
      </c>
      <c r="V4844" s="2" t="s">
        <v>59</v>
      </c>
      <c r="W4844" s="2">
        <v>38.700000000000003</v>
      </c>
      <c r="X4844" s="2">
        <v>0</v>
      </c>
      <c r="Y4844" s="2" t="s">
        <v>43</v>
      </c>
      <c r="Z4844" s="2" t="s">
        <v>4960</v>
      </c>
      <c r="AA4844" s="2">
        <v>-1.2784330342986601</v>
      </c>
      <c r="AB4844" s="2">
        <v>0.11957145462577499</v>
      </c>
      <c r="AC4844" s="2">
        <v>14773.869071930099</v>
      </c>
      <c r="AD4844" s="2">
        <v>13124.5531995941</v>
      </c>
      <c r="AE4844" s="2">
        <v>14078.106828464201</v>
      </c>
      <c r="AF4844" s="2">
        <v>17244.599421001101</v>
      </c>
      <c r="AG4844" s="2">
        <v>13534.150654104</v>
      </c>
      <c r="AH4844" s="2">
        <v>14520.875430795701</v>
      </c>
      <c r="AI4844" s="2">
        <v>15200.410327597499</v>
      </c>
      <c r="AJ4844" s="2">
        <v>14065.0717696182</v>
      </c>
      <c r="AK4844" s="2">
        <v>12722.3253239277</v>
      </c>
      <c r="AL4844" s="2">
        <v>12125.5072063918</v>
      </c>
      <c r="AM4844" s="2">
        <v>14081.0271040598</v>
      </c>
      <c r="AN4844" s="2">
        <v>14491.7619069214</v>
      </c>
      <c r="AO4844" s="2">
        <v>13936.2584745596</v>
      </c>
      <c r="AP4844" s="2">
        <v>11390.4391817045</v>
      </c>
    </row>
    <row r="4845" spans="1:42" ht="14.5" x14ac:dyDescent="0.35">
      <c r="A4845" s="2" t="s">
        <v>32143</v>
      </c>
      <c r="B4845" s="2">
        <v>261.11168861601197</v>
      </c>
      <c r="C4845" s="2">
        <v>3.84351666666667</v>
      </c>
      <c r="D4845" s="2" t="s">
        <v>34</v>
      </c>
      <c r="E4845" s="2" t="s">
        <v>32144</v>
      </c>
      <c r="F4845" s="2">
        <v>212182</v>
      </c>
      <c r="G4845" s="3" t="str">
        <f>HYPERLINK("http://funmeta.oebiotech.com/network/212182", "http://funmeta.oebiotech.com/network/212182")</f>
        <v>http://funmeta.oebiotech.com/network/212182</v>
      </c>
      <c r="H4845" s="2" t="s">
        <v>32145</v>
      </c>
      <c r="I4845" s="2"/>
      <c r="J4845" s="2"/>
      <c r="K4845" s="2"/>
      <c r="L4845" s="2"/>
      <c r="M4845" s="2"/>
      <c r="N4845" s="2"/>
      <c r="O4845" s="2"/>
      <c r="P4845" s="2"/>
      <c r="Q4845" s="2" t="s">
        <v>32146</v>
      </c>
      <c r="R4845" s="2" t="s">
        <v>32147</v>
      </c>
      <c r="S4845" s="2" t="s">
        <v>89</v>
      </c>
      <c r="T4845" s="2" t="s">
        <v>19794</v>
      </c>
      <c r="U4845" s="2" t="s">
        <v>19795</v>
      </c>
      <c r="V4845" s="2" t="s">
        <v>59</v>
      </c>
      <c r="W4845" s="2">
        <v>38.4</v>
      </c>
      <c r="X4845" s="2">
        <v>0</v>
      </c>
      <c r="Y4845" s="2" t="s">
        <v>43</v>
      </c>
      <c r="Z4845" s="2" t="s">
        <v>32148</v>
      </c>
      <c r="AA4845" s="2">
        <v>0.84260587295108302</v>
      </c>
      <c r="AB4845" s="2">
        <v>0.119432932409576</v>
      </c>
      <c r="AC4845" s="2">
        <v>2175.4175068316899</v>
      </c>
      <c r="AD4845" s="2">
        <v>3268.1332766120199</v>
      </c>
      <c r="AE4845" s="2">
        <v>1945.49619956319</v>
      </c>
      <c r="AF4845" s="2">
        <v>2535.7347134854899</v>
      </c>
      <c r="AG4845" s="2">
        <v>2261.65288492032</v>
      </c>
      <c r="AH4845" s="2">
        <v>2160.7776692527</v>
      </c>
      <c r="AI4845" s="2">
        <v>2012.09695481881</v>
      </c>
      <c r="AJ4845" s="2">
        <v>2136.7466189496399</v>
      </c>
      <c r="AK4845" s="2">
        <v>2639.2371764057698</v>
      </c>
      <c r="AL4845" s="2">
        <v>2969.85283791252</v>
      </c>
      <c r="AM4845" s="2">
        <v>3131.4653522635899</v>
      </c>
      <c r="AN4845" s="2">
        <v>3402.8394214325099</v>
      </c>
      <c r="AO4845" s="2">
        <v>3485.6248421332298</v>
      </c>
      <c r="AP4845" s="2">
        <v>3979.7800295244801</v>
      </c>
    </row>
    <row r="4846" spans="1:42" ht="14.5" x14ac:dyDescent="0.35">
      <c r="A4846" s="2" t="s">
        <v>32149</v>
      </c>
      <c r="B4846" s="2">
        <v>551.19249851843699</v>
      </c>
      <c r="C4846" s="2">
        <v>7.3370666666666704</v>
      </c>
      <c r="D4846" s="2" t="s">
        <v>70</v>
      </c>
      <c r="E4846" s="2" t="s">
        <v>32150</v>
      </c>
      <c r="F4846" s="2">
        <v>206393</v>
      </c>
      <c r="G4846" s="3" t="str">
        <f>HYPERLINK("http://funmeta.oebiotech.com/network/206393", "http://funmeta.oebiotech.com/network/206393")</f>
        <v>http://funmeta.oebiotech.com/network/206393</v>
      </c>
      <c r="H4846" s="2" t="s">
        <v>32151</v>
      </c>
      <c r="I4846" s="2"/>
      <c r="J4846" s="2"/>
      <c r="K4846" s="2"/>
      <c r="L4846" s="2"/>
      <c r="M4846" s="2"/>
      <c r="N4846" s="2"/>
      <c r="O4846" s="2">
        <v>18427691</v>
      </c>
      <c r="P4846" s="2"/>
      <c r="Q4846" s="2" t="s">
        <v>32152</v>
      </c>
      <c r="R4846" s="2" t="s">
        <v>32153</v>
      </c>
      <c r="S4846" s="2" t="s">
        <v>491</v>
      </c>
      <c r="T4846" s="2" t="s">
        <v>2429</v>
      </c>
      <c r="U4846" s="2" t="s">
        <v>41</v>
      </c>
      <c r="V4846" s="2" t="s">
        <v>59</v>
      </c>
      <c r="W4846" s="2">
        <v>38.299999999999997</v>
      </c>
      <c r="X4846" s="2">
        <v>0</v>
      </c>
      <c r="Y4846" s="2" t="s">
        <v>408</v>
      </c>
      <c r="Z4846" s="2" t="s">
        <v>32154</v>
      </c>
      <c r="AA4846" s="2">
        <v>0.44988645929316001</v>
      </c>
      <c r="AB4846" s="2">
        <v>0.119394615107014</v>
      </c>
      <c r="AC4846" s="2">
        <v>1137.46647460647</v>
      </c>
      <c r="AD4846" s="2">
        <v>91.668200927919202</v>
      </c>
      <c r="AE4846" s="2">
        <v>1275.6801702949101</v>
      </c>
      <c r="AF4846" s="2">
        <v>1433.50245997052</v>
      </c>
      <c r="AG4846" s="2">
        <v>1532.6230986811699</v>
      </c>
      <c r="AH4846" s="2">
        <v>407.58389185870197</v>
      </c>
      <c r="AI4846" s="2">
        <v>1175.4926424508101</v>
      </c>
      <c r="AJ4846" s="2">
        <v>999.91658438269599</v>
      </c>
      <c r="AK4846" s="2">
        <v>2.7106294003980101E-5</v>
      </c>
      <c r="AL4846" s="2">
        <v>120.833709649778</v>
      </c>
      <c r="AM4846" s="2">
        <v>2.7106294003980101E-5</v>
      </c>
      <c r="AN4846" s="2">
        <v>139.09093399517701</v>
      </c>
      <c r="AO4846" s="2">
        <v>154.925034215545</v>
      </c>
      <c r="AP4846" s="2">
        <v>135.159473494427</v>
      </c>
    </row>
    <row r="4847" spans="1:42" ht="14.5" x14ac:dyDescent="0.35">
      <c r="A4847" s="2" t="s">
        <v>32155</v>
      </c>
      <c r="B4847" s="2">
        <v>335.26882830823098</v>
      </c>
      <c r="C4847" s="2">
        <v>6.0772000000000004</v>
      </c>
      <c r="D4847" s="2" t="s">
        <v>34</v>
      </c>
      <c r="E4847" s="2" t="s">
        <v>32156</v>
      </c>
      <c r="F4847" s="2">
        <v>266870</v>
      </c>
      <c r="G4847" s="3" t="str">
        <f>HYPERLINK("http://funmeta.oebiotech.com/network/266870", "http://funmeta.oebiotech.com/network/266870")</f>
        <v>http://funmeta.oebiotech.com/network/266870</v>
      </c>
      <c r="H4847" s="2"/>
      <c r="I4847" s="2">
        <v>44157</v>
      </c>
      <c r="J4847" s="2"/>
      <c r="K4847" s="2"/>
      <c r="L4847" s="2"/>
      <c r="M4847" s="2"/>
      <c r="N4847" s="2"/>
      <c r="O4847" s="2">
        <v>3166</v>
      </c>
      <c r="P4847" s="2" t="s">
        <v>32157</v>
      </c>
      <c r="Q4847" s="2" t="s">
        <v>32158</v>
      </c>
      <c r="R4847" s="2" t="s">
        <v>32159</v>
      </c>
      <c r="S4847" s="2" t="s">
        <v>148</v>
      </c>
      <c r="T4847" s="2" t="s">
        <v>149</v>
      </c>
      <c r="U4847" s="2" t="s">
        <v>41</v>
      </c>
      <c r="V4847" s="2" t="s">
        <v>59</v>
      </c>
      <c r="W4847" s="2">
        <v>37.799999999999997</v>
      </c>
      <c r="X4847" s="2">
        <v>0</v>
      </c>
      <c r="Y4847" s="2" t="s">
        <v>43</v>
      </c>
      <c r="Z4847" s="2" t="s">
        <v>32160</v>
      </c>
      <c r="AA4847" s="2">
        <v>-1.5019122700405501</v>
      </c>
      <c r="AB4847" s="2">
        <v>0.11938310998672</v>
      </c>
      <c r="AC4847" s="2">
        <v>1043.6020385362899</v>
      </c>
      <c r="AD4847" s="2">
        <v>2254.2461866222002</v>
      </c>
      <c r="AE4847" s="2">
        <v>1540.8113739640401</v>
      </c>
      <c r="AF4847" s="2">
        <v>860.90626655126096</v>
      </c>
      <c r="AG4847" s="2">
        <v>744.64886940758697</v>
      </c>
      <c r="AH4847" s="2">
        <v>1247.7901279779101</v>
      </c>
      <c r="AI4847" s="2">
        <v>891.35428805179004</v>
      </c>
      <c r="AJ4847" s="2">
        <v>976.10130526512796</v>
      </c>
      <c r="AK4847" s="2">
        <v>1384.57347481835</v>
      </c>
      <c r="AL4847" s="2">
        <v>2121.9707007788202</v>
      </c>
      <c r="AM4847" s="2">
        <v>2168.64554485801</v>
      </c>
      <c r="AN4847" s="2">
        <v>2240.3472612208102</v>
      </c>
      <c r="AO4847" s="2">
        <v>3571.44278656285</v>
      </c>
      <c r="AP4847" s="2">
        <v>2038.4973514943299</v>
      </c>
    </row>
    <row r="4848" spans="1:42" ht="14.5" x14ac:dyDescent="0.35">
      <c r="A4848" s="2" t="s">
        <v>32161</v>
      </c>
      <c r="B4848" s="2">
        <v>467.19210840994299</v>
      </c>
      <c r="C4848" s="2">
        <v>5.7665166666666696</v>
      </c>
      <c r="D4848" s="2" t="s">
        <v>70</v>
      </c>
      <c r="E4848" s="2" t="s">
        <v>32162</v>
      </c>
      <c r="F4848" s="2">
        <v>289987</v>
      </c>
      <c r="G4848" s="3" t="str">
        <f>HYPERLINK("http://funmeta.oebiotech.com/network/289987", "http://funmeta.oebiotech.com/network/289987")</f>
        <v>http://funmeta.oebiotech.com/network/289987</v>
      </c>
      <c r="H4848" s="2"/>
      <c r="I4848" s="2">
        <v>103475</v>
      </c>
      <c r="J4848" s="2"/>
      <c r="K4848" s="2"/>
      <c r="L4848" s="2"/>
      <c r="M4848" s="2"/>
      <c r="N4848" s="2"/>
      <c r="O4848" s="2">
        <v>119802</v>
      </c>
      <c r="P4848" s="2" t="s">
        <v>32163</v>
      </c>
      <c r="Q4848" s="2" t="s">
        <v>32164</v>
      </c>
      <c r="R4848" s="2" t="s">
        <v>32165</v>
      </c>
      <c r="S4848" s="2" t="s">
        <v>491</v>
      </c>
      <c r="T4848" s="2" t="s">
        <v>2184</v>
      </c>
      <c r="U4848" s="2" t="s">
        <v>5421</v>
      </c>
      <c r="V4848" s="2" t="s">
        <v>59</v>
      </c>
      <c r="W4848" s="2">
        <v>38.9</v>
      </c>
      <c r="X4848" s="2">
        <v>0</v>
      </c>
      <c r="Y4848" s="2" t="s">
        <v>560</v>
      </c>
      <c r="Z4848" s="2" t="s">
        <v>32166</v>
      </c>
      <c r="AA4848" s="2">
        <v>-3.2033100030620099</v>
      </c>
      <c r="AB4848" s="2">
        <v>0.11929831193634</v>
      </c>
      <c r="AC4848" s="2">
        <v>5482.7630436916797</v>
      </c>
      <c r="AD4848" s="2">
        <v>4194.5152612028596</v>
      </c>
      <c r="AE4848" s="2">
        <v>4958.1054629547898</v>
      </c>
      <c r="AF4848" s="2">
        <v>5712.2922636857702</v>
      </c>
      <c r="AG4848" s="2">
        <v>6815.1292213893203</v>
      </c>
      <c r="AH4848" s="2">
        <v>5928.6756317971804</v>
      </c>
      <c r="AI4848" s="2">
        <v>5032.4672824251002</v>
      </c>
      <c r="AJ4848" s="2">
        <v>4449.9083998979404</v>
      </c>
      <c r="AK4848" s="2">
        <v>4186.38979434253</v>
      </c>
      <c r="AL4848" s="2">
        <v>5071.6382234742596</v>
      </c>
      <c r="AM4848" s="2">
        <v>4205.9941531186096</v>
      </c>
      <c r="AN4848" s="2">
        <v>3850.2690799770799</v>
      </c>
      <c r="AO4848" s="2">
        <v>4160.6366758616596</v>
      </c>
      <c r="AP4848" s="2">
        <v>3692.1636404429901</v>
      </c>
    </row>
    <row r="4849" spans="1:42" ht="14.5" x14ac:dyDescent="0.35">
      <c r="A4849" s="2" t="s">
        <v>32167</v>
      </c>
      <c r="B4849" s="2">
        <v>405.19176287785803</v>
      </c>
      <c r="C4849" s="2">
        <v>5.4683000000000002</v>
      </c>
      <c r="D4849" s="2" t="s">
        <v>70</v>
      </c>
      <c r="E4849" s="2" t="s">
        <v>32168</v>
      </c>
      <c r="F4849" s="2">
        <v>45048</v>
      </c>
      <c r="G4849" s="3" t="str">
        <f>HYPERLINK("http://funmeta.oebiotech.com/network/45048", "http://funmeta.oebiotech.com/network/45048")</f>
        <v>http://funmeta.oebiotech.com/network/45048</v>
      </c>
      <c r="H4849" s="2" t="s">
        <v>32169</v>
      </c>
      <c r="I4849" s="2">
        <v>2065</v>
      </c>
      <c r="J4849" s="2" t="s">
        <v>32170</v>
      </c>
      <c r="K4849" s="2">
        <v>8378</v>
      </c>
      <c r="L4849" s="2" t="s">
        <v>32171</v>
      </c>
      <c r="M4849" s="2"/>
      <c r="N4849" s="2"/>
      <c r="O4849" s="2">
        <v>5755</v>
      </c>
      <c r="P4849" s="2" t="s">
        <v>32172</v>
      </c>
      <c r="Q4849" s="2" t="s">
        <v>32173</v>
      </c>
      <c r="R4849" s="2" t="s">
        <v>32174</v>
      </c>
      <c r="S4849" s="2" t="s">
        <v>50</v>
      </c>
      <c r="T4849" s="2" t="s">
        <v>124</v>
      </c>
      <c r="U4849" s="2" t="s">
        <v>1136</v>
      </c>
      <c r="V4849" s="2" t="s">
        <v>59</v>
      </c>
      <c r="W4849" s="2">
        <v>39.1</v>
      </c>
      <c r="X4849" s="2">
        <v>0</v>
      </c>
      <c r="Y4849" s="2" t="s">
        <v>408</v>
      </c>
      <c r="Z4849" s="2" t="s">
        <v>32175</v>
      </c>
      <c r="AA4849" s="2">
        <v>-0.31646280990329301</v>
      </c>
      <c r="AB4849" s="2">
        <v>0.11913970490093399</v>
      </c>
      <c r="AC4849" s="2">
        <v>12515.575273164101</v>
      </c>
      <c r="AD4849" s="2">
        <v>10744.8391688302</v>
      </c>
      <c r="AE4849" s="2">
        <v>11905.2893430641</v>
      </c>
      <c r="AF4849" s="2">
        <v>14102.640096171401</v>
      </c>
      <c r="AG4849" s="2">
        <v>12551.845569884001</v>
      </c>
      <c r="AH4849" s="2">
        <v>12014.176610636599</v>
      </c>
      <c r="AI4849" s="2">
        <v>13213.886294342899</v>
      </c>
      <c r="AJ4849" s="2">
        <v>11305.613724885799</v>
      </c>
      <c r="AK4849" s="2">
        <v>9309.7917553343195</v>
      </c>
      <c r="AL4849" s="2">
        <v>14515.058222526</v>
      </c>
      <c r="AM4849" s="2">
        <v>10911.5266546108</v>
      </c>
      <c r="AN4849" s="2">
        <v>10047.2032817938</v>
      </c>
      <c r="AO4849" s="2">
        <v>10714.1352373913</v>
      </c>
      <c r="AP4849" s="2">
        <v>8971.3198613248405</v>
      </c>
    </row>
    <row r="4850" spans="1:42" ht="14.5" x14ac:dyDescent="0.35">
      <c r="A4850" s="2" t="s">
        <v>32176</v>
      </c>
      <c r="B4850" s="2">
        <v>555.36814321067402</v>
      </c>
      <c r="C4850" s="2">
        <v>10.890933333333299</v>
      </c>
      <c r="D4850" s="2" t="s">
        <v>34</v>
      </c>
      <c r="E4850" s="2" t="s">
        <v>32177</v>
      </c>
      <c r="F4850" s="2">
        <v>50910</v>
      </c>
      <c r="G4850" s="3" t="str">
        <f>HYPERLINK("http://funmeta.oebiotech.com/network/50910", "http://funmeta.oebiotech.com/network/50910")</f>
        <v>http://funmeta.oebiotech.com/network/50910</v>
      </c>
      <c r="H4850" s="2" t="s">
        <v>32178</v>
      </c>
      <c r="I4850" s="2">
        <v>41942</v>
      </c>
      <c r="J4850" s="2"/>
      <c r="K4850" s="2"/>
      <c r="L4850" s="2"/>
      <c r="M4850" s="2"/>
      <c r="N4850" s="2"/>
      <c r="O4850" s="2">
        <v>6443809</v>
      </c>
      <c r="P4850" s="2"/>
      <c r="Q4850" s="2" t="s">
        <v>32179</v>
      </c>
      <c r="R4850" s="2" t="s">
        <v>32180</v>
      </c>
      <c r="S4850" s="2" t="s">
        <v>50</v>
      </c>
      <c r="T4850" s="2" t="s">
        <v>124</v>
      </c>
      <c r="U4850" s="2" t="s">
        <v>982</v>
      </c>
      <c r="V4850" s="2" t="s">
        <v>59</v>
      </c>
      <c r="W4850" s="2">
        <v>38.299999999999997</v>
      </c>
      <c r="X4850" s="2">
        <v>0</v>
      </c>
      <c r="Y4850" s="2" t="s">
        <v>141</v>
      </c>
      <c r="Z4850" s="2" t="s">
        <v>32181</v>
      </c>
      <c r="AA4850" s="2">
        <v>0.22268082527915201</v>
      </c>
      <c r="AB4850" s="2">
        <v>0.11912395063971799</v>
      </c>
      <c r="AC4850" s="2">
        <v>6541.9704197316296</v>
      </c>
      <c r="AD4850" s="2">
        <v>7925.8852907349601</v>
      </c>
      <c r="AE4850" s="2">
        <v>5744.6560115025904</v>
      </c>
      <c r="AF4850" s="2">
        <v>5880.210968808</v>
      </c>
      <c r="AG4850" s="2">
        <v>6811.7838216443497</v>
      </c>
      <c r="AH4850" s="2">
        <v>6796.5462734973198</v>
      </c>
      <c r="AI4850" s="2">
        <v>6276.1368722465604</v>
      </c>
      <c r="AJ4850" s="2">
        <v>7742.4885706909699</v>
      </c>
      <c r="AK4850" s="2">
        <v>6344.2859140364899</v>
      </c>
      <c r="AL4850" s="2">
        <v>7550.1919267219901</v>
      </c>
      <c r="AM4850" s="2">
        <v>8260.6808274085597</v>
      </c>
      <c r="AN4850" s="2">
        <v>7799.5378833867098</v>
      </c>
      <c r="AO4850" s="2">
        <v>8894.7489290224494</v>
      </c>
      <c r="AP4850" s="2">
        <v>8705.86626383359</v>
      </c>
    </row>
    <row r="4851" spans="1:42" ht="14.5" x14ac:dyDescent="0.35">
      <c r="A4851" s="2" t="s">
        <v>32182</v>
      </c>
      <c r="B4851" s="2">
        <v>599.11687410700597</v>
      </c>
      <c r="C4851" s="2">
        <v>3.95061666666667</v>
      </c>
      <c r="D4851" s="2" t="s">
        <v>70</v>
      </c>
      <c r="E4851" s="2" t="s">
        <v>32183</v>
      </c>
      <c r="F4851" s="2">
        <v>31169</v>
      </c>
      <c r="G4851" s="3" t="str">
        <f>HYPERLINK("http://funmeta.oebiotech.com/network/31169", "http://funmeta.oebiotech.com/network/31169")</f>
        <v>http://funmeta.oebiotech.com/network/31169</v>
      </c>
      <c r="H4851" s="2" t="s">
        <v>32184</v>
      </c>
      <c r="I4851" s="2">
        <v>49506</v>
      </c>
      <c r="J4851" s="2" t="s">
        <v>32185</v>
      </c>
      <c r="K4851" s="2">
        <v>69541</v>
      </c>
      <c r="L4851" s="2"/>
      <c r="M4851" s="2"/>
      <c r="N4851" s="2"/>
      <c r="O4851" s="2">
        <v>5322076</v>
      </c>
      <c r="P4851" s="2"/>
      <c r="Q4851" s="2" t="s">
        <v>32186</v>
      </c>
      <c r="R4851" s="2" t="s">
        <v>32187</v>
      </c>
      <c r="S4851" s="2" t="s">
        <v>115</v>
      </c>
      <c r="T4851" s="2" t="s">
        <v>139</v>
      </c>
      <c r="U4851" s="2" t="s">
        <v>1552</v>
      </c>
      <c r="V4851" s="2" t="s">
        <v>59</v>
      </c>
      <c r="W4851" s="2">
        <v>43.2</v>
      </c>
      <c r="X4851" s="2">
        <v>31.9</v>
      </c>
      <c r="Y4851" s="2" t="s">
        <v>560</v>
      </c>
      <c r="Z4851" s="2" t="s">
        <v>11353</v>
      </c>
      <c r="AA4851" s="2">
        <v>-4.3751845414080801</v>
      </c>
      <c r="AB4851" s="2">
        <v>0.11909391200241801</v>
      </c>
      <c r="AC4851" s="2">
        <v>80713.4665408008</v>
      </c>
      <c r="AD4851" s="2">
        <v>77427.485667978894</v>
      </c>
      <c r="AE4851" s="2">
        <v>70726.361140187801</v>
      </c>
      <c r="AF4851" s="2">
        <v>74514.748628770394</v>
      </c>
      <c r="AG4851" s="2">
        <v>86217.695401251302</v>
      </c>
      <c r="AH4851" s="2">
        <v>94125.630163327398</v>
      </c>
      <c r="AI4851" s="2">
        <v>80484.949502970005</v>
      </c>
      <c r="AJ4851" s="2">
        <v>78211.414408298195</v>
      </c>
      <c r="AK4851" s="2">
        <v>75232.302610233906</v>
      </c>
      <c r="AL4851" s="2">
        <v>78622.727867494395</v>
      </c>
      <c r="AM4851" s="2">
        <v>78201.961599760107</v>
      </c>
      <c r="AN4851" s="2">
        <v>75803.510320662201</v>
      </c>
      <c r="AO4851" s="2">
        <v>78332.842601886601</v>
      </c>
      <c r="AP4851" s="2">
        <v>78371.569007836195</v>
      </c>
    </row>
    <row r="4852" spans="1:42" ht="14.5" x14ac:dyDescent="0.35">
      <c r="A4852" s="2" t="s">
        <v>32188</v>
      </c>
      <c r="B4852" s="2">
        <v>477.24901067991101</v>
      </c>
      <c r="C4852" s="2">
        <v>10.5087833333333</v>
      </c>
      <c r="D4852" s="2" t="s">
        <v>70</v>
      </c>
      <c r="E4852" s="2" t="s">
        <v>32189</v>
      </c>
      <c r="F4852" s="2">
        <v>206333</v>
      </c>
      <c r="G4852" s="3" t="str">
        <f>HYPERLINK("http://funmeta.oebiotech.com/network/206333", "http://funmeta.oebiotech.com/network/206333")</f>
        <v>http://funmeta.oebiotech.com/network/206333</v>
      </c>
      <c r="H4852" s="2" t="s">
        <v>32190</v>
      </c>
      <c r="I4852" s="2"/>
      <c r="J4852" s="2"/>
      <c r="K4852" s="2"/>
      <c r="L4852" s="2"/>
      <c r="M4852" s="2"/>
      <c r="N4852" s="2"/>
      <c r="O4852" s="2">
        <v>101726</v>
      </c>
      <c r="P4852" s="2"/>
      <c r="Q4852" s="2" t="s">
        <v>32191</v>
      </c>
      <c r="R4852" s="2" t="s">
        <v>32192</v>
      </c>
      <c r="S4852" s="2" t="s">
        <v>41</v>
      </c>
      <c r="T4852" s="2" t="s">
        <v>41</v>
      </c>
      <c r="U4852" s="2" t="s">
        <v>41</v>
      </c>
      <c r="V4852" s="2" t="s">
        <v>59</v>
      </c>
      <c r="W4852" s="2">
        <v>38.1</v>
      </c>
      <c r="X4852" s="2">
        <v>0</v>
      </c>
      <c r="Y4852" s="2" t="s">
        <v>560</v>
      </c>
      <c r="Z4852" s="2" t="s">
        <v>32193</v>
      </c>
      <c r="AA4852" s="2">
        <v>4.8180996992609302</v>
      </c>
      <c r="AB4852" s="2">
        <v>0.11902378811936</v>
      </c>
      <c r="AC4852" s="2">
        <v>236.33024472795501</v>
      </c>
      <c r="AD4852" s="2">
        <v>1214.8645675842499</v>
      </c>
      <c r="AE4852" s="2">
        <v>299.63981029869001</v>
      </c>
      <c r="AF4852" s="2">
        <v>242.122181098775</v>
      </c>
      <c r="AG4852" s="2">
        <v>356.64178472738098</v>
      </c>
      <c r="AH4852" s="2">
        <v>240.77602776655701</v>
      </c>
      <c r="AI4852" s="2">
        <v>150.62635101357799</v>
      </c>
      <c r="AJ4852" s="2">
        <v>128.175313462747</v>
      </c>
      <c r="AK4852" s="2">
        <v>913.77567051318601</v>
      </c>
      <c r="AL4852" s="2">
        <v>1000.15190473857</v>
      </c>
      <c r="AM4852" s="2">
        <v>1433.99683149671</v>
      </c>
      <c r="AN4852" s="2">
        <v>1440.0783509877101</v>
      </c>
      <c r="AO4852" s="2">
        <v>1105.9107784176899</v>
      </c>
      <c r="AP4852" s="2">
        <v>1395.2738693516401</v>
      </c>
    </row>
    <row r="4853" spans="1:42" ht="14.5" x14ac:dyDescent="0.35">
      <c r="A4853" s="2" t="s">
        <v>32194</v>
      </c>
      <c r="B4853" s="2">
        <v>891.47564762633704</v>
      </c>
      <c r="C4853" s="2">
        <v>4.7862166666666699</v>
      </c>
      <c r="D4853" s="2" t="s">
        <v>34</v>
      </c>
      <c r="E4853" s="2" t="s">
        <v>32195</v>
      </c>
      <c r="F4853" s="2">
        <v>225655</v>
      </c>
      <c r="G4853" s="3" t="str">
        <f>HYPERLINK("http://funmeta.oebiotech.com/network/225655", "http://funmeta.oebiotech.com/network/225655")</f>
        <v>http://funmeta.oebiotech.com/network/225655</v>
      </c>
      <c r="H4853" s="2" t="s">
        <v>32196</v>
      </c>
      <c r="I4853" s="2"/>
      <c r="J4853" s="2"/>
      <c r="K4853" s="2"/>
      <c r="L4853" s="2"/>
      <c r="M4853" s="2"/>
      <c r="N4853" s="2"/>
      <c r="O4853" s="2"/>
      <c r="P4853" s="2"/>
      <c r="Q4853" s="2" t="s">
        <v>32197</v>
      </c>
      <c r="R4853" s="2" t="s">
        <v>32198</v>
      </c>
      <c r="S4853" s="2" t="s">
        <v>41</v>
      </c>
      <c r="T4853" s="2" t="s">
        <v>41</v>
      </c>
      <c r="U4853" s="2" t="s">
        <v>41</v>
      </c>
      <c r="V4853" s="2" t="s">
        <v>59</v>
      </c>
      <c r="W4853" s="2">
        <v>38.700000000000003</v>
      </c>
      <c r="X4853" s="2">
        <v>0.57799999999999996</v>
      </c>
      <c r="Y4853" s="2" t="s">
        <v>250</v>
      </c>
      <c r="Z4853" s="2" t="s">
        <v>24864</v>
      </c>
      <c r="AA4853" s="2">
        <v>-0.29187432406590902</v>
      </c>
      <c r="AB4853" s="2">
        <v>0.11898906604281</v>
      </c>
      <c r="AC4853" s="2">
        <v>1525957.7831696901</v>
      </c>
      <c r="AD4853" s="2">
        <v>1514197.8743527499</v>
      </c>
      <c r="AE4853" s="2">
        <v>1536492.6378677301</v>
      </c>
      <c r="AF4853" s="2">
        <v>1568634.39737403</v>
      </c>
      <c r="AG4853" s="2">
        <v>1495168.55699363</v>
      </c>
      <c r="AH4853" s="2">
        <v>1634275.0733655901</v>
      </c>
      <c r="AI4853" s="2">
        <v>1551680.8298374601</v>
      </c>
      <c r="AJ4853" s="2">
        <v>1369495.2035797001</v>
      </c>
      <c r="AK4853" s="2">
        <v>1434385.78315454</v>
      </c>
      <c r="AL4853" s="2">
        <v>1537560.7038428299</v>
      </c>
      <c r="AM4853" s="2">
        <v>1611593.2562565601</v>
      </c>
      <c r="AN4853" s="2">
        <v>1433926.2791503901</v>
      </c>
      <c r="AO4853" s="2">
        <v>1535657.8697846499</v>
      </c>
      <c r="AP4853" s="2">
        <v>1532063.3539275399</v>
      </c>
    </row>
    <row r="4854" spans="1:42" ht="14.5" x14ac:dyDescent="0.35">
      <c r="A4854" s="2" t="s">
        <v>32199</v>
      </c>
      <c r="B4854" s="2">
        <v>630.23991011763599</v>
      </c>
      <c r="C4854" s="2">
        <v>6.2733666666666696</v>
      </c>
      <c r="D4854" s="2" t="s">
        <v>70</v>
      </c>
      <c r="E4854" s="2" t="s">
        <v>32200</v>
      </c>
      <c r="F4854" s="2">
        <v>206311</v>
      </c>
      <c r="G4854" s="3" t="str">
        <f>HYPERLINK("http://funmeta.oebiotech.com/network/206311", "http://funmeta.oebiotech.com/network/206311")</f>
        <v>http://funmeta.oebiotech.com/network/206311</v>
      </c>
      <c r="H4854" s="2" t="s">
        <v>32201</v>
      </c>
      <c r="I4854" s="2"/>
      <c r="J4854" s="2"/>
      <c r="K4854" s="2"/>
      <c r="L4854" s="2"/>
      <c r="M4854" s="2"/>
      <c r="N4854" s="2"/>
      <c r="O4854" s="2">
        <v>119171</v>
      </c>
      <c r="P4854" s="2"/>
      <c r="Q4854" s="2" t="s">
        <v>32202</v>
      </c>
      <c r="R4854" s="2" t="s">
        <v>32203</v>
      </c>
      <c r="S4854" s="2" t="s">
        <v>148</v>
      </c>
      <c r="T4854" s="2" t="s">
        <v>149</v>
      </c>
      <c r="U4854" s="2" t="s">
        <v>7374</v>
      </c>
      <c r="V4854" s="2" t="s">
        <v>59</v>
      </c>
      <c r="W4854" s="2">
        <v>37.9</v>
      </c>
      <c r="X4854" s="2">
        <v>0.59899999999999998</v>
      </c>
      <c r="Y4854" s="2" t="s">
        <v>118</v>
      </c>
      <c r="Z4854" s="2" t="s">
        <v>32204</v>
      </c>
      <c r="AA4854" s="2">
        <v>3.88019022170432</v>
      </c>
      <c r="AB4854" s="2">
        <v>0.118922436285668</v>
      </c>
      <c r="AC4854" s="2">
        <v>858745.88310057903</v>
      </c>
      <c r="AD4854" s="2">
        <v>867136.416692839</v>
      </c>
      <c r="AE4854" s="2">
        <v>870813.26621477504</v>
      </c>
      <c r="AF4854" s="2">
        <v>822327.12117920397</v>
      </c>
      <c r="AG4854" s="2">
        <v>892215.05002590397</v>
      </c>
      <c r="AH4854" s="2">
        <v>851801.15995217499</v>
      </c>
      <c r="AI4854" s="2">
        <v>798142.93739818304</v>
      </c>
      <c r="AJ4854" s="2">
        <v>917175.76383323595</v>
      </c>
      <c r="AK4854" s="2">
        <v>817102.30773100804</v>
      </c>
      <c r="AL4854" s="2">
        <v>893003.15310532704</v>
      </c>
      <c r="AM4854" s="2">
        <v>889166.22185676405</v>
      </c>
      <c r="AN4854" s="2">
        <v>873585.58981768403</v>
      </c>
      <c r="AO4854" s="2">
        <v>846128.58330534201</v>
      </c>
      <c r="AP4854" s="2">
        <v>883832.64434090804</v>
      </c>
    </row>
    <row r="4855" spans="1:42" ht="14.5" x14ac:dyDescent="0.35">
      <c r="A4855" s="2" t="s">
        <v>32205</v>
      </c>
      <c r="B4855" s="2">
        <v>383.11885625199801</v>
      </c>
      <c r="C4855" s="2">
        <v>0.73909999999999998</v>
      </c>
      <c r="D4855" s="2" t="s">
        <v>70</v>
      </c>
      <c r="E4855" s="2" t="s">
        <v>32206</v>
      </c>
      <c r="F4855" s="2">
        <v>211817</v>
      </c>
      <c r="G4855" s="3" t="str">
        <f>HYPERLINK("http://funmeta.oebiotech.com/network/211817", "http://funmeta.oebiotech.com/network/211817")</f>
        <v>http://funmeta.oebiotech.com/network/211817</v>
      </c>
      <c r="H4855" s="2" t="s">
        <v>32207</v>
      </c>
      <c r="I4855" s="2"/>
      <c r="J4855" s="2"/>
      <c r="K4855" s="2"/>
      <c r="L4855" s="2"/>
      <c r="M4855" s="2"/>
      <c r="N4855" s="2"/>
      <c r="O4855" s="2"/>
      <c r="P4855" s="2"/>
      <c r="Q4855" s="2" t="s">
        <v>32208</v>
      </c>
      <c r="R4855" s="2" t="s">
        <v>32209</v>
      </c>
      <c r="S4855" s="2" t="s">
        <v>148</v>
      </c>
      <c r="T4855" s="2" t="s">
        <v>6221</v>
      </c>
      <c r="U4855" s="2" t="s">
        <v>23296</v>
      </c>
      <c r="V4855" s="2" t="s">
        <v>59</v>
      </c>
      <c r="W4855" s="2">
        <v>40.5</v>
      </c>
      <c r="X4855" s="2">
        <v>16</v>
      </c>
      <c r="Y4855" s="2" t="s">
        <v>792</v>
      </c>
      <c r="Z4855" s="2" t="s">
        <v>32210</v>
      </c>
      <c r="AA4855" s="2">
        <v>-3.16638990911152</v>
      </c>
      <c r="AB4855" s="2">
        <v>0.118901607877253</v>
      </c>
      <c r="AC4855" s="2">
        <v>23335270.7147181</v>
      </c>
      <c r="AD4855" s="2">
        <v>23301701.9075168</v>
      </c>
      <c r="AE4855" s="2">
        <v>23144371.701707199</v>
      </c>
      <c r="AF4855" s="2">
        <v>22560955.5870419</v>
      </c>
      <c r="AG4855" s="2">
        <v>25233912.384668399</v>
      </c>
      <c r="AH4855" s="2">
        <v>23053347.5155457</v>
      </c>
      <c r="AI4855" s="2">
        <v>22922346.441984199</v>
      </c>
      <c r="AJ4855" s="2">
        <v>23096690.657361001</v>
      </c>
      <c r="AK4855" s="2">
        <v>23279111.750895798</v>
      </c>
      <c r="AL4855" s="2">
        <v>23486716.870955899</v>
      </c>
      <c r="AM4855" s="2">
        <v>24322159.036602098</v>
      </c>
      <c r="AN4855" s="2">
        <v>22370929.927595701</v>
      </c>
      <c r="AO4855" s="2">
        <v>23942653.870393202</v>
      </c>
      <c r="AP4855" s="2">
        <v>22408639.988658398</v>
      </c>
    </row>
    <row r="4856" spans="1:42" ht="14.5" x14ac:dyDescent="0.35">
      <c r="A4856" s="2" t="s">
        <v>32211</v>
      </c>
      <c r="B4856" s="2">
        <v>283.07899697763702</v>
      </c>
      <c r="C4856" s="2">
        <v>3.6063166666666699</v>
      </c>
      <c r="D4856" s="2" t="s">
        <v>34</v>
      </c>
      <c r="E4856" s="2" t="s">
        <v>32212</v>
      </c>
      <c r="F4856" s="2">
        <v>57187</v>
      </c>
      <c r="G4856" s="3" t="str">
        <f>HYPERLINK("http://funmeta.oebiotech.com/network/57187", "http://funmeta.oebiotech.com/network/57187")</f>
        <v>http://funmeta.oebiotech.com/network/57187</v>
      </c>
      <c r="H4856" s="2" t="s">
        <v>32213</v>
      </c>
      <c r="I4856" s="2">
        <v>88828</v>
      </c>
      <c r="J4856" s="2"/>
      <c r="K4856" s="2">
        <v>168761</v>
      </c>
      <c r="L4856" s="2"/>
      <c r="M4856" s="2"/>
      <c r="N4856" s="2"/>
      <c r="O4856" s="2">
        <v>78302646</v>
      </c>
      <c r="P4856" s="2" t="s">
        <v>32214</v>
      </c>
      <c r="Q4856" s="2" t="s">
        <v>32215</v>
      </c>
      <c r="R4856" s="2" t="s">
        <v>32216</v>
      </c>
      <c r="S4856" s="2" t="s">
        <v>79</v>
      </c>
      <c r="T4856" s="2" t="s">
        <v>80</v>
      </c>
      <c r="U4856" s="2" t="s">
        <v>81</v>
      </c>
      <c r="V4856" s="2" t="s">
        <v>59</v>
      </c>
      <c r="W4856" s="2">
        <v>41.1</v>
      </c>
      <c r="X4856" s="2">
        <v>9.35</v>
      </c>
      <c r="Y4856" s="2" t="s">
        <v>323</v>
      </c>
      <c r="Z4856" s="2" t="s">
        <v>32217</v>
      </c>
      <c r="AA4856" s="2">
        <v>0.66687632016790299</v>
      </c>
      <c r="AB4856" s="2">
        <v>0.11887430144981</v>
      </c>
      <c r="AC4856" s="2">
        <v>31143.570374833602</v>
      </c>
      <c r="AD4856" s="2">
        <v>29206.825019948599</v>
      </c>
      <c r="AE4856" s="2">
        <v>33063.8974073957</v>
      </c>
      <c r="AF4856" s="2">
        <v>28359.780140089999</v>
      </c>
      <c r="AG4856" s="2">
        <v>29741.996990357798</v>
      </c>
      <c r="AH4856" s="2">
        <v>33897.905054752897</v>
      </c>
      <c r="AI4856" s="2">
        <v>30849.847429924401</v>
      </c>
      <c r="AJ4856" s="2">
        <v>30947.995226480602</v>
      </c>
      <c r="AK4856" s="2">
        <v>31036.887005752</v>
      </c>
      <c r="AL4856" s="2">
        <v>28215.2796029766</v>
      </c>
      <c r="AM4856" s="2">
        <v>29210.021438917</v>
      </c>
      <c r="AN4856" s="2">
        <v>27915.281323920801</v>
      </c>
      <c r="AO4856" s="2">
        <v>31687.8207309147</v>
      </c>
      <c r="AP4856" s="2">
        <v>27175.660017210401</v>
      </c>
    </row>
    <row r="4857" spans="1:42" ht="14.5" x14ac:dyDescent="0.35">
      <c r="A4857" s="2" t="s">
        <v>32218</v>
      </c>
      <c r="B4857" s="2">
        <v>158.096272031138</v>
      </c>
      <c r="C4857" s="2">
        <v>14.551116666666699</v>
      </c>
      <c r="D4857" s="2" t="s">
        <v>34</v>
      </c>
      <c r="E4857" s="2" t="s">
        <v>32219</v>
      </c>
      <c r="F4857" s="2">
        <v>57211</v>
      </c>
      <c r="G4857" s="3" t="str">
        <f>HYPERLINK("http://funmeta.oebiotech.com/network/57211", "http://funmeta.oebiotech.com/network/57211")</f>
        <v>http://funmeta.oebiotech.com/network/57211</v>
      </c>
      <c r="H4857" s="2" t="s">
        <v>32220</v>
      </c>
      <c r="I4857" s="2">
        <v>71875</v>
      </c>
      <c r="J4857" s="2"/>
      <c r="K4857" s="2">
        <v>81290</v>
      </c>
      <c r="L4857" s="2" t="s">
        <v>32221</v>
      </c>
      <c r="M4857" s="2"/>
      <c r="N4857" s="2"/>
      <c r="O4857" s="2">
        <v>587245</v>
      </c>
      <c r="P4857" s="2" t="s">
        <v>32222</v>
      </c>
      <c r="Q4857" s="2" t="s">
        <v>32223</v>
      </c>
      <c r="R4857" s="2" t="s">
        <v>32224</v>
      </c>
      <c r="S4857" s="2" t="s">
        <v>148</v>
      </c>
      <c r="T4857" s="2" t="s">
        <v>149</v>
      </c>
      <c r="U4857" s="2" t="s">
        <v>41</v>
      </c>
      <c r="V4857" s="2" t="s">
        <v>59</v>
      </c>
      <c r="W4857" s="2">
        <v>38.700000000000003</v>
      </c>
      <c r="X4857" s="2">
        <v>0</v>
      </c>
      <c r="Y4857" s="2" t="s">
        <v>43</v>
      </c>
      <c r="Z4857" s="2" t="s">
        <v>32225</v>
      </c>
      <c r="AA4857" s="2">
        <v>-1.0977621548898899</v>
      </c>
      <c r="AB4857" s="2">
        <v>0.11887384503816301</v>
      </c>
      <c r="AC4857" s="2">
        <v>5872.0273134087201</v>
      </c>
      <c r="AD4857" s="2">
        <v>7021.73714844201</v>
      </c>
      <c r="AE4857" s="2">
        <v>5728.3213516813603</v>
      </c>
      <c r="AF4857" s="2">
        <v>5980.3994427569396</v>
      </c>
      <c r="AG4857" s="2">
        <v>5999.1086625171902</v>
      </c>
      <c r="AH4857" s="2">
        <v>5714.4359343838696</v>
      </c>
      <c r="AI4857" s="2">
        <v>5651.2506335559101</v>
      </c>
      <c r="AJ4857" s="2">
        <v>6158.6478555570702</v>
      </c>
      <c r="AK4857" s="2">
        <v>7788.5357424587601</v>
      </c>
      <c r="AL4857" s="2">
        <v>6749.6348514227002</v>
      </c>
      <c r="AM4857" s="2">
        <v>7804.7191690830196</v>
      </c>
      <c r="AN4857" s="2">
        <v>6445.8104262510797</v>
      </c>
      <c r="AO4857" s="2">
        <v>6797.9905845509002</v>
      </c>
      <c r="AP4857" s="2">
        <v>6543.7321168855797</v>
      </c>
    </row>
    <row r="4858" spans="1:42" ht="14.5" x14ac:dyDescent="0.35">
      <c r="A4858" s="2" t="s">
        <v>32226</v>
      </c>
      <c r="B4858" s="2">
        <v>357.29975978653698</v>
      </c>
      <c r="C4858" s="2">
        <v>11.18065</v>
      </c>
      <c r="D4858" s="2" t="s">
        <v>34</v>
      </c>
      <c r="E4858" s="2" t="s">
        <v>32227</v>
      </c>
      <c r="F4858" s="2">
        <v>10435</v>
      </c>
      <c r="G4858" s="3" t="str">
        <f>HYPERLINK("http://funmeta.oebiotech.com/network/10435", "http://funmeta.oebiotech.com/network/10435")</f>
        <v>http://funmeta.oebiotech.com/network/10435</v>
      </c>
      <c r="H4858" s="2" t="s">
        <v>32228</v>
      </c>
      <c r="I4858" s="2">
        <v>4251</v>
      </c>
      <c r="J4858" s="2" t="s">
        <v>32229</v>
      </c>
      <c r="K4858" s="2">
        <v>75342</v>
      </c>
      <c r="L4858" s="2"/>
      <c r="M4858" s="2"/>
      <c r="N4858" s="2"/>
      <c r="O4858" s="2">
        <v>5283468</v>
      </c>
      <c r="P4858" s="2" t="s">
        <v>32230</v>
      </c>
      <c r="Q4858" s="2" t="s">
        <v>32231</v>
      </c>
      <c r="R4858" s="2" t="s">
        <v>32232</v>
      </c>
      <c r="S4858" s="2" t="s">
        <v>50</v>
      </c>
      <c r="T4858" s="2" t="s">
        <v>448</v>
      </c>
      <c r="U4858" s="2" t="s">
        <v>7051</v>
      </c>
      <c r="V4858" s="2" t="s">
        <v>42</v>
      </c>
      <c r="W4858" s="2">
        <v>57.9</v>
      </c>
      <c r="X4858" s="2">
        <v>93.7</v>
      </c>
      <c r="Y4858" s="2" t="s">
        <v>394</v>
      </c>
      <c r="Z4858" s="2" t="s">
        <v>9884</v>
      </c>
      <c r="AA4858" s="2">
        <v>-0.49511686044682301</v>
      </c>
      <c r="AB4858" s="2">
        <v>0.118828843579339</v>
      </c>
      <c r="AC4858" s="2">
        <v>25288.286195752898</v>
      </c>
      <c r="AD4858" s="2">
        <v>27308.818890642899</v>
      </c>
      <c r="AE4858" s="2">
        <v>25937.596066893999</v>
      </c>
      <c r="AF4858" s="2">
        <v>24049.360482677101</v>
      </c>
      <c r="AG4858" s="2">
        <v>28316.848520616601</v>
      </c>
      <c r="AH4858" s="2">
        <v>26038.827684141001</v>
      </c>
      <c r="AI4858" s="2">
        <v>23866.6044262295</v>
      </c>
      <c r="AJ4858" s="2">
        <v>23520.479993959201</v>
      </c>
      <c r="AK4858" s="2">
        <v>24005.0523672448</v>
      </c>
      <c r="AL4858" s="2">
        <v>30740.599214564401</v>
      </c>
      <c r="AM4858" s="2">
        <v>27931.806244666201</v>
      </c>
      <c r="AN4858" s="2">
        <v>26748.628376304699</v>
      </c>
      <c r="AO4858" s="2">
        <v>28606.3542982338</v>
      </c>
      <c r="AP4858" s="2">
        <v>25820.472842843399</v>
      </c>
    </row>
    <row r="4859" spans="1:42" ht="14.5" x14ac:dyDescent="0.35">
      <c r="A4859" s="2" t="s">
        <v>32233</v>
      </c>
      <c r="B4859" s="2">
        <v>141.09094256377901</v>
      </c>
      <c r="C4859" s="2">
        <v>4.2432666666666696</v>
      </c>
      <c r="D4859" s="2" t="s">
        <v>34</v>
      </c>
      <c r="E4859" s="2" t="s">
        <v>32234</v>
      </c>
      <c r="F4859" s="2">
        <v>82557</v>
      </c>
      <c r="G4859" s="3" t="str">
        <f>HYPERLINK("http://funmeta.oebiotech.com/network/82557", "http://funmeta.oebiotech.com/network/82557")</f>
        <v>http://funmeta.oebiotech.com/network/82557</v>
      </c>
      <c r="H4859" s="2" t="s">
        <v>32235</v>
      </c>
      <c r="I4859" s="2">
        <v>2990</v>
      </c>
      <c r="J4859" s="2"/>
      <c r="K4859" s="2">
        <v>80638</v>
      </c>
      <c r="L4859" s="2" t="s">
        <v>32236</v>
      </c>
      <c r="M4859" s="2" t="s">
        <v>11721</v>
      </c>
      <c r="N4859" s="2" t="s">
        <v>11722</v>
      </c>
      <c r="O4859" s="2">
        <v>173719</v>
      </c>
      <c r="P4859" s="2" t="s">
        <v>32237</v>
      </c>
      <c r="Q4859" s="2" t="s">
        <v>32238</v>
      </c>
      <c r="R4859" s="2" t="s">
        <v>32239</v>
      </c>
      <c r="S4859" s="2" t="s">
        <v>89</v>
      </c>
      <c r="T4859" s="2" t="s">
        <v>2718</v>
      </c>
      <c r="U4859" s="2" t="s">
        <v>25095</v>
      </c>
      <c r="V4859" s="2" t="s">
        <v>59</v>
      </c>
      <c r="W4859" s="2">
        <v>38.200000000000003</v>
      </c>
      <c r="X4859" s="2">
        <v>0</v>
      </c>
      <c r="Y4859" s="2" t="s">
        <v>266</v>
      </c>
      <c r="Z4859" s="2" t="s">
        <v>32240</v>
      </c>
      <c r="AA4859" s="2">
        <v>-0.40162032109097501</v>
      </c>
      <c r="AB4859" s="2">
        <v>0.118809287620969</v>
      </c>
      <c r="AC4859" s="2">
        <v>3432.7762901541701</v>
      </c>
      <c r="AD4859" s="2">
        <v>4425.9619639082403</v>
      </c>
      <c r="AE4859" s="2">
        <v>3441.4066628803098</v>
      </c>
      <c r="AF4859" s="2">
        <v>3616.9164157396999</v>
      </c>
      <c r="AG4859" s="2">
        <v>3152.7083162358399</v>
      </c>
      <c r="AH4859" s="2">
        <v>3316.7373057928799</v>
      </c>
      <c r="AI4859" s="2">
        <v>3518.8935712841499</v>
      </c>
      <c r="AJ4859" s="2">
        <v>3549.9954689921401</v>
      </c>
      <c r="AK4859" s="2">
        <v>4470.9786418611602</v>
      </c>
      <c r="AL4859" s="2">
        <v>4258.7857224105301</v>
      </c>
      <c r="AM4859" s="2">
        <v>4049.0222750667599</v>
      </c>
      <c r="AN4859" s="2">
        <v>4434.1003835723104</v>
      </c>
      <c r="AO4859" s="2">
        <v>4597.8111575583398</v>
      </c>
      <c r="AP4859" s="2">
        <v>4745.0736029803702</v>
      </c>
    </row>
    <row r="4860" spans="1:42" ht="14.5" x14ac:dyDescent="0.35">
      <c r="A4860" s="2" t="s">
        <v>32241</v>
      </c>
      <c r="B4860" s="2">
        <v>375.165780537415</v>
      </c>
      <c r="C4860" s="2">
        <v>4.6673166666666699</v>
      </c>
      <c r="D4860" s="2" t="s">
        <v>70</v>
      </c>
      <c r="E4860" s="2" t="s">
        <v>32242</v>
      </c>
      <c r="F4860" s="2">
        <v>212357</v>
      </c>
      <c r="G4860" s="3" t="str">
        <f>HYPERLINK("http://funmeta.oebiotech.com/network/212357", "http://funmeta.oebiotech.com/network/212357")</f>
        <v>http://funmeta.oebiotech.com/network/212357</v>
      </c>
      <c r="H4860" s="2" t="s">
        <v>32243</v>
      </c>
      <c r="I4860" s="2">
        <v>36188</v>
      </c>
      <c r="J4860" s="2"/>
      <c r="K4860" s="2"/>
      <c r="L4860" s="2"/>
      <c r="M4860" s="2"/>
      <c r="N4860" s="2"/>
      <c r="O4860" s="2">
        <v>3082337</v>
      </c>
      <c r="P4860" s="2" t="s">
        <v>32244</v>
      </c>
      <c r="Q4860" s="2" t="s">
        <v>32245</v>
      </c>
      <c r="R4860" s="2" t="s">
        <v>32246</v>
      </c>
      <c r="S4860" s="2" t="s">
        <v>50</v>
      </c>
      <c r="T4860" s="2" t="s">
        <v>229</v>
      </c>
      <c r="U4860" s="2" t="s">
        <v>766</v>
      </c>
      <c r="V4860" s="2" t="s">
        <v>59</v>
      </c>
      <c r="W4860" s="2">
        <v>38.5</v>
      </c>
      <c r="X4860" s="2">
        <v>0</v>
      </c>
      <c r="Y4860" s="2" t="s">
        <v>408</v>
      </c>
      <c r="Z4860" s="2" t="s">
        <v>29037</v>
      </c>
      <c r="AA4860" s="2">
        <v>-0.83443412952003004</v>
      </c>
      <c r="AB4860" s="2">
        <v>0.118736245072231</v>
      </c>
      <c r="AC4860" s="2">
        <v>11998.482936332501</v>
      </c>
      <c r="AD4860" s="2">
        <v>10572.8327187778</v>
      </c>
      <c r="AE4860" s="2">
        <v>11112.117615146801</v>
      </c>
      <c r="AF4860" s="2">
        <v>12305.731551483899</v>
      </c>
      <c r="AG4860" s="2">
        <v>12587.815297364599</v>
      </c>
      <c r="AH4860" s="2">
        <v>13460.9714677431</v>
      </c>
      <c r="AI4860" s="2">
        <v>11245.393080358601</v>
      </c>
      <c r="AJ4860" s="2">
        <v>11278.8686058979</v>
      </c>
      <c r="AK4860" s="2">
        <v>10895.8030094037</v>
      </c>
      <c r="AL4860" s="2">
        <v>9057.4818598143302</v>
      </c>
      <c r="AM4860" s="2">
        <v>11370.938008650999</v>
      </c>
      <c r="AN4860" s="2">
        <v>10088.1876042063</v>
      </c>
      <c r="AO4860" s="2">
        <v>10586.913120814101</v>
      </c>
      <c r="AP4860" s="2">
        <v>11437.6727097775</v>
      </c>
    </row>
    <row r="4861" spans="1:42" ht="14.5" x14ac:dyDescent="0.35">
      <c r="A4861" s="2" t="s">
        <v>32247</v>
      </c>
      <c r="B4861" s="2">
        <v>435.16402446702199</v>
      </c>
      <c r="C4861" s="2">
        <v>4.9463833333333298</v>
      </c>
      <c r="D4861" s="2" t="s">
        <v>34</v>
      </c>
      <c r="E4861" s="2" t="s">
        <v>32248</v>
      </c>
      <c r="F4861" s="2">
        <v>212241</v>
      </c>
      <c r="G4861" s="3" t="str">
        <f>HYPERLINK("http://funmeta.oebiotech.com/network/212241", "http://funmeta.oebiotech.com/network/212241")</f>
        <v>http://funmeta.oebiotech.com/network/212241</v>
      </c>
      <c r="H4861" s="2" t="s">
        <v>32249</v>
      </c>
      <c r="I4861" s="2"/>
      <c r="J4861" s="2"/>
      <c r="K4861" s="2">
        <v>77796</v>
      </c>
      <c r="L4861" s="2"/>
      <c r="M4861" s="2"/>
      <c r="N4861" s="2"/>
      <c r="O4861" s="2"/>
      <c r="P4861" s="2"/>
      <c r="Q4861" s="2" t="s">
        <v>32250</v>
      </c>
      <c r="R4861" s="2" t="s">
        <v>32251</v>
      </c>
      <c r="S4861" s="2" t="s">
        <v>491</v>
      </c>
      <c r="T4861" s="2" t="s">
        <v>1516</v>
      </c>
      <c r="U4861" s="2" t="s">
        <v>5320</v>
      </c>
      <c r="V4861" s="2" t="s">
        <v>59</v>
      </c>
      <c r="W4861" s="2">
        <v>37</v>
      </c>
      <c r="X4861" s="2">
        <v>0</v>
      </c>
      <c r="Y4861" s="2" t="s">
        <v>43</v>
      </c>
      <c r="Z4861" s="2" t="s">
        <v>32252</v>
      </c>
      <c r="AA4861" s="2">
        <v>0.41432328223029202</v>
      </c>
      <c r="AB4861" s="2">
        <v>0.118430409940319</v>
      </c>
      <c r="AC4861" s="2">
        <v>8739.0418024620503</v>
      </c>
      <c r="AD4861" s="2">
        <v>10614.7894058089</v>
      </c>
      <c r="AE4861" s="2">
        <v>9310.4618625590992</v>
      </c>
      <c r="AF4861" s="2">
        <v>9337.8363697117093</v>
      </c>
      <c r="AG4861" s="2">
        <v>8849.2624918268502</v>
      </c>
      <c r="AH4861" s="2">
        <v>8278.2789975077594</v>
      </c>
      <c r="AI4861" s="2">
        <v>7200.6501769103297</v>
      </c>
      <c r="AJ4861" s="2">
        <v>9457.7609162565295</v>
      </c>
      <c r="AK4861" s="2">
        <v>14732.4780984684</v>
      </c>
      <c r="AL4861" s="2">
        <v>12039.6836169283</v>
      </c>
      <c r="AM4861" s="2">
        <v>8511.2569229307192</v>
      </c>
      <c r="AN4861" s="2">
        <v>9491.3069649694207</v>
      </c>
      <c r="AO4861" s="2">
        <v>9478.4538304041198</v>
      </c>
      <c r="AP4861" s="2">
        <v>9435.5570011522996</v>
      </c>
    </row>
    <row r="4862" spans="1:42" ht="14.5" x14ac:dyDescent="0.35">
      <c r="A4862" s="2" t="s">
        <v>32253</v>
      </c>
      <c r="B4862" s="2">
        <v>415.15815485593401</v>
      </c>
      <c r="C4862" s="2">
        <v>3.9315333333333302</v>
      </c>
      <c r="D4862" s="2" t="s">
        <v>34</v>
      </c>
      <c r="E4862" s="2" t="s">
        <v>32254</v>
      </c>
      <c r="F4862" s="2">
        <v>210998</v>
      </c>
      <c r="G4862" s="3" t="str">
        <f>HYPERLINK("http://funmeta.oebiotech.com/network/210998", "http://funmeta.oebiotech.com/network/210998")</f>
        <v>http://funmeta.oebiotech.com/network/210998</v>
      </c>
      <c r="H4862" s="2" t="s">
        <v>32255</v>
      </c>
      <c r="I4862" s="2"/>
      <c r="J4862" s="2"/>
      <c r="K4862" s="2"/>
      <c r="L4862" s="2"/>
      <c r="M4862" s="2"/>
      <c r="N4862" s="2"/>
      <c r="O4862" s="2">
        <v>18538416</v>
      </c>
      <c r="P4862" s="2"/>
      <c r="Q4862" s="2" t="s">
        <v>32256</v>
      </c>
      <c r="R4862" s="2" t="s">
        <v>32257</v>
      </c>
      <c r="S4862" s="2" t="s">
        <v>41</v>
      </c>
      <c r="T4862" s="2" t="s">
        <v>41</v>
      </c>
      <c r="U4862" s="2" t="s">
        <v>41</v>
      </c>
      <c r="V4862" s="2" t="s">
        <v>59</v>
      </c>
      <c r="W4862" s="2">
        <v>36.9</v>
      </c>
      <c r="X4862" s="2">
        <v>0</v>
      </c>
      <c r="Y4862" s="2" t="s">
        <v>323</v>
      </c>
      <c r="Z4862" s="2" t="s">
        <v>32258</v>
      </c>
      <c r="AA4862" s="2">
        <v>-1.6582884838140499</v>
      </c>
      <c r="AB4862" s="2">
        <v>0.11836127620535</v>
      </c>
      <c r="AC4862" s="2">
        <v>5273.4056119772304</v>
      </c>
      <c r="AD4862" s="2">
        <v>6775.6650985326896</v>
      </c>
      <c r="AE4862" s="2">
        <v>5857.74729748547</v>
      </c>
      <c r="AF4862" s="2">
        <v>4563.2622326963801</v>
      </c>
      <c r="AG4862" s="2">
        <v>5161.8753429439603</v>
      </c>
      <c r="AH4862" s="2">
        <v>4567.1310149976798</v>
      </c>
      <c r="AI4862" s="2">
        <v>6365.71764816426</v>
      </c>
      <c r="AJ4862" s="2">
        <v>5124.7001355756602</v>
      </c>
      <c r="AK4862" s="2">
        <v>5662.37694244461</v>
      </c>
      <c r="AL4862" s="2">
        <v>8159.1943857067999</v>
      </c>
      <c r="AM4862" s="2">
        <v>5006.5570073968602</v>
      </c>
      <c r="AN4862" s="2">
        <v>6389.7479328375302</v>
      </c>
      <c r="AO4862" s="2">
        <v>7167.6743172239903</v>
      </c>
      <c r="AP4862" s="2">
        <v>8268.4400055863407</v>
      </c>
    </row>
    <row r="4863" spans="1:42" ht="14.5" x14ac:dyDescent="0.35">
      <c r="A4863" s="2" t="s">
        <v>32259</v>
      </c>
      <c r="B4863" s="2">
        <v>891.45665946503095</v>
      </c>
      <c r="C4863" s="2">
        <v>14.665566666666701</v>
      </c>
      <c r="D4863" s="2" t="s">
        <v>70</v>
      </c>
      <c r="E4863" s="2" t="s">
        <v>32260</v>
      </c>
      <c r="F4863" s="2">
        <v>37150</v>
      </c>
      <c r="G4863" s="3" t="str">
        <f>HYPERLINK("http://funmeta.oebiotech.com/network/37150", "http://funmeta.oebiotech.com/network/37150")</f>
        <v>http://funmeta.oebiotech.com/network/37150</v>
      </c>
      <c r="H4863" s="2"/>
      <c r="I4863" s="2"/>
      <c r="J4863" s="2" t="s">
        <v>32261</v>
      </c>
      <c r="K4863" s="2"/>
      <c r="L4863" s="2"/>
      <c r="M4863" s="2"/>
      <c r="N4863" s="2"/>
      <c r="O4863" s="2"/>
      <c r="P4863" s="2"/>
      <c r="Q4863" s="2" t="s">
        <v>32262</v>
      </c>
      <c r="R4863" s="2" t="s">
        <v>32263</v>
      </c>
      <c r="S4863" s="2" t="s">
        <v>50</v>
      </c>
      <c r="T4863" s="2" t="s">
        <v>201</v>
      </c>
      <c r="U4863" s="2" t="s">
        <v>1634</v>
      </c>
      <c r="V4863" s="2" t="s">
        <v>59</v>
      </c>
      <c r="W4863" s="2">
        <v>37.9</v>
      </c>
      <c r="X4863" s="2">
        <v>0</v>
      </c>
      <c r="Y4863" s="2" t="s">
        <v>118</v>
      </c>
      <c r="Z4863" s="2" t="s">
        <v>32264</v>
      </c>
      <c r="AA4863" s="2">
        <v>3.3940337424130198</v>
      </c>
      <c r="AB4863" s="2">
        <v>0.11835886999171499</v>
      </c>
      <c r="AC4863" s="2">
        <v>48006.970360923202</v>
      </c>
      <c r="AD4863" s="2">
        <v>49977.881893809201</v>
      </c>
      <c r="AE4863" s="2">
        <v>46123.255500565603</v>
      </c>
      <c r="AF4863" s="2">
        <v>45467.280964437698</v>
      </c>
      <c r="AG4863" s="2">
        <v>46908.6870641032</v>
      </c>
      <c r="AH4863" s="2">
        <v>50859.449317585597</v>
      </c>
      <c r="AI4863" s="2">
        <v>50362.858553561397</v>
      </c>
      <c r="AJ4863" s="2">
        <v>48320.290765285499</v>
      </c>
      <c r="AK4863" s="2">
        <v>51317.73178917</v>
      </c>
      <c r="AL4863" s="2">
        <v>47429.998204231502</v>
      </c>
      <c r="AM4863" s="2">
        <v>48316.934372106698</v>
      </c>
      <c r="AN4863" s="2">
        <v>53032.899537129102</v>
      </c>
      <c r="AO4863" s="2">
        <v>49575.786769543301</v>
      </c>
      <c r="AP4863" s="2">
        <v>50193.940690674797</v>
      </c>
    </row>
    <row r="4864" spans="1:42" ht="14.5" x14ac:dyDescent="0.35">
      <c r="A4864" s="2" t="s">
        <v>32265</v>
      </c>
      <c r="B4864" s="2">
        <v>373.12752254739098</v>
      </c>
      <c r="C4864" s="2">
        <v>4.4128166666666697</v>
      </c>
      <c r="D4864" s="2" t="s">
        <v>34</v>
      </c>
      <c r="E4864" s="2" t="s">
        <v>32266</v>
      </c>
      <c r="F4864" s="2">
        <v>212370</v>
      </c>
      <c r="G4864" s="3" t="str">
        <f>HYPERLINK("http://funmeta.oebiotech.com/network/212370", "http://funmeta.oebiotech.com/network/212370")</f>
        <v>http://funmeta.oebiotech.com/network/212370</v>
      </c>
      <c r="H4864" s="2" t="s">
        <v>32267</v>
      </c>
      <c r="I4864" s="2"/>
      <c r="J4864" s="2"/>
      <c r="K4864" s="2"/>
      <c r="L4864" s="2"/>
      <c r="M4864" s="2"/>
      <c r="N4864" s="2"/>
      <c r="O4864" s="2"/>
      <c r="P4864" s="2"/>
      <c r="Q4864" s="2" t="s">
        <v>32268</v>
      </c>
      <c r="R4864" s="2" t="s">
        <v>32269</v>
      </c>
      <c r="S4864" s="2" t="s">
        <v>148</v>
      </c>
      <c r="T4864" s="2" t="s">
        <v>149</v>
      </c>
      <c r="U4864" s="2" t="s">
        <v>4297</v>
      </c>
      <c r="V4864" s="2" t="s">
        <v>59</v>
      </c>
      <c r="W4864" s="2">
        <v>38.9</v>
      </c>
      <c r="X4864" s="2">
        <v>0</v>
      </c>
      <c r="Y4864" s="2" t="s">
        <v>340</v>
      </c>
      <c r="Z4864" s="2" t="s">
        <v>32270</v>
      </c>
      <c r="AA4864" s="2">
        <v>0.77585954563113402</v>
      </c>
      <c r="AB4864" s="2">
        <v>0.11835744004703699</v>
      </c>
      <c r="AC4864" s="2">
        <v>3407.5053994437699</v>
      </c>
      <c r="AD4864" s="2">
        <v>4942.8146659936701</v>
      </c>
      <c r="AE4864" s="2">
        <v>1849.0067095826901</v>
      </c>
      <c r="AF4864" s="2">
        <v>3684.4701296131602</v>
      </c>
      <c r="AG4864" s="2">
        <v>3619.5274757760799</v>
      </c>
      <c r="AH4864" s="2">
        <v>2926.7592167269299</v>
      </c>
      <c r="AI4864" s="2">
        <v>4341.0201590788301</v>
      </c>
      <c r="AJ4864" s="2">
        <v>4024.2487058849601</v>
      </c>
      <c r="AK4864" s="2">
        <v>7140.0061688094602</v>
      </c>
      <c r="AL4864" s="2">
        <v>3112.0509265259702</v>
      </c>
      <c r="AM4864" s="2">
        <v>5443.06493456111</v>
      </c>
      <c r="AN4864" s="2">
        <v>4895.5072886432999</v>
      </c>
      <c r="AO4864" s="2">
        <v>4951.6388804182297</v>
      </c>
      <c r="AP4864" s="2">
        <v>4114.6197970039402</v>
      </c>
    </row>
    <row r="4865" spans="1:42" ht="14.5" x14ac:dyDescent="0.35">
      <c r="A4865" s="2" t="s">
        <v>32271</v>
      </c>
      <c r="B4865" s="2">
        <v>215.01669339627199</v>
      </c>
      <c r="C4865" s="2">
        <v>1.4272166666666699</v>
      </c>
      <c r="D4865" s="2" t="s">
        <v>70</v>
      </c>
      <c r="E4865" s="2" t="s">
        <v>32272</v>
      </c>
      <c r="F4865" s="2">
        <v>256570</v>
      </c>
      <c r="G4865" s="3" t="str">
        <f>HYPERLINK("http://funmeta.oebiotech.com/network/256570", "http://funmeta.oebiotech.com/network/256570")</f>
        <v>http://funmeta.oebiotech.com/network/256570</v>
      </c>
      <c r="H4865" s="2" t="s">
        <v>32273</v>
      </c>
      <c r="I4865" s="2"/>
      <c r="J4865" s="2"/>
      <c r="K4865" s="2"/>
      <c r="L4865" s="2"/>
      <c r="M4865" s="2"/>
      <c r="N4865" s="2"/>
      <c r="O4865" s="2">
        <v>5102882</v>
      </c>
      <c r="P4865" s="2"/>
      <c r="Q4865" s="2" t="s">
        <v>32274</v>
      </c>
      <c r="R4865" s="2" t="s">
        <v>32275</v>
      </c>
      <c r="S4865" s="2" t="s">
        <v>79</v>
      </c>
      <c r="T4865" s="2" t="s">
        <v>80</v>
      </c>
      <c r="U4865" s="2" t="s">
        <v>81</v>
      </c>
      <c r="V4865" s="2" t="s">
        <v>59</v>
      </c>
      <c r="W4865" s="2">
        <v>38.799999999999997</v>
      </c>
      <c r="X4865" s="2">
        <v>0</v>
      </c>
      <c r="Y4865" s="2" t="s">
        <v>118</v>
      </c>
      <c r="Z4865" s="2" t="s">
        <v>32276</v>
      </c>
      <c r="AA4865" s="2">
        <v>-2.90280915649342</v>
      </c>
      <c r="AB4865" s="2">
        <v>0.118263152775459</v>
      </c>
      <c r="AC4865" s="2">
        <v>3721.8092415419901</v>
      </c>
      <c r="AD4865" s="2">
        <v>2678.4526617076399</v>
      </c>
      <c r="AE4865" s="2">
        <v>3577.97885807497</v>
      </c>
      <c r="AF4865" s="2">
        <v>3375.2604241201302</v>
      </c>
      <c r="AG4865" s="2">
        <v>3774.7250378612998</v>
      </c>
      <c r="AH4865" s="2">
        <v>4014.4732629158798</v>
      </c>
      <c r="AI4865" s="2">
        <v>3653.3411928842702</v>
      </c>
      <c r="AJ4865" s="2">
        <v>3935.0766733953601</v>
      </c>
      <c r="AK4865" s="2">
        <v>2787.9501528404298</v>
      </c>
      <c r="AL4865" s="2">
        <v>2796.9780078736399</v>
      </c>
      <c r="AM4865" s="2">
        <v>2266.96237592748</v>
      </c>
      <c r="AN4865" s="2">
        <v>2523.8098790849199</v>
      </c>
      <c r="AO4865" s="2">
        <v>3297.5659515088801</v>
      </c>
      <c r="AP4865" s="2">
        <v>2397.4496030105201</v>
      </c>
    </row>
    <row r="4866" spans="1:42" ht="14.5" x14ac:dyDescent="0.35">
      <c r="A4866" s="2" t="s">
        <v>32277</v>
      </c>
      <c r="B4866" s="2">
        <v>459.05524279549002</v>
      </c>
      <c r="C4866" s="2">
        <v>3.7870499999999998</v>
      </c>
      <c r="D4866" s="2" t="s">
        <v>70</v>
      </c>
      <c r="E4866" s="2" t="s">
        <v>32278</v>
      </c>
      <c r="F4866" s="2">
        <v>212055</v>
      </c>
      <c r="G4866" s="3" t="str">
        <f>HYPERLINK("http://funmeta.oebiotech.com/network/212055", "http://funmeta.oebiotech.com/network/212055")</f>
        <v>http://funmeta.oebiotech.com/network/212055</v>
      </c>
      <c r="H4866" s="2" t="s">
        <v>32279</v>
      </c>
      <c r="I4866" s="2"/>
      <c r="J4866" s="2"/>
      <c r="K4866" s="2"/>
      <c r="L4866" s="2"/>
      <c r="M4866" s="2"/>
      <c r="N4866" s="2"/>
      <c r="O4866" s="2">
        <v>5317</v>
      </c>
      <c r="P4866" s="2"/>
      <c r="Q4866" s="2" t="s">
        <v>32280</v>
      </c>
      <c r="R4866" s="2" t="s">
        <v>32281</v>
      </c>
      <c r="S4866" s="2" t="s">
        <v>41</v>
      </c>
      <c r="T4866" s="2" t="s">
        <v>41</v>
      </c>
      <c r="U4866" s="2" t="s">
        <v>41</v>
      </c>
      <c r="V4866" s="2" t="s">
        <v>59</v>
      </c>
      <c r="W4866" s="2">
        <v>37.200000000000003</v>
      </c>
      <c r="X4866" s="2">
        <v>0</v>
      </c>
      <c r="Y4866" s="2" t="s">
        <v>408</v>
      </c>
      <c r="Z4866" s="2" t="s">
        <v>32282</v>
      </c>
      <c r="AA4866" s="2">
        <v>3.61546110248312</v>
      </c>
      <c r="AB4866" s="2">
        <v>0.11824065830467199</v>
      </c>
      <c r="AC4866" s="2">
        <v>2109.5029137015599</v>
      </c>
      <c r="AD4866" s="2">
        <v>3217.1096667186798</v>
      </c>
      <c r="AE4866" s="2">
        <v>2381.6690873298598</v>
      </c>
      <c r="AF4866" s="2">
        <v>1569.77476105854</v>
      </c>
      <c r="AG4866" s="2">
        <v>2205.7020359201201</v>
      </c>
      <c r="AH4866" s="2">
        <v>2223.2109188621298</v>
      </c>
      <c r="AI4866" s="2">
        <v>2155.9806814036901</v>
      </c>
      <c r="AJ4866" s="2">
        <v>2120.6799976350298</v>
      </c>
      <c r="AK4866" s="2">
        <v>3516.4725010063498</v>
      </c>
      <c r="AL4866" s="2">
        <v>3314.03263239836</v>
      </c>
      <c r="AM4866" s="2">
        <v>3901.5413090494799</v>
      </c>
      <c r="AN4866" s="2">
        <v>3212.8200586951798</v>
      </c>
      <c r="AO4866" s="2">
        <v>2394.6824451440498</v>
      </c>
      <c r="AP4866" s="2">
        <v>2963.1090540186801</v>
      </c>
    </row>
    <row r="4867" spans="1:42" ht="14.5" x14ac:dyDescent="0.35">
      <c r="A4867" s="2" t="s">
        <v>32283</v>
      </c>
      <c r="B4867" s="2">
        <v>163.111618623406</v>
      </c>
      <c r="C4867" s="2">
        <v>4.3632666666666697</v>
      </c>
      <c r="D4867" s="2" t="s">
        <v>34</v>
      </c>
      <c r="E4867" s="2" t="s">
        <v>32284</v>
      </c>
      <c r="F4867" s="2">
        <v>54892</v>
      </c>
      <c r="G4867" s="3" t="str">
        <f>HYPERLINK("http://funmeta.oebiotech.com/network/54892", "http://funmeta.oebiotech.com/network/54892")</f>
        <v>http://funmeta.oebiotech.com/network/54892</v>
      </c>
      <c r="H4867" s="2" t="s">
        <v>32285</v>
      </c>
      <c r="I4867" s="2">
        <v>86681</v>
      </c>
      <c r="J4867" s="2"/>
      <c r="K4867" s="2"/>
      <c r="L4867" s="2"/>
      <c r="M4867" s="2"/>
      <c r="N4867" s="2"/>
      <c r="O4867" s="2">
        <v>5374699</v>
      </c>
      <c r="P4867" s="2" t="s">
        <v>32286</v>
      </c>
      <c r="Q4867" s="2" t="s">
        <v>32287</v>
      </c>
      <c r="R4867" s="2" t="s">
        <v>32288</v>
      </c>
      <c r="S4867" s="2" t="s">
        <v>79</v>
      </c>
      <c r="T4867" s="2" t="s">
        <v>80</v>
      </c>
      <c r="U4867" s="2" t="s">
        <v>2021</v>
      </c>
      <c r="V4867" s="2" t="s">
        <v>42</v>
      </c>
      <c r="W4867" s="2">
        <v>48.1</v>
      </c>
      <c r="X4867" s="2">
        <v>45.7</v>
      </c>
      <c r="Y4867" s="2" t="s">
        <v>141</v>
      </c>
      <c r="Z4867" s="2" t="s">
        <v>19123</v>
      </c>
      <c r="AA4867" s="2">
        <v>-0.68222421266035105</v>
      </c>
      <c r="AB4867" s="2">
        <v>0.118216925528756</v>
      </c>
      <c r="AC4867" s="2">
        <v>41187.752004407797</v>
      </c>
      <c r="AD4867" s="2">
        <v>39582.711593833701</v>
      </c>
      <c r="AE4867" s="2">
        <v>41274.455446318098</v>
      </c>
      <c r="AF4867" s="2">
        <v>40063.827139470202</v>
      </c>
      <c r="AG4867" s="2">
        <v>40878.275459789402</v>
      </c>
      <c r="AH4867" s="2">
        <v>40466.907727235397</v>
      </c>
      <c r="AI4867" s="2">
        <v>42985.845999838602</v>
      </c>
      <c r="AJ4867" s="2">
        <v>41457.200253795403</v>
      </c>
      <c r="AK4867" s="2">
        <v>39703.255035175796</v>
      </c>
      <c r="AL4867" s="2">
        <v>39589.494616460302</v>
      </c>
      <c r="AM4867" s="2">
        <v>40740.478648969103</v>
      </c>
      <c r="AN4867" s="2">
        <v>41014.712571513199</v>
      </c>
      <c r="AO4867" s="2">
        <v>37057.983672524198</v>
      </c>
      <c r="AP4867" s="2">
        <v>39390.345018359301</v>
      </c>
    </row>
    <row r="4868" spans="1:42" ht="14.5" x14ac:dyDescent="0.35">
      <c r="A4868" s="2" t="s">
        <v>32289</v>
      </c>
      <c r="B4868" s="2">
        <v>236.09218722706001</v>
      </c>
      <c r="C4868" s="2">
        <v>7.5886500000000003</v>
      </c>
      <c r="D4868" s="2" t="s">
        <v>70</v>
      </c>
      <c r="E4868" s="2" t="s">
        <v>32290</v>
      </c>
      <c r="F4868" s="2">
        <v>47702</v>
      </c>
      <c r="G4868" s="3" t="str">
        <f>HYPERLINK("http://funmeta.oebiotech.com/network/47702", "http://funmeta.oebiotech.com/network/47702")</f>
        <v>http://funmeta.oebiotech.com/network/47702</v>
      </c>
      <c r="H4868" s="2" t="s">
        <v>32291</v>
      </c>
      <c r="I4868" s="2">
        <v>58062</v>
      </c>
      <c r="J4868" s="2"/>
      <c r="K4868" s="2">
        <v>114833</v>
      </c>
      <c r="L4868" s="2"/>
      <c r="M4868" s="2"/>
      <c r="N4868" s="2"/>
      <c r="O4868" s="2">
        <v>12835</v>
      </c>
      <c r="P4868" s="2" t="s">
        <v>32292</v>
      </c>
      <c r="Q4868" s="2" t="s">
        <v>32293</v>
      </c>
      <c r="R4868" s="2" t="s">
        <v>32294</v>
      </c>
      <c r="S4868" s="2" t="s">
        <v>491</v>
      </c>
      <c r="T4868" s="2" t="s">
        <v>2184</v>
      </c>
      <c r="U4868" s="2" t="s">
        <v>3838</v>
      </c>
      <c r="V4868" s="2" t="s">
        <v>59</v>
      </c>
      <c r="W4868" s="2">
        <v>38.799999999999997</v>
      </c>
      <c r="X4868" s="2">
        <v>0</v>
      </c>
      <c r="Y4868" s="2" t="s">
        <v>408</v>
      </c>
      <c r="Z4868" s="2" t="s">
        <v>22807</v>
      </c>
      <c r="AA4868" s="2">
        <v>-3.3716477259883901</v>
      </c>
      <c r="AB4868" s="2">
        <v>0.11811976491746801</v>
      </c>
      <c r="AC4868" s="2">
        <v>2169.4234453440199</v>
      </c>
      <c r="AD4868" s="2">
        <v>3163.6916207634299</v>
      </c>
      <c r="AE4868" s="2">
        <v>2389.59424945921</v>
      </c>
      <c r="AF4868" s="2">
        <v>1879.1508598356299</v>
      </c>
      <c r="AG4868" s="2">
        <v>2194.8802206609898</v>
      </c>
      <c r="AH4868" s="2">
        <v>1939.8546214189601</v>
      </c>
      <c r="AI4868" s="2">
        <v>2290.7524391382999</v>
      </c>
      <c r="AJ4868" s="2">
        <v>2322.3082815510202</v>
      </c>
      <c r="AK4868" s="2">
        <v>3571.0161035054498</v>
      </c>
      <c r="AL4868" s="2">
        <v>3099.4903841044102</v>
      </c>
      <c r="AM4868" s="2">
        <v>2800.45446342884</v>
      </c>
      <c r="AN4868" s="2">
        <v>3121.4867209538302</v>
      </c>
      <c r="AO4868" s="2">
        <v>3243.7978864515899</v>
      </c>
      <c r="AP4868" s="2">
        <v>3145.9041661364399</v>
      </c>
    </row>
    <row r="4869" spans="1:42" ht="14.5" x14ac:dyDescent="0.35">
      <c r="A4869" s="2" t="s">
        <v>32295</v>
      </c>
      <c r="B4869" s="2">
        <v>685.18271882184899</v>
      </c>
      <c r="C4869" s="2">
        <v>1.22268333333333</v>
      </c>
      <c r="D4869" s="2" t="s">
        <v>70</v>
      </c>
      <c r="E4869" s="2" t="s">
        <v>32296</v>
      </c>
      <c r="F4869" s="2">
        <v>213067</v>
      </c>
      <c r="G4869" s="3" t="str">
        <f>HYPERLINK("http://funmeta.oebiotech.com/network/213067", "http://funmeta.oebiotech.com/network/213067")</f>
        <v>http://funmeta.oebiotech.com/network/213067</v>
      </c>
      <c r="H4869" s="2" t="s">
        <v>32297</v>
      </c>
      <c r="I4869" s="2"/>
      <c r="J4869" s="2"/>
      <c r="K4869" s="2"/>
      <c r="L4869" s="2"/>
      <c r="M4869" s="2"/>
      <c r="N4869" s="2"/>
      <c r="O4869" s="2">
        <v>11053</v>
      </c>
      <c r="P4869" s="2"/>
      <c r="Q4869" s="2" t="s">
        <v>32298</v>
      </c>
      <c r="R4869" s="2" t="s">
        <v>32299</v>
      </c>
      <c r="S4869" s="2" t="s">
        <v>491</v>
      </c>
      <c r="T4869" s="2" t="s">
        <v>2184</v>
      </c>
      <c r="U4869" s="2" t="s">
        <v>28429</v>
      </c>
      <c r="V4869" s="2" t="s">
        <v>59</v>
      </c>
      <c r="W4869" s="2">
        <v>38.9</v>
      </c>
      <c r="X4869" s="2">
        <v>0</v>
      </c>
      <c r="Y4869" s="2" t="s">
        <v>560</v>
      </c>
      <c r="Z4869" s="2" t="s">
        <v>32300</v>
      </c>
      <c r="AA4869" s="2">
        <v>-2.02177725640168</v>
      </c>
      <c r="AB4869" s="2">
        <v>0.118117076392487</v>
      </c>
      <c r="AC4869" s="2">
        <v>16418.086473022198</v>
      </c>
      <c r="AD4869" s="2">
        <v>13856.046784256199</v>
      </c>
      <c r="AE4869" s="2">
        <v>16512.991866995599</v>
      </c>
      <c r="AF4869" s="2">
        <v>16934.132091263498</v>
      </c>
      <c r="AG4869" s="2">
        <v>17358.6556884704</v>
      </c>
      <c r="AH4869" s="2">
        <v>13632.988241148099</v>
      </c>
      <c r="AI4869" s="2">
        <v>18621.571292206401</v>
      </c>
      <c r="AJ4869" s="2">
        <v>15448.179658049199</v>
      </c>
      <c r="AK4869" s="2">
        <v>6565.9602317478302</v>
      </c>
      <c r="AL4869" s="2">
        <v>19192.818142153701</v>
      </c>
      <c r="AM4869" s="2">
        <v>9814.0269015616595</v>
      </c>
      <c r="AN4869" s="2">
        <v>15747.1605633376</v>
      </c>
      <c r="AO4869" s="2">
        <v>17955.448053243399</v>
      </c>
      <c r="AP4869" s="2">
        <v>13860.866813492999</v>
      </c>
    </row>
    <row r="4870" spans="1:42" ht="14.5" x14ac:dyDescent="0.35">
      <c r="A4870" s="2" t="s">
        <v>32301</v>
      </c>
      <c r="B4870" s="2">
        <v>753.31298065013198</v>
      </c>
      <c r="C4870" s="2">
        <v>5.3016333333333296</v>
      </c>
      <c r="D4870" s="2" t="s">
        <v>70</v>
      </c>
      <c r="E4870" s="2" t="s">
        <v>32302</v>
      </c>
      <c r="F4870" s="2">
        <v>62220</v>
      </c>
      <c r="G4870" s="3" t="str">
        <f>HYPERLINK("http://funmeta.oebiotech.com/network/62220", "http://funmeta.oebiotech.com/network/62220")</f>
        <v>http://funmeta.oebiotech.com/network/62220</v>
      </c>
      <c r="H4870" s="2" t="s">
        <v>32303</v>
      </c>
      <c r="I4870" s="2">
        <v>93503</v>
      </c>
      <c r="J4870" s="2"/>
      <c r="K4870" s="2"/>
      <c r="L4870" s="2"/>
      <c r="M4870" s="2"/>
      <c r="N4870" s="2"/>
      <c r="O4870" s="2">
        <v>23643564</v>
      </c>
      <c r="P4870" s="2" t="s">
        <v>32304</v>
      </c>
      <c r="Q4870" s="2" t="s">
        <v>32305</v>
      </c>
      <c r="R4870" s="2" t="s">
        <v>32306</v>
      </c>
      <c r="S4870" s="2" t="s">
        <v>89</v>
      </c>
      <c r="T4870" s="2" t="s">
        <v>90</v>
      </c>
      <c r="U4870" s="2" t="s">
        <v>99</v>
      </c>
      <c r="V4870" s="2" t="s">
        <v>42</v>
      </c>
      <c r="W4870" s="2">
        <v>49.1</v>
      </c>
      <c r="X4870" s="2">
        <v>53.8</v>
      </c>
      <c r="Y4870" s="2" t="s">
        <v>118</v>
      </c>
      <c r="Z4870" s="2" t="s">
        <v>32307</v>
      </c>
      <c r="AA4870" s="2">
        <v>3.82616588681238</v>
      </c>
      <c r="AB4870" s="2">
        <v>0.11808999274738199</v>
      </c>
      <c r="AC4870" s="2">
        <v>375852.14442473702</v>
      </c>
      <c r="AD4870" s="2">
        <v>382183.07115251699</v>
      </c>
      <c r="AE4870" s="2">
        <v>372935.97421714698</v>
      </c>
      <c r="AF4870" s="2">
        <v>402284.96828794898</v>
      </c>
      <c r="AG4870" s="2">
        <v>341613.27551865502</v>
      </c>
      <c r="AH4870" s="2">
        <v>349483.075708316</v>
      </c>
      <c r="AI4870" s="2">
        <v>394890.02960094903</v>
      </c>
      <c r="AJ4870" s="2">
        <v>393905.54321540601</v>
      </c>
      <c r="AK4870" s="2">
        <v>388502.42499367101</v>
      </c>
      <c r="AL4870" s="2">
        <v>367429.75488399202</v>
      </c>
      <c r="AM4870" s="2">
        <v>373213.58687834098</v>
      </c>
      <c r="AN4870" s="2">
        <v>421122.94594898698</v>
      </c>
      <c r="AO4870" s="2">
        <v>348244.568301338</v>
      </c>
      <c r="AP4870" s="2">
        <v>394585.14590877498</v>
      </c>
    </row>
    <row r="4871" spans="1:42" ht="14.5" x14ac:dyDescent="0.35">
      <c r="A4871" s="2" t="s">
        <v>32308</v>
      </c>
      <c r="B4871" s="2">
        <v>361.18660864113099</v>
      </c>
      <c r="C4871" s="2">
        <v>6.3302166666666704</v>
      </c>
      <c r="D4871" s="2" t="s">
        <v>70</v>
      </c>
      <c r="E4871" s="2" t="s">
        <v>32309</v>
      </c>
      <c r="F4871" s="2">
        <v>6339</v>
      </c>
      <c r="G4871" s="3" t="str">
        <f>HYPERLINK("http://funmeta.oebiotech.com/network/6339", "http://funmeta.oebiotech.com/network/6339")</f>
        <v>http://funmeta.oebiotech.com/network/6339</v>
      </c>
      <c r="H4871" s="2"/>
      <c r="I4871" s="2"/>
      <c r="J4871" s="2" t="s">
        <v>32310</v>
      </c>
      <c r="K4871" s="2">
        <v>74003</v>
      </c>
      <c r="L4871" s="2"/>
      <c r="M4871" s="2"/>
      <c r="N4871" s="2"/>
      <c r="O4871" s="2">
        <v>71581077</v>
      </c>
      <c r="P4871" s="2"/>
      <c r="Q4871" s="2" t="s">
        <v>32311</v>
      </c>
      <c r="R4871" s="2" t="s">
        <v>32312</v>
      </c>
      <c r="S4871" s="2" t="s">
        <v>50</v>
      </c>
      <c r="T4871" s="2" t="s">
        <v>229</v>
      </c>
      <c r="U4871" s="2" t="s">
        <v>1283</v>
      </c>
      <c r="V4871" s="2" t="s">
        <v>59</v>
      </c>
      <c r="W4871" s="2">
        <v>39.4</v>
      </c>
      <c r="X4871" s="2">
        <v>0.67</v>
      </c>
      <c r="Y4871" s="2" t="s">
        <v>408</v>
      </c>
      <c r="Z4871" s="2" t="s">
        <v>9628</v>
      </c>
      <c r="AA4871" s="2">
        <v>-0.57827573556039502</v>
      </c>
      <c r="AB4871" s="2">
        <v>0.118072771635581</v>
      </c>
      <c r="AC4871" s="2">
        <v>1659.58982847939</v>
      </c>
      <c r="AD4871" s="2">
        <v>718.25128127880498</v>
      </c>
      <c r="AE4871" s="2">
        <v>1655.8827735725099</v>
      </c>
      <c r="AF4871" s="2">
        <v>1576.1135602352099</v>
      </c>
      <c r="AG4871" s="2">
        <v>1881.5479268777799</v>
      </c>
      <c r="AH4871" s="2">
        <v>1555.06630255134</v>
      </c>
      <c r="AI4871" s="2">
        <v>1621.31172085973</v>
      </c>
      <c r="AJ4871" s="2">
        <v>1667.6166867797599</v>
      </c>
      <c r="AK4871" s="2">
        <v>783.47983784931296</v>
      </c>
      <c r="AL4871" s="2">
        <v>651.44574878988601</v>
      </c>
      <c r="AM4871" s="2">
        <v>583.70710791342503</v>
      </c>
      <c r="AN4871" s="2">
        <v>914.504585385719</v>
      </c>
      <c r="AO4871" s="2">
        <v>578.39580371767295</v>
      </c>
      <c r="AP4871" s="2">
        <v>797.97460401681496</v>
      </c>
    </row>
    <row r="4872" spans="1:42" ht="14.5" x14ac:dyDescent="0.35">
      <c r="A4872" s="2" t="s">
        <v>32313</v>
      </c>
      <c r="B4872" s="2">
        <v>503.20891231892801</v>
      </c>
      <c r="C4872" s="2">
        <v>5.3202666666666696</v>
      </c>
      <c r="D4872" s="2" t="s">
        <v>70</v>
      </c>
      <c r="E4872" s="2" t="s">
        <v>32314</v>
      </c>
      <c r="F4872" s="2">
        <v>203786</v>
      </c>
      <c r="G4872" s="3" t="str">
        <f>HYPERLINK("http://funmeta.oebiotech.com/network/203786", "http://funmeta.oebiotech.com/network/203786")</f>
        <v>http://funmeta.oebiotech.com/network/203786</v>
      </c>
      <c r="H4872" s="2" t="s">
        <v>32315</v>
      </c>
      <c r="I4872" s="2">
        <v>432142</v>
      </c>
      <c r="J4872" s="2"/>
      <c r="K4872" s="2"/>
      <c r="L4872" s="2"/>
      <c r="M4872" s="2"/>
      <c r="N4872" s="2"/>
      <c r="O4872" s="2">
        <v>133081</v>
      </c>
      <c r="P4872" s="2"/>
      <c r="Q4872" s="2" t="s">
        <v>32316</v>
      </c>
      <c r="R4872" s="2" t="s">
        <v>32317</v>
      </c>
      <c r="S4872" s="2" t="s">
        <v>41</v>
      </c>
      <c r="T4872" s="2" t="s">
        <v>41</v>
      </c>
      <c r="U4872" s="2" t="s">
        <v>41</v>
      </c>
      <c r="V4872" s="2" t="s">
        <v>59</v>
      </c>
      <c r="W4872" s="2">
        <v>36.4</v>
      </c>
      <c r="X4872" s="2">
        <v>0</v>
      </c>
      <c r="Y4872" s="2" t="s">
        <v>408</v>
      </c>
      <c r="Z4872" s="2" t="s">
        <v>32318</v>
      </c>
      <c r="AA4872" s="2">
        <v>1.52680939497704</v>
      </c>
      <c r="AB4872" s="2">
        <v>0.11803670140198699</v>
      </c>
      <c r="AC4872" s="2">
        <v>11959.9074682631</v>
      </c>
      <c r="AD4872" s="2">
        <v>10295.5037842373</v>
      </c>
      <c r="AE4872" s="2">
        <v>10292.205562888401</v>
      </c>
      <c r="AF4872" s="2">
        <v>12490.584515861699</v>
      </c>
      <c r="AG4872" s="2">
        <v>12022.486290131101</v>
      </c>
      <c r="AH4872" s="2">
        <v>10010.3217522049</v>
      </c>
      <c r="AI4872" s="2">
        <v>12049.636061163401</v>
      </c>
      <c r="AJ4872" s="2">
        <v>14894.210627328999</v>
      </c>
      <c r="AK4872" s="2">
        <v>8913.0280014928994</v>
      </c>
      <c r="AL4872" s="2">
        <v>9927.1738759227592</v>
      </c>
      <c r="AM4872" s="2">
        <v>11218.9687752887</v>
      </c>
      <c r="AN4872" s="2">
        <v>10890.0803063641</v>
      </c>
      <c r="AO4872" s="2">
        <v>10636.169188669701</v>
      </c>
      <c r="AP4872" s="2">
        <v>10187.602557685799</v>
      </c>
    </row>
    <row r="4873" spans="1:42" ht="14.5" x14ac:dyDescent="0.35">
      <c r="A4873" s="2" t="s">
        <v>32319</v>
      </c>
      <c r="B4873" s="2">
        <v>268.99859315841502</v>
      </c>
      <c r="C4873" s="2">
        <v>0.97008333333333296</v>
      </c>
      <c r="D4873" s="2" t="s">
        <v>34</v>
      </c>
      <c r="E4873" s="2" t="s">
        <v>32320</v>
      </c>
      <c r="F4873" s="2">
        <v>203729</v>
      </c>
      <c r="G4873" s="3" t="str">
        <f>HYPERLINK("http://funmeta.oebiotech.com/network/203729", "http://funmeta.oebiotech.com/network/203729")</f>
        <v>http://funmeta.oebiotech.com/network/203729</v>
      </c>
      <c r="H4873" s="2" t="s">
        <v>32321</v>
      </c>
      <c r="I4873" s="2">
        <v>72170</v>
      </c>
      <c r="J4873" s="2"/>
      <c r="K4873" s="2">
        <v>81696</v>
      </c>
      <c r="L4873" s="2" t="s">
        <v>32322</v>
      </c>
      <c r="M4873" s="2"/>
      <c r="N4873" s="2"/>
      <c r="O4873" s="2">
        <v>18752</v>
      </c>
      <c r="P4873" s="2" t="s">
        <v>32323</v>
      </c>
      <c r="Q4873" s="2" t="s">
        <v>32324</v>
      </c>
      <c r="R4873" s="2" t="s">
        <v>32325</v>
      </c>
      <c r="S4873" s="2" t="s">
        <v>148</v>
      </c>
      <c r="T4873" s="2" t="s">
        <v>149</v>
      </c>
      <c r="U4873" s="2" t="s">
        <v>4282</v>
      </c>
      <c r="V4873" s="2" t="s">
        <v>59</v>
      </c>
      <c r="W4873" s="2">
        <v>36.4</v>
      </c>
      <c r="X4873" s="2">
        <v>0</v>
      </c>
      <c r="Y4873" s="2" t="s">
        <v>340</v>
      </c>
      <c r="Z4873" s="2" t="s">
        <v>32326</v>
      </c>
      <c r="AA4873" s="2">
        <v>-3.0113970869090001</v>
      </c>
      <c r="AB4873" s="2">
        <v>0.118020054770014</v>
      </c>
      <c r="AC4873" s="2">
        <v>3636.7344151091902</v>
      </c>
      <c r="AD4873" s="2">
        <v>4713.33157033733</v>
      </c>
      <c r="AE4873" s="2">
        <v>3862.84028691502</v>
      </c>
      <c r="AF4873" s="2">
        <v>3952.0495965608502</v>
      </c>
      <c r="AG4873" s="2">
        <v>3344.3358654673202</v>
      </c>
      <c r="AH4873" s="2">
        <v>3532.8480591501202</v>
      </c>
      <c r="AI4873" s="2">
        <v>3680.9945441058298</v>
      </c>
      <c r="AJ4873" s="2">
        <v>3447.3381384560098</v>
      </c>
      <c r="AK4873" s="2">
        <v>5258.1915472938199</v>
      </c>
      <c r="AL4873" s="2">
        <v>4162.4078696384304</v>
      </c>
      <c r="AM4873" s="2">
        <v>4508.8056755889102</v>
      </c>
      <c r="AN4873" s="2">
        <v>4797.1930587530896</v>
      </c>
      <c r="AO4873" s="2">
        <v>5238.72262578968</v>
      </c>
      <c r="AP4873" s="2">
        <v>4314.6686449600502</v>
      </c>
    </row>
    <row r="4874" spans="1:42" ht="14.5" x14ac:dyDescent="0.35">
      <c r="A4874" s="2" t="s">
        <v>32327</v>
      </c>
      <c r="B4874" s="2">
        <v>521.18731640145302</v>
      </c>
      <c r="C4874" s="2">
        <v>3.6547999999999998</v>
      </c>
      <c r="D4874" s="2" t="s">
        <v>70</v>
      </c>
      <c r="E4874" s="2" t="s">
        <v>32328</v>
      </c>
      <c r="F4874" s="2">
        <v>59493</v>
      </c>
      <c r="G4874" s="3" t="str">
        <f>HYPERLINK("http://funmeta.oebiotech.com/network/59493", "http://funmeta.oebiotech.com/network/59493")</f>
        <v>http://funmeta.oebiotech.com/network/59493</v>
      </c>
      <c r="H4874" s="2" t="s">
        <v>32329</v>
      </c>
      <c r="I4874" s="2"/>
      <c r="J4874" s="2"/>
      <c r="K4874" s="2"/>
      <c r="L4874" s="2" t="s">
        <v>32330</v>
      </c>
      <c r="M4874" s="2"/>
      <c r="N4874" s="2"/>
      <c r="O4874" s="2">
        <v>5316533</v>
      </c>
      <c r="P4874" s="2" t="s">
        <v>32331</v>
      </c>
      <c r="Q4874" s="2" t="s">
        <v>32332</v>
      </c>
      <c r="R4874" s="2" t="s">
        <v>32333</v>
      </c>
      <c r="S4874" s="2" t="s">
        <v>79</v>
      </c>
      <c r="T4874" s="2" t="s">
        <v>80</v>
      </c>
      <c r="U4874" s="2" t="s">
        <v>81</v>
      </c>
      <c r="V4874" s="2" t="s">
        <v>42</v>
      </c>
      <c r="W4874" s="2">
        <v>53</v>
      </c>
      <c r="X4874" s="2">
        <v>70.900000000000006</v>
      </c>
      <c r="Y4874" s="2" t="s">
        <v>408</v>
      </c>
      <c r="Z4874" s="2" t="s">
        <v>32334</v>
      </c>
      <c r="AA4874" s="2">
        <v>-0.55215323905930103</v>
      </c>
      <c r="AB4874" s="2">
        <v>0.11800467591250501</v>
      </c>
      <c r="AC4874" s="2">
        <v>13835.868123136201</v>
      </c>
      <c r="AD4874" s="2">
        <v>15508.8423038152</v>
      </c>
      <c r="AE4874" s="2">
        <v>14821.7655951667</v>
      </c>
      <c r="AF4874" s="2">
        <v>15113.254425917599</v>
      </c>
      <c r="AG4874" s="2">
        <v>12229.1587847849</v>
      </c>
      <c r="AH4874" s="2">
        <v>12472.2028343575</v>
      </c>
      <c r="AI4874" s="2">
        <v>14389.077824182899</v>
      </c>
      <c r="AJ4874" s="2">
        <v>13989.749274407901</v>
      </c>
      <c r="AK4874" s="2">
        <v>15953.5769581776</v>
      </c>
      <c r="AL4874" s="2">
        <v>15744.248101947</v>
      </c>
      <c r="AM4874" s="2">
        <v>15093.981964693199</v>
      </c>
      <c r="AN4874" s="2">
        <v>14158.6930497665</v>
      </c>
      <c r="AO4874" s="2">
        <v>13899.503971746601</v>
      </c>
      <c r="AP4874" s="2">
        <v>18203.0497765603</v>
      </c>
    </row>
    <row r="4875" spans="1:42" ht="14.5" x14ac:dyDescent="0.35">
      <c r="A4875" s="2" t="s">
        <v>32335</v>
      </c>
      <c r="B4875" s="2">
        <v>530.164080379437</v>
      </c>
      <c r="C4875" s="2">
        <v>2.0493000000000001</v>
      </c>
      <c r="D4875" s="2" t="s">
        <v>70</v>
      </c>
      <c r="E4875" s="2" t="s">
        <v>32336</v>
      </c>
      <c r="F4875" s="2">
        <v>82487</v>
      </c>
      <c r="G4875" s="3" t="str">
        <f>HYPERLINK("http://funmeta.oebiotech.com/network/82487", "http://funmeta.oebiotech.com/network/82487")</f>
        <v>http://funmeta.oebiotech.com/network/82487</v>
      </c>
      <c r="H4875" s="2" t="s">
        <v>32337</v>
      </c>
      <c r="I4875" s="2"/>
      <c r="J4875" s="2"/>
      <c r="K4875" s="2"/>
      <c r="L4875" s="2"/>
      <c r="M4875" s="2"/>
      <c r="N4875" s="2"/>
      <c r="O4875" s="2">
        <v>71316864</v>
      </c>
      <c r="P4875" s="2" t="s">
        <v>32338</v>
      </c>
      <c r="Q4875" s="2" t="s">
        <v>32339</v>
      </c>
      <c r="R4875" s="2" t="s">
        <v>32340</v>
      </c>
      <c r="S4875" s="2" t="s">
        <v>79</v>
      </c>
      <c r="T4875" s="2" t="s">
        <v>80</v>
      </c>
      <c r="U4875" s="2" t="s">
        <v>81</v>
      </c>
      <c r="V4875" s="2" t="s">
        <v>59</v>
      </c>
      <c r="W4875" s="2">
        <v>39.1</v>
      </c>
      <c r="X4875" s="2">
        <v>0</v>
      </c>
      <c r="Y4875" s="2" t="s">
        <v>408</v>
      </c>
      <c r="Z4875" s="2" t="s">
        <v>32341</v>
      </c>
      <c r="AA4875" s="2">
        <v>-0.53450989986712005</v>
      </c>
      <c r="AB4875" s="2">
        <v>0.117987915120162</v>
      </c>
      <c r="AC4875" s="2">
        <v>6842.01615403096</v>
      </c>
      <c r="AD4875" s="2">
        <v>5536.0987004213903</v>
      </c>
      <c r="AE4875" s="2">
        <v>6776.2574137209804</v>
      </c>
      <c r="AF4875" s="2">
        <v>6422.3871283846402</v>
      </c>
      <c r="AG4875" s="2">
        <v>7314.6448231074301</v>
      </c>
      <c r="AH4875" s="2">
        <v>6843.3892786633796</v>
      </c>
      <c r="AI4875" s="2">
        <v>6066.6581708509202</v>
      </c>
      <c r="AJ4875" s="2">
        <v>7628.7601094584297</v>
      </c>
      <c r="AK4875" s="2">
        <v>4582.90771337142</v>
      </c>
      <c r="AL4875" s="2">
        <v>4985.6306343042997</v>
      </c>
      <c r="AM4875" s="2">
        <v>5915.0363253386404</v>
      </c>
      <c r="AN4875" s="2">
        <v>6950.0717118066596</v>
      </c>
      <c r="AO4875" s="2">
        <v>5000.5784556640101</v>
      </c>
      <c r="AP4875" s="2">
        <v>5782.3673620433201</v>
      </c>
    </row>
    <row r="4876" spans="1:42" ht="14.5" x14ac:dyDescent="0.35">
      <c r="A4876" s="2" t="s">
        <v>32342</v>
      </c>
      <c r="B4876" s="2">
        <v>286.31029171506702</v>
      </c>
      <c r="C4876" s="2">
        <v>9.48586666666667</v>
      </c>
      <c r="D4876" s="2" t="s">
        <v>34</v>
      </c>
      <c r="E4876" s="2" t="s">
        <v>32343</v>
      </c>
      <c r="F4876" s="2">
        <v>6190</v>
      </c>
      <c r="G4876" s="3" t="str">
        <f>HYPERLINK("http://funmeta.oebiotech.com/network/6190", "http://funmeta.oebiotech.com/network/6190")</f>
        <v>http://funmeta.oebiotech.com/network/6190</v>
      </c>
      <c r="H4876" s="2" t="s">
        <v>32344</v>
      </c>
      <c r="I4876" s="2">
        <v>46164</v>
      </c>
      <c r="J4876" s="2" t="s">
        <v>32345</v>
      </c>
      <c r="K4876" s="2">
        <v>73504</v>
      </c>
      <c r="L4876" s="2"/>
      <c r="M4876" s="2"/>
      <c r="N4876" s="2"/>
      <c r="O4876" s="2">
        <v>5284499</v>
      </c>
      <c r="P4876" s="2" t="s">
        <v>32346</v>
      </c>
      <c r="Q4876" s="2" t="s">
        <v>32347</v>
      </c>
      <c r="R4876" s="2" t="s">
        <v>32348</v>
      </c>
      <c r="S4876" s="2" t="s">
        <v>50</v>
      </c>
      <c r="T4876" s="2" t="s">
        <v>229</v>
      </c>
      <c r="U4876" s="2" t="s">
        <v>1283</v>
      </c>
      <c r="V4876" s="2" t="s">
        <v>42</v>
      </c>
      <c r="W4876" s="2">
        <v>48.4</v>
      </c>
      <c r="X4876" s="2">
        <v>45.7</v>
      </c>
      <c r="Y4876" s="2" t="s">
        <v>43</v>
      </c>
      <c r="Z4876" s="2" t="s">
        <v>32349</v>
      </c>
      <c r="AA4876" s="2">
        <v>-0.55759244188493895</v>
      </c>
      <c r="AB4876" s="2">
        <v>0.117986857385003</v>
      </c>
      <c r="AC4876" s="2">
        <v>39161.722546783698</v>
      </c>
      <c r="AD4876" s="2">
        <v>42262.001701829402</v>
      </c>
      <c r="AE4876" s="2">
        <v>46728.883660143401</v>
      </c>
      <c r="AF4876" s="2">
        <v>41531.433418650202</v>
      </c>
      <c r="AG4876" s="2">
        <v>44094.4553762129</v>
      </c>
      <c r="AH4876" s="2">
        <v>28889.5431292557</v>
      </c>
      <c r="AI4876" s="2">
        <v>34183.434981357299</v>
      </c>
      <c r="AJ4876" s="2">
        <v>39542.584715082499</v>
      </c>
      <c r="AK4876" s="2">
        <v>40071.897675163098</v>
      </c>
      <c r="AL4876" s="2">
        <v>43614.364350336502</v>
      </c>
      <c r="AM4876" s="2">
        <v>48717.007644125697</v>
      </c>
      <c r="AN4876" s="2">
        <v>42452.174005530404</v>
      </c>
      <c r="AO4876" s="2">
        <v>39748.061136769997</v>
      </c>
      <c r="AP4876" s="2">
        <v>38968.505399050598</v>
      </c>
    </row>
    <row r="4877" spans="1:42" ht="14.5" x14ac:dyDescent="0.35">
      <c r="A4877" s="2" t="s">
        <v>32350</v>
      </c>
      <c r="B4877" s="2">
        <v>658.33334952652206</v>
      </c>
      <c r="C4877" s="2">
        <v>10.523999999999999</v>
      </c>
      <c r="D4877" s="2" t="s">
        <v>70</v>
      </c>
      <c r="E4877" s="2" t="s">
        <v>32351</v>
      </c>
      <c r="F4877" s="2">
        <v>27965</v>
      </c>
      <c r="G4877" s="3" t="str">
        <f>HYPERLINK("http://funmeta.oebiotech.com/network/27965", "http://funmeta.oebiotech.com/network/27965")</f>
        <v>http://funmeta.oebiotech.com/network/27965</v>
      </c>
      <c r="H4877" s="2"/>
      <c r="I4877" s="2"/>
      <c r="J4877" s="2" t="s">
        <v>32352</v>
      </c>
      <c r="K4877" s="2"/>
      <c r="L4877" s="2"/>
      <c r="M4877" s="2"/>
      <c r="N4877" s="2"/>
      <c r="O4877" s="2">
        <v>134812412</v>
      </c>
      <c r="P4877" s="2"/>
      <c r="Q4877" s="2" t="s">
        <v>32353</v>
      </c>
      <c r="R4877" s="2" t="s">
        <v>32354</v>
      </c>
      <c r="S4877" s="2" t="s">
        <v>50</v>
      </c>
      <c r="T4877" s="2" t="s">
        <v>51</v>
      </c>
      <c r="U4877" s="2" t="s">
        <v>66</v>
      </c>
      <c r="V4877" s="2" t="s">
        <v>59</v>
      </c>
      <c r="W4877" s="2">
        <v>37</v>
      </c>
      <c r="X4877" s="2">
        <v>0</v>
      </c>
      <c r="Y4877" s="2" t="s">
        <v>751</v>
      </c>
      <c r="Z4877" s="2" t="s">
        <v>32355</v>
      </c>
      <c r="AA4877" s="2">
        <v>-4.1665345804339298</v>
      </c>
      <c r="AB4877" s="2">
        <v>0.117958906003073</v>
      </c>
      <c r="AC4877" s="2">
        <v>1862.1294265807701</v>
      </c>
      <c r="AD4877" s="2">
        <v>3212.2587598267601</v>
      </c>
      <c r="AE4877" s="2">
        <v>2777.95126557498</v>
      </c>
      <c r="AF4877" s="2">
        <v>2137.1706988815799</v>
      </c>
      <c r="AG4877" s="2">
        <v>1039.98583593696</v>
      </c>
      <c r="AH4877" s="2">
        <v>1068.6377897504599</v>
      </c>
      <c r="AI4877" s="2">
        <v>2059.50146740025</v>
      </c>
      <c r="AJ4877" s="2">
        <v>2089.5295019404002</v>
      </c>
      <c r="AK4877" s="2">
        <v>3586.4486699926401</v>
      </c>
      <c r="AL4877" s="2">
        <v>2898.48271852162</v>
      </c>
      <c r="AM4877" s="2">
        <v>4492.6522053692197</v>
      </c>
      <c r="AN4877" s="2">
        <v>1827.70741672504</v>
      </c>
      <c r="AO4877" s="2">
        <v>2811.2258809631198</v>
      </c>
      <c r="AP4877" s="2">
        <v>3657.0356673889</v>
      </c>
    </row>
    <row r="4878" spans="1:42" ht="14.5" x14ac:dyDescent="0.35">
      <c r="A4878" s="2" t="s">
        <v>32356</v>
      </c>
      <c r="B4878" s="2">
        <v>157.13356031311099</v>
      </c>
      <c r="C4878" s="2">
        <v>0.86113333333333297</v>
      </c>
      <c r="D4878" s="2" t="s">
        <v>34</v>
      </c>
      <c r="E4878" s="2" t="s">
        <v>32357</v>
      </c>
      <c r="F4878" s="2">
        <v>257331</v>
      </c>
      <c r="G4878" s="3" t="str">
        <f>HYPERLINK("http://funmeta.oebiotech.com/network/257331", "http://funmeta.oebiotech.com/network/257331")</f>
        <v>http://funmeta.oebiotech.com/network/257331</v>
      </c>
      <c r="H4878" s="2" t="s">
        <v>32358</v>
      </c>
      <c r="I4878" s="2">
        <v>64425</v>
      </c>
      <c r="J4878" s="2"/>
      <c r="K4878" s="2"/>
      <c r="L4878" s="2" t="s">
        <v>32359</v>
      </c>
      <c r="M4878" s="2" t="s">
        <v>11852</v>
      </c>
      <c r="N4878" s="2" t="s">
        <v>11853</v>
      </c>
      <c r="O4878" s="2">
        <v>79038</v>
      </c>
      <c r="P4878" s="2" t="s">
        <v>32360</v>
      </c>
      <c r="Q4878" s="2" t="s">
        <v>32361</v>
      </c>
      <c r="R4878" s="2" t="s">
        <v>32362</v>
      </c>
      <c r="S4878" s="2" t="s">
        <v>39</v>
      </c>
      <c r="T4878" s="2" t="s">
        <v>26067</v>
      </c>
      <c r="U4878" s="2" t="s">
        <v>41</v>
      </c>
      <c r="V4878" s="2" t="s">
        <v>59</v>
      </c>
      <c r="W4878" s="2">
        <v>39</v>
      </c>
      <c r="X4878" s="2">
        <v>0</v>
      </c>
      <c r="Y4878" s="2" t="s">
        <v>43</v>
      </c>
      <c r="Z4878" s="2" t="s">
        <v>32363</v>
      </c>
      <c r="AA4878" s="2">
        <v>0.149114905193376</v>
      </c>
      <c r="AB4878" s="2">
        <v>0.11792134936891099</v>
      </c>
      <c r="AC4878" s="2">
        <v>3069.76591108397</v>
      </c>
      <c r="AD4878" s="2">
        <v>4242.10195553212</v>
      </c>
      <c r="AE4878" s="2">
        <v>3691.63652791201</v>
      </c>
      <c r="AF4878" s="2">
        <v>3549.2548482426901</v>
      </c>
      <c r="AG4878" s="2">
        <v>2970.1533705015199</v>
      </c>
      <c r="AH4878" s="2">
        <v>3465.9998073100301</v>
      </c>
      <c r="AI4878" s="2">
        <v>2655.5807529098302</v>
      </c>
      <c r="AJ4878" s="2">
        <v>2085.97015962777</v>
      </c>
      <c r="AK4878" s="2">
        <v>4266.2635868812004</v>
      </c>
      <c r="AL4878" s="2">
        <v>4904.3998283419796</v>
      </c>
      <c r="AM4878" s="2">
        <v>4279.5087372099397</v>
      </c>
      <c r="AN4878" s="2">
        <v>3927.1440355354998</v>
      </c>
      <c r="AO4878" s="2">
        <v>4034.8256084279801</v>
      </c>
      <c r="AP4878" s="2">
        <v>4040.4699367961398</v>
      </c>
    </row>
    <row r="4879" spans="1:42" ht="14.5" x14ac:dyDescent="0.35">
      <c r="A4879" s="2" t="s">
        <v>32364</v>
      </c>
      <c r="B4879" s="2">
        <v>597.181619058818</v>
      </c>
      <c r="C4879" s="2">
        <v>4.6492000000000004</v>
      </c>
      <c r="D4879" s="2" t="s">
        <v>70</v>
      </c>
      <c r="E4879" s="2" t="s">
        <v>32365</v>
      </c>
      <c r="F4879" s="2">
        <v>59106</v>
      </c>
      <c r="G4879" s="3" t="str">
        <f>HYPERLINK("http://funmeta.oebiotech.com/network/59106", "http://funmeta.oebiotech.com/network/59106")</f>
        <v>http://funmeta.oebiotech.com/network/59106</v>
      </c>
      <c r="H4879" s="2" t="s">
        <v>32366</v>
      </c>
      <c r="I4879" s="2">
        <v>90531</v>
      </c>
      <c r="J4879" s="2"/>
      <c r="K4879" s="2">
        <v>168341</v>
      </c>
      <c r="L4879" s="2"/>
      <c r="M4879" s="2"/>
      <c r="N4879" s="2"/>
      <c r="O4879" s="2">
        <v>131751685</v>
      </c>
      <c r="P4879" s="2"/>
      <c r="Q4879" s="2" t="s">
        <v>32367</v>
      </c>
      <c r="R4879" s="2" t="s">
        <v>32368</v>
      </c>
      <c r="S4879" s="2" t="s">
        <v>50</v>
      </c>
      <c r="T4879" s="2" t="s">
        <v>201</v>
      </c>
      <c r="U4879" s="2" t="s">
        <v>202</v>
      </c>
      <c r="V4879" s="2" t="s">
        <v>42</v>
      </c>
      <c r="W4879" s="2">
        <v>46</v>
      </c>
      <c r="X4879" s="2">
        <v>56.1</v>
      </c>
      <c r="Y4879" s="2" t="s">
        <v>118</v>
      </c>
      <c r="Z4879" s="2" t="s">
        <v>32369</v>
      </c>
      <c r="AA4879" s="2">
        <v>-1.46256757557096</v>
      </c>
      <c r="AB4879" s="2">
        <v>0.11790798202965</v>
      </c>
      <c r="AC4879" s="2">
        <v>104173.02754808</v>
      </c>
      <c r="AD4879" s="2">
        <v>108024.154163848</v>
      </c>
      <c r="AE4879" s="2">
        <v>98848.6778965915</v>
      </c>
      <c r="AF4879" s="2">
        <v>112132.157125232</v>
      </c>
      <c r="AG4879" s="2">
        <v>102675.050654725</v>
      </c>
      <c r="AH4879" s="2">
        <v>97750.701294928498</v>
      </c>
      <c r="AI4879" s="2">
        <v>99197.678946519605</v>
      </c>
      <c r="AJ4879" s="2">
        <v>114433.899370485</v>
      </c>
      <c r="AK4879" s="2">
        <v>109958.826305086</v>
      </c>
      <c r="AL4879" s="2">
        <v>106390.19701916901</v>
      </c>
      <c r="AM4879" s="2">
        <v>105842.06007224999</v>
      </c>
      <c r="AN4879" s="2">
        <v>119763.82040442601</v>
      </c>
      <c r="AO4879" s="2">
        <v>91569.800479390193</v>
      </c>
      <c r="AP4879" s="2">
        <v>114620.220702768</v>
      </c>
    </row>
    <row r="4880" spans="1:42" ht="14.5" x14ac:dyDescent="0.35">
      <c r="A4880" s="2" t="s">
        <v>32370</v>
      </c>
      <c r="B4880" s="2">
        <v>363.121133716342</v>
      </c>
      <c r="C4880" s="2">
        <v>6.7814333333333296</v>
      </c>
      <c r="D4880" s="2" t="s">
        <v>34</v>
      </c>
      <c r="E4880" s="2" t="s">
        <v>32371</v>
      </c>
      <c r="F4880" s="2">
        <v>209588</v>
      </c>
      <c r="G4880" s="3" t="str">
        <f>HYPERLINK("http://funmeta.oebiotech.com/network/209588", "http://funmeta.oebiotech.com/network/209588")</f>
        <v>http://funmeta.oebiotech.com/network/209588</v>
      </c>
      <c r="H4880" s="2" t="s">
        <v>32372</v>
      </c>
      <c r="I4880" s="2"/>
      <c r="J4880" s="2"/>
      <c r="K4880" s="2"/>
      <c r="L4880" s="2"/>
      <c r="M4880" s="2"/>
      <c r="N4880" s="2"/>
      <c r="O4880" s="2">
        <v>20628</v>
      </c>
      <c r="P4880" s="2"/>
      <c r="Q4880" s="2" t="s">
        <v>32373</v>
      </c>
      <c r="R4880" s="2" t="s">
        <v>32374</v>
      </c>
      <c r="S4880" s="2" t="s">
        <v>491</v>
      </c>
      <c r="T4880" s="2" t="s">
        <v>1516</v>
      </c>
      <c r="U4880" s="2" t="s">
        <v>5958</v>
      </c>
      <c r="V4880" s="2" t="s">
        <v>59</v>
      </c>
      <c r="W4880" s="2">
        <v>38.299999999999997</v>
      </c>
      <c r="X4880" s="2">
        <v>0</v>
      </c>
      <c r="Y4880" s="2" t="s">
        <v>568</v>
      </c>
      <c r="Z4880" s="2" t="s">
        <v>32375</v>
      </c>
      <c r="AA4880" s="2">
        <v>-2.00600362311895</v>
      </c>
      <c r="AB4880" s="2">
        <v>0.117795663094402</v>
      </c>
      <c r="AC4880" s="2">
        <v>45522.591183685799</v>
      </c>
      <c r="AD4880" s="2">
        <v>43087.3694573514</v>
      </c>
      <c r="AE4880" s="2">
        <v>45332.923196569303</v>
      </c>
      <c r="AF4880" s="2">
        <v>50112.165448209002</v>
      </c>
      <c r="AG4880" s="2">
        <v>45260.220638951803</v>
      </c>
      <c r="AH4880" s="2">
        <v>41869.967292296002</v>
      </c>
      <c r="AI4880" s="2">
        <v>46792.429691755402</v>
      </c>
      <c r="AJ4880" s="2">
        <v>43767.840834333299</v>
      </c>
      <c r="AK4880" s="2">
        <v>45454.396779788498</v>
      </c>
      <c r="AL4880" s="2">
        <v>38886.992317525903</v>
      </c>
      <c r="AM4880" s="2">
        <v>48758.981686690699</v>
      </c>
      <c r="AN4880" s="2">
        <v>42101.283430822099</v>
      </c>
      <c r="AO4880" s="2">
        <v>43542.147261910599</v>
      </c>
      <c r="AP4880" s="2">
        <v>39780.415267370598</v>
      </c>
    </row>
    <row r="4881" spans="1:42" ht="14.5" x14ac:dyDescent="0.35">
      <c r="A4881" s="2" t="s">
        <v>32376</v>
      </c>
      <c r="B4881" s="2">
        <v>561.23151798357799</v>
      </c>
      <c r="C4881" s="2">
        <v>5.3005833333333303</v>
      </c>
      <c r="D4881" s="2" t="s">
        <v>34</v>
      </c>
      <c r="E4881" s="2" t="s">
        <v>32377</v>
      </c>
      <c r="F4881" s="2">
        <v>210337</v>
      </c>
      <c r="G4881" s="3" t="str">
        <f>HYPERLINK("http://funmeta.oebiotech.com/network/210337", "http://funmeta.oebiotech.com/network/210337")</f>
        <v>http://funmeta.oebiotech.com/network/210337</v>
      </c>
      <c r="H4881" s="2" t="s">
        <v>32378</v>
      </c>
      <c r="I4881" s="2"/>
      <c r="J4881" s="2"/>
      <c r="K4881" s="2"/>
      <c r="L4881" s="2"/>
      <c r="M4881" s="2"/>
      <c r="N4881" s="2"/>
      <c r="O4881" s="2">
        <v>4802</v>
      </c>
      <c r="P4881" s="2"/>
      <c r="Q4881" s="2" t="s">
        <v>32379</v>
      </c>
      <c r="R4881" s="2" t="s">
        <v>32380</v>
      </c>
      <c r="S4881" s="2" t="s">
        <v>89</v>
      </c>
      <c r="T4881" s="2" t="s">
        <v>90</v>
      </c>
      <c r="U4881" s="2" t="s">
        <v>99</v>
      </c>
      <c r="V4881" s="2" t="s">
        <v>59</v>
      </c>
      <c r="W4881" s="2">
        <v>38.1</v>
      </c>
      <c r="X4881" s="2">
        <v>0</v>
      </c>
      <c r="Y4881" s="2" t="s">
        <v>43</v>
      </c>
      <c r="Z4881" s="2" t="s">
        <v>32381</v>
      </c>
      <c r="AA4881" s="2">
        <v>-0.89926074780267096</v>
      </c>
      <c r="AB4881" s="2">
        <v>0.117762388479442</v>
      </c>
      <c r="AC4881" s="2">
        <v>3710.8077466262798</v>
      </c>
      <c r="AD4881" s="2">
        <v>5282.5279281431103</v>
      </c>
      <c r="AE4881" s="2">
        <v>3367.25745835215</v>
      </c>
      <c r="AF4881" s="2">
        <v>2904.5758103130602</v>
      </c>
      <c r="AG4881" s="2">
        <v>4595.0533784120098</v>
      </c>
      <c r="AH4881" s="2">
        <v>2476.9885681206501</v>
      </c>
      <c r="AI4881" s="2">
        <v>2917.8222328770098</v>
      </c>
      <c r="AJ4881" s="2">
        <v>6003.1490316828003</v>
      </c>
      <c r="AK4881" s="2">
        <v>5865.9500198376099</v>
      </c>
      <c r="AL4881" s="2">
        <v>3576.7518991424499</v>
      </c>
      <c r="AM4881" s="2">
        <v>6471.50995687668</v>
      </c>
      <c r="AN4881" s="2">
        <v>5087.2774011801002</v>
      </c>
      <c r="AO4881" s="2">
        <v>4659.0306439086298</v>
      </c>
      <c r="AP4881" s="2">
        <v>6034.6476479131798</v>
      </c>
    </row>
    <row r="4882" spans="1:42" ht="14.5" x14ac:dyDescent="0.35">
      <c r="A4882" s="2" t="s">
        <v>32382</v>
      </c>
      <c r="B4882" s="2">
        <v>217.15431440282501</v>
      </c>
      <c r="C4882" s="2">
        <v>1.9954833333333299</v>
      </c>
      <c r="D4882" s="2" t="s">
        <v>34</v>
      </c>
      <c r="E4882" s="2" t="s">
        <v>32383</v>
      </c>
      <c r="F4882" s="2">
        <v>8988</v>
      </c>
      <c r="G4882" s="3" t="str">
        <f>HYPERLINK("http://funmeta.oebiotech.com/network/8988", "http://funmeta.oebiotech.com/network/8988")</f>
        <v>http://funmeta.oebiotech.com/network/8988</v>
      </c>
      <c r="H4882" s="2"/>
      <c r="I4882" s="2">
        <v>45094</v>
      </c>
      <c r="J4882" s="2" t="s">
        <v>32384</v>
      </c>
      <c r="K4882" s="2"/>
      <c r="L4882" s="2"/>
      <c r="M4882" s="2"/>
      <c r="N4882" s="2"/>
      <c r="O4882" s="2">
        <v>10058590</v>
      </c>
      <c r="P4882" s="2" t="s">
        <v>32385</v>
      </c>
      <c r="Q4882" s="2" t="s">
        <v>32386</v>
      </c>
      <c r="R4882" s="2" t="s">
        <v>32387</v>
      </c>
      <c r="S4882" s="2" t="s">
        <v>89</v>
      </c>
      <c r="T4882" s="2" t="s">
        <v>90</v>
      </c>
      <c r="U4882" s="2" t="s">
        <v>99</v>
      </c>
      <c r="V4882" s="2" t="s">
        <v>59</v>
      </c>
      <c r="W4882" s="2">
        <v>37.299999999999997</v>
      </c>
      <c r="X4882" s="2">
        <v>0</v>
      </c>
      <c r="Y4882" s="2" t="s">
        <v>43</v>
      </c>
      <c r="Z4882" s="2" t="s">
        <v>32388</v>
      </c>
      <c r="AA4882" s="2">
        <v>-1.7805059442030999</v>
      </c>
      <c r="AB4882" s="2">
        <v>0.11774909509313899</v>
      </c>
      <c r="AC4882" s="2">
        <v>1625.5276871308899</v>
      </c>
      <c r="AD4882" s="2">
        <v>664.07983597119699</v>
      </c>
      <c r="AE4882" s="2">
        <v>1658.69096234778</v>
      </c>
      <c r="AF4882" s="2">
        <v>1781.0754914829899</v>
      </c>
      <c r="AG4882" s="2">
        <v>1332.9496852904399</v>
      </c>
      <c r="AH4882" s="2">
        <v>1415.66340604791</v>
      </c>
      <c r="AI4882" s="2">
        <v>1768.9459098289501</v>
      </c>
      <c r="AJ4882" s="2">
        <v>1795.8406677872699</v>
      </c>
      <c r="AK4882" s="2">
        <v>802.20232276134004</v>
      </c>
      <c r="AL4882" s="2">
        <v>550.69119423720599</v>
      </c>
      <c r="AM4882" s="2">
        <v>597.40633535011102</v>
      </c>
      <c r="AN4882" s="2">
        <v>631.35618064518496</v>
      </c>
      <c r="AO4882" s="2">
        <v>516.13551836742499</v>
      </c>
      <c r="AP4882" s="2">
        <v>886.68746446591695</v>
      </c>
    </row>
    <row r="4883" spans="1:42" ht="14.5" x14ac:dyDescent="0.35">
      <c r="A4883" s="2" t="s">
        <v>32389</v>
      </c>
      <c r="B4883" s="2">
        <v>357.11362167925802</v>
      </c>
      <c r="C4883" s="2">
        <v>2.1446833333333299</v>
      </c>
      <c r="D4883" s="2" t="s">
        <v>34</v>
      </c>
      <c r="E4883" s="2" t="s">
        <v>32390</v>
      </c>
      <c r="F4883" s="2">
        <v>211263</v>
      </c>
      <c r="G4883" s="3" t="str">
        <f>HYPERLINK("http://funmeta.oebiotech.com/network/211263", "http://funmeta.oebiotech.com/network/211263")</f>
        <v>http://funmeta.oebiotech.com/network/211263</v>
      </c>
      <c r="H4883" s="2" t="s">
        <v>32391</v>
      </c>
      <c r="I4883" s="2"/>
      <c r="J4883" s="2"/>
      <c r="K4883" s="2"/>
      <c r="L4883" s="2"/>
      <c r="M4883" s="2"/>
      <c r="N4883" s="2"/>
      <c r="O4883" s="2">
        <v>53791447</v>
      </c>
      <c r="P4883" s="2"/>
      <c r="Q4883" s="2" t="s">
        <v>32392</v>
      </c>
      <c r="R4883" s="2" t="s">
        <v>32393</v>
      </c>
      <c r="S4883" s="2" t="s">
        <v>41</v>
      </c>
      <c r="T4883" s="2" t="s">
        <v>41</v>
      </c>
      <c r="U4883" s="2" t="s">
        <v>41</v>
      </c>
      <c r="V4883" s="2" t="s">
        <v>59</v>
      </c>
      <c r="W4883" s="2">
        <v>36.200000000000003</v>
      </c>
      <c r="X4883" s="2">
        <v>0</v>
      </c>
      <c r="Y4883" s="2" t="s">
        <v>394</v>
      </c>
      <c r="Z4883" s="2" t="s">
        <v>32394</v>
      </c>
      <c r="AA4883" s="2">
        <v>-3.4631371424850599</v>
      </c>
      <c r="AB4883" s="2">
        <v>0.117739510126896</v>
      </c>
      <c r="AC4883" s="2">
        <v>12570.7168876948</v>
      </c>
      <c r="AD4883" s="2">
        <v>11166.960686824301</v>
      </c>
      <c r="AE4883" s="2">
        <v>12926.121644102999</v>
      </c>
      <c r="AF4883" s="2">
        <v>12441.928485733501</v>
      </c>
      <c r="AG4883" s="2">
        <v>11597.336695792401</v>
      </c>
      <c r="AH4883" s="2">
        <v>12009.7239537122</v>
      </c>
      <c r="AI4883" s="2">
        <v>12723.0286904485</v>
      </c>
      <c r="AJ4883" s="2">
        <v>13726.1618563789</v>
      </c>
      <c r="AK4883" s="2">
        <v>10971.519475335799</v>
      </c>
      <c r="AL4883" s="2">
        <v>11113.1619189514</v>
      </c>
      <c r="AM4883" s="2">
        <v>9701.5336572865799</v>
      </c>
      <c r="AN4883" s="2">
        <v>11452.051189490599</v>
      </c>
      <c r="AO4883" s="2">
        <v>10858.8626104536</v>
      </c>
      <c r="AP4883" s="2">
        <v>12904.635269427899</v>
      </c>
    </row>
    <row r="4884" spans="1:42" ht="14.5" x14ac:dyDescent="0.35">
      <c r="A4884" s="2" t="s">
        <v>32395</v>
      </c>
      <c r="B4884" s="2">
        <v>153.01822405845701</v>
      </c>
      <c r="C4884" s="2">
        <v>4.6673166666666699</v>
      </c>
      <c r="D4884" s="2" t="s">
        <v>70</v>
      </c>
      <c r="E4884" s="2" t="s">
        <v>32396</v>
      </c>
      <c r="F4884" s="2">
        <v>47677</v>
      </c>
      <c r="G4884" s="3" t="str">
        <f>HYPERLINK("http://funmeta.oebiotech.com/network/47677", "http://funmeta.oebiotech.com/network/47677")</f>
        <v>http://funmeta.oebiotech.com/network/47677</v>
      </c>
      <c r="H4884" s="2" t="s">
        <v>32397</v>
      </c>
      <c r="I4884" s="2">
        <v>3277</v>
      </c>
      <c r="J4884" s="2"/>
      <c r="K4884" s="2">
        <v>36062</v>
      </c>
      <c r="L4884" s="2" t="s">
        <v>32398</v>
      </c>
      <c r="M4884" s="2" t="s">
        <v>32399</v>
      </c>
      <c r="N4884" s="2" t="s">
        <v>32400</v>
      </c>
      <c r="O4884" s="2">
        <v>72</v>
      </c>
      <c r="P4884" s="2" t="s">
        <v>32401</v>
      </c>
      <c r="Q4884" s="2" t="s">
        <v>32402</v>
      </c>
      <c r="R4884" s="2" t="s">
        <v>32403</v>
      </c>
      <c r="S4884" s="2" t="s">
        <v>148</v>
      </c>
      <c r="T4884" s="2" t="s">
        <v>149</v>
      </c>
      <c r="U4884" s="2" t="s">
        <v>1593</v>
      </c>
      <c r="V4884" s="2" t="s">
        <v>42</v>
      </c>
      <c r="W4884" s="2">
        <v>50.7</v>
      </c>
      <c r="X4884" s="2">
        <v>65.099999999999994</v>
      </c>
      <c r="Y4884" s="2" t="s">
        <v>118</v>
      </c>
      <c r="Z4884" s="2" t="s">
        <v>32404</v>
      </c>
      <c r="AA4884" s="2">
        <v>-7.1947322148436204</v>
      </c>
      <c r="AB4884" s="2">
        <v>0.117661643751155</v>
      </c>
      <c r="AC4884" s="2">
        <v>4453.1725181960101</v>
      </c>
      <c r="AD4884" s="2">
        <v>5449.5687075159303</v>
      </c>
      <c r="AE4884" s="2">
        <v>4597.8425114607498</v>
      </c>
      <c r="AF4884" s="2">
        <v>4484.4197981038296</v>
      </c>
      <c r="AG4884" s="2">
        <v>4226.5640395407399</v>
      </c>
      <c r="AH4884" s="2">
        <v>4373.31286903417</v>
      </c>
      <c r="AI4884" s="2">
        <v>4313.4649396557998</v>
      </c>
      <c r="AJ4884" s="2">
        <v>4723.4309513808003</v>
      </c>
      <c r="AK4884" s="2">
        <v>5162.7675990545804</v>
      </c>
      <c r="AL4884" s="2">
        <v>5003.7884551459802</v>
      </c>
      <c r="AM4884" s="2">
        <v>5586.4351053754199</v>
      </c>
      <c r="AN4884" s="2">
        <v>5736.2372839497002</v>
      </c>
      <c r="AO4884" s="2">
        <v>5500.4649338731197</v>
      </c>
      <c r="AP4884" s="2">
        <v>5707.7188676967698</v>
      </c>
    </row>
    <row r="4885" spans="1:42" ht="14.5" x14ac:dyDescent="0.35">
      <c r="A4885" s="2" t="s">
        <v>32405</v>
      </c>
      <c r="B4885" s="2">
        <v>326.14445659427003</v>
      </c>
      <c r="C4885" s="2">
        <v>1.2019166666666701</v>
      </c>
      <c r="D4885" s="2" t="s">
        <v>34</v>
      </c>
      <c r="E4885" s="2" t="s">
        <v>32406</v>
      </c>
      <c r="F4885" s="2">
        <v>64429</v>
      </c>
      <c r="G4885" s="3" t="str">
        <f>HYPERLINK("http://funmeta.oebiotech.com/network/64429", "http://funmeta.oebiotech.com/network/64429")</f>
        <v>http://funmeta.oebiotech.com/network/64429</v>
      </c>
      <c r="H4885" s="2" t="s">
        <v>32407</v>
      </c>
      <c r="I4885" s="2">
        <v>95745</v>
      </c>
      <c r="J4885" s="2"/>
      <c r="K4885" s="2">
        <v>167953</v>
      </c>
      <c r="L4885" s="2"/>
      <c r="M4885" s="2"/>
      <c r="N4885" s="2"/>
      <c r="O4885" s="2">
        <v>73038179</v>
      </c>
      <c r="P4885" s="2" t="s">
        <v>32408</v>
      </c>
      <c r="Q4885" s="2" t="s">
        <v>32409</v>
      </c>
      <c r="R4885" s="2" t="s">
        <v>32410</v>
      </c>
      <c r="S4885" s="2" t="s">
        <v>79</v>
      </c>
      <c r="T4885" s="2" t="s">
        <v>80</v>
      </c>
      <c r="U4885" s="2" t="s">
        <v>81</v>
      </c>
      <c r="V4885" s="2" t="s">
        <v>59</v>
      </c>
      <c r="W4885" s="2">
        <v>38</v>
      </c>
      <c r="X4885" s="2">
        <v>0</v>
      </c>
      <c r="Y4885" s="2" t="s">
        <v>394</v>
      </c>
      <c r="Z4885" s="2" t="s">
        <v>32411</v>
      </c>
      <c r="AA4885" s="2">
        <v>-0.31111836693713901</v>
      </c>
      <c r="AB4885" s="2">
        <v>0.117654315678068</v>
      </c>
      <c r="AC4885" s="2">
        <v>2417.52862595129</v>
      </c>
      <c r="AD4885" s="2">
        <v>3468.7782428576502</v>
      </c>
      <c r="AE4885" s="2">
        <v>2574.41534167898</v>
      </c>
      <c r="AF4885" s="2">
        <v>2600.8546781955001</v>
      </c>
      <c r="AG4885" s="2">
        <v>2376.5969007405001</v>
      </c>
      <c r="AH4885" s="2">
        <v>2140.0479051880802</v>
      </c>
      <c r="AI4885" s="2">
        <v>2488.2789774255798</v>
      </c>
      <c r="AJ4885" s="2">
        <v>2324.9779524790802</v>
      </c>
      <c r="AK4885" s="2">
        <v>2989.9421162795902</v>
      </c>
      <c r="AL4885" s="2">
        <v>3821.6025415123399</v>
      </c>
      <c r="AM4885" s="2">
        <v>3410.1771101864501</v>
      </c>
      <c r="AN4885" s="2">
        <v>3000.71608464785</v>
      </c>
      <c r="AO4885" s="2">
        <v>3516.77303984218</v>
      </c>
      <c r="AP4885" s="2">
        <v>4073.4585646774799</v>
      </c>
    </row>
    <row r="4886" spans="1:42" ht="14.5" x14ac:dyDescent="0.35">
      <c r="A4886" s="2" t="s">
        <v>32412</v>
      </c>
      <c r="B4886" s="2">
        <v>402.39393665479099</v>
      </c>
      <c r="C4886" s="2">
        <v>10.6795333333333</v>
      </c>
      <c r="D4886" s="2" t="s">
        <v>34</v>
      </c>
      <c r="E4886" s="2" t="s">
        <v>32413</v>
      </c>
      <c r="F4886" s="2">
        <v>1777</v>
      </c>
      <c r="G4886" s="3" t="str">
        <f>HYPERLINK("http://funmeta.oebiotech.com/network/1777", "http://funmeta.oebiotech.com/network/1777")</f>
        <v>http://funmeta.oebiotech.com/network/1777</v>
      </c>
      <c r="H4886" s="2" t="s">
        <v>32414</v>
      </c>
      <c r="I4886" s="2">
        <v>74590</v>
      </c>
      <c r="J4886" s="2" t="s">
        <v>32415</v>
      </c>
      <c r="K4886" s="2">
        <v>76930</v>
      </c>
      <c r="L4886" s="2"/>
      <c r="M4886" s="2"/>
      <c r="N4886" s="2"/>
      <c r="O4886" s="2">
        <v>5312780</v>
      </c>
      <c r="P4886" s="2"/>
      <c r="Q4886" s="2" t="s">
        <v>32416</v>
      </c>
      <c r="R4886" s="2" t="s">
        <v>32417</v>
      </c>
      <c r="S4886" s="2" t="s">
        <v>50</v>
      </c>
      <c r="T4886" s="2" t="s">
        <v>229</v>
      </c>
      <c r="U4886" s="2" t="s">
        <v>433</v>
      </c>
      <c r="V4886" s="2" t="s">
        <v>42</v>
      </c>
      <c r="W4886" s="2">
        <v>51.3</v>
      </c>
      <c r="X4886" s="2">
        <v>61.2</v>
      </c>
      <c r="Y4886" s="2" t="s">
        <v>43</v>
      </c>
      <c r="Z4886" s="2" t="s">
        <v>32418</v>
      </c>
      <c r="AA4886" s="2">
        <v>-0.60951461794223605</v>
      </c>
      <c r="AB4886" s="2">
        <v>0.117595869982371</v>
      </c>
      <c r="AC4886" s="2">
        <v>3967.8638618875898</v>
      </c>
      <c r="AD4886" s="2">
        <v>6227.95830223547</v>
      </c>
      <c r="AE4886" s="2">
        <v>3564.7570947054601</v>
      </c>
      <c r="AF4886" s="2">
        <v>2349.3531147457902</v>
      </c>
      <c r="AG4886" s="2">
        <v>3949.8698996020898</v>
      </c>
      <c r="AH4886" s="2">
        <v>2963.4024883944599</v>
      </c>
      <c r="AI4886" s="2">
        <v>3433.8161832282799</v>
      </c>
      <c r="AJ4886" s="2">
        <v>7545.9843906494498</v>
      </c>
      <c r="AK4886" s="2">
        <v>6266.4492259935596</v>
      </c>
      <c r="AL4886" s="2">
        <v>12349.0625125022</v>
      </c>
      <c r="AM4886" s="2">
        <v>3677.8022936486</v>
      </c>
      <c r="AN4886" s="2">
        <v>4945.6640264550397</v>
      </c>
      <c r="AO4886" s="2">
        <v>2742.2555428198302</v>
      </c>
      <c r="AP4886" s="2">
        <v>7386.5162119936003</v>
      </c>
    </row>
    <row r="4887" spans="1:42" ht="14.5" x14ac:dyDescent="0.35">
      <c r="A4887" s="2" t="s">
        <v>32419</v>
      </c>
      <c r="B4887" s="2">
        <v>733.19519962860704</v>
      </c>
      <c r="C4887" s="2">
        <v>3.6547999999999998</v>
      </c>
      <c r="D4887" s="2" t="s">
        <v>70</v>
      </c>
      <c r="E4887" s="2" t="s">
        <v>32420</v>
      </c>
      <c r="F4887" s="2">
        <v>256520</v>
      </c>
      <c r="G4887" s="3" t="str">
        <f>HYPERLINK("http://funmeta.oebiotech.com/network/256520", "http://funmeta.oebiotech.com/network/256520")</f>
        <v>http://funmeta.oebiotech.com/network/256520</v>
      </c>
      <c r="H4887" s="2" t="s">
        <v>32421</v>
      </c>
      <c r="I4887" s="2"/>
      <c r="J4887" s="2"/>
      <c r="K4887" s="2"/>
      <c r="L4887" s="2"/>
      <c r="M4887" s="2"/>
      <c r="N4887" s="2"/>
      <c r="O4887" s="2"/>
      <c r="P4887" s="2"/>
      <c r="Q4887" s="2" t="s">
        <v>32422</v>
      </c>
      <c r="R4887" s="2" t="s">
        <v>32423</v>
      </c>
      <c r="S4887" s="2" t="s">
        <v>79</v>
      </c>
      <c r="T4887" s="2" t="s">
        <v>80</v>
      </c>
      <c r="U4887" s="2" t="s">
        <v>81</v>
      </c>
      <c r="V4887" s="2" t="s">
        <v>59</v>
      </c>
      <c r="W4887" s="2">
        <v>37.9</v>
      </c>
      <c r="X4887" s="2">
        <v>0</v>
      </c>
      <c r="Y4887" s="2" t="s">
        <v>118</v>
      </c>
      <c r="Z4887" s="2" t="s">
        <v>32424</v>
      </c>
      <c r="AA4887" s="2">
        <v>-0.25141468742563</v>
      </c>
      <c r="AB4887" s="2">
        <v>0.117491656396462</v>
      </c>
      <c r="AC4887" s="2">
        <v>39636.651795739497</v>
      </c>
      <c r="AD4887" s="2">
        <v>37497.331175017302</v>
      </c>
      <c r="AE4887" s="2">
        <v>36935.909526640004</v>
      </c>
      <c r="AF4887" s="2">
        <v>39974.086338613903</v>
      </c>
      <c r="AG4887" s="2">
        <v>41132.347085143898</v>
      </c>
      <c r="AH4887" s="2">
        <v>40539.376881368698</v>
      </c>
      <c r="AI4887" s="2">
        <v>35714.576529196303</v>
      </c>
      <c r="AJ4887" s="2">
        <v>43523.614413474301</v>
      </c>
      <c r="AK4887" s="2">
        <v>35782.681711731399</v>
      </c>
      <c r="AL4887" s="2">
        <v>35336.128661911702</v>
      </c>
      <c r="AM4887" s="2">
        <v>41409.366872788501</v>
      </c>
      <c r="AN4887" s="2">
        <v>37442.798142949003</v>
      </c>
      <c r="AO4887" s="2">
        <v>36812.983246424003</v>
      </c>
      <c r="AP4887" s="2">
        <v>38200.028414299297</v>
      </c>
    </row>
    <row r="4888" spans="1:42" ht="14.5" x14ac:dyDescent="0.35">
      <c r="A4888" s="2" t="s">
        <v>32425</v>
      </c>
      <c r="B4888" s="2">
        <v>266.08836467320702</v>
      </c>
      <c r="C4888" s="2">
        <v>1.4208666666666701</v>
      </c>
      <c r="D4888" s="2" t="s">
        <v>34</v>
      </c>
      <c r="E4888" s="2" t="s">
        <v>32426</v>
      </c>
      <c r="F4888" s="2">
        <v>203173</v>
      </c>
      <c r="G4888" s="3" t="str">
        <f>HYPERLINK("http://funmeta.oebiotech.com/network/203173", "http://funmeta.oebiotech.com/network/203173")</f>
        <v>http://funmeta.oebiotech.com/network/203173</v>
      </c>
      <c r="H4888" s="2" t="s">
        <v>32427</v>
      </c>
      <c r="I4888" s="2"/>
      <c r="J4888" s="2"/>
      <c r="K4888" s="2"/>
      <c r="L4888" s="2"/>
      <c r="M4888" s="2"/>
      <c r="N4888" s="2"/>
      <c r="O4888" s="2">
        <v>99920</v>
      </c>
      <c r="P4888" s="2"/>
      <c r="Q4888" s="2" t="s">
        <v>32428</v>
      </c>
      <c r="R4888" s="2" t="s">
        <v>32429</v>
      </c>
      <c r="S4888" s="2" t="s">
        <v>491</v>
      </c>
      <c r="T4888" s="2" t="s">
        <v>7431</v>
      </c>
      <c r="U4888" s="2" t="s">
        <v>7432</v>
      </c>
      <c r="V4888" s="2" t="s">
        <v>59</v>
      </c>
      <c r="W4888" s="2">
        <v>38.9</v>
      </c>
      <c r="X4888" s="2">
        <v>0</v>
      </c>
      <c r="Y4888" s="2" t="s">
        <v>394</v>
      </c>
      <c r="Z4888" s="2" t="s">
        <v>32430</v>
      </c>
      <c r="AA4888" s="2">
        <v>-5.8901983968773601E-2</v>
      </c>
      <c r="AB4888" s="2">
        <v>0.117347129577611</v>
      </c>
      <c r="AC4888" s="2">
        <v>1915.20905143042</v>
      </c>
      <c r="AD4888" s="2">
        <v>978.56587650258803</v>
      </c>
      <c r="AE4888" s="2">
        <v>2026.5768945760999</v>
      </c>
      <c r="AF4888" s="2">
        <v>1900.79042434232</v>
      </c>
      <c r="AG4888" s="2">
        <v>2051.9631408271998</v>
      </c>
      <c r="AH4888" s="2">
        <v>1767.5935547680799</v>
      </c>
      <c r="AI4888" s="2">
        <v>2042.8216771904199</v>
      </c>
      <c r="AJ4888" s="2">
        <v>1701.5086168784201</v>
      </c>
      <c r="AK4888" s="2">
        <v>854.21226378287997</v>
      </c>
      <c r="AL4888" s="2">
        <v>1006.33678149496</v>
      </c>
      <c r="AM4888" s="2">
        <v>889.33878066772502</v>
      </c>
      <c r="AN4888" s="2">
        <v>1102.7699360571901</v>
      </c>
      <c r="AO4888" s="2">
        <v>1133.3853487439701</v>
      </c>
      <c r="AP4888" s="2">
        <v>885.35214826880599</v>
      </c>
    </row>
    <row r="4889" spans="1:42" ht="14.5" x14ac:dyDescent="0.35">
      <c r="A4889" s="2" t="s">
        <v>32431</v>
      </c>
      <c r="B4889" s="2">
        <v>256.01097597116899</v>
      </c>
      <c r="C4889" s="2">
        <v>3.2723666666666702</v>
      </c>
      <c r="D4889" s="2" t="s">
        <v>34</v>
      </c>
      <c r="E4889" s="2" t="s">
        <v>32432</v>
      </c>
      <c r="F4889" s="2">
        <v>204787</v>
      </c>
      <c r="G4889" s="3" t="str">
        <f>HYPERLINK("http://funmeta.oebiotech.com/network/204787", "http://funmeta.oebiotech.com/network/204787")</f>
        <v>http://funmeta.oebiotech.com/network/204787</v>
      </c>
      <c r="H4889" s="2" t="s">
        <v>32433</v>
      </c>
      <c r="I4889" s="2"/>
      <c r="J4889" s="2"/>
      <c r="K4889" s="2"/>
      <c r="L4889" s="2"/>
      <c r="M4889" s="2"/>
      <c r="N4889" s="2"/>
      <c r="O4889" s="2">
        <v>169445</v>
      </c>
      <c r="P4889" s="2"/>
      <c r="Q4889" s="2" t="s">
        <v>32434</v>
      </c>
      <c r="R4889" s="2" t="s">
        <v>32435</v>
      </c>
      <c r="S4889" s="2" t="s">
        <v>89</v>
      </c>
      <c r="T4889" s="2" t="s">
        <v>6048</v>
      </c>
      <c r="U4889" s="2" t="s">
        <v>12523</v>
      </c>
      <c r="V4889" s="2" t="s">
        <v>59</v>
      </c>
      <c r="W4889" s="2">
        <v>38.700000000000003</v>
      </c>
      <c r="X4889" s="2">
        <v>0</v>
      </c>
      <c r="Y4889" s="2" t="s">
        <v>323</v>
      </c>
      <c r="Z4889" s="2" t="s">
        <v>32436</v>
      </c>
      <c r="AA4889" s="2">
        <v>-0.236492459881286</v>
      </c>
      <c r="AB4889" s="2">
        <v>0.117242947798033</v>
      </c>
      <c r="AC4889" s="2">
        <v>12944.7102722947</v>
      </c>
      <c r="AD4889" s="2">
        <v>14423.031927156901</v>
      </c>
      <c r="AE4889" s="2">
        <v>12843.972659118799</v>
      </c>
      <c r="AF4889" s="2">
        <v>12804.3360361181</v>
      </c>
      <c r="AG4889" s="2">
        <v>14241.018463079999</v>
      </c>
      <c r="AH4889" s="2">
        <v>13676.554196745499</v>
      </c>
      <c r="AI4889" s="2">
        <v>12809.747839257599</v>
      </c>
      <c r="AJ4889" s="2">
        <v>11292.6324394482</v>
      </c>
      <c r="AK4889" s="2">
        <v>15958.577779389399</v>
      </c>
      <c r="AL4889" s="2">
        <v>15270.8346659497</v>
      </c>
      <c r="AM4889" s="2">
        <v>13988.939579628101</v>
      </c>
      <c r="AN4889" s="2">
        <v>13155.3427804693</v>
      </c>
      <c r="AO4889" s="2">
        <v>13585.1251165513</v>
      </c>
      <c r="AP4889" s="2">
        <v>14579.371640953699</v>
      </c>
    </row>
    <row r="4890" spans="1:42" ht="14.5" x14ac:dyDescent="0.35">
      <c r="A4890" s="2" t="s">
        <v>32437</v>
      </c>
      <c r="B4890" s="2">
        <v>333.22795502792502</v>
      </c>
      <c r="C4890" s="2">
        <v>4.5315500000000002</v>
      </c>
      <c r="D4890" s="2" t="s">
        <v>34</v>
      </c>
      <c r="E4890" s="2" t="s">
        <v>32438</v>
      </c>
      <c r="F4890" s="2">
        <v>10274</v>
      </c>
      <c r="G4890" s="3" t="str">
        <f>HYPERLINK("http://funmeta.oebiotech.com/network/10274", "http://funmeta.oebiotech.com/network/10274")</f>
        <v>http://funmeta.oebiotech.com/network/10274</v>
      </c>
      <c r="H4890" s="2"/>
      <c r="I4890" s="2"/>
      <c r="J4890" s="2" t="s">
        <v>32439</v>
      </c>
      <c r="K4890" s="2">
        <v>78955</v>
      </c>
      <c r="L4890" s="2"/>
      <c r="M4890" s="2"/>
      <c r="N4890" s="2"/>
      <c r="O4890" s="2">
        <v>78093979</v>
      </c>
      <c r="P4890" s="2"/>
      <c r="Q4890" s="2" t="s">
        <v>32440</v>
      </c>
      <c r="R4890" s="2" t="s">
        <v>32441</v>
      </c>
      <c r="S4890" s="2" t="s">
        <v>79</v>
      </c>
      <c r="T4890" s="2" t="s">
        <v>80</v>
      </c>
      <c r="U4890" s="2" t="s">
        <v>81</v>
      </c>
      <c r="V4890" s="2" t="s">
        <v>59</v>
      </c>
      <c r="W4890" s="2">
        <v>38</v>
      </c>
      <c r="X4890" s="2">
        <v>0</v>
      </c>
      <c r="Y4890" s="2" t="s">
        <v>394</v>
      </c>
      <c r="Z4890" s="2" t="s">
        <v>32442</v>
      </c>
      <c r="AA4890" s="2">
        <v>2.3774986121927499</v>
      </c>
      <c r="AB4890" s="2">
        <v>0.11723078857885801</v>
      </c>
      <c r="AC4890" s="2">
        <v>1104.06766055447</v>
      </c>
      <c r="AD4890" s="2">
        <v>2.7106294003980101E-5</v>
      </c>
      <c r="AE4890" s="2">
        <v>829.976168530922</v>
      </c>
      <c r="AF4890" s="2">
        <v>1287.2276381373599</v>
      </c>
      <c r="AG4890" s="2">
        <v>630.73719528161803</v>
      </c>
      <c r="AH4890" s="2">
        <v>939.2717596599</v>
      </c>
      <c r="AI4890" s="2">
        <v>683.25237312808304</v>
      </c>
      <c r="AJ4890" s="2">
        <v>2253.9408285889199</v>
      </c>
      <c r="AK4890" s="2">
        <v>2.7106294003980101E-5</v>
      </c>
      <c r="AL4890" s="2">
        <v>2.7106294003980101E-5</v>
      </c>
      <c r="AM4890" s="2">
        <v>2.7106294003980101E-5</v>
      </c>
      <c r="AN4890" s="2">
        <v>2.7106294003980101E-5</v>
      </c>
      <c r="AO4890" s="2">
        <v>2.7106294003980101E-5</v>
      </c>
      <c r="AP4890" s="2">
        <v>2.7106294003980101E-5</v>
      </c>
    </row>
    <row r="4891" spans="1:42" ht="14.5" x14ac:dyDescent="0.35">
      <c r="A4891" s="2" t="s">
        <v>32443</v>
      </c>
      <c r="B4891" s="2">
        <v>347.17125629362698</v>
      </c>
      <c r="C4891" s="2">
        <v>11.10285</v>
      </c>
      <c r="D4891" s="2" t="s">
        <v>70</v>
      </c>
      <c r="E4891" s="2" t="s">
        <v>32444</v>
      </c>
      <c r="F4891" s="2">
        <v>63208</v>
      </c>
      <c r="G4891" s="3" t="str">
        <f>HYPERLINK("http://funmeta.oebiotech.com/network/63208", "http://funmeta.oebiotech.com/network/63208")</f>
        <v>http://funmeta.oebiotech.com/network/63208</v>
      </c>
      <c r="H4891" s="2" t="s">
        <v>32445</v>
      </c>
      <c r="I4891" s="2">
        <v>94516</v>
      </c>
      <c r="J4891" s="2"/>
      <c r="K4891" s="2">
        <v>168093</v>
      </c>
      <c r="L4891" s="2"/>
      <c r="M4891" s="2"/>
      <c r="N4891" s="2"/>
      <c r="O4891" s="2">
        <v>85309705</v>
      </c>
      <c r="P4891" s="2" t="s">
        <v>32446</v>
      </c>
      <c r="Q4891" s="2" t="s">
        <v>32447</v>
      </c>
      <c r="R4891" s="2" t="s">
        <v>32448</v>
      </c>
      <c r="S4891" s="2" t="s">
        <v>50</v>
      </c>
      <c r="T4891" s="2" t="s">
        <v>201</v>
      </c>
      <c r="U4891" s="2" t="s">
        <v>202</v>
      </c>
      <c r="V4891" s="2" t="s">
        <v>42</v>
      </c>
      <c r="W4891" s="2">
        <v>53</v>
      </c>
      <c r="X4891" s="2">
        <v>69.099999999999994</v>
      </c>
      <c r="Y4891" s="2" t="s">
        <v>751</v>
      </c>
      <c r="Z4891" s="2" t="s">
        <v>3541</v>
      </c>
      <c r="AA4891" s="2">
        <v>0.31370547092135598</v>
      </c>
      <c r="AB4891" s="2">
        <v>0.117204844420155</v>
      </c>
      <c r="AC4891" s="2">
        <v>98606.559821646602</v>
      </c>
      <c r="AD4891" s="2">
        <v>89465.9183278368</v>
      </c>
      <c r="AE4891" s="2">
        <v>63959.959797822601</v>
      </c>
      <c r="AF4891" s="2">
        <v>48094.622745647102</v>
      </c>
      <c r="AG4891" s="2">
        <v>58757.844230855299</v>
      </c>
      <c r="AH4891" s="2">
        <v>159275.33474168301</v>
      </c>
      <c r="AI4891" s="2">
        <v>188542.96651551899</v>
      </c>
      <c r="AJ4891" s="2">
        <v>73008.630898352494</v>
      </c>
      <c r="AK4891" s="2">
        <v>88364.948778305596</v>
      </c>
      <c r="AL4891" s="2">
        <v>93876.050934922299</v>
      </c>
      <c r="AM4891" s="2">
        <v>75207.665670026297</v>
      </c>
      <c r="AN4891" s="2">
        <v>95139.268293864996</v>
      </c>
      <c r="AO4891" s="2">
        <v>90530.711663164999</v>
      </c>
      <c r="AP4891" s="2">
        <v>93676.864626736497</v>
      </c>
    </row>
    <row r="4892" spans="1:42" ht="14.5" x14ac:dyDescent="0.35">
      <c r="A4892" s="2" t="s">
        <v>32449</v>
      </c>
      <c r="B4892" s="2">
        <v>319.11693041733702</v>
      </c>
      <c r="C4892" s="2">
        <v>4.4609500000000004</v>
      </c>
      <c r="D4892" s="2" t="s">
        <v>34</v>
      </c>
      <c r="E4892" s="2" t="s">
        <v>32450</v>
      </c>
      <c r="F4892" s="2">
        <v>267501</v>
      </c>
      <c r="G4892" s="3" t="str">
        <f>HYPERLINK("http://funmeta.oebiotech.com/network/267501", "http://funmeta.oebiotech.com/network/267501")</f>
        <v>http://funmeta.oebiotech.com/network/267501</v>
      </c>
      <c r="H4892" s="2"/>
      <c r="I4892" s="2">
        <v>45571</v>
      </c>
      <c r="J4892" s="2"/>
      <c r="K4892" s="2"/>
      <c r="L4892" s="2"/>
      <c r="M4892" s="2"/>
      <c r="N4892" s="2"/>
      <c r="O4892" s="2">
        <v>501254</v>
      </c>
      <c r="P4892" s="2" t="s">
        <v>32451</v>
      </c>
      <c r="Q4892" s="2" t="s">
        <v>32452</v>
      </c>
      <c r="R4892" s="2" t="s">
        <v>32453</v>
      </c>
      <c r="S4892" s="2" t="s">
        <v>491</v>
      </c>
      <c r="T4892" s="2" t="s">
        <v>7431</v>
      </c>
      <c r="U4892" s="2" t="s">
        <v>7432</v>
      </c>
      <c r="V4892" s="2" t="s">
        <v>59</v>
      </c>
      <c r="W4892" s="2">
        <v>38.4</v>
      </c>
      <c r="X4892" s="2">
        <v>0</v>
      </c>
      <c r="Y4892" s="2" t="s">
        <v>340</v>
      </c>
      <c r="Z4892" s="2" t="s">
        <v>32454</v>
      </c>
      <c r="AA4892" s="2">
        <v>0.82746788386132597</v>
      </c>
      <c r="AB4892" s="2">
        <v>0.117194206374205</v>
      </c>
      <c r="AC4892" s="2">
        <v>5163.1658026620898</v>
      </c>
      <c r="AD4892" s="2">
        <v>6494.2364799151401</v>
      </c>
      <c r="AE4892" s="2">
        <v>4708.8297045502304</v>
      </c>
      <c r="AF4892" s="2">
        <v>5508.5899798934697</v>
      </c>
      <c r="AG4892" s="2">
        <v>5035.5858441384598</v>
      </c>
      <c r="AH4892" s="2">
        <v>5346.8822827541098</v>
      </c>
      <c r="AI4892" s="2">
        <v>5166.9108312684402</v>
      </c>
      <c r="AJ4892" s="2">
        <v>5212.1961733678299</v>
      </c>
      <c r="AK4892" s="2">
        <v>8098.0863298472896</v>
      </c>
      <c r="AL4892" s="2">
        <v>5291.32629094395</v>
      </c>
      <c r="AM4892" s="2">
        <v>5836.0097869231604</v>
      </c>
      <c r="AN4892" s="2">
        <v>6914.1158883651196</v>
      </c>
      <c r="AO4892" s="2">
        <v>5610.82313571943</v>
      </c>
      <c r="AP4892" s="2">
        <v>7215.05744769188</v>
      </c>
    </row>
    <row r="4893" spans="1:42" ht="14.5" x14ac:dyDescent="0.35">
      <c r="A4893" s="2" t="s">
        <v>32455</v>
      </c>
      <c r="B4893" s="2">
        <v>491.11939609112</v>
      </c>
      <c r="C4893" s="2">
        <v>7.1973833333333301</v>
      </c>
      <c r="D4893" s="2" t="s">
        <v>70</v>
      </c>
      <c r="E4893" s="2" t="s">
        <v>32456</v>
      </c>
      <c r="F4893" s="2">
        <v>47866</v>
      </c>
      <c r="G4893" s="3" t="str">
        <f>HYPERLINK("http://funmeta.oebiotech.com/network/47866", "http://funmeta.oebiotech.com/network/47866")</f>
        <v>http://funmeta.oebiotech.com/network/47866</v>
      </c>
      <c r="H4893" s="2" t="s">
        <v>32457</v>
      </c>
      <c r="I4893" s="2"/>
      <c r="J4893" s="2"/>
      <c r="K4893" s="2">
        <v>1097945</v>
      </c>
      <c r="L4893" s="2"/>
      <c r="M4893" s="2"/>
      <c r="N4893" s="2"/>
      <c r="O4893" s="2">
        <v>12004532</v>
      </c>
      <c r="P4893" s="2"/>
      <c r="Q4893" s="2" t="s">
        <v>32458</v>
      </c>
      <c r="R4893" s="2" t="s">
        <v>32459</v>
      </c>
      <c r="S4893" s="2" t="s">
        <v>115</v>
      </c>
      <c r="T4893" s="2" t="s">
        <v>1371</v>
      </c>
      <c r="U4893" s="2" t="s">
        <v>1372</v>
      </c>
      <c r="V4893" s="2" t="s">
        <v>59</v>
      </c>
      <c r="W4893" s="2">
        <v>39.5</v>
      </c>
      <c r="X4893" s="2">
        <v>0.874</v>
      </c>
      <c r="Y4893" s="2" t="s">
        <v>408</v>
      </c>
      <c r="Z4893" s="2" t="s">
        <v>32460</v>
      </c>
      <c r="AA4893" s="2">
        <v>-0.23240320790741101</v>
      </c>
      <c r="AB4893" s="2">
        <v>0.117153120813697</v>
      </c>
      <c r="AC4893" s="2">
        <v>19307.007273623301</v>
      </c>
      <c r="AD4893" s="2">
        <v>20916.688771177302</v>
      </c>
      <c r="AE4893" s="2">
        <v>19290.971856097902</v>
      </c>
      <c r="AF4893" s="2">
        <v>18905.554252583799</v>
      </c>
      <c r="AG4893" s="2">
        <v>20232.913774719898</v>
      </c>
      <c r="AH4893" s="2">
        <v>18824.202806932801</v>
      </c>
      <c r="AI4893" s="2">
        <v>18409.580398058701</v>
      </c>
      <c r="AJ4893" s="2">
        <v>20178.820553346501</v>
      </c>
      <c r="AK4893" s="2">
        <v>22453.3699313951</v>
      </c>
      <c r="AL4893" s="2">
        <v>23036.1073034199</v>
      </c>
      <c r="AM4893" s="2">
        <v>21179.420511936401</v>
      </c>
      <c r="AN4893" s="2">
        <v>19831.8912613223</v>
      </c>
      <c r="AO4893" s="2">
        <v>20296.011603739302</v>
      </c>
      <c r="AP4893" s="2">
        <v>18703.332015250799</v>
      </c>
    </row>
    <row r="4894" spans="1:42" ht="14.5" x14ac:dyDescent="0.35">
      <c r="A4894" s="2" t="s">
        <v>32461</v>
      </c>
      <c r="B4894" s="2">
        <v>479.37394846322798</v>
      </c>
      <c r="C4894" s="2">
        <v>11.0078333333333</v>
      </c>
      <c r="D4894" s="2" t="s">
        <v>70</v>
      </c>
      <c r="E4894" s="2" t="s">
        <v>32462</v>
      </c>
      <c r="F4894" s="2">
        <v>257045</v>
      </c>
      <c r="G4894" s="3" t="str">
        <f>HYPERLINK("http://funmeta.oebiotech.com/network/257045", "http://funmeta.oebiotech.com/network/257045")</f>
        <v>http://funmeta.oebiotech.com/network/257045</v>
      </c>
      <c r="H4894" s="2" t="s">
        <v>32463</v>
      </c>
      <c r="I4894" s="2"/>
      <c r="J4894" s="2"/>
      <c r="K4894" s="2"/>
      <c r="L4894" s="2"/>
      <c r="M4894" s="2"/>
      <c r="N4894" s="2"/>
      <c r="O4894" s="2">
        <v>73229504</v>
      </c>
      <c r="P4894" s="2"/>
      <c r="Q4894" s="2" t="s">
        <v>32464</v>
      </c>
      <c r="R4894" s="2" t="s">
        <v>32465</v>
      </c>
      <c r="S4894" s="2" t="s">
        <v>50</v>
      </c>
      <c r="T4894" s="2" t="s">
        <v>124</v>
      </c>
      <c r="U4894" s="2" t="s">
        <v>125</v>
      </c>
      <c r="V4894" s="2" t="s">
        <v>59</v>
      </c>
      <c r="W4894" s="2">
        <v>37.700000000000003</v>
      </c>
      <c r="X4894" s="2">
        <v>0</v>
      </c>
      <c r="Y4894" s="2" t="s">
        <v>408</v>
      </c>
      <c r="Z4894" s="2" t="s">
        <v>32466</v>
      </c>
      <c r="AA4894" s="2">
        <v>-0.57523655652975303</v>
      </c>
      <c r="AB4894" s="2">
        <v>0.117134308828562</v>
      </c>
      <c r="AC4894" s="2">
        <v>2497.4414659276399</v>
      </c>
      <c r="AD4894" s="2">
        <v>3495.24715333416</v>
      </c>
      <c r="AE4894" s="2">
        <v>2421.9576503846702</v>
      </c>
      <c r="AF4894" s="2">
        <v>2288.5732745740602</v>
      </c>
      <c r="AG4894" s="2">
        <v>2272.2427305277602</v>
      </c>
      <c r="AH4894" s="2">
        <v>2618.8094958758402</v>
      </c>
      <c r="AI4894" s="2">
        <v>2428.4265583398201</v>
      </c>
      <c r="AJ4894" s="2">
        <v>2954.6390858636601</v>
      </c>
      <c r="AK4894" s="2">
        <v>3106.2300891496302</v>
      </c>
      <c r="AL4894" s="2">
        <v>3608.5977075547999</v>
      </c>
      <c r="AM4894" s="2">
        <v>3649.4520525283401</v>
      </c>
      <c r="AN4894" s="2">
        <v>3287.3050515936602</v>
      </c>
      <c r="AO4894" s="2">
        <v>3473.5819548596301</v>
      </c>
      <c r="AP4894" s="2">
        <v>3846.3160643189099</v>
      </c>
    </row>
    <row r="4895" spans="1:42" ht="14.5" x14ac:dyDescent="0.35">
      <c r="A4895" s="2" t="s">
        <v>32467</v>
      </c>
      <c r="B4895" s="2">
        <v>347.11241531013098</v>
      </c>
      <c r="C4895" s="2">
        <v>4.0691166666666696</v>
      </c>
      <c r="D4895" s="2" t="s">
        <v>34</v>
      </c>
      <c r="E4895" s="2" t="s">
        <v>32468</v>
      </c>
      <c r="F4895" s="2">
        <v>60854</v>
      </c>
      <c r="G4895" s="3" t="str">
        <f>HYPERLINK("http://funmeta.oebiotech.com/network/60854", "http://funmeta.oebiotech.com/network/60854")</f>
        <v>http://funmeta.oebiotech.com/network/60854</v>
      </c>
      <c r="H4895" s="2" t="s">
        <v>32469</v>
      </c>
      <c r="I4895" s="2">
        <v>92206</v>
      </c>
      <c r="J4895" s="2"/>
      <c r="K4895" s="2">
        <v>168876</v>
      </c>
      <c r="L4895" s="2"/>
      <c r="M4895" s="2"/>
      <c r="N4895" s="2"/>
      <c r="O4895" s="2">
        <v>14427389</v>
      </c>
      <c r="P4895" s="2" t="s">
        <v>32470</v>
      </c>
      <c r="Q4895" s="2" t="s">
        <v>32471</v>
      </c>
      <c r="R4895" s="2" t="s">
        <v>32472</v>
      </c>
      <c r="S4895" s="2" t="s">
        <v>115</v>
      </c>
      <c r="T4895" s="2" t="s">
        <v>17642</v>
      </c>
      <c r="U4895" s="2" t="s">
        <v>17643</v>
      </c>
      <c r="V4895" s="2" t="s">
        <v>59</v>
      </c>
      <c r="W4895" s="2">
        <v>38.1</v>
      </c>
      <c r="X4895" s="2">
        <v>0</v>
      </c>
      <c r="Y4895" s="2" t="s">
        <v>394</v>
      </c>
      <c r="Z4895" s="2" t="s">
        <v>5106</v>
      </c>
      <c r="AA4895" s="2">
        <v>-0.329483728991389</v>
      </c>
      <c r="AB4895" s="2">
        <v>0.11705798999705</v>
      </c>
      <c r="AC4895" s="2">
        <v>6291.74518732657</v>
      </c>
      <c r="AD4895" s="2">
        <v>7622.55862110001</v>
      </c>
      <c r="AE4895" s="2">
        <v>6440.7607576021901</v>
      </c>
      <c r="AF4895" s="2">
        <v>7142.0123281194801</v>
      </c>
      <c r="AG4895" s="2">
        <v>5407.5029406313897</v>
      </c>
      <c r="AH4895" s="2">
        <v>7303.8817142436401</v>
      </c>
      <c r="AI4895" s="2">
        <v>5652.54830587373</v>
      </c>
      <c r="AJ4895" s="2">
        <v>5803.7650774889898</v>
      </c>
      <c r="AK4895" s="2">
        <v>7865.28756647297</v>
      </c>
      <c r="AL4895" s="2">
        <v>7925.3580065227998</v>
      </c>
      <c r="AM4895" s="2">
        <v>7389.7026008823104</v>
      </c>
      <c r="AN4895" s="2">
        <v>7036.4846179953201</v>
      </c>
      <c r="AO4895" s="2">
        <v>6688.6798712156296</v>
      </c>
      <c r="AP4895" s="2">
        <v>8829.8390635110409</v>
      </c>
    </row>
    <row r="4896" spans="1:42" ht="14.5" x14ac:dyDescent="0.35">
      <c r="A4896" s="2" t="s">
        <v>32473</v>
      </c>
      <c r="B4896" s="2">
        <v>405.37232681230603</v>
      </c>
      <c r="C4896" s="2">
        <v>14.22805</v>
      </c>
      <c r="D4896" s="2" t="s">
        <v>34</v>
      </c>
      <c r="E4896" s="2" t="s">
        <v>32474</v>
      </c>
      <c r="F4896" s="2">
        <v>2286</v>
      </c>
      <c r="G4896" s="3" t="str">
        <f>HYPERLINK("http://funmeta.oebiotech.com/network/2286", "http://funmeta.oebiotech.com/network/2286")</f>
        <v>http://funmeta.oebiotech.com/network/2286</v>
      </c>
      <c r="H4896" s="2"/>
      <c r="I4896" s="2"/>
      <c r="J4896" s="2" t="s">
        <v>32475</v>
      </c>
      <c r="K4896" s="2"/>
      <c r="L4896" s="2"/>
      <c r="M4896" s="2"/>
      <c r="N4896" s="2"/>
      <c r="O4896" s="2">
        <v>23427167</v>
      </c>
      <c r="P4896" s="2"/>
      <c r="Q4896" s="2" t="s">
        <v>32476</v>
      </c>
      <c r="R4896" s="2" t="s">
        <v>32477</v>
      </c>
      <c r="S4896" s="2" t="s">
        <v>50</v>
      </c>
      <c r="T4896" s="2" t="s">
        <v>229</v>
      </c>
      <c r="U4896" s="2" t="s">
        <v>433</v>
      </c>
      <c r="V4896" s="2" t="s">
        <v>59</v>
      </c>
      <c r="W4896" s="2">
        <v>41.9</v>
      </c>
      <c r="X4896" s="2">
        <v>13.8</v>
      </c>
      <c r="Y4896" s="2" t="s">
        <v>141</v>
      </c>
      <c r="Z4896" s="2" t="s">
        <v>32478</v>
      </c>
      <c r="AA4896" s="2">
        <v>-0.90061906450964802</v>
      </c>
      <c r="AB4896" s="2">
        <v>0.11705622946368199</v>
      </c>
      <c r="AC4896" s="2">
        <v>9889.9354195200394</v>
      </c>
      <c r="AD4896" s="2">
        <v>8540.67294363572</v>
      </c>
      <c r="AE4896" s="2">
        <v>9608.1608248720695</v>
      </c>
      <c r="AF4896" s="2">
        <v>9141.9726289919399</v>
      </c>
      <c r="AG4896" s="2">
        <v>10528.9689904979</v>
      </c>
      <c r="AH4896" s="2">
        <v>9069.0690709289502</v>
      </c>
      <c r="AI4896" s="2">
        <v>9727.0924202246806</v>
      </c>
      <c r="AJ4896" s="2">
        <v>11264.3485816047</v>
      </c>
      <c r="AK4896" s="2">
        <v>9027.2821770534792</v>
      </c>
      <c r="AL4896" s="2">
        <v>8285.7585097177998</v>
      </c>
      <c r="AM4896" s="2">
        <v>8811.0339748005008</v>
      </c>
      <c r="AN4896" s="2">
        <v>7100.83336141568</v>
      </c>
      <c r="AO4896" s="2">
        <v>8528.6264748117392</v>
      </c>
      <c r="AP4896" s="2">
        <v>9490.5031640151301</v>
      </c>
    </row>
    <row r="4897" spans="1:42" ht="14.5" x14ac:dyDescent="0.35">
      <c r="A4897" s="2" t="s">
        <v>32479</v>
      </c>
      <c r="B4897" s="2">
        <v>305.21091636235599</v>
      </c>
      <c r="C4897" s="2">
        <v>5.13601666666667</v>
      </c>
      <c r="D4897" s="2" t="s">
        <v>34</v>
      </c>
      <c r="E4897" s="2" t="s">
        <v>32480</v>
      </c>
      <c r="F4897" s="2">
        <v>56017</v>
      </c>
      <c r="G4897" s="3" t="str">
        <f>HYPERLINK("http://funmeta.oebiotech.com/network/56017", "http://funmeta.oebiotech.com/network/56017")</f>
        <v>http://funmeta.oebiotech.com/network/56017</v>
      </c>
      <c r="H4897" s="2" t="s">
        <v>32481</v>
      </c>
      <c r="I4897" s="2">
        <v>87699</v>
      </c>
      <c r="J4897" s="2"/>
      <c r="K4897" s="2"/>
      <c r="L4897" s="2"/>
      <c r="M4897" s="2"/>
      <c r="N4897" s="2"/>
      <c r="O4897" s="2">
        <v>6442560</v>
      </c>
      <c r="P4897" s="2"/>
      <c r="Q4897" s="2" t="s">
        <v>32482</v>
      </c>
      <c r="R4897" s="2" t="s">
        <v>32483</v>
      </c>
      <c r="S4897" s="2" t="s">
        <v>148</v>
      </c>
      <c r="T4897" s="2" t="s">
        <v>392</v>
      </c>
      <c r="U4897" s="2" t="s">
        <v>3450</v>
      </c>
      <c r="V4897" s="2" t="s">
        <v>59</v>
      </c>
      <c r="W4897" s="2">
        <v>39</v>
      </c>
      <c r="X4897" s="2">
        <v>0</v>
      </c>
      <c r="Y4897" s="2" t="s">
        <v>394</v>
      </c>
      <c r="Z4897" s="2" t="s">
        <v>26052</v>
      </c>
      <c r="AA4897" s="2">
        <v>-0.673319181368363</v>
      </c>
      <c r="AB4897" s="2">
        <v>0.117053227809387</v>
      </c>
      <c r="AC4897" s="2">
        <v>4236.8492601952103</v>
      </c>
      <c r="AD4897" s="2">
        <v>2786.08588864286</v>
      </c>
      <c r="AE4897" s="2">
        <v>3582.2738923943498</v>
      </c>
      <c r="AF4897" s="2">
        <v>3947.0582016798999</v>
      </c>
      <c r="AG4897" s="2">
        <v>4905.3288334485396</v>
      </c>
      <c r="AH4897" s="2">
        <v>5502.5794392551097</v>
      </c>
      <c r="AI4897" s="2">
        <v>3336.63153037859</v>
      </c>
      <c r="AJ4897" s="2">
        <v>4147.2236640147803</v>
      </c>
      <c r="AK4897" s="2">
        <v>899.96318607766898</v>
      </c>
      <c r="AL4897" s="2">
        <v>3171.1454204831002</v>
      </c>
      <c r="AM4897" s="2">
        <v>3141.37727892659</v>
      </c>
      <c r="AN4897" s="2">
        <v>2694.9110024220399</v>
      </c>
      <c r="AO4897" s="2">
        <v>4469.8040809533804</v>
      </c>
      <c r="AP4897" s="2">
        <v>2339.3143629944002</v>
      </c>
    </row>
    <row r="4898" spans="1:42" ht="14.5" x14ac:dyDescent="0.35">
      <c r="A4898" s="2" t="s">
        <v>32484</v>
      </c>
      <c r="B4898" s="2">
        <v>429.17520032115101</v>
      </c>
      <c r="C4898" s="2">
        <v>4.9617833333333303</v>
      </c>
      <c r="D4898" s="2" t="s">
        <v>34</v>
      </c>
      <c r="E4898" s="2" t="s">
        <v>32485</v>
      </c>
      <c r="F4898" s="2">
        <v>8777</v>
      </c>
      <c r="G4898" s="3" t="str">
        <f>HYPERLINK("http://funmeta.oebiotech.com/network/8777", "http://funmeta.oebiotech.com/network/8777")</f>
        <v>http://funmeta.oebiotech.com/network/8777</v>
      </c>
      <c r="H4898" s="2"/>
      <c r="I4898" s="2"/>
      <c r="J4898" s="2" t="s">
        <v>32486</v>
      </c>
      <c r="K4898" s="2">
        <v>50431</v>
      </c>
      <c r="L4898" s="2"/>
      <c r="M4898" s="2"/>
      <c r="N4898" s="2"/>
      <c r="O4898" s="2">
        <v>24883441</v>
      </c>
      <c r="P4898" s="2"/>
      <c r="Q4898" s="2" t="s">
        <v>32487</v>
      </c>
      <c r="R4898" s="2" t="s">
        <v>32488</v>
      </c>
      <c r="S4898" s="2" t="s">
        <v>50</v>
      </c>
      <c r="T4898" s="2" t="s">
        <v>229</v>
      </c>
      <c r="U4898" s="2" t="s">
        <v>645</v>
      </c>
      <c r="V4898" s="2" t="s">
        <v>59</v>
      </c>
      <c r="W4898" s="2">
        <v>37.5</v>
      </c>
      <c r="X4898" s="2">
        <v>0</v>
      </c>
      <c r="Y4898" s="2" t="s">
        <v>340</v>
      </c>
      <c r="Z4898" s="2" t="s">
        <v>32489</v>
      </c>
      <c r="AA4898" s="2">
        <v>1.51949137312719</v>
      </c>
      <c r="AB4898" s="2">
        <v>0.116963036144695</v>
      </c>
      <c r="AC4898" s="2">
        <v>5446.9215252801796</v>
      </c>
      <c r="AD4898" s="2">
        <v>7185.7247019557499</v>
      </c>
      <c r="AE4898" s="2">
        <v>5139.3238872333804</v>
      </c>
      <c r="AF4898" s="2">
        <v>4775.1121254289101</v>
      </c>
      <c r="AG4898" s="2">
        <v>5323.4291900191101</v>
      </c>
      <c r="AH4898" s="2">
        <v>5700.2254605111102</v>
      </c>
      <c r="AI4898" s="2">
        <v>4663.7276949821498</v>
      </c>
      <c r="AJ4898" s="2">
        <v>7079.7107935063996</v>
      </c>
      <c r="AK4898" s="2">
        <v>7940.4000770974699</v>
      </c>
      <c r="AL4898" s="2">
        <v>9134.5961726920705</v>
      </c>
      <c r="AM4898" s="2">
        <v>9582.5185782029803</v>
      </c>
      <c r="AN4898" s="2">
        <v>6143.87452137123</v>
      </c>
      <c r="AO4898" s="2">
        <v>5894.8654016550699</v>
      </c>
      <c r="AP4898" s="2">
        <v>4418.0934607156996</v>
      </c>
    </row>
    <row r="4899" spans="1:42" ht="14.5" x14ac:dyDescent="0.35">
      <c r="A4899" s="2" t="s">
        <v>32490</v>
      </c>
      <c r="B4899" s="2">
        <v>309.20698551249802</v>
      </c>
      <c r="C4899" s="2">
        <v>10.2578333333333</v>
      </c>
      <c r="D4899" s="2" t="s">
        <v>70</v>
      </c>
      <c r="E4899" s="2" t="s">
        <v>32491</v>
      </c>
      <c r="F4899" s="2">
        <v>3201</v>
      </c>
      <c r="G4899" s="3" t="str">
        <f>HYPERLINK("http://funmeta.oebiotech.com/network/3201", "http://funmeta.oebiotech.com/network/3201")</f>
        <v>http://funmeta.oebiotech.com/network/3201</v>
      </c>
      <c r="H4899" s="2" t="s">
        <v>32492</v>
      </c>
      <c r="I4899" s="2">
        <v>35761</v>
      </c>
      <c r="J4899" s="2" t="s">
        <v>32493</v>
      </c>
      <c r="K4899" s="2">
        <v>89606</v>
      </c>
      <c r="L4899" s="2"/>
      <c r="M4899" s="2"/>
      <c r="N4899" s="2"/>
      <c r="O4899" s="2">
        <v>5283007</v>
      </c>
      <c r="P4899" s="2" t="s">
        <v>32494</v>
      </c>
      <c r="Q4899" s="2" t="s">
        <v>32495</v>
      </c>
      <c r="R4899" s="2" t="s">
        <v>32496</v>
      </c>
      <c r="S4899" s="2" t="s">
        <v>50</v>
      </c>
      <c r="T4899" s="2" t="s">
        <v>229</v>
      </c>
      <c r="U4899" s="2" t="s">
        <v>433</v>
      </c>
      <c r="V4899" s="2" t="s">
        <v>42</v>
      </c>
      <c r="W4899" s="2">
        <v>54.6</v>
      </c>
      <c r="X4899" s="2">
        <v>77.5</v>
      </c>
      <c r="Y4899" s="2" t="s">
        <v>118</v>
      </c>
      <c r="Z4899" s="2" t="s">
        <v>6441</v>
      </c>
      <c r="AA4899" s="2">
        <v>-0.47546418830207898</v>
      </c>
      <c r="AB4899" s="2">
        <v>0.116894199619829</v>
      </c>
      <c r="AC4899" s="2">
        <v>43408.443346709202</v>
      </c>
      <c r="AD4899" s="2">
        <v>41538.136000107901</v>
      </c>
      <c r="AE4899" s="2">
        <v>45557.514357589302</v>
      </c>
      <c r="AF4899" s="2">
        <v>41783.288979585901</v>
      </c>
      <c r="AG4899" s="2">
        <v>41673.428786815697</v>
      </c>
      <c r="AH4899" s="2">
        <v>46451.418756184801</v>
      </c>
      <c r="AI4899" s="2">
        <v>41757.520881948403</v>
      </c>
      <c r="AJ4899" s="2">
        <v>43227.488318130803</v>
      </c>
      <c r="AK4899" s="2">
        <v>41121.361332450098</v>
      </c>
      <c r="AL4899" s="2">
        <v>40057.865787428302</v>
      </c>
      <c r="AM4899" s="2">
        <v>43309.516864846802</v>
      </c>
      <c r="AN4899" s="2">
        <v>40176.422097056697</v>
      </c>
      <c r="AO4899" s="2">
        <v>43786.289182369503</v>
      </c>
      <c r="AP4899" s="2">
        <v>40777.360736495903</v>
      </c>
    </row>
    <row r="4900" spans="1:42" ht="14.5" x14ac:dyDescent="0.35">
      <c r="A4900" s="2" t="s">
        <v>32497</v>
      </c>
      <c r="B4900" s="2">
        <v>316.13076355171501</v>
      </c>
      <c r="C4900" s="2">
        <v>5.2337999999999996</v>
      </c>
      <c r="D4900" s="2" t="s">
        <v>34</v>
      </c>
      <c r="E4900" s="2" t="s">
        <v>32498</v>
      </c>
      <c r="F4900" s="2">
        <v>60089</v>
      </c>
      <c r="G4900" s="3" t="str">
        <f>HYPERLINK("http://funmeta.oebiotech.com/network/60089", "http://funmeta.oebiotech.com/network/60089")</f>
        <v>http://funmeta.oebiotech.com/network/60089</v>
      </c>
      <c r="H4900" s="2" t="s">
        <v>32499</v>
      </c>
      <c r="I4900" s="2">
        <v>91469</v>
      </c>
      <c r="J4900" s="2"/>
      <c r="K4900" s="2">
        <v>172515</v>
      </c>
      <c r="L4900" s="2"/>
      <c r="M4900" s="2"/>
      <c r="N4900" s="2"/>
      <c r="O4900" s="2">
        <v>6442578</v>
      </c>
      <c r="P4900" s="2" t="s">
        <v>32500</v>
      </c>
      <c r="Q4900" s="2" t="s">
        <v>32501</v>
      </c>
      <c r="R4900" s="2" t="s">
        <v>32502</v>
      </c>
      <c r="S4900" s="2" t="s">
        <v>148</v>
      </c>
      <c r="T4900" s="2" t="s">
        <v>392</v>
      </c>
      <c r="U4900" s="2" t="s">
        <v>3450</v>
      </c>
      <c r="V4900" s="2" t="s">
        <v>59</v>
      </c>
      <c r="W4900" s="2">
        <v>36.4</v>
      </c>
      <c r="X4900" s="2">
        <v>0</v>
      </c>
      <c r="Y4900" s="2" t="s">
        <v>340</v>
      </c>
      <c r="Z4900" s="2" t="s">
        <v>32503</v>
      </c>
      <c r="AA4900" s="2">
        <v>-0.67875625876592505</v>
      </c>
      <c r="AB4900" s="2">
        <v>0.11688400934516099</v>
      </c>
      <c r="AC4900" s="2">
        <v>3318.8723966145299</v>
      </c>
      <c r="AD4900" s="2">
        <v>4665.6136596052702</v>
      </c>
      <c r="AE4900" s="2">
        <v>3827.43691769611</v>
      </c>
      <c r="AF4900" s="2">
        <v>3094.3098383122701</v>
      </c>
      <c r="AG4900" s="2">
        <v>2751.6425532103599</v>
      </c>
      <c r="AH4900" s="2">
        <v>4379.0900472314997</v>
      </c>
      <c r="AI4900" s="2">
        <v>2924.0521799632502</v>
      </c>
      <c r="AJ4900" s="2">
        <v>2936.7028432737202</v>
      </c>
      <c r="AK4900" s="2">
        <v>4998.4682721188801</v>
      </c>
      <c r="AL4900" s="2">
        <v>5693.26378147998</v>
      </c>
      <c r="AM4900" s="2">
        <v>5605.1445247514403</v>
      </c>
      <c r="AN4900" s="2">
        <v>3414.9583957601299</v>
      </c>
      <c r="AO4900" s="2">
        <v>3694.5274182703301</v>
      </c>
      <c r="AP4900" s="2">
        <v>4587.3195652508402</v>
      </c>
    </row>
    <row r="4901" spans="1:42" ht="14.5" x14ac:dyDescent="0.35">
      <c r="A4901" s="2" t="s">
        <v>32504</v>
      </c>
      <c r="B4901" s="2">
        <v>373.15021899382202</v>
      </c>
      <c r="C4901" s="2">
        <v>4.7039999999999997</v>
      </c>
      <c r="D4901" s="2" t="s">
        <v>70</v>
      </c>
      <c r="E4901" s="2" t="s">
        <v>32505</v>
      </c>
      <c r="F4901" s="2">
        <v>3822</v>
      </c>
      <c r="G4901" s="3" t="str">
        <f>HYPERLINK("http://funmeta.oebiotech.com/network/3822", "http://funmeta.oebiotech.com/network/3822")</f>
        <v>http://funmeta.oebiotech.com/network/3822</v>
      </c>
      <c r="H4901" s="2"/>
      <c r="I4901" s="2">
        <v>45422</v>
      </c>
      <c r="J4901" s="2" t="s">
        <v>32506</v>
      </c>
      <c r="K4901" s="2"/>
      <c r="L4901" s="2"/>
      <c r="M4901" s="2"/>
      <c r="N4901" s="2"/>
      <c r="O4901" s="2">
        <v>44600448</v>
      </c>
      <c r="P4901" s="2" t="s">
        <v>32507</v>
      </c>
      <c r="Q4901" s="2" t="s">
        <v>32508</v>
      </c>
      <c r="R4901" s="2" t="s">
        <v>32509</v>
      </c>
      <c r="S4901" s="2" t="s">
        <v>89</v>
      </c>
      <c r="T4901" s="2" t="s">
        <v>2718</v>
      </c>
      <c r="U4901" s="2" t="s">
        <v>11268</v>
      </c>
      <c r="V4901" s="2" t="s">
        <v>59</v>
      </c>
      <c r="W4901" s="2">
        <v>38.5</v>
      </c>
      <c r="X4901" s="2">
        <v>0</v>
      </c>
      <c r="Y4901" s="2" t="s">
        <v>408</v>
      </c>
      <c r="Z4901" s="2" t="s">
        <v>767</v>
      </c>
      <c r="AA4901" s="2">
        <v>-0.56980503530709803</v>
      </c>
      <c r="AB4901" s="2">
        <v>0.11685512419069501</v>
      </c>
      <c r="AC4901" s="2">
        <v>9167.3332164894</v>
      </c>
      <c r="AD4901" s="2">
        <v>10863.6209737357</v>
      </c>
      <c r="AE4901" s="2">
        <v>7931.0093431259802</v>
      </c>
      <c r="AF4901" s="2">
        <v>8832.1083232274195</v>
      </c>
      <c r="AG4901" s="2">
        <v>10102.6850880774</v>
      </c>
      <c r="AH4901" s="2">
        <v>7942.47434217508</v>
      </c>
      <c r="AI4901" s="2">
        <v>10168.248268449501</v>
      </c>
      <c r="AJ4901" s="2">
        <v>10027.473933881</v>
      </c>
      <c r="AK4901" s="2">
        <v>12577.8022596882</v>
      </c>
      <c r="AL4901" s="2">
        <v>8576.8076027714596</v>
      </c>
      <c r="AM4901" s="2">
        <v>12949.755048679201</v>
      </c>
      <c r="AN4901" s="2">
        <v>8767.22575900827</v>
      </c>
      <c r="AO4901" s="2">
        <v>11243.972569535899</v>
      </c>
      <c r="AP4901" s="2">
        <v>11066.162602731099</v>
      </c>
    </row>
    <row r="4902" spans="1:42" ht="14.5" x14ac:dyDescent="0.35">
      <c r="A4902" s="2" t="s">
        <v>32510</v>
      </c>
      <c r="B4902" s="2">
        <v>198.18490690853801</v>
      </c>
      <c r="C4902" s="2">
        <v>12.3610166666667</v>
      </c>
      <c r="D4902" s="2" t="s">
        <v>34</v>
      </c>
      <c r="E4902" s="2" t="s">
        <v>32511</v>
      </c>
      <c r="F4902" s="2">
        <v>2456</v>
      </c>
      <c r="G4902" s="3" t="str">
        <f>HYPERLINK("http://funmeta.oebiotech.com/network/2456", "http://funmeta.oebiotech.com/network/2456")</f>
        <v>http://funmeta.oebiotech.com/network/2456</v>
      </c>
      <c r="H4902" s="2"/>
      <c r="I4902" s="2">
        <v>35924</v>
      </c>
      <c r="J4902" s="2" t="s">
        <v>32512</v>
      </c>
      <c r="K4902" s="2">
        <v>42025</v>
      </c>
      <c r="L4902" s="2"/>
      <c r="M4902" s="2"/>
      <c r="N4902" s="2"/>
      <c r="O4902" s="2">
        <v>69661</v>
      </c>
      <c r="P4902" s="2"/>
      <c r="Q4902" s="2" t="s">
        <v>32513</v>
      </c>
      <c r="R4902" s="2" t="s">
        <v>32514</v>
      </c>
      <c r="S4902" s="2" t="s">
        <v>50</v>
      </c>
      <c r="T4902" s="2" t="s">
        <v>229</v>
      </c>
      <c r="U4902" s="2" t="s">
        <v>433</v>
      </c>
      <c r="V4902" s="2" t="s">
        <v>42</v>
      </c>
      <c r="W4902" s="2">
        <v>50.1</v>
      </c>
      <c r="X4902" s="2">
        <v>59.8</v>
      </c>
      <c r="Y4902" s="2" t="s">
        <v>141</v>
      </c>
      <c r="Z4902" s="2" t="s">
        <v>32515</v>
      </c>
      <c r="AA4902" s="2">
        <v>-1.5516028365391701</v>
      </c>
      <c r="AB4902" s="2">
        <v>0.116843883318967</v>
      </c>
      <c r="AC4902" s="2">
        <v>21825.4152096377</v>
      </c>
      <c r="AD4902" s="2">
        <v>18927.8826152726</v>
      </c>
      <c r="AE4902" s="2">
        <v>25574.028148467802</v>
      </c>
      <c r="AF4902" s="2">
        <v>17798.473797393701</v>
      </c>
      <c r="AG4902" s="2">
        <v>20910.366995796499</v>
      </c>
      <c r="AH4902" s="2">
        <v>24557.074422188802</v>
      </c>
      <c r="AI4902" s="2">
        <v>23086.6203302262</v>
      </c>
      <c r="AJ4902" s="2">
        <v>19025.927563753001</v>
      </c>
      <c r="AK4902" s="2">
        <v>16007.125181449899</v>
      </c>
      <c r="AL4902" s="2">
        <v>27895.887475537998</v>
      </c>
      <c r="AM4902" s="2">
        <v>17893.389304193901</v>
      </c>
      <c r="AN4902" s="2">
        <v>24974.5782999642</v>
      </c>
      <c r="AO4902" s="2">
        <v>13131.440123326</v>
      </c>
      <c r="AP4902" s="2">
        <v>13664.8753071636</v>
      </c>
    </row>
    <row r="4903" spans="1:42" ht="14.5" x14ac:dyDescent="0.35">
      <c r="A4903" s="2" t="s">
        <v>32516</v>
      </c>
      <c r="B4903" s="2">
        <v>386.08296481961997</v>
      </c>
      <c r="C4903" s="2">
        <v>3.4080166666666698</v>
      </c>
      <c r="D4903" s="2" t="s">
        <v>70</v>
      </c>
      <c r="E4903" s="2" t="s">
        <v>32517</v>
      </c>
      <c r="F4903" s="2">
        <v>52994</v>
      </c>
      <c r="G4903" s="3" t="str">
        <f>HYPERLINK("http://funmeta.oebiotech.com/network/52994", "http://funmeta.oebiotech.com/network/52994")</f>
        <v>http://funmeta.oebiotech.com/network/52994</v>
      </c>
      <c r="H4903" s="2" t="s">
        <v>32518</v>
      </c>
      <c r="I4903" s="2">
        <v>69576</v>
      </c>
      <c r="J4903" s="2"/>
      <c r="K4903" s="2">
        <v>34613</v>
      </c>
      <c r="L4903" s="2" t="s">
        <v>32519</v>
      </c>
      <c r="M4903" s="2"/>
      <c r="N4903" s="2"/>
      <c r="O4903" s="2">
        <v>19150</v>
      </c>
      <c r="P4903" s="2" t="s">
        <v>32520</v>
      </c>
      <c r="Q4903" s="2" t="s">
        <v>32521</v>
      </c>
      <c r="R4903" s="2" t="s">
        <v>32522</v>
      </c>
      <c r="S4903" s="2" t="s">
        <v>491</v>
      </c>
      <c r="T4903" s="2" t="s">
        <v>8419</v>
      </c>
      <c r="U4903" s="2" t="s">
        <v>8420</v>
      </c>
      <c r="V4903" s="2" t="s">
        <v>59</v>
      </c>
      <c r="W4903" s="2">
        <v>36.299999999999997</v>
      </c>
      <c r="X4903" s="2">
        <v>1.95</v>
      </c>
      <c r="Y4903" s="2" t="s">
        <v>751</v>
      </c>
      <c r="Z4903" s="2" t="s">
        <v>32523</v>
      </c>
      <c r="AA4903" s="2">
        <v>3.3315239218864301</v>
      </c>
      <c r="AB4903" s="2">
        <v>0.11684138949650399</v>
      </c>
      <c r="AC4903" s="2">
        <v>68965.849032873506</v>
      </c>
      <c r="AD4903" s="2">
        <v>66796.536645000204</v>
      </c>
      <c r="AE4903" s="2">
        <v>69075.481727493505</v>
      </c>
      <c r="AF4903" s="2">
        <v>65095.513838653598</v>
      </c>
      <c r="AG4903" s="2">
        <v>68829.972627294701</v>
      </c>
      <c r="AH4903" s="2">
        <v>74066.8067610898</v>
      </c>
      <c r="AI4903" s="2">
        <v>69447.488413207393</v>
      </c>
      <c r="AJ4903" s="2">
        <v>67279.830829501807</v>
      </c>
      <c r="AK4903" s="2">
        <v>62734.979681373399</v>
      </c>
      <c r="AL4903" s="2">
        <v>67804.405624223</v>
      </c>
      <c r="AM4903" s="2">
        <v>66616.841205250195</v>
      </c>
      <c r="AN4903" s="2">
        <v>67263.577361465505</v>
      </c>
      <c r="AO4903" s="2">
        <v>68820.987405599502</v>
      </c>
      <c r="AP4903" s="2">
        <v>67538.428592089607</v>
      </c>
    </row>
    <row r="4904" spans="1:42" ht="14.5" x14ac:dyDescent="0.35">
      <c r="A4904" s="2" t="s">
        <v>32524</v>
      </c>
      <c r="B4904" s="2">
        <v>784.82916901443298</v>
      </c>
      <c r="C4904" s="2">
        <v>7.6493166666666701</v>
      </c>
      <c r="D4904" s="2" t="s">
        <v>70</v>
      </c>
      <c r="E4904" s="2" t="s">
        <v>32525</v>
      </c>
      <c r="F4904" s="2">
        <v>48679</v>
      </c>
      <c r="G4904" s="3" t="str">
        <f>HYPERLINK("http://funmeta.oebiotech.com/network/48679", "http://funmeta.oebiotech.com/network/48679")</f>
        <v>http://funmeta.oebiotech.com/network/48679</v>
      </c>
      <c r="H4904" s="2" t="s">
        <v>32526</v>
      </c>
      <c r="I4904" s="2"/>
      <c r="J4904" s="2"/>
      <c r="K4904" s="2">
        <v>30164</v>
      </c>
      <c r="L4904" s="2" t="s">
        <v>32527</v>
      </c>
      <c r="M4904" s="2" t="s">
        <v>32528</v>
      </c>
      <c r="N4904" s="2" t="s">
        <v>32529</v>
      </c>
      <c r="O4904" s="2"/>
      <c r="P4904" s="2" t="s">
        <v>32530</v>
      </c>
      <c r="Q4904" s="2" t="s">
        <v>32531</v>
      </c>
      <c r="R4904" s="2" t="s">
        <v>32532</v>
      </c>
      <c r="S4904" s="2" t="s">
        <v>79</v>
      </c>
      <c r="T4904" s="2" t="s">
        <v>80</v>
      </c>
      <c r="U4904" s="2" t="s">
        <v>2021</v>
      </c>
      <c r="V4904" s="2" t="s">
        <v>59</v>
      </c>
      <c r="W4904" s="2">
        <v>36.799999999999997</v>
      </c>
      <c r="X4904" s="2">
        <v>0</v>
      </c>
      <c r="Y4904" s="2" t="s">
        <v>408</v>
      </c>
      <c r="Z4904" s="2" t="s">
        <v>32533</v>
      </c>
      <c r="AA4904" s="2">
        <v>4.4123746315381203</v>
      </c>
      <c r="AB4904" s="2">
        <v>0.116837799480192</v>
      </c>
      <c r="AC4904" s="2">
        <v>5642.1022292689004</v>
      </c>
      <c r="AD4904" s="2">
        <v>6971.75469769759</v>
      </c>
      <c r="AE4904" s="2">
        <v>5214.8048854850504</v>
      </c>
      <c r="AF4904" s="2">
        <v>5234.6791810276</v>
      </c>
      <c r="AG4904" s="2">
        <v>6045.6120147171796</v>
      </c>
      <c r="AH4904" s="2">
        <v>7047.7264671063704</v>
      </c>
      <c r="AI4904" s="2">
        <v>5401.7143403889004</v>
      </c>
      <c r="AJ4904" s="2">
        <v>4908.0764868883298</v>
      </c>
      <c r="AK4904" s="2">
        <v>6032.32696804429</v>
      </c>
      <c r="AL4904" s="2">
        <v>7123.3845181364204</v>
      </c>
      <c r="AM4904" s="2">
        <v>7660.0010635470499</v>
      </c>
      <c r="AN4904" s="2">
        <v>6342.0531254258103</v>
      </c>
      <c r="AO4904" s="2">
        <v>8132.0256978071802</v>
      </c>
      <c r="AP4904" s="2">
        <v>6540.7368132247802</v>
      </c>
    </row>
    <row r="4905" spans="1:42" ht="14.5" x14ac:dyDescent="0.35">
      <c r="A4905" s="2" t="s">
        <v>32534</v>
      </c>
      <c r="B4905" s="2">
        <v>291.069763544556</v>
      </c>
      <c r="C4905" s="2">
        <v>1.3287</v>
      </c>
      <c r="D4905" s="2" t="s">
        <v>34</v>
      </c>
      <c r="E4905" s="2" t="s">
        <v>32535</v>
      </c>
      <c r="F4905" s="2">
        <v>46924</v>
      </c>
      <c r="G4905" s="3" t="str">
        <f>HYPERLINK("http://funmeta.oebiotech.com/network/46924", "http://funmeta.oebiotech.com/network/46924")</f>
        <v>http://funmeta.oebiotech.com/network/46924</v>
      </c>
      <c r="H4905" s="2" t="s">
        <v>32536</v>
      </c>
      <c r="I4905" s="2">
        <v>84</v>
      </c>
      <c r="J4905" s="2"/>
      <c r="K4905" s="2">
        <v>17596</v>
      </c>
      <c r="L4905" s="2" t="s">
        <v>32537</v>
      </c>
      <c r="M4905" s="2" t="s">
        <v>12417</v>
      </c>
      <c r="N4905" s="2" t="s">
        <v>12418</v>
      </c>
      <c r="O4905" s="2">
        <v>6021</v>
      </c>
      <c r="P4905" s="2" t="s">
        <v>32538</v>
      </c>
      <c r="Q4905" s="2" t="s">
        <v>32539</v>
      </c>
      <c r="R4905" s="2" t="s">
        <v>32540</v>
      </c>
      <c r="S4905" s="2" t="s">
        <v>1444</v>
      </c>
      <c r="T4905" s="2" t="s">
        <v>3595</v>
      </c>
      <c r="U4905" s="2" t="s">
        <v>41</v>
      </c>
      <c r="V4905" s="2" t="s">
        <v>59</v>
      </c>
      <c r="W4905" s="2">
        <v>38.4</v>
      </c>
      <c r="X4905" s="2">
        <v>0</v>
      </c>
      <c r="Y4905" s="2" t="s">
        <v>323</v>
      </c>
      <c r="Z4905" s="2" t="s">
        <v>26955</v>
      </c>
      <c r="AA4905" s="2">
        <v>-0.84540672160592301</v>
      </c>
      <c r="AB4905" s="2">
        <v>0.11682183053697499</v>
      </c>
      <c r="AC4905" s="2">
        <v>1250.5795775973399</v>
      </c>
      <c r="AD4905" s="2">
        <v>282.04842012386803</v>
      </c>
      <c r="AE4905" s="2">
        <v>1200.9481965228499</v>
      </c>
      <c r="AF4905" s="2">
        <v>1162.26172655507</v>
      </c>
      <c r="AG4905" s="2">
        <v>1299.2198060195799</v>
      </c>
      <c r="AH4905" s="2">
        <v>1373.07891089489</v>
      </c>
      <c r="AI4905" s="2">
        <v>1017.19226058704</v>
      </c>
      <c r="AJ4905" s="2">
        <v>1450.7765650046199</v>
      </c>
      <c r="AK4905" s="2">
        <v>629.34765317611505</v>
      </c>
      <c r="AL4905" s="2">
        <v>2.7106294003980101E-5</v>
      </c>
      <c r="AM4905" s="2">
        <v>299.95179475485401</v>
      </c>
      <c r="AN4905" s="2">
        <v>187.30447497151599</v>
      </c>
      <c r="AO4905" s="2">
        <v>2.7106294003980101E-5</v>
      </c>
      <c r="AP4905" s="2">
        <v>575.686543628138</v>
      </c>
    </row>
    <row r="4906" spans="1:42" ht="14.5" x14ac:dyDescent="0.35">
      <c r="A4906" s="2" t="s">
        <v>32541</v>
      </c>
      <c r="B4906" s="2">
        <v>405.17654145203397</v>
      </c>
      <c r="C4906" s="2">
        <v>4.6857333333333298</v>
      </c>
      <c r="D4906" s="2" t="s">
        <v>70</v>
      </c>
      <c r="E4906" s="2" t="s">
        <v>32542</v>
      </c>
      <c r="F4906" s="2">
        <v>199290</v>
      </c>
      <c r="G4906" s="3" t="str">
        <f>HYPERLINK("http://funmeta.oebiotech.com/network/199290", "http://funmeta.oebiotech.com/network/199290")</f>
        <v>http://funmeta.oebiotech.com/network/199290</v>
      </c>
      <c r="H4906" s="2" t="s">
        <v>32543</v>
      </c>
      <c r="I4906" s="2">
        <v>2681</v>
      </c>
      <c r="J4906" s="2"/>
      <c r="K4906" s="2"/>
      <c r="L4906" s="2"/>
      <c r="M4906" s="2"/>
      <c r="N4906" s="2"/>
      <c r="O4906" s="2">
        <v>15897</v>
      </c>
      <c r="P4906" s="2" t="s">
        <v>32544</v>
      </c>
      <c r="Q4906" s="2" t="s">
        <v>32545</v>
      </c>
      <c r="R4906" s="2" t="s">
        <v>32546</v>
      </c>
      <c r="S4906" s="2" t="s">
        <v>148</v>
      </c>
      <c r="T4906" s="2" t="s">
        <v>149</v>
      </c>
      <c r="U4906" s="2" t="s">
        <v>13117</v>
      </c>
      <c r="V4906" s="2" t="s">
        <v>59</v>
      </c>
      <c r="W4906" s="2">
        <v>39.4</v>
      </c>
      <c r="X4906" s="2">
        <v>0</v>
      </c>
      <c r="Y4906" s="2" t="s">
        <v>560</v>
      </c>
      <c r="Z4906" s="2" t="s">
        <v>32547</v>
      </c>
      <c r="AA4906" s="2">
        <v>-1.35459483259378</v>
      </c>
      <c r="AB4906" s="2">
        <v>0.11678119702286099</v>
      </c>
      <c r="AC4906" s="2">
        <v>11430.385441411499</v>
      </c>
      <c r="AD4906" s="2">
        <v>13010.076575879801</v>
      </c>
      <c r="AE4906" s="2">
        <v>13157.2879682781</v>
      </c>
      <c r="AF4906" s="2">
        <v>10304.9478505018</v>
      </c>
      <c r="AG4906" s="2">
        <v>10024.7698292928</v>
      </c>
      <c r="AH4906" s="2">
        <v>11067.523964148801</v>
      </c>
      <c r="AI4906" s="2">
        <v>11640.722552143299</v>
      </c>
      <c r="AJ4906" s="2">
        <v>12387.0604841043</v>
      </c>
      <c r="AK4906" s="2">
        <v>14543.397801053599</v>
      </c>
      <c r="AL4906" s="2">
        <v>12268.817850585699</v>
      </c>
      <c r="AM4906" s="2">
        <v>14754.1667059704</v>
      </c>
      <c r="AN4906" s="2">
        <v>12803.720338056301</v>
      </c>
      <c r="AO4906" s="2">
        <v>12139.4379575076</v>
      </c>
      <c r="AP4906" s="2">
        <v>11550.918802104999</v>
      </c>
    </row>
    <row r="4907" spans="1:42" ht="14.5" x14ac:dyDescent="0.35">
      <c r="A4907" s="2" t="s">
        <v>32548</v>
      </c>
      <c r="B4907" s="2">
        <v>327.12337216263398</v>
      </c>
      <c r="C4907" s="2">
        <v>5.2831999999999999</v>
      </c>
      <c r="D4907" s="2" t="s">
        <v>70</v>
      </c>
      <c r="E4907" s="2" t="s">
        <v>32549</v>
      </c>
      <c r="F4907" s="2">
        <v>294080</v>
      </c>
      <c r="G4907" s="3" t="str">
        <f>HYPERLINK("http://funmeta.oebiotech.com/network/294080", "http://funmeta.oebiotech.com/network/294080")</f>
        <v>http://funmeta.oebiotech.com/network/294080</v>
      </c>
      <c r="H4907" s="2"/>
      <c r="I4907" s="2">
        <v>318066</v>
      </c>
      <c r="J4907" s="2"/>
      <c r="K4907" s="2"/>
      <c r="L4907" s="2"/>
      <c r="M4907" s="2"/>
      <c r="N4907" s="2"/>
      <c r="O4907" s="2">
        <v>25238</v>
      </c>
      <c r="P4907" s="2"/>
      <c r="Q4907" s="2" t="s">
        <v>32550</v>
      </c>
      <c r="R4907" s="2" t="s">
        <v>32551</v>
      </c>
      <c r="S4907" s="2" t="s">
        <v>148</v>
      </c>
      <c r="T4907" s="2" t="s">
        <v>24170</v>
      </c>
      <c r="U4907" s="2" t="s">
        <v>41</v>
      </c>
      <c r="V4907" s="2" t="s">
        <v>59</v>
      </c>
      <c r="W4907" s="2">
        <v>39.1</v>
      </c>
      <c r="X4907" s="2">
        <v>0</v>
      </c>
      <c r="Y4907" s="2" t="s">
        <v>408</v>
      </c>
      <c r="Z4907" s="2" t="s">
        <v>32552</v>
      </c>
      <c r="AA4907" s="2">
        <v>-1.5069292337587601</v>
      </c>
      <c r="AB4907" s="2">
        <v>0.116735804323066</v>
      </c>
      <c r="AC4907" s="2">
        <v>6600.4527962889697</v>
      </c>
      <c r="AD4907" s="2">
        <v>7695.6069381489897</v>
      </c>
      <c r="AE4907" s="2">
        <v>6942.8216899771196</v>
      </c>
      <c r="AF4907" s="2">
        <v>6235.64607245348</v>
      </c>
      <c r="AG4907" s="2">
        <v>6584.9474818120998</v>
      </c>
      <c r="AH4907" s="2">
        <v>6201.13351467136</v>
      </c>
      <c r="AI4907" s="2">
        <v>6395.8975588391604</v>
      </c>
      <c r="AJ4907" s="2">
        <v>7242.2704599805802</v>
      </c>
      <c r="AK4907" s="2">
        <v>8072.4774454322596</v>
      </c>
      <c r="AL4907" s="2">
        <v>7814.3077516434896</v>
      </c>
      <c r="AM4907" s="2">
        <v>8134.6562093031298</v>
      </c>
      <c r="AN4907" s="2">
        <v>7481.7344794754999</v>
      </c>
      <c r="AO4907" s="2">
        <v>6988.7910395456602</v>
      </c>
      <c r="AP4907" s="2">
        <v>7681.6747034938799</v>
      </c>
    </row>
    <row r="4908" spans="1:42" ht="14.5" x14ac:dyDescent="0.35">
      <c r="A4908" s="2" t="s">
        <v>32553</v>
      </c>
      <c r="B4908" s="2">
        <v>610.50286780179101</v>
      </c>
      <c r="C4908" s="2">
        <v>14.7320833333333</v>
      </c>
      <c r="D4908" s="2" t="s">
        <v>34</v>
      </c>
      <c r="E4908" s="2" t="s">
        <v>32554</v>
      </c>
      <c r="F4908" s="2">
        <v>242985</v>
      </c>
      <c r="G4908" s="3" t="str">
        <f>HYPERLINK("http://funmeta.oebiotech.com/network/242985", "http://funmeta.oebiotech.com/network/242985")</f>
        <v>http://funmeta.oebiotech.com/network/242985</v>
      </c>
      <c r="H4908" s="2" t="s">
        <v>32555</v>
      </c>
      <c r="I4908" s="2"/>
      <c r="J4908" s="2"/>
      <c r="K4908" s="2"/>
      <c r="L4908" s="2"/>
      <c r="M4908" s="2"/>
      <c r="N4908" s="2"/>
      <c r="O4908" s="2"/>
      <c r="P4908" s="2"/>
      <c r="Q4908" s="2" t="s">
        <v>32556</v>
      </c>
      <c r="R4908" s="2" t="s">
        <v>32557</v>
      </c>
      <c r="S4908" s="2" t="s">
        <v>41</v>
      </c>
      <c r="T4908" s="2" t="s">
        <v>41</v>
      </c>
      <c r="U4908" s="2" t="s">
        <v>41</v>
      </c>
      <c r="V4908" s="2" t="s">
        <v>59</v>
      </c>
      <c r="W4908" s="2">
        <v>37.6</v>
      </c>
      <c r="X4908" s="2">
        <v>0</v>
      </c>
      <c r="Y4908" s="2" t="s">
        <v>394</v>
      </c>
      <c r="Z4908" s="2" t="s">
        <v>32558</v>
      </c>
      <c r="AA4908" s="2">
        <v>-2.04677199267433</v>
      </c>
      <c r="AB4908" s="2">
        <v>0.11672594591751299</v>
      </c>
      <c r="AC4908" s="2">
        <v>13132.380282555299</v>
      </c>
      <c r="AD4908" s="2">
        <v>11424.6986617317</v>
      </c>
      <c r="AE4908" s="2">
        <v>11258.897179658599</v>
      </c>
      <c r="AF4908" s="2">
        <v>10819.079052053299</v>
      </c>
      <c r="AG4908" s="2">
        <v>14464.222849260401</v>
      </c>
      <c r="AH4908" s="2">
        <v>13141.443990698999</v>
      </c>
      <c r="AI4908" s="2">
        <v>13193.1318330793</v>
      </c>
      <c r="AJ4908" s="2">
        <v>15917.506790581199</v>
      </c>
      <c r="AK4908" s="2">
        <v>13369.250329939099</v>
      </c>
      <c r="AL4908" s="2">
        <v>11126.221853027901</v>
      </c>
      <c r="AM4908" s="2">
        <v>11061.8646534782</v>
      </c>
      <c r="AN4908" s="2">
        <v>10800.786725833899</v>
      </c>
      <c r="AO4908" s="2">
        <v>10871.294555783899</v>
      </c>
      <c r="AP4908" s="2">
        <v>11318.7738523274</v>
      </c>
    </row>
    <row r="4909" spans="1:42" ht="14.5" x14ac:dyDescent="0.35">
      <c r="A4909" s="2" t="s">
        <v>32559</v>
      </c>
      <c r="B4909" s="2">
        <v>787.37598043918604</v>
      </c>
      <c r="C4909" s="2">
        <v>4.4359166666666701</v>
      </c>
      <c r="D4909" s="2" t="s">
        <v>70</v>
      </c>
      <c r="E4909" s="2" t="s">
        <v>32560</v>
      </c>
      <c r="F4909" s="2">
        <v>35879</v>
      </c>
      <c r="G4909" s="3" t="str">
        <f>HYPERLINK("http://funmeta.oebiotech.com/network/35879", "http://funmeta.oebiotech.com/network/35879")</f>
        <v>http://funmeta.oebiotech.com/network/35879</v>
      </c>
      <c r="H4909" s="2"/>
      <c r="I4909" s="2">
        <v>84958</v>
      </c>
      <c r="J4909" s="2" t="s">
        <v>32561</v>
      </c>
      <c r="K4909" s="2"/>
      <c r="L4909" s="2"/>
      <c r="M4909" s="2"/>
      <c r="N4909" s="2"/>
      <c r="O4909" s="2">
        <v>72941582</v>
      </c>
      <c r="P4909" s="2" t="s">
        <v>32562</v>
      </c>
      <c r="Q4909" s="2" t="s">
        <v>32563</v>
      </c>
      <c r="R4909" s="2" t="s">
        <v>32564</v>
      </c>
      <c r="S4909" s="2" t="s">
        <v>50</v>
      </c>
      <c r="T4909" s="2" t="s">
        <v>201</v>
      </c>
      <c r="U4909" s="2" t="s">
        <v>202</v>
      </c>
      <c r="V4909" s="2" t="s">
        <v>59</v>
      </c>
      <c r="W4909" s="2">
        <v>37.9</v>
      </c>
      <c r="X4909" s="2">
        <v>0</v>
      </c>
      <c r="Y4909" s="2" t="s">
        <v>118</v>
      </c>
      <c r="Z4909" s="2" t="s">
        <v>32565</v>
      </c>
      <c r="AA4909" s="2">
        <v>0.26182002066308002</v>
      </c>
      <c r="AB4909" s="2">
        <v>0.116674226496896</v>
      </c>
      <c r="AC4909" s="2">
        <v>10360.054837285101</v>
      </c>
      <c r="AD4909" s="2">
        <v>8351.7277516148806</v>
      </c>
      <c r="AE4909" s="2">
        <v>12292.287642109401</v>
      </c>
      <c r="AF4909" s="2">
        <v>11635.788525813799</v>
      </c>
      <c r="AG4909" s="2">
        <v>5772.1605992535497</v>
      </c>
      <c r="AH4909" s="2">
        <v>8521.6856446750899</v>
      </c>
      <c r="AI4909" s="2">
        <v>10505.6294366074</v>
      </c>
      <c r="AJ4909" s="2">
        <v>13432.7771752512</v>
      </c>
      <c r="AK4909" s="2">
        <v>6634.3779929727498</v>
      </c>
      <c r="AL4909" s="2">
        <v>8893.9261374767593</v>
      </c>
      <c r="AM4909" s="2">
        <v>10178.4450826621</v>
      </c>
      <c r="AN4909" s="2">
        <v>7054.8267776678604</v>
      </c>
      <c r="AO4909" s="2">
        <v>7983.7407585600204</v>
      </c>
      <c r="AP4909" s="2">
        <v>9365.0497603497897</v>
      </c>
    </row>
    <row r="4910" spans="1:42" ht="14.5" x14ac:dyDescent="0.35">
      <c r="A4910" s="2" t="s">
        <v>32566</v>
      </c>
      <c r="B4910" s="2">
        <v>411.20218680243198</v>
      </c>
      <c r="C4910" s="2">
        <v>6.3677999999999999</v>
      </c>
      <c r="D4910" s="2" t="s">
        <v>70</v>
      </c>
      <c r="E4910" s="2" t="s">
        <v>32567</v>
      </c>
      <c r="F4910" s="2">
        <v>200556</v>
      </c>
      <c r="G4910" s="3" t="str">
        <f>HYPERLINK("http://funmeta.oebiotech.com/network/200556", "http://funmeta.oebiotech.com/network/200556")</f>
        <v>http://funmeta.oebiotech.com/network/200556</v>
      </c>
      <c r="H4910" s="2" t="s">
        <v>32568</v>
      </c>
      <c r="I4910" s="2"/>
      <c r="J4910" s="2"/>
      <c r="K4910" s="2"/>
      <c r="L4910" s="2" t="s">
        <v>32569</v>
      </c>
      <c r="M4910" s="2"/>
      <c r="N4910" s="2"/>
      <c r="O4910" s="2">
        <v>23611</v>
      </c>
      <c r="P4910" s="2"/>
      <c r="Q4910" s="2" t="s">
        <v>32570</v>
      </c>
      <c r="R4910" s="2" t="s">
        <v>32571</v>
      </c>
      <c r="S4910" s="2" t="s">
        <v>148</v>
      </c>
      <c r="T4910" s="2" t="s">
        <v>149</v>
      </c>
      <c r="U4910" s="2" t="s">
        <v>3684</v>
      </c>
      <c r="V4910" s="2" t="s">
        <v>59</v>
      </c>
      <c r="W4910" s="2">
        <v>38.700000000000003</v>
      </c>
      <c r="X4910" s="2">
        <v>0</v>
      </c>
      <c r="Y4910" s="2" t="s">
        <v>560</v>
      </c>
      <c r="Z4910" s="2" t="s">
        <v>32572</v>
      </c>
      <c r="AA4910" s="2">
        <v>-3.86248973045236</v>
      </c>
      <c r="AB4910" s="2">
        <v>0.116548724439722</v>
      </c>
      <c r="AC4910" s="2">
        <v>1791.7372007039401</v>
      </c>
      <c r="AD4910" s="2">
        <v>2914.5668168085399</v>
      </c>
      <c r="AE4910" s="2">
        <v>1668.26118697009</v>
      </c>
      <c r="AF4910" s="2">
        <v>1949.42208235357</v>
      </c>
      <c r="AG4910" s="2">
        <v>1852.2236445619999</v>
      </c>
      <c r="AH4910" s="2">
        <v>1546.67951959828</v>
      </c>
      <c r="AI4910" s="2">
        <v>2043.62795248211</v>
      </c>
      <c r="AJ4910" s="2">
        <v>1690.2088182576099</v>
      </c>
      <c r="AK4910" s="2">
        <v>2313.4419539785999</v>
      </c>
      <c r="AL4910" s="2">
        <v>4110.0859091639404</v>
      </c>
      <c r="AM4910" s="2">
        <v>2961.6544348398902</v>
      </c>
      <c r="AN4910" s="2">
        <v>2488.7112728269799</v>
      </c>
      <c r="AO4910" s="2">
        <v>2758.7441649187399</v>
      </c>
      <c r="AP4910" s="2">
        <v>2854.7631651231</v>
      </c>
    </row>
    <row r="4911" spans="1:42" ht="14.5" x14ac:dyDescent="0.35">
      <c r="A4911" s="2" t="s">
        <v>32573</v>
      </c>
      <c r="B4911" s="2">
        <v>306.07662901012401</v>
      </c>
      <c r="C4911" s="2">
        <v>3.6547999999999998</v>
      </c>
      <c r="D4911" s="2" t="s">
        <v>70</v>
      </c>
      <c r="E4911" s="2" t="s">
        <v>32574</v>
      </c>
      <c r="F4911" s="2">
        <v>54713</v>
      </c>
      <c r="G4911" s="3" t="str">
        <f>HYPERLINK("http://funmeta.oebiotech.com/network/54713", "http://funmeta.oebiotech.com/network/54713")</f>
        <v>http://funmeta.oebiotech.com/network/54713</v>
      </c>
      <c r="H4911" s="2" t="s">
        <v>32575</v>
      </c>
      <c r="I4911" s="2">
        <v>86531</v>
      </c>
      <c r="J4911" s="2"/>
      <c r="K4911" s="2">
        <v>170087</v>
      </c>
      <c r="L4911" s="2"/>
      <c r="M4911" s="2"/>
      <c r="N4911" s="2"/>
      <c r="O4911" s="2">
        <v>14380428</v>
      </c>
      <c r="P4911" s="2" t="s">
        <v>32576</v>
      </c>
      <c r="Q4911" s="2" t="s">
        <v>32577</v>
      </c>
      <c r="R4911" s="2" t="s">
        <v>32578</v>
      </c>
      <c r="S4911" s="2" t="s">
        <v>491</v>
      </c>
      <c r="T4911" s="2" t="s">
        <v>1516</v>
      </c>
      <c r="U4911" s="2" t="s">
        <v>5958</v>
      </c>
      <c r="V4911" s="2" t="s">
        <v>59</v>
      </c>
      <c r="W4911" s="2">
        <v>37</v>
      </c>
      <c r="X4911" s="2">
        <v>0</v>
      </c>
      <c r="Y4911" s="2" t="s">
        <v>118</v>
      </c>
      <c r="Z4911" s="2" t="s">
        <v>32579</v>
      </c>
      <c r="AA4911" s="2">
        <v>-1.79904196211977</v>
      </c>
      <c r="AB4911" s="2">
        <v>0.116456856421545</v>
      </c>
      <c r="AC4911" s="2">
        <v>1381.5525045178699</v>
      </c>
      <c r="AD4911" s="2">
        <v>448.99869839581498</v>
      </c>
      <c r="AE4911" s="2">
        <v>1560.7092365149699</v>
      </c>
      <c r="AF4911" s="2">
        <v>1394.9972171166</v>
      </c>
      <c r="AG4911" s="2">
        <v>1486.79826145112</v>
      </c>
      <c r="AH4911" s="2">
        <v>1177.53416402741</v>
      </c>
      <c r="AI4911" s="2">
        <v>1303.7211085578499</v>
      </c>
      <c r="AJ4911" s="2">
        <v>1365.5550394392601</v>
      </c>
      <c r="AK4911" s="2">
        <v>615.67712172116796</v>
      </c>
      <c r="AL4911" s="2">
        <v>426.553149015055</v>
      </c>
      <c r="AM4911" s="2">
        <v>278.23059522332699</v>
      </c>
      <c r="AN4911" s="2">
        <v>347.73299490757398</v>
      </c>
      <c r="AO4911" s="2">
        <v>278.05281659540401</v>
      </c>
      <c r="AP4911" s="2">
        <v>747.74551291236196</v>
      </c>
    </row>
    <row r="4912" spans="1:42" ht="14.5" x14ac:dyDescent="0.35">
      <c r="A4912" s="2" t="s">
        <v>32580</v>
      </c>
      <c r="B4912" s="2">
        <v>668.50932695535198</v>
      </c>
      <c r="C4912" s="2">
        <v>14.40105</v>
      </c>
      <c r="D4912" s="2" t="s">
        <v>34</v>
      </c>
      <c r="E4912" s="2" t="s">
        <v>32581</v>
      </c>
      <c r="F4912" s="2">
        <v>248338</v>
      </c>
      <c r="G4912" s="3" t="str">
        <f>HYPERLINK("http://funmeta.oebiotech.com/network/248338", "http://funmeta.oebiotech.com/network/248338")</f>
        <v>http://funmeta.oebiotech.com/network/248338</v>
      </c>
      <c r="H4912" s="2" t="s">
        <v>32582</v>
      </c>
      <c r="I4912" s="2"/>
      <c r="J4912" s="2"/>
      <c r="K4912" s="2"/>
      <c r="L4912" s="2"/>
      <c r="M4912" s="2"/>
      <c r="N4912" s="2"/>
      <c r="O4912" s="2"/>
      <c r="P4912" s="2"/>
      <c r="Q4912" s="2" t="s">
        <v>32583</v>
      </c>
      <c r="R4912" s="2" t="s">
        <v>32584</v>
      </c>
      <c r="S4912" s="2" t="s">
        <v>41</v>
      </c>
      <c r="T4912" s="2" t="s">
        <v>41</v>
      </c>
      <c r="U4912" s="2" t="s">
        <v>41</v>
      </c>
      <c r="V4912" s="2" t="s">
        <v>59</v>
      </c>
      <c r="W4912" s="2">
        <v>37.6</v>
      </c>
      <c r="X4912" s="2">
        <v>0</v>
      </c>
      <c r="Y4912" s="2" t="s">
        <v>470</v>
      </c>
      <c r="Z4912" s="2" t="s">
        <v>32585</v>
      </c>
      <c r="AA4912" s="2">
        <v>-0.41146459354516601</v>
      </c>
      <c r="AB4912" s="2">
        <v>0.116451839512379</v>
      </c>
      <c r="AC4912" s="2">
        <v>9771.7055783957694</v>
      </c>
      <c r="AD4912" s="2">
        <v>11180.3968075173</v>
      </c>
      <c r="AE4912" s="2">
        <v>9525.7715374142099</v>
      </c>
      <c r="AF4912" s="2">
        <v>9333.5559710754496</v>
      </c>
      <c r="AG4912" s="2">
        <v>8714.6194318409507</v>
      </c>
      <c r="AH4912" s="2">
        <v>10258.9065565741</v>
      </c>
      <c r="AI4912" s="2">
        <v>10480.2787272637</v>
      </c>
      <c r="AJ4912" s="2">
        <v>10317.101246206201</v>
      </c>
      <c r="AK4912" s="2">
        <v>11245.608997806199</v>
      </c>
      <c r="AL4912" s="2">
        <v>9389.9786434603302</v>
      </c>
      <c r="AM4912" s="2">
        <v>10346.1661934606</v>
      </c>
      <c r="AN4912" s="2">
        <v>11315.274425998299</v>
      </c>
      <c r="AO4912" s="2">
        <v>12120.7654456824</v>
      </c>
      <c r="AP4912" s="2">
        <v>12664.587138696001</v>
      </c>
    </row>
    <row r="4913" spans="1:42" ht="14.5" x14ac:dyDescent="0.35">
      <c r="A4913" s="2" t="s">
        <v>32586</v>
      </c>
      <c r="B4913" s="2">
        <v>407.19213206973598</v>
      </c>
      <c r="C4913" s="2">
        <v>4.5236333333333301</v>
      </c>
      <c r="D4913" s="2" t="s">
        <v>70</v>
      </c>
      <c r="E4913" s="2" t="s">
        <v>32587</v>
      </c>
      <c r="F4913" s="2">
        <v>256751</v>
      </c>
      <c r="G4913" s="3" t="str">
        <f>HYPERLINK("http://funmeta.oebiotech.com/network/256751", "http://funmeta.oebiotech.com/network/256751")</f>
        <v>http://funmeta.oebiotech.com/network/256751</v>
      </c>
      <c r="H4913" s="2" t="s">
        <v>32588</v>
      </c>
      <c r="I4913" s="2">
        <v>688177</v>
      </c>
      <c r="J4913" s="2"/>
      <c r="K4913" s="2">
        <v>87295</v>
      </c>
      <c r="L4913" s="2"/>
      <c r="M4913" s="2"/>
      <c r="N4913" s="2"/>
      <c r="O4913" s="2">
        <v>13270883</v>
      </c>
      <c r="P4913" s="2"/>
      <c r="Q4913" s="2" t="s">
        <v>32589</v>
      </c>
      <c r="R4913" s="2" t="s">
        <v>32590</v>
      </c>
      <c r="S4913" s="2" t="s">
        <v>50</v>
      </c>
      <c r="T4913" s="2" t="s">
        <v>229</v>
      </c>
      <c r="U4913" s="2" t="s">
        <v>1914</v>
      </c>
      <c r="V4913" s="2" t="s">
        <v>59</v>
      </c>
      <c r="W4913" s="2">
        <v>39.299999999999997</v>
      </c>
      <c r="X4913" s="2">
        <v>0</v>
      </c>
      <c r="Y4913" s="2" t="s">
        <v>560</v>
      </c>
      <c r="Z4913" s="2" t="s">
        <v>32591</v>
      </c>
      <c r="AA4913" s="2">
        <v>-0.339834045926516</v>
      </c>
      <c r="AB4913" s="2">
        <v>0.11642406976604699</v>
      </c>
      <c r="AC4913" s="2">
        <v>6956.6611719775101</v>
      </c>
      <c r="AD4913" s="2">
        <v>5555.2498088591201</v>
      </c>
      <c r="AE4913" s="2">
        <v>6698.6417746425404</v>
      </c>
      <c r="AF4913" s="2">
        <v>7130.8170882029799</v>
      </c>
      <c r="AG4913" s="2">
        <v>6684.1667030373001</v>
      </c>
      <c r="AH4913" s="2">
        <v>6296.18582656532</v>
      </c>
      <c r="AI4913" s="2">
        <v>9123.2922321903297</v>
      </c>
      <c r="AJ4913" s="2">
        <v>5806.8634072265904</v>
      </c>
      <c r="AK4913" s="2">
        <v>6016.77215627225</v>
      </c>
      <c r="AL4913" s="2">
        <v>4784.1177153077297</v>
      </c>
      <c r="AM4913" s="2">
        <v>5297.8100821425696</v>
      </c>
      <c r="AN4913" s="2">
        <v>5232.2367763452903</v>
      </c>
      <c r="AO4913" s="2">
        <v>5697.7759989060996</v>
      </c>
      <c r="AP4913" s="2">
        <v>6302.7861241807796</v>
      </c>
    </row>
    <row r="4914" spans="1:42" ht="14.5" x14ac:dyDescent="0.35">
      <c r="A4914" s="2" t="s">
        <v>32592</v>
      </c>
      <c r="B4914" s="2">
        <v>261.14419786755099</v>
      </c>
      <c r="C4914" s="2">
        <v>1.06171666666667</v>
      </c>
      <c r="D4914" s="2" t="s">
        <v>34</v>
      </c>
      <c r="E4914" s="2" t="s">
        <v>32593</v>
      </c>
      <c r="F4914" s="2">
        <v>53857</v>
      </c>
      <c r="G4914" s="3" t="str">
        <f>HYPERLINK("http://funmeta.oebiotech.com/network/53857", "http://funmeta.oebiotech.com/network/53857")</f>
        <v>http://funmeta.oebiotech.com/network/53857</v>
      </c>
      <c r="H4914" s="2" t="s">
        <v>32594</v>
      </c>
      <c r="I4914" s="2">
        <v>44684</v>
      </c>
      <c r="J4914" s="2"/>
      <c r="K4914" s="2">
        <v>73506</v>
      </c>
      <c r="L4914" s="2"/>
      <c r="M4914" s="2"/>
      <c r="N4914" s="2"/>
      <c r="O4914" s="2">
        <v>9856500</v>
      </c>
      <c r="P4914" s="2" t="s">
        <v>32595</v>
      </c>
      <c r="Q4914" s="2" t="s">
        <v>32596</v>
      </c>
      <c r="R4914" s="2" t="s">
        <v>32597</v>
      </c>
      <c r="S4914" s="2" t="s">
        <v>89</v>
      </c>
      <c r="T4914" s="2" t="s">
        <v>90</v>
      </c>
      <c r="U4914" s="2" t="s">
        <v>99</v>
      </c>
      <c r="V4914" s="2" t="s">
        <v>59</v>
      </c>
      <c r="W4914" s="2">
        <v>38.700000000000003</v>
      </c>
      <c r="X4914" s="2">
        <v>0</v>
      </c>
      <c r="Y4914" s="2" t="s">
        <v>394</v>
      </c>
      <c r="Z4914" s="2" t="s">
        <v>32598</v>
      </c>
      <c r="AA4914" s="2">
        <v>-1.15444167200626</v>
      </c>
      <c r="AB4914" s="2">
        <v>0.116361960645049</v>
      </c>
      <c r="AC4914" s="2">
        <v>1566.96700647753</v>
      </c>
      <c r="AD4914" s="2">
        <v>560.85209093510798</v>
      </c>
      <c r="AE4914" s="2">
        <v>1456.76359214421</v>
      </c>
      <c r="AF4914" s="2">
        <v>1621.3947319666299</v>
      </c>
      <c r="AG4914" s="2">
        <v>1197.7393667874201</v>
      </c>
      <c r="AH4914" s="2">
        <v>1852.5797550694999</v>
      </c>
      <c r="AI4914" s="2">
        <v>1835.4075513039199</v>
      </c>
      <c r="AJ4914" s="2">
        <v>1437.91704159351</v>
      </c>
      <c r="AK4914" s="2">
        <v>878.23807401521799</v>
      </c>
      <c r="AL4914" s="2">
        <v>1001.0841416296799</v>
      </c>
      <c r="AM4914" s="2">
        <v>134.202487154164</v>
      </c>
      <c r="AN4914" s="2">
        <v>337.82008535679</v>
      </c>
      <c r="AO4914" s="2">
        <v>528.21711092270505</v>
      </c>
      <c r="AP4914" s="2">
        <v>485.550646532092</v>
      </c>
    </row>
    <row r="4915" spans="1:42" ht="14.5" x14ac:dyDescent="0.35">
      <c r="A4915" s="2" t="s">
        <v>32599</v>
      </c>
      <c r="B4915" s="2">
        <v>377.17507971550799</v>
      </c>
      <c r="C4915" s="2">
        <v>5.9690166666666702</v>
      </c>
      <c r="D4915" s="2" t="s">
        <v>34</v>
      </c>
      <c r="E4915" s="2" t="s">
        <v>32600</v>
      </c>
      <c r="F4915" s="2">
        <v>52944</v>
      </c>
      <c r="G4915" s="3" t="str">
        <f>HYPERLINK("http://funmeta.oebiotech.com/network/52944", "http://funmeta.oebiotech.com/network/52944")</f>
        <v>http://funmeta.oebiotech.com/network/52944</v>
      </c>
      <c r="H4915" s="2" t="s">
        <v>32601</v>
      </c>
      <c r="I4915" s="2">
        <v>2902</v>
      </c>
      <c r="J4915" s="2"/>
      <c r="K4915" s="2">
        <v>9667</v>
      </c>
      <c r="L4915" s="2" t="s">
        <v>32602</v>
      </c>
      <c r="M4915" s="2"/>
      <c r="N4915" s="2"/>
      <c r="O4915" s="2">
        <v>31307</v>
      </c>
      <c r="P4915" s="2" t="s">
        <v>32603</v>
      </c>
      <c r="Q4915" s="2" t="s">
        <v>32604</v>
      </c>
      <c r="R4915" s="2" t="s">
        <v>32605</v>
      </c>
      <c r="S4915" s="2" t="s">
        <v>50</v>
      </c>
      <c r="T4915" s="2" t="s">
        <v>124</v>
      </c>
      <c r="U4915" s="2" t="s">
        <v>1136</v>
      </c>
      <c r="V4915" s="2" t="s">
        <v>59</v>
      </c>
      <c r="W4915" s="2">
        <v>38.200000000000003</v>
      </c>
      <c r="X4915" s="2">
        <v>0</v>
      </c>
      <c r="Y4915" s="2" t="s">
        <v>266</v>
      </c>
      <c r="Z4915" s="2" t="s">
        <v>32606</v>
      </c>
      <c r="AA4915" s="2">
        <v>-2.0265853940482099</v>
      </c>
      <c r="AB4915" s="2">
        <v>0.11632576046677499</v>
      </c>
      <c r="AC4915" s="2">
        <v>29095.332571512699</v>
      </c>
      <c r="AD4915" s="2">
        <v>27107.115572789498</v>
      </c>
      <c r="AE4915" s="2">
        <v>26721.381152355199</v>
      </c>
      <c r="AF4915" s="2">
        <v>26281.339782862098</v>
      </c>
      <c r="AG4915" s="2">
        <v>28825.968667601599</v>
      </c>
      <c r="AH4915" s="2">
        <v>28601.459023992102</v>
      </c>
      <c r="AI4915" s="2">
        <v>29754.974163316801</v>
      </c>
      <c r="AJ4915" s="2">
        <v>34386.872638948298</v>
      </c>
      <c r="AK4915" s="2">
        <v>27284.5012499115</v>
      </c>
      <c r="AL4915" s="2">
        <v>27041.201893399098</v>
      </c>
      <c r="AM4915" s="2">
        <v>26838.499240849698</v>
      </c>
      <c r="AN4915" s="2">
        <v>26498.940896878099</v>
      </c>
      <c r="AO4915" s="2">
        <v>28743.695883547702</v>
      </c>
      <c r="AP4915" s="2">
        <v>26235.854272151199</v>
      </c>
    </row>
    <row r="4916" spans="1:42" ht="14.5" x14ac:dyDescent="0.35">
      <c r="A4916" s="2" t="s">
        <v>32607</v>
      </c>
      <c r="B4916" s="2">
        <v>541.18969950454004</v>
      </c>
      <c r="C4916" s="2">
        <v>4.7579333333333302</v>
      </c>
      <c r="D4916" s="2" t="s">
        <v>70</v>
      </c>
      <c r="E4916" s="2" t="s">
        <v>32608</v>
      </c>
      <c r="F4916" s="2">
        <v>204574</v>
      </c>
      <c r="G4916" s="3" t="str">
        <f>HYPERLINK("http://funmeta.oebiotech.com/network/204574", "http://funmeta.oebiotech.com/network/204574")</f>
        <v>http://funmeta.oebiotech.com/network/204574</v>
      </c>
      <c r="H4916" s="2" t="s">
        <v>32609</v>
      </c>
      <c r="I4916" s="2"/>
      <c r="J4916" s="2"/>
      <c r="K4916" s="2"/>
      <c r="L4916" s="2"/>
      <c r="M4916" s="2"/>
      <c r="N4916" s="2"/>
      <c r="O4916" s="2"/>
      <c r="P4916" s="2"/>
      <c r="Q4916" s="2" t="s">
        <v>32610</v>
      </c>
      <c r="R4916" s="2" t="s">
        <v>32611</v>
      </c>
      <c r="S4916" s="2" t="s">
        <v>148</v>
      </c>
      <c r="T4916" s="2" t="s">
        <v>149</v>
      </c>
      <c r="U4916" s="2" t="s">
        <v>4282</v>
      </c>
      <c r="V4916" s="2" t="s">
        <v>59</v>
      </c>
      <c r="W4916" s="2">
        <v>38</v>
      </c>
      <c r="X4916" s="2">
        <v>0</v>
      </c>
      <c r="Y4916" s="2" t="s">
        <v>560</v>
      </c>
      <c r="Z4916" s="2" t="s">
        <v>32612</v>
      </c>
      <c r="AA4916" s="2">
        <v>-2.1189671210701602</v>
      </c>
      <c r="AB4916" s="2">
        <v>0.116290404031457</v>
      </c>
      <c r="AC4916" s="2">
        <v>7064.2171392667897</v>
      </c>
      <c r="AD4916" s="2">
        <v>8740.0836287413003</v>
      </c>
      <c r="AE4916" s="2">
        <v>6327.1897277095104</v>
      </c>
      <c r="AF4916" s="2">
        <v>8377.8112806202698</v>
      </c>
      <c r="AG4916" s="2">
        <v>8666.8898787984108</v>
      </c>
      <c r="AH4916" s="2">
        <v>6647.8807576035097</v>
      </c>
      <c r="AI4916" s="2">
        <v>6684.57882513821</v>
      </c>
      <c r="AJ4916" s="2">
        <v>5680.95236573082</v>
      </c>
      <c r="AK4916" s="2">
        <v>8144.2791842097404</v>
      </c>
      <c r="AL4916" s="2">
        <v>5818.4329509518802</v>
      </c>
      <c r="AM4916" s="2">
        <v>9936.4387806025406</v>
      </c>
      <c r="AN4916" s="2">
        <v>10585.029300356</v>
      </c>
      <c r="AO4916" s="2">
        <v>8242.3095159716595</v>
      </c>
      <c r="AP4916" s="2">
        <v>9714.0120403559904</v>
      </c>
    </row>
    <row r="4917" spans="1:42" ht="14.5" x14ac:dyDescent="0.35">
      <c r="A4917" s="2" t="s">
        <v>32613</v>
      </c>
      <c r="B4917" s="2">
        <v>391.26330085755399</v>
      </c>
      <c r="C4917" s="2">
        <v>10.3988666666667</v>
      </c>
      <c r="D4917" s="2" t="s">
        <v>34</v>
      </c>
      <c r="E4917" s="2" t="s">
        <v>32614</v>
      </c>
      <c r="F4917" s="2">
        <v>211338</v>
      </c>
      <c r="G4917" s="3" t="str">
        <f>HYPERLINK("http://funmeta.oebiotech.com/network/211338", "http://funmeta.oebiotech.com/network/211338")</f>
        <v>http://funmeta.oebiotech.com/network/211338</v>
      </c>
      <c r="H4917" s="2" t="s">
        <v>32615</v>
      </c>
      <c r="I4917" s="2"/>
      <c r="J4917" s="2"/>
      <c r="K4917" s="2"/>
      <c r="L4917" s="2"/>
      <c r="M4917" s="2"/>
      <c r="N4917" s="2"/>
      <c r="O4917" s="2">
        <v>54436344</v>
      </c>
      <c r="P4917" s="2"/>
      <c r="Q4917" s="2" t="s">
        <v>32616</v>
      </c>
      <c r="R4917" s="2" t="s">
        <v>32617</v>
      </c>
      <c r="S4917" s="2" t="s">
        <v>41</v>
      </c>
      <c r="T4917" s="2" t="s">
        <v>41</v>
      </c>
      <c r="U4917" s="2" t="s">
        <v>41</v>
      </c>
      <c r="V4917" s="2" t="s">
        <v>59</v>
      </c>
      <c r="W4917" s="2">
        <v>37.6</v>
      </c>
      <c r="X4917" s="2">
        <v>0</v>
      </c>
      <c r="Y4917" s="2" t="s">
        <v>266</v>
      </c>
      <c r="Z4917" s="2" t="s">
        <v>32618</v>
      </c>
      <c r="AA4917" s="2">
        <v>0.36923480485289101</v>
      </c>
      <c r="AB4917" s="2">
        <v>0.11626981651197101</v>
      </c>
      <c r="AC4917" s="2">
        <v>2409.6399827671298</v>
      </c>
      <c r="AD4917" s="2">
        <v>3469.0204120506301</v>
      </c>
      <c r="AE4917" s="2">
        <v>2701.8725362903801</v>
      </c>
      <c r="AF4917" s="2">
        <v>2190.5764648429099</v>
      </c>
      <c r="AG4917" s="2">
        <v>2260.17698597461</v>
      </c>
      <c r="AH4917" s="2">
        <v>2444.7507232319299</v>
      </c>
      <c r="AI4917" s="2">
        <v>2321.3951125327198</v>
      </c>
      <c r="AJ4917" s="2">
        <v>2539.06807373026</v>
      </c>
      <c r="AK4917" s="2">
        <v>3553.0007354248901</v>
      </c>
      <c r="AL4917" s="2">
        <v>2960.5997114928</v>
      </c>
      <c r="AM4917" s="2">
        <v>2928.60675877924</v>
      </c>
      <c r="AN4917" s="2">
        <v>4068.7671481013999</v>
      </c>
      <c r="AO4917" s="2">
        <v>4042.79612936286</v>
      </c>
      <c r="AP4917" s="2">
        <v>3260.3519891425599</v>
      </c>
    </row>
    <row r="4918" spans="1:42" ht="14.5" x14ac:dyDescent="0.35">
      <c r="A4918" s="2" t="s">
        <v>32619</v>
      </c>
      <c r="B4918" s="2">
        <v>583.18074811477402</v>
      </c>
      <c r="C4918" s="2">
        <v>4.5065833333333298</v>
      </c>
      <c r="D4918" s="2" t="s">
        <v>70</v>
      </c>
      <c r="E4918" s="2" t="s">
        <v>32620</v>
      </c>
      <c r="F4918" s="2">
        <v>35713</v>
      </c>
      <c r="G4918" s="3" t="str">
        <f>HYPERLINK("http://funmeta.oebiotech.com/network/35713", "http://funmeta.oebiotech.com/network/35713")</f>
        <v>http://funmeta.oebiotech.com/network/35713</v>
      </c>
      <c r="H4918" s="2"/>
      <c r="I4918" s="2">
        <v>43467</v>
      </c>
      <c r="J4918" s="2" t="s">
        <v>32621</v>
      </c>
      <c r="K4918" s="2">
        <v>8206</v>
      </c>
      <c r="L4918" s="2" t="s">
        <v>32622</v>
      </c>
      <c r="M4918" s="2"/>
      <c r="N4918" s="2"/>
      <c r="O4918" s="2">
        <v>442292</v>
      </c>
      <c r="P4918" s="2" t="s">
        <v>32623</v>
      </c>
      <c r="Q4918" s="2" t="s">
        <v>32624</v>
      </c>
      <c r="R4918" s="2" t="s">
        <v>32625</v>
      </c>
      <c r="S4918" s="2" t="s">
        <v>491</v>
      </c>
      <c r="T4918" s="2" t="s">
        <v>559</v>
      </c>
      <c r="U4918" s="2" t="s">
        <v>41</v>
      </c>
      <c r="V4918" s="2" t="s">
        <v>59</v>
      </c>
      <c r="W4918" s="2">
        <v>39.1</v>
      </c>
      <c r="X4918" s="2">
        <v>0</v>
      </c>
      <c r="Y4918" s="2" t="s">
        <v>560</v>
      </c>
      <c r="Z4918" s="2" t="s">
        <v>32626</v>
      </c>
      <c r="AA4918" s="2">
        <v>-2.3141711248388002</v>
      </c>
      <c r="AB4918" s="2">
        <v>0.116227395845619</v>
      </c>
      <c r="AC4918" s="2">
        <v>30766.0068217765</v>
      </c>
      <c r="AD4918" s="2">
        <v>33003.328732386202</v>
      </c>
      <c r="AE4918" s="2">
        <v>28026.608065134798</v>
      </c>
      <c r="AF4918" s="2">
        <v>32843.197783655502</v>
      </c>
      <c r="AG4918" s="2">
        <v>31830.408167500798</v>
      </c>
      <c r="AH4918" s="2">
        <v>33349.714044934502</v>
      </c>
      <c r="AI4918" s="2">
        <v>33279.023136193799</v>
      </c>
      <c r="AJ4918" s="2">
        <v>25267.089733239602</v>
      </c>
      <c r="AK4918" s="2">
        <v>33726.182627530201</v>
      </c>
      <c r="AL4918" s="2">
        <v>31908.927959207402</v>
      </c>
      <c r="AM4918" s="2">
        <v>29884.7898289113</v>
      </c>
      <c r="AN4918" s="2">
        <v>34875.000603638997</v>
      </c>
      <c r="AO4918" s="2">
        <v>31515.417056874001</v>
      </c>
      <c r="AP4918" s="2">
        <v>36109.654318155197</v>
      </c>
    </row>
    <row r="4919" spans="1:42" ht="14.5" x14ac:dyDescent="0.35">
      <c r="A4919" s="2" t="s">
        <v>32627</v>
      </c>
      <c r="B4919" s="2">
        <v>540.24408537573595</v>
      </c>
      <c r="C4919" s="2">
        <v>4.7017833333333297</v>
      </c>
      <c r="D4919" s="2" t="s">
        <v>34</v>
      </c>
      <c r="E4919" s="2" t="s">
        <v>32628</v>
      </c>
      <c r="F4919" s="2">
        <v>28301</v>
      </c>
      <c r="G4919" s="3" t="str">
        <f>HYPERLINK("http://funmeta.oebiotech.com/network/28301", "http://funmeta.oebiotech.com/network/28301")</f>
        <v>http://funmeta.oebiotech.com/network/28301</v>
      </c>
      <c r="H4919" s="2"/>
      <c r="I4919" s="2"/>
      <c r="J4919" s="2" t="s">
        <v>32629</v>
      </c>
      <c r="K4919" s="2">
        <v>29569</v>
      </c>
      <c r="L4919" s="2" t="s">
        <v>32630</v>
      </c>
      <c r="M4919" s="2"/>
      <c r="N4919" s="2"/>
      <c r="O4919" s="2">
        <v>54704423</v>
      </c>
      <c r="P4919" s="2"/>
      <c r="Q4919" s="2" t="s">
        <v>32631</v>
      </c>
      <c r="R4919" s="2" t="s">
        <v>32632</v>
      </c>
      <c r="S4919" s="2" t="s">
        <v>115</v>
      </c>
      <c r="T4919" s="2" t="s">
        <v>10885</v>
      </c>
      <c r="U4919" s="2" t="s">
        <v>41</v>
      </c>
      <c r="V4919" s="2" t="s">
        <v>59</v>
      </c>
      <c r="W4919" s="2">
        <v>42.2</v>
      </c>
      <c r="X4919" s="2">
        <v>22.1</v>
      </c>
      <c r="Y4919" s="2" t="s">
        <v>141</v>
      </c>
      <c r="Z4919" s="2" t="s">
        <v>32633</v>
      </c>
      <c r="AA4919" s="2">
        <v>-2.1345540800531402</v>
      </c>
      <c r="AB4919" s="2">
        <v>0.11620036094241799</v>
      </c>
      <c r="AC4919" s="2">
        <v>244089.105892839</v>
      </c>
      <c r="AD4919" s="2">
        <v>239106.492745733</v>
      </c>
      <c r="AE4919" s="2">
        <v>256103.05786240101</v>
      </c>
      <c r="AF4919" s="2">
        <v>268410.86893030198</v>
      </c>
      <c r="AG4919" s="2">
        <v>211317.95444005501</v>
      </c>
      <c r="AH4919" s="2">
        <v>246317.508259756</v>
      </c>
      <c r="AI4919" s="2">
        <v>248771.40469664699</v>
      </c>
      <c r="AJ4919" s="2">
        <v>233613.841167873</v>
      </c>
      <c r="AK4919" s="2">
        <v>247104.91856231901</v>
      </c>
      <c r="AL4919" s="2">
        <v>241871.922261962</v>
      </c>
      <c r="AM4919" s="2">
        <v>240821.57817135801</v>
      </c>
      <c r="AN4919" s="2">
        <v>235259.29595824299</v>
      </c>
      <c r="AO4919" s="2">
        <v>224720.65190469101</v>
      </c>
      <c r="AP4919" s="2">
        <v>244860.58961582801</v>
      </c>
    </row>
    <row r="4920" spans="1:42" ht="14.5" x14ac:dyDescent="0.35">
      <c r="A4920" s="2" t="s">
        <v>32634</v>
      </c>
      <c r="B4920" s="2">
        <v>551.07371950102697</v>
      </c>
      <c r="C4920" s="2">
        <v>5.1704666666666697</v>
      </c>
      <c r="D4920" s="2" t="s">
        <v>70</v>
      </c>
      <c r="E4920" s="2" t="s">
        <v>32635</v>
      </c>
      <c r="F4920" s="2">
        <v>200486</v>
      </c>
      <c r="G4920" s="3" t="str">
        <f>HYPERLINK("http://funmeta.oebiotech.com/network/200486", "http://funmeta.oebiotech.com/network/200486")</f>
        <v>http://funmeta.oebiotech.com/network/200486</v>
      </c>
      <c r="H4920" s="2" t="s">
        <v>32636</v>
      </c>
      <c r="I4920" s="2"/>
      <c r="J4920" s="2"/>
      <c r="K4920" s="2"/>
      <c r="L4920" s="2"/>
      <c r="M4920" s="2"/>
      <c r="N4920" s="2"/>
      <c r="O4920" s="2"/>
      <c r="P4920" s="2"/>
      <c r="Q4920" s="2" t="s">
        <v>32637</v>
      </c>
      <c r="R4920" s="2" t="s">
        <v>32638</v>
      </c>
      <c r="S4920" s="2" t="s">
        <v>41</v>
      </c>
      <c r="T4920" s="2" t="s">
        <v>41</v>
      </c>
      <c r="U4920" s="2" t="s">
        <v>41</v>
      </c>
      <c r="V4920" s="2" t="s">
        <v>59</v>
      </c>
      <c r="W4920" s="2">
        <v>37.5</v>
      </c>
      <c r="X4920" s="2">
        <v>0</v>
      </c>
      <c r="Y4920" s="2" t="s">
        <v>560</v>
      </c>
      <c r="Z4920" s="2" t="s">
        <v>32639</v>
      </c>
      <c r="AA4920" s="2">
        <v>-4.0180366224853197</v>
      </c>
      <c r="AB4920" s="2">
        <v>0.11615548782808501</v>
      </c>
      <c r="AC4920" s="2">
        <v>7514.5297907126896</v>
      </c>
      <c r="AD4920" s="2">
        <v>9268.8516459339407</v>
      </c>
      <c r="AE4920" s="2">
        <v>7838.5941087786296</v>
      </c>
      <c r="AF4920" s="2">
        <v>9480.69011674582</v>
      </c>
      <c r="AG4920" s="2">
        <v>8322.6548365746494</v>
      </c>
      <c r="AH4920" s="2">
        <v>7431.4019712511899</v>
      </c>
      <c r="AI4920" s="2">
        <v>5381.7350763168497</v>
      </c>
      <c r="AJ4920" s="2">
        <v>6632.1026346089802</v>
      </c>
      <c r="AK4920" s="2">
        <v>10150.184457589299</v>
      </c>
      <c r="AL4920" s="2">
        <v>10294.702329702701</v>
      </c>
      <c r="AM4920" s="2">
        <v>11754.2536458417</v>
      </c>
      <c r="AN4920" s="2">
        <v>8421.7072190147392</v>
      </c>
      <c r="AO4920" s="2">
        <v>7963.22615639985</v>
      </c>
      <c r="AP4920" s="2">
        <v>7029.03606705532</v>
      </c>
    </row>
    <row r="4921" spans="1:42" ht="14.5" x14ac:dyDescent="0.35">
      <c r="A4921" s="2" t="s">
        <v>32640</v>
      </c>
      <c r="B4921" s="2">
        <v>190.08618482508001</v>
      </c>
      <c r="C4921" s="2">
        <v>4.7541500000000001</v>
      </c>
      <c r="D4921" s="2" t="s">
        <v>34</v>
      </c>
      <c r="E4921" s="2" t="s">
        <v>32641</v>
      </c>
      <c r="F4921" s="2">
        <v>258162</v>
      </c>
      <c r="G4921" s="3" t="str">
        <f>HYPERLINK("http://funmeta.oebiotech.com/network/258162", "http://funmeta.oebiotech.com/network/258162")</f>
        <v>http://funmeta.oebiotech.com/network/258162</v>
      </c>
      <c r="H4921" s="2"/>
      <c r="I4921" s="2">
        <v>2759</v>
      </c>
      <c r="J4921" s="2"/>
      <c r="K4921" s="2"/>
      <c r="L4921" s="2" t="s">
        <v>32642</v>
      </c>
      <c r="M4921" s="2" t="s">
        <v>23291</v>
      </c>
      <c r="N4921" s="2" t="s">
        <v>23292</v>
      </c>
      <c r="O4921" s="2">
        <v>6847</v>
      </c>
      <c r="P4921" s="2" t="s">
        <v>32643</v>
      </c>
      <c r="Q4921" s="2" t="s">
        <v>32644</v>
      </c>
      <c r="R4921" s="2" t="s">
        <v>32645</v>
      </c>
      <c r="S4921" s="2" t="s">
        <v>148</v>
      </c>
      <c r="T4921" s="2" t="s">
        <v>6221</v>
      </c>
      <c r="U4921" s="2" t="s">
        <v>23296</v>
      </c>
      <c r="V4921" s="2" t="s">
        <v>59</v>
      </c>
      <c r="W4921" s="2">
        <v>37.9</v>
      </c>
      <c r="X4921" s="2">
        <v>0</v>
      </c>
      <c r="Y4921" s="2" t="s">
        <v>43</v>
      </c>
      <c r="Z4921" s="2" t="s">
        <v>32646</v>
      </c>
      <c r="AA4921" s="2">
        <v>-0.40801865054791803</v>
      </c>
      <c r="AB4921" s="2">
        <v>0.116154184720774</v>
      </c>
      <c r="AC4921" s="2">
        <v>1429.5922366761699</v>
      </c>
      <c r="AD4921" s="2">
        <v>476.44069082280498</v>
      </c>
      <c r="AE4921" s="2">
        <v>1341.7602143996801</v>
      </c>
      <c r="AF4921" s="2">
        <v>1486.9313547092399</v>
      </c>
      <c r="AG4921" s="2">
        <v>1456.35151526401</v>
      </c>
      <c r="AH4921" s="2">
        <v>1340.7584217695801</v>
      </c>
      <c r="AI4921" s="2">
        <v>1870.6191747160599</v>
      </c>
      <c r="AJ4921" s="2">
        <v>1081.13273919844</v>
      </c>
      <c r="AK4921" s="2">
        <v>458.42768037903602</v>
      </c>
      <c r="AL4921" s="2">
        <v>627.55675883766605</v>
      </c>
      <c r="AM4921" s="2">
        <v>568.61358213988001</v>
      </c>
      <c r="AN4921" s="2">
        <v>274.81231157560802</v>
      </c>
      <c r="AO4921" s="2">
        <v>465.09445501221597</v>
      </c>
      <c r="AP4921" s="2">
        <v>464.13935699242398</v>
      </c>
    </row>
    <row r="4922" spans="1:42" ht="14.5" x14ac:dyDescent="0.35">
      <c r="A4922" s="2" t="s">
        <v>32647</v>
      </c>
      <c r="B4922" s="2">
        <v>907.45055319429298</v>
      </c>
      <c r="C4922" s="2">
        <v>13.2074833333333</v>
      </c>
      <c r="D4922" s="2" t="s">
        <v>70</v>
      </c>
      <c r="E4922" s="2" t="s">
        <v>32648</v>
      </c>
      <c r="F4922" s="2">
        <v>61394</v>
      </c>
      <c r="G4922" s="3" t="str">
        <f>HYPERLINK("http://funmeta.oebiotech.com/network/61394", "http://funmeta.oebiotech.com/network/61394")</f>
        <v>http://funmeta.oebiotech.com/network/61394</v>
      </c>
      <c r="H4922" s="2" t="s">
        <v>32649</v>
      </c>
      <c r="I4922" s="2">
        <v>92715</v>
      </c>
      <c r="J4922" s="2"/>
      <c r="K4922" s="2"/>
      <c r="L4922" s="2"/>
      <c r="M4922" s="2"/>
      <c r="N4922" s="2"/>
      <c r="O4922" s="2">
        <v>131752253</v>
      </c>
      <c r="P4922" s="2" t="s">
        <v>32650</v>
      </c>
      <c r="Q4922" s="2" t="s">
        <v>32651</v>
      </c>
      <c r="R4922" s="2" t="s">
        <v>32652</v>
      </c>
      <c r="S4922" s="2" t="s">
        <v>50</v>
      </c>
      <c r="T4922" s="2" t="s">
        <v>201</v>
      </c>
      <c r="U4922" s="2" t="s">
        <v>202</v>
      </c>
      <c r="V4922" s="2" t="s">
        <v>59</v>
      </c>
      <c r="W4922" s="2">
        <v>37.9</v>
      </c>
      <c r="X4922" s="2">
        <v>0</v>
      </c>
      <c r="Y4922" s="2" t="s">
        <v>751</v>
      </c>
      <c r="Z4922" s="2" t="s">
        <v>32653</v>
      </c>
      <c r="AA4922" s="2">
        <v>2.16754375962309</v>
      </c>
      <c r="AB4922" s="2">
        <v>0.11615154293558801</v>
      </c>
      <c r="AC4922" s="2">
        <v>8173.7389922891398</v>
      </c>
      <c r="AD4922" s="2">
        <v>6308.2192691486198</v>
      </c>
      <c r="AE4922" s="2">
        <v>7448.3165527048604</v>
      </c>
      <c r="AF4922" s="2">
        <v>4334.8698801680903</v>
      </c>
      <c r="AG4922" s="2">
        <v>8169.4438721251299</v>
      </c>
      <c r="AH4922" s="2">
        <v>9592.0934735082301</v>
      </c>
      <c r="AI4922" s="2">
        <v>9857.4527714188298</v>
      </c>
      <c r="AJ4922" s="2">
        <v>9640.25740380967</v>
      </c>
      <c r="AK4922" s="2">
        <v>5157.2333908403398</v>
      </c>
      <c r="AL4922" s="2">
        <v>4818.6451376845098</v>
      </c>
      <c r="AM4922" s="2">
        <v>8383.4113938136798</v>
      </c>
      <c r="AN4922" s="2">
        <v>7850.2645748764899</v>
      </c>
      <c r="AO4922" s="2">
        <v>6114.5289690458303</v>
      </c>
      <c r="AP4922" s="2">
        <v>5525.2321486308401</v>
      </c>
    </row>
    <row r="4923" spans="1:42" ht="14.5" x14ac:dyDescent="0.35">
      <c r="A4923" s="2" t="s">
        <v>32654</v>
      </c>
      <c r="B4923" s="2">
        <v>253.98205294895399</v>
      </c>
      <c r="C4923" s="2">
        <v>0.62124999999999997</v>
      </c>
      <c r="D4923" s="2" t="s">
        <v>34</v>
      </c>
      <c r="E4923" s="2" t="s">
        <v>32655</v>
      </c>
      <c r="F4923" s="2">
        <v>257344</v>
      </c>
      <c r="G4923" s="3" t="str">
        <f>HYPERLINK("http://funmeta.oebiotech.com/network/257344", "http://funmeta.oebiotech.com/network/257344")</f>
        <v>http://funmeta.oebiotech.com/network/257344</v>
      </c>
      <c r="H4923" s="2" t="s">
        <v>32656</v>
      </c>
      <c r="I4923" s="2"/>
      <c r="J4923" s="2"/>
      <c r="K4923" s="2"/>
      <c r="L4923" s="2"/>
      <c r="M4923" s="2"/>
      <c r="N4923" s="2"/>
      <c r="O4923" s="2"/>
      <c r="P4923" s="2"/>
      <c r="Q4923" s="2" t="s">
        <v>32657</v>
      </c>
      <c r="R4923" s="2" t="s">
        <v>32658</v>
      </c>
      <c r="S4923" s="2" t="s">
        <v>79</v>
      </c>
      <c r="T4923" s="2" t="s">
        <v>80</v>
      </c>
      <c r="U4923" s="2" t="s">
        <v>81</v>
      </c>
      <c r="V4923" s="2" t="s">
        <v>59</v>
      </c>
      <c r="W4923" s="2">
        <v>38.1</v>
      </c>
      <c r="X4923" s="2">
        <v>0</v>
      </c>
      <c r="Y4923" s="2" t="s">
        <v>266</v>
      </c>
      <c r="Z4923" s="2" t="s">
        <v>32659</v>
      </c>
      <c r="AA4923" s="2">
        <v>-0.61583812211735001</v>
      </c>
      <c r="AB4923" s="2">
        <v>0.116104267110163</v>
      </c>
      <c r="AC4923" s="2">
        <v>9978.2034529938592</v>
      </c>
      <c r="AD4923" s="2">
        <v>11698.326431216101</v>
      </c>
      <c r="AE4923" s="2">
        <v>8624.2736280463705</v>
      </c>
      <c r="AF4923" s="2">
        <v>10180.477158178501</v>
      </c>
      <c r="AG4923" s="2">
        <v>9768.7455603887593</v>
      </c>
      <c r="AH4923" s="2">
        <v>11627.988988315001</v>
      </c>
      <c r="AI4923" s="2">
        <v>8662.3394752261393</v>
      </c>
      <c r="AJ4923" s="2">
        <v>11005.395907808401</v>
      </c>
      <c r="AK4923" s="2">
        <v>10832.9945729582</v>
      </c>
      <c r="AL4923" s="2">
        <v>9371.1662646090299</v>
      </c>
      <c r="AM4923" s="2">
        <v>13831.965213153</v>
      </c>
      <c r="AN4923" s="2">
        <v>10036.299071379401</v>
      </c>
      <c r="AO4923" s="2">
        <v>13159.111987407199</v>
      </c>
      <c r="AP4923" s="2">
        <v>12958.42147779</v>
      </c>
    </row>
    <row r="4924" spans="1:42" ht="14.5" x14ac:dyDescent="0.35">
      <c r="A4924" s="2" t="s">
        <v>32660</v>
      </c>
      <c r="B4924" s="2">
        <v>857.41675176248395</v>
      </c>
      <c r="C4924" s="2">
        <v>4.1524000000000001</v>
      </c>
      <c r="D4924" s="2" t="s">
        <v>70</v>
      </c>
      <c r="E4924" s="2" t="s">
        <v>32661</v>
      </c>
      <c r="F4924" s="2">
        <v>44653</v>
      </c>
      <c r="G4924" s="3" t="str">
        <f>HYPERLINK("http://funmeta.oebiotech.com/network/44653", "http://funmeta.oebiotech.com/network/44653")</f>
        <v>http://funmeta.oebiotech.com/network/44653</v>
      </c>
      <c r="H4924" s="2"/>
      <c r="I4924" s="2">
        <v>57780</v>
      </c>
      <c r="J4924" s="2" t="s">
        <v>32662</v>
      </c>
      <c r="K4924" s="2">
        <v>27511</v>
      </c>
      <c r="L4924" s="2" t="s">
        <v>32663</v>
      </c>
      <c r="M4924" s="2"/>
      <c r="N4924" s="2"/>
      <c r="O4924" s="2">
        <v>441850</v>
      </c>
      <c r="P4924" s="2"/>
      <c r="Q4924" s="2" t="s">
        <v>32664</v>
      </c>
      <c r="R4924" s="2" t="s">
        <v>32665</v>
      </c>
      <c r="S4924" s="2" t="s">
        <v>50</v>
      </c>
      <c r="T4924" s="2" t="s">
        <v>124</v>
      </c>
      <c r="U4924" s="2" t="s">
        <v>567</v>
      </c>
      <c r="V4924" s="2" t="s">
        <v>59</v>
      </c>
      <c r="W4924" s="2">
        <v>38.1</v>
      </c>
      <c r="X4924" s="2">
        <v>0</v>
      </c>
      <c r="Y4924" s="2" t="s">
        <v>118</v>
      </c>
      <c r="Z4924" s="2" t="s">
        <v>32666</v>
      </c>
      <c r="AA4924" s="2">
        <v>-1.0333742648112301</v>
      </c>
      <c r="AB4924" s="2">
        <v>0.116081919086636</v>
      </c>
      <c r="AC4924" s="2">
        <v>5605.2970357997801</v>
      </c>
      <c r="AD4924" s="2">
        <v>4071.84847654244</v>
      </c>
      <c r="AE4924" s="2">
        <v>5250.2949266299502</v>
      </c>
      <c r="AF4924" s="2">
        <v>4446.7581468844401</v>
      </c>
      <c r="AG4924" s="2">
        <v>5485.9893652972596</v>
      </c>
      <c r="AH4924" s="2">
        <v>5557.0535618874401</v>
      </c>
      <c r="AI4924" s="2">
        <v>6464.6033463495596</v>
      </c>
      <c r="AJ4924" s="2">
        <v>6427.0828677500604</v>
      </c>
      <c r="AK4924" s="2">
        <v>4050.1400341888202</v>
      </c>
      <c r="AL4924" s="2">
        <v>3045.0134181556</v>
      </c>
      <c r="AM4924" s="2">
        <v>5632.5685784577599</v>
      </c>
      <c r="AN4924" s="2">
        <v>4196.9426815479101</v>
      </c>
      <c r="AO4924" s="2">
        <v>5593.8438438196499</v>
      </c>
      <c r="AP4924" s="2">
        <v>1912.5823030848801</v>
      </c>
    </row>
    <row r="4925" spans="1:42" ht="14.5" x14ac:dyDescent="0.35">
      <c r="A4925" s="2" t="s">
        <v>32667</v>
      </c>
      <c r="B4925" s="2">
        <v>355.136442328089</v>
      </c>
      <c r="C4925" s="2">
        <v>4.4793166666666702</v>
      </c>
      <c r="D4925" s="2" t="s">
        <v>34</v>
      </c>
      <c r="E4925" s="2" t="s">
        <v>32668</v>
      </c>
      <c r="F4925" s="2">
        <v>53844</v>
      </c>
      <c r="G4925" s="3" t="str">
        <f>HYPERLINK("http://funmeta.oebiotech.com/network/53844", "http://funmeta.oebiotech.com/network/53844")</f>
        <v>http://funmeta.oebiotech.com/network/53844</v>
      </c>
      <c r="H4925" s="2" t="s">
        <v>32669</v>
      </c>
      <c r="I4925" s="2">
        <v>85722</v>
      </c>
      <c r="J4925" s="2"/>
      <c r="K4925" s="2">
        <v>141431</v>
      </c>
      <c r="L4925" s="2"/>
      <c r="M4925" s="2"/>
      <c r="N4925" s="2"/>
      <c r="O4925" s="2">
        <v>25176542</v>
      </c>
      <c r="P4925" s="2" t="s">
        <v>32670</v>
      </c>
      <c r="Q4925" s="2" t="s">
        <v>32671</v>
      </c>
      <c r="R4925" s="2" t="s">
        <v>32672</v>
      </c>
      <c r="S4925" s="2" t="s">
        <v>89</v>
      </c>
      <c r="T4925" s="2" t="s">
        <v>90</v>
      </c>
      <c r="U4925" s="2" t="s">
        <v>99</v>
      </c>
      <c r="V4925" s="2" t="s">
        <v>59</v>
      </c>
      <c r="W4925" s="2">
        <v>36.9</v>
      </c>
      <c r="X4925" s="2">
        <v>0</v>
      </c>
      <c r="Y4925" s="2" t="s">
        <v>470</v>
      </c>
      <c r="Z4925" s="2" t="s">
        <v>9704</v>
      </c>
      <c r="AA4925" s="2">
        <v>-3.7136730032061198</v>
      </c>
      <c r="AB4925" s="2">
        <v>0.115998822721896</v>
      </c>
      <c r="AC4925" s="2">
        <v>7648.2949567313099</v>
      </c>
      <c r="AD4925" s="2">
        <v>9111.0732156362792</v>
      </c>
      <c r="AE4925" s="2">
        <v>8514.4614094587505</v>
      </c>
      <c r="AF4925" s="2">
        <v>6651.5188611836802</v>
      </c>
      <c r="AG4925" s="2">
        <v>8159.5484454277002</v>
      </c>
      <c r="AH4925" s="2">
        <v>6731.5538683901696</v>
      </c>
      <c r="AI4925" s="2">
        <v>9745.1086495940708</v>
      </c>
      <c r="AJ4925" s="2">
        <v>6087.5785063334797</v>
      </c>
      <c r="AK4925" s="2">
        <v>9302.4472374414599</v>
      </c>
      <c r="AL4925" s="2">
        <v>10012.1047856931</v>
      </c>
      <c r="AM4925" s="2">
        <v>8596.9929217875997</v>
      </c>
      <c r="AN4925" s="2">
        <v>8300.3033217308694</v>
      </c>
      <c r="AO4925" s="2">
        <v>9459.3737963523399</v>
      </c>
      <c r="AP4925" s="2">
        <v>8995.2172308122899</v>
      </c>
    </row>
    <row r="4926" spans="1:42" ht="14.5" x14ac:dyDescent="0.35">
      <c r="A4926" s="2" t="s">
        <v>32673</v>
      </c>
      <c r="B4926" s="2">
        <v>499.290885774858</v>
      </c>
      <c r="C4926" s="2">
        <v>4.84418333333333</v>
      </c>
      <c r="D4926" s="2" t="s">
        <v>70</v>
      </c>
      <c r="E4926" s="2" t="s">
        <v>32674</v>
      </c>
      <c r="F4926" s="2">
        <v>250038</v>
      </c>
      <c r="G4926" s="3" t="str">
        <f>HYPERLINK("http://funmeta.oebiotech.com/network/250038", "http://funmeta.oebiotech.com/network/250038")</f>
        <v>http://funmeta.oebiotech.com/network/250038</v>
      </c>
      <c r="H4926" s="2" t="s">
        <v>32675</v>
      </c>
      <c r="I4926" s="2"/>
      <c r="J4926" s="2"/>
      <c r="K4926" s="2"/>
      <c r="L4926" s="2"/>
      <c r="M4926" s="2"/>
      <c r="N4926" s="2"/>
      <c r="O4926" s="2"/>
      <c r="P4926" s="2"/>
      <c r="Q4926" s="2" t="s">
        <v>32676</v>
      </c>
      <c r="R4926" s="2" t="s">
        <v>32677</v>
      </c>
      <c r="S4926" s="2" t="s">
        <v>41</v>
      </c>
      <c r="T4926" s="2" t="s">
        <v>41</v>
      </c>
      <c r="U4926" s="2" t="s">
        <v>41</v>
      </c>
      <c r="V4926" s="2" t="s">
        <v>59</v>
      </c>
      <c r="W4926" s="2">
        <v>37.9</v>
      </c>
      <c r="X4926" s="2">
        <v>0</v>
      </c>
      <c r="Y4926" s="2" t="s">
        <v>408</v>
      </c>
      <c r="Z4926" s="2" t="s">
        <v>32678</v>
      </c>
      <c r="AA4926" s="2">
        <v>-0.81616700809535803</v>
      </c>
      <c r="AB4926" s="2">
        <v>0.115942084062025</v>
      </c>
      <c r="AC4926" s="2">
        <v>11831.7964816331</v>
      </c>
      <c r="AD4926" s="2">
        <v>10232.2729421273</v>
      </c>
      <c r="AE4926" s="2">
        <v>12216.742920028901</v>
      </c>
      <c r="AF4926" s="2">
        <v>10518.3598155605</v>
      </c>
      <c r="AG4926" s="2">
        <v>11738.854530459799</v>
      </c>
      <c r="AH4926" s="2">
        <v>14761.9813255269</v>
      </c>
      <c r="AI4926" s="2">
        <v>10082.907505514901</v>
      </c>
      <c r="AJ4926" s="2">
        <v>11671.932792707699</v>
      </c>
      <c r="AK4926" s="2">
        <v>10879.0531737949</v>
      </c>
      <c r="AL4926" s="2">
        <v>9511.2575520093305</v>
      </c>
      <c r="AM4926" s="2">
        <v>10948.420168454901</v>
      </c>
      <c r="AN4926" s="2">
        <v>11240.200475178401</v>
      </c>
      <c r="AO4926" s="2">
        <v>9847.1415441203098</v>
      </c>
      <c r="AP4926" s="2">
        <v>8967.5647392059309</v>
      </c>
    </row>
    <row r="4927" spans="1:42" ht="14.5" x14ac:dyDescent="0.35">
      <c r="A4927" s="2" t="s">
        <v>32679</v>
      </c>
      <c r="B4927" s="2">
        <v>390.133248410085</v>
      </c>
      <c r="C4927" s="2">
        <v>9.6898833333333307</v>
      </c>
      <c r="D4927" s="2" t="s">
        <v>34</v>
      </c>
      <c r="E4927" s="2" t="s">
        <v>32680</v>
      </c>
      <c r="F4927" s="2">
        <v>52978</v>
      </c>
      <c r="G4927" s="3" t="str">
        <f>HYPERLINK("http://funmeta.oebiotech.com/network/52978", "http://funmeta.oebiotech.com/network/52978")</f>
        <v>http://funmeta.oebiotech.com/network/52978</v>
      </c>
      <c r="H4927" s="2" t="s">
        <v>32681</v>
      </c>
      <c r="I4927" s="2">
        <v>1973</v>
      </c>
      <c r="J4927" s="2"/>
      <c r="K4927" s="2">
        <v>8247</v>
      </c>
      <c r="L4927" s="2" t="s">
        <v>32682</v>
      </c>
      <c r="M4927" s="2"/>
      <c r="N4927" s="2"/>
      <c r="O4927" s="2">
        <v>4848</v>
      </c>
      <c r="P4927" s="2" t="s">
        <v>32683</v>
      </c>
      <c r="Q4927" s="2" t="s">
        <v>32684</v>
      </c>
      <c r="R4927" s="2" t="s">
        <v>32685</v>
      </c>
      <c r="S4927" s="2" t="s">
        <v>491</v>
      </c>
      <c r="T4927" s="2" t="s">
        <v>2653</v>
      </c>
      <c r="U4927" s="2" t="s">
        <v>12620</v>
      </c>
      <c r="V4927" s="2" t="s">
        <v>59</v>
      </c>
      <c r="W4927" s="2">
        <v>38.5</v>
      </c>
      <c r="X4927" s="2">
        <v>0</v>
      </c>
      <c r="Y4927" s="2" t="s">
        <v>340</v>
      </c>
      <c r="Z4927" s="2" t="s">
        <v>32686</v>
      </c>
      <c r="AA4927" s="2">
        <v>1.61003007144108</v>
      </c>
      <c r="AB4927" s="2">
        <v>0.11592783699737599</v>
      </c>
      <c r="AC4927" s="2">
        <v>7142.2783033854403</v>
      </c>
      <c r="AD4927" s="2">
        <v>5933.88760973026</v>
      </c>
      <c r="AE4927" s="2">
        <v>7327.0242681841401</v>
      </c>
      <c r="AF4927" s="2">
        <v>7090.6756771045602</v>
      </c>
      <c r="AG4927" s="2">
        <v>6619.8948480815397</v>
      </c>
      <c r="AH4927" s="2">
        <v>7122.9087884991204</v>
      </c>
      <c r="AI4927" s="2">
        <v>6504.4579086103604</v>
      </c>
      <c r="AJ4927" s="2">
        <v>8188.7083298329198</v>
      </c>
      <c r="AK4927" s="2">
        <v>5140.9562087296099</v>
      </c>
      <c r="AL4927" s="2">
        <v>6847.3356086864896</v>
      </c>
      <c r="AM4927" s="2">
        <v>6486.7918559751697</v>
      </c>
      <c r="AN4927" s="2">
        <v>5973.6451214250101</v>
      </c>
      <c r="AO4927" s="2">
        <v>5336.1755806106503</v>
      </c>
      <c r="AP4927" s="2">
        <v>5818.4212829546304</v>
      </c>
    </row>
    <row r="4928" spans="1:42" ht="14.5" x14ac:dyDescent="0.35">
      <c r="A4928" s="2" t="s">
        <v>32687</v>
      </c>
      <c r="B4928" s="2">
        <v>471.19730085322101</v>
      </c>
      <c r="C4928" s="2">
        <v>4.3453166666666698</v>
      </c>
      <c r="D4928" s="2" t="s">
        <v>34</v>
      </c>
      <c r="E4928" s="2" t="s">
        <v>32688</v>
      </c>
      <c r="F4928" s="2">
        <v>56410</v>
      </c>
      <c r="G4928" s="3" t="str">
        <f>HYPERLINK("http://funmeta.oebiotech.com/network/56410", "http://funmeta.oebiotech.com/network/56410")</f>
        <v>http://funmeta.oebiotech.com/network/56410</v>
      </c>
      <c r="H4928" s="2" t="s">
        <v>32689</v>
      </c>
      <c r="I4928" s="2"/>
      <c r="J4928" s="2"/>
      <c r="K4928" s="2"/>
      <c r="L4928" s="2"/>
      <c r="M4928" s="2"/>
      <c r="N4928" s="2"/>
      <c r="O4928" s="2">
        <v>101919834</v>
      </c>
      <c r="P4928" s="2" t="s">
        <v>32690</v>
      </c>
      <c r="Q4928" s="2" t="s">
        <v>32691</v>
      </c>
      <c r="R4928" s="2" t="s">
        <v>32692</v>
      </c>
      <c r="S4928" s="2" t="s">
        <v>79</v>
      </c>
      <c r="T4928" s="2" t="s">
        <v>80</v>
      </c>
      <c r="U4928" s="2" t="s">
        <v>81</v>
      </c>
      <c r="V4928" s="2" t="s">
        <v>59</v>
      </c>
      <c r="W4928" s="2">
        <v>38.9</v>
      </c>
      <c r="X4928" s="2">
        <v>0</v>
      </c>
      <c r="Y4928" s="2" t="s">
        <v>43</v>
      </c>
      <c r="Z4928" s="2" t="s">
        <v>32693</v>
      </c>
      <c r="AA4928" s="2">
        <v>-4.5773919772400001E-2</v>
      </c>
      <c r="AB4928" s="2">
        <v>0.115823115661744</v>
      </c>
      <c r="AC4928" s="2">
        <v>3520.98986303931</v>
      </c>
      <c r="AD4928" s="2">
        <v>4839.0430025122296</v>
      </c>
      <c r="AE4928" s="2">
        <v>3834.8682406215698</v>
      </c>
      <c r="AF4928" s="2">
        <v>3238.96124851487</v>
      </c>
      <c r="AG4928" s="2">
        <v>2429.9745871447399</v>
      </c>
      <c r="AH4928" s="2">
        <v>3669.3612421848502</v>
      </c>
      <c r="AI4928" s="2">
        <v>4164.1927960827998</v>
      </c>
      <c r="AJ4928" s="2">
        <v>3788.5810636870401</v>
      </c>
      <c r="AK4928" s="2">
        <v>5859.4131512215999</v>
      </c>
      <c r="AL4928" s="2">
        <v>5942.6983646548697</v>
      </c>
      <c r="AM4928" s="2">
        <v>3536.8143091028301</v>
      </c>
      <c r="AN4928" s="2">
        <v>4431.0821409117998</v>
      </c>
      <c r="AO4928" s="2">
        <v>4195.3620687376197</v>
      </c>
      <c r="AP4928" s="2">
        <v>5068.8879804446797</v>
      </c>
    </row>
    <row r="4929" spans="1:42" ht="14.5" x14ac:dyDescent="0.35">
      <c r="A4929" s="2" t="s">
        <v>32694</v>
      </c>
      <c r="B4929" s="2">
        <v>535.202628626246</v>
      </c>
      <c r="C4929" s="2">
        <v>3.9323666666666699</v>
      </c>
      <c r="D4929" s="2" t="s">
        <v>70</v>
      </c>
      <c r="E4929" s="2" t="s">
        <v>32695</v>
      </c>
      <c r="F4929" s="2">
        <v>54062</v>
      </c>
      <c r="G4929" s="3" t="str">
        <f>HYPERLINK("http://funmeta.oebiotech.com/network/54062", "http://funmeta.oebiotech.com/network/54062")</f>
        <v>http://funmeta.oebiotech.com/network/54062</v>
      </c>
      <c r="H4929" s="2" t="s">
        <v>32696</v>
      </c>
      <c r="I4929" s="2">
        <v>23778</v>
      </c>
      <c r="J4929" s="2"/>
      <c r="K4929" s="2">
        <v>73652</v>
      </c>
      <c r="L4929" s="2"/>
      <c r="M4929" s="2"/>
      <c r="N4929" s="2"/>
      <c r="O4929" s="2">
        <v>7021865</v>
      </c>
      <c r="P4929" s="2" t="s">
        <v>32697</v>
      </c>
      <c r="Q4929" s="2" t="s">
        <v>32698</v>
      </c>
      <c r="R4929" s="2" t="s">
        <v>32699</v>
      </c>
      <c r="S4929" s="2" t="s">
        <v>89</v>
      </c>
      <c r="T4929" s="2" t="s">
        <v>90</v>
      </c>
      <c r="U4929" s="2" t="s">
        <v>99</v>
      </c>
      <c r="V4929" s="2" t="s">
        <v>59</v>
      </c>
      <c r="W4929" s="2">
        <v>38.1</v>
      </c>
      <c r="X4929" s="2">
        <v>0</v>
      </c>
      <c r="Y4929" s="2" t="s">
        <v>560</v>
      </c>
      <c r="Z4929" s="2" t="s">
        <v>32700</v>
      </c>
      <c r="AA4929" s="2">
        <v>-3.61458408419037</v>
      </c>
      <c r="AB4929" s="2">
        <v>0.11581620639984801</v>
      </c>
      <c r="AC4929" s="2">
        <v>6176.3360704290999</v>
      </c>
      <c r="AD4929" s="2">
        <v>7735.1607423007399</v>
      </c>
      <c r="AE4929" s="2">
        <v>5855.3041247411802</v>
      </c>
      <c r="AF4929" s="2">
        <v>3932.7676887822399</v>
      </c>
      <c r="AG4929" s="2">
        <v>7245.4169319237999</v>
      </c>
      <c r="AH4929" s="2">
        <v>6295.3816713783099</v>
      </c>
      <c r="AI4929" s="2">
        <v>5306.4176189231102</v>
      </c>
      <c r="AJ4929" s="2">
        <v>8422.7283868259692</v>
      </c>
      <c r="AK4929" s="2">
        <v>7721.6235995766901</v>
      </c>
      <c r="AL4929" s="2">
        <v>8467.0018331208703</v>
      </c>
      <c r="AM4929" s="2">
        <v>8026.7124032020402</v>
      </c>
      <c r="AN4929" s="2">
        <v>6231.9029282641004</v>
      </c>
      <c r="AO4929" s="2">
        <v>7869.0314960682099</v>
      </c>
      <c r="AP4929" s="2">
        <v>8094.6921935725304</v>
      </c>
    </row>
    <row r="4930" spans="1:42" ht="14.5" x14ac:dyDescent="0.35">
      <c r="A4930" s="2" t="s">
        <v>32701</v>
      </c>
      <c r="B4930" s="2">
        <v>318.09696729476298</v>
      </c>
      <c r="C4930" s="2">
        <v>4.1056666666666697</v>
      </c>
      <c r="D4930" s="2" t="s">
        <v>34</v>
      </c>
      <c r="E4930" s="2" t="s">
        <v>32702</v>
      </c>
      <c r="F4930" s="2">
        <v>29225</v>
      </c>
      <c r="G4930" s="3" t="str">
        <f>HYPERLINK("http://funmeta.oebiotech.com/network/29225", "http://funmeta.oebiotech.com/network/29225")</f>
        <v>http://funmeta.oebiotech.com/network/29225</v>
      </c>
      <c r="H4930" s="2" t="s">
        <v>32703</v>
      </c>
      <c r="I4930" s="2">
        <v>43723</v>
      </c>
      <c r="J4930" s="2" t="s">
        <v>32704</v>
      </c>
      <c r="K4930" s="2"/>
      <c r="L4930" s="2"/>
      <c r="M4930" s="2"/>
      <c r="N4930" s="2"/>
      <c r="O4930" s="2">
        <v>5318834</v>
      </c>
      <c r="P4930" s="2" t="s">
        <v>32705</v>
      </c>
      <c r="Q4930" s="2" t="s">
        <v>32706</v>
      </c>
      <c r="R4930" s="2" t="s">
        <v>32707</v>
      </c>
      <c r="S4930" s="2" t="s">
        <v>115</v>
      </c>
      <c r="T4930" s="2" t="s">
        <v>1371</v>
      </c>
      <c r="U4930" s="2" t="s">
        <v>6597</v>
      </c>
      <c r="V4930" s="2" t="s">
        <v>59</v>
      </c>
      <c r="W4930" s="2">
        <v>39</v>
      </c>
      <c r="X4930" s="2">
        <v>0</v>
      </c>
      <c r="Y4930" s="2" t="s">
        <v>43</v>
      </c>
      <c r="Z4930" s="2" t="s">
        <v>11353</v>
      </c>
      <c r="AA4930" s="2">
        <v>-0.82095132658478398</v>
      </c>
      <c r="AB4930" s="2">
        <v>0.115791555660798</v>
      </c>
      <c r="AC4930" s="2">
        <v>1856.2410107154999</v>
      </c>
      <c r="AD4930" s="2">
        <v>2926.3563220311498</v>
      </c>
      <c r="AE4930" s="2">
        <v>1982.5334046819501</v>
      </c>
      <c r="AF4930" s="2">
        <v>1689.37921977272</v>
      </c>
      <c r="AG4930" s="2">
        <v>1710.9265997377099</v>
      </c>
      <c r="AH4930" s="2">
        <v>1922.17365316117</v>
      </c>
      <c r="AI4930" s="2">
        <v>1830.7994244758299</v>
      </c>
      <c r="AJ4930" s="2">
        <v>2001.6337624635901</v>
      </c>
      <c r="AK4930" s="2">
        <v>3826.1667500358899</v>
      </c>
      <c r="AL4930" s="2">
        <v>3095.9839373180098</v>
      </c>
      <c r="AM4930" s="2">
        <v>2870.8447131988901</v>
      </c>
      <c r="AN4930" s="2">
        <v>2216.2753458545199</v>
      </c>
      <c r="AO4930" s="2">
        <v>2539.1176436404598</v>
      </c>
      <c r="AP4930" s="2">
        <v>3009.74954213911</v>
      </c>
    </row>
    <row r="4931" spans="1:42" ht="14.5" x14ac:dyDescent="0.35">
      <c r="A4931" s="2" t="s">
        <v>32708</v>
      </c>
      <c r="B4931" s="2">
        <v>395.20682621014402</v>
      </c>
      <c r="C4931" s="2">
        <v>4.9511166666666702</v>
      </c>
      <c r="D4931" s="2" t="s">
        <v>70</v>
      </c>
      <c r="E4931" s="2" t="s">
        <v>32709</v>
      </c>
      <c r="F4931" s="2">
        <v>115431</v>
      </c>
      <c r="G4931" s="3" t="str">
        <f>HYPERLINK("http://funmeta.oebiotech.com/network/115431", "http://funmeta.oebiotech.com/network/115431")</f>
        <v>http://funmeta.oebiotech.com/network/115431</v>
      </c>
      <c r="H4931" s="2" t="s">
        <v>32710</v>
      </c>
      <c r="I4931" s="2"/>
      <c r="J4931" s="2"/>
      <c r="K4931" s="2"/>
      <c r="L4931" s="2"/>
      <c r="M4931" s="2"/>
      <c r="N4931" s="2"/>
      <c r="O4931" s="2">
        <v>5369084</v>
      </c>
      <c r="P4931" s="2"/>
      <c r="Q4931" s="2" t="s">
        <v>32711</v>
      </c>
      <c r="R4931" s="2" t="s">
        <v>32712</v>
      </c>
      <c r="S4931" s="2" t="s">
        <v>79</v>
      </c>
      <c r="T4931" s="2" t="s">
        <v>80</v>
      </c>
      <c r="U4931" s="2" t="s">
        <v>2021</v>
      </c>
      <c r="V4931" s="2" t="s">
        <v>59</v>
      </c>
      <c r="W4931" s="2">
        <v>38</v>
      </c>
      <c r="X4931" s="2">
        <v>0</v>
      </c>
      <c r="Y4931" s="2" t="s">
        <v>560</v>
      </c>
      <c r="Z4931" s="2" t="s">
        <v>32713</v>
      </c>
      <c r="AA4931" s="2">
        <v>-3.96186119239914</v>
      </c>
      <c r="AB4931" s="2">
        <v>0.11572687923563101</v>
      </c>
      <c r="AC4931" s="2">
        <v>6902.1661608271497</v>
      </c>
      <c r="AD4931" s="2">
        <v>5109.3726923639797</v>
      </c>
      <c r="AE4931" s="2">
        <v>7604.7280310509204</v>
      </c>
      <c r="AF4931" s="2">
        <v>10840.2612809576</v>
      </c>
      <c r="AG4931" s="2">
        <v>4667.1965040139003</v>
      </c>
      <c r="AH4931" s="2">
        <v>6644.5466818249997</v>
      </c>
      <c r="AI4931" s="2">
        <v>5976.8351828155601</v>
      </c>
      <c r="AJ4931" s="2">
        <v>5679.4292842999002</v>
      </c>
      <c r="AK4931" s="2">
        <v>5735.5534281879</v>
      </c>
      <c r="AL4931" s="2">
        <v>6906.4216322025004</v>
      </c>
      <c r="AM4931" s="2">
        <v>4536.33352913411</v>
      </c>
      <c r="AN4931" s="2">
        <v>5321.7571299165902</v>
      </c>
      <c r="AO4931" s="2">
        <v>2998.3442179143099</v>
      </c>
      <c r="AP4931" s="2">
        <v>5157.82621682844</v>
      </c>
    </row>
    <row r="4932" spans="1:42" ht="14.5" x14ac:dyDescent="0.35">
      <c r="A4932" s="2" t="s">
        <v>32714</v>
      </c>
      <c r="B4932" s="2">
        <v>199.180300584241</v>
      </c>
      <c r="C4932" s="2">
        <v>11.772316666666701</v>
      </c>
      <c r="D4932" s="2" t="s">
        <v>34</v>
      </c>
      <c r="E4932" s="2" t="s">
        <v>32715</v>
      </c>
      <c r="F4932" s="2">
        <v>8769</v>
      </c>
      <c r="G4932" s="3" t="str">
        <f>HYPERLINK("http://funmeta.oebiotech.com/network/8769", "http://funmeta.oebiotech.com/network/8769")</f>
        <v>http://funmeta.oebiotech.com/network/8769</v>
      </c>
      <c r="H4932" s="2" t="s">
        <v>32716</v>
      </c>
      <c r="I4932" s="2"/>
      <c r="J4932" s="2" t="s">
        <v>32717</v>
      </c>
      <c r="K4932" s="2"/>
      <c r="L4932" s="2" t="s">
        <v>32718</v>
      </c>
      <c r="M4932" s="2" t="s">
        <v>32719</v>
      </c>
      <c r="N4932" s="2" t="s">
        <v>32720</v>
      </c>
      <c r="O4932" s="2">
        <v>11309884</v>
      </c>
      <c r="P4932" s="2" t="s">
        <v>32721</v>
      </c>
      <c r="Q4932" s="2" t="s">
        <v>32722</v>
      </c>
      <c r="R4932" s="2" t="s">
        <v>32723</v>
      </c>
      <c r="S4932" s="2" t="s">
        <v>50</v>
      </c>
      <c r="T4932" s="2" t="s">
        <v>229</v>
      </c>
      <c r="U4932" s="2" t="s">
        <v>645</v>
      </c>
      <c r="V4932" s="2" t="s">
        <v>59</v>
      </c>
      <c r="W4932" s="2">
        <v>39.1</v>
      </c>
      <c r="X4932" s="2">
        <v>0</v>
      </c>
      <c r="Y4932" s="2" t="s">
        <v>43</v>
      </c>
      <c r="Z4932" s="2" t="s">
        <v>32724</v>
      </c>
      <c r="AA4932" s="2">
        <v>-1.04434409555736</v>
      </c>
      <c r="AB4932" s="2">
        <v>0.115717555579716</v>
      </c>
      <c r="AC4932" s="2">
        <v>1423.6770810394501</v>
      </c>
      <c r="AD4932" s="2">
        <v>476.47147070794102</v>
      </c>
      <c r="AE4932" s="2">
        <v>1419.10351962973</v>
      </c>
      <c r="AF4932" s="2">
        <v>1424.14435682766</v>
      </c>
      <c r="AG4932" s="2">
        <v>1576.0459618089899</v>
      </c>
      <c r="AH4932" s="2">
        <v>1324.9318432489599</v>
      </c>
      <c r="AI4932" s="2">
        <v>1379.2038733008501</v>
      </c>
      <c r="AJ4932" s="2">
        <v>1418.63293142052</v>
      </c>
      <c r="AK4932" s="2">
        <v>214.35618944043301</v>
      </c>
      <c r="AL4932" s="2">
        <v>742.96093034149999</v>
      </c>
      <c r="AM4932" s="2">
        <v>213.41373909272099</v>
      </c>
      <c r="AN4932" s="2">
        <v>777.48824533436505</v>
      </c>
      <c r="AO4932" s="2">
        <v>684.84168361732998</v>
      </c>
      <c r="AP4932" s="2">
        <v>225.76803642129701</v>
      </c>
    </row>
    <row r="4933" spans="1:42" ht="14.5" x14ac:dyDescent="0.35">
      <c r="A4933" s="2" t="s">
        <v>32725</v>
      </c>
      <c r="B4933" s="2">
        <v>377.13452772720802</v>
      </c>
      <c r="C4933" s="2">
        <v>3.53996666666667</v>
      </c>
      <c r="D4933" s="2" t="s">
        <v>70</v>
      </c>
      <c r="E4933" s="2" t="s">
        <v>32726</v>
      </c>
      <c r="F4933" s="2">
        <v>200246</v>
      </c>
      <c r="G4933" s="3" t="str">
        <f>HYPERLINK("http://funmeta.oebiotech.com/network/200246", "http://funmeta.oebiotech.com/network/200246")</f>
        <v>http://funmeta.oebiotech.com/network/200246</v>
      </c>
      <c r="H4933" s="2" t="s">
        <v>32727</v>
      </c>
      <c r="I4933" s="2"/>
      <c r="J4933" s="2"/>
      <c r="K4933" s="2"/>
      <c r="L4933" s="2"/>
      <c r="M4933" s="2"/>
      <c r="N4933" s="2"/>
      <c r="O4933" s="2">
        <v>2736656</v>
      </c>
      <c r="P4933" s="2"/>
      <c r="Q4933" s="2" t="s">
        <v>32728</v>
      </c>
      <c r="R4933" s="2" t="s">
        <v>32729</v>
      </c>
      <c r="S4933" s="2" t="s">
        <v>41</v>
      </c>
      <c r="T4933" s="2" t="s">
        <v>41</v>
      </c>
      <c r="U4933" s="2" t="s">
        <v>41</v>
      </c>
      <c r="V4933" s="2" t="s">
        <v>59</v>
      </c>
      <c r="W4933" s="2">
        <v>38.9</v>
      </c>
      <c r="X4933" s="2">
        <v>0</v>
      </c>
      <c r="Y4933" s="2" t="s">
        <v>751</v>
      </c>
      <c r="Z4933" s="2" t="s">
        <v>32730</v>
      </c>
      <c r="AA4933" s="2">
        <v>-0.40249704422434801</v>
      </c>
      <c r="AB4933" s="2">
        <v>0.11562903570642701</v>
      </c>
      <c r="AC4933" s="2">
        <v>6490.2120564405604</v>
      </c>
      <c r="AD4933" s="2">
        <v>7630.5982762549502</v>
      </c>
      <c r="AE4933" s="2">
        <v>6280.9732346037699</v>
      </c>
      <c r="AF4933" s="2">
        <v>6402.3024577514097</v>
      </c>
      <c r="AG4933" s="2">
        <v>6269.0431245728296</v>
      </c>
      <c r="AH4933" s="2">
        <v>6696.8884392170003</v>
      </c>
      <c r="AI4933" s="2">
        <v>6826.6242329307097</v>
      </c>
      <c r="AJ4933" s="2">
        <v>6465.4408495676198</v>
      </c>
      <c r="AK4933" s="2">
        <v>7067.6098069885702</v>
      </c>
      <c r="AL4933" s="2">
        <v>8422.1286983849404</v>
      </c>
      <c r="AM4933" s="2">
        <v>6919.9034204586596</v>
      </c>
      <c r="AN4933" s="2">
        <v>7872.62482538308</v>
      </c>
      <c r="AO4933" s="2">
        <v>7075.5278990884899</v>
      </c>
      <c r="AP4933" s="2">
        <v>8425.7950072259391</v>
      </c>
    </row>
    <row r="4934" spans="1:42" ht="14.5" x14ac:dyDescent="0.35">
      <c r="A4934" s="2" t="s">
        <v>32731</v>
      </c>
      <c r="B4934" s="2">
        <v>193.00632470740101</v>
      </c>
      <c r="C4934" s="2">
        <v>0.55359999999999998</v>
      </c>
      <c r="D4934" s="2" t="s">
        <v>34</v>
      </c>
      <c r="E4934" s="2" t="s">
        <v>32732</v>
      </c>
      <c r="F4934" s="2">
        <v>257885</v>
      </c>
      <c r="G4934" s="3" t="str">
        <f>HYPERLINK("http://funmeta.oebiotech.com/network/257885", "http://funmeta.oebiotech.com/network/257885")</f>
        <v>http://funmeta.oebiotech.com/network/257885</v>
      </c>
      <c r="H4934" s="2"/>
      <c r="I4934" s="2">
        <v>1288</v>
      </c>
      <c r="J4934" s="2"/>
      <c r="K4934" s="2"/>
      <c r="L4934" s="2"/>
      <c r="M4934" s="2"/>
      <c r="N4934" s="2"/>
      <c r="O4934" s="2">
        <v>9837</v>
      </c>
      <c r="P4934" s="2" t="s">
        <v>32733</v>
      </c>
      <c r="Q4934" s="2" t="s">
        <v>32734</v>
      </c>
      <c r="R4934" s="2" t="s">
        <v>32735</v>
      </c>
      <c r="S4934" s="2" t="s">
        <v>148</v>
      </c>
      <c r="T4934" s="2" t="s">
        <v>149</v>
      </c>
      <c r="U4934" s="2" t="s">
        <v>8963</v>
      </c>
      <c r="V4934" s="2" t="s">
        <v>59</v>
      </c>
      <c r="W4934" s="2">
        <v>38</v>
      </c>
      <c r="X4934" s="2">
        <v>0</v>
      </c>
      <c r="Y4934" s="2" t="s">
        <v>340</v>
      </c>
      <c r="Z4934" s="2" t="s">
        <v>32736</v>
      </c>
      <c r="AA4934" s="2">
        <v>1.03181438332494</v>
      </c>
      <c r="AB4934" s="2">
        <v>0.115602913537677</v>
      </c>
      <c r="AC4934" s="2">
        <v>1545.2256808669299</v>
      </c>
      <c r="AD4934" s="2">
        <v>538.46842356775301</v>
      </c>
      <c r="AE4934" s="2">
        <v>1022.04762988312</v>
      </c>
      <c r="AF4934" s="2">
        <v>1923.90106720678</v>
      </c>
      <c r="AG4934" s="2">
        <v>2057.3361914996499</v>
      </c>
      <c r="AH4934" s="2">
        <v>1252.6512661852801</v>
      </c>
      <c r="AI4934" s="2">
        <v>1670.8600567379599</v>
      </c>
      <c r="AJ4934" s="2">
        <v>1344.5578736888101</v>
      </c>
      <c r="AK4934" s="2">
        <v>577.93142713400198</v>
      </c>
      <c r="AL4934" s="2">
        <v>213.50307036253699</v>
      </c>
      <c r="AM4934" s="2">
        <v>546.372685636494</v>
      </c>
      <c r="AN4934" s="2">
        <v>635.02787579047902</v>
      </c>
      <c r="AO4934" s="2">
        <v>666.32067020618103</v>
      </c>
      <c r="AP4934" s="2">
        <v>591.65481227682596</v>
      </c>
    </row>
    <row r="4935" spans="1:42" ht="14.5" x14ac:dyDescent="0.35">
      <c r="A4935" s="2" t="s">
        <v>32737</v>
      </c>
      <c r="B4935" s="2">
        <v>363.08485279425901</v>
      </c>
      <c r="C4935" s="2">
        <v>2.7563666666666702</v>
      </c>
      <c r="D4935" s="2" t="s">
        <v>70</v>
      </c>
      <c r="E4935" s="2" t="s">
        <v>32738</v>
      </c>
      <c r="F4935" s="2">
        <v>210274</v>
      </c>
      <c r="G4935" s="3" t="str">
        <f>HYPERLINK("http://funmeta.oebiotech.com/network/210274", "http://funmeta.oebiotech.com/network/210274")</f>
        <v>http://funmeta.oebiotech.com/network/210274</v>
      </c>
      <c r="H4935" s="2" t="s">
        <v>32739</v>
      </c>
      <c r="I4935" s="2">
        <v>44257</v>
      </c>
      <c r="J4935" s="2"/>
      <c r="K4935" s="2"/>
      <c r="L4935" s="2" t="s">
        <v>32740</v>
      </c>
      <c r="M4935" s="2"/>
      <c r="N4935" s="2"/>
      <c r="O4935" s="2">
        <v>4764</v>
      </c>
      <c r="P4935" s="2" t="s">
        <v>32741</v>
      </c>
      <c r="Q4935" s="2" t="s">
        <v>32742</v>
      </c>
      <c r="R4935" s="2" t="s">
        <v>32743</v>
      </c>
      <c r="S4935" s="2" t="s">
        <v>491</v>
      </c>
      <c r="T4935" s="2" t="s">
        <v>19122</v>
      </c>
      <c r="U4935" s="2" t="s">
        <v>32744</v>
      </c>
      <c r="V4935" s="2" t="s">
        <v>59</v>
      </c>
      <c r="W4935" s="2">
        <v>36.299999999999997</v>
      </c>
      <c r="X4935" s="2">
        <v>0</v>
      </c>
      <c r="Y4935" s="2" t="s">
        <v>408</v>
      </c>
      <c r="Z4935" s="2" t="s">
        <v>32745</v>
      </c>
      <c r="AA4935" s="2">
        <v>-8.0449222720296607</v>
      </c>
      <c r="AB4935" s="2">
        <v>0.11559321742206501</v>
      </c>
      <c r="AC4935" s="2">
        <v>2542.34012496893</v>
      </c>
      <c r="AD4935" s="2">
        <v>1626.21716862689</v>
      </c>
      <c r="AE4935" s="2">
        <v>2217.9048534862</v>
      </c>
      <c r="AF4935" s="2">
        <v>2474.0167600609002</v>
      </c>
      <c r="AG4935" s="2">
        <v>2624.4013172026898</v>
      </c>
      <c r="AH4935" s="2">
        <v>2687.2405265467701</v>
      </c>
      <c r="AI4935" s="2">
        <v>2636.1419608808601</v>
      </c>
      <c r="AJ4935" s="2">
        <v>2614.3353316361399</v>
      </c>
      <c r="AK4935" s="2">
        <v>1491.8322495003899</v>
      </c>
      <c r="AL4935" s="2">
        <v>1609.0339486415501</v>
      </c>
      <c r="AM4935" s="2">
        <v>1527.6181116938101</v>
      </c>
      <c r="AN4935" s="2">
        <v>1690.1302123866999</v>
      </c>
      <c r="AO4935" s="2">
        <v>1806.1989586038301</v>
      </c>
      <c r="AP4935" s="2">
        <v>1632.48953093507</v>
      </c>
    </row>
    <row r="4936" spans="1:42" ht="14.5" x14ac:dyDescent="0.35">
      <c r="A4936" s="2" t="s">
        <v>32746</v>
      </c>
      <c r="B4936" s="2">
        <v>655.37057785720901</v>
      </c>
      <c r="C4936" s="2">
        <v>10.3984166666667</v>
      </c>
      <c r="D4936" s="2" t="s">
        <v>70</v>
      </c>
      <c r="E4936" s="2" t="s">
        <v>32747</v>
      </c>
      <c r="F4936" s="2">
        <v>43759</v>
      </c>
      <c r="G4936" s="3" t="str">
        <f>HYPERLINK("http://funmeta.oebiotech.com/network/43759", "http://funmeta.oebiotech.com/network/43759")</f>
        <v>http://funmeta.oebiotech.com/network/43759</v>
      </c>
      <c r="H4936" s="2"/>
      <c r="I4936" s="2"/>
      <c r="J4936" s="2" t="s">
        <v>32748</v>
      </c>
      <c r="K4936" s="2"/>
      <c r="L4936" s="2"/>
      <c r="M4936" s="2"/>
      <c r="N4936" s="2"/>
      <c r="O4936" s="2">
        <v>101514325</v>
      </c>
      <c r="P4936" s="2"/>
      <c r="Q4936" s="2" t="s">
        <v>32749</v>
      </c>
      <c r="R4936" s="2" t="s">
        <v>32750</v>
      </c>
      <c r="S4936" s="2" t="s">
        <v>50</v>
      </c>
      <c r="T4936" s="2" t="s">
        <v>124</v>
      </c>
      <c r="U4936" s="2" t="s">
        <v>523</v>
      </c>
      <c r="V4936" s="2" t="s">
        <v>59</v>
      </c>
      <c r="W4936" s="2">
        <v>38.5</v>
      </c>
      <c r="X4936" s="2">
        <v>0</v>
      </c>
      <c r="Y4936" s="2" t="s">
        <v>408</v>
      </c>
      <c r="Z4936" s="2" t="s">
        <v>5434</v>
      </c>
      <c r="AA4936" s="2">
        <v>1.1092582294428399</v>
      </c>
      <c r="AB4936" s="2">
        <v>0.115490958888345</v>
      </c>
      <c r="AC4936" s="2">
        <v>6682.9735343627599</v>
      </c>
      <c r="AD4936" s="2">
        <v>7843.9091744991501</v>
      </c>
      <c r="AE4936" s="2">
        <v>7160.3988655926496</v>
      </c>
      <c r="AF4936" s="2">
        <v>6826.8197433126898</v>
      </c>
      <c r="AG4936" s="2">
        <v>6774.93159206991</v>
      </c>
      <c r="AH4936" s="2">
        <v>6572.4927589627496</v>
      </c>
      <c r="AI4936" s="2">
        <v>6318.2669172223495</v>
      </c>
      <c r="AJ4936" s="2">
        <v>6444.9313290162199</v>
      </c>
      <c r="AK4936" s="2">
        <v>7839.8483020700996</v>
      </c>
      <c r="AL4936" s="2">
        <v>7180.8526336064797</v>
      </c>
      <c r="AM4936" s="2">
        <v>8395.0641064223491</v>
      </c>
      <c r="AN4936" s="2">
        <v>8178.8800963188296</v>
      </c>
      <c r="AO4936" s="2">
        <v>6812.6382928878402</v>
      </c>
      <c r="AP4936" s="2">
        <v>8656.1716156893308</v>
      </c>
    </row>
    <row r="4937" spans="1:42" ht="14.5" x14ac:dyDescent="0.35">
      <c r="A4937" s="2" t="s">
        <v>32751</v>
      </c>
      <c r="B4937" s="2">
        <v>509.23894052449799</v>
      </c>
      <c r="C4937" s="2">
        <v>7.9576166666666701</v>
      </c>
      <c r="D4937" s="2" t="s">
        <v>70</v>
      </c>
      <c r="E4937" s="2" t="s">
        <v>32752</v>
      </c>
      <c r="F4937" s="2">
        <v>46631</v>
      </c>
      <c r="G4937" s="3" t="str">
        <f>HYPERLINK("http://funmeta.oebiotech.com/network/46631", "http://funmeta.oebiotech.com/network/46631")</f>
        <v>http://funmeta.oebiotech.com/network/46631</v>
      </c>
      <c r="H4937" s="2" t="s">
        <v>32753</v>
      </c>
      <c r="I4937" s="2">
        <v>2794</v>
      </c>
      <c r="J4937" s="2" t="s">
        <v>32754</v>
      </c>
      <c r="K4937" s="2">
        <v>28835</v>
      </c>
      <c r="L4937" s="2" t="s">
        <v>32755</v>
      </c>
      <c r="M4937" s="2" t="s">
        <v>2454</v>
      </c>
      <c r="N4937" s="2" t="s">
        <v>2455</v>
      </c>
      <c r="O4937" s="2">
        <v>108192</v>
      </c>
      <c r="P4937" s="2" t="s">
        <v>32756</v>
      </c>
      <c r="Q4937" s="2" t="s">
        <v>32757</v>
      </c>
      <c r="R4937" s="2" t="s">
        <v>32758</v>
      </c>
      <c r="S4937" s="2" t="s">
        <v>50</v>
      </c>
      <c r="T4937" s="2" t="s">
        <v>124</v>
      </c>
      <c r="U4937" s="2" t="s">
        <v>523</v>
      </c>
      <c r="V4937" s="2" t="s">
        <v>59</v>
      </c>
      <c r="W4937" s="2">
        <v>38</v>
      </c>
      <c r="X4937" s="2">
        <v>0</v>
      </c>
      <c r="Y4937" s="2" t="s">
        <v>408</v>
      </c>
      <c r="Z4937" s="2" t="s">
        <v>32759</v>
      </c>
      <c r="AA4937" s="2">
        <v>-0.60411831686372497</v>
      </c>
      <c r="AB4937" s="2">
        <v>0.115414533473536</v>
      </c>
      <c r="AC4937" s="2">
        <v>1567.4734051255</v>
      </c>
      <c r="AD4937" s="2">
        <v>404.26218125841802</v>
      </c>
      <c r="AE4937" s="2">
        <v>1115.6325453055899</v>
      </c>
      <c r="AF4937" s="2">
        <v>1346.7064336425599</v>
      </c>
      <c r="AG4937" s="2">
        <v>2130.2771910820902</v>
      </c>
      <c r="AH4937" s="2">
        <v>2780.9834673944201</v>
      </c>
      <c r="AI4937" s="2">
        <v>1303.6517252143201</v>
      </c>
      <c r="AJ4937" s="2">
        <v>727.58906811403097</v>
      </c>
      <c r="AK4937" s="2">
        <v>325.571415682885</v>
      </c>
      <c r="AL4937" s="2">
        <v>141.556013905074</v>
      </c>
      <c r="AM4937" s="2">
        <v>241.67631023427199</v>
      </c>
      <c r="AN4937" s="2">
        <v>564.26074692088105</v>
      </c>
      <c r="AO4937" s="2">
        <v>833.49079709482305</v>
      </c>
      <c r="AP4937" s="2">
        <v>319.01780371257001</v>
      </c>
    </row>
    <row r="4938" spans="1:42" ht="14.5" x14ac:dyDescent="0.35">
      <c r="A4938" s="2" t="s">
        <v>32760</v>
      </c>
      <c r="B4938" s="2">
        <v>567.26020087745997</v>
      </c>
      <c r="C4938" s="2">
        <v>9.8046166666666696</v>
      </c>
      <c r="D4938" s="2" t="s">
        <v>70</v>
      </c>
      <c r="E4938" s="2" t="s">
        <v>32761</v>
      </c>
      <c r="F4938" s="2">
        <v>52779</v>
      </c>
      <c r="G4938" s="3" t="str">
        <f>HYPERLINK("http://funmeta.oebiotech.com/network/52779", "http://funmeta.oebiotech.com/network/52779")</f>
        <v>http://funmeta.oebiotech.com/network/52779</v>
      </c>
      <c r="H4938" s="2" t="s">
        <v>32762</v>
      </c>
      <c r="I4938" s="2">
        <v>2131</v>
      </c>
      <c r="J4938" s="2"/>
      <c r="K4938" s="2">
        <v>8459</v>
      </c>
      <c r="L4938" s="2" t="s">
        <v>32763</v>
      </c>
      <c r="M4938" s="2"/>
      <c r="N4938" s="2"/>
      <c r="O4938" s="2">
        <v>4926</v>
      </c>
      <c r="P4938" s="2" t="s">
        <v>32764</v>
      </c>
      <c r="Q4938" s="2" t="s">
        <v>32765</v>
      </c>
      <c r="R4938" s="2" t="s">
        <v>32766</v>
      </c>
      <c r="S4938" s="2" t="s">
        <v>491</v>
      </c>
      <c r="T4938" s="2" t="s">
        <v>25326</v>
      </c>
      <c r="U4938" s="2" t="s">
        <v>25327</v>
      </c>
      <c r="V4938" s="2" t="s">
        <v>59</v>
      </c>
      <c r="W4938" s="2">
        <v>37.799999999999997</v>
      </c>
      <c r="X4938" s="2">
        <v>0</v>
      </c>
      <c r="Y4938" s="2" t="s">
        <v>560</v>
      </c>
      <c r="Z4938" s="2" t="s">
        <v>32767</v>
      </c>
      <c r="AA4938" s="2">
        <v>-3.4525744372021698</v>
      </c>
      <c r="AB4938" s="2">
        <v>0.115289452590529</v>
      </c>
      <c r="AC4938" s="2">
        <v>2951.9055637291299</v>
      </c>
      <c r="AD4938" s="2">
        <v>4009.13316648299</v>
      </c>
      <c r="AE4938" s="2">
        <v>2626.8075542379802</v>
      </c>
      <c r="AF4938" s="2">
        <v>2697.8216313985299</v>
      </c>
      <c r="AG4938" s="2">
        <v>3078.90018368252</v>
      </c>
      <c r="AH4938" s="2">
        <v>3391.3120972890601</v>
      </c>
      <c r="AI4938" s="2">
        <v>3004.7952686365202</v>
      </c>
      <c r="AJ4938" s="2">
        <v>2911.7966471301502</v>
      </c>
      <c r="AK4938" s="2">
        <v>4231.0334864445203</v>
      </c>
      <c r="AL4938" s="2">
        <v>3174.5494938857</v>
      </c>
      <c r="AM4938" s="2">
        <v>3915.3583101623899</v>
      </c>
      <c r="AN4938" s="2">
        <v>3793.1077706921601</v>
      </c>
      <c r="AO4938" s="2">
        <v>4431.3812638122499</v>
      </c>
      <c r="AP4938" s="2">
        <v>4509.3686739009299</v>
      </c>
    </row>
    <row r="4939" spans="1:42" ht="14.5" x14ac:dyDescent="0.35">
      <c r="A4939" s="2" t="s">
        <v>32768</v>
      </c>
      <c r="B4939" s="2">
        <v>131.03632300697501</v>
      </c>
      <c r="C4939" s="2">
        <v>3.6547999999999998</v>
      </c>
      <c r="D4939" s="2" t="s">
        <v>70</v>
      </c>
      <c r="E4939" s="2" t="s">
        <v>32769</v>
      </c>
      <c r="F4939" s="2">
        <v>202802</v>
      </c>
      <c r="G4939" s="3" t="str">
        <f>HYPERLINK("http://funmeta.oebiotech.com/network/202802", "http://funmeta.oebiotech.com/network/202802")</f>
        <v>http://funmeta.oebiotech.com/network/202802</v>
      </c>
      <c r="H4939" s="2" t="s">
        <v>32770</v>
      </c>
      <c r="I4939" s="2">
        <v>356424</v>
      </c>
      <c r="J4939" s="2"/>
      <c r="K4939" s="2"/>
      <c r="L4939" s="2"/>
      <c r="M4939" s="2"/>
      <c r="N4939" s="2"/>
      <c r="O4939" s="2">
        <v>100684</v>
      </c>
      <c r="P4939" s="2"/>
      <c r="Q4939" s="2" t="s">
        <v>32771</v>
      </c>
      <c r="R4939" s="2" t="s">
        <v>32772</v>
      </c>
      <c r="S4939" s="2" t="s">
        <v>491</v>
      </c>
      <c r="T4939" s="2" t="s">
        <v>20022</v>
      </c>
      <c r="U4939" s="2" t="s">
        <v>41</v>
      </c>
      <c r="V4939" s="2" t="s">
        <v>59</v>
      </c>
      <c r="W4939" s="2">
        <v>41.1</v>
      </c>
      <c r="X4939" s="2">
        <v>6.72</v>
      </c>
      <c r="Y4939" s="2" t="s">
        <v>751</v>
      </c>
      <c r="Z4939" s="2" t="s">
        <v>32773</v>
      </c>
      <c r="AA4939" s="2">
        <v>2.19640376531005E-2</v>
      </c>
      <c r="AB4939" s="2">
        <v>0.11501497854840501</v>
      </c>
      <c r="AC4939" s="2">
        <v>1014.53529621417</v>
      </c>
      <c r="AD4939" s="2">
        <v>96.853734020820298</v>
      </c>
      <c r="AE4939" s="2">
        <v>807.61787770143405</v>
      </c>
      <c r="AF4939" s="2">
        <v>1068.1591197474399</v>
      </c>
      <c r="AG4939" s="2">
        <v>824.10845464886597</v>
      </c>
      <c r="AH4939" s="2">
        <v>1005.93181008102</v>
      </c>
      <c r="AI4939" s="2">
        <v>1429.81310218967</v>
      </c>
      <c r="AJ4939" s="2">
        <v>951.58141291661002</v>
      </c>
      <c r="AK4939" s="2">
        <v>115.13616128139699</v>
      </c>
      <c r="AL4939" s="2">
        <v>78.115428432177197</v>
      </c>
      <c r="AM4939" s="2">
        <v>103.56912334264899</v>
      </c>
      <c r="AN4939" s="2">
        <v>81.969415752811798</v>
      </c>
      <c r="AO4939" s="2">
        <v>119.659101002179</v>
      </c>
      <c r="AP4939" s="2">
        <v>82.673174313707605</v>
      </c>
    </row>
    <row r="4940" spans="1:42" ht="14.5" x14ac:dyDescent="0.35">
      <c r="A4940" s="2" t="s">
        <v>32774</v>
      </c>
      <c r="B4940" s="2">
        <v>135.04392299268301</v>
      </c>
      <c r="C4940" s="2">
        <v>1.5991</v>
      </c>
      <c r="D4940" s="2" t="s">
        <v>70</v>
      </c>
      <c r="E4940" s="2" t="s">
        <v>32775</v>
      </c>
      <c r="F4940" s="2">
        <v>200592</v>
      </c>
      <c r="G4940" s="3" t="str">
        <f>HYPERLINK("http://funmeta.oebiotech.com/network/200592", "http://funmeta.oebiotech.com/network/200592")</f>
        <v>http://funmeta.oebiotech.com/network/200592</v>
      </c>
      <c r="H4940" s="2" t="s">
        <v>32776</v>
      </c>
      <c r="I4940" s="2">
        <v>66603</v>
      </c>
      <c r="J4940" s="2"/>
      <c r="K4940" s="2">
        <v>28341</v>
      </c>
      <c r="L4940" s="2" t="s">
        <v>32777</v>
      </c>
      <c r="M4940" s="2" t="s">
        <v>32778</v>
      </c>
      <c r="N4940" s="2" t="s">
        <v>32779</v>
      </c>
      <c r="O4940" s="2">
        <v>68490</v>
      </c>
      <c r="P4940" s="2" t="s">
        <v>32780</v>
      </c>
      <c r="Q4940" s="2" t="s">
        <v>32781</v>
      </c>
      <c r="R4940" s="2" t="s">
        <v>32782</v>
      </c>
      <c r="S4940" s="2" t="s">
        <v>79</v>
      </c>
      <c r="T4940" s="2" t="s">
        <v>80</v>
      </c>
      <c r="U4940" s="2" t="s">
        <v>2820</v>
      </c>
      <c r="V4940" s="2" t="s">
        <v>59</v>
      </c>
      <c r="W4940" s="2">
        <v>37.299999999999997</v>
      </c>
      <c r="X4940" s="2">
        <v>1.68</v>
      </c>
      <c r="Y4940" s="2" t="s">
        <v>118</v>
      </c>
      <c r="Z4940" s="2" t="s">
        <v>8258</v>
      </c>
      <c r="AA4940" s="2">
        <v>-9.0411542196225607</v>
      </c>
      <c r="AB4940" s="2">
        <v>0.114974646746505</v>
      </c>
      <c r="AC4940" s="2">
        <v>4013.0199564771801</v>
      </c>
      <c r="AD4940" s="2">
        <v>3098.3219956072799</v>
      </c>
      <c r="AE4940" s="2">
        <v>4196.5623005896796</v>
      </c>
      <c r="AF4940" s="2">
        <v>4127.6063945621299</v>
      </c>
      <c r="AG4940" s="2">
        <v>3826.5721092283902</v>
      </c>
      <c r="AH4940" s="2">
        <v>3895.1610850616999</v>
      </c>
      <c r="AI4940" s="2">
        <v>3965.67280175408</v>
      </c>
      <c r="AJ4940" s="2">
        <v>4066.5450476671299</v>
      </c>
      <c r="AK4940" s="2">
        <v>3082.9618045725301</v>
      </c>
      <c r="AL4940" s="2">
        <v>2913.6293300375501</v>
      </c>
      <c r="AM4940" s="2">
        <v>3369.9536765944899</v>
      </c>
      <c r="AN4940" s="2">
        <v>3192.3454841800199</v>
      </c>
      <c r="AO4940" s="2">
        <v>2865.4788513047401</v>
      </c>
      <c r="AP4940" s="2">
        <v>3165.5628269543299</v>
      </c>
    </row>
    <row r="4941" spans="1:42" ht="14.5" x14ac:dyDescent="0.35">
      <c r="A4941" s="2" t="s">
        <v>32783</v>
      </c>
      <c r="B4941" s="2">
        <v>615.35011940191498</v>
      </c>
      <c r="C4941" s="2">
        <v>10.2647666666667</v>
      </c>
      <c r="D4941" s="2" t="s">
        <v>34</v>
      </c>
      <c r="E4941" s="2" t="s">
        <v>32784</v>
      </c>
      <c r="F4941" s="2">
        <v>24894</v>
      </c>
      <c r="G4941" s="3" t="str">
        <f>HYPERLINK("http://funmeta.oebiotech.com/network/24894", "http://funmeta.oebiotech.com/network/24894")</f>
        <v>http://funmeta.oebiotech.com/network/24894</v>
      </c>
      <c r="H4941" s="2"/>
      <c r="I4941" s="2"/>
      <c r="J4941" s="2" t="s">
        <v>32785</v>
      </c>
      <c r="K4941" s="2"/>
      <c r="L4941" s="2"/>
      <c r="M4941" s="2"/>
      <c r="N4941" s="2"/>
      <c r="O4941" s="2">
        <v>52928622</v>
      </c>
      <c r="P4941" s="2"/>
      <c r="Q4941" s="2" t="s">
        <v>32786</v>
      </c>
      <c r="R4941" s="2" t="s">
        <v>32787</v>
      </c>
      <c r="S4941" s="2" t="s">
        <v>50</v>
      </c>
      <c r="T4941" s="2" t="s">
        <v>51</v>
      </c>
      <c r="U4941" s="2" t="s">
        <v>52</v>
      </c>
      <c r="V4941" s="2" t="s">
        <v>59</v>
      </c>
      <c r="W4941" s="2">
        <v>38</v>
      </c>
      <c r="X4941" s="2">
        <v>0</v>
      </c>
      <c r="Y4941" s="2" t="s">
        <v>394</v>
      </c>
      <c r="Z4941" s="2" t="s">
        <v>32788</v>
      </c>
      <c r="AA4941" s="2">
        <v>-0.440891497301302</v>
      </c>
      <c r="AB4941" s="2">
        <v>0.114955264973346</v>
      </c>
      <c r="AC4941" s="2">
        <v>10221.855109386801</v>
      </c>
      <c r="AD4941" s="2">
        <v>11911.1553262137</v>
      </c>
      <c r="AE4941" s="2">
        <v>9686.0705451669401</v>
      </c>
      <c r="AF4941" s="2">
        <v>9319.8060195454109</v>
      </c>
      <c r="AG4941" s="2">
        <v>9432.2778569388793</v>
      </c>
      <c r="AH4941" s="2">
        <v>10511.651991823201</v>
      </c>
      <c r="AI4941" s="2">
        <v>9341.6622310081402</v>
      </c>
      <c r="AJ4941" s="2">
        <v>13039.6620118385</v>
      </c>
      <c r="AK4941" s="2">
        <v>14346.510718673801</v>
      </c>
      <c r="AL4941" s="2">
        <v>12575.0798007413</v>
      </c>
      <c r="AM4941" s="2">
        <v>12855.5690287861</v>
      </c>
      <c r="AN4941" s="2">
        <v>10921.333932752401</v>
      </c>
      <c r="AO4941" s="2">
        <v>10449.3467673903</v>
      </c>
      <c r="AP4941" s="2">
        <v>10319.0917089385</v>
      </c>
    </row>
    <row r="4942" spans="1:42" ht="14.5" x14ac:dyDescent="0.35">
      <c r="A4942" s="2" t="s">
        <v>32789</v>
      </c>
      <c r="B4942" s="2">
        <v>623.10365619418099</v>
      </c>
      <c r="C4942" s="2">
        <v>3.7303666666666699</v>
      </c>
      <c r="D4942" s="2" t="s">
        <v>70</v>
      </c>
      <c r="E4942" s="2" t="s">
        <v>32790</v>
      </c>
      <c r="F4942" s="2">
        <v>33043</v>
      </c>
      <c r="G4942" s="3" t="str">
        <f>HYPERLINK("http://funmeta.oebiotech.com/network/33043", "http://funmeta.oebiotech.com/network/33043")</f>
        <v>http://funmeta.oebiotech.com/network/33043</v>
      </c>
      <c r="H4942" s="2"/>
      <c r="I4942" s="2"/>
      <c r="J4942" s="2" t="s">
        <v>32791</v>
      </c>
      <c r="K4942" s="2"/>
      <c r="L4942" s="2"/>
      <c r="M4942" s="2"/>
      <c r="N4942" s="2"/>
      <c r="O4942" s="2">
        <v>11614364</v>
      </c>
      <c r="P4942" s="2"/>
      <c r="Q4942" s="2" t="s">
        <v>32792</v>
      </c>
      <c r="R4942" s="2" t="s">
        <v>32793</v>
      </c>
      <c r="S4942" s="2" t="s">
        <v>115</v>
      </c>
      <c r="T4942" s="2" t="s">
        <v>139</v>
      </c>
      <c r="U4942" s="2" t="s">
        <v>140</v>
      </c>
      <c r="V4942" s="2" t="s">
        <v>59</v>
      </c>
      <c r="W4942" s="2">
        <v>37.799999999999997</v>
      </c>
      <c r="X4942" s="2">
        <v>0</v>
      </c>
      <c r="Y4942" s="2" t="s">
        <v>751</v>
      </c>
      <c r="Z4942" s="2" t="s">
        <v>32794</v>
      </c>
      <c r="AA4942" s="2">
        <v>-0.91483008129583099</v>
      </c>
      <c r="AB4942" s="2">
        <v>0.11493919882457</v>
      </c>
      <c r="AC4942" s="2">
        <v>27471.126248631401</v>
      </c>
      <c r="AD4942" s="2">
        <v>25250.2249264233</v>
      </c>
      <c r="AE4942" s="2">
        <v>25067.759146128199</v>
      </c>
      <c r="AF4942" s="2">
        <v>31553.248599507198</v>
      </c>
      <c r="AG4942" s="2">
        <v>30788.393411295499</v>
      </c>
      <c r="AH4942" s="2">
        <v>26258.063222045501</v>
      </c>
      <c r="AI4942" s="2">
        <v>24344.833486038398</v>
      </c>
      <c r="AJ4942" s="2">
        <v>26814.459626773802</v>
      </c>
      <c r="AK4942" s="2">
        <v>25767.266213060298</v>
      </c>
      <c r="AL4942" s="2">
        <v>30797.065600890299</v>
      </c>
      <c r="AM4942" s="2">
        <v>25723.5291009785</v>
      </c>
      <c r="AN4942" s="2">
        <v>22915.2598859842</v>
      </c>
      <c r="AO4942" s="2">
        <v>23452.881806547099</v>
      </c>
      <c r="AP4942" s="2">
        <v>22845.3469510795</v>
      </c>
    </row>
    <row r="4943" spans="1:42" ht="14.5" x14ac:dyDescent="0.35">
      <c r="A4943" s="2" t="s">
        <v>32795</v>
      </c>
      <c r="B4943" s="2">
        <v>761.23721577306196</v>
      </c>
      <c r="C4943" s="2">
        <v>8.2685333333333304</v>
      </c>
      <c r="D4943" s="2" t="s">
        <v>70</v>
      </c>
      <c r="E4943" s="2" t="s">
        <v>32796</v>
      </c>
      <c r="F4943" s="2">
        <v>57743</v>
      </c>
      <c r="G4943" s="3" t="str">
        <f>HYPERLINK("http://funmeta.oebiotech.com/network/57743", "http://funmeta.oebiotech.com/network/57743")</f>
        <v>http://funmeta.oebiotech.com/network/57743</v>
      </c>
      <c r="H4943" s="2" t="s">
        <v>32797</v>
      </c>
      <c r="I4943" s="2">
        <v>89334</v>
      </c>
      <c r="J4943" s="2"/>
      <c r="K4943" s="2"/>
      <c r="L4943" s="2"/>
      <c r="M4943" s="2"/>
      <c r="N4943" s="2"/>
      <c r="O4943" s="2">
        <v>284998</v>
      </c>
      <c r="P4943" s="2" t="s">
        <v>32798</v>
      </c>
      <c r="Q4943" s="2" t="s">
        <v>32799</v>
      </c>
      <c r="R4943" s="2" t="s">
        <v>32800</v>
      </c>
      <c r="S4943" s="2" t="s">
        <v>39</v>
      </c>
      <c r="T4943" s="2" t="s">
        <v>22949</v>
      </c>
      <c r="U4943" s="2" t="s">
        <v>41</v>
      </c>
      <c r="V4943" s="2" t="s">
        <v>59</v>
      </c>
      <c r="W4943" s="2">
        <v>38.299999999999997</v>
      </c>
      <c r="X4943" s="2">
        <v>0</v>
      </c>
      <c r="Y4943" s="2" t="s">
        <v>560</v>
      </c>
      <c r="Z4943" s="2" t="s">
        <v>32801</v>
      </c>
      <c r="AA4943" s="2">
        <v>2.64685077080641</v>
      </c>
      <c r="AB4943" s="2">
        <v>0.11486343969971401</v>
      </c>
      <c r="AC4943" s="2">
        <v>6272.0363564640502</v>
      </c>
      <c r="AD4943" s="2">
        <v>7881.5333696744301</v>
      </c>
      <c r="AE4943" s="2">
        <v>5148.4625001390496</v>
      </c>
      <c r="AF4943" s="2">
        <v>5377.8679298296702</v>
      </c>
      <c r="AG4943" s="2">
        <v>8731.3344791296295</v>
      </c>
      <c r="AH4943" s="2">
        <v>5743.2461797259402</v>
      </c>
      <c r="AI4943" s="2">
        <v>7367.9019520614702</v>
      </c>
      <c r="AJ4943" s="2">
        <v>5263.4050978985697</v>
      </c>
      <c r="AK4943" s="2">
        <v>9500.4524412056599</v>
      </c>
      <c r="AL4943" s="2">
        <v>9121.41881386358</v>
      </c>
      <c r="AM4943" s="2">
        <v>6012.5469327830997</v>
      </c>
      <c r="AN4943" s="2">
        <v>8012.3701941016798</v>
      </c>
      <c r="AO4943" s="2">
        <v>7125.8585935353703</v>
      </c>
      <c r="AP4943" s="2">
        <v>7516.5532425572201</v>
      </c>
    </row>
    <row r="4944" spans="1:42" ht="14.5" x14ac:dyDescent="0.35">
      <c r="A4944" s="2" t="s">
        <v>32802</v>
      </c>
      <c r="B4944" s="2">
        <v>687.39506538481703</v>
      </c>
      <c r="C4944" s="2">
        <v>6.1607333333333303</v>
      </c>
      <c r="D4944" s="2" t="s">
        <v>70</v>
      </c>
      <c r="E4944" s="2" t="s">
        <v>32803</v>
      </c>
      <c r="F4944" s="2">
        <v>266671</v>
      </c>
      <c r="G4944" s="3" t="str">
        <f>HYPERLINK("http://funmeta.oebiotech.com/network/266671", "http://funmeta.oebiotech.com/network/266671")</f>
        <v>http://funmeta.oebiotech.com/network/266671</v>
      </c>
      <c r="H4944" s="2"/>
      <c r="I4944" s="2">
        <v>43754</v>
      </c>
      <c r="J4944" s="2"/>
      <c r="K4944" s="2"/>
      <c r="L4944" s="2"/>
      <c r="M4944" s="2"/>
      <c r="N4944" s="2"/>
      <c r="O4944" s="2">
        <v>6708642</v>
      </c>
      <c r="P4944" s="2"/>
      <c r="Q4944" s="2" t="s">
        <v>32804</v>
      </c>
      <c r="R4944" s="2" t="s">
        <v>32805</v>
      </c>
      <c r="S4944" s="2" t="s">
        <v>50</v>
      </c>
      <c r="T4944" s="2" t="s">
        <v>201</v>
      </c>
      <c r="U4944" s="2" t="s">
        <v>1217</v>
      </c>
      <c r="V4944" s="2" t="s">
        <v>59</v>
      </c>
      <c r="W4944" s="2">
        <v>37.799999999999997</v>
      </c>
      <c r="X4944" s="2">
        <v>0</v>
      </c>
      <c r="Y4944" s="2" t="s">
        <v>560</v>
      </c>
      <c r="Z4944" s="2" t="s">
        <v>7072</v>
      </c>
      <c r="AA4944" s="2">
        <v>7.0062199317967897</v>
      </c>
      <c r="AB4944" s="2">
        <v>0.11484433374057799</v>
      </c>
      <c r="AC4944" s="2">
        <v>8148.7699798263202</v>
      </c>
      <c r="AD4944" s="2">
        <v>6330.46735274613</v>
      </c>
      <c r="AE4944" s="2">
        <v>7379.49119631548</v>
      </c>
      <c r="AF4944" s="2">
        <v>6879.9063006346396</v>
      </c>
      <c r="AG4944" s="2">
        <v>10367.134710279301</v>
      </c>
      <c r="AH4944" s="2">
        <v>7127.5084639995202</v>
      </c>
      <c r="AI4944" s="2">
        <v>6070.9299070673596</v>
      </c>
      <c r="AJ4944" s="2">
        <v>11067.6493006616</v>
      </c>
      <c r="AK4944" s="2">
        <v>9397.8573928199894</v>
      </c>
      <c r="AL4944" s="2">
        <v>5682.3316070012197</v>
      </c>
      <c r="AM4944" s="2">
        <v>4507.5921538278299</v>
      </c>
      <c r="AN4944" s="2">
        <v>6999.5364959478602</v>
      </c>
      <c r="AO4944" s="2">
        <v>5780.8618760409199</v>
      </c>
      <c r="AP4944" s="2">
        <v>5614.6245908389901</v>
      </c>
    </row>
    <row r="4945" spans="1:42" ht="14.5" x14ac:dyDescent="0.35">
      <c r="A4945" s="2" t="s">
        <v>32806</v>
      </c>
      <c r="B4945" s="2">
        <v>529.25440764393795</v>
      </c>
      <c r="C4945" s="2">
        <v>10.189349999999999</v>
      </c>
      <c r="D4945" s="2" t="s">
        <v>34</v>
      </c>
      <c r="E4945" s="2" t="s">
        <v>32807</v>
      </c>
      <c r="F4945" s="2">
        <v>23682</v>
      </c>
      <c r="G4945" s="3" t="str">
        <f>HYPERLINK("http://funmeta.oebiotech.com/network/23682", "http://funmeta.oebiotech.com/network/23682")</f>
        <v>http://funmeta.oebiotech.com/network/23682</v>
      </c>
      <c r="H4945" s="2"/>
      <c r="I4945" s="2">
        <v>80008</v>
      </c>
      <c r="J4945" s="2" t="s">
        <v>32808</v>
      </c>
      <c r="K4945" s="2"/>
      <c r="L4945" s="2"/>
      <c r="M4945" s="2"/>
      <c r="N4945" s="2"/>
      <c r="O4945" s="2">
        <v>52927443</v>
      </c>
      <c r="P4945" s="2"/>
      <c r="Q4945" s="2" t="s">
        <v>32809</v>
      </c>
      <c r="R4945" s="2" t="s">
        <v>32810</v>
      </c>
      <c r="S4945" s="2" t="s">
        <v>50</v>
      </c>
      <c r="T4945" s="2" t="s">
        <v>51</v>
      </c>
      <c r="U4945" s="2" t="s">
        <v>738</v>
      </c>
      <c r="V4945" s="2" t="s">
        <v>59</v>
      </c>
      <c r="W4945" s="2">
        <v>37.9</v>
      </c>
      <c r="X4945" s="2">
        <v>0</v>
      </c>
      <c r="Y4945" s="2" t="s">
        <v>67</v>
      </c>
      <c r="Z4945" s="2" t="s">
        <v>32811</v>
      </c>
      <c r="AA4945" s="2">
        <v>1.41700421625343</v>
      </c>
      <c r="AB4945" s="2">
        <v>0.114835032867579</v>
      </c>
      <c r="AC4945" s="2">
        <v>8012.9752859158698</v>
      </c>
      <c r="AD4945" s="2">
        <v>9373.3093544287203</v>
      </c>
      <c r="AE4945" s="2">
        <v>9617.4491656058399</v>
      </c>
      <c r="AF4945" s="2">
        <v>8548.9399679338403</v>
      </c>
      <c r="AG4945" s="2">
        <v>8115.5774711004196</v>
      </c>
      <c r="AH4945" s="2">
        <v>6728.8885657624996</v>
      </c>
      <c r="AI4945" s="2">
        <v>7315.3122342909401</v>
      </c>
      <c r="AJ4945" s="2">
        <v>7751.6843108017001</v>
      </c>
      <c r="AK4945" s="2">
        <v>9328.4584804914593</v>
      </c>
      <c r="AL4945" s="2">
        <v>10536.586156574</v>
      </c>
      <c r="AM4945" s="2">
        <v>8511.1349769979097</v>
      </c>
      <c r="AN4945" s="2">
        <v>9477.9187914978393</v>
      </c>
      <c r="AO4945" s="2">
        <v>8713.4523342094799</v>
      </c>
      <c r="AP4945" s="2">
        <v>9672.3053868016395</v>
      </c>
    </row>
    <row r="4946" spans="1:42" ht="14.5" x14ac:dyDescent="0.35">
      <c r="A4946" s="2" t="s">
        <v>32812</v>
      </c>
      <c r="B4946" s="2">
        <v>604.33722495764505</v>
      </c>
      <c r="C4946" s="2">
        <v>8.8958999999999993</v>
      </c>
      <c r="D4946" s="2" t="s">
        <v>34</v>
      </c>
      <c r="E4946" s="2" t="s">
        <v>32813</v>
      </c>
      <c r="F4946" s="2">
        <v>18161</v>
      </c>
      <c r="G4946" s="3" t="str">
        <f>HYPERLINK("http://funmeta.oebiotech.com/network/18161", "http://funmeta.oebiotech.com/network/18161")</f>
        <v>http://funmeta.oebiotech.com/network/18161</v>
      </c>
      <c r="H4946" s="2"/>
      <c r="I4946" s="2">
        <v>39122</v>
      </c>
      <c r="J4946" s="2" t="s">
        <v>32814</v>
      </c>
      <c r="K4946" s="2">
        <v>78226</v>
      </c>
      <c r="L4946" s="2"/>
      <c r="M4946" s="2"/>
      <c r="N4946" s="2"/>
      <c r="O4946" s="2">
        <v>16219892</v>
      </c>
      <c r="P4946" s="2"/>
      <c r="Q4946" s="2" t="s">
        <v>32815</v>
      </c>
      <c r="R4946" s="2" t="s">
        <v>32816</v>
      </c>
      <c r="S4946" s="2" t="s">
        <v>50</v>
      </c>
      <c r="T4946" s="2" t="s">
        <v>51</v>
      </c>
      <c r="U4946" s="2" t="s">
        <v>168</v>
      </c>
      <c r="V4946" s="2" t="s">
        <v>59</v>
      </c>
      <c r="W4946" s="2">
        <v>37.799999999999997</v>
      </c>
      <c r="X4946" s="2">
        <v>0</v>
      </c>
      <c r="Y4946" s="2" t="s">
        <v>340</v>
      </c>
      <c r="Z4946" s="2" t="s">
        <v>32817</v>
      </c>
      <c r="AA4946" s="2">
        <v>-0.50852952999842604</v>
      </c>
      <c r="AB4946" s="2">
        <v>0.114754623748772</v>
      </c>
      <c r="AC4946" s="2">
        <v>2166.1160882417798</v>
      </c>
      <c r="AD4946" s="2">
        <v>3455.6886903304298</v>
      </c>
      <c r="AE4946" s="2">
        <v>2412.8563627498102</v>
      </c>
      <c r="AF4946" s="2">
        <v>1732.7323623049999</v>
      </c>
      <c r="AG4946" s="2">
        <v>1675.6363086014601</v>
      </c>
      <c r="AH4946" s="2">
        <v>1451.8142136070401</v>
      </c>
      <c r="AI4946" s="2">
        <v>2506.1687648664602</v>
      </c>
      <c r="AJ4946" s="2">
        <v>3217.48851732091</v>
      </c>
      <c r="AK4946" s="2">
        <v>3231.7017498370701</v>
      </c>
      <c r="AL4946" s="2">
        <v>3215.5157876493299</v>
      </c>
      <c r="AM4946" s="2">
        <v>2604.1203270148098</v>
      </c>
      <c r="AN4946" s="2">
        <v>2671.3967226052901</v>
      </c>
      <c r="AO4946" s="2">
        <v>4898.3635005467704</v>
      </c>
      <c r="AP4946" s="2">
        <v>4113.0340543293396</v>
      </c>
    </row>
    <row r="4947" spans="1:42" ht="14.5" x14ac:dyDescent="0.35">
      <c r="A4947" s="2" t="s">
        <v>32818</v>
      </c>
      <c r="B4947" s="2">
        <v>128.14332920429399</v>
      </c>
      <c r="C4947" s="2">
        <v>2.8666833333333299</v>
      </c>
      <c r="D4947" s="2" t="s">
        <v>34</v>
      </c>
      <c r="E4947" s="2" t="s">
        <v>32819</v>
      </c>
      <c r="F4947" s="2">
        <v>55107</v>
      </c>
      <c r="G4947" s="3" t="str">
        <f>HYPERLINK("http://funmeta.oebiotech.com/network/55107", "http://funmeta.oebiotech.com/network/55107")</f>
        <v>http://funmeta.oebiotech.com/network/55107</v>
      </c>
      <c r="H4947" s="2" t="s">
        <v>32820</v>
      </c>
      <c r="I4947" s="2">
        <v>3249</v>
      </c>
      <c r="J4947" s="2"/>
      <c r="K4947" s="2">
        <v>127791</v>
      </c>
      <c r="L4947" s="2" t="s">
        <v>32821</v>
      </c>
      <c r="M4947" s="2"/>
      <c r="N4947" s="2"/>
      <c r="O4947" s="2">
        <v>9985</v>
      </c>
      <c r="P4947" s="2" t="s">
        <v>32822</v>
      </c>
      <c r="Q4947" s="2" t="s">
        <v>32823</v>
      </c>
      <c r="R4947" s="2" t="s">
        <v>32824</v>
      </c>
      <c r="S4947" s="2" t="s">
        <v>39</v>
      </c>
      <c r="T4947" s="2" t="s">
        <v>41</v>
      </c>
      <c r="U4947" s="2" t="s">
        <v>41</v>
      </c>
      <c r="V4947" s="2" t="s">
        <v>59</v>
      </c>
      <c r="W4947" s="2">
        <v>42.7</v>
      </c>
      <c r="X4947" s="2">
        <v>17.3</v>
      </c>
      <c r="Y4947" s="2" t="s">
        <v>394</v>
      </c>
      <c r="Z4947" s="2" t="s">
        <v>32825</v>
      </c>
      <c r="AA4947" s="2">
        <v>-0.36793402215341903</v>
      </c>
      <c r="AB4947" s="2">
        <v>0.11473390529153001</v>
      </c>
      <c r="AC4947" s="2">
        <v>7270.0256376226998</v>
      </c>
      <c r="AD4947" s="2">
        <v>9495.6501397643096</v>
      </c>
      <c r="AE4947" s="2">
        <v>7798.1683910947004</v>
      </c>
      <c r="AF4947" s="2">
        <v>10439.554770945801</v>
      </c>
      <c r="AG4947" s="2">
        <v>9804.3386666928309</v>
      </c>
      <c r="AH4947" s="2">
        <v>4928.4789513900596</v>
      </c>
      <c r="AI4947" s="2">
        <v>3396.3434760079099</v>
      </c>
      <c r="AJ4947" s="2">
        <v>7253.2695696048704</v>
      </c>
      <c r="AK4947" s="2">
        <v>7917.5568054550204</v>
      </c>
      <c r="AL4947" s="2">
        <v>14574.125429695699</v>
      </c>
      <c r="AM4947" s="2">
        <v>10520.115577385301</v>
      </c>
      <c r="AN4947" s="2">
        <v>7588.10551372804</v>
      </c>
      <c r="AO4947" s="2">
        <v>9207.6720968912105</v>
      </c>
      <c r="AP4947" s="2">
        <v>7166.3254154305896</v>
      </c>
    </row>
    <row r="4948" spans="1:42" ht="14.5" x14ac:dyDescent="0.35">
      <c r="A4948" s="2" t="s">
        <v>32826</v>
      </c>
      <c r="B4948" s="2">
        <v>405.28547771905698</v>
      </c>
      <c r="C4948" s="2">
        <v>5.6725000000000003</v>
      </c>
      <c r="D4948" s="2" t="s">
        <v>70</v>
      </c>
      <c r="E4948" s="2" t="s">
        <v>32827</v>
      </c>
      <c r="F4948" s="2">
        <v>200102</v>
      </c>
      <c r="G4948" s="3" t="str">
        <f>HYPERLINK("http://funmeta.oebiotech.com/network/200102", "http://funmeta.oebiotech.com/network/200102")</f>
        <v>http://funmeta.oebiotech.com/network/200102</v>
      </c>
      <c r="H4948" s="2" t="s">
        <v>32828</v>
      </c>
      <c r="I4948" s="2">
        <v>427264</v>
      </c>
      <c r="J4948" s="2"/>
      <c r="K4948" s="2"/>
      <c r="L4948" s="2"/>
      <c r="M4948" s="2"/>
      <c r="N4948" s="2"/>
      <c r="O4948" s="2">
        <v>132460</v>
      </c>
      <c r="P4948" s="2"/>
      <c r="Q4948" s="2" t="s">
        <v>32829</v>
      </c>
      <c r="R4948" s="2" t="s">
        <v>32830</v>
      </c>
      <c r="S4948" s="2" t="s">
        <v>41</v>
      </c>
      <c r="T4948" s="2" t="s">
        <v>41</v>
      </c>
      <c r="U4948" s="2" t="s">
        <v>41</v>
      </c>
      <c r="V4948" s="2" t="s">
        <v>59</v>
      </c>
      <c r="W4948" s="2">
        <v>37.1</v>
      </c>
      <c r="X4948" s="2">
        <v>0</v>
      </c>
      <c r="Y4948" s="2" t="s">
        <v>560</v>
      </c>
      <c r="Z4948" s="2" t="s">
        <v>32831</v>
      </c>
      <c r="AA4948" s="2">
        <v>3.7332218318020698</v>
      </c>
      <c r="AB4948" s="2">
        <v>0.11472336536267699</v>
      </c>
      <c r="AC4948" s="2">
        <v>2600.3174025184198</v>
      </c>
      <c r="AD4948" s="2">
        <v>3568.6785982240299</v>
      </c>
      <c r="AE4948" s="2">
        <v>2409.3689051638398</v>
      </c>
      <c r="AF4948" s="2">
        <v>2244.6217856762501</v>
      </c>
      <c r="AG4948" s="2">
        <v>2523.4248899305398</v>
      </c>
      <c r="AH4948" s="2">
        <v>2593.9096598856599</v>
      </c>
      <c r="AI4948" s="2">
        <v>3068.6661011759402</v>
      </c>
      <c r="AJ4948" s="2">
        <v>2761.9130732783101</v>
      </c>
      <c r="AK4948" s="2">
        <v>3256.85243648196</v>
      </c>
      <c r="AL4948" s="2">
        <v>3549.7093000271602</v>
      </c>
      <c r="AM4948" s="2">
        <v>3664.47571983751</v>
      </c>
      <c r="AN4948" s="2">
        <v>4053.2342185959301</v>
      </c>
      <c r="AO4948" s="2">
        <v>3534.9911679554398</v>
      </c>
      <c r="AP4948" s="2">
        <v>3352.8087464462101</v>
      </c>
    </row>
    <row r="4949" spans="1:42" ht="14.5" x14ac:dyDescent="0.35">
      <c r="A4949" s="2" t="s">
        <v>32832</v>
      </c>
      <c r="B4949" s="2">
        <v>186.22148970078001</v>
      </c>
      <c r="C4949" s="2">
        <v>8.3800833333333298</v>
      </c>
      <c r="D4949" s="2" t="s">
        <v>34</v>
      </c>
      <c r="E4949" s="2" t="s">
        <v>32833</v>
      </c>
      <c r="F4949" s="2">
        <v>9424</v>
      </c>
      <c r="G4949" s="3" t="str">
        <f>HYPERLINK("http://funmeta.oebiotech.com/network/9424", "http://funmeta.oebiotech.com/network/9424")</f>
        <v>http://funmeta.oebiotech.com/network/9424</v>
      </c>
      <c r="H4949" s="2" t="s">
        <v>32834</v>
      </c>
      <c r="I4949" s="2">
        <v>97722</v>
      </c>
      <c r="J4949" s="2" t="s">
        <v>32835</v>
      </c>
      <c r="K4949" s="2"/>
      <c r="L4949" s="2"/>
      <c r="M4949" s="2"/>
      <c r="N4949" s="2"/>
      <c r="O4949" s="2">
        <v>8183</v>
      </c>
      <c r="P4949" s="2"/>
      <c r="Q4949" s="2" t="s">
        <v>32836</v>
      </c>
      <c r="R4949" s="2" t="s">
        <v>32837</v>
      </c>
      <c r="S4949" s="2" t="s">
        <v>3194</v>
      </c>
      <c r="T4949" s="2" t="s">
        <v>3195</v>
      </c>
      <c r="U4949" s="2" t="s">
        <v>3196</v>
      </c>
      <c r="V4949" s="2" t="s">
        <v>59</v>
      </c>
      <c r="W4949" s="2">
        <v>40.799999999999997</v>
      </c>
      <c r="X4949" s="2">
        <v>7.54</v>
      </c>
      <c r="Y4949" s="2" t="s">
        <v>43</v>
      </c>
      <c r="Z4949" s="2" t="s">
        <v>32838</v>
      </c>
      <c r="AA4949" s="2">
        <v>-0.81218078761685297</v>
      </c>
      <c r="AB4949" s="2">
        <v>0.114713363200713</v>
      </c>
      <c r="AC4949" s="2">
        <v>12108.491224742</v>
      </c>
      <c r="AD4949" s="2">
        <v>13613.615820979199</v>
      </c>
      <c r="AE4949" s="2">
        <v>12763.0853731601</v>
      </c>
      <c r="AF4949" s="2">
        <v>9880.5747625139193</v>
      </c>
      <c r="AG4949" s="2">
        <v>13054.206684337199</v>
      </c>
      <c r="AH4949" s="2">
        <v>10744.690638972001</v>
      </c>
      <c r="AI4949" s="2">
        <v>12658.2808750245</v>
      </c>
      <c r="AJ4949" s="2">
        <v>13550.109014444401</v>
      </c>
      <c r="AK4949" s="2">
        <v>13516.780171758301</v>
      </c>
      <c r="AL4949" s="2">
        <v>15146.550863667</v>
      </c>
      <c r="AM4949" s="2">
        <v>13162.051419126699</v>
      </c>
      <c r="AN4949" s="2">
        <v>12796.5477359623</v>
      </c>
      <c r="AO4949" s="2">
        <v>13562.919730490299</v>
      </c>
      <c r="AP4949" s="2">
        <v>13496.8450048706</v>
      </c>
    </row>
    <row r="4950" spans="1:42" ht="14.5" x14ac:dyDescent="0.35">
      <c r="A4950" s="2" t="s">
        <v>32839</v>
      </c>
      <c r="B4950" s="2">
        <v>297.13240125105801</v>
      </c>
      <c r="C4950" s="2">
        <v>4.2619999999999996</v>
      </c>
      <c r="D4950" s="2" t="s">
        <v>34</v>
      </c>
      <c r="E4950" s="2" t="s">
        <v>32840</v>
      </c>
      <c r="F4950" s="2">
        <v>201680</v>
      </c>
      <c r="G4950" s="3" t="str">
        <f>HYPERLINK("http://funmeta.oebiotech.com/network/201680", "http://funmeta.oebiotech.com/network/201680")</f>
        <v>http://funmeta.oebiotech.com/network/201680</v>
      </c>
      <c r="H4950" s="2" t="s">
        <v>32841</v>
      </c>
      <c r="I4950" s="2"/>
      <c r="J4950" s="2"/>
      <c r="K4950" s="2"/>
      <c r="L4950" s="2"/>
      <c r="M4950" s="2"/>
      <c r="N4950" s="2"/>
      <c r="O4950" s="2">
        <v>173886</v>
      </c>
      <c r="P4950" s="2"/>
      <c r="Q4950" s="2" t="s">
        <v>32842</v>
      </c>
      <c r="R4950" s="2" t="s">
        <v>32843</v>
      </c>
      <c r="S4950" s="2" t="s">
        <v>41</v>
      </c>
      <c r="T4950" s="2" t="s">
        <v>41</v>
      </c>
      <c r="U4950" s="2" t="s">
        <v>41</v>
      </c>
      <c r="V4950" s="2" t="s">
        <v>59</v>
      </c>
      <c r="W4950" s="2">
        <v>38.4</v>
      </c>
      <c r="X4950" s="2">
        <v>0</v>
      </c>
      <c r="Y4950" s="2" t="s">
        <v>323</v>
      </c>
      <c r="Z4950" s="2" t="s">
        <v>32844</v>
      </c>
      <c r="AA4950" s="2">
        <v>0.746820075436052</v>
      </c>
      <c r="AB4950" s="2">
        <v>0.114581087858645</v>
      </c>
      <c r="AC4950" s="2">
        <v>4728.9655061765097</v>
      </c>
      <c r="AD4950" s="2">
        <v>6085.0821473310498</v>
      </c>
      <c r="AE4950" s="2">
        <v>4020.5091264869302</v>
      </c>
      <c r="AF4950" s="2">
        <v>5020.1184017180503</v>
      </c>
      <c r="AG4950" s="2">
        <v>3753.32978889796</v>
      </c>
      <c r="AH4950" s="2">
        <v>3909.1389635226901</v>
      </c>
      <c r="AI4950" s="2">
        <v>5044.6210252322098</v>
      </c>
      <c r="AJ4950" s="2">
        <v>6626.0757312012202</v>
      </c>
      <c r="AK4950" s="2">
        <v>7083.4014390152097</v>
      </c>
      <c r="AL4950" s="2">
        <v>5436.2227401746204</v>
      </c>
      <c r="AM4950" s="2">
        <v>5684.0836567347296</v>
      </c>
      <c r="AN4950" s="2">
        <v>5796.6925312094199</v>
      </c>
      <c r="AO4950" s="2">
        <v>6839.6460441776799</v>
      </c>
      <c r="AP4950" s="2">
        <v>5670.4464726746201</v>
      </c>
    </row>
    <row r="4951" spans="1:42" ht="14.5" x14ac:dyDescent="0.35">
      <c r="A4951" s="2" t="s">
        <v>32845</v>
      </c>
      <c r="B4951" s="2">
        <v>329.074653145681</v>
      </c>
      <c r="C4951" s="2">
        <v>2.1824499999999998</v>
      </c>
      <c r="D4951" s="2" t="s">
        <v>34</v>
      </c>
      <c r="E4951" s="2" t="s">
        <v>32846</v>
      </c>
      <c r="F4951" s="2">
        <v>51958</v>
      </c>
      <c r="G4951" s="3" t="str">
        <f>HYPERLINK("http://funmeta.oebiotech.com/network/51958", "http://funmeta.oebiotech.com/network/51958")</f>
        <v>http://funmeta.oebiotech.com/network/51958</v>
      </c>
      <c r="H4951" s="2" t="s">
        <v>32847</v>
      </c>
      <c r="I4951" s="2"/>
      <c r="J4951" s="2"/>
      <c r="K4951" s="2">
        <v>165894</v>
      </c>
      <c r="L4951" s="2" t="s">
        <v>32848</v>
      </c>
      <c r="M4951" s="2" t="s">
        <v>32849</v>
      </c>
      <c r="N4951" s="2" t="s">
        <v>32850</v>
      </c>
      <c r="O4951" s="2">
        <v>25202447</v>
      </c>
      <c r="P4951" s="2" t="s">
        <v>32851</v>
      </c>
      <c r="Q4951" s="2" t="s">
        <v>32852</v>
      </c>
      <c r="R4951" s="2" t="s">
        <v>32853</v>
      </c>
      <c r="S4951" s="2" t="s">
        <v>89</v>
      </c>
      <c r="T4951" s="2" t="s">
        <v>90</v>
      </c>
      <c r="U4951" s="2" t="s">
        <v>99</v>
      </c>
      <c r="V4951" s="2" t="s">
        <v>59</v>
      </c>
      <c r="W4951" s="2">
        <v>39.1</v>
      </c>
      <c r="X4951" s="2">
        <v>0</v>
      </c>
      <c r="Y4951" s="2" t="s">
        <v>340</v>
      </c>
      <c r="Z4951" s="2" t="s">
        <v>32854</v>
      </c>
      <c r="AA4951" s="2">
        <v>0.32450258887119499</v>
      </c>
      <c r="AB4951" s="2">
        <v>0.114538215042221</v>
      </c>
      <c r="AC4951" s="2">
        <v>4327.0374369234396</v>
      </c>
      <c r="AD4951" s="2">
        <v>3374.58796852771</v>
      </c>
      <c r="AE4951" s="2">
        <v>4910.5871901090604</v>
      </c>
      <c r="AF4951" s="2">
        <v>4160.46092911507</v>
      </c>
      <c r="AG4951" s="2">
        <v>4215.2957774617998</v>
      </c>
      <c r="AH4951" s="2">
        <v>3945.5375204931001</v>
      </c>
      <c r="AI4951" s="2">
        <v>4298.4898918302497</v>
      </c>
      <c r="AJ4951" s="2">
        <v>4431.8533125313597</v>
      </c>
      <c r="AK4951" s="2">
        <v>3309.4850364179601</v>
      </c>
      <c r="AL4951" s="2">
        <v>3274.1387191716299</v>
      </c>
      <c r="AM4951" s="2">
        <v>3333.3187840425699</v>
      </c>
      <c r="AN4951" s="2">
        <v>3565.7316223266698</v>
      </c>
      <c r="AO4951" s="2">
        <v>3470.0120412216502</v>
      </c>
      <c r="AP4951" s="2">
        <v>3294.8416079857798</v>
      </c>
    </row>
    <row r="4952" spans="1:42" ht="14.5" x14ac:dyDescent="0.35">
      <c r="A4952" s="2" t="s">
        <v>32855</v>
      </c>
      <c r="B4952" s="2">
        <v>687.26470943406298</v>
      </c>
      <c r="C4952" s="2">
        <v>7.4894166666666697</v>
      </c>
      <c r="D4952" s="2" t="s">
        <v>70</v>
      </c>
      <c r="E4952" s="2" t="s">
        <v>32856</v>
      </c>
      <c r="F4952" s="2">
        <v>54128</v>
      </c>
      <c r="G4952" s="3" t="str">
        <f>HYPERLINK("http://funmeta.oebiotech.com/network/54128", "http://funmeta.oebiotech.com/network/54128")</f>
        <v>http://funmeta.oebiotech.com/network/54128</v>
      </c>
      <c r="H4952" s="2" t="s">
        <v>32857</v>
      </c>
      <c r="I4952" s="2"/>
      <c r="J4952" s="2"/>
      <c r="K4952" s="2">
        <v>60987</v>
      </c>
      <c r="L4952" s="2"/>
      <c r="M4952" s="2"/>
      <c r="N4952" s="2"/>
      <c r="O4952" s="2"/>
      <c r="P4952" s="2"/>
      <c r="Q4952" s="2" t="s">
        <v>32858</v>
      </c>
      <c r="R4952" s="2" t="s">
        <v>32859</v>
      </c>
      <c r="S4952" s="2" t="s">
        <v>89</v>
      </c>
      <c r="T4952" s="2" t="s">
        <v>90</v>
      </c>
      <c r="U4952" s="2" t="s">
        <v>99</v>
      </c>
      <c r="V4952" s="2" t="s">
        <v>59</v>
      </c>
      <c r="W4952" s="2">
        <v>38.200000000000003</v>
      </c>
      <c r="X4952" s="2">
        <v>0</v>
      </c>
      <c r="Y4952" s="2" t="s">
        <v>560</v>
      </c>
      <c r="Z4952" s="2" t="s">
        <v>32860</v>
      </c>
      <c r="AA4952" s="2">
        <v>-3.5707145028935798</v>
      </c>
      <c r="AB4952" s="2">
        <v>0.114201729275182</v>
      </c>
      <c r="AC4952" s="2">
        <v>3000.92913425391</v>
      </c>
      <c r="AD4952" s="2">
        <v>4191.38608866908</v>
      </c>
      <c r="AE4952" s="2">
        <v>3863.64092637557</v>
      </c>
      <c r="AF4952" s="2">
        <v>3010.3201565436598</v>
      </c>
      <c r="AG4952" s="2">
        <v>3386.1665877633</v>
      </c>
      <c r="AH4952" s="2">
        <v>2977.02563689109</v>
      </c>
      <c r="AI4952" s="2">
        <v>1914.5070211171601</v>
      </c>
      <c r="AJ4952" s="2">
        <v>2853.9144768326801</v>
      </c>
      <c r="AK4952" s="2">
        <v>4917.8081355751601</v>
      </c>
      <c r="AL4952" s="2">
        <v>3376.78008882413</v>
      </c>
      <c r="AM4952" s="2">
        <v>4135.3112845294399</v>
      </c>
      <c r="AN4952" s="2">
        <v>4796.4837161146797</v>
      </c>
      <c r="AO4952" s="2">
        <v>4129.6975214434297</v>
      </c>
      <c r="AP4952" s="2">
        <v>3792.23578552766</v>
      </c>
    </row>
    <row r="4953" spans="1:42" ht="14.5" x14ac:dyDescent="0.35">
      <c r="A4953" s="2" t="s">
        <v>32861</v>
      </c>
      <c r="B4953" s="2">
        <v>611.285695737889</v>
      </c>
      <c r="C4953" s="2">
        <v>10.6308166666667</v>
      </c>
      <c r="D4953" s="2" t="s">
        <v>70</v>
      </c>
      <c r="E4953" s="2" t="s">
        <v>32862</v>
      </c>
      <c r="F4953" s="2">
        <v>28054</v>
      </c>
      <c r="G4953" s="3" t="str">
        <f>HYPERLINK("http://funmeta.oebiotech.com/network/28054", "http://funmeta.oebiotech.com/network/28054")</f>
        <v>http://funmeta.oebiotech.com/network/28054</v>
      </c>
      <c r="H4953" s="2"/>
      <c r="I4953" s="2"/>
      <c r="J4953" s="2" t="s">
        <v>32863</v>
      </c>
      <c r="K4953" s="2"/>
      <c r="L4953" s="2"/>
      <c r="M4953" s="2"/>
      <c r="N4953" s="2"/>
      <c r="O4953" s="2">
        <v>134812500</v>
      </c>
      <c r="P4953" s="2"/>
      <c r="Q4953" s="2" t="s">
        <v>32864</v>
      </c>
      <c r="R4953" s="2" t="s">
        <v>32865</v>
      </c>
      <c r="S4953" s="2" t="s">
        <v>50</v>
      </c>
      <c r="T4953" s="2" t="s">
        <v>51</v>
      </c>
      <c r="U4953" s="2" t="s">
        <v>273</v>
      </c>
      <c r="V4953" s="2" t="s">
        <v>59</v>
      </c>
      <c r="W4953" s="2">
        <v>38</v>
      </c>
      <c r="X4953" s="2">
        <v>0</v>
      </c>
      <c r="Y4953" s="2" t="s">
        <v>408</v>
      </c>
      <c r="Z4953" s="2" t="s">
        <v>32866</v>
      </c>
      <c r="AA4953" s="2">
        <v>3.3444527686591301</v>
      </c>
      <c r="AB4953" s="2">
        <v>0.114172782047278</v>
      </c>
      <c r="AC4953" s="2">
        <v>7959.30114721478</v>
      </c>
      <c r="AD4953" s="2">
        <v>9457.1088625871107</v>
      </c>
      <c r="AE4953" s="2">
        <v>7098.9546229871803</v>
      </c>
      <c r="AF4953" s="2">
        <v>7047.8723033753604</v>
      </c>
      <c r="AG4953" s="2">
        <v>8603.7081874056894</v>
      </c>
      <c r="AH4953" s="2">
        <v>7341.8475941795195</v>
      </c>
      <c r="AI4953" s="2">
        <v>8108.2224030241296</v>
      </c>
      <c r="AJ4953" s="2">
        <v>9555.2017723168301</v>
      </c>
      <c r="AK4953" s="2">
        <v>8424.3068130445099</v>
      </c>
      <c r="AL4953" s="2">
        <v>9547.2651955252604</v>
      </c>
      <c r="AM4953" s="2">
        <v>8253.5481293023004</v>
      </c>
      <c r="AN4953" s="2">
        <v>11857.466336822699</v>
      </c>
      <c r="AO4953" s="2">
        <v>10061.934107792</v>
      </c>
      <c r="AP4953" s="2">
        <v>8598.1325930358907</v>
      </c>
    </row>
    <row r="4954" spans="1:42" ht="14.5" x14ac:dyDescent="0.35">
      <c r="A4954" s="2" t="s">
        <v>32867</v>
      </c>
      <c r="B4954" s="2">
        <v>346.33130964923703</v>
      </c>
      <c r="C4954" s="2">
        <v>10.189349999999999</v>
      </c>
      <c r="D4954" s="2" t="s">
        <v>34</v>
      </c>
      <c r="E4954" s="2" t="s">
        <v>32868</v>
      </c>
      <c r="F4954" s="2">
        <v>1702</v>
      </c>
      <c r="G4954" s="3" t="str">
        <f>HYPERLINK("http://funmeta.oebiotech.com/network/1702", "http://funmeta.oebiotech.com/network/1702")</f>
        <v>http://funmeta.oebiotech.com/network/1702</v>
      </c>
      <c r="H4954" s="2"/>
      <c r="I4954" s="2">
        <v>74505</v>
      </c>
      <c r="J4954" s="2" t="s">
        <v>32869</v>
      </c>
      <c r="K4954" s="2">
        <v>79190</v>
      </c>
      <c r="L4954" s="2"/>
      <c r="M4954" s="2"/>
      <c r="N4954" s="2"/>
      <c r="O4954" s="2">
        <v>5282919</v>
      </c>
      <c r="P4954" s="2"/>
      <c r="Q4954" s="2" t="s">
        <v>32870</v>
      </c>
      <c r="R4954" s="2" t="s">
        <v>32871</v>
      </c>
      <c r="S4954" s="2" t="s">
        <v>50</v>
      </c>
      <c r="T4954" s="2" t="s">
        <v>229</v>
      </c>
      <c r="U4954" s="2" t="s">
        <v>433</v>
      </c>
      <c r="V4954" s="2" t="s">
        <v>42</v>
      </c>
      <c r="W4954" s="2">
        <v>49</v>
      </c>
      <c r="X4954" s="2">
        <v>50.9</v>
      </c>
      <c r="Y4954" s="2" t="s">
        <v>43</v>
      </c>
      <c r="Z4954" s="2" t="s">
        <v>32872</v>
      </c>
      <c r="AA4954" s="2">
        <v>-0.79507778228781001</v>
      </c>
      <c r="AB4954" s="2">
        <v>0.11415026389210101</v>
      </c>
      <c r="AC4954" s="2">
        <v>2155.37292580335</v>
      </c>
      <c r="AD4954" s="2">
        <v>3288.7947963577299</v>
      </c>
      <c r="AE4954" s="2">
        <v>2296.7901296357099</v>
      </c>
      <c r="AF4954" s="2">
        <v>1815.2628440927699</v>
      </c>
      <c r="AG4954" s="2">
        <v>2118.1316751408999</v>
      </c>
      <c r="AH4954" s="2">
        <v>1385.63363533695</v>
      </c>
      <c r="AI4954" s="2">
        <v>2864.9446319946001</v>
      </c>
      <c r="AJ4954" s="2">
        <v>2451.47463861917</v>
      </c>
      <c r="AK4954" s="2">
        <v>2721.0849493458099</v>
      </c>
      <c r="AL4954" s="2">
        <v>3579.3222648225001</v>
      </c>
      <c r="AM4954" s="2">
        <v>2399.9249754309699</v>
      </c>
      <c r="AN4954" s="2">
        <v>3791.5223166615201</v>
      </c>
      <c r="AO4954" s="2">
        <v>3491.2616705311598</v>
      </c>
      <c r="AP4954" s="2">
        <v>3749.6526013544499</v>
      </c>
    </row>
    <row r="4955" spans="1:42" ht="14.5" x14ac:dyDescent="0.35">
      <c r="A4955" s="2" t="s">
        <v>32873</v>
      </c>
      <c r="B4955" s="2">
        <v>796.48262548332002</v>
      </c>
      <c r="C4955" s="2">
        <v>10.5652666666667</v>
      </c>
      <c r="D4955" s="2" t="s">
        <v>34</v>
      </c>
      <c r="E4955" s="2" t="s">
        <v>32874</v>
      </c>
      <c r="F4955" s="2">
        <v>64128</v>
      </c>
      <c r="G4955" s="3" t="str">
        <f>HYPERLINK("http://funmeta.oebiotech.com/network/64128", "http://funmeta.oebiotech.com/network/64128")</f>
        <v>http://funmeta.oebiotech.com/network/64128</v>
      </c>
      <c r="H4955" s="2" t="s">
        <v>32875</v>
      </c>
      <c r="I4955" s="2">
        <v>95451</v>
      </c>
      <c r="J4955" s="2"/>
      <c r="K4955" s="2"/>
      <c r="L4955" s="2"/>
      <c r="M4955" s="2"/>
      <c r="N4955" s="2"/>
      <c r="O4955" s="2">
        <v>14162560</v>
      </c>
      <c r="P4955" s="2" t="s">
        <v>32876</v>
      </c>
      <c r="Q4955" s="2" t="s">
        <v>32877</v>
      </c>
      <c r="R4955" s="2" t="s">
        <v>32878</v>
      </c>
      <c r="S4955" s="2" t="s">
        <v>50</v>
      </c>
      <c r="T4955" s="2" t="s">
        <v>201</v>
      </c>
      <c r="U4955" s="2" t="s">
        <v>202</v>
      </c>
      <c r="V4955" s="2" t="s">
        <v>59</v>
      </c>
      <c r="W4955" s="2">
        <v>37.799999999999997</v>
      </c>
      <c r="X4955" s="2">
        <v>0</v>
      </c>
      <c r="Y4955" s="2" t="s">
        <v>43</v>
      </c>
      <c r="Z4955" s="2" t="s">
        <v>32879</v>
      </c>
      <c r="AA4955" s="2">
        <v>-1.9811380323690799</v>
      </c>
      <c r="AB4955" s="2">
        <v>0.114144620494119</v>
      </c>
      <c r="AC4955" s="2">
        <v>9008.1003801612806</v>
      </c>
      <c r="AD4955" s="2">
        <v>10330.009692686999</v>
      </c>
      <c r="AE4955" s="2">
        <v>8267.1999715994498</v>
      </c>
      <c r="AF4955" s="2">
        <v>8779.8207610340596</v>
      </c>
      <c r="AG4955" s="2">
        <v>10277.6820868006</v>
      </c>
      <c r="AH4955" s="2">
        <v>8146.9803102498799</v>
      </c>
      <c r="AI4955" s="2">
        <v>8736.5426654736802</v>
      </c>
      <c r="AJ4955" s="2">
        <v>9840.3764858099894</v>
      </c>
      <c r="AK4955" s="2">
        <v>10777.091734542601</v>
      </c>
      <c r="AL4955" s="2">
        <v>10339.062020222</v>
      </c>
      <c r="AM4955" s="2">
        <v>10202.0862587869</v>
      </c>
      <c r="AN4955" s="2">
        <v>10872.3622192846</v>
      </c>
      <c r="AO4955" s="2">
        <v>11043.068997537899</v>
      </c>
      <c r="AP4955" s="2">
        <v>8746.3869257481292</v>
      </c>
    </row>
    <row r="4956" spans="1:42" ht="14.5" x14ac:dyDescent="0.35">
      <c r="A4956" s="2" t="s">
        <v>32880</v>
      </c>
      <c r="B4956" s="2">
        <v>379.00011751777203</v>
      </c>
      <c r="C4956" s="2">
        <v>9.9728333333333303</v>
      </c>
      <c r="D4956" s="2" t="s">
        <v>70</v>
      </c>
      <c r="E4956" s="2" t="s">
        <v>32881</v>
      </c>
      <c r="F4956" s="2">
        <v>56996</v>
      </c>
      <c r="G4956" s="3" t="str">
        <f>HYPERLINK("http://funmeta.oebiotech.com/network/56996", "http://funmeta.oebiotech.com/network/56996")</f>
        <v>http://funmeta.oebiotech.com/network/56996</v>
      </c>
      <c r="H4956" s="2" t="s">
        <v>32882</v>
      </c>
      <c r="I4956" s="2">
        <v>88651</v>
      </c>
      <c r="J4956" s="2"/>
      <c r="K4956" s="2"/>
      <c r="L4956" s="2"/>
      <c r="M4956" s="2"/>
      <c r="N4956" s="2"/>
      <c r="O4956" s="2">
        <v>8556</v>
      </c>
      <c r="P4956" s="2" t="s">
        <v>32883</v>
      </c>
      <c r="Q4956" s="2" t="s">
        <v>32884</v>
      </c>
      <c r="R4956" s="2" t="s">
        <v>32885</v>
      </c>
      <c r="S4956" s="2" t="s">
        <v>148</v>
      </c>
      <c r="T4956" s="2" t="s">
        <v>6221</v>
      </c>
      <c r="U4956" s="2" t="s">
        <v>41</v>
      </c>
      <c r="V4956" s="2" t="s">
        <v>59</v>
      </c>
      <c r="W4956" s="2">
        <v>37.799999999999997</v>
      </c>
      <c r="X4956" s="2">
        <v>0</v>
      </c>
      <c r="Y4956" s="2" t="s">
        <v>408</v>
      </c>
      <c r="Z4956" s="2" t="s">
        <v>32886</v>
      </c>
      <c r="AA4956" s="2">
        <v>3.5151013440647199</v>
      </c>
      <c r="AB4956" s="2">
        <v>0.114135664365557</v>
      </c>
      <c r="AC4956" s="2">
        <v>11006.155316525799</v>
      </c>
      <c r="AD4956" s="2">
        <v>12166.9296669952</v>
      </c>
      <c r="AE4956" s="2">
        <v>11186.2306903028</v>
      </c>
      <c r="AF4956" s="2">
        <v>11727.8051727601</v>
      </c>
      <c r="AG4956" s="2">
        <v>10895.668038165801</v>
      </c>
      <c r="AH4956" s="2">
        <v>11470.951021918499</v>
      </c>
      <c r="AI4956" s="2">
        <v>10686.4021142159</v>
      </c>
      <c r="AJ4956" s="2">
        <v>10069.874861791501</v>
      </c>
      <c r="AK4956" s="2">
        <v>12977.1755683589</v>
      </c>
      <c r="AL4956" s="2">
        <v>12281.3827920816</v>
      </c>
      <c r="AM4956" s="2">
        <v>12194.875273007499</v>
      </c>
      <c r="AN4956" s="2">
        <v>11273.126689897899</v>
      </c>
      <c r="AO4956" s="2">
        <v>12026.067575012201</v>
      </c>
      <c r="AP4956" s="2">
        <v>12248.9501036129</v>
      </c>
    </row>
    <row r="4957" spans="1:42" ht="14.5" x14ac:dyDescent="0.35">
      <c r="A4957" s="2" t="s">
        <v>32887</v>
      </c>
      <c r="B4957" s="2">
        <v>138.05493067443601</v>
      </c>
      <c r="C4957" s="2">
        <v>1.06171666666667</v>
      </c>
      <c r="D4957" s="2" t="s">
        <v>34</v>
      </c>
      <c r="E4957" s="2" t="s">
        <v>32888</v>
      </c>
      <c r="F4957" s="2">
        <v>208645</v>
      </c>
      <c r="G4957" s="3" t="str">
        <f>HYPERLINK("http://funmeta.oebiotech.com/network/208645", "http://funmeta.oebiotech.com/network/208645")</f>
        <v>http://funmeta.oebiotech.com/network/208645</v>
      </c>
      <c r="H4957" s="2" t="s">
        <v>32889</v>
      </c>
      <c r="I4957" s="2"/>
      <c r="J4957" s="2"/>
      <c r="K4957" s="2"/>
      <c r="L4957" s="2"/>
      <c r="M4957" s="2"/>
      <c r="N4957" s="2"/>
      <c r="O4957" s="2">
        <v>53995407</v>
      </c>
      <c r="P4957" s="2"/>
      <c r="Q4957" s="2" t="s">
        <v>32890</v>
      </c>
      <c r="R4957" s="2" t="s">
        <v>32891</v>
      </c>
      <c r="S4957" s="2" t="s">
        <v>41</v>
      </c>
      <c r="T4957" s="2" t="s">
        <v>41</v>
      </c>
      <c r="U4957" s="2" t="s">
        <v>41</v>
      </c>
      <c r="V4957" s="2" t="s">
        <v>59</v>
      </c>
      <c r="W4957" s="2">
        <v>38.299999999999997</v>
      </c>
      <c r="X4957" s="2">
        <v>0</v>
      </c>
      <c r="Y4957" s="2" t="s">
        <v>266</v>
      </c>
      <c r="Z4957" s="2" t="s">
        <v>32892</v>
      </c>
      <c r="AA4957" s="2">
        <v>-0.15624886050835099</v>
      </c>
      <c r="AB4957" s="2">
        <v>0.114110299234332</v>
      </c>
      <c r="AC4957" s="2">
        <v>8837.2892914550503</v>
      </c>
      <c r="AD4957" s="2">
        <v>10030.3523590199</v>
      </c>
      <c r="AE4957" s="2">
        <v>8628.3454648705501</v>
      </c>
      <c r="AF4957" s="2">
        <v>9116.5107775986507</v>
      </c>
      <c r="AG4957" s="2">
        <v>7937.1812883912698</v>
      </c>
      <c r="AH4957" s="2">
        <v>9632.9117209736796</v>
      </c>
      <c r="AI4957" s="2">
        <v>8611.1209455980807</v>
      </c>
      <c r="AJ4957" s="2">
        <v>9097.6655512980706</v>
      </c>
      <c r="AK4957" s="2">
        <v>10428.2783913032</v>
      </c>
      <c r="AL4957" s="2">
        <v>10318.1805057322</v>
      </c>
      <c r="AM4957" s="2">
        <v>9559.6702615569302</v>
      </c>
      <c r="AN4957" s="2">
        <v>9055.3771292000692</v>
      </c>
      <c r="AO4957" s="2">
        <v>10954.306653481401</v>
      </c>
      <c r="AP4957" s="2">
        <v>9866.3012128457904</v>
      </c>
    </row>
    <row r="4958" spans="1:42" ht="14.5" x14ac:dyDescent="0.35">
      <c r="A4958" s="2" t="s">
        <v>32893</v>
      </c>
      <c r="B4958" s="2">
        <v>413.144963814069</v>
      </c>
      <c r="C4958" s="2">
        <v>4.6857333333333298</v>
      </c>
      <c r="D4958" s="2" t="s">
        <v>70</v>
      </c>
      <c r="E4958" s="2" t="s">
        <v>32894</v>
      </c>
      <c r="F4958" s="2">
        <v>54806</v>
      </c>
      <c r="G4958" s="3" t="str">
        <f>HYPERLINK("http://funmeta.oebiotech.com/network/54806", "http://funmeta.oebiotech.com/network/54806")</f>
        <v>http://funmeta.oebiotech.com/network/54806</v>
      </c>
      <c r="H4958" s="2" t="s">
        <v>32895</v>
      </c>
      <c r="I4958" s="2">
        <v>86603</v>
      </c>
      <c r="J4958" s="2"/>
      <c r="K4958" s="2">
        <v>681033</v>
      </c>
      <c r="L4958" s="2"/>
      <c r="M4958" s="2"/>
      <c r="N4958" s="2"/>
      <c r="O4958" s="2">
        <v>255450</v>
      </c>
      <c r="P4958" s="2" t="s">
        <v>32896</v>
      </c>
      <c r="Q4958" s="2" t="s">
        <v>32897</v>
      </c>
      <c r="R4958" s="2" t="s">
        <v>32898</v>
      </c>
      <c r="S4958" s="2" t="s">
        <v>491</v>
      </c>
      <c r="T4958" s="2" t="s">
        <v>7431</v>
      </c>
      <c r="U4958" s="2" t="s">
        <v>7432</v>
      </c>
      <c r="V4958" s="2" t="s">
        <v>59</v>
      </c>
      <c r="W4958" s="2">
        <v>39</v>
      </c>
      <c r="X4958" s="2">
        <v>0</v>
      </c>
      <c r="Y4958" s="2" t="s">
        <v>560</v>
      </c>
      <c r="Z4958" s="2" t="s">
        <v>32899</v>
      </c>
      <c r="AA4958" s="2">
        <v>2.3931898577308899</v>
      </c>
      <c r="AB4958" s="2">
        <v>0.114058851342431</v>
      </c>
      <c r="AC4958" s="2">
        <v>30145.202177039599</v>
      </c>
      <c r="AD4958" s="2">
        <v>28385.687191365199</v>
      </c>
      <c r="AE4958" s="2">
        <v>29956.795932823999</v>
      </c>
      <c r="AF4958" s="2">
        <v>30440.1920369953</v>
      </c>
      <c r="AG4958" s="2">
        <v>31962.2512913922</v>
      </c>
      <c r="AH4958" s="2">
        <v>28985.9039848342</v>
      </c>
      <c r="AI4958" s="2">
        <v>29085.6777430041</v>
      </c>
      <c r="AJ4958" s="2">
        <v>30440.392073187599</v>
      </c>
      <c r="AK4958" s="2">
        <v>29184.3947461547</v>
      </c>
      <c r="AL4958" s="2">
        <v>28186.7240514736</v>
      </c>
      <c r="AM4958" s="2">
        <v>31084.250606168</v>
      </c>
      <c r="AN4958" s="2">
        <v>28872.754398927202</v>
      </c>
      <c r="AO4958" s="2">
        <v>24296.910914543001</v>
      </c>
      <c r="AP4958" s="2">
        <v>28689.088430924599</v>
      </c>
    </row>
    <row r="4959" spans="1:42" ht="14.5" x14ac:dyDescent="0.35">
      <c r="A4959" s="2" t="s">
        <v>32900</v>
      </c>
      <c r="B4959" s="2">
        <v>451.19761454979101</v>
      </c>
      <c r="C4959" s="2">
        <v>5.6725000000000003</v>
      </c>
      <c r="D4959" s="2" t="s">
        <v>70</v>
      </c>
      <c r="E4959" s="2" t="s">
        <v>32901</v>
      </c>
      <c r="F4959" s="2">
        <v>60793</v>
      </c>
      <c r="G4959" s="3" t="str">
        <f>HYPERLINK("http://funmeta.oebiotech.com/network/60793", "http://funmeta.oebiotech.com/network/60793")</f>
        <v>http://funmeta.oebiotech.com/network/60793</v>
      </c>
      <c r="H4959" s="2" t="s">
        <v>32902</v>
      </c>
      <c r="I4959" s="2">
        <v>92126</v>
      </c>
      <c r="J4959" s="2"/>
      <c r="K4959" s="2"/>
      <c r="L4959" s="2"/>
      <c r="M4959" s="2"/>
      <c r="N4959" s="2"/>
      <c r="O4959" s="2">
        <v>43598</v>
      </c>
      <c r="P4959" s="2" t="s">
        <v>32903</v>
      </c>
      <c r="Q4959" s="2" t="s">
        <v>32904</v>
      </c>
      <c r="R4959" s="2" t="s">
        <v>32905</v>
      </c>
      <c r="S4959" s="2" t="s">
        <v>5916</v>
      </c>
      <c r="T4959" s="2" t="s">
        <v>5917</v>
      </c>
      <c r="U4959" s="2" t="s">
        <v>5918</v>
      </c>
      <c r="V4959" s="2" t="s">
        <v>59</v>
      </c>
      <c r="W4959" s="2">
        <v>38.4</v>
      </c>
      <c r="X4959" s="2">
        <v>0</v>
      </c>
      <c r="Y4959" s="2" t="s">
        <v>560</v>
      </c>
      <c r="Z4959" s="2" t="s">
        <v>32906</v>
      </c>
      <c r="AA4959" s="2">
        <v>-1.35038376869634</v>
      </c>
      <c r="AB4959" s="2">
        <v>0.11400569090075401</v>
      </c>
      <c r="AC4959" s="2">
        <v>6621.8427662224803</v>
      </c>
      <c r="AD4959" s="2">
        <v>7935.1311203729701</v>
      </c>
      <c r="AE4959" s="2">
        <v>7067.3914454026299</v>
      </c>
      <c r="AF4959" s="2">
        <v>7475.1185725375499</v>
      </c>
      <c r="AG4959" s="2">
        <v>6293.1172721714302</v>
      </c>
      <c r="AH4959" s="2">
        <v>7311.7912127015297</v>
      </c>
      <c r="AI4959" s="2">
        <v>6420.4893065093902</v>
      </c>
      <c r="AJ4959" s="2">
        <v>5163.1487880123696</v>
      </c>
      <c r="AK4959" s="2">
        <v>8546.6049171592895</v>
      </c>
      <c r="AL4959" s="2">
        <v>6332.3354912619998</v>
      </c>
      <c r="AM4959" s="2">
        <v>8080.1402783727399</v>
      </c>
      <c r="AN4959" s="2">
        <v>7900.9576907099099</v>
      </c>
      <c r="AO4959" s="2">
        <v>8602.5570048662194</v>
      </c>
      <c r="AP4959" s="2">
        <v>8148.1913398676397</v>
      </c>
    </row>
    <row r="4960" spans="1:42" ht="14.5" x14ac:dyDescent="0.35">
      <c r="A4960" s="2" t="s">
        <v>32907</v>
      </c>
      <c r="B4960" s="2">
        <v>551.14072359233103</v>
      </c>
      <c r="C4960" s="2">
        <v>5.9164500000000002</v>
      </c>
      <c r="D4960" s="2" t="s">
        <v>70</v>
      </c>
      <c r="E4960" s="2" t="s">
        <v>32908</v>
      </c>
      <c r="F4960" s="2">
        <v>210841</v>
      </c>
      <c r="G4960" s="3" t="str">
        <f>HYPERLINK("http://funmeta.oebiotech.com/network/210841", "http://funmeta.oebiotech.com/network/210841")</f>
        <v>http://funmeta.oebiotech.com/network/210841</v>
      </c>
      <c r="H4960" s="2" t="s">
        <v>32909</v>
      </c>
      <c r="I4960" s="2"/>
      <c r="J4960" s="2"/>
      <c r="K4960" s="2"/>
      <c r="L4960" s="2"/>
      <c r="M4960" s="2"/>
      <c r="N4960" s="2"/>
      <c r="O4960" s="2">
        <v>365464</v>
      </c>
      <c r="P4960" s="2"/>
      <c r="Q4960" s="2" t="s">
        <v>32910</v>
      </c>
      <c r="R4960" s="2" t="s">
        <v>32911</v>
      </c>
      <c r="S4960" s="2" t="s">
        <v>41</v>
      </c>
      <c r="T4960" s="2" t="s">
        <v>41</v>
      </c>
      <c r="U4960" s="2" t="s">
        <v>41</v>
      </c>
      <c r="V4960" s="2" t="s">
        <v>59</v>
      </c>
      <c r="W4960" s="2">
        <v>38.299999999999997</v>
      </c>
      <c r="X4960" s="2">
        <v>0</v>
      </c>
      <c r="Y4960" s="2" t="s">
        <v>560</v>
      </c>
      <c r="Z4960" s="2" t="s">
        <v>32912</v>
      </c>
      <c r="AA4960" s="2">
        <v>0.82303151467713398</v>
      </c>
      <c r="AB4960" s="2">
        <v>0.113987469883898</v>
      </c>
      <c r="AC4960" s="2">
        <v>5541.2030622741104</v>
      </c>
      <c r="AD4960" s="2">
        <v>4051.5940879332302</v>
      </c>
      <c r="AE4960" s="2">
        <v>6917.4980265376998</v>
      </c>
      <c r="AF4960" s="2">
        <v>4779.7999887129099</v>
      </c>
      <c r="AG4960" s="2">
        <v>5839.3876867644503</v>
      </c>
      <c r="AH4960" s="2">
        <v>4254.1797097502404</v>
      </c>
      <c r="AI4960" s="2">
        <v>3612.1415424871502</v>
      </c>
      <c r="AJ4960" s="2">
        <v>7844.2114193922298</v>
      </c>
      <c r="AK4960" s="2">
        <v>4198.9655978835999</v>
      </c>
      <c r="AL4960" s="2">
        <v>3622.8578562108601</v>
      </c>
      <c r="AM4960" s="2">
        <v>4618.6124185653098</v>
      </c>
      <c r="AN4960" s="2">
        <v>4408.4252065012597</v>
      </c>
      <c r="AO4960" s="2">
        <v>3988.5353388650801</v>
      </c>
      <c r="AP4960" s="2">
        <v>3472.1681095732602</v>
      </c>
    </row>
    <row r="4961" spans="1:42" ht="14.5" x14ac:dyDescent="0.35">
      <c r="A4961" s="2" t="s">
        <v>32913</v>
      </c>
      <c r="B4961" s="2">
        <v>407.26462081394402</v>
      </c>
      <c r="C4961" s="2">
        <v>6.7070999999999996</v>
      </c>
      <c r="D4961" s="2" t="s">
        <v>70</v>
      </c>
      <c r="E4961" s="2" t="s">
        <v>32914</v>
      </c>
      <c r="F4961" s="2">
        <v>6293</v>
      </c>
      <c r="G4961" s="3" t="str">
        <f>HYPERLINK("http://funmeta.oebiotech.com/network/6293", "http://funmeta.oebiotech.com/network/6293")</f>
        <v>http://funmeta.oebiotech.com/network/6293</v>
      </c>
      <c r="H4961" s="2" t="s">
        <v>32915</v>
      </c>
      <c r="I4961" s="2">
        <v>89084</v>
      </c>
      <c r="J4961" s="2" t="s">
        <v>32916</v>
      </c>
      <c r="K4961" s="2"/>
      <c r="L4961" s="2"/>
      <c r="M4961" s="2"/>
      <c r="N4961" s="2"/>
      <c r="O4961" s="2">
        <v>15382184</v>
      </c>
      <c r="P4961" s="2" t="s">
        <v>32917</v>
      </c>
      <c r="Q4961" s="2" t="s">
        <v>32918</v>
      </c>
      <c r="R4961" s="2" t="s">
        <v>32919</v>
      </c>
      <c r="S4961" s="2" t="s">
        <v>50</v>
      </c>
      <c r="T4961" s="2" t="s">
        <v>229</v>
      </c>
      <c r="U4961" s="2" t="s">
        <v>1283</v>
      </c>
      <c r="V4961" s="2" t="s">
        <v>59</v>
      </c>
      <c r="W4961" s="2">
        <v>39.299999999999997</v>
      </c>
      <c r="X4961" s="2">
        <v>0</v>
      </c>
      <c r="Y4961" s="2" t="s">
        <v>560</v>
      </c>
      <c r="Z4961" s="2" t="s">
        <v>29303</v>
      </c>
      <c r="AA4961" s="2">
        <v>-1.0311581694677101</v>
      </c>
      <c r="AB4961" s="2">
        <v>0.11398019481916299</v>
      </c>
      <c r="AC4961" s="2">
        <v>2874.6795385180399</v>
      </c>
      <c r="AD4961" s="2">
        <v>3868.15575134251</v>
      </c>
      <c r="AE4961" s="2">
        <v>2923.1693069247899</v>
      </c>
      <c r="AF4961" s="2">
        <v>2712.0382552000501</v>
      </c>
      <c r="AG4961" s="2">
        <v>3094.5758819246098</v>
      </c>
      <c r="AH4961" s="2">
        <v>2831.25795391888</v>
      </c>
      <c r="AI4961" s="2">
        <v>2973.7435602810901</v>
      </c>
      <c r="AJ4961" s="2">
        <v>2713.2922728588101</v>
      </c>
      <c r="AK4961" s="2">
        <v>4240.4170486416297</v>
      </c>
      <c r="AL4961" s="2">
        <v>4344.35186141959</v>
      </c>
      <c r="AM4961" s="2">
        <v>3805.5199757926498</v>
      </c>
      <c r="AN4961" s="2">
        <v>3395.6710009087101</v>
      </c>
      <c r="AO4961" s="2">
        <v>3348.7627410729601</v>
      </c>
      <c r="AP4961" s="2">
        <v>4074.21188021949</v>
      </c>
    </row>
    <row r="4962" spans="1:42" ht="14.5" x14ac:dyDescent="0.35">
      <c r="A4962" s="2" t="s">
        <v>32920</v>
      </c>
      <c r="B4962" s="2">
        <v>386.04317923806298</v>
      </c>
      <c r="C4962" s="2">
        <v>4.8488333333333298</v>
      </c>
      <c r="D4962" s="2" t="s">
        <v>34</v>
      </c>
      <c r="E4962" s="2" t="s">
        <v>32921</v>
      </c>
      <c r="F4962" s="2">
        <v>202069</v>
      </c>
      <c r="G4962" s="3" t="str">
        <f>HYPERLINK("http://funmeta.oebiotech.com/network/202069", "http://funmeta.oebiotech.com/network/202069")</f>
        <v>http://funmeta.oebiotech.com/network/202069</v>
      </c>
      <c r="H4962" s="2" t="s">
        <v>32922</v>
      </c>
      <c r="I4962" s="2">
        <v>347950</v>
      </c>
      <c r="J4962" s="2"/>
      <c r="K4962" s="2">
        <v>91078</v>
      </c>
      <c r="L4962" s="2"/>
      <c r="M4962" s="2"/>
      <c r="N4962" s="2"/>
      <c r="O4962" s="2">
        <v>76845</v>
      </c>
      <c r="P4962" s="2"/>
      <c r="Q4962" s="2" t="s">
        <v>32923</v>
      </c>
      <c r="R4962" s="2" t="s">
        <v>32924</v>
      </c>
      <c r="S4962" s="2" t="s">
        <v>491</v>
      </c>
      <c r="T4962" s="2" t="s">
        <v>2251</v>
      </c>
      <c r="U4962" s="2" t="s">
        <v>2252</v>
      </c>
      <c r="V4962" s="2" t="s">
        <v>59</v>
      </c>
      <c r="W4962" s="2">
        <v>37.5</v>
      </c>
      <c r="X4962" s="2">
        <v>0</v>
      </c>
      <c r="Y4962" s="2" t="s">
        <v>340</v>
      </c>
      <c r="Z4962" s="2" t="s">
        <v>32925</v>
      </c>
      <c r="AA4962" s="2">
        <v>1.86884788887329</v>
      </c>
      <c r="AB4962" s="2">
        <v>0.11397082760211801</v>
      </c>
      <c r="AC4962" s="2">
        <v>2422.54915291931</v>
      </c>
      <c r="AD4962" s="2">
        <v>1256.82824946756</v>
      </c>
      <c r="AE4962" s="2">
        <v>2249.6672021550098</v>
      </c>
      <c r="AF4962" s="2">
        <v>2121.3406729127901</v>
      </c>
      <c r="AG4962" s="2">
        <v>1997.0649609166601</v>
      </c>
      <c r="AH4962" s="2">
        <v>2435.1123830544898</v>
      </c>
      <c r="AI4962" s="2">
        <v>3131.89297646164</v>
      </c>
      <c r="AJ4962" s="2">
        <v>2600.2167220152601</v>
      </c>
      <c r="AK4962" s="2">
        <v>2.7106294003980101E-5</v>
      </c>
      <c r="AL4962" s="2">
        <v>1993.1701628557</v>
      </c>
      <c r="AM4962" s="2">
        <v>995.73707104394896</v>
      </c>
      <c r="AN4962" s="2">
        <v>1789.3302652603099</v>
      </c>
      <c r="AO4962" s="2">
        <v>1219.6398777996201</v>
      </c>
      <c r="AP4962" s="2">
        <v>1543.09209273948</v>
      </c>
    </row>
    <row r="4963" spans="1:42" ht="14.5" x14ac:dyDescent="0.35">
      <c r="A4963" s="2" t="s">
        <v>32926</v>
      </c>
      <c r="B4963" s="2">
        <v>381.13032434305399</v>
      </c>
      <c r="C4963" s="2">
        <v>1.4846333333333299</v>
      </c>
      <c r="D4963" s="2" t="s">
        <v>70</v>
      </c>
      <c r="E4963" s="2" t="s">
        <v>32927</v>
      </c>
      <c r="F4963" s="2">
        <v>56240</v>
      </c>
      <c r="G4963" s="3" t="str">
        <f>HYPERLINK("http://funmeta.oebiotech.com/network/56240", "http://funmeta.oebiotech.com/network/56240")</f>
        <v>http://funmeta.oebiotech.com/network/56240</v>
      </c>
      <c r="H4963" s="2" t="s">
        <v>32928</v>
      </c>
      <c r="I4963" s="2">
        <v>68667</v>
      </c>
      <c r="J4963" s="2"/>
      <c r="K4963" s="2">
        <v>3392</v>
      </c>
      <c r="L4963" s="2" t="s">
        <v>27322</v>
      </c>
      <c r="M4963" s="2"/>
      <c r="N4963" s="2"/>
      <c r="O4963" s="2">
        <v>25429</v>
      </c>
      <c r="P4963" s="2" t="s">
        <v>32929</v>
      </c>
      <c r="Q4963" s="2" t="s">
        <v>32930</v>
      </c>
      <c r="R4963" s="2" t="s">
        <v>32931</v>
      </c>
      <c r="S4963" s="2" t="s">
        <v>491</v>
      </c>
      <c r="T4963" s="2" t="s">
        <v>15878</v>
      </c>
      <c r="U4963" s="2" t="s">
        <v>29310</v>
      </c>
      <c r="V4963" s="2" t="s">
        <v>59</v>
      </c>
      <c r="W4963" s="2">
        <v>38.4</v>
      </c>
      <c r="X4963" s="2">
        <v>0</v>
      </c>
      <c r="Y4963" s="2" t="s">
        <v>560</v>
      </c>
      <c r="Z4963" s="2" t="s">
        <v>32932</v>
      </c>
      <c r="AA4963" s="2">
        <v>-3.5387893213392299</v>
      </c>
      <c r="AB4963" s="2">
        <v>0.113943906050172</v>
      </c>
      <c r="AC4963" s="2">
        <v>3872.7597257408302</v>
      </c>
      <c r="AD4963" s="2">
        <v>2805.6512962430002</v>
      </c>
      <c r="AE4963" s="2">
        <v>3943.5896688376201</v>
      </c>
      <c r="AF4963" s="2">
        <v>4132.5984039038603</v>
      </c>
      <c r="AG4963" s="2">
        <v>4026.6155489733901</v>
      </c>
      <c r="AH4963" s="2">
        <v>3810.57625021284</v>
      </c>
      <c r="AI4963" s="2">
        <v>3808.1770732943701</v>
      </c>
      <c r="AJ4963" s="2">
        <v>3515.0014092229098</v>
      </c>
      <c r="AK4963" s="2">
        <v>2314.1812466523902</v>
      </c>
      <c r="AL4963" s="2">
        <v>2329.7114986071401</v>
      </c>
      <c r="AM4963" s="2">
        <v>2408.6114098666699</v>
      </c>
      <c r="AN4963" s="2">
        <v>3791.3372205118699</v>
      </c>
      <c r="AO4963" s="2">
        <v>2959.2928173284599</v>
      </c>
      <c r="AP4963" s="2">
        <v>3030.7735844914901</v>
      </c>
    </row>
    <row r="4964" spans="1:42" ht="14.5" x14ac:dyDescent="0.35">
      <c r="A4964" s="2" t="s">
        <v>32933</v>
      </c>
      <c r="B4964" s="2">
        <v>314.13889793027499</v>
      </c>
      <c r="C4964" s="2">
        <v>4.9783166666666698</v>
      </c>
      <c r="D4964" s="2" t="s">
        <v>34</v>
      </c>
      <c r="E4964" s="2" t="s">
        <v>32934</v>
      </c>
      <c r="F4964" s="2">
        <v>55519</v>
      </c>
      <c r="G4964" s="3" t="str">
        <f>HYPERLINK("http://funmeta.oebiotech.com/network/55519", "http://funmeta.oebiotech.com/network/55519")</f>
        <v>http://funmeta.oebiotech.com/network/55519</v>
      </c>
      <c r="H4964" s="2" t="s">
        <v>32935</v>
      </c>
      <c r="I4964" s="2">
        <v>87189</v>
      </c>
      <c r="J4964" s="2"/>
      <c r="K4964" s="2">
        <v>69557</v>
      </c>
      <c r="L4964" s="2"/>
      <c r="M4964" s="2"/>
      <c r="N4964" s="2"/>
      <c r="O4964" s="2">
        <v>10402297</v>
      </c>
      <c r="P4964" s="2" t="s">
        <v>32936</v>
      </c>
      <c r="Q4964" s="2" t="s">
        <v>32937</v>
      </c>
      <c r="R4964" s="2" t="s">
        <v>32938</v>
      </c>
      <c r="S4964" s="2" t="s">
        <v>115</v>
      </c>
      <c r="T4964" s="2" t="s">
        <v>1095</v>
      </c>
      <c r="U4964" s="2" t="s">
        <v>41</v>
      </c>
      <c r="V4964" s="2" t="s">
        <v>59</v>
      </c>
      <c r="W4964" s="2">
        <v>38.4</v>
      </c>
      <c r="X4964" s="2">
        <v>0</v>
      </c>
      <c r="Y4964" s="2" t="s">
        <v>43</v>
      </c>
      <c r="Z4964" s="2" t="s">
        <v>32939</v>
      </c>
      <c r="AA4964" s="2">
        <v>0.720720745065485</v>
      </c>
      <c r="AB4964" s="2">
        <v>0.113923956792506</v>
      </c>
      <c r="AC4964" s="2">
        <v>6667.9064092590297</v>
      </c>
      <c r="AD4964" s="2">
        <v>7888.2430614230898</v>
      </c>
      <c r="AE4964" s="2">
        <v>6638.9705075060101</v>
      </c>
      <c r="AF4964" s="2">
        <v>7470.7580810637701</v>
      </c>
      <c r="AG4964" s="2">
        <v>6849.2624418367996</v>
      </c>
      <c r="AH4964" s="2">
        <v>6510.2120769313497</v>
      </c>
      <c r="AI4964" s="2">
        <v>6166.8199633240201</v>
      </c>
      <c r="AJ4964" s="2">
        <v>6371.4153848922197</v>
      </c>
      <c r="AK4964" s="2">
        <v>8580.3343172164805</v>
      </c>
      <c r="AL4964" s="2">
        <v>7062.1226499815202</v>
      </c>
      <c r="AM4964" s="2">
        <v>8399.4468989804009</v>
      </c>
      <c r="AN4964" s="2">
        <v>6619.5022133754301</v>
      </c>
      <c r="AO4964" s="2">
        <v>8164.3017263476804</v>
      </c>
      <c r="AP4964" s="2">
        <v>8503.7505626370294</v>
      </c>
    </row>
    <row r="4965" spans="1:42" ht="14.5" x14ac:dyDescent="0.35">
      <c r="A4965" s="2" t="s">
        <v>32940</v>
      </c>
      <c r="B4965" s="2">
        <v>290.138472213645</v>
      </c>
      <c r="C4965" s="2">
        <v>8.91496666666667</v>
      </c>
      <c r="D4965" s="2" t="s">
        <v>34</v>
      </c>
      <c r="E4965" s="2" t="s">
        <v>32941</v>
      </c>
      <c r="F4965" s="2">
        <v>29083</v>
      </c>
      <c r="G4965" s="3" t="str">
        <f>HYPERLINK("http://funmeta.oebiotech.com/network/29083", "http://funmeta.oebiotech.com/network/29083")</f>
        <v>http://funmeta.oebiotech.com/network/29083</v>
      </c>
      <c r="H4965" s="2"/>
      <c r="I4965" s="2">
        <v>47479</v>
      </c>
      <c r="J4965" s="2" t="s">
        <v>32942</v>
      </c>
      <c r="K4965" s="2"/>
      <c r="L4965" s="2"/>
      <c r="M4965" s="2"/>
      <c r="N4965" s="2"/>
      <c r="O4965" s="2">
        <v>25232840</v>
      </c>
      <c r="P4965" s="2"/>
      <c r="Q4965" s="2" t="s">
        <v>32943</v>
      </c>
      <c r="R4965" s="2" t="s">
        <v>32944</v>
      </c>
      <c r="S4965" s="2" t="s">
        <v>115</v>
      </c>
      <c r="T4965" s="2" t="s">
        <v>139</v>
      </c>
      <c r="U4965" s="2" t="s">
        <v>1552</v>
      </c>
      <c r="V4965" s="2" t="s">
        <v>59</v>
      </c>
      <c r="W4965" s="2">
        <v>42.4</v>
      </c>
      <c r="X4965" s="2">
        <v>18.3</v>
      </c>
      <c r="Y4965" s="2" t="s">
        <v>43</v>
      </c>
      <c r="Z4965" s="2" t="s">
        <v>32945</v>
      </c>
      <c r="AA4965" s="2">
        <v>-0.78024227767661003</v>
      </c>
      <c r="AB4965" s="2">
        <v>0.113910568405139</v>
      </c>
      <c r="AC4965" s="2">
        <v>9757.6948095185398</v>
      </c>
      <c r="AD4965" s="2">
        <v>8314.3077025267903</v>
      </c>
      <c r="AE4965" s="2">
        <v>8620.9776092325392</v>
      </c>
      <c r="AF4965" s="2">
        <v>10194.1566938427</v>
      </c>
      <c r="AG4965" s="2">
        <v>11676.461484769099</v>
      </c>
      <c r="AH4965" s="2">
        <v>8452.9322759029001</v>
      </c>
      <c r="AI4965" s="2">
        <v>9032.2455545831199</v>
      </c>
      <c r="AJ4965" s="2">
        <v>10569.3952387809</v>
      </c>
      <c r="AK4965" s="2">
        <v>7803.9933529672899</v>
      </c>
      <c r="AL4965" s="2">
        <v>9888.3337565209295</v>
      </c>
      <c r="AM4965" s="2">
        <v>8360.4497614759093</v>
      </c>
      <c r="AN4965" s="2">
        <v>7735.5580071268496</v>
      </c>
      <c r="AO4965" s="2">
        <v>8761.5061615004106</v>
      </c>
      <c r="AP4965" s="2">
        <v>7336.0051755693603</v>
      </c>
    </row>
    <row r="4966" spans="1:42" ht="14.5" x14ac:dyDescent="0.35">
      <c r="A4966" s="2" t="s">
        <v>32946</v>
      </c>
      <c r="B4966" s="2">
        <v>199.16922773838999</v>
      </c>
      <c r="C4966" s="2">
        <v>9.8244000000000007</v>
      </c>
      <c r="D4966" s="2" t="s">
        <v>34</v>
      </c>
      <c r="E4966" s="2" t="s">
        <v>32947</v>
      </c>
      <c r="F4966" s="2">
        <v>7783</v>
      </c>
      <c r="G4966" s="3" t="str">
        <f>HYPERLINK("http://funmeta.oebiotech.com/network/7783", "http://funmeta.oebiotech.com/network/7783")</f>
        <v>http://funmeta.oebiotech.com/network/7783</v>
      </c>
      <c r="H4966" s="2" t="s">
        <v>32948</v>
      </c>
      <c r="I4966" s="2">
        <v>87860</v>
      </c>
      <c r="J4966" s="2" t="s">
        <v>32949</v>
      </c>
      <c r="K4966" s="2"/>
      <c r="L4966" s="2"/>
      <c r="M4966" s="2"/>
      <c r="N4966" s="2"/>
      <c r="O4966" s="2">
        <v>16821</v>
      </c>
      <c r="P4966" s="2" t="s">
        <v>32950</v>
      </c>
      <c r="Q4966" s="2" t="s">
        <v>32951</v>
      </c>
      <c r="R4966" s="2" t="s">
        <v>32952</v>
      </c>
      <c r="S4966" s="2" t="s">
        <v>491</v>
      </c>
      <c r="T4966" s="2" t="s">
        <v>5973</v>
      </c>
      <c r="U4966" s="2" t="s">
        <v>6296</v>
      </c>
      <c r="V4966" s="2" t="s">
        <v>59</v>
      </c>
      <c r="W4966" s="2">
        <v>42.3</v>
      </c>
      <c r="X4966" s="2">
        <v>20.399999999999999</v>
      </c>
      <c r="Y4966" s="2" t="s">
        <v>394</v>
      </c>
      <c r="Z4966" s="2" t="s">
        <v>32953</v>
      </c>
      <c r="AA4966" s="2">
        <v>-0.14451949887698201</v>
      </c>
      <c r="AB4966" s="2">
        <v>0.113729080818533</v>
      </c>
      <c r="AC4966" s="2">
        <v>16888.4502123036</v>
      </c>
      <c r="AD4966" s="2">
        <v>18401.047234286099</v>
      </c>
      <c r="AE4966" s="2">
        <v>15798.2302423372</v>
      </c>
      <c r="AF4966" s="2">
        <v>15987.649226986499</v>
      </c>
      <c r="AG4966" s="2">
        <v>16857.7220657867</v>
      </c>
      <c r="AH4966" s="2">
        <v>17865.536662885799</v>
      </c>
      <c r="AI4966" s="2">
        <v>18932.733284457299</v>
      </c>
      <c r="AJ4966" s="2">
        <v>15888.8297913679</v>
      </c>
      <c r="AK4966" s="2">
        <v>18644.1615162866</v>
      </c>
      <c r="AL4966" s="2">
        <v>20012.6645999514</v>
      </c>
      <c r="AM4966" s="2">
        <v>18553.519369417299</v>
      </c>
      <c r="AN4966" s="2">
        <v>16667.211757259502</v>
      </c>
      <c r="AO4966" s="2">
        <v>19160.6869322112</v>
      </c>
      <c r="AP4966" s="2">
        <v>17368.039230590701</v>
      </c>
    </row>
    <row r="4967" spans="1:42" ht="14.5" x14ac:dyDescent="0.35">
      <c r="A4967" s="2" t="s">
        <v>32954</v>
      </c>
      <c r="B4967" s="2">
        <v>326.37790630284701</v>
      </c>
      <c r="C4967" s="2">
        <v>10.6795333333333</v>
      </c>
      <c r="D4967" s="2" t="s">
        <v>34</v>
      </c>
      <c r="E4967" s="2" t="s">
        <v>32955</v>
      </c>
      <c r="F4967" s="2">
        <v>9423</v>
      </c>
      <c r="G4967" s="3" t="str">
        <f>HYPERLINK("http://funmeta.oebiotech.com/network/9423", "http://funmeta.oebiotech.com/network/9423")</f>
        <v>http://funmeta.oebiotech.com/network/9423</v>
      </c>
      <c r="H4967" s="2" t="s">
        <v>32956</v>
      </c>
      <c r="I4967" s="2">
        <v>97721</v>
      </c>
      <c r="J4967" s="2" t="s">
        <v>32957</v>
      </c>
      <c r="K4967" s="2">
        <v>84220</v>
      </c>
      <c r="L4967" s="2"/>
      <c r="M4967" s="2"/>
      <c r="N4967" s="2"/>
      <c r="O4967" s="2">
        <v>74138</v>
      </c>
      <c r="P4967" s="2" t="s">
        <v>32958</v>
      </c>
      <c r="Q4967" s="2" t="s">
        <v>32959</v>
      </c>
      <c r="R4967" s="2" t="s">
        <v>32960</v>
      </c>
      <c r="S4967" s="2" t="s">
        <v>3194</v>
      </c>
      <c r="T4967" s="2" t="s">
        <v>3195</v>
      </c>
      <c r="U4967" s="2" t="s">
        <v>3196</v>
      </c>
      <c r="V4967" s="2" t="s">
        <v>59</v>
      </c>
      <c r="W4967" s="2">
        <v>40.200000000000003</v>
      </c>
      <c r="X4967" s="2">
        <v>6.55</v>
      </c>
      <c r="Y4967" s="2" t="s">
        <v>43</v>
      </c>
      <c r="Z4967" s="2" t="s">
        <v>32961</v>
      </c>
      <c r="AA4967" s="2">
        <v>-0.71555800436353001</v>
      </c>
      <c r="AB4967" s="2">
        <v>0.113601603046913</v>
      </c>
      <c r="AC4967" s="2">
        <v>5712.8566740869001</v>
      </c>
      <c r="AD4967" s="2">
        <v>4692.7149992540999</v>
      </c>
      <c r="AE4967" s="2">
        <v>6195.1961153344901</v>
      </c>
      <c r="AF4967" s="2">
        <v>5674.2198236548902</v>
      </c>
      <c r="AG4967" s="2">
        <v>5725.7972376730204</v>
      </c>
      <c r="AH4967" s="2">
        <v>5168.4983567156296</v>
      </c>
      <c r="AI4967" s="2">
        <v>5651.9758979745802</v>
      </c>
      <c r="AJ4967" s="2">
        <v>5861.4526131687899</v>
      </c>
      <c r="AK4967" s="2">
        <v>4667.7825479674302</v>
      </c>
      <c r="AL4967" s="2">
        <v>5045.5357132502204</v>
      </c>
      <c r="AM4967" s="2">
        <v>4047.6935310979802</v>
      </c>
      <c r="AN4967" s="2">
        <v>4392.8293648493</v>
      </c>
      <c r="AO4967" s="2">
        <v>4785.5795607502896</v>
      </c>
      <c r="AP4967" s="2">
        <v>5216.8692776094003</v>
      </c>
    </row>
    <row r="4968" spans="1:42" ht="14.5" x14ac:dyDescent="0.35">
      <c r="A4968" s="2" t="s">
        <v>32962</v>
      </c>
      <c r="B4968" s="2">
        <v>361.07459777951198</v>
      </c>
      <c r="C4968" s="2">
        <v>3.6614666666666702</v>
      </c>
      <c r="D4968" s="2" t="s">
        <v>34</v>
      </c>
      <c r="E4968" s="2" t="s">
        <v>32963</v>
      </c>
      <c r="F4968" s="2">
        <v>197161</v>
      </c>
      <c r="G4968" s="3" t="str">
        <f>HYPERLINK("http://funmeta.oebiotech.com/network/197161", "http://funmeta.oebiotech.com/network/197161")</f>
        <v>http://funmeta.oebiotech.com/network/197161</v>
      </c>
      <c r="H4968" s="2" t="s">
        <v>32964</v>
      </c>
      <c r="I4968" s="2"/>
      <c r="J4968" s="2"/>
      <c r="K4968" s="2"/>
      <c r="L4968" s="2"/>
      <c r="M4968" s="2"/>
      <c r="N4968" s="2"/>
      <c r="O4968" s="2"/>
      <c r="P4968" s="2"/>
      <c r="Q4968" s="2" t="s">
        <v>32965</v>
      </c>
      <c r="R4968" s="2" t="s">
        <v>32966</v>
      </c>
      <c r="S4968" s="2" t="s">
        <v>1184</v>
      </c>
      <c r="T4968" s="2" t="s">
        <v>3333</v>
      </c>
      <c r="U4968" s="2" t="s">
        <v>3334</v>
      </c>
      <c r="V4968" s="2" t="s">
        <v>59</v>
      </c>
      <c r="W4968" s="2">
        <v>38.6</v>
      </c>
      <c r="X4968" s="2">
        <v>0</v>
      </c>
      <c r="Y4968" s="2" t="s">
        <v>141</v>
      </c>
      <c r="Z4968" s="2" t="s">
        <v>32967</v>
      </c>
      <c r="AA4968" s="2">
        <v>1.4867734627389599</v>
      </c>
      <c r="AB4968" s="2">
        <v>0.11357235755936999</v>
      </c>
      <c r="AC4968" s="2">
        <v>3075.5180521621901</v>
      </c>
      <c r="AD4968" s="2">
        <v>4203.0762254758502</v>
      </c>
      <c r="AE4968" s="2">
        <v>2465.9155479297401</v>
      </c>
      <c r="AF4968" s="2">
        <v>3252.6822753822098</v>
      </c>
      <c r="AG4968" s="2">
        <v>3493.52910196318</v>
      </c>
      <c r="AH4968" s="2">
        <v>3601.2097871866499</v>
      </c>
      <c r="AI4968" s="2">
        <v>2827.1512908642599</v>
      </c>
      <c r="AJ4968" s="2">
        <v>2812.6203096471099</v>
      </c>
      <c r="AK4968" s="2">
        <v>4030.1747324080802</v>
      </c>
      <c r="AL4968" s="2">
        <v>3521.0028338970001</v>
      </c>
      <c r="AM4968" s="2">
        <v>4209.5453005549498</v>
      </c>
      <c r="AN4968" s="2">
        <v>5340.5709685470401</v>
      </c>
      <c r="AO4968" s="2">
        <v>4381.4607422217496</v>
      </c>
      <c r="AP4968" s="2">
        <v>3735.7027752262702</v>
      </c>
    </row>
    <row r="4969" spans="1:42" ht="14.5" x14ac:dyDescent="0.35">
      <c r="A4969" s="2" t="s">
        <v>32968</v>
      </c>
      <c r="B4969" s="2">
        <v>219.06515890310101</v>
      </c>
      <c r="C4969" s="2">
        <v>4.4964333333333304</v>
      </c>
      <c r="D4969" s="2" t="s">
        <v>34</v>
      </c>
      <c r="E4969" s="2" t="s">
        <v>32969</v>
      </c>
      <c r="F4969" s="2">
        <v>57251</v>
      </c>
      <c r="G4969" s="3" t="str">
        <f>HYPERLINK("http://funmeta.oebiotech.com/network/57251", "http://funmeta.oebiotech.com/network/57251")</f>
        <v>http://funmeta.oebiotech.com/network/57251</v>
      </c>
      <c r="H4969" s="2" t="s">
        <v>32970</v>
      </c>
      <c r="I4969" s="2">
        <v>66058</v>
      </c>
      <c r="J4969" s="2"/>
      <c r="K4969" s="2">
        <v>17763</v>
      </c>
      <c r="L4969" s="2" t="s">
        <v>32971</v>
      </c>
      <c r="M4969" s="2"/>
      <c r="N4969" s="2"/>
      <c r="O4969" s="2">
        <v>366</v>
      </c>
      <c r="P4969" s="2" t="s">
        <v>32972</v>
      </c>
      <c r="Q4969" s="2" t="s">
        <v>32973</v>
      </c>
      <c r="R4969" s="2" t="s">
        <v>32974</v>
      </c>
      <c r="S4969" s="2" t="s">
        <v>115</v>
      </c>
      <c r="T4969" s="2" t="s">
        <v>758</v>
      </c>
      <c r="U4969" s="2" t="s">
        <v>41</v>
      </c>
      <c r="V4969" s="2" t="s">
        <v>59</v>
      </c>
      <c r="W4969" s="2">
        <v>37.4</v>
      </c>
      <c r="X4969" s="2">
        <v>0</v>
      </c>
      <c r="Y4969" s="2" t="s">
        <v>394</v>
      </c>
      <c r="Z4969" s="2" t="s">
        <v>32975</v>
      </c>
      <c r="AA4969" s="2">
        <v>-0.120737830402098</v>
      </c>
      <c r="AB4969" s="2">
        <v>0.113545520537564</v>
      </c>
      <c r="AC4969" s="2">
        <v>1228.16599821821</v>
      </c>
      <c r="AD4969" s="2">
        <v>2272.88386397148</v>
      </c>
      <c r="AE4969" s="2">
        <v>1191.8717265605401</v>
      </c>
      <c r="AF4969" s="2">
        <v>1521.9224962681899</v>
      </c>
      <c r="AG4969" s="2">
        <v>1179.8250107193101</v>
      </c>
      <c r="AH4969" s="2">
        <v>945.85002832156204</v>
      </c>
      <c r="AI4969" s="2">
        <v>1523.29614284739</v>
      </c>
      <c r="AJ4969" s="2">
        <v>1006.23058459229</v>
      </c>
      <c r="AK4969" s="2">
        <v>3104.5493308676701</v>
      </c>
      <c r="AL4969" s="2">
        <v>2323.8802621771902</v>
      </c>
      <c r="AM4969" s="2">
        <v>2439.5179911008099</v>
      </c>
      <c r="AN4969" s="2">
        <v>1939.6642036425401</v>
      </c>
      <c r="AO4969" s="2">
        <v>1518.94154685843</v>
      </c>
      <c r="AP4969" s="2">
        <v>2310.7498491822298</v>
      </c>
    </row>
    <row r="4970" spans="1:42" ht="14.5" x14ac:dyDescent="0.35">
      <c r="A4970" s="2" t="s">
        <v>32976</v>
      </c>
      <c r="B4970" s="2">
        <v>475.29132538134701</v>
      </c>
      <c r="C4970" s="2">
        <v>7.4513499999999997</v>
      </c>
      <c r="D4970" s="2" t="s">
        <v>70</v>
      </c>
      <c r="E4970" s="2" t="s">
        <v>32977</v>
      </c>
      <c r="F4970" s="2">
        <v>213624</v>
      </c>
      <c r="G4970" s="3" t="str">
        <f>HYPERLINK("http://funmeta.oebiotech.com/network/213624", "http://funmeta.oebiotech.com/network/213624")</f>
        <v>http://funmeta.oebiotech.com/network/213624</v>
      </c>
      <c r="H4970" s="2" t="s">
        <v>32978</v>
      </c>
      <c r="I4970" s="2"/>
      <c r="J4970" s="2"/>
      <c r="K4970" s="2"/>
      <c r="L4970" s="2"/>
      <c r="M4970" s="2"/>
      <c r="N4970" s="2"/>
      <c r="O4970" s="2"/>
      <c r="P4970" s="2"/>
      <c r="Q4970" s="2" t="s">
        <v>32979</v>
      </c>
      <c r="R4970" s="2" t="s">
        <v>32980</v>
      </c>
      <c r="S4970" s="2" t="s">
        <v>41</v>
      </c>
      <c r="T4970" s="2" t="s">
        <v>41</v>
      </c>
      <c r="U4970" s="2" t="s">
        <v>41</v>
      </c>
      <c r="V4970" s="2" t="s">
        <v>59</v>
      </c>
      <c r="W4970" s="2">
        <v>37.299999999999997</v>
      </c>
      <c r="X4970" s="2">
        <v>0</v>
      </c>
      <c r="Y4970" s="2" t="s">
        <v>408</v>
      </c>
      <c r="Z4970" s="2" t="s">
        <v>32981</v>
      </c>
      <c r="AA4970" s="2">
        <v>0.15995491032138301</v>
      </c>
      <c r="AB4970" s="2">
        <v>0.113519580413495</v>
      </c>
      <c r="AC4970" s="2">
        <v>900.16195703329902</v>
      </c>
      <c r="AD4970" s="2">
        <v>2.7106294003980101E-5</v>
      </c>
      <c r="AE4970" s="2">
        <v>921.22622611677298</v>
      </c>
      <c r="AF4970" s="2">
        <v>803.80599799235199</v>
      </c>
      <c r="AG4970" s="2">
        <v>565.48501474403201</v>
      </c>
      <c r="AH4970" s="2">
        <v>786.55050286430003</v>
      </c>
      <c r="AI4970" s="2">
        <v>1254.46109894439</v>
      </c>
      <c r="AJ4970" s="2">
        <v>1069.4429015379501</v>
      </c>
      <c r="AK4970" s="2">
        <v>2.7106294003980101E-5</v>
      </c>
      <c r="AL4970" s="2">
        <v>2.7106294003980101E-5</v>
      </c>
      <c r="AM4970" s="2">
        <v>2.7106294003980101E-5</v>
      </c>
      <c r="AN4970" s="2">
        <v>2.7106294003980101E-5</v>
      </c>
      <c r="AO4970" s="2">
        <v>2.7106294003980101E-5</v>
      </c>
      <c r="AP4970" s="2">
        <v>2.7106294003980101E-5</v>
      </c>
    </row>
    <row r="4971" spans="1:42" ht="14.5" x14ac:dyDescent="0.35">
      <c r="A4971" s="2" t="s">
        <v>32982</v>
      </c>
      <c r="B4971" s="2">
        <v>264.12323030610202</v>
      </c>
      <c r="C4971" s="2">
        <v>4.64978333333333</v>
      </c>
      <c r="D4971" s="2" t="s">
        <v>34</v>
      </c>
      <c r="E4971" s="2" t="s">
        <v>32983</v>
      </c>
      <c r="F4971" s="2">
        <v>55526</v>
      </c>
      <c r="G4971" s="3" t="str">
        <f>HYPERLINK("http://funmeta.oebiotech.com/network/55526", "http://funmeta.oebiotech.com/network/55526")</f>
        <v>http://funmeta.oebiotech.com/network/55526</v>
      </c>
      <c r="H4971" s="2" t="s">
        <v>32984</v>
      </c>
      <c r="I4971" s="2"/>
      <c r="J4971" s="2"/>
      <c r="K4971" s="2">
        <v>49080</v>
      </c>
      <c r="L4971" s="2"/>
      <c r="M4971" s="2"/>
      <c r="N4971" s="2"/>
      <c r="O4971" s="2">
        <v>604512</v>
      </c>
      <c r="P4971" s="2" t="s">
        <v>32985</v>
      </c>
      <c r="Q4971" s="2" t="s">
        <v>32986</v>
      </c>
      <c r="R4971" s="2" t="s">
        <v>32987</v>
      </c>
      <c r="S4971" s="2" t="s">
        <v>115</v>
      </c>
      <c r="T4971" s="2" t="s">
        <v>758</v>
      </c>
      <c r="U4971" s="2" t="s">
        <v>1477</v>
      </c>
      <c r="V4971" s="2" t="s">
        <v>59</v>
      </c>
      <c r="W4971" s="2">
        <v>39</v>
      </c>
      <c r="X4971" s="2">
        <v>0</v>
      </c>
      <c r="Y4971" s="2" t="s">
        <v>43</v>
      </c>
      <c r="Z4971" s="2" t="s">
        <v>3560</v>
      </c>
      <c r="AA4971" s="2">
        <v>0.79584506151624101</v>
      </c>
      <c r="AB4971" s="2">
        <v>0.113425526516301</v>
      </c>
      <c r="AC4971" s="2">
        <v>19162.581139133199</v>
      </c>
      <c r="AD4971" s="2">
        <v>20489.647877762101</v>
      </c>
      <c r="AE4971" s="2">
        <v>18280.526078621599</v>
      </c>
      <c r="AF4971" s="2">
        <v>21011.5909990816</v>
      </c>
      <c r="AG4971" s="2">
        <v>18952.724962669901</v>
      </c>
      <c r="AH4971" s="2">
        <v>18438.377872688401</v>
      </c>
      <c r="AI4971" s="2">
        <v>19802.706885561802</v>
      </c>
      <c r="AJ4971" s="2">
        <v>18489.560036175899</v>
      </c>
      <c r="AK4971" s="2">
        <v>20948.382598843298</v>
      </c>
      <c r="AL4971" s="2">
        <v>20470.079567876499</v>
      </c>
      <c r="AM4971" s="2">
        <v>20220.269232133101</v>
      </c>
      <c r="AN4971" s="2">
        <v>20455.2460085688</v>
      </c>
      <c r="AO4971" s="2">
        <v>19459.098209403499</v>
      </c>
      <c r="AP4971" s="2">
        <v>21384.811649747298</v>
      </c>
    </row>
    <row r="4972" spans="1:42" ht="14.5" x14ac:dyDescent="0.35">
      <c r="A4972" s="2" t="s">
        <v>32988</v>
      </c>
      <c r="B4972" s="2">
        <v>467.15544086190999</v>
      </c>
      <c r="C4972" s="2">
        <v>3.4636499999999999</v>
      </c>
      <c r="D4972" s="2" t="s">
        <v>70</v>
      </c>
      <c r="E4972" s="2" t="s">
        <v>32989</v>
      </c>
      <c r="F4972" s="2">
        <v>289863</v>
      </c>
      <c r="G4972" s="3" t="str">
        <f>HYPERLINK("http://funmeta.oebiotech.com/network/289863", "http://funmeta.oebiotech.com/network/289863")</f>
        <v>http://funmeta.oebiotech.com/network/289863</v>
      </c>
      <c r="H4972" s="2"/>
      <c r="I4972" s="2">
        <v>985006</v>
      </c>
      <c r="J4972" s="2"/>
      <c r="K4972" s="2"/>
      <c r="L4972" s="2"/>
      <c r="M4972" s="2"/>
      <c r="N4972" s="2"/>
      <c r="O4972" s="2">
        <v>11464346</v>
      </c>
      <c r="P4972" s="2"/>
      <c r="Q4972" s="2" t="s">
        <v>32990</v>
      </c>
      <c r="R4972" s="2" t="s">
        <v>32991</v>
      </c>
      <c r="S4972" s="2" t="s">
        <v>50</v>
      </c>
      <c r="T4972" s="2" t="s">
        <v>201</v>
      </c>
      <c r="U4972" s="2" t="s">
        <v>1217</v>
      </c>
      <c r="V4972" s="2" t="s">
        <v>59</v>
      </c>
      <c r="W4972" s="2">
        <v>38</v>
      </c>
      <c r="X4972" s="2">
        <v>0</v>
      </c>
      <c r="Y4972" s="2" t="s">
        <v>408</v>
      </c>
      <c r="Z4972" s="2" t="s">
        <v>32992</v>
      </c>
      <c r="AA4972" s="2">
        <v>-1.0527297458754901</v>
      </c>
      <c r="AB4972" s="2">
        <v>0.11327201965796201</v>
      </c>
      <c r="AC4972" s="2">
        <v>2749.5094130461198</v>
      </c>
      <c r="AD4972" s="2">
        <v>3955.1407943109002</v>
      </c>
      <c r="AE4972" s="2">
        <v>2530.1293181972201</v>
      </c>
      <c r="AF4972" s="2">
        <v>2354.4938822158101</v>
      </c>
      <c r="AG4972" s="2">
        <v>1955.58191005091</v>
      </c>
      <c r="AH4972" s="2">
        <v>2698.6349053968602</v>
      </c>
      <c r="AI4972" s="2">
        <v>4210.9905819717997</v>
      </c>
      <c r="AJ4972" s="2">
        <v>2747.2258804441199</v>
      </c>
      <c r="AK4972" s="2">
        <v>3419.8099359876901</v>
      </c>
      <c r="AL4972" s="2">
        <v>4994.0898949534903</v>
      </c>
      <c r="AM4972" s="2">
        <v>3490.7568736294802</v>
      </c>
      <c r="AN4972" s="2">
        <v>3523.1982471778501</v>
      </c>
      <c r="AO4972" s="2">
        <v>4177.8905922455297</v>
      </c>
      <c r="AP4972" s="2">
        <v>4125.09922187136</v>
      </c>
    </row>
    <row r="4973" spans="1:42" ht="14.5" x14ac:dyDescent="0.35">
      <c r="A4973" s="2" t="s">
        <v>32993</v>
      </c>
      <c r="B4973" s="2">
        <v>155.11778141388899</v>
      </c>
      <c r="C4973" s="2">
        <v>0.76544999999999996</v>
      </c>
      <c r="D4973" s="2" t="s">
        <v>34</v>
      </c>
      <c r="E4973" s="2" t="s">
        <v>32994</v>
      </c>
      <c r="F4973" s="2">
        <v>267223</v>
      </c>
      <c r="G4973" s="3" t="str">
        <f>HYPERLINK("http://funmeta.oebiotech.com/network/267223", "http://funmeta.oebiotech.com/network/267223")</f>
        <v>http://funmeta.oebiotech.com/network/267223</v>
      </c>
      <c r="H4973" s="2"/>
      <c r="I4973" s="2">
        <v>45040</v>
      </c>
      <c r="J4973" s="2"/>
      <c r="K4973" s="2"/>
      <c r="L4973" s="2"/>
      <c r="M4973" s="2"/>
      <c r="N4973" s="2"/>
      <c r="O4973" s="2">
        <v>2724025</v>
      </c>
      <c r="P4973" s="2" t="s">
        <v>32995</v>
      </c>
      <c r="Q4973" s="2" t="s">
        <v>32996</v>
      </c>
      <c r="R4973" s="2" t="s">
        <v>32997</v>
      </c>
      <c r="S4973" s="2" t="s">
        <v>1677</v>
      </c>
      <c r="T4973" s="2" t="s">
        <v>1678</v>
      </c>
      <c r="U4973" s="2" t="s">
        <v>1679</v>
      </c>
      <c r="V4973" s="2" t="s">
        <v>59</v>
      </c>
      <c r="W4973" s="2">
        <v>39.1</v>
      </c>
      <c r="X4973" s="2">
        <v>0</v>
      </c>
      <c r="Y4973" s="2" t="s">
        <v>440</v>
      </c>
      <c r="Z4973" s="2" t="s">
        <v>32998</v>
      </c>
      <c r="AA4973" s="2">
        <v>-0.78851792199780402</v>
      </c>
      <c r="AB4973" s="2">
        <v>0.113224992691301</v>
      </c>
      <c r="AC4973" s="2">
        <v>8001.4383747326101</v>
      </c>
      <c r="AD4973" s="2">
        <v>6727.7422117529904</v>
      </c>
      <c r="AE4973" s="2">
        <v>6809.9158300935896</v>
      </c>
      <c r="AF4973" s="2">
        <v>8758.9603453572709</v>
      </c>
      <c r="AG4973" s="2">
        <v>8962.74588819989</v>
      </c>
      <c r="AH4973" s="2">
        <v>8976.0069563175093</v>
      </c>
      <c r="AI4973" s="2">
        <v>7434.6224249917504</v>
      </c>
      <c r="AJ4973" s="2">
        <v>7066.3788034356703</v>
      </c>
      <c r="AK4973" s="2">
        <v>6993.0542224457704</v>
      </c>
      <c r="AL4973" s="2">
        <v>6456.9826233154699</v>
      </c>
      <c r="AM4973" s="2">
        <v>6820.48579662055</v>
      </c>
      <c r="AN4973" s="2">
        <v>5832.7182488441604</v>
      </c>
      <c r="AO4973" s="2">
        <v>6828.8883497219404</v>
      </c>
      <c r="AP4973" s="2">
        <v>7434.3240295700598</v>
      </c>
    </row>
    <row r="4974" spans="1:42" ht="14.5" x14ac:dyDescent="0.35">
      <c r="A4974" s="2" t="s">
        <v>32999</v>
      </c>
      <c r="B4974" s="2">
        <v>337.06700153488902</v>
      </c>
      <c r="C4974" s="2">
        <v>2.1979333333333302</v>
      </c>
      <c r="D4974" s="2" t="s">
        <v>70</v>
      </c>
      <c r="E4974" s="2" t="s">
        <v>33000</v>
      </c>
      <c r="F4974" s="2">
        <v>198928</v>
      </c>
      <c r="G4974" s="3" t="str">
        <f>HYPERLINK("http://funmeta.oebiotech.com/network/198928", "http://funmeta.oebiotech.com/network/198928")</f>
        <v>http://funmeta.oebiotech.com/network/198928</v>
      </c>
      <c r="H4974" s="2" t="s">
        <v>33001</v>
      </c>
      <c r="I4974" s="2"/>
      <c r="J4974" s="2"/>
      <c r="K4974" s="2"/>
      <c r="L4974" s="2"/>
      <c r="M4974" s="2"/>
      <c r="N4974" s="2"/>
      <c r="O4974" s="2">
        <v>53896498</v>
      </c>
      <c r="P4974" s="2"/>
      <c r="Q4974" s="2" t="s">
        <v>33002</v>
      </c>
      <c r="R4974" s="2" t="s">
        <v>33003</v>
      </c>
      <c r="S4974" s="2" t="s">
        <v>41</v>
      </c>
      <c r="T4974" s="2" t="s">
        <v>41</v>
      </c>
      <c r="U4974" s="2" t="s">
        <v>41</v>
      </c>
      <c r="V4974" s="2" t="s">
        <v>59</v>
      </c>
      <c r="W4974" s="2">
        <v>37.799999999999997</v>
      </c>
      <c r="X4974" s="2">
        <v>1.56</v>
      </c>
      <c r="Y4974" s="2" t="s">
        <v>560</v>
      </c>
      <c r="Z4974" s="2" t="s">
        <v>27146</v>
      </c>
      <c r="AA4974" s="2">
        <v>-2.18131520329871</v>
      </c>
      <c r="AB4974" s="2">
        <v>0.113044859596844</v>
      </c>
      <c r="AC4974" s="2">
        <v>9432.2616802833709</v>
      </c>
      <c r="AD4974" s="2">
        <v>8193.2411582718105</v>
      </c>
      <c r="AE4974" s="2">
        <v>9055.1078831620707</v>
      </c>
      <c r="AF4974" s="2">
        <v>9316.7976457245004</v>
      </c>
      <c r="AG4974" s="2">
        <v>10175.259761372399</v>
      </c>
      <c r="AH4974" s="2">
        <v>9325.2766398968997</v>
      </c>
      <c r="AI4974" s="2">
        <v>8181.7754208262604</v>
      </c>
      <c r="AJ4974" s="2">
        <v>10539.352730718099</v>
      </c>
      <c r="AK4974" s="2">
        <v>7512.4744898099798</v>
      </c>
      <c r="AL4974" s="2">
        <v>8534.0688082527904</v>
      </c>
      <c r="AM4974" s="2">
        <v>8385.7509189149205</v>
      </c>
      <c r="AN4974" s="2">
        <v>9202.0376925532801</v>
      </c>
      <c r="AO4974" s="2">
        <v>8013.8113746340796</v>
      </c>
      <c r="AP4974" s="2">
        <v>7511.3036654657799</v>
      </c>
    </row>
    <row r="4975" spans="1:42" ht="14.5" x14ac:dyDescent="0.35">
      <c r="A4975" s="2" t="s">
        <v>33004</v>
      </c>
      <c r="B4975" s="2">
        <v>243.047419627106</v>
      </c>
      <c r="C4975" s="2">
        <v>1.7763166666666701</v>
      </c>
      <c r="D4975" s="2" t="s">
        <v>34</v>
      </c>
      <c r="E4975" s="2" t="s">
        <v>33005</v>
      </c>
      <c r="F4975" s="2">
        <v>81818</v>
      </c>
      <c r="G4975" s="3" t="str">
        <f>HYPERLINK("http://funmeta.oebiotech.com/network/81818", "http://funmeta.oebiotech.com/network/81818")</f>
        <v>http://funmeta.oebiotech.com/network/81818</v>
      </c>
      <c r="H4975" s="2" t="s">
        <v>33006</v>
      </c>
      <c r="I4975" s="2"/>
      <c r="J4975" s="2"/>
      <c r="K4975" s="2">
        <v>89858</v>
      </c>
      <c r="L4975" s="2"/>
      <c r="M4975" s="2"/>
      <c r="N4975" s="2"/>
      <c r="O4975" s="2">
        <v>88181051</v>
      </c>
      <c r="P4975" s="2"/>
      <c r="Q4975" s="2" t="s">
        <v>33007</v>
      </c>
      <c r="R4975" s="2" t="s">
        <v>33008</v>
      </c>
      <c r="S4975" s="2" t="s">
        <v>89</v>
      </c>
      <c r="T4975" s="2" t="s">
        <v>90</v>
      </c>
      <c r="U4975" s="2" t="s">
        <v>91</v>
      </c>
      <c r="V4975" s="2" t="s">
        <v>59</v>
      </c>
      <c r="W4975" s="2">
        <v>42.6</v>
      </c>
      <c r="X4975" s="2">
        <v>19.7</v>
      </c>
      <c r="Y4975" s="2" t="s">
        <v>323</v>
      </c>
      <c r="Z4975" s="2" t="s">
        <v>33009</v>
      </c>
      <c r="AA4975" s="2">
        <v>-0.47157799888798901</v>
      </c>
      <c r="AB4975" s="2">
        <v>0.112897010574811</v>
      </c>
      <c r="AC4975" s="2">
        <v>9299.3916191384906</v>
      </c>
      <c r="AD4975" s="2">
        <v>10771.6599098263</v>
      </c>
      <c r="AE4975" s="2">
        <v>7323.5681113161399</v>
      </c>
      <c r="AF4975" s="2">
        <v>8180.0453408558897</v>
      </c>
      <c r="AG4975" s="2">
        <v>9358.0755057722199</v>
      </c>
      <c r="AH4975" s="2">
        <v>9239.0489142009992</v>
      </c>
      <c r="AI4975" s="2">
        <v>11178.8562580823</v>
      </c>
      <c r="AJ4975" s="2">
        <v>10516.755584603399</v>
      </c>
      <c r="AK4975" s="2">
        <v>8984.9324693360704</v>
      </c>
      <c r="AL4975" s="2">
        <v>10811.027083835501</v>
      </c>
      <c r="AM4975" s="2">
        <v>11359.294109278901</v>
      </c>
      <c r="AN4975" s="2">
        <v>10769.1039545248</v>
      </c>
      <c r="AO4975" s="2">
        <v>11017.653245821401</v>
      </c>
      <c r="AP4975" s="2">
        <v>11687.948596161201</v>
      </c>
    </row>
    <row r="4976" spans="1:42" ht="14.5" x14ac:dyDescent="0.35">
      <c r="A4976" s="2" t="s">
        <v>33010</v>
      </c>
      <c r="B4976" s="2">
        <v>335.06360737964599</v>
      </c>
      <c r="C4976" s="2">
        <v>0.71894999999999998</v>
      </c>
      <c r="D4976" s="2" t="s">
        <v>34</v>
      </c>
      <c r="E4976" s="2" t="s">
        <v>33011</v>
      </c>
      <c r="F4976" s="2">
        <v>83750</v>
      </c>
      <c r="G4976" s="3" t="str">
        <f>HYPERLINK("http://funmeta.oebiotech.com/network/83750", "http://funmeta.oebiotech.com/network/83750")</f>
        <v>http://funmeta.oebiotech.com/network/83750</v>
      </c>
      <c r="H4976" s="2" t="s">
        <v>33012</v>
      </c>
      <c r="I4976" s="2">
        <v>354398</v>
      </c>
      <c r="J4976" s="2"/>
      <c r="K4976" s="2">
        <v>84222</v>
      </c>
      <c r="L4976" s="2"/>
      <c r="M4976" s="2"/>
      <c r="N4976" s="2"/>
      <c r="O4976" s="2">
        <v>545590</v>
      </c>
      <c r="P4976" s="2"/>
      <c r="Q4976" s="2" t="s">
        <v>33013</v>
      </c>
      <c r="R4976" s="2" t="s">
        <v>33014</v>
      </c>
      <c r="S4976" s="2" t="s">
        <v>2811</v>
      </c>
      <c r="T4976" s="2" t="s">
        <v>4889</v>
      </c>
      <c r="U4976" s="2" t="s">
        <v>41</v>
      </c>
      <c r="V4976" s="2" t="s">
        <v>59</v>
      </c>
      <c r="W4976" s="2">
        <v>38.5</v>
      </c>
      <c r="X4976" s="2">
        <v>0</v>
      </c>
      <c r="Y4976" s="2" t="s">
        <v>340</v>
      </c>
      <c r="Z4976" s="2" t="s">
        <v>33015</v>
      </c>
      <c r="AA4976" s="2">
        <v>1.18371421560201</v>
      </c>
      <c r="AB4976" s="2">
        <v>0.11281432989710601</v>
      </c>
      <c r="AC4976" s="2">
        <v>53756.265918623401</v>
      </c>
      <c r="AD4976" s="2">
        <v>50900.594971861203</v>
      </c>
      <c r="AE4976" s="2">
        <v>55916.452964820899</v>
      </c>
      <c r="AF4976" s="2">
        <v>52045.198883845798</v>
      </c>
      <c r="AG4976" s="2">
        <v>53149.777168053297</v>
      </c>
      <c r="AH4976" s="2">
        <v>58533.277751052701</v>
      </c>
      <c r="AI4976" s="2">
        <v>47953.510790612403</v>
      </c>
      <c r="AJ4976" s="2">
        <v>54939.377953355397</v>
      </c>
      <c r="AK4976" s="2">
        <v>46884.055169783802</v>
      </c>
      <c r="AL4976" s="2">
        <v>40788.173045527998</v>
      </c>
      <c r="AM4976" s="2">
        <v>50146.636964609097</v>
      </c>
      <c r="AN4976" s="2">
        <v>55639.304853338203</v>
      </c>
      <c r="AO4976" s="2">
        <v>56644.802520044403</v>
      </c>
      <c r="AP4976" s="2">
        <v>55300.597277863599</v>
      </c>
    </row>
    <row r="4977" spans="1:42" ht="14.5" x14ac:dyDescent="0.35">
      <c r="A4977" s="2" t="s">
        <v>33016</v>
      </c>
      <c r="B4977" s="2">
        <v>246.124258920975</v>
      </c>
      <c r="C4977" s="2">
        <v>11.2503166666667</v>
      </c>
      <c r="D4977" s="2" t="s">
        <v>34</v>
      </c>
      <c r="E4977" s="5" t="s">
        <v>33017</v>
      </c>
      <c r="F4977" s="2">
        <v>256893</v>
      </c>
      <c r="G4977" s="3" t="str">
        <f>HYPERLINK("http://funmeta.oebiotech.com/network/256893", "http://funmeta.oebiotech.com/network/256893")</f>
        <v>http://funmeta.oebiotech.com/network/256893</v>
      </c>
      <c r="H4977" s="2" t="s">
        <v>33018</v>
      </c>
      <c r="I4977" s="2"/>
      <c r="J4977" s="2"/>
      <c r="K4977" s="2"/>
      <c r="L4977" s="2"/>
      <c r="M4977" s="2"/>
      <c r="N4977" s="2"/>
      <c r="O4977" s="2">
        <v>73818658</v>
      </c>
      <c r="P4977" s="2"/>
      <c r="Q4977" s="2" t="s">
        <v>33019</v>
      </c>
      <c r="R4977" s="2" t="s">
        <v>33020</v>
      </c>
      <c r="S4977" s="2" t="s">
        <v>50</v>
      </c>
      <c r="T4977" s="2" t="s">
        <v>201</v>
      </c>
      <c r="U4977" s="2" t="s">
        <v>636</v>
      </c>
      <c r="V4977" s="2" t="s">
        <v>59</v>
      </c>
      <c r="W4977" s="2">
        <v>37.299999999999997</v>
      </c>
      <c r="X4977" s="2">
        <v>0</v>
      </c>
      <c r="Y4977" s="2" t="s">
        <v>141</v>
      </c>
      <c r="Z4977" s="2" t="s">
        <v>33021</v>
      </c>
      <c r="AA4977" s="2">
        <v>-2.9906189971867101</v>
      </c>
      <c r="AB4977" s="2">
        <v>0.11271406469161099</v>
      </c>
      <c r="AC4977" s="2">
        <v>872.30838359894403</v>
      </c>
      <c r="AD4977" s="2">
        <v>28.3723473225179</v>
      </c>
      <c r="AE4977" s="2">
        <v>1014.87133818592</v>
      </c>
      <c r="AF4977" s="2">
        <v>997.50974760457404</v>
      </c>
      <c r="AG4977" s="2">
        <v>838.89820466584194</v>
      </c>
      <c r="AH4977" s="2">
        <v>791.95981792875205</v>
      </c>
      <c r="AI4977" s="2">
        <v>803.366811553714</v>
      </c>
      <c r="AJ4977" s="2">
        <v>787.24438165486504</v>
      </c>
      <c r="AK4977" s="2">
        <v>2.7106294003980101E-5</v>
      </c>
      <c r="AL4977" s="2">
        <v>71.198083354591603</v>
      </c>
      <c r="AM4977" s="2">
        <v>2.7106294003980101E-5</v>
      </c>
      <c r="AN4977" s="2">
        <v>2.7106294003980101E-5</v>
      </c>
      <c r="AO4977" s="2">
        <v>79.147925058407907</v>
      </c>
      <c r="AP4977" s="2">
        <v>19.887994203225801</v>
      </c>
    </row>
    <row r="4978" spans="1:42" ht="14.5" x14ac:dyDescent="0.35">
      <c r="A4978" s="2" t="s">
        <v>33022</v>
      </c>
      <c r="B4978" s="2">
        <v>497.12496064786001</v>
      </c>
      <c r="C4978" s="2">
        <v>4.8087833333333299</v>
      </c>
      <c r="D4978" s="2" t="s">
        <v>70</v>
      </c>
      <c r="E4978" s="2" t="s">
        <v>33023</v>
      </c>
      <c r="F4978" s="2">
        <v>57856</v>
      </c>
      <c r="G4978" s="3" t="str">
        <f>HYPERLINK("http://funmeta.oebiotech.com/network/57856", "http://funmeta.oebiotech.com/network/57856")</f>
        <v>http://funmeta.oebiotech.com/network/57856</v>
      </c>
      <c r="H4978" s="2" t="s">
        <v>33024</v>
      </c>
      <c r="I4978" s="2">
        <v>89445</v>
      </c>
      <c r="J4978" s="2"/>
      <c r="K4978" s="2"/>
      <c r="L4978" s="2"/>
      <c r="M4978" s="2"/>
      <c r="N4978" s="2"/>
      <c r="O4978" s="2">
        <v>131751470</v>
      </c>
      <c r="P4978" s="2" t="s">
        <v>33025</v>
      </c>
      <c r="Q4978" s="2" t="s">
        <v>33026</v>
      </c>
      <c r="R4978" s="2" t="s">
        <v>33027</v>
      </c>
      <c r="S4978" s="2" t="s">
        <v>115</v>
      </c>
      <c r="T4978" s="2" t="s">
        <v>1095</v>
      </c>
      <c r="U4978" s="2" t="s">
        <v>41</v>
      </c>
      <c r="V4978" s="2" t="s">
        <v>59</v>
      </c>
      <c r="W4978" s="2">
        <v>36.299999999999997</v>
      </c>
      <c r="X4978" s="2">
        <v>0</v>
      </c>
      <c r="Y4978" s="2" t="s">
        <v>408</v>
      </c>
      <c r="Z4978" s="2" t="s">
        <v>33028</v>
      </c>
      <c r="AA4978" s="2">
        <v>1.70178030035091</v>
      </c>
      <c r="AB4978" s="2">
        <v>0.112643483327784</v>
      </c>
      <c r="AC4978" s="2">
        <v>6189.88506721881</v>
      </c>
      <c r="AD4978" s="2">
        <v>7833.5597552239697</v>
      </c>
      <c r="AE4978" s="2">
        <v>5593.0620953113703</v>
      </c>
      <c r="AF4978" s="2">
        <v>6895.5756370058198</v>
      </c>
      <c r="AG4978" s="2">
        <v>5843.0705027040904</v>
      </c>
      <c r="AH4978" s="2">
        <v>7240.39799573454</v>
      </c>
      <c r="AI4978" s="2">
        <v>5465.2945000262498</v>
      </c>
      <c r="AJ4978" s="2">
        <v>6101.90967253077</v>
      </c>
      <c r="AK4978" s="2">
        <v>6720.11455021661</v>
      </c>
      <c r="AL4978" s="2">
        <v>10904.5938860805</v>
      </c>
      <c r="AM4978" s="2">
        <v>9051.9531010379596</v>
      </c>
      <c r="AN4978" s="2">
        <v>6414.4208709778804</v>
      </c>
      <c r="AO4978" s="2">
        <v>8437.5141565907306</v>
      </c>
      <c r="AP4978" s="2">
        <v>5472.76196644011</v>
      </c>
    </row>
    <row r="4979" spans="1:42" ht="14.5" x14ac:dyDescent="0.35">
      <c r="A4979" s="2" t="s">
        <v>33029</v>
      </c>
      <c r="B4979" s="2">
        <v>322.09309729256699</v>
      </c>
      <c r="C4979" s="2">
        <v>3.5784166666666701</v>
      </c>
      <c r="D4979" s="2" t="s">
        <v>70</v>
      </c>
      <c r="E4979" s="2" t="s">
        <v>33030</v>
      </c>
      <c r="F4979" s="2">
        <v>200128</v>
      </c>
      <c r="G4979" s="3" t="str">
        <f>HYPERLINK("http://funmeta.oebiotech.com/network/200128", "http://funmeta.oebiotech.com/network/200128")</f>
        <v>http://funmeta.oebiotech.com/network/200128</v>
      </c>
      <c r="H4979" s="2" t="s">
        <v>33031</v>
      </c>
      <c r="I4979" s="2"/>
      <c r="J4979" s="2"/>
      <c r="K4979" s="2"/>
      <c r="L4979" s="2"/>
      <c r="M4979" s="2"/>
      <c r="N4979" s="2"/>
      <c r="O4979" s="2">
        <v>6914729</v>
      </c>
      <c r="P4979" s="2"/>
      <c r="Q4979" s="2" t="s">
        <v>33032</v>
      </c>
      <c r="R4979" s="2" t="s">
        <v>33033</v>
      </c>
      <c r="S4979" s="2" t="s">
        <v>89</v>
      </c>
      <c r="T4979" s="2" t="s">
        <v>90</v>
      </c>
      <c r="U4979" s="2" t="s">
        <v>99</v>
      </c>
      <c r="V4979" s="2" t="s">
        <v>59</v>
      </c>
      <c r="W4979" s="2">
        <v>37.200000000000003</v>
      </c>
      <c r="X4979" s="2">
        <v>0</v>
      </c>
      <c r="Y4979" s="2" t="s">
        <v>751</v>
      </c>
      <c r="Z4979" s="2" t="s">
        <v>33034</v>
      </c>
      <c r="AA4979" s="2">
        <v>-2.9233469107872301</v>
      </c>
      <c r="AB4979" s="2">
        <v>0.11255741609549499</v>
      </c>
      <c r="AC4979" s="2">
        <v>4840.4225592003104</v>
      </c>
      <c r="AD4979" s="2">
        <v>3892.29482315429</v>
      </c>
      <c r="AE4979" s="2">
        <v>4727.8994482142198</v>
      </c>
      <c r="AF4979" s="2">
        <v>5101.2626944506301</v>
      </c>
      <c r="AG4979" s="2">
        <v>5146.7571014820996</v>
      </c>
      <c r="AH4979" s="2">
        <v>4737.6539841983804</v>
      </c>
      <c r="AI4979" s="2">
        <v>4759.4916498266603</v>
      </c>
      <c r="AJ4979" s="2">
        <v>4569.4704770298904</v>
      </c>
      <c r="AK4979" s="2">
        <v>3466.7840335682099</v>
      </c>
      <c r="AL4979" s="2">
        <v>3548.9521204799398</v>
      </c>
      <c r="AM4979" s="2">
        <v>4109.8941287049502</v>
      </c>
      <c r="AN4979" s="2">
        <v>3882.6111440580798</v>
      </c>
      <c r="AO4979" s="2">
        <v>4023.2882664976801</v>
      </c>
      <c r="AP4979" s="2">
        <v>4322.23924561688</v>
      </c>
    </row>
    <row r="4980" spans="1:42" ht="14.5" x14ac:dyDescent="0.35">
      <c r="A4980" s="2" t="s">
        <v>33035</v>
      </c>
      <c r="B4980" s="2">
        <v>433.18389527568399</v>
      </c>
      <c r="C4980" s="2">
        <v>5.2179000000000002</v>
      </c>
      <c r="D4980" s="2" t="s">
        <v>34</v>
      </c>
      <c r="E4980" s="2" t="s">
        <v>33036</v>
      </c>
      <c r="F4980" s="2">
        <v>55505</v>
      </c>
      <c r="G4980" s="3" t="str">
        <f>HYPERLINK("http://funmeta.oebiotech.com/network/55505", "http://funmeta.oebiotech.com/network/55505")</f>
        <v>http://funmeta.oebiotech.com/network/55505</v>
      </c>
      <c r="H4980" s="2" t="s">
        <v>33037</v>
      </c>
      <c r="I4980" s="2"/>
      <c r="J4980" s="2"/>
      <c r="K4980" s="2"/>
      <c r="L4980" s="2"/>
      <c r="M4980" s="2"/>
      <c r="N4980" s="2"/>
      <c r="O4980" s="2">
        <v>12314744</v>
      </c>
      <c r="P4980" s="2" t="s">
        <v>33038</v>
      </c>
      <c r="Q4980" s="2" t="s">
        <v>33039</v>
      </c>
      <c r="R4980" s="2" t="s">
        <v>33040</v>
      </c>
      <c r="S4980" s="2" t="s">
        <v>79</v>
      </c>
      <c r="T4980" s="2" t="s">
        <v>80</v>
      </c>
      <c r="U4980" s="2" t="s">
        <v>81</v>
      </c>
      <c r="V4980" s="2" t="s">
        <v>59</v>
      </c>
      <c r="W4980" s="2">
        <v>37.4</v>
      </c>
      <c r="X4980" s="2">
        <v>0</v>
      </c>
      <c r="Y4980" s="2" t="s">
        <v>323</v>
      </c>
      <c r="Z4980" s="2" t="s">
        <v>13361</v>
      </c>
      <c r="AA4980" s="2">
        <v>1.4790001884355699</v>
      </c>
      <c r="AB4980" s="2">
        <v>0.112482642306459</v>
      </c>
      <c r="AC4980" s="2">
        <v>15824.6987090083</v>
      </c>
      <c r="AD4980" s="2">
        <v>14282.0511383098</v>
      </c>
      <c r="AE4980" s="2">
        <v>14268.8283178246</v>
      </c>
      <c r="AF4980" s="2">
        <v>17869.407064857201</v>
      </c>
      <c r="AG4980" s="2">
        <v>16063.9669072203</v>
      </c>
      <c r="AH4980" s="2">
        <v>13488.252795992001</v>
      </c>
      <c r="AI4980" s="2">
        <v>15892.8247280334</v>
      </c>
      <c r="AJ4980" s="2">
        <v>17364.912440122102</v>
      </c>
      <c r="AK4980" s="2">
        <v>15011.773241479301</v>
      </c>
      <c r="AL4980" s="2">
        <v>14976.9503404069</v>
      </c>
      <c r="AM4980" s="2">
        <v>12998.376482661701</v>
      </c>
      <c r="AN4980" s="2">
        <v>14235.008482102199</v>
      </c>
      <c r="AO4980" s="2">
        <v>14830.3710729062</v>
      </c>
      <c r="AP4980" s="2">
        <v>13639.827210302599</v>
      </c>
    </row>
    <row r="4981" spans="1:42" ht="14.5" x14ac:dyDescent="0.35">
      <c r="A4981" s="2" t="s">
        <v>33041</v>
      </c>
      <c r="B4981" s="2">
        <v>595.25488210115202</v>
      </c>
      <c r="C4981" s="2">
        <v>9.3529166666666708</v>
      </c>
      <c r="D4981" s="2" t="s">
        <v>70</v>
      </c>
      <c r="E4981" s="2" t="s">
        <v>33042</v>
      </c>
      <c r="F4981" s="2">
        <v>81967</v>
      </c>
      <c r="G4981" s="3" t="str">
        <f>HYPERLINK("http://funmeta.oebiotech.com/network/81967", "http://funmeta.oebiotech.com/network/81967")</f>
        <v>http://funmeta.oebiotech.com/network/81967</v>
      </c>
      <c r="H4981" s="2" t="s">
        <v>33043</v>
      </c>
      <c r="I4981" s="2"/>
      <c r="J4981" s="2"/>
      <c r="K4981" s="2"/>
      <c r="L4981" s="2"/>
      <c r="M4981" s="2"/>
      <c r="N4981" s="2"/>
      <c r="O4981" s="2"/>
      <c r="P4981" s="2"/>
      <c r="Q4981" s="2" t="s">
        <v>33044</v>
      </c>
      <c r="R4981" s="2" t="s">
        <v>33045</v>
      </c>
      <c r="S4981" s="2" t="s">
        <v>491</v>
      </c>
      <c r="T4981" s="2" t="s">
        <v>492</v>
      </c>
      <c r="U4981" s="2" t="s">
        <v>5931</v>
      </c>
      <c r="V4981" s="2" t="s">
        <v>59</v>
      </c>
      <c r="W4981" s="2">
        <v>38</v>
      </c>
      <c r="X4981" s="2">
        <v>0</v>
      </c>
      <c r="Y4981" s="2" t="s">
        <v>118</v>
      </c>
      <c r="Z4981" s="2" t="s">
        <v>33046</v>
      </c>
      <c r="AA4981" s="2">
        <v>-2.2244493617583001</v>
      </c>
      <c r="AB4981" s="2">
        <v>0.112339367550715</v>
      </c>
      <c r="AC4981" s="2">
        <v>19933.161849890799</v>
      </c>
      <c r="AD4981" s="2">
        <v>21762.627634725701</v>
      </c>
      <c r="AE4981" s="2">
        <v>17188.6935252371</v>
      </c>
      <c r="AF4981" s="2">
        <v>21419.462756432298</v>
      </c>
      <c r="AG4981" s="2">
        <v>18799.7642955216</v>
      </c>
      <c r="AH4981" s="2">
        <v>19171.417606004801</v>
      </c>
      <c r="AI4981" s="2">
        <v>21333.818083543199</v>
      </c>
      <c r="AJ4981" s="2">
        <v>21685.814832606</v>
      </c>
      <c r="AK4981" s="2">
        <v>19514.885973580502</v>
      </c>
      <c r="AL4981" s="2">
        <v>24850.3340858345</v>
      </c>
      <c r="AM4981" s="2">
        <v>24030.575051149601</v>
      </c>
      <c r="AN4981" s="2">
        <v>20600.480328707599</v>
      </c>
      <c r="AO4981" s="2">
        <v>20886.681475973</v>
      </c>
      <c r="AP4981" s="2">
        <v>20692.808893108999</v>
      </c>
    </row>
    <row r="4982" spans="1:42" ht="14.5" x14ac:dyDescent="0.35">
      <c r="A4982" s="2" t="s">
        <v>33047</v>
      </c>
      <c r="B4982" s="2">
        <v>431.15566308119901</v>
      </c>
      <c r="C4982" s="2">
        <v>3.5208166666666698</v>
      </c>
      <c r="D4982" s="2" t="s">
        <v>70</v>
      </c>
      <c r="E4982" s="2" t="s">
        <v>33048</v>
      </c>
      <c r="F4982" s="2">
        <v>62836</v>
      </c>
      <c r="G4982" s="3" t="str">
        <f>HYPERLINK("http://funmeta.oebiotech.com/network/62836", "http://funmeta.oebiotech.com/network/62836")</f>
        <v>http://funmeta.oebiotech.com/network/62836</v>
      </c>
      <c r="H4982" s="2" t="s">
        <v>33049</v>
      </c>
      <c r="I4982" s="2"/>
      <c r="J4982" s="2"/>
      <c r="K4982" s="2"/>
      <c r="L4982" s="2"/>
      <c r="M4982" s="2"/>
      <c r="N4982" s="2"/>
      <c r="O4982" s="2">
        <v>131752679</v>
      </c>
      <c r="P4982" s="2" t="s">
        <v>33050</v>
      </c>
      <c r="Q4982" s="2" t="s">
        <v>33051</v>
      </c>
      <c r="R4982" s="2" t="s">
        <v>33052</v>
      </c>
      <c r="S4982" s="2" t="s">
        <v>79</v>
      </c>
      <c r="T4982" s="2" t="s">
        <v>80</v>
      </c>
      <c r="U4982" s="2" t="s">
        <v>81</v>
      </c>
      <c r="V4982" s="2" t="s">
        <v>42</v>
      </c>
      <c r="W4982" s="2">
        <v>54.4</v>
      </c>
      <c r="X4982" s="2">
        <v>75.599999999999994</v>
      </c>
      <c r="Y4982" s="2" t="s">
        <v>408</v>
      </c>
      <c r="Z4982" s="2" t="s">
        <v>33053</v>
      </c>
      <c r="AA4982" s="2">
        <v>-0.57540914184271497</v>
      </c>
      <c r="AB4982" s="2">
        <v>0.11232872960551001</v>
      </c>
      <c r="AC4982" s="2">
        <v>43406.709507244297</v>
      </c>
      <c r="AD4982" s="2">
        <v>45698.508016544198</v>
      </c>
      <c r="AE4982" s="2">
        <v>43839.513401978897</v>
      </c>
      <c r="AF4982" s="2">
        <v>45138.780748648103</v>
      </c>
      <c r="AG4982" s="2">
        <v>40682.863446387899</v>
      </c>
      <c r="AH4982" s="2">
        <v>41777.166599272699</v>
      </c>
      <c r="AI4982" s="2">
        <v>45214.157126457598</v>
      </c>
      <c r="AJ4982" s="2">
        <v>43787.7757207209</v>
      </c>
      <c r="AK4982" s="2">
        <v>42701.421128635098</v>
      </c>
      <c r="AL4982" s="2">
        <v>46532.448571137902</v>
      </c>
      <c r="AM4982" s="2">
        <v>46010.162694480598</v>
      </c>
      <c r="AN4982" s="2">
        <v>51972.8565019253</v>
      </c>
      <c r="AO4982" s="2">
        <v>39352.701020868903</v>
      </c>
      <c r="AP4982" s="2">
        <v>47621.458182217299</v>
      </c>
    </row>
    <row r="4983" spans="1:42" ht="14.5" x14ac:dyDescent="0.35">
      <c r="A4983" s="2" t="s">
        <v>33054</v>
      </c>
      <c r="B4983" s="2">
        <v>377.17297616767502</v>
      </c>
      <c r="C4983" s="2">
        <v>10.283666666666701</v>
      </c>
      <c r="D4983" s="2" t="s">
        <v>34</v>
      </c>
      <c r="E4983" s="2" t="s">
        <v>33055</v>
      </c>
      <c r="F4983" s="2">
        <v>210409</v>
      </c>
      <c r="G4983" s="3" t="str">
        <f>HYPERLINK("http://funmeta.oebiotech.com/network/210409", "http://funmeta.oebiotech.com/network/210409")</f>
        <v>http://funmeta.oebiotech.com/network/210409</v>
      </c>
      <c r="H4983" s="2" t="s">
        <v>33056</v>
      </c>
      <c r="I4983" s="2">
        <v>72641</v>
      </c>
      <c r="J4983" s="2"/>
      <c r="K4983" s="2">
        <v>32687</v>
      </c>
      <c r="L4983" s="2" t="s">
        <v>33057</v>
      </c>
      <c r="M4983" s="2"/>
      <c r="N4983" s="2"/>
      <c r="O4983" s="2">
        <v>5794</v>
      </c>
      <c r="P4983" s="2" t="s">
        <v>33058</v>
      </c>
      <c r="Q4983" s="2" t="s">
        <v>33059</v>
      </c>
      <c r="R4983" s="2" t="s">
        <v>33060</v>
      </c>
      <c r="S4983" s="2" t="s">
        <v>491</v>
      </c>
      <c r="T4983" s="2" t="s">
        <v>2429</v>
      </c>
      <c r="U4983" s="2" t="s">
        <v>41</v>
      </c>
      <c r="V4983" s="2" t="s">
        <v>59</v>
      </c>
      <c r="W4983" s="2">
        <v>38.700000000000003</v>
      </c>
      <c r="X4983" s="2">
        <v>0</v>
      </c>
      <c r="Y4983" s="2" t="s">
        <v>340</v>
      </c>
      <c r="Z4983" s="2" t="s">
        <v>16110</v>
      </c>
      <c r="AA4983" s="2">
        <v>1.4607160111597299</v>
      </c>
      <c r="AB4983" s="2">
        <v>0.11231429214732901</v>
      </c>
      <c r="AC4983" s="2">
        <v>1655.44068149993</v>
      </c>
      <c r="AD4983" s="2">
        <v>749.82896269863397</v>
      </c>
      <c r="AE4983" s="2">
        <v>1891.71468722072</v>
      </c>
      <c r="AF4983" s="2">
        <v>1561.1550633075201</v>
      </c>
      <c r="AG4983" s="2">
        <v>1971.42902479187</v>
      </c>
      <c r="AH4983" s="2">
        <v>1618.4655749799001</v>
      </c>
      <c r="AI4983" s="2">
        <v>1248.88960249395</v>
      </c>
      <c r="AJ4983" s="2">
        <v>1640.99013620562</v>
      </c>
      <c r="AK4983" s="2">
        <v>486.20642148255598</v>
      </c>
      <c r="AL4983" s="2">
        <v>632.52046914195205</v>
      </c>
      <c r="AM4983" s="2">
        <v>957.83015949776802</v>
      </c>
      <c r="AN4983" s="2">
        <v>963.75184059103799</v>
      </c>
      <c r="AO4983" s="2">
        <v>779.67649241108097</v>
      </c>
      <c r="AP4983" s="2">
        <v>678.98839306740604</v>
      </c>
    </row>
    <row r="4984" spans="1:42" ht="14.5" x14ac:dyDescent="0.35">
      <c r="A4984" s="2" t="s">
        <v>33061</v>
      </c>
      <c r="B4984" s="2">
        <v>501.21305235580201</v>
      </c>
      <c r="C4984" s="2">
        <v>9.04463333333333</v>
      </c>
      <c r="D4984" s="2" t="s">
        <v>70</v>
      </c>
      <c r="E4984" s="2" t="s">
        <v>33062</v>
      </c>
      <c r="F4984" s="2">
        <v>204631</v>
      </c>
      <c r="G4984" s="3" t="str">
        <f>HYPERLINK("http://funmeta.oebiotech.com/network/204631", "http://funmeta.oebiotech.com/network/204631")</f>
        <v>http://funmeta.oebiotech.com/network/204631</v>
      </c>
      <c r="H4984" s="2" t="s">
        <v>33063</v>
      </c>
      <c r="I4984" s="2"/>
      <c r="J4984" s="2"/>
      <c r="K4984" s="2"/>
      <c r="L4984" s="2"/>
      <c r="M4984" s="2"/>
      <c r="N4984" s="2"/>
      <c r="O4984" s="2">
        <v>168074</v>
      </c>
      <c r="P4984" s="2"/>
      <c r="Q4984" s="2" t="s">
        <v>33064</v>
      </c>
      <c r="R4984" s="2" t="s">
        <v>33065</v>
      </c>
      <c r="S4984" s="2" t="s">
        <v>41</v>
      </c>
      <c r="T4984" s="2" t="s">
        <v>41</v>
      </c>
      <c r="U4984" s="2" t="s">
        <v>41</v>
      </c>
      <c r="V4984" s="2" t="s">
        <v>59</v>
      </c>
      <c r="W4984" s="2">
        <v>37.799999999999997</v>
      </c>
      <c r="X4984" s="2">
        <v>0</v>
      </c>
      <c r="Y4984" s="2" t="s">
        <v>560</v>
      </c>
      <c r="Z4984" s="2" t="s">
        <v>33066</v>
      </c>
      <c r="AA4984" s="2">
        <v>-2.8759627622533199</v>
      </c>
      <c r="AB4984" s="2">
        <v>0.112221429055972</v>
      </c>
      <c r="AC4984" s="2">
        <v>1746.9408737728199</v>
      </c>
      <c r="AD4984" s="2">
        <v>804.62601694140301</v>
      </c>
      <c r="AE4984" s="2">
        <v>1718.5616799531199</v>
      </c>
      <c r="AF4984" s="2">
        <v>2150.9296061409</v>
      </c>
      <c r="AG4984" s="2">
        <v>1160.2170214847399</v>
      </c>
      <c r="AH4984" s="2">
        <v>2026.65501435531</v>
      </c>
      <c r="AI4984" s="2">
        <v>1636.07114246163</v>
      </c>
      <c r="AJ4984" s="2">
        <v>1789.2107782412199</v>
      </c>
      <c r="AK4984" s="2">
        <v>722.280443844925</v>
      </c>
      <c r="AL4984" s="2">
        <v>892.80452799223599</v>
      </c>
      <c r="AM4984" s="2">
        <v>966.47243606482198</v>
      </c>
      <c r="AN4984" s="2">
        <v>871.63114592335205</v>
      </c>
      <c r="AO4984" s="2">
        <v>432.13935062687102</v>
      </c>
      <c r="AP4984" s="2">
        <v>942.428197196214</v>
      </c>
    </row>
    <row r="4985" spans="1:42" ht="14.5" x14ac:dyDescent="0.35">
      <c r="A4985" s="2" t="s">
        <v>33067</v>
      </c>
      <c r="B4985" s="2">
        <v>279.08458711451698</v>
      </c>
      <c r="C4985" s="2">
        <v>3.5784166666666701</v>
      </c>
      <c r="D4985" s="2" t="s">
        <v>70</v>
      </c>
      <c r="E4985" s="2" t="s">
        <v>33068</v>
      </c>
      <c r="F4985" s="2">
        <v>54000</v>
      </c>
      <c r="G4985" s="3" t="str">
        <f>HYPERLINK("http://funmeta.oebiotech.com/network/54000", "http://funmeta.oebiotech.com/network/54000")</f>
        <v>http://funmeta.oebiotech.com/network/54000</v>
      </c>
      <c r="H4985" s="2" t="s">
        <v>33069</v>
      </c>
      <c r="I4985" s="2"/>
      <c r="J4985" s="2"/>
      <c r="K4985" s="2"/>
      <c r="L4985" s="2"/>
      <c r="M4985" s="2"/>
      <c r="N4985" s="2"/>
      <c r="O4985" s="2">
        <v>104294</v>
      </c>
      <c r="P4985" s="2"/>
      <c r="Q4985" s="2" t="s">
        <v>33070</v>
      </c>
      <c r="R4985" s="2" t="s">
        <v>33071</v>
      </c>
      <c r="S4985" s="2" t="s">
        <v>89</v>
      </c>
      <c r="T4985" s="2" t="s">
        <v>90</v>
      </c>
      <c r="U4985" s="2" t="s">
        <v>99</v>
      </c>
      <c r="V4985" s="2" t="s">
        <v>59</v>
      </c>
      <c r="W4985" s="2">
        <v>38.5</v>
      </c>
      <c r="X4985" s="2">
        <v>0</v>
      </c>
      <c r="Y4985" s="2" t="s">
        <v>118</v>
      </c>
      <c r="Z4985" s="2" t="s">
        <v>33072</v>
      </c>
      <c r="AA4985" s="2">
        <v>1.17474752705143</v>
      </c>
      <c r="AB4985" s="2">
        <v>0.112171579960611</v>
      </c>
      <c r="AC4985" s="2">
        <v>2862.3548589338202</v>
      </c>
      <c r="AD4985" s="2">
        <v>3772.8441050054998</v>
      </c>
      <c r="AE4985" s="2">
        <v>3222.4280201500401</v>
      </c>
      <c r="AF4985" s="2">
        <v>2686.03733144337</v>
      </c>
      <c r="AG4985" s="2">
        <v>2858.4004224140699</v>
      </c>
      <c r="AH4985" s="2">
        <v>2754.8228860362601</v>
      </c>
      <c r="AI4985" s="2">
        <v>2756.16624802248</v>
      </c>
      <c r="AJ4985" s="2">
        <v>2896.2742455367002</v>
      </c>
      <c r="AK4985" s="2">
        <v>3711.9271937367598</v>
      </c>
      <c r="AL4985" s="2">
        <v>3389.80958969722</v>
      </c>
      <c r="AM4985" s="2">
        <v>3881.3839212451298</v>
      </c>
      <c r="AN4985" s="2">
        <v>3863.6698374555299</v>
      </c>
      <c r="AO4985" s="2">
        <v>3617.0902790088498</v>
      </c>
      <c r="AP4985" s="2">
        <v>4173.1838088895402</v>
      </c>
    </row>
    <row r="4986" spans="1:42" ht="14.5" x14ac:dyDescent="0.35">
      <c r="A4986" s="2" t="s">
        <v>33073</v>
      </c>
      <c r="B4986" s="2">
        <v>348.07004106441502</v>
      </c>
      <c r="C4986" s="2">
        <v>1.0770999999999999</v>
      </c>
      <c r="D4986" s="2" t="s">
        <v>34</v>
      </c>
      <c r="E4986" s="2" t="s">
        <v>33074</v>
      </c>
      <c r="F4986" s="2">
        <v>51463</v>
      </c>
      <c r="G4986" s="3" t="str">
        <f>HYPERLINK("http://funmeta.oebiotech.com/network/51463", "http://funmeta.oebiotech.com/network/51463")</f>
        <v>http://funmeta.oebiotech.com/network/51463</v>
      </c>
      <c r="H4986" s="2" t="s">
        <v>33075</v>
      </c>
      <c r="I4986" s="2">
        <v>62419</v>
      </c>
      <c r="J4986" s="2"/>
      <c r="K4986" s="2">
        <v>28607</v>
      </c>
      <c r="L4986" s="2" t="s">
        <v>33076</v>
      </c>
      <c r="M4986" s="2" t="s">
        <v>1978</v>
      </c>
      <c r="N4986" s="2" t="s">
        <v>1979</v>
      </c>
      <c r="O4986" s="2">
        <v>440776</v>
      </c>
      <c r="P4986" s="2" t="s">
        <v>33077</v>
      </c>
      <c r="Q4986" s="2" t="s">
        <v>33078</v>
      </c>
      <c r="R4986" s="2" t="s">
        <v>33079</v>
      </c>
      <c r="S4986" s="2" t="s">
        <v>1444</v>
      </c>
      <c r="T4986" s="2" t="s">
        <v>4937</v>
      </c>
      <c r="U4986" s="2" t="s">
        <v>14202</v>
      </c>
      <c r="V4986" s="2" t="s">
        <v>59</v>
      </c>
      <c r="W4986" s="2">
        <v>39</v>
      </c>
      <c r="X4986" s="2">
        <v>0</v>
      </c>
      <c r="Y4986" s="2" t="s">
        <v>43</v>
      </c>
      <c r="Z4986" s="2" t="s">
        <v>33080</v>
      </c>
      <c r="AA4986" s="2">
        <v>-0.96899718913352695</v>
      </c>
      <c r="AB4986" s="2">
        <v>0.11213358570088899</v>
      </c>
      <c r="AC4986" s="2">
        <v>11567.9161480985</v>
      </c>
      <c r="AD4986" s="2">
        <v>12834.8632343356</v>
      </c>
      <c r="AE4986" s="2">
        <v>11879.8860656909</v>
      </c>
      <c r="AF4986" s="2">
        <v>11551.167730527801</v>
      </c>
      <c r="AG4986" s="2">
        <v>11305.7638958198</v>
      </c>
      <c r="AH4986" s="2">
        <v>11186.758304548701</v>
      </c>
      <c r="AI4986" s="2">
        <v>12137.965121726</v>
      </c>
      <c r="AJ4986" s="2">
        <v>11345.9557702777</v>
      </c>
      <c r="AK4986" s="2">
        <v>13805.6223760253</v>
      </c>
      <c r="AL4986" s="2">
        <v>13292.683713198399</v>
      </c>
      <c r="AM4986" s="2">
        <v>12827.7843690431</v>
      </c>
      <c r="AN4986" s="2">
        <v>13633.677249350299</v>
      </c>
      <c r="AO4986" s="2">
        <v>10808.1626511331</v>
      </c>
      <c r="AP4986" s="2">
        <v>12641.2490472633</v>
      </c>
    </row>
    <row r="4987" spans="1:42" ht="14.5" x14ac:dyDescent="0.35">
      <c r="A4987" s="2" t="s">
        <v>33081</v>
      </c>
      <c r="B4987" s="2">
        <v>195.019837397841</v>
      </c>
      <c r="C4987" s="2">
        <v>0.62124999999999997</v>
      </c>
      <c r="D4987" s="2" t="s">
        <v>34</v>
      </c>
      <c r="E4987" s="2" t="s">
        <v>33082</v>
      </c>
      <c r="F4987" s="2">
        <v>52654</v>
      </c>
      <c r="G4987" s="3" t="str">
        <f>HYPERLINK("http://funmeta.oebiotech.com/network/52654", "http://funmeta.oebiotech.com/network/52654")</f>
        <v>http://funmeta.oebiotech.com/network/52654</v>
      </c>
      <c r="H4987" s="2" t="s">
        <v>33083</v>
      </c>
      <c r="I4987" s="2">
        <v>3308</v>
      </c>
      <c r="J4987" s="2"/>
      <c r="K4987" s="2">
        <v>45373</v>
      </c>
      <c r="L4987" s="2" t="s">
        <v>33084</v>
      </c>
      <c r="M4987" s="2"/>
      <c r="N4987" s="2"/>
      <c r="O4987" s="2">
        <v>5333</v>
      </c>
      <c r="P4987" s="2" t="s">
        <v>33085</v>
      </c>
      <c r="Q4987" s="2" t="s">
        <v>33086</v>
      </c>
      <c r="R4987" s="2" t="s">
        <v>33087</v>
      </c>
      <c r="S4987" s="2" t="s">
        <v>148</v>
      </c>
      <c r="T4987" s="2" t="s">
        <v>149</v>
      </c>
      <c r="U4987" s="2" t="s">
        <v>4282</v>
      </c>
      <c r="V4987" s="2" t="s">
        <v>59</v>
      </c>
      <c r="W4987" s="2">
        <v>38.5</v>
      </c>
      <c r="X4987" s="2">
        <v>4.8899999999999997</v>
      </c>
      <c r="Y4987" s="2" t="s">
        <v>323</v>
      </c>
      <c r="Z4987" s="2" t="s">
        <v>33088</v>
      </c>
      <c r="AA4987" s="2">
        <v>-0.18477776409789401</v>
      </c>
      <c r="AB4987" s="2">
        <v>0.112130062181938</v>
      </c>
      <c r="AC4987" s="2">
        <v>7890.5090495644799</v>
      </c>
      <c r="AD4987" s="2">
        <v>9393.2108360759994</v>
      </c>
      <c r="AE4987" s="2">
        <v>7758.6402668529099</v>
      </c>
      <c r="AF4987" s="2">
        <v>10251.0519505549</v>
      </c>
      <c r="AG4987" s="2">
        <v>6209.4916952168496</v>
      </c>
      <c r="AH4987" s="2">
        <v>6573.63425986526</v>
      </c>
      <c r="AI4987" s="2">
        <v>9079.9097074513302</v>
      </c>
      <c r="AJ4987" s="2">
        <v>7470.3264174456199</v>
      </c>
      <c r="AK4987" s="2">
        <v>8643.0577687134592</v>
      </c>
      <c r="AL4987" s="2">
        <v>8070.8701626372604</v>
      </c>
      <c r="AM4987" s="2">
        <v>9631.1081339827306</v>
      </c>
      <c r="AN4987" s="2">
        <v>10559.5757990277</v>
      </c>
      <c r="AO4987" s="2">
        <v>9123.0536673958195</v>
      </c>
      <c r="AP4987" s="2">
        <v>10331.599484699</v>
      </c>
    </row>
    <row r="4988" spans="1:42" ht="14.5" x14ac:dyDescent="0.35">
      <c r="A4988" s="2" t="s">
        <v>33089</v>
      </c>
      <c r="B4988" s="2">
        <v>377.13375867464498</v>
      </c>
      <c r="C4988" s="2">
        <v>4.4450666666666701</v>
      </c>
      <c r="D4988" s="2" t="s">
        <v>34</v>
      </c>
      <c r="E4988" s="2" t="s">
        <v>33090</v>
      </c>
      <c r="F4988" s="2">
        <v>82691</v>
      </c>
      <c r="G4988" s="3" t="str">
        <f>HYPERLINK("http://funmeta.oebiotech.com/network/82691", "http://funmeta.oebiotech.com/network/82691")</f>
        <v>http://funmeta.oebiotech.com/network/82691</v>
      </c>
      <c r="H4988" s="2" t="s">
        <v>33091</v>
      </c>
      <c r="I4988" s="2"/>
      <c r="J4988" s="2"/>
      <c r="K4988" s="2"/>
      <c r="L4988" s="2"/>
      <c r="M4988" s="2"/>
      <c r="N4988" s="2"/>
      <c r="O4988" s="2">
        <v>45479483</v>
      </c>
      <c r="P4988" s="2"/>
      <c r="Q4988" s="2" t="s">
        <v>33092</v>
      </c>
      <c r="R4988" s="2" t="s">
        <v>33093</v>
      </c>
      <c r="S4988" s="2" t="s">
        <v>79</v>
      </c>
      <c r="T4988" s="2" t="s">
        <v>80</v>
      </c>
      <c r="U4988" s="2" t="s">
        <v>81</v>
      </c>
      <c r="V4988" s="2" t="s">
        <v>59</v>
      </c>
      <c r="W4988" s="2">
        <v>36.1</v>
      </c>
      <c r="X4988" s="2">
        <v>0</v>
      </c>
      <c r="Y4988" s="2" t="s">
        <v>141</v>
      </c>
      <c r="Z4988" s="2" t="s">
        <v>33094</v>
      </c>
      <c r="AA4988" s="2">
        <v>-1.44301622629355</v>
      </c>
      <c r="AB4988" s="2">
        <v>0.112042463904908</v>
      </c>
      <c r="AC4988" s="2">
        <v>4415.9240224034202</v>
      </c>
      <c r="AD4988" s="2">
        <v>5755.8610380457903</v>
      </c>
      <c r="AE4988" s="2">
        <v>4389.7836947206897</v>
      </c>
      <c r="AF4988" s="2">
        <v>3787.8373191872302</v>
      </c>
      <c r="AG4988" s="2">
        <v>2915.9370470948902</v>
      </c>
      <c r="AH4988" s="2">
        <v>5851.8359251684196</v>
      </c>
      <c r="AI4988" s="2">
        <v>5148.7483378030602</v>
      </c>
      <c r="AJ4988" s="2">
        <v>4401.4018104462502</v>
      </c>
      <c r="AK4988" s="2">
        <v>5328.7891088429997</v>
      </c>
      <c r="AL4988" s="2">
        <v>7254.3087163228201</v>
      </c>
      <c r="AM4988" s="2">
        <v>5926.5288806832004</v>
      </c>
      <c r="AN4988" s="2">
        <v>6086.65368919907</v>
      </c>
      <c r="AO4988" s="2">
        <v>5210.0211308646703</v>
      </c>
      <c r="AP4988" s="2">
        <v>4728.8647023619596</v>
      </c>
    </row>
    <row r="4989" spans="1:42" ht="14.5" x14ac:dyDescent="0.35">
      <c r="A4989" s="2" t="s">
        <v>33095</v>
      </c>
      <c r="B4989" s="2">
        <v>437.203005194978</v>
      </c>
      <c r="C4989" s="2">
        <v>4.5423999999999998</v>
      </c>
      <c r="D4989" s="2" t="s">
        <v>70</v>
      </c>
      <c r="E4989" s="2" t="s">
        <v>33096</v>
      </c>
      <c r="F4989" s="2">
        <v>10371</v>
      </c>
      <c r="G4989" s="3" t="str">
        <f>HYPERLINK("http://funmeta.oebiotech.com/network/10371", "http://funmeta.oebiotech.com/network/10371")</f>
        <v>http://funmeta.oebiotech.com/network/10371</v>
      </c>
      <c r="H4989" s="2"/>
      <c r="I4989" s="2"/>
      <c r="J4989" s="2" t="s">
        <v>33097</v>
      </c>
      <c r="K4989" s="2">
        <v>79197</v>
      </c>
      <c r="L4989" s="2"/>
      <c r="M4989" s="2"/>
      <c r="N4989" s="2"/>
      <c r="O4989" s="2">
        <v>86289812</v>
      </c>
      <c r="P4989" s="2"/>
      <c r="Q4989" s="2" t="s">
        <v>33098</v>
      </c>
      <c r="R4989" s="2" t="s">
        <v>33099</v>
      </c>
      <c r="S4989" s="2" t="s">
        <v>50</v>
      </c>
      <c r="T4989" s="2" t="s">
        <v>229</v>
      </c>
      <c r="U4989" s="2" t="s">
        <v>230</v>
      </c>
      <c r="V4989" s="2" t="s">
        <v>59</v>
      </c>
      <c r="W4989" s="2">
        <v>43.3</v>
      </c>
      <c r="X4989" s="2">
        <v>24.5</v>
      </c>
      <c r="Y4989" s="2" t="s">
        <v>118</v>
      </c>
      <c r="Z4989" s="2" t="s">
        <v>33100</v>
      </c>
      <c r="AA4989" s="2">
        <v>0.38730607393045502</v>
      </c>
      <c r="AB4989" s="2">
        <v>0.112017391723364</v>
      </c>
      <c r="AC4989" s="2">
        <v>39005.478623950403</v>
      </c>
      <c r="AD4989" s="2">
        <v>41014.088906544297</v>
      </c>
      <c r="AE4989" s="2">
        <v>37875.073438960499</v>
      </c>
      <c r="AF4989" s="2">
        <v>42520.410626899102</v>
      </c>
      <c r="AG4989" s="2">
        <v>35792.614674367003</v>
      </c>
      <c r="AH4989" s="2">
        <v>40839.027016079497</v>
      </c>
      <c r="AI4989" s="2">
        <v>37984.944328256097</v>
      </c>
      <c r="AJ4989" s="2">
        <v>39020.801659140001</v>
      </c>
      <c r="AK4989" s="2">
        <v>41064.181719386797</v>
      </c>
      <c r="AL4989" s="2">
        <v>37179.529205456398</v>
      </c>
      <c r="AM4989" s="2">
        <v>44238.622483541498</v>
      </c>
      <c r="AN4989" s="2">
        <v>43303.981286962502</v>
      </c>
      <c r="AO4989" s="2">
        <v>39290.716776752997</v>
      </c>
      <c r="AP4989" s="2">
        <v>41007.501967165699</v>
      </c>
    </row>
    <row r="4990" spans="1:42" ht="14.5" x14ac:dyDescent="0.35">
      <c r="A4990" s="2" t="s">
        <v>33101</v>
      </c>
      <c r="B4990" s="2">
        <v>459.13018387602801</v>
      </c>
      <c r="C4990" s="2">
        <v>4.96875</v>
      </c>
      <c r="D4990" s="2" t="s">
        <v>70</v>
      </c>
      <c r="E4990" s="2" t="s">
        <v>33102</v>
      </c>
      <c r="F4990" s="2">
        <v>34009</v>
      </c>
      <c r="G4990" s="3" t="str">
        <f>HYPERLINK("http://funmeta.oebiotech.com/network/34009", "http://funmeta.oebiotech.com/network/34009")</f>
        <v>http://funmeta.oebiotech.com/network/34009</v>
      </c>
      <c r="H4990" s="2"/>
      <c r="I4990" s="2"/>
      <c r="J4990" s="2" t="s">
        <v>33103</v>
      </c>
      <c r="K4990" s="2"/>
      <c r="L4990" s="2"/>
      <c r="M4990" s="2"/>
      <c r="N4990" s="2"/>
      <c r="O4990" s="2">
        <v>38357854</v>
      </c>
      <c r="P4990" s="2"/>
      <c r="Q4990" s="2" t="s">
        <v>33104</v>
      </c>
      <c r="R4990" s="2" t="s">
        <v>33105</v>
      </c>
      <c r="S4990" s="2" t="s">
        <v>115</v>
      </c>
      <c r="T4990" s="2" t="s">
        <v>139</v>
      </c>
      <c r="U4990" s="2" t="s">
        <v>140</v>
      </c>
      <c r="V4990" s="2" t="s">
        <v>59</v>
      </c>
      <c r="W4990" s="2">
        <v>46.2</v>
      </c>
      <c r="X4990" s="2">
        <v>38.9</v>
      </c>
      <c r="Y4990" s="2" t="s">
        <v>751</v>
      </c>
      <c r="Z4990" s="2" t="s">
        <v>6576</v>
      </c>
      <c r="AA4990" s="2">
        <v>1.0736164791195599</v>
      </c>
      <c r="AB4990" s="2">
        <v>0.112001695635289</v>
      </c>
      <c r="AC4990" s="2">
        <v>28880.051852447701</v>
      </c>
      <c r="AD4990" s="2">
        <v>27059.803978684002</v>
      </c>
      <c r="AE4990" s="2">
        <v>26254.702547401801</v>
      </c>
      <c r="AF4990" s="2">
        <v>29699.9943278432</v>
      </c>
      <c r="AG4990" s="2">
        <v>28368.064272852698</v>
      </c>
      <c r="AH4990" s="2">
        <v>32388.6245643697</v>
      </c>
      <c r="AI4990" s="2">
        <v>28311.479399525801</v>
      </c>
      <c r="AJ4990" s="2">
        <v>28257.446002692799</v>
      </c>
      <c r="AK4990" s="2">
        <v>28556.624698883599</v>
      </c>
      <c r="AL4990" s="2">
        <v>24488.639562302898</v>
      </c>
      <c r="AM4990" s="2">
        <v>28426.2190833805</v>
      </c>
      <c r="AN4990" s="2">
        <v>24893.768600148502</v>
      </c>
      <c r="AO4990" s="2">
        <v>27470.366751556201</v>
      </c>
      <c r="AP4990" s="2">
        <v>28523.205175832201</v>
      </c>
    </row>
    <row r="4991" spans="1:42" ht="14.5" x14ac:dyDescent="0.35">
      <c r="A4991" s="2" t="s">
        <v>33106</v>
      </c>
      <c r="B4991" s="2">
        <v>520.29148758487099</v>
      </c>
      <c r="C4991" s="2">
        <v>7.6666999999999996</v>
      </c>
      <c r="D4991" s="2" t="s">
        <v>70</v>
      </c>
      <c r="E4991" s="2" t="s">
        <v>33107</v>
      </c>
      <c r="F4991" s="2">
        <v>53057</v>
      </c>
      <c r="G4991" s="3" t="str">
        <f>HYPERLINK("http://funmeta.oebiotech.com/network/53057", "http://funmeta.oebiotech.com/network/53057")</f>
        <v>http://funmeta.oebiotech.com/network/53057</v>
      </c>
      <c r="H4991" s="2" t="s">
        <v>33108</v>
      </c>
      <c r="I4991" s="2">
        <v>85428</v>
      </c>
      <c r="J4991" s="2"/>
      <c r="K4991" s="2">
        <v>50851</v>
      </c>
      <c r="L4991" s="2"/>
      <c r="M4991" s="2"/>
      <c r="N4991" s="2"/>
      <c r="O4991" s="2">
        <v>84088</v>
      </c>
      <c r="P4991" s="2" t="s">
        <v>33109</v>
      </c>
      <c r="Q4991" s="2" t="s">
        <v>33110</v>
      </c>
      <c r="R4991" s="2" t="s">
        <v>33111</v>
      </c>
      <c r="S4991" s="2" t="s">
        <v>50</v>
      </c>
      <c r="T4991" s="2" t="s">
        <v>124</v>
      </c>
      <c r="U4991" s="2" t="s">
        <v>929</v>
      </c>
      <c r="V4991" s="2" t="s">
        <v>59</v>
      </c>
      <c r="W4991" s="2">
        <v>39.299999999999997</v>
      </c>
      <c r="X4991" s="2">
        <v>0</v>
      </c>
      <c r="Y4991" s="2" t="s">
        <v>408</v>
      </c>
      <c r="Z4991" s="2" t="s">
        <v>33112</v>
      </c>
      <c r="AA4991" s="2">
        <v>-0.21738606551143499</v>
      </c>
      <c r="AB4991" s="2">
        <v>0.11194176426301899</v>
      </c>
      <c r="AC4991" s="2">
        <v>970.27462370651301</v>
      </c>
      <c r="AD4991" s="2">
        <v>20.152813010713199</v>
      </c>
      <c r="AE4991" s="2">
        <v>775.98018445460104</v>
      </c>
      <c r="AF4991" s="2">
        <v>846.88006022731201</v>
      </c>
      <c r="AG4991" s="2">
        <v>975.28194041614302</v>
      </c>
      <c r="AH4991" s="2">
        <v>1705.7125544231401</v>
      </c>
      <c r="AI4991" s="2">
        <v>1076.2382183913901</v>
      </c>
      <c r="AJ4991" s="2">
        <v>441.55478432648999</v>
      </c>
      <c r="AK4991" s="2">
        <v>2.7106294003980101E-5</v>
      </c>
      <c r="AL4991" s="2">
        <v>2.46963701860781</v>
      </c>
      <c r="AM4991" s="2">
        <v>34.328843768711799</v>
      </c>
      <c r="AN4991" s="2">
        <v>39.175030292610501</v>
      </c>
      <c r="AO4991" s="2">
        <v>3.4318801759354098</v>
      </c>
      <c r="AP4991" s="2">
        <v>41.511459702119403</v>
      </c>
    </row>
    <row r="4992" spans="1:42" ht="14.5" x14ac:dyDescent="0.35">
      <c r="A4992" s="2" t="s">
        <v>33113</v>
      </c>
      <c r="B4992" s="2">
        <v>272.25821000535802</v>
      </c>
      <c r="C4992" s="2">
        <v>8.9336000000000002</v>
      </c>
      <c r="D4992" s="2" t="s">
        <v>34</v>
      </c>
      <c r="E4992" s="2" t="s">
        <v>33114</v>
      </c>
      <c r="F4992" s="2">
        <v>56923</v>
      </c>
      <c r="G4992" s="3" t="str">
        <f>HYPERLINK("http://funmeta.oebiotech.com/network/56923", "http://funmeta.oebiotech.com/network/56923")</f>
        <v>http://funmeta.oebiotech.com/network/56923</v>
      </c>
      <c r="H4992" s="2" t="s">
        <v>33115</v>
      </c>
      <c r="I4992" s="2">
        <v>88581</v>
      </c>
      <c r="J4992" s="2"/>
      <c r="K4992" s="2">
        <v>170092</v>
      </c>
      <c r="L4992" s="2"/>
      <c r="M4992" s="2"/>
      <c r="N4992" s="2"/>
      <c r="O4992" s="2">
        <v>13105359</v>
      </c>
      <c r="P4992" s="2" t="s">
        <v>33116</v>
      </c>
      <c r="Q4992" s="2" t="s">
        <v>33117</v>
      </c>
      <c r="R4992" s="2" t="s">
        <v>33118</v>
      </c>
      <c r="S4992" s="2" t="s">
        <v>50</v>
      </c>
      <c r="T4992" s="2" t="s">
        <v>229</v>
      </c>
      <c r="U4992" s="2" t="s">
        <v>433</v>
      </c>
      <c r="V4992" s="2" t="s">
        <v>42</v>
      </c>
      <c r="W4992" s="2">
        <v>48</v>
      </c>
      <c r="X4992" s="2">
        <v>45.2</v>
      </c>
      <c r="Y4992" s="2" t="s">
        <v>43</v>
      </c>
      <c r="Z4992" s="2" t="s">
        <v>20277</v>
      </c>
      <c r="AA4992" s="2">
        <v>-0.76989354120393705</v>
      </c>
      <c r="AB4992" s="2">
        <v>0.11169735740268399</v>
      </c>
      <c r="AC4992" s="2">
        <v>14172.5813486755</v>
      </c>
      <c r="AD4992" s="2">
        <v>15867.6551218433</v>
      </c>
      <c r="AE4992" s="2">
        <v>15554.2549786083</v>
      </c>
      <c r="AF4992" s="2">
        <v>16692.578490375301</v>
      </c>
      <c r="AG4992" s="2">
        <v>14190.913981801301</v>
      </c>
      <c r="AH4992" s="2">
        <v>12824.3147844126</v>
      </c>
      <c r="AI4992" s="2">
        <v>13345.6507244974</v>
      </c>
      <c r="AJ4992" s="2">
        <v>12427.7751323583</v>
      </c>
      <c r="AK4992" s="2">
        <v>15332.6984894051</v>
      </c>
      <c r="AL4992" s="2">
        <v>17286.930868371801</v>
      </c>
      <c r="AM4992" s="2">
        <v>15284.7626722267</v>
      </c>
      <c r="AN4992" s="2">
        <v>14408.9085625517</v>
      </c>
      <c r="AO4992" s="2">
        <v>14527.003026174099</v>
      </c>
      <c r="AP4992" s="2">
        <v>18365.627112330101</v>
      </c>
    </row>
    <row r="4993" spans="1:42" ht="14.5" x14ac:dyDescent="0.35">
      <c r="A4993" s="2" t="s">
        <v>33119</v>
      </c>
      <c r="B4993" s="2">
        <v>187.02150149815699</v>
      </c>
      <c r="C4993" s="2">
        <v>3.6547999999999998</v>
      </c>
      <c r="D4993" s="2" t="s">
        <v>70</v>
      </c>
      <c r="E4993" s="2" t="s">
        <v>33120</v>
      </c>
      <c r="F4993" s="2">
        <v>200924</v>
      </c>
      <c r="G4993" s="3" t="str">
        <f>HYPERLINK("http://funmeta.oebiotech.com/network/200924", "http://funmeta.oebiotech.com/network/200924")</f>
        <v>http://funmeta.oebiotech.com/network/200924</v>
      </c>
      <c r="H4993" s="2" t="s">
        <v>33121</v>
      </c>
      <c r="I4993" s="2">
        <v>462952</v>
      </c>
      <c r="J4993" s="2"/>
      <c r="K4993" s="2"/>
      <c r="L4993" s="2"/>
      <c r="M4993" s="2"/>
      <c r="N4993" s="2"/>
      <c r="O4993" s="2">
        <v>137663</v>
      </c>
      <c r="P4993" s="2"/>
      <c r="Q4993" s="2" t="s">
        <v>33122</v>
      </c>
      <c r="R4993" s="2" t="s">
        <v>33123</v>
      </c>
      <c r="S4993" s="2" t="s">
        <v>148</v>
      </c>
      <c r="T4993" s="2" t="s">
        <v>149</v>
      </c>
      <c r="U4993" s="2" t="s">
        <v>20618</v>
      </c>
      <c r="V4993" s="2" t="s">
        <v>59</v>
      </c>
      <c r="W4993" s="2">
        <v>38.700000000000003</v>
      </c>
      <c r="X4993" s="2">
        <v>0</v>
      </c>
      <c r="Y4993" s="2" t="s">
        <v>408</v>
      </c>
      <c r="Z4993" s="2" t="s">
        <v>33124</v>
      </c>
      <c r="AA4993" s="2">
        <v>1.95348834497505</v>
      </c>
      <c r="AB4993" s="2">
        <v>0.11161598932536899</v>
      </c>
      <c r="AC4993" s="2">
        <v>879.92472881441302</v>
      </c>
      <c r="AD4993" s="2">
        <v>31.6500603065716</v>
      </c>
      <c r="AE4993" s="2">
        <v>747.36610411771505</v>
      </c>
      <c r="AF4993" s="2">
        <v>1075.4134795353</v>
      </c>
      <c r="AG4993" s="2">
        <v>711.19849714872805</v>
      </c>
      <c r="AH4993" s="2">
        <v>865.14200637845101</v>
      </c>
      <c r="AI4993" s="2">
        <v>1101.56845538423</v>
      </c>
      <c r="AJ4993" s="2">
        <v>778.85983032205399</v>
      </c>
      <c r="AK4993" s="2">
        <v>2.7106294003980101E-5</v>
      </c>
      <c r="AL4993" s="2">
        <v>41.9324944900644</v>
      </c>
      <c r="AM4993" s="2">
        <v>2.7106294003980101E-5</v>
      </c>
      <c r="AN4993" s="2">
        <v>81.769352182367001</v>
      </c>
      <c r="AO4993" s="2">
        <v>16.447557403816699</v>
      </c>
      <c r="AP4993" s="2">
        <v>49.750903550593598</v>
      </c>
    </row>
    <row r="4994" spans="1:42" ht="14.5" x14ac:dyDescent="0.35">
      <c r="A4994" s="2" t="s">
        <v>33125</v>
      </c>
      <c r="B4994" s="2">
        <v>131.085458281093</v>
      </c>
      <c r="C4994" s="2">
        <v>4.4289500000000004</v>
      </c>
      <c r="D4994" s="2" t="s">
        <v>34</v>
      </c>
      <c r="E4994" s="2" t="s">
        <v>33126</v>
      </c>
      <c r="F4994" s="2">
        <v>204426</v>
      </c>
      <c r="G4994" s="3" t="str">
        <f>HYPERLINK("http://funmeta.oebiotech.com/network/204426", "http://funmeta.oebiotech.com/network/204426")</f>
        <v>http://funmeta.oebiotech.com/network/204426</v>
      </c>
      <c r="H4994" s="2" t="s">
        <v>33127</v>
      </c>
      <c r="I4994" s="2">
        <v>316907</v>
      </c>
      <c r="J4994" s="2"/>
      <c r="K4994" s="2"/>
      <c r="L4994" s="2"/>
      <c r="M4994" s="2"/>
      <c r="N4994" s="2"/>
      <c r="O4994" s="2">
        <v>10315</v>
      </c>
      <c r="P4994" s="2"/>
      <c r="Q4994" s="2" t="s">
        <v>33128</v>
      </c>
      <c r="R4994" s="2" t="s">
        <v>33129</v>
      </c>
      <c r="S4994" s="2" t="s">
        <v>79</v>
      </c>
      <c r="T4994" s="2" t="s">
        <v>80</v>
      </c>
      <c r="U4994" s="2" t="s">
        <v>2820</v>
      </c>
      <c r="V4994" s="2" t="s">
        <v>59</v>
      </c>
      <c r="W4994" s="2">
        <v>38.799999999999997</v>
      </c>
      <c r="X4994" s="2">
        <v>0</v>
      </c>
      <c r="Y4994" s="2" t="s">
        <v>141</v>
      </c>
      <c r="Z4994" s="2" t="s">
        <v>24015</v>
      </c>
      <c r="AA4994" s="2">
        <v>-0.462380003767628</v>
      </c>
      <c r="AB4994" s="2">
        <v>0.111586952320894</v>
      </c>
      <c r="AC4994" s="2">
        <v>17706.042117115201</v>
      </c>
      <c r="AD4994" s="2">
        <v>16383.850349878499</v>
      </c>
      <c r="AE4994" s="2">
        <v>17242.197980485002</v>
      </c>
      <c r="AF4994" s="2">
        <v>18465.999932588798</v>
      </c>
      <c r="AG4994" s="2">
        <v>17910.4776685086</v>
      </c>
      <c r="AH4994" s="2">
        <v>16962.9917175025</v>
      </c>
      <c r="AI4994" s="2">
        <v>18176.424516118401</v>
      </c>
      <c r="AJ4994" s="2">
        <v>17478.160887488099</v>
      </c>
      <c r="AK4994" s="2">
        <v>16647.801069086399</v>
      </c>
      <c r="AL4994" s="2">
        <v>16595.336872661301</v>
      </c>
      <c r="AM4994" s="2">
        <v>16891.942240934699</v>
      </c>
      <c r="AN4994" s="2">
        <v>15666.9893154203</v>
      </c>
      <c r="AO4994" s="2">
        <v>14518.879931523699</v>
      </c>
      <c r="AP4994" s="2">
        <v>17982.152669644802</v>
      </c>
    </row>
    <row r="4995" spans="1:42" ht="14.5" x14ac:dyDescent="0.35">
      <c r="A4995" s="2" t="s">
        <v>33130</v>
      </c>
      <c r="B4995" s="2">
        <v>510.15925298326601</v>
      </c>
      <c r="C4995" s="2">
        <v>4.7402166666666696</v>
      </c>
      <c r="D4995" s="2" t="s">
        <v>70</v>
      </c>
      <c r="E4995" s="2" t="s">
        <v>33131</v>
      </c>
      <c r="F4995" s="2">
        <v>207660</v>
      </c>
      <c r="G4995" s="3" t="str">
        <f>HYPERLINK("http://funmeta.oebiotech.com/network/207660", "http://funmeta.oebiotech.com/network/207660")</f>
        <v>http://funmeta.oebiotech.com/network/207660</v>
      </c>
      <c r="H4995" s="2" t="s">
        <v>33132</v>
      </c>
      <c r="I4995" s="2"/>
      <c r="J4995" s="2"/>
      <c r="K4995" s="2"/>
      <c r="L4995" s="2"/>
      <c r="M4995" s="2"/>
      <c r="N4995" s="2"/>
      <c r="O4995" s="2"/>
      <c r="P4995" s="2"/>
      <c r="Q4995" s="2" t="s">
        <v>33133</v>
      </c>
      <c r="R4995" s="2" t="s">
        <v>33134</v>
      </c>
      <c r="S4995" s="2" t="s">
        <v>79</v>
      </c>
      <c r="T4995" s="2" t="s">
        <v>80</v>
      </c>
      <c r="U4995" s="2" t="s">
        <v>81</v>
      </c>
      <c r="V4995" s="2" t="s">
        <v>59</v>
      </c>
      <c r="W4995" s="2">
        <v>37.6</v>
      </c>
      <c r="X4995" s="2">
        <v>0</v>
      </c>
      <c r="Y4995" s="2" t="s">
        <v>118</v>
      </c>
      <c r="Z4995" s="2" t="s">
        <v>33135</v>
      </c>
      <c r="AA4995" s="2">
        <v>-4.7850210053757998</v>
      </c>
      <c r="AB4995" s="2">
        <v>0.111537894418907</v>
      </c>
      <c r="AC4995" s="2">
        <v>1875.8576723625799</v>
      </c>
      <c r="AD4995" s="2">
        <v>715.57505586100206</v>
      </c>
      <c r="AE4995" s="2">
        <v>772.34958236728596</v>
      </c>
      <c r="AF4995" s="2">
        <v>1251.4522932822599</v>
      </c>
      <c r="AG4995" s="2">
        <v>2580.2355535954298</v>
      </c>
      <c r="AH4995" s="2">
        <v>2457.3080283406598</v>
      </c>
      <c r="AI4995" s="2">
        <v>2320.60627257755</v>
      </c>
      <c r="AJ4995" s="2">
        <v>1873.1943040122801</v>
      </c>
      <c r="AK4995" s="2">
        <v>705.19868448654699</v>
      </c>
      <c r="AL4995" s="2">
        <v>1446.5216449766699</v>
      </c>
      <c r="AM4995" s="2">
        <v>130.281928106951</v>
      </c>
      <c r="AN4995" s="2">
        <v>50.2700442621992</v>
      </c>
      <c r="AO4995" s="2">
        <v>1065.05362279172</v>
      </c>
      <c r="AP4995" s="2">
        <v>896.12441054192504</v>
      </c>
    </row>
    <row r="4996" spans="1:42" ht="14.5" x14ac:dyDescent="0.35">
      <c r="A4996" s="2" t="s">
        <v>33136</v>
      </c>
      <c r="B4996" s="2">
        <v>126.054948198424</v>
      </c>
      <c r="C4996" s="2">
        <v>2.1257333333333301</v>
      </c>
      <c r="D4996" s="2" t="s">
        <v>34</v>
      </c>
      <c r="E4996" s="2" t="s">
        <v>33137</v>
      </c>
      <c r="F4996" s="2">
        <v>48078</v>
      </c>
      <c r="G4996" s="3" t="str">
        <f>HYPERLINK("http://funmeta.oebiotech.com/network/48078", "http://funmeta.oebiotech.com/network/48078")</f>
        <v>http://funmeta.oebiotech.com/network/48078</v>
      </c>
      <c r="H4996" s="2" t="s">
        <v>33138</v>
      </c>
      <c r="I4996" s="2">
        <v>6905</v>
      </c>
      <c r="J4996" s="2"/>
      <c r="K4996" s="2">
        <v>16509</v>
      </c>
      <c r="L4996" s="2" t="s">
        <v>33139</v>
      </c>
      <c r="M4996" s="2" t="s">
        <v>33140</v>
      </c>
      <c r="N4996" s="2" t="s">
        <v>33141</v>
      </c>
      <c r="O4996" s="2">
        <v>4650</v>
      </c>
      <c r="P4996" s="2" t="s">
        <v>33142</v>
      </c>
      <c r="Q4996" s="2" t="s">
        <v>33143</v>
      </c>
      <c r="R4996" s="2" t="s">
        <v>33144</v>
      </c>
      <c r="S4996" s="2" t="s">
        <v>79</v>
      </c>
      <c r="T4996" s="2" t="s">
        <v>80</v>
      </c>
      <c r="U4996" s="2" t="s">
        <v>2820</v>
      </c>
      <c r="V4996" s="2" t="s">
        <v>59</v>
      </c>
      <c r="W4996" s="2">
        <v>39.299999999999997</v>
      </c>
      <c r="X4996" s="2">
        <v>0</v>
      </c>
      <c r="Y4996" s="2" t="s">
        <v>43</v>
      </c>
      <c r="Z4996" s="2" t="s">
        <v>33145</v>
      </c>
      <c r="AA4996" s="2">
        <v>-6.2015427136969399E-2</v>
      </c>
      <c r="AB4996" s="2">
        <v>0.111463415193574</v>
      </c>
      <c r="AC4996" s="2">
        <v>15963.6340424517</v>
      </c>
      <c r="AD4996" s="2">
        <v>17051.741526111498</v>
      </c>
      <c r="AE4996" s="2">
        <v>15908.197348317</v>
      </c>
      <c r="AF4996" s="2">
        <v>16447.595275974199</v>
      </c>
      <c r="AG4996" s="2">
        <v>16135.9954579929</v>
      </c>
      <c r="AH4996" s="2">
        <v>15407.1950496666</v>
      </c>
      <c r="AI4996" s="2">
        <v>15262.258992425201</v>
      </c>
      <c r="AJ4996" s="2">
        <v>16620.562130334099</v>
      </c>
      <c r="AK4996" s="2">
        <v>16599.694698569001</v>
      </c>
      <c r="AL4996" s="2">
        <v>17038.508421027502</v>
      </c>
      <c r="AM4996" s="2">
        <v>17178.492923513499</v>
      </c>
      <c r="AN4996" s="2">
        <v>16816.753109145098</v>
      </c>
      <c r="AO4996" s="2">
        <v>17940.595133748</v>
      </c>
      <c r="AP4996" s="2">
        <v>16736.404870665901</v>
      </c>
    </row>
    <row r="4997" spans="1:42" ht="14.5" x14ac:dyDescent="0.35">
      <c r="A4997" s="2" t="s">
        <v>33146</v>
      </c>
      <c r="B4997" s="2">
        <v>271.16908755867797</v>
      </c>
      <c r="C4997" s="2">
        <v>8.91496666666667</v>
      </c>
      <c r="D4997" s="2" t="s">
        <v>34</v>
      </c>
      <c r="E4997" s="2" t="s">
        <v>33147</v>
      </c>
      <c r="F4997" s="2">
        <v>44851</v>
      </c>
      <c r="G4997" s="3" t="str">
        <f>HYPERLINK("http://funmeta.oebiotech.com/network/44851", "http://funmeta.oebiotech.com/network/44851")</f>
        <v>http://funmeta.oebiotech.com/network/44851</v>
      </c>
      <c r="H4997" s="2" t="s">
        <v>33148</v>
      </c>
      <c r="I4997" s="2">
        <v>41814</v>
      </c>
      <c r="J4997" s="2" t="s">
        <v>33149</v>
      </c>
      <c r="K4997" s="2">
        <v>27974</v>
      </c>
      <c r="L4997" s="2" t="s">
        <v>33150</v>
      </c>
      <c r="M4997" s="2" t="s">
        <v>2454</v>
      </c>
      <c r="N4997" s="2" t="s">
        <v>2455</v>
      </c>
      <c r="O4997" s="2">
        <v>5756</v>
      </c>
      <c r="P4997" s="2" t="s">
        <v>33151</v>
      </c>
      <c r="Q4997" s="2" t="s">
        <v>33152</v>
      </c>
      <c r="R4997" s="2" t="s">
        <v>33153</v>
      </c>
      <c r="S4997" s="2" t="s">
        <v>50</v>
      </c>
      <c r="T4997" s="2" t="s">
        <v>124</v>
      </c>
      <c r="U4997" s="2" t="s">
        <v>2093</v>
      </c>
      <c r="V4997" s="2" t="s">
        <v>59</v>
      </c>
      <c r="W4997" s="2">
        <v>38.5</v>
      </c>
      <c r="X4997" s="2">
        <v>0</v>
      </c>
      <c r="Y4997" s="2" t="s">
        <v>141</v>
      </c>
      <c r="Z4997" s="2" t="s">
        <v>33154</v>
      </c>
      <c r="AA4997" s="2">
        <v>-0.58582847224340595</v>
      </c>
      <c r="AB4997" s="2">
        <v>0.111349871609403</v>
      </c>
      <c r="AC4997" s="2">
        <v>4638.4061003940396</v>
      </c>
      <c r="AD4997" s="2">
        <v>5622.5249674663701</v>
      </c>
      <c r="AE4997" s="2">
        <v>4766.4499783224801</v>
      </c>
      <c r="AF4997" s="2">
        <v>4578.4397784801904</v>
      </c>
      <c r="AG4997" s="2">
        <v>4759.7635683851604</v>
      </c>
      <c r="AH4997" s="2">
        <v>4331.2763610868496</v>
      </c>
      <c r="AI4997" s="2">
        <v>4510.5878586762601</v>
      </c>
      <c r="AJ4997" s="2">
        <v>4883.9190574133099</v>
      </c>
      <c r="AK4997" s="2">
        <v>5573.7884762469603</v>
      </c>
      <c r="AL4997" s="2">
        <v>5405.5294404794804</v>
      </c>
      <c r="AM4997" s="2">
        <v>5126.3084788613796</v>
      </c>
      <c r="AN4997" s="2">
        <v>6339.9049111070699</v>
      </c>
      <c r="AO4997" s="2">
        <v>5239.7933765165199</v>
      </c>
      <c r="AP4997" s="2">
        <v>6049.8251215868204</v>
      </c>
    </row>
    <row r="4998" spans="1:42" ht="14.5" x14ac:dyDescent="0.35">
      <c r="A4998" s="2" t="s">
        <v>33155</v>
      </c>
      <c r="B4998" s="2">
        <v>645.19009233086399</v>
      </c>
      <c r="C4998" s="2">
        <v>3.6614666666666702</v>
      </c>
      <c r="D4998" s="2" t="s">
        <v>34</v>
      </c>
      <c r="E4998" s="2" t="s">
        <v>33156</v>
      </c>
      <c r="F4998" s="2">
        <v>28653</v>
      </c>
      <c r="G4998" s="3" t="str">
        <f>HYPERLINK("http://funmeta.oebiotech.com/network/28653", "http://funmeta.oebiotech.com/network/28653")</f>
        <v>http://funmeta.oebiotech.com/network/28653</v>
      </c>
      <c r="H4998" s="2" t="s">
        <v>33157</v>
      </c>
      <c r="I4998" s="2"/>
      <c r="J4998" s="2" t="s">
        <v>33158</v>
      </c>
      <c r="K4998" s="2">
        <v>55455</v>
      </c>
      <c r="L4998" s="2" t="s">
        <v>33159</v>
      </c>
      <c r="M4998" s="2" t="s">
        <v>9499</v>
      </c>
      <c r="N4998" s="2" t="s">
        <v>9500</v>
      </c>
      <c r="O4998" s="2">
        <v>10100906</v>
      </c>
      <c r="P4998" s="2" t="s">
        <v>33160</v>
      </c>
      <c r="Q4998" s="2" t="s">
        <v>33161</v>
      </c>
      <c r="R4998" s="2" t="s">
        <v>33162</v>
      </c>
      <c r="S4998" s="2" t="s">
        <v>115</v>
      </c>
      <c r="T4998" s="2" t="s">
        <v>139</v>
      </c>
      <c r="U4998" s="2" t="s">
        <v>140</v>
      </c>
      <c r="V4998" s="2" t="s">
        <v>59</v>
      </c>
      <c r="W4998" s="2">
        <v>38.5</v>
      </c>
      <c r="X4998" s="2">
        <v>0</v>
      </c>
      <c r="Y4998" s="2" t="s">
        <v>43</v>
      </c>
      <c r="Z4998" s="2" t="s">
        <v>33163</v>
      </c>
      <c r="AA4998" s="2">
        <v>0.22685607101427699</v>
      </c>
      <c r="AB4998" s="2">
        <v>0.111303991711853</v>
      </c>
      <c r="AC4998" s="2">
        <v>1184.1284608440701</v>
      </c>
      <c r="AD4998" s="2">
        <v>12.543244552216899</v>
      </c>
      <c r="AE4998" s="2">
        <v>878.26974081380604</v>
      </c>
      <c r="AF4998" s="2">
        <v>1456.8746141230499</v>
      </c>
      <c r="AG4998" s="2">
        <v>1453.0653737841701</v>
      </c>
      <c r="AH4998" s="2">
        <v>633.60731961395095</v>
      </c>
      <c r="AI4998" s="2">
        <v>2682.9536896231698</v>
      </c>
      <c r="AJ4998" s="2">
        <v>2.7106294003980101E-5</v>
      </c>
      <c r="AK4998" s="2">
        <v>75.259331781831605</v>
      </c>
      <c r="AL4998" s="2">
        <v>2.7106294003980101E-5</v>
      </c>
      <c r="AM4998" s="2">
        <v>2.7106294003980101E-5</v>
      </c>
      <c r="AN4998" s="2">
        <v>2.7106294003980101E-5</v>
      </c>
      <c r="AO4998" s="2">
        <v>2.7106294003980101E-5</v>
      </c>
      <c r="AP4998" s="2">
        <v>2.7106294003980101E-5</v>
      </c>
    </row>
    <row r="4999" spans="1:42" ht="14.5" x14ac:dyDescent="0.35">
      <c r="A4999" s="2" t="s">
        <v>33164</v>
      </c>
      <c r="B4999" s="2">
        <v>261.04009523115002</v>
      </c>
      <c r="C4999" s="2">
        <v>4.3994166666666699</v>
      </c>
      <c r="D4999" s="2" t="s">
        <v>70</v>
      </c>
      <c r="E4999" s="2" t="s">
        <v>33165</v>
      </c>
      <c r="F4999" s="2">
        <v>52888</v>
      </c>
      <c r="G4999" s="3" t="str">
        <f>HYPERLINK("http://funmeta.oebiotech.com/network/52888", "http://funmeta.oebiotech.com/network/52888")</f>
        <v>http://funmeta.oebiotech.com/network/52888</v>
      </c>
      <c r="H4999" s="2" t="s">
        <v>33166</v>
      </c>
      <c r="I4999" s="2">
        <v>1200</v>
      </c>
      <c r="J4999" s="2"/>
      <c r="K4999" s="2">
        <v>18358</v>
      </c>
      <c r="L4999" s="2" t="s">
        <v>33167</v>
      </c>
      <c r="M4999" s="2"/>
      <c r="N4999" s="2"/>
      <c r="O4999" s="2">
        <v>4114</v>
      </c>
      <c r="P4999" s="2" t="s">
        <v>33168</v>
      </c>
      <c r="Q4999" s="2" t="s">
        <v>33169</v>
      </c>
      <c r="R4999" s="2" t="s">
        <v>33170</v>
      </c>
      <c r="S4999" s="2" t="s">
        <v>115</v>
      </c>
      <c r="T4999" s="2" t="s">
        <v>758</v>
      </c>
      <c r="U4999" s="2" t="s">
        <v>1477</v>
      </c>
      <c r="V4999" s="2" t="s">
        <v>59</v>
      </c>
      <c r="W4999" s="2">
        <v>47.6</v>
      </c>
      <c r="X4999" s="2">
        <v>44.7</v>
      </c>
      <c r="Y4999" s="2" t="s">
        <v>408</v>
      </c>
      <c r="Z4999" s="2" t="s">
        <v>33171</v>
      </c>
      <c r="AA4999" s="2">
        <v>-1.69584252912485</v>
      </c>
      <c r="AB4999" s="2">
        <v>0.11122604511828001</v>
      </c>
      <c r="AC4999" s="2">
        <v>9966.1429452891298</v>
      </c>
      <c r="AD4999" s="2">
        <v>8776.8002466800808</v>
      </c>
      <c r="AE4999" s="2">
        <v>10283.3872279969</v>
      </c>
      <c r="AF4999" s="2">
        <v>9407.0519787595895</v>
      </c>
      <c r="AG4999" s="2">
        <v>9678.9933619557196</v>
      </c>
      <c r="AH4999" s="2">
        <v>9240.5573868313604</v>
      </c>
      <c r="AI4999" s="2">
        <v>11337.606901239</v>
      </c>
      <c r="AJ4999" s="2">
        <v>9849.2608149521893</v>
      </c>
      <c r="AK4999" s="2">
        <v>8615.0569165605102</v>
      </c>
      <c r="AL4999" s="2">
        <v>9123.3793660265892</v>
      </c>
      <c r="AM4999" s="2">
        <v>9375.8928182739401</v>
      </c>
      <c r="AN4999" s="2">
        <v>8165.9296796564304</v>
      </c>
      <c r="AO4999" s="2">
        <v>9320.3168583036804</v>
      </c>
      <c r="AP4999" s="2">
        <v>8060.2258412593001</v>
      </c>
    </row>
    <row r="5000" spans="1:42" ht="14.5" x14ac:dyDescent="0.35">
      <c r="A5000" s="2" t="s">
        <v>33172</v>
      </c>
      <c r="B5000" s="2">
        <v>263.12748961521498</v>
      </c>
      <c r="C5000" s="2">
        <v>3.84351666666667</v>
      </c>
      <c r="D5000" s="2" t="s">
        <v>34</v>
      </c>
      <c r="E5000" s="2" t="s">
        <v>33173</v>
      </c>
      <c r="F5000" s="2">
        <v>289948</v>
      </c>
      <c r="G5000" s="3" t="str">
        <f>HYPERLINK("http://funmeta.oebiotech.com/network/289948", "http://funmeta.oebiotech.com/network/289948")</f>
        <v>http://funmeta.oebiotech.com/network/289948</v>
      </c>
      <c r="H5000" s="2"/>
      <c r="I5000" s="2">
        <v>985385</v>
      </c>
      <c r="J5000" s="2"/>
      <c r="K5000" s="2"/>
      <c r="L5000" s="2"/>
      <c r="M5000" s="2"/>
      <c r="N5000" s="2"/>
      <c r="O5000" s="2">
        <v>15143694</v>
      </c>
      <c r="P5000" s="2"/>
      <c r="Q5000" s="2" t="s">
        <v>33174</v>
      </c>
      <c r="R5000" s="2" t="s">
        <v>33175</v>
      </c>
      <c r="S5000" s="2" t="s">
        <v>50</v>
      </c>
      <c r="T5000" s="2" t="s">
        <v>201</v>
      </c>
      <c r="U5000" s="2" t="s">
        <v>1217</v>
      </c>
      <c r="V5000" s="2" t="s">
        <v>59</v>
      </c>
      <c r="W5000" s="2">
        <v>38</v>
      </c>
      <c r="X5000" s="2">
        <v>0</v>
      </c>
      <c r="Y5000" s="2" t="s">
        <v>141</v>
      </c>
      <c r="Z5000" s="2" t="s">
        <v>4802</v>
      </c>
      <c r="AA5000" s="2">
        <v>-1.05619837610754</v>
      </c>
      <c r="AB5000" s="2">
        <v>0.111109265809161</v>
      </c>
      <c r="AC5000" s="2">
        <v>7292.5236387384502</v>
      </c>
      <c r="AD5000" s="2">
        <v>6128.5678648857902</v>
      </c>
      <c r="AE5000" s="2">
        <v>7765.5778206315699</v>
      </c>
      <c r="AF5000" s="2">
        <v>6209.4057585180199</v>
      </c>
      <c r="AG5000" s="2">
        <v>7795.0435053115698</v>
      </c>
      <c r="AH5000" s="2">
        <v>6631.9690025584796</v>
      </c>
      <c r="AI5000" s="2">
        <v>7687.5399000344296</v>
      </c>
      <c r="AJ5000" s="2">
        <v>7665.60584537666</v>
      </c>
      <c r="AK5000" s="2">
        <v>6243.9946620906603</v>
      </c>
      <c r="AL5000" s="2">
        <v>6304.5446531780899</v>
      </c>
      <c r="AM5000" s="2">
        <v>6164.8751286323704</v>
      </c>
      <c r="AN5000" s="2">
        <v>6353.4335249692303</v>
      </c>
      <c r="AO5000" s="2">
        <v>6745.08372269967</v>
      </c>
      <c r="AP5000" s="2">
        <v>4959.4754977447201</v>
      </c>
    </row>
    <row r="5001" spans="1:42" ht="14.5" x14ac:dyDescent="0.35">
      <c r="A5001" s="2" t="s">
        <v>33176</v>
      </c>
      <c r="B5001" s="2">
        <v>204.996183327279</v>
      </c>
      <c r="C5001" s="2">
        <v>1.20376666666667</v>
      </c>
      <c r="D5001" s="2" t="s">
        <v>70</v>
      </c>
      <c r="E5001" s="2" t="s">
        <v>33177</v>
      </c>
      <c r="F5001" s="2">
        <v>198647</v>
      </c>
      <c r="G5001" s="3" t="str">
        <f>HYPERLINK("http://funmeta.oebiotech.com/network/198647", "http://funmeta.oebiotech.com/network/198647")</f>
        <v>http://funmeta.oebiotech.com/network/198647</v>
      </c>
      <c r="H5001" s="2" t="s">
        <v>33178</v>
      </c>
      <c r="I5001" s="2"/>
      <c r="J5001" s="2"/>
      <c r="K5001" s="2">
        <v>167215</v>
      </c>
      <c r="L5001" s="2"/>
      <c r="M5001" s="2"/>
      <c r="N5001" s="2"/>
      <c r="O5001" s="2">
        <v>74428</v>
      </c>
      <c r="P5001" s="2"/>
      <c r="Q5001" s="2" t="s">
        <v>33179</v>
      </c>
      <c r="R5001" s="2" t="s">
        <v>33180</v>
      </c>
      <c r="S5001" s="2" t="s">
        <v>41</v>
      </c>
      <c r="T5001" s="2" t="s">
        <v>41</v>
      </c>
      <c r="U5001" s="2" t="s">
        <v>41</v>
      </c>
      <c r="V5001" s="2" t="s">
        <v>59</v>
      </c>
      <c r="W5001" s="2">
        <v>37.5</v>
      </c>
      <c r="X5001" s="2">
        <v>0</v>
      </c>
      <c r="Y5001" s="2" t="s">
        <v>751</v>
      </c>
      <c r="Z5001" s="2" t="s">
        <v>33181</v>
      </c>
      <c r="AA5001" s="2">
        <v>-1.3628035385900701</v>
      </c>
      <c r="AB5001" s="2">
        <v>0.111094422897676</v>
      </c>
      <c r="AC5001" s="2">
        <v>574.86729567869497</v>
      </c>
      <c r="AD5001" s="2">
        <v>3206.6240303156401</v>
      </c>
      <c r="AE5001" s="2">
        <v>580.62976745214098</v>
      </c>
      <c r="AF5001" s="2">
        <v>658.00422602535195</v>
      </c>
      <c r="AG5001" s="2">
        <v>517.33761146530503</v>
      </c>
      <c r="AH5001" s="2">
        <v>660.14928475132501</v>
      </c>
      <c r="AI5001" s="2">
        <v>491.54917170232898</v>
      </c>
      <c r="AJ5001" s="2">
        <v>541.53371267571697</v>
      </c>
      <c r="AK5001" s="2">
        <v>495.509197026869</v>
      </c>
      <c r="AL5001" s="2">
        <v>1032.62005487438</v>
      </c>
      <c r="AM5001" s="2">
        <v>16236.628469540399</v>
      </c>
      <c r="AN5001" s="2">
        <v>470.53587888160001</v>
      </c>
      <c r="AO5001" s="2">
        <v>475.42275843883903</v>
      </c>
      <c r="AP5001" s="2">
        <v>529.02782313172304</v>
      </c>
    </row>
    <row r="5002" spans="1:42" ht="14.5" x14ac:dyDescent="0.35">
      <c r="A5002" s="2" t="s">
        <v>33182</v>
      </c>
      <c r="B5002" s="2">
        <v>238.070624549379</v>
      </c>
      <c r="C5002" s="2">
        <v>1.06171666666667</v>
      </c>
      <c r="D5002" s="2" t="s">
        <v>34</v>
      </c>
      <c r="E5002" s="2" t="s">
        <v>33183</v>
      </c>
      <c r="F5002" s="2">
        <v>58313</v>
      </c>
      <c r="G5002" s="3" t="str">
        <f>HYPERLINK("http://funmeta.oebiotech.com/network/58313", "http://funmeta.oebiotech.com/network/58313")</f>
        <v>http://funmeta.oebiotech.com/network/58313</v>
      </c>
      <c r="H5002" s="2" t="s">
        <v>33184</v>
      </c>
      <c r="I5002" s="2">
        <v>89804</v>
      </c>
      <c r="J5002" s="2"/>
      <c r="K5002" s="2">
        <v>169334</v>
      </c>
      <c r="L5002" s="2"/>
      <c r="M5002" s="2"/>
      <c r="N5002" s="2"/>
      <c r="O5002" s="2">
        <v>95664</v>
      </c>
      <c r="P5002" s="2" t="s">
        <v>33185</v>
      </c>
      <c r="Q5002" s="2" t="s">
        <v>33186</v>
      </c>
      <c r="R5002" s="2" t="s">
        <v>33187</v>
      </c>
      <c r="S5002" s="2" t="s">
        <v>89</v>
      </c>
      <c r="T5002" s="2" t="s">
        <v>90</v>
      </c>
      <c r="U5002" s="2" t="s">
        <v>99</v>
      </c>
      <c r="V5002" s="2" t="s">
        <v>59</v>
      </c>
      <c r="W5002" s="2">
        <v>38.799999999999997</v>
      </c>
      <c r="X5002" s="2">
        <v>0</v>
      </c>
      <c r="Y5002" s="2" t="s">
        <v>394</v>
      </c>
      <c r="Z5002" s="2" t="s">
        <v>8859</v>
      </c>
      <c r="AA5002" s="2">
        <v>-1.5790606309728801</v>
      </c>
      <c r="AB5002" s="2">
        <v>0.110858016340837</v>
      </c>
      <c r="AC5002" s="2">
        <v>2655.98935856345</v>
      </c>
      <c r="AD5002" s="2">
        <v>3663.6208014889398</v>
      </c>
      <c r="AE5002" s="2">
        <v>1792.59478394092</v>
      </c>
      <c r="AF5002" s="2">
        <v>2371.5600209025401</v>
      </c>
      <c r="AG5002" s="2">
        <v>2974.6628148215</v>
      </c>
      <c r="AH5002" s="2">
        <v>3059.5592079363801</v>
      </c>
      <c r="AI5002" s="2">
        <v>3081.5235027806798</v>
      </c>
      <c r="AJ5002" s="2">
        <v>2656.0358209986598</v>
      </c>
      <c r="AK5002" s="2">
        <v>3191.23817894179</v>
      </c>
      <c r="AL5002" s="2">
        <v>3963.4519680056801</v>
      </c>
      <c r="AM5002" s="2">
        <v>4075.8560857788498</v>
      </c>
      <c r="AN5002" s="2">
        <v>3536.4162671673398</v>
      </c>
      <c r="AO5002" s="2">
        <v>3619.77829004461</v>
      </c>
      <c r="AP5002" s="2">
        <v>3594.9840189954002</v>
      </c>
    </row>
    <row r="5003" spans="1:42" ht="14.5" x14ac:dyDescent="0.35">
      <c r="A5003" s="2" t="s">
        <v>33188</v>
      </c>
      <c r="B5003" s="2">
        <v>294.06177940894997</v>
      </c>
      <c r="C5003" s="2">
        <v>3.8429333333333302</v>
      </c>
      <c r="D5003" s="2" t="s">
        <v>70</v>
      </c>
      <c r="E5003" s="2" t="s">
        <v>33189</v>
      </c>
      <c r="F5003" s="2">
        <v>208441</v>
      </c>
      <c r="G5003" s="3" t="str">
        <f>HYPERLINK("http://funmeta.oebiotech.com/network/208441", "http://funmeta.oebiotech.com/network/208441")</f>
        <v>http://funmeta.oebiotech.com/network/208441</v>
      </c>
      <c r="H5003" s="2" t="s">
        <v>33190</v>
      </c>
      <c r="I5003" s="2"/>
      <c r="J5003" s="2"/>
      <c r="K5003" s="2"/>
      <c r="L5003" s="2"/>
      <c r="M5003" s="2"/>
      <c r="N5003" s="2"/>
      <c r="O5003" s="2">
        <v>5748693</v>
      </c>
      <c r="P5003" s="2"/>
      <c r="Q5003" s="2" t="s">
        <v>33191</v>
      </c>
      <c r="R5003" s="2" t="s">
        <v>33192</v>
      </c>
      <c r="S5003" s="2" t="s">
        <v>491</v>
      </c>
      <c r="T5003" s="2" t="s">
        <v>20066</v>
      </c>
      <c r="U5003" s="2" t="s">
        <v>33193</v>
      </c>
      <c r="V5003" s="2" t="s">
        <v>59</v>
      </c>
      <c r="W5003" s="2">
        <v>37.1</v>
      </c>
      <c r="X5003" s="2">
        <v>0</v>
      </c>
      <c r="Y5003" s="2" t="s">
        <v>408</v>
      </c>
      <c r="Z5003" s="2" t="s">
        <v>33194</v>
      </c>
      <c r="AA5003" s="2">
        <v>-0.58585979035645896</v>
      </c>
      <c r="AB5003" s="2">
        <v>0.110815324360493</v>
      </c>
      <c r="AC5003" s="2">
        <v>1131.59004278456</v>
      </c>
      <c r="AD5003" s="2">
        <v>183.50129853057999</v>
      </c>
      <c r="AE5003" s="2">
        <v>916.62397512038297</v>
      </c>
      <c r="AF5003" s="2">
        <v>1211.0695463752299</v>
      </c>
      <c r="AG5003" s="2">
        <v>1387.06601576051</v>
      </c>
      <c r="AH5003" s="2">
        <v>680.25970652653496</v>
      </c>
      <c r="AI5003" s="2">
        <v>745.88474709548302</v>
      </c>
      <c r="AJ5003" s="2">
        <v>1848.6362658292001</v>
      </c>
      <c r="AK5003" s="2">
        <v>193.19046635055599</v>
      </c>
      <c r="AL5003" s="2">
        <v>191.63034184471701</v>
      </c>
      <c r="AM5003" s="2">
        <v>152.05746065781901</v>
      </c>
      <c r="AN5003" s="2">
        <v>137.45611111985701</v>
      </c>
      <c r="AO5003" s="2">
        <v>426.67338410423503</v>
      </c>
      <c r="AP5003" s="2">
        <v>2.7106294003980101E-5</v>
      </c>
    </row>
    <row r="5004" spans="1:42" ht="14.5" x14ac:dyDescent="0.35">
      <c r="A5004" s="2" t="s">
        <v>33195</v>
      </c>
      <c r="B5004" s="2">
        <v>234.13474326046</v>
      </c>
      <c r="C5004" s="2">
        <v>4.0024166666666696</v>
      </c>
      <c r="D5004" s="2" t="s">
        <v>34</v>
      </c>
      <c r="E5004" s="2" t="s">
        <v>33196</v>
      </c>
      <c r="F5004" s="2">
        <v>207560</v>
      </c>
      <c r="G5004" s="3" t="str">
        <f>HYPERLINK("http://funmeta.oebiotech.com/network/207560", "http://funmeta.oebiotech.com/network/207560")</f>
        <v>http://funmeta.oebiotech.com/network/207560</v>
      </c>
      <c r="H5004" s="2" t="s">
        <v>33197</v>
      </c>
      <c r="I5004" s="2"/>
      <c r="J5004" s="2"/>
      <c r="K5004" s="2"/>
      <c r="L5004" s="2"/>
      <c r="M5004" s="2"/>
      <c r="N5004" s="2"/>
      <c r="O5004" s="2">
        <v>13469004</v>
      </c>
      <c r="P5004" s="2"/>
      <c r="Q5004" s="2" t="s">
        <v>33198</v>
      </c>
      <c r="R5004" s="2" t="s">
        <v>33199</v>
      </c>
      <c r="S5004" s="2" t="s">
        <v>89</v>
      </c>
      <c r="T5004" s="2" t="s">
        <v>90</v>
      </c>
      <c r="U5004" s="2" t="s">
        <v>99</v>
      </c>
      <c r="V5004" s="2" t="s">
        <v>59</v>
      </c>
      <c r="W5004" s="2">
        <v>37.5</v>
      </c>
      <c r="X5004" s="2">
        <v>0</v>
      </c>
      <c r="Y5004" s="2" t="s">
        <v>141</v>
      </c>
      <c r="Z5004" s="2" t="s">
        <v>33200</v>
      </c>
      <c r="AA5004" s="2">
        <v>-0.76968709162008897</v>
      </c>
      <c r="AB5004" s="2">
        <v>0.110765342523586</v>
      </c>
      <c r="AC5004" s="2">
        <v>5550.9739689364897</v>
      </c>
      <c r="AD5004" s="2">
        <v>4445.9498176777097</v>
      </c>
      <c r="AE5004" s="2">
        <v>5815.9985770806998</v>
      </c>
      <c r="AF5004" s="2">
        <v>5051.5440686943703</v>
      </c>
      <c r="AG5004" s="2">
        <v>5912.8742351783803</v>
      </c>
      <c r="AH5004" s="2">
        <v>4968.6872055120202</v>
      </c>
      <c r="AI5004" s="2">
        <v>6422.32452150074</v>
      </c>
      <c r="AJ5004" s="2">
        <v>5134.41520565273</v>
      </c>
      <c r="AK5004" s="2">
        <v>4800.1109762884398</v>
      </c>
      <c r="AL5004" s="2">
        <v>5299.8141270910401</v>
      </c>
      <c r="AM5004" s="2">
        <v>4276.4292761054803</v>
      </c>
      <c r="AN5004" s="2">
        <v>3883.9479266205499</v>
      </c>
      <c r="AO5004" s="2">
        <v>4493.5545916225001</v>
      </c>
      <c r="AP5004" s="2">
        <v>3921.8420083382198</v>
      </c>
    </row>
    <row r="5005" spans="1:42" ht="14.5" x14ac:dyDescent="0.35">
      <c r="A5005" s="2" t="s">
        <v>33201</v>
      </c>
      <c r="B5005" s="2">
        <v>653.27855851081199</v>
      </c>
      <c r="C5005" s="2">
        <v>5.6176666666666701</v>
      </c>
      <c r="D5005" s="2" t="s">
        <v>70</v>
      </c>
      <c r="E5005" s="2" t="s">
        <v>33202</v>
      </c>
      <c r="F5005" s="2">
        <v>211158</v>
      </c>
      <c r="G5005" s="3" t="str">
        <f>HYPERLINK("http://funmeta.oebiotech.com/network/211158", "http://funmeta.oebiotech.com/network/211158")</f>
        <v>http://funmeta.oebiotech.com/network/211158</v>
      </c>
      <c r="H5005" s="2" t="s">
        <v>33203</v>
      </c>
      <c r="I5005" s="2"/>
      <c r="J5005" s="2"/>
      <c r="K5005" s="2"/>
      <c r="L5005" s="2"/>
      <c r="M5005" s="2"/>
      <c r="N5005" s="2"/>
      <c r="O5005" s="2"/>
      <c r="P5005" s="2"/>
      <c r="Q5005" s="2" t="s">
        <v>33204</v>
      </c>
      <c r="R5005" s="2" t="s">
        <v>33205</v>
      </c>
      <c r="S5005" s="2" t="s">
        <v>41</v>
      </c>
      <c r="T5005" s="2" t="s">
        <v>41</v>
      </c>
      <c r="U5005" s="2" t="s">
        <v>41</v>
      </c>
      <c r="V5005" s="2" t="s">
        <v>59</v>
      </c>
      <c r="W5005" s="2">
        <v>37.6</v>
      </c>
      <c r="X5005" s="2">
        <v>0</v>
      </c>
      <c r="Y5005" s="2" t="s">
        <v>751</v>
      </c>
      <c r="Z5005" s="2" t="s">
        <v>33206</v>
      </c>
      <c r="AA5005" s="2">
        <v>-2.9875788238615701</v>
      </c>
      <c r="AB5005" s="2">
        <v>0.11073852503204</v>
      </c>
      <c r="AC5005" s="2">
        <v>39075.547443917203</v>
      </c>
      <c r="AD5005" s="2">
        <v>41212.292673398901</v>
      </c>
      <c r="AE5005" s="2">
        <v>42778.454898836397</v>
      </c>
      <c r="AF5005" s="2">
        <v>38269.643022636599</v>
      </c>
      <c r="AG5005" s="2">
        <v>33683.491985387504</v>
      </c>
      <c r="AH5005" s="2">
        <v>38939.116162559098</v>
      </c>
      <c r="AI5005" s="2">
        <v>42414.9530607821</v>
      </c>
      <c r="AJ5005" s="2">
        <v>38367.625533301398</v>
      </c>
      <c r="AK5005" s="2">
        <v>41326.598936241302</v>
      </c>
      <c r="AL5005" s="2">
        <v>39984.955082246801</v>
      </c>
      <c r="AM5005" s="2">
        <v>41242.468069518902</v>
      </c>
      <c r="AN5005" s="2">
        <v>45831.109801305101</v>
      </c>
      <c r="AO5005" s="2">
        <v>37743.211898697497</v>
      </c>
      <c r="AP5005" s="2">
        <v>41145.4122523837</v>
      </c>
    </row>
    <row r="5006" spans="1:42" ht="14.5" x14ac:dyDescent="0.35">
      <c r="A5006" s="2" t="s">
        <v>33207</v>
      </c>
      <c r="B5006" s="2">
        <v>296.14413323017402</v>
      </c>
      <c r="C5006" s="2">
        <v>5.8651</v>
      </c>
      <c r="D5006" s="2" t="s">
        <v>34</v>
      </c>
      <c r="E5006" s="2" t="s">
        <v>33208</v>
      </c>
      <c r="F5006" s="2">
        <v>204037</v>
      </c>
      <c r="G5006" s="3" t="str">
        <f>HYPERLINK("http://funmeta.oebiotech.com/network/204037", "http://funmeta.oebiotech.com/network/204037")</f>
        <v>http://funmeta.oebiotech.com/network/204037</v>
      </c>
      <c r="H5006" s="2" t="s">
        <v>33209</v>
      </c>
      <c r="I5006" s="2">
        <v>73091</v>
      </c>
      <c r="J5006" s="2"/>
      <c r="K5006" s="2"/>
      <c r="L5006" s="2" t="s">
        <v>33210</v>
      </c>
      <c r="M5006" s="2"/>
      <c r="N5006" s="2"/>
      <c r="O5006" s="2">
        <v>9164</v>
      </c>
      <c r="P5006" s="2" t="s">
        <v>33211</v>
      </c>
      <c r="Q5006" s="2" t="s">
        <v>33212</v>
      </c>
      <c r="R5006" s="2" t="s">
        <v>33213</v>
      </c>
      <c r="S5006" s="2" t="s">
        <v>148</v>
      </c>
      <c r="T5006" s="2" t="s">
        <v>11004</v>
      </c>
      <c r="U5006" s="2" t="s">
        <v>33214</v>
      </c>
      <c r="V5006" s="2" t="s">
        <v>59</v>
      </c>
      <c r="W5006" s="2">
        <v>37.700000000000003</v>
      </c>
      <c r="X5006" s="2">
        <v>0</v>
      </c>
      <c r="Y5006" s="2" t="s">
        <v>43</v>
      </c>
      <c r="Z5006" s="2" t="s">
        <v>33215</v>
      </c>
      <c r="AA5006" s="2">
        <v>2.7228521745954501</v>
      </c>
      <c r="AB5006" s="2">
        <v>0.11072596137066899</v>
      </c>
      <c r="AC5006" s="2">
        <v>2290.5124568708102</v>
      </c>
      <c r="AD5006" s="2">
        <v>3231.1514298940501</v>
      </c>
      <c r="AE5006" s="2">
        <v>2579.1962216567599</v>
      </c>
      <c r="AF5006" s="2">
        <v>2525.1240610569898</v>
      </c>
      <c r="AG5006" s="2">
        <v>2340.0684083675301</v>
      </c>
      <c r="AH5006" s="2">
        <v>2001.0483934117001</v>
      </c>
      <c r="AI5006" s="2">
        <v>2092.7216870717398</v>
      </c>
      <c r="AJ5006" s="2">
        <v>2204.91596966011</v>
      </c>
      <c r="AK5006" s="2">
        <v>3191.8359773449502</v>
      </c>
      <c r="AL5006" s="2">
        <v>3161.7309186692401</v>
      </c>
      <c r="AM5006" s="2">
        <v>3606.75328513863</v>
      </c>
      <c r="AN5006" s="2">
        <v>3428.5147321210602</v>
      </c>
      <c r="AO5006" s="2">
        <v>3446.5489410166201</v>
      </c>
      <c r="AP5006" s="2">
        <v>2551.5247250737998</v>
      </c>
    </row>
    <row r="5007" spans="1:42" ht="14.5" x14ac:dyDescent="0.35">
      <c r="A5007" s="2" t="s">
        <v>33216</v>
      </c>
      <c r="B5007" s="2">
        <v>128.10683419526501</v>
      </c>
      <c r="C5007" s="2">
        <v>11.670033333333301</v>
      </c>
      <c r="D5007" s="2" t="s">
        <v>34</v>
      </c>
      <c r="E5007" s="2" t="s">
        <v>33217</v>
      </c>
      <c r="F5007" s="2">
        <v>202491</v>
      </c>
      <c r="G5007" s="3" t="str">
        <f>HYPERLINK("http://funmeta.oebiotech.com/network/202491", "http://funmeta.oebiotech.com/network/202491")</f>
        <v>http://funmeta.oebiotech.com/network/202491</v>
      </c>
      <c r="H5007" s="2" t="s">
        <v>33218</v>
      </c>
      <c r="I5007" s="2"/>
      <c r="J5007" s="2"/>
      <c r="K5007" s="2"/>
      <c r="L5007" s="2"/>
      <c r="M5007" s="2"/>
      <c r="N5007" s="2"/>
      <c r="O5007" s="2"/>
      <c r="P5007" s="2"/>
      <c r="Q5007" s="2" t="s">
        <v>33219</v>
      </c>
      <c r="R5007" s="2" t="s">
        <v>33220</v>
      </c>
      <c r="S5007" s="2" t="s">
        <v>50</v>
      </c>
      <c r="T5007" s="2" t="s">
        <v>229</v>
      </c>
      <c r="U5007" s="2" t="s">
        <v>433</v>
      </c>
      <c r="V5007" s="2" t="s">
        <v>59</v>
      </c>
      <c r="W5007" s="2">
        <v>46.1</v>
      </c>
      <c r="X5007" s="2">
        <v>38.9</v>
      </c>
      <c r="Y5007" s="2" t="s">
        <v>141</v>
      </c>
      <c r="Z5007" s="2" t="s">
        <v>33221</v>
      </c>
      <c r="AA5007" s="2">
        <v>-1.0769719830569899</v>
      </c>
      <c r="AB5007" s="2">
        <v>0.110697325693074</v>
      </c>
      <c r="AC5007" s="2">
        <v>3071.94609509677</v>
      </c>
      <c r="AD5007" s="2">
        <v>2051.5292666330702</v>
      </c>
      <c r="AE5007" s="2">
        <v>3294.7096691683701</v>
      </c>
      <c r="AF5007" s="2">
        <v>2808.2255054345001</v>
      </c>
      <c r="AG5007" s="2">
        <v>2772.0286954405101</v>
      </c>
      <c r="AH5007" s="2">
        <v>3200.75361403129</v>
      </c>
      <c r="AI5007" s="2">
        <v>3527.5847404678502</v>
      </c>
      <c r="AJ5007" s="2">
        <v>2828.3743460381102</v>
      </c>
      <c r="AK5007" s="2">
        <v>1845.0844253627599</v>
      </c>
      <c r="AL5007" s="2">
        <v>2717.37783354968</v>
      </c>
      <c r="AM5007" s="2">
        <v>1973.5468550769699</v>
      </c>
      <c r="AN5007" s="2">
        <v>2657.4604953725602</v>
      </c>
      <c r="AO5007" s="2">
        <v>1553.2925253497001</v>
      </c>
      <c r="AP5007" s="2">
        <v>1562.41346508674</v>
      </c>
    </row>
    <row r="5008" spans="1:42" ht="14.5" x14ac:dyDescent="0.35">
      <c r="A5008" s="2" t="s">
        <v>33222</v>
      </c>
      <c r="B5008" s="2">
        <v>467.18862591612998</v>
      </c>
      <c r="C5008" s="2">
        <v>3.9315333333333302</v>
      </c>
      <c r="D5008" s="2" t="s">
        <v>34</v>
      </c>
      <c r="E5008" s="2" t="s">
        <v>33223</v>
      </c>
      <c r="F5008" s="2">
        <v>63686</v>
      </c>
      <c r="G5008" s="3" t="str">
        <f>HYPERLINK("http://funmeta.oebiotech.com/network/63686", "http://funmeta.oebiotech.com/network/63686")</f>
        <v>http://funmeta.oebiotech.com/network/63686</v>
      </c>
      <c r="H5008" s="2" t="s">
        <v>33224</v>
      </c>
      <c r="I5008" s="2">
        <v>95023</v>
      </c>
      <c r="J5008" s="2"/>
      <c r="K5008" s="2">
        <v>169162</v>
      </c>
      <c r="L5008" s="2"/>
      <c r="M5008" s="2"/>
      <c r="N5008" s="2"/>
      <c r="O5008" s="2">
        <v>14138147</v>
      </c>
      <c r="P5008" s="2" t="s">
        <v>33225</v>
      </c>
      <c r="Q5008" s="2" t="s">
        <v>33226</v>
      </c>
      <c r="R5008" s="2" t="s">
        <v>33227</v>
      </c>
      <c r="S5008" s="2" t="s">
        <v>50</v>
      </c>
      <c r="T5008" s="2" t="s">
        <v>201</v>
      </c>
      <c r="U5008" s="2" t="s">
        <v>1217</v>
      </c>
      <c r="V5008" s="2" t="s">
        <v>59</v>
      </c>
      <c r="W5008" s="2">
        <v>46.7</v>
      </c>
      <c r="X5008" s="2">
        <v>37.299999999999997</v>
      </c>
      <c r="Y5008" s="2" t="s">
        <v>203</v>
      </c>
      <c r="Z5008" s="2" t="s">
        <v>6782</v>
      </c>
      <c r="AA5008" s="2">
        <v>-0.31964397720116899</v>
      </c>
      <c r="AB5008" s="2">
        <v>0.110670648263587</v>
      </c>
      <c r="AC5008" s="2">
        <v>747738.45444828004</v>
      </c>
      <c r="AD5008" s="2">
        <v>755437.576962683</v>
      </c>
      <c r="AE5008" s="2">
        <v>725593.86030623899</v>
      </c>
      <c r="AF5008" s="2">
        <v>771422.35327462002</v>
      </c>
      <c r="AG5008" s="2">
        <v>790495.58428451896</v>
      </c>
      <c r="AH5008" s="2">
        <v>694585.41924600198</v>
      </c>
      <c r="AI5008" s="2">
        <v>719451.58679530397</v>
      </c>
      <c r="AJ5008" s="2">
        <v>784881.92278299597</v>
      </c>
      <c r="AK5008" s="2">
        <v>698772.85341095401</v>
      </c>
      <c r="AL5008" s="2">
        <v>783215.22462369106</v>
      </c>
      <c r="AM5008" s="2">
        <v>726368.10416706803</v>
      </c>
      <c r="AN5008" s="2">
        <v>786799.96147303795</v>
      </c>
      <c r="AO5008" s="2">
        <v>767326.12744121999</v>
      </c>
      <c r="AP5008" s="2">
        <v>770143.19066012499</v>
      </c>
    </row>
    <row r="5009" spans="1:42" ht="14.5" x14ac:dyDescent="0.35">
      <c r="A5009" s="2" t="s">
        <v>33228</v>
      </c>
      <c r="B5009" s="2">
        <v>279.12190460200702</v>
      </c>
      <c r="C5009" s="2">
        <v>3.9663166666666698</v>
      </c>
      <c r="D5009" s="2" t="s">
        <v>34</v>
      </c>
      <c r="E5009" s="2" t="s">
        <v>33229</v>
      </c>
      <c r="F5009" s="2">
        <v>62460</v>
      </c>
      <c r="G5009" s="3" t="str">
        <f>HYPERLINK("http://funmeta.oebiotech.com/network/62460", "http://funmeta.oebiotech.com/network/62460")</f>
        <v>http://funmeta.oebiotech.com/network/62460</v>
      </c>
      <c r="H5009" s="2" t="s">
        <v>33230</v>
      </c>
      <c r="I5009" s="2">
        <v>93755</v>
      </c>
      <c r="J5009" s="2"/>
      <c r="K5009" s="2">
        <v>169532</v>
      </c>
      <c r="L5009" s="2"/>
      <c r="M5009" s="2"/>
      <c r="N5009" s="2"/>
      <c r="O5009" s="2">
        <v>10377006</v>
      </c>
      <c r="P5009" s="2" t="s">
        <v>33231</v>
      </c>
      <c r="Q5009" s="2" t="s">
        <v>33232</v>
      </c>
      <c r="R5009" s="2" t="s">
        <v>33233</v>
      </c>
      <c r="S5009" s="2" t="s">
        <v>89</v>
      </c>
      <c r="T5009" s="2" t="s">
        <v>90</v>
      </c>
      <c r="U5009" s="2" t="s">
        <v>99</v>
      </c>
      <c r="V5009" s="2" t="s">
        <v>59</v>
      </c>
      <c r="W5009" s="2">
        <v>37.299999999999997</v>
      </c>
      <c r="X5009" s="2">
        <v>0</v>
      </c>
      <c r="Y5009" s="2" t="s">
        <v>340</v>
      </c>
      <c r="Z5009" s="2" t="s">
        <v>33234</v>
      </c>
      <c r="AA5009" s="2">
        <v>0.50226089944701602</v>
      </c>
      <c r="AB5009" s="2">
        <v>0.11065472483028101</v>
      </c>
      <c r="AC5009" s="2">
        <v>5648.2239444199304</v>
      </c>
      <c r="AD5009" s="2">
        <v>6763.53402722385</v>
      </c>
      <c r="AE5009" s="2">
        <v>5150.1984894168299</v>
      </c>
      <c r="AF5009" s="2">
        <v>5463.8453525722998</v>
      </c>
      <c r="AG5009" s="2">
        <v>5321.65136546141</v>
      </c>
      <c r="AH5009" s="2">
        <v>5772.2716652705103</v>
      </c>
      <c r="AI5009" s="2">
        <v>6078.2892608135999</v>
      </c>
      <c r="AJ5009" s="2">
        <v>6103.0875329849296</v>
      </c>
      <c r="AK5009" s="2">
        <v>6857.6467734614198</v>
      </c>
      <c r="AL5009" s="2">
        <v>6650.0767500694501</v>
      </c>
      <c r="AM5009" s="2">
        <v>6331.8314018684496</v>
      </c>
      <c r="AN5009" s="2">
        <v>5745.0768432421801</v>
      </c>
      <c r="AO5009" s="2">
        <v>7069.7189920075498</v>
      </c>
      <c r="AP5009" s="2">
        <v>7926.8534026940597</v>
      </c>
    </row>
    <row r="5010" spans="1:42" ht="14.5" x14ac:dyDescent="0.35">
      <c r="A5010" s="2" t="s">
        <v>33235</v>
      </c>
      <c r="B5010" s="2">
        <v>359.09826661191897</v>
      </c>
      <c r="C5010" s="2">
        <v>1.20376666666667</v>
      </c>
      <c r="D5010" s="2" t="s">
        <v>70</v>
      </c>
      <c r="E5010" s="2" t="s">
        <v>33236</v>
      </c>
      <c r="F5010" s="2">
        <v>47062</v>
      </c>
      <c r="G5010" s="3" t="str">
        <f>HYPERLINK("http://funmeta.oebiotech.com/network/47062", "http://funmeta.oebiotech.com/network/47062")</f>
        <v>http://funmeta.oebiotech.com/network/47062</v>
      </c>
      <c r="H5010" s="2" t="s">
        <v>33237</v>
      </c>
      <c r="I5010" s="2">
        <v>1593</v>
      </c>
      <c r="J5010" s="2"/>
      <c r="K5010" s="2">
        <v>89405</v>
      </c>
      <c r="L5010" s="2" t="s">
        <v>1994</v>
      </c>
      <c r="M5010" s="2" t="s">
        <v>1995</v>
      </c>
      <c r="N5010" s="2" t="s">
        <v>1996</v>
      </c>
      <c r="O5010" s="2">
        <v>22833525</v>
      </c>
      <c r="P5010" s="2" t="s">
        <v>33238</v>
      </c>
      <c r="Q5010" s="2" t="s">
        <v>33239</v>
      </c>
      <c r="R5010" s="2" t="s">
        <v>33240</v>
      </c>
      <c r="S5010" s="2" t="s">
        <v>79</v>
      </c>
      <c r="T5010" s="2" t="s">
        <v>80</v>
      </c>
      <c r="U5010" s="2" t="s">
        <v>81</v>
      </c>
      <c r="V5010" s="2" t="s">
        <v>59</v>
      </c>
      <c r="W5010" s="2">
        <v>38.5</v>
      </c>
      <c r="X5010" s="2">
        <v>0</v>
      </c>
      <c r="Y5010" s="2" t="s">
        <v>286</v>
      </c>
      <c r="Z5010" s="2" t="s">
        <v>33241</v>
      </c>
      <c r="AA5010" s="2">
        <v>-0.28822952778622501</v>
      </c>
      <c r="AB5010" s="2">
        <v>0.110596899728523</v>
      </c>
      <c r="AC5010" s="2">
        <v>4036.81379985276</v>
      </c>
      <c r="AD5010" s="2">
        <v>3038.5658228245202</v>
      </c>
      <c r="AE5010" s="2">
        <v>4100.8626235264101</v>
      </c>
      <c r="AF5010" s="2">
        <v>4183.3164992379998</v>
      </c>
      <c r="AG5010" s="2">
        <v>4682.4996102339301</v>
      </c>
      <c r="AH5010" s="2">
        <v>3205.6763736438802</v>
      </c>
      <c r="AI5010" s="2">
        <v>4088.9831750418098</v>
      </c>
      <c r="AJ5010" s="2">
        <v>3959.54451743256</v>
      </c>
      <c r="AK5010" s="2">
        <v>3372.3444868635302</v>
      </c>
      <c r="AL5010" s="2">
        <v>3310.4034852285499</v>
      </c>
      <c r="AM5010" s="2">
        <v>2757.9673766297501</v>
      </c>
      <c r="AN5010" s="2">
        <v>3321.9261734482998</v>
      </c>
      <c r="AO5010" s="2">
        <v>2692.85347663945</v>
      </c>
      <c r="AP5010" s="2">
        <v>2775.8999381375102</v>
      </c>
    </row>
    <row r="5011" spans="1:42" ht="14.5" x14ac:dyDescent="0.35">
      <c r="A5011" s="2" t="s">
        <v>33242</v>
      </c>
      <c r="B5011" s="2">
        <v>310.09033363123501</v>
      </c>
      <c r="C5011" s="2">
        <v>3.9845333333333302</v>
      </c>
      <c r="D5011" s="2" t="s">
        <v>34</v>
      </c>
      <c r="E5011" s="2" t="s">
        <v>33243</v>
      </c>
      <c r="F5011" s="2">
        <v>54783</v>
      </c>
      <c r="G5011" s="3" t="str">
        <f>HYPERLINK("http://funmeta.oebiotech.com/network/54783", "http://funmeta.oebiotech.com/network/54783")</f>
        <v>http://funmeta.oebiotech.com/network/54783</v>
      </c>
      <c r="H5011" s="2" t="s">
        <v>33244</v>
      </c>
      <c r="I5011" s="2">
        <v>86584</v>
      </c>
      <c r="J5011" s="2"/>
      <c r="K5011" s="2"/>
      <c r="L5011" s="2"/>
      <c r="M5011" s="2"/>
      <c r="N5011" s="2"/>
      <c r="O5011" s="2">
        <v>115164</v>
      </c>
      <c r="P5011" s="2" t="s">
        <v>33245</v>
      </c>
      <c r="Q5011" s="2" t="s">
        <v>33246</v>
      </c>
      <c r="R5011" s="2" t="s">
        <v>33247</v>
      </c>
      <c r="S5011" s="2" t="s">
        <v>79</v>
      </c>
      <c r="T5011" s="2" t="s">
        <v>80</v>
      </c>
      <c r="U5011" s="2" t="s">
        <v>81</v>
      </c>
      <c r="V5011" s="2" t="s">
        <v>59</v>
      </c>
      <c r="W5011" s="2">
        <v>38.4</v>
      </c>
      <c r="X5011" s="2">
        <v>0</v>
      </c>
      <c r="Y5011" s="2" t="s">
        <v>323</v>
      </c>
      <c r="Z5011" s="2" t="s">
        <v>33248</v>
      </c>
      <c r="AA5011" s="2">
        <v>2.1283986661095602</v>
      </c>
      <c r="AB5011" s="2">
        <v>0.110540591706367</v>
      </c>
      <c r="AC5011" s="2">
        <v>1345.8566559226699</v>
      </c>
      <c r="AD5011" s="2">
        <v>408.69039323039698</v>
      </c>
      <c r="AE5011" s="2">
        <v>1024.8673390736601</v>
      </c>
      <c r="AF5011" s="2">
        <v>2080.0547065859901</v>
      </c>
      <c r="AG5011" s="2">
        <v>1327.3926230259699</v>
      </c>
      <c r="AH5011" s="2">
        <v>1089.71492179898</v>
      </c>
      <c r="AI5011" s="2">
        <v>1503.6816686724901</v>
      </c>
      <c r="AJ5011" s="2">
        <v>1049.4286763789501</v>
      </c>
      <c r="AK5011" s="2">
        <v>140.60021521857001</v>
      </c>
      <c r="AL5011" s="2">
        <v>409.49199180778197</v>
      </c>
      <c r="AM5011" s="2">
        <v>384.16598051856101</v>
      </c>
      <c r="AN5011" s="2">
        <v>401.41049574053397</v>
      </c>
      <c r="AO5011" s="2">
        <v>661.77459175987303</v>
      </c>
      <c r="AP5011" s="2">
        <v>454.69908433706303</v>
      </c>
    </row>
    <row r="5012" spans="1:42" ht="14.5" x14ac:dyDescent="0.35">
      <c r="A5012" s="2" t="s">
        <v>33249</v>
      </c>
      <c r="B5012" s="2">
        <v>359.05819690618699</v>
      </c>
      <c r="C5012" s="2">
        <v>1.0770999999999999</v>
      </c>
      <c r="D5012" s="2" t="s">
        <v>34</v>
      </c>
      <c r="E5012" s="2" t="s">
        <v>33250</v>
      </c>
      <c r="F5012" s="2">
        <v>199799</v>
      </c>
      <c r="G5012" s="3" t="str">
        <f>HYPERLINK("http://funmeta.oebiotech.com/network/199799", "http://funmeta.oebiotech.com/network/199799")</f>
        <v>http://funmeta.oebiotech.com/network/199799</v>
      </c>
      <c r="H5012" s="2" t="s">
        <v>33251</v>
      </c>
      <c r="I5012" s="2"/>
      <c r="J5012" s="2"/>
      <c r="K5012" s="2">
        <v>83457</v>
      </c>
      <c r="L5012" s="2"/>
      <c r="M5012" s="2"/>
      <c r="N5012" s="2"/>
      <c r="O5012" s="2">
        <v>66855</v>
      </c>
      <c r="P5012" s="2"/>
      <c r="Q5012" s="2" t="s">
        <v>33252</v>
      </c>
      <c r="R5012" s="2" t="s">
        <v>33253</v>
      </c>
      <c r="S5012" s="2" t="s">
        <v>148</v>
      </c>
      <c r="T5012" s="2" t="s">
        <v>149</v>
      </c>
      <c r="U5012" s="2" t="s">
        <v>4282</v>
      </c>
      <c r="V5012" s="2" t="s">
        <v>59</v>
      </c>
      <c r="W5012" s="2">
        <v>36.799999999999997</v>
      </c>
      <c r="X5012" s="2">
        <v>0</v>
      </c>
      <c r="Y5012" s="2" t="s">
        <v>340</v>
      </c>
      <c r="Z5012" s="2" t="s">
        <v>33254</v>
      </c>
      <c r="AA5012" s="2">
        <v>2.2725651828220101</v>
      </c>
      <c r="AB5012" s="2">
        <v>0.11042990338566699</v>
      </c>
      <c r="AC5012" s="2">
        <v>22424.088172848999</v>
      </c>
      <c r="AD5012" s="2">
        <v>21112.093571032099</v>
      </c>
      <c r="AE5012" s="2">
        <v>22223.175907268502</v>
      </c>
      <c r="AF5012" s="2">
        <v>21132.5860943636</v>
      </c>
      <c r="AG5012" s="2">
        <v>22158.366622596001</v>
      </c>
      <c r="AH5012" s="2">
        <v>22671.7189380522</v>
      </c>
      <c r="AI5012" s="2">
        <v>21571.606766260302</v>
      </c>
      <c r="AJ5012" s="2">
        <v>24787.0747085535</v>
      </c>
      <c r="AK5012" s="2">
        <v>21494.635766463001</v>
      </c>
      <c r="AL5012" s="2">
        <v>20562.929205372599</v>
      </c>
      <c r="AM5012" s="2">
        <v>21005.688179106601</v>
      </c>
      <c r="AN5012" s="2">
        <v>21471.834490928599</v>
      </c>
      <c r="AO5012" s="2">
        <v>21084.036860621702</v>
      </c>
      <c r="AP5012" s="2">
        <v>21053.436923699999</v>
      </c>
    </row>
    <row r="5013" spans="1:42" ht="14.5" x14ac:dyDescent="0.35">
      <c r="A5013" s="2" t="s">
        <v>33255</v>
      </c>
      <c r="B5013" s="2">
        <v>340.13645195655403</v>
      </c>
      <c r="C5013" s="2">
        <v>3.7704833333333299</v>
      </c>
      <c r="D5013" s="2" t="s">
        <v>34</v>
      </c>
      <c r="E5013" s="2" t="s">
        <v>33256</v>
      </c>
      <c r="F5013" s="2">
        <v>202745</v>
      </c>
      <c r="G5013" s="3" t="str">
        <f>HYPERLINK("http://funmeta.oebiotech.com/network/202745", "http://funmeta.oebiotech.com/network/202745")</f>
        <v>http://funmeta.oebiotech.com/network/202745</v>
      </c>
      <c r="H5013" s="2" t="s">
        <v>33257</v>
      </c>
      <c r="I5013" s="2"/>
      <c r="J5013" s="2"/>
      <c r="K5013" s="2"/>
      <c r="L5013" s="2"/>
      <c r="M5013" s="2"/>
      <c r="N5013" s="2"/>
      <c r="O5013" s="2">
        <v>3587648</v>
      </c>
      <c r="P5013" s="2"/>
      <c r="Q5013" s="2" t="s">
        <v>33258</v>
      </c>
      <c r="R5013" s="2" t="s">
        <v>33259</v>
      </c>
      <c r="S5013" s="2" t="s">
        <v>41</v>
      </c>
      <c r="T5013" s="2" t="s">
        <v>41</v>
      </c>
      <c r="U5013" s="2" t="s">
        <v>41</v>
      </c>
      <c r="V5013" s="2" t="s">
        <v>59</v>
      </c>
      <c r="W5013" s="2">
        <v>38.9</v>
      </c>
      <c r="X5013" s="2">
        <v>0</v>
      </c>
      <c r="Y5013" s="2" t="s">
        <v>394</v>
      </c>
      <c r="Z5013" s="2" t="s">
        <v>33260</v>
      </c>
      <c r="AA5013" s="2">
        <v>0.17352672264156499</v>
      </c>
      <c r="AB5013" s="2">
        <v>0.110414265909316</v>
      </c>
      <c r="AC5013" s="2">
        <v>32484.2510392267</v>
      </c>
      <c r="AD5013" s="2">
        <v>33965.641351849401</v>
      </c>
      <c r="AE5013" s="2">
        <v>33909.630471238597</v>
      </c>
      <c r="AF5013" s="2">
        <v>30648.836040362399</v>
      </c>
      <c r="AG5013" s="2">
        <v>31665.246862714401</v>
      </c>
      <c r="AH5013" s="2">
        <v>31750.291491710701</v>
      </c>
      <c r="AI5013" s="2">
        <v>33393.397028093299</v>
      </c>
      <c r="AJ5013" s="2">
        <v>33538.104341241</v>
      </c>
      <c r="AK5013" s="2">
        <v>33210.804971030397</v>
      </c>
      <c r="AL5013" s="2">
        <v>32052.697763339602</v>
      </c>
      <c r="AM5013" s="2">
        <v>35652.727975396403</v>
      </c>
      <c r="AN5013" s="2">
        <v>34844.226956987797</v>
      </c>
      <c r="AO5013" s="2">
        <v>33457.533964662798</v>
      </c>
      <c r="AP5013" s="2">
        <v>34575.856479679402</v>
      </c>
    </row>
    <row r="5014" spans="1:42" ht="14.5" x14ac:dyDescent="0.35">
      <c r="A5014" s="2" t="s">
        <v>33261</v>
      </c>
      <c r="B5014" s="2">
        <v>399.11658807182499</v>
      </c>
      <c r="C5014" s="2">
        <v>3.9323666666666699</v>
      </c>
      <c r="D5014" s="2" t="s">
        <v>70</v>
      </c>
      <c r="E5014" s="2" t="s">
        <v>33262</v>
      </c>
      <c r="F5014" s="2">
        <v>202035</v>
      </c>
      <c r="G5014" s="3" t="str">
        <f>HYPERLINK("http://funmeta.oebiotech.com/network/202035", "http://funmeta.oebiotech.com/network/202035")</f>
        <v>http://funmeta.oebiotech.com/network/202035</v>
      </c>
      <c r="H5014" s="2" t="s">
        <v>33263</v>
      </c>
      <c r="I5014" s="2"/>
      <c r="J5014" s="2"/>
      <c r="K5014" s="2"/>
      <c r="L5014" s="2"/>
      <c r="M5014" s="2"/>
      <c r="N5014" s="2"/>
      <c r="O5014" s="2">
        <v>11816486</v>
      </c>
      <c r="P5014" s="2"/>
      <c r="Q5014" s="2" t="s">
        <v>33264</v>
      </c>
      <c r="R5014" s="2" t="s">
        <v>33265</v>
      </c>
      <c r="S5014" s="2" t="s">
        <v>491</v>
      </c>
      <c r="T5014" s="2" t="s">
        <v>4517</v>
      </c>
      <c r="U5014" s="2" t="s">
        <v>4518</v>
      </c>
      <c r="V5014" s="2" t="s">
        <v>59</v>
      </c>
      <c r="W5014" s="2">
        <v>37.9</v>
      </c>
      <c r="X5014" s="2">
        <v>0</v>
      </c>
      <c r="Y5014" s="2" t="s">
        <v>560</v>
      </c>
      <c r="Z5014" s="2" t="s">
        <v>33266</v>
      </c>
      <c r="AA5014" s="2">
        <v>-8.1882875113415493E-2</v>
      </c>
      <c r="AB5014" s="2">
        <v>0.11040569918495501</v>
      </c>
      <c r="AC5014" s="2">
        <v>6168.1684405600399</v>
      </c>
      <c r="AD5014" s="2">
        <v>7604.5489896099598</v>
      </c>
      <c r="AE5014" s="2">
        <v>6506.8426290319303</v>
      </c>
      <c r="AF5014" s="2">
        <v>7253.6980937398102</v>
      </c>
      <c r="AG5014" s="2">
        <v>6515.6379329137799</v>
      </c>
      <c r="AH5014" s="2">
        <v>5269.8456201949002</v>
      </c>
      <c r="AI5014" s="2">
        <v>3861.5272341559898</v>
      </c>
      <c r="AJ5014" s="2">
        <v>7601.4591333238004</v>
      </c>
      <c r="AK5014" s="2">
        <v>6472.2669825411504</v>
      </c>
      <c r="AL5014" s="2">
        <v>8034.6722558008296</v>
      </c>
      <c r="AM5014" s="2">
        <v>7212.1065186887299</v>
      </c>
      <c r="AN5014" s="2">
        <v>8815.0525128811896</v>
      </c>
      <c r="AO5014" s="2">
        <v>7196.1896773418803</v>
      </c>
      <c r="AP5014" s="2">
        <v>7897.0059904059799</v>
      </c>
    </row>
    <row r="5015" spans="1:42" ht="14.5" x14ac:dyDescent="0.35">
      <c r="A5015" s="2" t="s">
        <v>33267</v>
      </c>
      <c r="B5015" s="2">
        <v>435.12942630224597</v>
      </c>
      <c r="C5015" s="2">
        <v>4.6304499999999997</v>
      </c>
      <c r="D5015" s="2" t="s">
        <v>70</v>
      </c>
      <c r="E5015" s="2" t="s">
        <v>33268</v>
      </c>
      <c r="F5015" s="2">
        <v>28852</v>
      </c>
      <c r="G5015" s="3" t="str">
        <f>HYPERLINK("http://funmeta.oebiotech.com/network/28852", "http://funmeta.oebiotech.com/network/28852")</f>
        <v>http://funmeta.oebiotech.com/network/28852</v>
      </c>
      <c r="H5015" s="2"/>
      <c r="I5015" s="2"/>
      <c r="J5015" s="2" t="s">
        <v>33269</v>
      </c>
      <c r="K5015" s="2"/>
      <c r="L5015" s="2"/>
      <c r="M5015" s="2"/>
      <c r="N5015" s="2"/>
      <c r="O5015" s="2">
        <v>10094553</v>
      </c>
      <c r="P5015" s="2"/>
      <c r="Q5015" s="2" t="s">
        <v>33270</v>
      </c>
      <c r="R5015" s="2" t="s">
        <v>33271</v>
      </c>
      <c r="S5015" s="2" t="s">
        <v>115</v>
      </c>
      <c r="T5015" s="2" t="s">
        <v>139</v>
      </c>
      <c r="U5015" s="2" t="s">
        <v>140</v>
      </c>
      <c r="V5015" s="2" t="s">
        <v>59</v>
      </c>
      <c r="W5015" s="2">
        <v>44.7</v>
      </c>
      <c r="X5015" s="2">
        <v>32.4</v>
      </c>
      <c r="Y5015" s="2" t="s">
        <v>286</v>
      </c>
      <c r="Z5015" s="2" t="s">
        <v>30375</v>
      </c>
      <c r="AA5015" s="2">
        <v>-0.55998703078359002</v>
      </c>
      <c r="AB5015" s="2">
        <v>0.110336455086436</v>
      </c>
      <c r="AC5015" s="2">
        <v>34724.715688164499</v>
      </c>
      <c r="AD5015" s="2">
        <v>36848.044291902697</v>
      </c>
      <c r="AE5015" s="2">
        <v>34180.741984426102</v>
      </c>
      <c r="AF5015" s="2">
        <v>34401.936352196601</v>
      </c>
      <c r="AG5015" s="2">
        <v>36465.591228562502</v>
      </c>
      <c r="AH5015" s="2">
        <v>37889.119834983401</v>
      </c>
      <c r="AI5015" s="2">
        <v>29666.719068189999</v>
      </c>
      <c r="AJ5015" s="2">
        <v>35744.1856606285</v>
      </c>
      <c r="AK5015" s="2">
        <v>33450.200620127602</v>
      </c>
      <c r="AL5015" s="2">
        <v>33618.357023958801</v>
      </c>
      <c r="AM5015" s="2">
        <v>39280.959541171498</v>
      </c>
      <c r="AN5015" s="2">
        <v>38078.754283950002</v>
      </c>
      <c r="AO5015" s="2">
        <v>40016.422153209904</v>
      </c>
      <c r="AP5015" s="2">
        <v>36643.572128998698</v>
      </c>
    </row>
    <row r="5016" spans="1:42" ht="14.5" x14ac:dyDescent="0.35">
      <c r="A5016" s="2" t="s">
        <v>33272</v>
      </c>
      <c r="B5016" s="2">
        <v>208.09680301719101</v>
      </c>
      <c r="C5016" s="2">
        <v>4.2085666666666697</v>
      </c>
      <c r="D5016" s="2" t="s">
        <v>34</v>
      </c>
      <c r="E5016" s="2" t="s">
        <v>33273</v>
      </c>
      <c r="F5016" s="2">
        <v>47069</v>
      </c>
      <c r="G5016" s="3" t="str">
        <f>HYPERLINK("http://funmeta.oebiotech.com/network/47069", "http://funmeta.oebiotech.com/network/47069")</f>
        <v>http://funmeta.oebiotech.com/network/47069</v>
      </c>
      <c r="H5016" s="2" t="s">
        <v>8900</v>
      </c>
      <c r="I5016" s="2">
        <v>34536</v>
      </c>
      <c r="J5016" s="2"/>
      <c r="K5016" s="2">
        <v>16259</v>
      </c>
      <c r="L5016" s="2" t="s">
        <v>33274</v>
      </c>
      <c r="M5016" s="2" t="s">
        <v>33275</v>
      </c>
      <c r="N5016" s="2" t="s">
        <v>33276</v>
      </c>
      <c r="O5016" s="2">
        <v>74839</v>
      </c>
      <c r="P5016" s="2" t="s">
        <v>33277</v>
      </c>
      <c r="Q5016" s="2" t="s">
        <v>33278</v>
      </c>
      <c r="R5016" s="2" t="s">
        <v>33279</v>
      </c>
      <c r="S5016" s="2" t="s">
        <v>89</v>
      </c>
      <c r="T5016" s="2" t="s">
        <v>90</v>
      </c>
      <c r="U5016" s="2" t="s">
        <v>99</v>
      </c>
      <c r="V5016" s="2" t="s">
        <v>59</v>
      </c>
      <c r="W5016" s="2">
        <v>38.1</v>
      </c>
      <c r="X5016" s="2">
        <v>0</v>
      </c>
      <c r="Y5016" s="2" t="s">
        <v>266</v>
      </c>
      <c r="Z5016" s="2" t="s">
        <v>8907</v>
      </c>
      <c r="AA5016" s="2">
        <v>-8.0618264094188499E-2</v>
      </c>
      <c r="AB5016" s="2">
        <v>0.110306982439422</v>
      </c>
      <c r="AC5016" s="2">
        <v>3310.6291000660799</v>
      </c>
      <c r="AD5016" s="2">
        <v>4273.9251765638201</v>
      </c>
      <c r="AE5016" s="2">
        <v>2711.6024712183898</v>
      </c>
      <c r="AF5016" s="2">
        <v>3464.2278836855098</v>
      </c>
      <c r="AG5016" s="2">
        <v>3278.4210858931201</v>
      </c>
      <c r="AH5016" s="2">
        <v>3386.0546878547598</v>
      </c>
      <c r="AI5016" s="2">
        <v>3401.0743914071099</v>
      </c>
      <c r="AJ5016" s="2">
        <v>3622.3940803376199</v>
      </c>
      <c r="AK5016" s="2">
        <v>3833.7902697405302</v>
      </c>
      <c r="AL5016" s="2">
        <v>4145.6059263585203</v>
      </c>
      <c r="AM5016" s="2">
        <v>3851.1611882984498</v>
      </c>
      <c r="AN5016" s="2">
        <v>4817.8349122912796</v>
      </c>
      <c r="AO5016" s="2">
        <v>4377.4782339698604</v>
      </c>
      <c r="AP5016" s="2">
        <v>4617.6805287242996</v>
      </c>
    </row>
    <row r="5017" spans="1:42" ht="14.5" x14ac:dyDescent="0.35">
      <c r="A5017" s="2" t="s">
        <v>33280</v>
      </c>
      <c r="B5017" s="2">
        <v>101.059706600738</v>
      </c>
      <c r="C5017" s="2">
        <v>2.1257333333333301</v>
      </c>
      <c r="D5017" s="2" t="s">
        <v>34</v>
      </c>
      <c r="E5017" s="2" t="s">
        <v>33281</v>
      </c>
      <c r="F5017" s="2">
        <v>1655</v>
      </c>
      <c r="G5017" s="3" t="str">
        <f>HYPERLINK("http://funmeta.oebiotech.com/network/1655", "http://funmeta.oebiotech.com/network/1655")</f>
        <v>http://funmeta.oebiotech.com/network/1655</v>
      </c>
      <c r="H5017" s="2"/>
      <c r="I5017" s="2">
        <v>35393</v>
      </c>
      <c r="J5017" s="2" t="s">
        <v>33282</v>
      </c>
      <c r="K5017" s="2"/>
      <c r="L5017" s="2"/>
      <c r="M5017" s="2"/>
      <c r="N5017" s="2"/>
      <c r="O5017" s="2">
        <v>114539</v>
      </c>
      <c r="P5017" s="2"/>
      <c r="Q5017" s="2" t="s">
        <v>33283</v>
      </c>
      <c r="R5017" s="2" t="s">
        <v>33284</v>
      </c>
      <c r="S5017" s="2" t="s">
        <v>50</v>
      </c>
      <c r="T5017" s="2" t="s">
        <v>229</v>
      </c>
      <c r="U5017" s="2" t="s">
        <v>433</v>
      </c>
      <c r="V5017" s="2" t="s">
        <v>59</v>
      </c>
      <c r="W5017" s="2">
        <v>44.9</v>
      </c>
      <c r="X5017" s="2">
        <v>28.3</v>
      </c>
      <c r="Y5017" s="2" t="s">
        <v>141</v>
      </c>
      <c r="Z5017" s="2" t="s">
        <v>33285</v>
      </c>
      <c r="AA5017" s="2">
        <v>5.6864355842232098E-3</v>
      </c>
      <c r="AB5017" s="2">
        <v>0.11021273803471</v>
      </c>
      <c r="AC5017" s="2">
        <v>6605.3481119432299</v>
      </c>
      <c r="AD5017" s="2">
        <v>7529.3590748645402</v>
      </c>
      <c r="AE5017" s="2">
        <v>6578.79393556797</v>
      </c>
      <c r="AF5017" s="2">
        <v>6506.3363109280999</v>
      </c>
      <c r="AG5017" s="2">
        <v>6863.8475865996297</v>
      </c>
      <c r="AH5017" s="2">
        <v>6472.2187495340304</v>
      </c>
      <c r="AI5017" s="2">
        <v>6303.3173729014397</v>
      </c>
      <c r="AJ5017" s="2">
        <v>6907.5747161282097</v>
      </c>
      <c r="AK5017" s="2">
        <v>7710.4484453635496</v>
      </c>
      <c r="AL5017" s="2">
        <v>7665.0532687185696</v>
      </c>
      <c r="AM5017" s="2">
        <v>7467.6126542234997</v>
      </c>
      <c r="AN5017" s="2">
        <v>7139.9814088181802</v>
      </c>
      <c r="AO5017" s="2">
        <v>8009.9083749808196</v>
      </c>
      <c r="AP5017" s="2">
        <v>7183.1502970826004</v>
      </c>
    </row>
    <row r="5018" spans="1:42" ht="14.5" x14ac:dyDescent="0.35">
      <c r="A5018" s="2" t="s">
        <v>33286</v>
      </c>
      <c r="B5018" s="2">
        <v>240.042802873742</v>
      </c>
      <c r="C5018" s="2">
        <v>5.3579833333333298</v>
      </c>
      <c r="D5018" s="2" t="s">
        <v>70</v>
      </c>
      <c r="E5018" s="2" t="s">
        <v>33287</v>
      </c>
      <c r="F5018" s="2">
        <v>199326</v>
      </c>
      <c r="G5018" s="3" t="str">
        <f>HYPERLINK("http://funmeta.oebiotech.com/network/199326", "http://funmeta.oebiotech.com/network/199326")</f>
        <v>http://funmeta.oebiotech.com/network/199326</v>
      </c>
      <c r="H5018" s="2" t="s">
        <v>33288</v>
      </c>
      <c r="I5018" s="2"/>
      <c r="J5018" s="2"/>
      <c r="K5018" s="2"/>
      <c r="L5018" s="2"/>
      <c r="M5018" s="2"/>
      <c r="N5018" s="2"/>
      <c r="O5018" s="2">
        <v>129656</v>
      </c>
      <c r="P5018" s="2"/>
      <c r="Q5018" s="2" t="s">
        <v>33289</v>
      </c>
      <c r="R5018" s="2" t="s">
        <v>33290</v>
      </c>
      <c r="S5018" s="2" t="s">
        <v>41</v>
      </c>
      <c r="T5018" s="2" t="s">
        <v>41</v>
      </c>
      <c r="U5018" s="2" t="s">
        <v>41</v>
      </c>
      <c r="V5018" s="2" t="s">
        <v>59</v>
      </c>
      <c r="W5018" s="2">
        <v>39.1</v>
      </c>
      <c r="X5018" s="2">
        <v>0</v>
      </c>
      <c r="Y5018" s="2" t="s">
        <v>751</v>
      </c>
      <c r="Z5018" s="2" t="s">
        <v>33291</v>
      </c>
      <c r="AA5018" s="2">
        <v>0.75403576031442798</v>
      </c>
      <c r="AB5018" s="2">
        <v>0.11015649644105099</v>
      </c>
      <c r="AC5018" s="2">
        <v>8685.9297607799399</v>
      </c>
      <c r="AD5018" s="2">
        <v>9681.9514485765594</v>
      </c>
      <c r="AE5018" s="2">
        <v>9154.14926884938</v>
      </c>
      <c r="AF5018" s="2">
        <v>8826.2994996450798</v>
      </c>
      <c r="AG5018" s="2">
        <v>8802.8638430624596</v>
      </c>
      <c r="AH5018" s="2">
        <v>8343.6414436754003</v>
      </c>
      <c r="AI5018" s="2">
        <v>8344.1433422158098</v>
      </c>
      <c r="AJ5018" s="2">
        <v>8644.48116723151</v>
      </c>
      <c r="AK5018" s="2">
        <v>10205.285409682199</v>
      </c>
      <c r="AL5018" s="2">
        <v>10217.1720585968</v>
      </c>
      <c r="AM5018" s="2">
        <v>9813.1374541504501</v>
      </c>
      <c r="AN5018" s="2">
        <v>9424.3247613010299</v>
      </c>
      <c r="AO5018" s="2">
        <v>9309.8043006309399</v>
      </c>
      <c r="AP5018" s="2">
        <v>9121.9847070979195</v>
      </c>
    </row>
    <row r="5019" spans="1:42" ht="14.5" x14ac:dyDescent="0.35">
      <c r="A5019" s="2" t="s">
        <v>33292</v>
      </c>
      <c r="B5019" s="2">
        <v>749.17549296669301</v>
      </c>
      <c r="C5019" s="2">
        <v>3.6357833333333298</v>
      </c>
      <c r="D5019" s="2" t="s">
        <v>70</v>
      </c>
      <c r="E5019" s="2" t="s">
        <v>33293</v>
      </c>
      <c r="F5019" s="2">
        <v>256899</v>
      </c>
      <c r="G5019" s="3" t="str">
        <f>HYPERLINK("http://funmeta.oebiotech.com/network/256899", "http://funmeta.oebiotech.com/network/256899")</f>
        <v>http://funmeta.oebiotech.com/network/256899</v>
      </c>
      <c r="H5019" s="2" t="s">
        <v>33294</v>
      </c>
      <c r="I5019" s="2"/>
      <c r="J5019" s="2"/>
      <c r="K5019" s="2"/>
      <c r="L5019" s="2"/>
      <c r="M5019" s="2"/>
      <c r="N5019" s="2"/>
      <c r="O5019" s="2">
        <v>45479663</v>
      </c>
      <c r="P5019" s="2"/>
      <c r="Q5019" s="2" t="s">
        <v>33295</v>
      </c>
      <c r="R5019" s="2" t="s">
        <v>33296</v>
      </c>
      <c r="S5019" s="2" t="s">
        <v>148</v>
      </c>
      <c r="T5019" s="2" t="s">
        <v>149</v>
      </c>
      <c r="U5019" s="2" t="s">
        <v>21041</v>
      </c>
      <c r="V5019" s="2" t="s">
        <v>59</v>
      </c>
      <c r="W5019" s="2">
        <v>37.9</v>
      </c>
      <c r="X5019" s="2">
        <v>0</v>
      </c>
      <c r="Y5019" s="2" t="s">
        <v>560</v>
      </c>
      <c r="Z5019" s="2" t="s">
        <v>33297</v>
      </c>
      <c r="AA5019" s="2">
        <v>-2.41430322978765E-2</v>
      </c>
      <c r="AB5019" s="2">
        <v>0.109987862185775</v>
      </c>
      <c r="AC5019" s="2">
        <v>26821.6490272993</v>
      </c>
      <c r="AD5019" s="2">
        <v>24648.435118588899</v>
      </c>
      <c r="AE5019" s="2">
        <v>26486.711017160502</v>
      </c>
      <c r="AF5019" s="2">
        <v>24116.393622140498</v>
      </c>
      <c r="AG5019" s="2">
        <v>24335.561844403401</v>
      </c>
      <c r="AH5019" s="2">
        <v>27267.914861213099</v>
      </c>
      <c r="AI5019" s="2">
        <v>29816.645713731701</v>
      </c>
      <c r="AJ5019" s="2">
        <v>28906.6671051464</v>
      </c>
      <c r="AK5019" s="2">
        <v>20280.1970358006</v>
      </c>
      <c r="AL5019" s="2">
        <v>27327.084386586499</v>
      </c>
      <c r="AM5019" s="2">
        <v>20507.674454054799</v>
      </c>
      <c r="AN5019" s="2">
        <v>24609.517176981299</v>
      </c>
      <c r="AO5019" s="2">
        <v>27858.563980445699</v>
      </c>
      <c r="AP5019" s="2">
        <v>27307.573677664699</v>
      </c>
    </row>
    <row r="5020" spans="1:42" ht="14.5" x14ac:dyDescent="0.35">
      <c r="A5020" s="2" t="s">
        <v>33298</v>
      </c>
      <c r="B5020" s="2">
        <v>349.09016612278299</v>
      </c>
      <c r="C5020" s="2">
        <v>0.71055000000000001</v>
      </c>
      <c r="D5020" s="2" t="s">
        <v>70</v>
      </c>
      <c r="E5020" s="2" t="s">
        <v>33299</v>
      </c>
      <c r="F5020" s="2">
        <v>209410</v>
      </c>
      <c r="G5020" s="3" t="str">
        <f>HYPERLINK("http://funmeta.oebiotech.com/network/209410", "http://funmeta.oebiotech.com/network/209410")</f>
        <v>http://funmeta.oebiotech.com/network/209410</v>
      </c>
      <c r="H5020" s="2" t="s">
        <v>33300</v>
      </c>
      <c r="I5020" s="2">
        <v>44358</v>
      </c>
      <c r="J5020" s="2"/>
      <c r="K5020" s="2">
        <v>95120</v>
      </c>
      <c r="L5020" s="2" t="s">
        <v>33301</v>
      </c>
      <c r="M5020" s="2" t="s">
        <v>33302</v>
      </c>
      <c r="N5020" s="2" t="s">
        <v>33303</v>
      </c>
      <c r="O5020" s="2">
        <v>5255</v>
      </c>
      <c r="P5020" s="2" t="s">
        <v>33304</v>
      </c>
      <c r="Q5020" s="2" t="s">
        <v>33305</v>
      </c>
      <c r="R5020" s="2" t="s">
        <v>33306</v>
      </c>
      <c r="S5020" s="2" t="s">
        <v>89</v>
      </c>
      <c r="T5020" s="2" t="s">
        <v>90</v>
      </c>
      <c r="U5020" s="2" t="s">
        <v>99</v>
      </c>
      <c r="V5020" s="2" t="s">
        <v>59</v>
      </c>
      <c r="W5020" s="2">
        <v>38.200000000000003</v>
      </c>
      <c r="X5020" s="2">
        <v>0</v>
      </c>
      <c r="Y5020" s="2" t="s">
        <v>408</v>
      </c>
      <c r="Z5020" s="2" t="s">
        <v>33307</v>
      </c>
      <c r="AA5020" s="2">
        <v>4.2677192362221499</v>
      </c>
      <c r="AB5020" s="2">
        <v>0.109966850962242</v>
      </c>
      <c r="AC5020" s="2">
        <v>509655.728953015</v>
      </c>
      <c r="AD5020" s="2">
        <v>492316.29453540698</v>
      </c>
      <c r="AE5020" s="2">
        <v>381853.698491355</v>
      </c>
      <c r="AF5020" s="2">
        <v>694061.04251988197</v>
      </c>
      <c r="AG5020" s="2">
        <v>324301.48084913503</v>
      </c>
      <c r="AH5020" s="2">
        <v>646679.85657363397</v>
      </c>
      <c r="AI5020" s="2">
        <v>651386.14255208801</v>
      </c>
      <c r="AJ5020" s="2">
        <v>359652.15273199702</v>
      </c>
      <c r="AK5020" s="2">
        <v>370370.045299066</v>
      </c>
      <c r="AL5020" s="2">
        <v>402048.82934921299</v>
      </c>
      <c r="AM5020" s="2">
        <v>389796.936948722</v>
      </c>
      <c r="AN5020" s="2">
        <v>669993.27158641804</v>
      </c>
      <c r="AO5020" s="2">
        <v>723297.497063132</v>
      </c>
      <c r="AP5020" s="2">
        <v>398391.18696589197</v>
      </c>
    </row>
    <row r="5021" spans="1:42" ht="14.5" x14ac:dyDescent="0.35">
      <c r="A5021" s="2" t="s">
        <v>33308</v>
      </c>
      <c r="B5021" s="2">
        <v>493.15693142471599</v>
      </c>
      <c r="C5021" s="2">
        <v>4.3459666666666701</v>
      </c>
      <c r="D5021" s="2" t="s">
        <v>70</v>
      </c>
      <c r="E5021" s="2" t="s">
        <v>33309</v>
      </c>
      <c r="F5021" s="2">
        <v>203906</v>
      </c>
      <c r="G5021" s="3" t="str">
        <f>HYPERLINK("http://funmeta.oebiotech.com/network/203906", "http://funmeta.oebiotech.com/network/203906")</f>
        <v>http://funmeta.oebiotech.com/network/203906</v>
      </c>
      <c r="H5021" s="2" t="s">
        <v>33310</v>
      </c>
      <c r="I5021" s="2"/>
      <c r="J5021" s="2"/>
      <c r="K5021" s="2"/>
      <c r="L5021" s="2"/>
      <c r="M5021" s="2"/>
      <c r="N5021" s="2"/>
      <c r="O5021" s="2">
        <v>18759764</v>
      </c>
      <c r="P5021" s="2"/>
      <c r="Q5021" s="2" t="s">
        <v>33311</v>
      </c>
      <c r="R5021" s="2" t="s">
        <v>33312</v>
      </c>
      <c r="S5021" s="2" t="s">
        <v>50</v>
      </c>
      <c r="T5021" s="2" t="s">
        <v>201</v>
      </c>
      <c r="U5021" s="2" t="s">
        <v>202</v>
      </c>
      <c r="V5021" s="2" t="s">
        <v>42</v>
      </c>
      <c r="W5021" s="2">
        <v>50.5</v>
      </c>
      <c r="X5021" s="2">
        <v>60.9</v>
      </c>
      <c r="Y5021" s="2" t="s">
        <v>408</v>
      </c>
      <c r="Z5021" s="2" t="s">
        <v>33313</v>
      </c>
      <c r="AA5021" s="2">
        <v>1.4553392439208901</v>
      </c>
      <c r="AB5021" s="2">
        <v>0.109925715602015</v>
      </c>
      <c r="AC5021" s="2">
        <v>49850.879136253803</v>
      </c>
      <c r="AD5021" s="2">
        <v>47948.652557778703</v>
      </c>
      <c r="AE5021" s="2">
        <v>50416.485794870001</v>
      </c>
      <c r="AF5021" s="2">
        <v>48854.6569367681</v>
      </c>
      <c r="AG5021" s="2">
        <v>47104.744163619398</v>
      </c>
      <c r="AH5021" s="2">
        <v>53174.828416570199</v>
      </c>
      <c r="AI5021" s="2">
        <v>47591.276182708098</v>
      </c>
      <c r="AJ5021" s="2">
        <v>51963.283322987198</v>
      </c>
      <c r="AK5021" s="2">
        <v>46267.7036966081</v>
      </c>
      <c r="AL5021" s="2">
        <v>48894.409933020899</v>
      </c>
      <c r="AM5021" s="2">
        <v>48177.156853446199</v>
      </c>
      <c r="AN5021" s="2">
        <v>50676.7835879755</v>
      </c>
      <c r="AO5021" s="2">
        <v>44727.938432285198</v>
      </c>
      <c r="AP5021" s="2">
        <v>48947.922843336099</v>
      </c>
    </row>
    <row r="5022" spans="1:42" ht="14.5" x14ac:dyDescent="0.35">
      <c r="A5022" s="2" t="s">
        <v>33314</v>
      </c>
      <c r="B5022" s="2">
        <v>477.13816996256998</v>
      </c>
      <c r="C5022" s="2">
        <v>3.6738166666666698</v>
      </c>
      <c r="D5022" s="2" t="s">
        <v>70</v>
      </c>
      <c r="E5022" s="2" t="s">
        <v>33315</v>
      </c>
      <c r="F5022" s="2">
        <v>202705</v>
      </c>
      <c r="G5022" s="3" t="str">
        <f>HYPERLINK("http://funmeta.oebiotech.com/network/202705", "http://funmeta.oebiotech.com/network/202705")</f>
        <v>http://funmeta.oebiotech.com/network/202705</v>
      </c>
      <c r="H5022" s="2" t="s">
        <v>33316</v>
      </c>
      <c r="I5022" s="2"/>
      <c r="J5022" s="2"/>
      <c r="K5022" s="2"/>
      <c r="L5022" s="2" t="s">
        <v>33317</v>
      </c>
      <c r="M5022" s="2"/>
      <c r="N5022" s="2"/>
      <c r="O5022" s="2">
        <v>88125</v>
      </c>
      <c r="P5022" s="2"/>
      <c r="Q5022" s="2" t="s">
        <v>33318</v>
      </c>
      <c r="R5022" s="2" t="s">
        <v>33319</v>
      </c>
      <c r="S5022" s="2" t="s">
        <v>491</v>
      </c>
      <c r="T5022" s="2" t="s">
        <v>15878</v>
      </c>
      <c r="U5022" s="2" t="s">
        <v>41</v>
      </c>
      <c r="V5022" s="2" t="s">
        <v>59</v>
      </c>
      <c r="W5022" s="2">
        <v>38.299999999999997</v>
      </c>
      <c r="X5022" s="2">
        <v>0</v>
      </c>
      <c r="Y5022" s="2" t="s">
        <v>560</v>
      </c>
      <c r="Z5022" s="2" t="s">
        <v>33320</v>
      </c>
      <c r="AA5022" s="2">
        <v>-0.52064944253589496</v>
      </c>
      <c r="AB5022" s="2">
        <v>0.109828198915588</v>
      </c>
      <c r="AC5022" s="2">
        <v>18304.8609566868</v>
      </c>
      <c r="AD5022" s="2">
        <v>16570.046762345901</v>
      </c>
      <c r="AE5022" s="2">
        <v>18827.2125997984</v>
      </c>
      <c r="AF5022" s="2">
        <v>20273.845911652799</v>
      </c>
      <c r="AG5022" s="2">
        <v>15475.2747589259</v>
      </c>
      <c r="AH5022" s="2">
        <v>18407.370622246901</v>
      </c>
      <c r="AI5022" s="2">
        <v>21243.302017603201</v>
      </c>
      <c r="AJ5022" s="2">
        <v>15602.1598298934</v>
      </c>
      <c r="AK5022" s="2">
        <v>17659.136827972401</v>
      </c>
      <c r="AL5022" s="2">
        <v>17480.904521838798</v>
      </c>
      <c r="AM5022" s="2">
        <v>16069.8782941511</v>
      </c>
      <c r="AN5022" s="2">
        <v>15433.589453939099</v>
      </c>
      <c r="AO5022" s="2">
        <v>15544.6153435124</v>
      </c>
      <c r="AP5022" s="2">
        <v>17232.156132661399</v>
      </c>
    </row>
    <row r="5023" spans="1:42" ht="14.5" x14ac:dyDescent="0.35">
      <c r="A5023" s="2" t="s">
        <v>33321</v>
      </c>
      <c r="B5023" s="2">
        <v>327.21739861892001</v>
      </c>
      <c r="C5023" s="2">
        <v>5.8977166666666703</v>
      </c>
      <c r="D5023" s="2" t="s">
        <v>70</v>
      </c>
      <c r="E5023" s="2" t="s">
        <v>33322</v>
      </c>
      <c r="F5023" s="2">
        <v>1723</v>
      </c>
      <c r="G5023" s="3" t="str">
        <f>HYPERLINK("http://funmeta.oebiotech.com/network/1723", "http://funmeta.oebiotech.com/network/1723")</f>
        <v>http://funmeta.oebiotech.com/network/1723</v>
      </c>
      <c r="H5023" s="2"/>
      <c r="I5023" s="2">
        <v>35515</v>
      </c>
      <c r="J5023" s="2" t="s">
        <v>33323</v>
      </c>
      <c r="K5023" s="2"/>
      <c r="L5023" s="2"/>
      <c r="M5023" s="2"/>
      <c r="N5023" s="2"/>
      <c r="O5023" s="2">
        <v>5282972</v>
      </c>
      <c r="P5023" s="2" t="s">
        <v>33324</v>
      </c>
      <c r="Q5023" s="2" t="s">
        <v>33325</v>
      </c>
      <c r="R5023" s="2" t="s">
        <v>33326</v>
      </c>
      <c r="S5023" s="2" t="s">
        <v>50</v>
      </c>
      <c r="T5023" s="2" t="s">
        <v>229</v>
      </c>
      <c r="U5023" s="2" t="s">
        <v>433</v>
      </c>
      <c r="V5023" s="2" t="s">
        <v>59</v>
      </c>
      <c r="W5023" s="2">
        <v>38.799999999999997</v>
      </c>
      <c r="X5023" s="2">
        <v>0</v>
      </c>
      <c r="Y5023" s="2" t="s">
        <v>408</v>
      </c>
      <c r="Z5023" s="2" t="s">
        <v>33327</v>
      </c>
      <c r="AA5023" s="2">
        <v>-1.0597136838991701</v>
      </c>
      <c r="AB5023" s="2">
        <v>0.109716456534493</v>
      </c>
      <c r="AC5023" s="2">
        <v>804.426406600061</v>
      </c>
      <c r="AD5023" s="2">
        <v>2.7106294003980101E-5</v>
      </c>
      <c r="AE5023" s="2">
        <v>607.76299511372997</v>
      </c>
      <c r="AF5023" s="2">
        <v>981.71446026061801</v>
      </c>
      <c r="AG5023" s="2">
        <v>860.31707348248597</v>
      </c>
      <c r="AH5023" s="2">
        <v>834.15529079821101</v>
      </c>
      <c r="AI5023" s="2">
        <v>760.51385055860396</v>
      </c>
      <c r="AJ5023" s="2">
        <v>782.09476938671605</v>
      </c>
      <c r="AK5023" s="2">
        <v>2.7106294003980101E-5</v>
      </c>
      <c r="AL5023" s="2">
        <v>2.7106294003980101E-5</v>
      </c>
      <c r="AM5023" s="2">
        <v>2.7106294003980101E-5</v>
      </c>
      <c r="AN5023" s="2">
        <v>2.7106294003980101E-5</v>
      </c>
      <c r="AO5023" s="2">
        <v>2.7106294003980101E-5</v>
      </c>
      <c r="AP5023" s="2">
        <v>2.7106294003980101E-5</v>
      </c>
    </row>
    <row r="5024" spans="1:42" ht="14.5" x14ac:dyDescent="0.35">
      <c r="A5024" s="2" t="s">
        <v>33328</v>
      </c>
      <c r="B5024" s="2">
        <v>377.15925281762799</v>
      </c>
      <c r="C5024" s="2">
        <v>4.63378333333333</v>
      </c>
      <c r="D5024" s="2" t="s">
        <v>34</v>
      </c>
      <c r="E5024" s="5" t="s">
        <v>33329</v>
      </c>
      <c r="F5024" s="2">
        <v>58964</v>
      </c>
      <c r="G5024" s="3" t="str">
        <f>HYPERLINK("http://funmeta.oebiotech.com/network/58964", "http://funmeta.oebiotech.com/network/58964")</f>
        <v>http://funmeta.oebiotech.com/network/58964</v>
      </c>
      <c r="H5024" s="2" t="s">
        <v>33330</v>
      </c>
      <c r="I5024" s="2"/>
      <c r="J5024" s="2"/>
      <c r="K5024" s="2"/>
      <c r="L5024" s="2"/>
      <c r="M5024" s="2"/>
      <c r="N5024" s="2"/>
      <c r="O5024" s="2">
        <v>21596346</v>
      </c>
      <c r="P5024" s="2" t="s">
        <v>33331</v>
      </c>
      <c r="Q5024" s="2" t="s">
        <v>33332</v>
      </c>
      <c r="R5024" s="2" t="s">
        <v>33333</v>
      </c>
      <c r="S5024" s="2" t="s">
        <v>50</v>
      </c>
      <c r="T5024" s="2" t="s">
        <v>201</v>
      </c>
      <c r="U5024" s="2" t="s">
        <v>241</v>
      </c>
      <c r="V5024" s="2" t="s">
        <v>59</v>
      </c>
      <c r="W5024" s="2">
        <v>38.200000000000003</v>
      </c>
      <c r="X5024" s="2">
        <v>0</v>
      </c>
      <c r="Y5024" s="2" t="s">
        <v>141</v>
      </c>
      <c r="Z5024" s="2" t="s">
        <v>21170</v>
      </c>
      <c r="AA5024" s="2">
        <v>-0.57520062977422604</v>
      </c>
      <c r="AB5024" s="2">
        <v>0.109594153819789</v>
      </c>
      <c r="AC5024" s="2">
        <v>4968.8129849049001</v>
      </c>
      <c r="AD5024" s="2">
        <v>3862.1654437133002</v>
      </c>
      <c r="AE5024" s="2">
        <v>4923.9003955093804</v>
      </c>
      <c r="AF5024" s="2">
        <v>5224.26143871368</v>
      </c>
      <c r="AG5024" s="2">
        <v>5664.6365878886299</v>
      </c>
      <c r="AH5024" s="2">
        <v>3918.2463250830201</v>
      </c>
      <c r="AI5024" s="2">
        <v>4359.7973634864702</v>
      </c>
      <c r="AJ5024" s="2">
        <v>5722.0357987482403</v>
      </c>
      <c r="AK5024" s="2">
        <v>3835.1942812099501</v>
      </c>
      <c r="AL5024" s="2">
        <v>3549.81670536001</v>
      </c>
      <c r="AM5024" s="2">
        <v>4273.9751938014797</v>
      </c>
      <c r="AN5024" s="2">
        <v>3816.2639619370998</v>
      </c>
      <c r="AO5024" s="2">
        <v>3198.4499042479101</v>
      </c>
      <c r="AP5024" s="2">
        <v>4499.2926157233596</v>
      </c>
    </row>
    <row r="5025" spans="1:42" ht="14.5" x14ac:dyDescent="0.35">
      <c r="A5025" s="2" t="s">
        <v>33334</v>
      </c>
      <c r="B5025" s="2">
        <v>114.054916584645</v>
      </c>
      <c r="C5025" s="2">
        <v>1.06171666666667</v>
      </c>
      <c r="D5025" s="2" t="s">
        <v>34</v>
      </c>
      <c r="E5025" s="2" t="s">
        <v>33335</v>
      </c>
      <c r="F5025" s="2">
        <v>57177</v>
      </c>
      <c r="G5025" s="3" t="str">
        <f>HYPERLINK("http://funmeta.oebiotech.com/network/57177", "http://funmeta.oebiotech.com/network/57177")</f>
        <v>http://funmeta.oebiotech.com/network/57177</v>
      </c>
      <c r="H5025" s="2" t="s">
        <v>33336</v>
      </c>
      <c r="I5025" s="2">
        <v>69936</v>
      </c>
      <c r="J5025" s="2"/>
      <c r="K5025" s="2">
        <v>34768</v>
      </c>
      <c r="L5025" s="2" t="s">
        <v>33337</v>
      </c>
      <c r="M5025" s="2" t="s">
        <v>9651</v>
      </c>
      <c r="N5025" s="2" t="s">
        <v>9652</v>
      </c>
      <c r="O5025" s="2">
        <v>7362</v>
      </c>
      <c r="P5025" s="2" t="s">
        <v>33338</v>
      </c>
      <c r="Q5025" s="2" t="s">
        <v>33339</v>
      </c>
      <c r="R5025" s="2" t="s">
        <v>33340</v>
      </c>
      <c r="S5025" s="2" t="s">
        <v>79</v>
      </c>
      <c r="T5025" s="2" t="s">
        <v>80</v>
      </c>
      <c r="U5025" s="2" t="s">
        <v>2820</v>
      </c>
      <c r="V5025" s="2" t="s">
        <v>59</v>
      </c>
      <c r="W5025" s="2">
        <v>39.1</v>
      </c>
      <c r="X5025" s="2">
        <v>0</v>
      </c>
      <c r="Y5025" s="2" t="s">
        <v>43</v>
      </c>
      <c r="Z5025" s="2" t="s">
        <v>33341</v>
      </c>
      <c r="AA5025" s="2">
        <v>-0.39900337745007902</v>
      </c>
      <c r="AB5025" s="2">
        <v>0.10954989300845699</v>
      </c>
      <c r="AC5025" s="2">
        <v>3622.1323133527699</v>
      </c>
      <c r="AD5025" s="2">
        <v>4631.3904121477299</v>
      </c>
      <c r="AE5025" s="2">
        <v>3878.72198021539</v>
      </c>
      <c r="AF5025" s="2">
        <v>3899.58677441605</v>
      </c>
      <c r="AG5025" s="2">
        <v>3508.3872490511599</v>
      </c>
      <c r="AH5025" s="2">
        <v>3458.6766215705102</v>
      </c>
      <c r="AI5025" s="2">
        <v>3638.38851238282</v>
      </c>
      <c r="AJ5025" s="2">
        <v>3349.0327424806701</v>
      </c>
      <c r="AK5025" s="2">
        <v>5632.0863097868296</v>
      </c>
      <c r="AL5025" s="2">
        <v>4859.3318699607998</v>
      </c>
      <c r="AM5025" s="2">
        <v>4358.4030866738003</v>
      </c>
      <c r="AN5025" s="2">
        <v>4456.0221106341796</v>
      </c>
      <c r="AO5025" s="2">
        <v>4555.1767044007802</v>
      </c>
      <c r="AP5025" s="2">
        <v>3927.3223914299701</v>
      </c>
    </row>
    <row r="5026" spans="1:42" ht="14.5" x14ac:dyDescent="0.35">
      <c r="A5026" s="2" t="s">
        <v>33342</v>
      </c>
      <c r="B5026" s="2">
        <v>247.13029519608699</v>
      </c>
      <c r="C5026" s="2">
        <v>8.3613499999999998</v>
      </c>
      <c r="D5026" s="2" t="s">
        <v>34</v>
      </c>
      <c r="E5026" s="2" t="s">
        <v>33343</v>
      </c>
      <c r="F5026" s="2">
        <v>256442</v>
      </c>
      <c r="G5026" s="3" t="str">
        <f>HYPERLINK("http://funmeta.oebiotech.com/network/256442", "http://funmeta.oebiotech.com/network/256442")</f>
        <v>http://funmeta.oebiotech.com/network/256442</v>
      </c>
      <c r="H5026" s="2" t="s">
        <v>33344</v>
      </c>
      <c r="I5026" s="2">
        <v>66125</v>
      </c>
      <c r="J5026" s="2"/>
      <c r="K5026" s="2">
        <v>28258</v>
      </c>
      <c r="L5026" s="2" t="s">
        <v>33345</v>
      </c>
      <c r="M5026" s="2"/>
      <c r="N5026" s="2"/>
      <c r="O5026" s="2">
        <v>5280654</v>
      </c>
      <c r="P5026" s="2"/>
      <c r="Q5026" s="2" t="s">
        <v>33346</v>
      </c>
      <c r="R5026" s="2" t="s">
        <v>33347</v>
      </c>
      <c r="S5026" s="2" t="s">
        <v>50</v>
      </c>
      <c r="T5026" s="2" t="s">
        <v>201</v>
      </c>
      <c r="U5026" s="2" t="s">
        <v>636</v>
      </c>
      <c r="V5026" s="2" t="s">
        <v>42</v>
      </c>
      <c r="W5026" s="2">
        <v>54.8</v>
      </c>
      <c r="X5026" s="2">
        <v>82.1</v>
      </c>
      <c r="Y5026" s="2" t="s">
        <v>323</v>
      </c>
      <c r="Z5026" s="2" t="s">
        <v>33348</v>
      </c>
      <c r="AA5026" s="2">
        <v>-0.75837891064025698</v>
      </c>
      <c r="AB5026" s="2">
        <v>0.109477051281205</v>
      </c>
      <c r="AC5026" s="2">
        <v>3447.86988580262</v>
      </c>
      <c r="AD5026" s="2">
        <v>2367.7926099490401</v>
      </c>
      <c r="AE5026" s="2">
        <v>3513.1234464895201</v>
      </c>
      <c r="AF5026" s="2">
        <v>3625.0183047578698</v>
      </c>
      <c r="AG5026" s="2">
        <v>4378.11875147915</v>
      </c>
      <c r="AH5026" s="2">
        <v>3595.9055762538501</v>
      </c>
      <c r="AI5026" s="2">
        <v>2995.7165584194299</v>
      </c>
      <c r="AJ5026" s="2">
        <v>2579.3366774158799</v>
      </c>
      <c r="AK5026" s="2">
        <v>2875.6078115457199</v>
      </c>
      <c r="AL5026" s="2">
        <v>2368.5608417488802</v>
      </c>
      <c r="AM5026" s="2">
        <v>2184.0612833698101</v>
      </c>
      <c r="AN5026" s="2">
        <v>2908.4372878547101</v>
      </c>
      <c r="AO5026" s="2">
        <v>2356.6767435680799</v>
      </c>
      <c r="AP5026" s="2">
        <v>1513.41169160701</v>
      </c>
    </row>
    <row r="5027" spans="1:42" ht="14.5" x14ac:dyDescent="0.35">
      <c r="A5027" s="2" t="s">
        <v>33349</v>
      </c>
      <c r="B5027" s="2">
        <v>329.048979852108</v>
      </c>
      <c r="C5027" s="2">
        <v>1.3894500000000001</v>
      </c>
      <c r="D5027" s="2" t="s">
        <v>70</v>
      </c>
      <c r="E5027" s="2" t="s">
        <v>33350</v>
      </c>
      <c r="F5027" s="2">
        <v>64868</v>
      </c>
      <c r="G5027" s="3" t="str">
        <f>HYPERLINK("http://funmeta.oebiotech.com/network/64868", "http://funmeta.oebiotech.com/network/64868")</f>
        <v>http://funmeta.oebiotech.com/network/64868</v>
      </c>
      <c r="H5027" s="2" t="s">
        <v>33351</v>
      </c>
      <c r="I5027" s="2">
        <v>96151</v>
      </c>
      <c r="J5027" s="2"/>
      <c r="K5027" s="2">
        <v>44605</v>
      </c>
      <c r="L5027" s="2" t="s">
        <v>33352</v>
      </c>
      <c r="M5027" s="2"/>
      <c r="N5027" s="2"/>
      <c r="O5027" s="2">
        <v>119315</v>
      </c>
      <c r="P5027" s="2" t="s">
        <v>33353</v>
      </c>
      <c r="Q5027" s="2" t="s">
        <v>33354</v>
      </c>
      <c r="R5027" s="2" t="s">
        <v>33355</v>
      </c>
      <c r="S5027" s="2" t="s">
        <v>491</v>
      </c>
      <c r="T5027" s="2" t="s">
        <v>7431</v>
      </c>
      <c r="U5027" s="2" t="s">
        <v>7432</v>
      </c>
      <c r="V5027" s="2" t="s">
        <v>59</v>
      </c>
      <c r="W5027" s="2">
        <v>38.700000000000003</v>
      </c>
      <c r="X5027" s="2">
        <v>0</v>
      </c>
      <c r="Y5027" s="2" t="s">
        <v>560</v>
      </c>
      <c r="Z5027" s="2" t="s">
        <v>17017</v>
      </c>
      <c r="AA5027" s="2">
        <v>-3.30983253773076</v>
      </c>
      <c r="AB5027" s="2">
        <v>0.10921512851236199</v>
      </c>
      <c r="AC5027" s="2">
        <v>2015.2982787115</v>
      </c>
      <c r="AD5027" s="2">
        <v>1185.30207001995</v>
      </c>
      <c r="AE5027" s="2">
        <v>2246.0670020317002</v>
      </c>
      <c r="AF5027" s="2">
        <v>2006.69804188028</v>
      </c>
      <c r="AG5027" s="2">
        <v>2055.2540352291699</v>
      </c>
      <c r="AH5027" s="2">
        <v>1814.0057799536801</v>
      </c>
      <c r="AI5027" s="2">
        <v>1889.82681499049</v>
      </c>
      <c r="AJ5027" s="2">
        <v>2079.9379981837101</v>
      </c>
      <c r="AK5027" s="2">
        <v>1213.88644023398</v>
      </c>
      <c r="AL5027" s="2">
        <v>1024.74283699641</v>
      </c>
      <c r="AM5027" s="2">
        <v>925.51404671141495</v>
      </c>
      <c r="AN5027" s="2">
        <v>1367.9455356591</v>
      </c>
      <c r="AO5027" s="2">
        <v>1267.8169617257199</v>
      </c>
      <c r="AP5027" s="2">
        <v>1311.9065987930801</v>
      </c>
    </row>
    <row r="5028" spans="1:42" ht="14.5" x14ac:dyDescent="0.35">
      <c r="A5028" s="2" t="s">
        <v>33356</v>
      </c>
      <c r="B5028" s="2">
        <v>549.28485161787796</v>
      </c>
      <c r="C5028" s="2">
        <v>11.1218</v>
      </c>
      <c r="D5028" s="2" t="s">
        <v>34</v>
      </c>
      <c r="E5028" s="2" t="s">
        <v>33357</v>
      </c>
      <c r="F5028" s="2">
        <v>29049</v>
      </c>
      <c r="G5028" s="3" t="str">
        <f>HYPERLINK("http://funmeta.oebiotech.com/network/29049", "http://funmeta.oebiotech.com/network/29049")</f>
        <v>http://funmeta.oebiotech.com/network/29049</v>
      </c>
      <c r="H5028" s="2"/>
      <c r="I5028" s="2">
        <v>47445</v>
      </c>
      <c r="J5028" s="2" t="s">
        <v>33358</v>
      </c>
      <c r="K5028" s="2"/>
      <c r="L5028" s="2"/>
      <c r="M5028" s="2"/>
      <c r="N5028" s="2"/>
      <c r="O5028" s="2">
        <v>497359</v>
      </c>
      <c r="P5028" s="2"/>
      <c r="Q5028" s="2" t="s">
        <v>33359</v>
      </c>
      <c r="R5028" s="2" t="s">
        <v>33360</v>
      </c>
      <c r="S5028" s="2" t="s">
        <v>115</v>
      </c>
      <c r="T5028" s="2" t="s">
        <v>139</v>
      </c>
      <c r="U5028" s="2" t="s">
        <v>19912</v>
      </c>
      <c r="V5028" s="2" t="s">
        <v>59</v>
      </c>
      <c r="W5028" s="2">
        <v>38.6</v>
      </c>
      <c r="X5028" s="2">
        <v>0</v>
      </c>
      <c r="Y5028" s="2" t="s">
        <v>394</v>
      </c>
      <c r="Z5028" s="2" t="s">
        <v>33361</v>
      </c>
      <c r="AA5028" s="2">
        <v>0.31291852781289098</v>
      </c>
      <c r="AB5028" s="2">
        <v>0.10921339099155999</v>
      </c>
      <c r="AC5028" s="2">
        <v>2230.0424513561602</v>
      </c>
      <c r="AD5028" s="2">
        <v>3159.9043673517999</v>
      </c>
      <c r="AE5028" s="2">
        <v>2120.0243721373899</v>
      </c>
      <c r="AF5028" s="2">
        <v>2047.9345365591801</v>
      </c>
      <c r="AG5028" s="2">
        <v>2431.1022124374799</v>
      </c>
      <c r="AH5028" s="2">
        <v>2547.99867393963</v>
      </c>
      <c r="AI5028" s="2">
        <v>2115.29995680507</v>
      </c>
      <c r="AJ5028" s="2">
        <v>2117.8949562581902</v>
      </c>
      <c r="AK5028" s="2">
        <v>3564.6755156106401</v>
      </c>
      <c r="AL5028" s="2">
        <v>3349.2152908053899</v>
      </c>
      <c r="AM5028" s="2">
        <v>3352.1205719172799</v>
      </c>
      <c r="AN5028" s="2">
        <v>3148.1245361996698</v>
      </c>
      <c r="AO5028" s="2">
        <v>2389.5027368508299</v>
      </c>
      <c r="AP5028" s="2">
        <v>3155.7875527269998</v>
      </c>
    </row>
    <row r="5029" spans="1:42" ht="14.5" x14ac:dyDescent="0.35">
      <c r="A5029" s="2" t="s">
        <v>33362</v>
      </c>
      <c r="B5029" s="2">
        <v>239.06684756679601</v>
      </c>
      <c r="C5029" s="2">
        <v>10.458866666666699</v>
      </c>
      <c r="D5029" s="2" t="s">
        <v>70</v>
      </c>
      <c r="E5029" s="2" t="s">
        <v>33363</v>
      </c>
      <c r="F5029" s="2">
        <v>56851</v>
      </c>
      <c r="G5029" s="3" t="str">
        <f>HYPERLINK("http://funmeta.oebiotech.com/network/56851", "http://funmeta.oebiotech.com/network/56851")</f>
        <v>http://funmeta.oebiotech.com/network/56851</v>
      </c>
      <c r="H5029" s="2" t="s">
        <v>33364</v>
      </c>
      <c r="I5029" s="2">
        <v>69953</v>
      </c>
      <c r="J5029" s="2"/>
      <c r="K5029" s="2">
        <v>83632</v>
      </c>
      <c r="L5029" s="2" t="s">
        <v>33365</v>
      </c>
      <c r="M5029" s="2"/>
      <c r="N5029" s="2"/>
      <c r="O5029" s="2">
        <v>6950</v>
      </c>
      <c r="P5029" s="2" t="s">
        <v>33366</v>
      </c>
      <c r="Q5029" s="2" t="s">
        <v>33367</v>
      </c>
      <c r="R5029" s="2" t="s">
        <v>33368</v>
      </c>
      <c r="S5029" s="2" t="s">
        <v>148</v>
      </c>
      <c r="T5029" s="2" t="s">
        <v>392</v>
      </c>
      <c r="U5029" s="2" t="s">
        <v>1177</v>
      </c>
      <c r="V5029" s="2" t="s">
        <v>42</v>
      </c>
      <c r="W5029" s="2">
        <v>48.8</v>
      </c>
      <c r="X5029" s="2">
        <v>51.6</v>
      </c>
      <c r="Y5029" s="2" t="s">
        <v>118</v>
      </c>
      <c r="Z5029" s="2" t="s">
        <v>33369</v>
      </c>
      <c r="AA5029" s="2">
        <v>-2.0722450422516099</v>
      </c>
      <c r="AB5029" s="2">
        <v>0.109201204524548</v>
      </c>
      <c r="AC5029" s="2">
        <v>4164.0582897357699</v>
      </c>
      <c r="AD5029" s="2">
        <v>5280.3501480576697</v>
      </c>
      <c r="AE5029" s="2">
        <v>4682.7205269283104</v>
      </c>
      <c r="AF5029" s="2">
        <v>3086.3469558581</v>
      </c>
      <c r="AG5029" s="2">
        <v>5114.47943036988</v>
      </c>
      <c r="AH5029" s="2">
        <v>3905.6596071924</v>
      </c>
      <c r="AI5029" s="2">
        <v>4792.51568481514</v>
      </c>
      <c r="AJ5029" s="2">
        <v>3402.6275332507798</v>
      </c>
      <c r="AK5029" s="2">
        <v>5079.3736975908596</v>
      </c>
      <c r="AL5029" s="2">
        <v>5717.4218305445702</v>
      </c>
      <c r="AM5029" s="2">
        <v>5383.2228477221997</v>
      </c>
      <c r="AN5029" s="2">
        <v>4809.1734577249699</v>
      </c>
      <c r="AO5029" s="2">
        <v>5176.1530941347501</v>
      </c>
      <c r="AP5029" s="2">
        <v>5516.7559606286604</v>
      </c>
    </row>
    <row r="5030" spans="1:42" ht="14.5" x14ac:dyDescent="0.35">
      <c r="A5030" s="2" t="s">
        <v>33370</v>
      </c>
      <c r="B5030" s="2">
        <v>211.06869319133699</v>
      </c>
      <c r="C5030" s="2">
        <v>1.09313333333333</v>
      </c>
      <c r="D5030" s="2" t="s">
        <v>34</v>
      </c>
      <c r="E5030" s="2" t="s">
        <v>33371</v>
      </c>
      <c r="F5030" s="2">
        <v>48653</v>
      </c>
      <c r="G5030" s="3" t="str">
        <f>HYPERLINK("http://funmeta.oebiotech.com/network/48653", "http://funmeta.oebiotech.com/network/48653")</f>
        <v>http://funmeta.oebiotech.com/network/48653</v>
      </c>
      <c r="H5030" s="2" t="s">
        <v>33372</v>
      </c>
      <c r="I5030" s="2">
        <v>58344</v>
      </c>
      <c r="J5030" s="2"/>
      <c r="K5030" s="2">
        <v>21553</v>
      </c>
      <c r="L5030" s="2"/>
      <c r="M5030" s="2"/>
      <c r="N5030" s="2"/>
      <c r="O5030" s="2">
        <v>182230</v>
      </c>
      <c r="P5030" s="2" t="s">
        <v>33373</v>
      </c>
      <c r="Q5030" s="2" t="s">
        <v>33374</v>
      </c>
      <c r="R5030" s="2" t="s">
        <v>33375</v>
      </c>
      <c r="S5030" s="2" t="s">
        <v>89</v>
      </c>
      <c r="T5030" s="2" t="s">
        <v>90</v>
      </c>
      <c r="U5030" s="2" t="s">
        <v>99</v>
      </c>
      <c r="V5030" s="2" t="s">
        <v>59</v>
      </c>
      <c r="W5030" s="2">
        <v>38.799999999999997</v>
      </c>
      <c r="X5030" s="2">
        <v>0</v>
      </c>
      <c r="Y5030" s="2" t="s">
        <v>323</v>
      </c>
      <c r="Z5030" s="2" t="s">
        <v>33376</v>
      </c>
      <c r="AA5030" s="2">
        <v>-1.2460745858487701</v>
      </c>
      <c r="AB5030" s="2">
        <v>0.109061482992983</v>
      </c>
      <c r="AC5030" s="2">
        <v>5977.1384173862998</v>
      </c>
      <c r="AD5030" s="2">
        <v>5115.5718691685897</v>
      </c>
      <c r="AE5030" s="2">
        <v>6129.4563849977803</v>
      </c>
      <c r="AF5030" s="2">
        <v>6048.1008292468096</v>
      </c>
      <c r="AG5030" s="2">
        <v>5931.6696966030104</v>
      </c>
      <c r="AH5030" s="2">
        <v>5823.40472372568</v>
      </c>
      <c r="AI5030" s="2">
        <v>6012.1755978301298</v>
      </c>
      <c r="AJ5030" s="2">
        <v>5918.0232719143796</v>
      </c>
      <c r="AK5030" s="2">
        <v>5660.1243204354196</v>
      </c>
      <c r="AL5030" s="2">
        <v>4998.4306945283497</v>
      </c>
      <c r="AM5030" s="2">
        <v>4804.69770927228</v>
      </c>
      <c r="AN5030" s="2">
        <v>5067.42579236044</v>
      </c>
      <c r="AO5030" s="2">
        <v>4963.7837199881496</v>
      </c>
      <c r="AP5030" s="2">
        <v>5198.9689784268803</v>
      </c>
    </row>
    <row r="5031" spans="1:42" ht="14.5" x14ac:dyDescent="0.35">
      <c r="A5031" s="2" t="s">
        <v>33377</v>
      </c>
      <c r="B5031" s="2">
        <v>215.16428468731701</v>
      </c>
      <c r="C5031" s="2">
        <v>2.4111166666666701</v>
      </c>
      <c r="D5031" s="2" t="s">
        <v>34</v>
      </c>
      <c r="E5031" s="2" t="s">
        <v>33378</v>
      </c>
      <c r="F5031" s="2">
        <v>301166</v>
      </c>
      <c r="G5031" s="3" t="str">
        <f>HYPERLINK("http://funmeta.oebiotech.com/network/301166", "http://funmeta.oebiotech.com/network/301166")</f>
        <v>http://funmeta.oebiotech.com/network/301166</v>
      </c>
      <c r="H5031" s="2"/>
      <c r="I5031" s="2">
        <v>326496</v>
      </c>
      <c r="J5031" s="2"/>
      <c r="K5031" s="2"/>
      <c r="L5031" s="2"/>
      <c r="M5031" s="2"/>
      <c r="N5031" s="2"/>
      <c r="O5031" s="2">
        <v>121790</v>
      </c>
      <c r="P5031" s="2"/>
      <c r="Q5031" s="2" t="s">
        <v>33379</v>
      </c>
      <c r="R5031" s="2" t="s">
        <v>33380</v>
      </c>
      <c r="S5031" s="2" t="s">
        <v>89</v>
      </c>
      <c r="T5031" s="2" t="s">
        <v>2718</v>
      </c>
      <c r="U5031" s="2" t="s">
        <v>2719</v>
      </c>
      <c r="V5031" s="2" t="s">
        <v>59</v>
      </c>
      <c r="W5031" s="2">
        <v>39.299999999999997</v>
      </c>
      <c r="X5031" s="2">
        <v>0</v>
      </c>
      <c r="Y5031" s="2" t="s">
        <v>394</v>
      </c>
      <c r="Z5031" s="2" t="s">
        <v>33381</v>
      </c>
      <c r="AA5031" s="2">
        <v>0.53087759620460095</v>
      </c>
      <c r="AB5031" s="2">
        <v>0.109039901261829</v>
      </c>
      <c r="AC5031" s="2">
        <v>7354.3894928334103</v>
      </c>
      <c r="AD5031" s="2">
        <v>8326.8477970210606</v>
      </c>
      <c r="AE5031" s="2">
        <v>7565.1399367910899</v>
      </c>
      <c r="AF5031" s="2">
        <v>7158.7877431598899</v>
      </c>
      <c r="AG5031" s="2">
        <v>7440.3704503314202</v>
      </c>
      <c r="AH5031" s="2">
        <v>6944.2267208693202</v>
      </c>
      <c r="AI5031" s="2">
        <v>7211.2501760485602</v>
      </c>
      <c r="AJ5031" s="2">
        <v>7806.5619298002002</v>
      </c>
      <c r="AK5031" s="2">
        <v>8093.7982070587605</v>
      </c>
      <c r="AL5031" s="2">
        <v>8516.3061225941601</v>
      </c>
      <c r="AM5031" s="2">
        <v>7946.8328450067002</v>
      </c>
      <c r="AN5031" s="2">
        <v>8235.5300624637894</v>
      </c>
      <c r="AO5031" s="2">
        <v>9171.2918822435604</v>
      </c>
      <c r="AP5031" s="2">
        <v>7997.3276627593596</v>
      </c>
    </row>
    <row r="5032" spans="1:42" ht="14.5" x14ac:dyDescent="0.35">
      <c r="A5032" s="2" t="s">
        <v>33382</v>
      </c>
      <c r="B5032" s="2">
        <v>392.31298939888802</v>
      </c>
      <c r="C5032" s="2">
        <v>10.984450000000001</v>
      </c>
      <c r="D5032" s="2" t="s">
        <v>34</v>
      </c>
      <c r="E5032" s="2" t="s">
        <v>33383</v>
      </c>
      <c r="F5032" s="2">
        <v>273716</v>
      </c>
      <c r="G5032" s="3" t="str">
        <f>HYPERLINK("http://funmeta.oebiotech.com/network/273716", "http://funmeta.oebiotech.com/network/273716")</f>
        <v>http://funmeta.oebiotech.com/network/273716</v>
      </c>
      <c r="H5032" s="2"/>
      <c r="I5032" s="2">
        <v>62991</v>
      </c>
      <c r="J5032" s="2"/>
      <c r="K5032" s="2"/>
      <c r="L5032" s="2"/>
      <c r="M5032" s="2"/>
      <c r="N5032" s="2"/>
      <c r="O5032" s="2">
        <v>71433203</v>
      </c>
      <c r="P5032" s="2" t="s">
        <v>33384</v>
      </c>
      <c r="Q5032" s="2" t="s">
        <v>33385</v>
      </c>
      <c r="R5032" s="2" t="s">
        <v>33386</v>
      </c>
      <c r="S5032" s="2" t="s">
        <v>89</v>
      </c>
      <c r="T5032" s="2" t="s">
        <v>90</v>
      </c>
      <c r="U5032" s="2" t="s">
        <v>99</v>
      </c>
      <c r="V5032" s="2" t="s">
        <v>59</v>
      </c>
      <c r="W5032" s="2">
        <v>38.9</v>
      </c>
      <c r="X5032" s="2">
        <v>0</v>
      </c>
      <c r="Y5032" s="2" t="s">
        <v>323</v>
      </c>
      <c r="Z5032" s="2" t="s">
        <v>33387</v>
      </c>
      <c r="AA5032" s="2">
        <v>-1.4229326633663599</v>
      </c>
      <c r="AB5032" s="2">
        <v>0.10903102074628</v>
      </c>
      <c r="AC5032" s="2">
        <v>1408.0556954802601</v>
      </c>
      <c r="AD5032" s="2">
        <v>3356.09202618477</v>
      </c>
      <c r="AE5032" s="2">
        <v>909.22603718597895</v>
      </c>
      <c r="AF5032" s="2">
        <v>1348.1517610422</v>
      </c>
      <c r="AG5032" s="2">
        <v>736.58730097028797</v>
      </c>
      <c r="AH5032" s="2">
        <v>1766.86053687447</v>
      </c>
      <c r="AI5032" s="2">
        <v>957.42544551311403</v>
      </c>
      <c r="AJ5032" s="2">
        <v>2730.0830912954998</v>
      </c>
      <c r="AK5032" s="2">
        <v>1462.95429471803</v>
      </c>
      <c r="AL5032" s="2">
        <v>3117.0719297424898</v>
      </c>
      <c r="AM5032" s="2">
        <v>1450.0171108944601</v>
      </c>
      <c r="AN5032" s="2">
        <v>1532.30237977007</v>
      </c>
      <c r="AO5032" s="2">
        <v>2558.9772335333901</v>
      </c>
      <c r="AP5032" s="2">
        <v>10015.229208450201</v>
      </c>
    </row>
    <row r="5033" spans="1:42" ht="14.5" x14ac:dyDescent="0.35">
      <c r="A5033" s="2" t="s">
        <v>33388</v>
      </c>
      <c r="B5033" s="2">
        <v>279.05119669784699</v>
      </c>
      <c r="C5033" s="2">
        <v>3.6614666666666702</v>
      </c>
      <c r="D5033" s="2" t="s">
        <v>34</v>
      </c>
      <c r="E5033" s="2" t="s">
        <v>33389</v>
      </c>
      <c r="F5033" s="2">
        <v>54288</v>
      </c>
      <c r="G5033" s="3" t="str">
        <f>HYPERLINK("http://funmeta.oebiotech.com/network/54288", "http://funmeta.oebiotech.com/network/54288")</f>
        <v>http://funmeta.oebiotech.com/network/54288</v>
      </c>
      <c r="H5033" s="2" t="s">
        <v>33390</v>
      </c>
      <c r="I5033" s="2"/>
      <c r="J5033" s="2"/>
      <c r="K5033" s="2">
        <v>493262</v>
      </c>
      <c r="L5033" s="2"/>
      <c r="M5033" s="2"/>
      <c r="N5033" s="2"/>
      <c r="O5033" s="2">
        <v>6124299</v>
      </c>
      <c r="P5033" s="2" t="s">
        <v>33391</v>
      </c>
      <c r="Q5033" s="2" t="s">
        <v>33392</v>
      </c>
      <c r="R5033" s="2" t="s">
        <v>33393</v>
      </c>
      <c r="S5033" s="2" t="s">
        <v>115</v>
      </c>
      <c r="T5033" s="2" t="s">
        <v>116</v>
      </c>
      <c r="U5033" s="2" t="s">
        <v>117</v>
      </c>
      <c r="V5033" s="2" t="s">
        <v>59</v>
      </c>
      <c r="W5033" s="2">
        <v>37.6</v>
      </c>
      <c r="X5033" s="2">
        <v>0</v>
      </c>
      <c r="Y5033" s="2" t="s">
        <v>141</v>
      </c>
      <c r="Z5033" s="2" t="s">
        <v>33394</v>
      </c>
      <c r="AA5033" s="2">
        <v>4.2816846852526202</v>
      </c>
      <c r="AB5033" s="2">
        <v>0.108975409096045</v>
      </c>
      <c r="AC5033" s="2">
        <v>1421.6440178202499</v>
      </c>
      <c r="AD5033" s="2">
        <v>2269.19503810374</v>
      </c>
      <c r="AE5033" s="2">
        <v>1256.89922494649</v>
      </c>
      <c r="AF5033" s="2">
        <v>1662.94721034075</v>
      </c>
      <c r="AG5033" s="2">
        <v>1426.97541666902</v>
      </c>
      <c r="AH5033" s="2">
        <v>1233.8101737431</v>
      </c>
      <c r="AI5033" s="2">
        <v>1542.65677785446</v>
      </c>
      <c r="AJ5033" s="2">
        <v>1406.5753033677099</v>
      </c>
      <c r="AK5033" s="2">
        <v>2090.1466030818001</v>
      </c>
      <c r="AL5033" s="2">
        <v>2610.21567015358</v>
      </c>
      <c r="AM5033" s="2">
        <v>2185.46307846734</v>
      </c>
      <c r="AN5033" s="2">
        <v>2458.21551007882</v>
      </c>
      <c r="AO5033" s="2">
        <v>2268.9107500944901</v>
      </c>
      <c r="AP5033" s="2">
        <v>2002.2186167464299</v>
      </c>
    </row>
    <row r="5034" spans="1:42" ht="14.5" x14ac:dyDescent="0.35">
      <c r="A5034" s="2" t="s">
        <v>33395</v>
      </c>
      <c r="B5034" s="2">
        <v>191.129278954466</v>
      </c>
      <c r="C5034" s="2">
        <v>0.73909999999999998</v>
      </c>
      <c r="D5034" s="2" t="s">
        <v>70</v>
      </c>
      <c r="E5034" s="2" t="s">
        <v>33396</v>
      </c>
      <c r="F5034" s="2">
        <v>199608</v>
      </c>
      <c r="G5034" s="3" t="str">
        <f>HYPERLINK("http://funmeta.oebiotech.com/network/199608", "http://funmeta.oebiotech.com/network/199608")</f>
        <v>http://funmeta.oebiotech.com/network/199608</v>
      </c>
      <c r="H5034" s="2" t="s">
        <v>33397</v>
      </c>
      <c r="I5034" s="2">
        <v>344247</v>
      </c>
      <c r="J5034" s="2"/>
      <c r="K5034" s="2"/>
      <c r="L5034" s="2"/>
      <c r="M5034" s="2"/>
      <c r="N5034" s="2"/>
      <c r="O5034" s="2">
        <v>15617</v>
      </c>
      <c r="P5034" s="2"/>
      <c r="Q5034" s="2" t="s">
        <v>33398</v>
      </c>
      <c r="R5034" s="2" t="s">
        <v>33399</v>
      </c>
      <c r="S5034" s="2" t="s">
        <v>491</v>
      </c>
      <c r="T5034" s="2" t="s">
        <v>3519</v>
      </c>
      <c r="U5034" s="2" t="s">
        <v>7268</v>
      </c>
      <c r="V5034" s="2" t="s">
        <v>59</v>
      </c>
      <c r="W5034" s="2">
        <v>37.700000000000003</v>
      </c>
      <c r="X5034" s="2">
        <v>0</v>
      </c>
      <c r="Y5034" s="2" t="s">
        <v>560</v>
      </c>
      <c r="Z5034" s="2" t="s">
        <v>33400</v>
      </c>
      <c r="AA5034" s="2">
        <v>-4.8982935175589803</v>
      </c>
      <c r="AB5034" s="2">
        <v>0.108829848531054</v>
      </c>
      <c r="AC5034" s="2">
        <v>41124.371298546903</v>
      </c>
      <c r="AD5034" s="2">
        <v>38242.647734905702</v>
      </c>
      <c r="AE5034" s="2">
        <v>37065.761957652699</v>
      </c>
      <c r="AF5034" s="2">
        <v>42368.4632443878</v>
      </c>
      <c r="AG5034" s="2">
        <v>46077.786224879703</v>
      </c>
      <c r="AH5034" s="2">
        <v>46263.127137590702</v>
      </c>
      <c r="AI5034" s="2">
        <v>34088.3196955608</v>
      </c>
      <c r="AJ5034" s="2">
        <v>40882.7695312098</v>
      </c>
      <c r="AK5034" s="2">
        <v>32256.000368078301</v>
      </c>
      <c r="AL5034" s="2">
        <v>50953.353976834696</v>
      </c>
      <c r="AM5034" s="2">
        <v>40199.543177782201</v>
      </c>
      <c r="AN5034" s="2">
        <v>36834.402709075897</v>
      </c>
      <c r="AO5034" s="2">
        <v>32868.093594569298</v>
      </c>
      <c r="AP5034" s="2">
        <v>36344.492583093997</v>
      </c>
    </row>
    <row r="5035" spans="1:42" ht="14.5" x14ac:dyDescent="0.35">
      <c r="A5035" s="2" t="s">
        <v>33401</v>
      </c>
      <c r="B5035" s="2">
        <v>373.22740257375199</v>
      </c>
      <c r="C5035" s="2">
        <v>4.7862166666666699</v>
      </c>
      <c r="D5035" s="2" t="s">
        <v>34</v>
      </c>
      <c r="E5035" s="2" t="s">
        <v>33402</v>
      </c>
      <c r="F5035" s="2">
        <v>212018</v>
      </c>
      <c r="G5035" s="3" t="str">
        <f>HYPERLINK("http://funmeta.oebiotech.com/network/212018", "http://funmeta.oebiotech.com/network/212018")</f>
        <v>http://funmeta.oebiotech.com/network/212018</v>
      </c>
      <c r="H5035" s="2" t="s">
        <v>33403</v>
      </c>
      <c r="I5035" s="2"/>
      <c r="J5035" s="2"/>
      <c r="K5035" s="2">
        <v>92611</v>
      </c>
      <c r="L5035" s="2"/>
      <c r="M5035" s="2"/>
      <c r="N5035" s="2"/>
      <c r="O5035" s="2">
        <v>5305</v>
      </c>
      <c r="P5035" s="2"/>
      <c r="Q5035" s="2" t="s">
        <v>33404</v>
      </c>
      <c r="R5035" s="2" t="s">
        <v>33405</v>
      </c>
      <c r="S5035" s="2" t="s">
        <v>148</v>
      </c>
      <c r="T5035" s="2" t="s">
        <v>149</v>
      </c>
      <c r="U5035" s="2" t="s">
        <v>33406</v>
      </c>
      <c r="V5035" s="2" t="s">
        <v>59</v>
      </c>
      <c r="W5035" s="2">
        <v>39.200000000000003</v>
      </c>
      <c r="X5035" s="2">
        <v>0</v>
      </c>
      <c r="Y5035" s="2" t="s">
        <v>141</v>
      </c>
      <c r="Z5035" s="2" t="s">
        <v>33407</v>
      </c>
      <c r="AA5035" s="2">
        <v>-9.5807594962384293E-2</v>
      </c>
      <c r="AB5035" s="2">
        <v>0.10876461081579999</v>
      </c>
      <c r="AC5035" s="2">
        <v>2249.4626152040901</v>
      </c>
      <c r="AD5035" s="2">
        <v>3719.19818565781</v>
      </c>
      <c r="AE5035" s="2">
        <v>1361.6103530442899</v>
      </c>
      <c r="AF5035" s="2">
        <v>1675.0307957965099</v>
      </c>
      <c r="AG5035" s="2">
        <v>2826.9200066110402</v>
      </c>
      <c r="AH5035" s="2">
        <v>2646.4363968598</v>
      </c>
      <c r="AI5035" s="2">
        <v>3011.7867848706701</v>
      </c>
      <c r="AJ5035" s="2">
        <v>1974.9913540422001</v>
      </c>
      <c r="AK5035" s="2">
        <v>3978.525247043</v>
      </c>
      <c r="AL5035" s="2">
        <v>6316.7992932813404</v>
      </c>
      <c r="AM5035" s="2">
        <v>4911.2486211519799</v>
      </c>
      <c r="AN5035" s="2">
        <v>2415.51241285885</v>
      </c>
      <c r="AO5035" s="2">
        <v>2937.4088219321002</v>
      </c>
      <c r="AP5035" s="2">
        <v>1755.69471767962</v>
      </c>
    </row>
    <row r="5036" spans="1:42" ht="14.5" x14ac:dyDescent="0.35">
      <c r="A5036" s="2" t="s">
        <v>33408</v>
      </c>
      <c r="B5036" s="2">
        <v>227.106125536148</v>
      </c>
      <c r="C5036" s="2">
        <v>6.2504</v>
      </c>
      <c r="D5036" s="2" t="s">
        <v>34</v>
      </c>
      <c r="E5036" s="2" t="s">
        <v>33409</v>
      </c>
      <c r="F5036" s="2">
        <v>57502</v>
      </c>
      <c r="G5036" s="3" t="str">
        <f>HYPERLINK("http://funmeta.oebiotech.com/network/57502", "http://funmeta.oebiotech.com/network/57502")</f>
        <v>http://funmeta.oebiotech.com/network/57502</v>
      </c>
      <c r="H5036" s="2" t="s">
        <v>33410</v>
      </c>
      <c r="I5036" s="2">
        <v>89116</v>
      </c>
      <c r="J5036" s="2"/>
      <c r="K5036" s="2"/>
      <c r="L5036" s="2"/>
      <c r="M5036" s="2"/>
      <c r="N5036" s="2"/>
      <c r="O5036" s="2">
        <v>60999</v>
      </c>
      <c r="P5036" s="2" t="s">
        <v>33411</v>
      </c>
      <c r="Q5036" s="2" t="s">
        <v>33412</v>
      </c>
      <c r="R5036" s="2" t="s">
        <v>33413</v>
      </c>
      <c r="S5036" s="2" t="s">
        <v>148</v>
      </c>
      <c r="T5036" s="2" t="s">
        <v>149</v>
      </c>
      <c r="U5036" s="2" t="s">
        <v>3559</v>
      </c>
      <c r="V5036" s="2" t="s">
        <v>59</v>
      </c>
      <c r="W5036" s="2">
        <v>38.4</v>
      </c>
      <c r="X5036" s="2">
        <v>0</v>
      </c>
      <c r="Y5036" s="2" t="s">
        <v>394</v>
      </c>
      <c r="Z5036" s="2" t="s">
        <v>33414</v>
      </c>
      <c r="AA5036" s="2">
        <v>-2.3466846863161401</v>
      </c>
      <c r="AB5036" s="2">
        <v>0.10868581575688301</v>
      </c>
      <c r="AC5036" s="2">
        <v>2555.9372689863699</v>
      </c>
      <c r="AD5036" s="2">
        <v>1509.3054973753499</v>
      </c>
      <c r="AE5036" s="2">
        <v>1800.2947884738301</v>
      </c>
      <c r="AF5036" s="2">
        <v>3285.2157913995002</v>
      </c>
      <c r="AG5036" s="2">
        <v>1979.7932721263301</v>
      </c>
      <c r="AH5036" s="2">
        <v>3066.0758998819001</v>
      </c>
      <c r="AI5036" s="2">
        <v>2250.23326566589</v>
      </c>
      <c r="AJ5036" s="2">
        <v>2954.0105963707801</v>
      </c>
      <c r="AK5036" s="2">
        <v>1708.57103141724</v>
      </c>
      <c r="AL5036" s="2">
        <v>1151.2772453636201</v>
      </c>
      <c r="AM5036" s="2">
        <v>1253.13961601447</v>
      </c>
      <c r="AN5036" s="2">
        <v>1637.6654865336</v>
      </c>
      <c r="AO5036" s="2">
        <v>2134.5057115937998</v>
      </c>
      <c r="AP5036" s="2">
        <v>1170.67389332936</v>
      </c>
    </row>
    <row r="5037" spans="1:42" ht="14.5" x14ac:dyDescent="0.35">
      <c r="A5037" s="2" t="s">
        <v>33415</v>
      </c>
      <c r="B5037" s="2">
        <v>652.34788085849004</v>
      </c>
      <c r="C5037" s="2">
        <v>10.910600000000001</v>
      </c>
      <c r="D5037" s="2" t="s">
        <v>34</v>
      </c>
      <c r="E5037" s="2" t="s">
        <v>33416</v>
      </c>
      <c r="F5037" s="2">
        <v>208800</v>
      </c>
      <c r="G5037" s="3" t="str">
        <f>HYPERLINK("http://funmeta.oebiotech.com/network/208800", "http://funmeta.oebiotech.com/network/208800")</f>
        <v>http://funmeta.oebiotech.com/network/208800</v>
      </c>
      <c r="H5037" s="2" t="s">
        <v>33417</v>
      </c>
      <c r="I5037" s="2"/>
      <c r="J5037" s="2"/>
      <c r="K5037" s="2"/>
      <c r="L5037" s="2"/>
      <c r="M5037" s="2"/>
      <c r="N5037" s="2"/>
      <c r="O5037" s="2">
        <v>92029512</v>
      </c>
      <c r="P5037" s="2"/>
      <c r="Q5037" s="2" t="s">
        <v>33418</v>
      </c>
      <c r="R5037" s="2" t="s">
        <v>33419</v>
      </c>
      <c r="S5037" s="2" t="s">
        <v>115</v>
      </c>
      <c r="T5037" s="2" t="s">
        <v>1384</v>
      </c>
      <c r="U5037" s="2" t="s">
        <v>7130</v>
      </c>
      <c r="V5037" s="2" t="s">
        <v>59</v>
      </c>
      <c r="W5037" s="2">
        <v>38.299999999999997</v>
      </c>
      <c r="X5037" s="2">
        <v>0</v>
      </c>
      <c r="Y5037" s="2" t="s">
        <v>394</v>
      </c>
      <c r="Z5037" s="2" t="s">
        <v>33420</v>
      </c>
      <c r="AA5037" s="2">
        <v>-0.19609671728217501</v>
      </c>
      <c r="AB5037" s="2">
        <v>0.10866870577485201</v>
      </c>
      <c r="AC5037" s="2">
        <v>10245.657404114299</v>
      </c>
      <c r="AD5037" s="2">
        <v>8780.5995733592608</v>
      </c>
      <c r="AE5037" s="2">
        <v>9555.0080203753096</v>
      </c>
      <c r="AF5037" s="2">
        <v>9043.6428801526599</v>
      </c>
      <c r="AG5037" s="2">
        <v>9954.8617970849591</v>
      </c>
      <c r="AH5037" s="2">
        <v>10334.254089284001</v>
      </c>
      <c r="AI5037" s="2">
        <v>10407.1055022782</v>
      </c>
      <c r="AJ5037" s="2">
        <v>12179.0721355108</v>
      </c>
      <c r="AK5037" s="2">
        <v>11053.1816403669</v>
      </c>
      <c r="AL5037" s="2">
        <v>9093.6591400388497</v>
      </c>
      <c r="AM5037" s="2">
        <v>7534.5662355075001</v>
      </c>
      <c r="AN5037" s="2">
        <v>8561.2488756032708</v>
      </c>
      <c r="AO5037" s="2">
        <v>9494.1360178145405</v>
      </c>
      <c r="AP5037" s="2">
        <v>6946.8055308245102</v>
      </c>
    </row>
    <row r="5038" spans="1:42" ht="14.5" x14ac:dyDescent="0.35">
      <c r="A5038" s="2" t="s">
        <v>33421</v>
      </c>
      <c r="B5038" s="2">
        <v>491.30097882369898</v>
      </c>
      <c r="C5038" s="2">
        <v>7.0086666666666702</v>
      </c>
      <c r="D5038" s="2" t="s">
        <v>70</v>
      </c>
      <c r="E5038" s="2" t="s">
        <v>33422</v>
      </c>
      <c r="F5038" s="2">
        <v>43611</v>
      </c>
      <c r="G5038" s="3" t="str">
        <f>HYPERLINK("http://funmeta.oebiotech.com/network/43611", "http://funmeta.oebiotech.com/network/43611")</f>
        <v>http://funmeta.oebiotech.com/network/43611</v>
      </c>
      <c r="H5038" s="2"/>
      <c r="I5038" s="2"/>
      <c r="J5038" s="2" t="s">
        <v>33423</v>
      </c>
      <c r="K5038" s="2"/>
      <c r="L5038" s="2"/>
      <c r="M5038" s="2"/>
      <c r="N5038" s="2"/>
      <c r="O5038" s="2">
        <v>52931315</v>
      </c>
      <c r="P5038" s="2"/>
      <c r="Q5038" s="2" t="s">
        <v>33424</v>
      </c>
      <c r="R5038" s="2" t="s">
        <v>33425</v>
      </c>
      <c r="S5038" s="2" t="s">
        <v>50</v>
      </c>
      <c r="T5038" s="2" t="s">
        <v>124</v>
      </c>
      <c r="U5038" s="2" t="s">
        <v>125</v>
      </c>
      <c r="V5038" s="2" t="s">
        <v>59</v>
      </c>
      <c r="W5038" s="2">
        <v>42.4</v>
      </c>
      <c r="X5038" s="2">
        <v>20.3</v>
      </c>
      <c r="Y5038" s="2" t="s">
        <v>408</v>
      </c>
      <c r="Z5038" s="2" t="s">
        <v>1409</v>
      </c>
      <c r="AA5038" s="2">
        <v>-1.00490208477404</v>
      </c>
      <c r="AB5038" s="2">
        <v>0.108605980655719</v>
      </c>
      <c r="AC5038" s="2">
        <v>5966.0437186729896</v>
      </c>
      <c r="AD5038" s="2">
        <v>7060.5265744513499</v>
      </c>
      <c r="AE5038" s="2">
        <v>5816.8318068666204</v>
      </c>
      <c r="AF5038" s="2">
        <v>6073.2603210115403</v>
      </c>
      <c r="AG5038" s="2">
        <v>5701.2252034903704</v>
      </c>
      <c r="AH5038" s="2">
        <v>5646.4370927329101</v>
      </c>
      <c r="AI5038" s="2">
        <v>6593.7477286428102</v>
      </c>
      <c r="AJ5038" s="2">
        <v>5964.7601592936899</v>
      </c>
      <c r="AK5038" s="2">
        <v>6475.8641618565998</v>
      </c>
      <c r="AL5038" s="2">
        <v>6771.6919748466598</v>
      </c>
      <c r="AM5038" s="2">
        <v>8265.9072112291797</v>
      </c>
      <c r="AN5038" s="2">
        <v>6057.8202255688802</v>
      </c>
      <c r="AO5038" s="2">
        <v>7351.1663291058103</v>
      </c>
      <c r="AP5038" s="2">
        <v>7440.7095441009496</v>
      </c>
    </row>
    <row r="5039" spans="1:42" ht="14.5" x14ac:dyDescent="0.35">
      <c r="A5039" s="2" t="s">
        <v>33426</v>
      </c>
      <c r="B5039" s="2">
        <v>719.35011076933097</v>
      </c>
      <c r="C5039" s="2">
        <v>9.5360499999999995</v>
      </c>
      <c r="D5039" s="2" t="s">
        <v>70</v>
      </c>
      <c r="E5039" s="2" t="s">
        <v>33427</v>
      </c>
      <c r="F5039" s="2">
        <v>10214</v>
      </c>
      <c r="G5039" s="3" t="str">
        <f>HYPERLINK("http://funmeta.oebiotech.com/network/10214", "http://funmeta.oebiotech.com/network/10214")</f>
        <v>http://funmeta.oebiotech.com/network/10214</v>
      </c>
      <c r="H5039" s="2"/>
      <c r="I5039" s="2"/>
      <c r="J5039" s="2" t="s">
        <v>33428</v>
      </c>
      <c r="K5039" s="2"/>
      <c r="L5039" s="2"/>
      <c r="M5039" s="2"/>
      <c r="N5039" s="2"/>
      <c r="O5039" s="2">
        <v>56936274</v>
      </c>
      <c r="P5039" s="2"/>
      <c r="Q5039" s="2" t="s">
        <v>33429</v>
      </c>
      <c r="R5039" s="2" t="s">
        <v>33430</v>
      </c>
      <c r="S5039" s="2" t="s">
        <v>50</v>
      </c>
      <c r="T5039" s="2" t="s">
        <v>229</v>
      </c>
      <c r="U5039" s="2" t="s">
        <v>230</v>
      </c>
      <c r="V5039" s="2" t="s">
        <v>59</v>
      </c>
      <c r="W5039" s="2">
        <v>38.5</v>
      </c>
      <c r="X5039" s="2">
        <v>0</v>
      </c>
      <c r="Y5039" s="2" t="s">
        <v>560</v>
      </c>
      <c r="Z5039" s="2" t="s">
        <v>33431</v>
      </c>
      <c r="AA5039" s="2">
        <v>0.76558231079863404</v>
      </c>
      <c r="AB5039" s="2">
        <v>0.108571306815113</v>
      </c>
      <c r="AC5039" s="2">
        <v>28418.453868268502</v>
      </c>
      <c r="AD5039" s="2">
        <v>30101.2657320088</v>
      </c>
      <c r="AE5039" s="2">
        <v>27042.913084604599</v>
      </c>
      <c r="AF5039" s="2">
        <v>29511.795705465302</v>
      </c>
      <c r="AG5039" s="2">
        <v>28644.455859136498</v>
      </c>
      <c r="AH5039" s="2">
        <v>26802.7424326699</v>
      </c>
      <c r="AI5039" s="2">
        <v>29733.814509357799</v>
      </c>
      <c r="AJ5039" s="2">
        <v>28775.0016183769</v>
      </c>
      <c r="AK5039" s="2">
        <v>32431.170400504801</v>
      </c>
      <c r="AL5039" s="2">
        <v>26648.5503923469</v>
      </c>
      <c r="AM5039" s="2">
        <v>32555.4440375173</v>
      </c>
      <c r="AN5039" s="2">
        <v>30659.6090466842</v>
      </c>
      <c r="AO5039" s="2">
        <v>28830.260186895699</v>
      </c>
      <c r="AP5039" s="2">
        <v>29482.5603281039</v>
      </c>
    </row>
    <row r="5040" spans="1:42" ht="14.5" x14ac:dyDescent="0.35">
      <c r="A5040" s="2" t="s">
        <v>33432</v>
      </c>
      <c r="B5040" s="2">
        <v>333.00784753238298</v>
      </c>
      <c r="C5040" s="2">
        <v>1.22268333333333</v>
      </c>
      <c r="D5040" s="2" t="s">
        <v>70</v>
      </c>
      <c r="E5040" s="2" t="s">
        <v>33433</v>
      </c>
      <c r="F5040" s="2">
        <v>200481</v>
      </c>
      <c r="G5040" s="3" t="str">
        <f>HYPERLINK("http://funmeta.oebiotech.com/network/200481", "http://funmeta.oebiotech.com/network/200481")</f>
        <v>http://funmeta.oebiotech.com/network/200481</v>
      </c>
      <c r="H5040" s="2" t="s">
        <v>33434</v>
      </c>
      <c r="I5040" s="2"/>
      <c r="J5040" s="2"/>
      <c r="K5040" s="2"/>
      <c r="L5040" s="2"/>
      <c r="M5040" s="2"/>
      <c r="N5040" s="2"/>
      <c r="O5040" s="2"/>
      <c r="P5040" s="2"/>
      <c r="Q5040" s="2" t="s">
        <v>33435</v>
      </c>
      <c r="R5040" s="2" t="s">
        <v>33436</v>
      </c>
      <c r="S5040" s="2" t="s">
        <v>41</v>
      </c>
      <c r="T5040" s="2" t="s">
        <v>41</v>
      </c>
      <c r="U5040" s="2" t="s">
        <v>41</v>
      </c>
      <c r="V5040" s="2" t="s">
        <v>59</v>
      </c>
      <c r="W5040" s="2">
        <v>37.1</v>
      </c>
      <c r="X5040" s="2">
        <v>0</v>
      </c>
      <c r="Y5040" s="2" t="s">
        <v>408</v>
      </c>
      <c r="Z5040" s="2" t="s">
        <v>33437</v>
      </c>
      <c r="AA5040" s="2">
        <v>1.38991379759477</v>
      </c>
      <c r="AB5040" s="2">
        <v>0.10842216843336901</v>
      </c>
      <c r="AC5040" s="2">
        <v>413.69209275622501</v>
      </c>
      <c r="AD5040" s="2">
        <v>2807.4456991755001</v>
      </c>
      <c r="AE5040" s="2">
        <v>491.89297307859601</v>
      </c>
      <c r="AF5040" s="2">
        <v>350.72013858108198</v>
      </c>
      <c r="AG5040" s="2">
        <v>470.23146041150198</v>
      </c>
      <c r="AH5040" s="2">
        <v>426.289234247953</v>
      </c>
      <c r="AI5040" s="2">
        <v>327.91734538347202</v>
      </c>
      <c r="AJ5040" s="2">
        <v>415.10140483474697</v>
      </c>
      <c r="AK5040" s="2">
        <v>526.080683415473</v>
      </c>
      <c r="AL5040" s="2">
        <v>774.42776903724996</v>
      </c>
      <c r="AM5040" s="2">
        <v>14069.9549462779</v>
      </c>
      <c r="AN5040" s="2">
        <v>529.90870630252505</v>
      </c>
      <c r="AO5040" s="2">
        <v>491.12836518357602</v>
      </c>
      <c r="AP5040" s="2">
        <v>453.17372483626701</v>
      </c>
    </row>
    <row r="5041" spans="1:42" ht="14.5" x14ac:dyDescent="0.35">
      <c r="A5041" s="2" t="s">
        <v>33438</v>
      </c>
      <c r="B5041" s="2">
        <v>356.92375854835097</v>
      </c>
      <c r="C5041" s="2">
        <v>0.58455000000000001</v>
      </c>
      <c r="D5041" s="2" t="s">
        <v>70</v>
      </c>
      <c r="E5041" s="2" t="s">
        <v>33439</v>
      </c>
      <c r="F5041" s="2">
        <v>207850</v>
      </c>
      <c r="G5041" s="3" t="str">
        <f>HYPERLINK("http://funmeta.oebiotech.com/network/207850", "http://funmeta.oebiotech.com/network/207850")</f>
        <v>http://funmeta.oebiotech.com/network/207850</v>
      </c>
      <c r="H5041" s="2" t="s">
        <v>33440</v>
      </c>
      <c r="I5041" s="2"/>
      <c r="J5041" s="2"/>
      <c r="K5041" s="2"/>
      <c r="L5041" s="2"/>
      <c r="M5041" s="2"/>
      <c r="N5041" s="2"/>
      <c r="O5041" s="2">
        <v>4369563</v>
      </c>
      <c r="P5041" s="2"/>
      <c r="Q5041" s="2" t="s">
        <v>33441</v>
      </c>
      <c r="R5041" s="2" t="s">
        <v>33442</v>
      </c>
      <c r="S5041" s="2" t="s">
        <v>148</v>
      </c>
      <c r="T5041" s="2" t="s">
        <v>149</v>
      </c>
      <c r="U5041" s="2" t="s">
        <v>5292</v>
      </c>
      <c r="V5041" s="2" t="s">
        <v>59</v>
      </c>
      <c r="W5041" s="2">
        <v>37.4</v>
      </c>
      <c r="X5041" s="2">
        <v>7.4399999999999994E-2</v>
      </c>
      <c r="Y5041" s="2" t="s">
        <v>751</v>
      </c>
      <c r="Z5041" s="2" t="s">
        <v>33443</v>
      </c>
      <c r="AA5041" s="2">
        <v>2.1310408016925599</v>
      </c>
      <c r="AB5041" s="2">
        <v>0.10838923950809499</v>
      </c>
      <c r="AC5041" s="2">
        <v>90069.012697583807</v>
      </c>
      <c r="AD5041" s="2">
        <v>85634.057780139396</v>
      </c>
      <c r="AE5041" s="2">
        <v>96967.417900592205</v>
      </c>
      <c r="AF5041" s="2">
        <v>113378.395403819</v>
      </c>
      <c r="AG5041" s="2">
        <v>84656.045138332294</v>
      </c>
      <c r="AH5041" s="2">
        <v>85494.571764722597</v>
      </c>
      <c r="AI5041" s="2">
        <v>77105.3274638242</v>
      </c>
      <c r="AJ5041" s="2">
        <v>82812.318514212704</v>
      </c>
      <c r="AK5041" s="2">
        <v>106800.35180675999</v>
      </c>
      <c r="AL5041" s="2">
        <v>92691.956271986201</v>
      </c>
      <c r="AM5041" s="2">
        <v>98502.671301476395</v>
      </c>
      <c r="AN5041" s="2">
        <v>61970.625484163997</v>
      </c>
      <c r="AO5041" s="2">
        <v>79267.602380282202</v>
      </c>
      <c r="AP5041" s="2">
        <v>74571.139436167694</v>
      </c>
    </row>
    <row r="5042" spans="1:42" ht="14.5" x14ac:dyDescent="0.35">
      <c r="A5042" s="2" t="s">
        <v>33444</v>
      </c>
      <c r="B5042" s="2">
        <v>467.03299614643299</v>
      </c>
      <c r="C5042" s="2">
        <v>9.9417833333333299</v>
      </c>
      <c r="D5042" s="2" t="s">
        <v>70</v>
      </c>
      <c r="E5042" s="2" t="s">
        <v>33445</v>
      </c>
      <c r="F5042" s="2">
        <v>197185</v>
      </c>
      <c r="G5042" s="3" t="str">
        <f>HYPERLINK("http://funmeta.oebiotech.com/network/197185", "http://funmeta.oebiotech.com/network/197185")</f>
        <v>http://funmeta.oebiotech.com/network/197185</v>
      </c>
      <c r="H5042" s="2" t="s">
        <v>33446</v>
      </c>
      <c r="I5042" s="2"/>
      <c r="J5042" s="2"/>
      <c r="K5042" s="2"/>
      <c r="L5042" s="2"/>
      <c r="M5042" s="2"/>
      <c r="N5042" s="2"/>
      <c r="O5042" s="2">
        <v>71749404</v>
      </c>
      <c r="P5042" s="2"/>
      <c r="Q5042" s="2" t="s">
        <v>33447</v>
      </c>
      <c r="R5042" s="2" t="s">
        <v>33448</v>
      </c>
      <c r="S5042" s="2" t="s">
        <v>89</v>
      </c>
      <c r="T5042" s="2" t="s">
        <v>1773</v>
      </c>
      <c r="U5042" s="2" t="s">
        <v>21134</v>
      </c>
      <c r="V5042" s="2" t="s">
        <v>59</v>
      </c>
      <c r="W5042" s="2">
        <v>38.1</v>
      </c>
      <c r="X5042" s="2">
        <v>0</v>
      </c>
      <c r="Y5042" s="2" t="s">
        <v>560</v>
      </c>
      <c r="Z5042" s="2" t="s">
        <v>33449</v>
      </c>
      <c r="AA5042" s="2">
        <v>1.3983908370537399</v>
      </c>
      <c r="AB5042" s="2">
        <v>0.10833153647346599</v>
      </c>
      <c r="AC5042" s="2">
        <v>16036.649065858601</v>
      </c>
      <c r="AD5042" s="2">
        <v>17507.9529810655</v>
      </c>
      <c r="AE5042" s="2">
        <v>16305.5365339657</v>
      </c>
      <c r="AF5042" s="2">
        <v>16390.003807902602</v>
      </c>
      <c r="AG5042" s="2">
        <v>14985.1812749153</v>
      </c>
      <c r="AH5042" s="2">
        <v>16792.466509273101</v>
      </c>
      <c r="AI5042" s="2">
        <v>16440.455465770799</v>
      </c>
      <c r="AJ5042" s="2">
        <v>15306.250803324199</v>
      </c>
      <c r="AK5042" s="2">
        <v>16417.342310700998</v>
      </c>
      <c r="AL5042" s="2">
        <v>15652.056185785699</v>
      </c>
      <c r="AM5042" s="2">
        <v>17987.285633379401</v>
      </c>
      <c r="AN5042" s="2">
        <v>17053.365469920998</v>
      </c>
      <c r="AO5042" s="2">
        <v>20698.651191819401</v>
      </c>
      <c r="AP5042" s="2">
        <v>17239.017094786599</v>
      </c>
    </row>
    <row r="5043" spans="1:42" ht="14.5" x14ac:dyDescent="0.35">
      <c r="A5043" s="2" t="s">
        <v>33450</v>
      </c>
      <c r="B5043" s="2">
        <v>549.10149398330395</v>
      </c>
      <c r="C5043" s="2">
        <v>5.3579833333333298</v>
      </c>
      <c r="D5043" s="2" t="s">
        <v>70</v>
      </c>
      <c r="E5043" s="2" t="s">
        <v>33451</v>
      </c>
      <c r="F5043" s="2">
        <v>57268</v>
      </c>
      <c r="G5043" s="3" t="str">
        <f>HYPERLINK("http://funmeta.oebiotech.com/network/57268", "http://funmeta.oebiotech.com/network/57268")</f>
        <v>http://funmeta.oebiotech.com/network/57268</v>
      </c>
      <c r="H5043" s="2" t="s">
        <v>33452</v>
      </c>
      <c r="I5043" s="2">
        <v>88899</v>
      </c>
      <c r="J5043" s="2"/>
      <c r="K5043" s="2">
        <v>169483</v>
      </c>
      <c r="L5043" s="2"/>
      <c r="M5043" s="2"/>
      <c r="N5043" s="2"/>
      <c r="O5043" s="2">
        <v>12305632</v>
      </c>
      <c r="P5043" s="2"/>
      <c r="Q5043" s="2" t="s">
        <v>33453</v>
      </c>
      <c r="R5043" s="2" t="s">
        <v>33454</v>
      </c>
      <c r="S5043" s="2" t="s">
        <v>115</v>
      </c>
      <c r="T5043" s="2" t="s">
        <v>139</v>
      </c>
      <c r="U5043" s="2" t="s">
        <v>140</v>
      </c>
      <c r="V5043" s="2" t="s">
        <v>59</v>
      </c>
      <c r="W5043" s="2">
        <v>42.2</v>
      </c>
      <c r="X5043" s="2">
        <v>23</v>
      </c>
      <c r="Y5043" s="2" t="s">
        <v>751</v>
      </c>
      <c r="Z5043" s="2" t="s">
        <v>6070</v>
      </c>
      <c r="AA5043" s="2">
        <v>-4.1465071544515002</v>
      </c>
      <c r="AB5043" s="2">
        <v>0.108329025068106</v>
      </c>
      <c r="AC5043" s="2">
        <v>38141.240441427901</v>
      </c>
      <c r="AD5043" s="2">
        <v>36348.997954956598</v>
      </c>
      <c r="AE5043" s="2">
        <v>40130.9333633196</v>
      </c>
      <c r="AF5043" s="2">
        <v>38433.446402874397</v>
      </c>
      <c r="AG5043" s="2">
        <v>37233.712341859398</v>
      </c>
      <c r="AH5043" s="2">
        <v>38502.0698445015</v>
      </c>
      <c r="AI5043" s="2">
        <v>37516.616119070401</v>
      </c>
      <c r="AJ5043" s="2">
        <v>37030.664576941897</v>
      </c>
      <c r="AK5043" s="2">
        <v>34056.292992269096</v>
      </c>
      <c r="AL5043" s="2">
        <v>33790.162956982698</v>
      </c>
      <c r="AM5043" s="2">
        <v>38667.048255193797</v>
      </c>
      <c r="AN5043" s="2">
        <v>33876.5273110376</v>
      </c>
      <c r="AO5043" s="2">
        <v>39013.462021840503</v>
      </c>
      <c r="AP5043" s="2">
        <v>38690.494192415703</v>
      </c>
    </row>
    <row r="5044" spans="1:42" ht="14.5" x14ac:dyDescent="0.35">
      <c r="A5044" s="2" t="s">
        <v>33455</v>
      </c>
      <c r="B5044" s="2">
        <v>357.11873226190897</v>
      </c>
      <c r="C5044" s="2">
        <v>4.25878333333333</v>
      </c>
      <c r="D5044" s="2" t="s">
        <v>70</v>
      </c>
      <c r="E5044" s="2" t="s">
        <v>33456</v>
      </c>
      <c r="F5044" s="2">
        <v>35267</v>
      </c>
      <c r="G5044" s="3" t="str">
        <f>HYPERLINK("http://funmeta.oebiotech.com/network/35267", "http://funmeta.oebiotech.com/network/35267")</f>
        <v>http://funmeta.oebiotech.com/network/35267</v>
      </c>
      <c r="H5044" s="2"/>
      <c r="I5044" s="2">
        <v>44647</v>
      </c>
      <c r="J5044" s="2" t="s">
        <v>33457</v>
      </c>
      <c r="K5044" s="2">
        <v>30632</v>
      </c>
      <c r="L5044" s="2" t="s">
        <v>33458</v>
      </c>
      <c r="M5044" s="2" t="s">
        <v>33459</v>
      </c>
      <c r="N5044" s="2" t="s">
        <v>33460</v>
      </c>
      <c r="O5044" s="2">
        <v>89640</v>
      </c>
      <c r="P5044" s="2" t="s">
        <v>33461</v>
      </c>
      <c r="Q5044" s="2" t="s">
        <v>33462</v>
      </c>
      <c r="R5044" s="2" t="s">
        <v>33463</v>
      </c>
      <c r="S5044" s="2" t="s">
        <v>50</v>
      </c>
      <c r="T5044" s="2" t="s">
        <v>201</v>
      </c>
      <c r="U5044" s="2" t="s">
        <v>202</v>
      </c>
      <c r="V5044" s="2" t="s">
        <v>59</v>
      </c>
      <c r="W5044" s="2">
        <v>39</v>
      </c>
      <c r="X5044" s="2">
        <v>0</v>
      </c>
      <c r="Y5044" s="2" t="s">
        <v>751</v>
      </c>
      <c r="Z5044" s="2" t="s">
        <v>2072</v>
      </c>
      <c r="AA5044" s="2">
        <v>-0.99321104697546903</v>
      </c>
      <c r="AB5044" s="2">
        <v>0.108324945731077</v>
      </c>
      <c r="AC5044" s="2">
        <v>6598.5269731741901</v>
      </c>
      <c r="AD5044" s="2">
        <v>5297.15671960489</v>
      </c>
      <c r="AE5044" s="2">
        <v>7450.5963206288898</v>
      </c>
      <c r="AF5044" s="2">
        <v>7492.2657023688498</v>
      </c>
      <c r="AG5044" s="2">
        <v>5406.5430067286798</v>
      </c>
      <c r="AH5044" s="2">
        <v>6193.1006295635498</v>
      </c>
      <c r="AI5044" s="2">
        <v>6010.2717176964698</v>
      </c>
      <c r="AJ5044" s="2">
        <v>7038.3844620587297</v>
      </c>
      <c r="AK5044" s="2">
        <v>5192.0384454693603</v>
      </c>
      <c r="AL5044" s="2">
        <v>4439.3596125153299</v>
      </c>
      <c r="AM5044" s="2">
        <v>4325.9544289227397</v>
      </c>
      <c r="AN5044" s="2">
        <v>7301.5657824873397</v>
      </c>
      <c r="AO5044" s="2">
        <v>5164.28605357992</v>
      </c>
      <c r="AP5044" s="2">
        <v>5359.7359946546803</v>
      </c>
    </row>
    <row r="5045" spans="1:42" ht="14.5" x14ac:dyDescent="0.35">
      <c r="A5045" s="2" t="s">
        <v>33464</v>
      </c>
      <c r="B5045" s="2">
        <v>293.17571778698402</v>
      </c>
      <c r="C5045" s="2">
        <v>8.9648166666666693</v>
      </c>
      <c r="D5045" s="2" t="s">
        <v>70</v>
      </c>
      <c r="E5045" s="2" t="s">
        <v>33465</v>
      </c>
      <c r="F5045" s="2">
        <v>59575</v>
      </c>
      <c r="G5045" s="3" t="str">
        <f>HYPERLINK("http://funmeta.oebiotech.com/network/59575", "http://funmeta.oebiotech.com/network/59575")</f>
        <v>http://funmeta.oebiotech.com/network/59575</v>
      </c>
      <c r="H5045" s="2" t="s">
        <v>33466</v>
      </c>
      <c r="I5045" s="2"/>
      <c r="J5045" s="2"/>
      <c r="K5045" s="2"/>
      <c r="L5045" s="2"/>
      <c r="M5045" s="2"/>
      <c r="N5045" s="2"/>
      <c r="O5045" s="2">
        <v>131751854</v>
      </c>
      <c r="P5045" s="2" t="s">
        <v>33467</v>
      </c>
      <c r="Q5045" s="2" t="s">
        <v>33468</v>
      </c>
      <c r="R5045" s="2" t="s">
        <v>33469</v>
      </c>
      <c r="S5045" s="2" t="s">
        <v>50</v>
      </c>
      <c r="T5045" s="2" t="s">
        <v>201</v>
      </c>
      <c r="U5045" s="2" t="s">
        <v>636</v>
      </c>
      <c r="V5045" s="2" t="s">
        <v>42</v>
      </c>
      <c r="W5045" s="2">
        <v>55.1</v>
      </c>
      <c r="X5045" s="2">
        <v>79.2</v>
      </c>
      <c r="Y5045" s="2" t="s">
        <v>118</v>
      </c>
      <c r="Z5045" s="2" t="s">
        <v>33470</v>
      </c>
      <c r="AA5045" s="2">
        <v>-0.39122938174625099</v>
      </c>
      <c r="AB5045" s="2">
        <v>0.108243077012004</v>
      </c>
      <c r="AC5045" s="2">
        <v>35921.016933288498</v>
      </c>
      <c r="AD5045" s="2">
        <v>33714.051090267902</v>
      </c>
      <c r="AE5045" s="2">
        <v>37980.469840032601</v>
      </c>
      <c r="AF5045" s="2">
        <v>42936.515676936302</v>
      </c>
      <c r="AG5045" s="2">
        <v>36449.363758694002</v>
      </c>
      <c r="AH5045" s="2">
        <v>32306.372659456101</v>
      </c>
      <c r="AI5045" s="2">
        <v>31500.882491094599</v>
      </c>
      <c r="AJ5045" s="2">
        <v>34352.497173517302</v>
      </c>
      <c r="AK5045" s="2">
        <v>36156.004449829401</v>
      </c>
      <c r="AL5045" s="2">
        <v>37160.4669587936</v>
      </c>
      <c r="AM5045" s="2">
        <v>33739.863883860897</v>
      </c>
      <c r="AN5045" s="2">
        <v>30919.743314781699</v>
      </c>
      <c r="AO5045" s="2">
        <v>32242.1475497299</v>
      </c>
      <c r="AP5045" s="2">
        <v>32066.0803846118</v>
      </c>
    </row>
    <row r="5046" spans="1:42" ht="14.5" x14ac:dyDescent="0.35">
      <c r="A5046" s="2" t="s">
        <v>33471</v>
      </c>
      <c r="B5046" s="2">
        <v>473.16617856657302</v>
      </c>
      <c r="C5046" s="2">
        <v>4.7039999999999997</v>
      </c>
      <c r="D5046" s="2" t="s">
        <v>70</v>
      </c>
      <c r="E5046" s="2" t="s">
        <v>33472</v>
      </c>
      <c r="F5046" s="2">
        <v>52411</v>
      </c>
      <c r="G5046" s="3" t="str">
        <f>HYPERLINK("http://funmeta.oebiotech.com/network/52411", "http://funmeta.oebiotech.com/network/52411")</f>
        <v>http://funmeta.oebiotech.com/network/52411</v>
      </c>
      <c r="H5046" s="2" t="s">
        <v>33473</v>
      </c>
      <c r="I5046" s="2"/>
      <c r="J5046" s="2"/>
      <c r="K5046" s="2">
        <v>169109</v>
      </c>
      <c r="L5046" s="2"/>
      <c r="M5046" s="2"/>
      <c r="N5046" s="2"/>
      <c r="O5046" s="2">
        <v>53481912</v>
      </c>
      <c r="P5046" s="2"/>
      <c r="Q5046" s="2" t="s">
        <v>33474</v>
      </c>
      <c r="R5046" s="2" t="s">
        <v>33475</v>
      </c>
      <c r="S5046" s="2" t="s">
        <v>50</v>
      </c>
      <c r="T5046" s="2" t="s">
        <v>229</v>
      </c>
      <c r="U5046" s="2" t="s">
        <v>433</v>
      </c>
      <c r="V5046" s="2" t="s">
        <v>59</v>
      </c>
      <c r="W5046" s="2">
        <v>37.4</v>
      </c>
      <c r="X5046" s="2">
        <v>0</v>
      </c>
      <c r="Y5046" s="2" t="s">
        <v>560</v>
      </c>
      <c r="Z5046" s="2" t="s">
        <v>33476</v>
      </c>
      <c r="AA5046" s="2">
        <v>4.2459159195660297</v>
      </c>
      <c r="AB5046" s="2">
        <v>0.108188249461294</v>
      </c>
      <c r="AC5046" s="2">
        <v>10669.9883428501</v>
      </c>
      <c r="AD5046" s="2">
        <v>12357.5522269257</v>
      </c>
      <c r="AE5046" s="2">
        <v>7570.5604770094596</v>
      </c>
      <c r="AF5046" s="2">
        <v>12456.0969150454</v>
      </c>
      <c r="AG5046" s="2">
        <v>11119.668219745499</v>
      </c>
      <c r="AH5046" s="2">
        <v>9500.7561307344804</v>
      </c>
      <c r="AI5046" s="2">
        <v>11589.6626333353</v>
      </c>
      <c r="AJ5046" s="2">
        <v>11783.1856812305</v>
      </c>
      <c r="AK5046" s="2">
        <v>12203.9991367937</v>
      </c>
      <c r="AL5046" s="2">
        <v>10190.815713157999</v>
      </c>
      <c r="AM5046" s="2">
        <v>14665.653205521799</v>
      </c>
      <c r="AN5046" s="2">
        <v>11163.3672459339</v>
      </c>
      <c r="AO5046" s="2">
        <v>11399.281229153299</v>
      </c>
      <c r="AP5046" s="2">
        <v>14522.1968309938</v>
      </c>
    </row>
    <row r="5047" spans="1:42" ht="14.5" x14ac:dyDescent="0.35">
      <c r="A5047" s="2" t="s">
        <v>33477</v>
      </c>
      <c r="B5047" s="2">
        <v>133.09721875418401</v>
      </c>
      <c r="C5047" s="2">
        <v>0.65180000000000005</v>
      </c>
      <c r="D5047" s="2" t="s">
        <v>34</v>
      </c>
      <c r="E5047" s="2" t="s">
        <v>33478</v>
      </c>
      <c r="F5047" s="2">
        <v>46935</v>
      </c>
      <c r="G5047" s="3" t="str">
        <f>HYPERLINK("http://funmeta.oebiotech.com/network/46935", "http://funmeta.oebiotech.com/network/46935")</f>
        <v>http://funmeta.oebiotech.com/network/46935</v>
      </c>
      <c r="H5047" s="2" t="s">
        <v>33479</v>
      </c>
      <c r="I5047" s="2">
        <v>45121</v>
      </c>
      <c r="J5047" s="2"/>
      <c r="K5047" s="2">
        <v>15729</v>
      </c>
      <c r="L5047" s="2" t="s">
        <v>33480</v>
      </c>
      <c r="M5047" s="2" t="s">
        <v>33481</v>
      </c>
      <c r="N5047" s="2" t="s">
        <v>33482</v>
      </c>
      <c r="O5047" s="2">
        <v>6262</v>
      </c>
      <c r="P5047" s="2" t="s">
        <v>33483</v>
      </c>
      <c r="Q5047" s="2" t="s">
        <v>33484</v>
      </c>
      <c r="R5047" s="2" t="s">
        <v>33485</v>
      </c>
      <c r="S5047" s="2" t="s">
        <v>89</v>
      </c>
      <c r="T5047" s="2" t="s">
        <v>90</v>
      </c>
      <c r="U5047" s="2" t="s">
        <v>99</v>
      </c>
      <c r="V5047" s="2" t="s">
        <v>42</v>
      </c>
      <c r="W5047" s="2">
        <v>49.5</v>
      </c>
      <c r="X5047" s="2">
        <v>52.1</v>
      </c>
      <c r="Y5047" s="2" t="s">
        <v>266</v>
      </c>
      <c r="Z5047" s="2" t="s">
        <v>33486</v>
      </c>
      <c r="AA5047" s="2">
        <v>0.48973187734581902</v>
      </c>
      <c r="AB5047" s="2">
        <v>0.108121201965408</v>
      </c>
      <c r="AC5047" s="2">
        <v>896.59711843340199</v>
      </c>
      <c r="AD5047" s="2">
        <v>2.7106294003980101E-5</v>
      </c>
      <c r="AE5047" s="2">
        <v>630.55008953588197</v>
      </c>
      <c r="AF5047" s="2">
        <v>1020.60310350938</v>
      </c>
      <c r="AG5047" s="2">
        <v>633.84688187794404</v>
      </c>
      <c r="AH5047" s="2">
        <v>695.75335536425303</v>
      </c>
      <c r="AI5047" s="2">
        <v>692.004896285124</v>
      </c>
      <c r="AJ5047" s="2">
        <v>1706.8243840278301</v>
      </c>
      <c r="AK5047" s="2">
        <v>2.7106294003980101E-5</v>
      </c>
      <c r="AL5047" s="2">
        <v>2.7106294003980101E-5</v>
      </c>
      <c r="AM5047" s="2">
        <v>2.7106294003980101E-5</v>
      </c>
      <c r="AN5047" s="2">
        <v>2.7106294003980101E-5</v>
      </c>
      <c r="AO5047" s="2">
        <v>2.7106294003980101E-5</v>
      </c>
      <c r="AP5047" s="2">
        <v>2.7106294003980101E-5</v>
      </c>
    </row>
    <row r="5048" spans="1:42" ht="14.5" x14ac:dyDescent="0.35">
      <c r="A5048" s="2" t="s">
        <v>33487</v>
      </c>
      <c r="B5048" s="2">
        <v>581.25980237571605</v>
      </c>
      <c r="C5048" s="2">
        <v>7.0086666666666702</v>
      </c>
      <c r="D5048" s="2" t="s">
        <v>70</v>
      </c>
      <c r="E5048" s="2" t="s">
        <v>33488</v>
      </c>
      <c r="F5048" s="2">
        <v>44685</v>
      </c>
      <c r="G5048" s="3" t="str">
        <f>HYPERLINK("http://funmeta.oebiotech.com/network/44685", "http://funmeta.oebiotech.com/network/44685")</f>
        <v>http://funmeta.oebiotech.com/network/44685</v>
      </c>
      <c r="H5048" s="2"/>
      <c r="I5048" s="2"/>
      <c r="J5048" s="2" t="s">
        <v>33489</v>
      </c>
      <c r="K5048" s="2"/>
      <c r="L5048" s="2"/>
      <c r="M5048" s="2"/>
      <c r="N5048" s="2"/>
      <c r="O5048" s="2">
        <v>46872703</v>
      </c>
      <c r="P5048" s="2"/>
      <c r="Q5048" s="2" t="s">
        <v>33490</v>
      </c>
      <c r="R5048" s="2" t="s">
        <v>33491</v>
      </c>
      <c r="S5048" s="2" t="s">
        <v>50</v>
      </c>
      <c r="T5048" s="2" t="s">
        <v>124</v>
      </c>
      <c r="U5048" s="2" t="s">
        <v>567</v>
      </c>
      <c r="V5048" s="2" t="s">
        <v>42</v>
      </c>
      <c r="W5048" s="2">
        <v>52.2</v>
      </c>
      <c r="X5048" s="2">
        <v>70.599999999999994</v>
      </c>
      <c r="Y5048" s="2" t="s">
        <v>118</v>
      </c>
      <c r="Z5048" s="2" t="s">
        <v>33492</v>
      </c>
      <c r="AA5048" s="2">
        <v>-0.94110323005677199</v>
      </c>
      <c r="AB5048" s="2">
        <v>0.108111599492922</v>
      </c>
      <c r="AC5048" s="2">
        <v>18916.129986356402</v>
      </c>
      <c r="AD5048" s="2">
        <v>17205.211752864299</v>
      </c>
      <c r="AE5048" s="2">
        <v>21102.175279212999</v>
      </c>
      <c r="AF5048" s="2">
        <v>18212.352830988399</v>
      </c>
      <c r="AG5048" s="2">
        <v>17808.422834712601</v>
      </c>
      <c r="AH5048" s="2">
        <v>18372.142083740498</v>
      </c>
      <c r="AI5048" s="2">
        <v>18271.241315589501</v>
      </c>
      <c r="AJ5048" s="2">
        <v>19730.4455738945</v>
      </c>
      <c r="AK5048" s="2">
        <v>17368.3078942629</v>
      </c>
      <c r="AL5048" s="2">
        <v>21766.326059428899</v>
      </c>
      <c r="AM5048" s="2">
        <v>15220.376395592701</v>
      </c>
      <c r="AN5048" s="2">
        <v>16917.733927536101</v>
      </c>
      <c r="AO5048" s="2">
        <v>16635.552840112701</v>
      </c>
      <c r="AP5048" s="2">
        <v>15322.9734002527</v>
      </c>
    </row>
    <row r="5049" spans="1:42" ht="14.5" x14ac:dyDescent="0.35">
      <c r="A5049" s="2" t="s">
        <v>33493</v>
      </c>
      <c r="B5049" s="2">
        <v>341.15674249617098</v>
      </c>
      <c r="C5049" s="2">
        <v>4.2619999999999996</v>
      </c>
      <c r="D5049" s="2" t="s">
        <v>34</v>
      </c>
      <c r="E5049" s="2" t="s">
        <v>33494</v>
      </c>
      <c r="F5049" s="2">
        <v>210765</v>
      </c>
      <c r="G5049" s="3" t="str">
        <f>HYPERLINK("http://funmeta.oebiotech.com/network/210765", "http://funmeta.oebiotech.com/network/210765")</f>
        <v>http://funmeta.oebiotech.com/network/210765</v>
      </c>
      <c r="H5049" s="2" t="s">
        <v>33495</v>
      </c>
      <c r="I5049" s="2"/>
      <c r="J5049" s="2"/>
      <c r="K5049" s="2"/>
      <c r="L5049" s="2"/>
      <c r="M5049" s="2"/>
      <c r="N5049" s="2"/>
      <c r="O5049" s="2"/>
      <c r="P5049" s="2"/>
      <c r="Q5049" s="2" t="s">
        <v>33496</v>
      </c>
      <c r="R5049" s="2" t="s">
        <v>33497</v>
      </c>
      <c r="S5049" s="2" t="s">
        <v>41</v>
      </c>
      <c r="T5049" s="2" t="s">
        <v>41</v>
      </c>
      <c r="U5049" s="2" t="s">
        <v>41</v>
      </c>
      <c r="V5049" s="2" t="s">
        <v>59</v>
      </c>
      <c r="W5049" s="2">
        <v>38.6</v>
      </c>
      <c r="X5049" s="2">
        <v>0</v>
      </c>
      <c r="Y5049" s="2" t="s">
        <v>43</v>
      </c>
      <c r="Z5049" s="2" t="s">
        <v>33498</v>
      </c>
      <c r="AA5049" s="2">
        <v>-0.16000354057743699</v>
      </c>
      <c r="AB5049" s="2">
        <v>0.108105619945882</v>
      </c>
      <c r="AC5049" s="2">
        <v>22530.583410538598</v>
      </c>
      <c r="AD5049" s="2">
        <v>24359.783829297401</v>
      </c>
      <c r="AE5049" s="2">
        <v>20938.9944411453</v>
      </c>
      <c r="AF5049" s="2">
        <v>23165.143703972</v>
      </c>
      <c r="AG5049" s="2">
        <v>24097.061092398901</v>
      </c>
      <c r="AH5049" s="2">
        <v>21742.253537126198</v>
      </c>
      <c r="AI5049" s="2">
        <v>23922.3861736734</v>
      </c>
      <c r="AJ5049" s="2">
        <v>21317.6615149155</v>
      </c>
      <c r="AK5049" s="2">
        <v>29029.1848349422</v>
      </c>
      <c r="AL5049" s="2">
        <v>22814.326468943898</v>
      </c>
      <c r="AM5049" s="2">
        <v>24726.586922295999</v>
      </c>
      <c r="AN5049" s="2">
        <v>22646.101814142101</v>
      </c>
      <c r="AO5049" s="2">
        <v>21377.6575536204</v>
      </c>
      <c r="AP5049" s="2">
        <v>25564.845381839899</v>
      </c>
    </row>
    <row r="5050" spans="1:42" ht="14.5" x14ac:dyDescent="0.35">
      <c r="A5050" s="2" t="s">
        <v>33499</v>
      </c>
      <c r="B5050" s="2">
        <v>507.26916359318301</v>
      </c>
      <c r="C5050" s="2">
        <v>11.599133333333301</v>
      </c>
      <c r="D5050" s="2" t="s">
        <v>34</v>
      </c>
      <c r="E5050" s="2" t="s">
        <v>33500</v>
      </c>
      <c r="F5050" s="2">
        <v>23670</v>
      </c>
      <c r="G5050" s="3" t="str">
        <f>HYPERLINK("http://funmeta.oebiotech.com/network/23670", "http://funmeta.oebiotech.com/network/23670")</f>
        <v>http://funmeta.oebiotech.com/network/23670</v>
      </c>
      <c r="H5050" s="2" t="s">
        <v>33501</v>
      </c>
      <c r="I5050" s="2">
        <v>46733</v>
      </c>
      <c r="J5050" s="2" t="s">
        <v>33502</v>
      </c>
      <c r="K5050" s="2">
        <v>75376</v>
      </c>
      <c r="L5050" s="2"/>
      <c r="M5050" s="2"/>
      <c r="N5050" s="2"/>
      <c r="O5050" s="2">
        <v>42607483</v>
      </c>
      <c r="P5050" s="2" t="s">
        <v>33503</v>
      </c>
      <c r="Q5050" s="2" t="s">
        <v>33504</v>
      </c>
      <c r="R5050" s="2" t="s">
        <v>33505</v>
      </c>
      <c r="S5050" s="2" t="s">
        <v>50</v>
      </c>
      <c r="T5050" s="2" t="s">
        <v>51</v>
      </c>
      <c r="U5050" s="2" t="s">
        <v>738</v>
      </c>
      <c r="V5050" s="2" t="s">
        <v>42</v>
      </c>
      <c r="W5050" s="2">
        <v>48.9</v>
      </c>
      <c r="X5050" s="2">
        <v>48.1</v>
      </c>
      <c r="Y5050" s="2" t="s">
        <v>242</v>
      </c>
      <c r="Z5050" s="2" t="s">
        <v>33506</v>
      </c>
      <c r="AA5050" s="2">
        <v>-0.36494582348549398</v>
      </c>
      <c r="AB5050" s="2">
        <v>0.107984473214465</v>
      </c>
      <c r="AC5050" s="2">
        <v>115492.914759242</v>
      </c>
      <c r="AD5050" s="2">
        <v>111552.785734957</v>
      </c>
      <c r="AE5050" s="2">
        <v>125754.812874322</v>
      </c>
      <c r="AF5050" s="2">
        <v>120942.86052305</v>
      </c>
      <c r="AG5050" s="2">
        <v>118757.62946877</v>
      </c>
      <c r="AH5050" s="2">
        <v>106494.51998892</v>
      </c>
      <c r="AI5050" s="2">
        <v>108494.734762737</v>
      </c>
      <c r="AJ5050" s="2">
        <v>112512.930937656</v>
      </c>
      <c r="AK5050" s="2">
        <v>105013.436538198</v>
      </c>
      <c r="AL5050" s="2">
        <v>123747.09036446099</v>
      </c>
      <c r="AM5050" s="2">
        <v>101482.383623738</v>
      </c>
      <c r="AN5050" s="2">
        <v>102565.779699796</v>
      </c>
      <c r="AO5050" s="2">
        <v>135283.683215522</v>
      </c>
      <c r="AP5050" s="2">
        <v>101224.340968027</v>
      </c>
    </row>
    <row r="5051" spans="1:42" ht="14.5" x14ac:dyDescent="0.35">
      <c r="A5051" s="2" t="s">
        <v>33507</v>
      </c>
      <c r="B5051" s="2">
        <v>455.06954314636499</v>
      </c>
      <c r="C5051" s="2">
        <v>3.7870499999999998</v>
      </c>
      <c r="D5051" s="2" t="s">
        <v>70</v>
      </c>
      <c r="E5051" s="2" t="s">
        <v>33508</v>
      </c>
      <c r="F5051" s="2">
        <v>203426</v>
      </c>
      <c r="G5051" s="3" t="str">
        <f>HYPERLINK("http://funmeta.oebiotech.com/network/203426", "http://funmeta.oebiotech.com/network/203426")</f>
        <v>http://funmeta.oebiotech.com/network/203426</v>
      </c>
      <c r="H5051" s="2" t="s">
        <v>33509</v>
      </c>
      <c r="I5051" s="2"/>
      <c r="J5051" s="2"/>
      <c r="K5051" s="2"/>
      <c r="L5051" s="2"/>
      <c r="M5051" s="2"/>
      <c r="N5051" s="2"/>
      <c r="O5051" s="2">
        <v>6425567</v>
      </c>
      <c r="P5051" s="2"/>
      <c r="Q5051" s="2" t="s">
        <v>33510</v>
      </c>
      <c r="R5051" s="2" t="s">
        <v>33511</v>
      </c>
      <c r="S5051" s="2" t="s">
        <v>89</v>
      </c>
      <c r="T5051" s="2" t="s">
        <v>90</v>
      </c>
      <c r="U5051" s="2" t="s">
        <v>99</v>
      </c>
      <c r="V5051" s="2" t="s">
        <v>59</v>
      </c>
      <c r="W5051" s="2">
        <v>37.4</v>
      </c>
      <c r="X5051" s="2">
        <v>0</v>
      </c>
      <c r="Y5051" s="2" t="s">
        <v>560</v>
      </c>
      <c r="Z5051" s="2" t="s">
        <v>33512</v>
      </c>
      <c r="AA5051" s="2">
        <v>-3.04870876155936</v>
      </c>
      <c r="AB5051" s="2">
        <v>0.10797317901503201</v>
      </c>
      <c r="AC5051" s="2">
        <v>1594.78000641369</v>
      </c>
      <c r="AD5051" s="2">
        <v>2567.8226804900501</v>
      </c>
      <c r="AE5051" s="2">
        <v>1705.8184821564</v>
      </c>
      <c r="AF5051" s="2">
        <v>1633.8891270270201</v>
      </c>
      <c r="AG5051" s="2">
        <v>1709.5712614348499</v>
      </c>
      <c r="AH5051" s="2">
        <v>2180.9969573614599</v>
      </c>
      <c r="AI5051" s="2">
        <v>1407.9391089565299</v>
      </c>
      <c r="AJ5051" s="2">
        <v>930.46510154588702</v>
      </c>
      <c r="AK5051" s="2">
        <v>2917.2234603205602</v>
      </c>
      <c r="AL5051" s="2">
        <v>2412.9369881796001</v>
      </c>
      <c r="AM5051" s="2">
        <v>3177.24077561992</v>
      </c>
      <c r="AN5051" s="2">
        <v>2618.1223174495399</v>
      </c>
      <c r="AO5051" s="2">
        <v>2228.3038015931002</v>
      </c>
      <c r="AP5051" s="2">
        <v>2053.10873977756</v>
      </c>
    </row>
    <row r="5052" spans="1:42" ht="14.5" x14ac:dyDescent="0.35">
      <c r="A5052" s="2" t="s">
        <v>33513</v>
      </c>
      <c r="B5052" s="2">
        <v>248.10488921839399</v>
      </c>
      <c r="C5052" s="2">
        <v>5.71</v>
      </c>
      <c r="D5052" s="2" t="s">
        <v>70</v>
      </c>
      <c r="E5052" s="2" t="s">
        <v>33514</v>
      </c>
      <c r="F5052" s="2">
        <v>201697</v>
      </c>
      <c r="G5052" s="3" t="str">
        <f>HYPERLINK("http://funmeta.oebiotech.com/network/201697", "http://funmeta.oebiotech.com/network/201697")</f>
        <v>http://funmeta.oebiotech.com/network/201697</v>
      </c>
      <c r="H5052" s="2" t="s">
        <v>33515</v>
      </c>
      <c r="I5052" s="2">
        <v>24054</v>
      </c>
      <c r="J5052" s="2"/>
      <c r="K5052" s="2">
        <v>59026</v>
      </c>
      <c r="L5052" s="2"/>
      <c r="M5052" s="2"/>
      <c r="N5052" s="2"/>
      <c r="O5052" s="2">
        <v>2151</v>
      </c>
      <c r="P5052" s="2" t="s">
        <v>33516</v>
      </c>
      <c r="Q5052" s="2" t="s">
        <v>33517</v>
      </c>
      <c r="R5052" s="2" t="s">
        <v>33518</v>
      </c>
      <c r="S5052" s="2" t="s">
        <v>491</v>
      </c>
      <c r="T5052" s="2" t="s">
        <v>3519</v>
      </c>
      <c r="U5052" s="2" t="s">
        <v>7152</v>
      </c>
      <c r="V5052" s="2" t="s">
        <v>59</v>
      </c>
      <c r="W5052" s="2">
        <v>38.9</v>
      </c>
      <c r="X5052" s="2">
        <v>0</v>
      </c>
      <c r="Y5052" s="2" t="s">
        <v>408</v>
      </c>
      <c r="Z5052" s="2" t="s">
        <v>33519</v>
      </c>
      <c r="AA5052" s="2">
        <v>4.0584624983671898</v>
      </c>
      <c r="AB5052" s="2">
        <v>0.107891413391523</v>
      </c>
      <c r="AC5052" s="2">
        <v>407.07817703938503</v>
      </c>
      <c r="AD5052" s="2">
        <v>1235.5408597261701</v>
      </c>
      <c r="AE5052" s="2">
        <v>393.02549976129399</v>
      </c>
      <c r="AF5052" s="2">
        <v>422.75855659564297</v>
      </c>
      <c r="AG5052" s="2">
        <v>427.73909857925003</v>
      </c>
      <c r="AH5052" s="2">
        <v>417.84687957237401</v>
      </c>
      <c r="AI5052" s="2">
        <v>245.24018431631299</v>
      </c>
      <c r="AJ5052" s="2">
        <v>535.85884341143799</v>
      </c>
      <c r="AK5052" s="2">
        <v>1436.80699901609</v>
      </c>
      <c r="AL5052" s="2">
        <v>1448.13936678497</v>
      </c>
      <c r="AM5052" s="2">
        <v>1041.16665408208</v>
      </c>
      <c r="AN5052" s="2">
        <v>1040.31339803489</v>
      </c>
      <c r="AO5052" s="2">
        <v>1481.74376967185</v>
      </c>
      <c r="AP5052" s="2">
        <v>965.07497076716595</v>
      </c>
    </row>
    <row r="5053" spans="1:42" ht="14.5" x14ac:dyDescent="0.35">
      <c r="A5053" s="2" t="s">
        <v>33520</v>
      </c>
      <c r="B5053" s="2">
        <v>501.31815203424799</v>
      </c>
      <c r="C5053" s="2">
        <v>12.5232166666667</v>
      </c>
      <c r="D5053" s="2" t="s">
        <v>34</v>
      </c>
      <c r="E5053" s="2" t="s">
        <v>33521</v>
      </c>
      <c r="F5053" s="2">
        <v>10182</v>
      </c>
      <c r="G5053" s="3" t="str">
        <f>HYPERLINK("http://funmeta.oebiotech.com/network/10182", "http://funmeta.oebiotech.com/network/10182")</f>
        <v>http://funmeta.oebiotech.com/network/10182</v>
      </c>
      <c r="H5053" s="2"/>
      <c r="I5053" s="2"/>
      <c r="J5053" s="2" t="s">
        <v>33522</v>
      </c>
      <c r="K5053" s="2"/>
      <c r="L5053" s="2"/>
      <c r="M5053" s="2"/>
      <c r="N5053" s="2"/>
      <c r="O5053" s="2">
        <v>42607340</v>
      </c>
      <c r="P5053" s="2"/>
      <c r="Q5053" s="2" t="s">
        <v>33523</v>
      </c>
      <c r="R5053" s="2" t="s">
        <v>33524</v>
      </c>
      <c r="S5053" s="2" t="s">
        <v>50</v>
      </c>
      <c r="T5053" s="2" t="s">
        <v>229</v>
      </c>
      <c r="U5053" s="2" t="s">
        <v>230</v>
      </c>
      <c r="V5053" s="2" t="s">
        <v>59</v>
      </c>
      <c r="W5053" s="2">
        <v>39.200000000000003</v>
      </c>
      <c r="X5053" s="2">
        <v>0</v>
      </c>
      <c r="Y5053" s="2" t="s">
        <v>340</v>
      </c>
      <c r="Z5053" s="2" t="s">
        <v>33525</v>
      </c>
      <c r="AA5053" s="2">
        <v>-1.4274426330829799</v>
      </c>
      <c r="AB5053" s="2">
        <v>0.10786482425074401</v>
      </c>
      <c r="AC5053" s="2">
        <v>18467.4592415972</v>
      </c>
      <c r="AD5053" s="2">
        <v>20304.476234366299</v>
      </c>
      <c r="AE5053" s="2">
        <v>18891.4824422251</v>
      </c>
      <c r="AF5053" s="2">
        <v>18868.586498394099</v>
      </c>
      <c r="AG5053" s="2">
        <v>21296.228128639701</v>
      </c>
      <c r="AH5053" s="2">
        <v>19377.097885513602</v>
      </c>
      <c r="AI5053" s="2">
        <v>15655.3782972641</v>
      </c>
      <c r="AJ5053" s="2">
        <v>16715.9821975466</v>
      </c>
      <c r="AK5053" s="2">
        <v>17573.017187998299</v>
      </c>
      <c r="AL5053" s="2">
        <v>19583.001439758798</v>
      </c>
      <c r="AM5053" s="2">
        <v>23029.827716792799</v>
      </c>
      <c r="AN5053" s="2">
        <v>18421.661408017098</v>
      </c>
      <c r="AO5053" s="2">
        <v>20325.4519903246</v>
      </c>
      <c r="AP5053" s="2">
        <v>22893.897663306099</v>
      </c>
    </row>
    <row r="5054" spans="1:42" ht="14.5" x14ac:dyDescent="0.35">
      <c r="A5054" s="2" t="s">
        <v>33526</v>
      </c>
      <c r="B5054" s="2">
        <v>327.12930686281697</v>
      </c>
      <c r="C5054" s="2">
        <v>0.76995000000000002</v>
      </c>
      <c r="D5054" s="2" t="s">
        <v>70</v>
      </c>
      <c r="E5054" s="2" t="s">
        <v>33527</v>
      </c>
      <c r="F5054" s="2">
        <v>50802</v>
      </c>
      <c r="G5054" s="3" t="str">
        <f>HYPERLINK("http://funmeta.oebiotech.com/network/50802", "http://funmeta.oebiotech.com/network/50802")</f>
        <v>http://funmeta.oebiotech.com/network/50802</v>
      </c>
      <c r="H5054" s="2" t="s">
        <v>33528</v>
      </c>
      <c r="I5054" s="2"/>
      <c r="J5054" s="2"/>
      <c r="K5054" s="2"/>
      <c r="L5054" s="2" t="s">
        <v>33529</v>
      </c>
      <c r="M5054" s="2" t="s">
        <v>31621</v>
      </c>
      <c r="N5054" s="2" t="s">
        <v>31622</v>
      </c>
      <c r="O5054" s="2">
        <v>15559441</v>
      </c>
      <c r="P5054" s="2" t="s">
        <v>33530</v>
      </c>
      <c r="Q5054" s="2" t="s">
        <v>33531</v>
      </c>
      <c r="R5054" s="2" t="s">
        <v>33532</v>
      </c>
      <c r="S5054" s="2" t="s">
        <v>79</v>
      </c>
      <c r="T5054" s="2" t="s">
        <v>80</v>
      </c>
      <c r="U5054" s="2" t="s">
        <v>81</v>
      </c>
      <c r="V5054" s="2" t="s">
        <v>59</v>
      </c>
      <c r="W5054" s="2">
        <v>44.3</v>
      </c>
      <c r="X5054" s="2">
        <v>26.2</v>
      </c>
      <c r="Y5054" s="2" t="s">
        <v>560</v>
      </c>
      <c r="Z5054" s="2" t="s">
        <v>24595</v>
      </c>
      <c r="AA5054" s="2">
        <v>-1.10828867597605</v>
      </c>
      <c r="AB5054" s="2">
        <v>0.10784989406015399</v>
      </c>
      <c r="AC5054" s="2">
        <v>16534.890053702598</v>
      </c>
      <c r="AD5054" s="2">
        <v>14768.8895099088</v>
      </c>
      <c r="AE5054" s="2">
        <v>18270.094233826901</v>
      </c>
      <c r="AF5054" s="2">
        <v>15863.720753322301</v>
      </c>
      <c r="AG5054" s="2">
        <v>13803.385320993801</v>
      </c>
      <c r="AH5054" s="2">
        <v>16935.4032488259</v>
      </c>
      <c r="AI5054" s="2">
        <v>18596.182518404999</v>
      </c>
      <c r="AJ5054" s="2">
        <v>15740.554246842001</v>
      </c>
      <c r="AK5054" s="2">
        <v>13559.615278830201</v>
      </c>
      <c r="AL5054" s="2">
        <v>15069.677074269001</v>
      </c>
      <c r="AM5054" s="2">
        <v>12547.3626270311</v>
      </c>
      <c r="AN5054" s="2">
        <v>14633.015041016401</v>
      </c>
      <c r="AO5054" s="2">
        <v>13992.6773247001</v>
      </c>
      <c r="AP5054" s="2">
        <v>18810.989713606101</v>
      </c>
    </row>
    <row r="5055" spans="1:42" ht="14.5" x14ac:dyDescent="0.35">
      <c r="A5055" s="2" t="s">
        <v>33533</v>
      </c>
      <c r="B5055" s="2">
        <v>300.164982002751</v>
      </c>
      <c r="C5055" s="2">
        <v>1.06171666666667</v>
      </c>
      <c r="D5055" s="2" t="s">
        <v>34</v>
      </c>
      <c r="E5055" s="2" t="s">
        <v>33534</v>
      </c>
      <c r="F5055" s="2">
        <v>197002</v>
      </c>
      <c r="G5055" s="3" t="str">
        <f>HYPERLINK("http://funmeta.oebiotech.com/network/197002", "http://funmeta.oebiotech.com/network/197002")</f>
        <v>http://funmeta.oebiotech.com/network/197002</v>
      </c>
      <c r="H5055" s="2" t="s">
        <v>33535</v>
      </c>
      <c r="I5055" s="2"/>
      <c r="J5055" s="2"/>
      <c r="K5055" s="2"/>
      <c r="L5055" s="2"/>
      <c r="M5055" s="2"/>
      <c r="N5055" s="2"/>
      <c r="O5055" s="2"/>
      <c r="P5055" s="2" t="s">
        <v>33536</v>
      </c>
      <c r="Q5055" s="2" t="s">
        <v>33537</v>
      </c>
      <c r="R5055" s="2" t="s">
        <v>33538</v>
      </c>
      <c r="S5055" s="2" t="s">
        <v>491</v>
      </c>
      <c r="T5055" s="2" t="s">
        <v>25326</v>
      </c>
      <c r="U5055" s="2" t="s">
        <v>25327</v>
      </c>
      <c r="V5055" s="2" t="s">
        <v>59</v>
      </c>
      <c r="W5055" s="2">
        <v>37.1</v>
      </c>
      <c r="X5055" s="2">
        <v>0</v>
      </c>
      <c r="Y5055" s="2" t="s">
        <v>394</v>
      </c>
      <c r="Z5055" s="2" t="s">
        <v>33539</v>
      </c>
      <c r="AA5055" s="2">
        <v>-1.63517653001985</v>
      </c>
      <c r="AB5055" s="2">
        <v>0.107793807014691</v>
      </c>
      <c r="AC5055" s="2">
        <v>4438.0320880946301</v>
      </c>
      <c r="AD5055" s="2">
        <v>5486.9792734880702</v>
      </c>
      <c r="AE5055" s="2">
        <v>4067.2631914315798</v>
      </c>
      <c r="AF5055" s="2">
        <v>4521.8561739471397</v>
      </c>
      <c r="AG5055" s="2">
        <v>4124.19106682439</v>
      </c>
      <c r="AH5055" s="2">
        <v>5409.8643616581703</v>
      </c>
      <c r="AI5055" s="2">
        <v>4404.28115048159</v>
      </c>
      <c r="AJ5055" s="2">
        <v>4100.7365842248901</v>
      </c>
      <c r="AK5055" s="2">
        <v>5275.8029022208602</v>
      </c>
      <c r="AL5055" s="2">
        <v>5683.40101968208</v>
      </c>
      <c r="AM5055" s="2">
        <v>4476.8436899940998</v>
      </c>
      <c r="AN5055" s="2">
        <v>6201.2005051997303</v>
      </c>
      <c r="AO5055" s="2">
        <v>5580.6013991503796</v>
      </c>
      <c r="AP5055" s="2">
        <v>5704.0261246812897</v>
      </c>
    </row>
    <row r="5056" spans="1:42" ht="14.5" x14ac:dyDescent="0.35">
      <c r="A5056" s="2" t="s">
        <v>33540</v>
      </c>
      <c r="B5056" s="2">
        <v>475.18188620486001</v>
      </c>
      <c r="C5056" s="2">
        <v>3.7303666666666699</v>
      </c>
      <c r="D5056" s="2" t="s">
        <v>70</v>
      </c>
      <c r="E5056" s="2" t="s">
        <v>33541</v>
      </c>
      <c r="F5056" s="2">
        <v>56912</v>
      </c>
      <c r="G5056" s="3" t="str">
        <f>HYPERLINK("http://funmeta.oebiotech.com/network/56912", "http://funmeta.oebiotech.com/network/56912")</f>
        <v>http://funmeta.oebiotech.com/network/56912</v>
      </c>
      <c r="H5056" s="2" t="s">
        <v>33542</v>
      </c>
      <c r="I5056" s="2">
        <v>88572</v>
      </c>
      <c r="J5056" s="2"/>
      <c r="K5056" s="2">
        <v>167920</v>
      </c>
      <c r="L5056" s="2"/>
      <c r="M5056" s="2"/>
      <c r="N5056" s="2"/>
      <c r="O5056" s="2">
        <v>14312558</v>
      </c>
      <c r="P5056" s="2" t="s">
        <v>33543</v>
      </c>
      <c r="Q5056" s="2" t="s">
        <v>33544</v>
      </c>
      <c r="R5056" s="2" t="s">
        <v>33545</v>
      </c>
      <c r="S5056" s="2" t="s">
        <v>79</v>
      </c>
      <c r="T5056" s="2" t="s">
        <v>80</v>
      </c>
      <c r="U5056" s="2" t="s">
        <v>81</v>
      </c>
      <c r="V5056" s="2" t="s">
        <v>59</v>
      </c>
      <c r="W5056" s="2">
        <v>38.299999999999997</v>
      </c>
      <c r="X5056" s="2">
        <v>0</v>
      </c>
      <c r="Y5056" s="2" t="s">
        <v>408</v>
      </c>
      <c r="Z5056" s="2" t="s">
        <v>18967</v>
      </c>
      <c r="AA5056" s="2">
        <v>-0.49704984720197698</v>
      </c>
      <c r="AB5056" s="2">
        <v>0.10750317740816499</v>
      </c>
      <c r="AC5056" s="2">
        <v>8251.3557934868295</v>
      </c>
      <c r="AD5056" s="2">
        <v>6897.8036571495204</v>
      </c>
      <c r="AE5056" s="2">
        <v>9206.0059208303592</v>
      </c>
      <c r="AF5056" s="2">
        <v>9758.2202701373899</v>
      </c>
      <c r="AG5056" s="2">
        <v>6320.0614221475398</v>
      </c>
      <c r="AH5056" s="2">
        <v>8068.77827678219</v>
      </c>
      <c r="AI5056" s="2">
        <v>8650.9953303860093</v>
      </c>
      <c r="AJ5056" s="2">
        <v>7504.0735406375097</v>
      </c>
      <c r="AK5056" s="2">
        <v>7048.5730420957298</v>
      </c>
      <c r="AL5056" s="2">
        <v>8342.2534902319494</v>
      </c>
      <c r="AM5056" s="2">
        <v>5659.21075748563</v>
      </c>
      <c r="AN5056" s="2">
        <v>6839.9322207692203</v>
      </c>
      <c r="AO5056" s="2">
        <v>6100.6894784648503</v>
      </c>
      <c r="AP5056" s="2">
        <v>7396.16295384975</v>
      </c>
    </row>
    <row r="5057" spans="1:42" ht="14.5" x14ac:dyDescent="0.35">
      <c r="A5057" s="2" t="s">
        <v>33546</v>
      </c>
      <c r="B5057" s="2">
        <v>685.24782806596397</v>
      </c>
      <c r="C5057" s="2">
        <v>7.3939333333333304</v>
      </c>
      <c r="D5057" s="2" t="s">
        <v>70</v>
      </c>
      <c r="E5057" s="2" t="s">
        <v>33547</v>
      </c>
      <c r="F5057" s="2">
        <v>61330</v>
      </c>
      <c r="G5057" s="3" t="str">
        <f>HYPERLINK("http://funmeta.oebiotech.com/network/61330", "http://funmeta.oebiotech.com/network/61330")</f>
        <v>http://funmeta.oebiotech.com/network/61330</v>
      </c>
      <c r="H5057" s="2" t="s">
        <v>33548</v>
      </c>
      <c r="I5057" s="2"/>
      <c r="J5057" s="2"/>
      <c r="K5057" s="2"/>
      <c r="L5057" s="2"/>
      <c r="M5057" s="2"/>
      <c r="N5057" s="2"/>
      <c r="O5057" s="2">
        <v>131752248</v>
      </c>
      <c r="P5057" s="2" t="s">
        <v>33549</v>
      </c>
      <c r="Q5057" s="2" t="s">
        <v>33550</v>
      </c>
      <c r="R5057" s="2" t="s">
        <v>33551</v>
      </c>
      <c r="S5057" s="2" t="s">
        <v>89</v>
      </c>
      <c r="T5057" s="2" t="s">
        <v>90</v>
      </c>
      <c r="U5057" s="2" t="s">
        <v>99</v>
      </c>
      <c r="V5057" s="2" t="s">
        <v>59</v>
      </c>
      <c r="W5057" s="2">
        <v>38</v>
      </c>
      <c r="X5057" s="2">
        <v>0</v>
      </c>
      <c r="Y5057" s="2" t="s">
        <v>560</v>
      </c>
      <c r="Z5057" s="2" t="s">
        <v>33552</v>
      </c>
      <c r="AA5057" s="2">
        <v>2.4352934107519801</v>
      </c>
      <c r="AB5057" s="2">
        <v>0.107421349624286</v>
      </c>
      <c r="AC5057" s="2">
        <v>9324.2645086617995</v>
      </c>
      <c r="AD5057" s="2">
        <v>10811.8996456899</v>
      </c>
      <c r="AE5057" s="2">
        <v>7794.2877952236504</v>
      </c>
      <c r="AF5057" s="2">
        <v>8885.8412882902903</v>
      </c>
      <c r="AG5057" s="2">
        <v>9826.4132573742099</v>
      </c>
      <c r="AH5057" s="2">
        <v>8707.1393534394392</v>
      </c>
      <c r="AI5057" s="2">
        <v>8420.4161441039196</v>
      </c>
      <c r="AJ5057" s="2">
        <v>12311.4892135393</v>
      </c>
      <c r="AK5057" s="2">
        <v>9830.9548780270507</v>
      </c>
      <c r="AL5057" s="2">
        <v>12426.8420958194</v>
      </c>
      <c r="AM5057" s="2">
        <v>11007.905586244</v>
      </c>
      <c r="AN5057" s="2">
        <v>10645.0769280648</v>
      </c>
      <c r="AO5057" s="2">
        <v>9564.7273597347594</v>
      </c>
      <c r="AP5057" s="2">
        <v>11395.891026249101</v>
      </c>
    </row>
    <row r="5058" spans="1:42" ht="14.5" x14ac:dyDescent="0.35">
      <c r="A5058" s="2" t="s">
        <v>33553</v>
      </c>
      <c r="B5058" s="2">
        <v>469.19286187335803</v>
      </c>
      <c r="C5058" s="2">
        <v>3.9694833333333301</v>
      </c>
      <c r="D5058" s="2" t="s">
        <v>70</v>
      </c>
      <c r="E5058" s="2" t="s">
        <v>33554</v>
      </c>
      <c r="F5058" s="2">
        <v>257556</v>
      </c>
      <c r="G5058" s="3" t="str">
        <f>HYPERLINK("http://funmeta.oebiotech.com/network/257556", "http://funmeta.oebiotech.com/network/257556")</f>
        <v>http://funmeta.oebiotech.com/network/257556</v>
      </c>
      <c r="H5058" s="2" t="s">
        <v>33555</v>
      </c>
      <c r="I5058" s="2">
        <v>22899</v>
      </c>
      <c r="J5058" s="2"/>
      <c r="K5058" s="2">
        <v>73598</v>
      </c>
      <c r="L5058" s="2"/>
      <c r="M5058" s="2"/>
      <c r="N5058" s="2"/>
      <c r="O5058" s="2">
        <v>24889972</v>
      </c>
      <c r="P5058" s="2"/>
      <c r="Q5058" s="2" t="s">
        <v>33556</v>
      </c>
      <c r="R5058" s="2" t="s">
        <v>33557</v>
      </c>
      <c r="S5058" s="2" t="s">
        <v>89</v>
      </c>
      <c r="T5058" s="2" t="s">
        <v>90</v>
      </c>
      <c r="U5058" s="2" t="s">
        <v>99</v>
      </c>
      <c r="V5058" s="2" t="s">
        <v>59</v>
      </c>
      <c r="W5058" s="2">
        <v>38.299999999999997</v>
      </c>
      <c r="X5058" s="2">
        <v>0</v>
      </c>
      <c r="Y5058" s="2" t="s">
        <v>286</v>
      </c>
      <c r="Z5058" s="2" t="s">
        <v>33558</v>
      </c>
      <c r="AA5058" s="2">
        <v>-2.6880292628242701</v>
      </c>
      <c r="AB5058" s="2">
        <v>0.10723765725166</v>
      </c>
      <c r="AC5058" s="2">
        <v>9577.2570512527709</v>
      </c>
      <c r="AD5058" s="2">
        <v>10964.0045120699</v>
      </c>
      <c r="AE5058" s="2">
        <v>9540.34462041183</v>
      </c>
      <c r="AF5058" s="2">
        <v>9582.3591331867101</v>
      </c>
      <c r="AG5058" s="2">
        <v>8265.4725796428793</v>
      </c>
      <c r="AH5058" s="2">
        <v>9389.9031017429006</v>
      </c>
      <c r="AI5058" s="2">
        <v>9608.2282047755907</v>
      </c>
      <c r="AJ5058" s="2">
        <v>11077.2346677567</v>
      </c>
      <c r="AK5058" s="2">
        <v>9708.4604290760599</v>
      </c>
      <c r="AL5058" s="2">
        <v>10084.1708785269</v>
      </c>
      <c r="AM5058" s="2">
        <v>10274.570799241499</v>
      </c>
      <c r="AN5058" s="2">
        <v>12596.708540494001</v>
      </c>
      <c r="AO5058" s="2">
        <v>10163.1458565056</v>
      </c>
      <c r="AP5058" s="2">
        <v>12956.9705685753</v>
      </c>
    </row>
    <row r="5059" spans="1:42" ht="14.5" x14ac:dyDescent="0.35">
      <c r="A5059" s="2" t="s">
        <v>33559</v>
      </c>
      <c r="B5059" s="2">
        <v>402.16016275980098</v>
      </c>
      <c r="C5059" s="2">
        <v>0.71894999999999998</v>
      </c>
      <c r="D5059" s="2" t="s">
        <v>34</v>
      </c>
      <c r="E5059" s="2" t="s">
        <v>33560</v>
      </c>
      <c r="F5059" s="2">
        <v>208574</v>
      </c>
      <c r="G5059" s="3" t="str">
        <f>HYPERLINK("http://funmeta.oebiotech.com/network/208574", "http://funmeta.oebiotech.com/network/208574")</f>
        <v>http://funmeta.oebiotech.com/network/208574</v>
      </c>
      <c r="H5059" s="2" t="s">
        <v>33561</v>
      </c>
      <c r="I5059" s="2"/>
      <c r="J5059" s="2"/>
      <c r="K5059" s="2"/>
      <c r="L5059" s="2"/>
      <c r="M5059" s="2"/>
      <c r="N5059" s="2"/>
      <c r="O5059" s="2">
        <v>121833</v>
      </c>
      <c r="P5059" s="2"/>
      <c r="Q5059" s="2" t="s">
        <v>33562</v>
      </c>
      <c r="R5059" s="2" t="s">
        <v>33563</v>
      </c>
      <c r="S5059" s="2" t="s">
        <v>41</v>
      </c>
      <c r="T5059" s="2" t="s">
        <v>41</v>
      </c>
      <c r="U5059" s="2" t="s">
        <v>41</v>
      </c>
      <c r="V5059" s="2" t="s">
        <v>59</v>
      </c>
      <c r="W5059" s="2">
        <v>37.200000000000003</v>
      </c>
      <c r="X5059" s="2">
        <v>0</v>
      </c>
      <c r="Y5059" s="2" t="s">
        <v>323</v>
      </c>
      <c r="Z5059" s="2" t="s">
        <v>33564</v>
      </c>
      <c r="AA5059" s="2">
        <v>0.51171961945463496</v>
      </c>
      <c r="AB5059" s="2">
        <v>0.10706526075054</v>
      </c>
      <c r="AC5059" s="2">
        <v>31481.343344462501</v>
      </c>
      <c r="AD5059" s="2">
        <v>29236.938773515001</v>
      </c>
      <c r="AE5059" s="2">
        <v>31713.839903784901</v>
      </c>
      <c r="AF5059" s="2">
        <v>34260.047032858602</v>
      </c>
      <c r="AG5059" s="2">
        <v>31815.904171129201</v>
      </c>
      <c r="AH5059" s="2">
        <v>32213.357694388698</v>
      </c>
      <c r="AI5059" s="2">
        <v>27293.7551509734</v>
      </c>
      <c r="AJ5059" s="2">
        <v>31591.1561136403</v>
      </c>
      <c r="AK5059" s="2">
        <v>31107.892530743</v>
      </c>
      <c r="AL5059" s="2">
        <v>32814.078575051703</v>
      </c>
      <c r="AM5059" s="2">
        <v>23866.5723522281</v>
      </c>
      <c r="AN5059" s="2">
        <v>34012.854383573002</v>
      </c>
      <c r="AO5059" s="2">
        <v>23369.178353930802</v>
      </c>
      <c r="AP5059" s="2">
        <v>30251.056445563499</v>
      </c>
    </row>
    <row r="5060" spans="1:42" ht="14.5" x14ac:dyDescent="0.35">
      <c r="A5060" s="2" t="s">
        <v>33565</v>
      </c>
      <c r="B5060" s="2">
        <v>178.143736510401</v>
      </c>
      <c r="C5060" s="2">
        <v>1.3655666666666699</v>
      </c>
      <c r="D5060" s="2" t="s">
        <v>34</v>
      </c>
      <c r="E5060" s="2" t="s">
        <v>33566</v>
      </c>
      <c r="F5060" s="2">
        <v>1959</v>
      </c>
      <c r="G5060" s="3" t="str">
        <f>HYPERLINK("http://funmeta.oebiotech.com/network/1959", "http://funmeta.oebiotech.com/network/1959")</f>
        <v>http://funmeta.oebiotech.com/network/1959</v>
      </c>
      <c r="H5060" s="2" t="s">
        <v>33567</v>
      </c>
      <c r="I5060" s="2">
        <v>2988</v>
      </c>
      <c r="J5060" s="2" t="s">
        <v>33568</v>
      </c>
      <c r="K5060" s="2">
        <v>80637</v>
      </c>
      <c r="L5060" s="2" t="s">
        <v>33569</v>
      </c>
      <c r="M5060" s="2" t="s">
        <v>11721</v>
      </c>
      <c r="N5060" s="2" t="s">
        <v>11722</v>
      </c>
      <c r="O5060" s="2">
        <v>134459</v>
      </c>
      <c r="P5060" s="2" t="s">
        <v>33570</v>
      </c>
      <c r="Q5060" s="2" t="s">
        <v>33571</v>
      </c>
      <c r="R5060" s="2" t="s">
        <v>33572</v>
      </c>
      <c r="S5060" s="2" t="s">
        <v>50</v>
      </c>
      <c r="T5060" s="2" t="s">
        <v>229</v>
      </c>
      <c r="U5060" s="2" t="s">
        <v>433</v>
      </c>
      <c r="V5060" s="2" t="s">
        <v>59</v>
      </c>
      <c r="W5060" s="2">
        <v>39</v>
      </c>
      <c r="X5060" s="2">
        <v>0</v>
      </c>
      <c r="Y5060" s="2" t="s">
        <v>43</v>
      </c>
      <c r="Z5060" s="2" t="s">
        <v>33573</v>
      </c>
      <c r="AA5060" s="2">
        <v>-0.20855293398823799</v>
      </c>
      <c r="AB5060" s="2">
        <v>0.106961585224971</v>
      </c>
      <c r="AC5060" s="2">
        <v>5632.9769070852399</v>
      </c>
      <c r="AD5060" s="2">
        <v>4727.4039908427103</v>
      </c>
      <c r="AE5060" s="2">
        <v>5560.1101785290202</v>
      </c>
      <c r="AF5060" s="2">
        <v>5689.6895748631696</v>
      </c>
      <c r="AG5060" s="2">
        <v>5663.9874460293404</v>
      </c>
      <c r="AH5060" s="2">
        <v>6089.0316199156496</v>
      </c>
      <c r="AI5060" s="2">
        <v>5361.40128018224</v>
      </c>
      <c r="AJ5060" s="2">
        <v>5433.6413429920003</v>
      </c>
      <c r="AK5060" s="2">
        <v>4639.2496296661302</v>
      </c>
      <c r="AL5060" s="2">
        <v>4765.29456908466</v>
      </c>
      <c r="AM5060" s="2">
        <v>5044.8128217441299</v>
      </c>
      <c r="AN5060" s="2">
        <v>4697.0972871910899</v>
      </c>
      <c r="AO5060" s="2">
        <v>5183.5254031811501</v>
      </c>
      <c r="AP5060" s="2">
        <v>4034.4442341890799</v>
      </c>
    </row>
    <row r="5061" spans="1:42" ht="14.5" x14ac:dyDescent="0.35">
      <c r="A5061" s="2" t="s">
        <v>33574</v>
      </c>
      <c r="B5061" s="2">
        <v>415.17499668061402</v>
      </c>
      <c r="C5061" s="2">
        <v>8.6905333333333292</v>
      </c>
      <c r="D5061" s="2" t="s">
        <v>34</v>
      </c>
      <c r="E5061" s="2" t="s">
        <v>33575</v>
      </c>
      <c r="F5061" s="2">
        <v>54456</v>
      </c>
      <c r="G5061" s="3" t="str">
        <f>HYPERLINK("http://funmeta.oebiotech.com/network/54456", "http://funmeta.oebiotech.com/network/54456")</f>
        <v>http://funmeta.oebiotech.com/network/54456</v>
      </c>
      <c r="H5061" s="2" t="s">
        <v>33576</v>
      </c>
      <c r="I5061" s="2">
        <v>86316</v>
      </c>
      <c r="J5061" s="2"/>
      <c r="K5061" s="2"/>
      <c r="L5061" s="2"/>
      <c r="M5061" s="2"/>
      <c r="N5061" s="2"/>
      <c r="O5061" s="2">
        <v>44159808</v>
      </c>
      <c r="P5061" s="2" t="s">
        <v>33577</v>
      </c>
      <c r="Q5061" s="2" t="s">
        <v>33578</v>
      </c>
      <c r="R5061" s="2" t="s">
        <v>33579</v>
      </c>
      <c r="S5061" s="2" t="s">
        <v>491</v>
      </c>
      <c r="T5061" s="2" t="s">
        <v>2251</v>
      </c>
      <c r="U5061" s="2" t="s">
        <v>2252</v>
      </c>
      <c r="V5061" s="2" t="s">
        <v>59</v>
      </c>
      <c r="W5061" s="2">
        <v>37.5</v>
      </c>
      <c r="X5061" s="2">
        <v>0</v>
      </c>
      <c r="Y5061" s="2" t="s">
        <v>394</v>
      </c>
      <c r="Z5061" s="2" t="s">
        <v>7164</v>
      </c>
      <c r="AA5061" s="2">
        <v>-0.32093781538510802</v>
      </c>
      <c r="AB5061" s="2">
        <v>0.106948828715168</v>
      </c>
      <c r="AC5061" s="2">
        <v>4045.5032087117602</v>
      </c>
      <c r="AD5061" s="2">
        <v>3053.9226533260698</v>
      </c>
      <c r="AE5061" s="2">
        <v>4301.0585193568104</v>
      </c>
      <c r="AF5061" s="2">
        <v>3885.3252719599</v>
      </c>
      <c r="AG5061" s="2">
        <v>3757.2714289472501</v>
      </c>
      <c r="AH5061" s="2">
        <v>4136.8096312446196</v>
      </c>
      <c r="AI5061" s="2">
        <v>4632.6306011631305</v>
      </c>
      <c r="AJ5061" s="2">
        <v>3559.9237995988701</v>
      </c>
      <c r="AK5061" s="2">
        <v>3163.0815035523001</v>
      </c>
      <c r="AL5061" s="2">
        <v>3126.4182316491101</v>
      </c>
      <c r="AM5061" s="2">
        <v>2626.0695492681698</v>
      </c>
      <c r="AN5061" s="2">
        <v>2796.1067011974001</v>
      </c>
      <c r="AO5061" s="2">
        <v>2598.56128589438</v>
      </c>
      <c r="AP5061" s="2">
        <v>4013.2986483950799</v>
      </c>
    </row>
    <row r="5062" spans="1:42" ht="14.5" x14ac:dyDescent="0.35">
      <c r="A5062" s="2" t="s">
        <v>33580</v>
      </c>
      <c r="B5062" s="2">
        <v>767.48836810611499</v>
      </c>
      <c r="C5062" s="2">
        <v>9.10178333333333</v>
      </c>
      <c r="D5062" s="2" t="s">
        <v>34</v>
      </c>
      <c r="E5062" s="2" t="s">
        <v>33581</v>
      </c>
      <c r="F5062" s="2">
        <v>217708</v>
      </c>
      <c r="G5062" s="3" t="str">
        <f>HYPERLINK("http://funmeta.oebiotech.com/network/217708", "http://funmeta.oebiotech.com/network/217708")</f>
        <v>http://funmeta.oebiotech.com/network/217708</v>
      </c>
      <c r="H5062" s="2" t="s">
        <v>33582</v>
      </c>
      <c r="I5062" s="2"/>
      <c r="J5062" s="2"/>
      <c r="K5062" s="2"/>
      <c r="L5062" s="2"/>
      <c r="M5062" s="2"/>
      <c r="N5062" s="2"/>
      <c r="O5062" s="2"/>
      <c r="P5062" s="2"/>
      <c r="Q5062" s="2" t="s">
        <v>33583</v>
      </c>
      <c r="R5062" s="2" t="s">
        <v>33584</v>
      </c>
      <c r="S5062" s="2" t="s">
        <v>41</v>
      </c>
      <c r="T5062" s="2" t="s">
        <v>41</v>
      </c>
      <c r="U5062" s="2" t="s">
        <v>41</v>
      </c>
      <c r="V5062" s="2" t="s">
        <v>59</v>
      </c>
      <c r="W5062" s="2">
        <v>38.799999999999997</v>
      </c>
      <c r="X5062" s="2">
        <v>13.6</v>
      </c>
      <c r="Y5062" s="2" t="s">
        <v>141</v>
      </c>
      <c r="Z5062" s="2" t="s">
        <v>33585</v>
      </c>
      <c r="AA5062" s="2">
        <v>3.3226338157977402</v>
      </c>
      <c r="AB5062" s="2">
        <v>0.10684622113296199</v>
      </c>
      <c r="AC5062" s="2">
        <v>354.97619369250702</v>
      </c>
      <c r="AD5062" s="2">
        <v>1572.5170745093701</v>
      </c>
      <c r="AE5062" s="2">
        <v>164.802317420359</v>
      </c>
      <c r="AF5062" s="2">
        <v>345.466103293157</v>
      </c>
      <c r="AG5062" s="2">
        <v>333.60006288041097</v>
      </c>
      <c r="AH5062" s="2">
        <v>481.61528890154</v>
      </c>
      <c r="AI5062" s="2">
        <v>365.51675259989298</v>
      </c>
      <c r="AJ5062" s="2">
        <v>438.856637059685</v>
      </c>
      <c r="AK5062" s="2">
        <v>3293.8825970196999</v>
      </c>
      <c r="AL5062" s="2">
        <v>2750.5065102920198</v>
      </c>
      <c r="AM5062" s="2">
        <v>313.05570589745599</v>
      </c>
      <c r="AN5062" s="2">
        <v>1222.80948004518</v>
      </c>
      <c r="AO5062" s="2">
        <v>698.29038702637695</v>
      </c>
      <c r="AP5062" s="2">
        <v>1156.5577667754601</v>
      </c>
    </row>
    <row r="5063" spans="1:42" ht="14.5" x14ac:dyDescent="0.35">
      <c r="A5063" s="2" t="s">
        <v>33586</v>
      </c>
      <c r="B5063" s="2">
        <v>365.193652085672</v>
      </c>
      <c r="C5063" s="2">
        <v>9.2539333333333307</v>
      </c>
      <c r="D5063" s="2" t="s">
        <v>34</v>
      </c>
      <c r="E5063" s="2" t="s">
        <v>33587</v>
      </c>
      <c r="F5063" s="2">
        <v>3911</v>
      </c>
      <c r="G5063" s="3" t="str">
        <f>HYPERLINK("http://funmeta.oebiotech.com/network/3911", "http://funmeta.oebiotech.com/network/3911")</f>
        <v>http://funmeta.oebiotech.com/network/3911</v>
      </c>
      <c r="H5063" s="2" t="s">
        <v>33588</v>
      </c>
      <c r="I5063" s="2">
        <v>36258</v>
      </c>
      <c r="J5063" s="2" t="s">
        <v>33589</v>
      </c>
      <c r="K5063" s="2">
        <v>89991</v>
      </c>
      <c r="L5063" s="2"/>
      <c r="M5063" s="2"/>
      <c r="N5063" s="2"/>
      <c r="O5063" s="2">
        <v>5283138</v>
      </c>
      <c r="P5063" s="2" t="s">
        <v>33590</v>
      </c>
      <c r="Q5063" s="2" t="s">
        <v>33591</v>
      </c>
      <c r="R5063" s="2" t="s">
        <v>33592</v>
      </c>
      <c r="S5063" s="2" t="s">
        <v>50</v>
      </c>
      <c r="T5063" s="2" t="s">
        <v>229</v>
      </c>
      <c r="U5063" s="2" t="s">
        <v>766</v>
      </c>
      <c r="V5063" s="2" t="s">
        <v>59</v>
      </c>
      <c r="W5063" s="2">
        <v>38.299999999999997</v>
      </c>
      <c r="X5063" s="2">
        <v>0</v>
      </c>
      <c r="Y5063" s="2" t="s">
        <v>323</v>
      </c>
      <c r="Z5063" s="2" t="s">
        <v>18594</v>
      </c>
      <c r="AA5063" s="2">
        <v>0.56319060401500498</v>
      </c>
      <c r="AB5063" s="2">
        <v>0.106814107590246</v>
      </c>
      <c r="AC5063" s="2">
        <v>9020.4001862812802</v>
      </c>
      <c r="AD5063" s="2">
        <v>10126.8114966053</v>
      </c>
      <c r="AE5063" s="2">
        <v>9627.0427059085505</v>
      </c>
      <c r="AF5063" s="2">
        <v>8877.7822427561005</v>
      </c>
      <c r="AG5063" s="2">
        <v>8918.9890180984294</v>
      </c>
      <c r="AH5063" s="2">
        <v>9049.91103406193</v>
      </c>
      <c r="AI5063" s="2">
        <v>8870.7797073528709</v>
      </c>
      <c r="AJ5063" s="2">
        <v>8777.8964095098108</v>
      </c>
      <c r="AK5063" s="2">
        <v>11665.5869990552</v>
      </c>
      <c r="AL5063" s="2">
        <v>10416.8513351573</v>
      </c>
      <c r="AM5063" s="2">
        <v>9518.0760603210801</v>
      </c>
      <c r="AN5063" s="2">
        <v>9853.9759187791497</v>
      </c>
      <c r="AO5063" s="2">
        <v>10103.143899430899</v>
      </c>
      <c r="AP5063" s="2">
        <v>9203.2347668881102</v>
      </c>
    </row>
    <row r="5064" spans="1:42" ht="14.5" x14ac:dyDescent="0.35">
      <c r="A5064" s="2" t="s">
        <v>33593</v>
      </c>
      <c r="B5064" s="2">
        <v>209.14447437926199</v>
      </c>
      <c r="C5064" s="2">
        <v>4.3791333333333302</v>
      </c>
      <c r="D5064" s="2" t="s">
        <v>34</v>
      </c>
      <c r="E5064" s="2" t="s">
        <v>33594</v>
      </c>
      <c r="F5064" s="2">
        <v>210433</v>
      </c>
      <c r="G5064" s="3" t="str">
        <f>HYPERLINK("http://funmeta.oebiotech.com/network/210433", "http://funmeta.oebiotech.com/network/210433")</f>
        <v>http://funmeta.oebiotech.com/network/210433</v>
      </c>
      <c r="H5064" s="2" t="s">
        <v>33595</v>
      </c>
      <c r="I5064" s="2">
        <v>320295</v>
      </c>
      <c r="J5064" s="2"/>
      <c r="K5064" s="2"/>
      <c r="L5064" s="2"/>
      <c r="M5064" s="2"/>
      <c r="N5064" s="2"/>
      <c r="O5064" s="2">
        <v>68802</v>
      </c>
      <c r="P5064" s="2"/>
      <c r="Q5064" s="2" t="s">
        <v>33596</v>
      </c>
      <c r="R5064" s="2" t="s">
        <v>33597</v>
      </c>
      <c r="S5064" s="2" t="s">
        <v>491</v>
      </c>
      <c r="T5064" s="2" t="s">
        <v>2184</v>
      </c>
      <c r="U5064" s="2" t="s">
        <v>8546</v>
      </c>
      <c r="V5064" s="2" t="s">
        <v>59</v>
      </c>
      <c r="W5064" s="2">
        <v>36.299999999999997</v>
      </c>
      <c r="X5064" s="2">
        <v>0</v>
      </c>
      <c r="Y5064" s="2" t="s">
        <v>141</v>
      </c>
      <c r="Z5064" s="2" t="s">
        <v>33598</v>
      </c>
      <c r="AA5064" s="2">
        <v>3.3785210797171499</v>
      </c>
      <c r="AB5064" s="2">
        <v>0.106755142552328</v>
      </c>
      <c r="AC5064" s="2">
        <v>9157.2066019383492</v>
      </c>
      <c r="AD5064" s="2">
        <v>7842.1146480325697</v>
      </c>
      <c r="AE5064" s="2">
        <v>7931.0372591413498</v>
      </c>
      <c r="AF5064" s="2">
        <v>7901.3336104079499</v>
      </c>
      <c r="AG5064" s="2">
        <v>10417.1378510657</v>
      </c>
      <c r="AH5064" s="2">
        <v>8256.5973535386693</v>
      </c>
      <c r="AI5064" s="2">
        <v>9844.93903289626</v>
      </c>
      <c r="AJ5064" s="2">
        <v>10592.1945045802</v>
      </c>
      <c r="AK5064" s="2">
        <v>9052.6149052172805</v>
      </c>
      <c r="AL5064" s="2">
        <v>7047.33556356801</v>
      </c>
      <c r="AM5064" s="2">
        <v>7481.2283149833102</v>
      </c>
      <c r="AN5064" s="2">
        <v>7571.9929162028202</v>
      </c>
      <c r="AO5064" s="2">
        <v>7556.84340634002</v>
      </c>
      <c r="AP5064" s="2">
        <v>8342.6727818839609</v>
      </c>
    </row>
    <row r="5065" spans="1:42" ht="14.5" x14ac:dyDescent="0.35">
      <c r="A5065" s="2" t="s">
        <v>33599</v>
      </c>
      <c r="B5065" s="2">
        <v>797.25094541935005</v>
      </c>
      <c r="C5065" s="2">
        <v>4.1877333333333304</v>
      </c>
      <c r="D5065" s="2" t="s">
        <v>70</v>
      </c>
      <c r="E5065" s="2" t="s">
        <v>33600</v>
      </c>
      <c r="F5065" s="2">
        <v>32634</v>
      </c>
      <c r="G5065" s="3" t="str">
        <f>HYPERLINK("http://funmeta.oebiotech.com/network/32634", "http://funmeta.oebiotech.com/network/32634")</f>
        <v>http://funmeta.oebiotech.com/network/32634</v>
      </c>
      <c r="H5065" s="2"/>
      <c r="I5065" s="2"/>
      <c r="J5065" s="2" t="s">
        <v>33601</v>
      </c>
      <c r="K5065" s="2"/>
      <c r="L5065" s="2"/>
      <c r="M5065" s="2"/>
      <c r="N5065" s="2"/>
      <c r="O5065" s="2">
        <v>44259533</v>
      </c>
      <c r="P5065" s="2"/>
      <c r="Q5065" s="2" t="s">
        <v>33602</v>
      </c>
      <c r="R5065" s="2" t="s">
        <v>33603</v>
      </c>
      <c r="S5065" s="2" t="s">
        <v>115</v>
      </c>
      <c r="T5065" s="2" t="s">
        <v>139</v>
      </c>
      <c r="U5065" s="2" t="s">
        <v>140</v>
      </c>
      <c r="V5065" s="2" t="s">
        <v>59</v>
      </c>
      <c r="W5065" s="2">
        <v>37.200000000000003</v>
      </c>
      <c r="X5065" s="2">
        <v>0</v>
      </c>
      <c r="Y5065" s="2" t="s">
        <v>118</v>
      </c>
      <c r="Z5065" s="2" t="s">
        <v>33604</v>
      </c>
      <c r="AA5065" s="2">
        <v>-2.7578881309809601E-2</v>
      </c>
      <c r="AB5065" s="2">
        <v>0.106702437313125</v>
      </c>
      <c r="AC5065" s="2">
        <v>27391.9897839511</v>
      </c>
      <c r="AD5065" s="2">
        <v>30433.662324826499</v>
      </c>
      <c r="AE5065" s="2">
        <v>36042.907826366798</v>
      </c>
      <c r="AF5065" s="2">
        <v>18798.9874513959</v>
      </c>
      <c r="AG5065" s="2">
        <v>34691.0529288162</v>
      </c>
      <c r="AH5065" s="2">
        <v>20595.629510672701</v>
      </c>
      <c r="AI5065" s="2">
        <v>35414.621461745199</v>
      </c>
      <c r="AJ5065" s="2">
        <v>18808.739524709799</v>
      </c>
      <c r="AK5065" s="2">
        <v>29977.0303419868</v>
      </c>
      <c r="AL5065" s="2">
        <v>26516.454506367299</v>
      </c>
      <c r="AM5065" s="2">
        <v>34168.490495497601</v>
      </c>
      <c r="AN5065" s="2">
        <v>29827.125590015701</v>
      </c>
      <c r="AO5065" s="2">
        <v>26395.461331350099</v>
      </c>
      <c r="AP5065" s="2">
        <v>35717.411683741702</v>
      </c>
    </row>
    <row r="5066" spans="1:42" ht="14.5" x14ac:dyDescent="0.35">
      <c r="A5066" s="2" t="s">
        <v>33605</v>
      </c>
      <c r="B5066" s="2">
        <v>567.28082505925897</v>
      </c>
      <c r="C5066" s="2">
        <v>5.9351500000000001</v>
      </c>
      <c r="D5066" s="2" t="s">
        <v>70</v>
      </c>
      <c r="E5066" s="2" t="s">
        <v>33606</v>
      </c>
      <c r="F5066" s="2">
        <v>60950</v>
      </c>
      <c r="G5066" s="3" t="str">
        <f>HYPERLINK("http://funmeta.oebiotech.com/network/60950", "http://funmeta.oebiotech.com/network/60950")</f>
        <v>http://funmeta.oebiotech.com/network/60950</v>
      </c>
      <c r="H5066" s="2" t="s">
        <v>33607</v>
      </c>
      <c r="I5066" s="2">
        <v>92300</v>
      </c>
      <c r="J5066" s="2"/>
      <c r="K5066" s="2"/>
      <c r="L5066" s="2"/>
      <c r="M5066" s="2"/>
      <c r="N5066" s="2"/>
      <c r="O5066" s="2">
        <v>14605176</v>
      </c>
      <c r="P5066" s="2" t="s">
        <v>33608</v>
      </c>
      <c r="Q5066" s="2" t="s">
        <v>33609</v>
      </c>
      <c r="R5066" s="2" t="s">
        <v>33610</v>
      </c>
      <c r="S5066" s="2" t="s">
        <v>50</v>
      </c>
      <c r="T5066" s="2" t="s">
        <v>124</v>
      </c>
      <c r="U5066" s="2" t="s">
        <v>567</v>
      </c>
      <c r="V5066" s="2" t="s">
        <v>59</v>
      </c>
      <c r="W5066" s="2">
        <v>45</v>
      </c>
      <c r="X5066" s="2">
        <v>33.1</v>
      </c>
      <c r="Y5066" s="2" t="s">
        <v>408</v>
      </c>
      <c r="Z5066" s="2" t="s">
        <v>33611</v>
      </c>
      <c r="AA5066" s="2">
        <v>-0.49921934894738101</v>
      </c>
      <c r="AB5066" s="2">
        <v>0.10653018381842801</v>
      </c>
      <c r="AC5066" s="2">
        <v>67039.020066608005</v>
      </c>
      <c r="AD5066" s="2">
        <v>64577.146806701698</v>
      </c>
      <c r="AE5066" s="2">
        <v>65547.771314774305</v>
      </c>
      <c r="AF5066" s="2">
        <v>70719.169552128296</v>
      </c>
      <c r="AG5066" s="2">
        <v>70584.999265372899</v>
      </c>
      <c r="AH5066" s="2">
        <v>71646.599575567598</v>
      </c>
      <c r="AI5066" s="2">
        <v>61125.922692849497</v>
      </c>
      <c r="AJ5066" s="2">
        <v>62609.657998955401</v>
      </c>
      <c r="AK5066" s="2">
        <v>59756.5550920807</v>
      </c>
      <c r="AL5066" s="2">
        <v>69914.954886813503</v>
      </c>
      <c r="AM5066" s="2">
        <v>69260.926387540399</v>
      </c>
      <c r="AN5066" s="2">
        <v>59892.440535281101</v>
      </c>
      <c r="AO5066" s="2">
        <v>63940.186899142602</v>
      </c>
      <c r="AP5066" s="2">
        <v>64697.817039351597</v>
      </c>
    </row>
    <row r="5067" spans="1:42" ht="14.5" x14ac:dyDescent="0.35">
      <c r="A5067" s="2" t="s">
        <v>33612</v>
      </c>
      <c r="B5067" s="2">
        <v>203.052410790224</v>
      </c>
      <c r="C5067" s="2">
        <v>3.6614666666666702</v>
      </c>
      <c r="D5067" s="2" t="s">
        <v>34</v>
      </c>
      <c r="E5067" s="2" t="s">
        <v>33613</v>
      </c>
      <c r="F5067" s="2">
        <v>58795</v>
      </c>
      <c r="G5067" s="3" t="str">
        <f>HYPERLINK("http://funmeta.oebiotech.com/network/58795", "http://funmeta.oebiotech.com/network/58795")</f>
        <v>http://funmeta.oebiotech.com/network/58795</v>
      </c>
      <c r="H5067" s="2" t="s">
        <v>33614</v>
      </c>
      <c r="I5067" s="2">
        <v>90249</v>
      </c>
      <c r="J5067" s="2"/>
      <c r="K5067" s="2">
        <v>169717</v>
      </c>
      <c r="L5067" s="2"/>
      <c r="M5067" s="2"/>
      <c r="N5067" s="2"/>
      <c r="O5067" s="2">
        <v>12045806</v>
      </c>
      <c r="P5067" s="2" t="s">
        <v>33615</v>
      </c>
      <c r="Q5067" s="2" t="s">
        <v>33616</v>
      </c>
      <c r="R5067" s="2" t="s">
        <v>33617</v>
      </c>
      <c r="S5067" s="2" t="s">
        <v>79</v>
      </c>
      <c r="T5067" s="2" t="s">
        <v>80</v>
      </c>
      <c r="U5067" s="2" t="s">
        <v>249</v>
      </c>
      <c r="V5067" s="2" t="s">
        <v>59</v>
      </c>
      <c r="W5067" s="2">
        <v>38</v>
      </c>
      <c r="X5067" s="2">
        <v>0</v>
      </c>
      <c r="Y5067" s="2" t="s">
        <v>141</v>
      </c>
      <c r="Z5067" s="2" t="s">
        <v>33618</v>
      </c>
      <c r="AA5067" s="2">
        <v>-0.46162716940184401</v>
      </c>
      <c r="AB5067" s="2">
        <v>0.106498996054897</v>
      </c>
      <c r="AC5067" s="2">
        <v>2989.8652659269801</v>
      </c>
      <c r="AD5067" s="2">
        <v>3945.8404733719799</v>
      </c>
      <c r="AE5067" s="2">
        <v>3442.3461824677802</v>
      </c>
      <c r="AF5067" s="2">
        <v>2360.5450799193</v>
      </c>
      <c r="AG5067" s="2">
        <v>3052.54069958438</v>
      </c>
      <c r="AH5067" s="2">
        <v>3017.25881295714</v>
      </c>
      <c r="AI5067" s="2">
        <v>2466.2290114879602</v>
      </c>
      <c r="AJ5067" s="2">
        <v>3600.2718091452898</v>
      </c>
      <c r="AK5067" s="2">
        <v>4375.16002651076</v>
      </c>
      <c r="AL5067" s="2">
        <v>3902.98742088163</v>
      </c>
      <c r="AM5067" s="2">
        <v>4226.9381902775103</v>
      </c>
      <c r="AN5067" s="2">
        <v>3560.6310940193998</v>
      </c>
      <c r="AO5067" s="2">
        <v>3741.6149866880901</v>
      </c>
      <c r="AP5067" s="2">
        <v>3867.7111218544701</v>
      </c>
    </row>
    <row r="5068" spans="1:42" ht="14.5" x14ac:dyDescent="0.35">
      <c r="A5068" s="2" t="s">
        <v>33619</v>
      </c>
      <c r="B5068" s="2">
        <v>521.253121521357</v>
      </c>
      <c r="C5068" s="2">
        <v>8.5262166666666701</v>
      </c>
      <c r="D5068" s="2" t="s">
        <v>34</v>
      </c>
      <c r="E5068" s="2" t="s">
        <v>33620</v>
      </c>
      <c r="F5068" s="2">
        <v>46301</v>
      </c>
      <c r="G5068" s="3" t="str">
        <f>HYPERLINK("http://funmeta.oebiotech.com/network/46301", "http://funmeta.oebiotech.com/network/46301")</f>
        <v>http://funmeta.oebiotech.com/network/46301</v>
      </c>
      <c r="H5068" s="2"/>
      <c r="I5068" s="2"/>
      <c r="J5068" s="2" t="s">
        <v>33621</v>
      </c>
      <c r="K5068" s="2"/>
      <c r="L5068" s="2"/>
      <c r="M5068" s="2"/>
      <c r="N5068" s="2"/>
      <c r="O5068" s="2"/>
      <c r="P5068" s="2"/>
      <c r="Q5068" s="2" t="s">
        <v>33622</v>
      </c>
      <c r="R5068" s="2" t="s">
        <v>33623</v>
      </c>
      <c r="S5068" s="2" t="s">
        <v>50</v>
      </c>
      <c r="T5068" s="2" t="s">
        <v>124</v>
      </c>
      <c r="U5068" s="2" t="s">
        <v>125</v>
      </c>
      <c r="V5068" s="2" t="s">
        <v>59</v>
      </c>
      <c r="W5068" s="2">
        <v>44.3</v>
      </c>
      <c r="X5068" s="2">
        <v>36.299999999999997</v>
      </c>
      <c r="Y5068" s="2" t="s">
        <v>323</v>
      </c>
      <c r="Z5068" s="2" t="s">
        <v>33624</v>
      </c>
      <c r="AA5068" s="2">
        <v>-2.4562074334270498</v>
      </c>
      <c r="AB5068" s="2">
        <v>0.106481877706602</v>
      </c>
      <c r="AC5068" s="2">
        <v>41707.939194063401</v>
      </c>
      <c r="AD5068" s="2">
        <v>39768.739294882798</v>
      </c>
      <c r="AE5068" s="2">
        <v>40337.509173168502</v>
      </c>
      <c r="AF5068" s="2">
        <v>42668.373813930302</v>
      </c>
      <c r="AG5068" s="2">
        <v>43092.8338900456</v>
      </c>
      <c r="AH5068" s="2">
        <v>42003.949810087201</v>
      </c>
      <c r="AI5068" s="2">
        <v>38770.632880207799</v>
      </c>
      <c r="AJ5068" s="2">
        <v>43374.335596941099</v>
      </c>
      <c r="AK5068" s="2">
        <v>41497.857495169301</v>
      </c>
      <c r="AL5068" s="2">
        <v>35340.276642023302</v>
      </c>
      <c r="AM5068" s="2">
        <v>42177.563580813403</v>
      </c>
      <c r="AN5068" s="2">
        <v>36011.080716120399</v>
      </c>
      <c r="AO5068" s="2">
        <v>42527.232203159401</v>
      </c>
      <c r="AP5068" s="2">
        <v>41058.425132011202</v>
      </c>
    </row>
    <row r="5069" spans="1:42" ht="14.5" x14ac:dyDescent="0.35">
      <c r="A5069" s="2" t="s">
        <v>33625</v>
      </c>
      <c r="B5069" s="2">
        <v>151.14807447586301</v>
      </c>
      <c r="C5069" s="2">
        <v>4.3632666666666697</v>
      </c>
      <c r="D5069" s="2" t="s">
        <v>34</v>
      </c>
      <c r="E5069" s="2" t="s">
        <v>33626</v>
      </c>
      <c r="F5069" s="2">
        <v>55652</v>
      </c>
      <c r="G5069" s="3" t="str">
        <f>HYPERLINK("http://funmeta.oebiotech.com/network/55652", "http://funmeta.oebiotech.com/network/55652")</f>
        <v>http://funmeta.oebiotech.com/network/55652</v>
      </c>
      <c r="H5069" s="2" t="s">
        <v>33627</v>
      </c>
      <c r="I5069" s="2">
        <v>87306</v>
      </c>
      <c r="J5069" s="2"/>
      <c r="K5069" s="2"/>
      <c r="L5069" s="2"/>
      <c r="M5069" s="2"/>
      <c r="N5069" s="2"/>
      <c r="O5069" s="2">
        <v>5352367</v>
      </c>
      <c r="P5069" s="2" t="s">
        <v>33628</v>
      </c>
      <c r="Q5069" s="2" t="s">
        <v>33629</v>
      </c>
      <c r="R5069" s="2" t="s">
        <v>33630</v>
      </c>
      <c r="S5069" s="2" t="s">
        <v>3194</v>
      </c>
      <c r="T5069" s="2" t="s">
        <v>3195</v>
      </c>
      <c r="U5069" s="2" t="s">
        <v>12978</v>
      </c>
      <c r="V5069" s="2" t="s">
        <v>59</v>
      </c>
      <c r="W5069" s="2">
        <v>39.200000000000003</v>
      </c>
      <c r="X5069" s="2">
        <v>0</v>
      </c>
      <c r="Y5069" s="2" t="s">
        <v>394</v>
      </c>
      <c r="Z5069" s="2" t="s">
        <v>33631</v>
      </c>
      <c r="AA5069" s="2">
        <v>-0.34989409738916799</v>
      </c>
      <c r="AB5069" s="2">
        <v>0.106450695277566</v>
      </c>
      <c r="AC5069" s="2">
        <v>6011.3811572116801</v>
      </c>
      <c r="AD5069" s="2">
        <v>5050.6939913917204</v>
      </c>
      <c r="AE5069" s="2">
        <v>6722.1896723476502</v>
      </c>
      <c r="AF5069" s="2">
        <v>6045.3916168220003</v>
      </c>
      <c r="AG5069" s="2">
        <v>5592.7733985130699</v>
      </c>
      <c r="AH5069" s="2">
        <v>6304.6891497897004</v>
      </c>
      <c r="AI5069" s="2">
        <v>5853.0150691352601</v>
      </c>
      <c r="AJ5069" s="2">
        <v>5550.2280366624</v>
      </c>
      <c r="AK5069" s="2">
        <v>5384.1242969140503</v>
      </c>
      <c r="AL5069" s="2">
        <v>5210.16647114644</v>
      </c>
      <c r="AM5069" s="2">
        <v>5390.2867477543396</v>
      </c>
      <c r="AN5069" s="2">
        <v>4618.5112027711602</v>
      </c>
      <c r="AO5069" s="2">
        <v>4414.0763409544998</v>
      </c>
      <c r="AP5069" s="2">
        <v>5286.9988888098596</v>
      </c>
    </row>
    <row r="5070" spans="1:42" ht="14.5" x14ac:dyDescent="0.35">
      <c r="A5070" s="2" t="s">
        <v>33632</v>
      </c>
      <c r="B5070" s="2">
        <v>363.205833868345</v>
      </c>
      <c r="C5070" s="2">
        <v>6.8522666666666696</v>
      </c>
      <c r="D5070" s="2" t="s">
        <v>34</v>
      </c>
      <c r="E5070" s="2" t="s">
        <v>33633</v>
      </c>
      <c r="F5070" s="2">
        <v>204016</v>
      </c>
      <c r="G5070" s="3" t="str">
        <f>HYPERLINK("http://funmeta.oebiotech.com/network/204016", "http://funmeta.oebiotech.com/network/204016")</f>
        <v>http://funmeta.oebiotech.com/network/204016</v>
      </c>
      <c r="H5070" s="2" t="s">
        <v>33634</v>
      </c>
      <c r="I5070" s="2">
        <v>314266</v>
      </c>
      <c r="J5070" s="2"/>
      <c r="K5070" s="2"/>
      <c r="L5070" s="2"/>
      <c r="M5070" s="2"/>
      <c r="N5070" s="2"/>
      <c r="O5070" s="2">
        <v>21847</v>
      </c>
      <c r="P5070" s="2"/>
      <c r="Q5070" s="2" t="s">
        <v>33635</v>
      </c>
      <c r="R5070" s="2" t="s">
        <v>33636</v>
      </c>
      <c r="S5070" s="2" t="s">
        <v>491</v>
      </c>
      <c r="T5070" s="2" t="s">
        <v>7584</v>
      </c>
      <c r="U5070" s="2" t="s">
        <v>33637</v>
      </c>
      <c r="V5070" s="2" t="s">
        <v>59</v>
      </c>
      <c r="W5070" s="2">
        <v>37.799999999999997</v>
      </c>
      <c r="X5070" s="2">
        <v>0</v>
      </c>
      <c r="Y5070" s="2" t="s">
        <v>394</v>
      </c>
      <c r="Z5070" s="2" t="s">
        <v>33638</v>
      </c>
      <c r="AA5070" s="2">
        <v>-2.4037757307765002</v>
      </c>
      <c r="AB5070" s="2">
        <v>0.10640303232213399</v>
      </c>
      <c r="AC5070" s="2">
        <v>2266.3509147819</v>
      </c>
      <c r="AD5070" s="2">
        <v>1142.7426759835701</v>
      </c>
      <c r="AE5070" s="2">
        <v>1753.7758293929401</v>
      </c>
      <c r="AF5070" s="2">
        <v>3134.1291597274899</v>
      </c>
      <c r="AG5070" s="2">
        <v>2783.67322541456</v>
      </c>
      <c r="AH5070" s="2">
        <v>2895.9246924634099</v>
      </c>
      <c r="AI5070" s="2">
        <v>1624.0717046002701</v>
      </c>
      <c r="AJ5070" s="2">
        <v>1406.53087709273</v>
      </c>
      <c r="AK5070" s="2">
        <v>1783.97788282787</v>
      </c>
      <c r="AL5070" s="2">
        <v>1561.1088284058801</v>
      </c>
      <c r="AM5070" s="2">
        <v>1550.9897241347601</v>
      </c>
      <c r="AN5070" s="2">
        <v>707.33028718990704</v>
      </c>
      <c r="AO5070" s="2">
        <v>1253.04930623668</v>
      </c>
      <c r="AP5070" s="2">
        <v>2.7106294003980101E-5</v>
      </c>
    </row>
    <row r="5071" spans="1:42" ht="14.5" x14ac:dyDescent="0.35">
      <c r="A5071" s="2" t="s">
        <v>33639</v>
      </c>
      <c r="B5071" s="2">
        <v>351.104815337768</v>
      </c>
      <c r="C5071" s="2">
        <v>2.7353499999999999</v>
      </c>
      <c r="D5071" s="2" t="s">
        <v>34</v>
      </c>
      <c r="E5071" s="2" t="s">
        <v>33640</v>
      </c>
      <c r="F5071" s="2">
        <v>255618</v>
      </c>
      <c r="G5071" s="3" t="str">
        <f>HYPERLINK("http://funmeta.oebiotech.com/network/255618", "http://funmeta.oebiotech.com/network/255618")</f>
        <v>http://funmeta.oebiotech.com/network/255618</v>
      </c>
      <c r="H5071" s="2" t="s">
        <v>33641</v>
      </c>
      <c r="I5071" s="2"/>
      <c r="J5071" s="2"/>
      <c r="K5071" s="2">
        <v>2733</v>
      </c>
      <c r="L5071" s="2" t="s">
        <v>33642</v>
      </c>
      <c r="M5071" s="2"/>
      <c r="N5071" s="2"/>
      <c r="O5071" s="2"/>
      <c r="P5071" s="2"/>
      <c r="Q5071" s="2" t="s">
        <v>33643</v>
      </c>
      <c r="R5071" s="2" t="s">
        <v>33644</v>
      </c>
      <c r="S5071" s="2" t="s">
        <v>50</v>
      </c>
      <c r="T5071" s="2" t="s">
        <v>201</v>
      </c>
      <c r="U5071" s="2" t="s">
        <v>1217</v>
      </c>
      <c r="V5071" s="2" t="s">
        <v>59</v>
      </c>
      <c r="W5071" s="2">
        <v>45.1</v>
      </c>
      <c r="X5071" s="2">
        <v>31.1</v>
      </c>
      <c r="Y5071" s="2" t="s">
        <v>323</v>
      </c>
      <c r="Z5071" s="2" t="s">
        <v>16454</v>
      </c>
      <c r="AA5071" s="2">
        <v>-0.67945554617016601</v>
      </c>
      <c r="AB5071" s="2">
        <v>0.10639859282446799</v>
      </c>
      <c r="AC5071" s="2">
        <v>73907.526343125399</v>
      </c>
      <c r="AD5071" s="2">
        <v>75852.968434357594</v>
      </c>
      <c r="AE5071" s="2">
        <v>71491.031167554</v>
      </c>
      <c r="AF5071" s="2">
        <v>75242.450366289806</v>
      </c>
      <c r="AG5071" s="2">
        <v>74601.708568182003</v>
      </c>
      <c r="AH5071" s="2">
        <v>71023.730392465193</v>
      </c>
      <c r="AI5071" s="2">
        <v>74585.396938950493</v>
      </c>
      <c r="AJ5071" s="2">
        <v>76500.840625310797</v>
      </c>
      <c r="AK5071" s="2">
        <v>74440.180767079495</v>
      </c>
      <c r="AL5071" s="2">
        <v>76863.342684539195</v>
      </c>
      <c r="AM5071" s="2">
        <v>80624.3835092183</v>
      </c>
      <c r="AN5071" s="2">
        <v>76435.526001857696</v>
      </c>
      <c r="AO5071" s="2">
        <v>71709.755936683199</v>
      </c>
      <c r="AP5071" s="2">
        <v>75044.621706767794</v>
      </c>
    </row>
    <row r="5072" spans="1:42" ht="14.5" x14ac:dyDescent="0.35">
      <c r="A5072" s="2" t="s">
        <v>33645</v>
      </c>
      <c r="B5072" s="2">
        <v>627.20607604382701</v>
      </c>
      <c r="C5072" s="2">
        <v>4.8087833333333299</v>
      </c>
      <c r="D5072" s="2" t="s">
        <v>70</v>
      </c>
      <c r="E5072" s="2" t="s">
        <v>33646</v>
      </c>
      <c r="F5072" s="2">
        <v>206711</v>
      </c>
      <c r="G5072" s="3" t="str">
        <f>HYPERLINK("http://funmeta.oebiotech.com/network/206711", "http://funmeta.oebiotech.com/network/206711")</f>
        <v>http://funmeta.oebiotech.com/network/206711</v>
      </c>
      <c r="H5072" s="2" t="s">
        <v>33647</v>
      </c>
      <c r="I5072" s="2"/>
      <c r="J5072" s="2"/>
      <c r="K5072" s="2"/>
      <c r="L5072" s="2"/>
      <c r="M5072" s="2"/>
      <c r="N5072" s="2"/>
      <c r="O5072" s="2">
        <v>72059</v>
      </c>
      <c r="P5072" s="2"/>
      <c r="Q5072" s="2" t="s">
        <v>33648</v>
      </c>
      <c r="R5072" s="2" t="s">
        <v>33649</v>
      </c>
      <c r="S5072" s="2" t="s">
        <v>148</v>
      </c>
      <c r="T5072" s="2" t="s">
        <v>149</v>
      </c>
      <c r="U5072" s="2" t="s">
        <v>5024</v>
      </c>
      <c r="V5072" s="2" t="s">
        <v>59</v>
      </c>
      <c r="W5072" s="2">
        <v>39</v>
      </c>
      <c r="X5072" s="2">
        <v>0</v>
      </c>
      <c r="Y5072" s="2" t="s">
        <v>560</v>
      </c>
      <c r="Z5072" s="2" t="s">
        <v>33650</v>
      </c>
      <c r="AA5072" s="2">
        <v>1.8046682502239599E-2</v>
      </c>
      <c r="AB5072" s="2">
        <v>0.106243827210155</v>
      </c>
      <c r="AC5072" s="2">
        <v>3790.1203313818801</v>
      </c>
      <c r="AD5072" s="2">
        <v>5249.3042668428598</v>
      </c>
      <c r="AE5072" s="2">
        <v>2865.40534676887</v>
      </c>
      <c r="AF5072" s="2">
        <v>2717.1800098151398</v>
      </c>
      <c r="AG5072" s="2">
        <v>3663.60466042599</v>
      </c>
      <c r="AH5072" s="2">
        <v>3660.4750786764298</v>
      </c>
      <c r="AI5072" s="2">
        <v>5002.64323318268</v>
      </c>
      <c r="AJ5072" s="2">
        <v>4831.41365942217</v>
      </c>
      <c r="AK5072" s="2">
        <v>4183.0430239242796</v>
      </c>
      <c r="AL5072" s="2">
        <v>3381.7715001189199</v>
      </c>
      <c r="AM5072" s="2">
        <v>5832.6086729980598</v>
      </c>
      <c r="AN5072" s="2">
        <v>8008.2660382592603</v>
      </c>
      <c r="AO5072" s="2">
        <v>3899.83326590052</v>
      </c>
      <c r="AP5072" s="2">
        <v>6190.3030998560898</v>
      </c>
    </row>
    <row r="5073" spans="1:42" ht="14.5" x14ac:dyDescent="0.35">
      <c r="A5073" s="2" t="s">
        <v>33651</v>
      </c>
      <c r="B5073" s="2">
        <v>244.26331387402001</v>
      </c>
      <c r="C5073" s="2">
        <v>8.8024666666666693</v>
      </c>
      <c r="D5073" s="2" t="s">
        <v>34</v>
      </c>
      <c r="E5073" s="2" t="s">
        <v>33652</v>
      </c>
      <c r="F5073" s="2">
        <v>6548</v>
      </c>
      <c r="G5073" s="3" t="str">
        <f>HYPERLINK("http://funmeta.oebiotech.com/network/6548", "http://funmeta.oebiotech.com/network/6548")</f>
        <v>http://funmeta.oebiotech.com/network/6548</v>
      </c>
      <c r="H5073" s="2" t="s">
        <v>33653</v>
      </c>
      <c r="I5073" s="2">
        <v>75359</v>
      </c>
      <c r="J5073" s="2" t="s">
        <v>33654</v>
      </c>
      <c r="K5073" s="2">
        <v>17302</v>
      </c>
      <c r="L5073" s="2" t="s">
        <v>33655</v>
      </c>
      <c r="M5073" s="2"/>
      <c r="N5073" s="2"/>
      <c r="O5073" s="2">
        <v>17697</v>
      </c>
      <c r="P5073" s="2" t="s">
        <v>33656</v>
      </c>
      <c r="Q5073" s="2" t="s">
        <v>33657</v>
      </c>
      <c r="R5073" s="2" t="s">
        <v>33658</v>
      </c>
      <c r="S5073" s="2" t="s">
        <v>50</v>
      </c>
      <c r="T5073" s="2" t="s">
        <v>229</v>
      </c>
      <c r="U5073" s="2" t="s">
        <v>1007</v>
      </c>
      <c r="V5073" s="2" t="s">
        <v>59</v>
      </c>
      <c r="W5073" s="2">
        <v>40.299999999999997</v>
      </c>
      <c r="X5073" s="2">
        <v>5.7</v>
      </c>
      <c r="Y5073" s="2" t="s">
        <v>43</v>
      </c>
      <c r="Z5073" s="2" t="s">
        <v>20459</v>
      </c>
      <c r="AA5073" s="2">
        <v>-0.78344119914659005</v>
      </c>
      <c r="AB5073" s="2">
        <v>0.106115398620428</v>
      </c>
      <c r="AC5073" s="2">
        <v>6608.4647584430404</v>
      </c>
      <c r="AD5073" s="2">
        <v>8314.0112397524008</v>
      </c>
      <c r="AE5073" s="2">
        <v>6681.5613251600998</v>
      </c>
      <c r="AF5073" s="2">
        <v>6396.6250098682303</v>
      </c>
      <c r="AG5073" s="2">
        <v>5990.4881235773801</v>
      </c>
      <c r="AH5073" s="2">
        <v>6356.8404099074096</v>
      </c>
      <c r="AI5073" s="2">
        <v>7458.7448524391302</v>
      </c>
      <c r="AJ5073" s="2">
        <v>6766.5288297059897</v>
      </c>
      <c r="AK5073" s="2">
        <v>12243.1163234919</v>
      </c>
      <c r="AL5073" s="2">
        <v>7929.2254674143096</v>
      </c>
      <c r="AM5073" s="2">
        <v>6357.6646232745898</v>
      </c>
      <c r="AN5073" s="2">
        <v>6350.77571023993</v>
      </c>
      <c r="AO5073" s="2">
        <v>11069.749773564899</v>
      </c>
      <c r="AP5073" s="2">
        <v>5933.5355405287901</v>
      </c>
    </row>
    <row r="5074" spans="1:42" ht="14.5" x14ac:dyDescent="0.35">
      <c r="A5074" s="2" t="s">
        <v>33659</v>
      </c>
      <c r="B5074" s="2">
        <v>377.100414924456</v>
      </c>
      <c r="C5074" s="2">
        <v>4.25878333333333</v>
      </c>
      <c r="D5074" s="2" t="s">
        <v>70</v>
      </c>
      <c r="E5074" s="2" t="s">
        <v>33660</v>
      </c>
      <c r="F5074" s="2">
        <v>199051</v>
      </c>
      <c r="G5074" s="3" t="str">
        <f>HYPERLINK("http://funmeta.oebiotech.com/network/199051", "http://funmeta.oebiotech.com/network/199051")</f>
        <v>http://funmeta.oebiotech.com/network/199051</v>
      </c>
      <c r="H5074" s="2" t="s">
        <v>33661</v>
      </c>
      <c r="I5074" s="2"/>
      <c r="J5074" s="2"/>
      <c r="K5074" s="2"/>
      <c r="L5074" s="2"/>
      <c r="M5074" s="2"/>
      <c r="N5074" s="2"/>
      <c r="O5074" s="2">
        <v>9799942</v>
      </c>
      <c r="P5074" s="2"/>
      <c r="Q5074" s="2" t="s">
        <v>33662</v>
      </c>
      <c r="R5074" s="2" t="s">
        <v>33663</v>
      </c>
      <c r="S5074" s="2" t="s">
        <v>41</v>
      </c>
      <c r="T5074" s="2" t="s">
        <v>41</v>
      </c>
      <c r="U5074" s="2" t="s">
        <v>41</v>
      </c>
      <c r="V5074" s="2" t="s">
        <v>59</v>
      </c>
      <c r="W5074" s="2">
        <v>37.700000000000003</v>
      </c>
      <c r="X5074" s="2">
        <v>0</v>
      </c>
      <c r="Y5074" s="2" t="s">
        <v>118</v>
      </c>
      <c r="Z5074" s="2" t="s">
        <v>33664</v>
      </c>
      <c r="AA5074" s="2">
        <v>1.3403147488670999</v>
      </c>
      <c r="AB5074" s="2">
        <v>0.106054844335308</v>
      </c>
      <c r="AC5074" s="2">
        <v>38665.636879738297</v>
      </c>
      <c r="AD5074" s="2">
        <v>36858.692322251503</v>
      </c>
      <c r="AE5074" s="2">
        <v>41012.732500967002</v>
      </c>
      <c r="AF5074" s="2">
        <v>37056.2088288343</v>
      </c>
      <c r="AG5074" s="2">
        <v>34954.257745102601</v>
      </c>
      <c r="AH5074" s="2">
        <v>43309.756676419303</v>
      </c>
      <c r="AI5074" s="2">
        <v>37722.182226873403</v>
      </c>
      <c r="AJ5074" s="2">
        <v>37938.6833002329</v>
      </c>
      <c r="AK5074" s="2">
        <v>36160.184432907699</v>
      </c>
      <c r="AL5074" s="2">
        <v>36591.899059862502</v>
      </c>
      <c r="AM5074" s="2">
        <v>38417.183186754599</v>
      </c>
      <c r="AN5074" s="2">
        <v>36596.599745397798</v>
      </c>
      <c r="AO5074" s="2">
        <v>36273.768384644703</v>
      </c>
      <c r="AP5074" s="2">
        <v>37112.5191239415</v>
      </c>
    </row>
    <row r="5075" spans="1:42" ht="14.5" x14ac:dyDescent="0.35">
      <c r="A5075" s="2" t="s">
        <v>33665</v>
      </c>
      <c r="B5075" s="2">
        <v>637.320365290773</v>
      </c>
      <c r="C5075" s="2">
        <v>4.96875</v>
      </c>
      <c r="D5075" s="2" t="s">
        <v>70</v>
      </c>
      <c r="E5075" s="2" t="s">
        <v>33666</v>
      </c>
      <c r="F5075" s="2">
        <v>206959</v>
      </c>
      <c r="G5075" s="3" t="str">
        <f>HYPERLINK("http://funmeta.oebiotech.com/network/206959", "http://funmeta.oebiotech.com/network/206959")</f>
        <v>http://funmeta.oebiotech.com/network/206959</v>
      </c>
      <c r="H5075" s="2" t="s">
        <v>33667</v>
      </c>
      <c r="I5075" s="2"/>
      <c r="J5075" s="2"/>
      <c r="K5075" s="2"/>
      <c r="L5075" s="2"/>
      <c r="M5075" s="2"/>
      <c r="N5075" s="2"/>
      <c r="O5075" s="2">
        <v>24762158</v>
      </c>
      <c r="P5075" s="2"/>
      <c r="Q5075" s="2" t="s">
        <v>33668</v>
      </c>
      <c r="R5075" s="2" t="s">
        <v>33669</v>
      </c>
      <c r="S5075" s="2" t="s">
        <v>41</v>
      </c>
      <c r="T5075" s="2" t="s">
        <v>41</v>
      </c>
      <c r="U5075" s="2" t="s">
        <v>41</v>
      </c>
      <c r="V5075" s="2" t="s">
        <v>59</v>
      </c>
      <c r="W5075" s="2">
        <v>37.6</v>
      </c>
      <c r="X5075" s="2">
        <v>0</v>
      </c>
      <c r="Y5075" s="2" t="s">
        <v>408</v>
      </c>
      <c r="Z5075" s="2" t="s">
        <v>33670</v>
      </c>
      <c r="AA5075" s="2">
        <v>-0.32777713910211298</v>
      </c>
      <c r="AB5075" s="2">
        <v>0.106038636279598</v>
      </c>
      <c r="AC5075" s="2">
        <v>2999.0586459241799</v>
      </c>
      <c r="AD5075" s="2">
        <v>1990.0947041176901</v>
      </c>
      <c r="AE5075" s="2">
        <v>2174.61751831742</v>
      </c>
      <c r="AF5075" s="2">
        <v>3011.5150591274901</v>
      </c>
      <c r="AG5075" s="2">
        <v>2886.9583689282499</v>
      </c>
      <c r="AH5075" s="2">
        <v>3694.4982889299599</v>
      </c>
      <c r="AI5075" s="2">
        <v>2648.06239541074</v>
      </c>
      <c r="AJ5075" s="2">
        <v>3578.7002448312101</v>
      </c>
      <c r="AK5075" s="2">
        <v>2777.3217943476402</v>
      </c>
      <c r="AL5075" s="2">
        <v>2143.5047191316899</v>
      </c>
      <c r="AM5075" s="2">
        <v>1970.14640023024</v>
      </c>
      <c r="AN5075" s="2">
        <v>1346.0378385613001</v>
      </c>
      <c r="AO5075" s="2">
        <v>1861.37629330393</v>
      </c>
      <c r="AP5075" s="2">
        <v>1842.1811791313401</v>
      </c>
    </row>
    <row r="5076" spans="1:42" ht="14.5" x14ac:dyDescent="0.35">
      <c r="A5076" s="2" t="s">
        <v>33671</v>
      </c>
      <c r="B5076" s="2">
        <v>449.23921133371402</v>
      </c>
      <c r="C5076" s="2">
        <v>4.84418333333333</v>
      </c>
      <c r="D5076" s="2" t="s">
        <v>70</v>
      </c>
      <c r="E5076" s="2" t="s">
        <v>33672</v>
      </c>
      <c r="F5076" s="2">
        <v>213008</v>
      </c>
      <c r="G5076" s="3" t="str">
        <f>HYPERLINK("http://funmeta.oebiotech.com/network/213008", "http://funmeta.oebiotech.com/network/213008")</f>
        <v>http://funmeta.oebiotech.com/network/213008</v>
      </c>
      <c r="H5076" s="2" t="s">
        <v>33673</v>
      </c>
      <c r="I5076" s="2"/>
      <c r="J5076" s="2"/>
      <c r="K5076" s="2">
        <v>64089</v>
      </c>
      <c r="L5076" s="2"/>
      <c r="M5076" s="2"/>
      <c r="N5076" s="2"/>
      <c r="O5076" s="2"/>
      <c r="P5076" s="2"/>
      <c r="Q5076" s="2" t="s">
        <v>33674</v>
      </c>
      <c r="R5076" s="2" t="s">
        <v>33675</v>
      </c>
      <c r="S5076" s="2" t="s">
        <v>148</v>
      </c>
      <c r="T5076" s="2" t="s">
        <v>149</v>
      </c>
      <c r="U5076" s="2" t="s">
        <v>3473</v>
      </c>
      <c r="V5076" s="2" t="s">
        <v>59</v>
      </c>
      <c r="W5076" s="2">
        <v>36.1</v>
      </c>
      <c r="X5076" s="2">
        <v>0</v>
      </c>
      <c r="Y5076" s="2" t="s">
        <v>118</v>
      </c>
      <c r="Z5076" s="2" t="s">
        <v>33676</v>
      </c>
      <c r="AA5076" s="2">
        <v>-3.95854865948787</v>
      </c>
      <c r="AB5076" s="2">
        <v>0.106030093496602</v>
      </c>
      <c r="AC5076" s="2">
        <v>21082.7649774124</v>
      </c>
      <c r="AD5076" s="2">
        <v>19630.476702279298</v>
      </c>
      <c r="AE5076" s="2">
        <v>22844.384303367598</v>
      </c>
      <c r="AF5076" s="2">
        <v>19339.570597021298</v>
      </c>
      <c r="AG5076" s="2">
        <v>19329.3186538511</v>
      </c>
      <c r="AH5076" s="2">
        <v>21013.974297664699</v>
      </c>
      <c r="AI5076" s="2">
        <v>22246.7828632946</v>
      </c>
      <c r="AJ5076" s="2">
        <v>21722.559149274901</v>
      </c>
      <c r="AK5076" s="2">
        <v>18401.569911303999</v>
      </c>
      <c r="AL5076" s="2">
        <v>20064.702888126201</v>
      </c>
      <c r="AM5076" s="2">
        <v>20094.4792057052</v>
      </c>
      <c r="AN5076" s="2">
        <v>18164.909158507598</v>
      </c>
      <c r="AO5076" s="2">
        <v>19820.431496686699</v>
      </c>
      <c r="AP5076" s="2">
        <v>21236.767553346399</v>
      </c>
    </row>
    <row r="5077" spans="1:42" ht="14.5" x14ac:dyDescent="0.35">
      <c r="A5077" s="2" t="s">
        <v>33677</v>
      </c>
      <c r="B5077" s="2">
        <v>639.14511646429298</v>
      </c>
      <c r="C5077" s="2">
        <v>5.9542333333333302</v>
      </c>
      <c r="D5077" s="2" t="s">
        <v>70</v>
      </c>
      <c r="E5077" s="2" t="s">
        <v>33678</v>
      </c>
      <c r="F5077" s="2">
        <v>200214</v>
      </c>
      <c r="G5077" s="3" t="str">
        <f>HYPERLINK("http://funmeta.oebiotech.com/network/200214", "http://funmeta.oebiotech.com/network/200214")</f>
        <v>http://funmeta.oebiotech.com/network/200214</v>
      </c>
      <c r="H5077" s="2" t="s">
        <v>33679</v>
      </c>
      <c r="I5077" s="2">
        <v>437908</v>
      </c>
      <c r="J5077" s="2"/>
      <c r="K5077" s="2"/>
      <c r="L5077" s="2"/>
      <c r="M5077" s="2"/>
      <c r="N5077" s="2"/>
      <c r="O5077" s="2">
        <v>389710</v>
      </c>
      <c r="P5077" s="2"/>
      <c r="Q5077" s="2" t="s">
        <v>33680</v>
      </c>
      <c r="R5077" s="2" t="s">
        <v>33681</v>
      </c>
      <c r="S5077" s="2" t="s">
        <v>115</v>
      </c>
      <c r="T5077" s="2" t="s">
        <v>139</v>
      </c>
      <c r="U5077" s="2" t="s">
        <v>1806</v>
      </c>
      <c r="V5077" s="2" t="s">
        <v>59</v>
      </c>
      <c r="W5077" s="2">
        <v>36.700000000000003</v>
      </c>
      <c r="X5077" s="2">
        <v>0</v>
      </c>
      <c r="Y5077" s="2" t="s">
        <v>560</v>
      </c>
      <c r="Z5077" s="2" t="s">
        <v>33682</v>
      </c>
      <c r="AA5077" s="2">
        <v>-3.3298627207349001</v>
      </c>
      <c r="AB5077" s="2">
        <v>0.106022269888168</v>
      </c>
      <c r="AC5077" s="2">
        <v>1041.62175212083</v>
      </c>
      <c r="AD5077" s="2">
        <v>33.416840927656203</v>
      </c>
      <c r="AE5077" s="2">
        <v>2238.0058172873</v>
      </c>
      <c r="AF5077" s="2">
        <v>929.91252412171298</v>
      </c>
      <c r="AG5077" s="2">
        <v>1131.5985330605899</v>
      </c>
      <c r="AH5077" s="2">
        <v>1321.8039242796699</v>
      </c>
      <c r="AI5077" s="2">
        <v>2.7106294003980101E-5</v>
      </c>
      <c r="AJ5077" s="2">
        <v>628.40968686939095</v>
      </c>
      <c r="AK5077" s="2">
        <v>2.7106294003980101E-5</v>
      </c>
      <c r="AL5077" s="2">
        <v>2.7106294003980101E-5</v>
      </c>
      <c r="AM5077" s="2">
        <v>2.7106294003980101E-5</v>
      </c>
      <c r="AN5077" s="2">
        <v>2.7106294003980101E-5</v>
      </c>
      <c r="AO5077" s="2">
        <v>200.50091003446701</v>
      </c>
      <c r="AP5077" s="2">
        <v>2.7106294003980101E-5</v>
      </c>
    </row>
    <row r="5078" spans="1:42" ht="14.5" x14ac:dyDescent="0.35">
      <c r="A5078" s="2" t="s">
        <v>33683</v>
      </c>
      <c r="B5078" s="2">
        <v>217.03208960015701</v>
      </c>
      <c r="C5078" s="2">
        <v>1.00718333333333</v>
      </c>
      <c r="D5078" s="2" t="s">
        <v>34</v>
      </c>
      <c r="E5078" s="2" t="s">
        <v>33684</v>
      </c>
      <c r="F5078" s="2">
        <v>258257</v>
      </c>
      <c r="G5078" s="3" t="str">
        <f>HYPERLINK("http://funmeta.oebiotech.com/network/258257", "http://funmeta.oebiotech.com/network/258257")</f>
        <v>http://funmeta.oebiotech.com/network/258257</v>
      </c>
      <c r="H5078" s="2"/>
      <c r="I5078" s="2">
        <v>3332</v>
      </c>
      <c r="J5078" s="2"/>
      <c r="K5078" s="2"/>
      <c r="L5078" s="2" t="s">
        <v>33685</v>
      </c>
      <c r="M5078" s="2" t="s">
        <v>358</v>
      </c>
      <c r="N5078" s="2" t="s">
        <v>359</v>
      </c>
      <c r="O5078" s="2">
        <v>3035456</v>
      </c>
      <c r="P5078" s="2" t="s">
        <v>33686</v>
      </c>
      <c r="Q5078" s="2" t="s">
        <v>33687</v>
      </c>
      <c r="R5078" s="2" t="s">
        <v>33688</v>
      </c>
      <c r="S5078" s="2" t="s">
        <v>79</v>
      </c>
      <c r="T5078" s="2" t="s">
        <v>80</v>
      </c>
      <c r="U5078" s="2" t="s">
        <v>81</v>
      </c>
      <c r="V5078" s="2" t="s">
        <v>59</v>
      </c>
      <c r="W5078" s="2">
        <v>45.1</v>
      </c>
      <c r="X5078" s="2">
        <v>28.3</v>
      </c>
      <c r="Y5078" s="2" t="s">
        <v>323</v>
      </c>
      <c r="Z5078" s="2" t="s">
        <v>33689</v>
      </c>
      <c r="AA5078" s="2">
        <v>1.1145103106576599</v>
      </c>
      <c r="AB5078" s="2">
        <v>0.10600936999838501</v>
      </c>
      <c r="AC5078" s="2">
        <v>11696.3656411959</v>
      </c>
      <c r="AD5078" s="2">
        <v>10163.307198271101</v>
      </c>
      <c r="AE5078" s="2">
        <v>12333.122768479399</v>
      </c>
      <c r="AF5078" s="2">
        <v>10067.5347393827</v>
      </c>
      <c r="AG5078" s="2">
        <v>11311.0193530533</v>
      </c>
      <c r="AH5078" s="2">
        <v>12480.127674667199</v>
      </c>
      <c r="AI5078" s="2">
        <v>11220.8333887835</v>
      </c>
      <c r="AJ5078" s="2">
        <v>12765.555922809201</v>
      </c>
      <c r="AK5078" s="2">
        <v>12960.4588873748</v>
      </c>
      <c r="AL5078" s="2">
        <v>7869.6541987164201</v>
      </c>
      <c r="AM5078" s="2">
        <v>9167.71742275213</v>
      </c>
      <c r="AN5078" s="2">
        <v>9506.6850373037796</v>
      </c>
      <c r="AO5078" s="2">
        <v>9480.1514193051808</v>
      </c>
      <c r="AP5078" s="2">
        <v>11995.1762241743</v>
      </c>
    </row>
    <row r="5079" spans="1:42" ht="14.5" x14ac:dyDescent="0.35">
      <c r="A5079" s="2" t="s">
        <v>33690</v>
      </c>
      <c r="B5079" s="2">
        <v>419.06726098806001</v>
      </c>
      <c r="C5079" s="2">
        <v>3.6431833333333299</v>
      </c>
      <c r="D5079" s="2" t="s">
        <v>34</v>
      </c>
      <c r="E5079" s="2" t="s">
        <v>33691</v>
      </c>
      <c r="F5079" s="2">
        <v>53586</v>
      </c>
      <c r="G5079" s="3" t="str">
        <f>HYPERLINK("http://funmeta.oebiotech.com/network/53586", "http://funmeta.oebiotech.com/network/53586")</f>
        <v>http://funmeta.oebiotech.com/network/53586</v>
      </c>
      <c r="H5079" s="2" t="s">
        <v>33692</v>
      </c>
      <c r="I5079" s="2">
        <v>66601</v>
      </c>
      <c r="J5079" s="2"/>
      <c r="K5079" s="2">
        <v>6827</v>
      </c>
      <c r="L5079" s="2" t="s">
        <v>33693</v>
      </c>
      <c r="M5079" s="2"/>
      <c r="N5079" s="2"/>
      <c r="O5079" s="2">
        <v>6087</v>
      </c>
      <c r="P5079" s="2" t="s">
        <v>33694</v>
      </c>
      <c r="Q5079" s="2" t="s">
        <v>33695</v>
      </c>
      <c r="R5079" s="2" t="s">
        <v>33696</v>
      </c>
      <c r="S5079" s="2" t="s">
        <v>89</v>
      </c>
      <c r="T5079" s="2" t="s">
        <v>90</v>
      </c>
      <c r="U5079" s="2" t="s">
        <v>99</v>
      </c>
      <c r="V5079" s="2" t="s">
        <v>59</v>
      </c>
      <c r="W5079" s="2">
        <v>36.9</v>
      </c>
      <c r="X5079" s="2">
        <v>0</v>
      </c>
      <c r="Y5079" s="2" t="s">
        <v>340</v>
      </c>
      <c r="Z5079" s="2" t="s">
        <v>33697</v>
      </c>
      <c r="AA5079" s="2">
        <v>-0.27482016347397198</v>
      </c>
      <c r="AB5079" s="2">
        <v>0.105941799649415</v>
      </c>
      <c r="AC5079" s="2">
        <v>892.05746768012204</v>
      </c>
      <c r="AD5079" s="2">
        <v>21.474480622243799</v>
      </c>
      <c r="AE5079" s="2">
        <v>654.79115172982802</v>
      </c>
      <c r="AF5079" s="2">
        <v>770.51645298311905</v>
      </c>
      <c r="AG5079" s="2">
        <v>983.19617075609005</v>
      </c>
      <c r="AH5079" s="2">
        <v>386.79243340980702</v>
      </c>
      <c r="AI5079" s="2">
        <v>1585.8313647443199</v>
      </c>
      <c r="AJ5079" s="2">
        <v>971.217232457568</v>
      </c>
      <c r="AK5079" s="2">
        <v>2.7106294003980101E-5</v>
      </c>
      <c r="AL5079" s="2">
        <v>2.7106294003980101E-5</v>
      </c>
      <c r="AM5079" s="2">
        <v>2.7106294003980101E-5</v>
      </c>
      <c r="AN5079" s="2">
        <v>128.84674820199299</v>
      </c>
      <c r="AO5079" s="2">
        <v>2.7106294003980101E-5</v>
      </c>
      <c r="AP5079" s="2">
        <v>2.7106294003980101E-5</v>
      </c>
    </row>
    <row r="5080" spans="1:42" ht="14.5" x14ac:dyDescent="0.35">
      <c r="A5080" s="2" t="s">
        <v>33698</v>
      </c>
      <c r="B5080" s="2">
        <v>408.028725217572</v>
      </c>
      <c r="C5080" s="2">
        <v>4.6673166666666699</v>
      </c>
      <c r="D5080" s="2" t="s">
        <v>70</v>
      </c>
      <c r="E5080" s="2" t="s">
        <v>33699</v>
      </c>
      <c r="F5080" s="2">
        <v>257574</v>
      </c>
      <c r="G5080" s="3" t="str">
        <f>HYPERLINK("http://funmeta.oebiotech.com/network/257574", "http://funmeta.oebiotech.com/network/257574")</f>
        <v>http://funmeta.oebiotech.com/network/257574</v>
      </c>
      <c r="H5080" s="2" t="s">
        <v>33700</v>
      </c>
      <c r="I5080" s="2"/>
      <c r="J5080" s="2"/>
      <c r="K5080" s="2"/>
      <c r="L5080" s="2"/>
      <c r="M5080" s="2"/>
      <c r="N5080" s="2"/>
      <c r="O5080" s="2"/>
      <c r="P5080" s="2"/>
      <c r="Q5080" s="2" t="s">
        <v>33701</v>
      </c>
      <c r="R5080" s="2" t="s">
        <v>33702</v>
      </c>
      <c r="S5080" s="2" t="s">
        <v>1444</v>
      </c>
      <c r="T5080" s="2" t="s">
        <v>4937</v>
      </c>
      <c r="U5080" s="2" t="s">
        <v>5723</v>
      </c>
      <c r="V5080" s="2" t="s">
        <v>59</v>
      </c>
      <c r="W5080" s="2">
        <v>38.6</v>
      </c>
      <c r="X5080" s="2">
        <v>0</v>
      </c>
      <c r="Y5080" s="2" t="s">
        <v>118</v>
      </c>
      <c r="Z5080" s="2" t="s">
        <v>33703</v>
      </c>
      <c r="AA5080" s="2">
        <v>-3.7550873624026901</v>
      </c>
      <c r="AB5080" s="2">
        <v>0.105870937177237</v>
      </c>
      <c r="AC5080" s="2">
        <v>8836.4633278465408</v>
      </c>
      <c r="AD5080" s="2">
        <v>7819.0120346573403</v>
      </c>
      <c r="AE5080" s="2">
        <v>8303.5521672497398</v>
      </c>
      <c r="AF5080" s="2">
        <v>8556.7599931887507</v>
      </c>
      <c r="AG5080" s="2">
        <v>8751.1408542170193</v>
      </c>
      <c r="AH5080" s="2">
        <v>8685.72115759199</v>
      </c>
      <c r="AI5080" s="2">
        <v>8764.6818983647809</v>
      </c>
      <c r="AJ5080" s="2">
        <v>9956.9238964669694</v>
      </c>
      <c r="AK5080" s="2">
        <v>8419.8238599804408</v>
      </c>
      <c r="AL5080" s="2">
        <v>7983.4339294046904</v>
      </c>
      <c r="AM5080" s="2">
        <v>8168.3959977712002</v>
      </c>
      <c r="AN5080" s="2">
        <v>7643.4277766006899</v>
      </c>
      <c r="AO5080" s="2">
        <v>7664.6752037681599</v>
      </c>
      <c r="AP5080" s="2">
        <v>7034.3154404188599</v>
      </c>
    </row>
    <row r="5081" spans="1:42" ht="14.5" x14ac:dyDescent="0.35">
      <c r="A5081" s="2" t="s">
        <v>33704</v>
      </c>
      <c r="B5081" s="2">
        <v>407.16125770789603</v>
      </c>
      <c r="C5081" s="2">
        <v>7.1697499999999996</v>
      </c>
      <c r="D5081" s="2" t="s">
        <v>34</v>
      </c>
      <c r="E5081" s="2" t="s">
        <v>33705</v>
      </c>
      <c r="F5081" s="2">
        <v>211080</v>
      </c>
      <c r="G5081" s="3" t="str">
        <f>HYPERLINK("http://funmeta.oebiotech.com/network/211080", "http://funmeta.oebiotech.com/network/211080")</f>
        <v>http://funmeta.oebiotech.com/network/211080</v>
      </c>
      <c r="H5081" s="2" t="s">
        <v>33706</v>
      </c>
      <c r="I5081" s="2"/>
      <c r="J5081" s="2"/>
      <c r="K5081" s="2"/>
      <c r="L5081" s="2"/>
      <c r="M5081" s="2"/>
      <c r="N5081" s="2"/>
      <c r="O5081" s="2">
        <v>54458476</v>
      </c>
      <c r="P5081" s="2"/>
      <c r="Q5081" s="2" t="s">
        <v>33707</v>
      </c>
      <c r="R5081" s="2" t="s">
        <v>33708</v>
      </c>
      <c r="S5081" s="2" t="s">
        <v>41</v>
      </c>
      <c r="T5081" s="2" t="s">
        <v>41</v>
      </c>
      <c r="U5081" s="2" t="s">
        <v>41</v>
      </c>
      <c r="V5081" s="2" t="s">
        <v>59</v>
      </c>
      <c r="W5081" s="2">
        <v>37</v>
      </c>
      <c r="X5081" s="2">
        <v>0</v>
      </c>
      <c r="Y5081" s="2" t="s">
        <v>394</v>
      </c>
      <c r="Z5081" s="2" t="s">
        <v>33709</v>
      </c>
      <c r="AA5081" s="2">
        <v>4.3360244457087402</v>
      </c>
      <c r="AB5081" s="2">
        <v>0.10586129062053</v>
      </c>
      <c r="AC5081" s="2">
        <v>24405.699442493398</v>
      </c>
      <c r="AD5081" s="2">
        <v>26319.078697586599</v>
      </c>
      <c r="AE5081" s="2">
        <v>25309.2697597269</v>
      </c>
      <c r="AF5081" s="2">
        <v>19468.177021164302</v>
      </c>
      <c r="AG5081" s="2">
        <v>24909.481300835101</v>
      </c>
      <c r="AH5081" s="2">
        <v>24841.8761742516</v>
      </c>
      <c r="AI5081" s="2">
        <v>24033.620724136701</v>
      </c>
      <c r="AJ5081" s="2">
        <v>27871.771674845899</v>
      </c>
      <c r="AK5081" s="2">
        <v>28190.1462395858</v>
      </c>
      <c r="AL5081" s="2">
        <v>25862.151201350502</v>
      </c>
      <c r="AM5081" s="2">
        <v>28284.864038483502</v>
      </c>
      <c r="AN5081" s="2">
        <v>24378.380729311601</v>
      </c>
      <c r="AO5081" s="2">
        <v>23047.140924724099</v>
      </c>
      <c r="AP5081" s="2">
        <v>28151.789052064101</v>
      </c>
    </row>
    <row r="5082" spans="1:42" ht="14.5" x14ac:dyDescent="0.35">
      <c r="A5082" s="2" t="s">
        <v>33710</v>
      </c>
      <c r="B5082" s="2">
        <v>184.16932323301901</v>
      </c>
      <c r="C5082" s="2">
        <v>12.3610166666667</v>
      </c>
      <c r="D5082" s="2" t="s">
        <v>34</v>
      </c>
      <c r="E5082" s="2" t="s">
        <v>33711</v>
      </c>
      <c r="F5082" s="2">
        <v>256090</v>
      </c>
      <c r="G5082" s="3" t="str">
        <f>HYPERLINK("http://funmeta.oebiotech.com/network/256090", "http://funmeta.oebiotech.com/network/256090")</f>
        <v>http://funmeta.oebiotech.com/network/256090</v>
      </c>
      <c r="H5082" s="2" t="s">
        <v>33712</v>
      </c>
      <c r="I5082" s="2"/>
      <c r="J5082" s="2"/>
      <c r="K5082" s="2"/>
      <c r="L5082" s="2"/>
      <c r="M5082" s="2"/>
      <c r="N5082" s="2"/>
      <c r="O5082" s="2">
        <v>549586</v>
      </c>
      <c r="P5082" s="2"/>
      <c r="Q5082" s="2" t="s">
        <v>33713</v>
      </c>
      <c r="R5082" s="2" t="s">
        <v>33714</v>
      </c>
      <c r="S5082" s="2" t="s">
        <v>79</v>
      </c>
      <c r="T5082" s="2" t="s">
        <v>33715</v>
      </c>
      <c r="U5082" s="2" t="s">
        <v>41</v>
      </c>
      <c r="V5082" s="2" t="s">
        <v>59</v>
      </c>
      <c r="W5082" s="2">
        <v>45.7</v>
      </c>
      <c r="X5082" s="2">
        <v>39.299999999999997</v>
      </c>
      <c r="Y5082" s="2" t="s">
        <v>43</v>
      </c>
      <c r="Z5082" s="2" t="s">
        <v>33716</v>
      </c>
      <c r="AA5082" s="2">
        <v>-1.6100916072261799</v>
      </c>
      <c r="AB5082" s="2">
        <v>0.105797545240554</v>
      </c>
      <c r="AC5082" s="2">
        <v>14373.2510586518</v>
      </c>
      <c r="AD5082" s="2">
        <v>12206.6683172374</v>
      </c>
      <c r="AE5082" s="2">
        <v>16867.820392022699</v>
      </c>
      <c r="AF5082" s="2">
        <v>11328.1141163344</v>
      </c>
      <c r="AG5082" s="2">
        <v>13890.4387406187</v>
      </c>
      <c r="AH5082" s="2">
        <v>15285.6272646697</v>
      </c>
      <c r="AI5082" s="2">
        <v>16265.880700989401</v>
      </c>
      <c r="AJ5082" s="2">
        <v>12601.6251372757</v>
      </c>
      <c r="AK5082" s="2">
        <v>10200.99756851</v>
      </c>
      <c r="AL5082" s="2">
        <v>18704.458476143998</v>
      </c>
      <c r="AM5082" s="2">
        <v>10368.711586404501</v>
      </c>
      <c r="AN5082" s="2">
        <v>15879.3957293536</v>
      </c>
      <c r="AO5082" s="2">
        <v>9352.0900688163201</v>
      </c>
      <c r="AP5082" s="2">
        <v>8734.35647419616</v>
      </c>
    </row>
    <row r="5083" spans="1:42" ht="14.5" x14ac:dyDescent="0.35">
      <c r="A5083" s="2" t="s">
        <v>33717</v>
      </c>
      <c r="B5083" s="2">
        <v>475.09511581895902</v>
      </c>
      <c r="C5083" s="2">
        <v>3.5784166666666701</v>
      </c>
      <c r="D5083" s="2" t="s">
        <v>70</v>
      </c>
      <c r="E5083" s="2" t="s">
        <v>33718</v>
      </c>
      <c r="F5083" s="2">
        <v>57335</v>
      </c>
      <c r="G5083" s="3" t="str">
        <f>HYPERLINK("http://funmeta.oebiotech.com/network/57335", "http://funmeta.oebiotech.com/network/57335")</f>
        <v>http://funmeta.oebiotech.com/network/57335</v>
      </c>
      <c r="H5083" s="2" t="s">
        <v>33719</v>
      </c>
      <c r="I5083" s="2">
        <v>88965</v>
      </c>
      <c r="J5083" s="2"/>
      <c r="K5083" s="2">
        <v>174219</v>
      </c>
      <c r="L5083" s="2"/>
      <c r="M5083" s="2"/>
      <c r="N5083" s="2"/>
      <c r="O5083" s="2">
        <v>88076797</v>
      </c>
      <c r="P5083" s="2"/>
      <c r="Q5083" s="2" t="s">
        <v>33720</v>
      </c>
      <c r="R5083" s="2" t="s">
        <v>33721</v>
      </c>
      <c r="S5083" s="2" t="s">
        <v>5916</v>
      </c>
      <c r="T5083" s="2" t="s">
        <v>13666</v>
      </c>
      <c r="U5083" s="2" t="s">
        <v>41</v>
      </c>
      <c r="V5083" s="2" t="s">
        <v>59</v>
      </c>
      <c r="W5083" s="2">
        <v>36.799999999999997</v>
      </c>
      <c r="X5083" s="2">
        <v>0</v>
      </c>
      <c r="Y5083" s="2" t="s">
        <v>560</v>
      </c>
      <c r="Z5083" s="2" t="s">
        <v>33722</v>
      </c>
      <c r="AA5083" s="2">
        <v>-3.2852965414942599</v>
      </c>
      <c r="AB5083" s="2">
        <v>0.105745151529616</v>
      </c>
      <c r="AC5083" s="2">
        <v>1810.6539842663899</v>
      </c>
      <c r="AD5083" s="2">
        <v>2665.2015848586698</v>
      </c>
      <c r="AE5083" s="2">
        <v>2095.0222113254799</v>
      </c>
      <c r="AF5083" s="2">
        <v>1897.44054035823</v>
      </c>
      <c r="AG5083" s="2">
        <v>1855.8365226447499</v>
      </c>
      <c r="AH5083" s="2">
        <v>1600.1840328578101</v>
      </c>
      <c r="AI5083" s="2">
        <v>1502.8399894204899</v>
      </c>
      <c r="AJ5083" s="2">
        <v>1912.6006089916</v>
      </c>
      <c r="AK5083" s="2">
        <v>2686.3550812017302</v>
      </c>
      <c r="AL5083" s="2">
        <v>2307.6795984713299</v>
      </c>
      <c r="AM5083" s="2">
        <v>3115.0672930129199</v>
      </c>
      <c r="AN5083" s="2">
        <v>2482.1460328103199</v>
      </c>
      <c r="AO5083" s="2">
        <v>2427.7191909944499</v>
      </c>
      <c r="AP5083" s="2">
        <v>2972.2423126612698</v>
      </c>
    </row>
    <row r="5084" spans="1:42" ht="14.5" x14ac:dyDescent="0.35">
      <c r="A5084" s="2" t="s">
        <v>33723</v>
      </c>
      <c r="B5084" s="2">
        <v>549.24719478470604</v>
      </c>
      <c r="C5084" s="2">
        <v>3.82433333333333</v>
      </c>
      <c r="D5084" s="2" t="s">
        <v>70</v>
      </c>
      <c r="E5084" s="2" t="s">
        <v>33724</v>
      </c>
      <c r="F5084" s="2">
        <v>219617</v>
      </c>
      <c r="G5084" s="3" t="str">
        <f>HYPERLINK("http://funmeta.oebiotech.com/network/219617", "http://funmeta.oebiotech.com/network/219617")</f>
        <v>http://funmeta.oebiotech.com/network/219617</v>
      </c>
      <c r="H5084" s="2" t="s">
        <v>33725</v>
      </c>
      <c r="I5084" s="2"/>
      <c r="J5084" s="2"/>
      <c r="K5084" s="2"/>
      <c r="L5084" s="2"/>
      <c r="M5084" s="2"/>
      <c r="N5084" s="2"/>
      <c r="O5084" s="2"/>
      <c r="P5084" s="2"/>
      <c r="Q5084" s="2" t="s">
        <v>33726</v>
      </c>
      <c r="R5084" s="2" t="s">
        <v>33727</v>
      </c>
      <c r="S5084" s="2" t="s">
        <v>41</v>
      </c>
      <c r="T5084" s="2" t="s">
        <v>41</v>
      </c>
      <c r="U5084" s="2" t="s">
        <v>41</v>
      </c>
      <c r="V5084" s="2" t="s">
        <v>59</v>
      </c>
      <c r="W5084" s="2">
        <v>37.4</v>
      </c>
      <c r="X5084" s="2">
        <v>0</v>
      </c>
      <c r="Y5084" s="2" t="s">
        <v>118</v>
      </c>
      <c r="Z5084" s="2" t="s">
        <v>33728</v>
      </c>
      <c r="AA5084" s="2">
        <v>0.31329611869124502</v>
      </c>
      <c r="AB5084" s="2">
        <v>0.105659819060527</v>
      </c>
      <c r="AC5084" s="2">
        <v>6409.4352133685097</v>
      </c>
      <c r="AD5084" s="2">
        <v>5081.0364328310698</v>
      </c>
      <c r="AE5084" s="2">
        <v>9183.7528915761904</v>
      </c>
      <c r="AF5084" s="2">
        <v>5466.7593904413598</v>
      </c>
      <c r="AG5084" s="2">
        <v>6167.4945922260104</v>
      </c>
      <c r="AH5084" s="2">
        <v>5942.5320513469096</v>
      </c>
      <c r="AI5084" s="2">
        <v>5870.9477191180204</v>
      </c>
      <c r="AJ5084" s="2">
        <v>5825.1246355025596</v>
      </c>
      <c r="AK5084" s="2">
        <v>5457.5770125967902</v>
      </c>
      <c r="AL5084" s="2">
        <v>5012.9298486366297</v>
      </c>
      <c r="AM5084" s="2">
        <v>5454.95270546553</v>
      </c>
      <c r="AN5084" s="2">
        <v>6079.3859294167796</v>
      </c>
      <c r="AO5084" s="2">
        <v>4366.2897409685802</v>
      </c>
      <c r="AP5084" s="2">
        <v>4115.0833599021298</v>
      </c>
    </row>
    <row r="5085" spans="1:42" ht="14.5" x14ac:dyDescent="0.35">
      <c r="A5085" s="2" t="s">
        <v>33729</v>
      </c>
      <c r="B5085" s="2">
        <v>461.09128852285602</v>
      </c>
      <c r="C5085" s="2">
        <v>1.1294500000000001</v>
      </c>
      <c r="D5085" s="2" t="s">
        <v>70</v>
      </c>
      <c r="E5085" s="2" t="s">
        <v>33730</v>
      </c>
      <c r="F5085" s="2">
        <v>35487</v>
      </c>
      <c r="G5085" s="3" t="str">
        <f>HYPERLINK("http://funmeta.oebiotech.com/network/35487", "http://funmeta.oebiotech.com/network/35487")</f>
        <v>http://funmeta.oebiotech.com/network/35487</v>
      </c>
      <c r="H5085" s="2"/>
      <c r="I5085" s="2">
        <v>53847</v>
      </c>
      <c r="J5085" s="2" t="s">
        <v>33731</v>
      </c>
      <c r="K5085" s="2">
        <v>17961</v>
      </c>
      <c r="L5085" s="2" t="s">
        <v>33732</v>
      </c>
      <c r="M5085" s="2"/>
      <c r="N5085" s="2"/>
      <c r="O5085" s="2">
        <v>5280571</v>
      </c>
      <c r="P5085" s="2"/>
      <c r="Q5085" s="2" t="s">
        <v>33733</v>
      </c>
      <c r="R5085" s="2" t="s">
        <v>33734</v>
      </c>
      <c r="S5085" s="2" t="s">
        <v>50</v>
      </c>
      <c r="T5085" s="2" t="s">
        <v>201</v>
      </c>
      <c r="U5085" s="2" t="s">
        <v>636</v>
      </c>
      <c r="V5085" s="2" t="s">
        <v>59</v>
      </c>
      <c r="W5085" s="2">
        <v>38.700000000000003</v>
      </c>
      <c r="X5085" s="2">
        <v>0</v>
      </c>
      <c r="Y5085" s="2" t="s">
        <v>118</v>
      </c>
      <c r="Z5085" s="2" t="s">
        <v>33735</v>
      </c>
      <c r="AA5085" s="2">
        <v>2.6140362144089502</v>
      </c>
      <c r="AB5085" s="2">
        <v>0.105641018296923</v>
      </c>
      <c r="AC5085" s="2">
        <v>23267.282687991799</v>
      </c>
      <c r="AD5085" s="2">
        <v>25071.472583876199</v>
      </c>
      <c r="AE5085" s="2">
        <v>24512.458526257</v>
      </c>
      <c r="AF5085" s="2">
        <v>23305.375564254398</v>
      </c>
      <c r="AG5085" s="2">
        <v>22291.033254882801</v>
      </c>
      <c r="AH5085" s="2">
        <v>21775.880370282201</v>
      </c>
      <c r="AI5085" s="2">
        <v>23366.592287893902</v>
      </c>
      <c r="AJ5085" s="2">
        <v>24352.356124380502</v>
      </c>
      <c r="AK5085" s="2">
        <v>24247.744488235101</v>
      </c>
      <c r="AL5085" s="2">
        <v>24392.675272076001</v>
      </c>
      <c r="AM5085" s="2">
        <v>20107.944611321898</v>
      </c>
      <c r="AN5085" s="2">
        <v>28980.599059550899</v>
      </c>
      <c r="AO5085" s="2">
        <v>26293.307656990099</v>
      </c>
      <c r="AP5085" s="2">
        <v>26406.564415083201</v>
      </c>
    </row>
    <row r="5086" spans="1:42" ht="14.5" x14ac:dyDescent="0.35">
      <c r="A5086" s="2" t="s">
        <v>33736</v>
      </c>
      <c r="B5086" s="2">
        <v>751.15065101369498</v>
      </c>
      <c r="C5086" s="2">
        <v>3.6167500000000001</v>
      </c>
      <c r="D5086" s="2" t="s">
        <v>70</v>
      </c>
      <c r="E5086" s="2" t="s">
        <v>33737</v>
      </c>
      <c r="F5086" s="2">
        <v>33418</v>
      </c>
      <c r="G5086" s="3" t="str">
        <f>HYPERLINK("http://funmeta.oebiotech.com/network/33418", "http://funmeta.oebiotech.com/network/33418")</f>
        <v>http://funmeta.oebiotech.com/network/33418</v>
      </c>
      <c r="H5086" s="2" t="s">
        <v>33738</v>
      </c>
      <c r="I5086" s="2">
        <v>51745</v>
      </c>
      <c r="J5086" s="2" t="s">
        <v>33739</v>
      </c>
      <c r="K5086" s="2"/>
      <c r="L5086" s="2"/>
      <c r="M5086" s="2"/>
      <c r="N5086" s="2"/>
      <c r="O5086" s="2">
        <v>12311234</v>
      </c>
      <c r="P5086" s="2" t="s">
        <v>33740</v>
      </c>
      <c r="Q5086" s="2" t="s">
        <v>33741</v>
      </c>
      <c r="R5086" s="2" t="s">
        <v>33742</v>
      </c>
      <c r="S5086" s="2" t="s">
        <v>115</v>
      </c>
      <c r="T5086" s="2" t="s">
        <v>139</v>
      </c>
      <c r="U5086" s="2" t="s">
        <v>1806</v>
      </c>
      <c r="V5086" s="2" t="s">
        <v>59</v>
      </c>
      <c r="W5086" s="2">
        <v>39.5</v>
      </c>
      <c r="X5086" s="2">
        <v>0</v>
      </c>
      <c r="Y5086" s="2" t="s">
        <v>560</v>
      </c>
      <c r="Z5086" s="2" t="s">
        <v>33743</v>
      </c>
      <c r="AA5086" s="2">
        <v>-1.24539199024123</v>
      </c>
      <c r="AB5086" s="2">
        <v>0.10563707544023899</v>
      </c>
      <c r="AC5086" s="2">
        <v>2431.2704364261699</v>
      </c>
      <c r="AD5086" s="2">
        <v>3535.4530990128001</v>
      </c>
      <c r="AE5086" s="2">
        <v>1665.96974235434</v>
      </c>
      <c r="AF5086" s="2">
        <v>2690.5957593194098</v>
      </c>
      <c r="AG5086" s="2">
        <v>2513.8907474668499</v>
      </c>
      <c r="AH5086" s="2">
        <v>2804.54913013652</v>
      </c>
      <c r="AI5086" s="2">
        <v>3462.68716882129</v>
      </c>
      <c r="AJ5086" s="2">
        <v>1449.9300704586401</v>
      </c>
      <c r="AK5086" s="2">
        <v>3200.71087185228</v>
      </c>
      <c r="AL5086" s="2">
        <v>4470.2858139037198</v>
      </c>
      <c r="AM5086" s="2">
        <v>2949.6086838599099</v>
      </c>
      <c r="AN5086" s="2">
        <v>3559.3496457608899</v>
      </c>
      <c r="AO5086" s="2">
        <v>2962.8045402820198</v>
      </c>
      <c r="AP5086" s="2">
        <v>4069.9590384179901</v>
      </c>
    </row>
    <row r="5087" spans="1:42" ht="14.5" x14ac:dyDescent="0.35">
      <c r="A5087" s="2" t="s">
        <v>33744</v>
      </c>
      <c r="B5087" s="2">
        <v>612.14401537076697</v>
      </c>
      <c r="C5087" s="2">
        <v>3.7303666666666699</v>
      </c>
      <c r="D5087" s="2" t="s">
        <v>70</v>
      </c>
      <c r="E5087" s="2" t="s">
        <v>33745</v>
      </c>
      <c r="F5087" s="2">
        <v>204650</v>
      </c>
      <c r="G5087" s="3" t="str">
        <f>HYPERLINK("http://funmeta.oebiotech.com/network/204650", "http://funmeta.oebiotech.com/network/204650")</f>
        <v>http://funmeta.oebiotech.com/network/204650</v>
      </c>
      <c r="H5087" s="2" t="s">
        <v>33746</v>
      </c>
      <c r="I5087" s="2"/>
      <c r="J5087" s="2"/>
      <c r="K5087" s="2"/>
      <c r="L5087" s="2"/>
      <c r="M5087" s="2"/>
      <c r="N5087" s="2"/>
      <c r="O5087" s="2">
        <v>3025814</v>
      </c>
      <c r="P5087" s="2"/>
      <c r="Q5087" s="2" t="s">
        <v>33747</v>
      </c>
      <c r="R5087" s="2" t="s">
        <v>33748</v>
      </c>
      <c r="S5087" s="2" t="s">
        <v>491</v>
      </c>
      <c r="T5087" s="2" t="s">
        <v>8419</v>
      </c>
      <c r="U5087" s="2" t="s">
        <v>8420</v>
      </c>
      <c r="V5087" s="2" t="s">
        <v>59</v>
      </c>
      <c r="W5087" s="2">
        <v>37.1</v>
      </c>
      <c r="X5087" s="2">
        <v>0</v>
      </c>
      <c r="Y5087" s="2" t="s">
        <v>408</v>
      </c>
      <c r="Z5087" s="2" t="s">
        <v>33749</v>
      </c>
      <c r="AA5087" s="2">
        <v>0.10154401537478901</v>
      </c>
      <c r="AB5087" s="2">
        <v>0.10549454822918999</v>
      </c>
      <c r="AC5087" s="2">
        <v>1852.8617934147901</v>
      </c>
      <c r="AD5087" s="2">
        <v>2790.90769143024</v>
      </c>
      <c r="AE5087" s="2">
        <v>1635.8762090356099</v>
      </c>
      <c r="AF5087" s="2">
        <v>1902.6243135111199</v>
      </c>
      <c r="AG5087" s="2">
        <v>1954.03185381051</v>
      </c>
      <c r="AH5087" s="2">
        <v>1916.08854792682</v>
      </c>
      <c r="AI5087" s="2">
        <v>2613.7081856137202</v>
      </c>
      <c r="AJ5087" s="2">
        <v>1094.8416505909699</v>
      </c>
      <c r="AK5087" s="2">
        <v>3060.0795373640399</v>
      </c>
      <c r="AL5087" s="2">
        <v>2244.9213689921098</v>
      </c>
      <c r="AM5087" s="2">
        <v>2939.5013196821001</v>
      </c>
      <c r="AN5087" s="2">
        <v>2980.1575902378299</v>
      </c>
      <c r="AO5087" s="2">
        <v>3069.7002459427499</v>
      </c>
      <c r="AP5087" s="2">
        <v>2451.0860863626199</v>
      </c>
    </row>
    <row r="5088" spans="1:42" ht="14.5" x14ac:dyDescent="0.35">
      <c r="A5088" s="2" t="s">
        <v>33750</v>
      </c>
      <c r="B5088" s="2">
        <v>403.21136387423297</v>
      </c>
      <c r="C5088" s="2">
        <v>5.8468499999999999</v>
      </c>
      <c r="D5088" s="2" t="s">
        <v>34</v>
      </c>
      <c r="E5088" s="2" t="s">
        <v>33751</v>
      </c>
      <c r="F5088" s="2">
        <v>44997</v>
      </c>
      <c r="G5088" s="3" t="str">
        <f>HYPERLINK("http://funmeta.oebiotech.com/network/44997", "http://funmeta.oebiotech.com/network/44997")</f>
        <v>http://funmeta.oebiotech.com/network/44997</v>
      </c>
      <c r="H5088" s="2" t="s">
        <v>33752</v>
      </c>
      <c r="I5088" s="2">
        <v>3968</v>
      </c>
      <c r="J5088" s="2" t="s">
        <v>33753</v>
      </c>
      <c r="K5088" s="2">
        <v>587711</v>
      </c>
      <c r="L5088" s="2" t="s">
        <v>33754</v>
      </c>
      <c r="M5088" s="2"/>
      <c r="N5088" s="2"/>
      <c r="O5088" s="2">
        <v>5745</v>
      </c>
      <c r="P5088" s="2" t="s">
        <v>33755</v>
      </c>
      <c r="Q5088" s="2" t="s">
        <v>33756</v>
      </c>
      <c r="R5088" s="2" t="s">
        <v>33757</v>
      </c>
      <c r="S5088" s="2" t="s">
        <v>50</v>
      </c>
      <c r="T5088" s="2" t="s">
        <v>124</v>
      </c>
      <c r="U5088" s="2" t="s">
        <v>929</v>
      </c>
      <c r="V5088" s="2" t="s">
        <v>59</v>
      </c>
      <c r="W5088" s="2">
        <v>37.200000000000003</v>
      </c>
      <c r="X5088" s="2">
        <v>0</v>
      </c>
      <c r="Y5088" s="2" t="s">
        <v>394</v>
      </c>
      <c r="Z5088" s="2" t="s">
        <v>33758</v>
      </c>
      <c r="AA5088" s="2">
        <v>-0.37602096813077301</v>
      </c>
      <c r="AB5088" s="2">
        <v>0.105410700673743</v>
      </c>
      <c r="AC5088" s="2">
        <v>1660.37270970686</v>
      </c>
      <c r="AD5088" s="2">
        <v>731.512710709153</v>
      </c>
      <c r="AE5088" s="2">
        <v>1671.6075095152801</v>
      </c>
      <c r="AF5088" s="2">
        <v>1351.1627448680999</v>
      </c>
      <c r="AG5088" s="2">
        <v>1134.5496751033299</v>
      </c>
      <c r="AH5088" s="2">
        <v>2243.7152253904801</v>
      </c>
      <c r="AI5088" s="2">
        <v>1693.20489089187</v>
      </c>
      <c r="AJ5088" s="2">
        <v>1867.9962124720801</v>
      </c>
      <c r="AK5088" s="2">
        <v>1198.1104598377599</v>
      </c>
      <c r="AL5088" s="2">
        <v>684.51418184613397</v>
      </c>
      <c r="AM5088" s="2">
        <v>685.36437682381995</v>
      </c>
      <c r="AN5088" s="2">
        <v>888.56139496688797</v>
      </c>
      <c r="AO5088" s="2">
        <v>927.97608328976605</v>
      </c>
      <c r="AP5088" s="2">
        <v>4.5497674905529299</v>
      </c>
    </row>
    <row r="5089" spans="1:42" ht="14.5" x14ac:dyDescent="0.35">
      <c r="A5089" s="2" t="s">
        <v>33759</v>
      </c>
      <c r="B5089" s="2">
        <v>267.15894617442598</v>
      </c>
      <c r="C5089" s="2">
        <v>10.8120833333333</v>
      </c>
      <c r="D5089" s="2" t="s">
        <v>34</v>
      </c>
      <c r="E5089" s="2" t="s">
        <v>33760</v>
      </c>
      <c r="F5089" s="2">
        <v>82475</v>
      </c>
      <c r="G5089" s="3" t="str">
        <f>HYPERLINK("http://funmeta.oebiotech.com/network/82475", "http://funmeta.oebiotech.com/network/82475")</f>
        <v>http://funmeta.oebiotech.com/network/82475</v>
      </c>
      <c r="H5089" s="2" t="s">
        <v>33761</v>
      </c>
      <c r="I5089" s="2"/>
      <c r="J5089" s="2"/>
      <c r="K5089" s="2"/>
      <c r="L5089" s="2"/>
      <c r="M5089" s="2"/>
      <c r="N5089" s="2"/>
      <c r="O5089" s="2">
        <v>456410</v>
      </c>
      <c r="P5089" s="2" t="s">
        <v>33762</v>
      </c>
      <c r="Q5089" s="2" t="s">
        <v>33763</v>
      </c>
      <c r="R5089" s="2" t="s">
        <v>33764</v>
      </c>
      <c r="S5089" s="2" t="s">
        <v>50</v>
      </c>
      <c r="T5089" s="2" t="s">
        <v>201</v>
      </c>
      <c r="U5089" s="2" t="s">
        <v>636</v>
      </c>
      <c r="V5089" s="2" t="s">
        <v>59</v>
      </c>
      <c r="W5089" s="2">
        <v>38.9</v>
      </c>
      <c r="X5089" s="2">
        <v>0</v>
      </c>
      <c r="Y5089" s="2" t="s">
        <v>141</v>
      </c>
      <c r="Z5089" s="2" t="s">
        <v>33765</v>
      </c>
      <c r="AA5089" s="2">
        <v>-0.49071610757833201</v>
      </c>
      <c r="AB5089" s="2">
        <v>0.105262461359975</v>
      </c>
      <c r="AC5089" s="2">
        <v>2973.1939300888898</v>
      </c>
      <c r="AD5089" s="2">
        <v>3963.3357917532599</v>
      </c>
      <c r="AE5089" s="2">
        <v>2943.1983118578601</v>
      </c>
      <c r="AF5089" s="2">
        <v>3080.5147067447301</v>
      </c>
      <c r="AG5089" s="2">
        <v>3134.18369481946</v>
      </c>
      <c r="AH5089" s="2">
        <v>3042.3235630659201</v>
      </c>
      <c r="AI5089" s="2">
        <v>2805.0685774102199</v>
      </c>
      <c r="AJ5089" s="2">
        <v>2833.8747266351202</v>
      </c>
      <c r="AK5089" s="2">
        <v>2918.2541843917002</v>
      </c>
      <c r="AL5089" s="2">
        <v>3424.4702199318699</v>
      </c>
      <c r="AM5089" s="2">
        <v>4294.3466040831499</v>
      </c>
      <c r="AN5089" s="2">
        <v>3847.6307241631798</v>
      </c>
      <c r="AO5089" s="2">
        <v>4670.4339192176503</v>
      </c>
      <c r="AP5089" s="2">
        <v>4624.8790987320399</v>
      </c>
    </row>
    <row r="5090" spans="1:42" ht="14.5" x14ac:dyDescent="0.35">
      <c r="A5090" s="2" t="s">
        <v>33766</v>
      </c>
      <c r="B5090" s="2">
        <v>232.20553568712199</v>
      </c>
      <c r="C5090" s="2">
        <v>6.5719000000000003</v>
      </c>
      <c r="D5090" s="2" t="s">
        <v>34</v>
      </c>
      <c r="E5090" s="2" t="s">
        <v>33767</v>
      </c>
      <c r="F5090" s="2">
        <v>210297</v>
      </c>
      <c r="G5090" s="3" t="str">
        <f>HYPERLINK("http://funmeta.oebiotech.com/network/210297", "http://funmeta.oebiotech.com/network/210297")</f>
        <v>http://funmeta.oebiotech.com/network/210297</v>
      </c>
      <c r="H5090" s="2" t="s">
        <v>33768</v>
      </c>
      <c r="I5090" s="2"/>
      <c r="J5090" s="2"/>
      <c r="K5090" s="2"/>
      <c r="L5090" s="2"/>
      <c r="M5090" s="2"/>
      <c r="N5090" s="2"/>
      <c r="O5090" s="2">
        <v>150978</v>
      </c>
      <c r="P5090" s="2"/>
      <c r="Q5090" s="2" t="s">
        <v>33769</v>
      </c>
      <c r="R5090" s="2" t="s">
        <v>33770</v>
      </c>
      <c r="S5090" s="2" t="s">
        <v>41</v>
      </c>
      <c r="T5090" s="2" t="s">
        <v>41</v>
      </c>
      <c r="U5090" s="2" t="s">
        <v>41</v>
      </c>
      <c r="V5090" s="2" t="s">
        <v>59</v>
      </c>
      <c r="W5090" s="2">
        <v>36.799999999999997</v>
      </c>
      <c r="X5090" s="2">
        <v>0</v>
      </c>
      <c r="Y5090" s="2" t="s">
        <v>394</v>
      </c>
      <c r="Z5090" s="2" t="s">
        <v>33771</v>
      </c>
      <c r="AA5090" s="2">
        <v>-1.9055099714055199</v>
      </c>
      <c r="AB5090" s="2">
        <v>0.10513024410246</v>
      </c>
      <c r="AC5090" s="2">
        <v>12661.673612664499</v>
      </c>
      <c r="AD5090" s="2">
        <v>14126.448146082101</v>
      </c>
      <c r="AE5090" s="2">
        <v>11684.8603953927</v>
      </c>
      <c r="AF5090" s="2">
        <v>13093.8339617086</v>
      </c>
      <c r="AG5090" s="2">
        <v>11605.057115796801</v>
      </c>
      <c r="AH5090" s="2">
        <v>13029.4036197843</v>
      </c>
      <c r="AI5090" s="2">
        <v>13088.0527628156</v>
      </c>
      <c r="AJ5090" s="2">
        <v>13468.8338204887</v>
      </c>
      <c r="AK5090" s="2">
        <v>14118.9004250828</v>
      </c>
      <c r="AL5090" s="2">
        <v>15389.2936981562</v>
      </c>
      <c r="AM5090" s="2">
        <v>13076.913809293201</v>
      </c>
      <c r="AN5090" s="2">
        <v>15649.989874282801</v>
      </c>
      <c r="AO5090" s="2">
        <v>15561.2778033094</v>
      </c>
      <c r="AP5090" s="2">
        <v>10962.313266368399</v>
      </c>
    </row>
    <row r="5091" spans="1:42" ht="14.5" x14ac:dyDescent="0.35">
      <c r="A5091" s="2" t="s">
        <v>33772</v>
      </c>
      <c r="B5091" s="2">
        <v>321.06137580241</v>
      </c>
      <c r="C5091" s="2">
        <v>4.7402166666666696</v>
      </c>
      <c r="D5091" s="2" t="s">
        <v>70</v>
      </c>
      <c r="E5091" s="2" t="s">
        <v>33773</v>
      </c>
      <c r="F5091" s="2">
        <v>57859</v>
      </c>
      <c r="G5091" s="3" t="str">
        <f>HYPERLINK("http://funmeta.oebiotech.com/network/57859", "http://funmeta.oebiotech.com/network/57859")</f>
        <v>http://funmeta.oebiotech.com/network/57859</v>
      </c>
      <c r="H5091" s="2" t="s">
        <v>33774</v>
      </c>
      <c r="I5091" s="2">
        <v>89448</v>
      </c>
      <c r="J5091" s="2"/>
      <c r="K5091" s="2">
        <v>133763</v>
      </c>
      <c r="L5091" s="2"/>
      <c r="M5091" s="2"/>
      <c r="N5091" s="2"/>
      <c r="O5091" s="2">
        <v>100923872</v>
      </c>
      <c r="P5091" s="2"/>
      <c r="Q5091" s="2" t="s">
        <v>33775</v>
      </c>
      <c r="R5091" s="2" t="s">
        <v>33776</v>
      </c>
      <c r="S5091" s="2" t="s">
        <v>491</v>
      </c>
      <c r="T5091" s="2" t="s">
        <v>1341</v>
      </c>
      <c r="U5091" s="2" t="s">
        <v>6866</v>
      </c>
      <c r="V5091" s="2" t="s">
        <v>59</v>
      </c>
      <c r="W5091" s="2">
        <v>39</v>
      </c>
      <c r="X5091" s="2">
        <v>0</v>
      </c>
      <c r="Y5091" s="2" t="s">
        <v>408</v>
      </c>
      <c r="Z5091" s="2" t="s">
        <v>33777</v>
      </c>
      <c r="AA5091" s="2">
        <v>-0.77942168015165902</v>
      </c>
      <c r="AB5091" s="2">
        <v>0.105012423044789</v>
      </c>
      <c r="AC5091" s="2">
        <v>12583.703531498</v>
      </c>
      <c r="AD5091" s="2">
        <v>13560.7254212882</v>
      </c>
      <c r="AE5091" s="2">
        <v>12912.1389964932</v>
      </c>
      <c r="AF5091" s="2">
        <v>12896.465629410101</v>
      </c>
      <c r="AG5091" s="2">
        <v>12778.8977806889</v>
      </c>
      <c r="AH5091" s="2">
        <v>12598.0564320433</v>
      </c>
      <c r="AI5091" s="2">
        <v>12006.6535218836</v>
      </c>
      <c r="AJ5091" s="2">
        <v>12310.008828468601</v>
      </c>
      <c r="AK5091" s="2">
        <v>13734.603690795</v>
      </c>
      <c r="AL5091" s="2">
        <v>13588.6230758042</v>
      </c>
      <c r="AM5091" s="2">
        <v>14592.6483103475</v>
      </c>
      <c r="AN5091" s="2">
        <v>13134.2046812101</v>
      </c>
      <c r="AO5091" s="2">
        <v>13144.3946552219</v>
      </c>
      <c r="AP5091" s="2">
        <v>13169.8781143505</v>
      </c>
    </row>
    <row r="5092" spans="1:42" ht="14.5" x14ac:dyDescent="0.35">
      <c r="A5092" s="2" t="s">
        <v>33778</v>
      </c>
      <c r="B5092" s="2">
        <v>401.18156674846801</v>
      </c>
      <c r="C5092" s="2">
        <v>4.9873666666666701</v>
      </c>
      <c r="D5092" s="2" t="s">
        <v>70</v>
      </c>
      <c r="E5092" s="2" t="s">
        <v>33779</v>
      </c>
      <c r="F5092" s="2">
        <v>64979</v>
      </c>
      <c r="G5092" s="3" t="str">
        <f>HYPERLINK("http://funmeta.oebiotech.com/network/64979", "http://funmeta.oebiotech.com/network/64979")</f>
        <v>http://funmeta.oebiotech.com/network/64979</v>
      </c>
      <c r="H5092" s="2" t="s">
        <v>33780</v>
      </c>
      <c r="I5092" s="2">
        <v>96196</v>
      </c>
      <c r="J5092" s="2"/>
      <c r="K5092" s="2">
        <v>145662</v>
      </c>
      <c r="L5092" s="2"/>
      <c r="M5092" s="2"/>
      <c r="N5092" s="2"/>
      <c r="O5092" s="2">
        <v>5282450</v>
      </c>
      <c r="P5092" s="2" t="s">
        <v>33781</v>
      </c>
      <c r="Q5092" s="2" t="s">
        <v>33782</v>
      </c>
      <c r="R5092" s="2" t="s">
        <v>33783</v>
      </c>
      <c r="S5092" s="2" t="s">
        <v>1677</v>
      </c>
      <c r="T5092" s="2" t="s">
        <v>1678</v>
      </c>
      <c r="U5092" s="2" t="s">
        <v>1679</v>
      </c>
      <c r="V5092" s="2" t="s">
        <v>59</v>
      </c>
      <c r="W5092" s="2">
        <v>38.5</v>
      </c>
      <c r="X5092" s="2">
        <v>5.09</v>
      </c>
      <c r="Y5092" s="2" t="s">
        <v>286</v>
      </c>
      <c r="Z5092" s="2" t="s">
        <v>33784</v>
      </c>
      <c r="AA5092" s="2">
        <v>-4.1460750797568098</v>
      </c>
      <c r="AB5092" s="2">
        <v>0.104972530574221</v>
      </c>
      <c r="AC5092" s="2">
        <v>24844.216501494098</v>
      </c>
      <c r="AD5092" s="2">
        <v>23350.446444577799</v>
      </c>
      <c r="AE5092" s="2">
        <v>25539.9799422797</v>
      </c>
      <c r="AF5092" s="2">
        <v>24039.856545480801</v>
      </c>
      <c r="AG5092" s="2">
        <v>24113.898577572701</v>
      </c>
      <c r="AH5092" s="2">
        <v>24327.791627818999</v>
      </c>
      <c r="AI5092" s="2">
        <v>25967.1615764901</v>
      </c>
      <c r="AJ5092" s="2">
        <v>25076.610739322601</v>
      </c>
      <c r="AK5092" s="2">
        <v>23755.648086718102</v>
      </c>
      <c r="AL5092" s="2">
        <v>20787.4629776041</v>
      </c>
      <c r="AM5092" s="2">
        <v>26073.718079556598</v>
      </c>
      <c r="AN5092" s="2">
        <v>21704.424603603398</v>
      </c>
      <c r="AO5092" s="2">
        <v>24155.0378751356</v>
      </c>
      <c r="AP5092" s="2">
        <v>23626.3870448489</v>
      </c>
    </row>
    <row r="5093" spans="1:42" ht="14.5" x14ac:dyDescent="0.35">
      <c r="A5093" s="2" t="s">
        <v>33785</v>
      </c>
      <c r="B5093" s="2">
        <v>627.28270390036698</v>
      </c>
      <c r="C5093" s="2">
        <v>9.2409999999999997</v>
      </c>
      <c r="D5093" s="2" t="s">
        <v>70</v>
      </c>
      <c r="E5093" s="2" t="s">
        <v>33786</v>
      </c>
      <c r="F5093" s="2">
        <v>209145</v>
      </c>
      <c r="G5093" s="3" t="str">
        <f>HYPERLINK("http://funmeta.oebiotech.com/network/209145", "http://funmeta.oebiotech.com/network/209145")</f>
        <v>http://funmeta.oebiotech.com/network/209145</v>
      </c>
      <c r="H5093" s="2" t="s">
        <v>33787</v>
      </c>
      <c r="I5093" s="2"/>
      <c r="J5093" s="2"/>
      <c r="K5093" s="2"/>
      <c r="L5093" s="2"/>
      <c r="M5093" s="2"/>
      <c r="N5093" s="2"/>
      <c r="O5093" s="2">
        <v>10335813</v>
      </c>
      <c r="P5093" s="2"/>
      <c r="Q5093" s="2" t="s">
        <v>33788</v>
      </c>
      <c r="R5093" s="2" t="s">
        <v>33789</v>
      </c>
      <c r="S5093" s="2" t="s">
        <v>491</v>
      </c>
      <c r="T5093" s="2" t="s">
        <v>25326</v>
      </c>
      <c r="U5093" s="2" t="s">
        <v>25327</v>
      </c>
      <c r="V5093" s="2" t="s">
        <v>59</v>
      </c>
      <c r="W5093" s="2">
        <v>38.6</v>
      </c>
      <c r="X5093" s="2">
        <v>0</v>
      </c>
      <c r="Y5093" s="2" t="s">
        <v>560</v>
      </c>
      <c r="Z5093" s="2" t="s">
        <v>33790</v>
      </c>
      <c r="AA5093" s="2">
        <v>-0.93640914275577203</v>
      </c>
      <c r="AB5093" s="2">
        <v>0.104911264885792</v>
      </c>
      <c r="AC5093" s="2">
        <v>4205.1729419306303</v>
      </c>
      <c r="AD5093" s="2">
        <v>5272.0954977910797</v>
      </c>
      <c r="AE5093" s="2">
        <v>3520.2237026241401</v>
      </c>
      <c r="AF5093" s="2">
        <v>4058.31455199525</v>
      </c>
      <c r="AG5093" s="2">
        <v>4365.3860685005102</v>
      </c>
      <c r="AH5093" s="2">
        <v>4564.5955973311002</v>
      </c>
      <c r="AI5093" s="2">
        <v>4405.73027906071</v>
      </c>
      <c r="AJ5093" s="2">
        <v>4316.7874520720698</v>
      </c>
      <c r="AK5093" s="2">
        <v>4030.7671760779199</v>
      </c>
      <c r="AL5093" s="2">
        <v>5636.6791063254896</v>
      </c>
      <c r="AM5093" s="2">
        <v>4733.71834092685</v>
      </c>
      <c r="AN5093" s="2">
        <v>6476.3841284688096</v>
      </c>
      <c r="AO5093" s="2">
        <v>5503.8328603899199</v>
      </c>
      <c r="AP5093" s="2">
        <v>5251.1913745574702</v>
      </c>
    </row>
    <row r="5094" spans="1:42" ht="14.5" x14ac:dyDescent="0.35">
      <c r="A5094" s="2" t="s">
        <v>33791</v>
      </c>
      <c r="B5094" s="2">
        <v>283.15347365891603</v>
      </c>
      <c r="C5094" s="2">
        <v>11.4614333333333</v>
      </c>
      <c r="D5094" s="2" t="s">
        <v>34</v>
      </c>
      <c r="E5094" s="2" t="s">
        <v>33792</v>
      </c>
      <c r="F5094" s="2">
        <v>58908</v>
      </c>
      <c r="G5094" s="3" t="str">
        <f>HYPERLINK("http://funmeta.oebiotech.com/network/58908", "http://funmeta.oebiotech.com/network/58908")</f>
        <v>http://funmeta.oebiotech.com/network/58908</v>
      </c>
      <c r="H5094" s="2" t="s">
        <v>33793</v>
      </c>
      <c r="I5094" s="2">
        <v>90349</v>
      </c>
      <c r="J5094" s="2"/>
      <c r="K5094" s="2"/>
      <c r="L5094" s="2"/>
      <c r="M5094" s="2"/>
      <c r="N5094" s="2"/>
      <c r="O5094" s="2">
        <v>14138149</v>
      </c>
      <c r="P5094" s="2" t="s">
        <v>33794</v>
      </c>
      <c r="Q5094" s="2" t="s">
        <v>33795</v>
      </c>
      <c r="R5094" s="2" t="s">
        <v>33796</v>
      </c>
      <c r="S5094" s="2" t="s">
        <v>50</v>
      </c>
      <c r="T5094" s="2" t="s">
        <v>201</v>
      </c>
      <c r="U5094" s="2" t="s">
        <v>1217</v>
      </c>
      <c r="V5094" s="2" t="s">
        <v>59</v>
      </c>
      <c r="W5094" s="2">
        <v>41.4</v>
      </c>
      <c r="X5094" s="2">
        <v>14.7</v>
      </c>
      <c r="Y5094" s="2" t="s">
        <v>394</v>
      </c>
      <c r="Z5094" s="2" t="s">
        <v>12135</v>
      </c>
      <c r="AA5094" s="2">
        <v>-1.8663212429023299</v>
      </c>
      <c r="AB5094" s="2">
        <v>0.10487890062317901</v>
      </c>
      <c r="AC5094" s="2">
        <v>16339.6859523648</v>
      </c>
      <c r="AD5094" s="2">
        <v>17623.534517265001</v>
      </c>
      <c r="AE5094" s="2">
        <v>16791.119261946002</v>
      </c>
      <c r="AF5094" s="2">
        <v>16978.382920648299</v>
      </c>
      <c r="AG5094" s="2">
        <v>15254.219890500999</v>
      </c>
      <c r="AH5094" s="2">
        <v>16321.390060736399</v>
      </c>
      <c r="AI5094" s="2">
        <v>15578.4331994847</v>
      </c>
      <c r="AJ5094" s="2">
        <v>17114.570380872701</v>
      </c>
      <c r="AK5094" s="2">
        <v>19849.113279934099</v>
      </c>
      <c r="AL5094" s="2">
        <v>17135.284127668299</v>
      </c>
      <c r="AM5094" s="2">
        <v>16211.5506280643</v>
      </c>
      <c r="AN5094" s="2">
        <v>17220.216499716</v>
      </c>
      <c r="AO5094" s="2">
        <v>17615.602068775701</v>
      </c>
      <c r="AP5094" s="2">
        <v>17709.440499431501</v>
      </c>
    </row>
    <row r="5095" spans="1:42" ht="14.5" x14ac:dyDescent="0.35">
      <c r="A5095" s="2" t="s">
        <v>33797</v>
      </c>
      <c r="B5095" s="2">
        <v>585.12422093471002</v>
      </c>
      <c r="C5095" s="2">
        <v>4.5236333333333301</v>
      </c>
      <c r="D5095" s="2" t="s">
        <v>70</v>
      </c>
      <c r="E5095" s="2" t="s">
        <v>33798</v>
      </c>
      <c r="F5095" s="2">
        <v>61118</v>
      </c>
      <c r="G5095" s="3" t="str">
        <f>HYPERLINK("http://funmeta.oebiotech.com/network/61118", "http://funmeta.oebiotech.com/network/61118")</f>
        <v>http://funmeta.oebiotech.com/network/61118</v>
      </c>
      <c r="H5095" s="2" t="s">
        <v>33799</v>
      </c>
      <c r="I5095" s="2"/>
      <c r="J5095" s="2"/>
      <c r="K5095" s="2"/>
      <c r="L5095" s="2"/>
      <c r="M5095" s="2"/>
      <c r="N5095" s="2"/>
      <c r="O5095" s="2">
        <v>74819365</v>
      </c>
      <c r="P5095" s="2" t="s">
        <v>33800</v>
      </c>
      <c r="Q5095" s="2" t="s">
        <v>33801</v>
      </c>
      <c r="R5095" s="2" t="s">
        <v>33802</v>
      </c>
      <c r="S5095" s="2" t="s">
        <v>115</v>
      </c>
      <c r="T5095" s="2" t="s">
        <v>139</v>
      </c>
      <c r="U5095" s="2" t="s">
        <v>140</v>
      </c>
      <c r="V5095" s="2" t="s">
        <v>59</v>
      </c>
      <c r="W5095" s="2">
        <v>36.700000000000003</v>
      </c>
      <c r="X5095" s="2">
        <v>0</v>
      </c>
      <c r="Y5095" s="2" t="s">
        <v>118</v>
      </c>
      <c r="Z5095" s="2" t="s">
        <v>33803</v>
      </c>
      <c r="AA5095" s="2">
        <v>-1.2934639621088799</v>
      </c>
      <c r="AB5095" s="2">
        <v>0.104702681931252</v>
      </c>
      <c r="AC5095" s="2">
        <v>3100.7166124600399</v>
      </c>
      <c r="AD5095" s="2">
        <v>2008.7610577359401</v>
      </c>
      <c r="AE5095" s="2">
        <v>2532.2479693350901</v>
      </c>
      <c r="AF5095" s="2">
        <v>4709.8464188297503</v>
      </c>
      <c r="AG5095" s="2">
        <v>3057.0032592265202</v>
      </c>
      <c r="AH5095" s="2">
        <v>2616.42298392169</v>
      </c>
      <c r="AI5095" s="2">
        <v>2917.4085186192501</v>
      </c>
      <c r="AJ5095" s="2">
        <v>2771.3705248279198</v>
      </c>
      <c r="AK5095" s="2">
        <v>2805.76434002631</v>
      </c>
      <c r="AL5095" s="2">
        <v>1856.46551313793</v>
      </c>
      <c r="AM5095" s="2">
        <v>1105.5884576368501</v>
      </c>
      <c r="AN5095" s="2">
        <v>2013.9123774517</v>
      </c>
      <c r="AO5095" s="2">
        <v>2051.1394478478501</v>
      </c>
      <c r="AP5095" s="2">
        <v>2219.6962103149799</v>
      </c>
    </row>
    <row r="5096" spans="1:42" ht="14.5" x14ac:dyDescent="0.35">
      <c r="A5096" s="2" t="s">
        <v>33804</v>
      </c>
      <c r="B5096" s="2">
        <v>307.16497517709098</v>
      </c>
      <c r="C5096" s="2">
        <v>4.9308666666666703</v>
      </c>
      <c r="D5096" s="2" t="s">
        <v>34</v>
      </c>
      <c r="E5096" s="2" t="s">
        <v>33805</v>
      </c>
      <c r="F5096" s="2">
        <v>64880</v>
      </c>
      <c r="G5096" s="3" t="str">
        <f>HYPERLINK("http://funmeta.oebiotech.com/network/64880", "http://funmeta.oebiotech.com/network/64880")</f>
        <v>http://funmeta.oebiotech.com/network/64880</v>
      </c>
      <c r="H5096" s="2" t="s">
        <v>33806</v>
      </c>
      <c r="I5096" s="2"/>
      <c r="J5096" s="2"/>
      <c r="K5096" s="2">
        <v>41001</v>
      </c>
      <c r="L5096" s="2"/>
      <c r="M5096" s="2"/>
      <c r="N5096" s="2"/>
      <c r="O5096" s="2">
        <v>442997</v>
      </c>
      <c r="P5096" s="2" t="s">
        <v>33807</v>
      </c>
      <c r="Q5096" s="2" t="s">
        <v>33808</v>
      </c>
      <c r="R5096" s="2" t="s">
        <v>33809</v>
      </c>
      <c r="S5096" s="2" t="s">
        <v>148</v>
      </c>
      <c r="T5096" s="2" t="s">
        <v>149</v>
      </c>
      <c r="U5096" s="2" t="s">
        <v>1593</v>
      </c>
      <c r="V5096" s="2" t="s">
        <v>59</v>
      </c>
      <c r="W5096" s="2">
        <v>38.4</v>
      </c>
      <c r="X5096" s="2">
        <v>0</v>
      </c>
      <c r="Y5096" s="2" t="s">
        <v>43</v>
      </c>
      <c r="Z5096" s="2" t="s">
        <v>17335</v>
      </c>
      <c r="AA5096" s="2">
        <v>-0.89386788003413198</v>
      </c>
      <c r="AB5096" s="2">
        <v>0.104634318370708</v>
      </c>
      <c r="AC5096" s="2">
        <v>5733.9409636750897</v>
      </c>
      <c r="AD5096" s="2">
        <v>6892.8640410244598</v>
      </c>
      <c r="AE5096" s="2">
        <v>5279.1684377333304</v>
      </c>
      <c r="AF5096" s="2">
        <v>5628.2486713020799</v>
      </c>
      <c r="AG5096" s="2">
        <v>5705.3417599377599</v>
      </c>
      <c r="AH5096" s="2">
        <v>5421.6432882868503</v>
      </c>
      <c r="AI5096" s="2">
        <v>7307.6804806030495</v>
      </c>
      <c r="AJ5096" s="2">
        <v>5061.5631441874903</v>
      </c>
      <c r="AK5096" s="2">
        <v>6302.9601102256702</v>
      </c>
      <c r="AL5096" s="2">
        <v>6568.0374085449303</v>
      </c>
      <c r="AM5096" s="2">
        <v>6383.0183444041504</v>
      </c>
      <c r="AN5096" s="2">
        <v>8425.3902255686498</v>
      </c>
      <c r="AO5096" s="2">
        <v>6269.8770691529699</v>
      </c>
      <c r="AP5096" s="2">
        <v>7407.9010882503599</v>
      </c>
    </row>
    <row r="5097" spans="1:42" ht="14.5" x14ac:dyDescent="0.35">
      <c r="A5097" s="2" t="s">
        <v>33810</v>
      </c>
      <c r="B5097" s="2">
        <v>198.03726048531601</v>
      </c>
      <c r="C5097" s="2">
        <v>1.1643666666666701</v>
      </c>
      <c r="D5097" s="2" t="s">
        <v>34</v>
      </c>
      <c r="E5097" s="2" t="s">
        <v>33811</v>
      </c>
      <c r="F5097" s="2">
        <v>47236</v>
      </c>
      <c r="G5097" s="3" t="str">
        <f>HYPERLINK("http://funmeta.oebiotech.com/network/47236", "http://funmeta.oebiotech.com/network/47236")</f>
        <v>http://funmeta.oebiotech.com/network/47236</v>
      </c>
      <c r="H5097" s="2" t="s">
        <v>33812</v>
      </c>
      <c r="I5097" s="2">
        <v>3769</v>
      </c>
      <c r="J5097" s="2"/>
      <c r="K5097" s="2">
        <v>21547</v>
      </c>
      <c r="L5097" s="2" t="s">
        <v>33813</v>
      </c>
      <c r="M5097" s="2" t="s">
        <v>33814</v>
      </c>
      <c r="N5097" s="2" t="s">
        <v>33815</v>
      </c>
      <c r="O5097" s="2">
        <v>65065</v>
      </c>
      <c r="P5097" s="2" t="s">
        <v>33816</v>
      </c>
      <c r="Q5097" s="2" t="s">
        <v>33817</v>
      </c>
      <c r="R5097" s="2" t="s">
        <v>33818</v>
      </c>
      <c r="S5097" s="2" t="s">
        <v>89</v>
      </c>
      <c r="T5097" s="2" t="s">
        <v>90</v>
      </c>
      <c r="U5097" s="2" t="s">
        <v>99</v>
      </c>
      <c r="V5097" s="2" t="s">
        <v>59</v>
      </c>
      <c r="W5097" s="2">
        <v>39</v>
      </c>
      <c r="X5097" s="2">
        <v>0</v>
      </c>
      <c r="Y5097" s="2" t="s">
        <v>323</v>
      </c>
      <c r="Z5097" s="2" t="s">
        <v>33819</v>
      </c>
      <c r="AA5097" s="2">
        <v>-0.18615408855106499</v>
      </c>
      <c r="AB5097" s="2">
        <v>0.104539716596392</v>
      </c>
      <c r="AC5097" s="2">
        <v>2053.8607116275102</v>
      </c>
      <c r="AD5097" s="2">
        <v>1317.4673584965999</v>
      </c>
      <c r="AE5097" s="2">
        <v>2225.6215706032799</v>
      </c>
      <c r="AF5097" s="2">
        <v>2007.2680450354601</v>
      </c>
      <c r="AG5097" s="2">
        <v>1990.33879099818</v>
      </c>
      <c r="AH5097" s="2">
        <v>1995.64709466402</v>
      </c>
      <c r="AI5097" s="2">
        <v>2002.6055974834301</v>
      </c>
      <c r="AJ5097" s="2">
        <v>2101.6831709806802</v>
      </c>
      <c r="AK5097" s="2">
        <v>1413.66985993463</v>
      </c>
      <c r="AL5097" s="2">
        <v>1271.01550447912</v>
      </c>
      <c r="AM5097" s="2">
        <v>1249.7625213803699</v>
      </c>
      <c r="AN5097" s="2">
        <v>1251.29487289847</v>
      </c>
      <c r="AO5097" s="2">
        <v>1243.3543093808</v>
      </c>
      <c r="AP5097" s="2">
        <v>1475.7070829062</v>
      </c>
    </row>
    <row r="5098" spans="1:42" ht="14.5" x14ac:dyDescent="0.35">
      <c r="A5098" s="2" t="s">
        <v>33820</v>
      </c>
      <c r="B5098" s="2">
        <v>491.26599850320201</v>
      </c>
      <c r="C5098" s="2">
        <v>9.9829166666666698</v>
      </c>
      <c r="D5098" s="2" t="s">
        <v>70</v>
      </c>
      <c r="E5098" s="2" t="s">
        <v>33821</v>
      </c>
      <c r="F5098" s="2">
        <v>199106</v>
      </c>
      <c r="G5098" s="3" t="str">
        <f>HYPERLINK("http://funmeta.oebiotech.com/network/199106", "http://funmeta.oebiotech.com/network/199106")</f>
        <v>http://funmeta.oebiotech.com/network/199106</v>
      </c>
      <c r="H5098" s="2" t="s">
        <v>33822</v>
      </c>
      <c r="I5098" s="2"/>
      <c r="J5098" s="2"/>
      <c r="K5098" s="2"/>
      <c r="L5098" s="2"/>
      <c r="M5098" s="2"/>
      <c r="N5098" s="2"/>
      <c r="O5098" s="2">
        <v>22219016</v>
      </c>
      <c r="P5098" s="2"/>
      <c r="Q5098" s="2" t="s">
        <v>33823</v>
      </c>
      <c r="R5098" s="2" t="s">
        <v>33824</v>
      </c>
      <c r="S5098" s="2" t="s">
        <v>50</v>
      </c>
      <c r="T5098" s="2" t="s">
        <v>201</v>
      </c>
      <c r="U5098" s="2" t="s">
        <v>202</v>
      </c>
      <c r="V5098" s="2" t="s">
        <v>59</v>
      </c>
      <c r="W5098" s="2">
        <v>38.299999999999997</v>
      </c>
      <c r="X5098" s="2">
        <v>0.63600000000000001</v>
      </c>
      <c r="Y5098" s="2" t="s">
        <v>286</v>
      </c>
      <c r="Z5098" s="2" t="s">
        <v>17665</v>
      </c>
      <c r="AA5098" s="2">
        <v>1.9434282343215199</v>
      </c>
      <c r="AB5098" s="2">
        <v>0.10452573182542001</v>
      </c>
      <c r="AC5098" s="2">
        <v>3170.0962731173199</v>
      </c>
      <c r="AD5098" s="2">
        <v>4322.3720566807897</v>
      </c>
      <c r="AE5098" s="2">
        <v>3282.1551454799401</v>
      </c>
      <c r="AF5098" s="2">
        <v>2402.5022157694998</v>
      </c>
      <c r="AG5098" s="2">
        <v>2781.9284938312899</v>
      </c>
      <c r="AH5098" s="2">
        <v>3715.1807841468299</v>
      </c>
      <c r="AI5098" s="2">
        <v>3586.7835004732901</v>
      </c>
      <c r="AJ5098" s="2">
        <v>3252.0274990030898</v>
      </c>
      <c r="AK5098" s="2">
        <v>5812.8292176683899</v>
      </c>
      <c r="AL5098" s="2">
        <v>3245.0689490323698</v>
      </c>
      <c r="AM5098" s="2">
        <v>5129.0967958751098</v>
      </c>
      <c r="AN5098" s="2">
        <v>3264.8184826951501</v>
      </c>
      <c r="AO5098" s="2">
        <v>4433.7994490122901</v>
      </c>
      <c r="AP5098" s="2">
        <v>4048.6194458014502</v>
      </c>
    </row>
    <row r="5099" spans="1:42" ht="14.5" x14ac:dyDescent="0.35">
      <c r="A5099" s="2" t="s">
        <v>33825</v>
      </c>
      <c r="B5099" s="2">
        <v>657.38509483308303</v>
      </c>
      <c r="C5099" s="2">
        <v>5.7290666666666699</v>
      </c>
      <c r="D5099" s="2" t="s">
        <v>70</v>
      </c>
      <c r="E5099" s="2" t="s">
        <v>33826</v>
      </c>
      <c r="F5099" s="2">
        <v>279756</v>
      </c>
      <c r="G5099" s="3" t="str">
        <f>HYPERLINK("http://funmeta.oebiotech.com/network/279756", "http://funmeta.oebiotech.com/network/279756")</f>
        <v>http://funmeta.oebiotech.com/network/279756</v>
      </c>
      <c r="H5099" s="2"/>
      <c r="I5099" s="2">
        <v>72540</v>
      </c>
      <c r="J5099" s="2"/>
      <c r="K5099" s="2"/>
      <c r="L5099" s="2" t="s">
        <v>33827</v>
      </c>
      <c r="M5099" s="2"/>
      <c r="N5099" s="2"/>
      <c r="O5099" s="2">
        <v>135492483</v>
      </c>
      <c r="P5099" s="2" t="s">
        <v>33828</v>
      </c>
      <c r="Q5099" s="2" t="s">
        <v>33829</v>
      </c>
      <c r="R5099" s="2" t="s">
        <v>33830</v>
      </c>
      <c r="S5099" s="2" t="s">
        <v>79</v>
      </c>
      <c r="T5099" s="2" t="s">
        <v>80</v>
      </c>
      <c r="U5099" s="2" t="s">
        <v>2820</v>
      </c>
      <c r="V5099" s="2" t="s">
        <v>59</v>
      </c>
      <c r="W5099" s="2">
        <v>36.799999999999997</v>
      </c>
      <c r="X5099" s="2">
        <v>0</v>
      </c>
      <c r="Y5099" s="2" t="s">
        <v>560</v>
      </c>
      <c r="Z5099" s="2" t="s">
        <v>33831</v>
      </c>
      <c r="AA5099" s="2">
        <v>-8.8338542972007694</v>
      </c>
      <c r="AB5099" s="2">
        <v>0.104345751709625</v>
      </c>
      <c r="AC5099" s="2">
        <v>3164.2108760685001</v>
      </c>
      <c r="AD5099" s="2">
        <v>4067.98281806148</v>
      </c>
      <c r="AE5099" s="2">
        <v>3000.0049082599298</v>
      </c>
      <c r="AF5099" s="2">
        <v>2902.9696199770101</v>
      </c>
      <c r="AG5099" s="2">
        <v>2800.2961203090799</v>
      </c>
      <c r="AH5099" s="2">
        <v>3563.3029647984499</v>
      </c>
      <c r="AI5099" s="2">
        <v>3269.2115672520199</v>
      </c>
      <c r="AJ5099" s="2">
        <v>3449.4800758145202</v>
      </c>
      <c r="AK5099" s="2">
        <v>4330.8346494306797</v>
      </c>
      <c r="AL5099" s="2">
        <v>3832.2675506957598</v>
      </c>
      <c r="AM5099" s="2">
        <v>4015.2925676628902</v>
      </c>
      <c r="AN5099" s="2">
        <v>3409.6616163087501</v>
      </c>
      <c r="AO5099" s="2">
        <v>4089.2060046875399</v>
      </c>
      <c r="AP5099" s="2">
        <v>4730.6345195832901</v>
      </c>
    </row>
    <row r="5100" spans="1:42" ht="14.5" x14ac:dyDescent="0.35">
      <c r="A5100" s="2" t="s">
        <v>33832</v>
      </c>
      <c r="B5100" s="2">
        <v>202.18008830688501</v>
      </c>
      <c r="C5100" s="2">
        <v>1.06171666666667</v>
      </c>
      <c r="D5100" s="2" t="s">
        <v>34</v>
      </c>
      <c r="E5100" s="2" t="s">
        <v>33833</v>
      </c>
      <c r="F5100" s="2">
        <v>28321</v>
      </c>
      <c r="G5100" s="3" t="str">
        <f>HYPERLINK("http://funmeta.oebiotech.com/network/28321", "http://funmeta.oebiotech.com/network/28321")</f>
        <v>http://funmeta.oebiotech.com/network/28321</v>
      </c>
      <c r="H5100" s="2"/>
      <c r="I5100" s="2">
        <v>102859</v>
      </c>
      <c r="J5100" s="2" t="s">
        <v>33834</v>
      </c>
      <c r="K5100" s="2"/>
      <c r="L5100" s="2"/>
      <c r="M5100" s="2"/>
      <c r="N5100" s="2"/>
      <c r="O5100" s="2">
        <v>56940669</v>
      </c>
      <c r="P5100" s="2"/>
      <c r="Q5100" s="2" t="s">
        <v>33835</v>
      </c>
      <c r="R5100" s="2" t="s">
        <v>33836</v>
      </c>
      <c r="S5100" s="2" t="s">
        <v>79</v>
      </c>
      <c r="T5100" s="2" t="s">
        <v>80</v>
      </c>
      <c r="U5100" s="2" t="s">
        <v>249</v>
      </c>
      <c r="V5100" s="2" t="s">
        <v>59</v>
      </c>
      <c r="W5100" s="2">
        <v>42.6</v>
      </c>
      <c r="X5100" s="2">
        <v>16.100000000000001</v>
      </c>
      <c r="Y5100" s="2" t="s">
        <v>43</v>
      </c>
      <c r="Z5100" s="2" t="s">
        <v>33837</v>
      </c>
      <c r="AA5100" s="2">
        <v>-0.36440386779032002</v>
      </c>
      <c r="AB5100" s="2">
        <v>0.104173929778748</v>
      </c>
      <c r="AC5100" s="2">
        <v>881.33762986299496</v>
      </c>
      <c r="AD5100" s="2">
        <v>121.372661390814</v>
      </c>
      <c r="AE5100" s="2">
        <v>865.73971250606303</v>
      </c>
      <c r="AF5100" s="2">
        <v>961.66350769981898</v>
      </c>
      <c r="AG5100" s="2">
        <v>934.98454328180503</v>
      </c>
      <c r="AH5100" s="2">
        <v>1141.5986409239599</v>
      </c>
      <c r="AI5100" s="2">
        <v>696.95168829700197</v>
      </c>
      <c r="AJ5100" s="2">
        <v>687.08768646932106</v>
      </c>
      <c r="AK5100" s="2">
        <v>0.56387920551270998</v>
      </c>
      <c r="AL5100" s="2">
        <v>232.98159588407501</v>
      </c>
      <c r="AM5100" s="2">
        <v>0.11947259426731199</v>
      </c>
      <c r="AN5100" s="2">
        <v>155.37944075575999</v>
      </c>
      <c r="AO5100" s="2">
        <v>339.19155279897399</v>
      </c>
      <c r="AP5100" s="2">
        <v>2.7106294003980101E-5</v>
      </c>
    </row>
    <row r="5101" spans="1:42" ht="14.5" x14ac:dyDescent="0.35">
      <c r="A5101" s="2" t="s">
        <v>33838</v>
      </c>
      <c r="B5101" s="2">
        <v>447.34646005743201</v>
      </c>
      <c r="C5101" s="2">
        <v>11.688883333333299</v>
      </c>
      <c r="D5101" s="2" t="s">
        <v>34</v>
      </c>
      <c r="E5101" s="2" t="s">
        <v>33839</v>
      </c>
      <c r="F5101" s="2">
        <v>64241</v>
      </c>
      <c r="G5101" s="3" t="str">
        <f>HYPERLINK("http://funmeta.oebiotech.com/network/64241", "http://funmeta.oebiotech.com/network/64241")</f>
        <v>http://funmeta.oebiotech.com/network/64241</v>
      </c>
      <c r="H5101" s="2" t="s">
        <v>33840</v>
      </c>
      <c r="I5101" s="2">
        <v>95564</v>
      </c>
      <c r="J5101" s="2"/>
      <c r="K5101" s="2"/>
      <c r="L5101" s="2"/>
      <c r="M5101" s="2"/>
      <c r="N5101" s="2"/>
      <c r="O5101" s="2">
        <v>14153905</v>
      </c>
      <c r="P5101" s="2" t="s">
        <v>33841</v>
      </c>
      <c r="Q5101" s="2" t="s">
        <v>33842</v>
      </c>
      <c r="R5101" s="2" t="s">
        <v>33843</v>
      </c>
      <c r="S5101" s="2" t="s">
        <v>50</v>
      </c>
      <c r="T5101" s="2" t="s">
        <v>124</v>
      </c>
      <c r="U5101" s="2" t="s">
        <v>567</v>
      </c>
      <c r="V5101" s="2" t="s">
        <v>42</v>
      </c>
      <c r="W5101" s="2">
        <v>49.9</v>
      </c>
      <c r="X5101" s="2">
        <v>58.3</v>
      </c>
      <c r="Y5101" s="2" t="s">
        <v>141</v>
      </c>
      <c r="Z5101" s="2" t="s">
        <v>33844</v>
      </c>
      <c r="AA5101" s="2">
        <v>-0.91812117569167195</v>
      </c>
      <c r="AB5101" s="2">
        <v>0.104070429935048</v>
      </c>
      <c r="AC5101" s="2">
        <v>15366.105253559101</v>
      </c>
      <c r="AD5101" s="2">
        <v>16941.837789448098</v>
      </c>
      <c r="AE5101" s="2">
        <v>13585.5706016161</v>
      </c>
      <c r="AF5101" s="2">
        <v>16209.7864730371</v>
      </c>
      <c r="AG5101" s="2">
        <v>15522.967450628001</v>
      </c>
      <c r="AH5101" s="2">
        <v>15279.992952475101</v>
      </c>
      <c r="AI5101" s="2">
        <v>13514.022359340001</v>
      </c>
      <c r="AJ5101" s="2">
        <v>18084.2916842583</v>
      </c>
      <c r="AK5101" s="2">
        <v>19969.567891511499</v>
      </c>
      <c r="AL5101" s="2">
        <v>17166.9936292618</v>
      </c>
      <c r="AM5101" s="2">
        <v>16168.4939696082</v>
      </c>
      <c r="AN5101" s="2">
        <v>15376.034070720199</v>
      </c>
      <c r="AO5101" s="2">
        <v>16348.9127919516</v>
      </c>
      <c r="AP5101" s="2">
        <v>16621.0243836355</v>
      </c>
    </row>
    <row r="5102" spans="1:42" ht="14.5" x14ac:dyDescent="0.35">
      <c r="A5102" s="2" t="s">
        <v>33845</v>
      </c>
      <c r="B5102" s="2">
        <v>174.07618252357</v>
      </c>
      <c r="C5102" s="2">
        <v>1.20376666666667</v>
      </c>
      <c r="D5102" s="2" t="s">
        <v>70</v>
      </c>
      <c r="E5102" s="2" t="s">
        <v>33846</v>
      </c>
      <c r="F5102" s="2">
        <v>47856</v>
      </c>
      <c r="G5102" s="3" t="str">
        <f>HYPERLINK("http://funmeta.oebiotech.com/network/47856", "http://funmeta.oebiotech.com/network/47856")</f>
        <v>http://funmeta.oebiotech.com/network/47856</v>
      </c>
      <c r="H5102" s="2" t="s">
        <v>33847</v>
      </c>
      <c r="I5102" s="2">
        <v>6542</v>
      </c>
      <c r="J5102" s="2"/>
      <c r="K5102" s="2"/>
      <c r="L5102" s="2"/>
      <c r="M5102" s="2"/>
      <c r="N5102" s="2"/>
      <c r="O5102" s="2">
        <v>2572</v>
      </c>
      <c r="P5102" s="2" t="s">
        <v>33848</v>
      </c>
      <c r="Q5102" s="2" t="s">
        <v>33849</v>
      </c>
      <c r="R5102" s="2" t="s">
        <v>33850</v>
      </c>
      <c r="S5102" s="2" t="s">
        <v>89</v>
      </c>
      <c r="T5102" s="2" t="s">
        <v>90</v>
      </c>
      <c r="U5102" s="2" t="s">
        <v>99</v>
      </c>
      <c r="V5102" s="2" t="s">
        <v>59</v>
      </c>
      <c r="W5102" s="2">
        <v>40.299999999999997</v>
      </c>
      <c r="X5102" s="2">
        <v>11.1</v>
      </c>
      <c r="Y5102" s="2" t="s">
        <v>118</v>
      </c>
      <c r="Z5102" s="2" t="s">
        <v>28437</v>
      </c>
      <c r="AA5102" s="2">
        <v>-5.7055000290332698</v>
      </c>
      <c r="AB5102" s="2">
        <v>0.10402272500908299</v>
      </c>
      <c r="AC5102" s="2">
        <v>2397.4050894337902</v>
      </c>
      <c r="AD5102" s="2">
        <v>1628.69051846558</v>
      </c>
      <c r="AE5102" s="2">
        <v>2472.9196673507499</v>
      </c>
      <c r="AF5102" s="2">
        <v>2320.1324318910401</v>
      </c>
      <c r="AG5102" s="2">
        <v>2171.1476856260902</v>
      </c>
      <c r="AH5102" s="2">
        <v>2249.1660700470402</v>
      </c>
      <c r="AI5102" s="2">
        <v>2588.52704525118</v>
      </c>
      <c r="AJ5102" s="2">
        <v>2582.5376364366298</v>
      </c>
      <c r="AK5102" s="2">
        <v>1806.8018505135899</v>
      </c>
      <c r="AL5102" s="2">
        <v>1657.4203653772499</v>
      </c>
      <c r="AM5102" s="2">
        <v>1332.4708591196199</v>
      </c>
      <c r="AN5102" s="2">
        <v>1642.8030431772199</v>
      </c>
      <c r="AO5102" s="2">
        <v>1576.7119019838899</v>
      </c>
      <c r="AP5102" s="2">
        <v>1755.9350906219099</v>
      </c>
    </row>
    <row r="5103" spans="1:42" ht="14.5" x14ac:dyDescent="0.35">
      <c r="A5103" s="2" t="s">
        <v>33851</v>
      </c>
      <c r="B5103" s="2">
        <v>131.08138788974</v>
      </c>
      <c r="C5103" s="2">
        <v>0.67131666666666701</v>
      </c>
      <c r="D5103" s="2" t="s">
        <v>70</v>
      </c>
      <c r="E5103" s="2" t="s">
        <v>33852</v>
      </c>
      <c r="F5103" s="2">
        <v>2499</v>
      </c>
      <c r="G5103" s="3" t="str">
        <f>HYPERLINK("http://funmeta.oebiotech.com/network/2499", "http://funmeta.oebiotech.com/network/2499")</f>
        <v>http://funmeta.oebiotech.com/network/2499</v>
      </c>
      <c r="H5103" s="2" t="s">
        <v>33479</v>
      </c>
      <c r="I5103" s="2">
        <v>27</v>
      </c>
      <c r="J5103" s="2" t="s">
        <v>33853</v>
      </c>
      <c r="K5103" s="2">
        <v>18257</v>
      </c>
      <c r="L5103" s="2" t="s">
        <v>33854</v>
      </c>
      <c r="M5103" s="2"/>
      <c r="N5103" s="2"/>
      <c r="O5103" s="2">
        <v>389</v>
      </c>
      <c r="P5103" s="2" t="s">
        <v>33855</v>
      </c>
      <c r="Q5103" s="2" t="s">
        <v>33856</v>
      </c>
      <c r="R5103" s="2" t="s">
        <v>33857</v>
      </c>
      <c r="S5103" s="2" t="s">
        <v>89</v>
      </c>
      <c r="T5103" s="2" t="s">
        <v>90</v>
      </c>
      <c r="U5103" s="2" t="s">
        <v>99</v>
      </c>
      <c r="V5103" s="2" t="s">
        <v>59</v>
      </c>
      <c r="W5103" s="2">
        <v>37.4</v>
      </c>
      <c r="X5103" s="2">
        <v>0</v>
      </c>
      <c r="Y5103" s="2" t="s">
        <v>118</v>
      </c>
      <c r="Z5103" s="2" t="s">
        <v>33486</v>
      </c>
      <c r="AA5103" s="2">
        <v>-9.1855018872821894</v>
      </c>
      <c r="AB5103" s="2">
        <v>0.10393744716567201</v>
      </c>
      <c r="AC5103" s="2">
        <v>822.768165563803</v>
      </c>
      <c r="AD5103" s="2">
        <v>12.8429738628592</v>
      </c>
      <c r="AE5103" s="2">
        <v>384.073789038016</v>
      </c>
      <c r="AF5103" s="2">
        <v>914.24430848936595</v>
      </c>
      <c r="AG5103" s="2">
        <v>838.21575872977303</v>
      </c>
      <c r="AH5103" s="2">
        <v>968.12099765998005</v>
      </c>
      <c r="AI5103" s="2">
        <v>479.50016123122202</v>
      </c>
      <c r="AJ5103" s="2">
        <v>1352.45397823446</v>
      </c>
      <c r="AK5103" s="2">
        <v>41.851181421159701</v>
      </c>
      <c r="AL5103" s="2">
        <v>2.7106294003980101E-5</v>
      </c>
      <c r="AM5103" s="2">
        <v>2.7106294003980101E-5</v>
      </c>
      <c r="AN5103" s="2">
        <v>35.206553330819602</v>
      </c>
      <c r="AO5103" s="2">
        <v>2.7106294003980101E-5</v>
      </c>
      <c r="AP5103" s="2">
        <v>2.7106294003980101E-5</v>
      </c>
    </row>
    <row r="5104" spans="1:42" ht="14.5" x14ac:dyDescent="0.35">
      <c r="A5104" s="2" t="s">
        <v>33858</v>
      </c>
      <c r="B5104" s="2">
        <v>813.491191360269</v>
      </c>
      <c r="C5104" s="2">
        <v>14.6825333333333</v>
      </c>
      <c r="D5104" s="2" t="s">
        <v>34</v>
      </c>
      <c r="E5104" s="2" t="s">
        <v>33859</v>
      </c>
      <c r="F5104" s="2">
        <v>218057</v>
      </c>
      <c r="G5104" s="3" t="str">
        <f>HYPERLINK("http://funmeta.oebiotech.com/network/218057", "http://funmeta.oebiotech.com/network/218057")</f>
        <v>http://funmeta.oebiotech.com/network/218057</v>
      </c>
      <c r="H5104" s="2" t="s">
        <v>33860</v>
      </c>
      <c r="I5104" s="2"/>
      <c r="J5104" s="2"/>
      <c r="K5104" s="2"/>
      <c r="L5104" s="2"/>
      <c r="M5104" s="2"/>
      <c r="N5104" s="2"/>
      <c r="O5104" s="2"/>
      <c r="P5104" s="2"/>
      <c r="Q5104" s="2" t="s">
        <v>33861</v>
      </c>
      <c r="R5104" s="2" t="s">
        <v>33862</v>
      </c>
      <c r="S5104" s="2" t="s">
        <v>41</v>
      </c>
      <c r="T5104" s="2" t="s">
        <v>41</v>
      </c>
      <c r="U5104" s="2" t="s">
        <v>41</v>
      </c>
      <c r="V5104" s="2" t="s">
        <v>59</v>
      </c>
      <c r="W5104" s="2">
        <v>36.9</v>
      </c>
      <c r="X5104" s="2">
        <v>0</v>
      </c>
      <c r="Y5104" s="2" t="s">
        <v>394</v>
      </c>
      <c r="Z5104" s="2" t="s">
        <v>33863</v>
      </c>
      <c r="AA5104" s="2">
        <v>-6.0896661686292403E-2</v>
      </c>
      <c r="AB5104" s="2">
        <v>0.103895989853918</v>
      </c>
      <c r="AC5104" s="2">
        <v>10352.429703805999</v>
      </c>
      <c r="AD5104" s="2">
        <v>9177.0830204837202</v>
      </c>
      <c r="AE5104" s="2">
        <v>9804.5564757019492</v>
      </c>
      <c r="AF5104" s="2">
        <v>9541.3093168778596</v>
      </c>
      <c r="AG5104" s="2">
        <v>10063.609276261401</v>
      </c>
      <c r="AH5104" s="2">
        <v>10089.1098890249</v>
      </c>
      <c r="AI5104" s="2">
        <v>10549.4200688975</v>
      </c>
      <c r="AJ5104" s="2">
        <v>12066.573196072201</v>
      </c>
      <c r="AK5104" s="2">
        <v>8591.1728271451502</v>
      </c>
      <c r="AL5104" s="2">
        <v>9876.5314896038308</v>
      </c>
      <c r="AM5104" s="2">
        <v>8773.3374708308093</v>
      </c>
      <c r="AN5104" s="2">
        <v>9942.8569283803809</v>
      </c>
      <c r="AO5104" s="2">
        <v>9746.2485220852195</v>
      </c>
      <c r="AP5104" s="2">
        <v>8132.3508848569099</v>
      </c>
    </row>
    <row r="5105" spans="1:42" ht="14.5" x14ac:dyDescent="0.35">
      <c r="A5105" s="2" t="s">
        <v>33864</v>
      </c>
      <c r="B5105" s="2">
        <v>275.01609206310201</v>
      </c>
      <c r="C5105" s="2">
        <v>1.2019166666666701</v>
      </c>
      <c r="D5105" s="2" t="s">
        <v>34</v>
      </c>
      <c r="E5105" s="2" t="s">
        <v>33865</v>
      </c>
      <c r="F5105" s="2">
        <v>58826</v>
      </c>
      <c r="G5105" s="3" t="str">
        <f>HYPERLINK("http://funmeta.oebiotech.com/network/58826", "http://funmeta.oebiotech.com/network/58826")</f>
        <v>http://funmeta.oebiotech.com/network/58826</v>
      </c>
      <c r="H5105" s="2" t="s">
        <v>33866</v>
      </c>
      <c r="I5105" s="2">
        <v>90278</v>
      </c>
      <c r="J5105" s="2"/>
      <c r="K5105" s="2"/>
      <c r="L5105" s="2"/>
      <c r="M5105" s="2"/>
      <c r="N5105" s="2"/>
      <c r="O5105" s="2">
        <v>85716035</v>
      </c>
      <c r="P5105" s="2" t="s">
        <v>33867</v>
      </c>
      <c r="Q5105" s="2" t="s">
        <v>33868</v>
      </c>
      <c r="R5105" s="2" t="s">
        <v>33869</v>
      </c>
      <c r="S5105" s="2" t="s">
        <v>5916</v>
      </c>
      <c r="T5105" s="2" t="s">
        <v>33870</v>
      </c>
      <c r="U5105" s="2" t="s">
        <v>41</v>
      </c>
      <c r="V5105" s="2" t="s">
        <v>59</v>
      </c>
      <c r="W5105" s="2">
        <v>38.700000000000003</v>
      </c>
      <c r="X5105" s="2">
        <v>1.78</v>
      </c>
      <c r="Y5105" s="2" t="s">
        <v>141</v>
      </c>
      <c r="Z5105" s="2" t="s">
        <v>33871</v>
      </c>
      <c r="AA5105" s="2">
        <v>-0.86367350007327803</v>
      </c>
      <c r="AB5105" s="2">
        <v>0.10388647311246001</v>
      </c>
      <c r="AC5105" s="2">
        <v>32576.626403961302</v>
      </c>
      <c r="AD5105" s="2">
        <v>34114.015141972202</v>
      </c>
      <c r="AE5105" s="2">
        <v>30465.673064871698</v>
      </c>
      <c r="AF5105" s="2">
        <v>34645.777785833503</v>
      </c>
      <c r="AG5105" s="2">
        <v>33266.048033205399</v>
      </c>
      <c r="AH5105" s="2">
        <v>33068.168864872598</v>
      </c>
      <c r="AI5105" s="2">
        <v>32921.328786789498</v>
      </c>
      <c r="AJ5105" s="2">
        <v>31092.7618881952</v>
      </c>
      <c r="AK5105" s="2">
        <v>31101.543950531399</v>
      </c>
      <c r="AL5105" s="2">
        <v>34861.738736307103</v>
      </c>
      <c r="AM5105" s="2">
        <v>33690.102190280799</v>
      </c>
      <c r="AN5105" s="2">
        <v>36084.407716403301</v>
      </c>
      <c r="AO5105" s="2">
        <v>35211.361579198398</v>
      </c>
      <c r="AP5105" s="2">
        <v>33734.936679112398</v>
      </c>
    </row>
    <row r="5106" spans="1:42" ht="14.5" x14ac:dyDescent="0.35">
      <c r="A5106" s="2" t="s">
        <v>33872</v>
      </c>
      <c r="B5106" s="2">
        <v>217.086315525233</v>
      </c>
      <c r="C5106" s="2">
        <v>5.0599499999999997</v>
      </c>
      <c r="D5106" s="2" t="s">
        <v>70</v>
      </c>
      <c r="E5106" s="2" t="s">
        <v>33873</v>
      </c>
      <c r="F5106" s="2">
        <v>54594</v>
      </c>
      <c r="G5106" s="3" t="str">
        <f>HYPERLINK("http://funmeta.oebiotech.com/network/54594", "http://funmeta.oebiotech.com/network/54594")</f>
        <v>http://funmeta.oebiotech.com/network/54594</v>
      </c>
      <c r="H5106" s="2" t="s">
        <v>33874</v>
      </c>
      <c r="I5106" s="2">
        <v>86426</v>
      </c>
      <c r="J5106" s="2"/>
      <c r="K5106" s="2"/>
      <c r="L5106" s="2"/>
      <c r="M5106" s="2"/>
      <c r="N5106" s="2"/>
      <c r="O5106" s="2">
        <v>7129</v>
      </c>
      <c r="P5106" s="2" t="s">
        <v>33875</v>
      </c>
      <c r="Q5106" s="2" t="s">
        <v>33876</v>
      </c>
      <c r="R5106" s="2" t="s">
        <v>33877</v>
      </c>
      <c r="S5106" s="2" t="s">
        <v>148</v>
      </c>
      <c r="T5106" s="2" t="s">
        <v>6221</v>
      </c>
      <c r="U5106" s="2" t="s">
        <v>41</v>
      </c>
      <c r="V5106" s="2" t="s">
        <v>59</v>
      </c>
      <c r="W5106" s="2">
        <v>38.299999999999997</v>
      </c>
      <c r="X5106" s="2">
        <v>0</v>
      </c>
      <c r="Y5106" s="2" t="s">
        <v>408</v>
      </c>
      <c r="Z5106" s="2" t="s">
        <v>33878</v>
      </c>
      <c r="AA5106" s="2">
        <v>-4.0813179346385899</v>
      </c>
      <c r="AB5106" s="2">
        <v>0.103858385224866</v>
      </c>
      <c r="AC5106" s="2">
        <v>2874.7836019018901</v>
      </c>
      <c r="AD5106" s="2">
        <v>1948.03478466876</v>
      </c>
      <c r="AE5106" s="2">
        <v>3291.2659484277701</v>
      </c>
      <c r="AF5106" s="2">
        <v>3023.7124112890701</v>
      </c>
      <c r="AG5106" s="2">
        <v>2731.99720139069</v>
      </c>
      <c r="AH5106" s="2">
        <v>3357.44406462083</v>
      </c>
      <c r="AI5106" s="2">
        <v>2281.9880589916402</v>
      </c>
      <c r="AJ5106" s="2">
        <v>2562.29392669136</v>
      </c>
      <c r="AK5106" s="2">
        <v>2314.5991706877899</v>
      </c>
      <c r="AL5106" s="2">
        <v>2126.8271262741</v>
      </c>
      <c r="AM5106" s="2">
        <v>1991.89099378319</v>
      </c>
      <c r="AN5106" s="2">
        <v>2446.0009056345002</v>
      </c>
      <c r="AO5106" s="2">
        <v>1356.8494941848601</v>
      </c>
      <c r="AP5106" s="2">
        <v>1452.0410174481201</v>
      </c>
    </row>
    <row r="5107" spans="1:42" ht="14.5" x14ac:dyDescent="0.35">
      <c r="A5107" s="2" t="s">
        <v>33879</v>
      </c>
      <c r="B5107" s="2">
        <v>345.22799358909202</v>
      </c>
      <c r="C5107" s="2">
        <v>5.2831999999999999</v>
      </c>
      <c r="D5107" s="2" t="s">
        <v>70</v>
      </c>
      <c r="E5107" s="2" t="s">
        <v>33880</v>
      </c>
      <c r="F5107" s="2">
        <v>2838</v>
      </c>
      <c r="G5107" s="3" t="str">
        <f>HYPERLINK("http://funmeta.oebiotech.com/network/2838", "http://funmeta.oebiotech.com/network/2838")</f>
        <v>http://funmeta.oebiotech.com/network/2838</v>
      </c>
      <c r="H5107" s="2"/>
      <c r="I5107" s="2">
        <v>74911</v>
      </c>
      <c r="J5107" s="2" t="s">
        <v>33881</v>
      </c>
      <c r="K5107" s="2"/>
      <c r="L5107" s="2"/>
      <c r="M5107" s="2"/>
      <c r="N5107" s="2"/>
      <c r="O5107" s="2">
        <v>9543663</v>
      </c>
      <c r="P5107" s="2"/>
      <c r="Q5107" s="2" t="s">
        <v>33882</v>
      </c>
      <c r="R5107" s="2" t="s">
        <v>33883</v>
      </c>
      <c r="S5107" s="2" t="s">
        <v>50</v>
      </c>
      <c r="T5107" s="2" t="s">
        <v>229</v>
      </c>
      <c r="U5107" s="2" t="s">
        <v>433</v>
      </c>
      <c r="V5107" s="2" t="s">
        <v>59</v>
      </c>
      <c r="W5107" s="2">
        <v>43.3</v>
      </c>
      <c r="X5107" s="2">
        <v>22.2</v>
      </c>
      <c r="Y5107" s="2" t="s">
        <v>408</v>
      </c>
      <c r="Z5107" s="2" t="s">
        <v>33884</v>
      </c>
      <c r="AA5107" s="2">
        <v>-0.89526474560610003</v>
      </c>
      <c r="AB5107" s="2">
        <v>0.103795300551436</v>
      </c>
      <c r="AC5107" s="2">
        <v>6529.3058482666102</v>
      </c>
      <c r="AD5107" s="2">
        <v>7635.9407782168</v>
      </c>
      <c r="AE5107" s="2">
        <v>7690.9430364303198</v>
      </c>
      <c r="AF5107" s="2">
        <v>5816.0260123814996</v>
      </c>
      <c r="AG5107" s="2">
        <v>6725.6807060605297</v>
      </c>
      <c r="AH5107" s="2">
        <v>6397.0393101546097</v>
      </c>
      <c r="AI5107" s="2">
        <v>6978.4860206675803</v>
      </c>
      <c r="AJ5107" s="2">
        <v>5567.66000390511</v>
      </c>
      <c r="AK5107" s="2">
        <v>7382.2493972289603</v>
      </c>
      <c r="AL5107" s="2">
        <v>6934.6790512604402</v>
      </c>
      <c r="AM5107" s="2">
        <v>8918.5612069186209</v>
      </c>
      <c r="AN5107" s="2">
        <v>7715.2382723764304</v>
      </c>
      <c r="AO5107" s="2">
        <v>7745.6970713206802</v>
      </c>
      <c r="AP5107" s="2">
        <v>7119.21967019565</v>
      </c>
    </row>
    <row r="5108" spans="1:42" ht="14.5" x14ac:dyDescent="0.35">
      <c r="A5108" s="2" t="s">
        <v>33885</v>
      </c>
      <c r="B5108" s="2">
        <v>313.07842291201098</v>
      </c>
      <c r="C5108" s="2">
        <v>10.1634333333333</v>
      </c>
      <c r="D5108" s="2" t="s">
        <v>70</v>
      </c>
      <c r="E5108" s="2" t="s">
        <v>33886</v>
      </c>
      <c r="F5108" s="2">
        <v>206973</v>
      </c>
      <c r="G5108" s="3" t="str">
        <f>HYPERLINK("http://funmeta.oebiotech.com/network/206973", "http://funmeta.oebiotech.com/network/206973")</f>
        <v>http://funmeta.oebiotech.com/network/206973</v>
      </c>
      <c r="H5108" s="2" t="s">
        <v>33887</v>
      </c>
      <c r="I5108" s="2"/>
      <c r="J5108" s="2"/>
      <c r="K5108" s="2"/>
      <c r="L5108" s="2"/>
      <c r="M5108" s="2"/>
      <c r="N5108" s="2"/>
      <c r="O5108" s="2"/>
      <c r="P5108" s="2"/>
      <c r="Q5108" s="2" t="s">
        <v>33888</v>
      </c>
      <c r="R5108" s="2" t="s">
        <v>33889</v>
      </c>
      <c r="S5108" s="2" t="s">
        <v>41</v>
      </c>
      <c r="T5108" s="2" t="s">
        <v>41</v>
      </c>
      <c r="U5108" s="2" t="s">
        <v>41</v>
      </c>
      <c r="V5108" s="2" t="s">
        <v>59</v>
      </c>
      <c r="W5108" s="2">
        <v>40.200000000000003</v>
      </c>
      <c r="X5108" s="2">
        <v>15.9</v>
      </c>
      <c r="Y5108" s="2" t="s">
        <v>408</v>
      </c>
      <c r="Z5108" s="2" t="s">
        <v>23776</v>
      </c>
      <c r="AA5108" s="2">
        <v>2.9392514168669801</v>
      </c>
      <c r="AB5108" s="2">
        <v>0.10378854840565201</v>
      </c>
      <c r="AC5108" s="2">
        <v>6797.8033131843904</v>
      </c>
      <c r="AD5108" s="2">
        <v>8237.7832072032998</v>
      </c>
      <c r="AE5108" s="2">
        <v>7340.1500133316904</v>
      </c>
      <c r="AF5108" s="2">
        <v>9113.1629539809401</v>
      </c>
      <c r="AG5108" s="2">
        <v>6509.5255469164103</v>
      </c>
      <c r="AH5108" s="2">
        <v>6641.5079439236397</v>
      </c>
      <c r="AI5108" s="2">
        <v>4726.5193528940999</v>
      </c>
      <c r="AJ5108" s="2">
        <v>6455.9540680595701</v>
      </c>
      <c r="AK5108" s="2">
        <v>10714.978088649201</v>
      </c>
      <c r="AL5108" s="2">
        <v>8290.6378041671505</v>
      </c>
      <c r="AM5108" s="2">
        <v>7397.9107055834302</v>
      </c>
      <c r="AN5108" s="2">
        <v>7765.3407584751103</v>
      </c>
      <c r="AO5108" s="2">
        <v>7387.8033827737499</v>
      </c>
      <c r="AP5108" s="2">
        <v>7870.0285035711704</v>
      </c>
    </row>
    <row r="5109" spans="1:42" ht="14.5" x14ac:dyDescent="0.35">
      <c r="A5109" s="2" t="s">
        <v>33890</v>
      </c>
      <c r="B5109" s="2">
        <v>720.28198546665703</v>
      </c>
      <c r="C5109" s="2">
        <v>8.0060000000000002</v>
      </c>
      <c r="D5109" s="2" t="s">
        <v>70</v>
      </c>
      <c r="E5109" s="2" t="s">
        <v>33891</v>
      </c>
      <c r="F5109" s="2">
        <v>82413</v>
      </c>
      <c r="G5109" s="3" t="str">
        <f>HYPERLINK("http://funmeta.oebiotech.com/network/82413", "http://funmeta.oebiotech.com/network/82413")</f>
        <v>http://funmeta.oebiotech.com/network/82413</v>
      </c>
      <c r="H5109" s="2" t="s">
        <v>33892</v>
      </c>
      <c r="I5109" s="2">
        <v>63641</v>
      </c>
      <c r="J5109" s="2"/>
      <c r="K5109" s="2">
        <v>35490</v>
      </c>
      <c r="L5109" s="2" t="s">
        <v>33893</v>
      </c>
      <c r="M5109" s="2" t="s">
        <v>33894</v>
      </c>
      <c r="N5109" s="2" t="s">
        <v>33895</v>
      </c>
      <c r="O5109" s="2">
        <v>115098</v>
      </c>
      <c r="P5109" s="2" t="s">
        <v>33896</v>
      </c>
      <c r="Q5109" s="2" t="s">
        <v>33897</v>
      </c>
      <c r="R5109" s="2" t="s">
        <v>33898</v>
      </c>
      <c r="S5109" s="2" t="s">
        <v>89</v>
      </c>
      <c r="T5109" s="2" t="s">
        <v>90</v>
      </c>
      <c r="U5109" s="2" t="s">
        <v>99</v>
      </c>
      <c r="V5109" s="2" t="s">
        <v>59</v>
      </c>
      <c r="W5109" s="2">
        <v>36.4</v>
      </c>
      <c r="X5109" s="2">
        <v>0</v>
      </c>
      <c r="Y5109" s="2" t="s">
        <v>118</v>
      </c>
      <c r="Z5109" s="2" t="s">
        <v>33899</v>
      </c>
      <c r="AA5109" s="2">
        <v>0.73639382476136594</v>
      </c>
      <c r="AB5109" s="2">
        <v>0.10370212478975201</v>
      </c>
      <c r="AC5109" s="2">
        <v>4780.8353671247696</v>
      </c>
      <c r="AD5109" s="2">
        <v>6036.1043831547704</v>
      </c>
      <c r="AE5109" s="2">
        <v>4404.7001074216196</v>
      </c>
      <c r="AF5109" s="2">
        <v>4027.7304893697101</v>
      </c>
      <c r="AG5109" s="2">
        <v>5090.5057694802199</v>
      </c>
      <c r="AH5109" s="2">
        <v>4756.3716537502496</v>
      </c>
      <c r="AI5109" s="2">
        <v>6116.81669189679</v>
      </c>
      <c r="AJ5109" s="2">
        <v>4288.8874908300104</v>
      </c>
      <c r="AK5109" s="2">
        <v>4034.9393560849899</v>
      </c>
      <c r="AL5109" s="2">
        <v>6631.5797161479304</v>
      </c>
      <c r="AM5109" s="2">
        <v>4943.2455362868504</v>
      </c>
      <c r="AN5109" s="2">
        <v>6689.8477690457603</v>
      </c>
      <c r="AO5109" s="2">
        <v>7286.2640779245503</v>
      </c>
      <c r="AP5109" s="2">
        <v>6630.7498434385498</v>
      </c>
    </row>
    <row r="5110" spans="1:42" ht="14.5" x14ac:dyDescent="0.35">
      <c r="A5110" s="2" t="s">
        <v>33900</v>
      </c>
      <c r="B5110" s="2">
        <v>720.54006340766296</v>
      </c>
      <c r="C5110" s="2">
        <v>14.05785</v>
      </c>
      <c r="D5110" s="2" t="s">
        <v>34</v>
      </c>
      <c r="E5110" s="2" t="s">
        <v>33901</v>
      </c>
      <c r="F5110" s="2">
        <v>58617</v>
      </c>
      <c r="G5110" s="3" t="str">
        <f>HYPERLINK("http://funmeta.oebiotech.com/network/58617", "http://funmeta.oebiotech.com/network/58617")</f>
        <v>http://funmeta.oebiotech.com/network/58617</v>
      </c>
      <c r="H5110" s="2" t="s">
        <v>33902</v>
      </c>
      <c r="I5110" s="2">
        <v>90086</v>
      </c>
      <c r="J5110" s="2"/>
      <c r="K5110" s="2"/>
      <c r="L5110" s="2"/>
      <c r="M5110" s="2"/>
      <c r="N5110" s="2"/>
      <c r="O5110" s="2">
        <v>14522366</v>
      </c>
      <c r="P5110" s="2" t="s">
        <v>33903</v>
      </c>
      <c r="Q5110" s="2" t="s">
        <v>33904</v>
      </c>
      <c r="R5110" s="2" t="s">
        <v>33905</v>
      </c>
      <c r="S5110" s="2" t="s">
        <v>50</v>
      </c>
      <c r="T5110" s="2" t="s">
        <v>693</v>
      </c>
      <c r="U5110" s="2" t="s">
        <v>694</v>
      </c>
      <c r="V5110" s="2" t="s">
        <v>59</v>
      </c>
      <c r="W5110" s="2">
        <v>37.4</v>
      </c>
      <c r="X5110" s="2">
        <v>0</v>
      </c>
      <c r="Y5110" s="2" t="s">
        <v>323</v>
      </c>
      <c r="Z5110" s="2" t="s">
        <v>33906</v>
      </c>
      <c r="AA5110" s="2">
        <v>2.25698915413777</v>
      </c>
      <c r="AB5110" s="2">
        <v>0.103659626812733</v>
      </c>
      <c r="AC5110" s="2">
        <v>6887.9707453445899</v>
      </c>
      <c r="AD5110" s="2">
        <v>5529.0058404244701</v>
      </c>
      <c r="AE5110" s="2">
        <v>6131.7051360803698</v>
      </c>
      <c r="AF5110" s="2">
        <v>6506.1652812803104</v>
      </c>
      <c r="AG5110" s="2">
        <v>7492.0827456793404</v>
      </c>
      <c r="AH5110" s="2">
        <v>7206.3832663866096</v>
      </c>
      <c r="AI5110" s="2">
        <v>5687.4483661542399</v>
      </c>
      <c r="AJ5110" s="2">
        <v>8304.0396764866891</v>
      </c>
      <c r="AK5110" s="2">
        <v>8342.6920466456795</v>
      </c>
      <c r="AL5110" s="2">
        <v>5813.3214056213001</v>
      </c>
      <c r="AM5110" s="2">
        <v>4765.5035208624904</v>
      </c>
      <c r="AN5110" s="2">
        <v>4590.7790246064797</v>
      </c>
      <c r="AO5110" s="2">
        <v>4191.1885262307696</v>
      </c>
      <c r="AP5110" s="2">
        <v>5470.5505185800903</v>
      </c>
    </row>
    <row r="5111" spans="1:42" ht="14.5" x14ac:dyDescent="0.35">
      <c r="A5111" s="2" t="s">
        <v>33907</v>
      </c>
      <c r="B5111" s="2">
        <v>311.05217212061598</v>
      </c>
      <c r="C5111" s="2">
        <v>4.0355999999999996</v>
      </c>
      <c r="D5111" s="2" t="s">
        <v>34</v>
      </c>
      <c r="E5111" s="2" t="s">
        <v>33908</v>
      </c>
      <c r="F5111" s="2">
        <v>54810</v>
      </c>
      <c r="G5111" s="3" t="str">
        <f>HYPERLINK("http://funmeta.oebiotech.com/network/54810", "http://funmeta.oebiotech.com/network/54810")</f>
        <v>http://funmeta.oebiotech.com/network/54810</v>
      </c>
      <c r="H5111" s="2" t="s">
        <v>33909</v>
      </c>
      <c r="I5111" s="2">
        <v>43989</v>
      </c>
      <c r="J5111" s="2"/>
      <c r="K5111" s="2">
        <v>18305</v>
      </c>
      <c r="L5111" s="2" t="s">
        <v>33910</v>
      </c>
      <c r="M5111" s="2" t="s">
        <v>33911</v>
      </c>
      <c r="N5111" s="2" t="s">
        <v>33912</v>
      </c>
      <c r="O5111" s="2">
        <v>440936</v>
      </c>
      <c r="P5111" s="2" t="s">
        <v>33913</v>
      </c>
      <c r="Q5111" s="2" t="s">
        <v>33914</v>
      </c>
      <c r="R5111" s="2" t="s">
        <v>33915</v>
      </c>
      <c r="S5111" s="2" t="s">
        <v>79</v>
      </c>
      <c r="T5111" s="2" t="s">
        <v>80</v>
      </c>
      <c r="U5111" s="2" t="s">
        <v>81</v>
      </c>
      <c r="V5111" s="2" t="s">
        <v>59</v>
      </c>
      <c r="W5111" s="2">
        <v>39</v>
      </c>
      <c r="X5111" s="2">
        <v>0</v>
      </c>
      <c r="Y5111" s="2" t="s">
        <v>340</v>
      </c>
      <c r="Z5111" s="2" t="s">
        <v>33916</v>
      </c>
      <c r="AA5111" s="2">
        <v>-2.1640276514651702</v>
      </c>
      <c r="AB5111" s="2">
        <v>0.103632215890284</v>
      </c>
      <c r="AC5111" s="2">
        <v>29622.294512490102</v>
      </c>
      <c r="AD5111" s="2">
        <v>31293.172346822699</v>
      </c>
      <c r="AE5111" s="2">
        <v>27452.547613516501</v>
      </c>
      <c r="AF5111" s="2">
        <v>28161.897809391401</v>
      </c>
      <c r="AG5111" s="2">
        <v>31681.5811754604</v>
      </c>
      <c r="AH5111" s="2">
        <v>30575.717163200301</v>
      </c>
      <c r="AI5111" s="2">
        <v>31842.485102934101</v>
      </c>
      <c r="AJ5111" s="2">
        <v>28019.538210437899</v>
      </c>
      <c r="AK5111" s="2">
        <v>31113.3055507565</v>
      </c>
      <c r="AL5111" s="2">
        <v>33941.382790210999</v>
      </c>
      <c r="AM5111" s="2">
        <v>32649.925251549201</v>
      </c>
      <c r="AN5111" s="2">
        <v>30657.7691125745</v>
      </c>
      <c r="AO5111" s="2">
        <v>31447.476671562301</v>
      </c>
      <c r="AP5111" s="2">
        <v>27949.174704282799</v>
      </c>
    </row>
    <row r="5112" spans="1:42" ht="14.5" x14ac:dyDescent="0.35">
      <c r="A5112" s="2" t="s">
        <v>33917</v>
      </c>
      <c r="B5112" s="2">
        <v>553.35847764234302</v>
      </c>
      <c r="C5112" s="2">
        <v>6.5004833333333298</v>
      </c>
      <c r="D5112" s="2" t="s">
        <v>70</v>
      </c>
      <c r="E5112" s="2" t="s">
        <v>33918</v>
      </c>
      <c r="F5112" s="2">
        <v>206440</v>
      </c>
      <c r="G5112" s="3" t="str">
        <f>HYPERLINK("http://funmeta.oebiotech.com/network/206440", "http://funmeta.oebiotech.com/network/206440")</f>
        <v>http://funmeta.oebiotech.com/network/206440</v>
      </c>
      <c r="H5112" s="2" t="s">
        <v>33919</v>
      </c>
      <c r="I5112" s="2"/>
      <c r="J5112" s="2"/>
      <c r="K5112" s="2"/>
      <c r="L5112" s="2"/>
      <c r="M5112" s="2"/>
      <c r="N5112" s="2"/>
      <c r="O5112" s="2">
        <v>9915668</v>
      </c>
      <c r="P5112" s="2"/>
      <c r="Q5112" s="2" t="s">
        <v>33920</v>
      </c>
      <c r="R5112" s="2" t="s">
        <v>33921</v>
      </c>
      <c r="S5112" s="2" t="s">
        <v>89</v>
      </c>
      <c r="T5112" s="2" t="s">
        <v>90</v>
      </c>
      <c r="U5112" s="2" t="s">
        <v>99</v>
      </c>
      <c r="V5112" s="2" t="s">
        <v>42</v>
      </c>
      <c r="W5112" s="2">
        <v>48.6</v>
      </c>
      <c r="X5112" s="2">
        <v>55.2</v>
      </c>
      <c r="Y5112" s="2" t="s">
        <v>118</v>
      </c>
      <c r="Z5112" s="2" t="s">
        <v>33922</v>
      </c>
      <c r="AA5112" s="2">
        <v>-3.9610610201180201</v>
      </c>
      <c r="AB5112" s="2">
        <v>0.103567206067723</v>
      </c>
      <c r="AC5112" s="2">
        <v>57783.427751610601</v>
      </c>
      <c r="AD5112" s="2">
        <v>55357.438007705197</v>
      </c>
      <c r="AE5112" s="2">
        <v>57986.663003935297</v>
      </c>
      <c r="AF5112" s="2">
        <v>56389.500779846901</v>
      </c>
      <c r="AG5112" s="2">
        <v>54295.553527978998</v>
      </c>
      <c r="AH5112" s="2">
        <v>51986.187740141402</v>
      </c>
      <c r="AI5112" s="2">
        <v>65889.764297762202</v>
      </c>
      <c r="AJ5112" s="2">
        <v>60152.897159998902</v>
      </c>
      <c r="AK5112" s="2">
        <v>52741.819968083699</v>
      </c>
      <c r="AL5112" s="2">
        <v>54333.592135134299</v>
      </c>
      <c r="AM5112" s="2">
        <v>61506.378569701497</v>
      </c>
      <c r="AN5112" s="2">
        <v>54206.3794805539</v>
      </c>
      <c r="AO5112" s="2">
        <v>53291.516233306102</v>
      </c>
      <c r="AP5112" s="2">
        <v>56064.941659452001</v>
      </c>
    </row>
    <row r="5113" spans="1:42" ht="14.5" x14ac:dyDescent="0.35">
      <c r="A5113" s="2" t="s">
        <v>33923</v>
      </c>
      <c r="B5113" s="2">
        <v>276.11034724977799</v>
      </c>
      <c r="C5113" s="2">
        <v>3.4190666666666698</v>
      </c>
      <c r="D5113" s="2" t="s">
        <v>34</v>
      </c>
      <c r="E5113" s="2" t="s">
        <v>33924</v>
      </c>
      <c r="F5113" s="2">
        <v>206525</v>
      </c>
      <c r="G5113" s="3" t="str">
        <f>HYPERLINK("http://funmeta.oebiotech.com/network/206525", "http://funmeta.oebiotech.com/network/206525")</f>
        <v>http://funmeta.oebiotech.com/network/206525</v>
      </c>
      <c r="H5113" s="2" t="s">
        <v>33925</v>
      </c>
      <c r="I5113" s="2">
        <v>320890</v>
      </c>
      <c r="J5113" s="2"/>
      <c r="K5113" s="2"/>
      <c r="L5113" s="2"/>
      <c r="M5113" s="2"/>
      <c r="N5113" s="2"/>
      <c r="O5113" s="2">
        <v>2017</v>
      </c>
      <c r="P5113" s="2"/>
      <c r="Q5113" s="2" t="s">
        <v>33926</v>
      </c>
      <c r="R5113" s="2" t="s">
        <v>33927</v>
      </c>
      <c r="S5113" s="2" t="s">
        <v>491</v>
      </c>
      <c r="T5113" s="2" t="s">
        <v>1516</v>
      </c>
      <c r="U5113" s="2" t="s">
        <v>5958</v>
      </c>
      <c r="V5113" s="2" t="s">
        <v>59</v>
      </c>
      <c r="W5113" s="2">
        <v>36.4</v>
      </c>
      <c r="X5113" s="2">
        <v>0</v>
      </c>
      <c r="Y5113" s="2" t="s">
        <v>323</v>
      </c>
      <c r="Z5113" s="2" t="s">
        <v>33928</v>
      </c>
      <c r="AA5113" s="2">
        <v>-1.5231626457605101</v>
      </c>
      <c r="AB5113" s="2">
        <v>0.103512646512152</v>
      </c>
      <c r="AC5113" s="2">
        <v>13794.3436302316</v>
      </c>
      <c r="AD5113" s="2">
        <v>12689.298300549</v>
      </c>
      <c r="AE5113" s="2">
        <v>13684.498345895399</v>
      </c>
      <c r="AF5113" s="2">
        <v>13220.4670940502</v>
      </c>
      <c r="AG5113" s="2">
        <v>13135.839842253499</v>
      </c>
      <c r="AH5113" s="2">
        <v>14147.002823897499</v>
      </c>
      <c r="AI5113" s="2">
        <v>14001.873663582501</v>
      </c>
      <c r="AJ5113" s="2">
        <v>14576.3800117106</v>
      </c>
      <c r="AK5113" s="2">
        <v>11596.1033623031</v>
      </c>
      <c r="AL5113" s="2">
        <v>13143.852349671901</v>
      </c>
      <c r="AM5113" s="2">
        <v>13673.976811704701</v>
      </c>
      <c r="AN5113" s="2">
        <v>12984.677705406901</v>
      </c>
      <c r="AO5113" s="2">
        <v>13063.604342315501</v>
      </c>
      <c r="AP5113" s="2">
        <v>11673.5752318919</v>
      </c>
    </row>
    <row r="5114" spans="1:42" ht="14.5" x14ac:dyDescent="0.35">
      <c r="A5114" s="2" t="s">
        <v>33929</v>
      </c>
      <c r="B5114" s="2">
        <v>383.33392114923299</v>
      </c>
      <c r="C5114" s="2">
        <v>14.9918833333333</v>
      </c>
      <c r="D5114" s="2" t="s">
        <v>34</v>
      </c>
      <c r="E5114" s="2" t="s">
        <v>33930</v>
      </c>
      <c r="F5114" s="2">
        <v>43443</v>
      </c>
      <c r="G5114" s="3" t="str">
        <f>HYPERLINK("http://funmeta.oebiotech.com/network/43443", "http://funmeta.oebiotech.com/network/43443")</f>
        <v>http://funmeta.oebiotech.com/network/43443</v>
      </c>
      <c r="H5114" s="2" t="s">
        <v>33931</v>
      </c>
      <c r="I5114" s="2">
        <v>3904</v>
      </c>
      <c r="J5114" s="2" t="s">
        <v>33932</v>
      </c>
      <c r="K5114" s="2">
        <v>67237</v>
      </c>
      <c r="L5114" s="2" t="s">
        <v>33933</v>
      </c>
      <c r="M5114" s="2" t="s">
        <v>2454</v>
      </c>
      <c r="N5114" s="2" t="s">
        <v>2455</v>
      </c>
      <c r="O5114" s="2">
        <v>167685</v>
      </c>
      <c r="P5114" s="2" t="s">
        <v>33934</v>
      </c>
      <c r="Q5114" s="2" t="s">
        <v>33935</v>
      </c>
      <c r="R5114" s="2" t="s">
        <v>33936</v>
      </c>
      <c r="S5114" s="2" t="s">
        <v>50</v>
      </c>
      <c r="T5114" s="2" t="s">
        <v>124</v>
      </c>
      <c r="U5114" s="2" t="s">
        <v>125</v>
      </c>
      <c r="V5114" s="2" t="s">
        <v>59</v>
      </c>
      <c r="W5114" s="2">
        <v>36.799999999999997</v>
      </c>
      <c r="X5114" s="2">
        <v>0</v>
      </c>
      <c r="Y5114" s="2" t="s">
        <v>141</v>
      </c>
      <c r="Z5114" s="2" t="s">
        <v>33937</v>
      </c>
      <c r="AA5114" s="2">
        <v>7.6904485452720204</v>
      </c>
      <c r="AB5114" s="2">
        <v>0.10348346213589001</v>
      </c>
      <c r="AC5114" s="2">
        <v>12807.647414507999</v>
      </c>
      <c r="AD5114" s="2">
        <v>16026.192001530801</v>
      </c>
      <c r="AE5114" s="2">
        <v>13590.577944726099</v>
      </c>
      <c r="AF5114" s="2">
        <v>26917.7051522978</v>
      </c>
      <c r="AG5114" s="2">
        <v>17452.147203356501</v>
      </c>
      <c r="AH5114" s="2">
        <v>3475.2981272167499</v>
      </c>
      <c r="AI5114" s="2">
        <v>3961.5416798640599</v>
      </c>
      <c r="AJ5114" s="2">
        <v>11448.614379586899</v>
      </c>
      <c r="AK5114" s="2">
        <v>10628.561183096899</v>
      </c>
      <c r="AL5114" s="2">
        <v>23780.078799150499</v>
      </c>
      <c r="AM5114" s="2">
        <v>17404.299082198399</v>
      </c>
      <c r="AN5114" s="2">
        <v>17139.7565738946</v>
      </c>
      <c r="AO5114" s="2">
        <v>8718.6126109187808</v>
      </c>
      <c r="AP5114" s="2">
        <v>18485.843759925399</v>
      </c>
    </row>
    <row r="5115" spans="1:42" ht="14.5" x14ac:dyDescent="0.35">
      <c r="A5115" s="2" t="s">
        <v>33938</v>
      </c>
      <c r="B5115" s="2">
        <v>143.01073418316301</v>
      </c>
      <c r="C5115" s="2">
        <v>0.62124999999999997</v>
      </c>
      <c r="D5115" s="2" t="s">
        <v>34</v>
      </c>
      <c r="E5115" s="2" t="s">
        <v>33939</v>
      </c>
      <c r="F5115" s="2">
        <v>1796</v>
      </c>
      <c r="G5115" s="3" t="str">
        <f>HYPERLINK("http://funmeta.oebiotech.com/network/1796", "http://funmeta.oebiotech.com/network/1796")</f>
        <v>http://funmeta.oebiotech.com/network/1796</v>
      </c>
      <c r="H5115" s="2" t="s">
        <v>33940</v>
      </c>
      <c r="I5115" s="2">
        <v>35598</v>
      </c>
      <c r="J5115" s="2" t="s">
        <v>33941</v>
      </c>
      <c r="K5115" s="2">
        <v>17066</v>
      </c>
      <c r="L5115" s="2" t="s">
        <v>33942</v>
      </c>
      <c r="M5115" s="2" t="s">
        <v>33943</v>
      </c>
      <c r="N5115" s="2" t="s">
        <v>33944</v>
      </c>
      <c r="O5115" s="2">
        <v>92135</v>
      </c>
      <c r="P5115" s="2" t="s">
        <v>33945</v>
      </c>
      <c r="Q5115" s="2" t="s">
        <v>33946</v>
      </c>
      <c r="R5115" s="2" t="s">
        <v>33947</v>
      </c>
      <c r="S5115" s="2" t="s">
        <v>89</v>
      </c>
      <c r="T5115" s="2" t="s">
        <v>4218</v>
      </c>
      <c r="U5115" s="2" t="s">
        <v>4219</v>
      </c>
      <c r="V5115" s="2" t="s">
        <v>59</v>
      </c>
      <c r="W5115" s="2">
        <v>38.5</v>
      </c>
      <c r="X5115" s="2">
        <v>0</v>
      </c>
      <c r="Y5115" s="2" t="s">
        <v>340</v>
      </c>
      <c r="Z5115" s="2" t="s">
        <v>33948</v>
      </c>
      <c r="AA5115" s="2">
        <v>2.2296381060391202</v>
      </c>
      <c r="AB5115" s="2">
        <v>0.103479047457348</v>
      </c>
      <c r="AC5115" s="2">
        <v>5202.7145861219997</v>
      </c>
      <c r="AD5115" s="2">
        <v>4063.5166259847001</v>
      </c>
      <c r="AE5115" s="2">
        <v>4830.46794244794</v>
      </c>
      <c r="AF5115" s="2">
        <v>7006.1423334298497</v>
      </c>
      <c r="AG5115" s="2">
        <v>4889.0381462100204</v>
      </c>
      <c r="AH5115" s="2">
        <v>4250.3844450588304</v>
      </c>
      <c r="AI5115" s="2">
        <v>5333.8222272371904</v>
      </c>
      <c r="AJ5115" s="2">
        <v>4906.4324223481499</v>
      </c>
      <c r="AK5115" s="2">
        <v>3190.44820283442</v>
      </c>
      <c r="AL5115" s="2">
        <v>3815.9184974414102</v>
      </c>
      <c r="AM5115" s="2">
        <v>3662.0119130795001</v>
      </c>
      <c r="AN5115" s="2">
        <v>4755.1066225612203</v>
      </c>
      <c r="AO5115" s="2">
        <v>4494.5334148452002</v>
      </c>
      <c r="AP5115" s="2">
        <v>4463.0811051464598</v>
      </c>
    </row>
    <row r="5116" spans="1:42" ht="14.5" x14ac:dyDescent="0.35">
      <c r="A5116" s="2" t="s">
        <v>33949</v>
      </c>
      <c r="B5116" s="2">
        <v>249.123178723725</v>
      </c>
      <c r="C5116" s="2">
        <v>3.6970333333333301</v>
      </c>
      <c r="D5116" s="2" t="s">
        <v>34</v>
      </c>
      <c r="E5116" s="2" t="s">
        <v>33950</v>
      </c>
      <c r="F5116" s="2">
        <v>52836</v>
      </c>
      <c r="G5116" s="3" t="str">
        <f>HYPERLINK("http://funmeta.oebiotech.com/network/52836", "http://funmeta.oebiotech.com/network/52836")</f>
        <v>http://funmeta.oebiotech.com/network/52836</v>
      </c>
      <c r="H5116" s="2" t="s">
        <v>33951</v>
      </c>
      <c r="I5116" s="2">
        <v>3923</v>
      </c>
      <c r="J5116" s="2"/>
      <c r="K5116" s="2">
        <v>24564</v>
      </c>
      <c r="L5116" s="2"/>
      <c r="M5116" s="2"/>
      <c r="N5116" s="2"/>
      <c r="O5116" s="2">
        <v>2123</v>
      </c>
      <c r="P5116" s="2" t="s">
        <v>33952</v>
      </c>
      <c r="Q5116" s="2" t="s">
        <v>33953</v>
      </c>
      <c r="R5116" s="2" t="s">
        <v>33954</v>
      </c>
      <c r="S5116" s="2" t="s">
        <v>1677</v>
      </c>
      <c r="T5116" s="2" t="s">
        <v>1678</v>
      </c>
      <c r="U5116" s="2" t="s">
        <v>1679</v>
      </c>
      <c r="V5116" s="2" t="s">
        <v>59</v>
      </c>
      <c r="W5116" s="2">
        <v>38.5</v>
      </c>
      <c r="X5116" s="2">
        <v>0</v>
      </c>
      <c r="Y5116" s="2" t="s">
        <v>340</v>
      </c>
      <c r="Z5116" s="2" t="s">
        <v>33955</v>
      </c>
      <c r="AA5116" s="2">
        <v>3.4547016657380798</v>
      </c>
      <c r="AB5116" s="2">
        <v>0.10347244942313399</v>
      </c>
      <c r="AC5116" s="2">
        <v>2127.3843110656198</v>
      </c>
      <c r="AD5116" s="2">
        <v>2916.4193792189999</v>
      </c>
      <c r="AE5116" s="2">
        <v>2326.0427157059598</v>
      </c>
      <c r="AF5116" s="2">
        <v>2359.5280506254799</v>
      </c>
      <c r="AG5116" s="2">
        <v>2012.4665758301401</v>
      </c>
      <c r="AH5116" s="2">
        <v>1852.4095247325799</v>
      </c>
      <c r="AI5116" s="2">
        <v>2114.26088845913</v>
      </c>
      <c r="AJ5116" s="2">
        <v>2099.59811104043</v>
      </c>
      <c r="AK5116" s="2">
        <v>2991.1154025371102</v>
      </c>
      <c r="AL5116" s="2">
        <v>3136.8706171099302</v>
      </c>
      <c r="AM5116" s="2">
        <v>3004.54226660939</v>
      </c>
      <c r="AN5116" s="2">
        <v>2528.7215597326399</v>
      </c>
      <c r="AO5116" s="2">
        <v>2734.4876649063899</v>
      </c>
      <c r="AP5116" s="2">
        <v>3102.7787644185501</v>
      </c>
    </row>
    <row r="5117" spans="1:42" ht="14.5" x14ac:dyDescent="0.35">
      <c r="A5117" s="2" t="s">
        <v>33956</v>
      </c>
      <c r="B5117" s="2">
        <v>399.12607266055602</v>
      </c>
      <c r="C5117" s="2">
        <v>1.38313333333333</v>
      </c>
      <c r="D5117" s="2" t="s">
        <v>34</v>
      </c>
      <c r="E5117" s="2" t="s">
        <v>33957</v>
      </c>
      <c r="F5117" s="2">
        <v>57547</v>
      </c>
      <c r="G5117" s="3" t="str">
        <f>HYPERLINK("http://funmeta.oebiotech.com/network/57547", "http://funmeta.oebiotech.com/network/57547")</f>
        <v>http://funmeta.oebiotech.com/network/57547</v>
      </c>
      <c r="H5117" s="2" t="s">
        <v>33958</v>
      </c>
      <c r="I5117" s="2">
        <v>89157</v>
      </c>
      <c r="J5117" s="2"/>
      <c r="K5117" s="2">
        <v>175824</v>
      </c>
      <c r="L5117" s="2"/>
      <c r="M5117" s="2"/>
      <c r="N5117" s="2"/>
      <c r="O5117" s="2">
        <v>74336862</v>
      </c>
      <c r="P5117" s="2"/>
      <c r="Q5117" s="2" t="s">
        <v>33959</v>
      </c>
      <c r="R5117" s="2" t="s">
        <v>33960</v>
      </c>
      <c r="S5117" s="2" t="s">
        <v>79</v>
      </c>
      <c r="T5117" s="2" t="s">
        <v>80</v>
      </c>
      <c r="U5117" s="2" t="s">
        <v>81</v>
      </c>
      <c r="V5117" s="2" t="s">
        <v>59</v>
      </c>
      <c r="W5117" s="2">
        <v>43.3</v>
      </c>
      <c r="X5117" s="2">
        <v>19.2</v>
      </c>
      <c r="Y5117" s="2" t="s">
        <v>568</v>
      </c>
      <c r="Z5117" s="2" t="s">
        <v>2072</v>
      </c>
      <c r="AA5117" s="2">
        <v>-0.25252697112136702</v>
      </c>
      <c r="AB5117" s="2">
        <v>0.103424369841671</v>
      </c>
      <c r="AC5117" s="2">
        <v>559274.57649248396</v>
      </c>
      <c r="AD5117" s="2">
        <v>553164.02474127396</v>
      </c>
      <c r="AE5117" s="2">
        <v>553830.24738924601</v>
      </c>
      <c r="AF5117" s="2">
        <v>552727.75134769198</v>
      </c>
      <c r="AG5117" s="2">
        <v>574491.54905159201</v>
      </c>
      <c r="AH5117" s="2">
        <v>547579.43087464396</v>
      </c>
      <c r="AI5117" s="2">
        <v>527372.326871978</v>
      </c>
      <c r="AJ5117" s="2">
        <v>599646.153419754</v>
      </c>
      <c r="AK5117" s="2">
        <v>522395.92941216403</v>
      </c>
      <c r="AL5117" s="2">
        <v>573432.01832497295</v>
      </c>
      <c r="AM5117" s="2">
        <v>558382.83524154301</v>
      </c>
      <c r="AN5117" s="2">
        <v>528812.77838816599</v>
      </c>
      <c r="AO5117" s="2">
        <v>518763.42747248802</v>
      </c>
      <c r="AP5117" s="2">
        <v>617197.15960831195</v>
      </c>
    </row>
    <row r="5118" spans="1:42" ht="14.5" x14ac:dyDescent="0.35">
      <c r="A5118" s="2" t="s">
        <v>33961</v>
      </c>
      <c r="B5118" s="2">
        <v>419.05435086593502</v>
      </c>
      <c r="C5118" s="2">
        <v>3.7303666666666699</v>
      </c>
      <c r="D5118" s="2" t="s">
        <v>70</v>
      </c>
      <c r="E5118" s="2" t="s">
        <v>33962</v>
      </c>
      <c r="F5118" s="2">
        <v>207728</v>
      </c>
      <c r="G5118" s="3" t="str">
        <f>HYPERLINK("http://funmeta.oebiotech.com/network/207728", "http://funmeta.oebiotech.com/network/207728")</f>
        <v>http://funmeta.oebiotech.com/network/207728</v>
      </c>
      <c r="H5118" s="2" t="s">
        <v>33963</v>
      </c>
      <c r="I5118" s="2">
        <v>322835</v>
      </c>
      <c r="J5118" s="2"/>
      <c r="K5118" s="2"/>
      <c r="L5118" s="2"/>
      <c r="M5118" s="2"/>
      <c r="N5118" s="2"/>
      <c r="O5118" s="2">
        <v>124246</v>
      </c>
      <c r="P5118" s="2"/>
      <c r="Q5118" s="2" t="s">
        <v>33964</v>
      </c>
      <c r="R5118" s="2" t="s">
        <v>33965</v>
      </c>
      <c r="S5118" s="2" t="s">
        <v>491</v>
      </c>
      <c r="T5118" s="2" t="s">
        <v>2251</v>
      </c>
      <c r="U5118" s="2" t="s">
        <v>2252</v>
      </c>
      <c r="V5118" s="2" t="s">
        <v>59</v>
      </c>
      <c r="W5118" s="2">
        <v>37.1</v>
      </c>
      <c r="X5118" s="2">
        <v>0</v>
      </c>
      <c r="Y5118" s="2" t="s">
        <v>408</v>
      </c>
      <c r="Z5118" s="2" t="s">
        <v>33966</v>
      </c>
      <c r="AA5118" s="2">
        <v>-2.9652679727422799</v>
      </c>
      <c r="AB5118" s="2">
        <v>0.10332103826498</v>
      </c>
      <c r="AC5118" s="2">
        <v>2492.5995122316899</v>
      </c>
      <c r="AD5118" s="2">
        <v>3313.6686970373098</v>
      </c>
      <c r="AE5118" s="2">
        <v>2243.0402752710802</v>
      </c>
      <c r="AF5118" s="2">
        <v>2593.7196349737401</v>
      </c>
      <c r="AG5118" s="2">
        <v>2669.5885020538299</v>
      </c>
      <c r="AH5118" s="2">
        <v>2828.8290338196598</v>
      </c>
      <c r="AI5118" s="2">
        <v>2384.5480589111999</v>
      </c>
      <c r="AJ5118" s="2">
        <v>2235.8715683606401</v>
      </c>
      <c r="AK5118" s="2">
        <v>3706.4978008191001</v>
      </c>
      <c r="AL5118" s="2">
        <v>3518.3402950844102</v>
      </c>
      <c r="AM5118" s="2">
        <v>3157.1748717262999</v>
      </c>
      <c r="AN5118" s="2">
        <v>2884.4030084788601</v>
      </c>
      <c r="AO5118" s="2">
        <v>3211.05168774716</v>
      </c>
      <c r="AP5118" s="2">
        <v>3404.5445183680599</v>
      </c>
    </row>
    <row r="5119" spans="1:42" ht="14.5" x14ac:dyDescent="0.35">
      <c r="A5119" s="2" t="s">
        <v>33967</v>
      </c>
      <c r="B5119" s="2">
        <v>158.07063615498001</v>
      </c>
      <c r="C5119" s="2">
        <v>1.5526500000000001</v>
      </c>
      <c r="D5119" s="2" t="s">
        <v>34</v>
      </c>
      <c r="E5119" s="2" t="s">
        <v>33968</v>
      </c>
      <c r="F5119" s="2">
        <v>199632</v>
      </c>
      <c r="G5119" s="3" t="str">
        <f>HYPERLINK("http://funmeta.oebiotech.com/network/199632", "http://funmeta.oebiotech.com/network/199632")</f>
        <v>http://funmeta.oebiotech.com/network/199632</v>
      </c>
      <c r="H5119" s="2" t="s">
        <v>33969</v>
      </c>
      <c r="I5119" s="2"/>
      <c r="J5119" s="2"/>
      <c r="K5119" s="2"/>
      <c r="L5119" s="2"/>
      <c r="M5119" s="2"/>
      <c r="N5119" s="2"/>
      <c r="O5119" s="2">
        <v>11321095</v>
      </c>
      <c r="P5119" s="2"/>
      <c r="Q5119" s="2" t="s">
        <v>33970</v>
      </c>
      <c r="R5119" s="2" t="s">
        <v>33971</v>
      </c>
      <c r="S5119" s="2" t="s">
        <v>41</v>
      </c>
      <c r="T5119" s="2" t="s">
        <v>41</v>
      </c>
      <c r="U5119" s="2" t="s">
        <v>41</v>
      </c>
      <c r="V5119" s="2" t="s">
        <v>59</v>
      </c>
      <c r="W5119" s="2">
        <v>37</v>
      </c>
      <c r="X5119" s="2">
        <v>0</v>
      </c>
      <c r="Y5119" s="2" t="s">
        <v>394</v>
      </c>
      <c r="Z5119" s="2" t="s">
        <v>33972</v>
      </c>
      <c r="AA5119" s="2">
        <v>-4.0589563554254804</v>
      </c>
      <c r="AB5119" s="2">
        <v>0.103314954008079</v>
      </c>
      <c r="AC5119" s="2">
        <v>1491.4649479367199</v>
      </c>
      <c r="AD5119" s="2">
        <v>2227.3447239841198</v>
      </c>
      <c r="AE5119" s="2">
        <v>1380.3060257401</v>
      </c>
      <c r="AF5119" s="2">
        <v>1582.57587706493</v>
      </c>
      <c r="AG5119" s="2">
        <v>1471.0067272383801</v>
      </c>
      <c r="AH5119" s="2">
        <v>1478.1355050473801</v>
      </c>
      <c r="AI5119" s="2">
        <v>1375.37605842519</v>
      </c>
      <c r="AJ5119" s="2">
        <v>1661.38949410433</v>
      </c>
      <c r="AK5119" s="2">
        <v>2277.9459135361199</v>
      </c>
      <c r="AL5119" s="2">
        <v>2230.2757827728101</v>
      </c>
      <c r="AM5119" s="2">
        <v>1974.84376204456</v>
      </c>
      <c r="AN5119" s="2">
        <v>2358.9437772839101</v>
      </c>
      <c r="AO5119" s="2">
        <v>2186.4955484462498</v>
      </c>
      <c r="AP5119" s="2">
        <v>2335.5635598210802</v>
      </c>
    </row>
    <row r="5120" spans="1:42" ht="14.5" x14ac:dyDescent="0.35">
      <c r="A5120" s="2" t="s">
        <v>33973</v>
      </c>
      <c r="B5120" s="2">
        <v>285.07433167756699</v>
      </c>
      <c r="C5120" s="2">
        <v>2.3822666666666699</v>
      </c>
      <c r="D5120" s="2" t="s">
        <v>70</v>
      </c>
      <c r="E5120" s="2" t="s">
        <v>33974</v>
      </c>
      <c r="F5120" s="2">
        <v>206800</v>
      </c>
      <c r="G5120" s="3" t="str">
        <f>HYPERLINK("http://funmeta.oebiotech.com/network/206800", "http://funmeta.oebiotech.com/network/206800")</f>
        <v>http://funmeta.oebiotech.com/network/206800</v>
      </c>
      <c r="H5120" s="2" t="s">
        <v>33975</v>
      </c>
      <c r="I5120" s="2"/>
      <c r="J5120" s="2"/>
      <c r="K5120" s="2"/>
      <c r="L5120" s="2"/>
      <c r="M5120" s="2"/>
      <c r="N5120" s="2"/>
      <c r="O5120" s="2"/>
      <c r="P5120" s="2"/>
      <c r="Q5120" s="2" t="s">
        <v>33976</v>
      </c>
      <c r="R5120" s="2" t="s">
        <v>33977</v>
      </c>
      <c r="S5120" s="2" t="s">
        <v>79</v>
      </c>
      <c r="T5120" s="2" t="s">
        <v>80</v>
      </c>
      <c r="U5120" s="2" t="s">
        <v>2820</v>
      </c>
      <c r="V5120" s="2" t="s">
        <v>59</v>
      </c>
      <c r="W5120" s="2">
        <v>38.6</v>
      </c>
      <c r="X5120" s="2">
        <v>0</v>
      </c>
      <c r="Y5120" s="2" t="s">
        <v>751</v>
      </c>
      <c r="Z5120" s="2" t="s">
        <v>33978</v>
      </c>
      <c r="AA5120" s="2">
        <v>3.5254234799216699</v>
      </c>
      <c r="AB5120" s="2">
        <v>0.103300888847925</v>
      </c>
      <c r="AC5120" s="2">
        <v>986.25381555464196</v>
      </c>
      <c r="AD5120" s="2">
        <v>250.613804178278</v>
      </c>
      <c r="AE5120" s="2">
        <v>1003.13180568317</v>
      </c>
      <c r="AF5120" s="2">
        <v>965.74080306600194</v>
      </c>
      <c r="AG5120" s="2">
        <v>867.43019891559697</v>
      </c>
      <c r="AH5120" s="2">
        <v>1277.82069448985</v>
      </c>
      <c r="AI5120" s="2">
        <v>810.95820135782196</v>
      </c>
      <c r="AJ5120" s="2">
        <v>992.44118981540998</v>
      </c>
      <c r="AK5120" s="2">
        <v>260.43150337456098</v>
      </c>
      <c r="AL5120" s="2">
        <v>188.08406516289901</v>
      </c>
      <c r="AM5120" s="2">
        <v>406.46398100878997</v>
      </c>
      <c r="AN5120" s="2">
        <v>261.10545445424998</v>
      </c>
      <c r="AO5120" s="2">
        <v>132.02666963587501</v>
      </c>
      <c r="AP5120" s="2">
        <v>255.571151433295</v>
      </c>
    </row>
    <row r="5121" spans="1:42" ht="14.5" x14ac:dyDescent="0.35">
      <c r="A5121" s="2" t="s">
        <v>33979</v>
      </c>
      <c r="B5121" s="2">
        <v>376.06472234482698</v>
      </c>
      <c r="C5121" s="2">
        <v>1.14778333333333</v>
      </c>
      <c r="D5121" s="2" t="s">
        <v>70</v>
      </c>
      <c r="E5121" s="2" t="s">
        <v>33980</v>
      </c>
      <c r="F5121" s="2">
        <v>47291</v>
      </c>
      <c r="G5121" s="3" t="str">
        <f>HYPERLINK("http://funmeta.oebiotech.com/network/47291", "http://funmeta.oebiotech.com/network/47291")</f>
        <v>http://funmeta.oebiotech.com/network/47291</v>
      </c>
      <c r="H5121" s="2" t="s">
        <v>33981</v>
      </c>
      <c r="I5121" s="2">
        <v>3461</v>
      </c>
      <c r="J5121" s="2"/>
      <c r="K5121" s="2">
        <v>17713</v>
      </c>
      <c r="L5121" s="2" t="s">
        <v>33982</v>
      </c>
      <c r="M5121" s="2" t="s">
        <v>4932</v>
      </c>
      <c r="N5121" s="2" t="s">
        <v>4933</v>
      </c>
      <c r="O5121" s="2">
        <v>12599</v>
      </c>
      <c r="P5121" s="2" t="s">
        <v>33983</v>
      </c>
      <c r="Q5121" s="2" t="s">
        <v>33984</v>
      </c>
      <c r="R5121" s="2" t="s">
        <v>33985</v>
      </c>
      <c r="S5121" s="2" t="s">
        <v>1444</v>
      </c>
      <c r="T5121" s="2" t="s">
        <v>4937</v>
      </c>
      <c r="U5121" s="2" t="s">
        <v>4938</v>
      </c>
      <c r="V5121" s="2" t="s">
        <v>59</v>
      </c>
      <c r="W5121" s="2">
        <v>42.1</v>
      </c>
      <c r="X5121" s="2">
        <v>20.2</v>
      </c>
      <c r="Y5121" s="2" t="s">
        <v>408</v>
      </c>
      <c r="Z5121" s="2" t="s">
        <v>33986</v>
      </c>
      <c r="AA5121" s="2">
        <v>-4.9849114576029097</v>
      </c>
      <c r="AB5121" s="2">
        <v>0.10316424330738599</v>
      </c>
      <c r="AC5121" s="2">
        <v>14545.9196705875</v>
      </c>
      <c r="AD5121" s="2">
        <v>15972.4409050574</v>
      </c>
      <c r="AE5121" s="2">
        <v>14734.518026408899</v>
      </c>
      <c r="AF5121" s="2">
        <v>14431.721702127799</v>
      </c>
      <c r="AG5121" s="2">
        <v>14314.236672151001</v>
      </c>
      <c r="AH5121" s="2">
        <v>14686.077726359399</v>
      </c>
      <c r="AI5121" s="2">
        <v>15154.3157832175</v>
      </c>
      <c r="AJ5121" s="2">
        <v>13954.6481132607</v>
      </c>
      <c r="AK5121" s="2">
        <v>16503.3667427869</v>
      </c>
      <c r="AL5121" s="2">
        <v>15408.5930448043</v>
      </c>
      <c r="AM5121" s="2">
        <v>12446.4542686351</v>
      </c>
      <c r="AN5121" s="2">
        <v>17200.960106671901</v>
      </c>
      <c r="AO5121" s="2">
        <v>16283.173300955399</v>
      </c>
      <c r="AP5121" s="2">
        <v>17992.097966490601</v>
      </c>
    </row>
    <row r="5122" spans="1:42" ht="14.5" x14ac:dyDescent="0.35">
      <c r="A5122" s="2" t="s">
        <v>33987</v>
      </c>
      <c r="B5122" s="2">
        <v>427.023167075027</v>
      </c>
      <c r="C5122" s="2">
        <v>2.5589</v>
      </c>
      <c r="D5122" s="2" t="s">
        <v>70</v>
      </c>
      <c r="E5122" s="2" t="s">
        <v>33988</v>
      </c>
      <c r="F5122" s="2">
        <v>209582</v>
      </c>
      <c r="G5122" s="3" t="str">
        <f>HYPERLINK("http://funmeta.oebiotech.com/network/209582", "http://funmeta.oebiotech.com/network/209582")</f>
        <v>http://funmeta.oebiotech.com/network/209582</v>
      </c>
      <c r="H5122" s="2" t="s">
        <v>33989</v>
      </c>
      <c r="I5122" s="2">
        <v>72986</v>
      </c>
      <c r="J5122" s="2"/>
      <c r="K5122" s="2"/>
      <c r="L5122" s="2" t="s">
        <v>33990</v>
      </c>
      <c r="M5122" s="2"/>
      <c r="N5122" s="2"/>
      <c r="O5122" s="2">
        <v>6093</v>
      </c>
      <c r="P5122" s="2" t="s">
        <v>33991</v>
      </c>
      <c r="Q5122" s="2" t="s">
        <v>33992</v>
      </c>
      <c r="R5122" s="2" t="s">
        <v>33993</v>
      </c>
      <c r="S5122" s="2" t="s">
        <v>491</v>
      </c>
      <c r="T5122" s="2" t="s">
        <v>3519</v>
      </c>
      <c r="U5122" s="2" t="s">
        <v>19069</v>
      </c>
      <c r="V5122" s="2" t="s">
        <v>59</v>
      </c>
      <c r="W5122" s="2">
        <v>38</v>
      </c>
      <c r="X5122" s="2">
        <v>0</v>
      </c>
      <c r="Y5122" s="2" t="s">
        <v>560</v>
      </c>
      <c r="Z5122" s="2" t="s">
        <v>33994</v>
      </c>
      <c r="AA5122" s="2">
        <v>-3.9217467240528698</v>
      </c>
      <c r="AB5122" s="2">
        <v>0.102852122000782</v>
      </c>
      <c r="AC5122" s="2">
        <v>2080.0051385207198</v>
      </c>
      <c r="AD5122" s="2">
        <v>1276.5779901681899</v>
      </c>
      <c r="AE5122" s="2">
        <v>2008.4962866096801</v>
      </c>
      <c r="AF5122" s="2">
        <v>1901.0961899163599</v>
      </c>
      <c r="AG5122" s="2">
        <v>2258.2116460424099</v>
      </c>
      <c r="AH5122" s="2">
        <v>1831.0679957479001</v>
      </c>
      <c r="AI5122" s="2">
        <v>2024.8433944861399</v>
      </c>
      <c r="AJ5122" s="2">
        <v>2456.3153183218401</v>
      </c>
      <c r="AK5122" s="2">
        <v>864.44580232881299</v>
      </c>
      <c r="AL5122" s="2">
        <v>1429.52232763344</v>
      </c>
      <c r="AM5122" s="2">
        <v>1337.91122046533</v>
      </c>
      <c r="AN5122" s="2">
        <v>1633.7356361549801</v>
      </c>
      <c r="AO5122" s="2">
        <v>1331.53603897626</v>
      </c>
      <c r="AP5122" s="2">
        <v>1062.31691545033</v>
      </c>
    </row>
    <row r="5123" spans="1:42" ht="14.5" x14ac:dyDescent="0.35">
      <c r="A5123" s="2" t="s">
        <v>33995</v>
      </c>
      <c r="B5123" s="2">
        <v>145.04941863835001</v>
      </c>
      <c r="C5123" s="2">
        <v>1.05673333333333</v>
      </c>
      <c r="D5123" s="2" t="s">
        <v>70</v>
      </c>
      <c r="E5123" s="2" t="s">
        <v>33996</v>
      </c>
      <c r="F5123" s="2">
        <v>47263</v>
      </c>
      <c r="G5123" s="3" t="str">
        <f>HYPERLINK("http://funmeta.oebiotech.com/network/47263", "http://funmeta.oebiotech.com/network/47263")</f>
        <v>http://funmeta.oebiotech.com/network/47263</v>
      </c>
      <c r="H5123" s="2" t="s">
        <v>33997</v>
      </c>
      <c r="I5123" s="2">
        <v>5821</v>
      </c>
      <c r="J5123" s="2"/>
      <c r="K5123" s="2">
        <v>86396</v>
      </c>
      <c r="L5123" s="2" t="s">
        <v>33998</v>
      </c>
      <c r="M5123" s="2" t="s">
        <v>29662</v>
      </c>
      <c r="N5123" s="2" t="s">
        <v>29663</v>
      </c>
      <c r="O5123" s="2">
        <v>73917</v>
      </c>
      <c r="P5123" s="2" t="s">
        <v>33999</v>
      </c>
      <c r="Q5123" s="2" t="s">
        <v>34000</v>
      </c>
      <c r="R5123" s="2" t="s">
        <v>34001</v>
      </c>
      <c r="S5123" s="2" t="s">
        <v>50</v>
      </c>
      <c r="T5123" s="2" t="s">
        <v>229</v>
      </c>
      <c r="U5123" s="2" t="s">
        <v>1914</v>
      </c>
      <c r="V5123" s="2" t="s">
        <v>42</v>
      </c>
      <c r="W5123" s="2">
        <v>47.3</v>
      </c>
      <c r="X5123" s="2">
        <v>47.4</v>
      </c>
      <c r="Y5123" s="2" t="s">
        <v>118</v>
      </c>
      <c r="Z5123" s="2" t="s">
        <v>34002</v>
      </c>
      <c r="AA5123" s="2">
        <v>-8.3099135132482598</v>
      </c>
      <c r="AB5123" s="2">
        <v>0.102614490429365</v>
      </c>
      <c r="AC5123" s="2">
        <v>20786.261912543199</v>
      </c>
      <c r="AD5123" s="2">
        <v>18917.641912728399</v>
      </c>
      <c r="AE5123" s="2">
        <v>22883.5128581473</v>
      </c>
      <c r="AF5123" s="2">
        <v>21598.085799072102</v>
      </c>
      <c r="AG5123" s="2">
        <v>16693.320343411899</v>
      </c>
      <c r="AH5123" s="2">
        <v>22730.117309014298</v>
      </c>
      <c r="AI5123" s="2">
        <v>22544.063927561401</v>
      </c>
      <c r="AJ5123" s="2">
        <v>18268.471238052</v>
      </c>
      <c r="AK5123" s="2">
        <v>22332.679237690201</v>
      </c>
      <c r="AL5123" s="2">
        <v>17460.946955855001</v>
      </c>
      <c r="AM5123" s="2">
        <v>18361.010148421301</v>
      </c>
      <c r="AN5123" s="2">
        <v>18815.479762641698</v>
      </c>
      <c r="AO5123" s="2">
        <v>20856.305263723501</v>
      </c>
      <c r="AP5123" s="2">
        <v>15679.430108038399</v>
      </c>
    </row>
    <row r="5124" spans="1:42" ht="14.5" x14ac:dyDescent="0.35">
      <c r="A5124" s="2" t="s">
        <v>34003</v>
      </c>
      <c r="B5124" s="2">
        <v>276.16017666687299</v>
      </c>
      <c r="C5124" s="2">
        <v>11.246233333333301</v>
      </c>
      <c r="D5124" s="2" t="s">
        <v>70</v>
      </c>
      <c r="E5124" s="2" t="s">
        <v>34004</v>
      </c>
      <c r="F5124" s="2">
        <v>200124</v>
      </c>
      <c r="G5124" s="3" t="str">
        <f>HYPERLINK("http://funmeta.oebiotech.com/network/200124", "http://funmeta.oebiotech.com/network/200124")</f>
        <v>http://funmeta.oebiotech.com/network/200124</v>
      </c>
      <c r="H5124" s="2" t="s">
        <v>34005</v>
      </c>
      <c r="I5124" s="2">
        <v>85222</v>
      </c>
      <c r="J5124" s="2"/>
      <c r="K5124" s="2"/>
      <c r="L5124" s="2"/>
      <c r="M5124" s="2"/>
      <c r="N5124" s="2"/>
      <c r="O5124" s="2">
        <v>11148955</v>
      </c>
      <c r="P5124" s="2"/>
      <c r="Q5124" s="2" t="s">
        <v>34006</v>
      </c>
      <c r="R5124" s="2" t="s">
        <v>34007</v>
      </c>
      <c r="S5124" s="2" t="s">
        <v>79</v>
      </c>
      <c r="T5124" s="2" t="s">
        <v>80</v>
      </c>
      <c r="U5124" s="2" t="s">
        <v>2820</v>
      </c>
      <c r="V5124" s="2" t="s">
        <v>59</v>
      </c>
      <c r="W5124" s="2">
        <v>38.700000000000003</v>
      </c>
      <c r="X5124" s="2">
        <v>0</v>
      </c>
      <c r="Y5124" s="2" t="s">
        <v>408</v>
      </c>
      <c r="Z5124" s="2" t="s">
        <v>34008</v>
      </c>
      <c r="AA5124" s="2">
        <v>-1.4729951018634899</v>
      </c>
      <c r="AB5124" s="2">
        <v>0.102508440323917</v>
      </c>
      <c r="AC5124" s="2">
        <v>6343.8700159185801</v>
      </c>
      <c r="AD5124" s="2">
        <v>7184.9891881944905</v>
      </c>
      <c r="AE5124" s="2">
        <v>6623.4909078781902</v>
      </c>
      <c r="AF5124" s="2">
        <v>6443.1326347853801</v>
      </c>
      <c r="AG5124" s="2">
        <v>6563.7345977427203</v>
      </c>
      <c r="AH5124" s="2">
        <v>6303.1187468296403</v>
      </c>
      <c r="AI5124" s="2">
        <v>5926.3756337184104</v>
      </c>
      <c r="AJ5124" s="2">
        <v>6203.3675745571099</v>
      </c>
      <c r="AK5124" s="2">
        <v>7664.4366593363702</v>
      </c>
      <c r="AL5124" s="2">
        <v>6908.1830217959696</v>
      </c>
      <c r="AM5124" s="2">
        <v>7503.5485806383904</v>
      </c>
      <c r="AN5124" s="2">
        <v>7044.3671618238604</v>
      </c>
      <c r="AO5124" s="2">
        <v>7277.9713261534298</v>
      </c>
      <c r="AP5124" s="2">
        <v>6711.4283794189296</v>
      </c>
    </row>
    <row r="5125" spans="1:42" ht="14.5" x14ac:dyDescent="0.35">
      <c r="A5125" s="2" t="s">
        <v>34009</v>
      </c>
      <c r="B5125" s="2">
        <v>705.41993342747503</v>
      </c>
      <c r="C5125" s="2">
        <v>10.113516666666699</v>
      </c>
      <c r="D5125" s="2" t="s">
        <v>34</v>
      </c>
      <c r="E5125" s="2" t="s">
        <v>34010</v>
      </c>
      <c r="F5125" s="2">
        <v>61781</v>
      </c>
      <c r="G5125" s="3" t="str">
        <f>HYPERLINK("http://funmeta.oebiotech.com/network/61781", "http://funmeta.oebiotech.com/network/61781")</f>
        <v>http://funmeta.oebiotech.com/network/61781</v>
      </c>
      <c r="H5125" s="2" t="s">
        <v>34011</v>
      </c>
      <c r="I5125" s="2">
        <v>93096</v>
      </c>
      <c r="J5125" s="2"/>
      <c r="K5125" s="2"/>
      <c r="L5125" s="2"/>
      <c r="M5125" s="2"/>
      <c r="N5125" s="2"/>
      <c r="O5125" s="2">
        <v>73800249</v>
      </c>
      <c r="P5125" s="2" t="s">
        <v>34012</v>
      </c>
      <c r="Q5125" s="2" t="s">
        <v>34013</v>
      </c>
      <c r="R5125" s="2" t="s">
        <v>34014</v>
      </c>
      <c r="S5125" s="2" t="s">
        <v>50</v>
      </c>
      <c r="T5125" s="2" t="s">
        <v>201</v>
      </c>
      <c r="U5125" s="2" t="s">
        <v>202</v>
      </c>
      <c r="V5125" s="2" t="s">
        <v>59</v>
      </c>
      <c r="W5125" s="2">
        <v>38.9</v>
      </c>
      <c r="X5125" s="2">
        <v>0</v>
      </c>
      <c r="Y5125" s="2" t="s">
        <v>323</v>
      </c>
      <c r="Z5125" s="2" t="s">
        <v>34015</v>
      </c>
      <c r="AA5125" s="2">
        <v>2.1979480762114698</v>
      </c>
      <c r="AB5125" s="2">
        <v>0.102507550651753</v>
      </c>
      <c r="AC5125" s="2">
        <v>14968.104263122101</v>
      </c>
      <c r="AD5125" s="2">
        <v>16533.0774034116</v>
      </c>
      <c r="AE5125" s="2">
        <v>15299.1974736629</v>
      </c>
      <c r="AF5125" s="2">
        <v>11623.390600615499</v>
      </c>
      <c r="AG5125" s="2">
        <v>17296.719450623899</v>
      </c>
      <c r="AH5125" s="2">
        <v>14244.418396518</v>
      </c>
      <c r="AI5125" s="2">
        <v>16101.9607364071</v>
      </c>
      <c r="AJ5125" s="2">
        <v>15242.938920905401</v>
      </c>
      <c r="AK5125" s="2">
        <v>13807.935603068499</v>
      </c>
      <c r="AL5125" s="2">
        <v>18432.276456932901</v>
      </c>
      <c r="AM5125" s="2">
        <v>16389.472942979399</v>
      </c>
      <c r="AN5125" s="2">
        <v>16058.2303140778</v>
      </c>
      <c r="AO5125" s="2">
        <v>17419.780451170402</v>
      </c>
      <c r="AP5125" s="2">
        <v>17090.768652240498</v>
      </c>
    </row>
    <row r="5126" spans="1:42" ht="14.5" x14ac:dyDescent="0.35">
      <c r="A5126" s="2" t="s">
        <v>34016</v>
      </c>
      <c r="B5126" s="2">
        <v>227.127722663502</v>
      </c>
      <c r="C5126" s="2">
        <v>11.0825666666667</v>
      </c>
      <c r="D5126" s="2" t="s">
        <v>34</v>
      </c>
      <c r="E5126" s="2" t="s">
        <v>34017</v>
      </c>
      <c r="F5126" s="2">
        <v>63845</v>
      </c>
      <c r="G5126" s="3" t="str">
        <f>HYPERLINK("http://funmeta.oebiotech.com/network/63845", "http://funmeta.oebiotech.com/network/63845")</f>
        <v>http://funmeta.oebiotech.com/network/63845</v>
      </c>
      <c r="H5126" s="2" t="s">
        <v>34018</v>
      </c>
      <c r="I5126" s="2">
        <v>95179</v>
      </c>
      <c r="J5126" s="2"/>
      <c r="K5126" s="2"/>
      <c r="L5126" s="2"/>
      <c r="M5126" s="2"/>
      <c r="N5126" s="2"/>
      <c r="O5126" s="2">
        <v>86374</v>
      </c>
      <c r="P5126" s="2" t="s">
        <v>34019</v>
      </c>
      <c r="Q5126" s="2" t="s">
        <v>34020</v>
      </c>
      <c r="R5126" s="2" t="s">
        <v>34021</v>
      </c>
      <c r="S5126" s="2" t="s">
        <v>491</v>
      </c>
      <c r="T5126" s="2" t="s">
        <v>12134</v>
      </c>
      <c r="U5126" s="2" t="s">
        <v>14916</v>
      </c>
      <c r="V5126" s="2" t="s">
        <v>59</v>
      </c>
      <c r="W5126" s="2">
        <v>39.1</v>
      </c>
      <c r="X5126" s="2">
        <v>0</v>
      </c>
      <c r="Y5126" s="2" t="s">
        <v>394</v>
      </c>
      <c r="Z5126" s="2" t="s">
        <v>24215</v>
      </c>
      <c r="AA5126" s="2">
        <v>-0.27783414332710399</v>
      </c>
      <c r="AB5126" s="2">
        <v>0.10243671537404</v>
      </c>
      <c r="AC5126" s="2">
        <v>1565.9337729874201</v>
      </c>
      <c r="AD5126" s="2">
        <v>2269.98635825767</v>
      </c>
      <c r="AE5126" s="2">
        <v>1458.4955300541501</v>
      </c>
      <c r="AF5126" s="2">
        <v>1513.41200646932</v>
      </c>
      <c r="AG5126" s="2">
        <v>1558.19044394617</v>
      </c>
      <c r="AH5126" s="2">
        <v>1734.3724688894599</v>
      </c>
      <c r="AI5126" s="2">
        <v>1537.2160635975499</v>
      </c>
      <c r="AJ5126" s="2">
        <v>1593.91612496785</v>
      </c>
      <c r="AK5126" s="2">
        <v>2233.7960339336601</v>
      </c>
      <c r="AL5126" s="2">
        <v>2249.6275302260001</v>
      </c>
      <c r="AM5126" s="2">
        <v>2210.7340785002998</v>
      </c>
      <c r="AN5126" s="2">
        <v>2214.0058620586101</v>
      </c>
      <c r="AO5126" s="2">
        <v>2370.08277707858</v>
      </c>
      <c r="AP5126" s="2">
        <v>2341.6718677488502</v>
      </c>
    </row>
    <row r="5127" spans="1:42" ht="14.5" x14ac:dyDescent="0.35">
      <c r="A5127" s="2" t="s">
        <v>34022</v>
      </c>
      <c r="B5127" s="2">
        <v>153.09097720434301</v>
      </c>
      <c r="C5127" s="2">
        <v>4.1233166666666703</v>
      </c>
      <c r="D5127" s="2" t="s">
        <v>34</v>
      </c>
      <c r="E5127" s="2" t="s">
        <v>34023</v>
      </c>
      <c r="F5127" s="2">
        <v>55282</v>
      </c>
      <c r="G5127" s="3" t="str">
        <f>HYPERLINK("http://funmeta.oebiotech.com/network/55282", "http://funmeta.oebiotech.com/network/55282")</f>
        <v>http://funmeta.oebiotech.com/network/55282</v>
      </c>
      <c r="H5127" s="2" t="s">
        <v>34024</v>
      </c>
      <c r="I5127" s="2">
        <v>87001</v>
      </c>
      <c r="J5127" s="2"/>
      <c r="K5127" s="2">
        <v>166532</v>
      </c>
      <c r="L5127" s="2"/>
      <c r="M5127" s="2"/>
      <c r="N5127" s="2"/>
      <c r="O5127" s="2">
        <v>13186539</v>
      </c>
      <c r="P5127" s="2" t="s">
        <v>34025</v>
      </c>
      <c r="Q5127" s="2" t="s">
        <v>34026</v>
      </c>
      <c r="R5127" s="2" t="s">
        <v>34027</v>
      </c>
      <c r="S5127" s="2" t="s">
        <v>491</v>
      </c>
      <c r="T5127" s="2" t="s">
        <v>2621</v>
      </c>
      <c r="U5127" s="2" t="s">
        <v>41</v>
      </c>
      <c r="V5127" s="2" t="s">
        <v>42</v>
      </c>
      <c r="W5127" s="2">
        <v>49.8</v>
      </c>
      <c r="X5127" s="2">
        <v>55</v>
      </c>
      <c r="Y5127" s="2" t="s">
        <v>141</v>
      </c>
      <c r="Z5127" s="2" t="s">
        <v>34028</v>
      </c>
      <c r="AA5127" s="2">
        <v>-0.16963130426099701</v>
      </c>
      <c r="AB5127" s="2">
        <v>0.10240029952270301</v>
      </c>
      <c r="AC5127" s="2">
        <v>24485.8726914828</v>
      </c>
      <c r="AD5127" s="2">
        <v>25810.133199674401</v>
      </c>
      <c r="AE5127" s="2">
        <v>24713.045662212</v>
      </c>
      <c r="AF5127" s="2">
        <v>26886.150912882898</v>
      </c>
      <c r="AG5127" s="2">
        <v>24813.474284969099</v>
      </c>
      <c r="AH5127" s="2">
        <v>22350.822189607999</v>
      </c>
      <c r="AI5127" s="2">
        <v>24904.314981669198</v>
      </c>
      <c r="AJ5127" s="2">
        <v>23247.428117555701</v>
      </c>
      <c r="AK5127" s="2">
        <v>26265.972771391</v>
      </c>
      <c r="AL5127" s="2">
        <v>25765.800608289901</v>
      </c>
      <c r="AM5127" s="2">
        <v>25173.529032793798</v>
      </c>
      <c r="AN5127" s="2">
        <v>25153.7667338793</v>
      </c>
      <c r="AO5127" s="2">
        <v>25893.069666763698</v>
      </c>
      <c r="AP5127" s="2">
        <v>26608.660384928698</v>
      </c>
    </row>
    <row r="5128" spans="1:42" ht="14.5" x14ac:dyDescent="0.35">
      <c r="A5128" s="2" t="s">
        <v>34029</v>
      </c>
      <c r="B5128" s="2">
        <v>833.46632954710606</v>
      </c>
      <c r="C5128" s="2">
        <v>10.132666666666699</v>
      </c>
      <c r="D5128" s="2" t="s">
        <v>34</v>
      </c>
      <c r="E5128" s="2" t="s">
        <v>34030</v>
      </c>
      <c r="F5128" s="2">
        <v>61748</v>
      </c>
      <c r="G5128" s="3" t="str">
        <f>HYPERLINK("http://funmeta.oebiotech.com/network/61748", "http://funmeta.oebiotech.com/network/61748")</f>
        <v>http://funmeta.oebiotech.com/network/61748</v>
      </c>
      <c r="H5128" s="2" t="s">
        <v>34031</v>
      </c>
      <c r="I5128" s="2">
        <v>93070</v>
      </c>
      <c r="J5128" s="2"/>
      <c r="K5128" s="2"/>
      <c r="L5128" s="2"/>
      <c r="M5128" s="2"/>
      <c r="N5128" s="2"/>
      <c r="O5128" s="2">
        <v>131752341</v>
      </c>
      <c r="P5128" s="2" t="s">
        <v>34032</v>
      </c>
      <c r="Q5128" s="2" t="s">
        <v>34033</v>
      </c>
      <c r="R5128" s="2" t="s">
        <v>34034</v>
      </c>
      <c r="S5128" s="2" t="s">
        <v>50</v>
      </c>
      <c r="T5128" s="2" t="s">
        <v>124</v>
      </c>
      <c r="U5128" s="2" t="s">
        <v>523</v>
      </c>
      <c r="V5128" s="2" t="s">
        <v>59</v>
      </c>
      <c r="W5128" s="2">
        <v>36.5</v>
      </c>
      <c r="X5128" s="2">
        <v>0</v>
      </c>
      <c r="Y5128" s="2" t="s">
        <v>323</v>
      </c>
      <c r="Z5128" s="2" t="s">
        <v>34035</v>
      </c>
      <c r="AA5128" s="2">
        <v>0.68101706511506999</v>
      </c>
      <c r="AB5128" s="2">
        <v>0.10234568738774601</v>
      </c>
      <c r="AC5128" s="2">
        <v>5581.9316440478196</v>
      </c>
      <c r="AD5128" s="2">
        <v>4258.1839875374899</v>
      </c>
      <c r="AE5128" s="2">
        <v>4487.5434157668096</v>
      </c>
      <c r="AF5128" s="2">
        <v>5542.14361317149</v>
      </c>
      <c r="AG5128" s="2">
        <v>5214.5703368473096</v>
      </c>
      <c r="AH5128" s="2">
        <v>4474.5380138821902</v>
      </c>
      <c r="AI5128" s="2">
        <v>7302.1006157073098</v>
      </c>
      <c r="AJ5128" s="2">
        <v>6470.6938689118197</v>
      </c>
      <c r="AK5128" s="2">
        <v>2959.76223167339</v>
      </c>
      <c r="AL5128" s="2">
        <v>6008.6299257895698</v>
      </c>
      <c r="AM5128" s="2">
        <v>3208.9099298319702</v>
      </c>
      <c r="AN5128" s="2">
        <v>3766.5682707230499</v>
      </c>
      <c r="AO5128" s="2">
        <v>4140.1909458073897</v>
      </c>
      <c r="AP5128" s="2">
        <v>5465.0426213995497</v>
      </c>
    </row>
    <row r="5129" spans="1:42" ht="14.5" x14ac:dyDescent="0.35">
      <c r="A5129" s="2" t="s">
        <v>34036</v>
      </c>
      <c r="B5129" s="2">
        <v>328.28454977075</v>
      </c>
      <c r="C5129" s="2">
        <v>9.7086333333333297</v>
      </c>
      <c r="D5129" s="2" t="s">
        <v>34</v>
      </c>
      <c r="E5129" s="2" t="s">
        <v>34037</v>
      </c>
      <c r="F5129" s="2">
        <v>266805</v>
      </c>
      <c r="G5129" s="3" t="str">
        <f>HYPERLINK("http://funmeta.oebiotech.com/network/266805", "http://funmeta.oebiotech.com/network/266805")</f>
        <v>http://funmeta.oebiotech.com/network/266805</v>
      </c>
      <c r="H5129" s="2"/>
      <c r="I5129" s="2">
        <v>44012</v>
      </c>
      <c r="J5129" s="2"/>
      <c r="K5129" s="2"/>
      <c r="L5129" s="2" t="s">
        <v>34038</v>
      </c>
      <c r="M5129" s="2"/>
      <c r="N5129" s="2"/>
      <c r="O5129" s="2">
        <v>1711973</v>
      </c>
      <c r="P5129" s="2" t="s">
        <v>34039</v>
      </c>
      <c r="Q5129" s="2" t="s">
        <v>34040</v>
      </c>
      <c r="R5129" s="2" t="s">
        <v>34041</v>
      </c>
      <c r="S5129" s="2" t="s">
        <v>50</v>
      </c>
      <c r="T5129" s="2" t="s">
        <v>201</v>
      </c>
      <c r="U5129" s="2" t="s">
        <v>636</v>
      </c>
      <c r="V5129" s="2" t="s">
        <v>59</v>
      </c>
      <c r="W5129" s="2">
        <v>38.200000000000003</v>
      </c>
      <c r="X5129" s="2">
        <v>0</v>
      </c>
      <c r="Y5129" s="2" t="s">
        <v>43</v>
      </c>
      <c r="Z5129" s="2" t="s">
        <v>34042</v>
      </c>
      <c r="AA5129" s="2">
        <v>-0.22790694380044499</v>
      </c>
      <c r="AB5129" s="2">
        <v>0.102325854962476</v>
      </c>
      <c r="AC5129" s="2">
        <v>2412.9629884118399</v>
      </c>
      <c r="AD5129" s="2">
        <v>3347.3578299567598</v>
      </c>
      <c r="AE5129" s="2">
        <v>2020.9743697899501</v>
      </c>
      <c r="AF5129" s="2">
        <v>2134.88604558104</v>
      </c>
      <c r="AG5129" s="2">
        <v>2313.53652386372</v>
      </c>
      <c r="AH5129" s="2">
        <v>2944.3836704747</v>
      </c>
      <c r="AI5129" s="2">
        <v>2701.2171578597699</v>
      </c>
      <c r="AJ5129" s="2">
        <v>2362.78016290184</v>
      </c>
      <c r="AK5129" s="2">
        <v>4304.1174679647102</v>
      </c>
      <c r="AL5129" s="2">
        <v>3251.1584385238598</v>
      </c>
      <c r="AM5129" s="2">
        <v>3458.888467968</v>
      </c>
      <c r="AN5129" s="2">
        <v>2695.5012493239901</v>
      </c>
      <c r="AO5129" s="2">
        <v>2857.36777315365</v>
      </c>
      <c r="AP5129" s="2">
        <v>3517.1135828063402</v>
      </c>
    </row>
    <row r="5130" spans="1:42" ht="14.5" x14ac:dyDescent="0.35">
      <c r="A5130" s="2" t="s">
        <v>34043</v>
      </c>
      <c r="B5130" s="2">
        <v>451.17908749106101</v>
      </c>
      <c r="C5130" s="2">
        <v>11.246233333333301</v>
      </c>
      <c r="D5130" s="2" t="s">
        <v>70</v>
      </c>
      <c r="E5130" s="2" t="s">
        <v>34044</v>
      </c>
      <c r="F5130" s="2">
        <v>204855</v>
      </c>
      <c r="G5130" s="3" t="str">
        <f>HYPERLINK("http://funmeta.oebiotech.com/network/204855", "http://funmeta.oebiotech.com/network/204855")</f>
        <v>http://funmeta.oebiotech.com/network/204855</v>
      </c>
      <c r="H5130" s="2" t="s">
        <v>34045</v>
      </c>
      <c r="I5130" s="2"/>
      <c r="J5130" s="2"/>
      <c r="K5130" s="2"/>
      <c r="L5130" s="2"/>
      <c r="M5130" s="2"/>
      <c r="N5130" s="2"/>
      <c r="O5130" s="2">
        <v>44135202</v>
      </c>
      <c r="P5130" s="2"/>
      <c r="Q5130" s="2" t="s">
        <v>34046</v>
      </c>
      <c r="R5130" s="2" t="s">
        <v>34047</v>
      </c>
      <c r="S5130" s="2" t="s">
        <v>41</v>
      </c>
      <c r="T5130" s="2" t="s">
        <v>41</v>
      </c>
      <c r="U5130" s="2" t="s">
        <v>41</v>
      </c>
      <c r="V5130" s="2" t="s">
        <v>59</v>
      </c>
      <c r="W5130" s="2">
        <v>37</v>
      </c>
      <c r="X5130" s="2">
        <v>0</v>
      </c>
      <c r="Y5130" s="2" t="s">
        <v>751</v>
      </c>
      <c r="Z5130" s="2" t="s">
        <v>34048</v>
      </c>
      <c r="AA5130" s="2">
        <v>3.2396739390067499</v>
      </c>
      <c r="AB5130" s="2">
        <v>0.10229606346763</v>
      </c>
      <c r="AC5130" s="2">
        <v>713.37056360821896</v>
      </c>
      <c r="AD5130" s="2">
        <v>2.7106294003980101E-5</v>
      </c>
      <c r="AE5130" s="2">
        <v>852.26889389517203</v>
      </c>
      <c r="AF5130" s="2">
        <v>472.34179028172599</v>
      </c>
      <c r="AG5130" s="2">
        <v>864.36376507403304</v>
      </c>
      <c r="AH5130" s="2">
        <v>756.99260970227101</v>
      </c>
      <c r="AI5130" s="2">
        <v>747.626956650377</v>
      </c>
      <c r="AJ5130" s="2">
        <v>586.62936604573395</v>
      </c>
      <c r="AK5130" s="2">
        <v>2.7106294003980101E-5</v>
      </c>
      <c r="AL5130" s="2">
        <v>2.7106294003980101E-5</v>
      </c>
      <c r="AM5130" s="2">
        <v>2.7106294003980101E-5</v>
      </c>
      <c r="AN5130" s="2">
        <v>2.7106294003980101E-5</v>
      </c>
      <c r="AO5130" s="2">
        <v>2.7106294003980101E-5</v>
      </c>
      <c r="AP5130" s="2">
        <v>2.7106294003980101E-5</v>
      </c>
    </row>
    <row r="5131" spans="1:42" ht="14.5" x14ac:dyDescent="0.35">
      <c r="A5131" s="2" t="s">
        <v>34049</v>
      </c>
      <c r="B5131" s="2">
        <v>478.22914872529998</v>
      </c>
      <c r="C5131" s="2">
        <v>5.2079666666666702</v>
      </c>
      <c r="D5131" s="2" t="s">
        <v>70</v>
      </c>
      <c r="E5131" s="2" t="s">
        <v>34050</v>
      </c>
      <c r="F5131" s="2">
        <v>5968</v>
      </c>
      <c r="G5131" s="3" t="str">
        <f>HYPERLINK("http://funmeta.oebiotech.com/network/5968", "http://funmeta.oebiotech.com/network/5968")</f>
        <v>http://funmeta.oebiotech.com/network/5968</v>
      </c>
      <c r="H5131" s="2"/>
      <c r="I5131" s="2"/>
      <c r="J5131" s="2" t="s">
        <v>34051</v>
      </c>
      <c r="K5131" s="2"/>
      <c r="L5131" s="2"/>
      <c r="M5131" s="2"/>
      <c r="N5131" s="2"/>
      <c r="O5131" s="2">
        <v>132503288</v>
      </c>
      <c r="P5131" s="2"/>
      <c r="Q5131" s="2" t="s">
        <v>34052</v>
      </c>
      <c r="R5131" s="2" t="s">
        <v>34053</v>
      </c>
      <c r="S5131" s="2" t="s">
        <v>50</v>
      </c>
      <c r="T5131" s="2" t="s">
        <v>229</v>
      </c>
      <c r="U5131" s="2" t="s">
        <v>433</v>
      </c>
      <c r="V5131" s="2" t="s">
        <v>59</v>
      </c>
      <c r="W5131" s="2">
        <v>37</v>
      </c>
      <c r="X5131" s="2">
        <v>0</v>
      </c>
      <c r="Y5131" s="2" t="s">
        <v>118</v>
      </c>
      <c r="Z5131" s="2" t="s">
        <v>34054</v>
      </c>
      <c r="AA5131" s="2">
        <v>4.7288961102703304</v>
      </c>
      <c r="AB5131" s="2">
        <v>0.10229567295731599</v>
      </c>
      <c r="AC5131" s="2">
        <v>2386.0978279258702</v>
      </c>
      <c r="AD5131" s="2">
        <v>1396.78327598637</v>
      </c>
      <c r="AE5131" s="2">
        <v>1498.5006036294301</v>
      </c>
      <c r="AF5131" s="2">
        <v>2250.4115897975998</v>
      </c>
      <c r="AG5131" s="2">
        <v>2004.8414592947299</v>
      </c>
      <c r="AH5131" s="2">
        <v>2714.8821289704401</v>
      </c>
      <c r="AI5131" s="2">
        <v>2566.3076536736298</v>
      </c>
      <c r="AJ5131" s="2">
        <v>3281.64353218937</v>
      </c>
      <c r="AK5131" s="2">
        <v>2035.5872389943499</v>
      </c>
      <c r="AL5131" s="2">
        <v>770.96060852936296</v>
      </c>
      <c r="AM5131" s="2">
        <v>1004.78237881005</v>
      </c>
      <c r="AN5131" s="2">
        <v>1170.43139675155</v>
      </c>
      <c r="AO5131" s="2">
        <v>1726.1072006006</v>
      </c>
      <c r="AP5131" s="2">
        <v>1672.8308322323301</v>
      </c>
    </row>
    <row r="5132" spans="1:42" ht="14.5" x14ac:dyDescent="0.35">
      <c r="A5132" s="2" t="s">
        <v>34055</v>
      </c>
      <c r="B5132" s="2">
        <v>853.47364134689496</v>
      </c>
      <c r="C5132" s="2">
        <v>12.122616666666699</v>
      </c>
      <c r="D5132" s="2" t="s">
        <v>70</v>
      </c>
      <c r="E5132" s="2" t="s">
        <v>34056</v>
      </c>
      <c r="F5132" s="2">
        <v>224387</v>
      </c>
      <c r="G5132" s="3" t="str">
        <f>HYPERLINK("http://funmeta.oebiotech.com/network/224387", "http://funmeta.oebiotech.com/network/224387")</f>
        <v>http://funmeta.oebiotech.com/network/224387</v>
      </c>
      <c r="H5132" s="2" t="s">
        <v>34057</v>
      </c>
      <c r="I5132" s="2"/>
      <c r="J5132" s="2"/>
      <c r="K5132" s="2"/>
      <c r="L5132" s="2"/>
      <c r="M5132" s="2"/>
      <c r="N5132" s="2"/>
      <c r="O5132" s="2"/>
      <c r="P5132" s="2"/>
      <c r="Q5132" s="2" t="s">
        <v>34058</v>
      </c>
      <c r="R5132" s="2" t="s">
        <v>34059</v>
      </c>
      <c r="S5132" s="2" t="s">
        <v>41</v>
      </c>
      <c r="T5132" s="2" t="s">
        <v>41</v>
      </c>
      <c r="U5132" s="2" t="s">
        <v>41</v>
      </c>
      <c r="V5132" s="2" t="s">
        <v>59</v>
      </c>
      <c r="W5132" s="2">
        <v>37.1</v>
      </c>
      <c r="X5132" s="2">
        <v>0</v>
      </c>
      <c r="Y5132" s="2" t="s">
        <v>408</v>
      </c>
      <c r="Z5132" s="2" t="s">
        <v>34060</v>
      </c>
      <c r="AA5132" s="2">
        <v>2.0344901195677698</v>
      </c>
      <c r="AB5132" s="2">
        <v>0.102182200195892</v>
      </c>
      <c r="AC5132" s="2">
        <v>1007.84476872115</v>
      </c>
      <c r="AD5132" s="2">
        <v>121.93798563755</v>
      </c>
      <c r="AE5132" s="2">
        <v>383.45423211398702</v>
      </c>
      <c r="AF5132" s="2">
        <v>930.03227210720195</v>
      </c>
      <c r="AG5132" s="2">
        <v>433.89158739013499</v>
      </c>
      <c r="AH5132" s="2">
        <v>1306.32151685656</v>
      </c>
      <c r="AI5132" s="2">
        <v>1354.00264388798</v>
      </c>
      <c r="AJ5132" s="2">
        <v>1639.3663599710201</v>
      </c>
      <c r="AK5132" s="2">
        <v>2.7106294003980101E-5</v>
      </c>
      <c r="AL5132" s="2">
        <v>373.849784290841</v>
      </c>
      <c r="AM5132" s="2">
        <v>0.61012554507276995</v>
      </c>
      <c r="AN5132" s="2">
        <v>357.16777785257301</v>
      </c>
      <c r="AO5132" s="2">
        <v>2.7106294003980101E-5</v>
      </c>
      <c r="AP5132" s="2">
        <v>1.71924223618031E-4</v>
      </c>
    </row>
    <row r="5133" spans="1:42" ht="14.5" x14ac:dyDescent="0.35">
      <c r="A5133" s="2" t="s">
        <v>34061</v>
      </c>
      <c r="B5133" s="2">
        <v>301.10733367165801</v>
      </c>
      <c r="C5133" s="2">
        <v>5.1153166666666703</v>
      </c>
      <c r="D5133" s="2" t="s">
        <v>70</v>
      </c>
      <c r="E5133" s="2" t="s">
        <v>34062</v>
      </c>
      <c r="F5133" s="2">
        <v>257193</v>
      </c>
      <c r="G5133" s="3" t="str">
        <f>HYPERLINK("http://funmeta.oebiotech.com/network/257193", "http://funmeta.oebiotech.com/network/257193")</f>
        <v>http://funmeta.oebiotech.com/network/257193</v>
      </c>
      <c r="H5133" s="2" t="s">
        <v>34063</v>
      </c>
      <c r="I5133" s="2"/>
      <c r="J5133" s="2"/>
      <c r="K5133" s="2">
        <v>133730</v>
      </c>
      <c r="L5133" s="2"/>
      <c r="M5133" s="2"/>
      <c r="N5133" s="2"/>
      <c r="O5133" s="2"/>
      <c r="P5133" s="2"/>
      <c r="Q5133" s="2" t="s">
        <v>34064</v>
      </c>
      <c r="R5133" s="2" t="s">
        <v>34065</v>
      </c>
      <c r="S5133" s="2" t="s">
        <v>89</v>
      </c>
      <c r="T5133" s="2" t="s">
        <v>90</v>
      </c>
      <c r="U5133" s="2" t="s">
        <v>99</v>
      </c>
      <c r="V5133" s="2" t="s">
        <v>59</v>
      </c>
      <c r="W5133" s="2">
        <v>38.799999999999997</v>
      </c>
      <c r="X5133" s="2">
        <v>0</v>
      </c>
      <c r="Y5133" s="2" t="s">
        <v>118</v>
      </c>
      <c r="Z5133" s="2" t="s">
        <v>34066</v>
      </c>
      <c r="AA5133" s="2">
        <v>1.75131823030518</v>
      </c>
      <c r="AB5133" s="2">
        <v>0.10217359645907299</v>
      </c>
      <c r="AC5133" s="2">
        <v>13451.814422741199</v>
      </c>
      <c r="AD5133" s="2">
        <v>12259.896254494801</v>
      </c>
      <c r="AE5133" s="2">
        <v>13158.766961613201</v>
      </c>
      <c r="AF5133" s="2">
        <v>12946.2143262227</v>
      </c>
      <c r="AG5133" s="2">
        <v>14223.2031651291</v>
      </c>
      <c r="AH5133" s="2">
        <v>12025.530918918599</v>
      </c>
      <c r="AI5133" s="2">
        <v>15300.9857224921</v>
      </c>
      <c r="AJ5133" s="2">
        <v>13056.185442071401</v>
      </c>
      <c r="AK5133" s="2">
        <v>12107.9461267892</v>
      </c>
      <c r="AL5133" s="2">
        <v>12109.808502189</v>
      </c>
      <c r="AM5133" s="2">
        <v>12668.2504975018</v>
      </c>
      <c r="AN5133" s="2">
        <v>12443.2755070598</v>
      </c>
      <c r="AO5133" s="2">
        <v>11297.923311066699</v>
      </c>
      <c r="AP5133" s="2">
        <v>12932.1735823621</v>
      </c>
    </row>
    <row r="5134" spans="1:42" ht="14.5" x14ac:dyDescent="0.35">
      <c r="A5134" s="2" t="s">
        <v>34067</v>
      </c>
      <c r="B5134" s="2">
        <v>583.21500401512606</v>
      </c>
      <c r="C5134" s="2">
        <v>4.8327999999999998</v>
      </c>
      <c r="D5134" s="2" t="s">
        <v>34</v>
      </c>
      <c r="E5134" s="2" t="s">
        <v>34068</v>
      </c>
      <c r="F5134" s="2">
        <v>202228</v>
      </c>
      <c r="G5134" s="3" t="str">
        <f>HYPERLINK("http://funmeta.oebiotech.com/network/202228", "http://funmeta.oebiotech.com/network/202228")</f>
        <v>http://funmeta.oebiotech.com/network/202228</v>
      </c>
      <c r="H5134" s="2" t="s">
        <v>34069</v>
      </c>
      <c r="I5134" s="2"/>
      <c r="J5134" s="2"/>
      <c r="K5134" s="2"/>
      <c r="L5134" s="2"/>
      <c r="M5134" s="2"/>
      <c r="N5134" s="2"/>
      <c r="O5134" s="2">
        <v>4185783</v>
      </c>
      <c r="P5134" s="2"/>
      <c r="Q5134" s="2" t="s">
        <v>34070</v>
      </c>
      <c r="R5134" s="2" t="s">
        <v>34071</v>
      </c>
      <c r="S5134" s="2" t="s">
        <v>115</v>
      </c>
      <c r="T5134" s="2" t="s">
        <v>758</v>
      </c>
      <c r="U5134" s="2" t="s">
        <v>759</v>
      </c>
      <c r="V5134" s="2" t="s">
        <v>59</v>
      </c>
      <c r="W5134" s="2">
        <v>40.6</v>
      </c>
      <c r="X5134" s="2">
        <v>8.32</v>
      </c>
      <c r="Y5134" s="2" t="s">
        <v>394</v>
      </c>
      <c r="Z5134" s="2" t="s">
        <v>34072</v>
      </c>
      <c r="AA5134" s="2">
        <v>2.8141733594669001</v>
      </c>
      <c r="AB5134" s="2">
        <v>0.102159771084099</v>
      </c>
      <c r="AC5134" s="2">
        <v>368824.83716703299</v>
      </c>
      <c r="AD5134" s="2">
        <v>374652.62368287798</v>
      </c>
      <c r="AE5134" s="2">
        <v>367294.57280352298</v>
      </c>
      <c r="AF5134" s="2">
        <v>404821.859197193</v>
      </c>
      <c r="AG5134" s="2">
        <v>342234.96753440599</v>
      </c>
      <c r="AH5134" s="2">
        <v>323300.70085187402</v>
      </c>
      <c r="AI5134" s="2">
        <v>398602.03713226301</v>
      </c>
      <c r="AJ5134" s="2">
        <v>376694.88548293599</v>
      </c>
      <c r="AK5134" s="2">
        <v>415280.78994197602</v>
      </c>
      <c r="AL5134" s="2">
        <v>359814.93962868297</v>
      </c>
      <c r="AM5134" s="2">
        <v>368126.33632310899</v>
      </c>
      <c r="AN5134" s="2">
        <v>376153.63258298999</v>
      </c>
      <c r="AO5134" s="2">
        <v>344521.78324511502</v>
      </c>
      <c r="AP5134" s="2">
        <v>384018.26037539402</v>
      </c>
    </row>
    <row r="5135" spans="1:42" ht="14.5" x14ac:dyDescent="0.35">
      <c r="A5135" s="2" t="s">
        <v>34073</v>
      </c>
      <c r="B5135" s="2">
        <v>182.045012890908</v>
      </c>
      <c r="C5135" s="2">
        <v>1.4846333333333299</v>
      </c>
      <c r="D5135" s="2" t="s">
        <v>70</v>
      </c>
      <c r="E5135" s="2" t="s">
        <v>34074</v>
      </c>
      <c r="F5135" s="2">
        <v>46827</v>
      </c>
      <c r="G5135" s="3" t="str">
        <f>HYPERLINK("http://funmeta.oebiotech.com/network/46827", "http://funmeta.oebiotech.com/network/46827")</f>
        <v>http://funmeta.oebiotech.com/network/46827</v>
      </c>
      <c r="H5135" s="2" t="s">
        <v>34075</v>
      </c>
      <c r="I5135" s="2">
        <v>239</v>
      </c>
      <c r="J5135" s="2"/>
      <c r="K5135" s="2">
        <v>17405</v>
      </c>
      <c r="L5135" s="2" t="s">
        <v>34076</v>
      </c>
      <c r="M5135" s="2" t="s">
        <v>34077</v>
      </c>
      <c r="N5135" s="2" t="s">
        <v>34078</v>
      </c>
      <c r="O5135" s="2">
        <v>6723</v>
      </c>
      <c r="P5135" s="2" t="s">
        <v>34079</v>
      </c>
      <c r="Q5135" s="2" t="s">
        <v>34080</v>
      </c>
      <c r="R5135" s="2" t="s">
        <v>34081</v>
      </c>
      <c r="S5135" s="2" t="s">
        <v>491</v>
      </c>
      <c r="T5135" s="2" t="s">
        <v>2238</v>
      </c>
      <c r="U5135" s="2" t="s">
        <v>15117</v>
      </c>
      <c r="V5135" s="2" t="s">
        <v>42</v>
      </c>
      <c r="W5135" s="2">
        <v>53.9</v>
      </c>
      <c r="X5135" s="2">
        <v>77.3</v>
      </c>
      <c r="Y5135" s="2" t="s">
        <v>118</v>
      </c>
      <c r="Z5135" s="2" t="s">
        <v>34082</v>
      </c>
      <c r="AA5135" s="2">
        <v>-4.7442435425817298</v>
      </c>
      <c r="AB5135" s="2">
        <v>0.102155421082249</v>
      </c>
      <c r="AC5135" s="2">
        <v>11028.6086205094</v>
      </c>
      <c r="AD5135" s="2">
        <v>9993.3398113783696</v>
      </c>
      <c r="AE5135" s="2">
        <v>10850.476480625</v>
      </c>
      <c r="AF5135" s="2">
        <v>10589.684284167301</v>
      </c>
      <c r="AG5135" s="2">
        <v>10694.046521119801</v>
      </c>
      <c r="AH5135" s="2">
        <v>11122.7093859045</v>
      </c>
      <c r="AI5135" s="2">
        <v>11477.545821862601</v>
      </c>
      <c r="AJ5135" s="2">
        <v>11437.1892293769</v>
      </c>
      <c r="AK5135" s="2">
        <v>10145.732042830001</v>
      </c>
      <c r="AL5135" s="2">
        <v>9039.4569126606402</v>
      </c>
      <c r="AM5135" s="2">
        <v>8979.6888245203008</v>
      </c>
      <c r="AN5135" s="2">
        <v>10356.099730076499</v>
      </c>
      <c r="AO5135" s="2">
        <v>10483.4711114565</v>
      </c>
      <c r="AP5135" s="2">
        <v>10955.5902467263</v>
      </c>
    </row>
    <row r="5136" spans="1:42" ht="14.5" x14ac:dyDescent="0.35">
      <c r="A5136" s="2" t="s">
        <v>34083</v>
      </c>
      <c r="B5136" s="2">
        <v>669.34896894798203</v>
      </c>
      <c r="C5136" s="2">
        <v>8.5837666666666692</v>
      </c>
      <c r="D5136" s="2" t="s">
        <v>70</v>
      </c>
      <c r="E5136" s="2" t="s">
        <v>34084</v>
      </c>
      <c r="F5136" s="2">
        <v>43756</v>
      </c>
      <c r="G5136" s="3" t="str">
        <f>HYPERLINK("http://funmeta.oebiotech.com/network/43756", "http://funmeta.oebiotech.com/network/43756")</f>
        <v>http://funmeta.oebiotech.com/network/43756</v>
      </c>
      <c r="H5136" s="2"/>
      <c r="I5136" s="2"/>
      <c r="J5136" s="2" t="s">
        <v>34085</v>
      </c>
      <c r="K5136" s="2"/>
      <c r="L5136" s="2"/>
      <c r="M5136" s="2"/>
      <c r="N5136" s="2"/>
      <c r="O5136" s="2">
        <v>101514322</v>
      </c>
      <c r="P5136" s="2"/>
      <c r="Q5136" s="2" t="s">
        <v>34086</v>
      </c>
      <c r="R5136" s="2" t="s">
        <v>34087</v>
      </c>
      <c r="S5136" s="2" t="s">
        <v>50</v>
      </c>
      <c r="T5136" s="2" t="s">
        <v>124</v>
      </c>
      <c r="U5136" s="2" t="s">
        <v>523</v>
      </c>
      <c r="V5136" s="2" t="s">
        <v>59</v>
      </c>
      <c r="W5136" s="2">
        <v>38.5</v>
      </c>
      <c r="X5136" s="2">
        <v>0</v>
      </c>
      <c r="Y5136" s="2" t="s">
        <v>408</v>
      </c>
      <c r="Z5136" s="2" t="s">
        <v>16137</v>
      </c>
      <c r="AA5136" s="2">
        <v>-0.31457438114973801</v>
      </c>
      <c r="AB5136" s="2">
        <v>0.102073838851525</v>
      </c>
      <c r="AC5136" s="2">
        <v>30281.981529512799</v>
      </c>
      <c r="AD5136" s="2">
        <v>28699.921152772898</v>
      </c>
      <c r="AE5136" s="2">
        <v>29152.982204808799</v>
      </c>
      <c r="AF5136" s="2">
        <v>28989.688272592299</v>
      </c>
      <c r="AG5136" s="2">
        <v>30013.1184974315</v>
      </c>
      <c r="AH5136" s="2">
        <v>32002.561294643499</v>
      </c>
      <c r="AI5136" s="2">
        <v>29606.155533277099</v>
      </c>
      <c r="AJ5136" s="2">
        <v>31927.383374323799</v>
      </c>
      <c r="AK5136" s="2">
        <v>27823.9215530213</v>
      </c>
      <c r="AL5136" s="2">
        <v>26847.031304199299</v>
      </c>
      <c r="AM5136" s="2">
        <v>32715.3783202302</v>
      </c>
      <c r="AN5136" s="2">
        <v>29252.966447067301</v>
      </c>
      <c r="AO5136" s="2">
        <v>27528.492457103999</v>
      </c>
      <c r="AP5136" s="2">
        <v>28031.736835015301</v>
      </c>
    </row>
    <row r="5137" spans="1:42" ht="14.5" x14ac:dyDescent="0.35">
      <c r="A5137" s="2" t="s">
        <v>34088</v>
      </c>
      <c r="B5137" s="2">
        <v>493.17122914846402</v>
      </c>
      <c r="C5137" s="2">
        <v>4.5776166666666702</v>
      </c>
      <c r="D5137" s="2" t="s">
        <v>70</v>
      </c>
      <c r="E5137" s="2" t="s">
        <v>34089</v>
      </c>
      <c r="F5137" s="2">
        <v>204866</v>
      </c>
      <c r="G5137" s="3" t="str">
        <f>HYPERLINK("http://funmeta.oebiotech.com/network/204866", "http://funmeta.oebiotech.com/network/204866")</f>
        <v>http://funmeta.oebiotech.com/network/204866</v>
      </c>
      <c r="H5137" s="2" t="s">
        <v>34090</v>
      </c>
      <c r="I5137" s="2"/>
      <c r="J5137" s="2"/>
      <c r="K5137" s="2"/>
      <c r="L5137" s="2"/>
      <c r="M5137" s="2"/>
      <c r="N5137" s="2"/>
      <c r="O5137" s="2">
        <v>22506569</v>
      </c>
      <c r="P5137" s="2"/>
      <c r="Q5137" s="2" t="s">
        <v>34091</v>
      </c>
      <c r="R5137" s="2" t="s">
        <v>34092</v>
      </c>
      <c r="S5137" s="2" t="s">
        <v>79</v>
      </c>
      <c r="T5137" s="2" t="s">
        <v>80</v>
      </c>
      <c r="U5137" s="2" t="s">
        <v>81</v>
      </c>
      <c r="V5137" s="2" t="s">
        <v>59</v>
      </c>
      <c r="W5137" s="2">
        <v>37.799999999999997</v>
      </c>
      <c r="X5137" s="2">
        <v>0</v>
      </c>
      <c r="Y5137" s="2" t="s">
        <v>408</v>
      </c>
      <c r="Z5137" s="2" t="s">
        <v>34093</v>
      </c>
      <c r="AA5137" s="2">
        <v>-0.68320784335134099</v>
      </c>
      <c r="AB5137" s="2">
        <v>0.10181926469357</v>
      </c>
      <c r="AC5137" s="2">
        <v>27867.1133034911</v>
      </c>
      <c r="AD5137" s="2">
        <v>30030.982611817999</v>
      </c>
      <c r="AE5137" s="2">
        <v>30420.916261643099</v>
      </c>
      <c r="AF5137" s="2">
        <v>32669.733412514401</v>
      </c>
      <c r="AG5137" s="2">
        <v>21735.038173493002</v>
      </c>
      <c r="AH5137" s="2">
        <v>24893.548605690401</v>
      </c>
      <c r="AI5137" s="2">
        <v>29280.276791911401</v>
      </c>
      <c r="AJ5137" s="2">
        <v>28203.1665756941</v>
      </c>
      <c r="AK5137" s="2">
        <v>31404.3101288834</v>
      </c>
      <c r="AL5137" s="2">
        <v>29137.042760860499</v>
      </c>
      <c r="AM5137" s="2">
        <v>29101.126789391499</v>
      </c>
      <c r="AN5137" s="2">
        <v>31656.754993607799</v>
      </c>
      <c r="AO5137" s="2">
        <v>24720.598810015701</v>
      </c>
      <c r="AP5137" s="2">
        <v>34166.062188149001</v>
      </c>
    </row>
    <row r="5138" spans="1:42" ht="14.5" x14ac:dyDescent="0.35">
      <c r="A5138" s="2" t="s">
        <v>34094</v>
      </c>
      <c r="B5138" s="2">
        <v>146.96132203873299</v>
      </c>
      <c r="C5138" s="2">
        <v>1.7029666666666701</v>
      </c>
      <c r="D5138" s="2" t="s">
        <v>34</v>
      </c>
      <c r="E5138" s="2" t="s">
        <v>34095</v>
      </c>
      <c r="F5138" s="2">
        <v>213065</v>
      </c>
      <c r="G5138" s="3" t="str">
        <f>HYPERLINK("http://funmeta.oebiotech.com/network/213065", "http://funmeta.oebiotech.com/network/213065")</f>
        <v>http://funmeta.oebiotech.com/network/213065</v>
      </c>
      <c r="H5138" s="2" t="s">
        <v>34096</v>
      </c>
      <c r="I5138" s="2"/>
      <c r="J5138" s="2"/>
      <c r="K5138" s="2"/>
      <c r="L5138" s="2"/>
      <c r="M5138" s="2"/>
      <c r="N5138" s="2"/>
      <c r="O5138" s="2"/>
      <c r="P5138" s="2"/>
      <c r="Q5138" s="2" t="s">
        <v>34097</v>
      </c>
      <c r="R5138" s="2" t="s">
        <v>34098</v>
      </c>
      <c r="S5138" s="2" t="s">
        <v>41</v>
      </c>
      <c r="T5138" s="2" t="s">
        <v>41</v>
      </c>
      <c r="U5138" s="2" t="s">
        <v>41</v>
      </c>
      <c r="V5138" s="2" t="s">
        <v>59</v>
      </c>
      <c r="W5138" s="2">
        <v>40.4</v>
      </c>
      <c r="X5138" s="2">
        <v>10.4</v>
      </c>
      <c r="Y5138" s="2" t="s">
        <v>340</v>
      </c>
      <c r="Z5138" s="2" t="s">
        <v>34099</v>
      </c>
      <c r="AA5138" s="2">
        <v>4.9381611418885401</v>
      </c>
      <c r="AB5138" s="2">
        <v>0.10181581450268901</v>
      </c>
      <c r="AC5138" s="2">
        <v>15364.371194481901</v>
      </c>
      <c r="AD5138" s="2">
        <v>16617.1174258631</v>
      </c>
      <c r="AE5138" s="2">
        <v>15751.6983297279</v>
      </c>
      <c r="AF5138" s="2">
        <v>15833.041165077</v>
      </c>
      <c r="AG5138" s="2">
        <v>15373.6219458213</v>
      </c>
      <c r="AH5138" s="2">
        <v>15092.749799871101</v>
      </c>
      <c r="AI5138" s="2">
        <v>15592.520008736799</v>
      </c>
      <c r="AJ5138" s="2">
        <v>14542.5959176575</v>
      </c>
      <c r="AK5138" s="2">
        <v>17756.873379360499</v>
      </c>
      <c r="AL5138" s="2">
        <v>17158.6125496688</v>
      </c>
      <c r="AM5138" s="2">
        <v>16677.470472817899</v>
      </c>
      <c r="AN5138" s="2">
        <v>17027.930487623002</v>
      </c>
      <c r="AO5138" s="2">
        <v>17278.713709433301</v>
      </c>
      <c r="AP5138" s="2">
        <v>13803.103956275099</v>
      </c>
    </row>
    <row r="5139" spans="1:42" ht="14.5" x14ac:dyDescent="0.35">
      <c r="A5139" s="2" t="s">
        <v>34100</v>
      </c>
      <c r="B5139" s="2">
        <v>340.190657490646</v>
      </c>
      <c r="C5139" s="2">
        <v>10.0553333333333</v>
      </c>
      <c r="D5139" s="2" t="s">
        <v>34</v>
      </c>
      <c r="E5139" s="2" t="s">
        <v>34101</v>
      </c>
      <c r="F5139" s="2">
        <v>63941</v>
      </c>
      <c r="G5139" s="3" t="str">
        <f>HYPERLINK("http://funmeta.oebiotech.com/network/63941", "http://funmeta.oebiotech.com/network/63941")</f>
        <v>http://funmeta.oebiotech.com/network/63941</v>
      </c>
      <c r="H5139" s="2" t="s">
        <v>34102</v>
      </c>
      <c r="I5139" s="2">
        <v>95274</v>
      </c>
      <c r="J5139" s="2"/>
      <c r="K5139" s="2"/>
      <c r="L5139" s="2"/>
      <c r="M5139" s="2"/>
      <c r="N5139" s="2"/>
      <c r="O5139" s="2">
        <v>6439947</v>
      </c>
      <c r="P5139" s="2" t="s">
        <v>34103</v>
      </c>
      <c r="Q5139" s="2" t="s">
        <v>34104</v>
      </c>
      <c r="R5139" s="2" t="s">
        <v>34105</v>
      </c>
      <c r="S5139" s="2" t="s">
        <v>491</v>
      </c>
      <c r="T5139" s="2" t="s">
        <v>2429</v>
      </c>
      <c r="U5139" s="2" t="s">
        <v>41</v>
      </c>
      <c r="V5139" s="2" t="s">
        <v>59</v>
      </c>
      <c r="W5139" s="2">
        <v>38.1</v>
      </c>
      <c r="X5139" s="2">
        <v>0</v>
      </c>
      <c r="Y5139" s="2" t="s">
        <v>394</v>
      </c>
      <c r="Z5139" s="2" t="s">
        <v>34106</v>
      </c>
      <c r="AA5139" s="2">
        <v>-0.18458030630174099</v>
      </c>
      <c r="AB5139" s="2">
        <v>0.101802533258999</v>
      </c>
      <c r="AC5139" s="2">
        <v>3186.5099443608801</v>
      </c>
      <c r="AD5139" s="2">
        <v>4114.8536132990303</v>
      </c>
      <c r="AE5139" s="2">
        <v>3269.6763321764802</v>
      </c>
      <c r="AF5139" s="2">
        <v>2898.13913732431</v>
      </c>
      <c r="AG5139" s="2">
        <v>3216.33826940887</v>
      </c>
      <c r="AH5139" s="2">
        <v>3213.5014004538202</v>
      </c>
      <c r="AI5139" s="2">
        <v>3090.90445443824</v>
      </c>
      <c r="AJ5139" s="2">
        <v>3430.5000723635599</v>
      </c>
      <c r="AK5139" s="2">
        <v>4723.5320201766499</v>
      </c>
      <c r="AL5139" s="2">
        <v>4614.5046143527297</v>
      </c>
      <c r="AM5139" s="2">
        <v>4451.5585970584298</v>
      </c>
      <c r="AN5139" s="2">
        <v>3667.1346622851502</v>
      </c>
      <c r="AO5139" s="2">
        <v>4164.3763599273097</v>
      </c>
      <c r="AP5139" s="2">
        <v>3068.0154259939</v>
      </c>
    </row>
    <row r="5140" spans="1:42" ht="14.5" x14ac:dyDescent="0.35">
      <c r="A5140" s="2" t="s">
        <v>34107</v>
      </c>
      <c r="B5140" s="2">
        <v>373.12900989898498</v>
      </c>
      <c r="C5140" s="2">
        <v>4.96875</v>
      </c>
      <c r="D5140" s="2" t="s">
        <v>70</v>
      </c>
      <c r="E5140" s="2" t="s">
        <v>34108</v>
      </c>
      <c r="F5140" s="2">
        <v>266577</v>
      </c>
      <c r="G5140" s="3" t="str">
        <f>HYPERLINK("http://funmeta.oebiotech.com/network/266577", "http://funmeta.oebiotech.com/network/266577")</f>
        <v>http://funmeta.oebiotech.com/network/266577</v>
      </c>
      <c r="H5140" s="2"/>
      <c r="I5140" s="2">
        <v>43618</v>
      </c>
      <c r="J5140" s="2"/>
      <c r="K5140" s="2"/>
      <c r="L5140" s="2"/>
      <c r="M5140" s="2"/>
      <c r="N5140" s="2"/>
      <c r="O5140" s="2">
        <v>4643334</v>
      </c>
      <c r="P5140" s="2"/>
      <c r="Q5140" s="2" t="s">
        <v>34109</v>
      </c>
      <c r="R5140" s="2" t="s">
        <v>34110</v>
      </c>
      <c r="S5140" s="2" t="s">
        <v>115</v>
      </c>
      <c r="T5140" s="2" t="s">
        <v>17642</v>
      </c>
      <c r="U5140" s="2" t="s">
        <v>17643</v>
      </c>
      <c r="V5140" s="2" t="s">
        <v>59</v>
      </c>
      <c r="W5140" s="2">
        <v>38.5</v>
      </c>
      <c r="X5140" s="2">
        <v>0</v>
      </c>
      <c r="Y5140" s="2" t="s">
        <v>408</v>
      </c>
      <c r="Z5140" s="2" t="s">
        <v>34111</v>
      </c>
      <c r="AA5140" s="2">
        <v>-0.81281608476393297</v>
      </c>
      <c r="AB5140" s="2">
        <v>0.10178199189699</v>
      </c>
      <c r="AC5140" s="2">
        <v>27955.8005738785</v>
      </c>
      <c r="AD5140" s="2">
        <v>29532.135941824901</v>
      </c>
      <c r="AE5140" s="2">
        <v>30933.955361947501</v>
      </c>
      <c r="AF5140" s="2">
        <v>27636.249078221801</v>
      </c>
      <c r="AG5140" s="2">
        <v>29011.454315232801</v>
      </c>
      <c r="AH5140" s="2">
        <v>28030.686853294799</v>
      </c>
      <c r="AI5140" s="2">
        <v>25191.5903493642</v>
      </c>
      <c r="AJ5140" s="2">
        <v>26930.867485210099</v>
      </c>
      <c r="AK5140" s="2">
        <v>30698.4669478697</v>
      </c>
      <c r="AL5140" s="2">
        <v>26835.8961198865</v>
      </c>
      <c r="AM5140" s="2">
        <v>30523.613386927402</v>
      </c>
      <c r="AN5140" s="2">
        <v>30565.394909028299</v>
      </c>
      <c r="AO5140" s="2">
        <v>30241.114589524801</v>
      </c>
      <c r="AP5140" s="2">
        <v>28328.329697713001</v>
      </c>
    </row>
    <row r="5141" spans="1:42" ht="14.5" x14ac:dyDescent="0.35">
      <c r="A5141" s="2" t="s">
        <v>34112</v>
      </c>
      <c r="B5141" s="2">
        <v>206.98795076560401</v>
      </c>
      <c r="C5141" s="2">
        <v>1.22268333333333</v>
      </c>
      <c r="D5141" s="2" t="s">
        <v>70</v>
      </c>
      <c r="E5141" s="2" t="s">
        <v>34113</v>
      </c>
      <c r="F5141" s="2">
        <v>207510</v>
      </c>
      <c r="G5141" s="3" t="str">
        <f>HYPERLINK("http://funmeta.oebiotech.com/network/207510", "http://funmeta.oebiotech.com/network/207510")</f>
        <v>http://funmeta.oebiotech.com/network/207510</v>
      </c>
      <c r="H5141" s="2" t="s">
        <v>34114</v>
      </c>
      <c r="I5141" s="2">
        <v>343580</v>
      </c>
      <c r="J5141" s="2"/>
      <c r="K5141" s="2"/>
      <c r="L5141" s="2"/>
      <c r="M5141" s="2"/>
      <c r="N5141" s="2"/>
      <c r="O5141" s="2">
        <v>73706</v>
      </c>
      <c r="P5141" s="2"/>
      <c r="Q5141" s="2" t="s">
        <v>34115</v>
      </c>
      <c r="R5141" s="2" t="s">
        <v>34116</v>
      </c>
      <c r="S5141" s="2" t="s">
        <v>79</v>
      </c>
      <c r="T5141" s="2" t="s">
        <v>80</v>
      </c>
      <c r="U5141" s="2" t="s">
        <v>2820</v>
      </c>
      <c r="V5141" s="2" t="s">
        <v>59</v>
      </c>
      <c r="W5141" s="2">
        <v>44.1</v>
      </c>
      <c r="X5141" s="2">
        <v>26.1</v>
      </c>
      <c r="Y5141" s="2" t="s">
        <v>118</v>
      </c>
      <c r="Z5141" s="2" t="s">
        <v>34117</v>
      </c>
      <c r="AA5141" s="2">
        <v>-3.2280716153910398</v>
      </c>
      <c r="AB5141" s="2">
        <v>0.101763651818801</v>
      </c>
      <c r="AC5141" s="2">
        <v>6384.4679209463402</v>
      </c>
      <c r="AD5141" s="2">
        <v>5469.4031372968202</v>
      </c>
      <c r="AE5141" s="2">
        <v>6178.1766328449103</v>
      </c>
      <c r="AF5141" s="2">
        <v>6980.1665589221302</v>
      </c>
      <c r="AG5141" s="2">
        <v>6787.8677236822896</v>
      </c>
      <c r="AH5141" s="2">
        <v>6422.0181733314203</v>
      </c>
      <c r="AI5141" s="2">
        <v>5888.4861475258804</v>
      </c>
      <c r="AJ5141" s="2">
        <v>6050.0922893714196</v>
      </c>
      <c r="AK5141" s="2">
        <v>5665.3207591993396</v>
      </c>
      <c r="AL5141" s="2">
        <v>5394.1683006298299</v>
      </c>
      <c r="AM5141" s="2">
        <v>4581.8014952001904</v>
      </c>
      <c r="AN5141" s="2">
        <v>6050.2665998880902</v>
      </c>
      <c r="AO5141" s="2">
        <v>5665.0240961341196</v>
      </c>
      <c r="AP5141" s="2">
        <v>5459.8375727293596</v>
      </c>
    </row>
    <row r="5142" spans="1:42" ht="14.5" x14ac:dyDescent="0.35">
      <c r="A5142" s="2" t="s">
        <v>34118</v>
      </c>
      <c r="B5142" s="2">
        <v>475.28284463421301</v>
      </c>
      <c r="C5142" s="2">
        <v>10.120533333333301</v>
      </c>
      <c r="D5142" s="2" t="s">
        <v>70</v>
      </c>
      <c r="E5142" s="2" t="s">
        <v>34119</v>
      </c>
      <c r="F5142" s="2">
        <v>135241</v>
      </c>
      <c r="G5142" s="3" t="str">
        <f>HYPERLINK("http://funmeta.oebiotech.com/network/135241", "http://funmeta.oebiotech.com/network/135241")</f>
        <v>http://funmeta.oebiotech.com/network/135241</v>
      </c>
      <c r="H5142" s="2" t="s">
        <v>34120</v>
      </c>
      <c r="I5142" s="2"/>
      <c r="J5142" s="2"/>
      <c r="K5142" s="2"/>
      <c r="L5142" s="2"/>
      <c r="M5142" s="2"/>
      <c r="N5142" s="2"/>
      <c r="O5142" s="2">
        <v>131822220</v>
      </c>
      <c r="P5142" s="2"/>
      <c r="Q5142" s="2" t="s">
        <v>34121</v>
      </c>
      <c r="R5142" s="2" t="s">
        <v>34122</v>
      </c>
      <c r="S5142" s="2" t="s">
        <v>50</v>
      </c>
      <c r="T5142" s="2" t="s">
        <v>51</v>
      </c>
      <c r="U5142" s="2" t="s">
        <v>273</v>
      </c>
      <c r="V5142" s="2" t="s">
        <v>59</v>
      </c>
      <c r="W5142" s="2">
        <v>39.1</v>
      </c>
      <c r="X5142" s="2">
        <v>0.14399999999999999</v>
      </c>
      <c r="Y5142" s="2" t="s">
        <v>751</v>
      </c>
      <c r="Z5142" s="2" t="s">
        <v>34123</v>
      </c>
      <c r="AA5142" s="2">
        <v>-0.34258398573378701</v>
      </c>
      <c r="AB5142" s="2">
        <v>0.10161923347364001</v>
      </c>
      <c r="AC5142" s="2">
        <v>26290.118013529202</v>
      </c>
      <c r="AD5142" s="2">
        <v>27805.581507758001</v>
      </c>
      <c r="AE5142" s="2">
        <v>26100.6721177365</v>
      </c>
      <c r="AF5142" s="2">
        <v>28385.418091582698</v>
      </c>
      <c r="AG5142" s="2">
        <v>26836.763039762001</v>
      </c>
      <c r="AH5142" s="2">
        <v>24787.905013980999</v>
      </c>
      <c r="AI5142" s="2">
        <v>24442.826906288399</v>
      </c>
      <c r="AJ5142" s="2">
        <v>27187.122911824899</v>
      </c>
      <c r="AK5142" s="2">
        <v>26832.5315738563</v>
      </c>
      <c r="AL5142" s="2">
        <v>31023.630528846701</v>
      </c>
      <c r="AM5142" s="2">
        <v>26805.3495567637</v>
      </c>
      <c r="AN5142" s="2">
        <v>26764.871394923499</v>
      </c>
      <c r="AO5142" s="2">
        <v>28304.833695066402</v>
      </c>
      <c r="AP5142" s="2">
        <v>27102.2722970916</v>
      </c>
    </row>
    <row r="5143" spans="1:42" ht="14.5" x14ac:dyDescent="0.35">
      <c r="A5143" s="2" t="s">
        <v>34124</v>
      </c>
      <c r="B5143" s="2">
        <v>501.233874274345</v>
      </c>
      <c r="C5143" s="2">
        <v>4.8984333333333296</v>
      </c>
      <c r="D5143" s="2" t="s">
        <v>70</v>
      </c>
      <c r="E5143" s="2" t="s">
        <v>34125</v>
      </c>
      <c r="F5143" s="2">
        <v>54662</v>
      </c>
      <c r="G5143" s="3" t="str">
        <f>HYPERLINK("http://funmeta.oebiotech.com/network/54662", "http://funmeta.oebiotech.com/network/54662")</f>
        <v>http://funmeta.oebiotech.com/network/54662</v>
      </c>
      <c r="H5143" s="2" t="s">
        <v>34126</v>
      </c>
      <c r="I5143" s="2">
        <v>86478</v>
      </c>
      <c r="J5143" s="2"/>
      <c r="K5143" s="2">
        <v>168244</v>
      </c>
      <c r="L5143" s="2"/>
      <c r="M5143" s="2"/>
      <c r="N5143" s="2"/>
      <c r="O5143" s="2">
        <v>74929277</v>
      </c>
      <c r="P5143" s="2" t="s">
        <v>34127</v>
      </c>
      <c r="Q5143" s="2" t="s">
        <v>34128</v>
      </c>
      <c r="R5143" s="2" t="s">
        <v>34129</v>
      </c>
      <c r="S5143" s="2" t="s">
        <v>50</v>
      </c>
      <c r="T5143" s="2" t="s">
        <v>229</v>
      </c>
      <c r="U5143" s="2" t="s">
        <v>230</v>
      </c>
      <c r="V5143" s="2" t="s">
        <v>42</v>
      </c>
      <c r="W5143" s="2">
        <v>53.3</v>
      </c>
      <c r="X5143" s="2">
        <v>75.3</v>
      </c>
      <c r="Y5143" s="2" t="s">
        <v>751</v>
      </c>
      <c r="Z5143" s="2" t="s">
        <v>34130</v>
      </c>
      <c r="AA5143" s="2">
        <v>-0.50230116732688002</v>
      </c>
      <c r="AB5143" s="2">
        <v>0.101581679692892</v>
      </c>
      <c r="AC5143" s="2">
        <v>40158.438739252597</v>
      </c>
      <c r="AD5143" s="2">
        <v>41849.889360300403</v>
      </c>
      <c r="AE5143" s="2">
        <v>43232.144837609798</v>
      </c>
      <c r="AF5143" s="2">
        <v>41314.117225540504</v>
      </c>
      <c r="AG5143" s="2">
        <v>40527.2752286342</v>
      </c>
      <c r="AH5143" s="2">
        <v>36972.642130579101</v>
      </c>
      <c r="AI5143" s="2">
        <v>37557.713698930304</v>
      </c>
      <c r="AJ5143" s="2">
        <v>41346.739314221399</v>
      </c>
      <c r="AK5143" s="2">
        <v>42588.7388979729</v>
      </c>
      <c r="AL5143" s="2">
        <v>43133.790830754297</v>
      </c>
      <c r="AM5143" s="2">
        <v>42826.182419781297</v>
      </c>
      <c r="AN5143" s="2">
        <v>39506.836684853202</v>
      </c>
      <c r="AO5143" s="2">
        <v>42800.844233322998</v>
      </c>
      <c r="AP5143" s="2">
        <v>40242.943095117902</v>
      </c>
    </row>
    <row r="5144" spans="1:42" ht="14.5" x14ac:dyDescent="0.35">
      <c r="A5144" s="2" t="s">
        <v>34131</v>
      </c>
      <c r="B5144" s="2">
        <v>141.01818922376199</v>
      </c>
      <c r="C5144" s="2">
        <v>1.06171666666667</v>
      </c>
      <c r="D5144" s="2" t="s">
        <v>34</v>
      </c>
      <c r="E5144" s="2" t="s">
        <v>34132</v>
      </c>
      <c r="F5144" s="2">
        <v>55814</v>
      </c>
      <c r="G5144" s="3" t="str">
        <f>HYPERLINK("http://funmeta.oebiotech.com/network/55814", "http://funmeta.oebiotech.com/network/55814")</f>
        <v>http://funmeta.oebiotech.com/network/55814</v>
      </c>
      <c r="H5144" s="2" t="s">
        <v>34133</v>
      </c>
      <c r="I5144" s="2">
        <v>87497</v>
      </c>
      <c r="J5144" s="2"/>
      <c r="K5144" s="2">
        <v>172309</v>
      </c>
      <c r="L5144" s="2"/>
      <c r="M5144" s="2"/>
      <c r="N5144" s="2"/>
      <c r="O5144" s="2">
        <v>71436380</v>
      </c>
      <c r="P5144" s="2" t="s">
        <v>34134</v>
      </c>
      <c r="Q5144" s="2" t="s">
        <v>34135</v>
      </c>
      <c r="R5144" s="2" t="s">
        <v>34136</v>
      </c>
      <c r="S5144" s="2" t="s">
        <v>491</v>
      </c>
      <c r="T5144" s="2" t="s">
        <v>2321</v>
      </c>
      <c r="U5144" s="2" t="s">
        <v>2322</v>
      </c>
      <c r="V5144" s="2" t="s">
        <v>59</v>
      </c>
      <c r="W5144" s="2">
        <v>39.1</v>
      </c>
      <c r="X5144" s="2">
        <v>0</v>
      </c>
      <c r="Y5144" s="2" t="s">
        <v>141</v>
      </c>
      <c r="Z5144" s="2" t="s">
        <v>34137</v>
      </c>
      <c r="AA5144" s="2">
        <v>-0.289938083769544</v>
      </c>
      <c r="AB5144" s="2">
        <v>0.10156245985300701</v>
      </c>
      <c r="AC5144" s="2">
        <v>3419.3653849992802</v>
      </c>
      <c r="AD5144" s="2">
        <v>4154.5784337032201</v>
      </c>
      <c r="AE5144" s="2">
        <v>3423.3249645972701</v>
      </c>
      <c r="AF5144" s="2">
        <v>3416.8221821690699</v>
      </c>
      <c r="AG5144" s="2">
        <v>3091.10541505023</v>
      </c>
      <c r="AH5144" s="2">
        <v>3567.4603467325901</v>
      </c>
      <c r="AI5144" s="2">
        <v>3505.7193746786602</v>
      </c>
      <c r="AJ5144" s="2">
        <v>3511.7600267678299</v>
      </c>
      <c r="AK5144" s="2">
        <v>3899.78676883149</v>
      </c>
      <c r="AL5144" s="2">
        <v>4359.9536094820596</v>
      </c>
      <c r="AM5144" s="2">
        <v>4308.6158623587398</v>
      </c>
      <c r="AN5144" s="2">
        <v>4095.82526152521</v>
      </c>
      <c r="AO5144" s="2">
        <v>4031.7641160333601</v>
      </c>
      <c r="AP5144" s="2">
        <v>4231.52498398846</v>
      </c>
    </row>
    <row r="5145" spans="1:42" ht="14.5" x14ac:dyDescent="0.35">
      <c r="A5145" s="2" t="s">
        <v>34138</v>
      </c>
      <c r="B5145" s="2">
        <v>619.34740816268697</v>
      </c>
      <c r="C5145" s="2">
        <v>10.283666666666701</v>
      </c>
      <c r="D5145" s="2" t="s">
        <v>34</v>
      </c>
      <c r="E5145" s="2" t="s">
        <v>34139</v>
      </c>
      <c r="F5145" s="2">
        <v>48249</v>
      </c>
      <c r="G5145" s="3" t="str">
        <f>HYPERLINK("http://funmeta.oebiotech.com/network/48249", "http://funmeta.oebiotech.com/network/48249")</f>
        <v>http://funmeta.oebiotech.com/network/48249</v>
      </c>
      <c r="H5145" s="2" t="s">
        <v>34140</v>
      </c>
      <c r="I5145" s="2"/>
      <c r="J5145" s="2"/>
      <c r="K5145" s="2">
        <v>6320</v>
      </c>
      <c r="L5145" s="2" t="s">
        <v>34141</v>
      </c>
      <c r="M5145" s="2" t="s">
        <v>1978</v>
      </c>
      <c r="N5145" s="2" t="s">
        <v>1979</v>
      </c>
      <c r="O5145" s="2">
        <v>9548718</v>
      </c>
      <c r="P5145" s="2" t="s">
        <v>34142</v>
      </c>
      <c r="Q5145" s="2" t="s">
        <v>34143</v>
      </c>
      <c r="R5145" s="2" t="s">
        <v>34144</v>
      </c>
      <c r="S5145" s="2" t="s">
        <v>491</v>
      </c>
      <c r="T5145" s="2" t="s">
        <v>492</v>
      </c>
      <c r="U5145" s="2" t="s">
        <v>11690</v>
      </c>
      <c r="V5145" s="2" t="s">
        <v>59</v>
      </c>
      <c r="W5145" s="2">
        <v>38.5</v>
      </c>
      <c r="X5145" s="2">
        <v>0</v>
      </c>
      <c r="Y5145" s="2" t="s">
        <v>323</v>
      </c>
      <c r="Z5145" s="2" t="s">
        <v>34145</v>
      </c>
      <c r="AA5145" s="2">
        <v>1.3451778861819099</v>
      </c>
      <c r="AB5145" s="2">
        <v>0.101490945003546</v>
      </c>
      <c r="AC5145" s="2">
        <v>6525.4109221603003</v>
      </c>
      <c r="AD5145" s="2">
        <v>5429.3268207855699</v>
      </c>
      <c r="AE5145" s="2">
        <v>5279.0169149102903</v>
      </c>
      <c r="AF5145" s="2">
        <v>6031.1213438282803</v>
      </c>
      <c r="AG5145" s="2">
        <v>6406.7546523599804</v>
      </c>
      <c r="AH5145" s="2">
        <v>7114.3700025314201</v>
      </c>
      <c r="AI5145" s="2">
        <v>7196.4021604658601</v>
      </c>
      <c r="AJ5145" s="2">
        <v>7124.8004588659596</v>
      </c>
      <c r="AK5145" s="2">
        <v>5672.3474862726198</v>
      </c>
      <c r="AL5145" s="2">
        <v>4144.5888554768098</v>
      </c>
      <c r="AM5145" s="2">
        <v>5225.0455279182397</v>
      </c>
      <c r="AN5145" s="2">
        <v>5810.49884837029</v>
      </c>
      <c r="AO5145" s="2">
        <v>5470.5934406344204</v>
      </c>
      <c r="AP5145" s="2">
        <v>6252.8867660410297</v>
      </c>
    </row>
    <row r="5146" spans="1:42" ht="14.5" x14ac:dyDescent="0.35">
      <c r="A5146" s="2" t="s">
        <v>34146</v>
      </c>
      <c r="B5146" s="2">
        <v>349.07755065198103</v>
      </c>
      <c r="C5146" s="2">
        <v>1.4846333333333299</v>
      </c>
      <c r="D5146" s="2" t="s">
        <v>70</v>
      </c>
      <c r="E5146" s="2" t="s">
        <v>34147</v>
      </c>
      <c r="F5146" s="2">
        <v>208178</v>
      </c>
      <c r="G5146" s="3" t="str">
        <f>HYPERLINK("http://funmeta.oebiotech.com/network/208178", "http://funmeta.oebiotech.com/network/208178")</f>
        <v>http://funmeta.oebiotech.com/network/208178</v>
      </c>
      <c r="H5146" s="2" t="s">
        <v>34148</v>
      </c>
      <c r="I5146" s="2"/>
      <c r="J5146" s="2"/>
      <c r="K5146" s="2"/>
      <c r="L5146" s="2"/>
      <c r="M5146" s="2"/>
      <c r="N5146" s="2"/>
      <c r="O5146" s="2">
        <v>129641481</v>
      </c>
      <c r="P5146" s="2"/>
      <c r="Q5146" s="2" t="s">
        <v>34149</v>
      </c>
      <c r="R5146" s="2" t="s">
        <v>34150</v>
      </c>
      <c r="S5146" s="2" t="s">
        <v>41</v>
      </c>
      <c r="T5146" s="2" t="s">
        <v>41</v>
      </c>
      <c r="U5146" s="2" t="s">
        <v>41</v>
      </c>
      <c r="V5146" s="2" t="s">
        <v>59</v>
      </c>
      <c r="W5146" s="2">
        <v>38</v>
      </c>
      <c r="X5146" s="2">
        <v>0</v>
      </c>
      <c r="Y5146" s="2" t="s">
        <v>751</v>
      </c>
      <c r="Z5146" s="2" t="s">
        <v>34151</v>
      </c>
      <c r="AA5146" s="2">
        <v>-0.22902791441996101</v>
      </c>
      <c r="AB5146" s="2">
        <v>0.101462605771798</v>
      </c>
      <c r="AC5146" s="2">
        <v>2626.6823802928602</v>
      </c>
      <c r="AD5146" s="2">
        <v>3432.87955538595</v>
      </c>
      <c r="AE5146" s="2">
        <v>2654.8893190189001</v>
      </c>
      <c r="AF5146" s="2">
        <v>2783.9308273505399</v>
      </c>
      <c r="AG5146" s="2">
        <v>2481.6624376350001</v>
      </c>
      <c r="AH5146" s="2">
        <v>2774.80042041462</v>
      </c>
      <c r="AI5146" s="2">
        <v>2509.5125383383802</v>
      </c>
      <c r="AJ5146" s="2">
        <v>2555.2987389997302</v>
      </c>
      <c r="AK5146" s="2">
        <v>3247.37651107598</v>
      </c>
      <c r="AL5146" s="2">
        <v>2969.93698502403</v>
      </c>
      <c r="AM5146" s="2">
        <v>3295.43636915564</v>
      </c>
      <c r="AN5146" s="2">
        <v>4110.8218222161604</v>
      </c>
      <c r="AO5146" s="2">
        <v>3362.4981211416798</v>
      </c>
      <c r="AP5146" s="2">
        <v>3611.20752370221</v>
      </c>
    </row>
    <row r="5147" spans="1:42" ht="14.5" x14ac:dyDescent="0.35">
      <c r="A5147" s="2" t="s">
        <v>34152</v>
      </c>
      <c r="B5147" s="2">
        <v>427.15165247472203</v>
      </c>
      <c r="C5147" s="2">
        <v>7.1697499999999996</v>
      </c>
      <c r="D5147" s="2" t="s">
        <v>34</v>
      </c>
      <c r="E5147" s="2" t="s">
        <v>34153</v>
      </c>
      <c r="F5147" s="2">
        <v>36266</v>
      </c>
      <c r="G5147" s="3" t="str">
        <f>HYPERLINK("http://funmeta.oebiotech.com/network/36266", "http://funmeta.oebiotech.com/network/36266")</f>
        <v>http://funmeta.oebiotech.com/network/36266</v>
      </c>
      <c r="H5147" s="2"/>
      <c r="I5147" s="2">
        <v>41276</v>
      </c>
      <c r="J5147" s="2" t="s">
        <v>34154</v>
      </c>
      <c r="K5147" s="2">
        <v>8692</v>
      </c>
      <c r="L5147" s="2" t="s">
        <v>34155</v>
      </c>
      <c r="M5147" s="2"/>
      <c r="N5147" s="2"/>
      <c r="O5147" s="2">
        <v>65571</v>
      </c>
      <c r="P5147" s="2"/>
      <c r="Q5147" s="2" t="s">
        <v>34156</v>
      </c>
      <c r="R5147" s="2" t="s">
        <v>34157</v>
      </c>
      <c r="S5147" s="2" t="s">
        <v>50</v>
      </c>
      <c r="T5147" s="2" t="s">
        <v>201</v>
      </c>
      <c r="U5147" s="2" t="s">
        <v>1217</v>
      </c>
      <c r="V5147" s="2" t="s">
        <v>59</v>
      </c>
      <c r="W5147" s="2">
        <v>37.299999999999997</v>
      </c>
      <c r="X5147" s="2">
        <v>0</v>
      </c>
      <c r="Y5147" s="2" t="s">
        <v>340</v>
      </c>
      <c r="Z5147" s="2" t="s">
        <v>4269</v>
      </c>
      <c r="AA5147" s="2">
        <v>-0.242718617579637</v>
      </c>
      <c r="AB5147" s="2">
        <v>0.10137324850641299</v>
      </c>
      <c r="AC5147" s="2">
        <v>18623.413484754601</v>
      </c>
      <c r="AD5147" s="2">
        <v>20322.7058944204</v>
      </c>
      <c r="AE5147" s="2">
        <v>17294.995997199399</v>
      </c>
      <c r="AF5147" s="2">
        <v>16349.186428733299</v>
      </c>
      <c r="AG5147" s="2">
        <v>18629.516509719801</v>
      </c>
      <c r="AH5147" s="2">
        <v>21817.606515453699</v>
      </c>
      <c r="AI5147" s="2">
        <v>17597.7868620074</v>
      </c>
      <c r="AJ5147" s="2">
        <v>20051.3885954139</v>
      </c>
      <c r="AK5147" s="2">
        <v>22099.280912345301</v>
      </c>
      <c r="AL5147" s="2">
        <v>22147.364723659</v>
      </c>
      <c r="AM5147" s="2">
        <v>22333.363129053301</v>
      </c>
      <c r="AN5147" s="2">
        <v>17739.032543552501</v>
      </c>
      <c r="AO5147" s="2">
        <v>20103.1433128137</v>
      </c>
      <c r="AP5147" s="2">
        <v>17514.050745098601</v>
      </c>
    </row>
    <row r="5148" spans="1:42" ht="14.5" x14ac:dyDescent="0.35">
      <c r="A5148" s="2" t="s">
        <v>34158</v>
      </c>
      <c r="B5148" s="2">
        <v>665.04338833592897</v>
      </c>
      <c r="C5148" s="2">
        <v>10.28895</v>
      </c>
      <c r="D5148" s="2" t="s">
        <v>70</v>
      </c>
      <c r="E5148" s="2" t="s">
        <v>34159</v>
      </c>
      <c r="F5148" s="2">
        <v>257352</v>
      </c>
      <c r="G5148" s="3" t="str">
        <f>HYPERLINK("http://funmeta.oebiotech.com/network/257352", "http://funmeta.oebiotech.com/network/257352")</f>
        <v>http://funmeta.oebiotech.com/network/257352</v>
      </c>
      <c r="H5148" s="2" t="s">
        <v>34160</v>
      </c>
      <c r="I5148" s="2"/>
      <c r="J5148" s="2"/>
      <c r="K5148" s="2"/>
      <c r="L5148" s="2"/>
      <c r="M5148" s="2"/>
      <c r="N5148" s="2"/>
      <c r="O5148" s="2">
        <v>25245903</v>
      </c>
      <c r="P5148" s="2"/>
      <c r="Q5148" s="2" t="s">
        <v>34161</v>
      </c>
      <c r="R5148" s="2" t="s">
        <v>34162</v>
      </c>
      <c r="S5148" s="2" t="s">
        <v>1444</v>
      </c>
      <c r="T5148" s="2" t="s">
        <v>8026</v>
      </c>
      <c r="U5148" s="2" t="s">
        <v>34163</v>
      </c>
      <c r="V5148" s="2" t="s">
        <v>59</v>
      </c>
      <c r="W5148" s="2">
        <v>39.200000000000003</v>
      </c>
      <c r="X5148" s="2">
        <v>0</v>
      </c>
      <c r="Y5148" s="2" t="s">
        <v>560</v>
      </c>
      <c r="Z5148" s="2" t="s">
        <v>34164</v>
      </c>
      <c r="AA5148" s="2">
        <v>1.0953781848490201</v>
      </c>
      <c r="AB5148" s="2">
        <v>0.101358533211081</v>
      </c>
      <c r="AC5148" s="2">
        <v>14263.558246008901</v>
      </c>
      <c r="AD5148" s="2">
        <v>15492.351530252001</v>
      </c>
      <c r="AE5148" s="2">
        <v>15046.5982230256</v>
      </c>
      <c r="AF5148" s="2">
        <v>15693.2583133177</v>
      </c>
      <c r="AG5148" s="2">
        <v>14138.0490126405</v>
      </c>
      <c r="AH5148" s="2">
        <v>13228.351557179099</v>
      </c>
      <c r="AI5148" s="2">
        <v>13792.113542777901</v>
      </c>
      <c r="AJ5148" s="2">
        <v>13682.9788271129</v>
      </c>
      <c r="AK5148" s="2">
        <v>15212.046807082301</v>
      </c>
      <c r="AL5148" s="2">
        <v>16106.4053818719</v>
      </c>
      <c r="AM5148" s="2">
        <v>14151.749250695901</v>
      </c>
      <c r="AN5148" s="2">
        <v>16819.9499877868</v>
      </c>
      <c r="AO5148" s="2">
        <v>16308.307864819601</v>
      </c>
      <c r="AP5148" s="2">
        <v>14355.649889255301</v>
      </c>
    </row>
    <row r="5149" spans="1:42" ht="14.5" x14ac:dyDescent="0.35">
      <c r="A5149" s="2" t="s">
        <v>34165</v>
      </c>
      <c r="B5149" s="2">
        <v>452.27787733786801</v>
      </c>
      <c r="C5149" s="2">
        <v>10.5087833333333</v>
      </c>
      <c r="D5149" s="2" t="s">
        <v>70</v>
      </c>
      <c r="E5149" s="2" t="s">
        <v>34166</v>
      </c>
      <c r="F5149" s="2">
        <v>21164</v>
      </c>
      <c r="G5149" s="3" t="str">
        <f>HYPERLINK("http://funmeta.oebiotech.com/network/21164", "http://funmeta.oebiotech.com/network/21164")</f>
        <v>http://funmeta.oebiotech.com/network/21164</v>
      </c>
      <c r="H5149" s="2" t="s">
        <v>34167</v>
      </c>
      <c r="I5149" s="2">
        <v>40776</v>
      </c>
      <c r="J5149" s="2" t="s">
        <v>34168</v>
      </c>
      <c r="K5149" s="2">
        <v>73004</v>
      </c>
      <c r="L5149" s="2"/>
      <c r="M5149" s="2"/>
      <c r="N5149" s="2"/>
      <c r="O5149" s="2">
        <v>9547069</v>
      </c>
      <c r="P5149" s="2" t="s">
        <v>34169</v>
      </c>
      <c r="Q5149" s="2" t="s">
        <v>34170</v>
      </c>
      <c r="R5149" s="2" t="s">
        <v>34171</v>
      </c>
      <c r="S5149" s="2" t="s">
        <v>50</v>
      </c>
      <c r="T5149" s="2" t="s">
        <v>51</v>
      </c>
      <c r="U5149" s="2" t="s">
        <v>257</v>
      </c>
      <c r="V5149" s="2" t="s">
        <v>59</v>
      </c>
      <c r="W5149" s="2">
        <v>38.299999999999997</v>
      </c>
      <c r="X5149" s="2">
        <v>0</v>
      </c>
      <c r="Y5149" s="2" t="s">
        <v>118</v>
      </c>
      <c r="Z5149" s="2" t="s">
        <v>34172</v>
      </c>
      <c r="AA5149" s="2">
        <v>-0.85070644941528295</v>
      </c>
      <c r="AB5149" s="2">
        <v>0.10129785540701999</v>
      </c>
      <c r="AC5149" s="2">
        <v>5036.1513345380999</v>
      </c>
      <c r="AD5149" s="2">
        <v>6169.4872861061003</v>
      </c>
      <c r="AE5149" s="2">
        <v>5109.7568684894704</v>
      </c>
      <c r="AF5149" s="2">
        <v>5053.8735969489298</v>
      </c>
      <c r="AG5149" s="2">
        <v>4734.4105205369997</v>
      </c>
      <c r="AH5149" s="2">
        <v>4282.2572743385599</v>
      </c>
      <c r="AI5149" s="2">
        <v>5088.1028801655502</v>
      </c>
      <c r="AJ5149" s="2">
        <v>5948.5068667490696</v>
      </c>
      <c r="AK5149" s="2">
        <v>6642.4135738442401</v>
      </c>
      <c r="AL5149" s="2">
        <v>6253.5062115131404</v>
      </c>
      <c r="AM5149" s="2">
        <v>6034.6556150717897</v>
      </c>
      <c r="AN5149" s="2">
        <v>4362.8134063654097</v>
      </c>
      <c r="AO5149" s="2">
        <v>6190.01562352565</v>
      </c>
      <c r="AP5149" s="2">
        <v>7533.5192863164002</v>
      </c>
    </row>
    <row r="5150" spans="1:42" ht="14.5" x14ac:dyDescent="0.35">
      <c r="A5150" s="2" t="s">
        <v>34173</v>
      </c>
      <c r="B5150" s="2">
        <v>863.51121516624801</v>
      </c>
      <c r="C5150" s="2">
        <v>10.0942333333333</v>
      </c>
      <c r="D5150" s="2" t="s">
        <v>34</v>
      </c>
      <c r="E5150" s="2" t="s">
        <v>34174</v>
      </c>
      <c r="F5150" s="2">
        <v>212470</v>
      </c>
      <c r="G5150" s="3" t="str">
        <f>HYPERLINK("http://funmeta.oebiotech.com/network/212470", "http://funmeta.oebiotech.com/network/212470")</f>
        <v>http://funmeta.oebiotech.com/network/212470</v>
      </c>
      <c r="H5150" s="2" t="s">
        <v>34175</v>
      </c>
      <c r="I5150" s="2"/>
      <c r="J5150" s="2"/>
      <c r="K5150" s="2"/>
      <c r="L5150" s="2"/>
      <c r="M5150" s="2"/>
      <c r="N5150" s="2"/>
      <c r="O5150" s="2">
        <v>21121633</v>
      </c>
      <c r="P5150" s="2"/>
      <c r="Q5150" s="2" t="s">
        <v>34176</v>
      </c>
      <c r="R5150" s="2" t="s">
        <v>34177</v>
      </c>
      <c r="S5150" s="2" t="s">
        <v>41</v>
      </c>
      <c r="T5150" s="2" t="s">
        <v>41</v>
      </c>
      <c r="U5150" s="2" t="s">
        <v>41</v>
      </c>
      <c r="V5150" s="2" t="s">
        <v>59</v>
      </c>
      <c r="W5150" s="2">
        <v>38.299999999999997</v>
      </c>
      <c r="X5150" s="2">
        <v>0</v>
      </c>
      <c r="Y5150" s="2" t="s">
        <v>43</v>
      </c>
      <c r="Z5150" s="2" t="s">
        <v>34178</v>
      </c>
      <c r="AA5150" s="2">
        <v>1.7178104948919499</v>
      </c>
      <c r="AB5150" s="2">
        <v>0.101192608072567</v>
      </c>
      <c r="AC5150" s="2">
        <v>5714.4338152264099</v>
      </c>
      <c r="AD5150" s="2">
        <v>4454.3025408388703</v>
      </c>
      <c r="AE5150" s="2">
        <v>5282.8507412313202</v>
      </c>
      <c r="AF5150" s="2">
        <v>4206.97227412547</v>
      </c>
      <c r="AG5150" s="2">
        <v>5610.3538888435596</v>
      </c>
      <c r="AH5150" s="2">
        <v>6100.7859635791301</v>
      </c>
      <c r="AI5150" s="2">
        <v>5686.6106369884401</v>
      </c>
      <c r="AJ5150" s="2">
        <v>7399.0293865905496</v>
      </c>
      <c r="AK5150" s="2">
        <v>5212.0500285977296</v>
      </c>
      <c r="AL5150" s="2">
        <v>2772.49752636324</v>
      </c>
      <c r="AM5150" s="2">
        <v>4856.0777204773603</v>
      </c>
      <c r="AN5150" s="2">
        <v>3306.7287542638701</v>
      </c>
      <c r="AO5150" s="2">
        <v>5399.03760407954</v>
      </c>
      <c r="AP5150" s="2">
        <v>5179.4236112515</v>
      </c>
    </row>
    <row r="5151" spans="1:42" ht="14.5" x14ac:dyDescent="0.35">
      <c r="A5151" s="2" t="s">
        <v>34179</v>
      </c>
      <c r="B5151" s="2">
        <v>749.40911989991196</v>
      </c>
      <c r="C5151" s="2">
        <v>9.3321500000000004</v>
      </c>
      <c r="D5151" s="2" t="s">
        <v>34</v>
      </c>
      <c r="E5151" s="2" t="s">
        <v>34180</v>
      </c>
      <c r="F5151" s="2">
        <v>54536</v>
      </c>
      <c r="G5151" s="3" t="str">
        <f>HYPERLINK("http://funmeta.oebiotech.com/network/54536", "http://funmeta.oebiotech.com/network/54536")</f>
        <v>http://funmeta.oebiotech.com/network/54536</v>
      </c>
      <c r="H5151" s="2" t="s">
        <v>34181</v>
      </c>
      <c r="I5151" s="2">
        <v>86384</v>
      </c>
      <c r="J5151" s="2"/>
      <c r="K5151" s="2"/>
      <c r="L5151" s="2"/>
      <c r="M5151" s="2"/>
      <c r="N5151" s="2"/>
      <c r="O5151" s="2">
        <v>12313941</v>
      </c>
      <c r="P5151" s="2"/>
      <c r="Q5151" s="2" t="s">
        <v>34182</v>
      </c>
      <c r="R5151" s="2" t="s">
        <v>34183</v>
      </c>
      <c r="S5151" s="2" t="s">
        <v>50</v>
      </c>
      <c r="T5151" s="2" t="s">
        <v>124</v>
      </c>
      <c r="U5151" s="2" t="s">
        <v>523</v>
      </c>
      <c r="V5151" s="2" t="s">
        <v>59</v>
      </c>
      <c r="W5151" s="2">
        <v>39</v>
      </c>
      <c r="X5151" s="2">
        <v>0</v>
      </c>
      <c r="Y5151" s="2" t="s">
        <v>323</v>
      </c>
      <c r="Z5151" s="2" t="s">
        <v>34184</v>
      </c>
      <c r="AA5151" s="2">
        <v>1.1800038848838601</v>
      </c>
      <c r="AB5151" s="2">
        <v>0.10115689022157601</v>
      </c>
      <c r="AC5151" s="2">
        <v>20730.253330990399</v>
      </c>
      <c r="AD5151" s="2">
        <v>19276.157449486102</v>
      </c>
      <c r="AE5151" s="2">
        <v>19072.590490440602</v>
      </c>
      <c r="AF5151" s="2">
        <v>18514.299024375301</v>
      </c>
      <c r="AG5151" s="2">
        <v>20774.4974164052</v>
      </c>
      <c r="AH5151" s="2">
        <v>22560.413840367</v>
      </c>
      <c r="AI5151" s="2">
        <v>21558.960013038701</v>
      </c>
      <c r="AJ5151" s="2">
        <v>21900.759201315599</v>
      </c>
      <c r="AK5151" s="2">
        <v>21066.729823470301</v>
      </c>
      <c r="AL5151" s="2">
        <v>20235.266701380799</v>
      </c>
      <c r="AM5151" s="2">
        <v>19780.011124048098</v>
      </c>
      <c r="AN5151" s="2">
        <v>18735.11439096</v>
      </c>
      <c r="AO5151" s="2">
        <v>17049.031861894098</v>
      </c>
      <c r="AP5151" s="2">
        <v>18790.790795163099</v>
      </c>
    </row>
    <row r="5152" spans="1:42" ht="14.5" x14ac:dyDescent="0.35">
      <c r="A5152" s="2" t="s">
        <v>34185</v>
      </c>
      <c r="B5152" s="2">
        <v>195.065248428084</v>
      </c>
      <c r="C5152" s="2">
        <v>4.1925499999999998</v>
      </c>
      <c r="D5152" s="2" t="s">
        <v>34</v>
      </c>
      <c r="E5152" s="2" t="s">
        <v>34186</v>
      </c>
      <c r="F5152" s="2">
        <v>274805</v>
      </c>
      <c r="G5152" s="3" t="str">
        <f>HYPERLINK("http://funmeta.oebiotech.com/network/274805", "http://funmeta.oebiotech.com/network/274805")</f>
        <v>http://funmeta.oebiotech.com/network/274805</v>
      </c>
      <c r="H5152" s="2"/>
      <c r="I5152" s="2">
        <v>65532</v>
      </c>
      <c r="J5152" s="2"/>
      <c r="K5152" s="2"/>
      <c r="L5152" s="2" t="s">
        <v>34187</v>
      </c>
      <c r="M5152" s="2"/>
      <c r="N5152" s="2"/>
      <c r="O5152" s="2">
        <v>3477029</v>
      </c>
      <c r="P5152" s="2" t="s">
        <v>34188</v>
      </c>
      <c r="Q5152" s="2" t="s">
        <v>34189</v>
      </c>
      <c r="R5152" s="2" t="s">
        <v>34190</v>
      </c>
      <c r="S5152" s="2" t="s">
        <v>148</v>
      </c>
      <c r="T5152" s="2" t="s">
        <v>19471</v>
      </c>
      <c r="U5152" s="2" t="s">
        <v>41</v>
      </c>
      <c r="V5152" s="2" t="s">
        <v>42</v>
      </c>
      <c r="W5152" s="2">
        <v>54.7</v>
      </c>
      <c r="X5152" s="2">
        <v>80.2</v>
      </c>
      <c r="Y5152" s="2" t="s">
        <v>394</v>
      </c>
      <c r="Z5152" s="2" t="s">
        <v>1828</v>
      </c>
      <c r="AA5152" s="2">
        <v>0.32566126534356998</v>
      </c>
      <c r="AB5152" s="2">
        <v>0.101128692523498</v>
      </c>
      <c r="AC5152" s="2">
        <v>8977.1385587938403</v>
      </c>
      <c r="AD5152" s="2">
        <v>7988.5605335320097</v>
      </c>
      <c r="AE5152" s="2">
        <v>9033.1815489796609</v>
      </c>
      <c r="AF5152" s="2">
        <v>9127.8843557103191</v>
      </c>
      <c r="AG5152" s="2">
        <v>8651.3929120982993</v>
      </c>
      <c r="AH5152" s="2">
        <v>8495.1129410943595</v>
      </c>
      <c r="AI5152" s="2">
        <v>9691.9499809853405</v>
      </c>
      <c r="AJ5152" s="2">
        <v>8863.3096138950496</v>
      </c>
      <c r="AK5152" s="2">
        <v>9177.1127285202692</v>
      </c>
      <c r="AL5152" s="2">
        <v>8376.8715191657702</v>
      </c>
      <c r="AM5152" s="2">
        <v>7527.7339740736697</v>
      </c>
      <c r="AN5152" s="2">
        <v>7391.3128369570504</v>
      </c>
      <c r="AO5152" s="2">
        <v>7362.1960348713001</v>
      </c>
      <c r="AP5152" s="2">
        <v>8096.1361076040102</v>
      </c>
    </row>
    <row r="5153" spans="1:42" ht="14.5" x14ac:dyDescent="0.35">
      <c r="A5153" s="2" t="s">
        <v>34191</v>
      </c>
      <c r="B5153" s="2">
        <v>581.04196485570696</v>
      </c>
      <c r="C5153" s="2">
        <v>9.7958999999999996</v>
      </c>
      <c r="D5153" s="2" t="s">
        <v>70</v>
      </c>
      <c r="E5153" s="2" t="s">
        <v>34192</v>
      </c>
      <c r="F5153" s="2">
        <v>47349</v>
      </c>
      <c r="G5153" s="3" t="str">
        <f>HYPERLINK("http://funmeta.oebiotech.com/network/47349", "http://funmeta.oebiotech.com/network/47349")</f>
        <v>http://funmeta.oebiotech.com/network/47349</v>
      </c>
      <c r="H5153" s="2" t="s">
        <v>34193</v>
      </c>
      <c r="I5153" s="2">
        <v>5948</v>
      </c>
      <c r="J5153" s="2"/>
      <c r="K5153" s="2">
        <v>16082</v>
      </c>
      <c r="L5153" s="2" t="s">
        <v>34194</v>
      </c>
      <c r="M5153" s="2" t="s">
        <v>34195</v>
      </c>
      <c r="N5153" s="2" t="s">
        <v>34196</v>
      </c>
      <c r="O5153" s="2">
        <v>19235</v>
      </c>
      <c r="P5153" s="2" t="s">
        <v>34197</v>
      </c>
      <c r="Q5153" s="2" t="s">
        <v>34198</v>
      </c>
      <c r="R5153" s="2" t="s">
        <v>34199</v>
      </c>
      <c r="S5153" s="2" t="s">
        <v>1444</v>
      </c>
      <c r="T5153" s="2" t="s">
        <v>4040</v>
      </c>
      <c r="U5153" s="2" t="s">
        <v>8914</v>
      </c>
      <c r="V5153" s="2" t="s">
        <v>59</v>
      </c>
      <c r="W5153" s="2">
        <v>37.5</v>
      </c>
      <c r="X5153" s="2">
        <v>0</v>
      </c>
      <c r="Y5153" s="2" t="s">
        <v>408</v>
      </c>
      <c r="Z5153" s="2" t="s">
        <v>34200</v>
      </c>
      <c r="AA5153" s="2">
        <v>-1.2944866514937099</v>
      </c>
      <c r="AB5153" s="2">
        <v>0.101051077758296</v>
      </c>
      <c r="AC5153" s="2">
        <v>11542.9253681545</v>
      </c>
      <c r="AD5153" s="2">
        <v>12896.187447942701</v>
      </c>
      <c r="AE5153" s="2">
        <v>10834.3903195479</v>
      </c>
      <c r="AF5153" s="2">
        <v>10046.5088573339</v>
      </c>
      <c r="AG5153" s="2">
        <v>11047.452035767599</v>
      </c>
      <c r="AH5153" s="2">
        <v>13037.7962104736</v>
      </c>
      <c r="AI5153" s="2">
        <v>11205.250344959501</v>
      </c>
      <c r="AJ5153" s="2">
        <v>13086.154440844201</v>
      </c>
      <c r="AK5153" s="2">
        <v>12583.486490207701</v>
      </c>
      <c r="AL5153" s="2">
        <v>15304.576954636001</v>
      </c>
      <c r="AM5153" s="2">
        <v>12297.8641337482</v>
      </c>
      <c r="AN5153" s="2">
        <v>11314.4888030645</v>
      </c>
      <c r="AO5153" s="2">
        <v>12955.050788533899</v>
      </c>
      <c r="AP5153" s="2">
        <v>12921.657517466099</v>
      </c>
    </row>
    <row r="5154" spans="1:42" ht="14.5" x14ac:dyDescent="0.35">
      <c r="A5154" s="2" t="s">
        <v>34201</v>
      </c>
      <c r="B5154" s="2">
        <v>227.03432983095499</v>
      </c>
      <c r="C5154" s="2">
        <v>4.7931333333333299</v>
      </c>
      <c r="D5154" s="2" t="s">
        <v>70</v>
      </c>
      <c r="E5154" s="2" t="s">
        <v>34202</v>
      </c>
      <c r="F5154" s="2">
        <v>58357</v>
      </c>
      <c r="G5154" s="3" t="str">
        <f>HYPERLINK("http://funmeta.oebiotech.com/network/58357", "http://funmeta.oebiotech.com/network/58357")</f>
        <v>http://funmeta.oebiotech.com/network/58357</v>
      </c>
      <c r="H5154" s="2" t="s">
        <v>34203</v>
      </c>
      <c r="I5154" s="2">
        <v>43730</v>
      </c>
      <c r="J5154" s="2"/>
      <c r="K5154" s="2">
        <v>28853</v>
      </c>
      <c r="L5154" s="2" t="s">
        <v>34204</v>
      </c>
      <c r="M5154" s="2"/>
      <c r="N5154" s="2"/>
      <c r="O5154" s="2">
        <v>68079</v>
      </c>
      <c r="P5154" s="2" t="s">
        <v>34205</v>
      </c>
      <c r="Q5154" s="2" t="s">
        <v>34206</v>
      </c>
      <c r="R5154" s="2" t="s">
        <v>34207</v>
      </c>
      <c r="S5154" s="2" t="s">
        <v>115</v>
      </c>
      <c r="T5154" s="2" t="s">
        <v>758</v>
      </c>
      <c r="U5154" s="2" t="s">
        <v>1477</v>
      </c>
      <c r="V5154" s="2" t="s">
        <v>59</v>
      </c>
      <c r="W5154" s="2">
        <v>38.9</v>
      </c>
      <c r="X5154" s="2">
        <v>0</v>
      </c>
      <c r="Y5154" s="2" t="s">
        <v>751</v>
      </c>
      <c r="Z5154" s="2" t="s">
        <v>34208</v>
      </c>
      <c r="AA5154" s="2">
        <v>-2.65173768642879</v>
      </c>
      <c r="AB5154" s="2">
        <v>0.10089358588642</v>
      </c>
      <c r="AC5154" s="2">
        <v>1874.28836354799</v>
      </c>
      <c r="AD5154" s="2">
        <v>1037.86919278343</v>
      </c>
      <c r="AE5154" s="2">
        <v>1444.4534742423</v>
      </c>
      <c r="AF5154" s="2">
        <v>1840.89711192764</v>
      </c>
      <c r="AG5154" s="2">
        <v>1956.45714895782</v>
      </c>
      <c r="AH5154" s="2">
        <v>1637.4038443328</v>
      </c>
      <c r="AI5154" s="2">
        <v>2040.6264581662101</v>
      </c>
      <c r="AJ5154" s="2">
        <v>2325.8921436611699</v>
      </c>
      <c r="AK5154" s="2">
        <v>1567.8333838808701</v>
      </c>
      <c r="AL5154" s="2">
        <v>1313.2875060577901</v>
      </c>
      <c r="AM5154" s="2">
        <v>1146.73727373164</v>
      </c>
      <c r="AN5154" s="2">
        <v>507.00880726080698</v>
      </c>
      <c r="AO5154" s="2">
        <v>864.32548355398205</v>
      </c>
      <c r="AP5154" s="2">
        <v>828.02270221550498</v>
      </c>
    </row>
    <row r="5155" spans="1:42" ht="14.5" x14ac:dyDescent="0.35">
      <c r="A5155" s="2" t="s">
        <v>34209</v>
      </c>
      <c r="B5155" s="2">
        <v>573.12503871413503</v>
      </c>
      <c r="C5155" s="2">
        <v>4.0778333333333299</v>
      </c>
      <c r="D5155" s="2" t="s">
        <v>70</v>
      </c>
      <c r="E5155" s="2" t="s">
        <v>34210</v>
      </c>
      <c r="F5155" s="2">
        <v>289978</v>
      </c>
      <c r="G5155" s="3" t="str">
        <f>HYPERLINK("http://funmeta.oebiotech.com/network/289978", "http://funmeta.oebiotech.com/network/289978")</f>
        <v>http://funmeta.oebiotech.com/network/289978</v>
      </c>
      <c r="H5155" s="2"/>
      <c r="I5155" s="2">
        <v>985591</v>
      </c>
      <c r="J5155" s="2"/>
      <c r="K5155" s="2"/>
      <c r="L5155" s="2"/>
      <c r="M5155" s="2"/>
      <c r="N5155" s="2"/>
      <c r="O5155" s="2">
        <v>11131276</v>
      </c>
      <c r="P5155" s="2"/>
      <c r="Q5155" s="2" t="s">
        <v>34211</v>
      </c>
      <c r="R5155" s="2" t="s">
        <v>34212</v>
      </c>
      <c r="S5155" s="2" t="s">
        <v>50</v>
      </c>
      <c r="T5155" s="2" t="s">
        <v>229</v>
      </c>
      <c r="U5155" s="2" t="s">
        <v>766</v>
      </c>
      <c r="V5155" s="2" t="s">
        <v>59</v>
      </c>
      <c r="W5155" s="2">
        <v>37.1</v>
      </c>
      <c r="X5155" s="2">
        <v>0</v>
      </c>
      <c r="Y5155" s="2" t="s">
        <v>408</v>
      </c>
      <c r="Z5155" s="2" t="s">
        <v>34213</v>
      </c>
      <c r="AA5155" s="2">
        <v>0.112926928672151</v>
      </c>
      <c r="AB5155" s="2">
        <v>0.100797824401472</v>
      </c>
      <c r="AC5155" s="2">
        <v>8227.9352318260007</v>
      </c>
      <c r="AD5155" s="2">
        <v>6995.0576795627103</v>
      </c>
      <c r="AE5155" s="2">
        <v>8392.2445812262104</v>
      </c>
      <c r="AF5155" s="2">
        <v>10029.843046468999</v>
      </c>
      <c r="AG5155" s="2">
        <v>8208.5961693796598</v>
      </c>
      <c r="AH5155" s="2">
        <v>6833.2939336653999</v>
      </c>
      <c r="AI5155" s="2">
        <v>8305.3022894742408</v>
      </c>
      <c r="AJ5155" s="2">
        <v>7598.33137074152</v>
      </c>
      <c r="AK5155" s="2">
        <v>7193.84005586903</v>
      </c>
      <c r="AL5155" s="2">
        <v>6931.6684331083597</v>
      </c>
      <c r="AM5155" s="2">
        <v>8432.8440888905407</v>
      </c>
      <c r="AN5155" s="2">
        <v>6618.3662879575204</v>
      </c>
      <c r="AO5155" s="2">
        <v>7515.8201755338996</v>
      </c>
      <c r="AP5155" s="2">
        <v>5277.8070360169304</v>
      </c>
    </row>
    <row r="5156" spans="1:42" ht="14.5" x14ac:dyDescent="0.35">
      <c r="A5156" s="2" t="s">
        <v>34214</v>
      </c>
      <c r="B5156" s="2">
        <v>545.14943425157196</v>
      </c>
      <c r="C5156" s="2">
        <v>3.9884499999999998</v>
      </c>
      <c r="D5156" s="2" t="s">
        <v>70</v>
      </c>
      <c r="E5156" s="2" t="s">
        <v>34215</v>
      </c>
      <c r="F5156" s="2">
        <v>534649</v>
      </c>
      <c r="G5156" s="3" t="str">
        <f>HYPERLINK("http://funmeta.oebiotech.com/network/534649", "http://funmeta.oebiotech.com/network/534649")</f>
        <v>http://funmeta.oebiotech.com/network/534649</v>
      </c>
      <c r="H5156" s="2"/>
      <c r="I5156" s="2">
        <v>984893</v>
      </c>
      <c r="J5156" s="2"/>
      <c r="K5156" s="2"/>
      <c r="L5156" s="2"/>
      <c r="M5156" s="2"/>
      <c r="N5156" s="2"/>
      <c r="O5156" s="2">
        <v>6731</v>
      </c>
      <c r="P5156" s="2"/>
      <c r="Q5156" s="2" t="s">
        <v>34216</v>
      </c>
      <c r="R5156" s="2" t="s">
        <v>34217</v>
      </c>
      <c r="S5156" s="2" t="s">
        <v>148</v>
      </c>
      <c r="T5156" s="2" t="s">
        <v>5205</v>
      </c>
      <c r="U5156" s="2" t="s">
        <v>17551</v>
      </c>
      <c r="V5156" s="2" t="s">
        <v>59</v>
      </c>
      <c r="W5156" s="2">
        <v>37.5</v>
      </c>
      <c r="X5156" s="2">
        <v>0</v>
      </c>
      <c r="Y5156" s="2" t="s">
        <v>560</v>
      </c>
      <c r="Z5156" s="2" t="s">
        <v>34218</v>
      </c>
      <c r="AA5156" s="2">
        <v>-2.28232472227588</v>
      </c>
      <c r="AB5156" s="2">
        <v>0.10076940352478</v>
      </c>
      <c r="AC5156" s="2">
        <v>7209.8132693560101</v>
      </c>
      <c r="AD5156" s="2">
        <v>6147.07394767196</v>
      </c>
      <c r="AE5156" s="2">
        <v>7256.48685174808</v>
      </c>
      <c r="AF5156" s="2">
        <v>6857.6774372972804</v>
      </c>
      <c r="AG5156" s="2">
        <v>7790.1191595825303</v>
      </c>
      <c r="AH5156" s="2">
        <v>7213.1001542427603</v>
      </c>
      <c r="AI5156" s="2">
        <v>7587.0849354604397</v>
      </c>
      <c r="AJ5156" s="2">
        <v>6554.4110778049599</v>
      </c>
      <c r="AK5156" s="2">
        <v>5779.6449990429101</v>
      </c>
      <c r="AL5156" s="2">
        <v>6493.2740055612803</v>
      </c>
      <c r="AM5156" s="2">
        <v>5016.7727514076896</v>
      </c>
      <c r="AN5156" s="2">
        <v>5815.5370449311404</v>
      </c>
      <c r="AO5156" s="2">
        <v>7738.9996628327799</v>
      </c>
      <c r="AP5156" s="2">
        <v>6038.2152222559698</v>
      </c>
    </row>
    <row r="5157" spans="1:42" ht="14.5" x14ac:dyDescent="0.35">
      <c r="A5157" s="2" t="s">
        <v>34219</v>
      </c>
      <c r="B5157" s="2">
        <v>570.32751981828403</v>
      </c>
      <c r="C5157" s="2">
        <v>6.2923</v>
      </c>
      <c r="D5157" s="2" t="s">
        <v>70</v>
      </c>
      <c r="E5157" s="2" t="s">
        <v>34220</v>
      </c>
      <c r="F5157" s="2">
        <v>28271</v>
      </c>
      <c r="G5157" s="3" t="str">
        <f>HYPERLINK("http://funmeta.oebiotech.com/network/28271", "http://funmeta.oebiotech.com/network/28271")</f>
        <v>http://funmeta.oebiotech.com/network/28271</v>
      </c>
      <c r="H5157" s="2"/>
      <c r="I5157" s="2">
        <v>41002</v>
      </c>
      <c r="J5157" s="2" t="s">
        <v>34221</v>
      </c>
      <c r="K5157" s="2">
        <v>29665</v>
      </c>
      <c r="L5157" s="2" t="s">
        <v>34222</v>
      </c>
      <c r="M5157" s="2" t="s">
        <v>2604</v>
      </c>
      <c r="N5157" s="2" t="s">
        <v>2605</v>
      </c>
      <c r="O5157" s="2">
        <v>5282037</v>
      </c>
      <c r="P5157" s="2"/>
      <c r="Q5157" s="2" t="s">
        <v>34223</v>
      </c>
      <c r="R5157" s="2" t="s">
        <v>34224</v>
      </c>
      <c r="S5157" s="2" t="s">
        <v>79</v>
      </c>
      <c r="T5157" s="2" t="s">
        <v>80</v>
      </c>
      <c r="U5157" s="2" t="s">
        <v>81</v>
      </c>
      <c r="V5157" s="2" t="s">
        <v>59</v>
      </c>
      <c r="W5157" s="2">
        <v>37.5</v>
      </c>
      <c r="X5157" s="2">
        <v>0</v>
      </c>
      <c r="Y5157" s="2" t="s">
        <v>408</v>
      </c>
      <c r="Z5157" s="2" t="s">
        <v>34225</v>
      </c>
      <c r="AA5157" s="2">
        <v>-1.6190204527022301</v>
      </c>
      <c r="AB5157" s="2">
        <v>0.100724557574193</v>
      </c>
      <c r="AC5157" s="2">
        <v>9686.0013393707195</v>
      </c>
      <c r="AD5157" s="2">
        <v>8301.6335301797008</v>
      </c>
      <c r="AE5157" s="2">
        <v>9753.1714145738406</v>
      </c>
      <c r="AF5157" s="2">
        <v>8141.5956998598704</v>
      </c>
      <c r="AG5157" s="2">
        <v>9295.9221278914993</v>
      </c>
      <c r="AH5157" s="2">
        <v>10503.1995953444</v>
      </c>
      <c r="AI5157" s="2">
        <v>10711.2309801675</v>
      </c>
      <c r="AJ5157" s="2">
        <v>9710.8882183872392</v>
      </c>
      <c r="AK5157" s="2">
        <v>6640.16504574397</v>
      </c>
      <c r="AL5157" s="2">
        <v>8969.0942954206803</v>
      </c>
      <c r="AM5157" s="2">
        <v>6927.3915117549304</v>
      </c>
      <c r="AN5157" s="2">
        <v>9515.2487037938808</v>
      </c>
      <c r="AO5157" s="2">
        <v>7009.4816874318203</v>
      </c>
      <c r="AP5157" s="2">
        <v>10748.4199369329</v>
      </c>
    </row>
    <row r="5158" spans="1:42" ht="14.5" x14ac:dyDescent="0.35">
      <c r="A5158" s="2" t="s">
        <v>34226</v>
      </c>
      <c r="B5158" s="2">
        <v>355.01116105133298</v>
      </c>
      <c r="C5158" s="2">
        <v>2.0141166666666699</v>
      </c>
      <c r="D5158" s="2" t="s">
        <v>34</v>
      </c>
      <c r="E5158" s="2" t="s">
        <v>34227</v>
      </c>
      <c r="F5158" s="2">
        <v>207916</v>
      </c>
      <c r="G5158" s="3" t="str">
        <f>HYPERLINK("http://funmeta.oebiotech.com/network/207916", "http://funmeta.oebiotech.com/network/207916")</f>
        <v>http://funmeta.oebiotech.com/network/207916</v>
      </c>
      <c r="H5158" s="2" t="s">
        <v>34228</v>
      </c>
      <c r="I5158" s="2"/>
      <c r="J5158" s="2"/>
      <c r="K5158" s="2"/>
      <c r="L5158" s="2"/>
      <c r="M5158" s="2"/>
      <c r="N5158" s="2"/>
      <c r="O5158" s="2">
        <v>14505732</v>
      </c>
      <c r="P5158" s="2"/>
      <c r="Q5158" s="2" t="s">
        <v>34229</v>
      </c>
      <c r="R5158" s="2" t="s">
        <v>34230</v>
      </c>
      <c r="S5158" s="2" t="s">
        <v>79</v>
      </c>
      <c r="T5158" s="2" t="s">
        <v>80</v>
      </c>
      <c r="U5158" s="2" t="s">
        <v>81</v>
      </c>
      <c r="V5158" s="2" t="s">
        <v>59</v>
      </c>
      <c r="W5158" s="2">
        <v>37.9</v>
      </c>
      <c r="X5158" s="2">
        <v>0</v>
      </c>
      <c r="Y5158" s="2" t="s">
        <v>340</v>
      </c>
      <c r="Z5158" s="2" t="s">
        <v>34231</v>
      </c>
      <c r="AA5158" s="2">
        <v>0.78421671658356595</v>
      </c>
      <c r="AB5158" s="2">
        <v>0.100703272663715</v>
      </c>
      <c r="AC5158" s="2">
        <v>6126.9019287515302</v>
      </c>
      <c r="AD5158" s="2">
        <v>5051.0121556532604</v>
      </c>
      <c r="AE5158" s="2">
        <v>5683.6950500596804</v>
      </c>
      <c r="AF5158" s="2">
        <v>5547.9382330570197</v>
      </c>
      <c r="AG5158" s="2">
        <v>6824.70980850466</v>
      </c>
      <c r="AH5158" s="2">
        <v>6246.7437278431398</v>
      </c>
      <c r="AI5158" s="2">
        <v>5999.6449632841995</v>
      </c>
      <c r="AJ5158" s="2">
        <v>6458.6797897604802</v>
      </c>
      <c r="AK5158" s="2">
        <v>3405.1140501711702</v>
      </c>
      <c r="AL5158" s="2">
        <v>4831.54371913255</v>
      </c>
      <c r="AM5158" s="2">
        <v>5895.5126240768996</v>
      </c>
      <c r="AN5158" s="2">
        <v>5692.8516426667202</v>
      </c>
      <c r="AO5158" s="2">
        <v>4806.2642739851699</v>
      </c>
      <c r="AP5158" s="2">
        <v>5674.7866238870402</v>
      </c>
    </row>
    <row r="5159" spans="1:42" ht="14.5" x14ac:dyDescent="0.35">
      <c r="A5159" s="2" t="s">
        <v>34232</v>
      </c>
      <c r="B5159" s="2">
        <v>265.154278567397</v>
      </c>
      <c r="C5159" s="2">
        <v>4.1757666666666697</v>
      </c>
      <c r="D5159" s="2" t="s">
        <v>34</v>
      </c>
      <c r="E5159" s="2" t="s">
        <v>34233</v>
      </c>
      <c r="F5159" s="2">
        <v>274770</v>
      </c>
      <c r="G5159" s="3" t="str">
        <f>HYPERLINK("http://funmeta.oebiotech.com/network/274770", "http://funmeta.oebiotech.com/network/274770")</f>
        <v>http://funmeta.oebiotech.com/network/274770</v>
      </c>
      <c r="H5159" s="2"/>
      <c r="I5159" s="2">
        <v>65457</v>
      </c>
      <c r="J5159" s="2"/>
      <c r="K5159" s="2"/>
      <c r="L5159" s="2"/>
      <c r="M5159" s="2"/>
      <c r="N5159" s="2"/>
      <c r="O5159" s="2">
        <v>11436562</v>
      </c>
      <c r="P5159" s="2"/>
      <c r="Q5159" s="2" t="s">
        <v>34234</v>
      </c>
      <c r="R5159" s="2" t="s">
        <v>34235</v>
      </c>
      <c r="S5159" s="2" t="s">
        <v>491</v>
      </c>
      <c r="T5159" s="2" t="s">
        <v>3479</v>
      </c>
      <c r="U5159" s="2" t="s">
        <v>3480</v>
      </c>
      <c r="V5159" s="2" t="s">
        <v>59</v>
      </c>
      <c r="W5159" s="2">
        <v>38.4</v>
      </c>
      <c r="X5159" s="2">
        <v>0</v>
      </c>
      <c r="Y5159" s="2" t="s">
        <v>43</v>
      </c>
      <c r="Z5159" s="2" t="s">
        <v>34236</v>
      </c>
      <c r="AA5159" s="2">
        <v>-1.5796776502966801</v>
      </c>
      <c r="AB5159" s="2">
        <v>0.100554283702351</v>
      </c>
      <c r="AC5159" s="2">
        <v>1417.03676631896</v>
      </c>
      <c r="AD5159" s="2">
        <v>496.91407655408898</v>
      </c>
      <c r="AE5159" s="2">
        <v>1837.54486620429</v>
      </c>
      <c r="AF5159" s="2">
        <v>2127.0610202473899</v>
      </c>
      <c r="AG5159" s="2">
        <v>887.48928042025</v>
      </c>
      <c r="AH5159" s="2">
        <v>498.42954050224603</v>
      </c>
      <c r="AI5159" s="2">
        <v>1555.8615022479801</v>
      </c>
      <c r="AJ5159" s="2">
        <v>1595.8343882915799</v>
      </c>
      <c r="AK5159" s="2">
        <v>795.07199374217703</v>
      </c>
      <c r="AL5159" s="2">
        <v>894.00475224649301</v>
      </c>
      <c r="AM5159" s="2">
        <v>2.7106294003980101E-5</v>
      </c>
      <c r="AN5159" s="2">
        <v>416.64387852005899</v>
      </c>
      <c r="AO5159" s="2">
        <v>547.21522861128904</v>
      </c>
      <c r="AP5159" s="2">
        <v>328.54857909822402</v>
      </c>
    </row>
    <row r="5160" spans="1:42" ht="14.5" x14ac:dyDescent="0.35">
      <c r="A5160" s="2" t="s">
        <v>34237</v>
      </c>
      <c r="B5160" s="2">
        <v>287.128738509107</v>
      </c>
      <c r="C5160" s="2">
        <v>4.8624666666666698</v>
      </c>
      <c r="D5160" s="2" t="s">
        <v>70</v>
      </c>
      <c r="E5160" s="2" t="s">
        <v>34238</v>
      </c>
      <c r="F5160" s="2">
        <v>258340</v>
      </c>
      <c r="G5160" s="3" t="str">
        <f>HYPERLINK("http://funmeta.oebiotech.com/network/258340", "http://funmeta.oebiotech.com/network/258340")</f>
        <v>http://funmeta.oebiotech.com/network/258340</v>
      </c>
      <c r="H5160" s="2"/>
      <c r="I5160" s="2">
        <v>4108</v>
      </c>
      <c r="J5160" s="2"/>
      <c r="K5160" s="2"/>
      <c r="L5160" s="2"/>
      <c r="M5160" s="2"/>
      <c r="N5160" s="2"/>
      <c r="O5160" s="2">
        <v>11375</v>
      </c>
      <c r="P5160" s="2" t="s">
        <v>34239</v>
      </c>
      <c r="Q5160" s="2" t="s">
        <v>34240</v>
      </c>
      <c r="R5160" s="2" t="s">
        <v>34241</v>
      </c>
      <c r="S5160" s="2" t="s">
        <v>491</v>
      </c>
      <c r="T5160" s="2" t="s">
        <v>1516</v>
      </c>
      <c r="U5160" s="2" t="s">
        <v>24452</v>
      </c>
      <c r="V5160" s="2" t="s">
        <v>59</v>
      </c>
      <c r="W5160" s="2">
        <v>38.6</v>
      </c>
      <c r="X5160" s="2">
        <v>0</v>
      </c>
      <c r="Y5160" s="2" t="s">
        <v>560</v>
      </c>
      <c r="Z5160" s="2" t="s">
        <v>34242</v>
      </c>
      <c r="AA5160" s="2">
        <v>-5.1419590673943203</v>
      </c>
      <c r="AB5160" s="2">
        <v>0.100502254855396</v>
      </c>
      <c r="AC5160" s="2">
        <v>1254.8421210484701</v>
      </c>
      <c r="AD5160" s="2">
        <v>1966.03815639562</v>
      </c>
      <c r="AE5160" s="2">
        <v>1310.2816669664801</v>
      </c>
      <c r="AF5160" s="2">
        <v>1222.7354844623201</v>
      </c>
      <c r="AG5160" s="2">
        <v>1435.7741601088401</v>
      </c>
      <c r="AH5160" s="2">
        <v>1253.0701112746301</v>
      </c>
      <c r="AI5160" s="2">
        <v>1090.3697014045099</v>
      </c>
      <c r="AJ5160" s="2">
        <v>1216.8216020740599</v>
      </c>
      <c r="AK5160" s="2">
        <v>1916.5418242232199</v>
      </c>
      <c r="AL5160" s="2">
        <v>1832.1995122317001</v>
      </c>
      <c r="AM5160" s="2">
        <v>2196.0271356728399</v>
      </c>
      <c r="AN5160" s="2">
        <v>1877.5666491171801</v>
      </c>
      <c r="AO5160" s="2">
        <v>1797.9814861816899</v>
      </c>
      <c r="AP5160" s="2">
        <v>2175.9123309471101</v>
      </c>
    </row>
    <row r="5161" spans="1:42" ht="14.5" x14ac:dyDescent="0.35">
      <c r="A5161" s="2" t="s">
        <v>34243</v>
      </c>
      <c r="B5161" s="2">
        <v>1000.34327717312</v>
      </c>
      <c r="C5161" s="2">
        <v>8.4520166666666707</v>
      </c>
      <c r="D5161" s="2" t="s">
        <v>34</v>
      </c>
      <c r="E5161" s="2" t="s">
        <v>34244</v>
      </c>
      <c r="F5161" s="2">
        <v>83472</v>
      </c>
      <c r="G5161" s="3" t="str">
        <f>HYPERLINK("http://funmeta.oebiotech.com/network/83472", "http://funmeta.oebiotech.com/network/83472")</f>
        <v>http://funmeta.oebiotech.com/network/83472</v>
      </c>
      <c r="H5161" s="2" t="s">
        <v>34245</v>
      </c>
      <c r="I5161" s="2"/>
      <c r="J5161" s="2"/>
      <c r="K5161" s="2"/>
      <c r="L5161" s="2"/>
      <c r="M5161" s="2"/>
      <c r="N5161" s="2"/>
      <c r="O5161" s="2"/>
      <c r="P5161" s="2"/>
      <c r="Q5161" s="2" t="s">
        <v>34246</v>
      </c>
      <c r="R5161" s="2" t="s">
        <v>34247</v>
      </c>
      <c r="S5161" s="2" t="s">
        <v>50</v>
      </c>
      <c r="T5161" s="2" t="s">
        <v>229</v>
      </c>
      <c r="U5161" s="2" t="s">
        <v>10433</v>
      </c>
      <c r="V5161" s="2" t="s">
        <v>59</v>
      </c>
      <c r="W5161" s="2">
        <v>36</v>
      </c>
      <c r="X5161" s="2">
        <v>0</v>
      </c>
      <c r="Y5161" s="2" t="s">
        <v>141</v>
      </c>
      <c r="Z5161" s="2" t="s">
        <v>34248</v>
      </c>
      <c r="AA5161" s="2">
        <v>1.6620227986864899</v>
      </c>
      <c r="AB5161" s="2">
        <v>0.100451178671943</v>
      </c>
      <c r="AC5161" s="2">
        <v>10642.8606298917</v>
      </c>
      <c r="AD5161" s="2">
        <v>12347.206565291501</v>
      </c>
      <c r="AE5161" s="2">
        <v>9548.85511777381</v>
      </c>
      <c r="AF5161" s="2">
        <v>11400.0186585458</v>
      </c>
      <c r="AG5161" s="2">
        <v>10904.202281100101</v>
      </c>
      <c r="AH5161" s="2">
        <v>14325.134009142301</v>
      </c>
      <c r="AI5161" s="2">
        <v>7664.6270349228098</v>
      </c>
      <c r="AJ5161" s="2">
        <v>10014.3266778652</v>
      </c>
      <c r="AK5161" s="2">
        <v>10094.1641877204</v>
      </c>
      <c r="AL5161" s="2">
        <v>12067.037309199401</v>
      </c>
      <c r="AM5161" s="2">
        <v>10419.0446770898</v>
      </c>
      <c r="AN5161" s="2">
        <v>12586.4734241322</v>
      </c>
      <c r="AO5161" s="2">
        <v>13022.673064459501</v>
      </c>
      <c r="AP5161" s="2">
        <v>15893.846729147601</v>
      </c>
    </row>
    <row r="5162" spans="1:42" ht="14.5" x14ac:dyDescent="0.35">
      <c r="A5162" s="2" t="s">
        <v>34249</v>
      </c>
      <c r="B5162" s="2">
        <v>160.09675444839201</v>
      </c>
      <c r="C5162" s="2">
        <v>1.06171666666667</v>
      </c>
      <c r="D5162" s="2" t="s">
        <v>34</v>
      </c>
      <c r="E5162" s="2" t="s">
        <v>34250</v>
      </c>
      <c r="F5162" s="2">
        <v>280449</v>
      </c>
      <c r="G5162" s="3" t="str">
        <f>HYPERLINK("http://funmeta.oebiotech.com/network/280449", "http://funmeta.oebiotech.com/network/280449")</f>
        <v>http://funmeta.oebiotech.com/network/280449</v>
      </c>
      <c r="H5162" s="2" t="s">
        <v>34251</v>
      </c>
      <c r="I5162" s="2">
        <v>73550</v>
      </c>
      <c r="J5162" s="2"/>
      <c r="K5162" s="2"/>
      <c r="L5162" s="2"/>
      <c r="M5162" s="2"/>
      <c r="N5162" s="2"/>
      <c r="O5162" s="2">
        <v>227752</v>
      </c>
      <c r="P5162" s="2" t="s">
        <v>34252</v>
      </c>
      <c r="Q5162" s="2" t="s">
        <v>34253</v>
      </c>
      <c r="R5162" s="2" t="s">
        <v>34254</v>
      </c>
      <c r="S5162" s="2" t="s">
        <v>89</v>
      </c>
      <c r="T5162" s="2" t="s">
        <v>90</v>
      </c>
      <c r="U5162" s="2" t="s">
        <v>99</v>
      </c>
      <c r="V5162" s="2" t="s">
        <v>59</v>
      </c>
      <c r="W5162" s="2">
        <v>46.9</v>
      </c>
      <c r="X5162" s="2">
        <v>38.4</v>
      </c>
      <c r="Y5162" s="2" t="s">
        <v>394</v>
      </c>
      <c r="Z5162" s="2" t="s">
        <v>13844</v>
      </c>
      <c r="AA5162" s="2">
        <v>-0.41023436421471898</v>
      </c>
      <c r="AB5162" s="2">
        <v>0.10043586609598</v>
      </c>
      <c r="AC5162" s="2">
        <v>16539.6152983799</v>
      </c>
      <c r="AD5162" s="2">
        <v>17599.3121774516</v>
      </c>
      <c r="AE5162" s="2">
        <v>16175.0665705707</v>
      </c>
      <c r="AF5162" s="2">
        <v>17292.862718104199</v>
      </c>
      <c r="AG5162" s="2">
        <v>15390.1745562737</v>
      </c>
      <c r="AH5162" s="2">
        <v>17564.894022369699</v>
      </c>
      <c r="AI5162" s="2">
        <v>16525.365289949801</v>
      </c>
      <c r="AJ5162" s="2">
        <v>16289.328633011201</v>
      </c>
      <c r="AK5162" s="2">
        <v>16655.994555188001</v>
      </c>
      <c r="AL5162" s="2">
        <v>18482.911404273302</v>
      </c>
      <c r="AM5162" s="2">
        <v>17313.346027617899</v>
      </c>
      <c r="AN5162" s="2">
        <v>17612.690228998999</v>
      </c>
      <c r="AO5162" s="2">
        <v>18177.127187679998</v>
      </c>
      <c r="AP5162" s="2">
        <v>17353.8036609515</v>
      </c>
    </row>
    <row r="5163" spans="1:42" ht="14.5" x14ac:dyDescent="0.35">
      <c r="A5163" s="2" t="s">
        <v>34255</v>
      </c>
      <c r="B5163" s="2">
        <v>508.34012254918298</v>
      </c>
      <c r="C5163" s="2">
        <v>10.2647666666667</v>
      </c>
      <c r="D5163" s="2" t="s">
        <v>34</v>
      </c>
      <c r="E5163" s="2" t="s">
        <v>34256</v>
      </c>
      <c r="F5163" s="2">
        <v>26094</v>
      </c>
      <c r="G5163" s="3" t="str">
        <f>HYPERLINK("http://funmeta.oebiotech.com/network/26094", "http://funmeta.oebiotech.com/network/26094")</f>
        <v>http://funmeta.oebiotech.com/network/26094</v>
      </c>
      <c r="H5163" s="2" t="s">
        <v>34257</v>
      </c>
      <c r="I5163" s="2">
        <v>82349</v>
      </c>
      <c r="J5163" s="2" t="s">
        <v>34258</v>
      </c>
      <c r="K5163" s="2"/>
      <c r="L5163" s="2"/>
      <c r="M5163" s="2"/>
      <c r="N5163" s="2"/>
      <c r="O5163" s="2">
        <v>52929763</v>
      </c>
      <c r="P5163" s="2"/>
      <c r="Q5163" s="2" t="s">
        <v>34259</v>
      </c>
      <c r="R5163" s="2" t="s">
        <v>34260</v>
      </c>
      <c r="S5163" s="2" t="s">
        <v>50</v>
      </c>
      <c r="T5163" s="2" t="s">
        <v>51</v>
      </c>
      <c r="U5163" s="2" t="s">
        <v>273</v>
      </c>
      <c r="V5163" s="2" t="s">
        <v>59</v>
      </c>
      <c r="W5163" s="2">
        <v>38.5</v>
      </c>
      <c r="X5163" s="2">
        <v>0</v>
      </c>
      <c r="Y5163" s="2" t="s">
        <v>43</v>
      </c>
      <c r="Z5163" s="2" t="s">
        <v>34261</v>
      </c>
      <c r="AA5163" s="2">
        <v>0.72718876838981195</v>
      </c>
      <c r="AB5163" s="2">
        <v>0.10024725113768999</v>
      </c>
      <c r="AC5163" s="2">
        <v>290.48992493343002</v>
      </c>
      <c r="AD5163" s="2">
        <v>1044.7828995151999</v>
      </c>
      <c r="AE5163" s="2">
        <v>501.44570433935399</v>
      </c>
      <c r="AF5163" s="2">
        <v>370.93870329063299</v>
      </c>
      <c r="AG5163" s="2">
        <v>184.391650527238</v>
      </c>
      <c r="AH5163" s="2">
        <v>172.027273671286</v>
      </c>
      <c r="AI5163" s="2">
        <v>205.98905256639799</v>
      </c>
      <c r="AJ5163" s="2">
        <v>308.14716520566998</v>
      </c>
      <c r="AK5163" s="2">
        <v>1280.46638841608</v>
      </c>
      <c r="AL5163" s="2">
        <v>1115.9170601117801</v>
      </c>
      <c r="AM5163" s="2">
        <v>1352.11996100496</v>
      </c>
      <c r="AN5163" s="2">
        <v>557.29379884545597</v>
      </c>
      <c r="AO5163" s="2">
        <v>883.73673658498103</v>
      </c>
      <c r="AP5163" s="2">
        <v>1079.16345212795</v>
      </c>
    </row>
    <row r="5164" spans="1:42" ht="14.5" x14ac:dyDescent="0.35">
      <c r="A5164" s="2" t="s">
        <v>34262</v>
      </c>
      <c r="B5164" s="2">
        <v>496.142221206035</v>
      </c>
      <c r="C5164" s="2">
        <v>3.45603333333333</v>
      </c>
      <c r="D5164" s="2" t="s">
        <v>34</v>
      </c>
      <c r="E5164" s="2" t="s">
        <v>34263</v>
      </c>
      <c r="F5164" s="2">
        <v>54667</v>
      </c>
      <c r="G5164" s="3" t="str">
        <f>HYPERLINK("http://funmeta.oebiotech.com/network/54667", "http://funmeta.oebiotech.com/network/54667")</f>
        <v>http://funmeta.oebiotech.com/network/54667</v>
      </c>
      <c r="H5164" s="2" t="s">
        <v>34264</v>
      </c>
      <c r="I5164" s="2">
        <v>86483</v>
      </c>
      <c r="J5164" s="2"/>
      <c r="K5164" s="2">
        <v>156184</v>
      </c>
      <c r="L5164" s="2"/>
      <c r="M5164" s="2"/>
      <c r="N5164" s="2"/>
      <c r="O5164" s="2">
        <v>131750898</v>
      </c>
      <c r="P5164" s="2"/>
      <c r="Q5164" s="2" t="s">
        <v>34265</v>
      </c>
      <c r="R5164" s="2" t="s">
        <v>34266</v>
      </c>
      <c r="S5164" s="2" t="s">
        <v>79</v>
      </c>
      <c r="T5164" s="2" t="s">
        <v>80</v>
      </c>
      <c r="U5164" s="2" t="s">
        <v>81</v>
      </c>
      <c r="V5164" s="2" t="s">
        <v>59</v>
      </c>
      <c r="W5164" s="2">
        <v>37.6</v>
      </c>
      <c r="X5164" s="2">
        <v>0</v>
      </c>
      <c r="Y5164" s="2" t="s">
        <v>323</v>
      </c>
      <c r="Z5164" s="2" t="s">
        <v>34267</v>
      </c>
      <c r="AA5164" s="2">
        <v>-0.68641465203435204</v>
      </c>
      <c r="AB5164" s="2">
        <v>0.100193839170427</v>
      </c>
      <c r="AC5164" s="2">
        <v>626.85994174258803</v>
      </c>
      <c r="AD5164" s="2">
        <v>1473.6014049840901</v>
      </c>
      <c r="AE5164" s="2">
        <v>376.01201635513701</v>
      </c>
      <c r="AF5164" s="2">
        <v>153.51835295690199</v>
      </c>
      <c r="AG5164" s="2">
        <v>615.90475348153996</v>
      </c>
      <c r="AH5164" s="2">
        <v>1206.1303634625799</v>
      </c>
      <c r="AI5164" s="2">
        <v>473.05814579043198</v>
      </c>
      <c r="AJ5164" s="2">
        <v>936.53601840893703</v>
      </c>
      <c r="AK5164" s="2">
        <v>1874.6011752597799</v>
      </c>
      <c r="AL5164" s="2">
        <v>1012.8407049999799</v>
      </c>
      <c r="AM5164" s="2">
        <v>1249.79894218409</v>
      </c>
      <c r="AN5164" s="2">
        <v>1911.26207976052</v>
      </c>
      <c r="AO5164" s="2">
        <v>1222.5913499998601</v>
      </c>
      <c r="AP5164" s="2">
        <v>1570.5141777003</v>
      </c>
    </row>
    <row r="5165" spans="1:42" ht="14.5" x14ac:dyDescent="0.35">
      <c r="A5165" s="2" t="s">
        <v>34268</v>
      </c>
      <c r="B5165" s="2">
        <v>572.32317097428597</v>
      </c>
      <c r="C5165" s="2">
        <v>6.1053333333333297</v>
      </c>
      <c r="D5165" s="2" t="s">
        <v>70</v>
      </c>
      <c r="E5165" s="2" t="s">
        <v>34269</v>
      </c>
      <c r="F5165" s="2">
        <v>213026</v>
      </c>
      <c r="G5165" s="3" t="str">
        <f>HYPERLINK("http://funmeta.oebiotech.com/network/213026", "http://funmeta.oebiotech.com/network/213026")</f>
        <v>http://funmeta.oebiotech.com/network/213026</v>
      </c>
      <c r="H5165" s="2" t="s">
        <v>34270</v>
      </c>
      <c r="I5165" s="2"/>
      <c r="J5165" s="2"/>
      <c r="K5165" s="2"/>
      <c r="L5165" s="2"/>
      <c r="M5165" s="2"/>
      <c r="N5165" s="2"/>
      <c r="O5165" s="2">
        <v>5658</v>
      </c>
      <c r="P5165" s="2"/>
      <c r="Q5165" s="2" t="s">
        <v>34271</v>
      </c>
      <c r="R5165" s="2" t="s">
        <v>34272</v>
      </c>
      <c r="S5165" s="2" t="s">
        <v>50</v>
      </c>
      <c r="T5165" s="2" t="s">
        <v>124</v>
      </c>
      <c r="U5165" s="2" t="s">
        <v>9346</v>
      </c>
      <c r="V5165" s="2" t="s">
        <v>59</v>
      </c>
      <c r="W5165" s="2">
        <v>46.5</v>
      </c>
      <c r="X5165" s="2">
        <v>43.2</v>
      </c>
      <c r="Y5165" s="2" t="s">
        <v>751</v>
      </c>
      <c r="Z5165" s="2" t="s">
        <v>34273</v>
      </c>
      <c r="AA5165" s="2">
        <v>0.473402221329773</v>
      </c>
      <c r="AB5165" s="2">
        <v>0.100189577304114</v>
      </c>
      <c r="AC5165" s="2">
        <v>11140.064518467299</v>
      </c>
      <c r="AD5165" s="2">
        <v>12489.558665974</v>
      </c>
      <c r="AE5165" s="2">
        <v>12571.5652074506</v>
      </c>
      <c r="AF5165" s="2">
        <v>11854.7603833546</v>
      </c>
      <c r="AG5165" s="2">
        <v>12441.3160306639</v>
      </c>
      <c r="AH5165" s="2">
        <v>10199.643187748001</v>
      </c>
      <c r="AI5165" s="2">
        <v>8630.2264315106804</v>
      </c>
      <c r="AJ5165" s="2">
        <v>11142.875870076001</v>
      </c>
      <c r="AK5165" s="2">
        <v>13120.4854732105</v>
      </c>
      <c r="AL5165" s="2">
        <v>13330.2693549866</v>
      </c>
      <c r="AM5165" s="2">
        <v>13288.369203095999</v>
      </c>
      <c r="AN5165" s="2">
        <v>12588.4695688097</v>
      </c>
      <c r="AO5165" s="2">
        <v>11337.4004564814</v>
      </c>
      <c r="AP5165" s="2">
        <v>11272.3579392597</v>
      </c>
    </row>
    <row r="5166" spans="1:42" ht="14.5" x14ac:dyDescent="0.35">
      <c r="A5166" s="2" t="s">
        <v>34274</v>
      </c>
      <c r="B5166" s="2">
        <v>381.016207321526</v>
      </c>
      <c r="C5166" s="2">
        <v>9.4482166666666707</v>
      </c>
      <c r="D5166" s="2" t="s">
        <v>70</v>
      </c>
      <c r="E5166" s="2" t="s">
        <v>34275</v>
      </c>
      <c r="F5166" s="2">
        <v>209472</v>
      </c>
      <c r="G5166" s="3" t="str">
        <f>HYPERLINK("http://funmeta.oebiotech.com/network/209472", "http://funmeta.oebiotech.com/network/209472")</f>
        <v>http://funmeta.oebiotech.com/network/209472</v>
      </c>
      <c r="H5166" s="2" t="s">
        <v>34276</v>
      </c>
      <c r="I5166" s="2">
        <v>69621</v>
      </c>
      <c r="J5166" s="2"/>
      <c r="K5166" s="2"/>
      <c r="L5166" s="2" t="s">
        <v>34277</v>
      </c>
      <c r="M5166" s="2"/>
      <c r="N5166" s="2"/>
      <c r="O5166" s="2">
        <v>3272524</v>
      </c>
      <c r="P5166" s="2" t="s">
        <v>34278</v>
      </c>
      <c r="Q5166" s="2" t="s">
        <v>34279</v>
      </c>
      <c r="R5166" s="2" t="s">
        <v>34280</v>
      </c>
      <c r="S5166" s="2" t="s">
        <v>148</v>
      </c>
      <c r="T5166" s="2" t="s">
        <v>6221</v>
      </c>
      <c r="U5166" s="2" t="s">
        <v>7016</v>
      </c>
      <c r="V5166" s="2" t="s">
        <v>59</v>
      </c>
      <c r="W5166" s="2">
        <v>36.299999999999997</v>
      </c>
      <c r="X5166" s="2">
        <v>0</v>
      </c>
      <c r="Y5166" s="2" t="s">
        <v>408</v>
      </c>
      <c r="Z5166" s="2" t="s">
        <v>34281</v>
      </c>
      <c r="AA5166" s="2">
        <v>4.6112575220932701</v>
      </c>
      <c r="AB5166" s="2">
        <v>0.100135691588375</v>
      </c>
      <c r="AC5166" s="2">
        <v>7883.1969808821696</v>
      </c>
      <c r="AD5166" s="2">
        <v>8974.7882316887699</v>
      </c>
      <c r="AE5166" s="2">
        <v>7750.4635262108504</v>
      </c>
      <c r="AF5166" s="2">
        <v>8654.9270305730606</v>
      </c>
      <c r="AG5166" s="2">
        <v>8038.94205435196</v>
      </c>
      <c r="AH5166" s="2">
        <v>6728.5127601680897</v>
      </c>
      <c r="AI5166" s="2">
        <v>8394.9487067756709</v>
      </c>
      <c r="AJ5166" s="2">
        <v>7731.3878072133602</v>
      </c>
      <c r="AK5166" s="2">
        <v>9498.0772606725604</v>
      </c>
      <c r="AL5166" s="2">
        <v>10337.280480404401</v>
      </c>
      <c r="AM5166" s="2">
        <v>8790.3068377185009</v>
      </c>
      <c r="AN5166" s="2">
        <v>7947.4895759187602</v>
      </c>
      <c r="AO5166" s="2">
        <v>9090.0453417965891</v>
      </c>
      <c r="AP5166" s="2">
        <v>8185.5298936217896</v>
      </c>
    </row>
    <row r="5167" spans="1:42" ht="14.5" x14ac:dyDescent="0.35">
      <c r="A5167" s="2" t="s">
        <v>34282</v>
      </c>
      <c r="B5167" s="2">
        <v>571.12778306615803</v>
      </c>
      <c r="C5167" s="2">
        <v>1.3894500000000001</v>
      </c>
      <c r="D5167" s="2" t="s">
        <v>70</v>
      </c>
      <c r="E5167" s="2" t="s">
        <v>34283</v>
      </c>
      <c r="F5167" s="2">
        <v>64371</v>
      </c>
      <c r="G5167" s="3" t="str">
        <f>HYPERLINK("http://funmeta.oebiotech.com/network/64371", "http://funmeta.oebiotech.com/network/64371")</f>
        <v>http://funmeta.oebiotech.com/network/64371</v>
      </c>
      <c r="H5167" s="2" t="s">
        <v>34284</v>
      </c>
      <c r="I5167" s="2">
        <v>95686</v>
      </c>
      <c r="J5167" s="2"/>
      <c r="K5167" s="2"/>
      <c r="L5167" s="2"/>
      <c r="M5167" s="2"/>
      <c r="N5167" s="2"/>
      <c r="O5167" s="2">
        <v>53462251</v>
      </c>
      <c r="P5167" s="2" t="s">
        <v>34285</v>
      </c>
      <c r="Q5167" s="2" t="s">
        <v>34286</v>
      </c>
      <c r="R5167" s="2" t="s">
        <v>34287</v>
      </c>
      <c r="S5167" s="2" t="s">
        <v>148</v>
      </c>
      <c r="T5167" s="2" t="s">
        <v>149</v>
      </c>
      <c r="U5167" s="2" t="s">
        <v>1593</v>
      </c>
      <c r="V5167" s="2" t="s">
        <v>59</v>
      </c>
      <c r="W5167" s="2">
        <v>37.5</v>
      </c>
      <c r="X5167" s="2">
        <v>0.89</v>
      </c>
      <c r="Y5167" s="2" t="s">
        <v>560</v>
      </c>
      <c r="Z5167" s="2" t="s">
        <v>29141</v>
      </c>
      <c r="AA5167" s="2">
        <v>-4.6759942562621299</v>
      </c>
      <c r="AB5167" s="2">
        <v>0.100023040483248</v>
      </c>
      <c r="AC5167" s="2">
        <v>14881.6453201941</v>
      </c>
      <c r="AD5167" s="2">
        <v>13480.4004858479</v>
      </c>
      <c r="AE5167" s="2">
        <v>15485.9328419703</v>
      </c>
      <c r="AF5167" s="2">
        <v>13607.566552672901</v>
      </c>
      <c r="AG5167" s="2">
        <v>13397.851652191701</v>
      </c>
      <c r="AH5167" s="2">
        <v>15186.1292120689</v>
      </c>
      <c r="AI5167" s="2">
        <v>15212.723835033999</v>
      </c>
      <c r="AJ5167" s="2">
        <v>16399.667827226898</v>
      </c>
      <c r="AK5167" s="2">
        <v>13047.8831514908</v>
      </c>
      <c r="AL5167" s="2">
        <v>14007.9333803547</v>
      </c>
      <c r="AM5167" s="2">
        <v>11389.211637905601</v>
      </c>
      <c r="AN5167" s="2">
        <v>12975.0663162945</v>
      </c>
      <c r="AO5167" s="2">
        <v>12996.415185071701</v>
      </c>
      <c r="AP5167" s="2">
        <v>16465.8932439704</v>
      </c>
    </row>
    <row r="5168" spans="1:42" ht="14.5" x14ac:dyDescent="0.35">
      <c r="A5168" s="2" t="s">
        <v>34288</v>
      </c>
      <c r="B5168" s="2">
        <v>298.00014575717199</v>
      </c>
      <c r="C5168" s="2">
        <v>1.7133499999999999</v>
      </c>
      <c r="D5168" s="2" t="s">
        <v>70</v>
      </c>
      <c r="E5168" s="2" t="s">
        <v>34289</v>
      </c>
      <c r="F5168" s="2">
        <v>254953</v>
      </c>
      <c r="G5168" s="3" t="str">
        <f>HYPERLINK("http://funmeta.oebiotech.com/network/254953", "http://funmeta.oebiotech.com/network/254953")</f>
        <v>http://funmeta.oebiotech.com/network/254953</v>
      </c>
      <c r="H5168" s="2" t="s">
        <v>34290</v>
      </c>
      <c r="I5168" s="2"/>
      <c r="J5168" s="2"/>
      <c r="K5168" s="2"/>
      <c r="L5168" s="2"/>
      <c r="M5168" s="2"/>
      <c r="N5168" s="2"/>
      <c r="O5168" s="2">
        <v>22290169</v>
      </c>
      <c r="P5168" s="2"/>
      <c r="Q5168" s="2" t="s">
        <v>34291</v>
      </c>
      <c r="R5168" s="2" t="s">
        <v>34292</v>
      </c>
      <c r="S5168" s="2" t="s">
        <v>79</v>
      </c>
      <c r="T5168" s="2" t="s">
        <v>18840</v>
      </c>
      <c r="U5168" s="2" t="s">
        <v>18841</v>
      </c>
      <c r="V5168" s="2" t="s">
        <v>59</v>
      </c>
      <c r="W5168" s="2">
        <v>39.200000000000003</v>
      </c>
      <c r="X5168" s="2">
        <v>0</v>
      </c>
      <c r="Y5168" s="2" t="s">
        <v>751</v>
      </c>
      <c r="Z5168" s="2" t="s">
        <v>34293</v>
      </c>
      <c r="AA5168" s="2">
        <v>0.62844859044127599</v>
      </c>
      <c r="AB5168" s="2">
        <v>0.100009480235693</v>
      </c>
      <c r="AC5168" s="2">
        <v>1628.98299997359</v>
      </c>
      <c r="AD5168" s="2">
        <v>905.98970931380904</v>
      </c>
      <c r="AE5168" s="2">
        <v>1471.3935864233199</v>
      </c>
      <c r="AF5168" s="2">
        <v>1727.9552457602499</v>
      </c>
      <c r="AG5168" s="2">
        <v>1489.76045925364</v>
      </c>
      <c r="AH5168" s="2">
        <v>1669.8179461417201</v>
      </c>
      <c r="AI5168" s="2">
        <v>1429.5121499678501</v>
      </c>
      <c r="AJ5168" s="2">
        <v>1985.4586122947501</v>
      </c>
      <c r="AK5168" s="2">
        <v>823.76524975290204</v>
      </c>
      <c r="AL5168" s="2">
        <v>1097.2527470943901</v>
      </c>
      <c r="AM5168" s="2">
        <v>746.42760922161494</v>
      </c>
      <c r="AN5168" s="2">
        <v>1037.2747293504999</v>
      </c>
      <c r="AO5168" s="2">
        <v>996.18949612809297</v>
      </c>
      <c r="AP5168" s="2">
        <v>735.02842433535704</v>
      </c>
    </row>
    <row r="5169" spans="1:42" ht="14.5" x14ac:dyDescent="0.35">
      <c r="A5169" s="2" t="s">
        <v>34294</v>
      </c>
      <c r="B5169" s="2">
        <v>441.22667689433098</v>
      </c>
      <c r="C5169" s="2">
        <v>9.1206166666666704</v>
      </c>
      <c r="D5169" s="2" t="s">
        <v>34</v>
      </c>
      <c r="E5169" s="2" t="s">
        <v>34295</v>
      </c>
      <c r="F5169" s="2">
        <v>209981</v>
      </c>
      <c r="G5169" s="3" t="str">
        <f>HYPERLINK("http://funmeta.oebiotech.com/network/209981", "http://funmeta.oebiotech.com/network/209981")</f>
        <v>http://funmeta.oebiotech.com/network/209981</v>
      </c>
      <c r="H5169" s="2" t="s">
        <v>34296</v>
      </c>
      <c r="I5169" s="2"/>
      <c r="J5169" s="2"/>
      <c r="K5169" s="2"/>
      <c r="L5169" s="2"/>
      <c r="M5169" s="2"/>
      <c r="N5169" s="2"/>
      <c r="O5169" s="2"/>
      <c r="P5169" s="2"/>
      <c r="Q5169" s="2" t="s">
        <v>34297</v>
      </c>
      <c r="R5169" s="2" t="s">
        <v>34298</v>
      </c>
      <c r="S5169" s="2" t="s">
        <v>41</v>
      </c>
      <c r="T5169" s="2" t="s">
        <v>41</v>
      </c>
      <c r="U5169" s="2" t="s">
        <v>41</v>
      </c>
      <c r="V5169" s="2" t="s">
        <v>59</v>
      </c>
      <c r="W5169" s="2">
        <v>37.200000000000003</v>
      </c>
      <c r="X5169" s="2">
        <v>0</v>
      </c>
      <c r="Y5169" s="2" t="s">
        <v>323</v>
      </c>
      <c r="Z5169" s="2" t="s">
        <v>34299</v>
      </c>
      <c r="AA5169" s="2">
        <v>1.38675937826506</v>
      </c>
      <c r="AB5169" s="2">
        <v>9.9922694948567106E-2</v>
      </c>
      <c r="AC5169" s="2">
        <v>927.86733545329901</v>
      </c>
      <c r="AD5169" s="2">
        <v>172.83709687595001</v>
      </c>
      <c r="AE5169" s="2">
        <v>841.00480242067101</v>
      </c>
      <c r="AF5169" s="2">
        <v>831.30934852535302</v>
      </c>
      <c r="AG5169" s="2">
        <v>1020.90958857293</v>
      </c>
      <c r="AH5169" s="2">
        <v>1237.2316733969601</v>
      </c>
      <c r="AI5169" s="2">
        <v>1107.18089384117</v>
      </c>
      <c r="AJ5169" s="2">
        <v>529.56770596270701</v>
      </c>
      <c r="AK5169" s="2">
        <v>2.7106294003980101E-5</v>
      </c>
      <c r="AL5169" s="2">
        <v>368.134576546527</v>
      </c>
      <c r="AM5169" s="2">
        <v>496.87761003621603</v>
      </c>
      <c r="AN5169" s="2">
        <v>172.01031335407501</v>
      </c>
      <c r="AO5169" s="2">
        <v>2.7106294003980101E-5</v>
      </c>
      <c r="AP5169" s="2">
        <v>2.7106294003980101E-5</v>
      </c>
    </row>
    <row r="5170" spans="1:42" ht="14.5" x14ac:dyDescent="0.35">
      <c r="A5170" s="2" t="s">
        <v>34300</v>
      </c>
      <c r="B5170" s="2">
        <v>409.33128126036303</v>
      </c>
      <c r="C5170" s="2">
        <v>13.3844333333333</v>
      </c>
      <c r="D5170" s="2" t="s">
        <v>34</v>
      </c>
      <c r="E5170" s="2" t="s">
        <v>34301</v>
      </c>
      <c r="F5170" s="2">
        <v>197264</v>
      </c>
      <c r="G5170" s="3" t="str">
        <f>HYPERLINK("http://funmeta.oebiotech.com/network/197264", "http://funmeta.oebiotech.com/network/197264")</f>
        <v>http://funmeta.oebiotech.com/network/197264</v>
      </c>
      <c r="H5170" s="2" t="s">
        <v>34302</v>
      </c>
      <c r="I5170" s="2">
        <v>457135</v>
      </c>
      <c r="J5170" s="2"/>
      <c r="K5170" s="2"/>
      <c r="L5170" s="2"/>
      <c r="M5170" s="2"/>
      <c r="N5170" s="2"/>
      <c r="O5170" s="2">
        <v>90111</v>
      </c>
      <c r="P5170" s="2" t="s">
        <v>34303</v>
      </c>
      <c r="Q5170" s="2" t="s">
        <v>34304</v>
      </c>
      <c r="R5170" s="2" t="s">
        <v>34305</v>
      </c>
      <c r="S5170" s="2" t="s">
        <v>1677</v>
      </c>
      <c r="T5170" s="2" t="s">
        <v>1678</v>
      </c>
      <c r="U5170" s="2" t="s">
        <v>7289</v>
      </c>
      <c r="V5170" s="2" t="s">
        <v>59</v>
      </c>
      <c r="W5170" s="2">
        <v>36</v>
      </c>
      <c r="X5170" s="2">
        <v>0</v>
      </c>
      <c r="Y5170" s="2" t="s">
        <v>340</v>
      </c>
      <c r="Z5170" s="2" t="s">
        <v>34306</v>
      </c>
      <c r="AA5170" s="2">
        <v>-1.03033306593563</v>
      </c>
      <c r="AB5170" s="2">
        <v>9.9896376850452495E-2</v>
      </c>
      <c r="AC5170" s="2">
        <v>2373.5993181910999</v>
      </c>
      <c r="AD5170" s="2">
        <v>1631.16452187289</v>
      </c>
      <c r="AE5170" s="2">
        <v>2209.8475338099702</v>
      </c>
      <c r="AF5170" s="2">
        <v>2418.8807741045898</v>
      </c>
      <c r="AG5170" s="2">
        <v>2296.8676226603002</v>
      </c>
      <c r="AH5170" s="2">
        <v>2808.1316786583702</v>
      </c>
      <c r="AI5170" s="2">
        <v>2398.8670246657098</v>
      </c>
      <c r="AJ5170" s="2">
        <v>2109.00127524767</v>
      </c>
      <c r="AK5170" s="2">
        <v>1790.6627264456899</v>
      </c>
      <c r="AL5170" s="2">
        <v>1373.86168163566</v>
      </c>
      <c r="AM5170" s="2">
        <v>1537.6330816048501</v>
      </c>
      <c r="AN5170" s="2">
        <v>1510.7507112928199</v>
      </c>
      <c r="AO5170" s="2">
        <v>1722.75741450796</v>
      </c>
      <c r="AP5170" s="2">
        <v>1851.3215157503901</v>
      </c>
    </row>
    <row r="5171" spans="1:42" ht="14.5" x14ac:dyDescent="0.35">
      <c r="A5171" s="2" t="s">
        <v>34307</v>
      </c>
      <c r="B5171" s="2">
        <v>1010.4213823080599</v>
      </c>
      <c r="C5171" s="2">
        <v>4.5826500000000001</v>
      </c>
      <c r="D5171" s="2" t="s">
        <v>34</v>
      </c>
      <c r="E5171" s="2" t="s">
        <v>34308</v>
      </c>
      <c r="F5171" s="2">
        <v>227505</v>
      </c>
      <c r="G5171" s="3" t="str">
        <f>HYPERLINK("http://funmeta.oebiotech.com/network/227505", "http://funmeta.oebiotech.com/network/227505")</f>
        <v>http://funmeta.oebiotech.com/network/227505</v>
      </c>
      <c r="H5171" s="2" t="s">
        <v>34309</v>
      </c>
      <c r="I5171" s="2"/>
      <c r="J5171" s="2"/>
      <c r="K5171" s="2"/>
      <c r="L5171" s="2"/>
      <c r="M5171" s="2"/>
      <c r="N5171" s="2"/>
      <c r="O5171" s="2"/>
      <c r="P5171" s="2"/>
      <c r="Q5171" s="2" t="s">
        <v>34310</v>
      </c>
      <c r="R5171" s="2" t="s">
        <v>34311</v>
      </c>
      <c r="S5171" s="2" t="s">
        <v>41</v>
      </c>
      <c r="T5171" s="2" t="s">
        <v>41</v>
      </c>
      <c r="U5171" s="2" t="s">
        <v>41</v>
      </c>
      <c r="V5171" s="2" t="s">
        <v>59</v>
      </c>
      <c r="W5171" s="2">
        <v>37.4</v>
      </c>
      <c r="X5171" s="2">
        <v>0</v>
      </c>
      <c r="Y5171" s="2" t="s">
        <v>340</v>
      </c>
      <c r="Z5171" s="2" t="s">
        <v>34312</v>
      </c>
      <c r="AA5171" s="2">
        <v>-1.29236808213654</v>
      </c>
      <c r="AB5171" s="2">
        <v>9.9865596364807102E-2</v>
      </c>
      <c r="AC5171" s="2">
        <v>39096.785030067098</v>
      </c>
      <c r="AD5171" s="2">
        <v>36382.735267945398</v>
      </c>
      <c r="AE5171" s="2">
        <v>48253.861637069604</v>
      </c>
      <c r="AF5171" s="2">
        <v>42128.280368493499</v>
      </c>
      <c r="AG5171" s="2">
        <v>32635.358418861899</v>
      </c>
      <c r="AH5171" s="2">
        <v>31056.6246731137</v>
      </c>
      <c r="AI5171" s="2">
        <v>38640.3544225476</v>
      </c>
      <c r="AJ5171" s="2">
        <v>41866.230660316098</v>
      </c>
      <c r="AK5171" s="2">
        <v>42310.615826841698</v>
      </c>
      <c r="AL5171" s="2">
        <v>33928.488776939303</v>
      </c>
      <c r="AM5171" s="2">
        <v>27172.621645323499</v>
      </c>
      <c r="AN5171" s="2">
        <v>38151.861489909403</v>
      </c>
      <c r="AO5171" s="2">
        <v>34846.311953081196</v>
      </c>
      <c r="AP5171" s="2">
        <v>41886.511915577503</v>
      </c>
    </row>
    <row r="5172" spans="1:42" ht="14.5" x14ac:dyDescent="0.35">
      <c r="A5172" s="2" t="s">
        <v>34313</v>
      </c>
      <c r="B5172" s="2">
        <v>608.15395168132</v>
      </c>
      <c r="C5172" s="2">
        <v>3.7334833333333299</v>
      </c>
      <c r="D5172" s="2" t="s">
        <v>34</v>
      </c>
      <c r="E5172" s="2" t="s">
        <v>34314</v>
      </c>
      <c r="F5172" s="2">
        <v>28806</v>
      </c>
      <c r="G5172" s="3" t="str">
        <f>HYPERLINK("http://funmeta.oebiotech.com/network/28806", "http://funmeta.oebiotech.com/network/28806")</f>
        <v>http://funmeta.oebiotech.com/network/28806</v>
      </c>
      <c r="H5172" s="2" t="s">
        <v>34315</v>
      </c>
      <c r="I5172" s="2"/>
      <c r="J5172" s="2" t="s">
        <v>34316</v>
      </c>
      <c r="K5172" s="2"/>
      <c r="L5172" s="2"/>
      <c r="M5172" s="2"/>
      <c r="N5172" s="2"/>
      <c r="O5172" s="2">
        <v>44257036</v>
      </c>
      <c r="P5172" s="2" t="s">
        <v>34317</v>
      </c>
      <c r="Q5172" s="2" t="s">
        <v>34318</v>
      </c>
      <c r="R5172" s="2" t="s">
        <v>34319</v>
      </c>
      <c r="S5172" s="2" t="s">
        <v>115</v>
      </c>
      <c r="T5172" s="2" t="s">
        <v>139</v>
      </c>
      <c r="U5172" s="2" t="s">
        <v>957</v>
      </c>
      <c r="V5172" s="2" t="s">
        <v>59</v>
      </c>
      <c r="W5172" s="2">
        <v>36.5</v>
      </c>
      <c r="X5172" s="2">
        <v>0</v>
      </c>
      <c r="Y5172" s="2" t="s">
        <v>330</v>
      </c>
      <c r="Z5172" s="2" t="s">
        <v>34320</v>
      </c>
      <c r="AA5172" s="2">
        <v>2.4143223454020601</v>
      </c>
      <c r="AB5172" s="2">
        <v>9.9739760137714503E-2</v>
      </c>
      <c r="AC5172" s="2">
        <v>2973.13163579</v>
      </c>
      <c r="AD5172" s="2">
        <v>1687.52049428702</v>
      </c>
      <c r="AE5172" s="2">
        <v>907.58484437500294</v>
      </c>
      <c r="AF5172" s="2">
        <v>1794.74225444169</v>
      </c>
      <c r="AG5172" s="2">
        <v>3785.2983615170901</v>
      </c>
      <c r="AH5172" s="2">
        <v>4811.6025575943304</v>
      </c>
      <c r="AI5172" s="2">
        <v>2951.58209485317</v>
      </c>
      <c r="AJ5172" s="2">
        <v>3587.9797019586999</v>
      </c>
      <c r="AK5172" s="2">
        <v>1912.5844769728999</v>
      </c>
      <c r="AL5172" s="2">
        <v>2564.9013384651798</v>
      </c>
      <c r="AM5172" s="2">
        <v>1782.81238435052</v>
      </c>
      <c r="AN5172" s="2">
        <v>2.7106294003980101E-5</v>
      </c>
      <c r="AO5172" s="2">
        <v>2441.55665818016</v>
      </c>
      <c r="AP5172" s="2">
        <v>1423.2680806470801</v>
      </c>
    </row>
    <row r="5173" spans="1:42" ht="14.5" x14ac:dyDescent="0.35">
      <c r="A5173" s="2" t="s">
        <v>34321</v>
      </c>
      <c r="B5173" s="2">
        <v>311.07717887481499</v>
      </c>
      <c r="C5173" s="2">
        <v>2.3911333333333298</v>
      </c>
      <c r="D5173" s="2" t="s">
        <v>70</v>
      </c>
      <c r="E5173" s="2" t="s">
        <v>34322</v>
      </c>
      <c r="F5173" s="2">
        <v>54523</v>
      </c>
      <c r="G5173" s="3" t="str">
        <f>HYPERLINK("http://funmeta.oebiotech.com/network/54523", "http://funmeta.oebiotech.com/network/54523")</f>
        <v>http://funmeta.oebiotech.com/network/54523</v>
      </c>
      <c r="H5173" s="2" t="s">
        <v>34323</v>
      </c>
      <c r="I5173" s="2"/>
      <c r="J5173" s="2"/>
      <c r="K5173" s="2"/>
      <c r="L5173" s="2"/>
      <c r="M5173" s="2"/>
      <c r="N5173" s="2"/>
      <c r="O5173" s="2">
        <v>131750886</v>
      </c>
      <c r="P5173" s="2" t="s">
        <v>34324</v>
      </c>
      <c r="Q5173" s="2" t="s">
        <v>34325</v>
      </c>
      <c r="R5173" s="2" t="s">
        <v>34326</v>
      </c>
      <c r="S5173" s="2" t="s">
        <v>491</v>
      </c>
      <c r="T5173" s="2" t="s">
        <v>2321</v>
      </c>
      <c r="U5173" s="2" t="s">
        <v>2322</v>
      </c>
      <c r="V5173" s="2" t="s">
        <v>59</v>
      </c>
      <c r="W5173" s="2">
        <v>45.6</v>
      </c>
      <c r="X5173" s="2">
        <v>35.299999999999997</v>
      </c>
      <c r="Y5173" s="2" t="s">
        <v>560</v>
      </c>
      <c r="Z5173" s="2" t="s">
        <v>34327</v>
      </c>
      <c r="AA5173" s="2">
        <v>-0.19918573753784199</v>
      </c>
      <c r="AB5173" s="2">
        <v>9.9682749673482896E-2</v>
      </c>
      <c r="AC5173" s="2">
        <v>125612.949322514</v>
      </c>
      <c r="AD5173" s="2">
        <v>122720.380213871</v>
      </c>
      <c r="AE5173" s="2">
        <v>130332.658734375</v>
      </c>
      <c r="AF5173" s="2">
        <v>120273.455741324</v>
      </c>
      <c r="AG5173" s="2">
        <v>133053.12984931</v>
      </c>
      <c r="AH5173" s="2">
        <v>128987.74947625901</v>
      </c>
      <c r="AI5173" s="2">
        <v>117577.323407395</v>
      </c>
      <c r="AJ5173" s="2">
        <v>123453.378726421</v>
      </c>
      <c r="AK5173" s="2">
        <v>124233.113064544</v>
      </c>
      <c r="AL5173" s="2">
        <v>138865.94769116701</v>
      </c>
      <c r="AM5173" s="2">
        <v>121982.220420589</v>
      </c>
      <c r="AN5173" s="2">
        <v>117836.248970135</v>
      </c>
      <c r="AO5173" s="2">
        <v>116907.985773746</v>
      </c>
      <c r="AP5173" s="2">
        <v>116496.76536304499</v>
      </c>
    </row>
    <row r="5174" spans="1:42" ht="14.5" x14ac:dyDescent="0.35">
      <c r="A5174" s="2" t="s">
        <v>34328</v>
      </c>
      <c r="B5174" s="2">
        <v>305.17242273429503</v>
      </c>
      <c r="C5174" s="2">
        <v>9.2929833333333303</v>
      </c>
      <c r="D5174" s="2" t="s">
        <v>34</v>
      </c>
      <c r="E5174" s="2" t="s">
        <v>34329</v>
      </c>
      <c r="F5174" s="2">
        <v>467687</v>
      </c>
      <c r="G5174" s="3" t="str">
        <f>HYPERLINK("http://funmeta.oebiotech.com/network/467687", "http://funmeta.oebiotech.com/network/467687")</f>
        <v>http://funmeta.oebiotech.com/network/467687</v>
      </c>
      <c r="H5174" s="2"/>
      <c r="I5174" s="2">
        <v>85094</v>
      </c>
      <c r="J5174" s="2"/>
      <c r="K5174" s="2"/>
      <c r="L5174" s="2"/>
      <c r="M5174" s="2"/>
      <c r="N5174" s="2"/>
      <c r="O5174" s="2">
        <v>222778</v>
      </c>
      <c r="P5174" s="2" t="s">
        <v>34330</v>
      </c>
      <c r="Q5174" s="2" t="s">
        <v>34331</v>
      </c>
      <c r="R5174" s="2" t="s">
        <v>34332</v>
      </c>
      <c r="S5174" s="2" t="s">
        <v>79</v>
      </c>
      <c r="T5174" s="2" t="s">
        <v>80</v>
      </c>
      <c r="U5174" s="2" t="s">
        <v>2021</v>
      </c>
      <c r="V5174" s="2" t="s">
        <v>59</v>
      </c>
      <c r="W5174" s="2">
        <v>38.299999999999997</v>
      </c>
      <c r="X5174" s="2">
        <v>0</v>
      </c>
      <c r="Y5174" s="2" t="s">
        <v>323</v>
      </c>
      <c r="Z5174" s="2" t="s">
        <v>34333</v>
      </c>
      <c r="AA5174" s="2">
        <v>0.328659767492885</v>
      </c>
      <c r="AB5174" s="2">
        <v>9.9523911309304602E-2</v>
      </c>
      <c r="AC5174" s="2">
        <v>5090.6718152101002</v>
      </c>
      <c r="AD5174" s="2">
        <v>6014.5833276197</v>
      </c>
      <c r="AE5174" s="2">
        <v>4962.2562430159296</v>
      </c>
      <c r="AF5174" s="2">
        <v>5395.2403638367496</v>
      </c>
      <c r="AG5174" s="2">
        <v>5095.7869813916404</v>
      </c>
      <c r="AH5174" s="2">
        <v>4748.6203208053003</v>
      </c>
      <c r="AI5174" s="2">
        <v>5415.8055342178905</v>
      </c>
      <c r="AJ5174" s="2">
        <v>4926.3214479930703</v>
      </c>
      <c r="AK5174" s="2">
        <v>7248.8771057238</v>
      </c>
      <c r="AL5174" s="2">
        <v>6214.9000536998001</v>
      </c>
      <c r="AM5174" s="2">
        <v>5519.5674856083497</v>
      </c>
      <c r="AN5174" s="2">
        <v>5809.8132937541905</v>
      </c>
      <c r="AO5174" s="2">
        <v>5886.7955903840802</v>
      </c>
      <c r="AP5174" s="2">
        <v>5407.5464365479602</v>
      </c>
    </row>
    <row r="5175" spans="1:42" ht="14.5" x14ac:dyDescent="0.35">
      <c r="A5175" s="2" t="s">
        <v>34334</v>
      </c>
      <c r="B5175" s="2">
        <v>577.25206047301594</v>
      </c>
      <c r="C5175" s="2">
        <v>8.7089333333333308</v>
      </c>
      <c r="D5175" s="2" t="s">
        <v>34</v>
      </c>
      <c r="E5175" s="2" t="s">
        <v>34335</v>
      </c>
      <c r="F5175" s="2">
        <v>207333</v>
      </c>
      <c r="G5175" s="3" t="str">
        <f>HYPERLINK("http://funmeta.oebiotech.com/network/207333", "http://funmeta.oebiotech.com/network/207333")</f>
        <v>http://funmeta.oebiotech.com/network/207333</v>
      </c>
      <c r="H5175" s="2" t="s">
        <v>34336</v>
      </c>
      <c r="I5175" s="2"/>
      <c r="J5175" s="2"/>
      <c r="K5175" s="2"/>
      <c r="L5175" s="2"/>
      <c r="M5175" s="2"/>
      <c r="N5175" s="2"/>
      <c r="O5175" s="2">
        <v>10076333</v>
      </c>
      <c r="P5175" s="2"/>
      <c r="Q5175" s="2" t="s">
        <v>34337</v>
      </c>
      <c r="R5175" s="2" t="s">
        <v>34338</v>
      </c>
      <c r="S5175" s="2" t="s">
        <v>41</v>
      </c>
      <c r="T5175" s="2" t="s">
        <v>41</v>
      </c>
      <c r="U5175" s="2" t="s">
        <v>41</v>
      </c>
      <c r="V5175" s="2" t="s">
        <v>59</v>
      </c>
      <c r="W5175" s="2">
        <v>38.799999999999997</v>
      </c>
      <c r="X5175" s="2">
        <v>0</v>
      </c>
      <c r="Y5175" s="2" t="s">
        <v>323</v>
      </c>
      <c r="Z5175" s="2" t="s">
        <v>34339</v>
      </c>
      <c r="AA5175" s="2">
        <v>4.2594010365105801E-2</v>
      </c>
      <c r="AB5175" s="2">
        <v>9.9440086732481503E-2</v>
      </c>
      <c r="AC5175" s="2">
        <v>11003.833767903699</v>
      </c>
      <c r="AD5175" s="2">
        <v>12776.6817716634</v>
      </c>
      <c r="AE5175" s="2">
        <v>7270.3657497419099</v>
      </c>
      <c r="AF5175" s="2">
        <v>12307.7784238411</v>
      </c>
      <c r="AG5175" s="2">
        <v>12819.1427369869</v>
      </c>
      <c r="AH5175" s="2">
        <v>8545.7796040249505</v>
      </c>
      <c r="AI5175" s="2">
        <v>12355.698364383599</v>
      </c>
      <c r="AJ5175" s="2">
        <v>12724.237728443701</v>
      </c>
      <c r="AK5175" s="2">
        <v>12501.9397986229</v>
      </c>
      <c r="AL5175" s="2">
        <v>11342.746287813099</v>
      </c>
      <c r="AM5175" s="2">
        <v>11541.9309834798</v>
      </c>
      <c r="AN5175" s="2">
        <v>17393.868704471199</v>
      </c>
      <c r="AO5175" s="2">
        <v>10009.735311239199</v>
      </c>
      <c r="AP5175" s="2">
        <v>13869.869544354</v>
      </c>
    </row>
    <row r="5176" spans="1:42" ht="14.5" x14ac:dyDescent="0.35">
      <c r="A5176" s="2" t="s">
        <v>34340</v>
      </c>
      <c r="B5176" s="2">
        <v>255.99108308614899</v>
      </c>
      <c r="C5176" s="2">
        <v>3.7303666666666699</v>
      </c>
      <c r="D5176" s="2" t="s">
        <v>70</v>
      </c>
      <c r="E5176" s="2" t="s">
        <v>34341</v>
      </c>
      <c r="F5176" s="2">
        <v>211991</v>
      </c>
      <c r="G5176" s="3" t="str">
        <f>HYPERLINK("http://funmeta.oebiotech.com/network/211991", "http://funmeta.oebiotech.com/network/211991")</f>
        <v>http://funmeta.oebiotech.com/network/211991</v>
      </c>
      <c r="H5176" s="2" t="s">
        <v>34342</v>
      </c>
      <c r="I5176" s="2">
        <v>462936</v>
      </c>
      <c r="J5176" s="2"/>
      <c r="K5176" s="2">
        <v>86989</v>
      </c>
      <c r="L5176" s="2"/>
      <c r="M5176" s="2"/>
      <c r="N5176" s="2"/>
      <c r="O5176" s="2">
        <v>2779853</v>
      </c>
      <c r="P5176" s="2"/>
      <c r="Q5176" s="2" t="s">
        <v>34343</v>
      </c>
      <c r="R5176" s="2" t="s">
        <v>34344</v>
      </c>
      <c r="S5176" s="2" t="s">
        <v>25629</v>
      </c>
      <c r="T5176" s="2" t="s">
        <v>25630</v>
      </c>
      <c r="U5176" s="2" t="s">
        <v>25631</v>
      </c>
      <c r="V5176" s="2" t="s">
        <v>59</v>
      </c>
      <c r="W5176" s="2">
        <v>37.200000000000003</v>
      </c>
      <c r="X5176" s="2">
        <v>0</v>
      </c>
      <c r="Y5176" s="2" t="s">
        <v>408</v>
      </c>
      <c r="Z5176" s="2" t="s">
        <v>34345</v>
      </c>
      <c r="AA5176" s="2">
        <v>-4.96899246174533</v>
      </c>
      <c r="AB5176" s="2">
        <v>9.9424010707610894E-2</v>
      </c>
      <c r="AC5176" s="2">
        <v>2282.8322961271901</v>
      </c>
      <c r="AD5176" s="2">
        <v>3023.7873776249598</v>
      </c>
      <c r="AE5176" s="2">
        <v>2431.3678802712798</v>
      </c>
      <c r="AF5176" s="2">
        <v>1995.7742833853899</v>
      </c>
      <c r="AG5176" s="2">
        <v>2123.7850380658701</v>
      </c>
      <c r="AH5176" s="2">
        <v>2292.1850735247199</v>
      </c>
      <c r="AI5176" s="2">
        <v>2547.2240882588999</v>
      </c>
      <c r="AJ5176" s="2">
        <v>2306.6574132569899</v>
      </c>
      <c r="AK5176" s="2">
        <v>3377.9128138319902</v>
      </c>
      <c r="AL5176" s="2">
        <v>3079.2356501331301</v>
      </c>
      <c r="AM5176" s="2">
        <v>3244.3592699000101</v>
      </c>
      <c r="AN5176" s="2">
        <v>2748.2288405435602</v>
      </c>
      <c r="AO5176" s="2">
        <v>2814.7154815481199</v>
      </c>
      <c r="AP5176" s="2">
        <v>2878.27220979294</v>
      </c>
    </row>
    <row r="5177" spans="1:42" ht="14.5" x14ac:dyDescent="0.35">
      <c r="A5177" s="2" t="s">
        <v>34346</v>
      </c>
      <c r="B5177" s="2">
        <v>435.128740107608</v>
      </c>
      <c r="C5177" s="2">
        <v>9.7086333333333297</v>
      </c>
      <c r="D5177" s="2" t="s">
        <v>34</v>
      </c>
      <c r="E5177" s="2" t="s">
        <v>34347</v>
      </c>
      <c r="F5177" s="2">
        <v>267057</v>
      </c>
      <c r="G5177" s="3" t="str">
        <f>HYPERLINK("http://funmeta.oebiotech.com/network/267057", "http://funmeta.oebiotech.com/network/267057")</f>
        <v>http://funmeta.oebiotech.com/network/267057</v>
      </c>
      <c r="H5177" s="2"/>
      <c r="I5177" s="2">
        <v>44630</v>
      </c>
      <c r="J5177" s="2"/>
      <c r="K5177" s="2"/>
      <c r="L5177" s="2"/>
      <c r="M5177" s="2"/>
      <c r="N5177" s="2"/>
      <c r="O5177" s="2">
        <v>2098</v>
      </c>
      <c r="P5177" s="2"/>
      <c r="Q5177" s="2" t="s">
        <v>34348</v>
      </c>
      <c r="R5177" s="2" t="s">
        <v>34349</v>
      </c>
      <c r="S5177" s="2" t="s">
        <v>148</v>
      </c>
      <c r="T5177" s="2" t="s">
        <v>6068</v>
      </c>
      <c r="U5177" s="2" t="s">
        <v>41</v>
      </c>
      <c r="V5177" s="2" t="s">
        <v>59</v>
      </c>
      <c r="W5177" s="2">
        <v>38.799999999999997</v>
      </c>
      <c r="X5177" s="2">
        <v>0</v>
      </c>
      <c r="Y5177" s="2" t="s">
        <v>394</v>
      </c>
      <c r="Z5177" s="2" t="s">
        <v>3058</v>
      </c>
      <c r="AA5177" s="2">
        <v>0.38416559813354501</v>
      </c>
      <c r="AB5177" s="2">
        <v>9.9337306875067199E-2</v>
      </c>
      <c r="AC5177" s="2">
        <v>5380.1459696187503</v>
      </c>
      <c r="AD5177" s="2">
        <v>6479.2039301942104</v>
      </c>
      <c r="AE5177" s="2">
        <v>4844.8363771460999</v>
      </c>
      <c r="AF5177" s="2">
        <v>5091.6856066176697</v>
      </c>
      <c r="AG5177" s="2">
        <v>4864.6797409579503</v>
      </c>
      <c r="AH5177" s="2">
        <v>5531.4403119852605</v>
      </c>
      <c r="AI5177" s="2">
        <v>5645.1540675262404</v>
      </c>
      <c r="AJ5177" s="2">
        <v>6303.0797134793102</v>
      </c>
      <c r="AK5177" s="2">
        <v>6084.4957200163199</v>
      </c>
      <c r="AL5177" s="2">
        <v>5116.4613274830899</v>
      </c>
      <c r="AM5177" s="2">
        <v>6144.22041819694</v>
      </c>
      <c r="AN5177" s="2">
        <v>7118.2070020678202</v>
      </c>
      <c r="AO5177" s="2">
        <v>6225.8387942558502</v>
      </c>
      <c r="AP5177" s="2">
        <v>8186.0003191452297</v>
      </c>
    </row>
    <row r="5178" spans="1:42" ht="14.5" x14ac:dyDescent="0.35">
      <c r="A5178" s="2" t="s">
        <v>34350</v>
      </c>
      <c r="B5178" s="2">
        <v>185.057176781376</v>
      </c>
      <c r="C5178" s="2">
        <v>3.4190666666666698</v>
      </c>
      <c r="D5178" s="2" t="s">
        <v>34</v>
      </c>
      <c r="E5178" s="2" t="s">
        <v>34351</v>
      </c>
      <c r="F5178" s="2">
        <v>47859</v>
      </c>
      <c r="G5178" s="3" t="str">
        <f>HYPERLINK("http://funmeta.oebiotech.com/network/47859", "http://funmeta.oebiotech.com/network/47859")</f>
        <v>http://funmeta.oebiotech.com/network/47859</v>
      </c>
      <c r="H5178" s="2" t="s">
        <v>34352</v>
      </c>
      <c r="I5178" s="2">
        <v>6547</v>
      </c>
      <c r="J5178" s="2"/>
      <c r="K5178" s="2">
        <v>165406</v>
      </c>
      <c r="L5178" s="2"/>
      <c r="M5178" s="2"/>
      <c r="N5178" s="2"/>
      <c r="O5178" s="2">
        <v>193804</v>
      </c>
      <c r="P5178" s="2" t="s">
        <v>34353</v>
      </c>
      <c r="Q5178" s="2" t="s">
        <v>34354</v>
      </c>
      <c r="R5178" s="2" t="s">
        <v>34355</v>
      </c>
      <c r="S5178" s="2" t="s">
        <v>89</v>
      </c>
      <c r="T5178" s="2" t="s">
        <v>4218</v>
      </c>
      <c r="U5178" s="2" t="s">
        <v>5830</v>
      </c>
      <c r="V5178" s="2" t="s">
        <v>59</v>
      </c>
      <c r="W5178" s="2">
        <v>38.200000000000003</v>
      </c>
      <c r="X5178" s="2">
        <v>0</v>
      </c>
      <c r="Y5178" s="2" t="s">
        <v>340</v>
      </c>
      <c r="Z5178" s="2" t="s">
        <v>34356</v>
      </c>
      <c r="AA5178" s="2">
        <v>-1.88649587767833</v>
      </c>
      <c r="AB5178" s="2">
        <v>9.9262721984213501E-2</v>
      </c>
      <c r="AC5178" s="2">
        <v>5488.4300062583598</v>
      </c>
      <c r="AD5178" s="2">
        <v>4603.7909911850402</v>
      </c>
      <c r="AE5178" s="2">
        <v>5034.2979685302298</v>
      </c>
      <c r="AF5178" s="2">
        <v>5658.8636012984398</v>
      </c>
      <c r="AG5178" s="2">
        <v>5679.7719865204599</v>
      </c>
      <c r="AH5178" s="2">
        <v>5868.6609116523996</v>
      </c>
      <c r="AI5178" s="2">
        <v>5195.4928289017798</v>
      </c>
      <c r="AJ5178" s="2">
        <v>5493.4927406468196</v>
      </c>
      <c r="AK5178" s="2">
        <v>4968.9084816089098</v>
      </c>
      <c r="AL5178" s="2">
        <v>3698.0365886772001</v>
      </c>
      <c r="AM5178" s="2">
        <v>4896.3792091658297</v>
      </c>
      <c r="AN5178" s="2">
        <v>4399.73029878129</v>
      </c>
      <c r="AO5178" s="2">
        <v>4396.8575110401198</v>
      </c>
      <c r="AP5178" s="2">
        <v>5262.8338578369103</v>
      </c>
    </row>
    <row r="5179" spans="1:42" ht="14.5" x14ac:dyDescent="0.35">
      <c r="A5179" s="2" t="s">
        <v>34357</v>
      </c>
      <c r="B5179" s="2">
        <v>482.26009115098498</v>
      </c>
      <c r="C5179" s="2">
        <v>4.8662333333333301</v>
      </c>
      <c r="D5179" s="2" t="s">
        <v>34</v>
      </c>
      <c r="E5179" s="2" t="s">
        <v>34358</v>
      </c>
      <c r="F5179" s="2">
        <v>52107</v>
      </c>
      <c r="G5179" s="3" t="str">
        <f>HYPERLINK("http://funmeta.oebiotech.com/network/52107", "http://funmeta.oebiotech.com/network/52107")</f>
        <v>http://funmeta.oebiotech.com/network/52107</v>
      </c>
      <c r="H5179" s="2" t="s">
        <v>34359</v>
      </c>
      <c r="I5179" s="2"/>
      <c r="J5179" s="2"/>
      <c r="K5179" s="2">
        <v>169292</v>
      </c>
      <c r="L5179" s="2"/>
      <c r="M5179" s="2"/>
      <c r="N5179" s="2"/>
      <c r="O5179" s="2">
        <v>53481551</v>
      </c>
      <c r="P5179" s="2"/>
      <c r="Q5179" s="2" t="s">
        <v>34360</v>
      </c>
      <c r="R5179" s="2" t="s">
        <v>34361</v>
      </c>
      <c r="S5179" s="2" t="s">
        <v>89</v>
      </c>
      <c r="T5179" s="2" t="s">
        <v>90</v>
      </c>
      <c r="U5179" s="2" t="s">
        <v>99</v>
      </c>
      <c r="V5179" s="2" t="s">
        <v>59</v>
      </c>
      <c r="W5179" s="2">
        <v>37.1</v>
      </c>
      <c r="X5179" s="2">
        <v>0</v>
      </c>
      <c r="Y5179" s="2" t="s">
        <v>340</v>
      </c>
      <c r="Z5179" s="2" t="s">
        <v>34362</v>
      </c>
      <c r="AA5179" s="2">
        <v>0.18579638989922401</v>
      </c>
      <c r="AB5179" s="2">
        <v>9.9090137130296602E-2</v>
      </c>
      <c r="AC5179" s="2">
        <v>6770.1545204850399</v>
      </c>
      <c r="AD5179" s="2">
        <v>4949.6541100203203</v>
      </c>
      <c r="AE5179" s="2">
        <v>6206.6853091082503</v>
      </c>
      <c r="AF5179" s="2">
        <v>10609.075825206201</v>
      </c>
      <c r="AG5179" s="2">
        <v>5060.7104509914197</v>
      </c>
      <c r="AH5179" s="2">
        <v>3194.18496534104</v>
      </c>
      <c r="AI5179" s="2">
        <v>4865.25730612394</v>
      </c>
      <c r="AJ5179" s="2">
        <v>10685.0132661394</v>
      </c>
      <c r="AK5179" s="2">
        <v>6906.6375053329202</v>
      </c>
      <c r="AL5179" s="2">
        <v>8266.0088775658405</v>
      </c>
      <c r="AM5179" s="2">
        <v>4589.7363851522996</v>
      </c>
      <c r="AN5179" s="2">
        <v>2374.5858992066301</v>
      </c>
      <c r="AO5179" s="2">
        <v>4416.0163581196703</v>
      </c>
      <c r="AP5179" s="2">
        <v>3144.9396347445499</v>
      </c>
    </row>
    <row r="5180" spans="1:42" ht="14.5" x14ac:dyDescent="0.35">
      <c r="A5180" s="2" t="s">
        <v>34363</v>
      </c>
      <c r="B5180" s="2">
        <v>267.19531863641799</v>
      </c>
      <c r="C5180" s="2">
        <v>10.1513166666667</v>
      </c>
      <c r="D5180" s="2" t="s">
        <v>34</v>
      </c>
      <c r="E5180" s="2" t="s">
        <v>34364</v>
      </c>
      <c r="F5180" s="2">
        <v>266288</v>
      </c>
      <c r="G5180" s="3" t="str">
        <f>HYPERLINK("http://funmeta.oebiotech.com/network/266288", "http://funmeta.oebiotech.com/network/266288")</f>
        <v>http://funmeta.oebiotech.com/network/266288</v>
      </c>
      <c r="H5180" s="2"/>
      <c r="I5180" s="2">
        <v>35513</v>
      </c>
      <c r="J5180" s="2"/>
      <c r="K5180" s="2"/>
      <c r="L5180" s="2"/>
      <c r="M5180" s="2"/>
      <c r="N5180" s="2"/>
      <c r="O5180" s="2">
        <v>5423</v>
      </c>
      <c r="P5180" s="2" t="s">
        <v>34365</v>
      </c>
      <c r="Q5180" s="2" t="s">
        <v>34366</v>
      </c>
      <c r="R5180" s="2" t="s">
        <v>34367</v>
      </c>
      <c r="S5180" s="2" t="s">
        <v>50</v>
      </c>
      <c r="T5180" s="2" t="s">
        <v>229</v>
      </c>
      <c r="U5180" s="2" t="s">
        <v>433</v>
      </c>
      <c r="V5180" s="2" t="s">
        <v>59</v>
      </c>
      <c r="W5180" s="2">
        <v>37.299999999999997</v>
      </c>
      <c r="X5180" s="2">
        <v>0</v>
      </c>
      <c r="Y5180" s="2" t="s">
        <v>394</v>
      </c>
      <c r="Z5180" s="2" t="s">
        <v>18131</v>
      </c>
      <c r="AA5180" s="2">
        <v>-0.57285816901057596</v>
      </c>
      <c r="AB5180" s="2">
        <v>9.9066988792819402E-2</v>
      </c>
      <c r="AC5180" s="2">
        <v>3013.3904189700702</v>
      </c>
      <c r="AD5180" s="2">
        <v>3768.7368523776699</v>
      </c>
      <c r="AE5180" s="2">
        <v>2878.9048973007598</v>
      </c>
      <c r="AF5180" s="2">
        <v>3181.7772085931601</v>
      </c>
      <c r="AG5180" s="2">
        <v>3021.7019252574</v>
      </c>
      <c r="AH5180" s="2">
        <v>3068.7809325548301</v>
      </c>
      <c r="AI5180" s="2">
        <v>3029.5772415266401</v>
      </c>
      <c r="AJ5180" s="2">
        <v>2899.6003085876</v>
      </c>
      <c r="AK5180" s="2">
        <v>4112.0270602791697</v>
      </c>
      <c r="AL5180" s="2">
        <v>4007.2675191131998</v>
      </c>
      <c r="AM5180" s="2">
        <v>3516.8092279612902</v>
      </c>
      <c r="AN5180" s="2">
        <v>3759.9322428140099</v>
      </c>
      <c r="AO5180" s="2">
        <v>3982.77441309905</v>
      </c>
      <c r="AP5180" s="2">
        <v>3233.6106509993101</v>
      </c>
    </row>
    <row r="5181" spans="1:42" ht="14.5" x14ac:dyDescent="0.35">
      <c r="A5181" s="2" t="s">
        <v>34368</v>
      </c>
      <c r="B5181" s="2">
        <v>275.18500955293399</v>
      </c>
      <c r="C5181" s="2">
        <v>4.4964333333333304</v>
      </c>
      <c r="D5181" s="2" t="s">
        <v>34</v>
      </c>
      <c r="E5181" s="2" t="s">
        <v>34369</v>
      </c>
      <c r="F5181" s="2">
        <v>2905</v>
      </c>
      <c r="G5181" s="3" t="str">
        <f>HYPERLINK("http://funmeta.oebiotech.com/network/2905", "http://funmeta.oebiotech.com/network/2905")</f>
        <v>http://funmeta.oebiotech.com/network/2905</v>
      </c>
      <c r="H5181" s="2" t="s">
        <v>34370</v>
      </c>
      <c r="I5181" s="2">
        <v>5383</v>
      </c>
      <c r="J5181" s="2" t="s">
        <v>34371</v>
      </c>
      <c r="K5181" s="2"/>
      <c r="L5181" s="2"/>
      <c r="M5181" s="2"/>
      <c r="N5181" s="2"/>
      <c r="O5181" s="2">
        <v>20848956</v>
      </c>
      <c r="P5181" s="2" t="s">
        <v>34372</v>
      </c>
      <c r="Q5181" s="2" t="s">
        <v>34373</v>
      </c>
      <c r="R5181" s="2" t="s">
        <v>34374</v>
      </c>
      <c r="S5181" s="2" t="s">
        <v>50</v>
      </c>
      <c r="T5181" s="2" t="s">
        <v>229</v>
      </c>
      <c r="U5181" s="2" t="s">
        <v>433</v>
      </c>
      <c r="V5181" s="2" t="s">
        <v>59</v>
      </c>
      <c r="W5181" s="2">
        <v>38.6</v>
      </c>
      <c r="X5181" s="2">
        <v>0</v>
      </c>
      <c r="Y5181" s="2" t="s">
        <v>394</v>
      </c>
      <c r="Z5181" s="2" t="s">
        <v>34375</v>
      </c>
      <c r="AA5181" s="2">
        <v>-1.0606637333476501</v>
      </c>
      <c r="AB5181" s="2">
        <v>9.8862133794599794E-2</v>
      </c>
      <c r="AC5181" s="2">
        <v>2238.7566454161401</v>
      </c>
      <c r="AD5181" s="2">
        <v>2991.9310773891698</v>
      </c>
      <c r="AE5181" s="2">
        <v>2217.1434762399699</v>
      </c>
      <c r="AF5181" s="2">
        <v>2228.7312409835099</v>
      </c>
      <c r="AG5181" s="2">
        <v>2592.2187029673</v>
      </c>
      <c r="AH5181" s="2">
        <v>2190.5105425609499</v>
      </c>
      <c r="AI5181" s="2">
        <v>2165.56721324613</v>
      </c>
      <c r="AJ5181" s="2">
        <v>2038.3686964989799</v>
      </c>
      <c r="AK5181" s="2">
        <v>2549.2788570119901</v>
      </c>
      <c r="AL5181" s="2">
        <v>3054.57677282039</v>
      </c>
      <c r="AM5181" s="2">
        <v>2884.60783610607</v>
      </c>
      <c r="AN5181" s="2">
        <v>3120.9531195787899</v>
      </c>
      <c r="AO5181" s="2">
        <v>2881.3588687781498</v>
      </c>
      <c r="AP5181" s="2">
        <v>3460.8110100396598</v>
      </c>
    </row>
    <row r="5182" spans="1:42" ht="14.5" x14ac:dyDescent="0.35">
      <c r="A5182" s="2" t="s">
        <v>34376</v>
      </c>
      <c r="B5182" s="2">
        <v>441.157861201402</v>
      </c>
      <c r="C5182" s="2">
        <v>1.11073333333333</v>
      </c>
      <c r="D5182" s="2" t="s">
        <v>34</v>
      </c>
      <c r="E5182" s="2" t="s">
        <v>34377</v>
      </c>
      <c r="F5182" s="2">
        <v>255084</v>
      </c>
      <c r="G5182" s="3" t="str">
        <f>HYPERLINK("http://funmeta.oebiotech.com/network/255084", "http://funmeta.oebiotech.com/network/255084")</f>
        <v>http://funmeta.oebiotech.com/network/255084</v>
      </c>
      <c r="H5182" s="2" t="s">
        <v>34378</v>
      </c>
      <c r="I5182" s="2"/>
      <c r="J5182" s="2"/>
      <c r="K5182" s="2"/>
      <c r="L5182" s="2"/>
      <c r="M5182" s="2"/>
      <c r="N5182" s="2"/>
      <c r="O5182" s="2">
        <v>1009344</v>
      </c>
      <c r="P5182" s="2"/>
      <c r="Q5182" s="2" t="s">
        <v>34379</v>
      </c>
      <c r="R5182" s="2" t="s">
        <v>34380</v>
      </c>
      <c r="S5182" s="2" t="s">
        <v>148</v>
      </c>
      <c r="T5182" s="2" t="s">
        <v>3772</v>
      </c>
      <c r="U5182" s="2" t="s">
        <v>41</v>
      </c>
      <c r="V5182" s="2" t="s">
        <v>59</v>
      </c>
      <c r="W5182" s="2">
        <v>36.5</v>
      </c>
      <c r="X5182" s="2">
        <v>0</v>
      </c>
      <c r="Y5182" s="2" t="s">
        <v>323</v>
      </c>
      <c r="Z5182" s="2" t="s">
        <v>34381</v>
      </c>
      <c r="AA5182" s="2">
        <v>-1.5072950874275399</v>
      </c>
      <c r="AB5182" s="2">
        <v>9.8744774151697801E-2</v>
      </c>
      <c r="AC5182" s="2">
        <v>3170.5024737333902</v>
      </c>
      <c r="AD5182" s="2">
        <v>2347.1957334779199</v>
      </c>
      <c r="AE5182" s="2">
        <v>2857.0934913312699</v>
      </c>
      <c r="AF5182" s="2">
        <v>3531.0746394535399</v>
      </c>
      <c r="AG5182" s="2">
        <v>2822.9681681951301</v>
      </c>
      <c r="AH5182" s="2">
        <v>3295.17316426041</v>
      </c>
      <c r="AI5182" s="2">
        <v>3223.2702544387298</v>
      </c>
      <c r="AJ5182" s="2">
        <v>3293.4351247212799</v>
      </c>
      <c r="AK5182" s="2">
        <v>1946.42119529203</v>
      </c>
      <c r="AL5182" s="2">
        <v>2859.8733121396399</v>
      </c>
      <c r="AM5182" s="2">
        <v>2545.98525361886</v>
      </c>
      <c r="AN5182" s="2">
        <v>1679.8595335743501</v>
      </c>
      <c r="AO5182" s="2">
        <v>2537.44826631045</v>
      </c>
      <c r="AP5182" s="2">
        <v>2513.5868399321998</v>
      </c>
    </row>
    <row r="5183" spans="1:42" ht="14.5" x14ac:dyDescent="0.35">
      <c r="A5183" s="2" t="s">
        <v>34382</v>
      </c>
      <c r="B5183" s="2">
        <v>325.14313299232498</v>
      </c>
      <c r="C5183" s="2">
        <v>5.5233833333333298</v>
      </c>
      <c r="D5183" s="2" t="s">
        <v>34</v>
      </c>
      <c r="E5183" s="2" t="s">
        <v>34383</v>
      </c>
      <c r="F5183" s="2">
        <v>196989</v>
      </c>
      <c r="G5183" s="3" t="str">
        <f>HYPERLINK("http://funmeta.oebiotech.com/network/196989", "http://funmeta.oebiotech.com/network/196989")</f>
        <v>http://funmeta.oebiotech.com/network/196989</v>
      </c>
      <c r="H5183" s="2" t="s">
        <v>34384</v>
      </c>
      <c r="I5183" s="2"/>
      <c r="J5183" s="2"/>
      <c r="K5183" s="2"/>
      <c r="L5183" s="2"/>
      <c r="M5183" s="2"/>
      <c r="N5183" s="2"/>
      <c r="O5183" s="2"/>
      <c r="P5183" s="2" t="s">
        <v>34385</v>
      </c>
      <c r="Q5183" s="2" t="s">
        <v>34386</v>
      </c>
      <c r="R5183" s="2" t="s">
        <v>34387</v>
      </c>
      <c r="S5183" s="2" t="s">
        <v>148</v>
      </c>
      <c r="T5183" s="2" t="s">
        <v>3772</v>
      </c>
      <c r="U5183" s="2" t="s">
        <v>18665</v>
      </c>
      <c r="V5183" s="2" t="s">
        <v>59</v>
      </c>
      <c r="W5183" s="2">
        <v>38.299999999999997</v>
      </c>
      <c r="X5183" s="2">
        <v>0</v>
      </c>
      <c r="Y5183" s="2" t="s">
        <v>340</v>
      </c>
      <c r="Z5183" s="2" t="s">
        <v>34388</v>
      </c>
      <c r="AA5183" s="2">
        <v>2.1439981622267399</v>
      </c>
      <c r="AB5183" s="2">
        <v>9.8692519721294697E-2</v>
      </c>
      <c r="AC5183" s="2">
        <v>4974.4632063298304</v>
      </c>
      <c r="AD5183" s="2">
        <v>6147.5476961703098</v>
      </c>
      <c r="AE5183" s="2">
        <v>4730.38476200492</v>
      </c>
      <c r="AF5183" s="2">
        <v>4709.8077557452698</v>
      </c>
      <c r="AG5183" s="2">
        <v>3506.4344303880098</v>
      </c>
      <c r="AH5183" s="2">
        <v>5489.9912831728598</v>
      </c>
      <c r="AI5183" s="2">
        <v>5496.1258869434496</v>
      </c>
      <c r="AJ5183" s="2">
        <v>5914.0351197244599</v>
      </c>
      <c r="AK5183" s="2">
        <v>5930.1371108088697</v>
      </c>
      <c r="AL5183" s="2">
        <v>5637.3022483745299</v>
      </c>
      <c r="AM5183" s="2">
        <v>5006.4520779883396</v>
      </c>
      <c r="AN5183" s="2">
        <v>7314.3798906428901</v>
      </c>
      <c r="AO5183" s="2">
        <v>5225.7367126432</v>
      </c>
      <c r="AP5183" s="2">
        <v>7771.2781365640203</v>
      </c>
    </row>
    <row r="5184" spans="1:42" ht="14.5" x14ac:dyDescent="0.35">
      <c r="A5184" s="2" t="s">
        <v>34389</v>
      </c>
      <c r="B5184" s="2">
        <v>521.05907875679304</v>
      </c>
      <c r="C5184" s="2">
        <v>2.03033333333333</v>
      </c>
      <c r="D5184" s="2" t="s">
        <v>70</v>
      </c>
      <c r="E5184" s="2" t="s">
        <v>34390</v>
      </c>
      <c r="F5184" s="2">
        <v>254789</v>
      </c>
      <c r="G5184" s="3" t="str">
        <f>HYPERLINK("http://funmeta.oebiotech.com/network/254789", "http://funmeta.oebiotech.com/network/254789")</f>
        <v>http://funmeta.oebiotech.com/network/254789</v>
      </c>
      <c r="H5184" s="2" t="s">
        <v>34391</v>
      </c>
      <c r="I5184" s="2"/>
      <c r="J5184" s="2"/>
      <c r="K5184" s="2"/>
      <c r="L5184" s="2"/>
      <c r="M5184" s="2"/>
      <c r="N5184" s="2"/>
      <c r="O5184" s="2">
        <v>101757027</v>
      </c>
      <c r="P5184" s="2" t="s">
        <v>34392</v>
      </c>
      <c r="Q5184" s="2" t="s">
        <v>34393</v>
      </c>
      <c r="R5184" s="2" t="s">
        <v>34394</v>
      </c>
      <c r="S5184" s="2" t="s">
        <v>115</v>
      </c>
      <c r="T5184" s="2" t="s">
        <v>9908</v>
      </c>
      <c r="U5184" s="2" t="s">
        <v>9909</v>
      </c>
      <c r="V5184" s="2" t="s">
        <v>59</v>
      </c>
      <c r="W5184" s="2">
        <v>37.9</v>
      </c>
      <c r="X5184" s="2">
        <v>0</v>
      </c>
      <c r="Y5184" s="2" t="s">
        <v>408</v>
      </c>
      <c r="Z5184" s="2" t="s">
        <v>34395</v>
      </c>
      <c r="AA5184" s="2">
        <v>3.7502054434839001</v>
      </c>
      <c r="AB5184" s="2">
        <v>9.8673879565381706E-2</v>
      </c>
      <c r="AC5184" s="2">
        <v>2845.9139102479699</v>
      </c>
      <c r="AD5184" s="2">
        <v>2134.7760521336299</v>
      </c>
      <c r="AE5184" s="2">
        <v>3007.2061504487101</v>
      </c>
      <c r="AF5184" s="2">
        <v>2924.3472804684102</v>
      </c>
      <c r="AG5184" s="2">
        <v>2819.8339809703798</v>
      </c>
      <c r="AH5184" s="2">
        <v>2669.72536323847</v>
      </c>
      <c r="AI5184" s="2">
        <v>2947.3444403998801</v>
      </c>
      <c r="AJ5184" s="2">
        <v>2707.0262459619798</v>
      </c>
      <c r="AK5184" s="2">
        <v>2113.53800618582</v>
      </c>
      <c r="AL5184" s="2">
        <v>2595.3145437169601</v>
      </c>
      <c r="AM5184" s="2">
        <v>2034.9122527464999</v>
      </c>
      <c r="AN5184" s="2">
        <v>2122.7075240680001</v>
      </c>
      <c r="AO5184" s="2">
        <v>1934.5562512579099</v>
      </c>
      <c r="AP5184" s="2">
        <v>2007.6277348265901</v>
      </c>
    </row>
    <row r="5185" spans="1:42" ht="14.5" x14ac:dyDescent="0.35">
      <c r="A5185" s="2" t="s">
        <v>34396</v>
      </c>
      <c r="B5185" s="2">
        <v>234.14883155756601</v>
      </c>
      <c r="C5185" s="2">
        <v>9.4284999999999997</v>
      </c>
      <c r="D5185" s="2" t="s">
        <v>34</v>
      </c>
      <c r="E5185" s="2" t="s">
        <v>34397</v>
      </c>
      <c r="F5185" s="2">
        <v>1586</v>
      </c>
      <c r="G5185" s="3" t="str">
        <f>HYPERLINK("http://funmeta.oebiotech.com/network/1586", "http://funmeta.oebiotech.com/network/1586")</f>
        <v>http://funmeta.oebiotech.com/network/1586</v>
      </c>
      <c r="H5185" s="2"/>
      <c r="I5185" s="2"/>
      <c r="J5185" s="2" t="s">
        <v>34398</v>
      </c>
      <c r="K5185" s="2"/>
      <c r="L5185" s="2"/>
      <c r="M5185" s="2"/>
      <c r="N5185" s="2"/>
      <c r="O5185" s="2">
        <v>10822604</v>
      </c>
      <c r="P5185" s="2"/>
      <c r="Q5185" s="2" t="s">
        <v>34399</v>
      </c>
      <c r="R5185" s="2" t="s">
        <v>34400</v>
      </c>
      <c r="S5185" s="2" t="s">
        <v>50</v>
      </c>
      <c r="T5185" s="2" t="s">
        <v>229</v>
      </c>
      <c r="U5185" s="2" t="s">
        <v>433</v>
      </c>
      <c r="V5185" s="2" t="s">
        <v>59</v>
      </c>
      <c r="W5185" s="2">
        <v>43</v>
      </c>
      <c r="X5185" s="2">
        <v>19.600000000000001</v>
      </c>
      <c r="Y5185" s="2" t="s">
        <v>43</v>
      </c>
      <c r="Z5185" s="2" t="s">
        <v>34401</v>
      </c>
      <c r="AA5185" s="2">
        <v>-0.109777993057841</v>
      </c>
      <c r="AB5185" s="2">
        <v>9.8647938643067506E-2</v>
      </c>
      <c r="AC5185" s="2">
        <v>2449.6199964407601</v>
      </c>
      <c r="AD5185" s="2">
        <v>3221.9417542025199</v>
      </c>
      <c r="AE5185" s="2">
        <v>2499.4874564274101</v>
      </c>
      <c r="AF5185" s="2">
        <v>2584.3177454617899</v>
      </c>
      <c r="AG5185" s="2">
        <v>2206.0847039710802</v>
      </c>
      <c r="AH5185" s="2">
        <v>2321.7272523348202</v>
      </c>
      <c r="AI5185" s="2">
        <v>2637.2551943881599</v>
      </c>
      <c r="AJ5185" s="2">
        <v>2448.8476260613002</v>
      </c>
      <c r="AK5185" s="2">
        <v>3659.53505359374</v>
      </c>
      <c r="AL5185" s="2">
        <v>3215.0794642668802</v>
      </c>
      <c r="AM5185" s="2">
        <v>3086.0955319127102</v>
      </c>
      <c r="AN5185" s="2">
        <v>2944.2919989934298</v>
      </c>
      <c r="AO5185" s="2">
        <v>2763.7173444837999</v>
      </c>
      <c r="AP5185" s="2">
        <v>3662.9311319645399</v>
      </c>
    </row>
    <row r="5186" spans="1:42" ht="14.5" x14ac:dyDescent="0.35">
      <c r="A5186" s="2" t="s">
        <v>34402</v>
      </c>
      <c r="B5186" s="2">
        <v>269.17457423974503</v>
      </c>
      <c r="C5186" s="2">
        <v>9.8437333333333292</v>
      </c>
      <c r="D5186" s="2" t="s">
        <v>34</v>
      </c>
      <c r="E5186" s="2" t="s">
        <v>34403</v>
      </c>
      <c r="F5186" s="2">
        <v>273741</v>
      </c>
      <c r="G5186" s="3" t="str">
        <f>HYPERLINK("http://funmeta.oebiotech.com/network/273741", "http://funmeta.oebiotech.com/network/273741")</f>
        <v>http://funmeta.oebiotech.com/network/273741</v>
      </c>
      <c r="H5186" s="2"/>
      <c r="I5186" s="2">
        <v>63037</v>
      </c>
      <c r="J5186" s="2"/>
      <c r="K5186" s="2"/>
      <c r="L5186" s="2"/>
      <c r="M5186" s="2"/>
      <c r="N5186" s="2"/>
      <c r="O5186" s="2">
        <v>12895810</v>
      </c>
      <c r="P5186" s="2"/>
      <c r="Q5186" s="2" t="s">
        <v>34404</v>
      </c>
      <c r="R5186" s="2" t="s">
        <v>34405</v>
      </c>
      <c r="S5186" s="2" t="s">
        <v>50</v>
      </c>
      <c r="T5186" s="2" t="s">
        <v>229</v>
      </c>
      <c r="U5186" s="2" t="s">
        <v>1283</v>
      </c>
      <c r="V5186" s="2" t="s">
        <v>59</v>
      </c>
      <c r="W5186" s="2">
        <v>39.1</v>
      </c>
      <c r="X5186" s="2">
        <v>0</v>
      </c>
      <c r="Y5186" s="2" t="s">
        <v>394</v>
      </c>
      <c r="Z5186" s="2" t="s">
        <v>34406</v>
      </c>
      <c r="AA5186" s="2">
        <v>-0.60201254519094105</v>
      </c>
      <c r="AB5186" s="2">
        <v>9.86101350098674E-2</v>
      </c>
      <c r="AC5186" s="2">
        <v>3640.8113757379901</v>
      </c>
      <c r="AD5186" s="2">
        <v>2946.2216851868902</v>
      </c>
      <c r="AE5186" s="2">
        <v>3722.24310462936</v>
      </c>
      <c r="AF5186" s="2">
        <v>3390.8531693397599</v>
      </c>
      <c r="AG5186" s="2">
        <v>3773.1535106419701</v>
      </c>
      <c r="AH5186" s="2">
        <v>3567.7787617691602</v>
      </c>
      <c r="AI5186" s="2">
        <v>3716.1069283595298</v>
      </c>
      <c r="AJ5186" s="2">
        <v>3674.73277968818</v>
      </c>
      <c r="AK5186" s="2">
        <v>3051.6082355273202</v>
      </c>
      <c r="AL5186" s="2">
        <v>2755.1935094343298</v>
      </c>
      <c r="AM5186" s="2">
        <v>2813.2136277906002</v>
      </c>
      <c r="AN5186" s="2">
        <v>2889.5051122845498</v>
      </c>
      <c r="AO5186" s="2">
        <v>3249.7776024572399</v>
      </c>
      <c r="AP5186" s="2">
        <v>2918.0320236273201</v>
      </c>
    </row>
    <row r="5187" spans="1:42" ht="14.5" x14ac:dyDescent="0.35">
      <c r="A5187" s="2" t="s">
        <v>34407</v>
      </c>
      <c r="B5187" s="2">
        <v>228.07531629799101</v>
      </c>
      <c r="C5187" s="2">
        <v>1.11073333333333</v>
      </c>
      <c r="D5187" s="2" t="s">
        <v>34</v>
      </c>
      <c r="E5187" s="2" t="s">
        <v>34408</v>
      </c>
      <c r="F5187" s="2">
        <v>467000</v>
      </c>
      <c r="G5187" s="3" t="str">
        <f>HYPERLINK("http://funmeta.oebiotech.com/network/467000", "http://funmeta.oebiotech.com/network/467000")</f>
        <v>http://funmeta.oebiotech.com/network/467000</v>
      </c>
      <c r="H5187" s="2"/>
      <c r="I5187" s="2">
        <v>85017</v>
      </c>
      <c r="J5187" s="2"/>
      <c r="K5187" s="2"/>
      <c r="L5187" s="2"/>
      <c r="M5187" s="2"/>
      <c r="N5187" s="2"/>
      <c r="O5187" s="2">
        <v>231356</v>
      </c>
      <c r="P5187" s="2"/>
      <c r="Q5187" s="2" t="s">
        <v>34409</v>
      </c>
      <c r="R5187" s="2" t="s">
        <v>34410</v>
      </c>
      <c r="S5187" s="2" t="s">
        <v>89</v>
      </c>
      <c r="T5187" s="2" t="s">
        <v>90</v>
      </c>
      <c r="U5187" s="2" t="s">
        <v>99</v>
      </c>
      <c r="V5187" s="2" t="s">
        <v>59</v>
      </c>
      <c r="W5187" s="2">
        <v>37.200000000000003</v>
      </c>
      <c r="X5187" s="2">
        <v>0</v>
      </c>
      <c r="Y5187" s="2" t="s">
        <v>340</v>
      </c>
      <c r="Z5187" s="2" t="s">
        <v>34411</v>
      </c>
      <c r="AA5187" s="2">
        <v>4.3194863702823199</v>
      </c>
      <c r="AB5187" s="2">
        <v>9.8452162926636902E-2</v>
      </c>
      <c r="AC5187" s="2">
        <v>1060.0035050966601</v>
      </c>
      <c r="AD5187" s="2">
        <v>1977.9075438145201</v>
      </c>
      <c r="AE5187" s="2">
        <v>1359.6004777662499</v>
      </c>
      <c r="AF5187" s="2">
        <v>761.15034770883904</v>
      </c>
      <c r="AG5187" s="2">
        <v>994.12600538460902</v>
      </c>
      <c r="AH5187" s="2">
        <v>1321.75723586155</v>
      </c>
      <c r="AI5187" s="2">
        <v>1151.0154957043901</v>
      </c>
      <c r="AJ5187" s="2">
        <v>772.37146815434005</v>
      </c>
      <c r="AK5187" s="2">
        <v>3004.8570661622002</v>
      </c>
      <c r="AL5187" s="2">
        <v>1055.8821279675101</v>
      </c>
      <c r="AM5187" s="2">
        <v>1529.24788516853</v>
      </c>
      <c r="AN5187" s="2">
        <v>1673.8723357087599</v>
      </c>
      <c r="AO5187" s="2">
        <v>2365.0911968591699</v>
      </c>
      <c r="AP5187" s="2">
        <v>2238.4946510209502</v>
      </c>
    </row>
    <row r="5188" spans="1:42" ht="14.5" x14ac:dyDescent="0.35">
      <c r="A5188" s="2" t="s">
        <v>34412</v>
      </c>
      <c r="B5188" s="2">
        <v>999.47726751422999</v>
      </c>
      <c r="C5188" s="2">
        <v>10.4865333333333</v>
      </c>
      <c r="D5188" s="2" t="s">
        <v>70</v>
      </c>
      <c r="E5188" s="2" t="s">
        <v>34413</v>
      </c>
      <c r="F5188" s="2">
        <v>204916</v>
      </c>
      <c r="G5188" s="3" t="str">
        <f>HYPERLINK("http://funmeta.oebiotech.com/network/204916", "http://funmeta.oebiotech.com/network/204916")</f>
        <v>http://funmeta.oebiotech.com/network/204916</v>
      </c>
      <c r="H5188" s="2" t="s">
        <v>34414</v>
      </c>
      <c r="I5188" s="2"/>
      <c r="J5188" s="2"/>
      <c r="K5188" s="2"/>
      <c r="L5188" s="2"/>
      <c r="M5188" s="2"/>
      <c r="N5188" s="2"/>
      <c r="O5188" s="2">
        <v>73092853</v>
      </c>
      <c r="P5188" s="2"/>
      <c r="Q5188" s="2" t="s">
        <v>34415</v>
      </c>
      <c r="R5188" s="2" t="s">
        <v>34416</v>
      </c>
      <c r="S5188" s="2" t="s">
        <v>50</v>
      </c>
      <c r="T5188" s="2" t="s">
        <v>201</v>
      </c>
      <c r="U5188" s="2" t="s">
        <v>202</v>
      </c>
      <c r="V5188" s="2" t="s">
        <v>59</v>
      </c>
      <c r="W5188" s="2">
        <v>37</v>
      </c>
      <c r="X5188" s="2">
        <v>0</v>
      </c>
      <c r="Y5188" s="2" t="s">
        <v>408</v>
      </c>
      <c r="Z5188" s="2" t="s">
        <v>34417</v>
      </c>
      <c r="AA5188" s="2">
        <v>-3.5259953279753198</v>
      </c>
      <c r="AB5188" s="2">
        <v>9.8373836822681304E-2</v>
      </c>
      <c r="AC5188" s="2">
        <v>48110.824299229003</v>
      </c>
      <c r="AD5188" s="2">
        <v>50368.357041787604</v>
      </c>
      <c r="AE5188" s="2">
        <v>52558.857527162603</v>
      </c>
      <c r="AF5188" s="2">
        <v>48690.144705804298</v>
      </c>
      <c r="AG5188" s="2">
        <v>45973.247797957702</v>
      </c>
      <c r="AH5188" s="2">
        <v>43963.602306922301</v>
      </c>
      <c r="AI5188" s="2">
        <v>44026.059994302799</v>
      </c>
      <c r="AJ5188" s="2">
        <v>53453.033463224398</v>
      </c>
      <c r="AK5188" s="2">
        <v>45576.321650523503</v>
      </c>
      <c r="AL5188" s="2">
        <v>47604.563072587698</v>
      </c>
      <c r="AM5188" s="2">
        <v>52038.327904316102</v>
      </c>
      <c r="AN5188" s="2">
        <v>53244.233928709204</v>
      </c>
      <c r="AO5188" s="2">
        <v>47410.785114779297</v>
      </c>
      <c r="AP5188" s="2">
        <v>56335.910579809701</v>
      </c>
    </row>
    <row r="5189" spans="1:42" ht="14.5" x14ac:dyDescent="0.35">
      <c r="A5189" s="2" t="s">
        <v>34418</v>
      </c>
      <c r="B5189" s="2">
        <v>655.18660861741205</v>
      </c>
      <c r="C5189" s="2">
        <v>3.0535666666666699</v>
      </c>
      <c r="D5189" s="2" t="s">
        <v>70</v>
      </c>
      <c r="E5189" s="2" t="s">
        <v>34419</v>
      </c>
      <c r="F5189" s="2">
        <v>255688</v>
      </c>
      <c r="G5189" s="3" t="str">
        <f>HYPERLINK("http://funmeta.oebiotech.com/network/255688", "http://funmeta.oebiotech.com/network/255688")</f>
        <v>http://funmeta.oebiotech.com/network/255688</v>
      </c>
      <c r="H5189" s="2" t="s">
        <v>34420</v>
      </c>
      <c r="I5189" s="2"/>
      <c r="J5189" s="2"/>
      <c r="K5189" s="2"/>
      <c r="L5189" s="2"/>
      <c r="M5189" s="2"/>
      <c r="N5189" s="2"/>
      <c r="O5189" s="2"/>
      <c r="P5189" s="2"/>
      <c r="Q5189" s="2" t="s">
        <v>34421</v>
      </c>
      <c r="R5189" s="2" t="s">
        <v>34422</v>
      </c>
      <c r="S5189" s="2" t="s">
        <v>115</v>
      </c>
      <c r="T5189" s="2" t="s">
        <v>116</v>
      </c>
      <c r="U5189" s="2" t="s">
        <v>117</v>
      </c>
      <c r="V5189" s="2" t="s">
        <v>42</v>
      </c>
      <c r="W5189" s="2">
        <v>48</v>
      </c>
      <c r="X5189" s="2">
        <v>49.5</v>
      </c>
      <c r="Y5189" s="2" t="s">
        <v>408</v>
      </c>
      <c r="Z5189" s="2" t="s">
        <v>34423</v>
      </c>
      <c r="AA5189" s="2">
        <v>-2.23641305463949</v>
      </c>
      <c r="AB5189" s="2">
        <v>9.8334171748581001E-2</v>
      </c>
      <c r="AC5189" s="2">
        <v>79998.422372008601</v>
      </c>
      <c r="AD5189" s="2">
        <v>77304.700623211407</v>
      </c>
      <c r="AE5189" s="2">
        <v>82096.401654091198</v>
      </c>
      <c r="AF5189" s="2">
        <v>74448.118894404601</v>
      </c>
      <c r="AG5189" s="2">
        <v>85015.096541511404</v>
      </c>
      <c r="AH5189" s="2">
        <v>72932.831750259502</v>
      </c>
      <c r="AI5189" s="2">
        <v>79889.889422817898</v>
      </c>
      <c r="AJ5189" s="2">
        <v>85608.195968966902</v>
      </c>
      <c r="AK5189" s="2">
        <v>71421.843150211906</v>
      </c>
      <c r="AL5189" s="2">
        <v>73469.585534390601</v>
      </c>
      <c r="AM5189" s="2">
        <v>80928.135320342495</v>
      </c>
      <c r="AN5189" s="2">
        <v>87676.640616099306</v>
      </c>
      <c r="AO5189" s="2">
        <v>71199.722717986006</v>
      </c>
      <c r="AP5189" s="2">
        <v>79132.276400237999</v>
      </c>
    </row>
    <row r="5190" spans="1:42" ht="14.5" x14ac:dyDescent="0.35">
      <c r="A5190" s="2" t="s">
        <v>34424</v>
      </c>
      <c r="B5190" s="2">
        <v>727.25838967873904</v>
      </c>
      <c r="C5190" s="2">
        <v>7.6008500000000003</v>
      </c>
      <c r="D5190" s="2" t="s">
        <v>70</v>
      </c>
      <c r="E5190" s="2" t="s">
        <v>34425</v>
      </c>
      <c r="F5190" s="2">
        <v>29478</v>
      </c>
      <c r="G5190" s="3" t="str">
        <f>HYPERLINK("http://funmeta.oebiotech.com/network/29478", "http://funmeta.oebiotech.com/network/29478")</f>
        <v>http://funmeta.oebiotech.com/network/29478</v>
      </c>
      <c r="H5190" s="2"/>
      <c r="I5190" s="2">
        <v>47847</v>
      </c>
      <c r="J5190" s="2" t="s">
        <v>34426</v>
      </c>
      <c r="K5190" s="2"/>
      <c r="L5190" s="2"/>
      <c r="M5190" s="2"/>
      <c r="N5190" s="2"/>
      <c r="O5190" s="2">
        <v>10384155</v>
      </c>
      <c r="P5190" s="2"/>
      <c r="Q5190" s="2" t="s">
        <v>34427</v>
      </c>
      <c r="R5190" s="2" t="s">
        <v>34428</v>
      </c>
      <c r="S5190" s="2" t="s">
        <v>115</v>
      </c>
      <c r="T5190" s="2" t="s">
        <v>1371</v>
      </c>
      <c r="U5190" s="2" t="s">
        <v>3261</v>
      </c>
      <c r="V5190" s="2" t="s">
        <v>59</v>
      </c>
      <c r="W5190" s="2">
        <v>37.4</v>
      </c>
      <c r="X5190" s="2">
        <v>0</v>
      </c>
      <c r="Y5190" s="2" t="s">
        <v>560</v>
      </c>
      <c r="Z5190" s="2" t="s">
        <v>34429</v>
      </c>
      <c r="AA5190" s="2">
        <v>4.8315463757578199</v>
      </c>
      <c r="AB5190" s="2">
        <v>9.8210541165012294E-2</v>
      </c>
      <c r="AC5190" s="2">
        <v>2574.5886543933502</v>
      </c>
      <c r="AD5190" s="2">
        <v>1670.6590228508301</v>
      </c>
      <c r="AE5190" s="2">
        <v>3645.86471221583</v>
      </c>
      <c r="AF5190" s="2">
        <v>2856.8483891847</v>
      </c>
      <c r="AG5190" s="2">
        <v>2678.17268967789</v>
      </c>
      <c r="AH5190" s="2">
        <v>2039.3211783366401</v>
      </c>
      <c r="AI5190" s="2">
        <v>2156.7387179633902</v>
      </c>
      <c r="AJ5190" s="2">
        <v>2070.5862389816698</v>
      </c>
      <c r="AK5190" s="2">
        <v>1981.0718629359001</v>
      </c>
      <c r="AL5190" s="2">
        <v>2042.7317141946701</v>
      </c>
      <c r="AM5190" s="2">
        <v>1603.60873879105</v>
      </c>
      <c r="AN5190" s="2">
        <v>1144.9909020447401</v>
      </c>
      <c r="AO5190" s="2">
        <v>1278.3869300271499</v>
      </c>
      <c r="AP5190" s="2">
        <v>1973.1639891114801</v>
      </c>
    </row>
    <row r="5191" spans="1:42" ht="14.5" x14ac:dyDescent="0.35">
      <c r="A5191" s="2" t="s">
        <v>34430</v>
      </c>
      <c r="B5191" s="2">
        <v>269.22608528508403</v>
      </c>
      <c r="C5191" s="2">
        <v>11.5300333333333</v>
      </c>
      <c r="D5191" s="2" t="s">
        <v>34</v>
      </c>
      <c r="E5191" s="2" t="s">
        <v>34431</v>
      </c>
      <c r="F5191" s="2">
        <v>35936</v>
      </c>
      <c r="G5191" s="3" t="str">
        <f>HYPERLINK("http://funmeta.oebiotech.com/network/35936", "http://funmeta.oebiotech.com/network/35936")</f>
        <v>http://funmeta.oebiotech.com/network/35936</v>
      </c>
      <c r="H5191" s="2"/>
      <c r="I5191" s="2">
        <v>43695</v>
      </c>
      <c r="J5191" s="2" t="s">
        <v>34432</v>
      </c>
      <c r="K5191" s="2">
        <v>69241</v>
      </c>
      <c r="L5191" s="2"/>
      <c r="M5191" s="2"/>
      <c r="N5191" s="2"/>
      <c r="O5191" s="2">
        <v>92783</v>
      </c>
      <c r="P5191" s="2" t="s">
        <v>34433</v>
      </c>
      <c r="Q5191" s="2" t="s">
        <v>34434</v>
      </c>
      <c r="R5191" s="2" t="s">
        <v>34435</v>
      </c>
      <c r="S5191" s="2" t="s">
        <v>50</v>
      </c>
      <c r="T5191" s="2" t="s">
        <v>201</v>
      </c>
      <c r="U5191" s="2" t="s">
        <v>241</v>
      </c>
      <c r="V5191" s="2" t="s">
        <v>59</v>
      </c>
      <c r="W5191" s="2">
        <v>38.299999999999997</v>
      </c>
      <c r="X5191" s="2">
        <v>0</v>
      </c>
      <c r="Y5191" s="2" t="s">
        <v>141</v>
      </c>
      <c r="Z5191" s="2" t="s">
        <v>20476</v>
      </c>
      <c r="AA5191" s="2">
        <v>-1.02032252697036</v>
      </c>
      <c r="AB5191" s="2">
        <v>9.8152889981283006E-2</v>
      </c>
      <c r="AC5191" s="2">
        <v>636.91344913587295</v>
      </c>
      <c r="AD5191" s="2">
        <v>2.7106294003980101E-5</v>
      </c>
      <c r="AE5191" s="2">
        <v>609.250370633015</v>
      </c>
      <c r="AF5191" s="2">
        <v>634.45125693210503</v>
      </c>
      <c r="AG5191" s="2">
        <v>680.65458285579496</v>
      </c>
      <c r="AH5191" s="2">
        <v>535.17173359242497</v>
      </c>
      <c r="AI5191" s="2">
        <v>680.55302510091997</v>
      </c>
      <c r="AJ5191" s="2">
        <v>681.399725700977</v>
      </c>
      <c r="AK5191" s="2">
        <v>2.7106294003980101E-5</v>
      </c>
      <c r="AL5191" s="2">
        <v>2.7106294003980101E-5</v>
      </c>
      <c r="AM5191" s="2">
        <v>2.7106294003980101E-5</v>
      </c>
      <c r="AN5191" s="2">
        <v>2.7106294003980101E-5</v>
      </c>
      <c r="AO5191" s="2">
        <v>2.7106294003980101E-5</v>
      </c>
      <c r="AP5191" s="2">
        <v>2.7106294003980101E-5</v>
      </c>
    </row>
    <row r="5192" spans="1:42" ht="14.5" x14ac:dyDescent="0.35">
      <c r="A5192" s="2" t="s">
        <v>34436</v>
      </c>
      <c r="B5192" s="2">
        <v>255.15991681953</v>
      </c>
      <c r="C5192" s="2">
        <v>10.1634333333333</v>
      </c>
      <c r="D5192" s="2" t="s">
        <v>70</v>
      </c>
      <c r="E5192" s="2" t="s">
        <v>34437</v>
      </c>
      <c r="F5192" s="2">
        <v>56547</v>
      </c>
      <c r="G5192" s="3" t="str">
        <f>HYPERLINK("http://funmeta.oebiotech.com/network/56547", "http://funmeta.oebiotech.com/network/56547")</f>
        <v>http://funmeta.oebiotech.com/network/56547</v>
      </c>
      <c r="H5192" s="2" t="s">
        <v>34438</v>
      </c>
      <c r="I5192" s="2">
        <v>88182</v>
      </c>
      <c r="J5192" s="2"/>
      <c r="K5192" s="2"/>
      <c r="L5192" s="2"/>
      <c r="M5192" s="2"/>
      <c r="N5192" s="2"/>
      <c r="O5192" s="2">
        <v>529383</v>
      </c>
      <c r="P5192" s="2" t="s">
        <v>34439</v>
      </c>
      <c r="Q5192" s="2" t="s">
        <v>34440</v>
      </c>
      <c r="R5192" s="2" t="s">
        <v>34441</v>
      </c>
      <c r="S5192" s="2" t="s">
        <v>491</v>
      </c>
      <c r="T5192" s="2" t="s">
        <v>2321</v>
      </c>
      <c r="U5192" s="2" t="s">
        <v>2322</v>
      </c>
      <c r="V5192" s="2" t="s">
        <v>42</v>
      </c>
      <c r="W5192" s="2">
        <v>50.4</v>
      </c>
      <c r="X5192" s="2">
        <v>55</v>
      </c>
      <c r="Y5192" s="2" t="s">
        <v>408</v>
      </c>
      <c r="Z5192" s="2" t="s">
        <v>29533</v>
      </c>
      <c r="AA5192" s="2">
        <v>-1.26566722740363</v>
      </c>
      <c r="AB5192" s="2">
        <v>9.8096752987580499E-2</v>
      </c>
      <c r="AC5192" s="2">
        <v>15291.718221892101</v>
      </c>
      <c r="AD5192" s="2">
        <v>13010.4637157857</v>
      </c>
      <c r="AE5192" s="2">
        <v>12298.083830002601</v>
      </c>
      <c r="AF5192" s="2">
        <v>11545.0644739091</v>
      </c>
      <c r="AG5192" s="2">
        <v>11450.1300221071</v>
      </c>
      <c r="AH5192" s="2">
        <v>20529.763293034499</v>
      </c>
      <c r="AI5192" s="2">
        <v>24337.807999644501</v>
      </c>
      <c r="AJ5192" s="2">
        <v>11589.4597126549</v>
      </c>
      <c r="AK5192" s="2">
        <v>13922.557501654201</v>
      </c>
      <c r="AL5192" s="2">
        <v>14047.7331917747</v>
      </c>
      <c r="AM5192" s="2">
        <v>12107.050532738</v>
      </c>
      <c r="AN5192" s="2">
        <v>13200.2504623196</v>
      </c>
      <c r="AO5192" s="2">
        <v>12546.543133474101</v>
      </c>
      <c r="AP5192" s="2">
        <v>12238.647472753601</v>
      </c>
    </row>
    <row r="5193" spans="1:42" ht="14.5" x14ac:dyDescent="0.35">
      <c r="A5193" s="2" t="s">
        <v>34442</v>
      </c>
      <c r="B5193" s="2">
        <v>239.10239274602699</v>
      </c>
      <c r="C5193" s="2">
        <v>1.7029666666666701</v>
      </c>
      <c r="D5193" s="2" t="s">
        <v>34</v>
      </c>
      <c r="E5193" s="2" t="s">
        <v>34443</v>
      </c>
      <c r="F5193" s="2">
        <v>53880</v>
      </c>
      <c r="G5193" s="3" t="str">
        <f>HYPERLINK("http://funmeta.oebiotech.com/network/53880", "http://funmeta.oebiotech.com/network/53880")</f>
        <v>http://funmeta.oebiotech.com/network/53880</v>
      </c>
      <c r="H5193" s="2" t="s">
        <v>34444</v>
      </c>
      <c r="I5193" s="2">
        <v>85762</v>
      </c>
      <c r="J5193" s="2"/>
      <c r="K5193" s="2">
        <v>73517</v>
      </c>
      <c r="L5193" s="2"/>
      <c r="M5193" s="2"/>
      <c r="N5193" s="2"/>
      <c r="O5193" s="2">
        <v>92829</v>
      </c>
      <c r="P5193" s="2" t="s">
        <v>34445</v>
      </c>
      <c r="Q5193" s="2" t="s">
        <v>34446</v>
      </c>
      <c r="R5193" s="2" t="s">
        <v>34447</v>
      </c>
      <c r="S5193" s="2" t="s">
        <v>89</v>
      </c>
      <c r="T5193" s="2" t="s">
        <v>90</v>
      </c>
      <c r="U5193" s="2" t="s">
        <v>99</v>
      </c>
      <c r="V5193" s="2" t="s">
        <v>59</v>
      </c>
      <c r="W5193" s="2">
        <v>42.5</v>
      </c>
      <c r="X5193" s="2">
        <v>26.2</v>
      </c>
      <c r="Y5193" s="2" t="s">
        <v>394</v>
      </c>
      <c r="Z5193" s="2" t="s">
        <v>27527</v>
      </c>
      <c r="AA5193" s="2">
        <v>-1.0106152264097299</v>
      </c>
      <c r="AB5193" s="2">
        <v>9.8018224109361396E-2</v>
      </c>
      <c r="AC5193" s="2">
        <v>2175.5389011862399</v>
      </c>
      <c r="AD5193" s="2">
        <v>1392.4848828429399</v>
      </c>
      <c r="AE5193" s="2">
        <v>2366.91481999998</v>
      </c>
      <c r="AF5193" s="2">
        <v>2406.8328483688301</v>
      </c>
      <c r="AG5193" s="2">
        <v>1655.91801486443</v>
      </c>
      <c r="AH5193" s="2">
        <v>2225.08428539346</v>
      </c>
      <c r="AI5193" s="2">
        <v>2582.7105591376899</v>
      </c>
      <c r="AJ5193" s="2">
        <v>1815.77287935303</v>
      </c>
      <c r="AK5193" s="2">
        <v>1252.71889753598</v>
      </c>
      <c r="AL5193" s="2">
        <v>1141.7618082157701</v>
      </c>
      <c r="AM5193" s="2">
        <v>1695.7679261650801</v>
      </c>
      <c r="AN5193" s="2">
        <v>1318.12802245228</v>
      </c>
      <c r="AO5193" s="2">
        <v>1252.26756573226</v>
      </c>
      <c r="AP5193" s="2">
        <v>1694.2650769562699</v>
      </c>
    </row>
    <row r="5194" spans="1:42" ht="14.5" x14ac:dyDescent="0.35">
      <c r="A5194" s="2" t="s">
        <v>34448</v>
      </c>
      <c r="B5194" s="2">
        <v>254.039648932055</v>
      </c>
      <c r="C5194" s="2">
        <v>3.8783166666666702</v>
      </c>
      <c r="D5194" s="2" t="s">
        <v>34</v>
      </c>
      <c r="E5194" s="2" t="s">
        <v>34449</v>
      </c>
      <c r="F5194" s="2">
        <v>266464</v>
      </c>
      <c r="G5194" s="3" t="str">
        <f>HYPERLINK("http://funmeta.oebiotech.com/network/266464", "http://funmeta.oebiotech.com/network/266464")</f>
        <v>http://funmeta.oebiotech.com/network/266464</v>
      </c>
      <c r="H5194" s="2"/>
      <c r="I5194" s="2">
        <v>43249</v>
      </c>
      <c r="J5194" s="2"/>
      <c r="K5194" s="2"/>
      <c r="L5194" s="2" t="s">
        <v>34450</v>
      </c>
      <c r="M5194" s="2"/>
      <c r="N5194" s="2"/>
      <c r="O5194" s="2">
        <v>4100</v>
      </c>
      <c r="P5194" s="2"/>
      <c r="Q5194" s="2" t="s">
        <v>34451</v>
      </c>
      <c r="R5194" s="2" t="s">
        <v>34452</v>
      </c>
      <c r="S5194" s="2" t="s">
        <v>491</v>
      </c>
      <c r="T5194" s="2" t="s">
        <v>3519</v>
      </c>
      <c r="U5194" s="2" t="s">
        <v>34453</v>
      </c>
      <c r="V5194" s="2" t="s">
        <v>59</v>
      </c>
      <c r="W5194" s="2">
        <v>36.1</v>
      </c>
      <c r="X5194" s="2">
        <v>0</v>
      </c>
      <c r="Y5194" s="2" t="s">
        <v>43</v>
      </c>
      <c r="Z5194" s="2" t="s">
        <v>34454</v>
      </c>
      <c r="AA5194" s="2">
        <v>8.6493004332143197</v>
      </c>
      <c r="AB5194" s="2">
        <v>9.8010143884307899E-2</v>
      </c>
      <c r="AC5194" s="2">
        <v>1208.4564688820999</v>
      </c>
      <c r="AD5194" s="2">
        <v>2230.9585010004398</v>
      </c>
      <c r="AE5194" s="2">
        <v>718.51447602678297</v>
      </c>
      <c r="AF5194" s="2">
        <v>2040.6597337035701</v>
      </c>
      <c r="AG5194" s="2">
        <v>1517.0071109564899</v>
      </c>
      <c r="AH5194" s="2">
        <v>407.50255246954401</v>
      </c>
      <c r="AI5194" s="2">
        <v>2057.4314831308302</v>
      </c>
      <c r="AJ5194" s="2">
        <v>509.62345700539697</v>
      </c>
      <c r="AK5194" s="2">
        <v>1742.06074746429</v>
      </c>
      <c r="AL5194" s="2">
        <v>1956.37236902119</v>
      </c>
      <c r="AM5194" s="2">
        <v>1667.1364257749201</v>
      </c>
      <c r="AN5194" s="2">
        <v>2099.8546681686598</v>
      </c>
      <c r="AO5194" s="2">
        <v>2401.5142512211701</v>
      </c>
      <c r="AP5194" s="2">
        <v>3518.81254435239</v>
      </c>
    </row>
    <row r="5195" spans="1:42" ht="14.5" x14ac:dyDescent="0.35">
      <c r="A5195" s="2" t="s">
        <v>34455</v>
      </c>
      <c r="B5195" s="2">
        <v>910.57134721657701</v>
      </c>
      <c r="C5195" s="2">
        <v>12.035299999999999</v>
      </c>
      <c r="D5195" s="2" t="s">
        <v>34</v>
      </c>
      <c r="E5195" s="2" t="s">
        <v>34456</v>
      </c>
      <c r="F5195" s="2">
        <v>36475</v>
      </c>
      <c r="G5195" s="3" t="str">
        <f>HYPERLINK("http://funmeta.oebiotech.com/network/36475", "http://funmeta.oebiotech.com/network/36475")</f>
        <v>http://funmeta.oebiotech.com/network/36475</v>
      </c>
      <c r="H5195" s="2"/>
      <c r="I5195" s="2">
        <v>64114</v>
      </c>
      <c r="J5195" s="2" t="s">
        <v>34457</v>
      </c>
      <c r="K5195" s="2"/>
      <c r="L5195" s="2" t="s">
        <v>34458</v>
      </c>
      <c r="M5195" s="2" t="s">
        <v>1167</v>
      </c>
      <c r="N5195" s="2" t="s">
        <v>1168</v>
      </c>
      <c r="O5195" s="2">
        <v>16186343</v>
      </c>
      <c r="P5195" s="2"/>
      <c r="Q5195" s="2" t="s">
        <v>34459</v>
      </c>
      <c r="R5195" s="2" t="s">
        <v>34460</v>
      </c>
      <c r="S5195" s="2" t="s">
        <v>50</v>
      </c>
      <c r="T5195" s="2" t="s">
        <v>201</v>
      </c>
      <c r="U5195" s="2" t="s">
        <v>1634</v>
      </c>
      <c r="V5195" s="2" t="s">
        <v>59</v>
      </c>
      <c r="W5195" s="2">
        <v>37.4</v>
      </c>
      <c r="X5195" s="2">
        <v>0</v>
      </c>
      <c r="Y5195" s="2" t="s">
        <v>470</v>
      </c>
      <c r="Z5195" s="2" t="s">
        <v>34461</v>
      </c>
      <c r="AA5195" s="2">
        <v>4.3066324921971297</v>
      </c>
      <c r="AB5195" s="2">
        <v>9.7947942633826807E-2</v>
      </c>
      <c r="AC5195" s="2">
        <v>77668.350645010607</v>
      </c>
      <c r="AD5195" s="2">
        <v>81786.916673785599</v>
      </c>
      <c r="AE5195" s="2">
        <v>82579.052763216605</v>
      </c>
      <c r="AF5195" s="2">
        <v>80871.085998288894</v>
      </c>
      <c r="AG5195" s="2">
        <v>72159.248546737697</v>
      </c>
      <c r="AH5195" s="2">
        <v>67645.0740728456</v>
      </c>
      <c r="AI5195" s="2">
        <v>76748.425213406197</v>
      </c>
      <c r="AJ5195" s="2">
        <v>86007.217275568604</v>
      </c>
      <c r="AK5195" s="2">
        <v>51670.306993186903</v>
      </c>
      <c r="AL5195" s="2">
        <v>101089.68923614699</v>
      </c>
      <c r="AM5195" s="2">
        <v>90145.351168083798</v>
      </c>
      <c r="AN5195" s="2">
        <v>102034.526606582</v>
      </c>
      <c r="AO5195" s="2">
        <v>77657.428076771597</v>
      </c>
      <c r="AP5195" s="2">
        <v>68124.197961942293</v>
      </c>
    </row>
    <row r="5196" spans="1:42" ht="14.5" x14ac:dyDescent="0.35">
      <c r="A5196" s="2" t="s">
        <v>34462</v>
      </c>
      <c r="B5196" s="2">
        <v>260.022833406166</v>
      </c>
      <c r="C5196" s="2">
        <v>0.78520000000000001</v>
      </c>
      <c r="D5196" s="2" t="s">
        <v>70</v>
      </c>
      <c r="E5196" s="2" t="s">
        <v>34463</v>
      </c>
      <c r="F5196" s="2">
        <v>83650</v>
      </c>
      <c r="G5196" s="3" t="str">
        <f>HYPERLINK("http://funmeta.oebiotech.com/network/83650", "http://funmeta.oebiotech.com/network/83650")</f>
        <v>http://funmeta.oebiotech.com/network/83650</v>
      </c>
      <c r="H5196" s="2" t="s">
        <v>34464</v>
      </c>
      <c r="I5196" s="2"/>
      <c r="J5196" s="2"/>
      <c r="K5196" s="2">
        <v>82944</v>
      </c>
      <c r="L5196" s="2"/>
      <c r="M5196" s="2"/>
      <c r="N5196" s="2"/>
      <c r="O5196" s="2"/>
      <c r="P5196" s="2" t="s">
        <v>34465</v>
      </c>
      <c r="Q5196" s="2" t="s">
        <v>34466</v>
      </c>
      <c r="R5196" s="2" t="s">
        <v>34467</v>
      </c>
      <c r="S5196" s="2" t="s">
        <v>89</v>
      </c>
      <c r="T5196" s="2" t="s">
        <v>1773</v>
      </c>
      <c r="U5196" s="2" t="s">
        <v>21134</v>
      </c>
      <c r="V5196" s="2" t="s">
        <v>59</v>
      </c>
      <c r="W5196" s="2">
        <v>36.799999999999997</v>
      </c>
      <c r="X5196" s="2">
        <v>0</v>
      </c>
      <c r="Y5196" s="2" t="s">
        <v>118</v>
      </c>
      <c r="Z5196" s="2" t="s">
        <v>34468</v>
      </c>
      <c r="AA5196" s="2">
        <v>-2.2918252354972202</v>
      </c>
      <c r="AB5196" s="2">
        <v>9.7900510754266604E-2</v>
      </c>
      <c r="AC5196" s="2">
        <v>5609.7852726671499</v>
      </c>
      <c r="AD5196" s="2">
        <v>4452.1695554268699</v>
      </c>
      <c r="AE5196" s="2">
        <v>6853.1467135876901</v>
      </c>
      <c r="AF5196" s="2">
        <v>4491.3539908373496</v>
      </c>
      <c r="AG5196" s="2">
        <v>5087.0305734665599</v>
      </c>
      <c r="AH5196" s="2">
        <v>5777.6972607851303</v>
      </c>
      <c r="AI5196" s="2">
        <v>6886.9872056456597</v>
      </c>
      <c r="AJ5196" s="2">
        <v>4562.4958916804899</v>
      </c>
      <c r="AK5196" s="2">
        <v>4472.6600395695305</v>
      </c>
      <c r="AL5196" s="2">
        <v>5519.2111506514602</v>
      </c>
      <c r="AM5196" s="2">
        <v>3426.6847831400901</v>
      </c>
      <c r="AN5196" s="2">
        <v>5335.7701560174401</v>
      </c>
      <c r="AO5196" s="2">
        <v>3923.4264714124301</v>
      </c>
      <c r="AP5196" s="2">
        <v>4035.2647317702699</v>
      </c>
    </row>
    <row r="5197" spans="1:42" ht="14.5" x14ac:dyDescent="0.35">
      <c r="A5197" s="2" t="s">
        <v>34469</v>
      </c>
      <c r="B5197" s="2">
        <v>142.122530420788</v>
      </c>
      <c r="C5197" s="2">
        <v>11.670033333333301</v>
      </c>
      <c r="D5197" s="2" t="s">
        <v>34</v>
      </c>
      <c r="E5197" s="2" t="s">
        <v>34470</v>
      </c>
      <c r="F5197" s="2">
        <v>52628</v>
      </c>
      <c r="G5197" s="3" t="str">
        <f>HYPERLINK("http://funmeta.oebiotech.com/network/52628", "http://funmeta.oebiotech.com/network/52628")</f>
        <v>http://funmeta.oebiotech.com/network/52628</v>
      </c>
      <c r="H5197" s="2" t="s">
        <v>34471</v>
      </c>
      <c r="I5197" s="2">
        <v>85349</v>
      </c>
      <c r="J5197" s="2"/>
      <c r="K5197" s="2">
        <v>64356</v>
      </c>
      <c r="L5197" s="2"/>
      <c r="M5197" s="2"/>
      <c r="N5197" s="2"/>
      <c r="O5197" s="2">
        <v>5486971</v>
      </c>
      <c r="P5197" s="2" t="s">
        <v>34472</v>
      </c>
      <c r="Q5197" s="2" t="s">
        <v>34473</v>
      </c>
      <c r="R5197" s="2" t="s">
        <v>34474</v>
      </c>
      <c r="S5197" s="2" t="s">
        <v>89</v>
      </c>
      <c r="T5197" s="2" t="s">
        <v>90</v>
      </c>
      <c r="U5197" s="2" t="s">
        <v>99</v>
      </c>
      <c r="V5197" s="2" t="s">
        <v>59</v>
      </c>
      <c r="W5197" s="2">
        <v>47.4</v>
      </c>
      <c r="X5197" s="2">
        <v>41.4</v>
      </c>
      <c r="Y5197" s="2" t="s">
        <v>141</v>
      </c>
      <c r="Z5197" s="2" t="s">
        <v>34475</v>
      </c>
      <c r="AA5197" s="2">
        <v>-0.69201998016239796</v>
      </c>
      <c r="AB5197" s="2">
        <v>9.7865972355433095E-2</v>
      </c>
      <c r="AC5197" s="2">
        <v>4390.4102408592098</v>
      </c>
      <c r="AD5197" s="2">
        <v>3350.2572091131801</v>
      </c>
      <c r="AE5197" s="2">
        <v>4710.01434389515</v>
      </c>
      <c r="AF5197" s="2">
        <v>3931.1750406952801</v>
      </c>
      <c r="AG5197" s="2">
        <v>3791.8014995303602</v>
      </c>
      <c r="AH5197" s="2">
        <v>4707.8280496175303</v>
      </c>
      <c r="AI5197" s="2">
        <v>4864.3168657837696</v>
      </c>
      <c r="AJ5197" s="2">
        <v>4337.3256456331501</v>
      </c>
      <c r="AK5197" s="2">
        <v>2975.6633289145998</v>
      </c>
      <c r="AL5197" s="2">
        <v>4673.4056847974898</v>
      </c>
      <c r="AM5197" s="2">
        <v>3039.8942520688902</v>
      </c>
      <c r="AN5197" s="2">
        <v>4399.5724679122104</v>
      </c>
      <c r="AO5197" s="2">
        <v>2443.99396138257</v>
      </c>
      <c r="AP5197" s="2">
        <v>2569.0135596033101</v>
      </c>
    </row>
    <row r="5198" spans="1:42" ht="14.5" x14ac:dyDescent="0.35">
      <c r="A5198" s="2" t="s">
        <v>34476</v>
      </c>
      <c r="B5198" s="2">
        <v>354.336255137693</v>
      </c>
      <c r="C5198" s="2">
        <v>12.6061333333333</v>
      </c>
      <c r="D5198" s="2" t="s">
        <v>34</v>
      </c>
      <c r="E5198" s="2" t="s">
        <v>34477</v>
      </c>
      <c r="F5198" s="2">
        <v>896</v>
      </c>
      <c r="G5198" s="3" t="str">
        <f>HYPERLINK("http://funmeta.oebiotech.com/network/896", "http://funmeta.oebiotech.com/network/896")</f>
        <v>http://funmeta.oebiotech.com/network/896</v>
      </c>
      <c r="H5198" s="2" t="s">
        <v>34478</v>
      </c>
      <c r="I5198" s="2">
        <v>35068</v>
      </c>
      <c r="J5198" s="2" t="s">
        <v>34479</v>
      </c>
      <c r="K5198" s="2">
        <v>75117</v>
      </c>
      <c r="L5198" s="2" t="s">
        <v>34480</v>
      </c>
      <c r="M5198" s="2" t="s">
        <v>34481</v>
      </c>
      <c r="N5198" s="2" t="s">
        <v>34482</v>
      </c>
      <c r="O5198" s="2">
        <v>5312554</v>
      </c>
      <c r="P5198" s="2" t="s">
        <v>34483</v>
      </c>
      <c r="Q5198" s="2" t="s">
        <v>34484</v>
      </c>
      <c r="R5198" s="2" t="s">
        <v>34485</v>
      </c>
      <c r="S5198" s="2" t="s">
        <v>50</v>
      </c>
      <c r="T5198" s="2" t="s">
        <v>229</v>
      </c>
      <c r="U5198" s="2" t="s">
        <v>433</v>
      </c>
      <c r="V5198" s="2" t="s">
        <v>42</v>
      </c>
      <c r="W5198" s="2">
        <v>50.3</v>
      </c>
      <c r="X5198" s="2">
        <v>63.3</v>
      </c>
      <c r="Y5198" s="2" t="s">
        <v>43</v>
      </c>
      <c r="Z5198" s="2" t="s">
        <v>34486</v>
      </c>
      <c r="AA5198" s="2">
        <v>-1.1921226675941701</v>
      </c>
      <c r="AB5198" s="2">
        <v>9.7821182151185807E-2</v>
      </c>
      <c r="AC5198" s="2">
        <v>24734.3474452478</v>
      </c>
      <c r="AD5198" s="2">
        <v>21886.415541461301</v>
      </c>
      <c r="AE5198" s="2">
        <v>21953.728693092002</v>
      </c>
      <c r="AF5198" s="2">
        <v>22439.2137599913</v>
      </c>
      <c r="AG5198" s="2">
        <v>17251.886325544601</v>
      </c>
      <c r="AH5198" s="2">
        <v>32326.8979248469</v>
      </c>
      <c r="AI5198" s="2">
        <v>23176.949169428</v>
      </c>
      <c r="AJ5198" s="2">
        <v>31257.4087985839</v>
      </c>
      <c r="AK5198" s="2">
        <v>18065.5578902698</v>
      </c>
      <c r="AL5198" s="2">
        <v>26442.3204113375</v>
      </c>
      <c r="AM5198" s="2">
        <v>16258.540333925401</v>
      </c>
      <c r="AN5198" s="2">
        <v>14795.7910851751</v>
      </c>
      <c r="AO5198" s="2">
        <v>19735.938471943598</v>
      </c>
      <c r="AP5198" s="2">
        <v>36020.345056116297</v>
      </c>
    </row>
    <row r="5199" spans="1:42" ht="14.5" x14ac:dyDescent="0.35">
      <c r="A5199" s="2" t="s">
        <v>34487</v>
      </c>
      <c r="B5199" s="2">
        <v>487.25288280072903</v>
      </c>
      <c r="C5199" s="2">
        <v>5.0879333333333303</v>
      </c>
      <c r="D5199" s="2" t="s">
        <v>34</v>
      </c>
      <c r="E5199" s="2" t="s">
        <v>34488</v>
      </c>
      <c r="F5199" s="2">
        <v>54657</v>
      </c>
      <c r="G5199" s="3" t="str">
        <f>HYPERLINK("http://funmeta.oebiotech.com/network/54657", "http://funmeta.oebiotech.com/network/54657")</f>
        <v>http://funmeta.oebiotech.com/network/54657</v>
      </c>
      <c r="H5199" s="2" t="s">
        <v>34489</v>
      </c>
      <c r="I5199" s="2">
        <v>86473</v>
      </c>
      <c r="J5199" s="2"/>
      <c r="K5199" s="2">
        <v>168330</v>
      </c>
      <c r="L5199" s="2"/>
      <c r="M5199" s="2"/>
      <c r="N5199" s="2"/>
      <c r="O5199" s="2">
        <v>131750894</v>
      </c>
      <c r="P5199" s="2"/>
      <c r="Q5199" s="2" t="s">
        <v>34490</v>
      </c>
      <c r="R5199" s="2" t="s">
        <v>34491</v>
      </c>
      <c r="S5199" s="2" t="s">
        <v>50</v>
      </c>
      <c r="T5199" s="2" t="s">
        <v>229</v>
      </c>
      <c r="U5199" s="2" t="s">
        <v>230</v>
      </c>
      <c r="V5199" s="2" t="s">
        <v>59</v>
      </c>
      <c r="W5199" s="2">
        <v>37.9</v>
      </c>
      <c r="X5199" s="2">
        <v>0</v>
      </c>
      <c r="Y5199" s="2" t="s">
        <v>141</v>
      </c>
      <c r="Z5199" s="2" t="s">
        <v>8318</v>
      </c>
      <c r="AA5199" s="2">
        <v>-1.76704958283323</v>
      </c>
      <c r="AB5199" s="2">
        <v>9.7794645038924197E-2</v>
      </c>
      <c r="AC5199" s="2">
        <v>9043.1635247104896</v>
      </c>
      <c r="AD5199" s="2">
        <v>10857.5947558679</v>
      </c>
      <c r="AE5199" s="2">
        <v>7988.1537151338598</v>
      </c>
      <c r="AF5199" s="2">
        <v>11891.9401532559</v>
      </c>
      <c r="AG5199" s="2">
        <v>7931.5996719961204</v>
      </c>
      <c r="AH5199" s="2">
        <v>5444.5704528666402</v>
      </c>
      <c r="AI5199" s="2">
        <v>9259.3542708919304</v>
      </c>
      <c r="AJ5199" s="2">
        <v>11743.3628841185</v>
      </c>
      <c r="AK5199" s="2">
        <v>10750.2718288203</v>
      </c>
      <c r="AL5199" s="2">
        <v>7187.0452193979199</v>
      </c>
      <c r="AM5199" s="2">
        <v>10304.864249955701</v>
      </c>
      <c r="AN5199" s="2">
        <v>12080.559970341799</v>
      </c>
      <c r="AO5199" s="2">
        <v>15890.666734365301</v>
      </c>
      <c r="AP5199" s="2">
        <v>8932.1605323260992</v>
      </c>
    </row>
    <row r="5200" spans="1:42" ht="14.5" x14ac:dyDescent="0.35">
      <c r="A5200" s="2" t="s">
        <v>34492</v>
      </c>
      <c r="B5200" s="2">
        <v>619.33073236098301</v>
      </c>
      <c r="C5200" s="2">
        <v>7.5084166666666698</v>
      </c>
      <c r="D5200" s="2" t="s">
        <v>70</v>
      </c>
      <c r="E5200" s="2" t="s">
        <v>34493</v>
      </c>
      <c r="F5200" s="2">
        <v>202352</v>
      </c>
      <c r="G5200" s="3" t="str">
        <f>HYPERLINK("http://funmeta.oebiotech.com/network/202352", "http://funmeta.oebiotech.com/network/202352")</f>
        <v>http://funmeta.oebiotech.com/network/202352</v>
      </c>
      <c r="H5200" s="2" t="s">
        <v>34494</v>
      </c>
      <c r="I5200" s="2"/>
      <c r="J5200" s="2"/>
      <c r="K5200" s="2"/>
      <c r="L5200" s="2"/>
      <c r="M5200" s="2"/>
      <c r="N5200" s="2"/>
      <c r="O5200" s="2">
        <v>51579</v>
      </c>
      <c r="P5200" s="2"/>
      <c r="Q5200" s="2" t="s">
        <v>34495</v>
      </c>
      <c r="R5200" s="2" t="s">
        <v>34496</v>
      </c>
      <c r="S5200" s="2" t="s">
        <v>39</v>
      </c>
      <c r="T5200" s="2" t="s">
        <v>19154</v>
      </c>
      <c r="U5200" s="2" t="s">
        <v>41</v>
      </c>
      <c r="V5200" s="2" t="s">
        <v>59</v>
      </c>
      <c r="W5200" s="2">
        <v>38.200000000000003</v>
      </c>
      <c r="X5200" s="2">
        <v>0</v>
      </c>
      <c r="Y5200" s="2" t="s">
        <v>560</v>
      </c>
      <c r="Z5200" s="2" t="s">
        <v>34497</v>
      </c>
      <c r="AA5200" s="2">
        <v>2.8257004912011201</v>
      </c>
      <c r="AB5200" s="2">
        <v>9.76913029270607E-2</v>
      </c>
      <c r="AC5200" s="2">
        <v>3644.2612650678302</v>
      </c>
      <c r="AD5200" s="2">
        <v>4545.1226138694801</v>
      </c>
      <c r="AE5200" s="2">
        <v>3752.25221033049</v>
      </c>
      <c r="AF5200" s="2">
        <v>3972.0670228408599</v>
      </c>
      <c r="AG5200" s="2">
        <v>4124.5671651043103</v>
      </c>
      <c r="AH5200" s="2">
        <v>2907.9619635221302</v>
      </c>
      <c r="AI5200" s="2">
        <v>3941.45140066777</v>
      </c>
      <c r="AJ5200" s="2">
        <v>3167.2678279414399</v>
      </c>
      <c r="AK5200" s="2">
        <v>4623.8404922649097</v>
      </c>
      <c r="AL5200" s="2">
        <v>5429.5562508695602</v>
      </c>
      <c r="AM5200" s="2">
        <v>4343.5155235687098</v>
      </c>
      <c r="AN5200" s="2">
        <v>4569.3406844553501</v>
      </c>
      <c r="AO5200" s="2">
        <v>3836.6009752703299</v>
      </c>
      <c r="AP5200" s="2">
        <v>4467.8817567880396</v>
      </c>
    </row>
    <row r="5201" spans="1:42" ht="14.5" x14ac:dyDescent="0.35">
      <c r="A5201" s="2" t="s">
        <v>34498</v>
      </c>
      <c r="B5201" s="2">
        <v>297.06178024089098</v>
      </c>
      <c r="C5201" s="2">
        <v>3.6357833333333298</v>
      </c>
      <c r="D5201" s="2" t="s">
        <v>70</v>
      </c>
      <c r="E5201" s="2" t="s">
        <v>34499</v>
      </c>
      <c r="F5201" s="2">
        <v>83304</v>
      </c>
      <c r="G5201" s="3" t="str">
        <f>HYPERLINK("http://funmeta.oebiotech.com/network/83304", "http://funmeta.oebiotech.com/network/83304")</f>
        <v>http://funmeta.oebiotech.com/network/83304</v>
      </c>
      <c r="H5201" s="2" t="s">
        <v>34500</v>
      </c>
      <c r="I5201" s="2">
        <v>329023</v>
      </c>
      <c r="J5201" s="2"/>
      <c r="K5201" s="2">
        <v>132872</v>
      </c>
      <c r="L5201" s="2"/>
      <c r="M5201" s="2"/>
      <c r="N5201" s="2"/>
      <c r="O5201" s="2">
        <v>53435015</v>
      </c>
      <c r="P5201" s="2"/>
      <c r="Q5201" s="2" t="s">
        <v>34501</v>
      </c>
      <c r="R5201" s="2" t="s">
        <v>34502</v>
      </c>
      <c r="S5201" s="2" t="s">
        <v>148</v>
      </c>
      <c r="T5201" s="2" t="s">
        <v>149</v>
      </c>
      <c r="U5201" s="2" t="s">
        <v>1593</v>
      </c>
      <c r="V5201" s="2" t="s">
        <v>59</v>
      </c>
      <c r="W5201" s="2">
        <v>38.700000000000003</v>
      </c>
      <c r="X5201" s="2">
        <v>0</v>
      </c>
      <c r="Y5201" s="2" t="s">
        <v>408</v>
      </c>
      <c r="Z5201" s="2" t="s">
        <v>34503</v>
      </c>
      <c r="AA5201" s="2">
        <v>0.75087735646338505</v>
      </c>
      <c r="AB5201" s="2">
        <v>9.7628015665165199E-2</v>
      </c>
      <c r="AC5201" s="2">
        <v>5416.4715763961403</v>
      </c>
      <c r="AD5201" s="2">
        <v>6290.6244636299298</v>
      </c>
      <c r="AE5201" s="2">
        <v>5145.9958232605404</v>
      </c>
      <c r="AF5201" s="2">
        <v>4728.3039635572604</v>
      </c>
      <c r="AG5201" s="2">
        <v>5343.5531828284502</v>
      </c>
      <c r="AH5201" s="2">
        <v>5278.7483811705797</v>
      </c>
      <c r="AI5201" s="2">
        <v>6012.0748208101804</v>
      </c>
      <c r="AJ5201" s="2">
        <v>5990.1532867498299</v>
      </c>
      <c r="AK5201" s="2">
        <v>5749.5640347295503</v>
      </c>
      <c r="AL5201" s="2">
        <v>6403.6395006983003</v>
      </c>
      <c r="AM5201" s="2">
        <v>6536.1346150330501</v>
      </c>
      <c r="AN5201" s="2">
        <v>6202.3243563242704</v>
      </c>
      <c r="AO5201" s="2">
        <v>6995.5833576891901</v>
      </c>
      <c r="AP5201" s="2">
        <v>5856.5009173052404</v>
      </c>
    </row>
    <row r="5202" spans="1:42" ht="14.5" x14ac:dyDescent="0.35">
      <c r="A5202" s="2" t="s">
        <v>34504</v>
      </c>
      <c r="B5202" s="2">
        <v>349.20062124677497</v>
      </c>
      <c r="C5202" s="2">
        <v>4.4128166666666697</v>
      </c>
      <c r="D5202" s="2" t="s">
        <v>34</v>
      </c>
      <c r="E5202" s="2" t="s">
        <v>34505</v>
      </c>
      <c r="F5202" s="2">
        <v>3916</v>
      </c>
      <c r="G5202" s="3" t="str">
        <f>HYPERLINK("http://funmeta.oebiotech.com/network/3916", "http://funmeta.oebiotech.com/network/3916")</f>
        <v>http://funmeta.oebiotech.com/network/3916</v>
      </c>
      <c r="H5202" s="2"/>
      <c r="I5202" s="2">
        <v>36263</v>
      </c>
      <c r="J5202" s="2" t="s">
        <v>34506</v>
      </c>
      <c r="K5202" s="2"/>
      <c r="L5202" s="2"/>
      <c r="M5202" s="2"/>
      <c r="N5202" s="2"/>
      <c r="O5202" s="2">
        <v>16061115</v>
      </c>
      <c r="P5202" s="2" t="s">
        <v>34507</v>
      </c>
      <c r="Q5202" s="2" t="s">
        <v>34508</v>
      </c>
      <c r="R5202" s="2" t="s">
        <v>34509</v>
      </c>
      <c r="S5202" s="2" t="s">
        <v>50</v>
      </c>
      <c r="T5202" s="2" t="s">
        <v>229</v>
      </c>
      <c r="U5202" s="2" t="s">
        <v>433</v>
      </c>
      <c r="V5202" s="2" t="s">
        <v>42</v>
      </c>
      <c r="W5202" s="2">
        <v>52.1</v>
      </c>
      <c r="X5202" s="2">
        <v>68.400000000000006</v>
      </c>
      <c r="Y5202" s="2" t="s">
        <v>141</v>
      </c>
      <c r="Z5202" s="2" t="s">
        <v>6006</v>
      </c>
      <c r="AA5202" s="2">
        <v>-0.89890462891531098</v>
      </c>
      <c r="AB5202" s="2">
        <v>9.7538358642010395E-2</v>
      </c>
      <c r="AC5202" s="2">
        <v>81547.291015503899</v>
      </c>
      <c r="AD5202" s="2">
        <v>83730.513287954993</v>
      </c>
      <c r="AE5202" s="2">
        <v>78821.525450166402</v>
      </c>
      <c r="AF5202" s="2">
        <v>84702.278734469204</v>
      </c>
      <c r="AG5202" s="2">
        <v>83438.830370866301</v>
      </c>
      <c r="AH5202" s="2">
        <v>73696.5751602495</v>
      </c>
      <c r="AI5202" s="2">
        <v>84740.485432719797</v>
      </c>
      <c r="AJ5202" s="2">
        <v>83884.050944552204</v>
      </c>
      <c r="AK5202" s="2">
        <v>84181.491162799095</v>
      </c>
      <c r="AL5202" s="2">
        <v>84793.956783416696</v>
      </c>
      <c r="AM5202" s="2">
        <v>85290.665902460794</v>
      </c>
      <c r="AN5202" s="2">
        <v>83761.631294811203</v>
      </c>
      <c r="AO5202" s="2">
        <v>76924.905540837193</v>
      </c>
      <c r="AP5202" s="2">
        <v>87430.429043405195</v>
      </c>
    </row>
    <row r="5203" spans="1:42" ht="14.5" x14ac:dyDescent="0.35">
      <c r="A5203" s="2" t="s">
        <v>34510</v>
      </c>
      <c r="B5203" s="2">
        <v>515.23863206394401</v>
      </c>
      <c r="C5203" s="2">
        <v>12.284283333333301</v>
      </c>
      <c r="D5203" s="2" t="s">
        <v>70</v>
      </c>
      <c r="E5203" s="2" t="s">
        <v>34511</v>
      </c>
      <c r="F5203" s="2">
        <v>266877</v>
      </c>
      <c r="G5203" s="3" t="str">
        <f>HYPERLINK("http://funmeta.oebiotech.com/network/266877", "http://funmeta.oebiotech.com/network/266877")</f>
        <v>http://funmeta.oebiotech.com/network/266877</v>
      </c>
      <c r="H5203" s="2"/>
      <c r="I5203" s="2">
        <v>44177</v>
      </c>
      <c r="J5203" s="2"/>
      <c r="K5203" s="2"/>
      <c r="L5203" s="2"/>
      <c r="M5203" s="2"/>
      <c r="N5203" s="2"/>
      <c r="O5203" s="2">
        <v>5702199</v>
      </c>
      <c r="P5203" s="2"/>
      <c r="Q5203" s="2" t="s">
        <v>34512</v>
      </c>
      <c r="R5203" s="2" t="s">
        <v>34513</v>
      </c>
      <c r="S5203" s="2" t="s">
        <v>148</v>
      </c>
      <c r="T5203" s="2" t="s">
        <v>149</v>
      </c>
      <c r="U5203" s="2" t="s">
        <v>1593</v>
      </c>
      <c r="V5203" s="2" t="s">
        <v>59</v>
      </c>
      <c r="W5203" s="2">
        <v>36.6</v>
      </c>
      <c r="X5203" s="2">
        <v>0</v>
      </c>
      <c r="Y5203" s="2" t="s">
        <v>751</v>
      </c>
      <c r="Z5203" s="2" t="s">
        <v>34514</v>
      </c>
      <c r="AA5203" s="2">
        <v>-2.3539581797948999</v>
      </c>
      <c r="AB5203" s="2">
        <v>9.7437789893298599E-2</v>
      </c>
      <c r="AC5203" s="2">
        <v>4551.2921130281002</v>
      </c>
      <c r="AD5203" s="2">
        <v>3227.28773452105</v>
      </c>
      <c r="AE5203" s="2">
        <v>5488.53615853878</v>
      </c>
      <c r="AF5203" s="2">
        <v>3272.5555033686401</v>
      </c>
      <c r="AG5203" s="2">
        <v>4217.9624200695398</v>
      </c>
      <c r="AH5203" s="2">
        <v>5163.0135618002296</v>
      </c>
      <c r="AI5203" s="2">
        <v>3724.45433695065</v>
      </c>
      <c r="AJ5203" s="2">
        <v>5441.2306974407702</v>
      </c>
      <c r="AK5203" s="2">
        <v>1177.80149667858</v>
      </c>
      <c r="AL5203" s="2">
        <v>2129.3872683643399</v>
      </c>
      <c r="AM5203" s="2">
        <v>3627.14983287011</v>
      </c>
      <c r="AN5203" s="2">
        <v>3537.1362053920798</v>
      </c>
      <c r="AO5203" s="2">
        <v>6040.9235369492699</v>
      </c>
      <c r="AP5203" s="2">
        <v>2851.3280668719199</v>
      </c>
    </row>
    <row r="5204" spans="1:42" ht="14.5" x14ac:dyDescent="0.35">
      <c r="A5204" s="2" t="s">
        <v>34515</v>
      </c>
      <c r="B5204" s="2">
        <v>723.39390977931396</v>
      </c>
      <c r="C5204" s="2">
        <v>7.8969500000000004</v>
      </c>
      <c r="D5204" s="2" t="s">
        <v>70</v>
      </c>
      <c r="E5204" s="2" t="s">
        <v>34516</v>
      </c>
      <c r="F5204" s="2">
        <v>44591</v>
      </c>
      <c r="G5204" s="3" t="str">
        <f>HYPERLINK("http://funmeta.oebiotech.com/network/44591", "http://funmeta.oebiotech.com/network/44591")</f>
        <v>http://funmeta.oebiotech.com/network/44591</v>
      </c>
      <c r="H5204" s="2"/>
      <c r="I5204" s="2"/>
      <c r="J5204" s="2" t="s">
        <v>34517</v>
      </c>
      <c r="K5204" s="2"/>
      <c r="L5204" s="2"/>
      <c r="M5204" s="2"/>
      <c r="N5204" s="2"/>
      <c r="O5204" s="2">
        <v>54672377</v>
      </c>
      <c r="P5204" s="2"/>
      <c r="Q5204" s="2" t="s">
        <v>34518</v>
      </c>
      <c r="R5204" s="2" t="s">
        <v>34519</v>
      </c>
      <c r="S5204" s="2" t="s">
        <v>50</v>
      </c>
      <c r="T5204" s="2" t="s">
        <v>124</v>
      </c>
      <c r="U5204" s="2" t="s">
        <v>4336</v>
      </c>
      <c r="V5204" s="2" t="s">
        <v>59</v>
      </c>
      <c r="W5204" s="2">
        <v>37.5</v>
      </c>
      <c r="X5204" s="2">
        <v>0</v>
      </c>
      <c r="Y5204" s="2" t="s">
        <v>408</v>
      </c>
      <c r="Z5204" s="2" t="s">
        <v>34520</v>
      </c>
      <c r="AA5204" s="2">
        <v>-3.25143380451251</v>
      </c>
      <c r="AB5204" s="2">
        <v>9.7278682705124506E-2</v>
      </c>
      <c r="AC5204" s="2">
        <v>667.510282693622</v>
      </c>
      <c r="AD5204" s="2">
        <v>2.7106294003980101E-5</v>
      </c>
      <c r="AE5204" s="2">
        <v>521.73684418866605</v>
      </c>
      <c r="AF5204" s="2">
        <v>660.52905609902302</v>
      </c>
      <c r="AG5204" s="2">
        <v>1007.50157371811</v>
      </c>
      <c r="AH5204" s="2">
        <v>558.56093888399801</v>
      </c>
      <c r="AI5204" s="2">
        <v>792.08698080469605</v>
      </c>
      <c r="AJ5204" s="2">
        <v>464.64630246724198</v>
      </c>
      <c r="AK5204" s="2">
        <v>2.7106294003980101E-5</v>
      </c>
      <c r="AL5204" s="2">
        <v>2.7106294003980101E-5</v>
      </c>
      <c r="AM5204" s="2">
        <v>2.7106294003980101E-5</v>
      </c>
      <c r="AN5204" s="2">
        <v>2.7106294003980101E-5</v>
      </c>
      <c r="AO5204" s="2">
        <v>2.7106294003980101E-5</v>
      </c>
      <c r="AP5204" s="2">
        <v>2.7106294003980101E-5</v>
      </c>
    </row>
    <row r="5205" spans="1:42" ht="14.5" x14ac:dyDescent="0.35">
      <c r="A5205" s="2" t="s">
        <v>34521</v>
      </c>
      <c r="B5205" s="2">
        <v>555.15259181280703</v>
      </c>
      <c r="C5205" s="2">
        <v>3.6928666666666699</v>
      </c>
      <c r="D5205" s="2" t="s">
        <v>70</v>
      </c>
      <c r="E5205" s="2" t="s">
        <v>34522</v>
      </c>
      <c r="F5205" s="2">
        <v>534699</v>
      </c>
      <c r="G5205" s="3" t="str">
        <f>HYPERLINK("http://funmeta.oebiotech.com/network/534699", "http://funmeta.oebiotech.com/network/534699")</f>
        <v>http://funmeta.oebiotech.com/network/534699</v>
      </c>
      <c r="H5205" s="2"/>
      <c r="I5205" s="2">
        <v>985191</v>
      </c>
      <c r="J5205" s="2"/>
      <c r="K5205" s="2"/>
      <c r="L5205" s="2"/>
      <c r="M5205" s="2"/>
      <c r="N5205" s="2"/>
      <c r="O5205" s="2">
        <v>38361962</v>
      </c>
      <c r="P5205" s="2"/>
      <c r="Q5205" s="2" t="s">
        <v>34523</v>
      </c>
      <c r="R5205" s="2" t="s">
        <v>34524</v>
      </c>
      <c r="S5205" s="2" t="s">
        <v>491</v>
      </c>
      <c r="T5205" s="2" t="s">
        <v>2251</v>
      </c>
      <c r="U5205" s="2" t="s">
        <v>2252</v>
      </c>
      <c r="V5205" s="2" t="s">
        <v>59</v>
      </c>
      <c r="W5205" s="2">
        <v>37.1</v>
      </c>
      <c r="X5205" s="2">
        <v>0</v>
      </c>
      <c r="Y5205" s="2" t="s">
        <v>560</v>
      </c>
      <c r="Z5205" s="2" t="s">
        <v>34525</v>
      </c>
      <c r="AA5205" s="2">
        <v>3.2219475060909999</v>
      </c>
      <c r="AB5205" s="2">
        <v>9.7165723225380404E-2</v>
      </c>
      <c r="AC5205" s="2">
        <v>2392.3990242392301</v>
      </c>
      <c r="AD5205" s="2">
        <v>3221.9072473985798</v>
      </c>
      <c r="AE5205" s="2">
        <v>2497.3243720806699</v>
      </c>
      <c r="AF5205" s="2">
        <v>1845.9506331459199</v>
      </c>
      <c r="AG5205" s="2">
        <v>1722.1899424415999</v>
      </c>
      <c r="AH5205" s="2">
        <v>2492.6409747808498</v>
      </c>
      <c r="AI5205" s="2">
        <v>3207.1506578102099</v>
      </c>
      <c r="AJ5205" s="2">
        <v>2589.13756517612</v>
      </c>
      <c r="AK5205" s="2">
        <v>3480.5065567022202</v>
      </c>
      <c r="AL5205" s="2">
        <v>2982.9980563757999</v>
      </c>
      <c r="AM5205" s="2">
        <v>3184.3582995803199</v>
      </c>
      <c r="AN5205" s="2">
        <v>3051.026873971</v>
      </c>
      <c r="AO5205" s="2">
        <v>3564.45077266202</v>
      </c>
      <c r="AP5205" s="2">
        <v>3068.1029251001301</v>
      </c>
    </row>
    <row r="5206" spans="1:42" ht="14.5" x14ac:dyDescent="0.35">
      <c r="A5206" s="2" t="s">
        <v>34526</v>
      </c>
      <c r="B5206" s="2">
        <v>691.35428332683796</v>
      </c>
      <c r="C5206" s="2">
        <v>7.6301833333333304</v>
      </c>
      <c r="D5206" s="2" t="s">
        <v>70</v>
      </c>
      <c r="E5206" s="2" t="s">
        <v>34527</v>
      </c>
      <c r="F5206" s="2">
        <v>274603</v>
      </c>
      <c r="G5206" s="3" t="str">
        <f>HYPERLINK("http://funmeta.oebiotech.com/network/274603", "http://funmeta.oebiotech.com/network/274603")</f>
        <v>http://funmeta.oebiotech.com/network/274603</v>
      </c>
      <c r="H5206" s="2"/>
      <c r="I5206" s="2">
        <v>64709</v>
      </c>
      <c r="J5206" s="2"/>
      <c r="K5206" s="2"/>
      <c r="L5206" s="2"/>
      <c r="M5206" s="2"/>
      <c r="N5206" s="2"/>
      <c r="O5206" s="2">
        <v>11515763</v>
      </c>
      <c r="P5206" s="2" t="s">
        <v>34528</v>
      </c>
      <c r="Q5206" s="2" t="s">
        <v>34529</v>
      </c>
      <c r="R5206" s="2" t="s">
        <v>34530</v>
      </c>
      <c r="S5206" s="2" t="s">
        <v>491</v>
      </c>
      <c r="T5206" s="2" t="s">
        <v>1516</v>
      </c>
      <c r="U5206" s="2" t="s">
        <v>41</v>
      </c>
      <c r="V5206" s="2" t="s">
        <v>59</v>
      </c>
      <c r="W5206" s="2">
        <v>38.799999999999997</v>
      </c>
      <c r="X5206" s="2">
        <v>0</v>
      </c>
      <c r="Y5206" s="2" t="s">
        <v>560</v>
      </c>
      <c r="Z5206" s="2" t="s">
        <v>34531</v>
      </c>
      <c r="AA5206" s="2">
        <v>4.0976883000998896</v>
      </c>
      <c r="AB5206" s="2">
        <v>9.7091976756424198E-2</v>
      </c>
      <c r="AC5206" s="2">
        <v>1783.0281136036599</v>
      </c>
      <c r="AD5206" s="2">
        <v>870.74443578327498</v>
      </c>
      <c r="AE5206" s="2">
        <v>1234.0945633536801</v>
      </c>
      <c r="AF5206" s="2">
        <v>903.43831688474597</v>
      </c>
      <c r="AG5206" s="2">
        <v>2678.1297753919798</v>
      </c>
      <c r="AH5206" s="2">
        <v>2407.1526291202399</v>
      </c>
      <c r="AI5206" s="2">
        <v>1899.2541810559101</v>
      </c>
      <c r="AJ5206" s="2">
        <v>1576.0992158153799</v>
      </c>
      <c r="AK5206" s="2">
        <v>883.272370358893</v>
      </c>
      <c r="AL5206" s="2">
        <v>325.24386533723703</v>
      </c>
      <c r="AM5206" s="2">
        <v>749.27531917865497</v>
      </c>
      <c r="AN5206" s="2">
        <v>843.55367382671704</v>
      </c>
      <c r="AO5206" s="2">
        <v>1271.9899444902701</v>
      </c>
      <c r="AP5206" s="2">
        <v>1151.13144150788</v>
      </c>
    </row>
    <row r="5207" spans="1:42" ht="14.5" x14ac:dyDescent="0.35">
      <c r="A5207" s="2" t="s">
        <v>34532</v>
      </c>
      <c r="B5207" s="2">
        <v>721.41363961937304</v>
      </c>
      <c r="C5207" s="2">
        <v>9.39025</v>
      </c>
      <c r="D5207" s="2" t="s">
        <v>34</v>
      </c>
      <c r="E5207" s="2" t="s">
        <v>34533</v>
      </c>
      <c r="F5207" s="2">
        <v>59755</v>
      </c>
      <c r="G5207" s="3" t="str">
        <f>HYPERLINK("http://funmeta.oebiotech.com/network/59755", "http://funmeta.oebiotech.com/network/59755")</f>
        <v>http://funmeta.oebiotech.com/network/59755</v>
      </c>
      <c r="H5207" s="2" t="s">
        <v>34534</v>
      </c>
      <c r="I5207" s="2">
        <v>91130</v>
      </c>
      <c r="J5207" s="2"/>
      <c r="K5207" s="2"/>
      <c r="L5207" s="2"/>
      <c r="M5207" s="2"/>
      <c r="N5207" s="2"/>
      <c r="O5207" s="2">
        <v>73800248</v>
      </c>
      <c r="P5207" s="2" t="s">
        <v>34535</v>
      </c>
      <c r="Q5207" s="2" t="s">
        <v>34536</v>
      </c>
      <c r="R5207" s="2" t="s">
        <v>34537</v>
      </c>
      <c r="S5207" s="2" t="s">
        <v>50</v>
      </c>
      <c r="T5207" s="2" t="s">
        <v>201</v>
      </c>
      <c r="U5207" s="2" t="s">
        <v>202</v>
      </c>
      <c r="V5207" s="2" t="s">
        <v>59</v>
      </c>
      <c r="W5207" s="2">
        <v>36.6</v>
      </c>
      <c r="X5207" s="2">
        <v>0</v>
      </c>
      <c r="Y5207" s="2" t="s">
        <v>323</v>
      </c>
      <c r="Z5207" s="2" t="s">
        <v>34538</v>
      </c>
      <c r="AA5207" s="2">
        <v>0.41739152667770602</v>
      </c>
      <c r="AB5207" s="2">
        <v>9.7054059698399794E-2</v>
      </c>
      <c r="AC5207" s="2">
        <v>11298.7818389363</v>
      </c>
      <c r="AD5207" s="2">
        <v>9840.2280029991507</v>
      </c>
      <c r="AE5207" s="2">
        <v>9294.0015804260493</v>
      </c>
      <c r="AF5207" s="2">
        <v>9262.6616178701206</v>
      </c>
      <c r="AG5207" s="2">
        <v>10503.067691286</v>
      </c>
      <c r="AH5207" s="2">
        <v>12690.3243636937</v>
      </c>
      <c r="AI5207" s="2">
        <v>12069.232617907401</v>
      </c>
      <c r="AJ5207" s="2">
        <v>13973.403162434801</v>
      </c>
      <c r="AK5207" s="2">
        <v>10793.8574491696</v>
      </c>
      <c r="AL5207" s="2">
        <v>9413.1612584507002</v>
      </c>
      <c r="AM5207" s="2">
        <v>10077.0508234057</v>
      </c>
      <c r="AN5207" s="2">
        <v>10364.0985718925</v>
      </c>
      <c r="AO5207" s="2">
        <v>7287.3596821235997</v>
      </c>
      <c r="AP5207" s="2">
        <v>11105.8402329528</v>
      </c>
    </row>
    <row r="5208" spans="1:42" ht="14.5" x14ac:dyDescent="0.35">
      <c r="A5208" s="2" t="s">
        <v>34539</v>
      </c>
      <c r="B5208" s="2">
        <v>247.128731993645</v>
      </c>
      <c r="C5208" s="2">
        <v>1.3109999999999999</v>
      </c>
      <c r="D5208" s="2" t="s">
        <v>34</v>
      </c>
      <c r="E5208" s="2" t="s">
        <v>34540</v>
      </c>
      <c r="F5208" s="2">
        <v>53795</v>
      </c>
      <c r="G5208" s="3" t="str">
        <f>HYPERLINK("http://funmeta.oebiotech.com/network/53795", "http://funmeta.oebiotech.com/network/53795")</f>
        <v>http://funmeta.oebiotech.com/network/53795</v>
      </c>
      <c r="H5208" s="2" t="s">
        <v>34541</v>
      </c>
      <c r="I5208" s="2"/>
      <c r="J5208" s="2"/>
      <c r="K5208" s="2"/>
      <c r="L5208" s="2"/>
      <c r="M5208" s="2"/>
      <c r="N5208" s="2"/>
      <c r="O5208" s="2">
        <v>332962</v>
      </c>
      <c r="P5208" s="2"/>
      <c r="Q5208" s="2" t="s">
        <v>34542</v>
      </c>
      <c r="R5208" s="2" t="s">
        <v>34543</v>
      </c>
      <c r="S5208" s="2" t="s">
        <v>89</v>
      </c>
      <c r="T5208" s="2" t="s">
        <v>90</v>
      </c>
      <c r="U5208" s="2" t="s">
        <v>99</v>
      </c>
      <c r="V5208" s="2" t="s">
        <v>59</v>
      </c>
      <c r="W5208" s="2">
        <v>38.4</v>
      </c>
      <c r="X5208" s="2">
        <v>0</v>
      </c>
      <c r="Y5208" s="2" t="s">
        <v>394</v>
      </c>
      <c r="Z5208" s="2" t="s">
        <v>34544</v>
      </c>
      <c r="AA5208" s="2">
        <v>-0.47181160889544499</v>
      </c>
      <c r="AB5208" s="2">
        <v>9.7047199697985198E-2</v>
      </c>
      <c r="AC5208" s="2">
        <v>2005.25049736356</v>
      </c>
      <c r="AD5208" s="2">
        <v>1198.33204985669</v>
      </c>
      <c r="AE5208" s="2">
        <v>2541.2840830605201</v>
      </c>
      <c r="AF5208" s="2">
        <v>1652.20730751735</v>
      </c>
      <c r="AG5208" s="2">
        <v>2152.1785449241502</v>
      </c>
      <c r="AH5208" s="2">
        <v>2505.7678141574702</v>
      </c>
      <c r="AI5208" s="2">
        <v>1690.1211225309</v>
      </c>
      <c r="AJ5208" s="2">
        <v>1489.94411199099</v>
      </c>
      <c r="AK5208" s="2">
        <v>813.67491287978805</v>
      </c>
      <c r="AL5208" s="2">
        <v>1260.36174725346</v>
      </c>
      <c r="AM5208" s="2">
        <v>1397.9759087873199</v>
      </c>
      <c r="AN5208" s="2">
        <v>969.27376119926396</v>
      </c>
      <c r="AO5208" s="2">
        <v>1201.34120131227</v>
      </c>
      <c r="AP5208" s="2">
        <v>1547.3647677080601</v>
      </c>
    </row>
    <row r="5209" spans="1:42" ht="14.5" x14ac:dyDescent="0.35">
      <c r="A5209" s="2" t="s">
        <v>34545</v>
      </c>
      <c r="B5209" s="2">
        <v>323.18281739453602</v>
      </c>
      <c r="C5209" s="2">
        <v>8.91496666666667</v>
      </c>
      <c r="D5209" s="2" t="s">
        <v>34</v>
      </c>
      <c r="E5209" s="2" t="s">
        <v>34546</v>
      </c>
      <c r="F5209" s="2">
        <v>3814</v>
      </c>
      <c r="G5209" s="3" t="str">
        <f>HYPERLINK("http://funmeta.oebiotech.com/network/3814", "http://funmeta.oebiotech.com/network/3814")</f>
        <v>http://funmeta.oebiotech.com/network/3814</v>
      </c>
      <c r="H5209" s="2"/>
      <c r="I5209" s="2">
        <v>74978</v>
      </c>
      <c r="J5209" s="2" t="s">
        <v>34547</v>
      </c>
      <c r="K5209" s="2"/>
      <c r="L5209" s="2"/>
      <c r="M5209" s="2"/>
      <c r="N5209" s="2"/>
      <c r="O5209" s="2">
        <v>52921878</v>
      </c>
      <c r="P5209" s="2"/>
      <c r="Q5209" s="2" t="s">
        <v>34548</v>
      </c>
      <c r="R5209" s="2" t="s">
        <v>34549</v>
      </c>
      <c r="S5209" s="2" t="s">
        <v>50</v>
      </c>
      <c r="T5209" s="2" t="s">
        <v>229</v>
      </c>
      <c r="U5209" s="2" t="s">
        <v>766</v>
      </c>
      <c r="V5209" s="2" t="s">
        <v>59</v>
      </c>
      <c r="W5209" s="2">
        <v>38.299999999999997</v>
      </c>
      <c r="X5209" s="2">
        <v>0</v>
      </c>
      <c r="Y5209" s="2" t="s">
        <v>323</v>
      </c>
      <c r="Z5209" s="2" t="s">
        <v>34550</v>
      </c>
      <c r="AA5209" s="2">
        <v>-0.25743788243161198</v>
      </c>
      <c r="AB5209" s="2">
        <v>9.6965292312762297E-2</v>
      </c>
      <c r="AC5209" s="2">
        <v>3512.8701511654699</v>
      </c>
      <c r="AD5209" s="2">
        <v>4328.4001775099696</v>
      </c>
      <c r="AE5209" s="2">
        <v>3428.6956154889099</v>
      </c>
      <c r="AF5209" s="2">
        <v>3940.9782733015199</v>
      </c>
      <c r="AG5209" s="2">
        <v>3574.7621245422001</v>
      </c>
      <c r="AH5209" s="2">
        <v>3585.4323925949998</v>
      </c>
      <c r="AI5209" s="2">
        <v>3336.1161780122302</v>
      </c>
      <c r="AJ5209" s="2">
        <v>3211.23632305294</v>
      </c>
      <c r="AK5209" s="2">
        <v>5173.1261166519798</v>
      </c>
      <c r="AL5209" s="2">
        <v>4385.3162481356903</v>
      </c>
      <c r="AM5209" s="2">
        <v>4200.9863886051899</v>
      </c>
      <c r="AN5209" s="2">
        <v>4362.5420636285598</v>
      </c>
      <c r="AO5209" s="2">
        <v>4103.5529939928101</v>
      </c>
      <c r="AP5209" s="2">
        <v>3744.8772540455998</v>
      </c>
    </row>
    <row r="5210" spans="1:42" ht="14.5" x14ac:dyDescent="0.35">
      <c r="A5210" s="2" t="s">
        <v>34551</v>
      </c>
      <c r="B5210" s="2">
        <v>529.29396344262295</v>
      </c>
      <c r="C5210" s="2">
        <v>5.00538333333333</v>
      </c>
      <c r="D5210" s="2" t="s">
        <v>70</v>
      </c>
      <c r="E5210" s="2" t="s">
        <v>34552</v>
      </c>
      <c r="F5210" s="2">
        <v>207058</v>
      </c>
      <c r="G5210" s="3" t="str">
        <f>HYPERLINK("http://funmeta.oebiotech.com/network/207058", "http://funmeta.oebiotech.com/network/207058")</f>
        <v>http://funmeta.oebiotech.com/network/207058</v>
      </c>
      <c r="H5210" s="2" t="s">
        <v>34553</v>
      </c>
      <c r="I5210" s="2">
        <v>2999</v>
      </c>
      <c r="J5210" s="2"/>
      <c r="K5210" s="2"/>
      <c r="L5210" s="2" t="s">
        <v>34554</v>
      </c>
      <c r="M5210" s="2"/>
      <c r="N5210" s="2"/>
      <c r="O5210" s="2">
        <v>1234</v>
      </c>
      <c r="P5210" s="2" t="s">
        <v>34555</v>
      </c>
      <c r="Q5210" s="2" t="s">
        <v>34556</v>
      </c>
      <c r="R5210" s="2" t="s">
        <v>34557</v>
      </c>
      <c r="S5210" s="2" t="s">
        <v>148</v>
      </c>
      <c r="T5210" s="2" t="s">
        <v>149</v>
      </c>
      <c r="U5210" s="2" t="s">
        <v>25346</v>
      </c>
      <c r="V5210" s="2" t="s">
        <v>59</v>
      </c>
      <c r="W5210" s="2">
        <v>41</v>
      </c>
      <c r="X5210" s="2">
        <v>29.8</v>
      </c>
      <c r="Y5210" s="2" t="s">
        <v>408</v>
      </c>
      <c r="Z5210" s="2" t="s">
        <v>34558</v>
      </c>
      <c r="AA5210" s="2">
        <v>4.20856667945539</v>
      </c>
      <c r="AB5210" s="2">
        <v>9.69574644069814E-2</v>
      </c>
      <c r="AC5210" s="2">
        <v>67060.841026870694</v>
      </c>
      <c r="AD5210" s="2">
        <v>68964.642370383095</v>
      </c>
      <c r="AE5210" s="2">
        <v>68357.427767548506</v>
      </c>
      <c r="AF5210" s="2">
        <v>71633.006778131195</v>
      </c>
      <c r="AG5210" s="2">
        <v>68897.926816072504</v>
      </c>
      <c r="AH5210" s="2">
        <v>62843.593220630297</v>
      </c>
      <c r="AI5210" s="2">
        <v>65643.928179591399</v>
      </c>
      <c r="AJ5210" s="2">
        <v>64989.163399250501</v>
      </c>
      <c r="AK5210" s="2">
        <v>66559.059417218406</v>
      </c>
      <c r="AL5210" s="2">
        <v>70806.446489969501</v>
      </c>
      <c r="AM5210" s="2">
        <v>72240.103013884494</v>
      </c>
      <c r="AN5210" s="2">
        <v>70343.787685213698</v>
      </c>
      <c r="AO5210" s="2">
        <v>64897.2813539653</v>
      </c>
      <c r="AP5210" s="2">
        <v>68941.176262047302</v>
      </c>
    </row>
    <row r="5211" spans="1:42" ht="14.5" x14ac:dyDescent="0.35">
      <c r="A5211" s="2" t="s">
        <v>34559</v>
      </c>
      <c r="B5211" s="2">
        <v>249.109536131124</v>
      </c>
      <c r="C5211" s="2">
        <v>4.6661999999999999</v>
      </c>
      <c r="D5211" s="2" t="s">
        <v>34</v>
      </c>
      <c r="E5211" s="2" t="s">
        <v>34560</v>
      </c>
      <c r="F5211" s="2">
        <v>202186</v>
      </c>
      <c r="G5211" s="3" t="str">
        <f>HYPERLINK("http://funmeta.oebiotech.com/network/202186", "http://funmeta.oebiotech.com/network/202186")</f>
        <v>http://funmeta.oebiotech.com/network/202186</v>
      </c>
      <c r="H5211" s="2" t="s">
        <v>34561</v>
      </c>
      <c r="I5211" s="2"/>
      <c r="J5211" s="2"/>
      <c r="K5211" s="2"/>
      <c r="L5211" s="2"/>
      <c r="M5211" s="2"/>
      <c r="N5211" s="2"/>
      <c r="O5211" s="2">
        <v>266234</v>
      </c>
      <c r="P5211" s="2"/>
      <c r="Q5211" s="2" t="s">
        <v>34562</v>
      </c>
      <c r="R5211" s="2" t="s">
        <v>34563</v>
      </c>
      <c r="S5211" s="2" t="s">
        <v>1444</v>
      </c>
      <c r="T5211" s="2" t="s">
        <v>21358</v>
      </c>
      <c r="U5211" s="2" t="s">
        <v>41</v>
      </c>
      <c r="V5211" s="2" t="s">
        <v>59</v>
      </c>
      <c r="W5211" s="2">
        <v>38.6</v>
      </c>
      <c r="X5211" s="2">
        <v>0</v>
      </c>
      <c r="Y5211" s="2" t="s">
        <v>141</v>
      </c>
      <c r="Z5211" s="2" t="s">
        <v>34564</v>
      </c>
      <c r="AA5211" s="2">
        <v>0.32333913968888001</v>
      </c>
      <c r="AB5211" s="2">
        <v>9.6955157301486794E-2</v>
      </c>
      <c r="AC5211" s="2">
        <v>2716.9271352780002</v>
      </c>
      <c r="AD5211" s="2">
        <v>3554.34020818316</v>
      </c>
      <c r="AE5211" s="2">
        <v>2371.2798530537898</v>
      </c>
      <c r="AF5211" s="2">
        <v>2962.6671059615601</v>
      </c>
      <c r="AG5211" s="2">
        <v>2525.1526199490299</v>
      </c>
      <c r="AH5211" s="2">
        <v>2713.9484571931598</v>
      </c>
      <c r="AI5211" s="2">
        <v>2743.4973269033098</v>
      </c>
      <c r="AJ5211" s="2">
        <v>2985.0174486071601</v>
      </c>
      <c r="AK5211" s="2">
        <v>4642.2041222115204</v>
      </c>
      <c r="AL5211" s="2">
        <v>3458.64606814745</v>
      </c>
      <c r="AM5211" s="2">
        <v>3212.6442274241299</v>
      </c>
      <c r="AN5211" s="2">
        <v>3286.7236223433101</v>
      </c>
      <c r="AO5211" s="2">
        <v>3425.6594285574502</v>
      </c>
      <c r="AP5211" s="2">
        <v>3300.1637804151201</v>
      </c>
    </row>
    <row r="5212" spans="1:42" ht="14.5" x14ac:dyDescent="0.35">
      <c r="A5212" s="2" t="s">
        <v>34565</v>
      </c>
      <c r="B5212" s="2">
        <v>741.18193356461404</v>
      </c>
      <c r="C5212" s="2">
        <v>4.5065833333333298</v>
      </c>
      <c r="D5212" s="2" t="s">
        <v>70</v>
      </c>
      <c r="E5212" s="2" t="s">
        <v>34566</v>
      </c>
      <c r="F5212" s="2">
        <v>202958</v>
      </c>
      <c r="G5212" s="3" t="str">
        <f>HYPERLINK("http://funmeta.oebiotech.com/network/202958", "http://funmeta.oebiotech.com/network/202958")</f>
        <v>http://funmeta.oebiotech.com/network/202958</v>
      </c>
      <c r="H5212" s="2" t="s">
        <v>34567</v>
      </c>
      <c r="I5212" s="2"/>
      <c r="J5212" s="2"/>
      <c r="K5212" s="2"/>
      <c r="L5212" s="2"/>
      <c r="M5212" s="2"/>
      <c r="N5212" s="2"/>
      <c r="O5212" s="2">
        <v>3035714</v>
      </c>
      <c r="P5212" s="2"/>
      <c r="Q5212" s="2" t="s">
        <v>34568</v>
      </c>
      <c r="R5212" s="2" t="s">
        <v>34569</v>
      </c>
      <c r="S5212" s="2" t="s">
        <v>148</v>
      </c>
      <c r="T5212" s="2" t="s">
        <v>149</v>
      </c>
      <c r="U5212" s="2" t="s">
        <v>4282</v>
      </c>
      <c r="V5212" s="2" t="s">
        <v>59</v>
      </c>
      <c r="W5212" s="2">
        <v>36.799999999999997</v>
      </c>
      <c r="X5212" s="2">
        <v>0</v>
      </c>
      <c r="Y5212" s="2" t="s">
        <v>560</v>
      </c>
      <c r="Z5212" s="2" t="s">
        <v>34570</v>
      </c>
      <c r="AA5212" s="2">
        <v>1.69218719717083</v>
      </c>
      <c r="AB5212" s="2">
        <v>9.6807342659547796E-2</v>
      </c>
      <c r="AC5212" s="2">
        <v>5821.3413950637596</v>
      </c>
      <c r="AD5212" s="2">
        <v>7090.5663783352002</v>
      </c>
      <c r="AE5212" s="2">
        <v>6552.0068662512704</v>
      </c>
      <c r="AF5212" s="2">
        <v>3866.7443585385099</v>
      </c>
      <c r="AG5212" s="2">
        <v>6390.0656588778202</v>
      </c>
      <c r="AH5212" s="2">
        <v>7897.9626233735298</v>
      </c>
      <c r="AI5212" s="2">
        <v>4621.9258454467099</v>
      </c>
      <c r="AJ5212" s="2">
        <v>5599.3430178947201</v>
      </c>
      <c r="AK5212" s="2">
        <v>5755.9531836181504</v>
      </c>
      <c r="AL5212" s="2">
        <v>7917.6509156215097</v>
      </c>
      <c r="AM5212" s="2">
        <v>6090.2627037770199</v>
      </c>
      <c r="AN5212" s="2">
        <v>8116.43756830245</v>
      </c>
      <c r="AO5212" s="2">
        <v>6938.7811619518898</v>
      </c>
      <c r="AP5212" s="2">
        <v>7724.3127367401803</v>
      </c>
    </row>
    <row r="5213" spans="1:42" ht="14.5" x14ac:dyDescent="0.35">
      <c r="A5213" s="2" t="s">
        <v>34571</v>
      </c>
      <c r="B5213" s="2">
        <v>365.14171422948601</v>
      </c>
      <c r="C5213" s="2">
        <v>1.06171666666667</v>
      </c>
      <c r="D5213" s="2" t="s">
        <v>34</v>
      </c>
      <c r="E5213" s="2" t="s">
        <v>34572</v>
      </c>
      <c r="F5213" s="2">
        <v>279952</v>
      </c>
      <c r="G5213" s="3" t="str">
        <f>HYPERLINK("http://funmeta.oebiotech.com/network/279952", "http://funmeta.oebiotech.com/network/279952")</f>
        <v>http://funmeta.oebiotech.com/network/279952</v>
      </c>
      <c r="H5213" s="2"/>
      <c r="I5213" s="2">
        <v>72813</v>
      </c>
      <c r="J5213" s="2"/>
      <c r="K5213" s="2"/>
      <c r="L5213" s="2" t="s">
        <v>34573</v>
      </c>
      <c r="M5213" s="2"/>
      <c r="N5213" s="2"/>
      <c r="O5213" s="2">
        <v>33500</v>
      </c>
      <c r="P5213" s="2" t="s">
        <v>34574</v>
      </c>
      <c r="Q5213" s="2" t="s">
        <v>34575</v>
      </c>
      <c r="R5213" s="2" t="s">
        <v>34576</v>
      </c>
      <c r="S5213" s="2" t="s">
        <v>148</v>
      </c>
      <c r="T5213" s="2" t="s">
        <v>149</v>
      </c>
      <c r="U5213" s="2" t="s">
        <v>150</v>
      </c>
      <c r="V5213" s="2" t="s">
        <v>59</v>
      </c>
      <c r="W5213" s="2">
        <v>37.6</v>
      </c>
      <c r="X5213" s="2">
        <v>0</v>
      </c>
      <c r="Y5213" s="2" t="s">
        <v>43</v>
      </c>
      <c r="Z5213" s="2" t="s">
        <v>34577</v>
      </c>
      <c r="AA5213" s="2">
        <v>-4.0389765172880603</v>
      </c>
      <c r="AB5213" s="2">
        <v>9.6800291949314901E-2</v>
      </c>
      <c r="AC5213" s="2">
        <v>12558.979718701399</v>
      </c>
      <c r="AD5213" s="2">
        <v>14510.9875148094</v>
      </c>
      <c r="AE5213" s="2">
        <v>13490.297679016399</v>
      </c>
      <c r="AF5213" s="2">
        <v>14748.7666631108</v>
      </c>
      <c r="AG5213" s="2">
        <v>11422.979244525601</v>
      </c>
      <c r="AH5213" s="2">
        <v>12564.8262432552</v>
      </c>
      <c r="AI5213" s="2">
        <v>13686.230008631699</v>
      </c>
      <c r="AJ5213" s="2">
        <v>9440.7784736686408</v>
      </c>
      <c r="AK5213" s="2">
        <v>10531.478582506399</v>
      </c>
      <c r="AL5213" s="2">
        <v>9894.8641554350597</v>
      </c>
      <c r="AM5213" s="2">
        <v>11878.8557094224</v>
      </c>
      <c r="AN5213" s="2">
        <v>20098.658287009501</v>
      </c>
      <c r="AO5213" s="2">
        <v>18210.170958621999</v>
      </c>
      <c r="AP5213" s="2">
        <v>16451.8973958612</v>
      </c>
    </row>
    <row r="5214" spans="1:42" ht="14.5" x14ac:dyDescent="0.35">
      <c r="A5214" s="2" t="s">
        <v>34578</v>
      </c>
      <c r="B5214" s="2">
        <v>455.096917157039</v>
      </c>
      <c r="C5214" s="2">
        <v>4.0250666666666701</v>
      </c>
      <c r="D5214" s="2" t="s">
        <v>70</v>
      </c>
      <c r="E5214" s="2" t="s">
        <v>34579</v>
      </c>
      <c r="F5214" s="2">
        <v>56412</v>
      </c>
      <c r="G5214" s="3" t="str">
        <f>HYPERLINK("http://funmeta.oebiotech.com/network/56412", "http://funmeta.oebiotech.com/network/56412")</f>
        <v>http://funmeta.oebiotech.com/network/56412</v>
      </c>
      <c r="H5214" s="2" t="s">
        <v>34580</v>
      </c>
      <c r="I5214" s="2"/>
      <c r="J5214" s="2"/>
      <c r="K5214" s="2">
        <v>15916</v>
      </c>
      <c r="L5214" s="2" t="s">
        <v>34581</v>
      </c>
      <c r="M5214" s="2" t="s">
        <v>24389</v>
      </c>
      <c r="N5214" s="2" t="s">
        <v>24390</v>
      </c>
      <c r="O5214" s="2">
        <v>25201528</v>
      </c>
      <c r="P5214" s="2" t="s">
        <v>34582</v>
      </c>
      <c r="Q5214" s="2" t="s">
        <v>34583</v>
      </c>
      <c r="R5214" s="2" t="s">
        <v>34584</v>
      </c>
      <c r="S5214" s="2" t="s">
        <v>89</v>
      </c>
      <c r="T5214" s="2" t="s">
        <v>90</v>
      </c>
      <c r="U5214" s="2" t="s">
        <v>99</v>
      </c>
      <c r="V5214" s="2" t="s">
        <v>59</v>
      </c>
      <c r="W5214" s="2">
        <v>38</v>
      </c>
      <c r="X5214" s="2">
        <v>0</v>
      </c>
      <c r="Y5214" s="2" t="s">
        <v>560</v>
      </c>
      <c r="Z5214" s="2" t="s">
        <v>34585</v>
      </c>
      <c r="AA5214" s="2">
        <v>4.2710627233339196</v>
      </c>
      <c r="AB5214" s="2">
        <v>9.6751285597483097E-2</v>
      </c>
      <c r="AC5214" s="2">
        <v>6552.8043751063897</v>
      </c>
      <c r="AD5214" s="2">
        <v>7794.42527232262</v>
      </c>
      <c r="AE5214" s="2">
        <v>6891.6896784146202</v>
      </c>
      <c r="AF5214" s="2">
        <v>3917.1502173629001</v>
      </c>
      <c r="AG5214" s="2">
        <v>7769.7439541896601</v>
      </c>
      <c r="AH5214" s="2">
        <v>7137.6233227848097</v>
      </c>
      <c r="AI5214" s="2">
        <v>5498.9504917284303</v>
      </c>
      <c r="AJ5214" s="2">
        <v>8101.6685861579399</v>
      </c>
      <c r="AK5214" s="2">
        <v>7075.8715916786896</v>
      </c>
      <c r="AL5214" s="2">
        <v>7233.9487092466197</v>
      </c>
      <c r="AM5214" s="2">
        <v>8681.2542484779297</v>
      </c>
      <c r="AN5214" s="2">
        <v>7845.1909972983103</v>
      </c>
      <c r="AO5214" s="2">
        <v>8231.4264956702591</v>
      </c>
      <c r="AP5214" s="2">
        <v>7698.8595915639298</v>
      </c>
    </row>
    <row r="5215" spans="1:42" ht="14.5" x14ac:dyDescent="0.35">
      <c r="A5215" s="2" t="s">
        <v>34586</v>
      </c>
      <c r="B5215" s="2">
        <v>281.100572181161</v>
      </c>
      <c r="C5215" s="2">
        <v>4.2432666666666696</v>
      </c>
      <c r="D5215" s="2" t="s">
        <v>34</v>
      </c>
      <c r="E5215" s="2" t="s">
        <v>34587</v>
      </c>
      <c r="F5215" s="2">
        <v>202375</v>
      </c>
      <c r="G5215" s="3" t="str">
        <f>HYPERLINK("http://funmeta.oebiotech.com/network/202375", "http://funmeta.oebiotech.com/network/202375")</f>
        <v>http://funmeta.oebiotech.com/network/202375</v>
      </c>
      <c r="H5215" s="2" t="s">
        <v>34588</v>
      </c>
      <c r="I5215" s="2"/>
      <c r="J5215" s="2"/>
      <c r="K5215" s="2"/>
      <c r="L5215" s="2"/>
      <c r="M5215" s="2"/>
      <c r="N5215" s="2"/>
      <c r="O5215" s="2">
        <v>5012</v>
      </c>
      <c r="P5215" s="2"/>
      <c r="Q5215" s="2" t="s">
        <v>34589</v>
      </c>
      <c r="R5215" s="2" t="s">
        <v>34590</v>
      </c>
      <c r="S5215" s="2" t="s">
        <v>491</v>
      </c>
      <c r="T5215" s="2" t="s">
        <v>1516</v>
      </c>
      <c r="U5215" s="2" t="s">
        <v>34591</v>
      </c>
      <c r="V5215" s="2" t="s">
        <v>59</v>
      </c>
      <c r="W5215" s="2">
        <v>39</v>
      </c>
      <c r="X5215" s="2">
        <v>0</v>
      </c>
      <c r="Y5215" s="2" t="s">
        <v>323</v>
      </c>
      <c r="Z5215" s="2" t="s">
        <v>34592</v>
      </c>
      <c r="AA5215" s="2">
        <v>-1.25606925007575</v>
      </c>
      <c r="AB5215" s="2">
        <v>9.6750433903403599E-2</v>
      </c>
      <c r="AC5215" s="2">
        <v>2180.2173341613702</v>
      </c>
      <c r="AD5215" s="2">
        <v>3062.55838365097</v>
      </c>
      <c r="AE5215" s="2">
        <v>2036.2491464791599</v>
      </c>
      <c r="AF5215" s="2">
        <v>1960.2473916795</v>
      </c>
      <c r="AG5215" s="2">
        <v>2683.9758180264098</v>
      </c>
      <c r="AH5215" s="2">
        <v>2540.7510460031299</v>
      </c>
      <c r="AI5215" s="2">
        <v>2047.6372673705</v>
      </c>
      <c r="AJ5215" s="2">
        <v>1812.4433354095299</v>
      </c>
      <c r="AK5215" s="2">
        <v>2259.2821322896002</v>
      </c>
      <c r="AL5215" s="2">
        <v>2941.6909155395701</v>
      </c>
      <c r="AM5215" s="2">
        <v>2683.4943686952402</v>
      </c>
      <c r="AN5215" s="2">
        <v>3145.8711596930102</v>
      </c>
      <c r="AO5215" s="2">
        <v>4076.84406645427</v>
      </c>
      <c r="AP5215" s="2">
        <v>3268.1676592341501</v>
      </c>
    </row>
    <row r="5216" spans="1:42" ht="14.5" x14ac:dyDescent="0.35">
      <c r="A5216" s="2" t="s">
        <v>34593</v>
      </c>
      <c r="B5216" s="2">
        <v>418.38877995294303</v>
      </c>
      <c r="C5216" s="2">
        <v>10.189349999999999</v>
      </c>
      <c r="D5216" s="2" t="s">
        <v>34</v>
      </c>
      <c r="E5216" s="2" t="s">
        <v>34594</v>
      </c>
      <c r="F5216" s="2">
        <v>93679</v>
      </c>
      <c r="G5216" s="3" t="str">
        <f>HYPERLINK("http://funmeta.oebiotech.com/network/93679", "http://funmeta.oebiotech.com/network/93679")</f>
        <v>http://funmeta.oebiotech.com/network/93679</v>
      </c>
      <c r="H5216" s="2" t="s">
        <v>34595</v>
      </c>
      <c r="I5216" s="2"/>
      <c r="J5216" s="2"/>
      <c r="K5216" s="2"/>
      <c r="L5216" s="2"/>
      <c r="M5216" s="2"/>
      <c r="N5216" s="2"/>
      <c r="O5216" s="2">
        <v>131779642</v>
      </c>
      <c r="P5216" s="2"/>
      <c r="Q5216" s="2" t="s">
        <v>34596</v>
      </c>
      <c r="R5216" s="2" t="s">
        <v>34597</v>
      </c>
      <c r="S5216" s="2" t="s">
        <v>50</v>
      </c>
      <c r="T5216" s="2" t="s">
        <v>448</v>
      </c>
      <c r="U5216" s="2" t="s">
        <v>7051</v>
      </c>
      <c r="V5216" s="2" t="s">
        <v>59</v>
      </c>
      <c r="W5216" s="2">
        <v>38.9</v>
      </c>
      <c r="X5216" s="2">
        <v>0</v>
      </c>
      <c r="Y5216" s="2" t="s">
        <v>43</v>
      </c>
      <c r="Z5216" s="2" t="s">
        <v>34598</v>
      </c>
      <c r="AA5216" s="2">
        <v>-0.76330870939229201</v>
      </c>
      <c r="AB5216" s="2">
        <v>9.6544513283581296E-2</v>
      </c>
      <c r="AC5216" s="2">
        <v>2641.2348223017698</v>
      </c>
      <c r="AD5216" s="2">
        <v>4500.4652782570702</v>
      </c>
      <c r="AE5216" s="2">
        <v>2615.4555661004001</v>
      </c>
      <c r="AF5216" s="2">
        <v>1340.8770243066299</v>
      </c>
      <c r="AG5216" s="2">
        <v>2919.3207418922102</v>
      </c>
      <c r="AH5216" s="2">
        <v>1104.6193774605099</v>
      </c>
      <c r="AI5216" s="2">
        <v>2389.4535417802399</v>
      </c>
      <c r="AJ5216" s="2">
        <v>5477.6826822706398</v>
      </c>
      <c r="AK5216" s="2">
        <v>4459.5742221677601</v>
      </c>
      <c r="AL5216" s="2">
        <v>11760.6873541025</v>
      </c>
      <c r="AM5216" s="2">
        <v>2796.2943105363402</v>
      </c>
      <c r="AN5216" s="2">
        <v>2787.2903405085499</v>
      </c>
      <c r="AO5216" s="2">
        <v>1454.3262298361899</v>
      </c>
      <c r="AP5216" s="2">
        <v>3744.6192123910901</v>
      </c>
    </row>
    <row r="5217" spans="1:42" ht="14.5" x14ac:dyDescent="0.35">
      <c r="A5217" s="2" t="s">
        <v>34599</v>
      </c>
      <c r="B5217" s="2">
        <v>495.07755858454601</v>
      </c>
      <c r="C5217" s="2">
        <v>3.53996666666667</v>
      </c>
      <c r="D5217" s="2" t="s">
        <v>70</v>
      </c>
      <c r="E5217" s="2" t="s">
        <v>34600</v>
      </c>
      <c r="F5217" s="2">
        <v>207023</v>
      </c>
      <c r="G5217" s="3" t="str">
        <f>HYPERLINK("http://funmeta.oebiotech.com/network/207023", "http://funmeta.oebiotech.com/network/207023")</f>
        <v>http://funmeta.oebiotech.com/network/207023</v>
      </c>
      <c r="H5217" s="2" t="s">
        <v>34601</v>
      </c>
      <c r="I5217" s="2"/>
      <c r="J5217" s="2"/>
      <c r="K5217" s="2"/>
      <c r="L5217" s="2"/>
      <c r="M5217" s="2"/>
      <c r="N5217" s="2"/>
      <c r="O5217" s="2">
        <v>19390</v>
      </c>
      <c r="P5217" s="2"/>
      <c r="Q5217" s="2" t="s">
        <v>34602</v>
      </c>
      <c r="R5217" s="2" t="s">
        <v>34603</v>
      </c>
      <c r="S5217" s="2" t="s">
        <v>41</v>
      </c>
      <c r="T5217" s="2" t="s">
        <v>41</v>
      </c>
      <c r="U5217" s="2" t="s">
        <v>41</v>
      </c>
      <c r="V5217" s="2" t="s">
        <v>59</v>
      </c>
      <c r="W5217" s="2">
        <v>38.299999999999997</v>
      </c>
      <c r="X5217" s="2">
        <v>0</v>
      </c>
      <c r="Y5217" s="2" t="s">
        <v>560</v>
      </c>
      <c r="Z5217" s="2" t="s">
        <v>34604</v>
      </c>
      <c r="AA5217" s="2">
        <v>-3.6439428475719899</v>
      </c>
      <c r="AB5217" s="2">
        <v>9.6477910895629196E-2</v>
      </c>
      <c r="AC5217" s="2">
        <v>2918.0268973131001</v>
      </c>
      <c r="AD5217" s="2">
        <v>3714.02349521107</v>
      </c>
      <c r="AE5217" s="2">
        <v>2554.7593203727902</v>
      </c>
      <c r="AF5217" s="2">
        <v>2577.2032036526598</v>
      </c>
      <c r="AG5217" s="2">
        <v>3295.0318438735999</v>
      </c>
      <c r="AH5217" s="2">
        <v>2772.13686307845</v>
      </c>
      <c r="AI5217" s="2">
        <v>2848.7325345367999</v>
      </c>
      <c r="AJ5217" s="2">
        <v>3460.29761836432</v>
      </c>
      <c r="AK5217" s="2">
        <v>3829.4125199599498</v>
      </c>
      <c r="AL5217" s="2">
        <v>3451.9301605392702</v>
      </c>
      <c r="AM5217" s="2">
        <v>3189.5547018510802</v>
      </c>
      <c r="AN5217" s="2">
        <v>4211.2842672303595</v>
      </c>
      <c r="AO5217" s="2">
        <v>3880.7833946988098</v>
      </c>
      <c r="AP5217" s="2">
        <v>3721.1759269869499</v>
      </c>
    </row>
    <row r="5218" spans="1:42" ht="14.5" x14ac:dyDescent="0.35">
      <c r="A5218" s="2" t="s">
        <v>34605</v>
      </c>
      <c r="B5218" s="2">
        <v>335.086261232803</v>
      </c>
      <c r="C5218" s="2">
        <v>3.2788833333333298</v>
      </c>
      <c r="D5218" s="2" t="s">
        <v>70</v>
      </c>
      <c r="E5218" s="2" t="s">
        <v>34606</v>
      </c>
      <c r="F5218" s="2">
        <v>274656</v>
      </c>
      <c r="G5218" s="3" t="str">
        <f>HYPERLINK("http://funmeta.oebiotech.com/network/274656", "http://funmeta.oebiotech.com/network/274656")</f>
        <v>http://funmeta.oebiotech.com/network/274656</v>
      </c>
      <c r="H5218" s="2"/>
      <c r="I5218" s="2">
        <v>64816</v>
      </c>
      <c r="J5218" s="2"/>
      <c r="K5218" s="2"/>
      <c r="L5218" s="2"/>
      <c r="M5218" s="2"/>
      <c r="N5218" s="2"/>
      <c r="O5218" s="2">
        <v>5353962</v>
      </c>
      <c r="P5218" s="2" t="s">
        <v>34607</v>
      </c>
      <c r="Q5218" s="2" t="s">
        <v>34608</v>
      </c>
      <c r="R5218" s="2" t="s">
        <v>34609</v>
      </c>
      <c r="S5218" s="2" t="s">
        <v>115</v>
      </c>
      <c r="T5218" s="2" t="s">
        <v>116</v>
      </c>
      <c r="U5218" s="2" t="s">
        <v>117</v>
      </c>
      <c r="V5218" s="2" t="s">
        <v>59</v>
      </c>
      <c r="W5218" s="2">
        <v>36.299999999999997</v>
      </c>
      <c r="X5218" s="2">
        <v>0</v>
      </c>
      <c r="Y5218" s="2" t="s">
        <v>751</v>
      </c>
      <c r="Z5218" s="2" t="s">
        <v>34610</v>
      </c>
      <c r="AA5218" s="2">
        <v>0.81588294831970998</v>
      </c>
      <c r="AB5218" s="2">
        <v>9.6408005616132594E-2</v>
      </c>
      <c r="AC5218" s="2">
        <v>7462.9169774131497</v>
      </c>
      <c r="AD5218" s="2">
        <v>6281.2187256492098</v>
      </c>
      <c r="AE5218" s="2">
        <v>8363.5978182978597</v>
      </c>
      <c r="AF5218" s="2">
        <v>7707.9320430313601</v>
      </c>
      <c r="AG5218" s="2">
        <v>6933.8919311997197</v>
      </c>
      <c r="AH5218" s="2">
        <v>7914.2709699919697</v>
      </c>
      <c r="AI5218" s="2">
        <v>5768.5763937253396</v>
      </c>
      <c r="AJ5218" s="2">
        <v>8089.2327082326401</v>
      </c>
      <c r="AK5218" s="2">
        <v>7008.8462770354699</v>
      </c>
      <c r="AL5218" s="2">
        <v>5431.2315729520296</v>
      </c>
      <c r="AM5218" s="2">
        <v>6677.10860785566</v>
      </c>
      <c r="AN5218" s="2">
        <v>4320.1587788482302</v>
      </c>
      <c r="AO5218" s="2">
        <v>6417.5437221371403</v>
      </c>
      <c r="AP5218" s="2">
        <v>7832.4233950667203</v>
      </c>
    </row>
    <row r="5219" spans="1:42" ht="14.5" x14ac:dyDescent="0.35">
      <c r="A5219" s="2" t="s">
        <v>34611</v>
      </c>
      <c r="B5219" s="2">
        <v>275.05602152196502</v>
      </c>
      <c r="C5219" s="2">
        <v>3.6167500000000001</v>
      </c>
      <c r="D5219" s="2" t="s">
        <v>70</v>
      </c>
      <c r="E5219" s="2" t="s">
        <v>34612</v>
      </c>
      <c r="F5219" s="2">
        <v>57573</v>
      </c>
      <c r="G5219" s="3" t="str">
        <f>HYPERLINK("http://funmeta.oebiotech.com/network/57573", "http://funmeta.oebiotech.com/network/57573")</f>
        <v>http://funmeta.oebiotech.com/network/57573</v>
      </c>
      <c r="H5219" s="2" t="s">
        <v>34613</v>
      </c>
      <c r="I5219" s="2">
        <v>89178</v>
      </c>
      <c r="J5219" s="2"/>
      <c r="K5219" s="2"/>
      <c r="L5219" s="2"/>
      <c r="M5219" s="2"/>
      <c r="N5219" s="2"/>
      <c r="O5219" s="2">
        <v>119586</v>
      </c>
      <c r="P5219" s="2" t="s">
        <v>34614</v>
      </c>
      <c r="Q5219" s="2" t="s">
        <v>34615</v>
      </c>
      <c r="R5219" s="2" t="s">
        <v>34616</v>
      </c>
      <c r="S5219" s="2" t="s">
        <v>115</v>
      </c>
      <c r="T5219" s="2" t="s">
        <v>34617</v>
      </c>
      <c r="U5219" s="2" t="s">
        <v>41</v>
      </c>
      <c r="V5219" s="2" t="s">
        <v>59</v>
      </c>
      <c r="W5219" s="2">
        <v>39.1</v>
      </c>
      <c r="X5219" s="2">
        <v>0</v>
      </c>
      <c r="Y5219" s="2" t="s">
        <v>408</v>
      </c>
      <c r="Z5219" s="2" t="s">
        <v>16520</v>
      </c>
      <c r="AA5219" s="2">
        <v>-0.39184471278223898</v>
      </c>
      <c r="AB5219" s="2">
        <v>9.6364072252786995E-2</v>
      </c>
      <c r="AC5219" s="2">
        <v>1412.40636112879</v>
      </c>
      <c r="AD5219" s="2">
        <v>2067.7176161766502</v>
      </c>
      <c r="AE5219" s="2">
        <v>1447.80049926988</v>
      </c>
      <c r="AF5219" s="2">
        <v>1312.07079775028</v>
      </c>
      <c r="AG5219" s="2">
        <v>1539.21778473374</v>
      </c>
      <c r="AH5219" s="2">
        <v>1264.2777638699699</v>
      </c>
      <c r="AI5219" s="2">
        <v>1420.0138220635799</v>
      </c>
      <c r="AJ5219" s="2">
        <v>1491.0574990853099</v>
      </c>
      <c r="AK5219" s="2">
        <v>1895.4469067584901</v>
      </c>
      <c r="AL5219" s="2">
        <v>2255.3989249056599</v>
      </c>
      <c r="AM5219" s="2">
        <v>2293.30906785148</v>
      </c>
      <c r="AN5219" s="2">
        <v>1959.5343833397801</v>
      </c>
      <c r="AO5219" s="2">
        <v>1945.8182037525901</v>
      </c>
      <c r="AP5219" s="2">
        <v>2056.7982104519201</v>
      </c>
    </row>
    <row r="5220" spans="1:42" ht="14.5" x14ac:dyDescent="0.35">
      <c r="A5220" s="2" t="s">
        <v>34618</v>
      </c>
      <c r="B5220" s="2">
        <v>376.09989594455601</v>
      </c>
      <c r="C5220" s="2">
        <v>4.5991</v>
      </c>
      <c r="D5220" s="2" t="s">
        <v>34</v>
      </c>
      <c r="E5220" s="2" t="s">
        <v>34619</v>
      </c>
      <c r="F5220" s="2">
        <v>61655</v>
      </c>
      <c r="G5220" s="3" t="str">
        <f>HYPERLINK("http://funmeta.oebiotech.com/network/61655", "http://funmeta.oebiotech.com/network/61655")</f>
        <v>http://funmeta.oebiotech.com/network/61655</v>
      </c>
      <c r="H5220" s="2" t="s">
        <v>34620</v>
      </c>
      <c r="I5220" s="2">
        <v>92956</v>
      </c>
      <c r="J5220" s="2"/>
      <c r="K5220" s="2">
        <v>168961</v>
      </c>
      <c r="L5220" s="2"/>
      <c r="M5220" s="2"/>
      <c r="N5220" s="2"/>
      <c r="O5220" s="2">
        <v>75092867</v>
      </c>
      <c r="P5220" s="2"/>
      <c r="Q5220" s="2" t="s">
        <v>34621</v>
      </c>
      <c r="R5220" s="2" t="s">
        <v>34622</v>
      </c>
      <c r="S5220" s="2" t="s">
        <v>79</v>
      </c>
      <c r="T5220" s="2" t="s">
        <v>80</v>
      </c>
      <c r="U5220" s="2" t="s">
        <v>81</v>
      </c>
      <c r="V5220" s="2" t="s">
        <v>59</v>
      </c>
      <c r="W5220" s="2">
        <v>39</v>
      </c>
      <c r="X5220" s="2">
        <v>0</v>
      </c>
      <c r="Y5220" s="2" t="s">
        <v>340</v>
      </c>
      <c r="Z5220" s="2" t="s">
        <v>34623</v>
      </c>
      <c r="AA5220" s="2">
        <v>-1.6119661762498001</v>
      </c>
      <c r="AB5220" s="2">
        <v>9.6361998728023604E-2</v>
      </c>
      <c r="AC5220" s="2">
        <v>576.91729373882595</v>
      </c>
      <c r="AD5220" s="2">
        <v>1365.5430713774199</v>
      </c>
      <c r="AE5220" s="2">
        <v>711.86233875799405</v>
      </c>
      <c r="AF5220" s="2">
        <v>608.16673217068103</v>
      </c>
      <c r="AG5220" s="2">
        <v>879.33056066315203</v>
      </c>
      <c r="AH5220" s="2">
        <v>2.7106294003980101E-5</v>
      </c>
      <c r="AI5220" s="2">
        <v>537.28606476845698</v>
      </c>
      <c r="AJ5220" s="2">
        <v>724.85803896637697</v>
      </c>
      <c r="AK5220" s="2">
        <v>1263.76268311123</v>
      </c>
      <c r="AL5220" s="2">
        <v>1574.95593127192</v>
      </c>
      <c r="AM5220" s="2">
        <v>1773.55164247023</v>
      </c>
      <c r="AN5220" s="2">
        <v>1503.7476251022399</v>
      </c>
      <c r="AO5220" s="2">
        <v>1447.1753304742299</v>
      </c>
      <c r="AP5220" s="2">
        <v>630.06521583464905</v>
      </c>
    </row>
    <row r="5221" spans="1:42" ht="14.5" x14ac:dyDescent="0.35">
      <c r="A5221" s="2" t="s">
        <v>34624</v>
      </c>
      <c r="B5221" s="2">
        <v>707.17678260908701</v>
      </c>
      <c r="C5221" s="2">
        <v>5.4314499999999999</v>
      </c>
      <c r="D5221" s="2" t="s">
        <v>70</v>
      </c>
      <c r="E5221" s="2" t="s">
        <v>34625</v>
      </c>
      <c r="F5221" s="2">
        <v>34428</v>
      </c>
      <c r="G5221" s="3" t="str">
        <f>HYPERLINK("http://funmeta.oebiotech.com/network/34428", "http://funmeta.oebiotech.com/network/34428")</f>
        <v>http://funmeta.oebiotech.com/network/34428</v>
      </c>
      <c r="H5221" s="2"/>
      <c r="I5221" s="2"/>
      <c r="J5221" s="2" t="s">
        <v>34626</v>
      </c>
      <c r="K5221" s="2"/>
      <c r="L5221" s="2"/>
      <c r="M5221" s="2"/>
      <c r="N5221" s="2"/>
      <c r="O5221" s="2">
        <v>23760111</v>
      </c>
      <c r="P5221" s="2"/>
      <c r="Q5221" s="2" t="s">
        <v>34627</v>
      </c>
      <c r="R5221" s="2" t="s">
        <v>34628</v>
      </c>
      <c r="S5221" s="2" t="s">
        <v>115</v>
      </c>
      <c r="T5221" s="2" t="s">
        <v>139</v>
      </c>
      <c r="U5221" s="2" t="s">
        <v>140</v>
      </c>
      <c r="V5221" s="2" t="s">
        <v>59</v>
      </c>
      <c r="W5221" s="2">
        <v>37.200000000000003</v>
      </c>
      <c r="X5221" s="2">
        <v>0</v>
      </c>
      <c r="Y5221" s="2" t="s">
        <v>751</v>
      </c>
      <c r="Z5221" s="2" t="s">
        <v>34629</v>
      </c>
      <c r="AA5221" s="2">
        <v>-0.319521861719753</v>
      </c>
      <c r="AB5221" s="2">
        <v>9.6119082498687197E-2</v>
      </c>
      <c r="AC5221" s="2">
        <v>5466.9569107129601</v>
      </c>
      <c r="AD5221" s="2">
        <v>4273.1548554087403</v>
      </c>
      <c r="AE5221" s="2">
        <v>4926.6215268913802</v>
      </c>
      <c r="AF5221" s="2">
        <v>4339.3659243888496</v>
      </c>
      <c r="AG5221" s="2">
        <v>6852.2923154276596</v>
      </c>
      <c r="AH5221" s="2">
        <v>7117.3389058825796</v>
      </c>
      <c r="AI5221" s="2">
        <v>5372.4232808035704</v>
      </c>
      <c r="AJ5221" s="2">
        <v>4193.69951088373</v>
      </c>
      <c r="AK5221" s="2">
        <v>5337.7345223688699</v>
      </c>
      <c r="AL5221" s="2">
        <v>2606.2778994413102</v>
      </c>
      <c r="AM5221" s="2">
        <v>4750.52761421583</v>
      </c>
      <c r="AN5221" s="2">
        <v>4161.2151666726504</v>
      </c>
      <c r="AO5221" s="2">
        <v>4619.8717728580395</v>
      </c>
      <c r="AP5221" s="2">
        <v>4163.3021568957702</v>
      </c>
    </row>
    <row r="5222" spans="1:42" ht="14.5" x14ac:dyDescent="0.35">
      <c r="A5222" s="2" t="s">
        <v>34630</v>
      </c>
      <c r="B5222" s="2">
        <v>369.25231178054901</v>
      </c>
      <c r="C5222" s="2">
        <v>11.2145166666667</v>
      </c>
      <c r="D5222" s="2" t="s">
        <v>34</v>
      </c>
      <c r="E5222" s="2" t="s">
        <v>34631</v>
      </c>
      <c r="F5222" s="2">
        <v>198548</v>
      </c>
      <c r="G5222" s="3" t="str">
        <f>HYPERLINK("http://funmeta.oebiotech.com/network/198548", "http://funmeta.oebiotech.com/network/198548")</f>
        <v>http://funmeta.oebiotech.com/network/198548</v>
      </c>
      <c r="H5222" s="2" t="s">
        <v>34632</v>
      </c>
      <c r="I5222" s="2"/>
      <c r="J5222" s="2"/>
      <c r="K5222" s="2"/>
      <c r="L5222" s="2"/>
      <c r="M5222" s="2"/>
      <c r="N5222" s="2"/>
      <c r="O5222" s="2">
        <v>582734</v>
      </c>
      <c r="P5222" s="2"/>
      <c r="Q5222" s="2" t="s">
        <v>34633</v>
      </c>
      <c r="R5222" s="2" t="s">
        <v>34634</v>
      </c>
      <c r="S5222" s="2" t="s">
        <v>89</v>
      </c>
      <c r="T5222" s="2" t="s">
        <v>90</v>
      </c>
      <c r="U5222" s="2" t="s">
        <v>99</v>
      </c>
      <c r="V5222" s="2" t="s">
        <v>59</v>
      </c>
      <c r="W5222" s="2">
        <v>37.9</v>
      </c>
      <c r="X5222" s="2">
        <v>0</v>
      </c>
      <c r="Y5222" s="2" t="s">
        <v>141</v>
      </c>
      <c r="Z5222" s="2" t="s">
        <v>34635</v>
      </c>
      <c r="AA5222" s="2">
        <v>-3.47677403772891</v>
      </c>
      <c r="AB5222" s="2">
        <v>9.6039637495615698E-2</v>
      </c>
      <c r="AC5222" s="2">
        <v>3084.2018783517401</v>
      </c>
      <c r="AD5222" s="2">
        <v>1976.72181649148</v>
      </c>
      <c r="AE5222" s="2">
        <v>2246.0198196643501</v>
      </c>
      <c r="AF5222" s="2">
        <v>3428.2227077216398</v>
      </c>
      <c r="AG5222" s="2">
        <v>4708.1210616980998</v>
      </c>
      <c r="AH5222" s="2">
        <v>1964.2857826514701</v>
      </c>
      <c r="AI5222" s="2">
        <v>4143.5593706703503</v>
      </c>
      <c r="AJ5222" s="2">
        <v>2015.0025277045199</v>
      </c>
      <c r="AK5222" s="2">
        <v>2067.6489972440099</v>
      </c>
      <c r="AL5222" s="2">
        <v>2364.2278095204001</v>
      </c>
      <c r="AM5222" s="2">
        <v>1278.1487102377801</v>
      </c>
      <c r="AN5222" s="2">
        <v>1595.8603891401399</v>
      </c>
      <c r="AO5222" s="2">
        <v>1693.75946069728</v>
      </c>
      <c r="AP5222" s="2">
        <v>2860.6855321092798</v>
      </c>
    </row>
    <row r="5223" spans="1:42" ht="14.5" x14ac:dyDescent="0.35">
      <c r="A5223" s="2" t="s">
        <v>34636</v>
      </c>
      <c r="B5223" s="2">
        <v>821.43245302454704</v>
      </c>
      <c r="C5223" s="2">
        <v>10.7995</v>
      </c>
      <c r="D5223" s="2" t="s">
        <v>70</v>
      </c>
      <c r="E5223" s="2" t="s">
        <v>34637</v>
      </c>
      <c r="F5223" s="2">
        <v>204637</v>
      </c>
      <c r="G5223" s="3" t="str">
        <f>HYPERLINK("http://funmeta.oebiotech.com/network/204637", "http://funmeta.oebiotech.com/network/204637")</f>
        <v>http://funmeta.oebiotech.com/network/204637</v>
      </c>
      <c r="H5223" s="2" t="s">
        <v>34638</v>
      </c>
      <c r="I5223" s="2"/>
      <c r="J5223" s="2"/>
      <c r="K5223" s="2"/>
      <c r="L5223" s="2"/>
      <c r="M5223" s="2"/>
      <c r="N5223" s="2"/>
      <c r="O5223" s="2">
        <v>159508</v>
      </c>
      <c r="P5223" s="2"/>
      <c r="Q5223" s="2" t="s">
        <v>34639</v>
      </c>
      <c r="R5223" s="2" t="s">
        <v>34640</v>
      </c>
      <c r="S5223" s="2" t="s">
        <v>115</v>
      </c>
      <c r="T5223" s="2" t="s">
        <v>139</v>
      </c>
      <c r="U5223" s="2" t="s">
        <v>34641</v>
      </c>
      <c r="V5223" s="2" t="s">
        <v>59</v>
      </c>
      <c r="W5223" s="2">
        <v>38.700000000000003</v>
      </c>
      <c r="X5223" s="2">
        <v>0</v>
      </c>
      <c r="Y5223" s="2" t="s">
        <v>560</v>
      </c>
      <c r="Z5223" s="2" t="s">
        <v>34642</v>
      </c>
      <c r="AA5223" s="2">
        <v>8.6460624628351093E-2</v>
      </c>
      <c r="AB5223" s="2">
        <v>9.5988226355519804E-2</v>
      </c>
      <c r="AC5223" s="2">
        <v>4353.3439624802304</v>
      </c>
      <c r="AD5223" s="2">
        <v>5502.1482100523499</v>
      </c>
      <c r="AE5223" s="2">
        <v>5469.0908034804397</v>
      </c>
      <c r="AF5223" s="2">
        <v>3857.1238992152898</v>
      </c>
      <c r="AG5223" s="2">
        <v>4007.7062191192299</v>
      </c>
      <c r="AH5223" s="2">
        <v>4669.4714404146398</v>
      </c>
      <c r="AI5223" s="2">
        <v>3191.9998405906799</v>
      </c>
      <c r="AJ5223" s="2">
        <v>4924.6715720611201</v>
      </c>
      <c r="AK5223" s="2">
        <v>5445.2352313773099</v>
      </c>
      <c r="AL5223" s="2">
        <v>3592.74717258177</v>
      </c>
      <c r="AM5223" s="2">
        <v>6721.0602352368896</v>
      </c>
      <c r="AN5223" s="2">
        <v>5989.28817472221</v>
      </c>
      <c r="AO5223" s="2">
        <v>4765.3411951055105</v>
      </c>
      <c r="AP5223" s="2">
        <v>6499.2172512903999</v>
      </c>
    </row>
    <row r="5224" spans="1:42" ht="14.5" x14ac:dyDescent="0.35">
      <c r="A5224" s="2" t="s">
        <v>34643</v>
      </c>
      <c r="B5224" s="2">
        <v>383.09492950578601</v>
      </c>
      <c r="C5224" s="2">
        <v>3.6063166666666699</v>
      </c>
      <c r="D5224" s="2" t="s">
        <v>34</v>
      </c>
      <c r="E5224" s="2" t="s">
        <v>34644</v>
      </c>
      <c r="F5224" s="2">
        <v>48004</v>
      </c>
      <c r="G5224" s="3" t="str">
        <f>HYPERLINK("http://funmeta.oebiotech.com/network/48004", "http://funmeta.oebiotech.com/network/48004")</f>
        <v>http://funmeta.oebiotech.com/network/48004</v>
      </c>
      <c r="H5224" s="2" t="s">
        <v>34645</v>
      </c>
      <c r="I5224" s="2">
        <v>3484</v>
      </c>
      <c r="J5224" s="2"/>
      <c r="K5224" s="2">
        <v>68428</v>
      </c>
      <c r="L5224" s="2"/>
      <c r="M5224" s="2"/>
      <c r="N5224" s="2"/>
      <c r="O5224" s="2">
        <v>493591</v>
      </c>
      <c r="P5224" s="2" t="s">
        <v>34646</v>
      </c>
      <c r="Q5224" s="2" t="s">
        <v>34647</v>
      </c>
      <c r="R5224" s="2" t="s">
        <v>34648</v>
      </c>
      <c r="S5224" s="2" t="s">
        <v>50</v>
      </c>
      <c r="T5224" s="2" t="s">
        <v>229</v>
      </c>
      <c r="U5224" s="2" t="s">
        <v>230</v>
      </c>
      <c r="V5224" s="2" t="s">
        <v>59</v>
      </c>
      <c r="W5224" s="2">
        <v>39.200000000000003</v>
      </c>
      <c r="X5224" s="2">
        <v>0</v>
      </c>
      <c r="Y5224" s="2" t="s">
        <v>340</v>
      </c>
      <c r="Z5224" s="2" t="s">
        <v>28766</v>
      </c>
      <c r="AA5224" s="2">
        <v>-0.26198984660150698</v>
      </c>
      <c r="AB5224" s="2">
        <v>9.5947097862244396E-2</v>
      </c>
      <c r="AC5224" s="2">
        <v>10657.853394415901</v>
      </c>
      <c r="AD5224" s="2">
        <v>11579.9154305139</v>
      </c>
      <c r="AE5224" s="2">
        <v>10331.7480082454</v>
      </c>
      <c r="AF5224" s="2">
        <v>11041.8789471072</v>
      </c>
      <c r="AG5224" s="2">
        <v>10492.7296604247</v>
      </c>
      <c r="AH5224" s="2">
        <v>9436.6921026999607</v>
      </c>
      <c r="AI5224" s="2">
        <v>11461.9762192828</v>
      </c>
      <c r="AJ5224" s="2">
        <v>11182.0954287352</v>
      </c>
      <c r="AK5224" s="2">
        <v>12033.401943086399</v>
      </c>
      <c r="AL5224" s="2">
        <v>11877.6005301983</v>
      </c>
      <c r="AM5224" s="2">
        <v>11340.233730333901</v>
      </c>
      <c r="AN5224" s="2">
        <v>11898.934547578299</v>
      </c>
      <c r="AO5224" s="2">
        <v>11159.831345164201</v>
      </c>
      <c r="AP5224" s="2">
        <v>11169.4904867226</v>
      </c>
    </row>
    <row r="5225" spans="1:42" ht="14.5" x14ac:dyDescent="0.35">
      <c r="A5225" s="2" t="s">
        <v>34649</v>
      </c>
      <c r="B5225" s="2">
        <v>350.10887245523702</v>
      </c>
      <c r="C5225" s="2">
        <v>3.8429333333333302</v>
      </c>
      <c r="D5225" s="2" t="s">
        <v>70</v>
      </c>
      <c r="E5225" s="2" t="s">
        <v>34650</v>
      </c>
      <c r="F5225" s="2">
        <v>47220</v>
      </c>
      <c r="G5225" s="3" t="str">
        <f>HYPERLINK("http://funmeta.oebiotech.com/network/47220", "http://funmeta.oebiotech.com/network/47220")</f>
        <v>http://funmeta.oebiotech.com/network/47220</v>
      </c>
      <c r="H5225" s="2" t="s">
        <v>34651</v>
      </c>
      <c r="I5225" s="2">
        <v>5751</v>
      </c>
      <c r="J5225" s="2"/>
      <c r="K5225" s="2"/>
      <c r="L5225" s="2" t="s">
        <v>34652</v>
      </c>
      <c r="M5225" s="2"/>
      <c r="N5225" s="2"/>
      <c r="O5225" s="2">
        <v>12315523</v>
      </c>
      <c r="P5225" s="2" t="s">
        <v>34653</v>
      </c>
      <c r="Q5225" s="2" t="s">
        <v>34654</v>
      </c>
      <c r="R5225" s="2" t="s">
        <v>34655</v>
      </c>
      <c r="S5225" s="2" t="s">
        <v>79</v>
      </c>
      <c r="T5225" s="2" t="s">
        <v>80</v>
      </c>
      <c r="U5225" s="2" t="s">
        <v>81</v>
      </c>
      <c r="V5225" s="2" t="s">
        <v>59</v>
      </c>
      <c r="W5225" s="2">
        <v>36.6</v>
      </c>
      <c r="X5225" s="2">
        <v>0</v>
      </c>
      <c r="Y5225" s="2" t="s">
        <v>118</v>
      </c>
      <c r="Z5225" s="2" t="s">
        <v>34656</v>
      </c>
      <c r="AA5225" s="2">
        <v>-1.13064062977696</v>
      </c>
      <c r="AB5225" s="2">
        <v>9.5895756227818804E-2</v>
      </c>
      <c r="AC5225" s="2">
        <v>1768.2789005266</v>
      </c>
      <c r="AD5225" s="2">
        <v>2468.7653698558902</v>
      </c>
      <c r="AE5225" s="2">
        <v>1909.7388910187101</v>
      </c>
      <c r="AF5225" s="2">
        <v>1566.98554792193</v>
      </c>
      <c r="AG5225" s="2">
        <v>1725.6821388450201</v>
      </c>
      <c r="AH5225" s="2">
        <v>1588.9292417090801</v>
      </c>
      <c r="AI5225" s="2">
        <v>1976.87372378229</v>
      </c>
      <c r="AJ5225" s="2">
        <v>1841.46385988257</v>
      </c>
      <c r="AK5225" s="2">
        <v>2695.6428257635498</v>
      </c>
      <c r="AL5225" s="2">
        <v>2268.2449343294302</v>
      </c>
      <c r="AM5225" s="2">
        <v>2696.20335650682</v>
      </c>
      <c r="AN5225" s="2">
        <v>2775.7759051664798</v>
      </c>
      <c r="AO5225" s="2">
        <v>2234.2385107905502</v>
      </c>
      <c r="AP5225" s="2">
        <v>2142.4866865785202</v>
      </c>
    </row>
    <row r="5226" spans="1:42" ht="14.5" x14ac:dyDescent="0.35">
      <c r="A5226" s="2" t="s">
        <v>34657</v>
      </c>
      <c r="B5226" s="2">
        <v>487.16629720811198</v>
      </c>
      <c r="C5226" s="2">
        <v>3.6928666666666699</v>
      </c>
      <c r="D5226" s="2" t="s">
        <v>70</v>
      </c>
      <c r="E5226" s="2" t="s">
        <v>34658</v>
      </c>
      <c r="F5226" s="2">
        <v>46835</v>
      </c>
      <c r="G5226" s="3" t="str">
        <f>HYPERLINK("http://funmeta.oebiotech.com/network/46835", "http://funmeta.oebiotech.com/network/46835")</f>
        <v>http://funmeta.oebiotech.com/network/46835</v>
      </c>
      <c r="H5226" s="2" t="s">
        <v>34659</v>
      </c>
      <c r="I5226" s="2">
        <v>243</v>
      </c>
      <c r="J5226" s="2"/>
      <c r="K5226" s="2">
        <v>15956</v>
      </c>
      <c r="L5226" s="2" t="s">
        <v>34660</v>
      </c>
      <c r="M5226" s="2" t="s">
        <v>34661</v>
      </c>
      <c r="N5226" s="2" t="s">
        <v>34662</v>
      </c>
      <c r="O5226" s="2">
        <v>171548</v>
      </c>
      <c r="P5226" s="2" t="s">
        <v>34663</v>
      </c>
      <c r="Q5226" s="2" t="s">
        <v>34664</v>
      </c>
      <c r="R5226" s="2" t="s">
        <v>34665</v>
      </c>
      <c r="S5226" s="2" t="s">
        <v>491</v>
      </c>
      <c r="T5226" s="2" t="s">
        <v>34666</v>
      </c>
      <c r="U5226" s="2" t="s">
        <v>41</v>
      </c>
      <c r="V5226" s="2" t="s">
        <v>59</v>
      </c>
      <c r="W5226" s="2">
        <v>36.5</v>
      </c>
      <c r="X5226" s="2">
        <v>0</v>
      </c>
      <c r="Y5226" s="2" t="s">
        <v>560</v>
      </c>
      <c r="Z5226" s="2" t="s">
        <v>34667</v>
      </c>
      <c r="AA5226" s="2">
        <v>-5.6396071191394004</v>
      </c>
      <c r="AB5226" s="2">
        <v>9.5864132504047697E-2</v>
      </c>
      <c r="AC5226" s="2">
        <v>9575.37426426616</v>
      </c>
      <c r="AD5226" s="2">
        <v>8506.8391003674005</v>
      </c>
      <c r="AE5226" s="2">
        <v>9191.5010374821595</v>
      </c>
      <c r="AF5226" s="2">
        <v>9236.2927365024807</v>
      </c>
      <c r="AG5226" s="2">
        <v>8892.5432940902901</v>
      </c>
      <c r="AH5226" s="2">
        <v>9649.8164731316392</v>
      </c>
      <c r="AI5226" s="2">
        <v>11016.477184678</v>
      </c>
      <c r="AJ5226" s="2">
        <v>9465.6148597123702</v>
      </c>
      <c r="AK5226" s="2">
        <v>8461.9709565070007</v>
      </c>
      <c r="AL5226" s="2">
        <v>7144.6105201862702</v>
      </c>
      <c r="AM5226" s="2">
        <v>8462.7542383787804</v>
      </c>
      <c r="AN5226" s="2">
        <v>9768.5684499413692</v>
      </c>
      <c r="AO5226" s="2">
        <v>8160.1958208710103</v>
      </c>
      <c r="AP5226" s="2">
        <v>9042.9346163199898</v>
      </c>
    </row>
    <row r="5227" spans="1:42" ht="14.5" x14ac:dyDescent="0.35">
      <c r="A5227" s="2" t="s">
        <v>34668</v>
      </c>
      <c r="B5227" s="2">
        <v>375.179980704625</v>
      </c>
      <c r="C5227" s="2">
        <v>5.7914500000000002</v>
      </c>
      <c r="D5227" s="2" t="s">
        <v>34</v>
      </c>
      <c r="E5227" s="2" t="s">
        <v>34669</v>
      </c>
      <c r="F5227" s="2">
        <v>213036</v>
      </c>
      <c r="G5227" s="3" t="str">
        <f>HYPERLINK("http://funmeta.oebiotech.com/network/213036", "http://funmeta.oebiotech.com/network/213036")</f>
        <v>http://funmeta.oebiotech.com/network/213036</v>
      </c>
      <c r="H5227" s="2" t="s">
        <v>34670</v>
      </c>
      <c r="I5227" s="2"/>
      <c r="J5227" s="2"/>
      <c r="K5227" s="2"/>
      <c r="L5227" s="2"/>
      <c r="M5227" s="2"/>
      <c r="N5227" s="2"/>
      <c r="O5227" s="2">
        <v>77913420</v>
      </c>
      <c r="P5227" s="2"/>
      <c r="Q5227" s="2" t="s">
        <v>34671</v>
      </c>
      <c r="R5227" s="2" t="s">
        <v>34672</v>
      </c>
      <c r="S5227" s="2" t="s">
        <v>50</v>
      </c>
      <c r="T5227" s="2" t="s">
        <v>229</v>
      </c>
      <c r="U5227" s="2" t="s">
        <v>1914</v>
      </c>
      <c r="V5227" s="2" t="s">
        <v>59</v>
      </c>
      <c r="W5227" s="2">
        <v>38.1</v>
      </c>
      <c r="X5227" s="2">
        <v>0</v>
      </c>
      <c r="Y5227" s="2" t="s">
        <v>1115</v>
      </c>
      <c r="Z5227" s="2" t="s">
        <v>34673</v>
      </c>
      <c r="AA5227" s="2">
        <v>-0.59737406818236805</v>
      </c>
      <c r="AB5227" s="2">
        <v>9.5731849253146498E-2</v>
      </c>
      <c r="AC5227" s="2">
        <v>16034.7382503593</v>
      </c>
      <c r="AD5227" s="2">
        <v>17208.891941112099</v>
      </c>
      <c r="AE5227" s="2">
        <v>16560.2404335274</v>
      </c>
      <c r="AF5227" s="2">
        <v>15368.5427095502</v>
      </c>
      <c r="AG5227" s="2">
        <v>15872.4867680556</v>
      </c>
      <c r="AH5227" s="2">
        <v>17597.254578547701</v>
      </c>
      <c r="AI5227" s="2">
        <v>14544.400242477999</v>
      </c>
      <c r="AJ5227" s="2">
        <v>16265.5047699968</v>
      </c>
      <c r="AK5227" s="2">
        <v>16929.399905657701</v>
      </c>
      <c r="AL5227" s="2">
        <v>18244.691491170401</v>
      </c>
      <c r="AM5227" s="2">
        <v>18186.078014233899</v>
      </c>
      <c r="AN5227" s="2">
        <v>16100.918932458701</v>
      </c>
      <c r="AO5227" s="2">
        <v>17922.7286572636</v>
      </c>
      <c r="AP5227" s="2">
        <v>15869.534645887999</v>
      </c>
    </row>
    <row r="5228" spans="1:42" ht="14.5" x14ac:dyDescent="0.35">
      <c r="A5228" s="2" t="s">
        <v>34674</v>
      </c>
      <c r="B5228" s="2">
        <v>219.13837089251899</v>
      </c>
      <c r="C5228" s="2">
        <v>4.8801333333333297</v>
      </c>
      <c r="D5228" s="2" t="s">
        <v>70</v>
      </c>
      <c r="E5228" s="2" t="s">
        <v>34675</v>
      </c>
      <c r="F5228" s="2">
        <v>54620</v>
      </c>
      <c r="G5228" s="3" t="str">
        <f>HYPERLINK("http://funmeta.oebiotech.com/network/54620", "http://funmeta.oebiotech.com/network/54620")</f>
        <v>http://funmeta.oebiotech.com/network/54620</v>
      </c>
      <c r="H5228" s="2" t="s">
        <v>34676</v>
      </c>
      <c r="I5228" s="2">
        <v>86445</v>
      </c>
      <c r="J5228" s="2"/>
      <c r="K5228" s="2"/>
      <c r="L5228" s="2"/>
      <c r="M5228" s="2"/>
      <c r="N5228" s="2"/>
      <c r="O5228" s="2">
        <v>517859</v>
      </c>
      <c r="P5228" s="2" t="s">
        <v>34677</v>
      </c>
      <c r="Q5228" s="2" t="s">
        <v>34678</v>
      </c>
      <c r="R5228" s="2" t="s">
        <v>34679</v>
      </c>
      <c r="S5228" s="2" t="s">
        <v>491</v>
      </c>
      <c r="T5228" s="2" t="s">
        <v>2621</v>
      </c>
      <c r="U5228" s="2" t="s">
        <v>41</v>
      </c>
      <c r="V5228" s="2" t="s">
        <v>59</v>
      </c>
      <c r="W5228" s="2">
        <v>38.700000000000003</v>
      </c>
      <c r="X5228" s="2">
        <v>0</v>
      </c>
      <c r="Y5228" s="2" t="s">
        <v>560</v>
      </c>
      <c r="Z5228" s="2" t="s">
        <v>34680</v>
      </c>
      <c r="AA5228" s="2">
        <v>-3.1004650491497299</v>
      </c>
      <c r="AB5228" s="2">
        <v>9.5684769169287101E-2</v>
      </c>
      <c r="AC5228" s="2">
        <v>2945.90510519693</v>
      </c>
      <c r="AD5228" s="2">
        <v>3679.5903124657898</v>
      </c>
      <c r="AE5228" s="2">
        <v>3172.7663485190401</v>
      </c>
      <c r="AF5228" s="2">
        <v>3081.0795559212702</v>
      </c>
      <c r="AG5228" s="2">
        <v>2836.2106053735602</v>
      </c>
      <c r="AH5228" s="2">
        <v>2722.4209370409899</v>
      </c>
      <c r="AI5228" s="2">
        <v>2945.47474148738</v>
      </c>
      <c r="AJ5228" s="2">
        <v>2917.47844283933</v>
      </c>
      <c r="AK5228" s="2">
        <v>4097.1590194034598</v>
      </c>
      <c r="AL5228" s="2">
        <v>3109.6802592649701</v>
      </c>
      <c r="AM5228" s="2">
        <v>3500.3692943379701</v>
      </c>
      <c r="AN5228" s="2">
        <v>3791.77641473322</v>
      </c>
      <c r="AO5228" s="2">
        <v>4017.6596794233801</v>
      </c>
      <c r="AP5228" s="2">
        <v>3560.89720763174</v>
      </c>
    </row>
    <row r="5229" spans="1:42" ht="14.5" x14ac:dyDescent="0.35">
      <c r="A5229" s="2" t="s">
        <v>34681</v>
      </c>
      <c r="B5229" s="2">
        <v>188.09181382782401</v>
      </c>
      <c r="C5229" s="2">
        <v>3.5301</v>
      </c>
      <c r="D5229" s="2" t="s">
        <v>34</v>
      </c>
      <c r="E5229" s="2" t="s">
        <v>34682</v>
      </c>
      <c r="F5229" s="2">
        <v>62119</v>
      </c>
      <c r="G5229" s="3" t="str">
        <f>HYPERLINK("http://funmeta.oebiotech.com/network/62119", "http://funmeta.oebiotech.com/network/62119")</f>
        <v>http://funmeta.oebiotech.com/network/62119</v>
      </c>
      <c r="H5229" s="2" t="s">
        <v>34683</v>
      </c>
      <c r="I5229" s="2">
        <v>93410</v>
      </c>
      <c r="J5229" s="2"/>
      <c r="K5229" s="2">
        <v>173780</v>
      </c>
      <c r="L5229" s="2"/>
      <c r="M5229" s="2"/>
      <c r="N5229" s="2"/>
      <c r="O5229" s="2">
        <v>131341</v>
      </c>
      <c r="P5229" s="2" t="s">
        <v>34684</v>
      </c>
      <c r="Q5229" s="2" t="s">
        <v>34685</v>
      </c>
      <c r="R5229" s="2" t="s">
        <v>34686</v>
      </c>
      <c r="S5229" s="2" t="s">
        <v>491</v>
      </c>
      <c r="T5229" s="2" t="s">
        <v>12134</v>
      </c>
      <c r="U5229" s="2" t="s">
        <v>14916</v>
      </c>
      <c r="V5229" s="2" t="s">
        <v>59</v>
      </c>
      <c r="W5229" s="2">
        <v>39.9</v>
      </c>
      <c r="X5229" s="2">
        <v>19.100000000000001</v>
      </c>
      <c r="Y5229" s="2" t="s">
        <v>43</v>
      </c>
      <c r="Z5229" s="2" t="s">
        <v>34687</v>
      </c>
      <c r="AA5229" s="2">
        <v>0.467481253930568</v>
      </c>
      <c r="AB5229" s="2">
        <v>9.5648216826952404E-2</v>
      </c>
      <c r="AC5229" s="2">
        <v>5898.1899847024297</v>
      </c>
      <c r="AD5229" s="2">
        <v>5136.1933241413399</v>
      </c>
      <c r="AE5229" s="2">
        <v>5452.4825317970299</v>
      </c>
      <c r="AF5229" s="2">
        <v>6203.4178119505696</v>
      </c>
      <c r="AG5229" s="2">
        <v>5843.6269694078501</v>
      </c>
      <c r="AH5229" s="2">
        <v>5642.8711370467399</v>
      </c>
      <c r="AI5229" s="2">
        <v>6390.8643553329102</v>
      </c>
      <c r="AJ5229" s="2">
        <v>5855.8771026794502</v>
      </c>
      <c r="AK5229" s="2">
        <v>5210.95826815276</v>
      </c>
      <c r="AL5229" s="2">
        <v>4960.1845445003601</v>
      </c>
      <c r="AM5229" s="2">
        <v>4831.7861108236402</v>
      </c>
      <c r="AN5229" s="2">
        <v>5261.8475197162597</v>
      </c>
      <c r="AO5229" s="2">
        <v>4934.4250655088399</v>
      </c>
      <c r="AP5229" s="2">
        <v>5617.9584361462003</v>
      </c>
    </row>
    <row r="5230" spans="1:42" ht="14.5" x14ac:dyDescent="0.35">
      <c r="A5230" s="2" t="s">
        <v>34688</v>
      </c>
      <c r="B5230" s="2">
        <v>221.00372855920301</v>
      </c>
      <c r="C5230" s="2">
        <v>2.4628999999999999</v>
      </c>
      <c r="D5230" s="2" t="s">
        <v>70</v>
      </c>
      <c r="E5230" s="2" t="s">
        <v>34689</v>
      </c>
      <c r="F5230" s="2">
        <v>279741</v>
      </c>
      <c r="G5230" s="3" t="str">
        <f>HYPERLINK("http://funmeta.oebiotech.com/network/279741", "http://funmeta.oebiotech.com/network/279741")</f>
        <v>http://funmeta.oebiotech.com/network/279741</v>
      </c>
      <c r="H5230" s="2"/>
      <c r="I5230" s="2">
        <v>72519</v>
      </c>
      <c r="J5230" s="2"/>
      <c r="K5230" s="2"/>
      <c r="L5230" s="2" t="s">
        <v>34690</v>
      </c>
      <c r="M5230" s="2"/>
      <c r="N5230" s="2"/>
      <c r="O5230" s="2">
        <v>3034435</v>
      </c>
      <c r="P5230" s="2" t="s">
        <v>34691</v>
      </c>
      <c r="Q5230" s="2" t="s">
        <v>34692</v>
      </c>
      <c r="R5230" s="2" t="s">
        <v>34693</v>
      </c>
      <c r="S5230" s="2" t="s">
        <v>89</v>
      </c>
      <c r="T5230" s="2" t="s">
        <v>15082</v>
      </c>
      <c r="U5230" s="2" t="s">
        <v>15083</v>
      </c>
      <c r="V5230" s="2" t="s">
        <v>59</v>
      </c>
      <c r="W5230" s="2">
        <v>37.5</v>
      </c>
      <c r="X5230" s="2">
        <v>0</v>
      </c>
      <c r="Y5230" s="2" t="s">
        <v>751</v>
      </c>
      <c r="Z5230" s="2" t="s">
        <v>34694</v>
      </c>
      <c r="AA5230" s="2">
        <v>-2.3392239065499001</v>
      </c>
      <c r="AB5230" s="2">
        <v>9.56348729234371E-2</v>
      </c>
      <c r="AC5230" s="2">
        <v>1983.8136379308</v>
      </c>
      <c r="AD5230" s="2">
        <v>1269.1256640012</v>
      </c>
      <c r="AE5230" s="2">
        <v>1826.6561559858301</v>
      </c>
      <c r="AF5230" s="2">
        <v>2129.9453067303698</v>
      </c>
      <c r="AG5230" s="2">
        <v>2132.4234295637498</v>
      </c>
      <c r="AH5230" s="2">
        <v>2321.81707281637</v>
      </c>
      <c r="AI5230" s="2">
        <v>1704.93073042987</v>
      </c>
      <c r="AJ5230" s="2">
        <v>1787.1091320585899</v>
      </c>
      <c r="AK5230" s="2">
        <v>1339.5851687913701</v>
      </c>
      <c r="AL5230" s="2">
        <v>1666.69777354963</v>
      </c>
      <c r="AM5230" s="2">
        <v>1090.9663351352301</v>
      </c>
      <c r="AN5230" s="2">
        <v>1461.2148019356</v>
      </c>
      <c r="AO5230" s="2">
        <v>1141.23462239841</v>
      </c>
      <c r="AP5230" s="2">
        <v>915.05528219697203</v>
      </c>
    </row>
    <row r="5231" spans="1:42" ht="14.5" x14ac:dyDescent="0.35">
      <c r="A5231" s="2" t="s">
        <v>34695</v>
      </c>
      <c r="B5231" s="2">
        <v>575.173368145675</v>
      </c>
      <c r="C5231" s="2">
        <v>4.9511166666666702</v>
      </c>
      <c r="D5231" s="2" t="s">
        <v>70</v>
      </c>
      <c r="E5231" s="2" t="s">
        <v>34696</v>
      </c>
      <c r="F5231" s="2">
        <v>208439</v>
      </c>
      <c r="G5231" s="3" t="str">
        <f>HYPERLINK("http://funmeta.oebiotech.com/network/208439", "http://funmeta.oebiotech.com/network/208439")</f>
        <v>http://funmeta.oebiotech.com/network/208439</v>
      </c>
      <c r="H5231" s="2" t="s">
        <v>34697</v>
      </c>
      <c r="I5231" s="2"/>
      <c r="J5231" s="2"/>
      <c r="K5231" s="2"/>
      <c r="L5231" s="2"/>
      <c r="M5231" s="2"/>
      <c r="N5231" s="2"/>
      <c r="O5231" s="2">
        <v>72670730</v>
      </c>
      <c r="P5231" s="2"/>
      <c r="Q5231" s="2" t="s">
        <v>34698</v>
      </c>
      <c r="R5231" s="2" t="s">
        <v>34699</v>
      </c>
      <c r="S5231" s="2" t="s">
        <v>115</v>
      </c>
      <c r="T5231" s="2" t="s">
        <v>6130</v>
      </c>
      <c r="U5231" s="2" t="s">
        <v>41</v>
      </c>
      <c r="V5231" s="2" t="s">
        <v>59</v>
      </c>
      <c r="W5231" s="2">
        <v>38.200000000000003</v>
      </c>
      <c r="X5231" s="2">
        <v>6.73</v>
      </c>
      <c r="Y5231" s="2" t="s">
        <v>408</v>
      </c>
      <c r="Z5231" s="2" t="s">
        <v>34700</v>
      </c>
      <c r="AA5231" s="2">
        <v>-3.4520423950745198</v>
      </c>
      <c r="AB5231" s="2">
        <v>9.5623274250290796E-2</v>
      </c>
      <c r="AC5231" s="2">
        <v>81203.658273323701</v>
      </c>
      <c r="AD5231" s="2">
        <v>83577.362983275903</v>
      </c>
      <c r="AE5231" s="2">
        <v>85808.020091798899</v>
      </c>
      <c r="AF5231" s="2">
        <v>83068.061142689505</v>
      </c>
      <c r="AG5231" s="2">
        <v>79701.273861369598</v>
      </c>
      <c r="AH5231" s="2">
        <v>75550.289235764794</v>
      </c>
      <c r="AI5231" s="2">
        <v>84307.581915983101</v>
      </c>
      <c r="AJ5231" s="2">
        <v>78786.723392336498</v>
      </c>
      <c r="AK5231" s="2">
        <v>85126.058340076605</v>
      </c>
      <c r="AL5231" s="2">
        <v>92188.528808443894</v>
      </c>
      <c r="AM5231" s="2">
        <v>83823.400364039699</v>
      </c>
      <c r="AN5231" s="2">
        <v>86336.037597867398</v>
      </c>
      <c r="AO5231" s="2">
        <v>76447.109118402193</v>
      </c>
      <c r="AP5231" s="2">
        <v>77543.0436708255</v>
      </c>
    </row>
    <row r="5232" spans="1:42" ht="14.5" x14ac:dyDescent="0.35">
      <c r="A5232" s="2" t="s">
        <v>34701</v>
      </c>
      <c r="B5232" s="2">
        <v>691.25885206031398</v>
      </c>
      <c r="C5232" s="2">
        <v>11.472899999999999</v>
      </c>
      <c r="D5232" s="2" t="s">
        <v>70</v>
      </c>
      <c r="E5232" s="2" t="s">
        <v>34702</v>
      </c>
      <c r="F5232" s="2">
        <v>205959</v>
      </c>
      <c r="G5232" s="3" t="str">
        <f>HYPERLINK("http://funmeta.oebiotech.com/network/205959", "http://funmeta.oebiotech.com/network/205959")</f>
        <v>http://funmeta.oebiotech.com/network/205959</v>
      </c>
      <c r="H5232" s="2" t="s">
        <v>34703</v>
      </c>
      <c r="I5232" s="2">
        <v>64881</v>
      </c>
      <c r="J5232" s="2"/>
      <c r="K5232" s="2"/>
      <c r="L5232" s="2"/>
      <c r="M5232" s="2"/>
      <c r="N5232" s="2"/>
      <c r="O5232" s="2">
        <v>105032</v>
      </c>
      <c r="P5232" s="2" t="s">
        <v>34704</v>
      </c>
      <c r="Q5232" s="2" t="s">
        <v>34705</v>
      </c>
      <c r="R5232" s="2" t="s">
        <v>34706</v>
      </c>
      <c r="S5232" s="2" t="s">
        <v>491</v>
      </c>
      <c r="T5232" s="2" t="s">
        <v>2251</v>
      </c>
      <c r="U5232" s="2" t="s">
        <v>2252</v>
      </c>
      <c r="V5232" s="2" t="s">
        <v>59</v>
      </c>
      <c r="W5232" s="2">
        <v>38.200000000000003</v>
      </c>
      <c r="X5232" s="2">
        <v>0</v>
      </c>
      <c r="Y5232" s="2" t="s">
        <v>560</v>
      </c>
      <c r="Z5232" s="2" t="s">
        <v>34707</v>
      </c>
      <c r="AA5232" s="2">
        <v>3.8187789646920001</v>
      </c>
      <c r="AB5232" s="2">
        <v>9.5508605954961703E-2</v>
      </c>
      <c r="AC5232" s="2">
        <v>215.76654106182801</v>
      </c>
      <c r="AD5232" s="2">
        <v>1164.6331373609901</v>
      </c>
      <c r="AE5232" s="2">
        <v>2.7106294003980101E-5</v>
      </c>
      <c r="AF5232" s="2">
        <v>256.02207328806799</v>
      </c>
      <c r="AG5232" s="2">
        <v>532.61657902407705</v>
      </c>
      <c r="AH5232" s="2">
        <v>2.7106294003980101E-5</v>
      </c>
      <c r="AI5232" s="2">
        <v>2.7106294003980101E-5</v>
      </c>
      <c r="AJ5232" s="2">
        <v>505.96051273993902</v>
      </c>
      <c r="AK5232" s="2">
        <v>1214.8022249528799</v>
      </c>
      <c r="AL5232" s="2">
        <v>251.824573623025</v>
      </c>
      <c r="AM5232" s="2">
        <v>2365.4038379472399</v>
      </c>
      <c r="AN5232" s="2">
        <v>535.01534258508502</v>
      </c>
      <c r="AO5232" s="2">
        <v>2043.5281320060899</v>
      </c>
      <c r="AP5232" s="2">
        <v>577.22471305162196</v>
      </c>
    </row>
    <row r="5233" spans="1:42" ht="14.5" x14ac:dyDescent="0.35">
      <c r="A5233" s="2" t="s">
        <v>34708</v>
      </c>
      <c r="B5233" s="2">
        <v>1088.55628263074</v>
      </c>
      <c r="C5233" s="2">
        <v>8.0105166666666694</v>
      </c>
      <c r="D5233" s="2" t="s">
        <v>34</v>
      </c>
      <c r="E5233" s="2" t="s">
        <v>34709</v>
      </c>
      <c r="F5233" s="2">
        <v>244852</v>
      </c>
      <c r="G5233" s="3" t="str">
        <f>HYPERLINK("http://funmeta.oebiotech.com/network/244852", "http://funmeta.oebiotech.com/network/244852")</f>
        <v>http://funmeta.oebiotech.com/network/244852</v>
      </c>
      <c r="H5233" s="2" t="s">
        <v>34710</v>
      </c>
      <c r="I5233" s="2"/>
      <c r="J5233" s="2"/>
      <c r="K5233" s="2"/>
      <c r="L5233" s="2"/>
      <c r="M5233" s="2"/>
      <c r="N5233" s="2"/>
      <c r="O5233" s="2"/>
      <c r="P5233" s="2"/>
      <c r="Q5233" s="2" t="s">
        <v>34711</v>
      </c>
      <c r="R5233" s="2" t="s">
        <v>34712</v>
      </c>
      <c r="S5233" s="2" t="s">
        <v>41</v>
      </c>
      <c r="T5233" s="2" t="s">
        <v>41</v>
      </c>
      <c r="U5233" s="2" t="s">
        <v>41</v>
      </c>
      <c r="V5233" s="2" t="s">
        <v>59</v>
      </c>
      <c r="W5233" s="2">
        <v>38.4</v>
      </c>
      <c r="X5233" s="2">
        <v>0</v>
      </c>
      <c r="Y5233" s="2" t="s">
        <v>323</v>
      </c>
      <c r="Z5233" s="2" t="s">
        <v>34713</v>
      </c>
      <c r="AA5233" s="2">
        <v>0.31935080188970699</v>
      </c>
      <c r="AB5233" s="2">
        <v>9.5465456033462195E-2</v>
      </c>
      <c r="AC5233" s="2">
        <v>32642.4750530235</v>
      </c>
      <c r="AD5233" s="2">
        <v>34835.433583833998</v>
      </c>
      <c r="AE5233" s="2">
        <v>30016.932490818701</v>
      </c>
      <c r="AF5233" s="2">
        <v>33137.745261410899</v>
      </c>
      <c r="AG5233" s="2">
        <v>31868.1951336479</v>
      </c>
      <c r="AH5233" s="2">
        <v>26740.0858086956</v>
      </c>
      <c r="AI5233" s="2">
        <v>32162.256723073799</v>
      </c>
      <c r="AJ5233" s="2">
        <v>41929.634900494297</v>
      </c>
      <c r="AK5233" s="2">
        <v>32774.390413292604</v>
      </c>
      <c r="AL5233" s="2">
        <v>32107.538653381602</v>
      </c>
      <c r="AM5233" s="2">
        <v>32557.982967489301</v>
      </c>
      <c r="AN5233" s="2">
        <v>40085.744578161102</v>
      </c>
      <c r="AO5233" s="2">
        <v>38096.5556550685</v>
      </c>
      <c r="AP5233" s="2">
        <v>33390.389235610797</v>
      </c>
    </row>
    <row r="5234" spans="1:42" ht="14.5" x14ac:dyDescent="0.35">
      <c r="A5234" s="2" t="s">
        <v>34714</v>
      </c>
      <c r="B5234" s="2">
        <v>172.09413966592501</v>
      </c>
      <c r="C5234" s="2">
        <v>11.8372333333333</v>
      </c>
      <c r="D5234" s="2" t="s">
        <v>34</v>
      </c>
      <c r="E5234" s="2" t="s">
        <v>34715</v>
      </c>
      <c r="F5234" s="2">
        <v>56835</v>
      </c>
      <c r="G5234" s="3" t="str">
        <f>HYPERLINK("http://funmeta.oebiotech.com/network/56835", "http://funmeta.oebiotech.com/network/56835")</f>
        <v>http://funmeta.oebiotech.com/network/56835</v>
      </c>
      <c r="H5234" s="2" t="s">
        <v>34716</v>
      </c>
      <c r="I5234" s="2">
        <v>43365</v>
      </c>
      <c r="J5234" s="2"/>
      <c r="K5234" s="2">
        <v>28621</v>
      </c>
      <c r="L5234" s="2" t="s">
        <v>34717</v>
      </c>
      <c r="M5234" s="2" t="s">
        <v>24389</v>
      </c>
      <c r="N5234" s="2" t="s">
        <v>24390</v>
      </c>
      <c r="O5234" s="2">
        <v>7618</v>
      </c>
      <c r="P5234" s="2" t="s">
        <v>34718</v>
      </c>
      <c r="Q5234" s="2" t="s">
        <v>34719</v>
      </c>
      <c r="R5234" s="2" t="s">
        <v>34720</v>
      </c>
      <c r="S5234" s="2" t="s">
        <v>1677</v>
      </c>
      <c r="T5234" s="2" t="s">
        <v>1678</v>
      </c>
      <c r="U5234" s="2" t="s">
        <v>1679</v>
      </c>
      <c r="V5234" s="2" t="s">
        <v>59</v>
      </c>
      <c r="W5234" s="2">
        <v>38.1</v>
      </c>
      <c r="X5234" s="2">
        <v>0</v>
      </c>
      <c r="Y5234" s="2" t="s">
        <v>323</v>
      </c>
      <c r="Z5234" s="2" t="s">
        <v>34721</v>
      </c>
      <c r="AA5234" s="2">
        <v>-1.8400338659195701</v>
      </c>
      <c r="AB5234" s="2">
        <v>9.5388609807160296E-2</v>
      </c>
      <c r="AC5234" s="2">
        <v>602.45753144632704</v>
      </c>
      <c r="AD5234" s="2">
        <v>2.7106294003980101E-5</v>
      </c>
      <c r="AE5234" s="2">
        <v>658.85845015002803</v>
      </c>
      <c r="AF5234" s="2">
        <v>674.82374078387295</v>
      </c>
      <c r="AG5234" s="2">
        <v>594.59649774851698</v>
      </c>
      <c r="AH5234" s="2">
        <v>524.54718859640002</v>
      </c>
      <c r="AI5234" s="2">
        <v>510.49345581329601</v>
      </c>
      <c r="AJ5234" s="2">
        <v>651.42585558584597</v>
      </c>
      <c r="AK5234" s="2">
        <v>2.7106294003980101E-5</v>
      </c>
      <c r="AL5234" s="2">
        <v>2.7106294003980101E-5</v>
      </c>
      <c r="AM5234" s="2">
        <v>2.7106294003980101E-5</v>
      </c>
      <c r="AN5234" s="2">
        <v>2.7106294003980101E-5</v>
      </c>
      <c r="AO5234" s="2">
        <v>2.7106294003980101E-5</v>
      </c>
      <c r="AP5234" s="2">
        <v>2.7106294003980101E-5</v>
      </c>
    </row>
    <row r="5235" spans="1:42" ht="14.5" x14ac:dyDescent="0.35">
      <c r="A5235" s="2" t="s">
        <v>34722</v>
      </c>
      <c r="B5235" s="2">
        <v>921.43111053973803</v>
      </c>
      <c r="C5235" s="2">
        <v>12.7194</v>
      </c>
      <c r="D5235" s="2" t="s">
        <v>70</v>
      </c>
      <c r="E5235" s="2" t="s">
        <v>34723</v>
      </c>
      <c r="F5235" s="2">
        <v>204256</v>
      </c>
      <c r="G5235" s="3" t="str">
        <f>HYPERLINK("http://funmeta.oebiotech.com/network/204256", "http://funmeta.oebiotech.com/network/204256")</f>
        <v>http://funmeta.oebiotech.com/network/204256</v>
      </c>
      <c r="H5235" s="2" t="s">
        <v>34724</v>
      </c>
      <c r="I5235" s="2">
        <v>66557</v>
      </c>
      <c r="J5235" s="2"/>
      <c r="K5235" s="2">
        <v>3133</v>
      </c>
      <c r="L5235" s="2" t="s">
        <v>34725</v>
      </c>
      <c r="M5235" s="2"/>
      <c r="N5235" s="2"/>
      <c r="O5235" s="2">
        <v>35330</v>
      </c>
      <c r="P5235" s="2" t="s">
        <v>34726</v>
      </c>
      <c r="Q5235" s="2" t="s">
        <v>34727</v>
      </c>
      <c r="R5235" s="2" t="s">
        <v>34728</v>
      </c>
      <c r="S5235" s="2" t="s">
        <v>115</v>
      </c>
      <c r="T5235" s="2" t="s">
        <v>2833</v>
      </c>
      <c r="U5235" s="2" t="s">
        <v>41</v>
      </c>
      <c r="V5235" s="2" t="s">
        <v>59</v>
      </c>
      <c r="W5235" s="2">
        <v>36.4</v>
      </c>
      <c r="X5235" s="2">
        <v>0</v>
      </c>
      <c r="Y5235" s="2" t="s">
        <v>560</v>
      </c>
      <c r="Z5235" s="2" t="s">
        <v>34729</v>
      </c>
      <c r="AA5235" s="2">
        <v>-2.2323628704195602</v>
      </c>
      <c r="AB5235" s="2">
        <v>9.5275117367657397E-2</v>
      </c>
      <c r="AC5235" s="2">
        <v>10516.296231620299</v>
      </c>
      <c r="AD5235" s="2">
        <v>12526.074376341499</v>
      </c>
      <c r="AE5235" s="2">
        <v>7102.70926495398</v>
      </c>
      <c r="AF5235" s="2">
        <v>3955.2917903692301</v>
      </c>
      <c r="AG5235" s="2">
        <v>9846.0689770888002</v>
      </c>
      <c r="AH5235" s="2">
        <v>15063.851776424901</v>
      </c>
      <c r="AI5235" s="2">
        <v>15606.4640710603</v>
      </c>
      <c r="AJ5235" s="2">
        <v>11523.3915098246</v>
      </c>
      <c r="AK5235" s="2">
        <v>12979.322082566399</v>
      </c>
      <c r="AL5235" s="2">
        <v>11058.9532214846</v>
      </c>
      <c r="AM5235" s="2">
        <v>8996.9992063463305</v>
      </c>
      <c r="AN5235" s="2">
        <v>11020.4531236331</v>
      </c>
      <c r="AO5235" s="2">
        <v>15221.477255923501</v>
      </c>
      <c r="AP5235" s="2">
        <v>15879.2413680952</v>
      </c>
    </row>
    <row r="5236" spans="1:42" ht="14.5" x14ac:dyDescent="0.35">
      <c r="A5236" s="2" t="s">
        <v>34730</v>
      </c>
      <c r="B5236" s="2">
        <v>325.27452158248298</v>
      </c>
      <c r="C5236" s="2">
        <v>11.322699999999999</v>
      </c>
      <c r="D5236" s="2" t="s">
        <v>70</v>
      </c>
      <c r="E5236" s="2" t="s">
        <v>34731</v>
      </c>
      <c r="F5236" s="2">
        <v>58498</v>
      </c>
      <c r="G5236" s="3" t="str">
        <f>HYPERLINK("http://funmeta.oebiotech.com/network/58498", "http://funmeta.oebiotech.com/network/58498")</f>
        <v>http://funmeta.oebiotech.com/network/58498</v>
      </c>
      <c r="H5236" s="2" t="s">
        <v>34732</v>
      </c>
      <c r="I5236" s="2">
        <v>89973</v>
      </c>
      <c r="J5236" s="2"/>
      <c r="K5236" s="2"/>
      <c r="L5236" s="2"/>
      <c r="M5236" s="2"/>
      <c r="N5236" s="2"/>
      <c r="O5236" s="2">
        <v>23286475</v>
      </c>
      <c r="P5236" s="2" t="s">
        <v>34733</v>
      </c>
      <c r="Q5236" s="2" t="s">
        <v>34734</v>
      </c>
      <c r="R5236" s="2" t="s">
        <v>34735</v>
      </c>
      <c r="S5236" s="2" t="s">
        <v>50</v>
      </c>
      <c r="T5236" s="2" t="s">
        <v>201</v>
      </c>
      <c r="U5236" s="2" t="s">
        <v>636</v>
      </c>
      <c r="V5236" s="2" t="s">
        <v>59</v>
      </c>
      <c r="W5236" s="2">
        <v>38.5</v>
      </c>
      <c r="X5236" s="2">
        <v>0</v>
      </c>
      <c r="Y5236" s="2" t="s">
        <v>408</v>
      </c>
      <c r="Z5236" s="2" t="s">
        <v>34736</v>
      </c>
      <c r="AA5236" s="2">
        <v>-1.0598871981356</v>
      </c>
      <c r="AB5236" s="2">
        <v>9.5237971251073902E-2</v>
      </c>
      <c r="AC5236" s="2">
        <v>1926.8240098763599</v>
      </c>
      <c r="AD5236" s="2">
        <v>1134.3215850008601</v>
      </c>
      <c r="AE5236" s="2">
        <v>1897.9673489116899</v>
      </c>
      <c r="AF5236" s="2">
        <v>1537.04267691571</v>
      </c>
      <c r="AG5236" s="2">
        <v>2284.0665160271401</v>
      </c>
      <c r="AH5236" s="2">
        <v>2547.5764801012001</v>
      </c>
      <c r="AI5236" s="2">
        <v>1638.04360912076</v>
      </c>
      <c r="AJ5236" s="2">
        <v>1656.2474281816401</v>
      </c>
      <c r="AK5236" s="2">
        <v>984.585784468003</v>
      </c>
      <c r="AL5236" s="2">
        <v>935.08202465929605</v>
      </c>
      <c r="AM5236" s="2">
        <v>1020.42225229323</v>
      </c>
      <c r="AN5236" s="2">
        <v>1159.39556345443</v>
      </c>
      <c r="AO5236" s="2">
        <v>1838.2986928616799</v>
      </c>
      <c r="AP5236" s="2">
        <v>868.14519226854702</v>
      </c>
    </row>
    <row r="5237" spans="1:42" ht="14.5" x14ac:dyDescent="0.35">
      <c r="A5237" s="2" t="s">
        <v>34737</v>
      </c>
      <c r="B5237" s="2">
        <v>1028.4637328680799</v>
      </c>
      <c r="C5237" s="2">
        <v>5.5431833333333298</v>
      </c>
      <c r="D5237" s="2" t="s">
        <v>70</v>
      </c>
      <c r="E5237" s="2" t="s">
        <v>34738</v>
      </c>
      <c r="F5237" s="2">
        <v>243932</v>
      </c>
      <c r="G5237" s="3" t="str">
        <f>HYPERLINK("http://funmeta.oebiotech.com/network/243932", "http://funmeta.oebiotech.com/network/243932")</f>
        <v>http://funmeta.oebiotech.com/network/243932</v>
      </c>
      <c r="H5237" s="2" t="s">
        <v>34739</v>
      </c>
      <c r="I5237" s="2"/>
      <c r="J5237" s="2"/>
      <c r="K5237" s="2"/>
      <c r="L5237" s="2"/>
      <c r="M5237" s="2"/>
      <c r="N5237" s="2"/>
      <c r="O5237" s="2"/>
      <c r="P5237" s="2"/>
      <c r="Q5237" s="2" t="s">
        <v>34740</v>
      </c>
      <c r="R5237" s="2" t="s">
        <v>34741</v>
      </c>
      <c r="S5237" s="2" t="s">
        <v>41</v>
      </c>
      <c r="T5237" s="2" t="s">
        <v>41</v>
      </c>
      <c r="U5237" s="2" t="s">
        <v>41</v>
      </c>
      <c r="V5237" s="2" t="s">
        <v>59</v>
      </c>
      <c r="W5237" s="2">
        <v>37.9</v>
      </c>
      <c r="X5237" s="2">
        <v>0</v>
      </c>
      <c r="Y5237" s="2" t="s">
        <v>751</v>
      </c>
      <c r="Z5237" s="2" t="s">
        <v>34742</v>
      </c>
      <c r="AA5237" s="2">
        <v>-1.7298335727809599</v>
      </c>
      <c r="AB5237" s="2">
        <v>9.5225167565608101E-2</v>
      </c>
      <c r="AC5237" s="2">
        <v>7946.4545989097896</v>
      </c>
      <c r="AD5237" s="2">
        <v>6488.88981883612</v>
      </c>
      <c r="AE5237" s="2">
        <v>7015.2297505733604</v>
      </c>
      <c r="AF5237" s="2">
        <v>6702.0140067091897</v>
      </c>
      <c r="AG5237" s="2">
        <v>8538.3012368747495</v>
      </c>
      <c r="AH5237" s="2">
        <v>7219.7331591615803</v>
      </c>
      <c r="AI5237" s="2">
        <v>8691.9079578378096</v>
      </c>
      <c r="AJ5237" s="2">
        <v>9511.5414823020692</v>
      </c>
      <c r="AK5237" s="2">
        <v>5100.3939427215701</v>
      </c>
      <c r="AL5237" s="2">
        <v>5136.2562542781297</v>
      </c>
      <c r="AM5237" s="2">
        <v>10099.602693040601</v>
      </c>
      <c r="AN5237" s="2">
        <v>5811.0175515769897</v>
      </c>
      <c r="AO5237" s="2">
        <v>8223.4498219762099</v>
      </c>
      <c r="AP5237" s="2">
        <v>4562.6186494232297</v>
      </c>
    </row>
    <row r="5238" spans="1:42" ht="14.5" x14ac:dyDescent="0.35">
      <c r="A5238" s="2" t="s">
        <v>34743</v>
      </c>
      <c r="B5238" s="2">
        <v>283.00133632092201</v>
      </c>
      <c r="C5238" s="2">
        <v>0.91621666666666701</v>
      </c>
      <c r="D5238" s="2" t="s">
        <v>34</v>
      </c>
      <c r="E5238" s="2" t="s">
        <v>34744</v>
      </c>
      <c r="F5238" s="2">
        <v>47322</v>
      </c>
      <c r="G5238" s="3" t="str">
        <f>HYPERLINK("http://funmeta.oebiotech.com/network/47322", "http://funmeta.oebiotech.com/network/47322")</f>
        <v>http://funmeta.oebiotech.com/network/47322</v>
      </c>
      <c r="H5238" s="2" t="s">
        <v>34745</v>
      </c>
      <c r="I5238" s="2">
        <v>63428</v>
      </c>
      <c r="J5238" s="2"/>
      <c r="K5238" s="2">
        <v>27859</v>
      </c>
      <c r="L5238" s="2" t="s">
        <v>34746</v>
      </c>
      <c r="M5238" s="2" t="s">
        <v>10334</v>
      </c>
      <c r="N5238" s="2" t="s">
        <v>10335</v>
      </c>
      <c r="O5238" s="2">
        <v>11988266</v>
      </c>
      <c r="P5238" s="2" t="s">
        <v>34747</v>
      </c>
      <c r="Q5238" s="2" t="s">
        <v>34748</v>
      </c>
      <c r="R5238" s="2" t="s">
        <v>34749</v>
      </c>
      <c r="S5238" s="2" t="s">
        <v>79</v>
      </c>
      <c r="T5238" s="2" t="s">
        <v>80</v>
      </c>
      <c r="U5238" s="2" t="s">
        <v>81</v>
      </c>
      <c r="V5238" s="2" t="s">
        <v>59</v>
      </c>
      <c r="W5238" s="2">
        <v>38.4</v>
      </c>
      <c r="X5238" s="2">
        <v>0</v>
      </c>
      <c r="Y5238" s="2" t="s">
        <v>323</v>
      </c>
      <c r="Z5238" s="2" t="s">
        <v>34750</v>
      </c>
      <c r="AA5238" s="2">
        <v>0.59711519244445499</v>
      </c>
      <c r="AB5238" s="2">
        <v>9.5219385151539895E-2</v>
      </c>
      <c r="AC5238" s="2">
        <v>9894.8219872930804</v>
      </c>
      <c r="AD5238" s="2">
        <v>8840.1912648472808</v>
      </c>
      <c r="AE5238" s="2">
        <v>9236.0398749808592</v>
      </c>
      <c r="AF5238" s="2">
        <v>11205.7945005498</v>
      </c>
      <c r="AG5238" s="2">
        <v>9160.8195941907798</v>
      </c>
      <c r="AH5238" s="2">
        <v>9074.2284866284208</v>
      </c>
      <c r="AI5238" s="2">
        <v>10383.531687705799</v>
      </c>
      <c r="AJ5238" s="2">
        <v>10308.517779702801</v>
      </c>
      <c r="AK5238" s="2">
        <v>8193.2506019802895</v>
      </c>
      <c r="AL5238" s="2">
        <v>8415.8321059696791</v>
      </c>
      <c r="AM5238" s="2">
        <v>8497.5550641271002</v>
      </c>
      <c r="AN5238" s="2">
        <v>8428.0972263251606</v>
      </c>
      <c r="AO5238" s="2">
        <v>10337.011175227501</v>
      </c>
      <c r="AP5238" s="2">
        <v>9169.4014154539509</v>
      </c>
    </row>
    <row r="5239" spans="1:42" ht="14.5" x14ac:dyDescent="0.35">
      <c r="A5239" s="2" t="s">
        <v>34751</v>
      </c>
      <c r="B5239" s="2">
        <v>327.10155599184799</v>
      </c>
      <c r="C5239" s="2">
        <v>4.89903333333333</v>
      </c>
      <c r="D5239" s="2" t="s">
        <v>34</v>
      </c>
      <c r="E5239" s="2" t="s">
        <v>34752</v>
      </c>
      <c r="F5239" s="2">
        <v>273284</v>
      </c>
      <c r="G5239" s="3" t="str">
        <f>HYPERLINK("http://funmeta.oebiotech.com/network/273284", "http://funmeta.oebiotech.com/network/273284")</f>
        <v>http://funmeta.oebiotech.com/network/273284</v>
      </c>
      <c r="H5239" s="2" t="s">
        <v>34753</v>
      </c>
      <c r="I5239" s="2">
        <v>58284</v>
      </c>
      <c r="J5239" s="2"/>
      <c r="K5239" s="2"/>
      <c r="L5239" s="2" t="s">
        <v>34754</v>
      </c>
      <c r="M5239" s="2"/>
      <c r="N5239" s="2"/>
      <c r="O5239" s="2">
        <v>3423265</v>
      </c>
      <c r="P5239" s="2" t="s">
        <v>34755</v>
      </c>
      <c r="Q5239" s="2" t="s">
        <v>34756</v>
      </c>
      <c r="R5239" s="2" t="s">
        <v>34757</v>
      </c>
      <c r="S5239" s="2" t="s">
        <v>89</v>
      </c>
      <c r="T5239" s="2" t="s">
        <v>1773</v>
      </c>
      <c r="U5239" s="2" t="s">
        <v>1774</v>
      </c>
      <c r="V5239" s="2" t="s">
        <v>59</v>
      </c>
      <c r="W5239" s="2">
        <v>36.1</v>
      </c>
      <c r="X5239" s="2">
        <v>0</v>
      </c>
      <c r="Y5239" s="2" t="s">
        <v>568</v>
      </c>
      <c r="Z5239" s="2" t="s">
        <v>34758</v>
      </c>
      <c r="AA5239" s="2">
        <v>4.4192533678395396</v>
      </c>
      <c r="AB5239" s="2">
        <v>9.5055293842732994E-2</v>
      </c>
      <c r="AC5239" s="2">
        <v>30875.235267987198</v>
      </c>
      <c r="AD5239" s="2">
        <v>29075.419152563099</v>
      </c>
      <c r="AE5239" s="2">
        <v>32623.1774502066</v>
      </c>
      <c r="AF5239" s="2">
        <v>32679.306459734202</v>
      </c>
      <c r="AG5239" s="2">
        <v>27585.001784829401</v>
      </c>
      <c r="AH5239" s="2">
        <v>29455.638284880599</v>
      </c>
      <c r="AI5239" s="2">
        <v>31329.705623466802</v>
      </c>
      <c r="AJ5239" s="2">
        <v>31578.582004805699</v>
      </c>
      <c r="AK5239" s="2">
        <v>32493.019325998201</v>
      </c>
      <c r="AL5239" s="2">
        <v>30866.043728374902</v>
      </c>
      <c r="AM5239" s="2">
        <v>25260.696083286799</v>
      </c>
      <c r="AN5239" s="2">
        <v>33029.537237984798</v>
      </c>
      <c r="AO5239" s="2">
        <v>26878.7145884358</v>
      </c>
      <c r="AP5239" s="2">
        <v>25924.503951298</v>
      </c>
    </row>
    <row r="5240" spans="1:42" ht="14.5" x14ac:dyDescent="0.35">
      <c r="A5240" s="2" t="s">
        <v>34759</v>
      </c>
      <c r="B5240" s="2">
        <v>391.16127418649597</v>
      </c>
      <c r="C5240" s="2">
        <v>4.09636666666667</v>
      </c>
      <c r="D5240" s="2" t="s">
        <v>70</v>
      </c>
      <c r="E5240" s="2" t="s">
        <v>34760</v>
      </c>
      <c r="F5240" s="2">
        <v>57120</v>
      </c>
      <c r="G5240" s="3" t="str">
        <f>HYPERLINK("http://funmeta.oebiotech.com/network/57120", "http://funmeta.oebiotech.com/network/57120")</f>
        <v>http://funmeta.oebiotech.com/network/57120</v>
      </c>
      <c r="H5240" s="2" t="s">
        <v>34761</v>
      </c>
      <c r="I5240" s="2">
        <v>88771</v>
      </c>
      <c r="J5240" s="2"/>
      <c r="K5240" s="2"/>
      <c r="L5240" s="2"/>
      <c r="M5240" s="2"/>
      <c r="N5240" s="2"/>
      <c r="O5240" s="2">
        <v>10330295</v>
      </c>
      <c r="P5240" s="2" t="s">
        <v>34762</v>
      </c>
      <c r="Q5240" s="2" t="s">
        <v>34763</v>
      </c>
      <c r="R5240" s="2" t="s">
        <v>34764</v>
      </c>
      <c r="S5240" s="2" t="s">
        <v>148</v>
      </c>
      <c r="T5240" s="2" t="s">
        <v>149</v>
      </c>
      <c r="U5240" s="2" t="s">
        <v>1593</v>
      </c>
      <c r="V5240" s="2" t="s">
        <v>59</v>
      </c>
      <c r="W5240" s="2">
        <v>38.9</v>
      </c>
      <c r="X5240" s="2">
        <v>0</v>
      </c>
      <c r="Y5240" s="2" t="s">
        <v>560</v>
      </c>
      <c r="Z5240" s="2" t="s">
        <v>34765</v>
      </c>
      <c r="AA5240" s="2">
        <v>-2.6363282223326499</v>
      </c>
      <c r="AB5240" s="2">
        <v>9.4957633746626399E-2</v>
      </c>
      <c r="AC5240" s="2">
        <v>2205.7909201590601</v>
      </c>
      <c r="AD5240" s="2">
        <v>3094.5059728562401</v>
      </c>
      <c r="AE5240" s="2">
        <v>2422.6808081308</v>
      </c>
      <c r="AF5240" s="2">
        <v>1906.5986006359799</v>
      </c>
      <c r="AG5240" s="2">
        <v>1916.1923734500499</v>
      </c>
      <c r="AH5240" s="2">
        <v>3304.7979312449802</v>
      </c>
      <c r="AI5240" s="2">
        <v>1923.81051759773</v>
      </c>
      <c r="AJ5240" s="2">
        <v>1760.6652898948</v>
      </c>
      <c r="AK5240" s="2">
        <v>3401.5613083933799</v>
      </c>
      <c r="AL5240" s="2">
        <v>3635.00183809293</v>
      </c>
      <c r="AM5240" s="2">
        <v>2504.97543223107</v>
      </c>
      <c r="AN5240" s="2">
        <v>2894.7070626149498</v>
      </c>
      <c r="AO5240" s="2">
        <v>2614.7666214982501</v>
      </c>
      <c r="AP5240" s="2">
        <v>3516.0235743068401</v>
      </c>
    </row>
    <row r="5241" spans="1:42" ht="14.5" x14ac:dyDescent="0.35">
      <c r="A5241" s="2" t="s">
        <v>34766</v>
      </c>
      <c r="B5241" s="2">
        <v>175.09652446261401</v>
      </c>
      <c r="C5241" s="2">
        <v>4.0071500000000002</v>
      </c>
      <c r="D5241" s="2" t="s">
        <v>70</v>
      </c>
      <c r="E5241" s="2" t="s">
        <v>34767</v>
      </c>
      <c r="F5241" s="2">
        <v>166</v>
      </c>
      <c r="G5241" s="3" t="str">
        <f>HYPERLINK("http://funmeta.oebiotech.com/network/166", "http://funmeta.oebiotech.com/network/166")</f>
        <v>http://funmeta.oebiotech.com/network/166</v>
      </c>
      <c r="H5241" s="2" t="s">
        <v>34768</v>
      </c>
      <c r="I5241" s="2">
        <v>106</v>
      </c>
      <c r="J5241" s="2" t="s">
        <v>34769</v>
      </c>
      <c r="K5241" s="2">
        <v>16135</v>
      </c>
      <c r="L5241" s="2" t="s">
        <v>34770</v>
      </c>
      <c r="M5241" s="2" t="s">
        <v>34771</v>
      </c>
      <c r="N5241" s="2" t="s">
        <v>34772</v>
      </c>
      <c r="O5241" s="2">
        <v>6590</v>
      </c>
      <c r="P5241" s="2" t="s">
        <v>34773</v>
      </c>
      <c r="Q5241" s="2" t="s">
        <v>34774</v>
      </c>
      <c r="R5241" s="2" t="s">
        <v>34775</v>
      </c>
      <c r="S5241" s="2" t="s">
        <v>89</v>
      </c>
      <c r="T5241" s="2" t="s">
        <v>90</v>
      </c>
      <c r="U5241" s="2" t="s">
        <v>7335</v>
      </c>
      <c r="V5241" s="2" t="s">
        <v>59</v>
      </c>
      <c r="W5241" s="2">
        <v>37.700000000000003</v>
      </c>
      <c r="X5241" s="2">
        <v>0</v>
      </c>
      <c r="Y5241" s="2" t="s">
        <v>560</v>
      </c>
      <c r="Z5241" s="2" t="s">
        <v>34776</v>
      </c>
      <c r="AA5241" s="2">
        <v>-6.0083336270434202</v>
      </c>
      <c r="AB5241" s="2">
        <v>9.4746669214230805E-2</v>
      </c>
      <c r="AC5241" s="2">
        <v>1773.3053395710299</v>
      </c>
      <c r="AD5241" s="2">
        <v>1002.72416859175</v>
      </c>
      <c r="AE5241" s="2">
        <v>2201.5115294767202</v>
      </c>
      <c r="AF5241" s="2">
        <v>1670.80434509928</v>
      </c>
      <c r="AG5241" s="2">
        <v>1535.00344472698</v>
      </c>
      <c r="AH5241" s="2">
        <v>1913.04251141339</v>
      </c>
      <c r="AI5241" s="2">
        <v>1826.96086613119</v>
      </c>
      <c r="AJ5241" s="2">
        <v>1492.5093405786199</v>
      </c>
      <c r="AK5241" s="2">
        <v>867.71586263252198</v>
      </c>
      <c r="AL5241" s="2">
        <v>519.45983128919795</v>
      </c>
      <c r="AM5241" s="2">
        <v>1181.76077249736</v>
      </c>
      <c r="AN5241" s="2">
        <v>637.28970155756599</v>
      </c>
      <c r="AO5241" s="2">
        <v>1121.06374988883</v>
      </c>
      <c r="AP5241" s="2">
        <v>1689.05509368503</v>
      </c>
    </row>
    <row r="5242" spans="1:42" ht="14.5" x14ac:dyDescent="0.35">
      <c r="A5242" s="2" t="s">
        <v>34777</v>
      </c>
      <c r="B5242" s="2">
        <v>393.22811932737898</v>
      </c>
      <c r="C5242" s="2">
        <v>10.173766666666699</v>
      </c>
      <c r="D5242" s="2" t="s">
        <v>70</v>
      </c>
      <c r="E5242" s="2" t="s">
        <v>34778</v>
      </c>
      <c r="F5242" s="2">
        <v>267402</v>
      </c>
      <c r="G5242" s="3" t="str">
        <f>HYPERLINK("http://funmeta.oebiotech.com/network/267402", "http://funmeta.oebiotech.com/network/267402")</f>
        <v>http://funmeta.oebiotech.com/network/267402</v>
      </c>
      <c r="H5242" s="2"/>
      <c r="I5242" s="2">
        <v>45405</v>
      </c>
      <c r="J5242" s="2"/>
      <c r="K5242" s="2"/>
      <c r="L5242" s="2"/>
      <c r="M5242" s="2"/>
      <c r="N5242" s="2"/>
      <c r="O5242" s="2">
        <v>35020910</v>
      </c>
      <c r="P5242" s="2"/>
      <c r="Q5242" s="2" t="s">
        <v>34779</v>
      </c>
      <c r="R5242" s="2" t="s">
        <v>34780</v>
      </c>
      <c r="S5242" s="2" t="s">
        <v>50</v>
      </c>
      <c r="T5242" s="2" t="s">
        <v>229</v>
      </c>
      <c r="U5242" s="2" t="s">
        <v>766</v>
      </c>
      <c r="V5242" s="2" t="s">
        <v>59</v>
      </c>
      <c r="W5242" s="2">
        <v>38.4</v>
      </c>
      <c r="X5242" s="2">
        <v>0</v>
      </c>
      <c r="Y5242" s="2" t="s">
        <v>408</v>
      </c>
      <c r="Z5242" s="2" t="s">
        <v>4999</v>
      </c>
      <c r="AA5242" s="2">
        <v>-0.41078332445069399</v>
      </c>
      <c r="AB5242" s="2">
        <v>9.4737657504501194E-2</v>
      </c>
      <c r="AC5242" s="2">
        <v>3196.5934847970002</v>
      </c>
      <c r="AD5242" s="2">
        <v>2473.6876599945499</v>
      </c>
      <c r="AE5242" s="2">
        <v>3290.4987070171101</v>
      </c>
      <c r="AF5242" s="2">
        <v>2975.8199967905798</v>
      </c>
      <c r="AG5242" s="2">
        <v>2757.6736843830399</v>
      </c>
      <c r="AH5242" s="2">
        <v>3668.9342865809399</v>
      </c>
      <c r="AI5242" s="2">
        <v>3132.7435643019699</v>
      </c>
      <c r="AJ5242" s="2">
        <v>3353.8906697083398</v>
      </c>
      <c r="AK5242" s="2">
        <v>2746.98872336161</v>
      </c>
      <c r="AL5242" s="2">
        <v>2216.1667328952699</v>
      </c>
      <c r="AM5242" s="2">
        <v>2371.71105916427</v>
      </c>
      <c r="AN5242" s="2">
        <v>2745.2946990103701</v>
      </c>
      <c r="AO5242" s="2">
        <v>2258.0596116341399</v>
      </c>
      <c r="AP5242" s="2">
        <v>2503.9051339016301</v>
      </c>
    </row>
    <row r="5243" spans="1:42" ht="14.5" x14ac:dyDescent="0.35">
      <c r="A5243" s="2" t="s">
        <v>34781</v>
      </c>
      <c r="B5243" s="2">
        <v>765.296415784479</v>
      </c>
      <c r="C5243" s="2">
        <v>4.7402166666666696</v>
      </c>
      <c r="D5243" s="2" t="s">
        <v>70</v>
      </c>
      <c r="E5243" s="2" t="s">
        <v>34782</v>
      </c>
      <c r="F5243" s="2">
        <v>53049</v>
      </c>
      <c r="G5243" s="3" t="str">
        <f>HYPERLINK("http://funmeta.oebiotech.com/network/53049", "http://funmeta.oebiotech.com/network/53049")</f>
        <v>http://funmeta.oebiotech.com/network/53049</v>
      </c>
      <c r="H5243" s="2" t="s">
        <v>34783</v>
      </c>
      <c r="I5243" s="2">
        <v>1142</v>
      </c>
      <c r="J5243" s="2"/>
      <c r="K5243" s="2">
        <v>43968</v>
      </c>
      <c r="L5243" s="2" t="s">
        <v>34784</v>
      </c>
      <c r="M5243" s="2"/>
      <c r="N5243" s="2"/>
      <c r="O5243" s="2">
        <v>441130</v>
      </c>
      <c r="P5243" s="2" t="s">
        <v>34785</v>
      </c>
      <c r="Q5243" s="2" t="s">
        <v>34786</v>
      </c>
      <c r="R5243" s="2" t="s">
        <v>34787</v>
      </c>
      <c r="S5243" s="2" t="s">
        <v>491</v>
      </c>
      <c r="T5243" s="2" t="s">
        <v>8419</v>
      </c>
      <c r="U5243" s="2" t="s">
        <v>8420</v>
      </c>
      <c r="V5243" s="2" t="s">
        <v>59</v>
      </c>
      <c r="W5243" s="2">
        <v>38.4</v>
      </c>
      <c r="X5243" s="2">
        <v>0</v>
      </c>
      <c r="Y5243" s="2" t="s">
        <v>560</v>
      </c>
      <c r="Z5243" s="2" t="s">
        <v>34788</v>
      </c>
      <c r="AA5243" s="2">
        <v>0.92442362076643403</v>
      </c>
      <c r="AB5243" s="2">
        <v>9.4718408694342393E-2</v>
      </c>
      <c r="AC5243" s="2">
        <v>13691.6505642628</v>
      </c>
      <c r="AD5243" s="2">
        <v>15527.248460742099</v>
      </c>
      <c r="AE5243" s="2">
        <v>15240.1497114952</v>
      </c>
      <c r="AF5243" s="2">
        <v>10744.591816815901</v>
      </c>
      <c r="AG5243" s="2">
        <v>7512.9146654788001</v>
      </c>
      <c r="AH5243" s="2">
        <v>16133.3002121354</v>
      </c>
      <c r="AI5243" s="2">
        <v>14543.301972040201</v>
      </c>
      <c r="AJ5243" s="2">
        <v>17975.6450076111</v>
      </c>
      <c r="AK5243" s="2">
        <v>14761.1712119882</v>
      </c>
      <c r="AL5243" s="2">
        <v>13857.2374318085</v>
      </c>
      <c r="AM5243" s="2">
        <v>14652.619641434099</v>
      </c>
      <c r="AN5243" s="2">
        <v>19473.630522331401</v>
      </c>
      <c r="AO5243" s="2">
        <v>14505.9828954718</v>
      </c>
      <c r="AP5243" s="2">
        <v>15912.849061418599</v>
      </c>
    </row>
    <row r="5244" spans="1:42" ht="14.5" x14ac:dyDescent="0.35">
      <c r="A5244" s="2" t="s">
        <v>34789</v>
      </c>
      <c r="B5244" s="2">
        <v>338.08657225912299</v>
      </c>
      <c r="C5244" s="2">
        <v>4.0024166666666696</v>
      </c>
      <c r="D5244" s="2" t="s">
        <v>34</v>
      </c>
      <c r="E5244" s="2" t="s">
        <v>34790</v>
      </c>
      <c r="F5244" s="2">
        <v>51444</v>
      </c>
      <c r="G5244" s="3" t="str">
        <f>HYPERLINK("http://funmeta.oebiotech.com/network/51444", "http://funmeta.oebiotech.com/network/51444")</f>
        <v>http://funmeta.oebiotech.com/network/51444</v>
      </c>
      <c r="H5244" s="2" t="s">
        <v>34791</v>
      </c>
      <c r="I5244" s="2">
        <v>62403</v>
      </c>
      <c r="J5244" s="2"/>
      <c r="K5244" s="2">
        <v>145209</v>
      </c>
      <c r="L5244" s="2"/>
      <c r="M5244" s="2"/>
      <c r="N5244" s="2"/>
      <c r="O5244" s="2">
        <v>53481014</v>
      </c>
      <c r="P5244" s="2"/>
      <c r="Q5244" s="2" t="s">
        <v>34792</v>
      </c>
      <c r="R5244" s="2" t="s">
        <v>34793</v>
      </c>
      <c r="S5244" s="2" t="s">
        <v>79</v>
      </c>
      <c r="T5244" s="2" t="s">
        <v>80</v>
      </c>
      <c r="U5244" s="2" t="s">
        <v>81</v>
      </c>
      <c r="V5244" s="2" t="s">
        <v>59</v>
      </c>
      <c r="W5244" s="2">
        <v>39.1</v>
      </c>
      <c r="X5244" s="2">
        <v>0</v>
      </c>
      <c r="Y5244" s="2" t="s">
        <v>394</v>
      </c>
      <c r="Z5244" s="2" t="s">
        <v>34794</v>
      </c>
      <c r="AA5244" s="2">
        <v>-1.3961538307228301</v>
      </c>
      <c r="AB5244" s="2">
        <v>9.4705634523016793E-2</v>
      </c>
      <c r="AC5244" s="2">
        <v>972.35430699662402</v>
      </c>
      <c r="AD5244" s="2">
        <v>1767.9749233789801</v>
      </c>
      <c r="AE5244" s="2">
        <v>1828.8581429559999</v>
      </c>
      <c r="AF5244" s="2">
        <v>566.76165254478701</v>
      </c>
      <c r="AG5244" s="2">
        <v>670.42107092678896</v>
      </c>
      <c r="AH5244" s="2">
        <v>608.97887334295001</v>
      </c>
      <c r="AI5244" s="2">
        <v>1043.1622469665399</v>
      </c>
      <c r="AJ5244" s="2">
        <v>1115.94385524268</v>
      </c>
      <c r="AK5244" s="2">
        <v>1664.40156785106</v>
      </c>
      <c r="AL5244" s="2">
        <v>1398.1799939179</v>
      </c>
      <c r="AM5244" s="2">
        <v>1670.7210676632801</v>
      </c>
      <c r="AN5244" s="2">
        <v>1801.1748821190199</v>
      </c>
      <c r="AO5244" s="2">
        <v>1769.25567306214</v>
      </c>
      <c r="AP5244" s="2">
        <v>2304.1163556604602</v>
      </c>
    </row>
    <row r="5245" spans="1:42" ht="14.5" x14ac:dyDescent="0.35">
      <c r="A5245" s="2" t="s">
        <v>34795</v>
      </c>
      <c r="B5245" s="2">
        <v>603.20911180897701</v>
      </c>
      <c r="C5245" s="2">
        <v>6.3868666666666698</v>
      </c>
      <c r="D5245" s="2" t="s">
        <v>70</v>
      </c>
      <c r="E5245" s="2" t="s">
        <v>34796</v>
      </c>
      <c r="F5245" s="2">
        <v>82102</v>
      </c>
      <c r="G5245" s="3" t="str">
        <f>HYPERLINK("http://funmeta.oebiotech.com/network/82102", "http://funmeta.oebiotech.com/network/82102")</f>
        <v>http://funmeta.oebiotech.com/network/82102</v>
      </c>
      <c r="H5245" s="2" t="s">
        <v>34797</v>
      </c>
      <c r="I5245" s="2">
        <v>72907</v>
      </c>
      <c r="J5245" s="2"/>
      <c r="K5245" s="2">
        <v>35861</v>
      </c>
      <c r="L5245" s="2" t="s">
        <v>34798</v>
      </c>
      <c r="M5245" s="2"/>
      <c r="N5245" s="2"/>
      <c r="O5245" s="2">
        <v>9119</v>
      </c>
      <c r="P5245" s="2" t="s">
        <v>34799</v>
      </c>
      <c r="Q5245" s="2" t="s">
        <v>34800</v>
      </c>
      <c r="R5245" s="2" t="s">
        <v>34801</v>
      </c>
      <c r="S5245" s="2" t="s">
        <v>148</v>
      </c>
      <c r="T5245" s="2" t="s">
        <v>16716</v>
      </c>
      <c r="U5245" s="2" t="s">
        <v>18020</v>
      </c>
      <c r="V5245" s="2" t="s">
        <v>59</v>
      </c>
      <c r="W5245" s="2">
        <v>38.200000000000003</v>
      </c>
      <c r="X5245" s="2">
        <v>0</v>
      </c>
      <c r="Y5245" s="2" t="s">
        <v>560</v>
      </c>
      <c r="Z5245" s="2" t="s">
        <v>34802</v>
      </c>
      <c r="AA5245" s="2">
        <v>-4.4895253708301697</v>
      </c>
      <c r="AB5245" s="2">
        <v>9.4679160347099306E-2</v>
      </c>
      <c r="AC5245" s="2">
        <v>919.388174095831</v>
      </c>
      <c r="AD5245" s="2">
        <v>224.39694390584299</v>
      </c>
      <c r="AE5245" s="2">
        <v>431.271935725248</v>
      </c>
      <c r="AF5245" s="2">
        <v>750.81209167852001</v>
      </c>
      <c r="AG5245" s="2">
        <v>1311.28354875937</v>
      </c>
      <c r="AH5245" s="2">
        <v>1073.9676412031999</v>
      </c>
      <c r="AI5245" s="2">
        <v>788.12710946338802</v>
      </c>
      <c r="AJ5245" s="2">
        <v>1160.8667177452601</v>
      </c>
      <c r="AK5245" s="2">
        <v>385.36855255819899</v>
      </c>
      <c r="AL5245" s="2">
        <v>177.70610274290101</v>
      </c>
      <c r="AM5245" s="2">
        <v>318.098647572326</v>
      </c>
      <c r="AN5245" s="2">
        <v>67.354543180924196</v>
      </c>
      <c r="AO5245" s="2">
        <v>164.68650773302599</v>
      </c>
      <c r="AP5245" s="2">
        <v>233.16730964768001</v>
      </c>
    </row>
    <row r="5246" spans="1:42" ht="14.5" x14ac:dyDescent="0.35">
      <c r="A5246" s="2" t="s">
        <v>34803</v>
      </c>
      <c r="B5246" s="2">
        <v>377.16348867655199</v>
      </c>
      <c r="C5246" s="2">
        <v>12.375349999999999</v>
      </c>
      <c r="D5246" s="2" t="s">
        <v>70</v>
      </c>
      <c r="E5246" s="2" t="s">
        <v>34804</v>
      </c>
      <c r="F5246" s="2">
        <v>206763</v>
      </c>
      <c r="G5246" s="3" t="str">
        <f>HYPERLINK("http://funmeta.oebiotech.com/network/206763", "http://funmeta.oebiotech.com/network/206763")</f>
        <v>http://funmeta.oebiotech.com/network/206763</v>
      </c>
      <c r="H5246" s="2" t="s">
        <v>34805</v>
      </c>
      <c r="I5246" s="2"/>
      <c r="J5246" s="2"/>
      <c r="K5246" s="2"/>
      <c r="L5246" s="2"/>
      <c r="M5246" s="2"/>
      <c r="N5246" s="2"/>
      <c r="O5246" s="2">
        <v>24993045</v>
      </c>
      <c r="P5246" s="2"/>
      <c r="Q5246" s="2" t="s">
        <v>34806</v>
      </c>
      <c r="R5246" s="2" t="s">
        <v>34807</v>
      </c>
      <c r="S5246" s="2" t="s">
        <v>491</v>
      </c>
      <c r="T5246" s="2" t="s">
        <v>3019</v>
      </c>
      <c r="U5246" s="2" t="s">
        <v>10208</v>
      </c>
      <c r="V5246" s="2" t="s">
        <v>59</v>
      </c>
      <c r="W5246" s="2">
        <v>36.799999999999997</v>
      </c>
      <c r="X5246" s="2">
        <v>0</v>
      </c>
      <c r="Y5246" s="2" t="s">
        <v>118</v>
      </c>
      <c r="Z5246" s="2" t="s">
        <v>34808</v>
      </c>
      <c r="AA5246" s="2">
        <v>4.1635468231608401</v>
      </c>
      <c r="AB5246" s="2">
        <v>9.4673991639461594E-2</v>
      </c>
      <c r="AC5246" s="2">
        <v>2896.8829702766802</v>
      </c>
      <c r="AD5246" s="2">
        <v>4235.30665504027</v>
      </c>
      <c r="AE5246" s="2">
        <v>3961.30730604982</v>
      </c>
      <c r="AF5246" s="2">
        <v>1165.5587717665901</v>
      </c>
      <c r="AG5246" s="2">
        <v>2263.67532441096</v>
      </c>
      <c r="AH5246" s="2">
        <v>4080.1925204624899</v>
      </c>
      <c r="AI5246" s="2">
        <v>3707.7129288101601</v>
      </c>
      <c r="AJ5246" s="2">
        <v>2202.8509701600701</v>
      </c>
      <c r="AK5246" s="2">
        <v>2092.9756990487299</v>
      </c>
      <c r="AL5246" s="2">
        <v>6151.2468256031798</v>
      </c>
      <c r="AM5246" s="2">
        <v>4959.0797333521105</v>
      </c>
      <c r="AN5246" s="2">
        <v>6297.3228388793104</v>
      </c>
      <c r="AO5246" s="2">
        <v>3068.26606367463</v>
      </c>
      <c r="AP5246" s="2">
        <v>2842.94876968368</v>
      </c>
    </row>
    <row r="5247" spans="1:42" ht="14.5" x14ac:dyDescent="0.35">
      <c r="A5247" s="2" t="s">
        <v>34809</v>
      </c>
      <c r="B5247" s="2">
        <v>819.26958839844599</v>
      </c>
      <c r="C5247" s="2">
        <v>5.6539333333333301</v>
      </c>
      <c r="D5247" s="2" t="s">
        <v>70</v>
      </c>
      <c r="E5247" s="2" t="s">
        <v>34810</v>
      </c>
      <c r="F5247" s="2">
        <v>58232</v>
      </c>
      <c r="G5247" s="3" t="str">
        <f>HYPERLINK("http://funmeta.oebiotech.com/network/58232", "http://funmeta.oebiotech.com/network/58232")</f>
        <v>http://funmeta.oebiotech.com/network/58232</v>
      </c>
      <c r="H5247" s="2" t="s">
        <v>34811</v>
      </c>
      <c r="I5247" s="2">
        <v>68343</v>
      </c>
      <c r="J5247" s="2"/>
      <c r="K5247" s="2"/>
      <c r="L5247" s="2" t="s">
        <v>34812</v>
      </c>
      <c r="M5247" s="2"/>
      <c r="N5247" s="2"/>
      <c r="O5247" s="2">
        <v>68184</v>
      </c>
      <c r="P5247" s="2" t="s">
        <v>34813</v>
      </c>
      <c r="Q5247" s="2" t="s">
        <v>34814</v>
      </c>
      <c r="R5247" s="2" t="s">
        <v>34815</v>
      </c>
      <c r="S5247" s="2" t="s">
        <v>115</v>
      </c>
      <c r="T5247" s="2" t="s">
        <v>1371</v>
      </c>
      <c r="U5247" s="2" t="s">
        <v>10759</v>
      </c>
      <c r="V5247" s="2" t="s">
        <v>59</v>
      </c>
      <c r="W5247" s="2">
        <v>38.200000000000003</v>
      </c>
      <c r="X5247" s="2">
        <v>0</v>
      </c>
      <c r="Y5247" s="2" t="s">
        <v>560</v>
      </c>
      <c r="Z5247" s="2" t="s">
        <v>34816</v>
      </c>
      <c r="AA5247" s="2">
        <v>4.5823098405393203</v>
      </c>
      <c r="AB5247" s="2">
        <v>9.4643719656138603E-2</v>
      </c>
      <c r="AC5247" s="2">
        <v>15406.105534685699</v>
      </c>
      <c r="AD5247" s="2">
        <v>13696.247750820499</v>
      </c>
      <c r="AE5247" s="2">
        <v>18485.806786896399</v>
      </c>
      <c r="AF5247" s="2">
        <v>11042.800727993799</v>
      </c>
      <c r="AG5247" s="2">
        <v>16740.235015763799</v>
      </c>
      <c r="AH5247" s="2">
        <v>15632.5193043619</v>
      </c>
      <c r="AI5247" s="2">
        <v>13522.8800420475</v>
      </c>
      <c r="AJ5247" s="2">
        <v>17012.391331051</v>
      </c>
      <c r="AK5247" s="2">
        <v>10686.3404350785</v>
      </c>
      <c r="AL5247" s="2">
        <v>14361.329496726399</v>
      </c>
      <c r="AM5247" s="2">
        <v>17334.984225371401</v>
      </c>
      <c r="AN5247" s="2">
        <v>15181.7656068655</v>
      </c>
      <c r="AO5247" s="2">
        <v>12695.475090148801</v>
      </c>
      <c r="AP5247" s="2">
        <v>11917.5916507324</v>
      </c>
    </row>
    <row r="5248" spans="1:42" ht="14.5" x14ac:dyDescent="0.35">
      <c r="A5248" s="2" t="s">
        <v>34817</v>
      </c>
      <c r="B5248" s="2">
        <v>989.34958781883597</v>
      </c>
      <c r="C5248" s="2">
        <v>3.7494000000000001</v>
      </c>
      <c r="D5248" s="2" t="s">
        <v>70</v>
      </c>
      <c r="E5248" s="2" t="s">
        <v>34818</v>
      </c>
      <c r="F5248" s="2">
        <v>267345</v>
      </c>
      <c r="G5248" s="3" t="str">
        <f>HYPERLINK("http://funmeta.oebiotech.com/network/267345", "http://funmeta.oebiotech.com/network/267345")</f>
        <v>http://funmeta.oebiotech.com/network/267345</v>
      </c>
      <c r="H5248" s="2"/>
      <c r="I5248" s="2">
        <v>45300</v>
      </c>
      <c r="J5248" s="2"/>
      <c r="K5248" s="2"/>
      <c r="L5248" s="2"/>
      <c r="M5248" s="2"/>
      <c r="N5248" s="2"/>
      <c r="O5248" s="2">
        <v>108152</v>
      </c>
      <c r="P5248" s="2" t="s">
        <v>34819</v>
      </c>
      <c r="Q5248" s="2" t="s">
        <v>34820</v>
      </c>
      <c r="R5248" s="2" t="s">
        <v>34821</v>
      </c>
      <c r="S5248" s="2" t="s">
        <v>491</v>
      </c>
      <c r="T5248" s="2" t="s">
        <v>2184</v>
      </c>
      <c r="U5248" s="2" t="s">
        <v>8546</v>
      </c>
      <c r="V5248" s="2" t="s">
        <v>59</v>
      </c>
      <c r="W5248" s="2">
        <v>38.299999999999997</v>
      </c>
      <c r="X5248" s="2">
        <v>0</v>
      </c>
      <c r="Y5248" s="2" t="s">
        <v>560</v>
      </c>
      <c r="Z5248" s="2" t="s">
        <v>34822</v>
      </c>
      <c r="AA5248" s="2">
        <v>-1.99682880687801</v>
      </c>
      <c r="AB5248" s="2">
        <v>9.4587396658541698E-2</v>
      </c>
      <c r="AC5248" s="2">
        <v>5282.9469855054103</v>
      </c>
      <c r="AD5248" s="2">
        <v>6514.33092190555</v>
      </c>
      <c r="AE5248" s="2">
        <v>4174.8468626452895</v>
      </c>
      <c r="AF5248" s="2">
        <v>3223.1366618622901</v>
      </c>
      <c r="AG5248" s="2">
        <v>5594.6949199761402</v>
      </c>
      <c r="AH5248" s="2">
        <v>4426.1449614089497</v>
      </c>
      <c r="AI5248" s="2">
        <v>6365.0578541412297</v>
      </c>
      <c r="AJ5248" s="2">
        <v>7913.8006529985396</v>
      </c>
      <c r="AK5248" s="2">
        <v>6096.6569161369898</v>
      </c>
      <c r="AL5248" s="2">
        <v>5961.4094795535002</v>
      </c>
      <c r="AM5248" s="2">
        <v>6691.6814196064697</v>
      </c>
      <c r="AN5248" s="2">
        <v>6328.5635952550501</v>
      </c>
      <c r="AO5248" s="2">
        <v>7669.4879514150498</v>
      </c>
      <c r="AP5248" s="2">
        <v>6338.1861694662402</v>
      </c>
    </row>
    <row r="5249" spans="1:42" ht="14.5" x14ac:dyDescent="0.35">
      <c r="A5249" s="2" t="s">
        <v>34823</v>
      </c>
      <c r="B5249" s="2">
        <v>151.08656263249301</v>
      </c>
      <c r="C5249" s="2">
        <v>1.09313333333333</v>
      </c>
      <c r="D5249" s="2" t="s">
        <v>34</v>
      </c>
      <c r="E5249" s="2" t="s">
        <v>34824</v>
      </c>
      <c r="F5249" s="2">
        <v>54652</v>
      </c>
      <c r="G5249" s="3" t="str">
        <f>HYPERLINK("http://funmeta.oebiotech.com/network/54652", "http://funmeta.oebiotech.com/network/54652")</f>
        <v>http://funmeta.oebiotech.com/network/54652</v>
      </c>
      <c r="H5249" s="2" t="s">
        <v>34825</v>
      </c>
      <c r="I5249" s="2">
        <v>34513</v>
      </c>
      <c r="J5249" s="2"/>
      <c r="K5249" s="2">
        <v>16667</v>
      </c>
      <c r="L5249" s="2" t="s">
        <v>34826</v>
      </c>
      <c r="M5249" s="2"/>
      <c r="N5249" s="2"/>
      <c r="O5249" s="2">
        <v>26548</v>
      </c>
      <c r="P5249" s="2" t="s">
        <v>34827</v>
      </c>
      <c r="Q5249" s="2" t="s">
        <v>34828</v>
      </c>
      <c r="R5249" s="2" t="s">
        <v>34829</v>
      </c>
      <c r="S5249" s="2" t="s">
        <v>148</v>
      </c>
      <c r="T5249" s="2" t="s">
        <v>149</v>
      </c>
      <c r="U5249" s="2" t="s">
        <v>34830</v>
      </c>
      <c r="V5249" s="2" t="s">
        <v>59</v>
      </c>
      <c r="W5249" s="2">
        <v>38.9</v>
      </c>
      <c r="X5249" s="2">
        <v>0</v>
      </c>
      <c r="Y5249" s="2" t="s">
        <v>43</v>
      </c>
      <c r="Z5249" s="2" t="s">
        <v>34831</v>
      </c>
      <c r="AA5249" s="2">
        <v>-0.201020677439256</v>
      </c>
      <c r="AB5249" s="2">
        <v>9.4490496848363303E-2</v>
      </c>
      <c r="AC5249" s="2">
        <v>1645.2608739918601</v>
      </c>
      <c r="AD5249" s="2">
        <v>2289.0197438740302</v>
      </c>
      <c r="AE5249" s="2">
        <v>1679.8347759424501</v>
      </c>
      <c r="AF5249" s="2">
        <v>1673.53868382579</v>
      </c>
      <c r="AG5249" s="2">
        <v>1624.8952408519101</v>
      </c>
      <c r="AH5249" s="2">
        <v>1537.6334895710399</v>
      </c>
      <c r="AI5249" s="2">
        <v>1629.49043625954</v>
      </c>
      <c r="AJ5249" s="2">
        <v>1726.1726175004101</v>
      </c>
      <c r="AK5249" s="2">
        <v>2334.2818263982499</v>
      </c>
      <c r="AL5249" s="2">
        <v>2353.3527305976199</v>
      </c>
      <c r="AM5249" s="2">
        <v>2645.1867031596298</v>
      </c>
      <c r="AN5249" s="2">
        <v>2276.1940185296498</v>
      </c>
      <c r="AO5249" s="2">
        <v>2091.6510080017401</v>
      </c>
      <c r="AP5249" s="2">
        <v>2033.4521765572799</v>
      </c>
    </row>
    <row r="5250" spans="1:42" ht="14.5" x14ac:dyDescent="0.35">
      <c r="A5250" s="2" t="s">
        <v>34832</v>
      </c>
      <c r="B5250" s="2">
        <v>620.32143430548297</v>
      </c>
      <c r="C5250" s="2">
        <v>7.2058833333333299</v>
      </c>
      <c r="D5250" s="2" t="s">
        <v>34</v>
      </c>
      <c r="E5250" s="2" t="s">
        <v>34833</v>
      </c>
      <c r="F5250" s="2">
        <v>257638</v>
      </c>
      <c r="G5250" s="3" t="str">
        <f>HYPERLINK("http://funmeta.oebiotech.com/network/257638", "http://funmeta.oebiotech.com/network/257638")</f>
        <v>http://funmeta.oebiotech.com/network/257638</v>
      </c>
      <c r="H5250" s="2" t="s">
        <v>34834</v>
      </c>
      <c r="I5250" s="2"/>
      <c r="J5250" s="2"/>
      <c r="K5250" s="2"/>
      <c r="L5250" s="2"/>
      <c r="M5250" s="2"/>
      <c r="N5250" s="2"/>
      <c r="O5250" s="2">
        <v>11753673</v>
      </c>
      <c r="P5250" s="2"/>
      <c r="Q5250" s="2" t="s">
        <v>34835</v>
      </c>
      <c r="R5250" s="2" t="s">
        <v>34836</v>
      </c>
      <c r="S5250" s="2" t="s">
        <v>491</v>
      </c>
      <c r="T5250" s="2" t="s">
        <v>7584</v>
      </c>
      <c r="U5250" s="2" t="s">
        <v>33637</v>
      </c>
      <c r="V5250" s="2" t="s">
        <v>59</v>
      </c>
      <c r="W5250" s="2">
        <v>37.700000000000003</v>
      </c>
      <c r="X5250" s="2">
        <v>0</v>
      </c>
      <c r="Y5250" s="2" t="s">
        <v>323</v>
      </c>
      <c r="Z5250" s="2" t="s">
        <v>34837</v>
      </c>
      <c r="AA5250" s="2">
        <v>1.1865174157546201</v>
      </c>
      <c r="AB5250" s="2">
        <v>9.4479644995384804E-2</v>
      </c>
      <c r="AC5250" s="2">
        <v>11612.6399560556</v>
      </c>
      <c r="AD5250" s="2">
        <v>13631.532721416799</v>
      </c>
      <c r="AE5250" s="2">
        <v>13813.1110851091</v>
      </c>
      <c r="AF5250" s="2">
        <v>17373.081718638099</v>
      </c>
      <c r="AG5250" s="2">
        <v>14045.84588687</v>
      </c>
      <c r="AH5250" s="2">
        <v>10971.9985519044</v>
      </c>
      <c r="AI5250" s="2">
        <v>9317.0259162147504</v>
      </c>
      <c r="AJ5250" s="2">
        <v>4154.7765775971602</v>
      </c>
      <c r="AK5250" s="2">
        <v>13084.751502085701</v>
      </c>
      <c r="AL5250" s="2">
        <v>17005.962259296499</v>
      </c>
      <c r="AM5250" s="2">
        <v>13111.467138018201</v>
      </c>
      <c r="AN5250" s="2">
        <v>11691.659823924199</v>
      </c>
      <c r="AO5250" s="2">
        <v>13480.908506957099</v>
      </c>
      <c r="AP5250" s="2">
        <v>13414.4470982189</v>
      </c>
    </row>
    <row r="5251" spans="1:42" ht="14.5" x14ac:dyDescent="0.35">
      <c r="A5251" s="2" t="s">
        <v>34838</v>
      </c>
      <c r="B5251" s="2">
        <v>206.02133934188899</v>
      </c>
      <c r="C5251" s="2">
        <v>1.20376666666667</v>
      </c>
      <c r="D5251" s="2" t="s">
        <v>70</v>
      </c>
      <c r="E5251" s="2" t="s">
        <v>34839</v>
      </c>
      <c r="F5251" s="2">
        <v>52938</v>
      </c>
      <c r="G5251" s="3" t="str">
        <f>HYPERLINK("http://funmeta.oebiotech.com/network/52938", "http://funmeta.oebiotech.com/network/52938")</f>
        <v>http://funmeta.oebiotech.com/network/52938</v>
      </c>
      <c r="H5251" s="2" t="s">
        <v>34840</v>
      </c>
      <c r="I5251" s="2">
        <v>4051</v>
      </c>
      <c r="J5251" s="2"/>
      <c r="K5251" s="2">
        <v>5195</v>
      </c>
      <c r="L5251" s="2" t="s">
        <v>34841</v>
      </c>
      <c r="M5251" s="2"/>
      <c r="N5251" s="2"/>
      <c r="O5251" s="2">
        <v>5323714</v>
      </c>
      <c r="P5251" s="2" t="s">
        <v>34842</v>
      </c>
      <c r="Q5251" s="2" t="s">
        <v>34843</v>
      </c>
      <c r="R5251" s="2" t="s">
        <v>34844</v>
      </c>
      <c r="S5251" s="2" t="s">
        <v>491</v>
      </c>
      <c r="T5251" s="2" t="s">
        <v>9656</v>
      </c>
      <c r="U5251" s="2" t="s">
        <v>34845</v>
      </c>
      <c r="V5251" s="2" t="s">
        <v>59</v>
      </c>
      <c r="W5251" s="2">
        <v>38.5</v>
      </c>
      <c r="X5251" s="2">
        <v>2.0499999999999998</v>
      </c>
      <c r="Y5251" s="2" t="s">
        <v>751</v>
      </c>
      <c r="Z5251" s="2" t="s">
        <v>34846</v>
      </c>
      <c r="AA5251" s="2">
        <v>2.71120278874545</v>
      </c>
      <c r="AB5251" s="2">
        <v>9.4441066450688102E-2</v>
      </c>
      <c r="AC5251" s="2">
        <v>12018.3521159514</v>
      </c>
      <c r="AD5251" s="2">
        <v>10792.112260288501</v>
      </c>
      <c r="AE5251" s="2">
        <v>12477.363562541799</v>
      </c>
      <c r="AF5251" s="2">
        <v>13306.2949404274</v>
      </c>
      <c r="AG5251" s="2">
        <v>12041.027819049399</v>
      </c>
      <c r="AH5251" s="2">
        <v>11771.3082423042</v>
      </c>
      <c r="AI5251" s="2">
        <v>10768.714216308101</v>
      </c>
      <c r="AJ5251" s="2">
        <v>11745.403915077601</v>
      </c>
      <c r="AK5251" s="2">
        <v>11645.540620624301</v>
      </c>
      <c r="AL5251" s="2">
        <v>11187.4609157138</v>
      </c>
      <c r="AM5251" s="2">
        <v>7836.55628265214</v>
      </c>
      <c r="AN5251" s="2">
        <v>10935.3869540871</v>
      </c>
      <c r="AO5251" s="2">
        <v>12521.2470889614</v>
      </c>
      <c r="AP5251" s="2">
        <v>10626.4816996923</v>
      </c>
    </row>
    <row r="5252" spans="1:42" ht="14.5" x14ac:dyDescent="0.35">
      <c r="A5252" s="2" t="s">
        <v>34847</v>
      </c>
      <c r="B5252" s="2">
        <v>329.13815800802502</v>
      </c>
      <c r="C5252" s="2">
        <v>4.63378333333333</v>
      </c>
      <c r="D5252" s="2" t="s">
        <v>34</v>
      </c>
      <c r="E5252" s="5" t="s">
        <v>34848</v>
      </c>
      <c r="F5252" s="2">
        <v>61714</v>
      </c>
      <c r="G5252" s="3" t="str">
        <f>HYPERLINK("http://funmeta.oebiotech.com/network/61714", "http://funmeta.oebiotech.com/network/61714")</f>
        <v>http://funmeta.oebiotech.com/network/61714</v>
      </c>
      <c r="H5252" s="2" t="s">
        <v>34849</v>
      </c>
      <c r="I5252" s="2">
        <v>93038</v>
      </c>
      <c r="J5252" s="2"/>
      <c r="K5252" s="2"/>
      <c r="L5252" s="2"/>
      <c r="M5252" s="2"/>
      <c r="N5252" s="2"/>
      <c r="O5252" s="2">
        <v>101135489</v>
      </c>
      <c r="P5252" s="2" t="s">
        <v>34850</v>
      </c>
      <c r="Q5252" s="2" t="s">
        <v>34851</v>
      </c>
      <c r="R5252" s="2" t="s">
        <v>34852</v>
      </c>
      <c r="S5252" s="2" t="s">
        <v>50</v>
      </c>
      <c r="T5252" s="2" t="s">
        <v>201</v>
      </c>
      <c r="U5252" s="2" t="s">
        <v>241</v>
      </c>
      <c r="V5252" s="2" t="s">
        <v>42</v>
      </c>
      <c r="W5252" s="2">
        <v>51.7</v>
      </c>
      <c r="X5252" s="2">
        <v>63.7</v>
      </c>
      <c r="Y5252" s="2" t="s">
        <v>141</v>
      </c>
      <c r="Z5252" s="2" t="s">
        <v>25359</v>
      </c>
      <c r="AA5252" s="2">
        <v>-0.55516255262586101</v>
      </c>
      <c r="AB5252" s="2">
        <v>9.4333377879486702E-2</v>
      </c>
      <c r="AC5252" s="2">
        <v>153362.440387674</v>
      </c>
      <c r="AD5252" s="2">
        <v>156453.232845566</v>
      </c>
      <c r="AE5252" s="2">
        <v>147236.23495484499</v>
      </c>
      <c r="AF5252" s="2">
        <v>163023.89406112401</v>
      </c>
      <c r="AG5252" s="2">
        <v>156917.36735598801</v>
      </c>
      <c r="AH5252" s="2">
        <v>143629.76061925801</v>
      </c>
      <c r="AI5252" s="2">
        <v>156939.51327039601</v>
      </c>
      <c r="AJ5252" s="2">
        <v>152427.872064436</v>
      </c>
      <c r="AK5252" s="2">
        <v>162027.67515377799</v>
      </c>
      <c r="AL5252" s="2">
        <v>159429.95585632601</v>
      </c>
      <c r="AM5252" s="2">
        <v>149542.59588488599</v>
      </c>
      <c r="AN5252" s="2">
        <v>166134.24397610701</v>
      </c>
      <c r="AO5252" s="2">
        <v>139220.56436185699</v>
      </c>
      <c r="AP5252" s="2">
        <v>162364.361840442</v>
      </c>
    </row>
    <row r="5253" spans="1:42" ht="14.5" x14ac:dyDescent="0.35">
      <c r="A5253" s="2" t="s">
        <v>34853</v>
      </c>
      <c r="B5253" s="2">
        <v>355.15410137581699</v>
      </c>
      <c r="C5253" s="2">
        <v>5.4227666666666696</v>
      </c>
      <c r="D5253" s="2" t="s">
        <v>34</v>
      </c>
      <c r="E5253" s="2" t="s">
        <v>34854</v>
      </c>
      <c r="F5253" s="2">
        <v>34949</v>
      </c>
      <c r="G5253" s="3" t="str">
        <f>HYPERLINK("http://funmeta.oebiotech.com/network/34949", "http://funmeta.oebiotech.com/network/34949")</f>
        <v>http://funmeta.oebiotech.com/network/34949</v>
      </c>
      <c r="H5253" s="2"/>
      <c r="I5253" s="2">
        <v>84961</v>
      </c>
      <c r="J5253" s="2" t="s">
        <v>34855</v>
      </c>
      <c r="K5253" s="2"/>
      <c r="L5253" s="2"/>
      <c r="M5253" s="2"/>
      <c r="N5253" s="2"/>
      <c r="O5253" s="2">
        <v>9946625</v>
      </c>
      <c r="P5253" s="2" t="s">
        <v>34856</v>
      </c>
      <c r="Q5253" s="2" t="s">
        <v>34857</v>
      </c>
      <c r="R5253" s="2" t="s">
        <v>34858</v>
      </c>
      <c r="S5253" s="2" t="s">
        <v>115</v>
      </c>
      <c r="T5253" s="2" t="s">
        <v>758</v>
      </c>
      <c r="U5253" s="2" t="s">
        <v>1477</v>
      </c>
      <c r="V5253" s="2" t="s">
        <v>59</v>
      </c>
      <c r="W5253" s="2">
        <v>37.799999999999997</v>
      </c>
      <c r="X5253" s="2">
        <v>0</v>
      </c>
      <c r="Y5253" s="2" t="s">
        <v>394</v>
      </c>
      <c r="Z5253" s="2" t="s">
        <v>34859</v>
      </c>
      <c r="AA5253" s="2">
        <v>0.28558919268454802</v>
      </c>
      <c r="AB5253" s="2">
        <v>9.4332068574664696E-2</v>
      </c>
      <c r="AC5253" s="2">
        <v>11095.580168803999</v>
      </c>
      <c r="AD5253" s="2">
        <v>12195.033790998799</v>
      </c>
      <c r="AE5253" s="2">
        <v>9890.7765771513696</v>
      </c>
      <c r="AF5253" s="2">
        <v>10806.143991421301</v>
      </c>
      <c r="AG5253" s="2">
        <v>10450.1678086294</v>
      </c>
      <c r="AH5253" s="2">
        <v>11673.187575024</v>
      </c>
      <c r="AI5253" s="2">
        <v>13023.680688579099</v>
      </c>
      <c r="AJ5253" s="2">
        <v>10729.524372018799</v>
      </c>
      <c r="AK5253" s="2">
        <v>11639.863856251801</v>
      </c>
      <c r="AL5253" s="2">
        <v>12579.0225219403</v>
      </c>
      <c r="AM5253" s="2">
        <v>11802.832182263801</v>
      </c>
      <c r="AN5253" s="2">
        <v>13711.364907164099</v>
      </c>
      <c r="AO5253" s="2">
        <v>11198.2835922343</v>
      </c>
      <c r="AP5253" s="2">
        <v>12238.8356861385</v>
      </c>
    </row>
    <row r="5254" spans="1:42" ht="14.5" x14ac:dyDescent="0.35">
      <c r="A5254" s="2" t="s">
        <v>34860</v>
      </c>
      <c r="B5254" s="2">
        <v>363.09100374780297</v>
      </c>
      <c r="C5254" s="2">
        <v>1.1665333333333301</v>
      </c>
      <c r="D5254" s="2" t="s">
        <v>70</v>
      </c>
      <c r="E5254" s="2" t="s">
        <v>34861</v>
      </c>
      <c r="F5254" s="2">
        <v>197160</v>
      </c>
      <c r="G5254" s="3" t="str">
        <f>HYPERLINK("http://funmeta.oebiotech.com/network/197160", "http://funmeta.oebiotech.com/network/197160")</f>
        <v>http://funmeta.oebiotech.com/network/197160</v>
      </c>
      <c r="H5254" s="2" t="s">
        <v>34862</v>
      </c>
      <c r="I5254" s="2"/>
      <c r="J5254" s="2"/>
      <c r="K5254" s="2"/>
      <c r="L5254" s="2"/>
      <c r="M5254" s="2"/>
      <c r="N5254" s="2"/>
      <c r="O5254" s="2"/>
      <c r="P5254" s="2"/>
      <c r="Q5254" s="2" t="s">
        <v>34863</v>
      </c>
      <c r="R5254" s="2" t="s">
        <v>34864</v>
      </c>
      <c r="S5254" s="2" t="s">
        <v>1184</v>
      </c>
      <c r="T5254" s="2" t="s">
        <v>4551</v>
      </c>
      <c r="U5254" s="2" t="s">
        <v>4552</v>
      </c>
      <c r="V5254" s="2" t="s">
        <v>59</v>
      </c>
      <c r="W5254" s="2">
        <v>36.799999999999997</v>
      </c>
      <c r="X5254" s="2">
        <v>0</v>
      </c>
      <c r="Y5254" s="2" t="s">
        <v>751</v>
      </c>
      <c r="Z5254" s="2" t="s">
        <v>34865</v>
      </c>
      <c r="AA5254" s="2">
        <v>0.57791248156834696</v>
      </c>
      <c r="AB5254" s="2">
        <v>9.4283114700610599E-2</v>
      </c>
      <c r="AC5254" s="2">
        <v>6190.9814069867598</v>
      </c>
      <c r="AD5254" s="2">
        <v>5317.8700786457803</v>
      </c>
      <c r="AE5254" s="2">
        <v>6598.7523114653004</v>
      </c>
      <c r="AF5254" s="2">
        <v>5627.3830240549496</v>
      </c>
      <c r="AG5254" s="2">
        <v>6939.6623818103199</v>
      </c>
      <c r="AH5254" s="2">
        <v>5872.2409909286398</v>
      </c>
      <c r="AI5254" s="2">
        <v>5914.1690695441503</v>
      </c>
      <c r="AJ5254" s="2">
        <v>6193.6806641171797</v>
      </c>
      <c r="AK5254" s="2">
        <v>5514.8009168089002</v>
      </c>
      <c r="AL5254" s="2">
        <v>6148.0958222430199</v>
      </c>
      <c r="AM5254" s="2">
        <v>4466.5780009730597</v>
      </c>
      <c r="AN5254" s="2">
        <v>4805.4007962434998</v>
      </c>
      <c r="AO5254" s="2">
        <v>5531.7321838173502</v>
      </c>
      <c r="AP5254" s="2">
        <v>5440.6127517888399</v>
      </c>
    </row>
    <row r="5255" spans="1:42" ht="14.5" x14ac:dyDescent="0.35">
      <c r="A5255" s="2" t="s">
        <v>34866</v>
      </c>
      <c r="B5255" s="2">
        <v>215.14293328093399</v>
      </c>
      <c r="C5255" s="2">
        <v>9.1582833333333298</v>
      </c>
      <c r="D5255" s="2" t="s">
        <v>34</v>
      </c>
      <c r="E5255" s="2" t="s">
        <v>34867</v>
      </c>
      <c r="F5255" s="2">
        <v>35609</v>
      </c>
      <c r="G5255" s="3" t="str">
        <f>HYPERLINK("http://funmeta.oebiotech.com/network/35609", "http://funmeta.oebiotech.com/network/35609")</f>
        <v>http://funmeta.oebiotech.com/network/35609</v>
      </c>
      <c r="H5255" s="2"/>
      <c r="I5255" s="2"/>
      <c r="J5255" s="2" t="s">
        <v>34868</v>
      </c>
      <c r="K5255" s="2">
        <v>137841</v>
      </c>
      <c r="L5255" s="2"/>
      <c r="M5255" s="2"/>
      <c r="N5255" s="2"/>
      <c r="O5255" s="2">
        <v>42608143</v>
      </c>
      <c r="P5255" s="2"/>
      <c r="Q5255" s="2" t="s">
        <v>34869</v>
      </c>
      <c r="R5255" s="2" t="s">
        <v>34870</v>
      </c>
      <c r="S5255" s="2" t="s">
        <v>491</v>
      </c>
      <c r="T5255" s="2" t="s">
        <v>2943</v>
      </c>
      <c r="U5255" s="2" t="s">
        <v>41</v>
      </c>
      <c r="V5255" s="2" t="s">
        <v>59</v>
      </c>
      <c r="W5255" s="2">
        <v>43.6</v>
      </c>
      <c r="X5255" s="2">
        <v>21.3</v>
      </c>
      <c r="Y5255" s="2" t="s">
        <v>266</v>
      </c>
      <c r="Z5255" s="2" t="s">
        <v>34871</v>
      </c>
      <c r="AA5255" s="2">
        <v>-0.50597753138777501</v>
      </c>
      <c r="AB5255" s="2">
        <v>9.4240541164224104E-2</v>
      </c>
      <c r="AC5255" s="2">
        <v>20069.482127532301</v>
      </c>
      <c r="AD5255" s="2">
        <v>18948.448976911499</v>
      </c>
      <c r="AE5255" s="2">
        <v>20601.924117919199</v>
      </c>
      <c r="AF5255" s="2">
        <v>18972.1103880796</v>
      </c>
      <c r="AG5255" s="2">
        <v>19921.896495035198</v>
      </c>
      <c r="AH5255" s="2">
        <v>20033.842682838898</v>
      </c>
      <c r="AI5255" s="2">
        <v>20353.782375567102</v>
      </c>
      <c r="AJ5255" s="2">
        <v>20533.336705753602</v>
      </c>
      <c r="AK5255" s="2">
        <v>16703.470566286502</v>
      </c>
      <c r="AL5255" s="2">
        <v>18269.334982879998</v>
      </c>
      <c r="AM5255" s="2">
        <v>19443.247765063599</v>
      </c>
      <c r="AN5255" s="2">
        <v>19443.3745792146</v>
      </c>
      <c r="AO5255" s="2">
        <v>19688.574900857999</v>
      </c>
      <c r="AP5255" s="2">
        <v>20142.691067166299</v>
      </c>
    </row>
    <row r="5256" spans="1:42" ht="14.5" x14ac:dyDescent="0.35">
      <c r="A5256" s="2" t="s">
        <v>34872</v>
      </c>
      <c r="B5256" s="2">
        <v>343.187959310949</v>
      </c>
      <c r="C5256" s="2">
        <v>10.341383333333299</v>
      </c>
      <c r="D5256" s="2" t="s">
        <v>34</v>
      </c>
      <c r="E5256" s="2" t="s">
        <v>34873</v>
      </c>
      <c r="F5256" s="2">
        <v>61127</v>
      </c>
      <c r="G5256" s="3" t="str">
        <f>HYPERLINK("http://funmeta.oebiotech.com/network/61127", "http://funmeta.oebiotech.com/network/61127")</f>
        <v>http://funmeta.oebiotech.com/network/61127</v>
      </c>
      <c r="H5256" s="2" t="s">
        <v>34874</v>
      </c>
      <c r="I5256" s="2">
        <v>92439</v>
      </c>
      <c r="J5256" s="2"/>
      <c r="K5256" s="2">
        <v>138787</v>
      </c>
      <c r="L5256" s="2"/>
      <c r="M5256" s="2"/>
      <c r="N5256" s="2"/>
      <c r="O5256" s="2">
        <v>131752210</v>
      </c>
      <c r="P5256" s="2" t="s">
        <v>34875</v>
      </c>
      <c r="Q5256" s="2" t="s">
        <v>34876</v>
      </c>
      <c r="R5256" s="2" t="s">
        <v>34877</v>
      </c>
      <c r="S5256" s="2" t="s">
        <v>50</v>
      </c>
      <c r="T5256" s="2" t="s">
        <v>201</v>
      </c>
      <c r="U5256" s="2" t="s">
        <v>1217</v>
      </c>
      <c r="V5256" s="2" t="s">
        <v>59</v>
      </c>
      <c r="W5256" s="2">
        <v>42.5</v>
      </c>
      <c r="X5256" s="2">
        <v>16.8</v>
      </c>
      <c r="Y5256" s="2" t="s">
        <v>323</v>
      </c>
      <c r="Z5256" s="2" t="s">
        <v>34878</v>
      </c>
      <c r="AA5256" s="2">
        <v>-6.4788667261961294E-2</v>
      </c>
      <c r="AB5256" s="2">
        <v>9.4217228005925496E-2</v>
      </c>
      <c r="AC5256" s="2">
        <v>2372.0073921594699</v>
      </c>
      <c r="AD5256" s="2">
        <v>1657.1460723028599</v>
      </c>
      <c r="AE5256" s="2">
        <v>2780.2951792400499</v>
      </c>
      <c r="AF5256" s="2">
        <v>2391.8153402406501</v>
      </c>
      <c r="AG5256" s="2">
        <v>2112.0396251494699</v>
      </c>
      <c r="AH5256" s="2">
        <v>2220.7979744014601</v>
      </c>
      <c r="AI5256" s="2">
        <v>2010.37064079791</v>
      </c>
      <c r="AJ5256" s="2">
        <v>2716.7255931272598</v>
      </c>
      <c r="AK5256" s="2">
        <v>1277.7437557876999</v>
      </c>
      <c r="AL5256" s="2">
        <v>1647.4514963050201</v>
      </c>
      <c r="AM5256" s="2">
        <v>1682.58908237175</v>
      </c>
      <c r="AN5256" s="2">
        <v>1784.2928591361699</v>
      </c>
      <c r="AO5256" s="2">
        <v>1996.2164422641899</v>
      </c>
      <c r="AP5256" s="2">
        <v>1554.5827979523301</v>
      </c>
    </row>
    <row r="5257" spans="1:42" ht="14.5" x14ac:dyDescent="0.35">
      <c r="A5257" s="2" t="s">
        <v>34879</v>
      </c>
      <c r="B5257" s="2">
        <v>550.32498061541401</v>
      </c>
      <c r="C5257" s="2">
        <v>5.1048166666666699</v>
      </c>
      <c r="D5257" s="2" t="s">
        <v>34</v>
      </c>
      <c r="E5257" s="2" t="s">
        <v>34880</v>
      </c>
      <c r="F5257" s="2">
        <v>19911</v>
      </c>
      <c r="G5257" s="3" t="str">
        <f>HYPERLINK("http://funmeta.oebiotech.com/network/19911", "http://funmeta.oebiotech.com/network/19911")</f>
        <v>http://funmeta.oebiotech.com/network/19911</v>
      </c>
      <c r="H5257" s="2"/>
      <c r="I5257" s="2"/>
      <c r="J5257" s="2" t="s">
        <v>34881</v>
      </c>
      <c r="K5257" s="2"/>
      <c r="L5257" s="2"/>
      <c r="M5257" s="2"/>
      <c r="N5257" s="2"/>
      <c r="O5257" s="2">
        <v>10673311</v>
      </c>
      <c r="P5257" s="2"/>
      <c r="Q5257" s="2" t="s">
        <v>34882</v>
      </c>
      <c r="R5257" s="2" t="s">
        <v>34883</v>
      </c>
      <c r="S5257" s="2" t="s">
        <v>50</v>
      </c>
      <c r="T5257" s="2" t="s">
        <v>51</v>
      </c>
      <c r="U5257" s="2" t="s">
        <v>168</v>
      </c>
      <c r="V5257" s="2" t="s">
        <v>59</v>
      </c>
      <c r="W5257" s="2">
        <v>36.200000000000003</v>
      </c>
      <c r="X5257" s="2">
        <v>0</v>
      </c>
      <c r="Y5257" s="2" t="s">
        <v>340</v>
      </c>
      <c r="Z5257" s="2" t="s">
        <v>34884</v>
      </c>
      <c r="AA5257" s="2">
        <v>-3.8469053258992898</v>
      </c>
      <c r="AB5257" s="2">
        <v>9.4216312680432707E-2</v>
      </c>
      <c r="AC5257" s="2">
        <v>34410.125690797096</v>
      </c>
      <c r="AD5257" s="2">
        <v>32439.764162765099</v>
      </c>
      <c r="AE5257" s="2">
        <v>30029.567175804099</v>
      </c>
      <c r="AF5257" s="2">
        <v>40222.6098978843</v>
      </c>
      <c r="AG5257" s="2">
        <v>30887.772173062502</v>
      </c>
      <c r="AH5257" s="2">
        <v>32086.154071139601</v>
      </c>
      <c r="AI5257" s="2">
        <v>35497.099262508702</v>
      </c>
      <c r="AJ5257" s="2">
        <v>37737.551564383699</v>
      </c>
      <c r="AK5257" s="2">
        <v>33157.915666591798</v>
      </c>
      <c r="AL5257" s="2">
        <v>32511.839027021801</v>
      </c>
      <c r="AM5257" s="2">
        <v>34151.510563729797</v>
      </c>
      <c r="AN5257" s="2">
        <v>30604.2344448697</v>
      </c>
      <c r="AO5257" s="2">
        <v>35926.6923349848</v>
      </c>
      <c r="AP5257" s="2">
        <v>28286.392939392801</v>
      </c>
    </row>
    <row r="5258" spans="1:42" ht="14.5" x14ac:dyDescent="0.35">
      <c r="A5258" s="2" t="s">
        <v>34885</v>
      </c>
      <c r="B5258" s="2">
        <v>293.10173246539699</v>
      </c>
      <c r="C5258" s="2">
        <v>1.5526500000000001</v>
      </c>
      <c r="D5258" s="2" t="s">
        <v>34</v>
      </c>
      <c r="E5258" s="2" t="s">
        <v>34886</v>
      </c>
      <c r="F5258" s="2">
        <v>210389</v>
      </c>
      <c r="G5258" s="3" t="str">
        <f>HYPERLINK("http://funmeta.oebiotech.com/network/210389", "http://funmeta.oebiotech.com/network/210389")</f>
        <v>http://funmeta.oebiotech.com/network/210389</v>
      </c>
      <c r="H5258" s="2" t="s">
        <v>34887</v>
      </c>
      <c r="I5258" s="2">
        <v>44852</v>
      </c>
      <c r="J5258" s="2"/>
      <c r="K5258" s="2"/>
      <c r="L5258" s="2"/>
      <c r="M5258" s="2"/>
      <c r="N5258" s="2"/>
      <c r="O5258" s="2">
        <v>50981</v>
      </c>
      <c r="P5258" s="2" t="s">
        <v>34888</v>
      </c>
      <c r="Q5258" s="2" t="s">
        <v>34889</v>
      </c>
      <c r="R5258" s="2" t="s">
        <v>34890</v>
      </c>
      <c r="S5258" s="2" t="s">
        <v>25629</v>
      </c>
      <c r="T5258" s="2" t="s">
        <v>25630</v>
      </c>
      <c r="U5258" s="2" t="s">
        <v>25631</v>
      </c>
      <c r="V5258" s="2" t="s">
        <v>59</v>
      </c>
      <c r="W5258" s="2">
        <v>38.700000000000003</v>
      </c>
      <c r="X5258" s="2">
        <v>0</v>
      </c>
      <c r="Y5258" s="2" t="s">
        <v>340</v>
      </c>
      <c r="Z5258" s="2" t="s">
        <v>34891</v>
      </c>
      <c r="AA5258" s="2">
        <v>2.6911778321840298</v>
      </c>
      <c r="AB5258" s="2">
        <v>9.4191203235114193E-2</v>
      </c>
      <c r="AC5258" s="2">
        <v>4220.0141512363498</v>
      </c>
      <c r="AD5258" s="2">
        <v>3416.8077452760499</v>
      </c>
      <c r="AE5258" s="2">
        <v>4244.3980498149103</v>
      </c>
      <c r="AF5258" s="2">
        <v>4714.3143245502797</v>
      </c>
      <c r="AG5258" s="2">
        <v>3765.2355483305901</v>
      </c>
      <c r="AH5258" s="2">
        <v>3984.4432622581799</v>
      </c>
      <c r="AI5258" s="2">
        <v>4726.467024089</v>
      </c>
      <c r="AJ5258" s="2">
        <v>3885.2266983751301</v>
      </c>
      <c r="AK5258" s="2">
        <v>3186.3222174829998</v>
      </c>
      <c r="AL5258" s="2">
        <v>3014.1573334014201</v>
      </c>
      <c r="AM5258" s="2">
        <v>3099.4447872473602</v>
      </c>
      <c r="AN5258" s="2">
        <v>3940.4899721986599</v>
      </c>
      <c r="AO5258" s="2">
        <v>3398.54821603655</v>
      </c>
      <c r="AP5258" s="2">
        <v>3861.8839452892998</v>
      </c>
    </row>
    <row r="5259" spans="1:42" ht="14.5" x14ac:dyDescent="0.35">
      <c r="A5259" s="2" t="s">
        <v>34892</v>
      </c>
      <c r="B5259" s="2">
        <v>320.15017248577601</v>
      </c>
      <c r="C5259" s="2">
        <v>7.5277166666666702</v>
      </c>
      <c r="D5259" s="2" t="s">
        <v>70</v>
      </c>
      <c r="E5259" s="2" t="s">
        <v>34893</v>
      </c>
      <c r="F5259" s="2">
        <v>82827</v>
      </c>
      <c r="G5259" s="3" t="str">
        <f>HYPERLINK("http://funmeta.oebiotech.com/network/82827", "http://funmeta.oebiotech.com/network/82827")</f>
        <v>http://funmeta.oebiotech.com/network/82827</v>
      </c>
      <c r="H5259" s="2" t="s">
        <v>34894</v>
      </c>
      <c r="I5259" s="2">
        <v>2171</v>
      </c>
      <c r="J5259" s="2"/>
      <c r="K5259" s="2"/>
      <c r="L5259" s="2"/>
      <c r="M5259" s="2"/>
      <c r="N5259" s="2"/>
      <c r="O5259" s="2">
        <v>91565</v>
      </c>
      <c r="P5259" s="2" t="s">
        <v>34895</v>
      </c>
      <c r="Q5259" s="2" t="s">
        <v>34896</v>
      </c>
      <c r="R5259" s="2" t="s">
        <v>34897</v>
      </c>
      <c r="S5259" s="2" t="s">
        <v>148</v>
      </c>
      <c r="T5259" s="2" t="s">
        <v>6221</v>
      </c>
      <c r="U5259" s="2" t="s">
        <v>20983</v>
      </c>
      <c r="V5259" s="2" t="s">
        <v>59</v>
      </c>
      <c r="W5259" s="2">
        <v>38.700000000000003</v>
      </c>
      <c r="X5259" s="2">
        <v>0</v>
      </c>
      <c r="Y5259" s="2" t="s">
        <v>408</v>
      </c>
      <c r="Z5259" s="2" t="s">
        <v>34898</v>
      </c>
      <c r="AA5259" s="2">
        <v>-0.63209092951559898</v>
      </c>
      <c r="AB5259" s="2">
        <v>9.4176934022080105E-2</v>
      </c>
      <c r="AC5259" s="2">
        <v>5694.7886269808496</v>
      </c>
      <c r="AD5259" s="2">
        <v>6632.9213332712498</v>
      </c>
      <c r="AE5259" s="2">
        <v>5978.1319727249002</v>
      </c>
      <c r="AF5259" s="2">
        <v>4727.3189002419804</v>
      </c>
      <c r="AG5259" s="2">
        <v>6056.0034032235899</v>
      </c>
      <c r="AH5259" s="2">
        <v>6406.6190518142603</v>
      </c>
      <c r="AI5259" s="2">
        <v>5728.4249676089603</v>
      </c>
      <c r="AJ5259" s="2">
        <v>5272.2334662714002</v>
      </c>
      <c r="AK5259" s="2">
        <v>7563.6178539837601</v>
      </c>
      <c r="AL5259" s="2">
        <v>6909.2713103896403</v>
      </c>
      <c r="AM5259" s="2">
        <v>6755.9421828903196</v>
      </c>
      <c r="AN5259" s="2">
        <v>6391.2003988783999</v>
      </c>
      <c r="AO5259" s="2">
        <v>6711.37072554307</v>
      </c>
      <c r="AP5259" s="2">
        <v>5466.1255279423003</v>
      </c>
    </row>
    <row r="5260" spans="1:42" ht="14.5" x14ac:dyDescent="0.35">
      <c r="A5260" s="2" t="s">
        <v>34899</v>
      </c>
      <c r="B5260" s="2">
        <v>364.341653092755</v>
      </c>
      <c r="C5260" s="2">
        <v>11.740833333333301</v>
      </c>
      <c r="D5260" s="2" t="s">
        <v>34</v>
      </c>
      <c r="E5260" s="2" t="s">
        <v>34900</v>
      </c>
      <c r="F5260" s="2">
        <v>10465</v>
      </c>
      <c r="G5260" s="3" t="str">
        <f>HYPERLINK("http://funmeta.oebiotech.com/network/10465", "http://funmeta.oebiotech.com/network/10465")</f>
        <v>http://funmeta.oebiotech.com/network/10465</v>
      </c>
      <c r="H5260" s="2"/>
      <c r="I5260" s="2"/>
      <c r="J5260" s="2" t="s">
        <v>34901</v>
      </c>
      <c r="K5260" s="2"/>
      <c r="L5260" s="2"/>
      <c r="M5260" s="2"/>
      <c r="N5260" s="2"/>
      <c r="O5260" s="2">
        <v>137323840</v>
      </c>
      <c r="P5260" s="2"/>
      <c r="Q5260" s="2" t="s">
        <v>34902</v>
      </c>
      <c r="R5260" s="2" t="s">
        <v>34903</v>
      </c>
      <c r="S5260" s="2" t="s">
        <v>50</v>
      </c>
      <c r="T5260" s="2" t="s">
        <v>448</v>
      </c>
      <c r="U5260" s="2" t="s">
        <v>7051</v>
      </c>
      <c r="V5260" s="2" t="s">
        <v>59</v>
      </c>
      <c r="W5260" s="2">
        <v>39</v>
      </c>
      <c r="X5260" s="2">
        <v>0</v>
      </c>
      <c r="Y5260" s="2" t="s">
        <v>43</v>
      </c>
      <c r="Z5260" s="2" t="s">
        <v>34904</v>
      </c>
      <c r="AA5260" s="2">
        <v>-1.3925811520661699</v>
      </c>
      <c r="AB5260" s="2">
        <v>9.4147916560819306E-2</v>
      </c>
      <c r="AC5260" s="2">
        <v>2820.58259185936</v>
      </c>
      <c r="AD5260" s="2">
        <v>2089.8370138437999</v>
      </c>
      <c r="AE5260" s="2">
        <v>2816.1980492908501</v>
      </c>
      <c r="AF5260" s="2">
        <v>2830.7684821329599</v>
      </c>
      <c r="AG5260" s="2">
        <v>2977.4408632528498</v>
      </c>
      <c r="AH5260" s="2">
        <v>2977.8881905949302</v>
      </c>
      <c r="AI5260" s="2">
        <v>2792.5100392698</v>
      </c>
      <c r="AJ5260" s="2">
        <v>2528.6899266147602</v>
      </c>
      <c r="AK5260" s="2">
        <v>2391.0903859254799</v>
      </c>
      <c r="AL5260" s="2">
        <v>2324.6923594609898</v>
      </c>
      <c r="AM5260" s="2">
        <v>1742.3015325035999</v>
      </c>
      <c r="AN5260" s="2">
        <v>2609.0612306929702</v>
      </c>
      <c r="AO5260" s="2">
        <v>1808.2640004436901</v>
      </c>
      <c r="AP5260" s="2">
        <v>1663.6125740360601</v>
      </c>
    </row>
    <row r="5261" spans="1:42" ht="14.5" x14ac:dyDescent="0.35">
      <c r="A5261" s="2" t="s">
        <v>34905</v>
      </c>
      <c r="B5261" s="2">
        <v>419.24367633946002</v>
      </c>
      <c r="C5261" s="2">
        <v>11.2162166666667</v>
      </c>
      <c r="D5261" s="2" t="s">
        <v>70</v>
      </c>
      <c r="E5261" s="2" t="s">
        <v>34906</v>
      </c>
      <c r="F5261" s="2">
        <v>211027</v>
      </c>
      <c r="G5261" s="3" t="str">
        <f>HYPERLINK("http://funmeta.oebiotech.com/network/211027", "http://funmeta.oebiotech.com/network/211027")</f>
        <v>http://funmeta.oebiotech.com/network/211027</v>
      </c>
      <c r="H5261" s="2" t="s">
        <v>34907</v>
      </c>
      <c r="I5261" s="2"/>
      <c r="J5261" s="2"/>
      <c r="K5261" s="2"/>
      <c r="L5261" s="2"/>
      <c r="M5261" s="2"/>
      <c r="N5261" s="2"/>
      <c r="O5261" s="2">
        <v>19695974</v>
      </c>
      <c r="P5261" s="2"/>
      <c r="Q5261" s="2" t="s">
        <v>34908</v>
      </c>
      <c r="R5261" s="2" t="s">
        <v>34909</v>
      </c>
      <c r="S5261" s="2" t="s">
        <v>50</v>
      </c>
      <c r="T5261" s="2" t="s">
        <v>124</v>
      </c>
      <c r="U5261" s="2" t="s">
        <v>34910</v>
      </c>
      <c r="V5261" s="2" t="s">
        <v>59</v>
      </c>
      <c r="W5261" s="2">
        <v>40.5</v>
      </c>
      <c r="X5261" s="2">
        <v>7.12</v>
      </c>
      <c r="Y5261" s="2" t="s">
        <v>408</v>
      </c>
      <c r="Z5261" s="2" t="s">
        <v>17402</v>
      </c>
      <c r="AA5261" s="2">
        <v>-0.63086671086086399</v>
      </c>
      <c r="AB5261" s="2">
        <v>9.4137151217186896E-2</v>
      </c>
      <c r="AC5261" s="2">
        <v>8185.37733443459</v>
      </c>
      <c r="AD5261" s="2">
        <v>7065.6002186524802</v>
      </c>
      <c r="AE5261" s="2">
        <v>9049.3365499110096</v>
      </c>
      <c r="AF5261" s="2">
        <v>7255.9652572704699</v>
      </c>
      <c r="AG5261" s="2">
        <v>7225.1732471996002</v>
      </c>
      <c r="AH5261" s="2">
        <v>9152.1001833382506</v>
      </c>
      <c r="AI5261" s="2">
        <v>7915.39473822742</v>
      </c>
      <c r="AJ5261" s="2">
        <v>8514.2940306608107</v>
      </c>
      <c r="AK5261" s="2">
        <v>5339.2450428913999</v>
      </c>
      <c r="AL5261" s="2">
        <v>6657.4680322786098</v>
      </c>
      <c r="AM5261" s="2">
        <v>6554.4195629473397</v>
      </c>
      <c r="AN5261" s="2">
        <v>7702.7415512811303</v>
      </c>
      <c r="AO5261" s="2">
        <v>8552.3716556159707</v>
      </c>
      <c r="AP5261" s="2">
        <v>7587.3554669004197</v>
      </c>
    </row>
    <row r="5262" spans="1:42" ht="14.5" x14ac:dyDescent="0.35">
      <c r="A5262" s="2" t="s">
        <v>34911</v>
      </c>
      <c r="B5262" s="2">
        <v>447.25102015861802</v>
      </c>
      <c r="C5262" s="2">
        <v>10.984450000000001</v>
      </c>
      <c r="D5262" s="2" t="s">
        <v>34</v>
      </c>
      <c r="E5262" s="2" t="s">
        <v>34912</v>
      </c>
      <c r="F5262" s="2">
        <v>46225</v>
      </c>
      <c r="G5262" s="3" t="str">
        <f>HYPERLINK("http://funmeta.oebiotech.com/network/46225", "http://funmeta.oebiotech.com/network/46225")</f>
        <v>http://funmeta.oebiotech.com/network/46225</v>
      </c>
      <c r="H5262" s="2"/>
      <c r="I5262" s="2">
        <v>84677</v>
      </c>
      <c r="J5262" s="2" t="s">
        <v>34913</v>
      </c>
      <c r="K5262" s="2"/>
      <c r="L5262" s="2"/>
      <c r="M5262" s="2"/>
      <c r="N5262" s="2"/>
      <c r="O5262" s="2">
        <v>5284115</v>
      </c>
      <c r="P5262" s="2"/>
      <c r="Q5262" s="2" t="s">
        <v>34914</v>
      </c>
      <c r="R5262" s="2" t="s">
        <v>34915</v>
      </c>
      <c r="S5262" s="2" t="s">
        <v>50</v>
      </c>
      <c r="T5262" s="2" t="s">
        <v>124</v>
      </c>
      <c r="U5262" s="2" t="s">
        <v>125</v>
      </c>
      <c r="V5262" s="2" t="s">
        <v>42</v>
      </c>
      <c r="W5262" s="2">
        <v>53.2</v>
      </c>
      <c r="X5262" s="2">
        <v>70.5</v>
      </c>
      <c r="Y5262" s="2" t="s">
        <v>340</v>
      </c>
      <c r="Z5262" s="2" t="s">
        <v>34916</v>
      </c>
      <c r="AA5262" s="2">
        <v>0.70464553777547001</v>
      </c>
      <c r="AB5262" s="2">
        <v>9.4076906450550196E-2</v>
      </c>
      <c r="AC5262" s="2">
        <v>63551.410099416498</v>
      </c>
      <c r="AD5262" s="2">
        <v>60981.890771546503</v>
      </c>
      <c r="AE5262" s="2">
        <v>66650.079288392095</v>
      </c>
      <c r="AF5262" s="2">
        <v>62985.059298373002</v>
      </c>
      <c r="AG5262" s="2">
        <v>64236.298758165001</v>
      </c>
      <c r="AH5262" s="2">
        <v>65734.854772242805</v>
      </c>
      <c r="AI5262" s="2">
        <v>60005.349618132597</v>
      </c>
      <c r="AJ5262" s="2">
        <v>61696.818861193497</v>
      </c>
      <c r="AK5262" s="2">
        <v>51492.809219473304</v>
      </c>
      <c r="AL5262" s="2">
        <v>60093.595824316697</v>
      </c>
      <c r="AM5262" s="2">
        <v>62750.902564759002</v>
      </c>
      <c r="AN5262" s="2">
        <v>62601.094445747403</v>
      </c>
      <c r="AO5262" s="2">
        <v>74817.997480387305</v>
      </c>
      <c r="AP5262" s="2">
        <v>54134.945094595401</v>
      </c>
    </row>
    <row r="5263" spans="1:42" ht="14.5" x14ac:dyDescent="0.35">
      <c r="A5263" s="2" t="s">
        <v>34917</v>
      </c>
      <c r="B5263" s="2">
        <v>687.333773569203</v>
      </c>
      <c r="C5263" s="2">
        <v>9.7086333333333297</v>
      </c>
      <c r="D5263" s="2" t="s">
        <v>34</v>
      </c>
      <c r="E5263" s="2" t="s">
        <v>34918</v>
      </c>
      <c r="F5263" s="2">
        <v>27985</v>
      </c>
      <c r="G5263" s="3" t="str">
        <f>HYPERLINK("http://funmeta.oebiotech.com/network/27985", "http://funmeta.oebiotech.com/network/27985")</f>
        <v>http://funmeta.oebiotech.com/network/27985</v>
      </c>
      <c r="H5263" s="2"/>
      <c r="I5263" s="2"/>
      <c r="J5263" s="2" t="s">
        <v>34919</v>
      </c>
      <c r="K5263" s="2"/>
      <c r="L5263" s="2"/>
      <c r="M5263" s="2"/>
      <c r="N5263" s="2"/>
      <c r="O5263" s="2">
        <v>134812432</v>
      </c>
      <c r="P5263" s="2"/>
      <c r="Q5263" s="2" t="s">
        <v>34920</v>
      </c>
      <c r="R5263" s="2" t="s">
        <v>34921</v>
      </c>
      <c r="S5263" s="2" t="s">
        <v>50</v>
      </c>
      <c r="T5263" s="2" t="s">
        <v>51</v>
      </c>
      <c r="U5263" s="2" t="s">
        <v>52</v>
      </c>
      <c r="V5263" s="2" t="s">
        <v>59</v>
      </c>
      <c r="W5263" s="2">
        <v>37.5</v>
      </c>
      <c r="X5263" s="2">
        <v>0</v>
      </c>
      <c r="Y5263" s="2" t="s">
        <v>394</v>
      </c>
      <c r="Z5263" s="2" t="s">
        <v>34922</v>
      </c>
      <c r="AA5263" s="2">
        <v>-1.9823616832878199</v>
      </c>
      <c r="AB5263" s="2">
        <v>9.4017196216813398E-2</v>
      </c>
      <c r="AC5263" s="2">
        <v>2297.5092206917002</v>
      </c>
      <c r="AD5263" s="2">
        <v>1537.01475289416</v>
      </c>
      <c r="AE5263" s="2">
        <v>2108.7706985136101</v>
      </c>
      <c r="AF5263" s="2">
        <v>1960.1779204807301</v>
      </c>
      <c r="AG5263" s="2">
        <v>2579.9213781497601</v>
      </c>
      <c r="AH5263" s="2">
        <v>2180.21789630288</v>
      </c>
      <c r="AI5263" s="2">
        <v>2361.91479668696</v>
      </c>
      <c r="AJ5263" s="2">
        <v>2594.0526340162401</v>
      </c>
      <c r="AK5263" s="2">
        <v>1452.5843409332499</v>
      </c>
      <c r="AL5263" s="2">
        <v>2300.0729072157601</v>
      </c>
      <c r="AM5263" s="2">
        <v>1001.9756556757</v>
      </c>
      <c r="AN5263" s="2">
        <v>1635.1501771007199</v>
      </c>
      <c r="AO5263" s="2">
        <v>1514.28514192949</v>
      </c>
      <c r="AP5263" s="2">
        <v>1318.02029451007</v>
      </c>
    </row>
    <row r="5264" spans="1:42" ht="14.5" x14ac:dyDescent="0.35">
      <c r="A5264" s="2" t="s">
        <v>34923</v>
      </c>
      <c r="B5264" s="2">
        <v>296.04331545419802</v>
      </c>
      <c r="C5264" s="2">
        <v>0.75019999999999998</v>
      </c>
      <c r="D5264" s="2" t="s">
        <v>34</v>
      </c>
      <c r="E5264" s="2" t="s">
        <v>34924</v>
      </c>
      <c r="F5264" s="2">
        <v>144413</v>
      </c>
      <c r="G5264" s="3" t="str">
        <f>HYPERLINK("http://funmeta.oebiotech.com/network/144413", "http://funmeta.oebiotech.com/network/144413")</f>
        <v>http://funmeta.oebiotech.com/network/144413</v>
      </c>
      <c r="H5264" s="2" t="s">
        <v>34925</v>
      </c>
      <c r="I5264" s="2"/>
      <c r="J5264" s="2"/>
      <c r="K5264" s="2"/>
      <c r="L5264" s="2"/>
      <c r="M5264" s="2"/>
      <c r="N5264" s="2"/>
      <c r="O5264" s="2">
        <v>85519434</v>
      </c>
      <c r="P5264" s="2"/>
      <c r="Q5264" s="2" t="s">
        <v>34926</v>
      </c>
      <c r="R5264" s="2" t="s">
        <v>34927</v>
      </c>
      <c r="S5264" s="2" t="s">
        <v>148</v>
      </c>
      <c r="T5264" s="2" t="s">
        <v>149</v>
      </c>
      <c r="U5264" s="2" t="s">
        <v>1593</v>
      </c>
      <c r="V5264" s="2" t="s">
        <v>59</v>
      </c>
      <c r="W5264" s="2">
        <v>36.9</v>
      </c>
      <c r="X5264" s="2">
        <v>0</v>
      </c>
      <c r="Y5264" s="2" t="s">
        <v>43</v>
      </c>
      <c r="Z5264" s="2" t="s">
        <v>34928</v>
      </c>
      <c r="AA5264" s="2">
        <v>-0.53362532022320996</v>
      </c>
      <c r="AB5264" s="2">
        <v>9.3867970151820607E-2</v>
      </c>
      <c r="AC5264" s="2">
        <v>5699.3276957777098</v>
      </c>
      <c r="AD5264" s="2">
        <v>7121.1391712363202</v>
      </c>
      <c r="AE5264" s="2">
        <v>6235.0655799810202</v>
      </c>
      <c r="AF5264" s="2">
        <v>6337.6758941999096</v>
      </c>
      <c r="AG5264" s="2">
        <v>4682.2872874828499</v>
      </c>
      <c r="AH5264" s="2">
        <v>6968.8710329288797</v>
      </c>
      <c r="AI5264" s="2">
        <v>4087.1859159452702</v>
      </c>
      <c r="AJ5264" s="2">
        <v>5884.8804641283295</v>
      </c>
      <c r="AK5264" s="2">
        <v>10582.638705334301</v>
      </c>
      <c r="AL5264" s="2">
        <v>6283.7782822638701</v>
      </c>
      <c r="AM5264" s="2">
        <v>6983.14797137406</v>
      </c>
      <c r="AN5264" s="2">
        <v>6570.0438415625604</v>
      </c>
      <c r="AO5264" s="2">
        <v>8248.3480258919808</v>
      </c>
      <c r="AP5264" s="2">
        <v>4058.8782009911301</v>
      </c>
    </row>
    <row r="5265" spans="1:42" ht="14.5" x14ac:dyDescent="0.35">
      <c r="A5265" s="2" t="s">
        <v>34929</v>
      </c>
      <c r="B5265" s="2">
        <v>393.155455630706</v>
      </c>
      <c r="C5265" s="2">
        <v>3.9884499999999998</v>
      </c>
      <c r="D5265" s="2" t="s">
        <v>70</v>
      </c>
      <c r="E5265" s="2" t="s">
        <v>34930</v>
      </c>
      <c r="F5265" s="2">
        <v>61268</v>
      </c>
      <c r="G5265" s="3" t="str">
        <f>HYPERLINK("http://funmeta.oebiotech.com/network/61268", "http://funmeta.oebiotech.com/network/61268")</f>
        <v>http://funmeta.oebiotech.com/network/61268</v>
      </c>
      <c r="H5265" s="2" t="s">
        <v>34931</v>
      </c>
      <c r="I5265" s="2">
        <v>92588</v>
      </c>
      <c r="J5265" s="2"/>
      <c r="K5265" s="2"/>
      <c r="L5265" s="2"/>
      <c r="M5265" s="2"/>
      <c r="N5265" s="2"/>
      <c r="O5265" s="2">
        <v>131752230</v>
      </c>
      <c r="P5265" s="2" t="s">
        <v>34932</v>
      </c>
      <c r="Q5265" s="2" t="s">
        <v>34933</v>
      </c>
      <c r="R5265" s="2" t="s">
        <v>34934</v>
      </c>
      <c r="S5265" s="2" t="s">
        <v>491</v>
      </c>
      <c r="T5265" s="2" t="s">
        <v>20768</v>
      </c>
      <c r="U5265" s="2" t="s">
        <v>41</v>
      </c>
      <c r="V5265" s="2" t="s">
        <v>59</v>
      </c>
      <c r="W5265" s="2">
        <v>41.6</v>
      </c>
      <c r="X5265" s="2">
        <v>20.399999999999999</v>
      </c>
      <c r="Y5265" s="2" t="s">
        <v>408</v>
      </c>
      <c r="Z5265" s="2" t="s">
        <v>6764</v>
      </c>
      <c r="AA5265" s="2">
        <v>-0.102615499252593</v>
      </c>
      <c r="AB5265" s="2">
        <v>9.3836642541262005E-2</v>
      </c>
      <c r="AC5265" s="2">
        <v>40411.573628676997</v>
      </c>
      <c r="AD5265" s="2">
        <v>42188.312603328399</v>
      </c>
      <c r="AE5265" s="2">
        <v>38940.772390094098</v>
      </c>
      <c r="AF5265" s="2">
        <v>44231.065273674802</v>
      </c>
      <c r="AG5265" s="2">
        <v>36724.847189515996</v>
      </c>
      <c r="AH5265" s="2">
        <v>39723.491851340499</v>
      </c>
      <c r="AI5265" s="2">
        <v>44335.568632078801</v>
      </c>
      <c r="AJ5265" s="2">
        <v>38513.696435357997</v>
      </c>
      <c r="AK5265" s="2">
        <v>43493.381636124803</v>
      </c>
      <c r="AL5265" s="2">
        <v>42099.255416051499</v>
      </c>
      <c r="AM5265" s="2">
        <v>39288.276785433001</v>
      </c>
      <c r="AN5265" s="2">
        <v>41543.247251993103</v>
      </c>
      <c r="AO5265" s="2">
        <v>40162.0319006223</v>
      </c>
      <c r="AP5265" s="2">
        <v>46543.682629745999</v>
      </c>
    </row>
    <row r="5266" spans="1:42" ht="14.5" x14ac:dyDescent="0.35">
      <c r="A5266" s="2" t="s">
        <v>34935</v>
      </c>
      <c r="B5266" s="2">
        <v>664.42063635735303</v>
      </c>
      <c r="C5266" s="2">
        <v>9.3124666666666691</v>
      </c>
      <c r="D5266" s="2" t="s">
        <v>34</v>
      </c>
      <c r="E5266" s="2" t="s">
        <v>34936</v>
      </c>
      <c r="F5266" s="2">
        <v>21309</v>
      </c>
      <c r="G5266" s="3" t="str">
        <f>HYPERLINK("http://funmeta.oebiotech.com/network/21309", "http://funmeta.oebiotech.com/network/21309")</f>
        <v>http://funmeta.oebiotech.com/network/21309</v>
      </c>
      <c r="H5266" s="2"/>
      <c r="I5266" s="2">
        <v>77712</v>
      </c>
      <c r="J5266" s="2" t="s">
        <v>34937</v>
      </c>
      <c r="K5266" s="2"/>
      <c r="L5266" s="2"/>
      <c r="M5266" s="2"/>
      <c r="N5266" s="2"/>
      <c r="O5266" s="2">
        <v>52925158</v>
      </c>
      <c r="P5266" s="2"/>
      <c r="Q5266" s="2" t="s">
        <v>34938</v>
      </c>
      <c r="R5266" s="2" t="s">
        <v>34939</v>
      </c>
      <c r="S5266" s="2" t="s">
        <v>50</v>
      </c>
      <c r="T5266" s="2" t="s">
        <v>51</v>
      </c>
      <c r="U5266" s="2" t="s">
        <v>66</v>
      </c>
      <c r="V5266" s="2" t="s">
        <v>59</v>
      </c>
      <c r="W5266" s="2">
        <v>41</v>
      </c>
      <c r="X5266" s="2">
        <v>14.9</v>
      </c>
      <c r="Y5266" s="2" t="s">
        <v>394</v>
      </c>
      <c r="Z5266" s="2" t="s">
        <v>34940</v>
      </c>
      <c r="AA5266" s="2">
        <v>3.35554605522759</v>
      </c>
      <c r="AB5266" s="2">
        <v>9.3749760127611298E-2</v>
      </c>
      <c r="AC5266" s="2">
        <v>10344.6845878487</v>
      </c>
      <c r="AD5266" s="2">
        <v>9020.2640744202799</v>
      </c>
      <c r="AE5266" s="2">
        <v>12297.810048376599</v>
      </c>
      <c r="AF5266" s="2">
        <v>12379.606870674699</v>
      </c>
      <c r="AG5266" s="2">
        <v>9671.0122594057793</v>
      </c>
      <c r="AH5266" s="2">
        <v>9887.2389825019109</v>
      </c>
      <c r="AI5266" s="2">
        <v>9268.4018105830892</v>
      </c>
      <c r="AJ5266" s="2">
        <v>8564.0375555499795</v>
      </c>
      <c r="AK5266" s="2">
        <v>9846.6677838055402</v>
      </c>
      <c r="AL5266" s="2">
        <v>11457.2710023778</v>
      </c>
      <c r="AM5266" s="2">
        <v>8109.8739025409204</v>
      </c>
      <c r="AN5266" s="2">
        <v>9179.6968127914406</v>
      </c>
      <c r="AO5266" s="2">
        <v>8226.1422817016501</v>
      </c>
      <c r="AP5266" s="2">
        <v>7301.9326633043102</v>
      </c>
    </row>
    <row r="5267" spans="1:42" ht="14.5" x14ac:dyDescent="0.35">
      <c r="A5267" s="2" t="s">
        <v>34941</v>
      </c>
      <c r="B5267" s="2">
        <v>947.52049587866497</v>
      </c>
      <c r="C5267" s="2">
        <v>11.234683333333299</v>
      </c>
      <c r="D5267" s="2" t="s">
        <v>70</v>
      </c>
      <c r="E5267" s="2" t="s">
        <v>34942</v>
      </c>
      <c r="F5267" s="2">
        <v>266687</v>
      </c>
      <c r="G5267" s="3" t="str">
        <f>HYPERLINK("http://funmeta.oebiotech.com/network/266687", "http://funmeta.oebiotech.com/network/266687")</f>
        <v>http://funmeta.oebiotech.com/network/266687</v>
      </c>
      <c r="H5267" s="2"/>
      <c r="I5267" s="2">
        <v>43775</v>
      </c>
      <c r="J5267" s="2"/>
      <c r="K5267" s="2"/>
      <c r="L5267" s="2"/>
      <c r="M5267" s="2"/>
      <c r="N5267" s="2"/>
      <c r="O5267" s="2">
        <v>608895</v>
      </c>
      <c r="P5267" s="2" t="s">
        <v>34943</v>
      </c>
      <c r="Q5267" s="2" t="s">
        <v>34944</v>
      </c>
      <c r="R5267" s="2" t="s">
        <v>34945</v>
      </c>
      <c r="S5267" s="2" t="s">
        <v>50</v>
      </c>
      <c r="T5267" s="2" t="s">
        <v>124</v>
      </c>
      <c r="U5267" s="2" t="s">
        <v>567</v>
      </c>
      <c r="V5267" s="2" t="s">
        <v>59</v>
      </c>
      <c r="W5267" s="2">
        <v>37.299999999999997</v>
      </c>
      <c r="X5267" s="2">
        <v>0</v>
      </c>
      <c r="Y5267" s="2" t="s">
        <v>560</v>
      </c>
      <c r="Z5267" s="2" t="s">
        <v>34946</v>
      </c>
      <c r="AA5267" s="2">
        <v>4.4966724308105803</v>
      </c>
      <c r="AB5267" s="2">
        <v>9.3740037262319595E-2</v>
      </c>
      <c r="AC5267" s="2">
        <v>4872.8937996454497</v>
      </c>
      <c r="AD5267" s="2">
        <v>6274.2776040169201</v>
      </c>
      <c r="AE5267" s="2">
        <v>3942.61570744954</v>
      </c>
      <c r="AF5267" s="2">
        <v>3756.7506800495598</v>
      </c>
      <c r="AG5267" s="2">
        <v>2759.2660049690699</v>
      </c>
      <c r="AH5267" s="2">
        <v>5861.7213443800701</v>
      </c>
      <c r="AI5267" s="2">
        <v>7776.4054276388497</v>
      </c>
      <c r="AJ5267" s="2">
        <v>5140.60363338559</v>
      </c>
      <c r="AK5267" s="2">
        <v>4712.5144578408499</v>
      </c>
      <c r="AL5267" s="2">
        <v>4808.5853136129999</v>
      </c>
      <c r="AM5267" s="2">
        <v>5308.8821508069304</v>
      </c>
      <c r="AN5267" s="2">
        <v>6231.9888250950398</v>
      </c>
      <c r="AO5267" s="2">
        <v>7293.92228631938</v>
      </c>
      <c r="AP5267" s="2">
        <v>9289.7725904263298</v>
      </c>
    </row>
    <row r="5268" spans="1:42" ht="14.5" x14ac:dyDescent="0.35">
      <c r="A5268" s="2" t="s">
        <v>34947</v>
      </c>
      <c r="B5268" s="2">
        <v>653.21385493695504</v>
      </c>
      <c r="C5268" s="2">
        <v>0.75453333333333295</v>
      </c>
      <c r="D5268" s="2" t="s">
        <v>70</v>
      </c>
      <c r="E5268" s="2" t="s">
        <v>34948</v>
      </c>
      <c r="F5268" s="2">
        <v>266554</v>
      </c>
      <c r="G5268" s="3" t="str">
        <f>HYPERLINK("http://funmeta.oebiotech.com/network/266554", "http://funmeta.oebiotech.com/network/266554")</f>
        <v>http://funmeta.oebiotech.com/network/266554</v>
      </c>
      <c r="H5268" s="2"/>
      <c r="I5268" s="2">
        <v>43562</v>
      </c>
      <c r="J5268" s="2"/>
      <c r="K5268" s="2"/>
      <c r="L5268" s="2"/>
      <c r="M5268" s="2"/>
      <c r="N5268" s="2"/>
      <c r="O5268" s="2">
        <v>5282230</v>
      </c>
      <c r="P5268" s="2" t="s">
        <v>34949</v>
      </c>
      <c r="Q5268" s="2" t="s">
        <v>34950</v>
      </c>
      <c r="R5268" s="2" t="s">
        <v>34951</v>
      </c>
      <c r="S5268" s="2" t="s">
        <v>115</v>
      </c>
      <c r="T5268" s="2" t="s">
        <v>116</v>
      </c>
      <c r="U5268" s="2" t="s">
        <v>2028</v>
      </c>
      <c r="V5268" s="2" t="s">
        <v>59</v>
      </c>
      <c r="W5268" s="2">
        <v>38.9</v>
      </c>
      <c r="X5268" s="2">
        <v>0</v>
      </c>
      <c r="Y5268" s="2" t="s">
        <v>560</v>
      </c>
      <c r="Z5268" s="2" t="s">
        <v>34952</v>
      </c>
      <c r="AA5268" s="2">
        <v>-0.32699425989187397</v>
      </c>
      <c r="AB5268" s="2">
        <v>9.3727649852503994E-2</v>
      </c>
      <c r="AC5268" s="2">
        <v>37550.168232823198</v>
      </c>
      <c r="AD5268" s="2">
        <v>41891.054705084898</v>
      </c>
      <c r="AE5268" s="2">
        <v>48156.427869628897</v>
      </c>
      <c r="AF5268" s="2">
        <v>19925.106491671399</v>
      </c>
      <c r="AG5268" s="2">
        <v>37928.0836876998</v>
      </c>
      <c r="AH5268" s="2">
        <v>24956.7702813654</v>
      </c>
      <c r="AI5268" s="2">
        <v>52627.658748023801</v>
      </c>
      <c r="AJ5268" s="2">
        <v>41706.962318549799</v>
      </c>
      <c r="AK5268" s="2">
        <v>54866.506346554401</v>
      </c>
      <c r="AL5268" s="2">
        <v>27479.771630519099</v>
      </c>
      <c r="AM5268" s="2">
        <v>26089.169308672499</v>
      </c>
      <c r="AN5268" s="2">
        <v>51771.862171274697</v>
      </c>
      <c r="AO5268" s="2">
        <v>15032.720743509901</v>
      </c>
      <c r="AP5268" s="2">
        <v>76106.298029979007</v>
      </c>
    </row>
    <row r="5269" spans="1:42" ht="14.5" x14ac:dyDescent="0.35">
      <c r="A5269" s="2" t="s">
        <v>34953</v>
      </c>
      <c r="B5269" s="2">
        <v>128.07048817068099</v>
      </c>
      <c r="C5269" s="2">
        <v>0.78071666666666695</v>
      </c>
      <c r="D5269" s="2" t="s">
        <v>34</v>
      </c>
      <c r="E5269" s="2" t="s">
        <v>34954</v>
      </c>
      <c r="F5269" s="2">
        <v>47318</v>
      </c>
      <c r="G5269" s="3" t="str">
        <f>HYPERLINK("http://funmeta.oebiotech.com/network/47318", "http://funmeta.oebiotech.com/network/47318")</f>
        <v>http://funmeta.oebiotech.com/network/47318</v>
      </c>
      <c r="H5269" s="2" t="s">
        <v>34955</v>
      </c>
      <c r="I5269" s="2">
        <v>282</v>
      </c>
      <c r="J5269" s="2"/>
      <c r="K5269" s="2">
        <v>18135</v>
      </c>
      <c r="L5269" s="2" t="s">
        <v>34956</v>
      </c>
      <c r="M5269" s="2"/>
      <c r="N5269" s="2"/>
      <c r="O5269" s="2">
        <v>289</v>
      </c>
      <c r="P5269" s="2" t="s">
        <v>34957</v>
      </c>
      <c r="Q5269" s="2" t="s">
        <v>34958</v>
      </c>
      <c r="R5269" s="2" t="s">
        <v>34959</v>
      </c>
      <c r="S5269" s="2" t="s">
        <v>148</v>
      </c>
      <c r="T5269" s="2" t="s">
        <v>392</v>
      </c>
      <c r="U5269" s="2" t="s">
        <v>2045</v>
      </c>
      <c r="V5269" s="2" t="s">
        <v>59</v>
      </c>
      <c r="W5269" s="2">
        <v>38.5</v>
      </c>
      <c r="X5269" s="2">
        <v>0</v>
      </c>
      <c r="Y5269" s="2" t="s">
        <v>43</v>
      </c>
      <c r="Z5269" s="2" t="s">
        <v>34960</v>
      </c>
      <c r="AA5269" s="2">
        <v>-1.0613801978724</v>
      </c>
      <c r="AB5269" s="2">
        <v>9.3636673574583801E-2</v>
      </c>
      <c r="AC5269" s="2">
        <v>11115.301057075099</v>
      </c>
      <c r="AD5269" s="2">
        <v>12187.663396731399</v>
      </c>
      <c r="AE5269" s="2">
        <v>11920.2454504373</v>
      </c>
      <c r="AF5269" s="2">
        <v>12394.217663617301</v>
      </c>
      <c r="AG5269" s="2">
        <v>11284.288922366301</v>
      </c>
      <c r="AH5269" s="2">
        <v>9243.9558060098097</v>
      </c>
      <c r="AI5269" s="2">
        <v>11648.0289581789</v>
      </c>
      <c r="AJ5269" s="2">
        <v>10201.069541841</v>
      </c>
      <c r="AK5269" s="2">
        <v>11067.3190885355</v>
      </c>
      <c r="AL5269" s="2">
        <v>12612.429255065899</v>
      </c>
      <c r="AM5269" s="2">
        <v>12340.8817267906</v>
      </c>
      <c r="AN5269" s="2">
        <v>12287.614487672299</v>
      </c>
      <c r="AO5269" s="2">
        <v>12315.804852036599</v>
      </c>
      <c r="AP5269" s="2">
        <v>12501.9309702872</v>
      </c>
    </row>
    <row r="5270" spans="1:42" ht="14.5" x14ac:dyDescent="0.35">
      <c r="A5270" s="2" t="s">
        <v>34961</v>
      </c>
      <c r="B5270" s="2">
        <v>339.16586749732397</v>
      </c>
      <c r="C5270" s="2">
        <v>4.2085666666666697</v>
      </c>
      <c r="D5270" s="2" t="s">
        <v>34</v>
      </c>
      <c r="E5270" s="2" t="s">
        <v>34962</v>
      </c>
      <c r="F5270" s="2">
        <v>204556</v>
      </c>
      <c r="G5270" s="3" t="str">
        <f>HYPERLINK("http://funmeta.oebiotech.com/network/204556", "http://funmeta.oebiotech.com/network/204556")</f>
        <v>http://funmeta.oebiotech.com/network/204556</v>
      </c>
      <c r="H5270" s="2" t="s">
        <v>34963</v>
      </c>
      <c r="I5270" s="2">
        <v>316296</v>
      </c>
      <c r="J5270" s="2"/>
      <c r="K5270" s="2"/>
      <c r="L5270" s="2"/>
      <c r="M5270" s="2"/>
      <c r="N5270" s="2"/>
      <c r="O5270" s="2">
        <v>2569</v>
      </c>
      <c r="P5270" s="2"/>
      <c r="Q5270" s="2" t="s">
        <v>34964</v>
      </c>
      <c r="R5270" s="2" t="s">
        <v>34965</v>
      </c>
      <c r="S5270" s="2" t="s">
        <v>79</v>
      </c>
      <c r="T5270" s="2" t="s">
        <v>80</v>
      </c>
      <c r="U5270" s="2" t="s">
        <v>2820</v>
      </c>
      <c r="V5270" s="2" t="s">
        <v>59</v>
      </c>
      <c r="W5270" s="2">
        <v>38</v>
      </c>
      <c r="X5270" s="2">
        <v>0</v>
      </c>
      <c r="Y5270" s="2" t="s">
        <v>43</v>
      </c>
      <c r="Z5270" s="2" t="s">
        <v>34966</v>
      </c>
      <c r="AA5270" s="2">
        <v>-1.3351319002627799</v>
      </c>
      <c r="AB5270" s="2">
        <v>9.3597435778953603E-2</v>
      </c>
      <c r="AC5270" s="2">
        <v>3289.09796828358</v>
      </c>
      <c r="AD5270" s="2">
        <v>2283.1777661607098</v>
      </c>
      <c r="AE5270" s="2">
        <v>3477.43226060081</v>
      </c>
      <c r="AF5270" s="2">
        <v>1978.6888071830399</v>
      </c>
      <c r="AG5270" s="2">
        <v>3215.0142769243798</v>
      </c>
      <c r="AH5270" s="2">
        <v>4897.6353717617403</v>
      </c>
      <c r="AI5270" s="2">
        <v>2995.7141663245802</v>
      </c>
      <c r="AJ5270" s="2">
        <v>3170.10292690695</v>
      </c>
      <c r="AK5270" s="2">
        <v>1270.30779924597</v>
      </c>
      <c r="AL5270" s="2">
        <v>2485.5638870687999</v>
      </c>
      <c r="AM5270" s="2">
        <v>2229.5603281086701</v>
      </c>
      <c r="AN5270" s="2">
        <v>2449.3331376803599</v>
      </c>
      <c r="AO5270" s="2">
        <v>2167.9662858988099</v>
      </c>
      <c r="AP5270" s="2">
        <v>3096.33515896167</v>
      </c>
    </row>
    <row r="5271" spans="1:42" ht="14.5" x14ac:dyDescent="0.35">
      <c r="A5271" s="2" t="s">
        <v>34967</v>
      </c>
      <c r="B5271" s="2">
        <v>720.30633353605594</v>
      </c>
      <c r="C5271" s="2">
        <v>4.0516166666666704</v>
      </c>
      <c r="D5271" s="2" t="s">
        <v>34</v>
      </c>
      <c r="E5271" s="2" t="s">
        <v>34968</v>
      </c>
      <c r="F5271" s="2">
        <v>204438</v>
      </c>
      <c r="G5271" s="3" t="str">
        <f>HYPERLINK("http://funmeta.oebiotech.com/network/204438", "http://funmeta.oebiotech.com/network/204438")</f>
        <v>http://funmeta.oebiotech.com/network/204438</v>
      </c>
      <c r="H5271" s="2" t="s">
        <v>34969</v>
      </c>
      <c r="I5271" s="2"/>
      <c r="J5271" s="2"/>
      <c r="K5271" s="2"/>
      <c r="L5271" s="2"/>
      <c r="M5271" s="2"/>
      <c r="N5271" s="2"/>
      <c r="O5271" s="2">
        <v>4601953</v>
      </c>
      <c r="P5271" s="2"/>
      <c r="Q5271" s="2" t="s">
        <v>34970</v>
      </c>
      <c r="R5271" s="2" t="s">
        <v>34971</v>
      </c>
      <c r="S5271" s="2" t="s">
        <v>89</v>
      </c>
      <c r="T5271" s="2" t="s">
        <v>90</v>
      </c>
      <c r="U5271" s="2" t="s">
        <v>99</v>
      </c>
      <c r="V5271" s="2" t="s">
        <v>59</v>
      </c>
      <c r="W5271" s="2">
        <v>36.6</v>
      </c>
      <c r="X5271" s="2">
        <v>0</v>
      </c>
      <c r="Y5271" s="2" t="s">
        <v>323</v>
      </c>
      <c r="Z5271" s="2" t="s">
        <v>34972</v>
      </c>
      <c r="AA5271" s="2">
        <v>-1.8085601080331799</v>
      </c>
      <c r="AB5271" s="2">
        <v>9.3543777458831107E-2</v>
      </c>
      <c r="AC5271" s="2">
        <v>12037.623482671999</v>
      </c>
      <c r="AD5271" s="2">
        <v>9972.36864832233</v>
      </c>
      <c r="AE5271" s="2">
        <v>16489.811000792201</v>
      </c>
      <c r="AF5271" s="2">
        <v>12378.3798602643</v>
      </c>
      <c r="AG5271" s="2">
        <v>11522.266170111699</v>
      </c>
      <c r="AH5271" s="2">
        <v>7776.85512302192</v>
      </c>
      <c r="AI5271" s="2">
        <v>16960.565232150999</v>
      </c>
      <c r="AJ5271" s="2">
        <v>7097.8635096907201</v>
      </c>
      <c r="AK5271" s="2">
        <v>9885.8972878053792</v>
      </c>
      <c r="AL5271" s="2">
        <v>7184.52326436568</v>
      </c>
      <c r="AM5271" s="2">
        <v>5929.17579347009</v>
      </c>
      <c r="AN5271" s="2">
        <v>11612.868994627101</v>
      </c>
      <c r="AO5271" s="2">
        <v>9712.3262320219401</v>
      </c>
      <c r="AP5271" s="2">
        <v>15509.4203176438</v>
      </c>
    </row>
    <row r="5272" spans="1:42" ht="14.5" x14ac:dyDescent="0.35">
      <c r="A5272" s="2" t="s">
        <v>34973</v>
      </c>
      <c r="B5272" s="2">
        <v>745.34319032702194</v>
      </c>
      <c r="C5272" s="2">
        <v>9.1416000000000004</v>
      </c>
      <c r="D5272" s="2" t="s">
        <v>70</v>
      </c>
      <c r="E5272" s="2" t="s">
        <v>34974</v>
      </c>
      <c r="F5272" s="2">
        <v>206237</v>
      </c>
      <c r="G5272" s="3" t="str">
        <f>HYPERLINK("http://funmeta.oebiotech.com/network/206237", "http://funmeta.oebiotech.com/network/206237")</f>
        <v>http://funmeta.oebiotech.com/network/206237</v>
      </c>
      <c r="H5272" s="2" t="s">
        <v>34975</v>
      </c>
      <c r="I5272" s="2"/>
      <c r="J5272" s="2"/>
      <c r="K5272" s="2"/>
      <c r="L5272" s="2"/>
      <c r="M5272" s="2"/>
      <c r="N5272" s="2"/>
      <c r="O5272" s="2">
        <v>14019942</v>
      </c>
      <c r="P5272" s="2"/>
      <c r="Q5272" s="2" t="s">
        <v>34976</v>
      </c>
      <c r="R5272" s="2" t="s">
        <v>34977</v>
      </c>
      <c r="S5272" s="2" t="s">
        <v>89</v>
      </c>
      <c r="T5272" s="2" t="s">
        <v>90</v>
      </c>
      <c r="U5272" s="2" t="s">
        <v>99</v>
      </c>
      <c r="V5272" s="2" t="s">
        <v>59</v>
      </c>
      <c r="W5272" s="2">
        <v>38.200000000000003</v>
      </c>
      <c r="X5272" s="2">
        <v>0</v>
      </c>
      <c r="Y5272" s="2" t="s">
        <v>408</v>
      </c>
      <c r="Z5272" s="2" t="s">
        <v>34978</v>
      </c>
      <c r="AA5272" s="2">
        <v>2.5640190173472601</v>
      </c>
      <c r="AB5272" s="2">
        <v>9.3528344885975695E-2</v>
      </c>
      <c r="AC5272" s="2">
        <v>741.68885686415103</v>
      </c>
      <c r="AD5272" s="2">
        <v>1498.6480810774001</v>
      </c>
      <c r="AE5272" s="2">
        <v>313.578933438766</v>
      </c>
      <c r="AF5272" s="2">
        <v>708.31026265361299</v>
      </c>
      <c r="AG5272" s="2">
        <v>742.34490882386206</v>
      </c>
      <c r="AH5272" s="2">
        <v>1026.62183538107</v>
      </c>
      <c r="AI5272" s="2">
        <v>1361.2116892842</v>
      </c>
      <c r="AJ5272" s="2">
        <v>298.06551160339802</v>
      </c>
      <c r="AK5272" s="2">
        <v>1657.96351148694</v>
      </c>
      <c r="AL5272" s="2">
        <v>1584.14835202372</v>
      </c>
      <c r="AM5272" s="2">
        <v>1646.0335562391101</v>
      </c>
      <c r="AN5272" s="2">
        <v>1715.1197533882901</v>
      </c>
      <c r="AO5272" s="2">
        <v>872.45600344090099</v>
      </c>
      <c r="AP5272" s="2">
        <v>1516.1673098854201</v>
      </c>
    </row>
    <row r="5273" spans="1:42" ht="14.5" x14ac:dyDescent="0.35">
      <c r="A5273" s="2" t="s">
        <v>34979</v>
      </c>
      <c r="B5273" s="2">
        <v>199.09673361115</v>
      </c>
      <c r="C5273" s="2">
        <v>4.8087833333333299</v>
      </c>
      <c r="D5273" s="2" t="s">
        <v>70</v>
      </c>
      <c r="E5273" s="2" t="s">
        <v>34980</v>
      </c>
      <c r="F5273" s="2">
        <v>192</v>
      </c>
      <c r="G5273" s="3" t="str">
        <f>HYPERLINK("http://funmeta.oebiotech.com/network/192", "http://funmeta.oebiotech.com/network/192")</f>
        <v>http://funmeta.oebiotech.com/network/192</v>
      </c>
      <c r="H5273" s="2" t="s">
        <v>34981</v>
      </c>
      <c r="I5273" s="2">
        <v>4623</v>
      </c>
      <c r="J5273" s="2" t="s">
        <v>34982</v>
      </c>
      <c r="K5273" s="2">
        <v>37127</v>
      </c>
      <c r="L5273" s="2"/>
      <c r="M5273" s="2"/>
      <c r="N5273" s="2"/>
      <c r="O5273" s="2">
        <v>10931</v>
      </c>
      <c r="P5273" s="2" t="s">
        <v>34983</v>
      </c>
      <c r="Q5273" s="2" t="s">
        <v>34984</v>
      </c>
      <c r="R5273" s="2" t="s">
        <v>34985</v>
      </c>
      <c r="S5273" s="2" t="s">
        <v>50</v>
      </c>
      <c r="T5273" s="2" t="s">
        <v>229</v>
      </c>
      <c r="U5273" s="2" t="s">
        <v>433</v>
      </c>
      <c r="V5273" s="2" t="s">
        <v>59</v>
      </c>
      <c r="W5273" s="2">
        <v>38.799999999999997</v>
      </c>
      <c r="X5273" s="2">
        <v>0</v>
      </c>
      <c r="Y5273" s="2" t="s">
        <v>560</v>
      </c>
      <c r="Z5273" s="2" t="s">
        <v>25667</v>
      </c>
      <c r="AA5273" s="2">
        <v>-4.2425167218982303</v>
      </c>
      <c r="AB5273" s="2">
        <v>9.3513604750065593E-2</v>
      </c>
      <c r="AC5273" s="2">
        <v>3071.9247517512699</v>
      </c>
      <c r="AD5273" s="2">
        <v>3837.3395175830001</v>
      </c>
      <c r="AE5273" s="2">
        <v>2621.4219808753001</v>
      </c>
      <c r="AF5273" s="2">
        <v>3098.52108254927</v>
      </c>
      <c r="AG5273" s="2">
        <v>3531.6566107671001</v>
      </c>
      <c r="AH5273" s="2">
        <v>3300.9919159638598</v>
      </c>
      <c r="AI5273" s="2">
        <v>3051.0376214009202</v>
      </c>
      <c r="AJ5273" s="2">
        <v>2827.9192989511598</v>
      </c>
      <c r="AK5273" s="2">
        <v>3681.74442002551</v>
      </c>
      <c r="AL5273" s="2">
        <v>4387.9309253765095</v>
      </c>
      <c r="AM5273" s="2">
        <v>4000.3973822631801</v>
      </c>
      <c r="AN5273" s="2">
        <v>3757.77442241995</v>
      </c>
      <c r="AO5273" s="2">
        <v>4016.4477717168102</v>
      </c>
      <c r="AP5273" s="2">
        <v>3179.7421836960302</v>
      </c>
    </row>
    <row r="5274" spans="1:42" ht="14.5" x14ac:dyDescent="0.35">
      <c r="A5274" s="2" t="s">
        <v>34986</v>
      </c>
      <c r="B5274" s="2">
        <v>453.19501931721697</v>
      </c>
      <c r="C5274" s="2">
        <v>11.7509833333333</v>
      </c>
      <c r="D5274" s="2" t="s">
        <v>70</v>
      </c>
      <c r="E5274" s="2" t="s">
        <v>34987</v>
      </c>
      <c r="F5274" s="2">
        <v>82859</v>
      </c>
      <c r="G5274" s="3" t="str">
        <f>HYPERLINK("http://funmeta.oebiotech.com/network/82859", "http://funmeta.oebiotech.com/network/82859")</f>
        <v>http://funmeta.oebiotech.com/network/82859</v>
      </c>
      <c r="H5274" s="2" t="s">
        <v>34988</v>
      </c>
      <c r="I5274" s="2"/>
      <c r="J5274" s="2"/>
      <c r="K5274" s="2"/>
      <c r="L5274" s="2"/>
      <c r="M5274" s="2"/>
      <c r="N5274" s="2"/>
      <c r="O5274" s="2">
        <v>131770005</v>
      </c>
      <c r="P5274" s="2"/>
      <c r="Q5274" s="2" t="s">
        <v>34989</v>
      </c>
      <c r="R5274" s="2" t="s">
        <v>34990</v>
      </c>
      <c r="S5274" s="2" t="s">
        <v>50</v>
      </c>
      <c r="T5274" s="2" t="s">
        <v>124</v>
      </c>
      <c r="U5274" s="2" t="s">
        <v>1136</v>
      </c>
      <c r="V5274" s="2" t="s">
        <v>59</v>
      </c>
      <c r="W5274" s="2">
        <v>37.799999999999997</v>
      </c>
      <c r="X5274" s="2">
        <v>0</v>
      </c>
      <c r="Y5274" s="2" t="s">
        <v>408</v>
      </c>
      <c r="Z5274" s="2" t="s">
        <v>34991</v>
      </c>
      <c r="AA5274" s="2">
        <v>4.8985919073561401</v>
      </c>
      <c r="AB5274" s="2">
        <v>9.3505201829845605E-2</v>
      </c>
      <c r="AC5274" s="2">
        <v>696.99177852771504</v>
      </c>
      <c r="AD5274" s="2">
        <v>3.4382196804562501E-4</v>
      </c>
      <c r="AE5274" s="2">
        <v>1089.65495360369</v>
      </c>
      <c r="AF5274" s="2">
        <v>710.65621672011696</v>
      </c>
      <c r="AG5274" s="2">
        <v>1043.1890209067799</v>
      </c>
      <c r="AH5274" s="2">
        <v>318.06044758480999</v>
      </c>
      <c r="AI5274" s="2">
        <v>834.95573957633496</v>
      </c>
      <c r="AJ5274" s="2">
        <v>185.43429277455999</v>
      </c>
      <c r="AK5274" s="2">
        <v>2.7106294003980101E-5</v>
      </c>
      <c r="AL5274" s="2">
        <v>2.7106294003980101E-5</v>
      </c>
      <c r="AM5274" s="2">
        <v>2.7106294003980101E-5</v>
      </c>
      <c r="AN5274" s="2">
        <v>1.92740033825385E-3</v>
      </c>
      <c r="AO5274" s="2">
        <v>2.7106294003980101E-5</v>
      </c>
      <c r="AP5274" s="2">
        <v>2.7106294003980101E-5</v>
      </c>
    </row>
    <row r="5275" spans="1:42" ht="14.5" x14ac:dyDescent="0.35">
      <c r="A5275" s="2" t="s">
        <v>34992</v>
      </c>
      <c r="B5275" s="2">
        <v>535.31203794528597</v>
      </c>
      <c r="C5275" s="2">
        <v>5.6176666666666701</v>
      </c>
      <c r="D5275" s="2" t="s">
        <v>70</v>
      </c>
      <c r="E5275" s="2" t="s">
        <v>34993</v>
      </c>
      <c r="F5275" s="2">
        <v>10364</v>
      </c>
      <c r="G5275" s="3" t="str">
        <f>HYPERLINK("http://funmeta.oebiotech.com/network/10364", "http://funmeta.oebiotech.com/network/10364")</f>
        <v>http://funmeta.oebiotech.com/network/10364</v>
      </c>
      <c r="H5275" s="2"/>
      <c r="I5275" s="2"/>
      <c r="J5275" s="2" t="s">
        <v>34994</v>
      </c>
      <c r="K5275" s="2">
        <v>79306</v>
      </c>
      <c r="L5275" s="2"/>
      <c r="M5275" s="2"/>
      <c r="N5275" s="2"/>
      <c r="O5275" s="2">
        <v>86289881</v>
      </c>
      <c r="P5275" s="2"/>
      <c r="Q5275" s="2" t="s">
        <v>34995</v>
      </c>
      <c r="R5275" s="2" t="s">
        <v>34996</v>
      </c>
      <c r="S5275" s="2" t="s">
        <v>50</v>
      </c>
      <c r="T5275" s="2" t="s">
        <v>229</v>
      </c>
      <c r="U5275" s="2" t="s">
        <v>230</v>
      </c>
      <c r="V5275" s="2" t="s">
        <v>42</v>
      </c>
      <c r="W5275" s="2">
        <v>43.4</v>
      </c>
      <c r="X5275" s="2">
        <v>51.5</v>
      </c>
      <c r="Y5275" s="2" t="s">
        <v>792</v>
      </c>
      <c r="Z5275" s="2" t="s">
        <v>34997</v>
      </c>
      <c r="AA5275" s="2">
        <v>-0.648824308834689</v>
      </c>
      <c r="AB5275" s="2">
        <v>9.3270267835658394E-2</v>
      </c>
      <c r="AC5275" s="2">
        <v>93774.669818872702</v>
      </c>
      <c r="AD5275" s="2">
        <v>95957.094736894796</v>
      </c>
      <c r="AE5275" s="2">
        <v>91710.654270493207</v>
      </c>
      <c r="AF5275" s="2">
        <v>91493.024749632503</v>
      </c>
      <c r="AG5275" s="2">
        <v>95413.234470225594</v>
      </c>
      <c r="AH5275" s="2">
        <v>95748.286347559493</v>
      </c>
      <c r="AI5275" s="2">
        <v>91680.619170980193</v>
      </c>
      <c r="AJ5275" s="2">
        <v>96602.199904345005</v>
      </c>
      <c r="AK5275" s="2">
        <v>86075.092473782497</v>
      </c>
      <c r="AL5275" s="2">
        <v>94161.546439993705</v>
      </c>
      <c r="AM5275" s="2">
        <v>99708.118268809398</v>
      </c>
      <c r="AN5275" s="2">
        <v>96365.593111652095</v>
      </c>
      <c r="AO5275" s="2">
        <v>96180.022088261801</v>
      </c>
      <c r="AP5275" s="2">
        <v>103252.19603886901</v>
      </c>
    </row>
    <row r="5276" spans="1:42" ht="14.5" x14ac:dyDescent="0.35">
      <c r="A5276" s="2" t="s">
        <v>34998</v>
      </c>
      <c r="B5276" s="2">
        <v>224.09134715101601</v>
      </c>
      <c r="C5276" s="2">
        <v>7.1875666666666698</v>
      </c>
      <c r="D5276" s="2" t="s">
        <v>34</v>
      </c>
      <c r="E5276" s="2" t="s">
        <v>34999</v>
      </c>
      <c r="F5276" s="2">
        <v>52782</v>
      </c>
      <c r="G5276" s="3" t="str">
        <f>HYPERLINK("http://funmeta.oebiotech.com/network/52782", "http://funmeta.oebiotech.com/network/52782")</f>
        <v>http://funmeta.oebiotech.com/network/52782</v>
      </c>
      <c r="H5276" s="2" t="s">
        <v>35000</v>
      </c>
      <c r="I5276" s="2">
        <v>43251</v>
      </c>
      <c r="J5276" s="2"/>
      <c r="K5276" s="2">
        <v>77498</v>
      </c>
      <c r="L5276" s="2"/>
      <c r="M5276" s="2"/>
      <c r="N5276" s="2"/>
      <c r="O5276" s="2">
        <v>4107</v>
      </c>
      <c r="P5276" s="2" t="s">
        <v>35001</v>
      </c>
      <c r="Q5276" s="2" t="s">
        <v>35002</v>
      </c>
      <c r="R5276" s="2" t="s">
        <v>35003</v>
      </c>
      <c r="S5276" s="2" t="s">
        <v>148</v>
      </c>
      <c r="T5276" s="2" t="s">
        <v>3772</v>
      </c>
      <c r="U5276" s="2" t="s">
        <v>18665</v>
      </c>
      <c r="V5276" s="2" t="s">
        <v>59</v>
      </c>
      <c r="W5276" s="2">
        <v>37.1</v>
      </c>
      <c r="X5276" s="2">
        <v>0</v>
      </c>
      <c r="Y5276" s="2" t="s">
        <v>141</v>
      </c>
      <c r="Z5276" s="2" t="s">
        <v>35004</v>
      </c>
      <c r="AA5276" s="2">
        <v>-1.6059337496130299</v>
      </c>
      <c r="AB5276" s="2">
        <v>9.3214939774526495E-2</v>
      </c>
      <c r="AC5276" s="2">
        <v>4246.6786684729404</v>
      </c>
      <c r="AD5276" s="2">
        <v>5318.2393610728504</v>
      </c>
      <c r="AE5276" s="2">
        <v>4761.0749769941403</v>
      </c>
      <c r="AF5276" s="2">
        <v>3495.28359147533</v>
      </c>
      <c r="AG5276" s="2">
        <v>3591.3211505475201</v>
      </c>
      <c r="AH5276" s="2">
        <v>3905.4836709076799</v>
      </c>
      <c r="AI5276" s="2">
        <v>4054.4423493396398</v>
      </c>
      <c r="AJ5276" s="2">
        <v>5672.4662715733502</v>
      </c>
      <c r="AK5276" s="2">
        <v>4619.7018019332099</v>
      </c>
      <c r="AL5276" s="2">
        <v>4961.41705620425</v>
      </c>
      <c r="AM5276" s="2">
        <v>4247.62759553666</v>
      </c>
      <c r="AN5276" s="2">
        <v>5119.0744786754203</v>
      </c>
      <c r="AO5276" s="2">
        <v>5863.1968155486102</v>
      </c>
      <c r="AP5276" s="2">
        <v>7098.4184185389404</v>
      </c>
    </row>
    <row r="5277" spans="1:42" ht="14.5" x14ac:dyDescent="0.35">
      <c r="A5277" s="2" t="s">
        <v>35005</v>
      </c>
      <c r="B5277" s="2">
        <v>989.56697747240003</v>
      </c>
      <c r="C5277" s="2">
        <v>12.284283333333301</v>
      </c>
      <c r="D5277" s="2" t="s">
        <v>70</v>
      </c>
      <c r="E5277" s="2" t="s">
        <v>35006</v>
      </c>
      <c r="F5277" s="2">
        <v>257882</v>
      </c>
      <c r="G5277" s="3" t="str">
        <f>HYPERLINK("http://funmeta.oebiotech.com/network/257882", "http://funmeta.oebiotech.com/network/257882")</f>
        <v>http://funmeta.oebiotech.com/network/257882</v>
      </c>
      <c r="H5277" s="2"/>
      <c r="I5277" s="2">
        <v>1276</v>
      </c>
      <c r="J5277" s="2"/>
      <c r="K5277" s="2"/>
      <c r="L5277" s="2" t="s">
        <v>35007</v>
      </c>
      <c r="M5277" s="2"/>
      <c r="N5277" s="2"/>
      <c r="O5277" s="2">
        <v>60663</v>
      </c>
      <c r="P5277" s="2" t="s">
        <v>35008</v>
      </c>
      <c r="Q5277" s="2" t="s">
        <v>35009</v>
      </c>
      <c r="R5277" s="2" t="s">
        <v>35010</v>
      </c>
      <c r="S5277" s="2" t="s">
        <v>148</v>
      </c>
      <c r="T5277" s="2" t="s">
        <v>19471</v>
      </c>
      <c r="U5277" s="2" t="s">
        <v>41</v>
      </c>
      <c r="V5277" s="2" t="s">
        <v>59</v>
      </c>
      <c r="W5277" s="2">
        <v>37.4</v>
      </c>
      <c r="X5277" s="2">
        <v>0</v>
      </c>
      <c r="Y5277" s="2" t="s">
        <v>560</v>
      </c>
      <c r="Z5277" s="2" t="s">
        <v>35011</v>
      </c>
      <c r="AA5277" s="2">
        <v>-5.23604555833729</v>
      </c>
      <c r="AB5277" s="2">
        <v>9.3180033194351405E-2</v>
      </c>
      <c r="AC5277" s="2">
        <v>1518.0817664449301</v>
      </c>
      <c r="AD5277" s="2">
        <v>791.63198350539096</v>
      </c>
      <c r="AE5277" s="2">
        <v>1476.06669954064</v>
      </c>
      <c r="AF5277" s="2">
        <v>1009.14872776461</v>
      </c>
      <c r="AG5277" s="2">
        <v>1440.0641911144801</v>
      </c>
      <c r="AH5277" s="2">
        <v>1588.94804818899</v>
      </c>
      <c r="AI5277" s="2">
        <v>1777.4732192933</v>
      </c>
      <c r="AJ5277" s="2">
        <v>1816.7897127675701</v>
      </c>
      <c r="AK5277" s="2">
        <v>1178.4948085200999</v>
      </c>
      <c r="AL5277" s="2">
        <v>503.93402084520301</v>
      </c>
      <c r="AM5277" s="2">
        <v>467.83734776464098</v>
      </c>
      <c r="AN5277" s="2">
        <v>1046.84597875037</v>
      </c>
      <c r="AO5277" s="2">
        <v>1012.5567578722701</v>
      </c>
      <c r="AP5277" s="2">
        <v>540.12298727975997</v>
      </c>
    </row>
    <row r="5278" spans="1:42" ht="14.5" x14ac:dyDescent="0.35">
      <c r="A5278" s="2" t="s">
        <v>35012</v>
      </c>
      <c r="B5278" s="2">
        <v>387.10969826454698</v>
      </c>
      <c r="C5278" s="2">
        <v>4.64978333333333</v>
      </c>
      <c r="D5278" s="2" t="s">
        <v>34</v>
      </c>
      <c r="E5278" s="2" t="s">
        <v>35013</v>
      </c>
      <c r="F5278" s="2">
        <v>58066</v>
      </c>
      <c r="G5278" s="3" t="str">
        <f>HYPERLINK("http://funmeta.oebiotech.com/network/58066", "http://funmeta.oebiotech.com/network/58066")</f>
        <v>http://funmeta.oebiotech.com/network/58066</v>
      </c>
      <c r="H5278" s="2" t="s">
        <v>35014</v>
      </c>
      <c r="I5278" s="2"/>
      <c r="J5278" s="2"/>
      <c r="K5278" s="2"/>
      <c r="L5278" s="2"/>
      <c r="M5278" s="2"/>
      <c r="N5278" s="2"/>
      <c r="O5278" s="2">
        <v>78178402</v>
      </c>
      <c r="P5278" s="2" t="s">
        <v>35015</v>
      </c>
      <c r="Q5278" s="2" t="s">
        <v>35016</v>
      </c>
      <c r="R5278" s="2" t="s">
        <v>35017</v>
      </c>
      <c r="S5278" s="2" t="s">
        <v>491</v>
      </c>
      <c r="T5278" s="2" t="s">
        <v>1341</v>
      </c>
      <c r="U5278" s="2" t="s">
        <v>6866</v>
      </c>
      <c r="V5278" s="2" t="s">
        <v>59</v>
      </c>
      <c r="W5278" s="2">
        <v>36.6</v>
      </c>
      <c r="X5278" s="2">
        <v>0</v>
      </c>
      <c r="Y5278" s="2" t="s">
        <v>266</v>
      </c>
      <c r="Z5278" s="2" t="s">
        <v>35018</v>
      </c>
      <c r="AA5278" s="2">
        <v>5.5784143491383302</v>
      </c>
      <c r="AB5278" s="2">
        <v>9.3087355798545005E-2</v>
      </c>
      <c r="AC5278" s="2">
        <v>9768.5172330265195</v>
      </c>
      <c r="AD5278" s="2">
        <v>10919.24224585</v>
      </c>
      <c r="AE5278" s="2">
        <v>8409.2458806209906</v>
      </c>
      <c r="AF5278" s="2">
        <v>10492.4866038089</v>
      </c>
      <c r="AG5278" s="2">
        <v>9600.8006733175807</v>
      </c>
      <c r="AH5278" s="2">
        <v>9955.1927465662702</v>
      </c>
      <c r="AI5278" s="2">
        <v>11588.110813903701</v>
      </c>
      <c r="AJ5278" s="2">
        <v>8565.2666799417002</v>
      </c>
      <c r="AK5278" s="2">
        <v>11896.596528988101</v>
      </c>
      <c r="AL5278" s="2">
        <v>10911.268685634501</v>
      </c>
      <c r="AM5278" s="2">
        <v>9629.0077176168907</v>
      </c>
      <c r="AN5278" s="2">
        <v>9787.5999067555204</v>
      </c>
      <c r="AO5278" s="2">
        <v>12183.277788703201</v>
      </c>
      <c r="AP5278" s="2">
        <v>11107.702847402001</v>
      </c>
    </row>
    <row r="5279" spans="1:42" ht="14.5" x14ac:dyDescent="0.35">
      <c r="A5279" s="2" t="s">
        <v>35019</v>
      </c>
      <c r="B5279" s="2">
        <v>532.23399362013504</v>
      </c>
      <c r="C5279" s="2">
        <v>9.2073</v>
      </c>
      <c r="D5279" s="2" t="s">
        <v>70</v>
      </c>
      <c r="E5279" s="2" t="s">
        <v>35020</v>
      </c>
      <c r="F5279" s="2">
        <v>82501</v>
      </c>
      <c r="G5279" s="3" t="str">
        <f>HYPERLINK("http://funmeta.oebiotech.com/network/82501", "http://funmeta.oebiotech.com/network/82501")</f>
        <v>http://funmeta.oebiotech.com/network/82501</v>
      </c>
      <c r="H5279" s="2" t="s">
        <v>35021</v>
      </c>
      <c r="I5279" s="2"/>
      <c r="J5279" s="2"/>
      <c r="K5279" s="2"/>
      <c r="L5279" s="2"/>
      <c r="M5279" s="2"/>
      <c r="N5279" s="2"/>
      <c r="O5279" s="2">
        <v>131769920</v>
      </c>
      <c r="P5279" s="2"/>
      <c r="Q5279" s="2" t="s">
        <v>35022</v>
      </c>
      <c r="R5279" s="2" t="s">
        <v>35023</v>
      </c>
      <c r="S5279" s="2" t="s">
        <v>115</v>
      </c>
      <c r="T5279" s="2" t="s">
        <v>4730</v>
      </c>
      <c r="U5279" s="2" t="s">
        <v>4731</v>
      </c>
      <c r="V5279" s="2" t="s">
        <v>59</v>
      </c>
      <c r="W5279" s="2">
        <v>37.700000000000003</v>
      </c>
      <c r="X5279" s="2">
        <v>0</v>
      </c>
      <c r="Y5279" s="2" t="s">
        <v>751</v>
      </c>
      <c r="Z5279" s="2" t="s">
        <v>35024</v>
      </c>
      <c r="AA5279" s="2">
        <v>-0.149491969516692</v>
      </c>
      <c r="AB5279" s="2">
        <v>9.3053290668696706E-2</v>
      </c>
      <c r="AC5279" s="2">
        <v>1071.53131465296</v>
      </c>
      <c r="AD5279" s="2">
        <v>1788.65707058518</v>
      </c>
      <c r="AE5279" s="2">
        <v>1200.1085721003501</v>
      </c>
      <c r="AF5279" s="2">
        <v>1524.5482398531799</v>
      </c>
      <c r="AG5279" s="2">
        <v>808.48623672265705</v>
      </c>
      <c r="AH5279" s="2">
        <v>1276.83349839213</v>
      </c>
      <c r="AI5279" s="2">
        <v>681.72319688081996</v>
      </c>
      <c r="AJ5279" s="2">
        <v>937.48814396862099</v>
      </c>
      <c r="AK5279" s="2">
        <v>1708.15675270874</v>
      </c>
      <c r="AL5279" s="2">
        <v>2007.60435378797</v>
      </c>
      <c r="AM5279" s="2">
        <v>2158.5049510109802</v>
      </c>
      <c r="AN5279" s="2">
        <v>1638.6164538559101</v>
      </c>
      <c r="AO5279" s="2">
        <v>1398.61937637868</v>
      </c>
      <c r="AP5279" s="2">
        <v>1820.4405357687799</v>
      </c>
    </row>
    <row r="5280" spans="1:42" ht="14.5" x14ac:dyDescent="0.35">
      <c r="A5280" s="2" t="s">
        <v>35025</v>
      </c>
      <c r="B5280" s="2">
        <v>475.08301935363198</v>
      </c>
      <c r="C5280" s="2">
        <v>3.8975</v>
      </c>
      <c r="D5280" s="2" t="s">
        <v>70</v>
      </c>
      <c r="E5280" s="2" t="s">
        <v>35026</v>
      </c>
      <c r="F5280" s="2">
        <v>212840</v>
      </c>
      <c r="G5280" s="3" t="str">
        <f>HYPERLINK("http://funmeta.oebiotech.com/network/212840", "http://funmeta.oebiotech.com/network/212840")</f>
        <v>http://funmeta.oebiotech.com/network/212840</v>
      </c>
      <c r="H5280" s="2" t="s">
        <v>35027</v>
      </c>
      <c r="I5280" s="2"/>
      <c r="J5280" s="2"/>
      <c r="K5280" s="2"/>
      <c r="L5280" s="2"/>
      <c r="M5280" s="2"/>
      <c r="N5280" s="2"/>
      <c r="O5280" s="2"/>
      <c r="P5280" s="2"/>
      <c r="Q5280" s="2" t="s">
        <v>35028</v>
      </c>
      <c r="R5280" s="2" t="s">
        <v>35029</v>
      </c>
      <c r="S5280" s="2" t="s">
        <v>41</v>
      </c>
      <c r="T5280" s="2" t="s">
        <v>41</v>
      </c>
      <c r="U5280" s="2" t="s">
        <v>41</v>
      </c>
      <c r="V5280" s="2" t="s">
        <v>59</v>
      </c>
      <c r="W5280" s="2">
        <v>39.6</v>
      </c>
      <c r="X5280" s="2">
        <v>15.5</v>
      </c>
      <c r="Y5280" s="2" t="s">
        <v>751</v>
      </c>
      <c r="Z5280" s="2" t="s">
        <v>35030</v>
      </c>
      <c r="AA5280" s="2">
        <v>2.7212390392535801</v>
      </c>
      <c r="AB5280" s="2">
        <v>9.3045302370973706E-2</v>
      </c>
      <c r="AC5280" s="2">
        <v>89288.9180980776</v>
      </c>
      <c r="AD5280" s="2">
        <v>91837.034047737106</v>
      </c>
      <c r="AE5280" s="2">
        <v>94726.146930679897</v>
      </c>
      <c r="AF5280" s="2">
        <v>87452.581815524594</v>
      </c>
      <c r="AG5280" s="2">
        <v>92426.398576230902</v>
      </c>
      <c r="AH5280" s="2">
        <v>92176.601596254695</v>
      </c>
      <c r="AI5280" s="2">
        <v>88559.505783610293</v>
      </c>
      <c r="AJ5280" s="2">
        <v>80392.273886165494</v>
      </c>
      <c r="AK5280" s="2">
        <v>98187.754036866507</v>
      </c>
      <c r="AL5280" s="2">
        <v>100750.474589223</v>
      </c>
      <c r="AM5280" s="2">
        <v>87995.253863495906</v>
      </c>
      <c r="AN5280" s="2">
        <v>91841.766370744896</v>
      </c>
      <c r="AO5280" s="2">
        <v>89105.756664500601</v>
      </c>
      <c r="AP5280" s="2">
        <v>83141.198761591804</v>
      </c>
    </row>
    <row r="5281" spans="1:42" ht="14.5" x14ac:dyDescent="0.35">
      <c r="A5281" s="2" t="s">
        <v>35031</v>
      </c>
      <c r="B5281" s="2">
        <v>465.212614089738</v>
      </c>
      <c r="C5281" s="2">
        <v>5.8791000000000002</v>
      </c>
      <c r="D5281" s="2" t="s">
        <v>70</v>
      </c>
      <c r="E5281" s="2" t="s">
        <v>35032</v>
      </c>
      <c r="F5281" s="2">
        <v>59619</v>
      </c>
      <c r="G5281" s="3" t="str">
        <f>HYPERLINK("http://funmeta.oebiotech.com/network/59619", "http://funmeta.oebiotech.com/network/59619")</f>
        <v>http://funmeta.oebiotech.com/network/59619</v>
      </c>
      <c r="H5281" s="2" t="s">
        <v>35033</v>
      </c>
      <c r="I5281" s="2">
        <v>91018</v>
      </c>
      <c r="J5281" s="2"/>
      <c r="K5281" s="2">
        <v>169249</v>
      </c>
      <c r="L5281" s="2"/>
      <c r="M5281" s="2"/>
      <c r="N5281" s="2"/>
      <c r="O5281" s="2">
        <v>131751864</v>
      </c>
      <c r="P5281" s="2" t="s">
        <v>35034</v>
      </c>
      <c r="Q5281" s="2" t="s">
        <v>35035</v>
      </c>
      <c r="R5281" s="2" t="s">
        <v>35036</v>
      </c>
      <c r="S5281" s="2" t="s">
        <v>50</v>
      </c>
      <c r="T5281" s="2" t="s">
        <v>201</v>
      </c>
      <c r="U5281" s="2" t="s">
        <v>241</v>
      </c>
      <c r="V5281" s="2" t="s">
        <v>59</v>
      </c>
      <c r="W5281" s="2">
        <v>38.6</v>
      </c>
      <c r="X5281" s="2">
        <v>0</v>
      </c>
      <c r="Y5281" s="2" t="s">
        <v>408</v>
      </c>
      <c r="Z5281" s="2" t="s">
        <v>35037</v>
      </c>
      <c r="AA5281" s="2">
        <v>-0.93319754266743005</v>
      </c>
      <c r="AB5281" s="2">
        <v>9.3020787590349596E-2</v>
      </c>
      <c r="AC5281" s="2">
        <v>17929.5775544557</v>
      </c>
      <c r="AD5281" s="2">
        <v>16787.069437589798</v>
      </c>
      <c r="AE5281" s="2">
        <v>17658.705566314798</v>
      </c>
      <c r="AF5281" s="2">
        <v>18906.5608914974</v>
      </c>
      <c r="AG5281" s="2">
        <v>17087.3945170072</v>
      </c>
      <c r="AH5281" s="2">
        <v>18403.4420328661</v>
      </c>
      <c r="AI5281" s="2">
        <v>16499.650346954601</v>
      </c>
      <c r="AJ5281" s="2">
        <v>19021.711972094101</v>
      </c>
      <c r="AK5281" s="2">
        <v>17456.776794180601</v>
      </c>
      <c r="AL5281" s="2">
        <v>16980.7862799092</v>
      </c>
      <c r="AM5281" s="2">
        <v>16802.2314361672</v>
      </c>
      <c r="AN5281" s="2">
        <v>14971.907880418201</v>
      </c>
      <c r="AO5281" s="2">
        <v>15959.2008412335</v>
      </c>
      <c r="AP5281" s="2">
        <v>18551.513393630099</v>
      </c>
    </row>
    <row r="5282" spans="1:42" ht="14.5" x14ac:dyDescent="0.35">
      <c r="A5282" s="2" t="s">
        <v>35038</v>
      </c>
      <c r="B5282" s="2">
        <v>406.02179304852098</v>
      </c>
      <c r="C5282" s="2">
        <v>4.8488333333333298</v>
      </c>
      <c r="D5282" s="2" t="s">
        <v>34</v>
      </c>
      <c r="E5282" s="2" t="s">
        <v>35039</v>
      </c>
      <c r="F5282" s="2">
        <v>61864</v>
      </c>
      <c r="G5282" s="3" t="str">
        <f>HYPERLINK("http://funmeta.oebiotech.com/network/61864", "http://funmeta.oebiotech.com/network/61864")</f>
        <v>http://funmeta.oebiotech.com/network/61864</v>
      </c>
      <c r="H5282" s="2" t="s">
        <v>35040</v>
      </c>
      <c r="I5282" s="2">
        <v>93165</v>
      </c>
      <c r="J5282" s="2"/>
      <c r="K5282" s="2">
        <v>165236</v>
      </c>
      <c r="L5282" s="2"/>
      <c r="M5282" s="2"/>
      <c r="N5282" s="2"/>
      <c r="O5282" s="2">
        <v>435458</v>
      </c>
      <c r="P5282" s="2" t="s">
        <v>35041</v>
      </c>
      <c r="Q5282" s="2" t="s">
        <v>35042</v>
      </c>
      <c r="R5282" s="2" t="s">
        <v>35043</v>
      </c>
      <c r="S5282" s="2" t="s">
        <v>79</v>
      </c>
      <c r="T5282" s="2" t="s">
        <v>80</v>
      </c>
      <c r="U5282" s="2" t="s">
        <v>81</v>
      </c>
      <c r="V5282" s="2" t="s">
        <v>59</v>
      </c>
      <c r="W5282" s="2">
        <v>37.6</v>
      </c>
      <c r="X5282" s="2">
        <v>0</v>
      </c>
      <c r="Y5282" s="2" t="s">
        <v>340</v>
      </c>
      <c r="Z5282" s="2" t="s">
        <v>35044</v>
      </c>
      <c r="AA5282" s="2">
        <v>3.5913272147198598</v>
      </c>
      <c r="AB5282" s="2">
        <v>9.2963615201850203E-2</v>
      </c>
      <c r="AC5282" s="2">
        <v>29908.105224896699</v>
      </c>
      <c r="AD5282" s="2">
        <v>28208.462756818699</v>
      </c>
      <c r="AE5282" s="2">
        <v>31588.034166660698</v>
      </c>
      <c r="AF5282" s="2">
        <v>29720.232148565599</v>
      </c>
      <c r="AG5282" s="2">
        <v>29138.224114011598</v>
      </c>
      <c r="AH5282" s="2">
        <v>34793.797477816799</v>
      </c>
      <c r="AI5282" s="2">
        <v>23955.917324424099</v>
      </c>
      <c r="AJ5282" s="2">
        <v>30252.426117901701</v>
      </c>
      <c r="AK5282" s="2">
        <v>30131.6276741691</v>
      </c>
      <c r="AL5282" s="2">
        <v>28375.093458891199</v>
      </c>
      <c r="AM5282" s="2">
        <v>26773.943146084199</v>
      </c>
      <c r="AN5282" s="2">
        <v>27594.458552312699</v>
      </c>
      <c r="AO5282" s="2">
        <v>30104.297043719998</v>
      </c>
      <c r="AP5282" s="2">
        <v>26271.3566657349</v>
      </c>
    </row>
    <row r="5283" spans="1:42" ht="14.5" x14ac:dyDescent="0.35">
      <c r="A5283" s="2" t="s">
        <v>35045</v>
      </c>
      <c r="B5283" s="2">
        <v>395.36274061348598</v>
      </c>
      <c r="C5283" s="2">
        <v>14.423866666666701</v>
      </c>
      <c r="D5283" s="2" t="s">
        <v>34</v>
      </c>
      <c r="E5283" s="2" t="s">
        <v>35046</v>
      </c>
      <c r="F5283" s="2">
        <v>198464</v>
      </c>
      <c r="G5283" s="3" t="str">
        <f>HYPERLINK("http://funmeta.oebiotech.com/network/198464", "http://funmeta.oebiotech.com/network/198464")</f>
        <v>http://funmeta.oebiotech.com/network/198464</v>
      </c>
      <c r="H5283" s="2" t="s">
        <v>35047</v>
      </c>
      <c r="I5283" s="2"/>
      <c r="J5283" s="2"/>
      <c r="K5283" s="2"/>
      <c r="L5283" s="2"/>
      <c r="M5283" s="2"/>
      <c r="N5283" s="2"/>
      <c r="O5283" s="2">
        <v>18761004</v>
      </c>
      <c r="P5283" s="2"/>
      <c r="Q5283" s="2" t="s">
        <v>35048</v>
      </c>
      <c r="R5283" s="2" t="s">
        <v>35049</v>
      </c>
      <c r="S5283" s="2" t="s">
        <v>41</v>
      </c>
      <c r="T5283" s="2" t="s">
        <v>41</v>
      </c>
      <c r="U5283" s="2" t="s">
        <v>41</v>
      </c>
      <c r="V5283" s="2" t="s">
        <v>42</v>
      </c>
      <c r="W5283" s="2">
        <v>49.4</v>
      </c>
      <c r="X5283" s="2">
        <v>55.7</v>
      </c>
      <c r="Y5283" s="2" t="s">
        <v>141</v>
      </c>
      <c r="Z5283" s="2" t="s">
        <v>35050</v>
      </c>
      <c r="AA5283" s="2">
        <v>-1.1265322504499999</v>
      </c>
      <c r="AB5283" s="2">
        <v>9.2952143824324596E-2</v>
      </c>
      <c r="AC5283" s="2">
        <v>30645.067790142399</v>
      </c>
      <c r="AD5283" s="2">
        <v>32528.667304558901</v>
      </c>
      <c r="AE5283" s="2">
        <v>32815.1744073437</v>
      </c>
      <c r="AF5283" s="2">
        <v>29098.6546350387</v>
      </c>
      <c r="AG5283" s="2">
        <v>25784.812948561201</v>
      </c>
      <c r="AH5283" s="2">
        <v>35148.0167935543</v>
      </c>
      <c r="AI5283" s="2">
        <v>31387.832734212901</v>
      </c>
      <c r="AJ5283" s="2">
        <v>29635.9152221433</v>
      </c>
      <c r="AK5283" s="2">
        <v>31261.2560360241</v>
      </c>
      <c r="AL5283" s="2">
        <v>35779.6803373601</v>
      </c>
      <c r="AM5283" s="2">
        <v>29010.131835513999</v>
      </c>
      <c r="AN5283" s="2">
        <v>29817.615727504199</v>
      </c>
      <c r="AO5283" s="2">
        <v>32163.962967871601</v>
      </c>
      <c r="AP5283" s="2">
        <v>37139.3569230797</v>
      </c>
    </row>
    <row r="5284" spans="1:42" ht="14.5" x14ac:dyDescent="0.35">
      <c r="A5284" s="2" t="s">
        <v>35051</v>
      </c>
      <c r="B5284" s="2">
        <v>226.070998919923</v>
      </c>
      <c r="C5284" s="2">
        <v>3.51128333333333</v>
      </c>
      <c r="D5284" s="2" t="s">
        <v>34</v>
      </c>
      <c r="E5284" s="2" t="s">
        <v>35052</v>
      </c>
      <c r="F5284" s="2">
        <v>82040</v>
      </c>
      <c r="G5284" s="3" t="str">
        <f>HYPERLINK("http://funmeta.oebiotech.com/network/82040", "http://funmeta.oebiotech.com/network/82040")</f>
        <v>http://funmeta.oebiotech.com/network/82040</v>
      </c>
      <c r="H5284" s="2" t="s">
        <v>35053</v>
      </c>
      <c r="I5284" s="2">
        <v>410680</v>
      </c>
      <c r="J5284" s="2"/>
      <c r="K5284" s="2"/>
      <c r="L5284" s="2"/>
      <c r="M5284" s="2"/>
      <c r="N5284" s="2"/>
      <c r="O5284" s="2">
        <v>3083688</v>
      </c>
      <c r="P5284" s="2"/>
      <c r="Q5284" s="2" t="s">
        <v>35054</v>
      </c>
      <c r="R5284" s="2" t="s">
        <v>35055</v>
      </c>
      <c r="S5284" s="2" t="s">
        <v>148</v>
      </c>
      <c r="T5284" s="2" t="s">
        <v>149</v>
      </c>
      <c r="U5284" s="2" t="s">
        <v>1593</v>
      </c>
      <c r="V5284" s="2" t="s">
        <v>59</v>
      </c>
      <c r="W5284" s="2">
        <v>44.9</v>
      </c>
      <c r="X5284" s="2">
        <v>29.3</v>
      </c>
      <c r="Y5284" s="2" t="s">
        <v>394</v>
      </c>
      <c r="Z5284" s="2" t="s">
        <v>35056</v>
      </c>
      <c r="AA5284" s="2">
        <v>1.4463728578292901E-4</v>
      </c>
      <c r="AB5284" s="2">
        <v>9.2887192734064594E-2</v>
      </c>
      <c r="AC5284" s="2">
        <v>9322.6741483309306</v>
      </c>
      <c r="AD5284" s="2">
        <v>10114.6908538477</v>
      </c>
      <c r="AE5284" s="2">
        <v>9358.1896877029594</v>
      </c>
      <c r="AF5284" s="2">
        <v>8806.0822315042296</v>
      </c>
      <c r="AG5284" s="2">
        <v>9516.7064478447301</v>
      </c>
      <c r="AH5284" s="2">
        <v>9038.9374171866093</v>
      </c>
      <c r="AI5284" s="2">
        <v>9075.7604362353504</v>
      </c>
      <c r="AJ5284" s="2">
        <v>10140.368669511699</v>
      </c>
      <c r="AK5284" s="2">
        <v>10094.5745608576</v>
      </c>
      <c r="AL5284" s="2">
        <v>9717.0347655415299</v>
      </c>
      <c r="AM5284" s="2">
        <v>10019.606173390201</v>
      </c>
      <c r="AN5284" s="2">
        <v>9777.2882194007107</v>
      </c>
      <c r="AO5284" s="2">
        <v>10436.633466294899</v>
      </c>
      <c r="AP5284" s="2">
        <v>10643.0079376011</v>
      </c>
    </row>
    <row r="5285" spans="1:42" ht="14.5" x14ac:dyDescent="0.35">
      <c r="A5285" s="2" t="s">
        <v>35057</v>
      </c>
      <c r="B5285" s="2">
        <v>553.52943969225396</v>
      </c>
      <c r="C5285" s="2">
        <v>14.81635</v>
      </c>
      <c r="D5285" s="2" t="s">
        <v>34</v>
      </c>
      <c r="E5285" s="2" t="s">
        <v>35058</v>
      </c>
      <c r="F5285" s="2">
        <v>59347</v>
      </c>
      <c r="G5285" s="3" t="str">
        <f>HYPERLINK("http://funmeta.oebiotech.com/network/59347", "http://funmeta.oebiotech.com/network/59347")</f>
        <v>http://funmeta.oebiotech.com/network/59347</v>
      </c>
      <c r="H5285" s="2" t="s">
        <v>35059</v>
      </c>
      <c r="I5285" s="2"/>
      <c r="J5285" s="2"/>
      <c r="K5285" s="2">
        <v>156188</v>
      </c>
      <c r="L5285" s="2"/>
      <c r="M5285" s="2"/>
      <c r="N5285" s="2"/>
      <c r="O5285" s="2">
        <v>131751776</v>
      </c>
      <c r="P5285" s="2" t="s">
        <v>35060</v>
      </c>
      <c r="Q5285" s="2" t="s">
        <v>35061</v>
      </c>
      <c r="R5285" s="2" t="s">
        <v>35062</v>
      </c>
      <c r="S5285" s="2" t="s">
        <v>50</v>
      </c>
      <c r="T5285" s="2" t="s">
        <v>693</v>
      </c>
      <c r="U5285" s="2" t="s">
        <v>16309</v>
      </c>
      <c r="V5285" s="2" t="s">
        <v>59</v>
      </c>
      <c r="W5285" s="2">
        <v>37.9</v>
      </c>
      <c r="X5285" s="2">
        <v>0</v>
      </c>
      <c r="Y5285" s="2" t="s">
        <v>43</v>
      </c>
      <c r="Z5285" s="2" t="s">
        <v>35063</v>
      </c>
      <c r="AA5285" s="2">
        <v>-1.55143098320463</v>
      </c>
      <c r="AB5285" s="2">
        <v>9.2858037170354596E-2</v>
      </c>
      <c r="AC5285" s="2">
        <v>9301.8336507917793</v>
      </c>
      <c r="AD5285" s="2">
        <v>8436.6687199954304</v>
      </c>
      <c r="AE5285" s="2">
        <v>8473.2444577248407</v>
      </c>
      <c r="AF5285" s="2">
        <v>9442.8212323910902</v>
      </c>
      <c r="AG5285" s="2">
        <v>9993.9948262214002</v>
      </c>
      <c r="AH5285" s="2">
        <v>8971.9252338915394</v>
      </c>
      <c r="AI5285" s="2">
        <v>9140.6778835256991</v>
      </c>
      <c r="AJ5285" s="2">
        <v>9788.3382709960806</v>
      </c>
      <c r="AK5285" s="2">
        <v>8936.9875760996401</v>
      </c>
      <c r="AL5285" s="2">
        <v>7621.96427240704</v>
      </c>
      <c r="AM5285" s="2">
        <v>8655.7913521085593</v>
      </c>
      <c r="AN5285" s="2">
        <v>8104.4745902095501</v>
      </c>
      <c r="AO5285" s="2">
        <v>9032.1558123047507</v>
      </c>
      <c r="AP5285" s="2">
        <v>8268.6387168430192</v>
      </c>
    </row>
    <row r="5286" spans="1:42" ht="14.5" x14ac:dyDescent="0.35">
      <c r="A5286" s="2" t="s">
        <v>35064</v>
      </c>
      <c r="B5286" s="2">
        <v>283.08207027076003</v>
      </c>
      <c r="C5286" s="2">
        <v>4.6130500000000003</v>
      </c>
      <c r="D5286" s="2" t="s">
        <v>70</v>
      </c>
      <c r="E5286" s="2" t="s">
        <v>35065</v>
      </c>
      <c r="F5286" s="2">
        <v>47956</v>
      </c>
      <c r="G5286" s="3" t="str">
        <f>HYPERLINK("http://funmeta.oebiotech.com/network/47956", "http://funmeta.oebiotech.com/network/47956")</f>
        <v>http://funmeta.oebiotech.com/network/47956</v>
      </c>
      <c r="H5286" s="2" t="s">
        <v>35066</v>
      </c>
      <c r="I5286" s="2">
        <v>6705</v>
      </c>
      <c r="J5286" s="2"/>
      <c r="K5286" s="2"/>
      <c r="L5286" s="2"/>
      <c r="M5286" s="2"/>
      <c r="N5286" s="2"/>
      <c r="O5286" s="2">
        <v>735755</v>
      </c>
      <c r="P5286" s="2" t="s">
        <v>35067</v>
      </c>
      <c r="Q5286" s="2" t="s">
        <v>35068</v>
      </c>
      <c r="R5286" s="2" t="s">
        <v>35069</v>
      </c>
      <c r="S5286" s="2" t="s">
        <v>115</v>
      </c>
      <c r="T5286" s="2" t="s">
        <v>116</v>
      </c>
      <c r="U5286" s="2" t="s">
        <v>117</v>
      </c>
      <c r="V5286" s="2" t="s">
        <v>59</v>
      </c>
      <c r="W5286" s="2">
        <v>37.1</v>
      </c>
      <c r="X5286" s="2">
        <v>0</v>
      </c>
      <c r="Y5286" s="2" t="s">
        <v>408</v>
      </c>
      <c r="Z5286" s="2" t="s">
        <v>35070</v>
      </c>
      <c r="AA5286" s="2">
        <v>-1.07586350843519</v>
      </c>
      <c r="AB5286" s="2">
        <v>9.2749800989146702E-2</v>
      </c>
      <c r="AC5286" s="2">
        <v>1057.6130808755299</v>
      </c>
      <c r="AD5286" s="2">
        <v>341.84856703484701</v>
      </c>
      <c r="AE5286" s="2">
        <v>867.810893232529</v>
      </c>
      <c r="AF5286" s="2">
        <v>1071.42992761286</v>
      </c>
      <c r="AG5286" s="2">
        <v>903.19427182876404</v>
      </c>
      <c r="AH5286" s="2">
        <v>1541.56664007882</v>
      </c>
      <c r="AI5286" s="2">
        <v>718.90898557173796</v>
      </c>
      <c r="AJ5286" s="2">
        <v>1242.7677669284701</v>
      </c>
      <c r="AK5286" s="2">
        <v>2.7106294003980101E-5</v>
      </c>
      <c r="AL5286" s="2">
        <v>639.83904518449401</v>
      </c>
      <c r="AM5286" s="2">
        <v>2.7106294003980101E-5</v>
      </c>
      <c r="AN5286" s="2">
        <v>771.64529938455098</v>
      </c>
      <c r="AO5286" s="2">
        <v>311.71953113414099</v>
      </c>
      <c r="AP5286" s="2">
        <v>327.88747229330698</v>
      </c>
    </row>
    <row r="5287" spans="1:42" ht="14.5" x14ac:dyDescent="0.35">
      <c r="A5287" s="2" t="s">
        <v>35071</v>
      </c>
      <c r="B5287" s="2">
        <v>559.98407015225405</v>
      </c>
      <c r="C5287" s="2">
        <v>1.8080000000000001</v>
      </c>
      <c r="D5287" s="2" t="s">
        <v>70</v>
      </c>
      <c r="E5287" s="2" t="s">
        <v>35072</v>
      </c>
      <c r="F5287" s="2">
        <v>202132</v>
      </c>
      <c r="G5287" s="3" t="str">
        <f>HYPERLINK("http://funmeta.oebiotech.com/network/202132", "http://funmeta.oebiotech.com/network/202132")</f>
        <v>http://funmeta.oebiotech.com/network/202132</v>
      </c>
      <c r="H5287" s="2" t="s">
        <v>35073</v>
      </c>
      <c r="I5287" s="2">
        <v>340149</v>
      </c>
      <c r="J5287" s="2"/>
      <c r="K5287" s="2"/>
      <c r="L5287" s="2"/>
      <c r="M5287" s="2"/>
      <c r="N5287" s="2"/>
      <c r="O5287" s="2">
        <v>123822</v>
      </c>
      <c r="P5287" s="2"/>
      <c r="Q5287" s="2" t="s">
        <v>35074</v>
      </c>
      <c r="R5287" s="2" t="s">
        <v>35075</v>
      </c>
      <c r="S5287" s="2" t="s">
        <v>41</v>
      </c>
      <c r="T5287" s="2" t="s">
        <v>41</v>
      </c>
      <c r="U5287" s="2" t="s">
        <v>41</v>
      </c>
      <c r="V5287" s="2" t="s">
        <v>59</v>
      </c>
      <c r="W5287" s="2">
        <v>37.4</v>
      </c>
      <c r="X5287" s="2">
        <v>0</v>
      </c>
      <c r="Y5287" s="2" t="s">
        <v>408</v>
      </c>
      <c r="Z5287" s="2" t="s">
        <v>35076</v>
      </c>
      <c r="AA5287" s="2">
        <v>-1.3939953132768199</v>
      </c>
      <c r="AB5287" s="2">
        <v>9.2748978675317201E-2</v>
      </c>
      <c r="AC5287" s="2">
        <v>25274.0369249672</v>
      </c>
      <c r="AD5287" s="2">
        <v>26876.808444328199</v>
      </c>
      <c r="AE5287" s="2">
        <v>25136.682261539099</v>
      </c>
      <c r="AF5287" s="2">
        <v>25778.332423201002</v>
      </c>
      <c r="AG5287" s="2">
        <v>23600.320175778401</v>
      </c>
      <c r="AH5287" s="2">
        <v>27180.0326990863</v>
      </c>
      <c r="AI5287" s="2">
        <v>26543.586390611101</v>
      </c>
      <c r="AJ5287" s="2">
        <v>23405.267599587401</v>
      </c>
      <c r="AK5287" s="2">
        <v>28684.783136742</v>
      </c>
      <c r="AL5287" s="2">
        <v>30757.7982038312</v>
      </c>
      <c r="AM5287" s="2">
        <v>24494.055646351899</v>
      </c>
      <c r="AN5287" s="2">
        <v>25052.253003065602</v>
      </c>
      <c r="AO5287" s="2">
        <v>28744.036340394901</v>
      </c>
      <c r="AP5287" s="2">
        <v>23527.924335583801</v>
      </c>
    </row>
    <row r="5288" spans="1:42" ht="14.5" x14ac:dyDescent="0.35">
      <c r="A5288" s="2" t="s">
        <v>35077</v>
      </c>
      <c r="B5288" s="2">
        <v>469.29526215960101</v>
      </c>
      <c r="C5288" s="2">
        <v>9.9588999999999999</v>
      </c>
      <c r="D5288" s="2" t="s">
        <v>34</v>
      </c>
      <c r="E5288" s="2" t="s">
        <v>35078</v>
      </c>
      <c r="F5288" s="2">
        <v>59780</v>
      </c>
      <c r="G5288" s="3" t="str">
        <f>HYPERLINK("http://funmeta.oebiotech.com/network/59780", "http://funmeta.oebiotech.com/network/59780")</f>
        <v>http://funmeta.oebiotech.com/network/59780</v>
      </c>
      <c r="H5288" s="2" t="s">
        <v>35079</v>
      </c>
      <c r="I5288" s="2">
        <v>91157</v>
      </c>
      <c r="J5288" s="2"/>
      <c r="K5288" s="2"/>
      <c r="L5288" s="2"/>
      <c r="M5288" s="2"/>
      <c r="N5288" s="2"/>
      <c r="O5288" s="2">
        <v>72796165</v>
      </c>
      <c r="P5288" s="2"/>
      <c r="Q5288" s="2" t="s">
        <v>35080</v>
      </c>
      <c r="R5288" s="2" t="s">
        <v>35081</v>
      </c>
      <c r="S5288" s="2" t="s">
        <v>50</v>
      </c>
      <c r="T5288" s="2" t="s">
        <v>124</v>
      </c>
      <c r="U5288" s="2" t="s">
        <v>5245</v>
      </c>
      <c r="V5288" s="2" t="s">
        <v>59</v>
      </c>
      <c r="W5288" s="2">
        <v>37.799999999999997</v>
      </c>
      <c r="X5288" s="2">
        <v>0</v>
      </c>
      <c r="Y5288" s="2" t="s">
        <v>394</v>
      </c>
      <c r="Z5288" s="2" t="s">
        <v>35082</v>
      </c>
      <c r="AA5288" s="2">
        <v>0.87840682324997399</v>
      </c>
      <c r="AB5288" s="2">
        <v>9.2733556175261703E-2</v>
      </c>
      <c r="AC5288" s="2">
        <v>1480.41626715507</v>
      </c>
      <c r="AD5288" s="2">
        <v>751.77586832431803</v>
      </c>
      <c r="AE5288" s="2">
        <v>819.86632324976404</v>
      </c>
      <c r="AF5288" s="2">
        <v>1513.1910553277401</v>
      </c>
      <c r="AG5288" s="2">
        <v>1462.97414665223</v>
      </c>
      <c r="AH5288" s="2">
        <v>2095.4237933617501</v>
      </c>
      <c r="AI5288" s="2">
        <v>1658.81382612793</v>
      </c>
      <c r="AJ5288" s="2">
        <v>1332.2284582109901</v>
      </c>
      <c r="AK5288" s="2">
        <v>711.82118904013896</v>
      </c>
      <c r="AL5288" s="2">
        <v>805.15154496234197</v>
      </c>
      <c r="AM5288" s="2">
        <v>1042.4142755052001</v>
      </c>
      <c r="AN5288" s="2">
        <v>602.79259593455402</v>
      </c>
      <c r="AO5288" s="2">
        <v>815.29827643547901</v>
      </c>
      <c r="AP5288" s="2">
        <v>533.17732806819402</v>
      </c>
    </row>
    <row r="5289" spans="1:42" ht="14.5" x14ac:dyDescent="0.35">
      <c r="A5289" s="2" t="s">
        <v>35083</v>
      </c>
      <c r="B5289" s="2">
        <v>208.03813367653601</v>
      </c>
      <c r="C5289" s="2">
        <v>2.5831166666666698</v>
      </c>
      <c r="D5289" s="2" t="s">
        <v>34</v>
      </c>
      <c r="E5289" s="2" t="s">
        <v>35084</v>
      </c>
      <c r="F5289" s="2">
        <v>202343</v>
      </c>
      <c r="G5289" s="3" t="str">
        <f>HYPERLINK("http://funmeta.oebiotech.com/network/202343", "http://funmeta.oebiotech.com/network/202343")</f>
        <v>http://funmeta.oebiotech.com/network/202343</v>
      </c>
      <c r="H5289" s="2" t="s">
        <v>35085</v>
      </c>
      <c r="I5289" s="2"/>
      <c r="J5289" s="2"/>
      <c r="K5289" s="2"/>
      <c r="L5289" s="2"/>
      <c r="M5289" s="2"/>
      <c r="N5289" s="2"/>
      <c r="O5289" s="2">
        <v>3080803</v>
      </c>
      <c r="P5289" s="2"/>
      <c r="Q5289" s="2" t="s">
        <v>35086</v>
      </c>
      <c r="R5289" s="2" t="s">
        <v>35087</v>
      </c>
      <c r="S5289" s="2" t="s">
        <v>41</v>
      </c>
      <c r="T5289" s="2" t="s">
        <v>41</v>
      </c>
      <c r="U5289" s="2" t="s">
        <v>41</v>
      </c>
      <c r="V5289" s="2" t="s">
        <v>59</v>
      </c>
      <c r="W5289" s="2">
        <v>39.6</v>
      </c>
      <c r="X5289" s="2">
        <v>0</v>
      </c>
      <c r="Y5289" s="2" t="s">
        <v>323</v>
      </c>
      <c r="Z5289" s="2" t="s">
        <v>35088</v>
      </c>
      <c r="AA5289" s="2">
        <v>0.49530980945092601</v>
      </c>
      <c r="AB5289" s="2">
        <v>9.2723678497650799E-2</v>
      </c>
      <c r="AC5289" s="2">
        <v>5839.6198088368101</v>
      </c>
      <c r="AD5289" s="2">
        <v>5160.7482183415996</v>
      </c>
      <c r="AE5289" s="2">
        <v>5787.4770903095196</v>
      </c>
      <c r="AF5289" s="2">
        <v>5782.2081109150704</v>
      </c>
      <c r="AG5289" s="2">
        <v>5837.1461672034702</v>
      </c>
      <c r="AH5289" s="2">
        <v>6039.7298697023098</v>
      </c>
      <c r="AI5289" s="2">
        <v>5889.9072191843297</v>
      </c>
      <c r="AJ5289" s="2">
        <v>5701.2503957061699</v>
      </c>
      <c r="AK5289" s="2">
        <v>4717.65225254078</v>
      </c>
      <c r="AL5289" s="2">
        <v>5715.3832103240502</v>
      </c>
      <c r="AM5289" s="2">
        <v>5185.8305992819996</v>
      </c>
      <c r="AN5289" s="2">
        <v>4932.2757417949697</v>
      </c>
      <c r="AO5289" s="2">
        <v>5194.9369152353602</v>
      </c>
      <c r="AP5289" s="2">
        <v>5218.4105908724096</v>
      </c>
    </row>
    <row r="5290" spans="1:42" ht="14.5" x14ac:dyDescent="0.35">
      <c r="A5290" s="2" t="s">
        <v>35089</v>
      </c>
      <c r="B5290" s="2">
        <v>404.17644767186903</v>
      </c>
      <c r="C5290" s="2">
        <v>10.5652666666667</v>
      </c>
      <c r="D5290" s="2" t="s">
        <v>34</v>
      </c>
      <c r="E5290" s="2" t="s">
        <v>35090</v>
      </c>
      <c r="F5290" s="2">
        <v>213243</v>
      </c>
      <c r="G5290" s="3" t="str">
        <f>HYPERLINK("http://funmeta.oebiotech.com/network/213243", "http://funmeta.oebiotech.com/network/213243")</f>
        <v>http://funmeta.oebiotech.com/network/213243</v>
      </c>
      <c r="H5290" s="2" t="s">
        <v>35091</v>
      </c>
      <c r="I5290" s="2">
        <v>321090</v>
      </c>
      <c r="J5290" s="2"/>
      <c r="K5290" s="2"/>
      <c r="L5290" s="2"/>
      <c r="M5290" s="2"/>
      <c r="N5290" s="2"/>
      <c r="O5290" s="2">
        <v>91769</v>
      </c>
      <c r="P5290" s="2"/>
      <c r="Q5290" s="2" t="s">
        <v>35092</v>
      </c>
      <c r="R5290" s="2" t="s">
        <v>35093</v>
      </c>
      <c r="S5290" s="2" t="s">
        <v>491</v>
      </c>
      <c r="T5290" s="2" t="s">
        <v>7584</v>
      </c>
      <c r="U5290" s="2" t="s">
        <v>33637</v>
      </c>
      <c r="V5290" s="2" t="s">
        <v>59</v>
      </c>
      <c r="W5290" s="2">
        <v>38.299999999999997</v>
      </c>
      <c r="X5290" s="2">
        <v>0</v>
      </c>
      <c r="Y5290" s="2" t="s">
        <v>323</v>
      </c>
      <c r="Z5290" s="2" t="s">
        <v>35094</v>
      </c>
      <c r="AA5290" s="2">
        <v>-0.67291816354253498</v>
      </c>
      <c r="AB5290" s="2">
        <v>9.2709109223306094E-2</v>
      </c>
      <c r="AC5290" s="2">
        <v>1767.6466974874299</v>
      </c>
      <c r="AD5290" s="2">
        <v>2548.6508791321498</v>
      </c>
      <c r="AE5290" s="2">
        <v>1564.4442976642399</v>
      </c>
      <c r="AF5290" s="2">
        <v>1254.9657538674701</v>
      </c>
      <c r="AG5290" s="2">
        <v>1598.1565416635101</v>
      </c>
      <c r="AH5290" s="2">
        <v>1862.47836619449</v>
      </c>
      <c r="AI5290" s="2">
        <v>1805.3162138562</v>
      </c>
      <c r="AJ5290" s="2">
        <v>2520.5190116786498</v>
      </c>
      <c r="AK5290" s="2">
        <v>2174.6525349520898</v>
      </c>
      <c r="AL5290" s="2">
        <v>3087.4569977204001</v>
      </c>
      <c r="AM5290" s="2">
        <v>2562.2548485125999</v>
      </c>
      <c r="AN5290" s="2">
        <v>2054.62876654089</v>
      </c>
      <c r="AO5290" s="2">
        <v>2569.5459763774302</v>
      </c>
      <c r="AP5290" s="2">
        <v>2843.36615068947</v>
      </c>
    </row>
    <row r="5291" spans="1:42" ht="14.5" x14ac:dyDescent="0.35">
      <c r="A5291" s="2" t="s">
        <v>35095</v>
      </c>
      <c r="B5291" s="2">
        <v>345.14487275702402</v>
      </c>
      <c r="C5291" s="2">
        <v>4.2764166666666696</v>
      </c>
      <c r="D5291" s="2" t="s">
        <v>70</v>
      </c>
      <c r="E5291" s="2" t="s">
        <v>35096</v>
      </c>
      <c r="F5291" s="2">
        <v>199957</v>
      </c>
      <c r="G5291" s="3" t="str">
        <f>HYPERLINK("http://funmeta.oebiotech.com/network/199957", "http://funmeta.oebiotech.com/network/199957")</f>
        <v>http://funmeta.oebiotech.com/network/199957</v>
      </c>
      <c r="H5291" s="2" t="s">
        <v>35097</v>
      </c>
      <c r="I5291" s="2">
        <v>335484</v>
      </c>
      <c r="J5291" s="2"/>
      <c r="K5291" s="2"/>
      <c r="L5291" s="2"/>
      <c r="M5291" s="2"/>
      <c r="N5291" s="2"/>
      <c r="O5291" s="2">
        <v>67108</v>
      </c>
      <c r="P5291" s="2"/>
      <c r="Q5291" s="2" t="s">
        <v>35098</v>
      </c>
      <c r="R5291" s="2" t="s">
        <v>35099</v>
      </c>
      <c r="S5291" s="2" t="s">
        <v>148</v>
      </c>
      <c r="T5291" s="2" t="s">
        <v>149</v>
      </c>
      <c r="U5291" s="2" t="s">
        <v>4630</v>
      </c>
      <c r="V5291" s="2" t="s">
        <v>59</v>
      </c>
      <c r="W5291" s="2">
        <v>38</v>
      </c>
      <c r="X5291" s="2">
        <v>1.28</v>
      </c>
      <c r="Y5291" s="2" t="s">
        <v>408</v>
      </c>
      <c r="Z5291" s="2" t="s">
        <v>29834</v>
      </c>
      <c r="AA5291" s="2">
        <v>-2.4075593325762501</v>
      </c>
      <c r="AB5291" s="2">
        <v>9.2685902808531007E-2</v>
      </c>
      <c r="AC5291" s="2">
        <v>175122.95641685699</v>
      </c>
      <c r="AD5291" s="2">
        <v>177465.671408372</v>
      </c>
      <c r="AE5291" s="2">
        <v>176880.204370536</v>
      </c>
      <c r="AF5291" s="2">
        <v>170409.51985473</v>
      </c>
      <c r="AG5291" s="2">
        <v>175520.24698335299</v>
      </c>
      <c r="AH5291" s="2">
        <v>180804.55463190001</v>
      </c>
      <c r="AI5291" s="2">
        <v>172399.344918135</v>
      </c>
      <c r="AJ5291" s="2">
        <v>174723.867742487</v>
      </c>
      <c r="AK5291" s="2">
        <v>168120.63095169299</v>
      </c>
      <c r="AL5291" s="2">
        <v>179590.50967147399</v>
      </c>
      <c r="AM5291" s="2">
        <v>179933.92616457801</v>
      </c>
      <c r="AN5291" s="2">
        <v>182154.069200939</v>
      </c>
      <c r="AO5291" s="2">
        <v>184204.20777284799</v>
      </c>
      <c r="AP5291" s="2">
        <v>170790.684688699</v>
      </c>
    </row>
    <row r="5292" spans="1:42" ht="14.5" x14ac:dyDescent="0.35">
      <c r="A5292" s="2" t="s">
        <v>35100</v>
      </c>
      <c r="B5292" s="2">
        <v>289.08152882274698</v>
      </c>
      <c r="C5292" s="2">
        <v>4.4128166666666697</v>
      </c>
      <c r="D5292" s="2" t="s">
        <v>34</v>
      </c>
      <c r="E5292" s="2" t="s">
        <v>35101</v>
      </c>
      <c r="F5292" s="2">
        <v>210475</v>
      </c>
      <c r="G5292" s="3" t="str">
        <f>HYPERLINK("http://funmeta.oebiotech.com/network/210475", "http://funmeta.oebiotech.com/network/210475")</f>
        <v>http://funmeta.oebiotech.com/network/210475</v>
      </c>
      <c r="H5292" s="2" t="s">
        <v>35102</v>
      </c>
      <c r="I5292" s="2">
        <v>405829</v>
      </c>
      <c r="J5292" s="2"/>
      <c r="K5292" s="2"/>
      <c r="L5292" s="2"/>
      <c r="M5292" s="2"/>
      <c r="N5292" s="2"/>
      <c r="O5292" s="2">
        <v>64988</v>
      </c>
      <c r="P5292" s="2"/>
      <c r="Q5292" s="2" t="s">
        <v>35103</v>
      </c>
      <c r="R5292" s="2" t="s">
        <v>35104</v>
      </c>
      <c r="S5292" s="2" t="s">
        <v>491</v>
      </c>
      <c r="T5292" s="2" t="s">
        <v>7431</v>
      </c>
      <c r="U5292" s="2" t="s">
        <v>7432</v>
      </c>
      <c r="V5292" s="2" t="s">
        <v>59</v>
      </c>
      <c r="W5292" s="2">
        <v>39.1</v>
      </c>
      <c r="X5292" s="2">
        <v>0</v>
      </c>
      <c r="Y5292" s="2" t="s">
        <v>266</v>
      </c>
      <c r="Z5292" s="2" t="s">
        <v>35105</v>
      </c>
      <c r="AA5292" s="2">
        <v>2.3009287228305899</v>
      </c>
      <c r="AB5292" s="2">
        <v>9.22392940883381E-2</v>
      </c>
      <c r="AC5292" s="2">
        <v>1911.3383424909</v>
      </c>
      <c r="AD5292" s="2">
        <v>1066.0650589342199</v>
      </c>
      <c r="AE5292" s="2">
        <v>1538.93118156531</v>
      </c>
      <c r="AF5292" s="2">
        <v>2726.1075683916301</v>
      </c>
      <c r="AG5292" s="2">
        <v>2518.6830486850599</v>
      </c>
      <c r="AH5292" s="2">
        <v>1274.53298991927</v>
      </c>
      <c r="AI5292" s="2">
        <v>1880.2200098057599</v>
      </c>
      <c r="AJ5292" s="2">
        <v>1529.5552565783801</v>
      </c>
      <c r="AK5292" s="2">
        <v>1783.25035473402</v>
      </c>
      <c r="AL5292" s="2">
        <v>778.16918764500599</v>
      </c>
      <c r="AM5292" s="2">
        <v>1305.7745112882899</v>
      </c>
      <c r="AN5292" s="2">
        <v>518.38351538630104</v>
      </c>
      <c r="AO5292" s="2">
        <v>712.20244629187596</v>
      </c>
      <c r="AP5292" s="2">
        <v>1298.6103382598301</v>
      </c>
    </row>
    <row r="5293" spans="1:42" ht="14.5" x14ac:dyDescent="0.35">
      <c r="A5293" s="2" t="s">
        <v>35106</v>
      </c>
      <c r="B5293" s="2">
        <v>470.17731987386401</v>
      </c>
      <c r="C5293" s="2">
        <v>1.3109999999999999</v>
      </c>
      <c r="D5293" s="2" t="s">
        <v>34</v>
      </c>
      <c r="E5293" s="2" t="s">
        <v>35107</v>
      </c>
      <c r="F5293" s="2">
        <v>206535</v>
      </c>
      <c r="G5293" s="3" t="str">
        <f>HYPERLINK("http://funmeta.oebiotech.com/network/206535", "http://funmeta.oebiotech.com/network/206535")</f>
        <v>http://funmeta.oebiotech.com/network/206535</v>
      </c>
      <c r="H5293" s="2" t="s">
        <v>35108</v>
      </c>
      <c r="I5293" s="2"/>
      <c r="J5293" s="2"/>
      <c r="K5293" s="2"/>
      <c r="L5293" s="2"/>
      <c r="M5293" s="2"/>
      <c r="N5293" s="2"/>
      <c r="O5293" s="2">
        <v>54087671</v>
      </c>
      <c r="P5293" s="2"/>
      <c r="Q5293" s="2" t="s">
        <v>35109</v>
      </c>
      <c r="R5293" s="2" t="s">
        <v>35110</v>
      </c>
      <c r="S5293" s="2" t="s">
        <v>41</v>
      </c>
      <c r="T5293" s="2" t="s">
        <v>41</v>
      </c>
      <c r="U5293" s="2" t="s">
        <v>41</v>
      </c>
      <c r="V5293" s="2" t="s">
        <v>59</v>
      </c>
      <c r="W5293" s="2">
        <v>37.1</v>
      </c>
      <c r="X5293" s="2">
        <v>0</v>
      </c>
      <c r="Y5293" s="2" t="s">
        <v>394</v>
      </c>
      <c r="Z5293" s="2" t="s">
        <v>35111</v>
      </c>
      <c r="AA5293" s="2">
        <v>-1.99937068420292</v>
      </c>
      <c r="AB5293" s="2">
        <v>9.2206091346023894E-2</v>
      </c>
      <c r="AC5293" s="2">
        <v>1559.86905683793</v>
      </c>
      <c r="AD5293" s="2">
        <v>555.71355460508505</v>
      </c>
      <c r="AE5293" s="2">
        <v>2116.18757445248</v>
      </c>
      <c r="AF5293" s="2">
        <v>2042.6353203348699</v>
      </c>
      <c r="AG5293" s="2">
        <v>275.87358413699502</v>
      </c>
      <c r="AH5293" s="2">
        <v>2644.3769321660602</v>
      </c>
      <c r="AI5293" s="2">
        <v>1989.30719146255</v>
      </c>
      <c r="AJ5293" s="2">
        <v>290.83373847463099</v>
      </c>
      <c r="AK5293" s="2">
        <v>2.7106294003980101E-5</v>
      </c>
      <c r="AL5293" s="2">
        <v>2.7106294003980101E-5</v>
      </c>
      <c r="AM5293" s="2">
        <v>1053.6764844874399</v>
      </c>
      <c r="AN5293" s="2">
        <v>1136.1167480517599</v>
      </c>
      <c r="AO5293" s="2">
        <v>808.40272547457698</v>
      </c>
      <c r="AP5293" s="2">
        <v>336.08531540414498</v>
      </c>
    </row>
    <row r="5294" spans="1:42" ht="14.5" x14ac:dyDescent="0.35">
      <c r="A5294" s="2" t="s">
        <v>35112</v>
      </c>
      <c r="B5294" s="2">
        <v>533.3079653062</v>
      </c>
      <c r="C5294" s="2">
        <v>10.509316666666701</v>
      </c>
      <c r="D5294" s="2" t="s">
        <v>34</v>
      </c>
      <c r="E5294" s="2" t="s">
        <v>35113</v>
      </c>
      <c r="F5294" s="2">
        <v>43750</v>
      </c>
      <c r="G5294" s="3" t="str">
        <f>HYPERLINK("http://funmeta.oebiotech.com/network/43750", "http://funmeta.oebiotech.com/network/43750")</f>
        <v>http://funmeta.oebiotech.com/network/43750</v>
      </c>
      <c r="H5294" s="2"/>
      <c r="I5294" s="2"/>
      <c r="J5294" s="2" t="s">
        <v>35114</v>
      </c>
      <c r="K5294" s="2"/>
      <c r="L5294" s="2"/>
      <c r="M5294" s="2"/>
      <c r="N5294" s="2"/>
      <c r="O5294" s="2"/>
      <c r="P5294" s="2"/>
      <c r="Q5294" s="2" t="s">
        <v>35115</v>
      </c>
      <c r="R5294" s="2" t="s">
        <v>35116</v>
      </c>
      <c r="S5294" s="2" t="s">
        <v>50</v>
      </c>
      <c r="T5294" s="2" t="s">
        <v>124</v>
      </c>
      <c r="U5294" s="2" t="s">
        <v>125</v>
      </c>
      <c r="V5294" s="2" t="s">
        <v>59</v>
      </c>
      <c r="W5294" s="2">
        <v>38.4</v>
      </c>
      <c r="X5294" s="2">
        <v>0</v>
      </c>
      <c r="Y5294" s="2" t="s">
        <v>323</v>
      </c>
      <c r="Z5294" s="2" t="s">
        <v>35117</v>
      </c>
      <c r="AA5294" s="2">
        <v>-1.02642704764327</v>
      </c>
      <c r="AB5294" s="2">
        <v>9.2179250777834107E-2</v>
      </c>
      <c r="AC5294" s="2">
        <v>4320.5019282930998</v>
      </c>
      <c r="AD5294" s="2">
        <v>5222.1379160214301</v>
      </c>
      <c r="AE5294" s="2">
        <v>4596.4489508017796</v>
      </c>
      <c r="AF5294" s="2">
        <v>4407.1398366202702</v>
      </c>
      <c r="AG5294" s="2">
        <v>3111.1071544162401</v>
      </c>
      <c r="AH5294" s="2">
        <v>4943.1220830477796</v>
      </c>
      <c r="AI5294" s="2">
        <v>3664.8222189706898</v>
      </c>
      <c r="AJ5294" s="2">
        <v>5200.3713259018496</v>
      </c>
      <c r="AK5294" s="2">
        <v>5701.1977613618501</v>
      </c>
      <c r="AL5294" s="2">
        <v>4763.1836113485197</v>
      </c>
      <c r="AM5294" s="2">
        <v>5428.2800477799501</v>
      </c>
      <c r="AN5294" s="2">
        <v>4753.04337200799</v>
      </c>
      <c r="AO5294" s="2">
        <v>5294.61129125773</v>
      </c>
      <c r="AP5294" s="2">
        <v>5392.5114123725198</v>
      </c>
    </row>
    <row r="5295" spans="1:42" ht="14.5" x14ac:dyDescent="0.35">
      <c r="A5295" s="2" t="s">
        <v>35118</v>
      </c>
      <c r="B5295" s="2">
        <v>549.270507845</v>
      </c>
      <c r="C5295" s="2">
        <v>7.5277166666666702</v>
      </c>
      <c r="D5295" s="2" t="s">
        <v>70</v>
      </c>
      <c r="E5295" s="2" t="s">
        <v>35119</v>
      </c>
      <c r="F5295" s="2">
        <v>213356</v>
      </c>
      <c r="G5295" s="3" t="str">
        <f>HYPERLINK("http://funmeta.oebiotech.com/network/213356", "http://funmeta.oebiotech.com/network/213356")</f>
        <v>http://funmeta.oebiotech.com/network/213356</v>
      </c>
      <c r="H5295" s="2" t="s">
        <v>35120</v>
      </c>
      <c r="I5295" s="2"/>
      <c r="J5295" s="2"/>
      <c r="K5295" s="2"/>
      <c r="L5295" s="2"/>
      <c r="M5295" s="2"/>
      <c r="N5295" s="2"/>
      <c r="O5295" s="2"/>
      <c r="P5295" s="2"/>
      <c r="Q5295" s="2" t="s">
        <v>35121</v>
      </c>
      <c r="R5295" s="2" t="s">
        <v>35122</v>
      </c>
      <c r="S5295" s="2" t="s">
        <v>41</v>
      </c>
      <c r="T5295" s="2" t="s">
        <v>41</v>
      </c>
      <c r="U5295" s="2" t="s">
        <v>41</v>
      </c>
      <c r="V5295" s="2" t="s">
        <v>59</v>
      </c>
      <c r="W5295" s="2">
        <v>38.700000000000003</v>
      </c>
      <c r="X5295" s="2">
        <v>0</v>
      </c>
      <c r="Y5295" s="2" t="s">
        <v>560</v>
      </c>
      <c r="Z5295" s="2" t="s">
        <v>35123</v>
      </c>
      <c r="AA5295" s="2">
        <v>2.4254361263756299</v>
      </c>
      <c r="AB5295" s="2">
        <v>9.2156988983505106E-2</v>
      </c>
      <c r="AC5295" s="2">
        <v>2948.6738284497001</v>
      </c>
      <c r="AD5295" s="2">
        <v>2200.1546044054799</v>
      </c>
      <c r="AE5295" s="2">
        <v>3488.5765988103499</v>
      </c>
      <c r="AF5295" s="2">
        <v>2663.7652611656199</v>
      </c>
      <c r="AG5295" s="2">
        <v>2535.3947626169602</v>
      </c>
      <c r="AH5295" s="2">
        <v>3257.0360956403201</v>
      </c>
      <c r="AI5295" s="2">
        <v>3198.1068270729702</v>
      </c>
      <c r="AJ5295" s="2">
        <v>2549.1634253919501</v>
      </c>
      <c r="AK5295" s="2">
        <v>1683.29195233819</v>
      </c>
      <c r="AL5295" s="2">
        <v>2229.0048371133798</v>
      </c>
      <c r="AM5295" s="2">
        <v>2435.9918466731301</v>
      </c>
      <c r="AN5295" s="2">
        <v>2311.6046742404801</v>
      </c>
      <c r="AO5295" s="2">
        <v>2049.0608522866901</v>
      </c>
      <c r="AP5295" s="2">
        <v>2491.9734637809902</v>
      </c>
    </row>
    <row r="5296" spans="1:42" ht="14.5" x14ac:dyDescent="0.35">
      <c r="A5296" s="2" t="s">
        <v>35124</v>
      </c>
      <c r="B5296" s="2">
        <v>587.19387332456404</v>
      </c>
      <c r="C5296" s="2">
        <v>4.6492000000000004</v>
      </c>
      <c r="D5296" s="2" t="s">
        <v>70</v>
      </c>
      <c r="E5296" s="2" t="s">
        <v>35125</v>
      </c>
      <c r="F5296" s="2">
        <v>267321</v>
      </c>
      <c r="G5296" s="3" t="str">
        <f>HYPERLINK("http://funmeta.oebiotech.com/network/267321", "http://funmeta.oebiotech.com/network/267321")</f>
        <v>http://funmeta.oebiotech.com/network/267321</v>
      </c>
      <c r="H5296" s="2"/>
      <c r="I5296" s="2">
        <v>45246</v>
      </c>
      <c r="J5296" s="2"/>
      <c r="K5296" s="2"/>
      <c r="L5296" s="2"/>
      <c r="M5296" s="2"/>
      <c r="N5296" s="2"/>
      <c r="O5296" s="2">
        <v>5328779</v>
      </c>
      <c r="P5296" s="2" t="s">
        <v>35126</v>
      </c>
      <c r="Q5296" s="2" t="s">
        <v>35127</v>
      </c>
      <c r="R5296" s="2" t="s">
        <v>35128</v>
      </c>
      <c r="S5296" s="2" t="s">
        <v>115</v>
      </c>
      <c r="T5296" s="2" t="s">
        <v>116</v>
      </c>
      <c r="U5296" s="2" t="s">
        <v>117</v>
      </c>
      <c r="V5296" s="2" t="s">
        <v>59</v>
      </c>
      <c r="W5296" s="2">
        <v>39.299999999999997</v>
      </c>
      <c r="X5296" s="2">
        <v>0</v>
      </c>
      <c r="Y5296" s="2" t="s">
        <v>560</v>
      </c>
      <c r="Z5296" s="2" t="s">
        <v>35129</v>
      </c>
      <c r="AA5296" s="2">
        <v>0.45073384073754003</v>
      </c>
      <c r="AB5296" s="2">
        <v>9.2139555808879101E-2</v>
      </c>
      <c r="AC5296" s="2">
        <v>25744.768896018999</v>
      </c>
      <c r="AD5296" s="2">
        <v>27347.5838182732</v>
      </c>
      <c r="AE5296" s="2">
        <v>24686.6534908539</v>
      </c>
      <c r="AF5296" s="2">
        <v>28751.191024580701</v>
      </c>
      <c r="AG5296" s="2">
        <v>21980.319528817399</v>
      </c>
      <c r="AH5296" s="2">
        <v>28962.252391522099</v>
      </c>
      <c r="AI5296" s="2">
        <v>27181.373168597402</v>
      </c>
      <c r="AJ5296" s="2">
        <v>22906.823771742202</v>
      </c>
      <c r="AK5296" s="2">
        <v>28581.092409468001</v>
      </c>
      <c r="AL5296" s="2">
        <v>26215.803359319001</v>
      </c>
      <c r="AM5296" s="2">
        <v>27973.5554737571</v>
      </c>
      <c r="AN5296" s="2">
        <v>29833.2338474914</v>
      </c>
      <c r="AO5296" s="2">
        <v>25969.882912325</v>
      </c>
      <c r="AP5296" s="2">
        <v>25511.934907278599</v>
      </c>
    </row>
    <row r="5297" spans="1:42" ht="14.5" x14ac:dyDescent="0.35">
      <c r="A5297" s="2" t="s">
        <v>35130</v>
      </c>
      <c r="B5297" s="2">
        <v>285.04006360957402</v>
      </c>
      <c r="C5297" s="2">
        <v>4.7931333333333299</v>
      </c>
      <c r="D5297" s="2" t="s">
        <v>70</v>
      </c>
      <c r="E5297" s="2" t="s">
        <v>35131</v>
      </c>
      <c r="F5297" s="2">
        <v>54649</v>
      </c>
      <c r="G5297" s="3" t="str">
        <f>HYPERLINK("http://funmeta.oebiotech.com/network/54649", "http://funmeta.oebiotech.com/network/54649")</f>
        <v>http://funmeta.oebiotech.com/network/54649</v>
      </c>
      <c r="H5297" s="2" t="s">
        <v>35132</v>
      </c>
      <c r="I5297" s="2">
        <v>1096</v>
      </c>
      <c r="J5297" s="2"/>
      <c r="K5297" s="2">
        <v>3682</v>
      </c>
      <c r="L5297" s="2" t="s">
        <v>35133</v>
      </c>
      <c r="M5297" s="2"/>
      <c r="N5297" s="2"/>
      <c r="O5297" s="2">
        <v>2950</v>
      </c>
      <c r="P5297" s="2" t="s">
        <v>35134</v>
      </c>
      <c r="Q5297" s="2" t="s">
        <v>35135</v>
      </c>
      <c r="R5297" s="2" t="s">
        <v>35136</v>
      </c>
      <c r="S5297" s="2" t="s">
        <v>148</v>
      </c>
      <c r="T5297" s="2" t="s">
        <v>6068</v>
      </c>
      <c r="U5297" s="2" t="s">
        <v>6069</v>
      </c>
      <c r="V5297" s="2" t="s">
        <v>59</v>
      </c>
      <c r="W5297" s="2">
        <v>38.700000000000003</v>
      </c>
      <c r="X5297" s="2">
        <v>0</v>
      </c>
      <c r="Y5297" s="2" t="s">
        <v>408</v>
      </c>
      <c r="Z5297" s="2" t="s">
        <v>35137</v>
      </c>
      <c r="AA5297" s="2">
        <v>-1.65802149936976</v>
      </c>
      <c r="AB5297" s="2">
        <v>9.21251895378285E-2</v>
      </c>
      <c r="AC5297" s="2">
        <v>2694.5978752412898</v>
      </c>
      <c r="AD5297" s="2">
        <v>1960.33320298275</v>
      </c>
      <c r="AE5297" s="2">
        <v>2721.2094566103101</v>
      </c>
      <c r="AF5297" s="2">
        <v>2960.4717783752099</v>
      </c>
      <c r="AG5297" s="2">
        <v>2365.2132408344601</v>
      </c>
      <c r="AH5297" s="2">
        <v>2543.6295463024499</v>
      </c>
      <c r="AI5297" s="2">
        <v>2687.69224781705</v>
      </c>
      <c r="AJ5297" s="2">
        <v>2889.3709815082798</v>
      </c>
      <c r="AK5297" s="2">
        <v>1435.9089083808501</v>
      </c>
      <c r="AL5297" s="2">
        <v>2033.1331506809299</v>
      </c>
      <c r="AM5297" s="2">
        <v>2701.2907623717501</v>
      </c>
      <c r="AN5297" s="2">
        <v>1722.0078570422099</v>
      </c>
      <c r="AO5297" s="2">
        <v>2097.7165921334099</v>
      </c>
      <c r="AP5297" s="2">
        <v>1771.9419472873799</v>
      </c>
    </row>
    <row r="5298" spans="1:42" ht="14.5" x14ac:dyDescent="0.35">
      <c r="A5298" s="2" t="s">
        <v>35138</v>
      </c>
      <c r="B5298" s="2">
        <v>454.09886032906701</v>
      </c>
      <c r="C5298" s="2">
        <v>4.5951666666666702</v>
      </c>
      <c r="D5298" s="2" t="s">
        <v>70</v>
      </c>
      <c r="E5298" s="2" t="s">
        <v>35139</v>
      </c>
      <c r="F5298" s="2">
        <v>213040</v>
      </c>
      <c r="G5298" s="3" t="str">
        <f>HYPERLINK("http://funmeta.oebiotech.com/network/213040", "http://funmeta.oebiotech.com/network/213040")</f>
        <v>http://funmeta.oebiotech.com/network/213040</v>
      </c>
      <c r="H5298" s="2" t="s">
        <v>35140</v>
      </c>
      <c r="I5298" s="2"/>
      <c r="J5298" s="2"/>
      <c r="K5298" s="2"/>
      <c r="L5298" s="2"/>
      <c r="M5298" s="2"/>
      <c r="N5298" s="2"/>
      <c r="O5298" s="2">
        <v>75629988</v>
      </c>
      <c r="P5298" s="2"/>
      <c r="Q5298" s="2" t="s">
        <v>35141</v>
      </c>
      <c r="R5298" s="2" t="s">
        <v>35142</v>
      </c>
      <c r="S5298" s="2" t="s">
        <v>148</v>
      </c>
      <c r="T5298" s="2" t="s">
        <v>149</v>
      </c>
      <c r="U5298" s="2" t="s">
        <v>4630</v>
      </c>
      <c r="V5298" s="2" t="s">
        <v>59</v>
      </c>
      <c r="W5298" s="2">
        <v>37</v>
      </c>
      <c r="X5298" s="2">
        <v>0</v>
      </c>
      <c r="Y5298" s="2" t="s">
        <v>408</v>
      </c>
      <c r="Z5298" s="2" t="s">
        <v>35143</v>
      </c>
      <c r="AA5298" s="2">
        <v>-3.3229090716208201</v>
      </c>
      <c r="AB5298" s="2">
        <v>9.2060382041514802E-2</v>
      </c>
      <c r="AC5298" s="2">
        <v>15289.383825597501</v>
      </c>
      <c r="AD5298" s="2">
        <v>13963.9723011027</v>
      </c>
      <c r="AE5298" s="2">
        <v>16882.770565180599</v>
      </c>
      <c r="AF5298" s="2">
        <v>14398.2495718678</v>
      </c>
      <c r="AG5298" s="2">
        <v>14996.686612452</v>
      </c>
      <c r="AH5298" s="2">
        <v>12816.389089702499</v>
      </c>
      <c r="AI5298" s="2">
        <v>16039.507131922101</v>
      </c>
      <c r="AJ5298" s="2">
        <v>16602.699982460199</v>
      </c>
      <c r="AK5298" s="2">
        <v>12196.3215845101</v>
      </c>
      <c r="AL5298" s="2">
        <v>14327.9252854935</v>
      </c>
      <c r="AM5298" s="2">
        <v>15215.7812508963</v>
      </c>
      <c r="AN5298" s="2">
        <v>13791.4208049482</v>
      </c>
      <c r="AO5298" s="2">
        <v>12176.7755279865</v>
      </c>
      <c r="AP5298" s="2">
        <v>16075.609352781299</v>
      </c>
    </row>
    <row r="5299" spans="1:42" ht="14.5" x14ac:dyDescent="0.35">
      <c r="A5299" s="2" t="s">
        <v>35144</v>
      </c>
      <c r="B5299" s="2">
        <v>189.05381607426199</v>
      </c>
      <c r="C5299" s="2">
        <v>0.62124999999999997</v>
      </c>
      <c r="D5299" s="2" t="s">
        <v>34</v>
      </c>
      <c r="E5299" s="2" t="s">
        <v>35145</v>
      </c>
      <c r="F5299" s="2">
        <v>54418</v>
      </c>
      <c r="G5299" s="3" t="str">
        <f>HYPERLINK("http://funmeta.oebiotech.com/network/54418", "http://funmeta.oebiotech.com/network/54418")</f>
        <v>http://funmeta.oebiotech.com/network/54418</v>
      </c>
      <c r="H5299" s="2" t="s">
        <v>35146</v>
      </c>
      <c r="I5299" s="2">
        <v>44043</v>
      </c>
      <c r="J5299" s="2"/>
      <c r="K5299" s="2"/>
      <c r="L5299" s="2"/>
      <c r="M5299" s="2"/>
      <c r="N5299" s="2"/>
      <c r="O5299" s="2">
        <v>5036604</v>
      </c>
      <c r="P5299" s="2" t="s">
        <v>35147</v>
      </c>
      <c r="Q5299" s="2" t="s">
        <v>35148</v>
      </c>
      <c r="R5299" s="2" t="s">
        <v>35149</v>
      </c>
      <c r="S5299" s="2" t="s">
        <v>491</v>
      </c>
      <c r="T5299" s="2" t="s">
        <v>2251</v>
      </c>
      <c r="U5299" s="2" t="s">
        <v>2252</v>
      </c>
      <c r="V5299" s="2" t="s">
        <v>59</v>
      </c>
      <c r="W5299" s="2">
        <v>36.9</v>
      </c>
      <c r="X5299" s="2">
        <v>1.01</v>
      </c>
      <c r="Y5299" s="2" t="s">
        <v>141</v>
      </c>
      <c r="Z5299" s="2" t="s">
        <v>35150</v>
      </c>
      <c r="AA5299" s="2">
        <v>-3.9041193962322001</v>
      </c>
      <c r="AB5299" s="2">
        <v>9.1968385043547804E-2</v>
      </c>
      <c r="AC5299" s="2">
        <v>5317.0968012740004</v>
      </c>
      <c r="AD5299" s="2">
        <v>6256.1768955828102</v>
      </c>
      <c r="AE5299" s="2">
        <v>4987.6144363113599</v>
      </c>
      <c r="AF5299" s="2">
        <v>6221.8160204053402</v>
      </c>
      <c r="AG5299" s="2">
        <v>5835.9770706898198</v>
      </c>
      <c r="AH5299" s="2">
        <v>5698.1998182933703</v>
      </c>
      <c r="AI5299" s="2">
        <v>4588.3425558149602</v>
      </c>
      <c r="AJ5299" s="2">
        <v>4570.6309061291804</v>
      </c>
      <c r="AK5299" s="2">
        <v>6151.6536376111899</v>
      </c>
      <c r="AL5299" s="2">
        <v>7017.2698940971604</v>
      </c>
      <c r="AM5299" s="2">
        <v>6905.5321296136499</v>
      </c>
      <c r="AN5299" s="2">
        <v>5761.5697608399696</v>
      </c>
      <c r="AO5299" s="2">
        <v>5291.2317558437198</v>
      </c>
      <c r="AP5299" s="2">
        <v>6409.8041954911996</v>
      </c>
    </row>
    <row r="5300" spans="1:42" ht="14.5" x14ac:dyDescent="0.35">
      <c r="A5300" s="2" t="s">
        <v>35151</v>
      </c>
      <c r="B5300" s="2">
        <v>185.16474703870901</v>
      </c>
      <c r="C5300" s="2">
        <v>11.8024</v>
      </c>
      <c r="D5300" s="2" t="s">
        <v>34</v>
      </c>
      <c r="E5300" s="2" t="s">
        <v>35152</v>
      </c>
      <c r="F5300" s="2">
        <v>266995</v>
      </c>
      <c r="G5300" s="3" t="str">
        <f>HYPERLINK("http://funmeta.oebiotech.com/network/266995", "http://funmeta.oebiotech.com/network/266995")</f>
        <v>http://funmeta.oebiotech.com/network/266995</v>
      </c>
      <c r="H5300" s="2"/>
      <c r="I5300" s="2">
        <v>44479</v>
      </c>
      <c r="J5300" s="2"/>
      <c r="K5300" s="2"/>
      <c r="L5300" s="2"/>
      <c r="M5300" s="2"/>
      <c r="N5300" s="2"/>
      <c r="O5300" s="2">
        <v>9605260</v>
      </c>
      <c r="P5300" s="2"/>
      <c r="Q5300" s="2" t="s">
        <v>35153</v>
      </c>
      <c r="R5300" s="2" t="s">
        <v>35154</v>
      </c>
      <c r="S5300" s="2" t="s">
        <v>41</v>
      </c>
      <c r="T5300" s="2" t="s">
        <v>41</v>
      </c>
      <c r="U5300" s="2" t="s">
        <v>41</v>
      </c>
      <c r="V5300" s="2" t="s">
        <v>59</v>
      </c>
      <c r="W5300" s="2">
        <v>38.9</v>
      </c>
      <c r="X5300" s="2">
        <v>0</v>
      </c>
      <c r="Y5300" s="2" t="s">
        <v>43</v>
      </c>
      <c r="Z5300" s="2" t="s">
        <v>35155</v>
      </c>
      <c r="AA5300" s="2">
        <v>-0.554420386599349</v>
      </c>
      <c r="AB5300" s="2">
        <v>9.1960079710693504E-2</v>
      </c>
      <c r="AC5300" s="2">
        <v>1120.4178629072901</v>
      </c>
      <c r="AD5300" s="2">
        <v>526.60756008014698</v>
      </c>
      <c r="AE5300" s="2">
        <v>1171.1893474266799</v>
      </c>
      <c r="AF5300" s="2">
        <v>1194.72793200469</v>
      </c>
      <c r="AG5300" s="2">
        <v>1219.5684497684499</v>
      </c>
      <c r="AH5300" s="2">
        <v>1011.45131413893</v>
      </c>
      <c r="AI5300" s="2">
        <v>1041.0609236791299</v>
      </c>
      <c r="AJ5300" s="2">
        <v>1084.5092104258599</v>
      </c>
      <c r="AK5300" s="2">
        <v>453.85723726575497</v>
      </c>
      <c r="AL5300" s="2">
        <v>551.49228306233204</v>
      </c>
      <c r="AM5300" s="2">
        <v>391.41403734353099</v>
      </c>
      <c r="AN5300" s="2">
        <v>651.01612777770094</v>
      </c>
      <c r="AO5300" s="2">
        <v>754.87913668768897</v>
      </c>
      <c r="AP5300" s="2">
        <v>356.98653834387397</v>
      </c>
    </row>
    <row r="5301" spans="1:42" ht="14.5" x14ac:dyDescent="0.35">
      <c r="A5301" s="2" t="s">
        <v>35156</v>
      </c>
      <c r="B5301" s="2">
        <v>774.49450571906198</v>
      </c>
      <c r="C5301" s="2">
        <v>9.2343499999999992</v>
      </c>
      <c r="D5301" s="2" t="s">
        <v>34</v>
      </c>
      <c r="E5301" s="2" t="s">
        <v>35157</v>
      </c>
      <c r="F5301" s="2">
        <v>238834</v>
      </c>
      <c r="G5301" s="3" t="str">
        <f>HYPERLINK("http://funmeta.oebiotech.com/network/238834", "http://funmeta.oebiotech.com/network/238834")</f>
        <v>http://funmeta.oebiotech.com/network/238834</v>
      </c>
      <c r="H5301" s="2" t="s">
        <v>35158</v>
      </c>
      <c r="I5301" s="2"/>
      <c r="J5301" s="2"/>
      <c r="K5301" s="2"/>
      <c r="L5301" s="2"/>
      <c r="M5301" s="2"/>
      <c r="N5301" s="2"/>
      <c r="O5301" s="2"/>
      <c r="P5301" s="2"/>
      <c r="Q5301" s="2" t="s">
        <v>35159</v>
      </c>
      <c r="R5301" s="2" t="s">
        <v>35160</v>
      </c>
      <c r="S5301" s="2" t="s">
        <v>41</v>
      </c>
      <c r="T5301" s="2" t="s">
        <v>41</v>
      </c>
      <c r="U5301" s="2" t="s">
        <v>41</v>
      </c>
      <c r="V5301" s="2" t="s">
        <v>59</v>
      </c>
      <c r="W5301" s="2">
        <v>39.6</v>
      </c>
      <c r="X5301" s="2">
        <v>14.3</v>
      </c>
      <c r="Y5301" s="2" t="s">
        <v>67</v>
      </c>
      <c r="Z5301" s="2" t="s">
        <v>35161</v>
      </c>
      <c r="AA5301" s="2">
        <v>3.7887363291483802</v>
      </c>
      <c r="AB5301" s="2">
        <v>9.1742843212100605E-2</v>
      </c>
      <c r="AC5301" s="2">
        <v>3289.4702513514198</v>
      </c>
      <c r="AD5301" s="2">
        <v>4200.2636184700796</v>
      </c>
      <c r="AE5301" s="2">
        <v>2775.9118131125701</v>
      </c>
      <c r="AF5301" s="2">
        <v>3226.4727237469101</v>
      </c>
      <c r="AG5301" s="2">
        <v>3361.6537396670701</v>
      </c>
      <c r="AH5301" s="2">
        <v>3093.22554430942</v>
      </c>
      <c r="AI5301" s="2">
        <v>3255.6017304350898</v>
      </c>
      <c r="AJ5301" s="2">
        <v>4023.9559568374498</v>
      </c>
      <c r="AK5301" s="2">
        <v>3043.13068482061</v>
      </c>
      <c r="AL5301" s="2">
        <v>4604.09486670558</v>
      </c>
      <c r="AM5301" s="2">
        <v>5186.8195602665901</v>
      </c>
      <c r="AN5301" s="2">
        <v>3567.8788081818898</v>
      </c>
      <c r="AO5301" s="2">
        <v>4897.3448688688304</v>
      </c>
      <c r="AP5301" s="2">
        <v>3902.3129219769498</v>
      </c>
    </row>
    <row r="5302" spans="1:42" ht="14.5" x14ac:dyDescent="0.35">
      <c r="A5302" s="2" t="s">
        <v>35162</v>
      </c>
      <c r="B5302" s="2">
        <v>149.13234571644199</v>
      </c>
      <c r="C5302" s="2">
        <v>12.3610166666667</v>
      </c>
      <c r="D5302" s="2" t="s">
        <v>34</v>
      </c>
      <c r="E5302" s="2" t="s">
        <v>35163</v>
      </c>
      <c r="F5302" s="2">
        <v>56837</v>
      </c>
      <c r="G5302" s="3" t="str">
        <f>HYPERLINK("http://funmeta.oebiotech.com/network/56837", "http://funmeta.oebiotech.com/network/56837")</f>
        <v>http://funmeta.oebiotech.com/network/56837</v>
      </c>
      <c r="H5302" s="2" t="s">
        <v>35164</v>
      </c>
      <c r="I5302" s="2">
        <v>88513</v>
      </c>
      <c r="J5302" s="2"/>
      <c r="K5302" s="2"/>
      <c r="L5302" s="2"/>
      <c r="M5302" s="2"/>
      <c r="N5302" s="2"/>
      <c r="O5302" s="2">
        <v>61124</v>
      </c>
      <c r="P5302" s="2" t="s">
        <v>35165</v>
      </c>
      <c r="Q5302" s="2" t="s">
        <v>35166</v>
      </c>
      <c r="R5302" s="2" t="s">
        <v>35167</v>
      </c>
      <c r="S5302" s="2" t="s">
        <v>79</v>
      </c>
      <c r="T5302" s="2" t="s">
        <v>80</v>
      </c>
      <c r="U5302" s="2" t="s">
        <v>2820</v>
      </c>
      <c r="V5302" s="2" t="s">
        <v>59</v>
      </c>
      <c r="W5302" s="2">
        <v>41</v>
      </c>
      <c r="X5302" s="2">
        <v>17</v>
      </c>
      <c r="Y5302" s="2" t="s">
        <v>141</v>
      </c>
      <c r="Z5302" s="2" t="s">
        <v>33716</v>
      </c>
      <c r="AA5302" s="2">
        <v>-0.78989841500524705</v>
      </c>
      <c r="AB5302" s="2">
        <v>9.1698927806332806E-2</v>
      </c>
      <c r="AC5302" s="2">
        <v>4731.7550353659199</v>
      </c>
      <c r="AD5302" s="2">
        <v>3723.7567706914101</v>
      </c>
      <c r="AE5302" s="2">
        <v>4967.2555405513403</v>
      </c>
      <c r="AF5302" s="2">
        <v>3532.1760328014898</v>
      </c>
      <c r="AG5302" s="2">
        <v>5151.3374546844698</v>
      </c>
      <c r="AH5302" s="2">
        <v>5411.5158367854901</v>
      </c>
      <c r="AI5302" s="2">
        <v>5383.6536662317703</v>
      </c>
      <c r="AJ5302" s="2">
        <v>3944.5916811409502</v>
      </c>
      <c r="AK5302" s="2">
        <v>3216.5420005494798</v>
      </c>
      <c r="AL5302" s="2">
        <v>4996.9291973403097</v>
      </c>
      <c r="AM5302" s="2">
        <v>3750.9701893287001</v>
      </c>
      <c r="AN5302" s="2">
        <v>4513.8876629363604</v>
      </c>
      <c r="AO5302" s="2">
        <v>2846.3951418409401</v>
      </c>
      <c r="AP5302" s="2">
        <v>3017.8164321526801</v>
      </c>
    </row>
    <row r="5303" spans="1:42" ht="14.5" x14ac:dyDescent="0.35">
      <c r="A5303" s="2" t="s">
        <v>35168</v>
      </c>
      <c r="B5303" s="2">
        <v>261.16368770599701</v>
      </c>
      <c r="C5303" s="2">
        <v>11.0630666666667</v>
      </c>
      <c r="D5303" s="2" t="s">
        <v>34</v>
      </c>
      <c r="E5303" s="2" t="s">
        <v>35169</v>
      </c>
      <c r="F5303" s="2">
        <v>61916</v>
      </c>
      <c r="G5303" s="3" t="str">
        <f>HYPERLINK("http://funmeta.oebiotech.com/network/61916", "http://funmeta.oebiotech.com/network/61916")</f>
        <v>http://funmeta.oebiotech.com/network/61916</v>
      </c>
      <c r="H5303" s="2" t="s">
        <v>35170</v>
      </c>
      <c r="I5303" s="2"/>
      <c r="J5303" s="2"/>
      <c r="K5303" s="2"/>
      <c r="L5303" s="2"/>
      <c r="M5303" s="2"/>
      <c r="N5303" s="2"/>
      <c r="O5303" s="2">
        <v>131752398</v>
      </c>
      <c r="P5303" s="2" t="s">
        <v>35171</v>
      </c>
      <c r="Q5303" s="2" t="s">
        <v>35172</v>
      </c>
      <c r="R5303" s="2" t="s">
        <v>35173</v>
      </c>
      <c r="S5303" s="2" t="s">
        <v>115</v>
      </c>
      <c r="T5303" s="2" t="s">
        <v>4730</v>
      </c>
      <c r="U5303" s="2" t="s">
        <v>41</v>
      </c>
      <c r="V5303" s="2" t="s">
        <v>59</v>
      </c>
      <c r="W5303" s="2">
        <v>39.200000000000003</v>
      </c>
      <c r="X5303" s="2">
        <v>0</v>
      </c>
      <c r="Y5303" s="2" t="s">
        <v>141</v>
      </c>
      <c r="Z5303" s="2" t="s">
        <v>35174</v>
      </c>
      <c r="AA5303" s="2">
        <v>-0.321278519251876</v>
      </c>
      <c r="AB5303" s="2">
        <v>9.1654059311952099E-2</v>
      </c>
      <c r="AC5303" s="2">
        <v>687.72269474582799</v>
      </c>
      <c r="AD5303" s="2">
        <v>119.456601475078</v>
      </c>
      <c r="AE5303" s="2">
        <v>581.89480068545504</v>
      </c>
      <c r="AF5303" s="2">
        <v>734.11164352236801</v>
      </c>
      <c r="AG5303" s="2">
        <v>671.97937196202201</v>
      </c>
      <c r="AH5303" s="2">
        <v>837.63207663984895</v>
      </c>
      <c r="AI5303" s="2">
        <v>630.00197160007599</v>
      </c>
      <c r="AJ5303" s="2">
        <v>670.71630406520001</v>
      </c>
      <c r="AK5303" s="2">
        <v>46.499620368041398</v>
      </c>
      <c r="AL5303" s="2">
        <v>210.343807537148</v>
      </c>
      <c r="AM5303" s="2">
        <v>97.454537304389206</v>
      </c>
      <c r="AN5303" s="2">
        <v>34.209525012565202</v>
      </c>
      <c r="AO5303" s="2">
        <v>169.10191767126199</v>
      </c>
      <c r="AP5303" s="2">
        <v>159.13020095706301</v>
      </c>
    </row>
    <row r="5304" spans="1:42" ht="14.5" x14ac:dyDescent="0.35">
      <c r="A5304" s="2" t="s">
        <v>35175</v>
      </c>
      <c r="B5304" s="2">
        <v>695.24990527031696</v>
      </c>
      <c r="C5304" s="2">
        <v>3.82433333333333</v>
      </c>
      <c r="D5304" s="2" t="s">
        <v>70</v>
      </c>
      <c r="E5304" s="2" t="s">
        <v>35176</v>
      </c>
      <c r="F5304" s="2">
        <v>202611</v>
      </c>
      <c r="G5304" s="3" t="str">
        <f>HYPERLINK("http://funmeta.oebiotech.com/network/202611", "http://funmeta.oebiotech.com/network/202611")</f>
        <v>http://funmeta.oebiotech.com/network/202611</v>
      </c>
      <c r="H5304" s="2" t="s">
        <v>35177</v>
      </c>
      <c r="I5304" s="2">
        <v>328263</v>
      </c>
      <c r="J5304" s="2"/>
      <c r="K5304" s="2"/>
      <c r="L5304" s="2"/>
      <c r="M5304" s="2"/>
      <c r="N5304" s="2"/>
      <c r="O5304" s="2">
        <v>166480</v>
      </c>
      <c r="P5304" s="2"/>
      <c r="Q5304" s="2" t="s">
        <v>35178</v>
      </c>
      <c r="R5304" s="2" t="s">
        <v>35179</v>
      </c>
      <c r="S5304" s="2" t="s">
        <v>148</v>
      </c>
      <c r="T5304" s="2" t="s">
        <v>149</v>
      </c>
      <c r="U5304" s="2" t="s">
        <v>1593</v>
      </c>
      <c r="V5304" s="2" t="s">
        <v>59</v>
      </c>
      <c r="W5304" s="2">
        <v>38.799999999999997</v>
      </c>
      <c r="X5304" s="2">
        <v>0</v>
      </c>
      <c r="Y5304" s="2" t="s">
        <v>560</v>
      </c>
      <c r="Z5304" s="2" t="s">
        <v>35180</v>
      </c>
      <c r="AA5304" s="2">
        <v>1.93695632103955</v>
      </c>
      <c r="AB5304" s="2">
        <v>9.1621781677867595E-2</v>
      </c>
      <c r="AC5304" s="2">
        <v>6086.2568706791499</v>
      </c>
      <c r="AD5304" s="2">
        <v>5210.7853785388297</v>
      </c>
      <c r="AE5304" s="2">
        <v>6882.2638315911499</v>
      </c>
      <c r="AF5304" s="2">
        <v>6587.0291333085297</v>
      </c>
      <c r="AG5304" s="2">
        <v>5703.3730127192503</v>
      </c>
      <c r="AH5304" s="2">
        <v>5973.0113317731002</v>
      </c>
      <c r="AI5304" s="2">
        <v>5253.6868429631704</v>
      </c>
      <c r="AJ5304" s="2">
        <v>6118.1770717196696</v>
      </c>
      <c r="AK5304" s="2">
        <v>4611.0405667948899</v>
      </c>
      <c r="AL5304" s="2">
        <v>5788.79204614419</v>
      </c>
      <c r="AM5304" s="2">
        <v>5664.9857418559204</v>
      </c>
      <c r="AN5304" s="2">
        <v>4497.4024688251102</v>
      </c>
      <c r="AO5304" s="2">
        <v>5862.0683759979302</v>
      </c>
      <c r="AP5304" s="2">
        <v>4840.4230716149495</v>
      </c>
    </row>
    <row r="5305" spans="1:42" ht="14.5" x14ac:dyDescent="0.35">
      <c r="A5305" s="2" t="s">
        <v>35181</v>
      </c>
      <c r="B5305" s="2">
        <v>361.16438696828601</v>
      </c>
      <c r="C5305" s="2">
        <v>5.3342833333333299</v>
      </c>
      <c r="D5305" s="2" t="s">
        <v>34</v>
      </c>
      <c r="E5305" s="2" t="s">
        <v>35182</v>
      </c>
      <c r="F5305" s="2">
        <v>266573</v>
      </c>
      <c r="G5305" s="3" t="str">
        <f>HYPERLINK("http://funmeta.oebiotech.com/network/266573", "http://funmeta.oebiotech.com/network/266573")</f>
        <v>http://funmeta.oebiotech.com/network/266573</v>
      </c>
      <c r="H5305" s="2"/>
      <c r="I5305" s="2">
        <v>43611</v>
      </c>
      <c r="J5305" s="2"/>
      <c r="K5305" s="2"/>
      <c r="L5305" s="2"/>
      <c r="M5305" s="2"/>
      <c r="N5305" s="2"/>
      <c r="O5305" s="2">
        <v>6708574</v>
      </c>
      <c r="P5305" s="2"/>
      <c r="Q5305" s="2" t="s">
        <v>35183</v>
      </c>
      <c r="R5305" s="2" t="s">
        <v>35184</v>
      </c>
      <c r="S5305" s="2" t="s">
        <v>115</v>
      </c>
      <c r="T5305" s="2" t="s">
        <v>1371</v>
      </c>
      <c r="U5305" s="2" t="s">
        <v>6597</v>
      </c>
      <c r="V5305" s="2" t="s">
        <v>59</v>
      </c>
      <c r="W5305" s="2">
        <v>38</v>
      </c>
      <c r="X5305" s="2">
        <v>0</v>
      </c>
      <c r="Y5305" s="2" t="s">
        <v>394</v>
      </c>
      <c r="Z5305" s="2" t="s">
        <v>10768</v>
      </c>
      <c r="AA5305" s="2">
        <v>-0.494091775443045</v>
      </c>
      <c r="AB5305" s="2">
        <v>9.1562893472308393E-2</v>
      </c>
      <c r="AC5305" s="2">
        <v>4645.9262416328702</v>
      </c>
      <c r="AD5305" s="2">
        <v>5748.5280041428796</v>
      </c>
      <c r="AE5305" s="2">
        <v>4139.5858883143201</v>
      </c>
      <c r="AF5305" s="2">
        <v>6571.0887106546497</v>
      </c>
      <c r="AG5305" s="2">
        <v>3839.6172612676801</v>
      </c>
      <c r="AH5305" s="2">
        <v>4730.08850481017</v>
      </c>
      <c r="AI5305" s="2">
        <v>3591.2039747189701</v>
      </c>
      <c r="AJ5305" s="2">
        <v>5003.9731100314202</v>
      </c>
      <c r="AK5305" s="2">
        <v>4637.0802451719801</v>
      </c>
      <c r="AL5305" s="2">
        <v>5673.9716470489002</v>
      </c>
      <c r="AM5305" s="2">
        <v>6203.8764755775901</v>
      </c>
      <c r="AN5305" s="2">
        <v>7395.2621644666797</v>
      </c>
      <c r="AO5305" s="2">
        <v>4833.8406000225996</v>
      </c>
      <c r="AP5305" s="2">
        <v>5747.1368925695197</v>
      </c>
    </row>
    <row r="5306" spans="1:42" ht="14.5" x14ac:dyDescent="0.35">
      <c r="A5306" s="2" t="s">
        <v>35185</v>
      </c>
      <c r="B5306" s="2">
        <v>359.14844370716497</v>
      </c>
      <c r="C5306" s="2">
        <v>6.3386333333333296</v>
      </c>
      <c r="D5306" s="2" t="s">
        <v>34</v>
      </c>
      <c r="E5306" s="2" t="s">
        <v>35186</v>
      </c>
      <c r="F5306" s="2">
        <v>205671</v>
      </c>
      <c r="G5306" s="3" t="str">
        <f>HYPERLINK("http://funmeta.oebiotech.com/network/205671", "http://funmeta.oebiotech.com/network/205671")</f>
        <v>http://funmeta.oebiotech.com/network/205671</v>
      </c>
      <c r="H5306" s="2" t="s">
        <v>35187</v>
      </c>
      <c r="I5306" s="2"/>
      <c r="J5306" s="2"/>
      <c r="K5306" s="2"/>
      <c r="L5306" s="2"/>
      <c r="M5306" s="2"/>
      <c r="N5306" s="2"/>
      <c r="O5306" s="2"/>
      <c r="P5306" s="2"/>
      <c r="Q5306" s="2" t="s">
        <v>35188</v>
      </c>
      <c r="R5306" s="2" t="s">
        <v>35189</v>
      </c>
      <c r="S5306" s="2" t="s">
        <v>491</v>
      </c>
      <c r="T5306" s="2" t="s">
        <v>7431</v>
      </c>
      <c r="U5306" s="2" t="s">
        <v>7432</v>
      </c>
      <c r="V5306" s="2" t="s">
        <v>59</v>
      </c>
      <c r="W5306" s="2">
        <v>37.9</v>
      </c>
      <c r="X5306" s="2">
        <v>0</v>
      </c>
      <c r="Y5306" s="2" t="s">
        <v>340</v>
      </c>
      <c r="Z5306" s="2" t="s">
        <v>35190</v>
      </c>
      <c r="AA5306" s="2">
        <v>1.38975850353382</v>
      </c>
      <c r="AB5306" s="2">
        <v>9.1516971198794594E-2</v>
      </c>
      <c r="AC5306" s="2">
        <v>2371.1762148674602</v>
      </c>
      <c r="AD5306" s="2">
        <v>1563.4000973478901</v>
      </c>
      <c r="AE5306" s="2">
        <v>2543.2406673533401</v>
      </c>
      <c r="AF5306" s="2">
        <v>2426.0665240527101</v>
      </c>
      <c r="AG5306" s="2">
        <v>1771.02012353085</v>
      </c>
      <c r="AH5306" s="2">
        <v>2812.2742413989999</v>
      </c>
      <c r="AI5306" s="2">
        <v>2263.03674684211</v>
      </c>
      <c r="AJ5306" s="2">
        <v>2411.4189860267202</v>
      </c>
      <c r="AK5306" s="2">
        <v>2024.33214246429</v>
      </c>
      <c r="AL5306" s="2">
        <v>1649.5932668406199</v>
      </c>
      <c r="AM5306" s="2">
        <v>510.883836578439</v>
      </c>
      <c r="AN5306" s="2">
        <v>1330.77539743329</v>
      </c>
      <c r="AO5306" s="2">
        <v>2099.6114511007199</v>
      </c>
      <c r="AP5306" s="2">
        <v>1765.2044896700099</v>
      </c>
    </row>
    <row r="5307" spans="1:42" ht="14.5" x14ac:dyDescent="0.35">
      <c r="A5307" s="2" t="s">
        <v>35191</v>
      </c>
      <c r="B5307" s="2">
        <v>417.21674732202598</v>
      </c>
      <c r="C5307" s="2">
        <v>9.1582833333333298</v>
      </c>
      <c r="D5307" s="2" t="s">
        <v>34</v>
      </c>
      <c r="E5307" s="2" t="s">
        <v>35192</v>
      </c>
      <c r="F5307" s="2">
        <v>208227</v>
      </c>
      <c r="G5307" s="3" t="str">
        <f>HYPERLINK("http://funmeta.oebiotech.com/network/208227", "http://funmeta.oebiotech.com/network/208227")</f>
        <v>http://funmeta.oebiotech.com/network/208227</v>
      </c>
      <c r="H5307" s="2" t="s">
        <v>35193</v>
      </c>
      <c r="I5307" s="2"/>
      <c r="J5307" s="2"/>
      <c r="K5307" s="2"/>
      <c r="L5307" s="2"/>
      <c r="M5307" s="2"/>
      <c r="N5307" s="2"/>
      <c r="O5307" s="2">
        <v>4488116</v>
      </c>
      <c r="P5307" s="2"/>
      <c r="Q5307" s="2" t="s">
        <v>35194</v>
      </c>
      <c r="R5307" s="2" t="s">
        <v>35195</v>
      </c>
      <c r="S5307" s="2" t="s">
        <v>41</v>
      </c>
      <c r="T5307" s="2" t="s">
        <v>41</v>
      </c>
      <c r="U5307" s="2" t="s">
        <v>41</v>
      </c>
      <c r="V5307" s="2" t="s">
        <v>59</v>
      </c>
      <c r="W5307" s="2">
        <v>36.200000000000003</v>
      </c>
      <c r="X5307" s="2">
        <v>0</v>
      </c>
      <c r="Y5307" s="2" t="s">
        <v>43</v>
      </c>
      <c r="Z5307" s="2" t="s">
        <v>35196</v>
      </c>
      <c r="AA5307" s="2">
        <v>0.325038550301883</v>
      </c>
      <c r="AB5307" s="2">
        <v>9.1474486236396799E-2</v>
      </c>
      <c r="AC5307" s="2">
        <v>15838.990927459899</v>
      </c>
      <c r="AD5307" s="2">
        <v>14674.695565662299</v>
      </c>
      <c r="AE5307" s="2">
        <v>14466.9942019553</v>
      </c>
      <c r="AF5307" s="2">
        <v>15396.7031743223</v>
      </c>
      <c r="AG5307" s="2">
        <v>15331.565425500999</v>
      </c>
      <c r="AH5307" s="2">
        <v>16377.580439064001</v>
      </c>
      <c r="AI5307" s="2">
        <v>15738.3253481265</v>
      </c>
      <c r="AJ5307" s="2">
        <v>17722.776975790501</v>
      </c>
      <c r="AK5307" s="2">
        <v>13232.4719596179</v>
      </c>
      <c r="AL5307" s="2">
        <v>13968.064226582401</v>
      </c>
      <c r="AM5307" s="2">
        <v>15715.0080973189</v>
      </c>
      <c r="AN5307" s="2">
        <v>13494.328673923101</v>
      </c>
      <c r="AO5307" s="2">
        <v>16009.8137915968</v>
      </c>
      <c r="AP5307" s="2">
        <v>15628.486644934899</v>
      </c>
    </row>
    <row r="5308" spans="1:42" ht="14.5" x14ac:dyDescent="0.35">
      <c r="A5308" s="2" t="s">
        <v>35197</v>
      </c>
      <c r="B5308" s="2">
        <v>288.113220231149</v>
      </c>
      <c r="C5308" s="2">
        <v>8.4891833333333295</v>
      </c>
      <c r="D5308" s="2" t="s">
        <v>34</v>
      </c>
      <c r="E5308" s="2" t="s">
        <v>35198</v>
      </c>
      <c r="F5308" s="2">
        <v>208379</v>
      </c>
      <c r="G5308" s="3" t="str">
        <f>HYPERLINK("http://funmeta.oebiotech.com/network/208379", "http://funmeta.oebiotech.com/network/208379")</f>
        <v>http://funmeta.oebiotech.com/network/208379</v>
      </c>
      <c r="H5308" s="2" t="s">
        <v>35199</v>
      </c>
      <c r="I5308" s="2">
        <v>457942</v>
      </c>
      <c r="J5308" s="2"/>
      <c r="K5308" s="2"/>
      <c r="L5308" s="2"/>
      <c r="M5308" s="2"/>
      <c r="N5308" s="2"/>
      <c r="O5308" s="2">
        <v>90247</v>
      </c>
      <c r="P5308" s="2"/>
      <c r="Q5308" s="2" t="s">
        <v>35200</v>
      </c>
      <c r="R5308" s="2" t="s">
        <v>35201</v>
      </c>
      <c r="S5308" s="2" t="s">
        <v>491</v>
      </c>
      <c r="T5308" s="2" t="s">
        <v>13817</v>
      </c>
      <c r="U5308" s="2" t="s">
        <v>13818</v>
      </c>
      <c r="V5308" s="2" t="s">
        <v>59</v>
      </c>
      <c r="W5308" s="2">
        <v>37.5</v>
      </c>
      <c r="X5308" s="2">
        <v>0</v>
      </c>
      <c r="Y5308" s="2" t="s">
        <v>43</v>
      </c>
      <c r="Z5308" s="2" t="s">
        <v>35202</v>
      </c>
      <c r="AA5308" s="2">
        <v>0.30269363541658201</v>
      </c>
      <c r="AB5308" s="2">
        <v>9.1460579678868406E-2</v>
      </c>
      <c r="AC5308" s="2">
        <v>54967.977940873803</v>
      </c>
      <c r="AD5308" s="2">
        <v>56472.700068074402</v>
      </c>
      <c r="AE5308" s="2">
        <v>57356.830441104299</v>
      </c>
      <c r="AF5308" s="2">
        <v>54216.941046000902</v>
      </c>
      <c r="AG5308" s="2">
        <v>52672.730667939002</v>
      </c>
      <c r="AH5308" s="2">
        <v>56642.841994677001</v>
      </c>
      <c r="AI5308" s="2">
        <v>52318.860177144103</v>
      </c>
      <c r="AJ5308" s="2">
        <v>56599.663318377701</v>
      </c>
      <c r="AK5308" s="2">
        <v>55288.1680470258</v>
      </c>
      <c r="AL5308" s="2">
        <v>57074.467198907398</v>
      </c>
      <c r="AM5308" s="2">
        <v>55108.645346728401</v>
      </c>
      <c r="AN5308" s="2">
        <v>55675.0751674083</v>
      </c>
      <c r="AO5308" s="2">
        <v>55643.324631103897</v>
      </c>
      <c r="AP5308" s="2">
        <v>60046.520017272298</v>
      </c>
    </row>
    <row r="5309" spans="1:42" ht="14.5" x14ac:dyDescent="0.35">
      <c r="A5309" s="2" t="s">
        <v>35203</v>
      </c>
      <c r="B5309" s="2">
        <v>769.29057135766902</v>
      </c>
      <c r="C5309" s="2">
        <v>5.5993333333333304</v>
      </c>
      <c r="D5309" s="2" t="s">
        <v>70</v>
      </c>
      <c r="E5309" s="2" t="s">
        <v>35204</v>
      </c>
      <c r="F5309" s="2">
        <v>82288</v>
      </c>
      <c r="G5309" s="3" t="str">
        <f>HYPERLINK("http://funmeta.oebiotech.com/network/82288", "http://funmeta.oebiotech.com/network/82288")</f>
        <v>http://funmeta.oebiotech.com/network/82288</v>
      </c>
      <c r="H5309" s="2" t="s">
        <v>35205</v>
      </c>
      <c r="I5309" s="2">
        <v>73260</v>
      </c>
      <c r="J5309" s="2"/>
      <c r="K5309" s="2">
        <v>82591</v>
      </c>
      <c r="L5309" s="2" t="s">
        <v>35206</v>
      </c>
      <c r="M5309" s="2" t="s">
        <v>13581</v>
      </c>
      <c r="N5309" s="2" t="s">
        <v>13582</v>
      </c>
      <c r="O5309" s="2">
        <v>183009</v>
      </c>
      <c r="P5309" s="2" t="s">
        <v>35207</v>
      </c>
      <c r="Q5309" s="2" t="s">
        <v>35208</v>
      </c>
      <c r="R5309" s="2" t="s">
        <v>35209</v>
      </c>
      <c r="S5309" s="2" t="s">
        <v>50</v>
      </c>
      <c r="T5309" s="2" t="s">
        <v>229</v>
      </c>
      <c r="U5309" s="2" t="s">
        <v>230</v>
      </c>
      <c r="V5309" s="2" t="s">
        <v>59</v>
      </c>
      <c r="W5309" s="2">
        <v>38.200000000000003</v>
      </c>
      <c r="X5309" s="2">
        <v>5.41</v>
      </c>
      <c r="Y5309" s="2" t="s">
        <v>560</v>
      </c>
      <c r="Z5309" s="2" t="s">
        <v>35210</v>
      </c>
      <c r="AA5309" s="2">
        <v>1.0624118456751299</v>
      </c>
      <c r="AB5309" s="2">
        <v>9.1412756607910498E-2</v>
      </c>
      <c r="AC5309" s="2">
        <v>134755.48236242501</v>
      </c>
      <c r="AD5309" s="2">
        <v>137199.13028663499</v>
      </c>
      <c r="AE5309" s="2">
        <v>145223.59577543699</v>
      </c>
      <c r="AF5309" s="2">
        <v>133528.81677562001</v>
      </c>
      <c r="AG5309" s="2">
        <v>131206.56422594801</v>
      </c>
      <c r="AH5309" s="2">
        <v>131069.20472578899</v>
      </c>
      <c r="AI5309" s="2">
        <v>134991.40738610199</v>
      </c>
      <c r="AJ5309" s="2">
        <v>132513.30528565601</v>
      </c>
      <c r="AK5309" s="2">
        <v>134157.394479471</v>
      </c>
      <c r="AL5309" s="2">
        <v>140324.502827841</v>
      </c>
      <c r="AM5309" s="2">
        <v>141933.73852763101</v>
      </c>
      <c r="AN5309" s="2">
        <v>129737.55871042699</v>
      </c>
      <c r="AO5309" s="2">
        <v>145174.224062828</v>
      </c>
      <c r="AP5309" s="2">
        <v>131867.363111613</v>
      </c>
    </row>
    <row r="5310" spans="1:42" ht="14.5" x14ac:dyDescent="0.35">
      <c r="A5310" s="2" t="s">
        <v>35211</v>
      </c>
      <c r="B5310" s="2">
        <v>748.51356127750898</v>
      </c>
      <c r="C5310" s="2">
        <v>14.6093666666667</v>
      </c>
      <c r="D5310" s="2" t="s">
        <v>70</v>
      </c>
      <c r="E5310" s="2" t="s">
        <v>35212</v>
      </c>
      <c r="F5310" s="2">
        <v>18207</v>
      </c>
      <c r="G5310" s="3" t="str">
        <f>HYPERLINK("http://funmeta.oebiotech.com/network/18207", "http://funmeta.oebiotech.com/network/18207")</f>
        <v>http://funmeta.oebiotech.com/network/18207</v>
      </c>
      <c r="H5310" s="2" t="s">
        <v>35213</v>
      </c>
      <c r="I5310" s="2">
        <v>59320</v>
      </c>
      <c r="J5310" s="2" t="s">
        <v>35214</v>
      </c>
      <c r="K5310" s="2">
        <v>84578</v>
      </c>
      <c r="L5310" s="2" t="s">
        <v>335</v>
      </c>
      <c r="M5310" s="2" t="s">
        <v>336</v>
      </c>
      <c r="N5310" s="2" t="s">
        <v>337</v>
      </c>
      <c r="O5310" s="2">
        <v>24778615</v>
      </c>
      <c r="P5310" s="2"/>
      <c r="Q5310" s="2" t="s">
        <v>35215</v>
      </c>
      <c r="R5310" s="2" t="s">
        <v>35216</v>
      </c>
      <c r="S5310" s="2" t="s">
        <v>50</v>
      </c>
      <c r="T5310" s="2" t="s">
        <v>51</v>
      </c>
      <c r="U5310" s="2" t="s">
        <v>168</v>
      </c>
      <c r="V5310" s="2" t="s">
        <v>59</v>
      </c>
      <c r="W5310" s="2">
        <v>36.4</v>
      </c>
      <c r="X5310" s="2">
        <v>0</v>
      </c>
      <c r="Y5310" s="2" t="s">
        <v>408</v>
      </c>
      <c r="Z5310" s="2" t="s">
        <v>35217</v>
      </c>
      <c r="AA5310" s="2">
        <v>0.21810907213689701</v>
      </c>
      <c r="AB5310" s="2">
        <v>9.1325700983179797E-2</v>
      </c>
      <c r="AC5310" s="2">
        <v>37315.567439135601</v>
      </c>
      <c r="AD5310" s="2">
        <v>36004.691736841</v>
      </c>
      <c r="AE5310" s="2">
        <v>39289.062885739899</v>
      </c>
      <c r="AF5310" s="2">
        <v>39574.387953722398</v>
      </c>
      <c r="AG5310" s="2">
        <v>35237.580535338901</v>
      </c>
      <c r="AH5310" s="2">
        <v>36662.647435392901</v>
      </c>
      <c r="AI5310" s="2">
        <v>34914.684463817503</v>
      </c>
      <c r="AJ5310" s="2">
        <v>38215.041360801901</v>
      </c>
      <c r="AK5310" s="2">
        <v>35700.158715141202</v>
      </c>
      <c r="AL5310" s="2">
        <v>37334.200492373398</v>
      </c>
      <c r="AM5310" s="2">
        <v>35814.1924433936</v>
      </c>
      <c r="AN5310" s="2">
        <v>36544.285012745699</v>
      </c>
      <c r="AO5310" s="2">
        <v>34124.963716426297</v>
      </c>
      <c r="AP5310" s="2">
        <v>36510.350040965597</v>
      </c>
    </row>
    <row r="5311" spans="1:42" ht="14.5" x14ac:dyDescent="0.35">
      <c r="A5311" s="2" t="s">
        <v>35218</v>
      </c>
      <c r="B5311" s="2">
        <v>335.15697656686598</v>
      </c>
      <c r="C5311" s="2">
        <v>3.9845333333333302</v>
      </c>
      <c r="D5311" s="2" t="s">
        <v>34</v>
      </c>
      <c r="E5311" s="2" t="s">
        <v>35219</v>
      </c>
      <c r="F5311" s="2">
        <v>61324</v>
      </c>
      <c r="G5311" s="3" t="str">
        <f>HYPERLINK("http://funmeta.oebiotech.com/network/61324", "http://funmeta.oebiotech.com/network/61324")</f>
        <v>http://funmeta.oebiotech.com/network/61324</v>
      </c>
      <c r="H5311" s="2" t="s">
        <v>35220</v>
      </c>
      <c r="I5311" s="2"/>
      <c r="J5311" s="2"/>
      <c r="K5311" s="2">
        <v>169016</v>
      </c>
      <c r="L5311" s="2"/>
      <c r="M5311" s="2"/>
      <c r="N5311" s="2"/>
      <c r="O5311" s="2">
        <v>131752243</v>
      </c>
      <c r="P5311" s="2" t="s">
        <v>35221</v>
      </c>
      <c r="Q5311" s="2" t="s">
        <v>35222</v>
      </c>
      <c r="R5311" s="2" t="s">
        <v>35223</v>
      </c>
      <c r="S5311" s="2" t="s">
        <v>89</v>
      </c>
      <c r="T5311" s="2" t="s">
        <v>90</v>
      </c>
      <c r="U5311" s="2" t="s">
        <v>99</v>
      </c>
      <c r="V5311" s="2" t="s">
        <v>59</v>
      </c>
      <c r="W5311" s="2">
        <v>37.200000000000003</v>
      </c>
      <c r="X5311" s="2">
        <v>0</v>
      </c>
      <c r="Y5311" s="2" t="s">
        <v>43</v>
      </c>
      <c r="Z5311" s="2" t="s">
        <v>35224</v>
      </c>
      <c r="AA5311" s="2">
        <v>2.6837476146300601</v>
      </c>
      <c r="AB5311" s="2">
        <v>9.1263178787667099E-2</v>
      </c>
      <c r="AC5311" s="2">
        <v>1154.12470553871</v>
      </c>
      <c r="AD5311" s="2">
        <v>1807.9256499216599</v>
      </c>
      <c r="AE5311" s="2">
        <v>1100.0564675302101</v>
      </c>
      <c r="AF5311" s="2">
        <v>1192.2515462281599</v>
      </c>
      <c r="AG5311" s="2">
        <v>697.78048121389702</v>
      </c>
      <c r="AH5311" s="2">
        <v>1326.77558673421</v>
      </c>
      <c r="AI5311" s="2">
        <v>1313.8948930481499</v>
      </c>
      <c r="AJ5311" s="2">
        <v>1293.9892584776401</v>
      </c>
      <c r="AK5311" s="2">
        <v>1765.0577143872299</v>
      </c>
      <c r="AL5311" s="2">
        <v>1815.3934890354799</v>
      </c>
      <c r="AM5311" s="2">
        <v>1696.2557075458801</v>
      </c>
      <c r="AN5311" s="2">
        <v>1590.16003979691</v>
      </c>
      <c r="AO5311" s="2">
        <v>1718.26571365624</v>
      </c>
      <c r="AP5311" s="2">
        <v>2262.4212351082101</v>
      </c>
    </row>
    <row r="5312" spans="1:42" ht="14.5" x14ac:dyDescent="0.35">
      <c r="A5312" s="2" t="s">
        <v>35225</v>
      </c>
      <c r="B5312" s="2">
        <v>501.24610419724701</v>
      </c>
      <c r="C5312" s="2">
        <v>9.4284999999999997</v>
      </c>
      <c r="D5312" s="2" t="s">
        <v>34</v>
      </c>
      <c r="E5312" s="2" t="s">
        <v>35226</v>
      </c>
      <c r="F5312" s="2">
        <v>44752</v>
      </c>
      <c r="G5312" s="3" t="str">
        <f>HYPERLINK("http://funmeta.oebiotech.com/network/44752", "http://funmeta.oebiotech.com/network/44752")</f>
        <v>http://funmeta.oebiotech.com/network/44752</v>
      </c>
      <c r="H5312" s="2"/>
      <c r="I5312" s="2"/>
      <c r="J5312" s="2" t="s">
        <v>35227</v>
      </c>
      <c r="K5312" s="2"/>
      <c r="L5312" s="2"/>
      <c r="M5312" s="2"/>
      <c r="N5312" s="2"/>
      <c r="O5312" s="2"/>
      <c r="P5312" s="2"/>
      <c r="Q5312" s="2" t="s">
        <v>35228</v>
      </c>
      <c r="R5312" s="2" t="s">
        <v>35229</v>
      </c>
      <c r="S5312" s="2" t="s">
        <v>50</v>
      </c>
      <c r="T5312" s="2" t="s">
        <v>124</v>
      </c>
      <c r="U5312" s="2" t="s">
        <v>567</v>
      </c>
      <c r="V5312" s="2" t="s">
        <v>42</v>
      </c>
      <c r="W5312" s="2">
        <v>47.2</v>
      </c>
      <c r="X5312" s="2">
        <v>49.9</v>
      </c>
      <c r="Y5312" s="2" t="s">
        <v>394</v>
      </c>
      <c r="Z5312" s="2" t="s">
        <v>8352</v>
      </c>
      <c r="AA5312" s="2">
        <v>-4.3785808712630603</v>
      </c>
      <c r="AB5312" s="2">
        <v>9.1245575098787807E-2</v>
      </c>
      <c r="AC5312" s="2">
        <v>17473.317528892399</v>
      </c>
      <c r="AD5312" s="2">
        <v>16484.925885700199</v>
      </c>
      <c r="AE5312" s="2">
        <v>17198.280943530001</v>
      </c>
      <c r="AF5312" s="2">
        <v>17212.484559398901</v>
      </c>
      <c r="AG5312" s="2">
        <v>17608.105498036599</v>
      </c>
      <c r="AH5312" s="2">
        <v>16762.626804302599</v>
      </c>
      <c r="AI5312" s="2">
        <v>17141.750900014398</v>
      </c>
      <c r="AJ5312" s="2">
        <v>18916.6564680718</v>
      </c>
      <c r="AK5312" s="2">
        <v>16080.0968529907</v>
      </c>
      <c r="AL5312" s="2">
        <v>17081.246091084398</v>
      </c>
      <c r="AM5312" s="2">
        <v>16071.7044692817</v>
      </c>
      <c r="AN5312" s="2">
        <v>15066.144529718</v>
      </c>
      <c r="AO5312" s="2">
        <v>17295.440951685701</v>
      </c>
      <c r="AP5312" s="2">
        <v>17314.9224194409</v>
      </c>
    </row>
    <row r="5313" spans="1:42" ht="14.5" x14ac:dyDescent="0.35">
      <c r="A5313" s="2" t="s">
        <v>35230</v>
      </c>
      <c r="B5313" s="2">
        <v>279.19302259639898</v>
      </c>
      <c r="C5313" s="2">
        <v>8.8958999999999993</v>
      </c>
      <c r="D5313" s="2" t="s">
        <v>34</v>
      </c>
      <c r="E5313" s="2" t="s">
        <v>35231</v>
      </c>
      <c r="F5313" s="2">
        <v>210392</v>
      </c>
      <c r="G5313" s="3" t="str">
        <f>HYPERLINK("http://funmeta.oebiotech.com/network/210392", "http://funmeta.oebiotech.com/network/210392")</f>
        <v>http://funmeta.oebiotech.com/network/210392</v>
      </c>
      <c r="H5313" s="2" t="s">
        <v>35232</v>
      </c>
      <c r="I5313" s="2"/>
      <c r="J5313" s="2"/>
      <c r="K5313" s="2"/>
      <c r="L5313" s="2"/>
      <c r="M5313" s="2"/>
      <c r="N5313" s="2"/>
      <c r="O5313" s="2">
        <v>64775</v>
      </c>
      <c r="P5313" s="2"/>
      <c r="Q5313" s="2" t="s">
        <v>35233</v>
      </c>
      <c r="R5313" s="2" t="s">
        <v>35234</v>
      </c>
      <c r="S5313" s="2" t="s">
        <v>41</v>
      </c>
      <c r="T5313" s="2" t="s">
        <v>41</v>
      </c>
      <c r="U5313" s="2" t="s">
        <v>41</v>
      </c>
      <c r="V5313" s="2" t="s">
        <v>59</v>
      </c>
      <c r="W5313" s="2">
        <v>36.799999999999997</v>
      </c>
      <c r="X5313" s="2">
        <v>0</v>
      </c>
      <c r="Y5313" s="2" t="s">
        <v>43</v>
      </c>
      <c r="Z5313" s="2" t="s">
        <v>35235</v>
      </c>
      <c r="AA5313" s="2">
        <v>0.90677918423631398</v>
      </c>
      <c r="AB5313" s="2">
        <v>9.1211849481068294E-2</v>
      </c>
      <c r="AC5313" s="2">
        <v>2004.0804344780299</v>
      </c>
      <c r="AD5313" s="2">
        <v>2714.3522924521899</v>
      </c>
      <c r="AE5313" s="2">
        <v>1916.5830591517899</v>
      </c>
      <c r="AF5313" s="2">
        <v>2009.2052088194</v>
      </c>
      <c r="AG5313" s="2">
        <v>2159.3171126166299</v>
      </c>
      <c r="AH5313" s="2">
        <v>2047.57502253846</v>
      </c>
      <c r="AI5313" s="2">
        <v>1880.70794244692</v>
      </c>
      <c r="AJ5313" s="2">
        <v>2011.09426129501</v>
      </c>
      <c r="AK5313" s="2">
        <v>3578.3201190128598</v>
      </c>
      <c r="AL5313" s="2">
        <v>2565.6691358882499</v>
      </c>
      <c r="AM5313" s="2">
        <v>2686.2278068578698</v>
      </c>
      <c r="AN5313" s="2">
        <v>2624.4154561001501</v>
      </c>
      <c r="AO5313" s="2">
        <v>2520.8004197836599</v>
      </c>
      <c r="AP5313" s="2">
        <v>2310.6808170703798</v>
      </c>
    </row>
    <row r="5314" spans="1:42" ht="14.5" x14ac:dyDescent="0.35">
      <c r="A5314" s="2" t="s">
        <v>35236</v>
      </c>
      <c r="B5314" s="2">
        <v>549.32740183451403</v>
      </c>
      <c r="C5314" s="2">
        <v>10.7995</v>
      </c>
      <c r="D5314" s="2" t="s">
        <v>70</v>
      </c>
      <c r="E5314" s="2" t="s">
        <v>35237</v>
      </c>
      <c r="F5314" s="2">
        <v>53185</v>
      </c>
      <c r="G5314" s="3" t="str">
        <f>HYPERLINK("http://funmeta.oebiotech.com/network/53185", "http://funmeta.oebiotech.com/network/53185")</f>
        <v>http://funmeta.oebiotech.com/network/53185</v>
      </c>
      <c r="H5314" s="2" t="s">
        <v>35238</v>
      </c>
      <c r="I5314" s="2">
        <v>3971</v>
      </c>
      <c r="J5314" s="2"/>
      <c r="K5314" s="2">
        <v>3996</v>
      </c>
      <c r="L5314" s="2" t="s">
        <v>35239</v>
      </c>
      <c r="M5314" s="2"/>
      <c r="N5314" s="2"/>
      <c r="O5314" s="2">
        <v>2895</v>
      </c>
      <c r="P5314" s="2" t="s">
        <v>35240</v>
      </c>
      <c r="Q5314" s="2" t="s">
        <v>35241</v>
      </c>
      <c r="R5314" s="2" t="s">
        <v>35242</v>
      </c>
      <c r="S5314" s="2" t="s">
        <v>148</v>
      </c>
      <c r="T5314" s="2" t="s">
        <v>21283</v>
      </c>
      <c r="U5314" s="2" t="s">
        <v>41</v>
      </c>
      <c r="V5314" s="2" t="s">
        <v>59</v>
      </c>
      <c r="W5314" s="2">
        <v>37.1</v>
      </c>
      <c r="X5314" s="2">
        <v>0</v>
      </c>
      <c r="Y5314" s="2" t="s">
        <v>560</v>
      </c>
      <c r="Z5314" s="2" t="s">
        <v>35243</v>
      </c>
      <c r="AA5314" s="2">
        <v>-0.22002974521705501</v>
      </c>
      <c r="AB5314" s="2">
        <v>9.1166772352643102E-2</v>
      </c>
      <c r="AC5314" s="2">
        <v>1519.6163278470999</v>
      </c>
      <c r="AD5314" s="2">
        <v>789.49346517241497</v>
      </c>
      <c r="AE5314" s="2">
        <v>2350.2851148126601</v>
      </c>
      <c r="AF5314" s="2">
        <v>1569.3380781154999</v>
      </c>
      <c r="AG5314" s="2">
        <v>1395.0177501231601</v>
      </c>
      <c r="AH5314" s="2">
        <v>948.91787897738004</v>
      </c>
      <c r="AI5314" s="2">
        <v>1315.38259145759</v>
      </c>
      <c r="AJ5314" s="2">
        <v>1538.7565535962899</v>
      </c>
      <c r="AK5314" s="2">
        <v>932.15639259666602</v>
      </c>
      <c r="AL5314" s="2">
        <v>939.63158984358699</v>
      </c>
      <c r="AM5314" s="2">
        <v>833.92440923660797</v>
      </c>
      <c r="AN5314" s="2">
        <v>350.17474066296501</v>
      </c>
      <c r="AO5314" s="2">
        <v>888.91876040537102</v>
      </c>
      <c r="AP5314" s="2">
        <v>792.15489828929401</v>
      </c>
    </row>
    <row r="5315" spans="1:42" ht="14.5" x14ac:dyDescent="0.35">
      <c r="A5315" s="2" t="s">
        <v>35244</v>
      </c>
      <c r="B5315" s="2">
        <v>395.17114796600902</v>
      </c>
      <c r="C5315" s="2">
        <v>5.04155</v>
      </c>
      <c r="D5315" s="2" t="s">
        <v>70</v>
      </c>
      <c r="E5315" s="2" t="s">
        <v>35245</v>
      </c>
      <c r="F5315" s="2">
        <v>58846</v>
      </c>
      <c r="G5315" s="3" t="str">
        <f>HYPERLINK("http://funmeta.oebiotech.com/network/58846", "http://funmeta.oebiotech.com/network/58846")</f>
        <v>http://funmeta.oebiotech.com/network/58846</v>
      </c>
      <c r="H5315" s="2" t="s">
        <v>35246</v>
      </c>
      <c r="I5315" s="2">
        <v>90303</v>
      </c>
      <c r="J5315" s="2"/>
      <c r="K5315" s="2"/>
      <c r="L5315" s="2"/>
      <c r="M5315" s="2"/>
      <c r="N5315" s="2"/>
      <c r="O5315" s="2">
        <v>538469</v>
      </c>
      <c r="P5315" s="2"/>
      <c r="Q5315" s="2" t="s">
        <v>35247</v>
      </c>
      <c r="R5315" s="2" t="s">
        <v>35248</v>
      </c>
      <c r="S5315" s="2" t="s">
        <v>50</v>
      </c>
      <c r="T5315" s="2" t="s">
        <v>201</v>
      </c>
      <c r="U5315" s="2" t="s">
        <v>636</v>
      </c>
      <c r="V5315" s="2" t="s">
        <v>59</v>
      </c>
      <c r="W5315" s="2">
        <v>38.9</v>
      </c>
      <c r="X5315" s="2">
        <v>0</v>
      </c>
      <c r="Y5315" s="2" t="s">
        <v>408</v>
      </c>
      <c r="Z5315" s="2" t="s">
        <v>14738</v>
      </c>
      <c r="AA5315" s="2">
        <v>1.8690277607589199E-2</v>
      </c>
      <c r="AB5315" s="2">
        <v>9.1135155410703494E-2</v>
      </c>
      <c r="AC5315" s="2">
        <v>4204.5732369501802</v>
      </c>
      <c r="AD5315" s="2">
        <v>3252.8525514262401</v>
      </c>
      <c r="AE5315" s="2">
        <v>5151.0955913060398</v>
      </c>
      <c r="AF5315" s="2">
        <v>3307.0298747305601</v>
      </c>
      <c r="AG5315" s="2">
        <v>3160.60523381959</v>
      </c>
      <c r="AH5315" s="2">
        <v>4329.4729943745497</v>
      </c>
      <c r="AI5315" s="2">
        <v>4830.66179495082</v>
      </c>
      <c r="AJ5315" s="2">
        <v>4448.5739325195</v>
      </c>
      <c r="AK5315" s="2">
        <v>3134.8647360034802</v>
      </c>
      <c r="AL5315" s="2">
        <v>3052.4564051852899</v>
      </c>
      <c r="AM5315" s="2">
        <v>4267.1106741702997</v>
      </c>
      <c r="AN5315" s="2">
        <v>2768.6373753504299</v>
      </c>
      <c r="AO5315" s="2">
        <v>2531.7732061800998</v>
      </c>
      <c r="AP5315" s="2">
        <v>3762.2729116678502</v>
      </c>
    </row>
    <row r="5316" spans="1:42" ht="14.5" x14ac:dyDescent="0.35">
      <c r="A5316" s="2" t="s">
        <v>35249</v>
      </c>
      <c r="B5316" s="2">
        <v>446.25332889357497</v>
      </c>
      <c r="C5316" s="2">
        <v>9.6530833333333295</v>
      </c>
      <c r="D5316" s="2" t="s">
        <v>34</v>
      </c>
      <c r="E5316" s="2" t="s">
        <v>35250</v>
      </c>
      <c r="F5316" s="2">
        <v>54989</v>
      </c>
      <c r="G5316" s="3" t="str">
        <f>HYPERLINK("http://funmeta.oebiotech.com/network/54989", "http://funmeta.oebiotech.com/network/54989")</f>
        <v>http://funmeta.oebiotech.com/network/54989</v>
      </c>
      <c r="H5316" s="2" t="s">
        <v>35251</v>
      </c>
      <c r="I5316" s="2"/>
      <c r="J5316" s="2"/>
      <c r="K5316" s="2">
        <v>479532</v>
      </c>
      <c r="L5316" s="2"/>
      <c r="M5316" s="2"/>
      <c r="N5316" s="2"/>
      <c r="O5316" s="2">
        <v>3084605</v>
      </c>
      <c r="P5316" s="2" t="s">
        <v>35252</v>
      </c>
      <c r="Q5316" s="2" t="s">
        <v>35253</v>
      </c>
      <c r="R5316" s="2" t="s">
        <v>35254</v>
      </c>
      <c r="S5316" s="2" t="s">
        <v>115</v>
      </c>
      <c r="T5316" s="2" t="s">
        <v>1371</v>
      </c>
      <c r="U5316" s="2" t="s">
        <v>3261</v>
      </c>
      <c r="V5316" s="2" t="s">
        <v>59</v>
      </c>
      <c r="W5316" s="2">
        <v>47.2</v>
      </c>
      <c r="X5316" s="2">
        <v>43.6</v>
      </c>
      <c r="Y5316" s="2" t="s">
        <v>43</v>
      </c>
      <c r="Z5316" s="2" t="s">
        <v>35255</v>
      </c>
      <c r="AA5316" s="2">
        <v>-0.89995825738692004</v>
      </c>
      <c r="AB5316" s="2">
        <v>9.1104732252006299E-2</v>
      </c>
      <c r="AC5316" s="2">
        <v>34048.737054461002</v>
      </c>
      <c r="AD5316" s="2">
        <v>30909.595894709699</v>
      </c>
      <c r="AE5316" s="2">
        <v>40576.451318804597</v>
      </c>
      <c r="AF5316" s="2">
        <v>33283.200286863699</v>
      </c>
      <c r="AG5316" s="2">
        <v>30240.150490566801</v>
      </c>
      <c r="AH5316" s="2">
        <v>30331.276891157799</v>
      </c>
      <c r="AI5316" s="2">
        <v>37129.490575669101</v>
      </c>
      <c r="AJ5316" s="2">
        <v>32731.852763703799</v>
      </c>
      <c r="AK5316" s="2">
        <v>22381.243137860802</v>
      </c>
      <c r="AL5316" s="2">
        <v>56271.0124439875</v>
      </c>
      <c r="AM5316" s="2">
        <v>30334.252533647599</v>
      </c>
      <c r="AN5316" s="2">
        <v>32092.336623256098</v>
      </c>
      <c r="AO5316" s="2">
        <v>26206.5202691581</v>
      </c>
      <c r="AP5316" s="2">
        <v>18172.210360348101</v>
      </c>
    </row>
    <row r="5317" spans="1:42" ht="14.5" x14ac:dyDescent="0.35">
      <c r="A5317" s="2" t="s">
        <v>35256</v>
      </c>
      <c r="B5317" s="2">
        <v>443.07689887732602</v>
      </c>
      <c r="C5317" s="2">
        <v>1.11073333333333</v>
      </c>
      <c r="D5317" s="2" t="s">
        <v>34</v>
      </c>
      <c r="E5317" s="2" t="s">
        <v>35257</v>
      </c>
      <c r="F5317" s="2">
        <v>202085</v>
      </c>
      <c r="G5317" s="3" t="str">
        <f>HYPERLINK("http://funmeta.oebiotech.com/network/202085", "http://funmeta.oebiotech.com/network/202085")</f>
        <v>http://funmeta.oebiotech.com/network/202085</v>
      </c>
      <c r="H5317" s="2" t="s">
        <v>35258</v>
      </c>
      <c r="I5317" s="2"/>
      <c r="J5317" s="2"/>
      <c r="K5317" s="2"/>
      <c r="L5317" s="2"/>
      <c r="M5317" s="2"/>
      <c r="N5317" s="2"/>
      <c r="O5317" s="2">
        <v>133314</v>
      </c>
      <c r="P5317" s="2"/>
      <c r="Q5317" s="2" t="s">
        <v>35259</v>
      </c>
      <c r="R5317" s="2" t="s">
        <v>35260</v>
      </c>
      <c r="S5317" s="2" t="s">
        <v>41</v>
      </c>
      <c r="T5317" s="2" t="s">
        <v>41</v>
      </c>
      <c r="U5317" s="2" t="s">
        <v>41</v>
      </c>
      <c r="V5317" s="2" t="s">
        <v>59</v>
      </c>
      <c r="W5317" s="2">
        <v>36.299999999999997</v>
      </c>
      <c r="X5317" s="2">
        <v>0</v>
      </c>
      <c r="Y5317" s="2" t="s">
        <v>141</v>
      </c>
      <c r="Z5317" s="2" t="s">
        <v>35261</v>
      </c>
      <c r="AA5317" s="2">
        <v>1.6411039349763601</v>
      </c>
      <c r="AB5317" s="2">
        <v>9.08579203210092E-2</v>
      </c>
      <c r="AC5317" s="2">
        <v>1596.19262498027</v>
      </c>
      <c r="AD5317" s="2">
        <v>2378.2271813039501</v>
      </c>
      <c r="AE5317" s="2">
        <v>1313.9624864572199</v>
      </c>
      <c r="AF5317" s="2">
        <v>2292.8588426855999</v>
      </c>
      <c r="AG5317" s="2">
        <v>1901.38686153618</v>
      </c>
      <c r="AH5317" s="2">
        <v>1358.9273196644001</v>
      </c>
      <c r="AI5317" s="2">
        <v>1679.1347383770001</v>
      </c>
      <c r="AJ5317" s="2">
        <v>1030.88550116124</v>
      </c>
      <c r="AK5317" s="2">
        <v>2975.5689243065399</v>
      </c>
      <c r="AL5317" s="2">
        <v>2533.8882004410998</v>
      </c>
      <c r="AM5317" s="2">
        <v>2334.2575083760398</v>
      </c>
      <c r="AN5317" s="2">
        <v>2335.3023654635899</v>
      </c>
      <c r="AO5317" s="2">
        <v>2438.9900441541599</v>
      </c>
      <c r="AP5317" s="2">
        <v>1651.3560450822999</v>
      </c>
    </row>
    <row r="5318" spans="1:42" ht="14.5" x14ac:dyDescent="0.35">
      <c r="A5318" s="2" t="s">
        <v>35262</v>
      </c>
      <c r="B5318" s="2">
        <v>395.24187592652203</v>
      </c>
      <c r="C5318" s="2">
        <v>4.8173500000000002</v>
      </c>
      <c r="D5318" s="2" t="s">
        <v>34</v>
      </c>
      <c r="E5318" s="2" t="s">
        <v>35263</v>
      </c>
      <c r="F5318" s="2">
        <v>198533</v>
      </c>
      <c r="G5318" s="3" t="str">
        <f>HYPERLINK("http://funmeta.oebiotech.com/network/198533", "http://funmeta.oebiotech.com/network/198533")</f>
        <v>http://funmeta.oebiotech.com/network/198533</v>
      </c>
      <c r="H5318" s="2" t="s">
        <v>35264</v>
      </c>
      <c r="I5318" s="2"/>
      <c r="J5318" s="2"/>
      <c r="K5318" s="2"/>
      <c r="L5318" s="2"/>
      <c r="M5318" s="2"/>
      <c r="N5318" s="2"/>
      <c r="O5318" s="2"/>
      <c r="P5318" s="2"/>
      <c r="Q5318" s="2" t="s">
        <v>35265</v>
      </c>
      <c r="R5318" s="2" t="s">
        <v>35266</v>
      </c>
      <c r="S5318" s="2" t="s">
        <v>89</v>
      </c>
      <c r="T5318" s="2" t="s">
        <v>90</v>
      </c>
      <c r="U5318" s="2" t="s">
        <v>99</v>
      </c>
      <c r="V5318" s="2" t="s">
        <v>59</v>
      </c>
      <c r="W5318" s="2">
        <v>39.4</v>
      </c>
      <c r="X5318" s="2">
        <v>0</v>
      </c>
      <c r="Y5318" s="2" t="s">
        <v>340</v>
      </c>
      <c r="Z5318" s="2" t="s">
        <v>35267</v>
      </c>
      <c r="AA5318" s="2">
        <v>-6.5077917108290903E-2</v>
      </c>
      <c r="AB5318" s="2">
        <v>9.0667708108702699E-2</v>
      </c>
      <c r="AC5318" s="2">
        <v>2918.3252960883501</v>
      </c>
      <c r="AD5318" s="2">
        <v>2068.0428014414101</v>
      </c>
      <c r="AE5318" s="2">
        <v>2653.6156307237502</v>
      </c>
      <c r="AF5318" s="2">
        <v>2740.6318484951398</v>
      </c>
      <c r="AG5318" s="2">
        <v>2864.9000832654001</v>
      </c>
      <c r="AH5318" s="2">
        <v>3019.6150742333798</v>
      </c>
      <c r="AI5318" s="2">
        <v>3464.7335042833402</v>
      </c>
      <c r="AJ5318" s="2">
        <v>2766.4556355290902</v>
      </c>
      <c r="AK5318" s="2">
        <v>2646.4696990699999</v>
      </c>
      <c r="AL5318" s="2">
        <v>2891.9769278950998</v>
      </c>
      <c r="AM5318" s="2">
        <v>1419.6920578930401</v>
      </c>
      <c r="AN5318" s="2">
        <v>1279.52060031731</v>
      </c>
      <c r="AO5318" s="2">
        <v>2690.2794046791601</v>
      </c>
      <c r="AP5318" s="2">
        <v>1480.3181187938401</v>
      </c>
    </row>
    <row r="5319" spans="1:42" ht="14.5" x14ac:dyDescent="0.35">
      <c r="A5319" s="2" t="s">
        <v>35268</v>
      </c>
      <c r="B5319" s="2">
        <v>1143.53841527245</v>
      </c>
      <c r="C5319" s="2">
        <v>8.6905333333333292</v>
      </c>
      <c r="D5319" s="2" t="s">
        <v>34</v>
      </c>
      <c r="E5319" s="2" t="s">
        <v>35269</v>
      </c>
      <c r="F5319" s="2">
        <v>62689</v>
      </c>
      <c r="G5319" s="3" t="str">
        <f>HYPERLINK("http://funmeta.oebiotech.com/network/62689", "http://funmeta.oebiotech.com/network/62689")</f>
        <v>http://funmeta.oebiotech.com/network/62689</v>
      </c>
      <c r="H5319" s="2" t="s">
        <v>35270</v>
      </c>
      <c r="I5319" s="2">
        <v>93986</v>
      </c>
      <c r="J5319" s="2"/>
      <c r="K5319" s="2"/>
      <c r="L5319" s="2"/>
      <c r="M5319" s="2"/>
      <c r="N5319" s="2"/>
      <c r="O5319" s="2">
        <v>4979347</v>
      </c>
      <c r="P5319" s="2" t="s">
        <v>35271</v>
      </c>
      <c r="Q5319" s="2" t="s">
        <v>35272</v>
      </c>
      <c r="R5319" s="2" t="s">
        <v>35273</v>
      </c>
      <c r="S5319" s="2" t="s">
        <v>50</v>
      </c>
      <c r="T5319" s="2" t="s">
        <v>201</v>
      </c>
      <c r="U5319" s="2" t="s">
        <v>202</v>
      </c>
      <c r="V5319" s="2" t="s">
        <v>59</v>
      </c>
      <c r="W5319" s="2">
        <v>36.799999999999997</v>
      </c>
      <c r="X5319" s="2">
        <v>0</v>
      </c>
      <c r="Y5319" s="2" t="s">
        <v>340</v>
      </c>
      <c r="Z5319" s="2" t="s">
        <v>35274</v>
      </c>
      <c r="AA5319" s="2">
        <v>3.2755869188067401</v>
      </c>
      <c r="AB5319" s="2">
        <v>9.0575523454154899E-2</v>
      </c>
      <c r="AC5319" s="2">
        <v>53114.610560360597</v>
      </c>
      <c r="AD5319" s="2">
        <v>50510.838839692202</v>
      </c>
      <c r="AE5319" s="2">
        <v>50297.649702089999</v>
      </c>
      <c r="AF5319" s="2">
        <v>52459.361921450902</v>
      </c>
      <c r="AG5319" s="2">
        <v>64862.729195970001</v>
      </c>
      <c r="AH5319" s="2">
        <v>57086.253134945197</v>
      </c>
      <c r="AI5319" s="2">
        <v>36704.795526881702</v>
      </c>
      <c r="AJ5319" s="2">
        <v>57276.8738808255</v>
      </c>
      <c r="AK5319" s="2">
        <v>47685.158325267199</v>
      </c>
      <c r="AL5319" s="2">
        <v>52896.992502093701</v>
      </c>
      <c r="AM5319" s="2">
        <v>52449.3925144682</v>
      </c>
      <c r="AN5319" s="2">
        <v>44989.243989177703</v>
      </c>
      <c r="AO5319" s="2">
        <v>57390.248071894901</v>
      </c>
      <c r="AP5319" s="2">
        <v>47653.997635251697</v>
      </c>
    </row>
    <row r="5320" spans="1:42" ht="14.5" x14ac:dyDescent="0.35">
      <c r="A5320" s="2" t="s">
        <v>35275</v>
      </c>
      <c r="B5320" s="2">
        <v>258.24258662036902</v>
      </c>
      <c r="C5320" s="2">
        <v>10.6795333333333</v>
      </c>
      <c r="D5320" s="2" t="s">
        <v>34</v>
      </c>
      <c r="E5320" s="2" t="s">
        <v>35276</v>
      </c>
      <c r="F5320" s="2">
        <v>274560</v>
      </c>
      <c r="G5320" s="3" t="str">
        <f>HYPERLINK("http://funmeta.oebiotech.com/network/274560", "http://funmeta.oebiotech.com/network/274560")</f>
        <v>http://funmeta.oebiotech.com/network/274560</v>
      </c>
      <c r="H5320" s="2"/>
      <c r="I5320" s="2">
        <v>64626</v>
      </c>
      <c r="J5320" s="2"/>
      <c r="K5320" s="2"/>
      <c r="L5320" s="2"/>
      <c r="M5320" s="2"/>
      <c r="N5320" s="2"/>
      <c r="O5320" s="2">
        <v>91746220</v>
      </c>
      <c r="P5320" s="2" t="s">
        <v>35277</v>
      </c>
      <c r="Q5320" s="2" t="s">
        <v>35278</v>
      </c>
      <c r="R5320" s="2" t="s">
        <v>35279</v>
      </c>
      <c r="S5320" s="2" t="s">
        <v>1677</v>
      </c>
      <c r="T5320" s="2" t="s">
        <v>1678</v>
      </c>
      <c r="U5320" s="2" t="s">
        <v>1679</v>
      </c>
      <c r="V5320" s="2" t="s">
        <v>59</v>
      </c>
      <c r="W5320" s="2">
        <v>47</v>
      </c>
      <c r="X5320" s="2">
        <v>39.9</v>
      </c>
      <c r="Y5320" s="2" t="s">
        <v>394</v>
      </c>
      <c r="Z5320" s="2" t="s">
        <v>35280</v>
      </c>
      <c r="AA5320" s="2">
        <v>-0.65717886964443195</v>
      </c>
      <c r="AB5320" s="2">
        <v>9.0513204359592703E-2</v>
      </c>
      <c r="AC5320" s="2">
        <v>9007.7575922146607</v>
      </c>
      <c r="AD5320" s="2">
        <v>10006.0695502334</v>
      </c>
      <c r="AE5320" s="2">
        <v>9766.9478508554603</v>
      </c>
      <c r="AF5320" s="2">
        <v>7896.5231480371303</v>
      </c>
      <c r="AG5320" s="2">
        <v>10025.8914482934</v>
      </c>
      <c r="AH5320" s="2">
        <v>7430.5964773516698</v>
      </c>
      <c r="AI5320" s="2">
        <v>9542.4584010908002</v>
      </c>
      <c r="AJ5320" s="2">
        <v>9384.1282276595302</v>
      </c>
      <c r="AK5320" s="2">
        <v>9891.6600952726003</v>
      </c>
      <c r="AL5320" s="2">
        <v>10625.3541478307</v>
      </c>
      <c r="AM5320" s="2">
        <v>9080.6921588231507</v>
      </c>
      <c r="AN5320" s="2">
        <v>9775.3211931579099</v>
      </c>
      <c r="AO5320" s="2">
        <v>10325.658631001999</v>
      </c>
      <c r="AP5320" s="2">
        <v>10337.731075314199</v>
      </c>
    </row>
    <row r="5321" spans="1:42" ht="14.5" x14ac:dyDescent="0.35">
      <c r="A5321" s="2" t="s">
        <v>35281</v>
      </c>
      <c r="B5321" s="2">
        <v>835.41166498643202</v>
      </c>
      <c r="C5321" s="2">
        <v>4.4359166666666701</v>
      </c>
      <c r="D5321" s="2" t="s">
        <v>70</v>
      </c>
      <c r="E5321" s="2" t="s">
        <v>35282</v>
      </c>
      <c r="F5321" s="2">
        <v>44599</v>
      </c>
      <c r="G5321" s="3" t="str">
        <f>HYPERLINK("http://funmeta.oebiotech.com/network/44599", "http://funmeta.oebiotech.com/network/44599")</f>
        <v>http://funmeta.oebiotech.com/network/44599</v>
      </c>
      <c r="H5321" s="2"/>
      <c r="I5321" s="2"/>
      <c r="J5321" s="2" t="s">
        <v>35283</v>
      </c>
      <c r="K5321" s="2"/>
      <c r="L5321" s="2"/>
      <c r="M5321" s="2"/>
      <c r="N5321" s="2"/>
      <c r="O5321" s="2">
        <v>44575935</v>
      </c>
      <c r="P5321" s="2"/>
      <c r="Q5321" s="2" t="s">
        <v>35284</v>
      </c>
      <c r="R5321" s="2" t="s">
        <v>35285</v>
      </c>
      <c r="S5321" s="2" t="s">
        <v>50</v>
      </c>
      <c r="T5321" s="2" t="s">
        <v>201</v>
      </c>
      <c r="U5321" s="2" t="s">
        <v>202</v>
      </c>
      <c r="V5321" s="2" t="s">
        <v>59</v>
      </c>
      <c r="W5321" s="2">
        <v>37.700000000000003</v>
      </c>
      <c r="X5321" s="2">
        <v>0</v>
      </c>
      <c r="Y5321" s="2" t="s">
        <v>792</v>
      </c>
      <c r="Z5321" s="2" t="s">
        <v>35286</v>
      </c>
      <c r="AA5321" s="2">
        <v>-0.591266756605627</v>
      </c>
      <c r="AB5321" s="2">
        <v>9.0340040887405507E-2</v>
      </c>
      <c r="AC5321" s="2">
        <v>23858.869151358602</v>
      </c>
      <c r="AD5321" s="2">
        <v>25857.401072516401</v>
      </c>
      <c r="AE5321" s="2">
        <v>24064.183075572499</v>
      </c>
      <c r="AF5321" s="2">
        <v>23315.695284541998</v>
      </c>
      <c r="AG5321" s="2">
        <v>21092.2533450921</v>
      </c>
      <c r="AH5321" s="2">
        <v>22024.491717294299</v>
      </c>
      <c r="AI5321" s="2">
        <v>31062.245459809201</v>
      </c>
      <c r="AJ5321" s="2">
        <v>21594.346025841802</v>
      </c>
      <c r="AK5321" s="2">
        <v>22300.724888830398</v>
      </c>
      <c r="AL5321" s="2">
        <v>23673.827417076202</v>
      </c>
      <c r="AM5321" s="2">
        <v>27793.380222845699</v>
      </c>
      <c r="AN5321" s="2">
        <v>24331.901318866101</v>
      </c>
      <c r="AO5321" s="2">
        <v>22771.459336742599</v>
      </c>
      <c r="AP5321" s="2">
        <v>34273.1132507375</v>
      </c>
    </row>
    <row r="5322" spans="1:42" ht="14.5" x14ac:dyDescent="0.35">
      <c r="A5322" s="2" t="s">
        <v>35287</v>
      </c>
      <c r="B5322" s="2">
        <v>471.326318762374</v>
      </c>
      <c r="C5322" s="2">
        <v>10.1634333333333</v>
      </c>
      <c r="D5322" s="2" t="s">
        <v>70</v>
      </c>
      <c r="E5322" s="2" t="s">
        <v>35288</v>
      </c>
      <c r="F5322" s="2">
        <v>55955</v>
      </c>
      <c r="G5322" s="3" t="str">
        <f>HYPERLINK("http://funmeta.oebiotech.com/network/55955", "http://funmeta.oebiotech.com/network/55955")</f>
        <v>http://funmeta.oebiotech.com/network/55955</v>
      </c>
      <c r="H5322" s="2" t="s">
        <v>35289</v>
      </c>
      <c r="I5322" s="2">
        <v>87634</v>
      </c>
      <c r="J5322" s="2"/>
      <c r="K5322" s="2">
        <v>176157</v>
      </c>
      <c r="L5322" s="2"/>
      <c r="M5322" s="2"/>
      <c r="N5322" s="2"/>
      <c r="O5322" s="2">
        <v>15285539</v>
      </c>
      <c r="P5322" s="2" t="s">
        <v>35290</v>
      </c>
      <c r="Q5322" s="2" t="s">
        <v>35291</v>
      </c>
      <c r="R5322" s="2" t="s">
        <v>35292</v>
      </c>
      <c r="S5322" s="2" t="s">
        <v>50</v>
      </c>
      <c r="T5322" s="2" t="s">
        <v>201</v>
      </c>
      <c r="U5322" s="2" t="s">
        <v>210</v>
      </c>
      <c r="V5322" s="2" t="s">
        <v>59</v>
      </c>
      <c r="W5322" s="2">
        <v>36</v>
      </c>
      <c r="X5322" s="2">
        <v>0</v>
      </c>
      <c r="Y5322" s="2" t="s">
        <v>118</v>
      </c>
      <c r="Z5322" s="2" t="s">
        <v>35293</v>
      </c>
      <c r="AA5322" s="2">
        <v>-1.1336378028512399</v>
      </c>
      <c r="AB5322" s="2">
        <v>9.0224635517866594E-2</v>
      </c>
      <c r="AC5322" s="2">
        <v>5093.0922797939002</v>
      </c>
      <c r="AD5322" s="2">
        <v>5794.0576077531896</v>
      </c>
      <c r="AE5322" s="2">
        <v>4649.6548625100904</v>
      </c>
      <c r="AF5322" s="2">
        <v>5433.5245372792397</v>
      </c>
      <c r="AG5322" s="2">
        <v>5140.6474421194698</v>
      </c>
      <c r="AH5322" s="2">
        <v>5383.8169560815004</v>
      </c>
      <c r="AI5322" s="2">
        <v>4957.42986713346</v>
      </c>
      <c r="AJ5322" s="2">
        <v>4993.4800136396498</v>
      </c>
      <c r="AK5322" s="2">
        <v>6288.2713707838302</v>
      </c>
      <c r="AL5322" s="2">
        <v>5703.2481947432998</v>
      </c>
      <c r="AM5322" s="2">
        <v>5458.3332458090899</v>
      </c>
      <c r="AN5322" s="2">
        <v>5889.9057313675103</v>
      </c>
      <c r="AO5322" s="2">
        <v>6055.3345651269801</v>
      </c>
      <c r="AP5322" s="2">
        <v>5369.2525386884099</v>
      </c>
    </row>
    <row r="5323" spans="1:42" ht="14.5" x14ac:dyDescent="0.35">
      <c r="A5323" s="2" t="s">
        <v>35294</v>
      </c>
      <c r="B5323" s="2">
        <v>232.00553781422499</v>
      </c>
      <c r="C5323" s="2">
        <v>1.5338499999999999</v>
      </c>
      <c r="D5323" s="2" t="s">
        <v>34</v>
      </c>
      <c r="E5323" s="2" t="s">
        <v>35295</v>
      </c>
      <c r="F5323" s="2">
        <v>267504</v>
      </c>
      <c r="G5323" s="3" t="str">
        <f>HYPERLINK("http://funmeta.oebiotech.com/network/267504", "http://funmeta.oebiotech.com/network/267504")</f>
        <v>http://funmeta.oebiotech.com/network/267504</v>
      </c>
      <c r="H5323" s="2"/>
      <c r="I5323" s="2">
        <v>45574</v>
      </c>
      <c r="J5323" s="2"/>
      <c r="K5323" s="2"/>
      <c r="L5323" s="2"/>
      <c r="M5323" s="2"/>
      <c r="N5323" s="2"/>
      <c r="O5323" s="2">
        <v>1269519</v>
      </c>
      <c r="P5323" s="2" t="s">
        <v>35296</v>
      </c>
      <c r="Q5323" s="2" t="s">
        <v>35297</v>
      </c>
      <c r="R5323" s="2" t="s">
        <v>35298</v>
      </c>
      <c r="S5323" s="2" t="s">
        <v>491</v>
      </c>
      <c r="T5323" s="2" t="s">
        <v>2429</v>
      </c>
      <c r="U5323" s="2" t="s">
        <v>41</v>
      </c>
      <c r="V5323" s="2" t="s">
        <v>59</v>
      </c>
      <c r="W5323" s="2">
        <v>37.200000000000003</v>
      </c>
      <c r="X5323" s="2">
        <v>0</v>
      </c>
      <c r="Y5323" s="2" t="s">
        <v>141</v>
      </c>
      <c r="Z5323" s="2" t="s">
        <v>35299</v>
      </c>
      <c r="AA5323" s="2">
        <v>-3.0225476003792902</v>
      </c>
      <c r="AB5323" s="2">
        <v>9.0177817512043595E-2</v>
      </c>
      <c r="AC5323" s="2">
        <v>3126.62917169513</v>
      </c>
      <c r="AD5323" s="2">
        <v>2418.7913322637201</v>
      </c>
      <c r="AE5323" s="2">
        <v>2741.19090667398</v>
      </c>
      <c r="AF5323" s="2">
        <v>3564.8077209695698</v>
      </c>
      <c r="AG5323" s="2">
        <v>2854.4644710628299</v>
      </c>
      <c r="AH5323" s="2">
        <v>3150.82374489726</v>
      </c>
      <c r="AI5323" s="2">
        <v>3244.9814900188198</v>
      </c>
      <c r="AJ5323" s="2">
        <v>3203.5066965483402</v>
      </c>
      <c r="AK5323" s="2">
        <v>2681.5686336635599</v>
      </c>
      <c r="AL5323" s="2">
        <v>2432.8149192374199</v>
      </c>
      <c r="AM5323" s="2">
        <v>2429.7162390274798</v>
      </c>
      <c r="AN5323" s="2">
        <v>2943.1630778120898</v>
      </c>
      <c r="AO5323" s="2">
        <v>2062.4474575202198</v>
      </c>
      <c r="AP5323" s="2">
        <v>1963.03766632154</v>
      </c>
    </row>
    <row r="5324" spans="1:42" ht="14.5" x14ac:dyDescent="0.35">
      <c r="A5324" s="2" t="s">
        <v>35300</v>
      </c>
      <c r="B5324" s="2">
        <v>121.065593284546</v>
      </c>
      <c r="C5324" s="2">
        <v>4.4886999999999997</v>
      </c>
      <c r="D5324" s="2" t="s">
        <v>70</v>
      </c>
      <c r="E5324" s="2" t="s">
        <v>35301</v>
      </c>
      <c r="F5324" s="2">
        <v>200885</v>
      </c>
      <c r="G5324" s="3" t="str">
        <f>HYPERLINK("http://funmeta.oebiotech.com/network/200885", "http://funmeta.oebiotech.com/network/200885")</f>
        <v>http://funmeta.oebiotech.com/network/200885</v>
      </c>
      <c r="H5324" s="2" t="s">
        <v>35302</v>
      </c>
      <c r="I5324" s="2">
        <v>70177</v>
      </c>
      <c r="J5324" s="2"/>
      <c r="K5324" s="2"/>
      <c r="L5324" s="2" t="s">
        <v>35303</v>
      </c>
      <c r="M5324" s="2" t="s">
        <v>28861</v>
      </c>
      <c r="N5324" s="2" t="s">
        <v>28862</v>
      </c>
      <c r="O5324" s="2">
        <v>7771</v>
      </c>
      <c r="P5324" s="2" t="s">
        <v>35304</v>
      </c>
      <c r="Q5324" s="2" t="s">
        <v>35305</v>
      </c>
      <c r="R5324" s="2" t="s">
        <v>35306</v>
      </c>
      <c r="S5324" s="2" t="s">
        <v>148</v>
      </c>
      <c r="T5324" s="2" t="s">
        <v>149</v>
      </c>
      <c r="U5324" s="2" t="s">
        <v>28806</v>
      </c>
      <c r="V5324" s="2" t="s">
        <v>59</v>
      </c>
      <c r="W5324" s="2">
        <v>40</v>
      </c>
      <c r="X5324" s="2">
        <v>8.0500000000000007</v>
      </c>
      <c r="Y5324" s="2" t="s">
        <v>118</v>
      </c>
      <c r="Z5324" s="2" t="s">
        <v>35307</v>
      </c>
      <c r="AA5324" s="2">
        <v>-2.4184161516753901</v>
      </c>
      <c r="AB5324" s="2">
        <v>9.0094175382552502E-2</v>
      </c>
      <c r="AC5324" s="2">
        <v>216.75810218291801</v>
      </c>
      <c r="AD5324" s="2">
        <v>772.354629782399</v>
      </c>
      <c r="AE5324" s="2">
        <v>179.79494565264699</v>
      </c>
      <c r="AF5324" s="2">
        <v>255.02966309220801</v>
      </c>
      <c r="AG5324" s="2">
        <v>292.30475776668698</v>
      </c>
      <c r="AH5324" s="2">
        <v>126.385285301414</v>
      </c>
      <c r="AI5324" s="2">
        <v>156.36581265623201</v>
      </c>
      <c r="AJ5324" s="2">
        <v>290.668148628322</v>
      </c>
      <c r="AK5324" s="2">
        <v>609.74566830639196</v>
      </c>
      <c r="AL5324" s="2">
        <v>763.084774047167</v>
      </c>
      <c r="AM5324" s="2">
        <v>883.17386675384398</v>
      </c>
      <c r="AN5324" s="2">
        <v>710.38609813891901</v>
      </c>
      <c r="AO5324" s="2">
        <v>798.58211288279301</v>
      </c>
      <c r="AP5324" s="2">
        <v>869.15525856527904</v>
      </c>
    </row>
    <row r="5325" spans="1:42" ht="14.5" x14ac:dyDescent="0.35">
      <c r="A5325" s="2" t="s">
        <v>35308</v>
      </c>
      <c r="B5325" s="2">
        <v>861.53299898990804</v>
      </c>
      <c r="C5325" s="2">
        <v>14.910600000000001</v>
      </c>
      <c r="D5325" s="2" t="s">
        <v>70</v>
      </c>
      <c r="E5325" s="2" t="s">
        <v>35309</v>
      </c>
      <c r="F5325" s="2">
        <v>222661</v>
      </c>
      <c r="G5325" s="3" t="str">
        <f>HYPERLINK("http://funmeta.oebiotech.com/network/222661", "http://funmeta.oebiotech.com/network/222661")</f>
        <v>http://funmeta.oebiotech.com/network/222661</v>
      </c>
      <c r="H5325" s="2" t="s">
        <v>35310</v>
      </c>
      <c r="I5325" s="2"/>
      <c r="J5325" s="2"/>
      <c r="K5325" s="2"/>
      <c r="L5325" s="2"/>
      <c r="M5325" s="2"/>
      <c r="N5325" s="2"/>
      <c r="O5325" s="2"/>
      <c r="P5325" s="2"/>
      <c r="Q5325" s="2" t="s">
        <v>35311</v>
      </c>
      <c r="R5325" s="2" t="s">
        <v>35312</v>
      </c>
      <c r="S5325" s="2" t="s">
        <v>41</v>
      </c>
      <c r="T5325" s="2" t="s">
        <v>41</v>
      </c>
      <c r="U5325" s="2" t="s">
        <v>41</v>
      </c>
      <c r="V5325" s="2" t="s">
        <v>59</v>
      </c>
      <c r="W5325" s="2">
        <v>37.6</v>
      </c>
      <c r="X5325" s="2">
        <v>0</v>
      </c>
      <c r="Y5325" s="2" t="s">
        <v>751</v>
      </c>
      <c r="Z5325" s="2" t="s">
        <v>35313</v>
      </c>
      <c r="AA5325" s="2">
        <v>4.8554473890794201</v>
      </c>
      <c r="AB5325" s="2">
        <v>9.0093959853568703E-2</v>
      </c>
      <c r="AC5325" s="2">
        <v>7274.8503267265596</v>
      </c>
      <c r="AD5325" s="2">
        <v>6397.6639422669296</v>
      </c>
      <c r="AE5325" s="2">
        <v>6674.1616845273802</v>
      </c>
      <c r="AF5325" s="2">
        <v>6649.0109491815301</v>
      </c>
      <c r="AG5325" s="2">
        <v>6728.5818418015597</v>
      </c>
      <c r="AH5325" s="2">
        <v>7823.53387999612</v>
      </c>
      <c r="AI5325" s="2">
        <v>7598.3116779777401</v>
      </c>
      <c r="AJ5325" s="2">
        <v>8175.5019268750202</v>
      </c>
      <c r="AK5325" s="2">
        <v>6459.0945140703097</v>
      </c>
      <c r="AL5325" s="2">
        <v>5678.2880652556896</v>
      </c>
      <c r="AM5325" s="2">
        <v>5838.6884643518397</v>
      </c>
      <c r="AN5325" s="2">
        <v>6800.2098845404598</v>
      </c>
      <c r="AO5325" s="2">
        <v>6507.6781790164996</v>
      </c>
      <c r="AP5325" s="2">
        <v>7102.0245463667798</v>
      </c>
    </row>
    <row r="5326" spans="1:42" ht="14.5" x14ac:dyDescent="0.35">
      <c r="A5326" s="2" t="s">
        <v>35314</v>
      </c>
      <c r="B5326" s="2">
        <v>505.13192608837397</v>
      </c>
      <c r="C5326" s="2">
        <v>4.2777833333333302</v>
      </c>
      <c r="D5326" s="2" t="s">
        <v>34</v>
      </c>
      <c r="E5326" s="2" t="s">
        <v>35315</v>
      </c>
      <c r="F5326" s="2">
        <v>29553</v>
      </c>
      <c r="G5326" s="3" t="str">
        <f>HYPERLINK("http://funmeta.oebiotech.com/network/29553", "http://funmeta.oebiotech.com/network/29553")</f>
        <v>http://funmeta.oebiotech.com/network/29553</v>
      </c>
      <c r="H5326" s="2"/>
      <c r="I5326" s="2">
        <v>43629</v>
      </c>
      <c r="J5326" s="2" t="s">
        <v>35316</v>
      </c>
      <c r="K5326" s="2">
        <v>5963</v>
      </c>
      <c r="L5326" s="2" t="s">
        <v>35317</v>
      </c>
      <c r="M5326" s="2"/>
      <c r="N5326" s="2"/>
      <c r="O5326" s="2">
        <v>5281777</v>
      </c>
      <c r="P5326" s="2"/>
      <c r="Q5326" s="2" t="s">
        <v>35318</v>
      </c>
      <c r="R5326" s="2" t="s">
        <v>35319</v>
      </c>
      <c r="S5326" s="2" t="s">
        <v>115</v>
      </c>
      <c r="T5326" s="2" t="s">
        <v>1371</v>
      </c>
      <c r="U5326" s="2" t="s">
        <v>1372</v>
      </c>
      <c r="V5326" s="2" t="s">
        <v>59</v>
      </c>
      <c r="W5326" s="2">
        <v>36.5</v>
      </c>
      <c r="X5326" s="2">
        <v>0</v>
      </c>
      <c r="Y5326" s="2" t="s">
        <v>141</v>
      </c>
      <c r="Z5326" s="2" t="s">
        <v>35320</v>
      </c>
      <c r="AA5326" s="2">
        <v>-4.0727784807631098</v>
      </c>
      <c r="AB5326" s="2">
        <v>9.0087568722372002E-2</v>
      </c>
      <c r="AC5326" s="2">
        <v>9254.8367109867595</v>
      </c>
      <c r="AD5326" s="2">
        <v>10499.2086221028</v>
      </c>
      <c r="AE5326" s="2">
        <v>8446.2752075493008</v>
      </c>
      <c r="AF5326" s="2">
        <v>8124.73758192268</v>
      </c>
      <c r="AG5326" s="2">
        <v>11773.105973456501</v>
      </c>
      <c r="AH5326" s="2">
        <v>7863.9505460821001</v>
      </c>
      <c r="AI5326" s="2">
        <v>8692.1640263501995</v>
      </c>
      <c r="AJ5326" s="2">
        <v>10628.7869305598</v>
      </c>
      <c r="AK5326" s="2">
        <v>12607.772117591499</v>
      </c>
      <c r="AL5326" s="2">
        <v>10252.098264529001</v>
      </c>
      <c r="AM5326" s="2">
        <v>10651.060406009599</v>
      </c>
      <c r="AN5326" s="2">
        <v>10530.7277365312</v>
      </c>
      <c r="AO5326" s="2">
        <v>8744.8299653620707</v>
      </c>
      <c r="AP5326" s="2">
        <v>10208.763242593601</v>
      </c>
    </row>
    <row r="5327" spans="1:42" ht="14.5" x14ac:dyDescent="0.35">
      <c r="A5327" s="2" t="s">
        <v>35321</v>
      </c>
      <c r="B5327" s="2">
        <v>787.22782115258894</v>
      </c>
      <c r="C5327" s="2">
        <v>4.1584500000000002</v>
      </c>
      <c r="D5327" s="2" t="s">
        <v>34</v>
      </c>
      <c r="E5327" s="2" t="s">
        <v>35322</v>
      </c>
      <c r="F5327" s="2">
        <v>61676</v>
      </c>
      <c r="G5327" s="3" t="str">
        <f>HYPERLINK("http://funmeta.oebiotech.com/network/61676", "http://funmeta.oebiotech.com/network/61676")</f>
        <v>http://funmeta.oebiotech.com/network/61676</v>
      </c>
      <c r="H5327" s="2" t="s">
        <v>35323</v>
      </c>
      <c r="I5327" s="2">
        <v>92979</v>
      </c>
      <c r="J5327" s="2"/>
      <c r="K5327" s="2"/>
      <c r="L5327" s="2"/>
      <c r="M5327" s="2"/>
      <c r="N5327" s="2"/>
      <c r="O5327" s="2">
        <v>14309660</v>
      </c>
      <c r="P5327" s="2"/>
      <c r="Q5327" s="2" t="s">
        <v>35324</v>
      </c>
      <c r="R5327" s="2" t="s">
        <v>35325</v>
      </c>
      <c r="S5327" s="2" t="s">
        <v>115</v>
      </c>
      <c r="T5327" s="2" t="s">
        <v>139</v>
      </c>
      <c r="U5327" s="2" t="s">
        <v>140</v>
      </c>
      <c r="V5327" s="2" t="s">
        <v>59</v>
      </c>
      <c r="W5327" s="2">
        <v>36.4</v>
      </c>
      <c r="X5327" s="2">
        <v>0</v>
      </c>
      <c r="Y5327" s="2" t="s">
        <v>394</v>
      </c>
      <c r="Z5327" s="2" t="s">
        <v>35326</v>
      </c>
      <c r="AA5327" s="2">
        <v>-1.6708224232205799</v>
      </c>
      <c r="AB5327" s="2">
        <v>8.9972001247256406E-2</v>
      </c>
      <c r="AC5327" s="2">
        <v>5119.0479491360502</v>
      </c>
      <c r="AD5327" s="2">
        <v>3617.3554255714198</v>
      </c>
      <c r="AE5327" s="2">
        <v>4122.8689616477504</v>
      </c>
      <c r="AF5327" s="2">
        <v>5693.6064817565002</v>
      </c>
      <c r="AG5327" s="2">
        <v>4503.3707538119097</v>
      </c>
      <c r="AH5327" s="2">
        <v>2802.8478215871501</v>
      </c>
      <c r="AI5327" s="2">
        <v>4639.1334363568803</v>
      </c>
      <c r="AJ5327" s="2">
        <v>8952.4602396561095</v>
      </c>
      <c r="AK5327" s="2">
        <v>6392.9017787542998</v>
      </c>
      <c r="AL5327" s="2">
        <v>5754.0264024777098</v>
      </c>
      <c r="AM5327" s="2">
        <v>2.7106294003980101E-5</v>
      </c>
      <c r="AN5327" s="2">
        <v>3324.1501847648201</v>
      </c>
      <c r="AO5327" s="2">
        <v>2205.8995670327799</v>
      </c>
      <c r="AP5327" s="2">
        <v>4027.1545932926401</v>
      </c>
    </row>
    <row r="5328" spans="1:42" ht="14.5" x14ac:dyDescent="0.35">
      <c r="A5328" s="2" t="s">
        <v>35327</v>
      </c>
      <c r="B5328" s="2">
        <v>706.26373752486097</v>
      </c>
      <c r="C5328" s="2">
        <v>10.661899999999999</v>
      </c>
      <c r="D5328" s="2" t="s">
        <v>70</v>
      </c>
      <c r="E5328" s="2" t="s">
        <v>35328</v>
      </c>
      <c r="F5328" s="2">
        <v>210029</v>
      </c>
      <c r="G5328" s="3" t="str">
        <f>HYPERLINK("http://funmeta.oebiotech.com/network/210029", "http://funmeta.oebiotech.com/network/210029")</f>
        <v>http://funmeta.oebiotech.com/network/210029</v>
      </c>
      <c r="H5328" s="2" t="s">
        <v>35329</v>
      </c>
      <c r="I5328" s="2"/>
      <c r="J5328" s="2"/>
      <c r="K5328" s="2"/>
      <c r="L5328" s="2"/>
      <c r="M5328" s="2"/>
      <c r="N5328" s="2"/>
      <c r="O5328" s="2">
        <v>68231172</v>
      </c>
      <c r="P5328" s="2"/>
      <c r="Q5328" s="2" t="s">
        <v>35330</v>
      </c>
      <c r="R5328" s="2" t="s">
        <v>35331</v>
      </c>
      <c r="S5328" s="2" t="s">
        <v>41</v>
      </c>
      <c r="T5328" s="2" t="s">
        <v>41</v>
      </c>
      <c r="U5328" s="2" t="s">
        <v>41</v>
      </c>
      <c r="V5328" s="2" t="s">
        <v>59</v>
      </c>
      <c r="W5328" s="2">
        <v>37.5</v>
      </c>
      <c r="X5328" s="2">
        <v>0</v>
      </c>
      <c r="Y5328" s="2" t="s">
        <v>751</v>
      </c>
      <c r="Z5328" s="2" t="s">
        <v>35332</v>
      </c>
      <c r="AA5328" s="2">
        <v>-4.6464038648423003</v>
      </c>
      <c r="AB5328" s="2">
        <v>8.9971570772262394E-2</v>
      </c>
      <c r="AC5328" s="2">
        <v>1535.70736678658</v>
      </c>
      <c r="AD5328" s="2">
        <v>2392.53503725167</v>
      </c>
      <c r="AE5328" s="2">
        <v>2534.7502895846501</v>
      </c>
      <c r="AF5328" s="2">
        <v>1660.08827398226</v>
      </c>
      <c r="AG5328" s="2">
        <v>2157.0064615351498</v>
      </c>
      <c r="AH5328" s="2">
        <v>1028.85056043283</v>
      </c>
      <c r="AI5328" s="2">
        <v>1025.74491909887</v>
      </c>
      <c r="AJ5328" s="2">
        <v>807.80369608574904</v>
      </c>
      <c r="AK5328" s="2">
        <v>2390.541889784</v>
      </c>
      <c r="AL5328" s="2">
        <v>2731.4928778897101</v>
      </c>
      <c r="AM5328" s="2">
        <v>2526.8935811533302</v>
      </c>
      <c r="AN5328" s="2">
        <v>1729.5516407016901</v>
      </c>
      <c r="AO5328" s="2">
        <v>2118.4014159508502</v>
      </c>
      <c r="AP5328" s="2">
        <v>2858.3288180304298</v>
      </c>
    </row>
    <row r="5329" spans="1:42" ht="14.5" x14ac:dyDescent="0.35">
      <c r="A5329" s="2" t="s">
        <v>35333</v>
      </c>
      <c r="B5329" s="2">
        <v>287.09011964592997</v>
      </c>
      <c r="C5329" s="2">
        <v>1.4463666666666699</v>
      </c>
      <c r="D5329" s="2" t="s">
        <v>70</v>
      </c>
      <c r="E5329" s="2" t="s">
        <v>35334</v>
      </c>
      <c r="F5329" s="2">
        <v>46969</v>
      </c>
      <c r="G5329" s="3" t="str">
        <f>HYPERLINK("http://funmeta.oebiotech.com/network/46969", "http://funmeta.oebiotech.com/network/46969")</f>
        <v>http://funmeta.oebiotech.com/network/46969</v>
      </c>
      <c r="H5329" s="2" t="s">
        <v>35335</v>
      </c>
      <c r="I5329" s="2">
        <v>3375</v>
      </c>
      <c r="J5329" s="2"/>
      <c r="K5329" s="2">
        <v>17748</v>
      </c>
      <c r="L5329" s="2" t="s">
        <v>35336</v>
      </c>
      <c r="M5329" s="2" t="s">
        <v>15342</v>
      </c>
      <c r="N5329" s="2" t="s">
        <v>15343</v>
      </c>
      <c r="O5329" s="2">
        <v>5789</v>
      </c>
      <c r="P5329" s="2" t="s">
        <v>35337</v>
      </c>
      <c r="Q5329" s="2" t="s">
        <v>35338</v>
      </c>
      <c r="R5329" s="2" t="s">
        <v>35339</v>
      </c>
      <c r="S5329" s="2" t="s">
        <v>1444</v>
      </c>
      <c r="T5329" s="2" t="s">
        <v>10689</v>
      </c>
      <c r="U5329" s="2" t="s">
        <v>10690</v>
      </c>
      <c r="V5329" s="2" t="s">
        <v>59</v>
      </c>
      <c r="W5329" s="2">
        <v>37</v>
      </c>
      <c r="X5329" s="2">
        <v>0</v>
      </c>
      <c r="Y5329" s="2" t="s">
        <v>408</v>
      </c>
      <c r="Z5329" s="2" t="s">
        <v>35340</v>
      </c>
      <c r="AA5329" s="2">
        <v>6.7958928666057998</v>
      </c>
      <c r="AB5329" s="2">
        <v>8.9928862763378206E-2</v>
      </c>
      <c r="AC5329" s="2">
        <v>7179.4183825400796</v>
      </c>
      <c r="AD5329" s="2">
        <v>6230.4308480168702</v>
      </c>
      <c r="AE5329" s="2">
        <v>7032.3997371058504</v>
      </c>
      <c r="AF5329" s="2">
        <v>6980.5914450051196</v>
      </c>
      <c r="AG5329" s="2">
        <v>6350.6109606927403</v>
      </c>
      <c r="AH5329" s="2">
        <v>7561.12931418273</v>
      </c>
      <c r="AI5329" s="2">
        <v>7782.0896684665904</v>
      </c>
      <c r="AJ5329" s="2">
        <v>7369.6891697874398</v>
      </c>
      <c r="AK5329" s="2">
        <v>6234.8455282842096</v>
      </c>
      <c r="AL5329" s="2">
        <v>5044.1727018289703</v>
      </c>
      <c r="AM5329" s="2">
        <v>7509.9605350544298</v>
      </c>
      <c r="AN5329" s="2">
        <v>5439.12960108875</v>
      </c>
      <c r="AO5329" s="2">
        <v>6099.9365954692603</v>
      </c>
      <c r="AP5329" s="2">
        <v>7054.5401263756103</v>
      </c>
    </row>
    <row r="5330" spans="1:42" ht="14.5" x14ac:dyDescent="0.35">
      <c r="A5330" s="2" t="s">
        <v>35341</v>
      </c>
      <c r="B5330" s="2">
        <v>437.25449667603198</v>
      </c>
      <c r="C5330" s="2">
        <v>10.661899999999999</v>
      </c>
      <c r="D5330" s="2" t="s">
        <v>70</v>
      </c>
      <c r="E5330" s="2" t="s">
        <v>35342</v>
      </c>
      <c r="F5330" s="2">
        <v>267513</v>
      </c>
      <c r="G5330" s="3" t="str">
        <f>HYPERLINK("http://funmeta.oebiotech.com/network/267513", "http://funmeta.oebiotech.com/network/267513")</f>
        <v>http://funmeta.oebiotech.com/network/267513</v>
      </c>
      <c r="H5330" s="2"/>
      <c r="I5330" s="2">
        <v>45593</v>
      </c>
      <c r="J5330" s="2"/>
      <c r="K5330" s="2"/>
      <c r="L5330" s="2"/>
      <c r="M5330" s="2"/>
      <c r="N5330" s="2"/>
      <c r="O5330" s="2">
        <v>53394154</v>
      </c>
      <c r="P5330" s="2" t="s">
        <v>35343</v>
      </c>
      <c r="Q5330" s="2" t="s">
        <v>35344</v>
      </c>
      <c r="R5330" s="2" t="s">
        <v>35345</v>
      </c>
      <c r="S5330" s="2" t="s">
        <v>50</v>
      </c>
      <c r="T5330" s="2" t="s">
        <v>229</v>
      </c>
      <c r="U5330" s="2" t="s">
        <v>766</v>
      </c>
      <c r="V5330" s="2" t="s">
        <v>59</v>
      </c>
      <c r="W5330" s="2">
        <v>37.9</v>
      </c>
      <c r="X5330" s="2">
        <v>0</v>
      </c>
      <c r="Y5330" s="2" t="s">
        <v>408</v>
      </c>
      <c r="Z5330" s="2" t="s">
        <v>35346</v>
      </c>
      <c r="AA5330" s="2">
        <v>4.9849328920192802E-2</v>
      </c>
      <c r="AB5330" s="2">
        <v>8.9716495316216893E-2</v>
      </c>
      <c r="AC5330" s="2">
        <v>2951.77667993552</v>
      </c>
      <c r="AD5330" s="2">
        <v>2156.4292563556101</v>
      </c>
      <c r="AE5330" s="2">
        <v>3678.3498785409802</v>
      </c>
      <c r="AF5330" s="2">
        <v>2716.5323194673801</v>
      </c>
      <c r="AG5330" s="2">
        <v>2346.4927037024599</v>
      </c>
      <c r="AH5330" s="2">
        <v>3115.8354283179001</v>
      </c>
      <c r="AI5330" s="2">
        <v>2981.85948791287</v>
      </c>
      <c r="AJ5330" s="2">
        <v>2871.5902616715398</v>
      </c>
      <c r="AK5330" s="2">
        <v>1402.0677436701901</v>
      </c>
      <c r="AL5330" s="2">
        <v>1722.8125029252601</v>
      </c>
      <c r="AM5330" s="2">
        <v>2416.95550027116</v>
      </c>
      <c r="AN5330" s="2">
        <v>2083.9104444837799</v>
      </c>
      <c r="AO5330" s="2">
        <v>2523.0328904877001</v>
      </c>
      <c r="AP5330" s="2">
        <v>2789.7964562955399</v>
      </c>
    </row>
    <row r="5331" spans="1:42" ht="14.5" x14ac:dyDescent="0.35">
      <c r="A5331" s="2" t="s">
        <v>35347</v>
      </c>
      <c r="B5331" s="2">
        <v>937.43815450577199</v>
      </c>
      <c r="C5331" s="2">
        <v>4.3791333333333302</v>
      </c>
      <c r="D5331" s="2" t="s">
        <v>34</v>
      </c>
      <c r="E5331" s="2" t="s">
        <v>35348</v>
      </c>
      <c r="F5331" s="2">
        <v>52373</v>
      </c>
      <c r="G5331" s="3" t="str">
        <f>HYPERLINK("http://funmeta.oebiotech.com/network/52373", "http://funmeta.oebiotech.com/network/52373")</f>
        <v>http://funmeta.oebiotech.com/network/52373</v>
      </c>
      <c r="H5331" s="2" t="s">
        <v>35349</v>
      </c>
      <c r="I5331" s="2"/>
      <c r="J5331" s="2"/>
      <c r="K5331" s="2"/>
      <c r="L5331" s="2"/>
      <c r="M5331" s="2"/>
      <c r="N5331" s="2"/>
      <c r="O5331" s="2">
        <v>53481879</v>
      </c>
      <c r="P5331" s="2"/>
      <c r="Q5331" s="2" t="s">
        <v>35350</v>
      </c>
      <c r="R5331" s="2" t="s">
        <v>35351</v>
      </c>
      <c r="S5331" s="2" t="s">
        <v>50</v>
      </c>
      <c r="T5331" s="2" t="s">
        <v>51</v>
      </c>
      <c r="U5331" s="2" t="s">
        <v>1989</v>
      </c>
      <c r="V5331" s="2" t="s">
        <v>59</v>
      </c>
      <c r="W5331" s="2">
        <v>36.1</v>
      </c>
      <c r="X5331" s="2">
        <v>0</v>
      </c>
      <c r="Y5331" s="2" t="s">
        <v>340</v>
      </c>
      <c r="Z5331" s="2" t="s">
        <v>35352</v>
      </c>
      <c r="AA5331" s="2">
        <v>-1.2458047660395</v>
      </c>
      <c r="AB5331" s="2">
        <v>8.9678426961420699E-2</v>
      </c>
      <c r="AC5331" s="2">
        <v>6373.0403659214699</v>
      </c>
      <c r="AD5331" s="2">
        <v>4729.1650969853899</v>
      </c>
      <c r="AE5331" s="2">
        <v>2915.7091777983401</v>
      </c>
      <c r="AF5331" s="2">
        <v>6103.3338162995396</v>
      </c>
      <c r="AG5331" s="2">
        <v>4105.1109610609001</v>
      </c>
      <c r="AH5331" s="2">
        <v>11679.4998706357</v>
      </c>
      <c r="AI5331" s="2">
        <v>4410.4484611110802</v>
      </c>
      <c r="AJ5331" s="2">
        <v>9024.1399086232304</v>
      </c>
      <c r="AK5331" s="2">
        <v>5354.6543780245802</v>
      </c>
      <c r="AL5331" s="2">
        <v>7982.8814910535402</v>
      </c>
      <c r="AM5331" s="2">
        <v>3315.2603343934802</v>
      </c>
      <c r="AN5331" s="2">
        <v>3502.2704360017301</v>
      </c>
      <c r="AO5331" s="2">
        <v>5011.6630508121098</v>
      </c>
      <c r="AP5331" s="2">
        <v>3208.26089162689</v>
      </c>
    </row>
    <row r="5332" spans="1:42" ht="14.5" x14ac:dyDescent="0.35">
      <c r="A5332" s="2" t="s">
        <v>35353</v>
      </c>
      <c r="B5332" s="2">
        <v>467.08028470494401</v>
      </c>
      <c r="C5332" s="2">
        <v>4.3994166666666699</v>
      </c>
      <c r="D5332" s="2" t="s">
        <v>70</v>
      </c>
      <c r="E5332" s="2" t="s">
        <v>35354</v>
      </c>
      <c r="F5332" s="2">
        <v>47406</v>
      </c>
      <c r="G5332" s="3" t="str">
        <f>HYPERLINK("http://funmeta.oebiotech.com/network/47406", "http://funmeta.oebiotech.com/network/47406")</f>
        <v>http://funmeta.oebiotech.com/network/47406</v>
      </c>
      <c r="H5332" s="2" t="s">
        <v>35355</v>
      </c>
      <c r="I5332" s="2">
        <v>6019</v>
      </c>
      <c r="J5332" s="2"/>
      <c r="K5332" s="2">
        <v>18283</v>
      </c>
      <c r="L5332" s="2" t="s">
        <v>35356</v>
      </c>
      <c r="M5332" s="2" t="s">
        <v>35357</v>
      </c>
      <c r="N5332" s="2" t="s">
        <v>35358</v>
      </c>
      <c r="O5332" s="2">
        <v>122336</v>
      </c>
      <c r="P5332" s="2" t="s">
        <v>35359</v>
      </c>
      <c r="Q5332" s="2" t="s">
        <v>35360</v>
      </c>
      <c r="R5332" s="2" t="s">
        <v>35361</v>
      </c>
      <c r="S5332" s="2" t="s">
        <v>79</v>
      </c>
      <c r="T5332" s="2" t="s">
        <v>80</v>
      </c>
      <c r="U5332" s="2" t="s">
        <v>81</v>
      </c>
      <c r="V5332" s="2" t="s">
        <v>59</v>
      </c>
      <c r="W5332" s="2">
        <v>37.5</v>
      </c>
      <c r="X5332" s="2">
        <v>0</v>
      </c>
      <c r="Y5332" s="2" t="s">
        <v>286</v>
      </c>
      <c r="Z5332" s="2" t="s">
        <v>35362</v>
      </c>
      <c r="AA5332" s="2">
        <v>-1.09032347906894</v>
      </c>
      <c r="AB5332" s="2">
        <v>8.9565009527164702E-2</v>
      </c>
      <c r="AC5332" s="2">
        <v>3308.1898919353398</v>
      </c>
      <c r="AD5332" s="2">
        <v>2361.3853046098502</v>
      </c>
      <c r="AE5332" s="2">
        <v>3313.0271165272902</v>
      </c>
      <c r="AF5332" s="2">
        <v>2883.0287363780699</v>
      </c>
      <c r="AG5332" s="2">
        <v>3222.3095267866502</v>
      </c>
      <c r="AH5332" s="2">
        <v>3436.1225628156599</v>
      </c>
      <c r="AI5332" s="2">
        <v>4427.6803327929601</v>
      </c>
      <c r="AJ5332" s="2">
        <v>2566.9710763114099</v>
      </c>
      <c r="AK5332" s="2">
        <v>2003.35993443596</v>
      </c>
      <c r="AL5332" s="2">
        <v>1388.3274402077</v>
      </c>
      <c r="AM5332" s="2">
        <v>2195.3006965268701</v>
      </c>
      <c r="AN5332" s="2">
        <v>1782.1681737813699</v>
      </c>
      <c r="AO5332" s="2">
        <v>3176.9819586553799</v>
      </c>
      <c r="AP5332" s="2">
        <v>3622.1736240518399</v>
      </c>
    </row>
    <row r="5333" spans="1:42" ht="14.5" x14ac:dyDescent="0.35">
      <c r="A5333" s="2" t="s">
        <v>35363</v>
      </c>
      <c r="B5333" s="2">
        <v>897.20867781736899</v>
      </c>
      <c r="C5333" s="2">
        <v>4.1337999999999999</v>
      </c>
      <c r="D5333" s="2" t="s">
        <v>70</v>
      </c>
      <c r="E5333" s="2" t="s">
        <v>35364</v>
      </c>
      <c r="F5333" s="2">
        <v>28483</v>
      </c>
      <c r="G5333" s="3" t="str">
        <f>HYPERLINK("http://funmeta.oebiotech.com/network/28483", "http://funmeta.oebiotech.com/network/28483")</f>
        <v>http://funmeta.oebiotech.com/network/28483</v>
      </c>
      <c r="H5333" s="2" t="s">
        <v>35365</v>
      </c>
      <c r="I5333" s="2"/>
      <c r="J5333" s="2" t="s">
        <v>35366</v>
      </c>
      <c r="K5333" s="2">
        <v>28426</v>
      </c>
      <c r="L5333" s="2" t="s">
        <v>35367</v>
      </c>
      <c r="M5333" s="2" t="s">
        <v>9499</v>
      </c>
      <c r="N5333" s="2" t="s">
        <v>9500</v>
      </c>
      <c r="O5333" s="2">
        <v>441667</v>
      </c>
      <c r="P5333" s="2" t="s">
        <v>35368</v>
      </c>
      <c r="Q5333" s="2" t="s">
        <v>35369</v>
      </c>
      <c r="R5333" s="2" t="s">
        <v>35370</v>
      </c>
      <c r="S5333" s="2" t="s">
        <v>115</v>
      </c>
      <c r="T5333" s="2" t="s">
        <v>139</v>
      </c>
      <c r="U5333" s="2" t="s">
        <v>140</v>
      </c>
      <c r="V5333" s="2" t="s">
        <v>59</v>
      </c>
      <c r="W5333" s="2">
        <v>37.6</v>
      </c>
      <c r="X5333" s="2">
        <v>0</v>
      </c>
      <c r="Y5333" s="2" t="s">
        <v>560</v>
      </c>
      <c r="Z5333" s="2" t="s">
        <v>35371</v>
      </c>
      <c r="AA5333" s="2">
        <v>-0.91150367739803495</v>
      </c>
      <c r="AB5333" s="2">
        <v>8.9506083735509098E-2</v>
      </c>
      <c r="AC5333" s="2">
        <v>15835.9613290786</v>
      </c>
      <c r="AD5333" s="2">
        <v>14453.813558976</v>
      </c>
      <c r="AE5333" s="2">
        <v>15739.8665330123</v>
      </c>
      <c r="AF5333" s="2">
        <v>17098.9049549304</v>
      </c>
      <c r="AG5333" s="2">
        <v>14694.2295169679</v>
      </c>
      <c r="AH5333" s="2">
        <v>15151.513887867201</v>
      </c>
      <c r="AI5333" s="2">
        <v>14607.2992092761</v>
      </c>
      <c r="AJ5333" s="2">
        <v>17723.953872417602</v>
      </c>
      <c r="AK5333" s="2">
        <v>10893.036899336599</v>
      </c>
      <c r="AL5333" s="2">
        <v>13813.652831404101</v>
      </c>
      <c r="AM5333" s="2">
        <v>13255.805572392401</v>
      </c>
      <c r="AN5333" s="2">
        <v>15821.716660632301</v>
      </c>
      <c r="AO5333" s="2">
        <v>15710.7186877858</v>
      </c>
      <c r="AP5333" s="2">
        <v>17227.950702304501</v>
      </c>
    </row>
    <row r="5334" spans="1:42" ht="14.5" x14ac:dyDescent="0.35">
      <c r="A5334" s="2" t="s">
        <v>35372</v>
      </c>
      <c r="B5334" s="2">
        <v>317.26842592602901</v>
      </c>
      <c r="C5334" s="2">
        <v>4.8173500000000002</v>
      </c>
      <c r="D5334" s="2" t="s">
        <v>34</v>
      </c>
      <c r="E5334" s="2" t="s">
        <v>35373</v>
      </c>
      <c r="F5334" s="2">
        <v>51355</v>
      </c>
      <c r="G5334" s="3" t="str">
        <f>HYPERLINK("http://funmeta.oebiotech.com/network/51355", "http://funmeta.oebiotech.com/network/51355")</f>
        <v>http://funmeta.oebiotech.com/network/51355</v>
      </c>
      <c r="H5334" s="2" t="s">
        <v>35374</v>
      </c>
      <c r="I5334" s="2">
        <v>62316</v>
      </c>
      <c r="J5334" s="2"/>
      <c r="K5334" s="2"/>
      <c r="L5334" s="2"/>
      <c r="M5334" s="2"/>
      <c r="N5334" s="2"/>
      <c r="O5334" s="2">
        <v>537297</v>
      </c>
      <c r="P5334" s="2"/>
      <c r="Q5334" s="2" t="s">
        <v>35375</v>
      </c>
      <c r="R5334" s="2" t="s">
        <v>35376</v>
      </c>
      <c r="S5334" s="2" t="s">
        <v>50</v>
      </c>
      <c r="T5334" s="2" t="s">
        <v>448</v>
      </c>
      <c r="U5334" s="2" t="s">
        <v>7051</v>
      </c>
      <c r="V5334" s="2" t="s">
        <v>59</v>
      </c>
      <c r="W5334" s="2">
        <v>38.1</v>
      </c>
      <c r="X5334" s="2">
        <v>0</v>
      </c>
      <c r="Y5334" s="2" t="s">
        <v>394</v>
      </c>
      <c r="Z5334" s="2" t="s">
        <v>27089</v>
      </c>
      <c r="AA5334" s="2">
        <v>-0.66444643051520402</v>
      </c>
      <c r="AB5334" s="2">
        <v>8.9480530617290305E-2</v>
      </c>
      <c r="AC5334" s="2">
        <v>2972.4783176177398</v>
      </c>
      <c r="AD5334" s="2">
        <v>2038.3906095939401</v>
      </c>
      <c r="AE5334" s="2">
        <v>2923.22358821133</v>
      </c>
      <c r="AF5334" s="2">
        <v>1719.3189726487799</v>
      </c>
      <c r="AG5334" s="2">
        <v>2891.7948121987602</v>
      </c>
      <c r="AH5334" s="2">
        <v>2963.26218885158</v>
      </c>
      <c r="AI5334" s="2">
        <v>3217.8174016129301</v>
      </c>
      <c r="AJ5334" s="2">
        <v>4119.4529421830703</v>
      </c>
      <c r="AK5334" s="2">
        <v>2563.4482433376602</v>
      </c>
      <c r="AL5334" s="2">
        <v>2363.5906893643501</v>
      </c>
      <c r="AM5334" s="2">
        <v>2308.9124660194202</v>
      </c>
      <c r="AN5334" s="2">
        <v>1786.9759871011399</v>
      </c>
      <c r="AO5334" s="2">
        <v>665.98194730290697</v>
      </c>
      <c r="AP5334" s="2">
        <v>2541.4343244381898</v>
      </c>
    </row>
    <row r="5335" spans="1:42" ht="14.5" x14ac:dyDescent="0.35">
      <c r="A5335" s="2" t="s">
        <v>35377</v>
      </c>
      <c r="B5335" s="2">
        <v>185.07087317581099</v>
      </c>
      <c r="C5335" s="2">
        <v>4.8488333333333298</v>
      </c>
      <c r="D5335" s="2" t="s">
        <v>34</v>
      </c>
      <c r="E5335" s="2" t="s">
        <v>35378</v>
      </c>
      <c r="F5335" s="2">
        <v>213014</v>
      </c>
      <c r="G5335" s="3" t="str">
        <f>HYPERLINK("http://funmeta.oebiotech.com/network/213014", "http://funmeta.oebiotech.com/network/213014")</f>
        <v>http://funmeta.oebiotech.com/network/213014</v>
      </c>
      <c r="H5335" s="2" t="s">
        <v>35379</v>
      </c>
      <c r="I5335" s="2"/>
      <c r="J5335" s="2"/>
      <c r="K5335" s="2"/>
      <c r="L5335" s="2"/>
      <c r="M5335" s="2"/>
      <c r="N5335" s="2"/>
      <c r="O5335" s="2">
        <v>10242</v>
      </c>
      <c r="P5335" s="2"/>
      <c r="Q5335" s="2" t="s">
        <v>35380</v>
      </c>
      <c r="R5335" s="2" t="s">
        <v>35381</v>
      </c>
      <c r="S5335" s="2" t="s">
        <v>491</v>
      </c>
      <c r="T5335" s="2" t="s">
        <v>3019</v>
      </c>
      <c r="U5335" s="2" t="s">
        <v>3020</v>
      </c>
      <c r="V5335" s="2" t="s">
        <v>59</v>
      </c>
      <c r="W5335" s="2">
        <v>39.700000000000003</v>
      </c>
      <c r="X5335" s="2">
        <v>0</v>
      </c>
      <c r="Y5335" s="2" t="s">
        <v>141</v>
      </c>
      <c r="Z5335" s="2" t="s">
        <v>35382</v>
      </c>
      <c r="AA5335" s="2">
        <v>-0.32732333070323599</v>
      </c>
      <c r="AB5335" s="2">
        <v>8.9442346913385706E-2</v>
      </c>
      <c r="AC5335" s="2">
        <v>1604.2072298273499</v>
      </c>
      <c r="AD5335" s="2">
        <v>1020.58522754741</v>
      </c>
      <c r="AE5335" s="2">
        <v>1556.2558692396899</v>
      </c>
      <c r="AF5335" s="2">
        <v>1873.11923251901</v>
      </c>
      <c r="AG5335" s="2">
        <v>1704.3729689429999</v>
      </c>
      <c r="AH5335" s="2">
        <v>1630.69334220364</v>
      </c>
      <c r="AI5335" s="2">
        <v>1250.51395375479</v>
      </c>
      <c r="AJ5335" s="2">
        <v>1610.2880123039799</v>
      </c>
      <c r="AK5335" s="2">
        <v>854.17943493767802</v>
      </c>
      <c r="AL5335" s="2">
        <v>1069.1655533724399</v>
      </c>
      <c r="AM5335" s="2">
        <v>977.58439870568202</v>
      </c>
      <c r="AN5335" s="2">
        <v>1158.0342835403001</v>
      </c>
      <c r="AO5335" s="2">
        <v>1051.73766195146</v>
      </c>
      <c r="AP5335" s="2">
        <v>1012.81003277689</v>
      </c>
    </row>
    <row r="5336" spans="1:42" ht="14.5" x14ac:dyDescent="0.35">
      <c r="A5336" s="2" t="s">
        <v>35383</v>
      </c>
      <c r="B5336" s="2">
        <v>421.10944203840103</v>
      </c>
      <c r="C5336" s="2">
        <v>3.9481333333333302</v>
      </c>
      <c r="D5336" s="2" t="s">
        <v>34</v>
      </c>
      <c r="E5336" s="2" t="s">
        <v>35384</v>
      </c>
      <c r="F5336" s="2">
        <v>54185</v>
      </c>
      <c r="G5336" s="3" t="str">
        <f>HYPERLINK("http://funmeta.oebiotech.com/network/54185", "http://funmeta.oebiotech.com/network/54185")</f>
        <v>http://funmeta.oebiotech.com/network/54185</v>
      </c>
      <c r="H5336" s="2" t="s">
        <v>35385</v>
      </c>
      <c r="I5336" s="2"/>
      <c r="J5336" s="2"/>
      <c r="K5336" s="2">
        <v>89287</v>
      </c>
      <c r="L5336" s="2"/>
      <c r="M5336" s="2"/>
      <c r="N5336" s="2"/>
      <c r="O5336" s="2">
        <v>124202092</v>
      </c>
      <c r="P5336" s="2"/>
      <c r="Q5336" s="2" t="s">
        <v>35386</v>
      </c>
      <c r="R5336" s="2" t="s">
        <v>35387</v>
      </c>
      <c r="S5336" s="2" t="s">
        <v>148</v>
      </c>
      <c r="T5336" s="2" t="s">
        <v>3772</v>
      </c>
      <c r="U5336" s="2" t="s">
        <v>41</v>
      </c>
      <c r="V5336" s="2" t="s">
        <v>59</v>
      </c>
      <c r="W5336" s="2">
        <v>37.700000000000003</v>
      </c>
      <c r="X5336" s="2">
        <v>0</v>
      </c>
      <c r="Y5336" s="2" t="s">
        <v>323</v>
      </c>
      <c r="Z5336" s="2" t="s">
        <v>35388</v>
      </c>
      <c r="AA5336" s="2">
        <v>-2.7015453526716402</v>
      </c>
      <c r="AB5336" s="2">
        <v>8.9380984809977998E-2</v>
      </c>
      <c r="AC5336" s="2">
        <v>3244.5343832776498</v>
      </c>
      <c r="AD5336" s="2">
        <v>4068.8359087027902</v>
      </c>
      <c r="AE5336" s="2">
        <v>2942.7431015237498</v>
      </c>
      <c r="AF5336" s="2">
        <v>3440.28743482449</v>
      </c>
      <c r="AG5336" s="2">
        <v>2827.7262680348599</v>
      </c>
      <c r="AH5336" s="2">
        <v>3407.1653845370301</v>
      </c>
      <c r="AI5336" s="2">
        <v>2919.5363134025401</v>
      </c>
      <c r="AJ5336" s="2">
        <v>3929.7477973432101</v>
      </c>
      <c r="AK5336" s="2">
        <v>5003.5176699539097</v>
      </c>
      <c r="AL5336" s="2">
        <v>4259.5705925359898</v>
      </c>
      <c r="AM5336" s="2">
        <v>4459.8656043030696</v>
      </c>
      <c r="AN5336" s="2">
        <v>3287.1639335232899</v>
      </c>
      <c r="AO5336" s="2">
        <v>3885.4522204771101</v>
      </c>
      <c r="AP5336" s="2">
        <v>3517.4454314233899</v>
      </c>
    </row>
    <row r="5337" spans="1:42" ht="14.5" x14ac:dyDescent="0.35">
      <c r="A5337" s="2" t="s">
        <v>35389</v>
      </c>
      <c r="B5337" s="2">
        <v>637.31987888864603</v>
      </c>
      <c r="C5337" s="2">
        <v>4.6492000000000004</v>
      </c>
      <c r="D5337" s="2" t="s">
        <v>70</v>
      </c>
      <c r="E5337" s="2" t="s">
        <v>35390</v>
      </c>
      <c r="F5337" s="2">
        <v>198316</v>
      </c>
      <c r="G5337" s="3" t="str">
        <f>HYPERLINK("http://funmeta.oebiotech.com/network/198316", "http://funmeta.oebiotech.com/network/198316")</f>
        <v>http://funmeta.oebiotech.com/network/198316</v>
      </c>
      <c r="H5337" s="2" t="s">
        <v>35391</v>
      </c>
      <c r="I5337" s="2"/>
      <c r="J5337" s="2"/>
      <c r="K5337" s="2"/>
      <c r="L5337" s="2"/>
      <c r="M5337" s="2"/>
      <c r="N5337" s="2"/>
      <c r="O5337" s="2"/>
      <c r="P5337" s="2"/>
      <c r="Q5337" s="2" t="s">
        <v>35392</v>
      </c>
      <c r="R5337" s="2" t="s">
        <v>35393</v>
      </c>
      <c r="S5337" s="2" t="s">
        <v>41</v>
      </c>
      <c r="T5337" s="2" t="s">
        <v>41</v>
      </c>
      <c r="U5337" s="2" t="s">
        <v>41</v>
      </c>
      <c r="V5337" s="2" t="s">
        <v>59</v>
      </c>
      <c r="W5337" s="2">
        <v>38.6</v>
      </c>
      <c r="X5337" s="2">
        <v>0</v>
      </c>
      <c r="Y5337" s="2" t="s">
        <v>560</v>
      </c>
      <c r="Z5337" s="2" t="s">
        <v>35394</v>
      </c>
      <c r="AA5337" s="2">
        <v>1.4898866741360599</v>
      </c>
      <c r="AB5337" s="2">
        <v>8.9351839405661299E-2</v>
      </c>
      <c r="AC5337" s="2">
        <v>4494.6457427751902</v>
      </c>
      <c r="AD5337" s="2">
        <v>3566.0969858938602</v>
      </c>
      <c r="AE5337" s="2">
        <v>5096.8229434648601</v>
      </c>
      <c r="AF5337" s="2">
        <v>4487.0028921697003</v>
      </c>
      <c r="AG5337" s="2">
        <v>4603.3358743995605</v>
      </c>
      <c r="AH5337" s="2">
        <v>5277.2964073254198</v>
      </c>
      <c r="AI5337" s="2">
        <v>4776.8004081444897</v>
      </c>
      <c r="AJ5337" s="2">
        <v>2726.6159311471301</v>
      </c>
      <c r="AK5337" s="2">
        <v>4106.1471147886195</v>
      </c>
      <c r="AL5337" s="2">
        <v>3057.3039427134299</v>
      </c>
      <c r="AM5337" s="2">
        <v>4088.2460889459899</v>
      </c>
      <c r="AN5337" s="2">
        <v>3799.9205224559</v>
      </c>
      <c r="AO5337" s="2">
        <v>2989.10633208226</v>
      </c>
      <c r="AP5337" s="2">
        <v>3355.8579143769698</v>
      </c>
    </row>
    <row r="5338" spans="1:42" ht="14.5" x14ac:dyDescent="0.35">
      <c r="A5338" s="2" t="s">
        <v>35395</v>
      </c>
      <c r="B5338" s="2">
        <v>326.01079441645902</v>
      </c>
      <c r="C5338" s="2">
        <v>0.96353333333333302</v>
      </c>
      <c r="D5338" s="2" t="s">
        <v>70</v>
      </c>
      <c r="E5338" s="2" t="s">
        <v>35396</v>
      </c>
      <c r="F5338" s="2">
        <v>205375</v>
      </c>
      <c r="G5338" s="3" t="str">
        <f>HYPERLINK("http://funmeta.oebiotech.com/network/205375", "http://funmeta.oebiotech.com/network/205375")</f>
        <v>http://funmeta.oebiotech.com/network/205375</v>
      </c>
      <c r="H5338" s="2" t="s">
        <v>35397</v>
      </c>
      <c r="I5338" s="2"/>
      <c r="J5338" s="2"/>
      <c r="K5338" s="2"/>
      <c r="L5338" s="2"/>
      <c r="M5338" s="2"/>
      <c r="N5338" s="2"/>
      <c r="O5338" s="2">
        <v>6426632</v>
      </c>
      <c r="P5338" s="2"/>
      <c r="Q5338" s="2" t="s">
        <v>35398</v>
      </c>
      <c r="R5338" s="2" t="s">
        <v>35399</v>
      </c>
      <c r="S5338" s="2" t="s">
        <v>1444</v>
      </c>
      <c r="T5338" s="2" t="s">
        <v>23611</v>
      </c>
      <c r="U5338" s="2" t="s">
        <v>35400</v>
      </c>
      <c r="V5338" s="2" t="s">
        <v>59</v>
      </c>
      <c r="W5338" s="2">
        <v>37.5</v>
      </c>
      <c r="X5338" s="2">
        <v>0</v>
      </c>
      <c r="Y5338" s="2" t="s">
        <v>751</v>
      </c>
      <c r="Z5338" s="2" t="s">
        <v>35401</v>
      </c>
      <c r="AA5338" s="2">
        <v>-3.0159729808779798</v>
      </c>
      <c r="AB5338" s="2">
        <v>8.9265407327264804E-2</v>
      </c>
      <c r="AC5338" s="2">
        <v>10036.485009563899</v>
      </c>
      <c r="AD5338" s="2">
        <v>11398.148627144599</v>
      </c>
      <c r="AE5338" s="2">
        <v>9712.4538098004996</v>
      </c>
      <c r="AF5338" s="2">
        <v>10896.8674911658</v>
      </c>
      <c r="AG5338" s="2">
        <v>10598.610379740199</v>
      </c>
      <c r="AH5338" s="2">
        <v>11245.8321074918</v>
      </c>
      <c r="AI5338" s="2">
        <v>9988.6760482638201</v>
      </c>
      <c r="AJ5338" s="2">
        <v>7776.4702209212601</v>
      </c>
      <c r="AK5338" s="2">
        <v>12722.0210140448</v>
      </c>
      <c r="AL5338" s="2">
        <v>9993.7241005953802</v>
      </c>
      <c r="AM5338" s="2">
        <v>8514.7075388367593</v>
      </c>
      <c r="AN5338" s="2">
        <v>10488.0452978176</v>
      </c>
      <c r="AO5338" s="2">
        <v>14682.3454676129</v>
      </c>
      <c r="AP5338" s="2">
        <v>11988.048343960099</v>
      </c>
    </row>
    <row r="5339" spans="1:42" ht="14.5" x14ac:dyDescent="0.35">
      <c r="A5339" s="2" t="s">
        <v>35402</v>
      </c>
      <c r="B5339" s="2">
        <v>312.157661035074</v>
      </c>
      <c r="C5339" s="2">
        <v>5.4735333333333296</v>
      </c>
      <c r="D5339" s="2" t="s">
        <v>34</v>
      </c>
      <c r="E5339" s="2" t="s">
        <v>35403</v>
      </c>
      <c r="F5339" s="2">
        <v>8350</v>
      </c>
      <c r="G5339" s="3" t="str">
        <f>HYPERLINK("http://funmeta.oebiotech.com/network/8350", "http://funmeta.oebiotech.com/network/8350")</f>
        <v>http://funmeta.oebiotech.com/network/8350</v>
      </c>
      <c r="H5339" s="2" t="s">
        <v>35404</v>
      </c>
      <c r="I5339" s="2"/>
      <c r="J5339" s="2" t="s">
        <v>35405</v>
      </c>
      <c r="K5339" s="2">
        <v>74303</v>
      </c>
      <c r="L5339" s="2"/>
      <c r="M5339" s="2"/>
      <c r="N5339" s="2"/>
      <c r="O5339" s="2">
        <v>6426896</v>
      </c>
      <c r="P5339" s="2"/>
      <c r="Q5339" s="2" t="s">
        <v>35406</v>
      </c>
      <c r="R5339" s="2" t="s">
        <v>35407</v>
      </c>
      <c r="S5339" s="2" t="s">
        <v>50</v>
      </c>
      <c r="T5339" s="2" t="s">
        <v>229</v>
      </c>
      <c r="U5339" s="2" t="s">
        <v>1914</v>
      </c>
      <c r="V5339" s="2" t="s">
        <v>59</v>
      </c>
      <c r="W5339" s="2">
        <v>36.5</v>
      </c>
      <c r="X5339" s="2">
        <v>0</v>
      </c>
      <c r="Y5339" s="2" t="s">
        <v>340</v>
      </c>
      <c r="Z5339" s="2" t="s">
        <v>35408</v>
      </c>
      <c r="AA5339" s="2">
        <v>1.81045751109043</v>
      </c>
      <c r="AB5339" s="2">
        <v>8.9232924046873205E-2</v>
      </c>
      <c r="AC5339" s="2">
        <v>2870.8732646456301</v>
      </c>
      <c r="AD5339" s="2">
        <v>2115.8180510470402</v>
      </c>
      <c r="AE5339" s="2">
        <v>2874.8067248201901</v>
      </c>
      <c r="AF5339" s="2">
        <v>2678.59360419615</v>
      </c>
      <c r="AG5339" s="2">
        <v>3885.0366459348702</v>
      </c>
      <c r="AH5339" s="2">
        <v>2530.7589757969799</v>
      </c>
      <c r="AI5339" s="2">
        <v>2603.09699093686</v>
      </c>
      <c r="AJ5339" s="2">
        <v>2652.94664618875</v>
      </c>
      <c r="AK5339" s="2">
        <v>2396.4862422935898</v>
      </c>
      <c r="AL5339" s="2">
        <v>2176.37803158835</v>
      </c>
      <c r="AM5339" s="2">
        <v>1481.83761585551</v>
      </c>
      <c r="AN5339" s="2">
        <v>1919.24885053351</v>
      </c>
      <c r="AO5339" s="2">
        <v>2281.1720322010401</v>
      </c>
      <c r="AP5339" s="2">
        <v>2439.7855338102299</v>
      </c>
    </row>
    <row r="5340" spans="1:42" ht="14.5" x14ac:dyDescent="0.35">
      <c r="A5340" s="2" t="s">
        <v>35409</v>
      </c>
      <c r="B5340" s="2">
        <v>312.20165608207401</v>
      </c>
      <c r="C5340" s="2">
        <v>2.1824499999999998</v>
      </c>
      <c r="D5340" s="2" t="s">
        <v>34</v>
      </c>
      <c r="E5340" s="2" t="s">
        <v>35410</v>
      </c>
      <c r="F5340" s="2">
        <v>212486</v>
      </c>
      <c r="G5340" s="3" t="str">
        <f>HYPERLINK("http://funmeta.oebiotech.com/network/212486", "http://funmeta.oebiotech.com/network/212486")</f>
        <v>http://funmeta.oebiotech.com/network/212486</v>
      </c>
      <c r="H5340" s="2" t="s">
        <v>35411</v>
      </c>
      <c r="I5340" s="2"/>
      <c r="J5340" s="2"/>
      <c r="K5340" s="2"/>
      <c r="L5340" s="2"/>
      <c r="M5340" s="2"/>
      <c r="N5340" s="2"/>
      <c r="O5340" s="2"/>
      <c r="P5340" s="2"/>
      <c r="Q5340" s="2" t="s">
        <v>35412</v>
      </c>
      <c r="R5340" s="2" t="s">
        <v>35413</v>
      </c>
      <c r="S5340" s="2" t="s">
        <v>5916</v>
      </c>
      <c r="T5340" s="2" t="s">
        <v>5917</v>
      </c>
      <c r="U5340" s="2" t="s">
        <v>21735</v>
      </c>
      <c r="V5340" s="2" t="s">
        <v>59</v>
      </c>
      <c r="W5340" s="2">
        <v>36.200000000000003</v>
      </c>
      <c r="X5340" s="2">
        <v>0</v>
      </c>
      <c r="Y5340" s="2" t="s">
        <v>43</v>
      </c>
      <c r="Z5340" s="2" t="s">
        <v>35414</v>
      </c>
      <c r="AA5340" s="2">
        <v>-3.03108073400369</v>
      </c>
      <c r="AB5340" s="2">
        <v>8.9047821487737294E-2</v>
      </c>
      <c r="AC5340" s="2">
        <v>1639.5866802883099</v>
      </c>
      <c r="AD5340" s="2">
        <v>1067.14177475832</v>
      </c>
      <c r="AE5340" s="2">
        <v>1481.0745589171399</v>
      </c>
      <c r="AF5340" s="2">
        <v>1710.6958057259701</v>
      </c>
      <c r="AG5340" s="2">
        <v>1555.3934346425399</v>
      </c>
      <c r="AH5340" s="2">
        <v>1698.3532915644901</v>
      </c>
      <c r="AI5340" s="2">
        <v>1538.80976549254</v>
      </c>
      <c r="AJ5340" s="2">
        <v>1853.1932253871801</v>
      </c>
      <c r="AK5340" s="2">
        <v>936.14266632955901</v>
      </c>
      <c r="AL5340" s="2">
        <v>887.85109723712799</v>
      </c>
      <c r="AM5340" s="2">
        <v>1066.9603543738499</v>
      </c>
      <c r="AN5340" s="2">
        <v>1221.28139772089</v>
      </c>
      <c r="AO5340" s="2">
        <v>1040.5741722605601</v>
      </c>
      <c r="AP5340" s="2">
        <v>1250.04096062791</v>
      </c>
    </row>
    <row r="5341" spans="1:42" ht="14.5" x14ac:dyDescent="0.35">
      <c r="A5341" s="2" t="s">
        <v>35415</v>
      </c>
      <c r="B5341" s="2">
        <v>325.085862189257</v>
      </c>
      <c r="C5341" s="2">
        <v>4.8624666666666698</v>
      </c>
      <c r="D5341" s="2" t="s">
        <v>70</v>
      </c>
      <c r="E5341" s="2" t="s">
        <v>35416</v>
      </c>
      <c r="F5341" s="2">
        <v>206779</v>
      </c>
      <c r="G5341" s="3" t="str">
        <f>HYPERLINK("http://funmeta.oebiotech.com/network/206779", "http://funmeta.oebiotech.com/network/206779")</f>
        <v>http://funmeta.oebiotech.com/network/206779</v>
      </c>
      <c r="H5341" s="2" t="s">
        <v>35417</v>
      </c>
      <c r="I5341" s="2">
        <v>45480</v>
      </c>
      <c r="J5341" s="2"/>
      <c r="K5341" s="2"/>
      <c r="L5341" s="2"/>
      <c r="M5341" s="2"/>
      <c r="N5341" s="2"/>
      <c r="O5341" s="2">
        <v>24995215</v>
      </c>
      <c r="P5341" s="2" t="s">
        <v>35418</v>
      </c>
      <c r="Q5341" s="2" t="s">
        <v>35419</v>
      </c>
      <c r="R5341" s="2" t="s">
        <v>35420</v>
      </c>
      <c r="S5341" s="2" t="s">
        <v>148</v>
      </c>
      <c r="T5341" s="2" t="s">
        <v>149</v>
      </c>
      <c r="U5341" s="2" t="s">
        <v>41</v>
      </c>
      <c r="V5341" s="2" t="s">
        <v>59</v>
      </c>
      <c r="W5341" s="2">
        <v>38.4</v>
      </c>
      <c r="X5341" s="2">
        <v>0</v>
      </c>
      <c r="Y5341" s="2" t="s">
        <v>408</v>
      </c>
      <c r="Z5341" s="2" t="s">
        <v>35421</v>
      </c>
      <c r="AA5341" s="2">
        <v>-3.5589346119957801</v>
      </c>
      <c r="AB5341" s="2">
        <v>8.8977114922657002E-2</v>
      </c>
      <c r="AC5341" s="2">
        <v>10107.659287770401</v>
      </c>
      <c r="AD5341" s="2">
        <v>9236.2780866303201</v>
      </c>
      <c r="AE5341" s="2">
        <v>11742.565322050101</v>
      </c>
      <c r="AF5341" s="2">
        <v>9868.1472716122698</v>
      </c>
      <c r="AG5341" s="2">
        <v>9940.3040264546798</v>
      </c>
      <c r="AH5341" s="2">
        <v>10138.9263352206</v>
      </c>
      <c r="AI5341" s="2">
        <v>9180.4573866765604</v>
      </c>
      <c r="AJ5341" s="2">
        <v>9775.5553846079092</v>
      </c>
      <c r="AK5341" s="2">
        <v>9317.0551528094693</v>
      </c>
      <c r="AL5341" s="2">
        <v>9775.4738076437807</v>
      </c>
      <c r="AM5341" s="2">
        <v>9377.0311709386406</v>
      </c>
      <c r="AN5341" s="2">
        <v>8902.2451320156906</v>
      </c>
      <c r="AO5341" s="2">
        <v>9280.8982422807494</v>
      </c>
      <c r="AP5341" s="2">
        <v>8764.9650140935701</v>
      </c>
    </row>
    <row r="5342" spans="1:42" ht="14.5" x14ac:dyDescent="0.35">
      <c r="A5342" s="2" t="s">
        <v>35422</v>
      </c>
      <c r="B5342" s="2">
        <v>171.06282713867401</v>
      </c>
      <c r="C5342" s="2">
        <v>2.2580499999999999</v>
      </c>
      <c r="D5342" s="2" t="s">
        <v>34</v>
      </c>
      <c r="E5342" s="2" t="s">
        <v>35423</v>
      </c>
      <c r="F5342" s="2">
        <v>1849</v>
      </c>
      <c r="G5342" s="3" t="str">
        <f>HYPERLINK("http://funmeta.oebiotech.com/network/1849", "http://funmeta.oebiotech.com/network/1849")</f>
        <v>http://funmeta.oebiotech.com/network/1849</v>
      </c>
      <c r="H5342" s="2" t="s">
        <v>35424</v>
      </c>
      <c r="I5342" s="2">
        <v>127</v>
      </c>
      <c r="J5342" s="2" t="s">
        <v>35425</v>
      </c>
      <c r="K5342" s="2">
        <v>17710</v>
      </c>
      <c r="L5342" s="2" t="s">
        <v>35426</v>
      </c>
      <c r="M5342" s="2" t="s">
        <v>35427</v>
      </c>
      <c r="N5342" s="2" t="s">
        <v>35428</v>
      </c>
      <c r="O5342" s="2">
        <v>439230</v>
      </c>
      <c r="P5342" s="2" t="s">
        <v>35429</v>
      </c>
      <c r="Q5342" s="2" t="s">
        <v>35430</v>
      </c>
      <c r="R5342" s="2" t="s">
        <v>35431</v>
      </c>
      <c r="S5342" s="2" t="s">
        <v>50</v>
      </c>
      <c r="T5342" s="2" t="s">
        <v>229</v>
      </c>
      <c r="U5342" s="2" t="s">
        <v>433</v>
      </c>
      <c r="V5342" s="2" t="s">
        <v>59</v>
      </c>
      <c r="W5342" s="2">
        <v>39.700000000000003</v>
      </c>
      <c r="X5342" s="2">
        <v>0</v>
      </c>
      <c r="Y5342" s="2" t="s">
        <v>323</v>
      </c>
      <c r="Z5342" s="2" t="s">
        <v>35432</v>
      </c>
      <c r="AA5342" s="2">
        <v>0.32143209202287898</v>
      </c>
      <c r="AB5342" s="2">
        <v>8.8968378857417693E-2</v>
      </c>
      <c r="AC5342" s="2">
        <v>1295.2642454008801</v>
      </c>
      <c r="AD5342" s="2">
        <v>1880.86788529044</v>
      </c>
      <c r="AE5342" s="2">
        <v>1569.5169604888199</v>
      </c>
      <c r="AF5342" s="2">
        <v>1439.87871219563</v>
      </c>
      <c r="AG5342" s="2">
        <v>1338.7617626126801</v>
      </c>
      <c r="AH5342" s="2">
        <v>1245.6342711674199</v>
      </c>
      <c r="AI5342" s="2">
        <v>1077.6909151232901</v>
      </c>
      <c r="AJ5342" s="2">
        <v>1100.1028508174099</v>
      </c>
      <c r="AK5342" s="2">
        <v>1908.3282966167201</v>
      </c>
      <c r="AL5342" s="2">
        <v>1814.3949634151199</v>
      </c>
      <c r="AM5342" s="2">
        <v>1700.2563339369101</v>
      </c>
      <c r="AN5342" s="2">
        <v>1898.5497802715599</v>
      </c>
      <c r="AO5342" s="2">
        <v>2075.5618308176599</v>
      </c>
      <c r="AP5342" s="2">
        <v>1888.1161066846601</v>
      </c>
    </row>
    <row r="5343" spans="1:42" ht="14.5" x14ac:dyDescent="0.35">
      <c r="A5343" s="2" t="s">
        <v>35433</v>
      </c>
      <c r="B5343" s="2">
        <v>409.222818668743</v>
      </c>
      <c r="C5343" s="2">
        <v>5.8791000000000002</v>
      </c>
      <c r="D5343" s="2" t="s">
        <v>70</v>
      </c>
      <c r="E5343" s="2" t="s">
        <v>35434</v>
      </c>
      <c r="F5343" s="2">
        <v>35898</v>
      </c>
      <c r="G5343" s="3" t="str">
        <f>HYPERLINK("http://funmeta.oebiotech.com/network/35898", "http://funmeta.oebiotech.com/network/35898")</f>
        <v>http://funmeta.oebiotech.com/network/35898</v>
      </c>
      <c r="H5343" s="2"/>
      <c r="I5343" s="2">
        <v>53589</v>
      </c>
      <c r="J5343" s="2" t="s">
        <v>35435</v>
      </c>
      <c r="K5343" s="2">
        <v>42471</v>
      </c>
      <c r="L5343" s="2" t="s">
        <v>35436</v>
      </c>
      <c r="M5343" s="2"/>
      <c r="N5343" s="2"/>
      <c r="O5343" s="2">
        <v>47936</v>
      </c>
      <c r="P5343" s="2" t="s">
        <v>35437</v>
      </c>
      <c r="Q5343" s="2" t="s">
        <v>35438</v>
      </c>
      <c r="R5343" s="2" t="s">
        <v>35439</v>
      </c>
      <c r="S5343" s="2" t="s">
        <v>50</v>
      </c>
      <c r="T5343" s="2" t="s">
        <v>201</v>
      </c>
      <c r="U5343" s="2" t="s">
        <v>210</v>
      </c>
      <c r="V5343" s="2" t="s">
        <v>59</v>
      </c>
      <c r="W5343" s="2">
        <v>39</v>
      </c>
      <c r="X5343" s="2">
        <v>0</v>
      </c>
      <c r="Y5343" s="2" t="s">
        <v>118</v>
      </c>
      <c r="Z5343" s="2" t="s">
        <v>5477</v>
      </c>
      <c r="AA5343" s="2">
        <v>-0.873476248382829</v>
      </c>
      <c r="AB5343" s="2">
        <v>8.8923928622454698E-2</v>
      </c>
      <c r="AC5343" s="2">
        <v>1049.6908139432901</v>
      </c>
      <c r="AD5343" s="2">
        <v>1706.01391763479</v>
      </c>
      <c r="AE5343" s="2">
        <v>854.14408043271101</v>
      </c>
      <c r="AF5343" s="2">
        <v>1678.10395174119</v>
      </c>
      <c r="AG5343" s="2">
        <v>1016.4082389336201</v>
      </c>
      <c r="AH5343" s="2">
        <v>691.95388276209997</v>
      </c>
      <c r="AI5343" s="2">
        <v>1046.76830899539</v>
      </c>
      <c r="AJ5343" s="2">
        <v>1010.76642079475</v>
      </c>
      <c r="AK5343" s="2">
        <v>1599.50979006795</v>
      </c>
      <c r="AL5343" s="2">
        <v>1786.94946258408</v>
      </c>
      <c r="AM5343" s="2">
        <v>1984.5833504024399</v>
      </c>
      <c r="AN5343" s="2">
        <v>1540.20283896255</v>
      </c>
      <c r="AO5343" s="2">
        <v>1476.51370686942</v>
      </c>
      <c r="AP5343" s="2">
        <v>1848.32435692227</v>
      </c>
    </row>
    <row r="5344" spans="1:42" ht="14.5" x14ac:dyDescent="0.35">
      <c r="A5344" s="2" t="s">
        <v>35440</v>
      </c>
      <c r="B5344" s="2">
        <v>165.069706597232</v>
      </c>
      <c r="C5344" s="2">
        <v>7.1697499999999996</v>
      </c>
      <c r="D5344" s="2" t="s">
        <v>34</v>
      </c>
      <c r="E5344" s="2" t="s">
        <v>35441</v>
      </c>
      <c r="F5344" s="2">
        <v>52198</v>
      </c>
      <c r="G5344" s="3" t="str">
        <f>HYPERLINK("http://funmeta.oebiotech.com/network/52198", "http://funmeta.oebiotech.com/network/52198")</f>
        <v>http://funmeta.oebiotech.com/network/52198</v>
      </c>
      <c r="H5344" s="2" t="s">
        <v>35442</v>
      </c>
      <c r="I5344" s="2">
        <v>64933</v>
      </c>
      <c r="J5344" s="2"/>
      <c r="K5344" s="2"/>
      <c r="L5344" s="2" t="s">
        <v>35443</v>
      </c>
      <c r="M5344" s="2"/>
      <c r="N5344" s="2"/>
      <c r="O5344" s="2">
        <v>75547</v>
      </c>
      <c r="P5344" s="2" t="s">
        <v>35444</v>
      </c>
      <c r="Q5344" s="2" t="s">
        <v>35445</v>
      </c>
      <c r="R5344" s="2" t="s">
        <v>35446</v>
      </c>
      <c r="S5344" s="2" t="s">
        <v>148</v>
      </c>
      <c r="T5344" s="2" t="s">
        <v>23940</v>
      </c>
      <c r="U5344" s="2" t="s">
        <v>41</v>
      </c>
      <c r="V5344" s="2" t="s">
        <v>59</v>
      </c>
      <c r="W5344" s="2">
        <v>37.200000000000003</v>
      </c>
      <c r="X5344" s="2">
        <v>0</v>
      </c>
      <c r="Y5344" s="2" t="s">
        <v>141</v>
      </c>
      <c r="Z5344" s="2" t="s">
        <v>23741</v>
      </c>
      <c r="AA5344" s="2">
        <v>-0.93420152216844898</v>
      </c>
      <c r="AB5344" s="2">
        <v>8.8893984461376696E-2</v>
      </c>
      <c r="AC5344" s="2">
        <v>8747.2775681209205</v>
      </c>
      <c r="AD5344" s="2">
        <v>9553.2583025346903</v>
      </c>
      <c r="AE5344" s="2">
        <v>9676.1860868938093</v>
      </c>
      <c r="AF5344" s="2">
        <v>8850.4478081282705</v>
      </c>
      <c r="AG5344" s="2">
        <v>8091.7940856464402</v>
      </c>
      <c r="AH5344" s="2">
        <v>8675.5250299669206</v>
      </c>
      <c r="AI5344" s="2">
        <v>8612.4044445511499</v>
      </c>
      <c r="AJ5344" s="2">
        <v>8577.3079535389006</v>
      </c>
      <c r="AK5344" s="2">
        <v>9099.5261924331207</v>
      </c>
      <c r="AL5344" s="2">
        <v>10333.783111926899</v>
      </c>
      <c r="AM5344" s="2">
        <v>9929.15759705657</v>
      </c>
      <c r="AN5344" s="2">
        <v>9654.5156042580493</v>
      </c>
      <c r="AO5344" s="2">
        <v>8960.8544084810692</v>
      </c>
      <c r="AP5344" s="2">
        <v>9341.7129010524095</v>
      </c>
    </row>
    <row r="5345" spans="1:42" ht="14.5" x14ac:dyDescent="0.35">
      <c r="A5345" s="2" t="s">
        <v>35447</v>
      </c>
      <c r="B5345" s="2">
        <v>634.451979909172</v>
      </c>
      <c r="C5345" s="2">
        <v>11.328566666666701</v>
      </c>
      <c r="D5345" s="2" t="s">
        <v>34</v>
      </c>
      <c r="E5345" s="2" t="s">
        <v>35448</v>
      </c>
      <c r="F5345" s="2">
        <v>53699</v>
      </c>
      <c r="G5345" s="3" t="str">
        <f>HYPERLINK("http://funmeta.oebiotech.com/network/53699", "http://funmeta.oebiotech.com/network/53699")</f>
        <v>http://funmeta.oebiotech.com/network/53699</v>
      </c>
      <c r="H5345" s="2" t="s">
        <v>35449</v>
      </c>
      <c r="I5345" s="2">
        <v>43278</v>
      </c>
      <c r="J5345" s="2"/>
      <c r="K5345" s="2">
        <v>53775</v>
      </c>
      <c r="L5345" s="2"/>
      <c r="M5345" s="2"/>
      <c r="N5345" s="2"/>
      <c r="O5345" s="2">
        <v>72385</v>
      </c>
      <c r="P5345" s="2" t="s">
        <v>35450</v>
      </c>
      <c r="Q5345" s="2" t="s">
        <v>35451</v>
      </c>
      <c r="R5345" s="2" t="s">
        <v>35452</v>
      </c>
      <c r="S5345" s="2" t="s">
        <v>79</v>
      </c>
      <c r="T5345" s="2" t="s">
        <v>80</v>
      </c>
      <c r="U5345" s="2" t="s">
        <v>249</v>
      </c>
      <c r="V5345" s="2" t="s">
        <v>42</v>
      </c>
      <c r="W5345" s="2">
        <v>49.2</v>
      </c>
      <c r="X5345" s="2">
        <v>51.4</v>
      </c>
      <c r="Y5345" s="2" t="s">
        <v>43</v>
      </c>
      <c r="Z5345" s="2" t="s">
        <v>35453</v>
      </c>
      <c r="AA5345" s="2">
        <v>-0.80098262743608495</v>
      </c>
      <c r="AB5345" s="2">
        <v>8.87976128719795E-2</v>
      </c>
      <c r="AC5345" s="2">
        <v>78722.452799955805</v>
      </c>
      <c r="AD5345" s="2">
        <v>73455.321079136396</v>
      </c>
      <c r="AE5345" s="2">
        <v>52245.889729784001</v>
      </c>
      <c r="AF5345" s="2">
        <v>58582.869907553402</v>
      </c>
      <c r="AG5345" s="2">
        <v>75656.9488734896</v>
      </c>
      <c r="AH5345" s="2">
        <v>155257.76002748299</v>
      </c>
      <c r="AI5345" s="2">
        <v>59353.114090929303</v>
      </c>
      <c r="AJ5345" s="2">
        <v>71238.134170495803</v>
      </c>
      <c r="AK5345" s="2">
        <v>49910.856970643603</v>
      </c>
      <c r="AL5345" s="2">
        <v>73606.406765331994</v>
      </c>
      <c r="AM5345" s="2">
        <v>65477.669347479801</v>
      </c>
      <c r="AN5345" s="2">
        <v>87810.431730074604</v>
      </c>
      <c r="AO5345" s="2">
        <v>84682.9190446828</v>
      </c>
      <c r="AP5345" s="2">
        <v>79243.642616605794</v>
      </c>
    </row>
    <row r="5346" spans="1:42" ht="14.5" x14ac:dyDescent="0.35">
      <c r="A5346" s="2" t="s">
        <v>35454</v>
      </c>
      <c r="B5346" s="2">
        <v>482.14569316653802</v>
      </c>
      <c r="C5346" s="2">
        <v>4.4179500000000003</v>
      </c>
      <c r="D5346" s="2" t="s">
        <v>70</v>
      </c>
      <c r="E5346" s="2" t="s">
        <v>35455</v>
      </c>
      <c r="F5346" s="2">
        <v>203472</v>
      </c>
      <c r="G5346" s="3" t="str">
        <f>HYPERLINK("http://funmeta.oebiotech.com/network/203472", "http://funmeta.oebiotech.com/network/203472")</f>
        <v>http://funmeta.oebiotech.com/network/203472</v>
      </c>
      <c r="H5346" s="2" t="s">
        <v>35456</v>
      </c>
      <c r="I5346" s="2"/>
      <c r="J5346" s="2"/>
      <c r="K5346" s="2"/>
      <c r="L5346" s="2"/>
      <c r="M5346" s="2"/>
      <c r="N5346" s="2"/>
      <c r="O5346" s="2">
        <v>13502539</v>
      </c>
      <c r="P5346" s="2"/>
      <c r="Q5346" s="2" t="s">
        <v>35457</v>
      </c>
      <c r="R5346" s="2" t="s">
        <v>35458</v>
      </c>
      <c r="S5346" s="2" t="s">
        <v>148</v>
      </c>
      <c r="T5346" s="2" t="s">
        <v>22540</v>
      </c>
      <c r="U5346" s="2" t="s">
        <v>22541</v>
      </c>
      <c r="V5346" s="2" t="s">
        <v>59</v>
      </c>
      <c r="W5346" s="2">
        <v>37.4</v>
      </c>
      <c r="X5346" s="2">
        <v>0</v>
      </c>
      <c r="Y5346" s="2" t="s">
        <v>118</v>
      </c>
      <c r="Z5346" s="2" t="s">
        <v>35459</v>
      </c>
      <c r="AA5346" s="2">
        <v>7.9097000733775097E-2</v>
      </c>
      <c r="AB5346" s="2">
        <v>8.8673161030621506E-2</v>
      </c>
      <c r="AC5346" s="2">
        <v>6200.2506461575904</v>
      </c>
      <c r="AD5346" s="2">
        <v>4916.2393682010397</v>
      </c>
      <c r="AE5346" s="2">
        <v>4212.5912978196702</v>
      </c>
      <c r="AF5346" s="2">
        <v>6528.1253565851102</v>
      </c>
      <c r="AG5346" s="2">
        <v>7785.0385149244403</v>
      </c>
      <c r="AH5346" s="2">
        <v>4955.5165303629301</v>
      </c>
      <c r="AI5346" s="2">
        <v>6525.72707626397</v>
      </c>
      <c r="AJ5346" s="2">
        <v>7194.5051009893996</v>
      </c>
      <c r="AK5346" s="2">
        <v>4336.1509298743604</v>
      </c>
      <c r="AL5346" s="2">
        <v>6905.0711252422698</v>
      </c>
      <c r="AM5346" s="2">
        <v>5784.7100446266804</v>
      </c>
      <c r="AN5346" s="2">
        <v>3270.3341742442499</v>
      </c>
      <c r="AO5346" s="2">
        <v>6709.2150958639704</v>
      </c>
      <c r="AP5346" s="2">
        <v>2491.9548393547202</v>
      </c>
    </row>
    <row r="5347" spans="1:42" ht="14.5" x14ac:dyDescent="0.35">
      <c r="A5347" s="2" t="s">
        <v>35460</v>
      </c>
      <c r="B5347" s="2">
        <v>615.14984633255699</v>
      </c>
      <c r="C5347" s="2">
        <v>9.3516666666666701</v>
      </c>
      <c r="D5347" s="2" t="s">
        <v>34</v>
      </c>
      <c r="E5347" s="2" t="s">
        <v>35461</v>
      </c>
      <c r="F5347" s="2">
        <v>56451</v>
      </c>
      <c r="G5347" s="3" t="str">
        <f>HYPERLINK("http://funmeta.oebiotech.com/network/56451", "http://funmeta.oebiotech.com/network/56451")</f>
        <v>http://funmeta.oebiotech.com/network/56451</v>
      </c>
      <c r="H5347" s="2" t="s">
        <v>35462</v>
      </c>
      <c r="I5347" s="2"/>
      <c r="J5347" s="2"/>
      <c r="K5347" s="2">
        <v>2979</v>
      </c>
      <c r="L5347" s="2" t="s">
        <v>35463</v>
      </c>
      <c r="M5347" s="2"/>
      <c r="N5347" s="2"/>
      <c r="O5347" s="2">
        <v>85202062</v>
      </c>
      <c r="P5347" s="2" t="s">
        <v>35464</v>
      </c>
      <c r="Q5347" s="2" t="s">
        <v>35465</v>
      </c>
      <c r="R5347" s="2" t="s">
        <v>35466</v>
      </c>
      <c r="S5347" s="2" t="s">
        <v>115</v>
      </c>
      <c r="T5347" s="2" t="s">
        <v>139</v>
      </c>
      <c r="U5347" s="2" t="s">
        <v>140</v>
      </c>
      <c r="V5347" s="2" t="s">
        <v>59</v>
      </c>
      <c r="W5347" s="2">
        <v>37.700000000000003</v>
      </c>
      <c r="X5347" s="2">
        <v>0</v>
      </c>
      <c r="Y5347" s="2" t="s">
        <v>340</v>
      </c>
      <c r="Z5347" s="2" t="s">
        <v>35467</v>
      </c>
      <c r="AA5347" s="2">
        <v>4.1604258823309799</v>
      </c>
      <c r="AB5347" s="2">
        <v>8.8649759028364403E-2</v>
      </c>
      <c r="AC5347" s="2">
        <v>6434.46767594836</v>
      </c>
      <c r="AD5347" s="2">
        <v>5513.6150972982005</v>
      </c>
      <c r="AE5347" s="2">
        <v>6698.69261203312</v>
      </c>
      <c r="AF5347" s="2">
        <v>5107.7388644641496</v>
      </c>
      <c r="AG5347" s="2">
        <v>5426.6016873735398</v>
      </c>
      <c r="AH5347" s="2">
        <v>6845.7373787594397</v>
      </c>
      <c r="AI5347" s="2">
        <v>7141.7489678022403</v>
      </c>
      <c r="AJ5347" s="2">
        <v>7386.2865452576598</v>
      </c>
      <c r="AK5347" s="2">
        <v>5715.9257600002302</v>
      </c>
      <c r="AL5347" s="2">
        <v>5545.4927624440998</v>
      </c>
      <c r="AM5347" s="2">
        <v>4840.3733288560497</v>
      </c>
      <c r="AN5347" s="2">
        <v>5190.0832280496197</v>
      </c>
      <c r="AO5347" s="2">
        <v>5764.1044840356699</v>
      </c>
      <c r="AP5347" s="2">
        <v>6025.7110204035398</v>
      </c>
    </row>
    <row r="5348" spans="1:42" ht="14.5" x14ac:dyDescent="0.35">
      <c r="A5348" s="2" t="s">
        <v>35468</v>
      </c>
      <c r="B5348" s="2">
        <v>159.11674854625201</v>
      </c>
      <c r="C5348" s="2">
        <v>4.4289500000000004</v>
      </c>
      <c r="D5348" s="2" t="s">
        <v>34</v>
      </c>
      <c r="E5348" s="2" t="s">
        <v>35469</v>
      </c>
      <c r="F5348" s="2">
        <v>56083</v>
      </c>
      <c r="G5348" s="3" t="str">
        <f>HYPERLINK("http://funmeta.oebiotech.com/network/56083", "http://funmeta.oebiotech.com/network/56083")</f>
        <v>http://funmeta.oebiotech.com/network/56083</v>
      </c>
      <c r="H5348" s="2" t="s">
        <v>35470</v>
      </c>
      <c r="I5348" s="2">
        <v>87774</v>
      </c>
      <c r="J5348" s="2"/>
      <c r="K5348" s="2"/>
      <c r="L5348" s="2"/>
      <c r="M5348" s="2"/>
      <c r="N5348" s="2"/>
      <c r="O5348" s="2">
        <v>219672</v>
      </c>
      <c r="P5348" s="2" t="s">
        <v>35471</v>
      </c>
      <c r="Q5348" s="2" t="s">
        <v>35472</v>
      </c>
      <c r="R5348" s="2" t="s">
        <v>35473</v>
      </c>
      <c r="S5348" s="2" t="s">
        <v>148</v>
      </c>
      <c r="T5348" s="2" t="s">
        <v>149</v>
      </c>
      <c r="U5348" s="2" t="s">
        <v>41</v>
      </c>
      <c r="V5348" s="2" t="s">
        <v>59</v>
      </c>
      <c r="W5348" s="2">
        <v>38.799999999999997</v>
      </c>
      <c r="X5348" s="2">
        <v>0</v>
      </c>
      <c r="Y5348" s="2" t="s">
        <v>141</v>
      </c>
      <c r="Z5348" s="2" t="s">
        <v>13731</v>
      </c>
      <c r="AA5348" s="2">
        <v>-0.44478978210651998</v>
      </c>
      <c r="AB5348" s="2">
        <v>8.8638965103314094E-2</v>
      </c>
      <c r="AC5348" s="2">
        <v>26872.423217061601</v>
      </c>
      <c r="AD5348" s="2">
        <v>25796.711814157501</v>
      </c>
      <c r="AE5348" s="2">
        <v>27133.492454429899</v>
      </c>
      <c r="AF5348" s="2">
        <v>28201.810622780598</v>
      </c>
      <c r="AG5348" s="2">
        <v>26387.5932092925</v>
      </c>
      <c r="AH5348" s="2">
        <v>25025.260744308802</v>
      </c>
      <c r="AI5348" s="2">
        <v>26043.519545131101</v>
      </c>
      <c r="AJ5348" s="2">
        <v>28442.862726427</v>
      </c>
      <c r="AK5348" s="2">
        <v>26081.232403612299</v>
      </c>
      <c r="AL5348" s="2">
        <v>26198.653572343599</v>
      </c>
      <c r="AM5348" s="2">
        <v>27116.279559131999</v>
      </c>
      <c r="AN5348" s="2">
        <v>25158.324910972799</v>
      </c>
      <c r="AO5348" s="2">
        <v>24817.255469371099</v>
      </c>
      <c r="AP5348" s="2">
        <v>25408.524969513001</v>
      </c>
    </row>
    <row r="5349" spans="1:42" ht="14.5" x14ac:dyDescent="0.35">
      <c r="A5349" s="2" t="s">
        <v>35474</v>
      </c>
      <c r="B5349" s="2">
        <v>669.25731288157294</v>
      </c>
      <c r="C5349" s="2">
        <v>3.7494000000000001</v>
      </c>
      <c r="D5349" s="2" t="s">
        <v>70</v>
      </c>
      <c r="E5349" s="2" t="s">
        <v>35475</v>
      </c>
      <c r="F5349" s="2">
        <v>47058</v>
      </c>
      <c r="G5349" s="3" t="str">
        <f>HYPERLINK("http://funmeta.oebiotech.com/network/47058", "http://funmeta.oebiotech.com/network/47058")</f>
        <v>http://funmeta.oebiotech.com/network/47058</v>
      </c>
      <c r="H5349" s="2" t="s">
        <v>35476</v>
      </c>
      <c r="I5349" s="2">
        <v>5476</v>
      </c>
      <c r="J5349" s="2"/>
      <c r="K5349" s="2">
        <v>17261</v>
      </c>
      <c r="L5349" s="2" t="s">
        <v>35477</v>
      </c>
      <c r="M5349" s="2"/>
      <c r="N5349" s="2"/>
      <c r="O5349" s="2">
        <v>123826</v>
      </c>
      <c r="P5349" s="2" t="s">
        <v>35478</v>
      </c>
      <c r="Q5349" s="2" t="s">
        <v>35479</v>
      </c>
      <c r="R5349" s="2" t="s">
        <v>35480</v>
      </c>
      <c r="S5349" s="2" t="s">
        <v>79</v>
      </c>
      <c r="T5349" s="2" t="s">
        <v>80</v>
      </c>
      <c r="U5349" s="2" t="s">
        <v>81</v>
      </c>
      <c r="V5349" s="2" t="s">
        <v>59</v>
      </c>
      <c r="W5349" s="2">
        <v>37.9</v>
      </c>
      <c r="X5349" s="2">
        <v>0</v>
      </c>
      <c r="Y5349" s="2" t="s">
        <v>560</v>
      </c>
      <c r="Z5349" s="2" t="s">
        <v>35481</v>
      </c>
      <c r="AA5349" s="2">
        <v>-1.70078086539291</v>
      </c>
      <c r="AB5349" s="2">
        <v>8.85773446561329E-2</v>
      </c>
      <c r="AC5349" s="2">
        <v>1040.10615300724</v>
      </c>
      <c r="AD5349" s="2">
        <v>1820.1760527153699</v>
      </c>
      <c r="AE5349" s="2">
        <v>957.32975292931405</v>
      </c>
      <c r="AF5349" s="2">
        <v>784.05278126310998</v>
      </c>
      <c r="AG5349" s="2">
        <v>1114.6757477957101</v>
      </c>
      <c r="AH5349" s="2">
        <v>1034.20494153138</v>
      </c>
      <c r="AI5349" s="2">
        <v>1212.26751727389</v>
      </c>
      <c r="AJ5349" s="2">
        <v>1138.10617725002</v>
      </c>
      <c r="AK5349" s="2">
        <v>1475.9518271847201</v>
      </c>
      <c r="AL5349" s="2">
        <v>2924.9464036730301</v>
      </c>
      <c r="AM5349" s="2">
        <v>2237.7167148047101</v>
      </c>
      <c r="AN5349" s="2">
        <v>1552.15771475983</v>
      </c>
      <c r="AO5349" s="2">
        <v>1031.7233121187201</v>
      </c>
      <c r="AP5349" s="2">
        <v>1698.5603437512</v>
      </c>
    </row>
    <row r="5350" spans="1:42" ht="14.5" x14ac:dyDescent="0.35">
      <c r="A5350" s="2" t="s">
        <v>35482</v>
      </c>
      <c r="B5350" s="2">
        <v>195.13832312957601</v>
      </c>
      <c r="C5350" s="2">
        <v>9.3708500000000008</v>
      </c>
      <c r="D5350" s="2" t="s">
        <v>70</v>
      </c>
      <c r="E5350" s="2" t="s">
        <v>35483</v>
      </c>
      <c r="F5350" s="2">
        <v>58838</v>
      </c>
      <c r="G5350" s="3" t="str">
        <f>HYPERLINK("http://funmeta.oebiotech.com/network/58838", "http://funmeta.oebiotech.com/network/58838")</f>
        <v>http://funmeta.oebiotech.com/network/58838</v>
      </c>
      <c r="H5350" s="2" t="s">
        <v>35484</v>
      </c>
      <c r="I5350" s="2">
        <v>90291</v>
      </c>
      <c r="J5350" s="2"/>
      <c r="K5350" s="2"/>
      <c r="L5350" s="2"/>
      <c r="M5350" s="2"/>
      <c r="N5350" s="2"/>
      <c r="O5350" s="2">
        <v>12367055</v>
      </c>
      <c r="P5350" s="2" t="s">
        <v>35485</v>
      </c>
      <c r="Q5350" s="2" t="s">
        <v>35486</v>
      </c>
      <c r="R5350" s="2" t="s">
        <v>35487</v>
      </c>
      <c r="S5350" s="2" t="s">
        <v>491</v>
      </c>
      <c r="T5350" s="2" t="s">
        <v>35488</v>
      </c>
      <c r="U5350" s="2" t="s">
        <v>41</v>
      </c>
      <c r="V5350" s="2" t="s">
        <v>59</v>
      </c>
      <c r="W5350" s="2">
        <v>40.299999999999997</v>
      </c>
      <c r="X5350" s="2">
        <v>9.0399999999999991</v>
      </c>
      <c r="Y5350" s="2" t="s">
        <v>118</v>
      </c>
      <c r="Z5350" s="2" t="s">
        <v>24400</v>
      </c>
      <c r="AA5350" s="2">
        <v>-3.7233372862023</v>
      </c>
      <c r="AB5350" s="2">
        <v>8.8527689723525399E-2</v>
      </c>
      <c r="AC5350" s="2">
        <v>8952.8763576502497</v>
      </c>
      <c r="AD5350" s="2">
        <v>9745.3335894821394</v>
      </c>
      <c r="AE5350" s="2">
        <v>8605.6018891746007</v>
      </c>
      <c r="AF5350" s="2">
        <v>9508.1942579078896</v>
      </c>
      <c r="AG5350" s="2">
        <v>9371.7155421500502</v>
      </c>
      <c r="AH5350" s="2">
        <v>8453.7369797694191</v>
      </c>
      <c r="AI5350" s="2">
        <v>8788.31869658305</v>
      </c>
      <c r="AJ5350" s="2">
        <v>8989.6907803164795</v>
      </c>
      <c r="AK5350" s="2">
        <v>10167.7247147213</v>
      </c>
      <c r="AL5350" s="2">
        <v>9818.4520460700005</v>
      </c>
      <c r="AM5350" s="2">
        <v>9996.7265312193795</v>
      </c>
      <c r="AN5350" s="2">
        <v>9407.0440229208307</v>
      </c>
      <c r="AO5350" s="2">
        <v>10316.7907764826</v>
      </c>
      <c r="AP5350" s="2">
        <v>8765.2634454787003</v>
      </c>
    </row>
    <row r="5351" spans="1:42" ht="14.5" x14ac:dyDescent="0.35">
      <c r="A5351" s="2" t="s">
        <v>35489</v>
      </c>
      <c r="B5351" s="2">
        <v>295.02369070240599</v>
      </c>
      <c r="C5351" s="2">
        <v>1.3655666666666699</v>
      </c>
      <c r="D5351" s="2" t="s">
        <v>34</v>
      </c>
      <c r="E5351" s="2" t="s">
        <v>35490</v>
      </c>
      <c r="F5351" s="2">
        <v>82010</v>
      </c>
      <c r="G5351" s="3" t="str">
        <f>HYPERLINK("http://funmeta.oebiotech.com/network/82010", "http://funmeta.oebiotech.com/network/82010")</f>
        <v>http://funmeta.oebiotech.com/network/82010</v>
      </c>
      <c r="H5351" s="2" t="s">
        <v>35491</v>
      </c>
      <c r="I5351" s="2"/>
      <c r="J5351" s="2"/>
      <c r="K5351" s="2">
        <v>88750</v>
      </c>
      <c r="L5351" s="2"/>
      <c r="M5351" s="2"/>
      <c r="N5351" s="2"/>
      <c r="O5351" s="2">
        <v>124202065</v>
      </c>
      <c r="P5351" s="2"/>
      <c r="Q5351" s="2" t="s">
        <v>35492</v>
      </c>
      <c r="R5351" s="2" t="s">
        <v>35493</v>
      </c>
      <c r="S5351" s="2" t="s">
        <v>89</v>
      </c>
      <c r="T5351" s="2" t="s">
        <v>1773</v>
      </c>
      <c r="U5351" s="2" t="s">
        <v>21134</v>
      </c>
      <c r="V5351" s="2" t="s">
        <v>59</v>
      </c>
      <c r="W5351" s="2">
        <v>37.5</v>
      </c>
      <c r="X5351" s="2">
        <v>4.4999999999999998E-2</v>
      </c>
      <c r="Y5351" s="2" t="s">
        <v>323</v>
      </c>
      <c r="Z5351" s="2" t="s">
        <v>35494</v>
      </c>
      <c r="AA5351" s="2">
        <v>-3.63584878704585</v>
      </c>
      <c r="AB5351" s="2">
        <v>8.8493740446257296E-2</v>
      </c>
      <c r="AC5351" s="2">
        <v>8129.1546973587201</v>
      </c>
      <c r="AD5351" s="2">
        <v>6993.2092741819497</v>
      </c>
      <c r="AE5351" s="2">
        <v>8582.1149611637793</v>
      </c>
      <c r="AF5351" s="2">
        <v>8016.9912071894196</v>
      </c>
      <c r="AG5351" s="2">
        <v>7486.0766758817799</v>
      </c>
      <c r="AH5351" s="2">
        <v>10292.7507278536</v>
      </c>
      <c r="AI5351" s="2">
        <v>7418.1739094065197</v>
      </c>
      <c r="AJ5351" s="2">
        <v>6978.82070265725</v>
      </c>
      <c r="AK5351" s="2">
        <v>9287.3860291836099</v>
      </c>
      <c r="AL5351" s="2">
        <v>6925.84197195868</v>
      </c>
      <c r="AM5351" s="2">
        <v>6593.5926939479205</v>
      </c>
      <c r="AN5351" s="2">
        <v>5971.6331070168999</v>
      </c>
      <c r="AO5351" s="2">
        <v>7470.07246738098</v>
      </c>
      <c r="AP5351" s="2">
        <v>5710.7293756035997</v>
      </c>
    </row>
    <row r="5352" spans="1:42" ht="14.5" x14ac:dyDescent="0.35">
      <c r="A5352" s="2" t="s">
        <v>35495</v>
      </c>
      <c r="B5352" s="2">
        <v>424.14598779678602</v>
      </c>
      <c r="C5352" s="2">
        <v>4.84418333333333</v>
      </c>
      <c r="D5352" s="2" t="s">
        <v>70</v>
      </c>
      <c r="E5352" s="2" t="s">
        <v>35496</v>
      </c>
      <c r="F5352" s="2">
        <v>206759</v>
      </c>
      <c r="G5352" s="3" t="str">
        <f>HYPERLINK("http://funmeta.oebiotech.com/network/206759", "http://funmeta.oebiotech.com/network/206759")</f>
        <v>http://funmeta.oebiotech.com/network/206759</v>
      </c>
      <c r="H5352" s="2" t="s">
        <v>35497</v>
      </c>
      <c r="I5352" s="2">
        <v>410229</v>
      </c>
      <c r="J5352" s="2"/>
      <c r="K5352" s="2"/>
      <c r="L5352" s="2"/>
      <c r="M5352" s="2"/>
      <c r="N5352" s="2"/>
      <c r="O5352" s="2">
        <v>49831257</v>
      </c>
      <c r="P5352" s="2"/>
      <c r="Q5352" s="2" t="s">
        <v>35498</v>
      </c>
      <c r="R5352" s="2" t="s">
        <v>35499</v>
      </c>
      <c r="S5352" s="2" t="s">
        <v>491</v>
      </c>
      <c r="T5352" s="2" t="s">
        <v>2238</v>
      </c>
      <c r="U5352" s="2" t="s">
        <v>6482</v>
      </c>
      <c r="V5352" s="2" t="s">
        <v>59</v>
      </c>
      <c r="W5352" s="2">
        <v>37.200000000000003</v>
      </c>
      <c r="X5352" s="2">
        <v>0</v>
      </c>
      <c r="Y5352" s="2" t="s">
        <v>118</v>
      </c>
      <c r="Z5352" s="2" t="s">
        <v>35500</v>
      </c>
      <c r="AA5352" s="2">
        <v>2.5957965122776101</v>
      </c>
      <c r="AB5352" s="2">
        <v>8.8479094630202995E-2</v>
      </c>
      <c r="AC5352" s="2">
        <v>4112.3973309550302</v>
      </c>
      <c r="AD5352" s="2">
        <v>5226.6597602290803</v>
      </c>
      <c r="AE5352" s="2">
        <v>3113.6339743848798</v>
      </c>
      <c r="AF5352" s="2">
        <v>6683.0225724624397</v>
      </c>
      <c r="AG5352" s="2">
        <v>4264.1050099280601</v>
      </c>
      <c r="AH5352" s="2">
        <v>4490.6096908320196</v>
      </c>
      <c r="AI5352" s="2">
        <v>3150.6544094443798</v>
      </c>
      <c r="AJ5352" s="2">
        <v>2972.3583286784001</v>
      </c>
      <c r="AK5352" s="2">
        <v>5305.03326268819</v>
      </c>
      <c r="AL5352" s="2">
        <v>5943.8886613436398</v>
      </c>
      <c r="AM5352" s="2">
        <v>4079.2470030260902</v>
      </c>
      <c r="AN5352" s="2">
        <v>6080.3480980488603</v>
      </c>
      <c r="AO5352" s="2">
        <v>5475.6139005740897</v>
      </c>
      <c r="AP5352" s="2">
        <v>4475.8276356936303</v>
      </c>
    </row>
    <row r="5353" spans="1:42" ht="14.5" x14ac:dyDescent="0.35">
      <c r="A5353" s="2" t="s">
        <v>35501</v>
      </c>
      <c r="B5353" s="2">
        <v>400.14548685564199</v>
      </c>
      <c r="C5353" s="2">
        <v>1.4777166666666699</v>
      </c>
      <c r="D5353" s="2" t="s">
        <v>34</v>
      </c>
      <c r="E5353" s="2" t="s">
        <v>35502</v>
      </c>
      <c r="F5353" s="2">
        <v>205902</v>
      </c>
      <c r="G5353" s="3" t="str">
        <f>HYPERLINK("http://funmeta.oebiotech.com/network/205902", "http://funmeta.oebiotech.com/network/205902")</f>
        <v>http://funmeta.oebiotech.com/network/205902</v>
      </c>
      <c r="H5353" s="2" t="s">
        <v>35503</v>
      </c>
      <c r="I5353" s="2">
        <v>68932</v>
      </c>
      <c r="J5353" s="2"/>
      <c r="K5353" s="2">
        <v>4537</v>
      </c>
      <c r="L5353" s="2" t="s">
        <v>35504</v>
      </c>
      <c r="M5353" s="2"/>
      <c r="N5353" s="2"/>
      <c r="O5353" s="2">
        <v>56206</v>
      </c>
      <c r="P5353" s="2" t="s">
        <v>35505</v>
      </c>
      <c r="Q5353" s="2" t="s">
        <v>35506</v>
      </c>
      <c r="R5353" s="2" t="s">
        <v>35507</v>
      </c>
      <c r="S5353" s="2" t="s">
        <v>491</v>
      </c>
      <c r="T5353" s="2" t="s">
        <v>1516</v>
      </c>
      <c r="U5353" s="2" t="s">
        <v>5320</v>
      </c>
      <c r="V5353" s="2" t="s">
        <v>59</v>
      </c>
      <c r="W5353" s="2">
        <v>36.6</v>
      </c>
      <c r="X5353" s="2">
        <v>0</v>
      </c>
      <c r="Y5353" s="2" t="s">
        <v>394</v>
      </c>
      <c r="Z5353" s="2" t="s">
        <v>35508</v>
      </c>
      <c r="AA5353" s="2">
        <v>-3.1004170965895601</v>
      </c>
      <c r="AB5353" s="2">
        <v>8.8276516002491506E-2</v>
      </c>
      <c r="AC5353" s="2">
        <v>7373.7195730392796</v>
      </c>
      <c r="AD5353" s="2">
        <v>8280.6261969282896</v>
      </c>
      <c r="AE5353" s="2">
        <v>7286.0360855585895</v>
      </c>
      <c r="AF5353" s="2">
        <v>7958.1765636539403</v>
      </c>
      <c r="AG5353" s="2">
        <v>7598.2972000278896</v>
      </c>
      <c r="AH5353" s="2">
        <v>7455.3099516403799</v>
      </c>
      <c r="AI5353" s="2">
        <v>7246.8930471002304</v>
      </c>
      <c r="AJ5353" s="2">
        <v>6697.6045902546402</v>
      </c>
      <c r="AK5353" s="2">
        <v>7516.7040223577696</v>
      </c>
      <c r="AL5353" s="2">
        <v>9742.6073030377502</v>
      </c>
      <c r="AM5353" s="2">
        <v>9120.1563418558198</v>
      </c>
      <c r="AN5353" s="2">
        <v>7860.6447289596399</v>
      </c>
      <c r="AO5353" s="2">
        <v>7608.7240705628401</v>
      </c>
      <c r="AP5353" s="2">
        <v>7834.9207147959396</v>
      </c>
    </row>
    <row r="5354" spans="1:42" ht="14.5" x14ac:dyDescent="0.35">
      <c r="A5354" s="2" t="s">
        <v>35509</v>
      </c>
      <c r="B5354" s="2">
        <v>421.25941508713498</v>
      </c>
      <c r="C5354" s="2">
        <v>10.835366666666699</v>
      </c>
      <c r="D5354" s="2" t="s">
        <v>70</v>
      </c>
      <c r="E5354" s="2" t="s">
        <v>35510</v>
      </c>
      <c r="F5354" s="2">
        <v>10443</v>
      </c>
      <c r="G5354" s="3" t="str">
        <f>HYPERLINK("http://funmeta.oebiotech.com/network/10443", "http://funmeta.oebiotech.com/network/10443")</f>
        <v>http://funmeta.oebiotech.com/network/10443</v>
      </c>
      <c r="H5354" s="2" t="s">
        <v>35511</v>
      </c>
      <c r="I5354" s="2">
        <v>62333</v>
      </c>
      <c r="J5354" s="2" t="s">
        <v>35512</v>
      </c>
      <c r="K5354" s="2">
        <v>86398</v>
      </c>
      <c r="L5354" s="2"/>
      <c r="M5354" s="2"/>
      <c r="N5354" s="2"/>
      <c r="O5354" s="2">
        <v>11660820</v>
      </c>
      <c r="P5354" s="2"/>
      <c r="Q5354" s="2" t="s">
        <v>35513</v>
      </c>
      <c r="R5354" s="2" t="s">
        <v>35514</v>
      </c>
      <c r="S5354" s="2" t="s">
        <v>50</v>
      </c>
      <c r="T5354" s="2" t="s">
        <v>18921</v>
      </c>
      <c r="U5354" s="2" t="s">
        <v>41</v>
      </c>
      <c r="V5354" s="2" t="s">
        <v>59</v>
      </c>
      <c r="W5354" s="2">
        <v>39.4</v>
      </c>
      <c r="X5354" s="2">
        <v>0.19600000000000001</v>
      </c>
      <c r="Y5354" s="2" t="s">
        <v>408</v>
      </c>
      <c r="Z5354" s="2" t="s">
        <v>35515</v>
      </c>
      <c r="AA5354" s="2">
        <v>-0.39179049707861302</v>
      </c>
      <c r="AB5354" s="2">
        <v>8.8233267211323393E-2</v>
      </c>
      <c r="AC5354" s="2">
        <v>16943.602549774001</v>
      </c>
      <c r="AD5354" s="2">
        <v>15505.7403215746</v>
      </c>
      <c r="AE5354" s="2">
        <v>16737.425140260199</v>
      </c>
      <c r="AF5354" s="2">
        <v>13439.2475504879</v>
      </c>
      <c r="AG5354" s="2">
        <v>15684.476027786601</v>
      </c>
      <c r="AH5354" s="2">
        <v>19967.450056300899</v>
      </c>
      <c r="AI5354" s="2">
        <v>17785.7984043793</v>
      </c>
      <c r="AJ5354" s="2">
        <v>18047.218119428799</v>
      </c>
      <c r="AK5354" s="2">
        <v>13776.7087374365</v>
      </c>
      <c r="AL5354" s="2">
        <v>13554.887955591401</v>
      </c>
      <c r="AM5354" s="2">
        <v>14796.5111418243</v>
      </c>
      <c r="AN5354" s="2">
        <v>16608.092513645799</v>
      </c>
      <c r="AO5354" s="2">
        <v>16383.6969220585</v>
      </c>
      <c r="AP5354" s="2">
        <v>17914.544658891398</v>
      </c>
    </row>
    <row r="5355" spans="1:42" ht="14.5" x14ac:dyDescent="0.35">
      <c r="A5355" s="2" t="s">
        <v>35516</v>
      </c>
      <c r="B5355" s="2">
        <v>567.28077754105095</v>
      </c>
      <c r="C5355" s="2">
        <v>7.2157999999999998</v>
      </c>
      <c r="D5355" s="2" t="s">
        <v>70</v>
      </c>
      <c r="E5355" s="2" t="s">
        <v>35517</v>
      </c>
      <c r="F5355" s="2">
        <v>205955</v>
      </c>
      <c r="G5355" s="3" t="str">
        <f>HYPERLINK("http://funmeta.oebiotech.com/network/205955", "http://funmeta.oebiotech.com/network/205955")</f>
        <v>http://funmeta.oebiotech.com/network/205955</v>
      </c>
      <c r="H5355" s="2" t="s">
        <v>35518</v>
      </c>
      <c r="I5355" s="2"/>
      <c r="J5355" s="2"/>
      <c r="K5355" s="2"/>
      <c r="L5355" s="2"/>
      <c r="M5355" s="2"/>
      <c r="N5355" s="2"/>
      <c r="O5355" s="2">
        <v>3068</v>
      </c>
      <c r="P5355" s="2"/>
      <c r="Q5355" s="2" t="s">
        <v>35519</v>
      </c>
      <c r="R5355" s="2" t="s">
        <v>35520</v>
      </c>
      <c r="S5355" s="2" t="s">
        <v>50</v>
      </c>
      <c r="T5355" s="2" t="s">
        <v>124</v>
      </c>
      <c r="U5355" s="2" t="s">
        <v>567</v>
      </c>
      <c r="V5355" s="2" t="s">
        <v>42</v>
      </c>
      <c r="W5355" s="2">
        <v>54.7</v>
      </c>
      <c r="X5355" s="2">
        <v>79.400000000000006</v>
      </c>
      <c r="Y5355" s="2" t="s">
        <v>792</v>
      </c>
      <c r="Z5355" s="2" t="s">
        <v>35521</v>
      </c>
      <c r="AA5355" s="2">
        <v>-0.52575380125750804</v>
      </c>
      <c r="AB5355" s="2">
        <v>8.8205521897169403E-2</v>
      </c>
      <c r="AC5355" s="2">
        <v>137683.598429251</v>
      </c>
      <c r="AD5355" s="2">
        <v>139415.67163649699</v>
      </c>
      <c r="AE5355" s="2">
        <v>140605.23752451999</v>
      </c>
      <c r="AF5355" s="2">
        <v>133369.001120984</v>
      </c>
      <c r="AG5355" s="2">
        <v>137437.48855529501</v>
      </c>
      <c r="AH5355" s="2">
        <v>140689.14990663499</v>
      </c>
      <c r="AI5355" s="2">
        <v>141341.98049283499</v>
      </c>
      <c r="AJ5355" s="2">
        <v>132658.73297523599</v>
      </c>
      <c r="AK5355" s="2">
        <v>139240.21151058801</v>
      </c>
      <c r="AL5355" s="2">
        <v>142772.717751391</v>
      </c>
      <c r="AM5355" s="2">
        <v>141331.590108676</v>
      </c>
      <c r="AN5355" s="2">
        <v>138494.95347815799</v>
      </c>
      <c r="AO5355" s="2">
        <v>137138.472109808</v>
      </c>
      <c r="AP5355" s="2">
        <v>137516.08486035999</v>
      </c>
    </row>
    <row r="5356" spans="1:42" ht="14.5" x14ac:dyDescent="0.35">
      <c r="A5356" s="2" t="s">
        <v>35522</v>
      </c>
      <c r="B5356" s="2">
        <v>169.049503040064</v>
      </c>
      <c r="C5356" s="2">
        <v>4.1233166666666703</v>
      </c>
      <c r="D5356" s="2" t="s">
        <v>34</v>
      </c>
      <c r="E5356" s="2" t="s">
        <v>35523</v>
      </c>
      <c r="F5356" s="2">
        <v>257238</v>
      </c>
      <c r="G5356" s="3" t="str">
        <f>HYPERLINK("http://funmeta.oebiotech.com/network/257238", "http://funmeta.oebiotech.com/network/257238")</f>
        <v>http://funmeta.oebiotech.com/network/257238</v>
      </c>
      <c r="H5356" s="2" t="s">
        <v>35524</v>
      </c>
      <c r="I5356" s="2"/>
      <c r="J5356" s="2"/>
      <c r="K5356" s="2"/>
      <c r="L5356" s="2"/>
      <c r="M5356" s="2"/>
      <c r="N5356" s="2"/>
      <c r="O5356" s="2"/>
      <c r="P5356" s="2"/>
      <c r="Q5356" s="2" t="s">
        <v>35525</v>
      </c>
      <c r="R5356" s="2" t="s">
        <v>35526</v>
      </c>
      <c r="S5356" s="2" t="s">
        <v>89</v>
      </c>
      <c r="T5356" s="2" t="s">
        <v>894</v>
      </c>
      <c r="U5356" s="2" t="s">
        <v>895</v>
      </c>
      <c r="V5356" s="2" t="s">
        <v>59</v>
      </c>
      <c r="W5356" s="2">
        <v>39.200000000000003</v>
      </c>
      <c r="X5356" s="2">
        <v>0</v>
      </c>
      <c r="Y5356" s="2" t="s">
        <v>394</v>
      </c>
      <c r="Z5356" s="2" t="s">
        <v>35527</v>
      </c>
      <c r="AA5356" s="2">
        <v>-2.0403029263531498</v>
      </c>
      <c r="AB5356" s="2">
        <v>8.8148879794589297E-2</v>
      </c>
      <c r="AC5356" s="2">
        <v>11676.261687153899</v>
      </c>
      <c r="AD5356" s="2">
        <v>12421.274937983</v>
      </c>
      <c r="AE5356" s="2">
        <v>10941.2886790587</v>
      </c>
      <c r="AF5356" s="2">
        <v>11846.791029694299</v>
      </c>
      <c r="AG5356" s="2">
        <v>11914.248518938901</v>
      </c>
      <c r="AH5356" s="2">
        <v>11412.338338780901</v>
      </c>
      <c r="AI5356" s="2">
        <v>11751.380339662401</v>
      </c>
      <c r="AJ5356" s="2">
        <v>12191.523216788401</v>
      </c>
      <c r="AK5356" s="2">
        <v>12441.5104212159</v>
      </c>
      <c r="AL5356" s="2">
        <v>12567.795038341899</v>
      </c>
      <c r="AM5356" s="2">
        <v>11878.6976292978</v>
      </c>
      <c r="AN5356" s="2">
        <v>12027.211681310901</v>
      </c>
      <c r="AO5356" s="2">
        <v>12556.481936656601</v>
      </c>
      <c r="AP5356" s="2">
        <v>13055.952921075201</v>
      </c>
    </row>
    <row r="5357" spans="1:42" ht="14.5" x14ac:dyDescent="0.35">
      <c r="A5357" s="2" t="s">
        <v>35528</v>
      </c>
      <c r="B5357" s="2">
        <v>235.04625091714399</v>
      </c>
      <c r="C5357" s="2">
        <v>0.73473333333333302</v>
      </c>
      <c r="D5357" s="2" t="s">
        <v>34</v>
      </c>
      <c r="E5357" s="2" t="s">
        <v>35529</v>
      </c>
      <c r="F5357" s="2">
        <v>212537</v>
      </c>
      <c r="G5357" s="3" t="str">
        <f>HYPERLINK("http://funmeta.oebiotech.com/network/212537", "http://funmeta.oebiotech.com/network/212537")</f>
        <v>http://funmeta.oebiotech.com/network/212537</v>
      </c>
      <c r="H5357" s="2" t="s">
        <v>35530</v>
      </c>
      <c r="I5357" s="2">
        <v>454041</v>
      </c>
      <c r="J5357" s="2"/>
      <c r="K5357" s="2"/>
      <c r="L5357" s="2"/>
      <c r="M5357" s="2"/>
      <c r="N5357" s="2"/>
      <c r="O5357" s="2">
        <v>89105</v>
      </c>
      <c r="P5357" s="2"/>
      <c r="Q5357" s="2" t="s">
        <v>35531</v>
      </c>
      <c r="R5357" s="2" t="s">
        <v>35532</v>
      </c>
      <c r="S5357" s="2" t="s">
        <v>148</v>
      </c>
      <c r="T5357" s="2" t="s">
        <v>149</v>
      </c>
      <c r="U5357" s="2" t="s">
        <v>150</v>
      </c>
      <c r="V5357" s="2" t="s">
        <v>59</v>
      </c>
      <c r="W5357" s="2">
        <v>37.6</v>
      </c>
      <c r="X5357" s="2">
        <v>0</v>
      </c>
      <c r="Y5357" s="2" t="s">
        <v>141</v>
      </c>
      <c r="Z5357" s="2" t="s">
        <v>35533</v>
      </c>
      <c r="AA5357" s="2">
        <v>0.27690430796579701</v>
      </c>
      <c r="AB5357" s="2">
        <v>8.8118630476987606E-2</v>
      </c>
      <c r="AC5357" s="2">
        <v>4418.5571981757703</v>
      </c>
      <c r="AD5357" s="2">
        <v>5840.5475240921296</v>
      </c>
      <c r="AE5357" s="2">
        <v>5160.1611844854096</v>
      </c>
      <c r="AF5357" s="2">
        <v>3862.1138845195301</v>
      </c>
      <c r="AG5357" s="2">
        <v>7090.0156481415297</v>
      </c>
      <c r="AH5357" s="2">
        <v>2788.3945987350899</v>
      </c>
      <c r="AI5357" s="2">
        <v>3565.0020778725402</v>
      </c>
      <c r="AJ5357" s="2">
        <v>4045.6557953005399</v>
      </c>
      <c r="AK5357" s="2">
        <v>6121.5159656399401</v>
      </c>
      <c r="AL5357" s="2">
        <v>4501.9764993342797</v>
      </c>
      <c r="AM5357" s="2">
        <v>10559.2602499563</v>
      </c>
      <c r="AN5357" s="2">
        <v>5032.4457365648404</v>
      </c>
      <c r="AO5357" s="2">
        <v>4812.8369403430397</v>
      </c>
      <c r="AP5357" s="2">
        <v>4015.2497527143801</v>
      </c>
    </row>
    <row r="5358" spans="1:42" ht="14.5" x14ac:dyDescent="0.35">
      <c r="A5358" s="2" t="s">
        <v>35534</v>
      </c>
      <c r="B5358" s="2">
        <v>213.048705550189</v>
      </c>
      <c r="C5358" s="2">
        <v>0.68486666666666696</v>
      </c>
      <c r="D5358" s="2" t="s">
        <v>70</v>
      </c>
      <c r="E5358" s="2" t="s">
        <v>35535</v>
      </c>
      <c r="F5358" s="2">
        <v>58891</v>
      </c>
      <c r="G5358" s="3" t="str">
        <f>HYPERLINK("http://funmeta.oebiotech.com/network/58891", "http://funmeta.oebiotech.com/network/58891")</f>
        <v>http://funmeta.oebiotech.com/network/58891</v>
      </c>
      <c r="H5358" s="2" t="s">
        <v>35536</v>
      </c>
      <c r="I5358" s="2">
        <v>90335</v>
      </c>
      <c r="J5358" s="2"/>
      <c r="K5358" s="2">
        <v>171879</v>
      </c>
      <c r="L5358" s="2"/>
      <c r="M5358" s="2"/>
      <c r="N5358" s="2"/>
      <c r="O5358" s="2">
        <v>11275932</v>
      </c>
      <c r="P5358" s="2" t="s">
        <v>35537</v>
      </c>
      <c r="Q5358" s="2" t="s">
        <v>35538</v>
      </c>
      <c r="R5358" s="2" t="s">
        <v>35539</v>
      </c>
      <c r="S5358" s="2" t="s">
        <v>491</v>
      </c>
      <c r="T5358" s="2" t="s">
        <v>2184</v>
      </c>
      <c r="U5358" s="2" t="s">
        <v>3858</v>
      </c>
      <c r="V5358" s="2" t="s">
        <v>59</v>
      </c>
      <c r="W5358" s="2">
        <v>36.799999999999997</v>
      </c>
      <c r="X5358" s="2">
        <v>0</v>
      </c>
      <c r="Y5358" s="2" t="s">
        <v>118</v>
      </c>
      <c r="Z5358" s="2" t="s">
        <v>35540</v>
      </c>
      <c r="AA5358" s="2">
        <v>-2.27672685064308</v>
      </c>
      <c r="AB5358" s="2">
        <v>8.8030634096264604E-2</v>
      </c>
      <c r="AC5358" s="2">
        <v>1055.33917643368</v>
      </c>
      <c r="AD5358" s="2">
        <v>322.36657528807098</v>
      </c>
      <c r="AE5358" s="2">
        <v>490.78987790347998</v>
      </c>
      <c r="AF5358" s="2">
        <v>901.88413439590602</v>
      </c>
      <c r="AG5358" s="2">
        <v>1806.64347332745</v>
      </c>
      <c r="AH5358" s="2">
        <v>1335.52689567373</v>
      </c>
      <c r="AI5358" s="2">
        <v>454.27367792324202</v>
      </c>
      <c r="AJ5358" s="2">
        <v>1342.91699937829</v>
      </c>
      <c r="AK5358" s="2">
        <v>2.7106294003980101E-5</v>
      </c>
      <c r="AL5358" s="2">
        <v>187.644909105777</v>
      </c>
      <c r="AM5358" s="2">
        <v>149.08095844152001</v>
      </c>
      <c r="AN5358" s="2">
        <v>298.22157239190898</v>
      </c>
      <c r="AO5358" s="2">
        <v>577.82464425565502</v>
      </c>
      <c r="AP5358" s="2">
        <v>721.42734042727398</v>
      </c>
    </row>
    <row r="5359" spans="1:42" ht="14.5" x14ac:dyDescent="0.35">
      <c r="A5359" s="2" t="s">
        <v>35541</v>
      </c>
      <c r="B5359" s="2">
        <v>605.19293520006102</v>
      </c>
      <c r="C5359" s="2">
        <v>1.05673333333333</v>
      </c>
      <c r="D5359" s="2" t="s">
        <v>70</v>
      </c>
      <c r="E5359" s="2" t="s">
        <v>35542</v>
      </c>
      <c r="F5359" s="2">
        <v>53419</v>
      </c>
      <c r="G5359" s="3" t="str">
        <f>HYPERLINK("http://funmeta.oebiotech.com/network/53419", "http://funmeta.oebiotech.com/network/53419")</f>
        <v>http://funmeta.oebiotech.com/network/53419</v>
      </c>
      <c r="H5359" s="2" t="s">
        <v>35543</v>
      </c>
      <c r="I5359" s="2">
        <v>2724</v>
      </c>
      <c r="J5359" s="2"/>
      <c r="K5359" s="2">
        <v>5103</v>
      </c>
      <c r="L5359" s="2" t="s">
        <v>35544</v>
      </c>
      <c r="M5359" s="2"/>
      <c r="N5359" s="2"/>
      <c r="O5359" s="2">
        <v>3373</v>
      </c>
      <c r="P5359" s="2" t="s">
        <v>35545</v>
      </c>
      <c r="Q5359" s="2" t="s">
        <v>35546</v>
      </c>
      <c r="R5359" s="2" t="s">
        <v>35547</v>
      </c>
      <c r="S5359" s="2" t="s">
        <v>491</v>
      </c>
      <c r="T5359" s="2" t="s">
        <v>2653</v>
      </c>
      <c r="U5359" s="2" t="s">
        <v>12620</v>
      </c>
      <c r="V5359" s="2" t="s">
        <v>59</v>
      </c>
      <c r="W5359" s="2">
        <v>38.299999999999997</v>
      </c>
      <c r="X5359" s="2">
        <v>0</v>
      </c>
      <c r="Y5359" s="2" t="s">
        <v>560</v>
      </c>
      <c r="Z5359" s="2" t="s">
        <v>35548</v>
      </c>
      <c r="AA5359" s="2">
        <v>-5.98388169905909</v>
      </c>
      <c r="AB5359" s="2">
        <v>8.8008247477048093E-2</v>
      </c>
      <c r="AC5359" s="2">
        <v>8137.8743999259495</v>
      </c>
      <c r="AD5359" s="2">
        <v>9556.5647801041196</v>
      </c>
      <c r="AE5359" s="2">
        <v>9411.8707490942907</v>
      </c>
      <c r="AF5359" s="2">
        <v>8075.4439978014198</v>
      </c>
      <c r="AG5359" s="2">
        <v>7680.8026568658797</v>
      </c>
      <c r="AH5359" s="2">
        <v>10407.9094690443</v>
      </c>
      <c r="AI5359" s="2">
        <v>8007.7581294575102</v>
      </c>
      <c r="AJ5359" s="2">
        <v>5243.4613972922798</v>
      </c>
      <c r="AK5359" s="2">
        <v>8487.2112018887692</v>
      </c>
      <c r="AL5359" s="2">
        <v>11392.792612282001</v>
      </c>
      <c r="AM5359" s="2">
        <v>9356.6167208567294</v>
      </c>
      <c r="AN5359" s="2">
        <v>7215.9419491419003</v>
      </c>
      <c r="AO5359" s="2">
        <v>13010.929030137901</v>
      </c>
      <c r="AP5359" s="2">
        <v>7875.8971663173998</v>
      </c>
    </row>
    <row r="5360" spans="1:42" ht="14.5" x14ac:dyDescent="0.35">
      <c r="A5360" s="2" t="s">
        <v>35549</v>
      </c>
      <c r="B5360" s="2">
        <v>228.19573338924499</v>
      </c>
      <c r="C5360" s="2">
        <v>12.792866666666701</v>
      </c>
      <c r="D5360" s="2" t="s">
        <v>34</v>
      </c>
      <c r="E5360" s="2" t="s">
        <v>35550</v>
      </c>
      <c r="F5360" s="2">
        <v>1087</v>
      </c>
      <c r="G5360" s="3" t="str">
        <f>HYPERLINK("http://funmeta.oebiotech.com/network/1087", "http://funmeta.oebiotech.com/network/1087")</f>
        <v>http://funmeta.oebiotech.com/network/1087</v>
      </c>
      <c r="H5360" s="2"/>
      <c r="I5360" s="2">
        <v>74259</v>
      </c>
      <c r="J5360" s="2" t="s">
        <v>35551</v>
      </c>
      <c r="K5360" s="2"/>
      <c r="L5360" s="2"/>
      <c r="M5360" s="2"/>
      <c r="N5360" s="2"/>
      <c r="O5360" s="2">
        <v>5312723</v>
      </c>
      <c r="P5360" s="2"/>
      <c r="Q5360" s="2" t="s">
        <v>35552</v>
      </c>
      <c r="R5360" s="2" t="s">
        <v>35553</v>
      </c>
      <c r="S5360" s="2" t="s">
        <v>50</v>
      </c>
      <c r="T5360" s="2" t="s">
        <v>229</v>
      </c>
      <c r="U5360" s="2" t="s">
        <v>433</v>
      </c>
      <c r="V5360" s="2" t="s">
        <v>42</v>
      </c>
      <c r="W5360" s="2">
        <v>51.8</v>
      </c>
      <c r="X5360" s="2">
        <v>62.2</v>
      </c>
      <c r="Y5360" s="2" t="s">
        <v>43</v>
      </c>
      <c r="Z5360" s="2" t="s">
        <v>29533</v>
      </c>
      <c r="AA5360" s="2">
        <v>-0.342999315382781</v>
      </c>
      <c r="AB5360" s="2">
        <v>8.8002461449102801E-2</v>
      </c>
      <c r="AC5360" s="2">
        <v>3335.5628605049501</v>
      </c>
      <c r="AD5360" s="2">
        <v>2354.8603556073999</v>
      </c>
      <c r="AE5360" s="2">
        <v>4059.3622094716102</v>
      </c>
      <c r="AF5360" s="2">
        <v>3217.7575035719501</v>
      </c>
      <c r="AG5360" s="2">
        <v>2594.3896608780501</v>
      </c>
      <c r="AH5360" s="2">
        <v>3548.1768111164702</v>
      </c>
      <c r="AI5360" s="2">
        <v>3451.91635132285</v>
      </c>
      <c r="AJ5360" s="2">
        <v>3141.77462666879</v>
      </c>
      <c r="AK5360" s="2">
        <v>1645.77645641103</v>
      </c>
      <c r="AL5360" s="2">
        <v>1854.8593692793099</v>
      </c>
      <c r="AM5360" s="2">
        <v>1289.64404723588</v>
      </c>
      <c r="AN5360" s="2">
        <v>2155.1412805162699</v>
      </c>
      <c r="AO5360" s="2">
        <v>4479.1322256072499</v>
      </c>
      <c r="AP5360" s="2">
        <v>2704.6087545946398</v>
      </c>
    </row>
    <row r="5361" spans="1:42" ht="14.5" x14ac:dyDescent="0.35">
      <c r="A5361" s="2" t="s">
        <v>35554</v>
      </c>
      <c r="B5361" s="2">
        <v>254.247536679348</v>
      </c>
      <c r="C5361" s="2">
        <v>11.3852666666667</v>
      </c>
      <c r="D5361" s="2" t="s">
        <v>34</v>
      </c>
      <c r="E5361" s="2" t="s">
        <v>35555</v>
      </c>
      <c r="F5361" s="2">
        <v>6175</v>
      </c>
      <c r="G5361" s="3" t="str">
        <f>HYPERLINK("http://funmeta.oebiotech.com/network/6175", "http://funmeta.oebiotech.com/network/6175")</f>
        <v>http://funmeta.oebiotech.com/network/6175</v>
      </c>
      <c r="H5361" s="2"/>
      <c r="I5361" s="2">
        <v>46149</v>
      </c>
      <c r="J5361" s="2" t="s">
        <v>35556</v>
      </c>
      <c r="K5361" s="2"/>
      <c r="L5361" s="2"/>
      <c r="M5361" s="2"/>
      <c r="N5361" s="2"/>
      <c r="O5361" s="2">
        <v>13560380</v>
      </c>
      <c r="P5361" s="2"/>
      <c r="Q5361" s="2" t="s">
        <v>35557</v>
      </c>
      <c r="R5361" s="2" t="s">
        <v>35558</v>
      </c>
      <c r="S5361" s="2" t="s">
        <v>50</v>
      </c>
      <c r="T5361" s="2" t="s">
        <v>229</v>
      </c>
      <c r="U5361" s="2" t="s">
        <v>1283</v>
      </c>
      <c r="V5361" s="2" t="s">
        <v>42</v>
      </c>
      <c r="W5361" s="2">
        <v>51.9</v>
      </c>
      <c r="X5361" s="2">
        <v>63.4</v>
      </c>
      <c r="Y5361" s="2" t="s">
        <v>43</v>
      </c>
      <c r="Z5361" s="2" t="s">
        <v>35559</v>
      </c>
      <c r="AA5361" s="2">
        <v>-1.2885271488144701</v>
      </c>
      <c r="AB5361" s="2">
        <v>8.7995683215320405E-2</v>
      </c>
      <c r="AC5361" s="2">
        <v>20433.187731460199</v>
      </c>
      <c r="AD5361" s="2">
        <v>18235.016872734399</v>
      </c>
      <c r="AE5361" s="2">
        <v>24324.795674710302</v>
      </c>
      <c r="AF5361" s="2">
        <v>15507.614957703299</v>
      </c>
      <c r="AG5361" s="2">
        <v>18651.781942743499</v>
      </c>
      <c r="AH5361" s="2">
        <v>23573.0634778924</v>
      </c>
      <c r="AI5361" s="2">
        <v>23633.616884028299</v>
      </c>
      <c r="AJ5361" s="2">
        <v>16908.2534516837</v>
      </c>
      <c r="AK5361" s="2">
        <v>13566.975973717101</v>
      </c>
      <c r="AL5361" s="2">
        <v>26659.9144207346</v>
      </c>
      <c r="AM5361" s="2">
        <v>16081.0698681589</v>
      </c>
      <c r="AN5361" s="2">
        <v>24572.276250142098</v>
      </c>
      <c r="AO5361" s="2">
        <v>13445.7649195053</v>
      </c>
      <c r="AP5361" s="2">
        <v>15084.0998041482</v>
      </c>
    </row>
    <row r="5362" spans="1:42" ht="14.5" x14ac:dyDescent="0.35">
      <c r="A5362" s="2" t="s">
        <v>35560</v>
      </c>
      <c r="B5362" s="2">
        <v>170.15360036662599</v>
      </c>
      <c r="C5362" s="2">
        <v>12.3610166666667</v>
      </c>
      <c r="D5362" s="2" t="s">
        <v>34</v>
      </c>
      <c r="E5362" s="2" t="s">
        <v>35561</v>
      </c>
      <c r="F5362" s="2">
        <v>58899</v>
      </c>
      <c r="G5362" s="3" t="str">
        <f>HYPERLINK("http://funmeta.oebiotech.com/network/58899", "http://funmeta.oebiotech.com/network/58899")</f>
        <v>http://funmeta.oebiotech.com/network/58899</v>
      </c>
      <c r="H5362" s="2" t="s">
        <v>35562</v>
      </c>
      <c r="I5362" s="2">
        <v>90341</v>
      </c>
      <c r="J5362" s="2"/>
      <c r="K5362" s="2"/>
      <c r="L5362" s="2"/>
      <c r="M5362" s="2"/>
      <c r="N5362" s="2"/>
      <c r="O5362" s="2">
        <v>521267</v>
      </c>
      <c r="P5362" s="2" t="s">
        <v>35563</v>
      </c>
      <c r="Q5362" s="2" t="s">
        <v>35564</v>
      </c>
      <c r="R5362" s="2" t="s">
        <v>35565</v>
      </c>
      <c r="S5362" s="2" t="s">
        <v>50</v>
      </c>
      <c r="T5362" s="2" t="s">
        <v>201</v>
      </c>
      <c r="U5362" s="2" t="s">
        <v>265</v>
      </c>
      <c r="V5362" s="2" t="s">
        <v>42</v>
      </c>
      <c r="W5362" s="2">
        <v>50</v>
      </c>
      <c r="X5362" s="2">
        <v>62.4</v>
      </c>
      <c r="Y5362" s="2" t="s">
        <v>43</v>
      </c>
      <c r="Z5362" s="2" t="s">
        <v>7758</v>
      </c>
      <c r="AA5362" s="2">
        <v>-2.2370220632834301</v>
      </c>
      <c r="AB5362" s="2">
        <v>8.7972979155966094E-2</v>
      </c>
      <c r="AC5362" s="2">
        <v>9726.6303119182703</v>
      </c>
      <c r="AD5362" s="2">
        <v>8270.0502813627299</v>
      </c>
      <c r="AE5362" s="2">
        <v>10982.026140419201</v>
      </c>
      <c r="AF5362" s="2">
        <v>7969.19751649101</v>
      </c>
      <c r="AG5362" s="2">
        <v>8456.3069938185199</v>
      </c>
      <c r="AH5362" s="2">
        <v>11304.839708252999</v>
      </c>
      <c r="AI5362" s="2">
        <v>11203.043095085601</v>
      </c>
      <c r="AJ5362" s="2">
        <v>8444.3684174422706</v>
      </c>
      <c r="AK5362" s="2">
        <v>6691.1615039995404</v>
      </c>
      <c r="AL5362" s="2">
        <v>12495.6897536712</v>
      </c>
      <c r="AM5362" s="2">
        <v>7283.0085095361901</v>
      </c>
      <c r="AN5362" s="2">
        <v>10280.3525716734</v>
      </c>
      <c r="AO5362" s="2">
        <v>6627.5808150504599</v>
      </c>
      <c r="AP5362" s="2">
        <v>6242.5085342455804</v>
      </c>
    </row>
    <row r="5363" spans="1:42" ht="14.5" x14ac:dyDescent="0.35">
      <c r="A5363" s="2" t="s">
        <v>35566</v>
      </c>
      <c r="B5363" s="2">
        <v>301.09238443145199</v>
      </c>
      <c r="C5363" s="2">
        <v>4.3459666666666701</v>
      </c>
      <c r="D5363" s="2" t="s">
        <v>70</v>
      </c>
      <c r="E5363" s="2" t="s">
        <v>35567</v>
      </c>
      <c r="F5363" s="2">
        <v>275005</v>
      </c>
      <c r="G5363" s="3" t="str">
        <f>HYPERLINK("http://funmeta.oebiotech.com/network/275005", "http://funmeta.oebiotech.com/network/275005")</f>
        <v>http://funmeta.oebiotech.com/network/275005</v>
      </c>
      <c r="H5363" s="2"/>
      <c r="I5363" s="2">
        <v>65906</v>
      </c>
      <c r="J5363" s="2"/>
      <c r="K5363" s="2"/>
      <c r="L5363" s="2" t="s">
        <v>35568</v>
      </c>
      <c r="M5363" s="2"/>
      <c r="N5363" s="2"/>
      <c r="O5363" s="2">
        <v>65080</v>
      </c>
      <c r="P5363" s="2"/>
      <c r="Q5363" s="2" t="s">
        <v>35569</v>
      </c>
      <c r="R5363" s="2" t="s">
        <v>35570</v>
      </c>
      <c r="S5363" s="2" t="s">
        <v>79</v>
      </c>
      <c r="T5363" s="2" t="s">
        <v>80</v>
      </c>
      <c r="U5363" s="2" t="s">
        <v>81</v>
      </c>
      <c r="V5363" s="2" t="s">
        <v>59</v>
      </c>
      <c r="W5363" s="2">
        <v>39.1</v>
      </c>
      <c r="X5363" s="2">
        <v>0</v>
      </c>
      <c r="Y5363" s="2" t="s">
        <v>408</v>
      </c>
      <c r="Z5363" s="2" t="s">
        <v>25140</v>
      </c>
      <c r="AA5363" s="2">
        <v>-1.9784441132663699</v>
      </c>
      <c r="AB5363" s="2">
        <v>8.7820249786974294E-2</v>
      </c>
      <c r="AC5363" s="2">
        <v>2750.74920865486</v>
      </c>
      <c r="AD5363" s="2">
        <v>3467.2800983573702</v>
      </c>
      <c r="AE5363" s="2">
        <v>2882.79126856823</v>
      </c>
      <c r="AF5363" s="2">
        <v>2784.4911054876302</v>
      </c>
      <c r="AG5363" s="2">
        <v>3517.50853380533</v>
      </c>
      <c r="AH5363" s="2">
        <v>2235.5969890003098</v>
      </c>
      <c r="AI5363" s="2">
        <v>2670.0487799338698</v>
      </c>
      <c r="AJ5363" s="2">
        <v>2414.0585751338099</v>
      </c>
      <c r="AK5363" s="2">
        <v>3305.6940302107701</v>
      </c>
      <c r="AL5363" s="2">
        <v>3801.9137976248699</v>
      </c>
      <c r="AM5363" s="2">
        <v>3890.57143363264</v>
      </c>
      <c r="AN5363" s="2">
        <v>3062.6303125869099</v>
      </c>
      <c r="AO5363" s="2">
        <v>3370.12536343282</v>
      </c>
      <c r="AP5363" s="2">
        <v>3372.74565265619</v>
      </c>
    </row>
    <row r="5364" spans="1:42" ht="14.5" x14ac:dyDescent="0.35">
      <c r="A5364" s="2" t="s">
        <v>35571</v>
      </c>
      <c r="B5364" s="2">
        <v>267.21025442670202</v>
      </c>
      <c r="C5364" s="2">
        <v>7.5527833333333296</v>
      </c>
      <c r="D5364" s="2" t="s">
        <v>34</v>
      </c>
      <c r="E5364" s="2" t="s">
        <v>35572</v>
      </c>
      <c r="F5364" s="2">
        <v>37369</v>
      </c>
      <c r="G5364" s="3" t="str">
        <f>HYPERLINK("http://funmeta.oebiotech.com/network/37369", "http://funmeta.oebiotech.com/network/37369")</f>
        <v>http://funmeta.oebiotech.com/network/37369</v>
      </c>
      <c r="H5364" s="2" t="s">
        <v>35573</v>
      </c>
      <c r="I5364" s="2">
        <v>2276</v>
      </c>
      <c r="J5364" s="2" t="s">
        <v>35574</v>
      </c>
      <c r="K5364" s="2">
        <v>17898</v>
      </c>
      <c r="L5364" s="2" t="s">
        <v>35575</v>
      </c>
      <c r="M5364" s="2" t="s">
        <v>35576</v>
      </c>
      <c r="N5364" s="2" t="s">
        <v>35577</v>
      </c>
      <c r="O5364" s="2">
        <v>638015</v>
      </c>
      <c r="P5364" s="2" t="s">
        <v>35578</v>
      </c>
      <c r="Q5364" s="2" t="s">
        <v>35579</v>
      </c>
      <c r="R5364" s="2" t="s">
        <v>35580</v>
      </c>
      <c r="S5364" s="2" t="s">
        <v>50</v>
      </c>
      <c r="T5364" s="2" t="s">
        <v>201</v>
      </c>
      <c r="U5364" s="2" t="s">
        <v>2195</v>
      </c>
      <c r="V5364" s="2" t="s">
        <v>59</v>
      </c>
      <c r="W5364" s="2">
        <v>38.200000000000003</v>
      </c>
      <c r="X5364" s="2">
        <v>0</v>
      </c>
      <c r="Y5364" s="2" t="s">
        <v>141</v>
      </c>
      <c r="Z5364" s="2" t="s">
        <v>13874</v>
      </c>
      <c r="AA5364" s="2">
        <v>-1.66367875002843</v>
      </c>
      <c r="AB5364" s="2">
        <v>8.7792930252593701E-2</v>
      </c>
      <c r="AC5364" s="2">
        <v>4160.5820219861398</v>
      </c>
      <c r="AD5364" s="2">
        <v>3353.8316071071299</v>
      </c>
      <c r="AE5364" s="2">
        <v>4397.11288098972</v>
      </c>
      <c r="AF5364" s="2">
        <v>4842.5585836335204</v>
      </c>
      <c r="AG5364" s="2">
        <v>3190.37499802105</v>
      </c>
      <c r="AH5364" s="2">
        <v>4295.2767037334397</v>
      </c>
      <c r="AI5364" s="2">
        <v>3368.83732994805</v>
      </c>
      <c r="AJ5364" s="2">
        <v>4869.3316355910301</v>
      </c>
      <c r="AK5364" s="2">
        <v>3680.4994663561101</v>
      </c>
      <c r="AL5364" s="2">
        <v>3400.12700683103</v>
      </c>
      <c r="AM5364" s="2">
        <v>2977.1309116033299</v>
      </c>
      <c r="AN5364" s="2">
        <v>3255.3687838339602</v>
      </c>
      <c r="AO5364" s="2">
        <v>3770.1415328346502</v>
      </c>
      <c r="AP5364" s="2">
        <v>3039.72194118368</v>
      </c>
    </row>
    <row r="5365" spans="1:42" ht="14.5" x14ac:dyDescent="0.35">
      <c r="A5365" s="2" t="s">
        <v>35581</v>
      </c>
      <c r="B5365" s="2">
        <v>477.24923827125701</v>
      </c>
      <c r="C5365" s="2">
        <v>9.04463333333333</v>
      </c>
      <c r="D5365" s="2" t="s">
        <v>70</v>
      </c>
      <c r="E5365" s="2" t="s">
        <v>35582</v>
      </c>
      <c r="F5365" s="2">
        <v>54566</v>
      </c>
      <c r="G5365" s="3" t="str">
        <f>HYPERLINK("http://funmeta.oebiotech.com/network/54566", "http://funmeta.oebiotech.com/network/54566")</f>
        <v>http://funmeta.oebiotech.com/network/54566</v>
      </c>
      <c r="H5365" s="2" t="s">
        <v>35583</v>
      </c>
      <c r="I5365" s="2">
        <v>86404</v>
      </c>
      <c r="J5365" s="2"/>
      <c r="K5365" s="2"/>
      <c r="L5365" s="2"/>
      <c r="M5365" s="2"/>
      <c r="N5365" s="2"/>
      <c r="O5365" s="2">
        <v>73082498</v>
      </c>
      <c r="P5365" s="2" t="s">
        <v>35584</v>
      </c>
      <c r="Q5365" s="2" t="s">
        <v>35585</v>
      </c>
      <c r="R5365" s="2" t="s">
        <v>35586</v>
      </c>
      <c r="S5365" s="2" t="s">
        <v>50</v>
      </c>
      <c r="T5365" s="2" t="s">
        <v>201</v>
      </c>
      <c r="U5365" s="2" t="s">
        <v>241</v>
      </c>
      <c r="V5365" s="2" t="s">
        <v>59</v>
      </c>
      <c r="W5365" s="2">
        <v>38.5</v>
      </c>
      <c r="X5365" s="2">
        <v>0</v>
      </c>
      <c r="Y5365" s="2" t="s">
        <v>408</v>
      </c>
      <c r="Z5365" s="2" t="s">
        <v>18208</v>
      </c>
      <c r="AA5365" s="2">
        <v>-0.35504962583741601</v>
      </c>
      <c r="AB5365" s="2">
        <v>8.7653052169741799E-2</v>
      </c>
      <c r="AC5365" s="2">
        <v>1913.03688727348</v>
      </c>
      <c r="AD5365" s="2">
        <v>1132.88803836176</v>
      </c>
      <c r="AE5365" s="2">
        <v>1977.26655953509</v>
      </c>
      <c r="AF5365" s="2">
        <v>2871.9671383166001</v>
      </c>
      <c r="AG5365" s="2">
        <v>1701.64095237062</v>
      </c>
      <c r="AH5365" s="2">
        <v>1261.6866677488399</v>
      </c>
      <c r="AI5365" s="2">
        <v>2489.78587221321</v>
      </c>
      <c r="AJ5365" s="2">
        <v>1175.87413345651</v>
      </c>
      <c r="AK5365" s="2">
        <v>1007.28495983503</v>
      </c>
      <c r="AL5365" s="2">
        <v>979.11491283758005</v>
      </c>
      <c r="AM5365" s="2">
        <v>1301.4709709362701</v>
      </c>
      <c r="AN5365" s="2">
        <v>843.60875990651402</v>
      </c>
      <c r="AO5365" s="2">
        <v>1299.1565790505099</v>
      </c>
      <c r="AP5365" s="2">
        <v>1366.69204760466</v>
      </c>
    </row>
    <row r="5366" spans="1:42" ht="14.5" x14ac:dyDescent="0.35">
      <c r="A5366" s="2" t="s">
        <v>35587</v>
      </c>
      <c r="B5366" s="2">
        <v>153.075602186917</v>
      </c>
      <c r="C5366" s="2">
        <v>0.73473333333333302</v>
      </c>
      <c r="D5366" s="2" t="s">
        <v>34</v>
      </c>
      <c r="E5366" s="2" t="s">
        <v>35588</v>
      </c>
      <c r="F5366" s="2">
        <v>47674</v>
      </c>
      <c r="G5366" s="3" t="str">
        <f>HYPERLINK("http://funmeta.oebiotech.com/network/47674", "http://funmeta.oebiotech.com/network/47674")</f>
        <v>http://funmeta.oebiotech.com/network/47674</v>
      </c>
      <c r="H5366" s="2" t="s">
        <v>35589</v>
      </c>
      <c r="I5366" s="2">
        <v>141</v>
      </c>
      <c r="J5366" s="2"/>
      <c r="K5366" s="2">
        <v>18403</v>
      </c>
      <c r="L5366" s="2" t="s">
        <v>35590</v>
      </c>
      <c r="M5366" s="2" t="s">
        <v>14491</v>
      </c>
      <c r="N5366" s="2" t="s">
        <v>14492</v>
      </c>
      <c r="O5366" s="2">
        <v>439255</v>
      </c>
      <c r="P5366" s="2" t="s">
        <v>35591</v>
      </c>
      <c r="Q5366" s="2" t="s">
        <v>35592</v>
      </c>
      <c r="R5366" s="2" t="s">
        <v>35593</v>
      </c>
      <c r="S5366" s="2" t="s">
        <v>79</v>
      </c>
      <c r="T5366" s="2" t="s">
        <v>80</v>
      </c>
      <c r="U5366" s="2" t="s">
        <v>81</v>
      </c>
      <c r="V5366" s="2" t="s">
        <v>59</v>
      </c>
      <c r="W5366" s="2">
        <v>38.6</v>
      </c>
      <c r="X5366" s="2">
        <v>0</v>
      </c>
      <c r="Y5366" s="2" t="s">
        <v>394</v>
      </c>
      <c r="Z5366" s="2" t="s">
        <v>35594</v>
      </c>
      <c r="AA5366" s="2">
        <v>-0.97145529035288303</v>
      </c>
      <c r="AB5366" s="2">
        <v>8.7577354645587205E-2</v>
      </c>
      <c r="AC5366" s="2">
        <v>11595.14162371</v>
      </c>
      <c r="AD5366" s="2">
        <v>10235.102708202599</v>
      </c>
      <c r="AE5366" s="2">
        <v>14246.1601371008</v>
      </c>
      <c r="AF5366" s="2">
        <v>11985.690993157399</v>
      </c>
      <c r="AG5366" s="2">
        <v>10124.2421602468</v>
      </c>
      <c r="AH5366" s="2">
        <v>11994.834561977799</v>
      </c>
      <c r="AI5366" s="2">
        <v>12015.956472871099</v>
      </c>
      <c r="AJ5366" s="2">
        <v>9203.9654169059195</v>
      </c>
      <c r="AK5366" s="2">
        <v>10598.983149027001</v>
      </c>
      <c r="AL5366" s="2">
        <v>6703.1717169803396</v>
      </c>
      <c r="AM5366" s="2">
        <v>11059.991324938999</v>
      </c>
      <c r="AN5366" s="2">
        <v>9652.7467977256001</v>
      </c>
      <c r="AO5366" s="2">
        <v>11117.6243951862</v>
      </c>
      <c r="AP5366" s="2">
        <v>12278.098865357601</v>
      </c>
    </row>
    <row r="5367" spans="1:42" ht="14.5" x14ac:dyDescent="0.35">
      <c r="A5367" s="2" t="s">
        <v>35595</v>
      </c>
      <c r="B5367" s="2">
        <v>447.27209957580402</v>
      </c>
      <c r="C5367" s="2">
        <v>4.5663166666666699</v>
      </c>
      <c r="D5367" s="2" t="s">
        <v>34</v>
      </c>
      <c r="E5367" s="2" t="s">
        <v>35596</v>
      </c>
      <c r="F5367" s="2">
        <v>45976</v>
      </c>
      <c r="G5367" s="3" t="str">
        <f>HYPERLINK("http://funmeta.oebiotech.com/network/45976", "http://funmeta.oebiotech.com/network/45976")</f>
        <v>http://funmeta.oebiotech.com/network/45976</v>
      </c>
      <c r="H5367" s="2" t="s">
        <v>35597</v>
      </c>
      <c r="I5367" s="2">
        <v>5296</v>
      </c>
      <c r="J5367" s="2" t="s">
        <v>35598</v>
      </c>
      <c r="K5367" s="2"/>
      <c r="L5367" s="2"/>
      <c r="M5367" s="2"/>
      <c r="N5367" s="2"/>
      <c r="O5367" s="2">
        <v>5283893</v>
      </c>
      <c r="P5367" s="2" t="s">
        <v>35599</v>
      </c>
      <c r="Q5367" s="2" t="s">
        <v>35600</v>
      </c>
      <c r="R5367" s="2" t="s">
        <v>35601</v>
      </c>
      <c r="S5367" s="2" t="s">
        <v>50</v>
      </c>
      <c r="T5367" s="2" t="s">
        <v>124</v>
      </c>
      <c r="U5367" s="2" t="s">
        <v>125</v>
      </c>
      <c r="V5367" s="2" t="s">
        <v>59</v>
      </c>
      <c r="W5367" s="2">
        <v>37.4</v>
      </c>
      <c r="X5367" s="2">
        <v>0</v>
      </c>
      <c r="Y5367" s="2" t="s">
        <v>323</v>
      </c>
      <c r="Z5367" s="2" t="s">
        <v>35602</v>
      </c>
      <c r="AA5367" s="2">
        <v>0.91895294785785997</v>
      </c>
      <c r="AB5367" s="2">
        <v>8.7569188578186893E-2</v>
      </c>
      <c r="AC5367" s="2">
        <v>4010.4925085456598</v>
      </c>
      <c r="AD5367" s="2">
        <v>3031.69108795898</v>
      </c>
      <c r="AE5367" s="2">
        <v>4761.9040563935896</v>
      </c>
      <c r="AF5367" s="2">
        <v>3112.4331332912202</v>
      </c>
      <c r="AG5367" s="2">
        <v>3746.8704627531301</v>
      </c>
      <c r="AH5367" s="2">
        <v>3153.41397167178</v>
      </c>
      <c r="AI5367" s="2">
        <v>4974.6721115887904</v>
      </c>
      <c r="AJ5367" s="2">
        <v>4313.6613155754403</v>
      </c>
      <c r="AK5367" s="2">
        <v>3499.2907364825301</v>
      </c>
      <c r="AL5367" s="2">
        <v>2662.8918660491699</v>
      </c>
      <c r="AM5367" s="2">
        <v>3934.61221242805</v>
      </c>
      <c r="AN5367" s="2">
        <v>2041.6588283533599</v>
      </c>
      <c r="AO5367" s="2">
        <v>4106.88489093712</v>
      </c>
      <c r="AP5367" s="2">
        <v>1944.8079935036301</v>
      </c>
    </row>
    <row r="5368" spans="1:42" ht="14.5" x14ac:dyDescent="0.35">
      <c r="A5368" s="2" t="s">
        <v>35603</v>
      </c>
      <c r="B5368" s="2">
        <v>313.08922725447701</v>
      </c>
      <c r="C5368" s="2">
        <v>1.5714333333333299</v>
      </c>
      <c r="D5368" s="2" t="s">
        <v>34</v>
      </c>
      <c r="E5368" s="2" t="s">
        <v>35604</v>
      </c>
      <c r="F5368" s="2">
        <v>55881</v>
      </c>
      <c r="G5368" s="3" t="str">
        <f>HYPERLINK("http://funmeta.oebiotech.com/network/55881", "http://funmeta.oebiotech.com/network/55881")</f>
        <v>http://funmeta.oebiotech.com/network/55881</v>
      </c>
      <c r="H5368" s="2" t="s">
        <v>35605</v>
      </c>
      <c r="I5368" s="2">
        <v>87571</v>
      </c>
      <c r="J5368" s="2"/>
      <c r="K5368" s="2">
        <v>169101</v>
      </c>
      <c r="L5368" s="2"/>
      <c r="M5368" s="2"/>
      <c r="N5368" s="2"/>
      <c r="O5368" s="2">
        <v>5249536</v>
      </c>
      <c r="P5368" s="2" t="s">
        <v>35606</v>
      </c>
      <c r="Q5368" s="2" t="s">
        <v>35607</v>
      </c>
      <c r="R5368" s="2" t="s">
        <v>35608</v>
      </c>
      <c r="S5368" s="2" t="s">
        <v>79</v>
      </c>
      <c r="T5368" s="2" t="s">
        <v>80</v>
      </c>
      <c r="U5368" s="2" t="s">
        <v>81</v>
      </c>
      <c r="V5368" s="2" t="s">
        <v>59</v>
      </c>
      <c r="W5368" s="2">
        <v>39.1</v>
      </c>
      <c r="X5368" s="2">
        <v>0</v>
      </c>
      <c r="Y5368" s="2" t="s">
        <v>323</v>
      </c>
      <c r="Z5368" s="2" t="s">
        <v>35609</v>
      </c>
      <c r="AA5368" s="2">
        <v>-0.55484029772958099</v>
      </c>
      <c r="AB5368" s="2">
        <v>8.7534428973446293E-2</v>
      </c>
      <c r="AC5368" s="2">
        <v>10954.1306887872</v>
      </c>
      <c r="AD5368" s="2">
        <v>11752.1562674365</v>
      </c>
      <c r="AE5368" s="2">
        <v>10941.2971301491</v>
      </c>
      <c r="AF5368" s="2">
        <v>11253.935564445401</v>
      </c>
      <c r="AG5368" s="2">
        <v>10249.219589771899</v>
      </c>
      <c r="AH5368" s="2">
        <v>10415.8401345113</v>
      </c>
      <c r="AI5368" s="2">
        <v>11863.2348923013</v>
      </c>
      <c r="AJ5368" s="2">
        <v>11001.256821544101</v>
      </c>
      <c r="AK5368" s="2">
        <v>12061.895561778199</v>
      </c>
      <c r="AL5368" s="2">
        <v>11193.2733491083</v>
      </c>
      <c r="AM5368" s="2">
        <v>11563.334706423</v>
      </c>
      <c r="AN5368" s="2">
        <v>11911.421910040301</v>
      </c>
      <c r="AO5368" s="2">
        <v>11239.701023456701</v>
      </c>
      <c r="AP5368" s="2">
        <v>12543.3110538122</v>
      </c>
    </row>
    <row r="5369" spans="1:42" ht="14.5" x14ac:dyDescent="0.35">
      <c r="A5369" s="2" t="s">
        <v>35610</v>
      </c>
      <c r="B5369" s="2">
        <v>681.25205662797805</v>
      </c>
      <c r="C5369" s="2">
        <v>11.18065</v>
      </c>
      <c r="D5369" s="2" t="s">
        <v>34</v>
      </c>
      <c r="E5369" s="2" t="s">
        <v>35611</v>
      </c>
      <c r="F5369" s="2">
        <v>205962</v>
      </c>
      <c r="G5369" s="3" t="str">
        <f>HYPERLINK("http://funmeta.oebiotech.com/network/205962", "http://funmeta.oebiotech.com/network/205962")</f>
        <v>http://funmeta.oebiotech.com/network/205962</v>
      </c>
      <c r="H5369" s="2" t="s">
        <v>35612</v>
      </c>
      <c r="I5369" s="2"/>
      <c r="J5369" s="2"/>
      <c r="K5369" s="2"/>
      <c r="L5369" s="2"/>
      <c r="M5369" s="2"/>
      <c r="N5369" s="2"/>
      <c r="O5369" s="2"/>
      <c r="P5369" s="2"/>
      <c r="Q5369" s="2" t="s">
        <v>35613</v>
      </c>
      <c r="R5369" s="2" t="s">
        <v>35614</v>
      </c>
      <c r="S5369" s="2" t="s">
        <v>50</v>
      </c>
      <c r="T5369" s="2" t="s">
        <v>124</v>
      </c>
      <c r="U5369" s="2" t="s">
        <v>523</v>
      </c>
      <c r="V5369" s="2" t="s">
        <v>59</v>
      </c>
      <c r="W5369" s="2">
        <v>38.9</v>
      </c>
      <c r="X5369" s="2">
        <v>0</v>
      </c>
      <c r="Y5369" s="2" t="s">
        <v>340</v>
      </c>
      <c r="Z5369" s="2" t="s">
        <v>35615</v>
      </c>
      <c r="AA5369" s="2">
        <v>0.221705450450258</v>
      </c>
      <c r="AB5369" s="2">
        <v>8.7474278767913402E-2</v>
      </c>
      <c r="AC5369" s="2">
        <v>674.48271111351505</v>
      </c>
      <c r="AD5369" s="2">
        <v>107.951847531732</v>
      </c>
      <c r="AE5369" s="2">
        <v>699.80703804841301</v>
      </c>
      <c r="AF5369" s="2">
        <v>491.457314327262</v>
      </c>
      <c r="AG5369" s="2">
        <v>637.65067676199897</v>
      </c>
      <c r="AH5369" s="2">
        <v>459.55361688225901</v>
      </c>
      <c r="AI5369" s="2">
        <v>956.14208053266998</v>
      </c>
      <c r="AJ5369" s="2">
        <v>802.28554012848701</v>
      </c>
      <c r="AK5369" s="2">
        <v>2.7106294003980101E-5</v>
      </c>
      <c r="AL5369" s="2">
        <v>254.77016462725999</v>
      </c>
      <c r="AM5369" s="2">
        <v>178.418857075901</v>
      </c>
      <c r="AN5369" s="2">
        <v>2.7106294003980101E-5</v>
      </c>
      <c r="AO5369" s="2">
        <v>2.7106294003980101E-5</v>
      </c>
      <c r="AP5369" s="2">
        <v>214.521982168352</v>
      </c>
    </row>
    <row r="5370" spans="1:42" ht="14.5" x14ac:dyDescent="0.35">
      <c r="A5370" s="2" t="s">
        <v>35616</v>
      </c>
      <c r="B5370" s="2">
        <v>113.05960671174201</v>
      </c>
      <c r="C5370" s="2">
        <v>0.75019999999999998</v>
      </c>
      <c r="D5370" s="2" t="s">
        <v>34</v>
      </c>
      <c r="E5370" s="2" t="s">
        <v>35617</v>
      </c>
      <c r="F5370" s="2">
        <v>48649</v>
      </c>
      <c r="G5370" s="3" t="str">
        <f>HYPERLINK("http://funmeta.oebiotech.com/network/48649", "http://funmeta.oebiotech.com/network/48649")</f>
        <v>http://funmeta.oebiotech.com/network/48649</v>
      </c>
      <c r="H5370" s="2" t="s">
        <v>35618</v>
      </c>
      <c r="I5370" s="2"/>
      <c r="J5370" s="2"/>
      <c r="K5370" s="2"/>
      <c r="L5370" s="2"/>
      <c r="M5370" s="2"/>
      <c r="N5370" s="2"/>
      <c r="O5370" s="2">
        <v>5325923</v>
      </c>
      <c r="P5370" s="2" t="s">
        <v>35619</v>
      </c>
      <c r="Q5370" s="2" t="s">
        <v>35620</v>
      </c>
      <c r="R5370" s="2" t="s">
        <v>35621</v>
      </c>
      <c r="S5370" s="2" t="s">
        <v>491</v>
      </c>
      <c r="T5370" s="2" t="s">
        <v>5973</v>
      </c>
      <c r="U5370" s="2" t="s">
        <v>5974</v>
      </c>
      <c r="V5370" s="2" t="s">
        <v>59</v>
      </c>
      <c r="W5370" s="2">
        <v>46.8</v>
      </c>
      <c r="X5370" s="2">
        <v>39.700000000000003</v>
      </c>
      <c r="Y5370" s="2" t="s">
        <v>141</v>
      </c>
      <c r="Z5370" s="2" t="s">
        <v>35622</v>
      </c>
      <c r="AA5370" s="2">
        <v>-0.76284295153082504</v>
      </c>
      <c r="AB5370" s="2">
        <v>8.7434749897150804E-2</v>
      </c>
      <c r="AC5370" s="2">
        <v>83996.673031956394</v>
      </c>
      <c r="AD5370" s="2">
        <v>85420.941698889495</v>
      </c>
      <c r="AE5370" s="2">
        <v>81520.114193138303</v>
      </c>
      <c r="AF5370" s="2">
        <v>84670.893302271201</v>
      </c>
      <c r="AG5370" s="2">
        <v>86577.694877820293</v>
      </c>
      <c r="AH5370" s="2">
        <v>82243.605412377103</v>
      </c>
      <c r="AI5370" s="2">
        <v>83169.797804944101</v>
      </c>
      <c r="AJ5370" s="2">
        <v>85797.932601187204</v>
      </c>
      <c r="AK5370" s="2">
        <v>85065.070537603693</v>
      </c>
      <c r="AL5370" s="2">
        <v>85671.149754595695</v>
      </c>
      <c r="AM5370" s="2">
        <v>86789.642046628607</v>
      </c>
      <c r="AN5370" s="2">
        <v>84342.587251813005</v>
      </c>
      <c r="AO5370" s="2">
        <v>88379.581024284693</v>
      </c>
      <c r="AP5370" s="2">
        <v>82277.619578411206</v>
      </c>
    </row>
    <row r="5371" spans="1:42" ht="14.5" x14ac:dyDescent="0.35">
      <c r="A5371" s="2" t="s">
        <v>35623</v>
      </c>
      <c r="B5371" s="2">
        <v>271.02448223666198</v>
      </c>
      <c r="C5371" s="2">
        <v>4.6130500000000003</v>
      </c>
      <c r="D5371" s="2" t="s">
        <v>70</v>
      </c>
      <c r="E5371" s="2" t="s">
        <v>35624</v>
      </c>
      <c r="F5371" s="2">
        <v>207018</v>
      </c>
      <c r="G5371" s="3" t="str">
        <f>HYPERLINK("http://funmeta.oebiotech.com/network/207018", "http://funmeta.oebiotech.com/network/207018")</f>
        <v>http://funmeta.oebiotech.com/network/207018</v>
      </c>
      <c r="H5371" s="2" t="s">
        <v>35625</v>
      </c>
      <c r="I5371" s="2"/>
      <c r="J5371" s="2"/>
      <c r="K5371" s="2"/>
      <c r="L5371" s="2"/>
      <c r="M5371" s="2"/>
      <c r="N5371" s="2"/>
      <c r="O5371" s="2">
        <v>90941500</v>
      </c>
      <c r="P5371" s="2"/>
      <c r="Q5371" s="2" t="s">
        <v>35626</v>
      </c>
      <c r="R5371" s="2" t="s">
        <v>35627</v>
      </c>
      <c r="S5371" s="2" t="s">
        <v>41</v>
      </c>
      <c r="T5371" s="2" t="s">
        <v>41</v>
      </c>
      <c r="U5371" s="2" t="s">
        <v>41</v>
      </c>
      <c r="V5371" s="2" t="s">
        <v>59</v>
      </c>
      <c r="W5371" s="2">
        <v>39.4</v>
      </c>
      <c r="X5371" s="2">
        <v>0</v>
      </c>
      <c r="Y5371" s="2" t="s">
        <v>560</v>
      </c>
      <c r="Z5371" s="2" t="s">
        <v>35628</v>
      </c>
      <c r="AA5371" s="2">
        <v>-1.21053828650732</v>
      </c>
      <c r="AB5371" s="2">
        <v>8.7369112232522098E-2</v>
      </c>
      <c r="AC5371" s="2">
        <v>6398.1344469522501</v>
      </c>
      <c r="AD5371" s="2">
        <v>5489.1891095342799</v>
      </c>
      <c r="AE5371" s="2">
        <v>6012.5358238065501</v>
      </c>
      <c r="AF5371" s="2">
        <v>6330.3038500189896</v>
      </c>
      <c r="AG5371" s="2">
        <v>5938.0753655943699</v>
      </c>
      <c r="AH5371" s="2">
        <v>5883.0371384497203</v>
      </c>
      <c r="AI5371" s="2">
        <v>6156.7800665991599</v>
      </c>
      <c r="AJ5371" s="2">
        <v>8068.0744372447298</v>
      </c>
      <c r="AK5371" s="2">
        <v>4361.1794655903605</v>
      </c>
      <c r="AL5371" s="2">
        <v>5910.8784288245797</v>
      </c>
      <c r="AM5371" s="2">
        <v>5764.8774113935697</v>
      </c>
      <c r="AN5371" s="2">
        <v>6185.4653079145501</v>
      </c>
      <c r="AO5371" s="2">
        <v>5568.9902396185198</v>
      </c>
      <c r="AP5371" s="2">
        <v>5143.7438038640903</v>
      </c>
    </row>
    <row r="5372" spans="1:42" ht="14.5" x14ac:dyDescent="0.35">
      <c r="A5372" s="2" t="s">
        <v>35629</v>
      </c>
      <c r="B5372" s="2">
        <v>227.175282995212</v>
      </c>
      <c r="C5372" s="2">
        <v>1.06171666666667</v>
      </c>
      <c r="D5372" s="2" t="s">
        <v>34</v>
      </c>
      <c r="E5372" s="2" t="s">
        <v>35630</v>
      </c>
      <c r="F5372" s="2">
        <v>200929</v>
      </c>
      <c r="G5372" s="3" t="str">
        <f>HYPERLINK("http://funmeta.oebiotech.com/network/200929", "http://funmeta.oebiotech.com/network/200929")</f>
        <v>http://funmeta.oebiotech.com/network/200929</v>
      </c>
      <c r="H5372" s="2" t="s">
        <v>35631</v>
      </c>
      <c r="I5372" s="2"/>
      <c r="J5372" s="2"/>
      <c r="K5372" s="2"/>
      <c r="L5372" s="2"/>
      <c r="M5372" s="2"/>
      <c r="N5372" s="2"/>
      <c r="O5372" s="2">
        <v>24729233</v>
      </c>
      <c r="P5372" s="2"/>
      <c r="Q5372" s="2" t="s">
        <v>35632</v>
      </c>
      <c r="R5372" s="2" t="s">
        <v>35633</v>
      </c>
      <c r="S5372" s="2" t="s">
        <v>148</v>
      </c>
      <c r="T5372" s="2" t="s">
        <v>149</v>
      </c>
      <c r="U5372" s="2" t="s">
        <v>4297</v>
      </c>
      <c r="V5372" s="2" t="s">
        <v>59</v>
      </c>
      <c r="W5372" s="2">
        <v>39.1</v>
      </c>
      <c r="X5372" s="2">
        <v>0</v>
      </c>
      <c r="Y5372" s="2" t="s">
        <v>43</v>
      </c>
      <c r="Z5372" s="2" t="s">
        <v>35634</v>
      </c>
      <c r="AA5372" s="2">
        <v>-0.58041083082224998</v>
      </c>
      <c r="AB5372" s="2">
        <v>8.7333323669905399E-2</v>
      </c>
      <c r="AC5372" s="2">
        <v>9552.8259863158401</v>
      </c>
      <c r="AD5372" s="2">
        <v>10464.1991431924</v>
      </c>
      <c r="AE5372" s="2">
        <v>9871.4966062259391</v>
      </c>
      <c r="AF5372" s="2">
        <v>9422.9520659613408</v>
      </c>
      <c r="AG5372" s="2">
        <v>8628.1690326277494</v>
      </c>
      <c r="AH5372" s="2">
        <v>9696.0658253365309</v>
      </c>
      <c r="AI5372" s="2">
        <v>8951.7238051850709</v>
      </c>
      <c r="AJ5372" s="2">
        <v>10746.5485825584</v>
      </c>
      <c r="AK5372" s="2">
        <v>10781.0066610946</v>
      </c>
      <c r="AL5372" s="2">
        <v>9854.7119413798991</v>
      </c>
      <c r="AM5372" s="2">
        <v>10609.561860878701</v>
      </c>
      <c r="AN5372" s="2">
        <v>10939.4437113683</v>
      </c>
      <c r="AO5372" s="2">
        <v>11365.729489809901</v>
      </c>
      <c r="AP5372" s="2">
        <v>9234.7411946231896</v>
      </c>
    </row>
    <row r="5373" spans="1:42" ht="14.5" x14ac:dyDescent="0.35">
      <c r="A5373" s="2" t="s">
        <v>35635</v>
      </c>
      <c r="B5373" s="2">
        <v>265.194635682909</v>
      </c>
      <c r="C5373" s="2">
        <v>7.5153999999999996</v>
      </c>
      <c r="D5373" s="2" t="s">
        <v>34</v>
      </c>
      <c r="E5373" s="2" t="s">
        <v>35636</v>
      </c>
      <c r="F5373" s="2">
        <v>37403</v>
      </c>
      <c r="G5373" s="3" t="str">
        <f>HYPERLINK("http://funmeta.oebiotech.com/network/37403", "http://funmeta.oebiotech.com/network/37403")</f>
        <v>http://funmeta.oebiotech.com/network/37403</v>
      </c>
      <c r="H5373" s="2"/>
      <c r="I5373" s="2">
        <v>41528</v>
      </c>
      <c r="J5373" s="2" t="s">
        <v>35637</v>
      </c>
      <c r="K5373" s="2"/>
      <c r="L5373" s="2"/>
      <c r="M5373" s="2"/>
      <c r="N5373" s="2"/>
      <c r="O5373" s="2">
        <v>16061324</v>
      </c>
      <c r="P5373" s="2"/>
      <c r="Q5373" s="2" t="s">
        <v>35638</v>
      </c>
      <c r="R5373" s="2" t="s">
        <v>35639</v>
      </c>
      <c r="S5373" s="2" t="s">
        <v>50</v>
      </c>
      <c r="T5373" s="2" t="s">
        <v>201</v>
      </c>
      <c r="U5373" s="2" t="s">
        <v>2195</v>
      </c>
      <c r="V5373" s="2" t="s">
        <v>42</v>
      </c>
      <c r="W5373" s="2">
        <v>47.7</v>
      </c>
      <c r="X5373" s="2">
        <v>46.6</v>
      </c>
      <c r="Y5373" s="2" t="s">
        <v>141</v>
      </c>
      <c r="Z5373" s="2" t="s">
        <v>2196</v>
      </c>
      <c r="AA5373" s="2">
        <v>-1.5645748707543401</v>
      </c>
      <c r="AB5373" s="2">
        <v>8.7246219000601505E-2</v>
      </c>
      <c r="AC5373" s="2">
        <v>15907.037214824401</v>
      </c>
      <c r="AD5373" s="2">
        <v>17202.790622409098</v>
      </c>
      <c r="AE5373" s="2">
        <v>15865.133570387599</v>
      </c>
      <c r="AF5373" s="2">
        <v>18515.246421542</v>
      </c>
      <c r="AG5373" s="2">
        <v>15894.3596327592</v>
      </c>
      <c r="AH5373" s="2">
        <v>14475.706115196301</v>
      </c>
      <c r="AI5373" s="2">
        <v>13980.374147127999</v>
      </c>
      <c r="AJ5373" s="2">
        <v>16711.403401933501</v>
      </c>
      <c r="AK5373" s="2">
        <v>18611.888334485498</v>
      </c>
      <c r="AL5373" s="2">
        <v>18007.466325490299</v>
      </c>
      <c r="AM5373" s="2">
        <v>16130.9401446999</v>
      </c>
      <c r="AN5373" s="2">
        <v>19359.220911081498</v>
      </c>
      <c r="AO5373" s="2">
        <v>15343.890554383501</v>
      </c>
      <c r="AP5373" s="2">
        <v>15763.3374643138</v>
      </c>
    </row>
    <row r="5374" spans="1:42" ht="14.5" x14ac:dyDescent="0.35">
      <c r="A5374" s="2" t="s">
        <v>35640</v>
      </c>
      <c r="B5374" s="2">
        <v>389.265574875026</v>
      </c>
      <c r="C5374" s="2">
        <v>12.113350000000001</v>
      </c>
      <c r="D5374" s="2" t="s">
        <v>34</v>
      </c>
      <c r="E5374" s="2" t="s">
        <v>35641</v>
      </c>
      <c r="F5374" s="2">
        <v>197772</v>
      </c>
      <c r="G5374" s="3" t="str">
        <f>HYPERLINK("http://funmeta.oebiotech.com/network/197772", "http://funmeta.oebiotech.com/network/197772")</f>
        <v>http://funmeta.oebiotech.com/network/197772</v>
      </c>
      <c r="H5374" s="2" t="s">
        <v>35642</v>
      </c>
      <c r="I5374" s="2"/>
      <c r="J5374" s="2"/>
      <c r="K5374" s="2"/>
      <c r="L5374" s="2"/>
      <c r="M5374" s="2"/>
      <c r="N5374" s="2"/>
      <c r="O5374" s="2"/>
      <c r="P5374" s="2"/>
      <c r="Q5374" s="2" t="s">
        <v>35643</v>
      </c>
      <c r="R5374" s="2" t="s">
        <v>35644</v>
      </c>
      <c r="S5374" s="2" t="s">
        <v>41</v>
      </c>
      <c r="T5374" s="2" t="s">
        <v>41</v>
      </c>
      <c r="U5374" s="2" t="s">
        <v>41</v>
      </c>
      <c r="V5374" s="2" t="s">
        <v>59</v>
      </c>
      <c r="W5374" s="2">
        <v>38.6</v>
      </c>
      <c r="X5374" s="2">
        <v>0</v>
      </c>
      <c r="Y5374" s="2" t="s">
        <v>43</v>
      </c>
      <c r="Z5374" s="2" t="s">
        <v>35645</v>
      </c>
      <c r="AA5374" s="2">
        <v>2.5902069218725501</v>
      </c>
      <c r="AB5374" s="2">
        <v>8.6972828994457796E-2</v>
      </c>
      <c r="AC5374" s="2">
        <v>1091.9044017737999</v>
      </c>
      <c r="AD5374" s="2">
        <v>444.760044529195</v>
      </c>
      <c r="AE5374" s="2">
        <v>1301.3722753853101</v>
      </c>
      <c r="AF5374" s="2">
        <v>1412.33159617299</v>
      </c>
      <c r="AG5374" s="2">
        <v>1357.41804956999</v>
      </c>
      <c r="AH5374" s="2">
        <v>859.03255320877997</v>
      </c>
      <c r="AI5374" s="2">
        <v>554.80253190014196</v>
      </c>
      <c r="AJ5374" s="2">
        <v>1066.46940440556</v>
      </c>
      <c r="AK5374" s="2">
        <v>2.7106294003980101E-5</v>
      </c>
      <c r="AL5374" s="2">
        <v>769.23928873512398</v>
      </c>
      <c r="AM5374" s="2">
        <v>456.92576092646101</v>
      </c>
      <c r="AN5374" s="2">
        <v>410.07233203005899</v>
      </c>
      <c r="AO5374" s="2">
        <v>701.225936308379</v>
      </c>
      <c r="AP5374" s="2">
        <v>331.09692206885302</v>
      </c>
    </row>
    <row r="5375" spans="1:42" ht="14.5" x14ac:dyDescent="0.35">
      <c r="A5375" s="2" t="s">
        <v>35646</v>
      </c>
      <c r="B5375" s="2">
        <v>584.32827478657998</v>
      </c>
      <c r="C5375" s="2">
        <v>5.2079666666666702</v>
      </c>
      <c r="D5375" s="2" t="s">
        <v>70</v>
      </c>
      <c r="E5375" s="2" t="s">
        <v>35647</v>
      </c>
      <c r="F5375" s="2">
        <v>198835</v>
      </c>
      <c r="G5375" s="3" t="str">
        <f>HYPERLINK("http://funmeta.oebiotech.com/network/198835", "http://funmeta.oebiotech.com/network/198835")</f>
        <v>http://funmeta.oebiotech.com/network/198835</v>
      </c>
      <c r="H5375" s="2" t="s">
        <v>35648</v>
      </c>
      <c r="I5375" s="2"/>
      <c r="J5375" s="2"/>
      <c r="K5375" s="2"/>
      <c r="L5375" s="2"/>
      <c r="M5375" s="2"/>
      <c r="N5375" s="2"/>
      <c r="O5375" s="2">
        <v>145997943</v>
      </c>
      <c r="P5375" s="2"/>
      <c r="Q5375" s="2" t="s">
        <v>35649</v>
      </c>
      <c r="R5375" s="2" t="s">
        <v>35650</v>
      </c>
      <c r="S5375" s="2" t="s">
        <v>50</v>
      </c>
      <c r="T5375" s="2" t="s">
        <v>124</v>
      </c>
      <c r="U5375" s="2" t="s">
        <v>125</v>
      </c>
      <c r="V5375" s="2" t="s">
        <v>59</v>
      </c>
      <c r="W5375" s="2">
        <v>36.4</v>
      </c>
      <c r="X5375" s="2">
        <v>0</v>
      </c>
      <c r="Y5375" s="2" t="s">
        <v>408</v>
      </c>
      <c r="Z5375" s="2" t="s">
        <v>35651</v>
      </c>
      <c r="AA5375" s="2">
        <v>3.7317231224807901</v>
      </c>
      <c r="AB5375" s="2">
        <v>8.6945282878042304E-2</v>
      </c>
      <c r="AC5375" s="2">
        <v>3882.2828807677902</v>
      </c>
      <c r="AD5375" s="2">
        <v>3016.9298884712798</v>
      </c>
      <c r="AE5375" s="2">
        <v>3022.01140500878</v>
      </c>
      <c r="AF5375" s="2">
        <v>3728.4590634357801</v>
      </c>
      <c r="AG5375" s="2">
        <v>3967.3415007204799</v>
      </c>
      <c r="AH5375" s="2">
        <v>3859.6943997273002</v>
      </c>
      <c r="AI5375" s="2">
        <v>3758.3747698018801</v>
      </c>
      <c r="AJ5375" s="2">
        <v>4957.8161459125104</v>
      </c>
      <c r="AK5375" s="2">
        <v>3421.9777149901602</v>
      </c>
      <c r="AL5375" s="2">
        <v>2443.9547175926</v>
      </c>
      <c r="AM5375" s="2">
        <v>4209.6009915466202</v>
      </c>
      <c r="AN5375" s="2">
        <v>2311.69251835972</v>
      </c>
      <c r="AO5375" s="2">
        <v>3121.8617368187702</v>
      </c>
      <c r="AP5375" s="2">
        <v>2592.4916515198302</v>
      </c>
    </row>
    <row r="5376" spans="1:42" ht="14.5" x14ac:dyDescent="0.35">
      <c r="A5376" s="2" t="s">
        <v>35652</v>
      </c>
      <c r="B5376" s="2">
        <v>199.14799974510899</v>
      </c>
      <c r="C5376" s="2">
        <v>5.2179000000000002</v>
      </c>
      <c r="D5376" s="2" t="s">
        <v>34</v>
      </c>
      <c r="E5376" s="2" t="s">
        <v>35653</v>
      </c>
      <c r="F5376" s="2">
        <v>59472</v>
      </c>
      <c r="G5376" s="3" t="str">
        <f>HYPERLINK("http://funmeta.oebiotech.com/network/59472", "http://funmeta.oebiotech.com/network/59472")</f>
        <v>http://funmeta.oebiotech.com/network/59472</v>
      </c>
      <c r="H5376" s="2" t="s">
        <v>35654</v>
      </c>
      <c r="I5376" s="2">
        <v>90885</v>
      </c>
      <c r="J5376" s="2"/>
      <c r="K5376" s="2"/>
      <c r="L5376" s="2"/>
      <c r="M5376" s="2"/>
      <c r="N5376" s="2"/>
      <c r="O5376" s="2">
        <v>558221</v>
      </c>
      <c r="P5376" s="2" t="s">
        <v>35655</v>
      </c>
      <c r="Q5376" s="2" t="s">
        <v>35656</v>
      </c>
      <c r="R5376" s="2" t="s">
        <v>35657</v>
      </c>
      <c r="S5376" s="2" t="s">
        <v>50</v>
      </c>
      <c r="T5376" s="2" t="s">
        <v>201</v>
      </c>
      <c r="U5376" s="2" t="s">
        <v>636</v>
      </c>
      <c r="V5376" s="2" t="s">
        <v>59</v>
      </c>
      <c r="W5376" s="2">
        <v>38.6</v>
      </c>
      <c r="X5376" s="2">
        <v>0</v>
      </c>
      <c r="Y5376" s="2" t="s">
        <v>141</v>
      </c>
      <c r="Z5376" s="2" t="s">
        <v>17048</v>
      </c>
      <c r="AA5376" s="2">
        <v>-0.58878102354328299</v>
      </c>
      <c r="AB5376" s="2">
        <v>8.6851299304816901E-2</v>
      </c>
      <c r="AC5376" s="2">
        <v>8170.9199785081</v>
      </c>
      <c r="AD5376" s="2">
        <v>7397.8327677360103</v>
      </c>
      <c r="AE5376" s="2">
        <v>8422.4696260754899</v>
      </c>
      <c r="AF5376" s="2">
        <v>8181.6943757568697</v>
      </c>
      <c r="AG5376" s="2">
        <v>9190.0213712536606</v>
      </c>
      <c r="AH5376" s="2">
        <v>7096.9813796703902</v>
      </c>
      <c r="AI5376" s="2">
        <v>8315.6012950435706</v>
      </c>
      <c r="AJ5376" s="2">
        <v>7818.75182324864</v>
      </c>
      <c r="AK5376" s="2">
        <v>7226.5877424631199</v>
      </c>
      <c r="AL5376" s="2">
        <v>7522.6144994066799</v>
      </c>
      <c r="AM5376" s="2">
        <v>7636.4418920327298</v>
      </c>
      <c r="AN5376" s="2">
        <v>7514.6566736484801</v>
      </c>
      <c r="AO5376" s="2">
        <v>7085.5997264387097</v>
      </c>
      <c r="AP5376" s="2">
        <v>7401.0960724263296</v>
      </c>
    </row>
    <row r="5377" spans="1:42" ht="14.5" x14ac:dyDescent="0.35">
      <c r="A5377" s="2" t="s">
        <v>35658</v>
      </c>
      <c r="B5377" s="2">
        <v>211.093924853516</v>
      </c>
      <c r="C5377" s="2">
        <v>4.1233166666666703</v>
      </c>
      <c r="D5377" s="2" t="s">
        <v>34</v>
      </c>
      <c r="E5377" s="2" t="s">
        <v>35659</v>
      </c>
      <c r="F5377" s="2">
        <v>202357</v>
      </c>
      <c r="G5377" s="3" t="str">
        <f>HYPERLINK("http://funmeta.oebiotech.com/network/202357", "http://funmeta.oebiotech.com/network/202357")</f>
        <v>http://funmeta.oebiotech.com/network/202357</v>
      </c>
      <c r="H5377" s="2" t="s">
        <v>35660</v>
      </c>
      <c r="I5377" s="2"/>
      <c r="J5377" s="2"/>
      <c r="K5377" s="2"/>
      <c r="L5377" s="2"/>
      <c r="M5377" s="2"/>
      <c r="N5377" s="2"/>
      <c r="O5377" s="2">
        <v>69736</v>
      </c>
      <c r="P5377" s="2"/>
      <c r="Q5377" s="2" t="s">
        <v>35661</v>
      </c>
      <c r="R5377" s="2" t="s">
        <v>35662</v>
      </c>
      <c r="S5377" s="2" t="s">
        <v>491</v>
      </c>
      <c r="T5377" s="2" t="s">
        <v>4914</v>
      </c>
      <c r="U5377" s="2" t="s">
        <v>4915</v>
      </c>
      <c r="V5377" s="2" t="s">
        <v>59</v>
      </c>
      <c r="W5377" s="2">
        <v>38</v>
      </c>
      <c r="X5377" s="2">
        <v>0</v>
      </c>
      <c r="Y5377" s="2" t="s">
        <v>43</v>
      </c>
      <c r="Z5377" s="2" t="s">
        <v>35663</v>
      </c>
      <c r="AA5377" s="2">
        <v>0.64661722997295301</v>
      </c>
      <c r="AB5377" s="2">
        <v>8.6722830560469297E-2</v>
      </c>
      <c r="AC5377" s="2">
        <v>2582.3841607320001</v>
      </c>
      <c r="AD5377" s="2">
        <v>3324.6533137659799</v>
      </c>
      <c r="AE5377" s="2">
        <v>2769.4305541542399</v>
      </c>
      <c r="AF5377" s="2">
        <v>2571.16224372129</v>
      </c>
      <c r="AG5377" s="2">
        <v>2934.8645620555299</v>
      </c>
      <c r="AH5377" s="2">
        <v>2482.9652376007998</v>
      </c>
      <c r="AI5377" s="2">
        <v>2430.1722985361998</v>
      </c>
      <c r="AJ5377" s="2">
        <v>2305.7100683239601</v>
      </c>
      <c r="AK5377" s="2">
        <v>4411.5177117899202</v>
      </c>
      <c r="AL5377" s="2">
        <v>3301.4973392601401</v>
      </c>
      <c r="AM5377" s="2">
        <v>3016.4591736186899</v>
      </c>
      <c r="AN5377" s="2">
        <v>2984.29650496561</v>
      </c>
      <c r="AO5377" s="2">
        <v>3484.1036650415899</v>
      </c>
      <c r="AP5377" s="2">
        <v>2750.0454879199201</v>
      </c>
    </row>
    <row r="5378" spans="1:42" ht="14.5" x14ac:dyDescent="0.35">
      <c r="A5378" s="2" t="s">
        <v>35664</v>
      </c>
      <c r="B5378" s="2">
        <v>181.96159693418301</v>
      </c>
      <c r="C5378" s="2">
        <v>0.68611666666666704</v>
      </c>
      <c r="D5378" s="2" t="s">
        <v>34</v>
      </c>
      <c r="E5378" s="2" t="s">
        <v>35665</v>
      </c>
      <c r="F5378" s="2">
        <v>256977</v>
      </c>
      <c r="G5378" s="3" t="str">
        <f>HYPERLINK("http://funmeta.oebiotech.com/network/256977", "http://funmeta.oebiotech.com/network/256977")</f>
        <v>http://funmeta.oebiotech.com/network/256977</v>
      </c>
      <c r="H5378" s="2" t="s">
        <v>35666</v>
      </c>
      <c r="I5378" s="2"/>
      <c r="J5378" s="2"/>
      <c r="K5378" s="2">
        <v>18110</v>
      </c>
      <c r="L5378" s="2"/>
      <c r="M5378" s="2"/>
      <c r="N5378" s="2"/>
      <c r="O5378" s="2">
        <v>5460375</v>
      </c>
      <c r="P5378" s="2"/>
      <c r="Q5378" s="2" t="s">
        <v>35667</v>
      </c>
      <c r="R5378" s="2" t="s">
        <v>35668</v>
      </c>
      <c r="S5378" s="2" t="s">
        <v>79</v>
      </c>
      <c r="T5378" s="2" t="s">
        <v>80</v>
      </c>
      <c r="U5378" s="2" t="s">
        <v>2820</v>
      </c>
      <c r="V5378" s="2" t="s">
        <v>59</v>
      </c>
      <c r="W5378" s="2">
        <v>38.4</v>
      </c>
      <c r="X5378" s="2">
        <v>0</v>
      </c>
      <c r="Y5378" s="2" t="s">
        <v>394</v>
      </c>
      <c r="Z5378" s="2" t="s">
        <v>35669</v>
      </c>
      <c r="AA5378" s="2">
        <v>2.7988971953370099</v>
      </c>
      <c r="AB5378" s="2">
        <v>8.6546473076856104E-2</v>
      </c>
      <c r="AC5378" s="2">
        <v>1982.0524862659699</v>
      </c>
      <c r="AD5378" s="2">
        <v>2768.03757551647</v>
      </c>
      <c r="AE5378" s="2">
        <v>1634.85904210028</v>
      </c>
      <c r="AF5378" s="2">
        <v>1770.30110069737</v>
      </c>
      <c r="AG5378" s="2">
        <v>1897.9645622579801</v>
      </c>
      <c r="AH5378" s="2">
        <v>2205.0826336618002</v>
      </c>
      <c r="AI5378" s="2">
        <v>1776.44016256533</v>
      </c>
      <c r="AJ5378" s="2">
        <v>2607.6674163130901</v>
      </c>
      <c r="AK5378" s="2">
        <v>2232.0323836666198</v>
      </c>
      <c r="AL5378" s="2">
        <v>2590.7503528924599</v>
      </c>
      <c r="AM5378" s="2">
        <v>3837.0063524748698</v>
      </c>
      <c r="AN5378" s="2">
        <v>3327.3977856309002</v>
      </c>
      <c r="AO5378" s="2">
        <v>2079.9410883109599</v>
      </c>
      <c r="AP5378" s="2">
        <v>2541.0974901230102</v>
      </c>
    </row>
    <row r="5379" spans="1:42" ht="14.5" x14ac:dyDescent="0.35">
      <c r="A5379" s="2" t="s">
        <v>35670</v>
      </c>
      <c r="B5379" s="2">
        <v>339.02446965052599</v>
      </c>
      <c r="C5379" s="2">
        <v>1.22268333333333</v>
      </c>
      <c r="D5379" s="2" t="s">
        <v>70</v>
      </c>
      <c r="E5379" s="2" t="s">
        <v>35671</v>
      </c>
      <c r="F5379" s="2">
        <v>47599</v>
      </c>
      <c r="G5379" s="3" t="str">
        <f>HYPERLINK("http://funmeta.oebiotech.com/network/47599", "http://funmeta.oebiotech.com/network/47599")</f>
        <v>http://funmeta.oebiotech.com/network/47599</v>
      </c>
      <c r="H5379" s="2" t="s">
        <v>35672</v>
      </c>
      <c r="I5379" s="2">
        <v>6256</v>
      </c>
      <c r="J5379" s="2"/>
      <c r="K5379" s="2">
        <v>28006</v>
      </c>
      <c r="L5379" s="2" t="s">
        <v>35673</v>
      </c>
      <c r="M5379" s="2" t="s">
        <v>3346</v>
      </c>
      <c r="N5379" s="2" t="s">
        <v>3347</v>
      </c>
      <c r="O5379" s="2">
        <v>655</v>
      </c>
      <c r="P5379" s="2" t="s">
        <v>35674</v>
      </c>
      <c r="Q5379" s="2" t="s">
        <v>35675</v>
      </c>
      <c r="R5379" s="2" t="s">
        <v>35676</v>
      </c>
      <c r="S5379" s="2" t="s">
        <v>89</v>
      </c>
      <c r="T5379" s="2" t="s">
        <v>15082</v>
      </c>
      <c r="U5379" s="2" t="s">
        <v>15083</v>
      </c>
      <c r="V5379" s="2" t="s">
        <v>59</v>
      </c>
      <c r="W5379" s="2">
        <v>38.1</v>
      </c>
      <c r="X5379" s="2">
        <v>3.28</v>
      </c>
      <c r="Y5379" s="2" t="s">
        <v>560</v>
      </c>
      <c r="Z5379" s="2" t="s">
        <v>35677</v>
      </c>
      <c r="AA5379" s="2">
        <v>-4.5807288796192402</v>
      </c>
      <c r="AB5379" s="2">
        <v>8.6514733506867905E-2</v>
      </c>
      <c r="AC5379" s="2">
        <v>38303.3717546802</v>
      </c>
      <c r="AD5379" s="2">
        <v>40275.956515272701</v>
      </c>
      <c r="AE5379" s="2">
        <v>39105.250595827099</v>
      </c>
      <c r="AF5379" s="2">
        <v>38158.880891414403</v>
      </c>
      <c r="AG5379" s="2">
        <v>37760.1280697248</v>
      </c>
      <c r="AH5379" s="2">
        <v>38019.441158527203</v>
      </c>
      <c r="AI5379" s="2">
        <v>38514.925336987697</v>
      </c>
      <c r="AJ5379" s="2">
        <v>38261.604475599801</v>
      </c>
      <c r="AK5379" s="2">
        <v>45412.656448943097</v>
      </c>
      <c r="AL5379" s="2">
        <v>40824.697848173499</v>
      </c>
      <c r="AM5379" s="2">
        <v>28818.264436461301</v>
      </c>
      <c r="AN5379" s="2">
        <v>41463.419819298098</v>
      </c>
      <c r="AO5379" s="2">
        <v>42633.334085723698</v>
      </c>
      <c r="AP5379" s="2">
        <v>42503.3664530366</v>
      </c>
    </row>
    <row r="5380" spans="1:42" ht="14.5" x14ac:dyDescent="0.35">
      <c r="A5380" s="2" t="s">
        <v>35678</v>
      </c>
      <c r="B5380" s="2">
        <v>197.132363013413</v>
      </c>
      <c r="C5380" s="2">
        <v>5.2337999999999996</v>
      </c>
      <c r="D5380" s="2" t="s">
        <v>34</v>
      </c>
      <c r="E5380" s="2" t="s">
        <v>35679</v>
      </c>
      <c r="F5380" s="2">
        <v>56856</v>
      </c>
      <c r="G5380" s="3" t="str">
        <f>HYPERLINK("http://funmeta.oebiotech.com/network/56856", "http://funmeta.oebiotech.com/network/56856")</f>
        <v>http://funmeta.oebiotech.com/network/56856</v>
      </c>
      <c r="H5380" s="2" t="s">
        <v>35680</v>
      </c>
      <c r="I5380" s="2">
        <v>70176</v>
      </c>
      <c r="J5380" s="2"/>
      <c r="K5380" s="2"/>
      <c r="L5380" s="2" t="s">
        <v>35681</v>
      </c>
      <c r="M5380" s="2"/>
      <c r="N5380" s="2"/>
      <c r="O5380" s="2">
        <v>14125</v>
      </c>
      <c r="P5380" s="2" t="s">
        <v>35682</v>
      </c>
      <c r="Q5380" s="2" t="s">
        <v>35683</v>
      </c>
      <c r="R5380" s="2" t="s">
        <v>35684</v>
      </c>
      <c r="S5380" s="2" t="s">
        <v>115</v>
      </c>
      <c r="T5380" s="2" t="s">
        <v>12600</v>
      </c>
      <c r="U5380" s="2" t="s">
        <v>41</v>
      </c>
      <c r="V5380" s="2" t="s">
        <v>59</v>
      </c>
      <c r="W5380" s="2">
        <v>38.799999999999997</v>
      </c>
      <c r="X5380" s="2">
        <v>0</v>
      </c>
      <c r="Y5380" s="2" t="s">
        <v>394</v>
      </c>
      <c r="Z5380" s="2" t="s">
        <v>35685</v>
      </c>
      <c r="AA5380" s="2">
        <v>-0.58091314234136904</v>
      </c>
      <c r="AB5380" s="2">
        <v>8.6501461435667906E-2</v>
      </c>
      <c r="AC5380" s="2">
        <v>7041.9763900296402</v>
      </c>
      <c r="AD5380" s="2">
        <v>6242.3937502945801</v>
      </c>
      <c r="AE5380" s="2">
        <v>7853.21432122235</v>
      </c>
      <c r="AF5380" s="2">
        <v>6334.6637760039503</v>
      </c>
      <c r="AG5380" s="2">
        <v>7606.0979924167996</v>
      </c>
      <c r="AH5380" s="2">
        <v>5850.7641983708399</v>
      </c>
      <c r="AI5380" s="2">
        <v>7210.5471018274602</v>
      </c>
      <c r="AJ5380" s="2">
        <v>7396.5709503364697</v>
      </c>
      <c r="AK5380" s="2">
        <v>5955.1788014629001</v>
      </c>
      <c r="AL5380" s="2">
        <v>6365.8541925762302</v>
      </c>
      <c r="AM5380" s="2">
        <v>6380.24868776728</v>
      </c>
      <c r="AN5380" s="2">
        <v>6262.7493848479598</v>
      </c>
      <c r="AO5380" s="2">
        <v>6236.9516488178997</v>
      </c>
      <c r="AP5380" s="2">
        <v>6253.3797862951997</v>
      </c>
    </row>
    <row r="5381" spans="1:42" ht="14.5" x14ac:dyDescent="0.35">
      <c r="A5381" s="2" t="s">
        <v>35686</v>
      </c>
      <c r="B5381" s="2">
        <v>416.21232304137698</v>
      </c>
      <c r="C5381" s="2">
        <v>0.78071666666666695</v>
      </c>
      <c r="D5381" s="2" t="s">
        <v>34</v>
      </c>
      <c r="E5381" s="2" t="s">
        <v>35687</v>
      </c>
      <c r="F5381" s="2">
        <v>208025</v>
      </c>
      <c r="G5381" s="3" t="str">
        <f>HYPERLINK("http://funmeta.oebiotech.com/network/208025", "http://funmeta.oebiotech.com/network/208025")</f>
        <v>http://funmeta.oebiotech.com/network/208025</v>
      </c>
      <c r="H5381" s="2" t="s">
        <v>35688</v>
      </c>
      <c r="I5381" s="2"/>
      <c r="J5381" s="2"/>
      <c r="K5381" s="2"/>
      <c r="L5381" s="2"/>
      <c r="M5381" s="2"/>
      <c r="N5381" s="2"/>
      <c r="O5381" s="2">
        <v>9821941</v>
      </c>
      <c r="P5381" s="2"/>
      <c r="Q5381" s="2" t="s">
        <v>35689</v>
      </c>
      <c r="R5381" s="2" t="s">
        <v>35690</v>
      </c>
      <c r="S5381" s="2" t="s">
        <v>79</v>
      </c>
      <c r="T5381" s="2" t="s">
        <v>80</v>
      </c>
      <c r="U5381" s="2" t="s">
        <v>2820</v>
      </c>
      <c r="V5381" s="2" t="s">
        <v>59</v>
      </c>
      <c r="W5381" s="2">
        <v>36.700000000000003</v>
      </c>
      <c r="X5381" s="2">
        <v>0</v>
      </c>
      <c r="Y5381" s="2" t="s">
        <v>323</v>
      </c>
      <c r="Z5381" s="2" t="s">
        <v>35691</v>
      </c>
      <c r="AA5381" s="2">
        <v>3.71701174341981</v>
      </c>
      <c r="AB5381" s="2">
        <v>8.6442393753320995E-2</v>
      </c>
      <c r="AC5381" s="2">
        <v>6558.9962347914698</v>
      </c>
      <c r="AD5381" s="2">
        <v>5135.0094242144196</v>
      </c>
      <c r="AE5381" s="2">
        <v>7197.5367620040697</v>
      </c>
      <c r="AF5381" s="2">
        <v>3175.0495761069201</v>
      </c>
      <c r="AG5381" s="2">
        <v>7387.0085625121301</v>
      </c>
      <c r="AH5381" s="2">
        <v>4466.5957242761597</v>
      </c>
      <c r="AI5381" s="2">
        <v>9530.3577414039191</v>
      </c>
      <c r="AJ5381" s="2">
        <v>7597.4290424456203</v>
      </c>
      <c r="AK5381" s="2">
        <v>3824.5757742701799</v>
      </c>
      <c r="AL5381" s="2">
        <v>4453.5645943333102</v>
      </c>
      <c r="AM5381" s="2">
        <v>4163.0902964659299</v>
      </c>
      <c r="AN5381" s="2">
        <v>7215.0476297997302</v>
      </c>
      <c r="AO5381" s="2">
        <v>3702.4332607793599</v>
      </c>
      <c r="AP5381" s="2">
        <v>7451.3449896379998</v>
      </c>
    </row>
    <row r="5382" spans="1:42" ht="14.5" x14ac:dyDescent="0.35">
      <c r="A5382" s="2" t="s">
        <v>35692</v>
      </c>
      <c r="B5382" s="2">
        <v>477.21279035296402</v>
      </c>
      <c r="C5382" s="2">
        <v>6.98973333333333</v>
      </c>
      <c r="D5382" s="2" t="s">
        <v>70</v>
      </c>
      <c r="E5382" s="2" t="s">
        <v>35693</v>
      </c>
      <c r="F5382" s="2">
        <v>289883</v>
      </c>
      <c r="G5382" s="3" t="str">
        <f>HYPERLINK("http://funmeta.oebiotech.com/network/289883", "http://funmeta.oebiotech.com/network/289883")</f>
        <v>http://funmeta.oebiotech.com/network/289883</v>
      </c>
      <c r="H5382" s="2"/>
      <c r="I5382" s="2">
        <v>985118</v>
      </c>
      <c r="J5382" s="2"/>
      <c r="K5382" s="2"/>
      <c r="L5382" s="2"/>
      <c r="M5382" s="2"/>
      <c r="N5382" s="2"/>
      <c r="O5382" s="2">
        <v>13989915</v>
      </c>
      <c r="P5382" s="2"/>
      <c r="Q5382" s="2" t="s">
        <v>35694</v>
      </c>
      <c r="R5382" s="2" t="s">
        <v>35695</v>
      </c>
      <c r="S5382" s="2" t="s">
        <v>1184</v>
      </c>
      <c r="T5382" s="2" t="s">
        <v>4551</v>
      </c>
      <c r="U5382" s="2" t="s">
        <v>41</v>
      </c>
      <c r="V5382" s="2" t="s">
        <v>59</v>
      </c>
      <c r="W5382" s="2">
        <v>38.200000000000003</v>
      </c>
      <c r="X5382" s="2">
        <v>0</v>
      </c>
      <c r="Y5382" s="2" t="s">
        <v>408</v>
      </c>
      <c r="Z5382" s="2" t="s">
        <v>8519</v>
      </c>
      <c r="AA5382" s="2">
        <v>-0.49947432357583899</v>
      </c>
      <c r="AB5382" s="2">
        <v>8.6396880723708103E-2</v>
      </c>
      <c r="AC5382" s="2">
        <v>1871.47580459349</v>
      </c>
      <c r="AD5382" s="2">
        <v>1244.9148273047899</v>
      </c>
      <c r="AE5382" s="2">
        <v>1976.07794403255</v>
      </c>
      <c r="AF5382" s="2">
        <v>1776.5423735166801</v>
      </c>
      <c r="AG5382" s="2">
        <v>2061.3786111578402</v>
      </c>
      <c r="AH5382" s="2">
        <v>1819.80750028848</v>
      </c>
      <c r="AI5382" s="2">
        <v>2112.5422260649498</v>
      </c>
      <c r="AJ5382" s="2">
        <v>1482.50617250042</v>
      </c>
      <c r="AK5382" s="2">
        <v>1463.45518315762</v>
      </c>
      <c r="AL5382" s="2">
        <v>1346.4176160601501</v>
      </c>
      <c r="AM5382" s="2">
        <v>1527.4493277377301</v>
      </c>
      <c r="AN5382" s="2">
        <v>919.94206882347305</v>
      </c>
      <c r="AO5382" s="2">
        <v>790.02374542934604</v>
      </c>
      <c r="AP5382" s="2">
        <v>1422.2010226204</v>
      </c>
    </row>
    <row r="5383" spans="1:42" ht="14.5" x14ac:dyDescent="0.35">
      <c r="A5383" s="2" t="s">
        <v>35696</v>
      </c>
      <c r="B5383" s="2">
        <v>486.37846480168599</v>
      </c>
      <c r="C5383" s="2">
        <v>11.3852666666667</v>
      </c>
      <c r="D5383" s="2" t="s">
        <v>34</v>
      </c>
      <c r="E5383" s="2" t="s">
        <v>35697</v>
      </c>
      <c r="F5383" s="2">
        <v>43620</v>
      </c>
      <c r="G5383" s="3" t="str">
        <f>HYPERLINK("http://funmeta.oebiotech.com/network/43620", "http://funmeta.oebiotech.com/network/43620")</f>
        <v>http://funmeta.oebiotech.com/network/43620</v>
      </c>
      <c r="H5383" s="2"/>
      <c r="I5383" s="2">
        <v>83894</v>
      </c>
      <c r="J5383" s="2" t="s">
        <v>35698</v>
      </c>
      <c r="K5383" s="2"/>
      <c r="L5383" s="2"/>
      <c r="M5383" s="2"/>
      <c r="N5383" s="2"/>
      <c r="O5383" s="2">
        <v>21671289</v>
      </c>
      <c r="P5383" s="2"/>
      <c r="Q5383" s="2" t="s">
        <v>35699</v>
      </c>
      <c r="R5383" s="2" t="s">
        <v>35700</v>
      </c>
      <c r="S5383" s="2" t="s">
        <v>50</v>
      </c>
      <c r="T5383" s="2" t="s">
        <v>201</v>
      </c>
      <c r="U5383" s="2" t="s">
        <v>636</v>
      </c>
      <c r="V5383" s="2" t="s">
        <v>59</v>
      </c>
      <c r="W5383" s="2">
        <v>44.3</v>
      </c>
      <c r="X5383" s="2">
        <v>27</v>
      </c>
      <c r="Y5383" s="2" t="s">
        <v>43</v>
      </c>
      <c r="Z5383" s="2" t="s">
        <v>35701</v>
      </c>
      <c r="AA5383" s="2">
        <v>-0.96079801903193796</v>
      </c>
      <c r="AB5383" s="2">
        <v>8.6395889001754406E-2</v>
      </c>
      <c r="AC5383" s="2">
        <v>24179.761670986001</v>
      </c>
      <c r="AD5383" s="2">
        <v>20771.774634046302</v>
      </c>
      <c r="AE5383" s="2">
        <v>13345.0818116143</v>
      </c>
      <c r="AF5383" s="2">
        <v>16504.2176356979</v>
      </c>
      <c r="AG5383" s="2">
        <v>18459.435861149501</v>
      </c>
      <c r="AH5383" s="2">
        <v>59028.148871123602</v>
      </c>
      <c r="AI5383" s="2">
        <v>17348.053928958099</v>
      </c>
      <c r="AJ5383" s="2">
        <v>20393.631917372299</v>
      </c>
      <c r="AK5383" s="2">
        <v>11992.117188181701</v>
      </c>
      <c r="AL5383" s="2">
        <v>21669.694659312001</v>
      </c>
      <c r="AM5383" s="2">
        <v>20422.6382401107</v>
      </c>
      <c r="AN5383" s="2">
        <v>25336.045109279101</v>
      </c>
      <c r="AO5383" s="2">
        <v>25317.106147617898</v>
      </c>
      <c r="AP5383" s="2">
        <v>19893.046459776298</v>
      </c>
    </row>
    <row r="5384" spans="1:42" ht="14.5" x14ac:dyDescent="0.35">
      <c r="A5384" s="2" t="s">
        <v>35702</v>
      </c>
      <c r="B5384" s="2">
        <v>345.20435426212902</v>
      </c>
      <c r="C5384" s="2">
        <v>11.8404166666667</v>
      </c>
      <c r="D5384" s="2" t="s">
        <v>70</v>
      </c>
      <c r="E5384" s="2" t="s">
        <v>35703</v>
      </c>
      <c r="F5384" s="2">
        <v>51519</v>
      </c>
      <c r="G5384" s="3" t="str">
        <f>HYPERLINK("http://funmeta.oebiotech.com/network/51519", "http://funmeta.oebiotech.com/network/51519")</f>
        <v>http://funmeta.oebiotech.com/network/51519</v>
      </c>
      <c r="H5384" s="2" t="s">
        <v>35704</v>
      </c>
      <c r="I5384" s="2">
        <v>43866</v>
      </c>
      <c r="J5384" s="2"/>
      <c r="K5384" s="2">
        <v>17786</v>
      </c>
      <c r="L5384" s="2" t="s">
        <v>35705</v>
      </c>
      <c r="M5384" s="2"/>
      <c r="N5384" s="2"/>
      <c r="O5384" s="2">
        <v>70912</v>
      </c>
      <c r="P5384" s="2" t="s">
        <v>35706</v>
      </c>
      <c r="Q5384" s="2" t="s">
        <v>35707</v>
      </c>
      <c r="R5384" s="2" t="s">
        <v>35708</v>
      </c>
      <c r="S5384" s="2" t="s">
        <v>89</v>
      </c>
      <c r="T5384" s="2" t="s">
        <v>90</v>
      </c>
      <c r="U5384" s="2" t="s">
        <v>99</v>
      </c>
      <c r="V5384" s="2" t="s">
        <v>59</v>
      </c>
      <c r="W5384" s="2">
        <v>38.1</v>
      </c>
      <c r="X5384" s="2">
        <v>0</v>
      </c>
      <c r="Y5384" s="2" t="s">
        <v>560</v>
      </c>
      <c r="Z5384" s="2" t="s">
        <v>35709</v>
      </c>
      <c r="AA5384" s="2">
        <v>3.5932055106103902</v>
      </c>
      <c r="AB5384" s="2">
        <v>8.6230755680427706E-2</v>
      </c>
      <c r="AC5384" s="2">
        <v>676.91120126025601</v>
      </c>
      <c r="AD5384" s="2">
        <v>107.70282232364301</v>
      </c>
      <c r="AE5384" s="2">
        <v>590.38687966882105</v>
      </c>
      <c r="AF5384" s="2">
        <v>741.11880993654597</v>
      </c>
      <c r="AG5384" s="2">
        <v>1098.4958710926901</v>
      </c>
      <c r="AH5384" s="2">
        <v>470.373255551071</v>
      </c>
      <c r="AI5384" s="2">
        <v>765.77521848656897</v>
      </c>
      <c r="AJ5384" s="2">
        <v>395.31717282583799</v>
      </c>
      <c r="AK5384" s="2">
        <v>2.7106294003980101E-5</v>
      </c>
      <c r="AL5384" s="2">
        <v>264.23965558548298</v>
      </c>
      <c r="AM5384" s="2">
        <v>73.112822741189902</v>
      </c>
      <c r="AN5384" s="2">
        <v>85.379610691350095</v>
      </c>
      <c r="AO5384" s="2">
        <v>110.766161628521</v>
      </c>
      <c r="AP5384" s="2">
        <v>112.718656189019</v>
      </c>
    </row>
    <row r="5385" spans="1:42" ht="14.5" x14ac:dyDescent="0.35">
      <c r="A5385" s="2" t="s">
        <v>35710</v>
      </c>
      <c r="B5385" s="2">
        <v>395.11078639004398</v>
      </c>
      <c r="C5385" s="2">
        <v>1.4463666666666699</v>
      </c>
      <c r="D5385" s="2" t="s">
        <v>70</v>
      </c>
      <c r="E5385" s="2" t="s">
        <v>35711</v>
      </c>
      <c r="F5385" s="2">
        <v>266815</v>
      </c>
      <c r="G5385" s="3" t="str">
        <f>HYPERLINK("http://funmeta.oebiotech.com/network/266815", "http://funmeta.oebiotech.com/network/266815")</f>
        <v>http://funmeta.oebiotech.com/network/266815</v>
      </c>
      <c r="H5385" s="2"/>
      <c r="I5385" s="2">
        <v>44028</v>
      </c>
      <c r="J5385" s="2"/>
      <c r="K5385" s="2"/>
      <c r="L5385" s="2"/>
      <c r="M5385" s="2"/>
      <c r="N5385" s="2"/>
      <c r="O5385" s="2">
        <v>1042895</v>
      </c>
      <c r="P5385" s="2"/>
      <c r="Q5385" s="2" t="s">
        <v>35712</v>
      </c>
      <c r="R5385" s="2" t="s">
        <v>35713</v>
      </c>
      <c r="S5385" s="2" t="s">
        <v>115</v>
      </c>
      <c r="T5385" s="2" t="s">
        <v>758</v>
      </c>
      <c r="U5385" s="2" t="s">
        <v>1477</v>
      </c>
      <c r="V5385" s="2" t="s">
        <v>59</v>
      </c>
      <c r="W5385" s="2">
        <v>36.700000000000003</v>
      </c>
      <c r="X5385" s="2">
        <v>0</v>
      </c>
      <c r="Y5385" s="2" t="s">
        <v>408</v>
      </c>
      <c r="Z5385" s="2" t="s">
        <v>35714</v>
      </c>
      <c r="AA5385" s="2">
        <v>-8.11205340780071</v>
      </c>
      <c r="AB5385" s="2">
        <v>8.6205680321863098E-2</v>
      </c>
      <c r="AC5385" s="2">
        <v>5108.7956465082598</v>
      </c>
      <c r="AD5385" s="2">
        <v>4365.5957165004002</v>
      </c>
      <c r="AE5385" s="2">
        <v>4990.2333584614898</v>
      </c>
      <c r="AF5385" s="2">
        <v>4497.0555367724401</v>
      </c>
      <c r="AG5385" s="2">
        <v>4684.7298543182096</v>
      </c>
      <c r="AH5385" s="2">
        <v>5190.9910506282704</v>
      </c>
      <c r="AI5385" s="2">
        <v>5416.26472886597</v>
      </c>
      <c r="AJ5385" s="2">
        <v>5873.4993500031896</v>
      </c>
      <c r="AK5385" s="2">
        <v>3700.8628642443</v>
      </c>
      <c r="AL5385" s="2">
        <v>4385.1630485406704</v>
      </c>
      <c r="AM5385" s="2">
        <v>4889.4286428617697</v>
      </c>
      <c r="AN5385" s="2">
        <v>4554.8826597401503</v>
      </c>
      <c r="AO5385" s="2">
        <v>4137.02395060043</v>
      </c>
      <c r="AP5385" s="2">
        <v>4526.2131330150896</v>
      </c>
    </row>
    <row r="5386" spans="1:42" ht="14.5" x14ac:dyDescent="0.35">
      <c r="A5386" s="2" t="s">
        <v>35715</v>
      </c>
      <c r="B5386" s="2">
        <v>606.07409683997105</v>
      </c>
      <c r="C5386" s="2">
        <v>0.65605000000000002</v>
      </c>
      <c r="D5386" s="2" t="s">
        <v>70</v>
      </c>
      <c r="E5386" s="2" t="s">
        <v>35716</v>
      </c>
      <c r="F5386" s="2">
        <v>266404</v>
      </c>
      <c r="G5386" s="3" t="str">
        <f>HYPERLINK("http://funmeta.oebiotech.com/network/266404", "http://funmeta.oebiotech.com/network/266404")</f>
        <v>http://funmeta.oebiotech.com/network/266404</v>
      </c>
      <c r="H5386" s="2" t="s">
        <v>35717</v>
      </c>
      <c r="I5386" s="2">
        <v>41549</v>
      </c>
      <c r="J5386" s="2"/>
      <c r="K5386" s="2"/>
      <c r="L5386" s="2" t="s">
        <v>35718</v>
      </c>
      <c r="M5386" s="2" t="s">
        <v>35719</v>
      </c>
      <c r="N5386" s="2" t="s">
        <v>35720</v>
      </c>
      <c r="O5386" s="2">
        <v>10705</v>
      </c>
      <c r="P5386" s="2" t="s">
        <v>35721</v>
      </c>
      <c r="Q5386" s="2" t="s">
        <v>35722</v>
      </c>
      <c r="R5386" s="2" t="s">
        <v>35723</v>
      </c>
      <c r="S5386" s="2" t="s">
        <v>1444</v>
      </c>
      <c r="T5386" s="2" t="s">
        <v>4040</v>
      </c>
      <c r="U5386" s="2" t="s">
        <v>4041</v>
      </c>
      <c r="V5386" s="2" t="s">
        <v>59</v>
      </c>
      <c r="W5386" s="2">
        <v>38.4</v>
      </c>
      <c r="X5386" s="2">
        <v>0</v>
      </c>
      <c r="Y5386" s="2" t="s">
        <v>118</v>
      </c>
      <c r="Z5386" s="2" t="s">
        <v>35724</v>
      </c>
      <c r="AA5386" s="2">
        <v>-0.32351639141917599</v>
      </c>
      <c r="AB5386" s="2">
        <v>8.6203969116847995E-2</v>
      </c>
      <c r="AC5386" s="2">
        <v>3331.7351722621902</v>
      </c>
      <c r="AD5386" s="2">
        <v>2481.46589905365</v>
      </c>
      <c r="AE5386" s="2">
        <v>2921.02375676578</v>
      </c>
      <c r="AF5386" s="2">
        <v>2405.55538655589</v>
      </c>
      <c r="AG5386" s="2">
        <v>4479.8587902694298</v>
      </c>
      <c r="AH5386" s="2">
        <v>3165.8877376568298</v>
      </c>
      <c r="AI5386" s="2">
        <v>4228.7363176819499</v>
      </c>
      <c r="AJ5386" s="2">
        <v>2789.3490446432702</v>
      </c>
      <c r="AK5386" s="2">
        <v>1994.6473369237301</v>
      </c>
      <c r="AL5386" s="2">
        <v>2937.7397682195401</v>
      </c>
      <c r="AM5386" s="2">
        <v>2748.45194032886</v>
      </c>
      <c r="AN5386" s="2">
        <v>1982.4662678335901</v>
      </c>
      <c r="AO5386" s="2">
        <v>2732.4687454130099</v>
      </c>
      <c r="AP5386" s="2">
        <v>2493.02133560319</v>
      </c>
    </row>
    <row r="5387" spans="1:42" ht="14.5" x14ac:dyDescent="0.35">
      <c r="A5387" s="2" t="s">
        <v>35725</v>
      </c>
      <c r="B5387" s="2">
        <v>591.29907112741103</v>
      </c>
      <c r="C5387" s="2">
        <v>6.6313500000000003</v>
      </c>
      <c r="D5387" s="2" t="s">
        <v>70</v>
      </c>
      <c r="E5387" s="2" t="s">
        <v>35726</v>
      </c>
      <c r="F5387" s="2">
        <v>82644</v>
      </c>
      <c r="G5387" s="3" t="str">
        <f>HYPERLINK("http://funmeta.oebiotech.com/network/82644", "http://funmeta.oebiotech.com/network/82644")</f>
        <v>http://funmeta.oebiotech.com/network/82644</v>
      </c>
      <c r="H5387" s="2" t="s">
        <v>35727</v>
      </c>
      <c r="I5387" s="2"/>
      <c r="J5387" s="2"/>
      <c r="K5387" s="2"/>
      <c r="L5387" s="2"/>
      <c r="M5387" s="2"/>
      <c r="N5387" s="2"/>
      <c r="O5387" s="2">
        <v>131769949</v>
      </c>
      <c r="P5387" s="2"/>
      <c r="Q5387" s="2" t="s">
        <v>35728</v>
      </c>
      <c r="R5387" s="2" t="s">
        <v>35729</v>
      </c>
      <c r="S5387" s="2" t="s">
        <v>39</v>
      </c>
      <c r="T5387" s="2" t="s">
        <v>383</v>
      </c>
      <c r="U5387" s="2" t="s">
        <v>384</v>
      </c>
      <c r="V5387" s="2" t="s">
        <v>59</v>
      </c>
      <c r="W5387" s="2">
        <v>38.6</v>
      </c>
      <c r="X5387" s="2">
        <v>0</v>
      </c>
      <c r="Y5387" s="2" t="s">
        <v>560</v>
      </c>
      <c r="Z5387" s="2" t="s">
        <v>35730</v>
      </c>
      <c r="AA5387" s="2">
        <v>2.3497678988114101</v>
      </c>
      <c r="AB5387" s="2">
        <v>8.6121800432544998E-2</v>
      </c>
      <c r="AC5387" s="2">
        <v>5590.43071277135</v>
      </c>
      <c r="AD5387" s="2">
        <v>6656.8726298061902</v>
      </c>
      <c r="AE5387" s="2">
        <v>5735.3450930791596</v>
      </c>
      <c r="AF5387" s="2">
        <v>6550.05623297887</v>
      </c>
      <c r="AG5387" s="2">
        <v>5111.6000820854797</v>
      </c>
      <c r="AH5387" s="2">
        <v>4798.0272810985798</v>
      </c>
      <c r="AI5387" s="2">
        <v>4853.8093664488497</v>
      </c>
      <c r="AJ5387" s="2">
        <v>6493.7462209371697</v>
      </c>
      <c r="AK5387" s="2">
        <v>4061.4920522544498</v>
      </c>
      <c r="AL5387" s="2">
        <v>7050.5063466500196</v>
      </c>
      <c r="AM5387" s="2">
        <v>7804.3718517079596</v>
      </c>
      <c r="AN5387" s="2">
        <v>7810.20800160615</v>
      </c>
      <c r="AO5387" s="2">
        <v>6268.5197053846596</v>
      </c>
      <c r="AP5387" s="2">
        <v>6946.1378212338896</v>
      </c>
    </row>
    <row r="5388" spans="1:42" ht="14.5" x14ac:dyDescent="0.35">
      <c r="A5388" s="2" t="s">
        <v>35731</v>
      </c>
      <c r="B5388" s="2">
        <v>284.09257089256897</v>
      </c>
      <c r="C5388" s="2">
        <v>5.6725000000000003</v>
      </c>
      <c r="D5388" s="2" t="s">
        <v>70</v>
      </c>
      <c r="E5388" s="2" t="s">
        <v>35732</v>
      </c>
      <c r="F5388" s="2">
        <v>200103</v>
      </c>
      <c r="G5388" s="3" t="str">
        <f>HYPERLINK("http://funmeta.oebiotech.com/network/200103", "http://funmeta.oebiotech.com/network/200103")</f>
        <v>http://funmeta.oebiotech.com/network/200103</v>
      </c>
      <c r="H5388" s="2" t="s">
        <v>35733</v>
      </c>
      <c r="I5388" s="2"/>
      <c r="J5388" s="2"/>
      <c r="K5388" s="2">
        <v>63949</v>
      </c>
      <c r="L5388" s="2"/>
      <c r="M5388" s="2"/>
      <c r="N5388" s="2"/>
      <c r="O5388" s="2">
        <v>102614</v>
      </c>
      <c r="P5388" s="2"/>
      <c r="Q5388" s="2" t="s">
        <v>35734</v>
      </c>
      <c r="R5388" s="2" t="s">
        <v>35735</v>
      </c>
      <c r="S5388" s="2" t="s">
        <v>115</v>
      </c>
      <c r="T5388" s="2" t="s">
        <v>4730</v>
      </c>
      <c r="U5388" s="2" t="s">
        <v>41</v>
      </c>
      <c r="V5388" s="2" t="s">
        <v>59</v>
      </c>
      <c r="W5388" s="2">
        <v>39.299999999999997</v>
      </c>
      <c r="X5388" s="2">
        <v>0</v>
      </c>
      <c r="Y5388" s="2" t="s">
        <v>408</v>
      </c>
      <c r="Z5388" s="2" t="s">
        <v>31981</v>
      </c>
      <c r="AA5388" s="2">
        <v>-1.0901050441270901</v>
      </c>
      <c r="AB5388" s="2">
        <v>8.5959785236404004E-2</v>
      </c>
      <c r="AC5388" s="2">
        <v>4357.2943023979396</v>
      </c>
      <c r="AD5388" s="2">
        <v>3627.93894684306</v>
      </c>
      <c r="AE5388" s="2">
        <v>4290.87945759999</v>
      </c>
      <c r="AF5388" s="2">
        <v>4459.439307228</v>
      </c>
      <c r="AG5388" s="2">
        <v>4156.1789526714601</v>
      </c>
      <c r="AH5388" s="2">
        <v>4147.8939166251603</v>
      </c>
      <c r="AI5388" s="2">
        <v>4173.4152785121796</v>
      </c>
      <c r="AJ5388" s="2">
        <v>4915.9589017508197</v>
      </c>
      <c r="AK5388" s="2">
        <v>3150.6582064108402</v>
      </c>
      <c r="AL5388" s="2">
        <v>4631.5638197009503</v>
      </c>
      <c r="AM5388" s="2">
        <v>3844.8791140558401</v>
      </c>
      <c r="AN5388" s="2">
        <v>3306.7475702484999</v>
      </c>
      <c r="AO5388" s="2">
        <v>3694.4180583448801</v>
      </c>
      <c r="AP5388" s="2">
        <v>3139.3669122973301</v>
      </c>
    </row>
    <row r="5389" spans="1:42" ht="14.5" x14ac:dyDescent="0.35">
      <c r="A5389" s="2" t="s">
        <v>35736</v>
      </c>
      <c r="B5389" s="2">
        <v>230.01239849500399</v>
      </c>
      <c r="C5389" s="2">
        <v>2.4278</v>
      </c>
      <c r="D5389" s="2" t="s">
        <v>70</v>
      </c>
      <c r="E5389" s="2" t="s">
        <v>35737</v>
      </c>
      <c r="F5389" s="2">
        <v>81934</v>
      </c>
      <c r="G5389" s="3" t="str">
        <f>HYPERLINK("http://funmeta.oebiotech.com/network/81934", "http://funmeta.oebiotech.com/network/81934")</f>
        <v>http://funmeta.oebiotech.com/network/81934</v>
      </c>
      <c r="H5389" s="2" t="s">
        <v>35738</v>
      </c>
      <c r="I5389" s="2"/>
      <c r="J5389" s="2"/>
      <c r="K5389" s="2">
        <v>32635</v>
      </c>
      <c r="L5389" s="2"/>
      <c r="M5389" s="2"/>
      <c r="N5389" s="2"/>
      <c r="O5389" s="2">
        <v>83939</v>
      </c>
      <c r="P5389" s="2" t="s">
        <v>35739</v>
      </c>
      <c r="Q5389" s="2" t="s">
        <v>35740</v>
      </c>
      <c r="R5389" s="2" t="s">
        <v>35741</v>
      </c>
      <c r="S5389" s="2" t="s">
        <v>89</v>
      </c>
      <c r="T5389" s="2" t="s">
        <v>1773</v>
      </c>
      <c r="U5389" s="2" t="s">
        <v>21134</v>
      </c>
      <c r="V5389" s="2" t="s">
        <v>59</v>
      </c>
      <c r="W5389" s="2">
        <v>37.6</v>
      </c>
      <c r="X5389" s="2">
        <v>0</v>
      </c>
      <c r="Y5389" s="2" t="s">
        <v>118</v>
      </c>
      <c r="Z5389" s="2" t="s">
        <v>28712</v>
      </c>
      <c r="AA5389" s="2">
        <v>-2.0278068375156799</v>
      </c>
      <c r="AB5389" s="2">
        <v>8.5890986208194894E-2</v>
      </c>
      <c r="AC5389" s="2">
        <v>2435.2214045159999</v>
      </c>
      <c r="AD5389" s="2">
        <v>1839.08366261897</v>
      </c>
      <c r="AE5389" s="2">
        <v>2269.5157199990699</v>
      </c>
      <c r="AF5389" s="2">
        <v>2119.8149272831902</v>
      </c>
      <c r="AG5389" s="2">
        <v>2718.6647875437998</v>
      </c>
      <c r="AH5389" s="2">
        <v>2880.9690464365499</v>
      </c>
      <c r="AI5389" s="2">
        <v>2437.5991617568502</v>
      </c>
      <c r="AJ5389" s="2">
        <v>2184.7647840765499</v>
      </c>
      <c r="AK5389" s="2">
        <v>2017.22084587368</v>
      </c>
      <c r="AL5389" s="2">
        <v>1889.1347085114801</v>
      </c>
      <c r="AM5389" s="2">
        <v>1940.91165082461</v>
      </c>
      <c r="AN5389" s="2">
        <v>1708.5919621514299</v>
      </c>
      <c r="AO5389" s="2">
        <v>1763.7401193769199</v>
      </c>
      <c r="AP5389" s="2">
        <v>1714.9026889756799</v>
      </c>
    </row>
    <row r="5390" spans="1:42" ht="14.5" x14ac:dyDescent="0.35">
      <c r="A5390" s="2" t="s">
        <v>35742</v>
      </c>
      <c r="B5390" s="2">
        <v>496.16674560729501</v>
      </c>
      <c r="C5390" s="2">
        <v>9.7086333333333297</v>
      </c>
      <c r="D5390" s="2" t="s">
        <v>34</v>
      </c>
      <c r="E5390" s="2" t="s">
        <v>35743</v>
      </c>
      <c r="F5390" s="2">
        <v>210788</v>
      </c>
      <c r="G5390" s="3" t="str">
        <f>HYPERLINK("http://funmeta.oebiotech.com/network/210788", "http://funmeta.oebiotech.com/network/210788")</f>
        <v>http://funmeta.oebiotech.com/network/210788</v>
      </c>
      <c r="H5390" s="2" t="s">
        <v>35744</v>
      </c>
      <c r="I5390" s="2"/>
      <c r="J5390" s="2"/>
      <c r="K5390" s="2"/>
      <c r="L5390" s="2"/>
      <c r="M5390" s="2"/>
      <c r="N5390" s="2"/>
      <c r="O5390" s="2">
        <v>11237609</v>
      </c>
      <c r="P5390" s="2"/>
      <c r="Q5390" s="2" t="s">
        <v>35745</v>
      </c>
      <c r="R5390" s="2" t="s">
        <v>35746</v>
      </c>
      <c r="S5390" s="2" t="s">
        <v>89</v>
      </c>
      <c r="T5390" s="2" t="s">
        <v>1600</v>
      </c>
      <c r="U5390" s="2" t="s">
        <v>3890</v>
      </c>
      <c r="V5390" s="2" t="s">
        <v>59</v>
      </c>
      <c r="W5390" s="2">
        <v>37.6</v>
      </c>
      <c r="X5390" s="2">
        <v>0</v>
      </c>
      <c r="Y5390" s="2" t="s">
        <v>141</v>
      </c>
      <c r="Z5390" s="2" t="s">
        <v>35747</v>
      </c>
      <c r="AA5390" s="2">
        <v>-2.15935021274601</v>
      </c>
      <c r="AB5390" s="2">
        <v>8.5887547378230997E-2</v>
      </c>
      <c r="AC5390" s="2">
        <v>1195.6098555456999</v>
      </c>
      <c r="AD5390" s="2">
        <v>1983.9162114092101</v>
      </c>
      <c r="AE5390" s="2">
        <v>966.25010015359703</v>
      </c>
      <c r="AF5390" s="2">
        <v>766.43910899376795</v>
      </c>
      <c r="AG5390" s="2">
        <v>1464.0812841561899</v>
      </c>
      <c r="AH5390" s="2">
        <v>743.22455746867104</v>
      </c>
      <c r="AI5390" s="2">
        <v>894.07744824113399</v>
      </c>
      <c r="AJ5390" s="2">
        <v>2339.5866342608401</v>
      </c>
      <c r="AK5390" s="2">
        <v>2010.4315236935499</v>
      </c>
      <c r="AL5390" s="2">
        <v>1272.7497928027001</v>
      </c>
      <c r="AM5390" s="2">
        <v>2027.2488022375701</v>
      </c>
      <c r="AN5390" s="2">
        <v>1861.22669690059</v>
      </c>
      <c r="AO5390" s="2">
        <v>1954.41877074901</v>
      </c>
      <c r="AP5390" s="2">
        <v>2777.4216820718402</v>
      </c>
    </row>
    <row r="5391" spans="1:42" ht="14.5" x14ac:dyDescent="0.35">
      <c r="A5391" s="2" t="s">
        <v>35748</v>
      </c>
      <c r="B5391" s="2">
        <v>293.066459005269</v>
      </c>
      <c r="C5391" s="2">
        <v>4.3994166666666699</v>
      </c>
      <c r="D5391" s="2" t="s">
        <v>70</v>
      </c>
      <c r="E5391" s="2" t="s">
        <v>35749</v>
      </c>
      <c r="F5391" s="2">
        <v>54835</v>
      </c>
      <c r="G5391" s="3" t="str">
        <f>HYPERLINK("http://funmeta.oebiotech.com/network/54835", "http://funmeta.oebiotech.com/network/54835")</f>
        <v>http://funmeta.oebiotech.com/network/54835</v>
      </c>
      <c r="H5391" s="2" t="s">
        <v>35750</v>
      </c>
      <c r="I5391" s="2"/>
      <c r="J5391" s="2"/>
      <c r="K5391" s="2"/>
      <c r="L5391" s="2"/>
      <c r="M5391" s="2"/>
      <c r="N5391" s="2"/>
      <c r="O5391" s="2">
        <v>131750935</v>
      </c>
      <c r="P5391" s="2" t="s">
        <v>35751</v>
      </c>
      <c r="Q5391" s="2" t="s">
        <v>35752</v>
      </c>
      <c r="R5391" s="2" t="s">
        <v>35753</v>
      </c>
      <c r="S5391" s="2" t="s">
        <v>491</v>
      </c>
      <c r="T5391" s="2" t="s">
        <v>2251</v>
      </c>
      <c r="U5391" s="2" t="s">
        <v>9570</v>
      </c>
      <c r="V5391" s="2" t="s">
        <v>59</v>
      </c>
      <c r="W5391" s="2">
        <v>38.6</v>
      </c>
      <c r="X5391" s="2">
        <v>0</v>
      </c>
      <c r="Y5391" s="2" t="s">
        <v>408</v>
      </c>
      <c r="Z5391" s="2" t="s">
        <v>35754</v>
      </c>
      <c r="AA5391" s="2">
        <v>-0.87615878129304303</v>
      </c>
      <c r="AB5391" s="2">
        <v>8.5736141256138307E-2</v>
      </c>
      <c r="AC5391" s="2">
        <v>3596.0701722981999</v>
      </c>
      <c r="AD5391" s="2">
        <v>4421.3921122534703</v>
      </c>
      <c r="AE5391" s="2">
        <v>3599.8939207613298</v>
      </c>
      <c r="AF5391" s="2">
        <v>3666.69227892749</v>
      </c>
      <c r="AG5391" s="2">
        <v>4186.3816464448601</v>
      </c>
      <c r="AH5391" s="2">
        <v>3681.9976604619501</v>
      </c>
      <c r="AI5391" s="2">
        <v>3354.3427673378601</v>
      </c>
      <c r="AJ5391" s="2">
        <v>3087.11275985571</v>
      </c>
      <c r="AK5391" s="2">
        <v>3759.6553225970301</v>
      </c>
      <c r="AL5391" s="2">
        <v>3672.6850829863902</v>
      </c>
      <c r="AM5391" s="2">
        <v>5832.1234884528703</v>
      </c>
      <c r="AN5391" s="2">
        <v>4002.7648893423898</v>
      </c>
      <c r="AO5391" s="2">
        <v>4740.8154402375203</v>
      </c>
      <c r="AP5391" s="2">
        <v>4520.3084499046499</v>
      </c>
    </row>
    <row r="5392" spans="1:42" ht="14.5" x14ac:dyDescent="0.35">
      <c r="A5392" s="2" t="s">
        <v>35755</v>
      </c>
      <c r="B5392" s="2">
        <v>347.18499024952001</v>
      </c>
      <c r="C5392" s="2">
        <v>5.6059000000000001</v>
      </c>
      <c r="D5392" s="2" t="s">
        <v>34</v>
      </c>
      <c r="E5392" s="2" t="s">
        <v>35756</v>
      </c>
      <c r="F5392" s="2">
        <v>200185</v>
      </c>
      <c r="G5392" s="3" t="str">
        <f>HYPERLINK("http://funmeta.oebiotech.com/network/200185", "http://funmeta.oebiotech.com/network/200185")</f>
        <v>http://funmeta.oebiotech.com/network/200185</v>
      </c>
      <c r="H5392" s="2" t="s">
        <v>35757</v>
      </c>
      <c r="I5392" s="2"/>
      <c r="J5392" s="2"/>
      <c r="K5392" s="2"/>
      <c r="L5392" s="2"/>
      <c r="M5392" s="2"/>
      <c r="N5392" s="2"/>
      <c r="O5392" s="2">
        <v>85867</v>
      </c>
      <c r="P5392" s="2"/>
      <c r="Q5392" s="2" t="s">
        <v>35758</v>
      </c>
      <c r="R5392" s="2" t="s">
        <v>35759</v>
      </c>
      <c r="S5392" s="2" t="s">
        <v>41</v>
      </c>
      <c r="T5392" s="2" t="s">
        <v>41</v>
      </c>
      <c r="U5392" s="2" t="s">
        <v>41</v>
      </c>
      <c r="V5392" s="2" t="s">
        <v>59</v>
      </c>
      <c r="W5392" s="2">
        <v>38.6</v>
      </c>
      <c r="X5392" s="2">
        <v>0</v>
      </c>
      <c r="Y5392" s="2" t="s">
        <v>340</v>
      </c>
      <c r="Z5392" s="2" t="s">
        <v>35760</v>
      </c>
      <c r="AA5392" s="2">
        <v>1.9661632251774399</v>
      </c>
      <c r="AB5392" s="2">
        <v>8.5714273452935197E-2</v>
      </c>
      <c r="AC5392" s="2">
        <v>49696.844161267101</v>
      </c>
      <c r="AD5392" s="2">
        <v>51500.362226006102</v>
      </c>
      <c r="AE5392" s="2">
        <v>52859.615145475502</v>
      </c>
      <c r="AF5392" s="2">
        <v>51582.428928865796</v>
      </c>
      <c r="AG5392" s="2">
        <v>50420.333719525202</v>
      </c>
      <c r="AH5392" s="2">
        <v>47790.598888163098</v>
      </c>
      <c r="AI5392" s="2">
        <v>45102.115598910299</v>
      </c>
      <c r="AJ5392" s="2">
        <v>50425.972686662797</v>
      </c>
      <c r="AK5392" s="2">
        <v>46179.402840999603</v>
      </c>
      <c r="AL5392" s="2">
        <v>53234.876395407999</v>
      </c>
      <c r="AM5392" s="2">
        <v>54406.1388588099</v>
      </c>
      <c r="AN5392" s="2">
        <v>52217.236075849403</v>
      </c>
      <c r="AO5392" s="2">
        <v>47197.962356550197</v>
      </c>
      <c r="AP5392" s="2">
        <v>55766.5568284197</v>
      </c>
    </row>
    <row r="5393" spans="1:42" ht="14.5" x14ac:dyDescent="0.35">
      <c r="A5393" s="2" t="s">
        <v>35761</v>
      </c>
      <c r="B5393" s="2">
        <v>243.137749215676</v>
      </c>
      <c r="C5393" s="2">
        <v>6.1123333333333303</v>
      </c>
      <c r="D5393" s="2" t="s">
        <v>34</v>
      </c>
      <c r="E5393" s="2" t="s">
        <v>35762</v>
      </c>
      <c r="F5393" s="2">
        <v>266646</v>
      </c>
      <c r="G5393" s="3" t="str">
        <f>HYPERLINK("http://funmeta.oebiotech.com/network/266646", "http://funmeta.oebiotech.com/network/266646")</f>
        <v>http://funmeta.oebiotech.com/network/266646</v>
      </c>
      <c r="H5393" s="2"/>
      <c r="I5393" s="2">
        <v>43711</v>
      </c>
      <c r="J5393" s="2"/>
      <c r="K5393" s="2"/>
      <c r="L5393" s="2"/>
      <c r="M5393" s="2"/>
      <c r="N5393" s="2"/>
      <c r="O5393" s="2">
        <v>6708585</v>
      </c>
      <c r="P5393" s="2"/>
      <c r="Q5393" s="2" t="s">
        <v>35763</v>
      </c>
      <c r="R5393" s="2" t="s">
        <v>35764</v>
      </c>
      <c r="S5393" s="2" t="s">
        <v>148</v>
      </c>
      <c r="T5393" s="2" t="s">
        <v>11004</v>
      </c>
      <c r="U5393" s="2" t="s">
        <v>35765</v>
      </c>
      <c r="V5393" s="2" t="s">
        <v>59</v>
      </c>
      <c r="W5393" s="2">
        <v>38.799999999999997</v>
      </c>
      <c r="X5393" s="2">
        <v>0</v>
      </c>
      <c r="Y5393" s="2" t="s">
        <v>394</v>
      </c>
      <c r="Z5393" s="2" t="s">
        <v>35766</v>
      </c>
      <c r="AA5393" s="2">
        <v>-0.85504531866253697</v>
      </c>
      <c r="AB5393" s="2">
        <v>8.55698313276501E-2</v>
      </c>
      <c r="AC5393" s="2">
        <v>2876.1382845581602</v>
      </c>
      <c r="AD5393" s="2">
        <v>2030.8145102219</v>
      </c>
      <c r="AE5393" s="2">
        <v>3526.6634768795002</v>
      </c>
      <c r="AF5393" s="2">
        <v>2519.2462049526798</v>
      </c>
      <c r="AG5393" s="2">
        <v>2252.5006603935699</v>
      </c>
      <c r="AH5393" s="2">
        <v>3275.9859434639102</v>
      </c>
      <c r="AI5393" s="2">
        <v>1798.21732196587</v>
      </c>
      <c r="AJ5393" s="2">
        <v>3884.2160996934499</v>
      </c>
      <c r="AK5393" s="2">
        <v>2375.4614907105702</v>
      </c>
      <c r="AL5393" s="2">
        <v>2530.3285563798599</v>
      </c>
      <c r="AM5393" s="2">
        <v>2220.3452039548001</v>
      </c>
      <c r="AN5393" s="2">
        <v>992.90272526453202</v>
      </c>
      <c r="AO5393" s="2">
        <v>1927.21444333611</v>
      </c>
      <c r="AP5393" s="2">
        <v>2138.6346416855399</v>
      </c>
    </row>
    <row r="5394" spans="1:42" ht="14.5" x14ac:dyDescent="0.35">
      <c r="A5394" s="2" t="s">
        <v>35767</v>
      </c>
      <c r="B5394" s="2">
        <v>375.26760457061903</v>
      </c>
      <c r="C5394" s="2">
        <v>11.688883333333299</v>
      </c>
      <c r="D5394" s="2" t="s">
        <v>34</v>
      </c>
      <c r="E5394" s="2" t="s">
        <v>35768</v>
      </c>
      <c r="F5394" s="2">
        <v>62331</v>
      </c>
      <c r="G5394" s="3" t="str">
        <f>HYPERLINK("http://funmeta.oebiotech.com/network/62331", "http://funmeta.oebiotech.com/network/62331")</f>
        <v>http://funmeta.oebiotech.com/network/62331</v>
      </c>
      <c r="H5394" s="2" t="s">
        <v>35769</v>
      </c>
      <c r="I5394" s="2">
        <v>93625</v>
      </c>
      <c r="J5394" s="2"/>
      <c r="K5394" s="2"/>
      <c r="L5394" s="2"/>
      <c r="M5394" s="2"/>
      <c r="N5394" s="2"/>
      <c r="O5394" s="2">
        <v>87443544</v>
      </c>
      <c r="P5394" s="2" t="s">
        <v>35770</v>
      </c>
      <c r="Q5394" s="2" t="s">
        <v>35771</v>
      </c>
      <c r="R5394" s="2" t="s">
        <v>35772</v>
      </c>
      <c r="S5394" s="2" t="s">
        <v>50</v>
      </c>
      <c r="T5394" s="2" t="s">
        <v>201</v>
      </c>
      <c r="U5394" s="2" t="s">
        <v>6839</v>
      </c>
      <c r="V5394" s="2" t="s">
        <v>59</v>
      </c>
      <c r="W5394" s="2">
        <v>46</v>
      </c>
      <c r="X5394" s="2">
        <v>37.799999999999997</v>
      </c>
      <c r="Y5394" s="2" t="s">
        <v>141</v>
      </c>
      <c r="Z5394" s="2" t="s">
        <v>35773</v>
      </c>
      <c r="AA5394" s="2">
        <v>-1.6253359503307601</v>
      </c>
      <c r="AB5394" s="2">
        <v>8.5234775981050906E-2</v>
      </c>
      <c r="AC5394" s="2">
        <v>17274.013377168601</v>
      </c>
      <c r="AD5394" s="2">
        <v>16254.384616970399</v>
      </c>
      <c r="AE5394" s="2">
        <v>15935.908861431</v>
      </c>
      <c r="AF5394" s="2">
        <v>17451.547442126001</v>
      </c>
      <c r="AG5394" s="2">
        <v>16468.003152858299</v>
      </c>
      <c r="AH5394" s="2">
        <v>17590.373813160099</v>
      </c>
      <c r="AI5394" s="2">
        <v>17610.059879616201</v>
      </c>
      <c r="AJ5394" s="2">
        <v>18588.1871138198</v>
      </c>
      <c r="AK5394" s="2">
        <v>15512.3520872191</v>
      </c>
      <c r="AL5394" s="2">
        <v>15175.7829443353</v>
      </c>
      <c r="AM5394" s="2">
        <v>15448.063418903301</v>
      </c>
      <c r="AN5394" s="2">
        <v>16491.209390492299</v>
      </c>
      <c r="AO5394" s="2">
        <v>18155.231576303198</v>
      </c>
      <c r="AP5394" s="2">
        <v>16743.668284569001</v>
      </c>
    </row>
    <row r="5395" spans="1:42" ht="14.5" x14ac:dyDescent="0.35">
      <c r="A5395" s="2" t="s">
        <v>35774</v>
      </c>
      <c r="B5395" s="2">
        <v>575.17476925391099</v>
      </c>
      <c r="C5395" s="2">
        <v>4.7402166666666696</v>
      </c>
      <c r="D5395" s="2" t="s">
        <v>70</v>
      </c>
      <c r="E5395" s="2" t="s">
        <v>35775</v>
      </c>
      <c r="F5395" s="2">
        <v>207692</v>
      </c>
      <c r="G5395" s="3" t="str">
        <f>HYPERLINK("http://funmeta.oebiotech.com/network/207692", "http://funmeta.oebiotech.com/network/207692")</f>
        <v>http://funmeta.oebiotech.com/network/207692</v>
      </c>
      <c r="H5395" s="2" t="s">
        <v>35776</v>
      </c>
      <c r="I5395" s="2"/>
      <c r="J5395" s="2"/>
      <c r="K5395" s="2"/>
      <c r="L5395" s="2"/>
      <c r="M5395" s="2"/>
      <c r="N5395" s="2"/>
      <c r="O5395" s="2">
        <v>14187155</v>
      </c>
      <c r="P5395" s="2"/>
      <c r="Q5395" s="2" t="s">
        <v>35777</v>
      </c>
      <c r="R5395" s="2" t="s">
        <v>35778</v>
      </c>
      <c r="S5395" s="2" t="s">
        <v>115</v>
      </c>
      <c r="T5395" s="2" t="s">
        <v>139</v>
      </c>
      <c r="U5395" s="2" t="s">
        <v>140</v>
      </c>
      <c r="V5395" s="2" t="s">
        <v>59</v>
      </c>
      <c r="W5395" s="2">
        <v>36.9</v>
      </c>
      <c r="X5395" s="2">
        <v>0</v>
      </c>
      <c r="Y5395" s="2" t="s">
        <v>408</v>
      </c>
      <c r="Z5395" s="2" t="s">
        <v>10075</v>
      </c>
      <c r="AA5395" s="2">
        <v>-4.2351623632397004</v>
      </c>
      <c r="AB5395" s="2">
        <v>8.5231567578081494E-2</v>
      </c>
      <c r="AC5395" s="2">
        <v>7600.0632347800802</v>
      </c>
      <c r="AD5395" s="2">
        <v>8639.4159020691204</v>
      </c>
      <c r="AE5395" s="2">
        <v>8694.3976197394604</v>
      </c>
      <c r="AF5395" s="2">
        <v>8103.9692534177202</v>
      </c>
      <c r="AG5395" s="2">
        <v>6725.2658336596596</v>
      </c>
      <c r="AH5395" s="2">
        <v>8574.0072660314108</v>
      </c>
      <c r="AI5395" s="2">
        <v>6534.7303553679503</v>
      </c>
      <c r="AJ5395" s="2">
        <v>6968.0090804642896</v>
      </c>
      <c r="AK5395" s="2">
        <v>7905.9869501662697</v>
      </c>
      <c r="AL5395" s="2">
        <v>9590.6238673135795</v>
      </c>
      <c r="AM5395" s="2">
        <v>8607.5554883175591</v>
      </c>
      <c r="AN5395" s="2">
        <v>10080.3344526244</v>
      </c>
      <c r="AO5395" s="2">
        <v>6763.6630780478199</v>
      </c>
      <c r="AP5395" s="2">
        <v>8888.3315759450998</v>
      </c>
    </row>
    <row r="5396" spans="1:42" ht="14.5" x14ac:dyDescent="0.35">
      <c r="A5396" s="2" t="s">
        <v>35779</v>
      </c>
      <c r="B5396" s="2">
        <v>545.23642434962903</v>
      </c>
      <c r="C5396" s="2">
        <v>8.2048000000000005</v>
      </c>
      <c r="D5396" s="2" t="s">
        <v>70</v>
      </c>
      <c r="E5396" s="2" t="s">
        <v>35780</v>
      </c>
      <c r="F5396" s="2">
        <v>8347</v>
      </c>
      <c r="G5396" s="3" t="str">
        <f>HYPERLINK("http://funmeta.oebiotech.com/network/8347", "http://funmeta.oebiotech.com/network/8347")</f>
        <v>http://funmeta.oebiotech.com/network/8347</v>
      </c>
      <c r="H5396" s="2" t="s">
        <v>35781</v>
      </c>
      <c r="I5396" s="2"/>
      <c r="J5396" s="2" t="s">
        <v>35782</v>
      </c>
      <c r="K5396" s="2"/>
      <c r="L5396" s="2"/>
      <c r="M5396" s="2"/>
      <c r="N5396" s="2"/>
      <c r="O5396" s="2">
        <v>53481620</v>
      </c>
      <c r="P5396" s="2"/>
      <c r="Q5396" s="2" t="s">
        <v>35783</v>
      </c>
      <c r="R5396" s="2" t="s">
        <v>35784</v>
      </c>
      <c r="S5396" s="2" t="s">
        <v>50</v>
      </c>
      <c r="T5396" s="2" t="s">
        <v>229</v>
      </c>
      <c r="U5396" s="2" t="s">
        <v>1914</v>
      </c>
      <c r="V5396" s="2" t="s">
        <v>59</v>
      </c>
      <c r="W5396" s="2">
        <v>38</v>
      </c>
      <c r="X5396" s="2">
        <v>0</v>
      </c>
      <c r="Y5396" s="2" t="s">
        <v>560</v>
      </c>
      <c r="Z5396" s="2" t="s">
        <v>35785</v>
      </c>
      <c r="AA5396" s="2">
        <v>2.2446417212735899</v>
      </c>
      <c r="AB5396" s="2">
        <v>8.5177438713047796E-2</v>
      </c>
      <c r="AC5396" s="2">
        <v>579.83709653975995</v>
      </c>
      <c r="AD5396" s="2">
        <v>23.835999748213698</v>
      </c>
      <c r="AE5396" s="2">
        <v>868.68583490376398</v>
      </c>
      <c r="AF5396" s="2">
        <v>328.43252420850501</v>
      </c>
      <c r="AG5396" s="2">
        <v>922.88516998059094</v>
      </c>
      <c r="AH5396" s="2">
        <v>517.54381408976496</v>
      </c>
      <c r="AI5396" s="2">
        <v>321.46973849566001</v>
      </c>
      <c r="AJ5396" s="2">
        <v>520.00549756027499</v>
      </c>
      <c r="AK5396" s="2">
        <v>2.7106294003980101E-5</v>
      </c>
      <c r="AL5396" s="2">
        <v>2.7106294003980101E-5</v>
      </c>
      <c r="AM5396" s="2">
        <v>143.015862957812</v>
      </c>
      <c r="AN5396" s="2">
        <v>2.7106294003980101E-5</v>
      </c>
      <c r="AO5396" s="2">
        <v>2.7106294003980101E-5</v>
      </c>
      <c r="AP5396" s="2">
        <v>2.7106294003980101E-5</v>
      </c>
    </row>
    <row r="5397" spans="1:42" ht="14.5" x14ac:dyDescent="0.35">
      <c r="A5397" s="2" t="s">
        <v>35786</v>
      </c>
      <c r="B5397" s="2">
        <v>376.06906254210202</v>
      </c>
      <c r="C5397" s="2">
        <v>2.1257333333333301</v>
      </c>
      <c r="D5397" s="2" t="s">
        <v>34</v>
      </c>
      <c r="E5397" s="2" t="s">
        <v>35787</v>
      </c>
      <c r="F5397" s="2">
        <v>254851</v>
      </c>
      <c r="G5397" s="3" t="str">
        <f>HYPERLINK("http://funmeta.oebiotech.com/network/254851", "http://funmeta.oebiotech.com/network/254851")</f>
        <v>http://funmeta.oebiotech.com/network/254851</v>
      </c>
      <c r="H5397" s="2" t="s">
        <v>35788</v>
      </c>
      <c r="I5397" s="2"/>
      <c r="J5397" s="2"/>
      <c r="K5397" s="2">
        <v>63125</v>
      </c>
      <c r="L5397" s="2"/>
      <c r="M5397" s="2"/>
      <c r="N5397" s="2"/>
      <c r="O5397" s="2">
        <v>9008</v>
      </c>
      <c r="P5397" s="2" t="s">
        <v>35789</v>
      </c>
      <c r="Q5397" s="2" t="s">
        <v>35790</v>
      </c>
      <c r="R5397" s="2" t="s">
        <v>35791</v>
      </c>
      <c r="S5397" s="2" t="s">
        <v>89</v>
      </c>
      <c r="T5397" s="2" t="s">
        <v>90</v>
      </c>
      <c r="U5397" s="2" t="s">
        <v>1248</v>
      </c>
      <c r="V5397" s="2" t="s">
        <v>59</v>
      </c>
      <c r="W5397" s="2">
        <v>38.5</v>
      </c>
      <c r="X5397" s="2">
        <v>0</v>
      </c>
      <c r="Y5397" s="2" t="s">
        <v>43</v>
      </c>
      <c r="Z5397" s="2" t="s">
        <v>35792</v>
      </c>
      <c r="AA5397" s="2">
        <v>-3.5225838546046799</v>
      </c>
      <c r="AB5397" s="2">
        <v>8.5141868490127295E-2</v>
      </c>
      <c r="AC5397" s="2">
        <v>2943.8051535896202</v>
      </c>
      <c r="AD5397" s="2">
        <v>2351.25912340284</v>
      </c>
      <c r="AE5397" s="2">
        <v>3285.3411977215001</v>
      </c>
      <c r="AF5397" s="2">
        <v>2455.9051292968402</v>
      </c>
      <c r="AG5397" s="2">
        <v>3197.9043316233801</v>
      </c>
      <c r="AH5397" s="2">
        <v>2770.4125195575202</v>
      </c>
      <c r="AI5397" s="2">
        <v>3047.8543069664902</v>
      </c>
      <c r="AJ5397" s="2">
        <v>2905.41343637201</v>
      </c>
      <c r="AK5397" s="2">
        <v>2303.9537274335498</v>
      </c>
      <c r="AL5397" s="2">
        <v>2434.8965153085101</v>
      </c>
      <c r="AM5397" s="2">
        <v>2114.06467267995</v>
      </c>
      <c r="AN5397" s="2">
        <v>2267.991698112</v>
      </c>
      <c r="AO5397" s="2">
        <v>2551.02889764783</v>
      </c>
      <c r="AP5397" s="2">
        <v>2435.6192292351798</v>
      </c>
    </row>
    <row r="5398" spans="1:42" ht="14.5" x14ac:dyDescent="0.35">
      <c r="A5398" s="2" t="s">
        <v>35793</v>
      </c>
      <c r="B5398" s="2">
        <v>165.163622172754</v>
      </c>
      <c r="C5398" s="2">
        <v>11.670033333333301</v>
      </c>
      <c r="D5398" s="2" t="s">
        <v>34</v>
      </c>
      <c r="E5398" s="2" t="s">
        <v>35794</v>
      </c>
      <c r="F5398" s="2">
        <v>6000</v>
      </c>
      <c r="G5398" s="3" t="str">
        <f>HYPERLINK("http://funmeta.oebiotech.com/network/6000", "http://funmeta.oebiotech.com/network/6000")</f>
        <v>http://funmeta.oebiotech.com/network/6000</v>
      </c>
      <c r="H5398" s="2"/>
      <c r="I5398" s="2">
        <v>36477</v>
      </c>
      <c r="J5398" s="2" t="s">
        <v>35795</v>
      </c>
      <c r="K5398" s="2"/>
      <c r="L5398" s="2"/>
      <c r="M5398" s="2"/>
      <c r="N5398" s="2"/>
      <c r="O5398" s="2">
        <v>5283274</v>
      </c>
      <c r="P5398" s="2"/>
      <c r="Q5398" s="2" t="s">
        <v>35796</v>
      </c>
      <c r="R5398" s="2" t="s">
        <v>35797</v>
      </c>
      <c r="S5398" s="2" t="s">
        <v>50</v>
      </c>
      <c r="T5398" s="2" t="s">
        <v>229</v>
      </c>
      <c r="U5398" s="2" t="s">
        <v>1283</v>
      </c>
      <c r="V5398" s="2" t="s">
        <v>59</v>
      </c>
      <c r="W5398" s="2">
        <v>43.7</v>
      </c>
      <c r="X5398" s="2">
        <v>23.9</v>
      </c>
      <c r="Y5398" s="2" t="s">
        <v>141</v>
      </c>
      <c r="Z5398" s="2" t="s">
        <v>35798</v>
      </c>
      <c r="AA5398" s="2">
        <v>-0.85033123824097501</v>
      </c>
      <c r="AB5398" s="2">
        <v>8.5093261988169897E-2</v>
      </c>
      <c r="AC5398" s="2">
        <v>3349.2329121664502</v>
      </c>
      <c r="AD5398" s="2">
        <v>2468.2664189393499</v>
      </c>
      <c r="AE5398" s="2">
        <v>3638.1708191795101</v>
      </c>
      <c r="AF5398" s="2">
        <v>2628.1584192833898</v>
      </c>
      <c r="AG5398" s="2">
        <v>2921.4177183203801</v>
      </c>
      <c r="AH5398" s="2">
        <v>3993.2257265324902</v>
      </c>
      <c r="AI5398" s="2">
        <v>3895.3526038905302</v>
      </c>
      <c r="AJ5398" s="2">
        <v>3019.07218579239</v>
      </c>
      <c r="AK5398" s="2">
        <v>1842.9066168182201</v>
      </c>
      <c r="AL5398" s="2">
        <v>3639.0990588161799</v>
      </c>
      <c r="AM5398" s="2">
        <v>2109.91266995355</v>
      </c>
      <c r="AN5398" s="2">
        <v>3540.5539936873502</v>
      </c>
      <c r="AO5398" s="2">
        <v>1991.42917833554</v>
      </c>
      <c r="AP5398" s="2">
        <v>1685.69699602526</v>
      </c>
    </row>
    <row r="5399" spans="1:42" ht="14.5" x14ac:dyDescent="0.35">
      <c r="A5399" s="2" t="s">
        <v>35799</v>
      </c>
      <c r="B5399" s="2">
        <v>483.23401044311998</v>
      </c>
      <c r="C5399" s="2">
        <v>9.7467833333333296</v>
      </c>
      <c r="D5399" s="2" t="s">
        <v>34</v>
      </c>
      <c r="E5399" s="2" t="s">
        <v>35800</v>
      </c>
      <c r="F5399" s="2">
        <v>213590</v>
      </c>
      <c r="G5399" s="3" t="str">
        <f>HYPERLINK("http://funmeta.oebiotech.com/network/213590", "http://funmeta.oebiotech.com/network/213590")</f>
        <v>http://funmeta.oebiotech.com/network/213590</v>
      </c>
      <c r="H5399" s="2" t="s">
        <v>35801</v>
      </c>
      <c r="I5399" s="2"/>
      <c r="J5399" s="2"/>
      <c r="K5399" s="2"/>
      <c r="L5399" s="2"/>
      <c r="M5399" s="2"/>
      <c r="N5399" s="2"/>
      <c r="O5399" s="2"/>
      <c r="P5399" s="2"/>
      <c r="Q5399" s="2" t="s">
        <v>35802</v>
      </c>
      <c r="R5399" s="2" t="s">
        <v>35803</v>
      </c>
      <c r="S5399" s="2" t="s">
        <v>50</v>
      </c>
      <c r="T5399" s="2" t="s">
        <v>229</v>
      </c>
      <c r="U5399" s="2" t="s">
        <v>766</v>
      </c>
      <c r="V5399" s="2" t="s">
        <v>59</v>
      </c>
      <c r="W5399" s="2">
        <v>38.4</v>
      </c>
      <c r="X5399" s="2">
        <v>0</v>
      </c>
      <c r="Y5399" s="2" t="s">
        <v>340</v>
      </c>
      <c r="Z5399" s="2" t="s">
        <v>35804</v>
      </c>
      <c r="AA5399" s="2">
        <v>-3.2994992036608801</v>
      </c>
      <c r="AB5399" s="2">
        <v>8.5032563790443993E-2</v>
      </c>
      <c r="AC5399" s="2">
        <v>7303.5019306437498</v>
      </c>
      <c r="AD5399" s="2">
        <v>6558.4035374404802</v>
      </c>
      <c r="AE5399" s="2">
        <v>7294.8079130739297</v>
      </c>
      <c r="AF5399" s="2">
        <v>6717.95573592868</v>
      </c>
      <c r="AG5399" s="2">
        <v>8022.6426904141299</v>
      </c>
      <c r="AH5399" s="2">
        <v>7572.15204725693</v>
      </c>
      <c r="AI5399" s="2">
        <v>7071.7817414480796</v>
      </c>
      <c r="AJ5399" s="2">
        <v>7141.6714557407604</v>
      </c>
      <c r="AK5399" s="2">
        <v>6246.9668234484197</v>
      </c>
      <c r="AL5399" s="2">
        <v>6393.1595153007702</v>
      </c>
      <c r="AM5399" s="2">
        <v>6439.5851344378098</v>
      </c>
      <c r="AN5399" s="2">
        <v>5947.07116082013</v>
      </c>
      <c r="AO5399" s="2">
        <v>6806.4712392349002</v>
      </c>
      <c r="AP5399" s="2">
        <v>7517.1673514008398</v>
      </c>
    </row>
    <row r="5400" spans="1:42" ht="14.5" x14ac:dyDescent="0.35">
      <c r="A5400" s="2" t="s">
        <v>35805</v>
      </c>
      <c r="B5400" s="2">
        <v>507.14909515591899</v>
      </c>
      <c r="C5400" s="2">
        <v>5.9341833333333298</v>
      </c>
      <c r="D5400" s="2" t="s">
        <v>34</v>
      </c>
      <c r="E5400" s="2" t="s">
        <v>35806</v>
      </c>
      <c r="F5400" s="2">
        <v>47570</v>
      </c>
      <c r="G5400" s="3" t="str">
        <f>HYPERLINK("http://funmeta.oebiotech.com/network/47570", "http://funmeta.oebiotech.com/network/47570")</f>
        <v>http://funmeta.oebiotech.com/network/47570</v>
      </c>
      <c r="H5400" s="2" t="s">
        <v>35807</v>
      </c>
      <c r="I5400" s="2">
        <v>6229</v>
      </c>
      <c r="J5400" s="2"/>
      <c r="K5400" s="2">
        <v>49086</v>
      </c>
      <c r="L5400" s="2" t="s">
        <v>35808</v>
      </c>
      <c r="M5400" s="2" t="s">
        <v>1452</v>
      </c>
      <c r="N5400" s="2" t="s">
        <v>1453</v>
      </c>
      <c r="O5400" s="2">
        <v>13805</v>
      </c>
      <c r="P5400" s="2" t="s">
        <v>35809</v>
      </c>
      <c r="Q5400" s="2" t="s">
        <v>35810</v>
      </c>
      <c r="R5400" s="2" t="s">
        <v>35811</v>
      </c>
      <c r="S5400" s="2" t="s">
        <v>1444</v>
      </c>
      <c r="T5400" s="2" t="s">
        <v>4040</v>
      </c>
      <c r="U5400" s="2" t="s">
        <v>8914</v>
      </c>
      <c r="V5400" s="2" t="s">
        <v>59</v>
      </c>
      <c r="W5400" s="2">
        <v>39.1</v>
      </c>
      <c r="X5400" s="2">
        <v>0</v>
      </c>
      <c r="Y5400" s="2" t="s">
        <v>43</v>
      </c>
      <c r="Z5400" s="2" t="s">
        <v>35812</v>
      </c>
      <c r="AA5400" s="2">
        <v>0.23239040428296601</v>
      </c>
      <c r="AB5400" s="2">
        <v>8.4975995910170299E-2</v>
      </c>
      <c r="AC5400" s="2">
        <v>7564.8853113262003</v>
      </c>
      <c r="AD5400" s="2">
        <v>6136.74566149564</v>
      </c>
      <c r="AE5400" s="2">
        <v>8062.2304779802198</v>
      </c>
      <c r="AF5400" s="2">
        <v>9648.0478451090294</v>
      </c>
      <c r="AG5400" s="2">
        <v>9428.2836037550805</v>
      </c>
      <c r="AH5400" s="2">
        <v>4570.8848883886503</v>
      </c>
      <c r="AI5400" s="2">
        <v>3807.9074122013599</v>
      </c>
      <c r="AJ5400" s="2">
        <v>9871.9576405228509</v>
      </c>
      <c r="AK5400" s="2">
        <v>4459.5971183533702</v>
      </c>
      <c r="AL5400" s="2">
        <v>4457.0211903954296</v>
      </c>
      <c r="AM5400" s="2">
        <v>5294.1804607968897</v>
      </c>
      <c r="AN5400" s="2">
        <v>5817.3865286934897</v>
      </c>
      <c r="AO5400" s="2">
        <v>7725.8537033973698</v>
      </c>
      <c r="AP5400" s="2">
        <v>9066.4349673373199</v>
      </c>
    </row>
    <row r="5401" spans="1:42" ht="14.5" x14ac:dyDescent="0.35">
      <c r="A5401" s="2" t="s">
        <v>35813</v>
      </c>
      <c r="B5401" s="2">
        <v>555.24395923872703</v>
      </c>
      <c r="C5401" s="2">
        <v>3.8429333333333302</v>
      </c>
      <c r="D5401" s="2" t="s">
        <v>70</v>
      </c>
      <c r="E5401" s="2" t="s">
        <v>35814</v>
      </c>
      <c r="F5401" s="2">
        <v>279747</v>
      </c>
      <c r="G5401" s="3" t="str">
        <f>HYPERLINK("http://funmeta.oebiotech.com/network/279747", "http://funmeta.oebiotech.com/network/279747")</f>
        <v>http://funmeta.oebiotech.com/network/279747</v>
      </c>
      <c r="H5401" s="2"/>
      <c r="I5401" s="2">
        <v>72526</v>
      </c>
      <c r="J5401" s="2"/>
      <c r="K5401" s="2"/>
      <c r="L5401" s="2" t="s">
        <v>35815</v>
      </c>
      <c r="M5401" s="2"/>
      <c r="N5401" s="2"/>
      <c r="O5401" s="2">
        <v>53735</v>
      </c>
      <c r="P5401" s="2" t="s">
        <v>35816</v>
      </c>
      <c r="Q5401" s="2" t="s">
        <v>35817</v>
      </c>
      <c r="R5401" s="2" t="s">
        <v>35818</v>
      </c>
      <c r="S5401" s="2" t="s">
        <v>148</v>
      </c>
      <c r="T5401" s="2" t="s">
        <v>149</v>
      </c>
      <c r="U5401" s="2" t="s">
        <v>4630</v>
      </c>
      <c r="V5401" s="2" t="s">
        <v>59</v>
      </c>
      <c r="W5401" s="2">
        <v>37.6</v>
      </c>
      <c r="X5401" s="2">
        <v>0</v>
      </c>
      <c r="Y5401" s="2" t="s">
        <v>560</v>
      </c>
      <c r="Z5401" s="2" t="s">
        <v>1983</v>
      </c>
      <c r="AA5401" s="2">
        <v>-3.7365340942658798</v>
      </c>
      <c r="AB5401" s="2">
        <v>8.4940362434777303E-2</v>
      </c>
      <c r="AC5401" s="2">
        <v>6688.0528044756802</v>
      </c>
      <c r="AD5401" s="2">
        <v>7585.4507385590996</v>
      </c>
      <c r="AE5401" s="2">
        <v>6469.9137551216299</v>
      </c>
      <c r="AF5401" s="2">
        <v>7804.0565460051002</v>
      </c>
      <c r="AG5401" s="2">
        <v>7137.3527540344103</v>
      </c>
      <c r="AH5401" s="2">
        <v>6210.4810203413799</v>
      </c>
      <c r="AI5401" s="2">
        <v>6584.8632871868203</v>
      </c>
      <c r="AJ5401" s="2">
        <v>5921.6494641647596</v>
      </c>
      <c r="AK5401" s="2">
        <v>8235.4800437064496</v>
      </c>
      <c r="AL5401" s="2">
        <v>7040.4088610721701</v>
      </c>
      <c r="AM5401" s="2">
        <v>7225.1647158056203</v>
      </c>
      <c r="AN5401" s="2">
        <v>8863.8256970395905</v>
      </c>
      <c r="AO5401" s="2">
        <v>6403.34600173333</v>
      </c>
      <c r="AP5401" s="2">
        <v>7744.4791119974298</v>
      </c>
    </row>
    <row r="5402" spans="1:42" ht="14.5" x14ac:dyDescent="0.35">
      <c r="A5402" s="2" t="s">
        <v>35819</v>
      </c>
      <c r="B5402" s="2">
        <v>225.18544567752301</v>
      </c>
      <c r="C5402" s="2">
        <v>10.648149999999999</v>
      </c>
      <c r="D5402" s="2" t="s">
        <v>70</v>
      </c>
      <c r="E5402" s="2" t="s">
        <v>35820</v>
      </c>
      <c r="F5402" s="2">
        <v>1837</v>
      </c>
      <c r="G5402" s="3" t="str">
        <f>HYPERLINK("http://funmeta.oebiotech.com/network/1837", "http://funmeta.oebiotech.com/network/1837")</f>
        <v>http://funmeta.oebiotech.com/network/1837</v>
      </c>
      <c r="H5402" s="2" t="s">
        <v>35821</v>
      </c>
      <c r="I5402" s="2">
        <v>35675</v>
      </c>
      <c r="J5402" s="2" t="s">
        <v>35822</v>
      </c>
      <c r="K5402" s="2">
        <v>42539</v>
      </c>
      <c r="L5402" s="2"/>
      <c r="M5402" s="2"/>
      <c r="N5402" s="2"/>
      <c r="O5402" s="2">
        <v>5288266</v>
      </c>
      <c r="P5402" s="2"/>
      <c r="Q5402" s="2" t="s">
        <v>35823</v>
      </c>
      <c r="R5402" s="2" t="s">
        <v>35824</v>
      </c>
      <c r="S5402" s="2" t="s">
        <v>50</v>
      </c>
      <c r="T5402" s="2" t="s">
        <v>229</v>
      </c>
      <c r="U5402" s="2" t="s">
        <v>433</v>
      </c>
      <c r="V5402" s="2" t="s">
        <v>59</v>
      </c>
      <c r="W5402" s="2">
        <v>39.4</v>
      </c>
      <c r="X5402" s="2">
        <v>2.48</v>
      </c>
      <c r="Y5402" s="2" t="s">
        <v>751</v>
      </c>
      <c r="Z5402" s="2" t="s">
        <v>5120</v>
      </c>
      <c r="AA5402" s="2">
        <v>-2.2848088956880099</v>
      </c>
      <c r="AB5402" s="2">
        <v>8.47923646345774E-2</v>
      </c>
      <c r="AC5402" s="2">
        <v>16716.4748436972</v>
      </c>
      <c r="AD5402" s="2">
        <v>15252.539048906199</v>
      </c>
      <c r="AE5402" s="2">
        <v>15420.854796056799</v>
      </c>
      <c r="AF5402" s="2">
        <v>14225.0992553101</v>
      </c>
      <c r="AG5402" s="2">
        <v>14808.934927064</v>
      </c>
      <c r="AH5402" s="2">
        <v>20021.745157755999</v>
      </c>
      <c r="AI5402" s="2">
        <v>21245.825462757799</v>
      </c>
      <c r="AJ5402" s="2">
        <v>14576.3894632386</v>
      </c>
      <c r="AK5402" s="2">
        <v>15035.8359618292</v>
      </c>
      <c r="AL5402" s="2">
        <v>16179.471347668699</v>
      </c>
      <c r="AM5402" s="2">
        <v>15893.477766155</v>
      </c>
      <c r="AN5402" s="2">
        <v>14844.4846937518</v>
      </c>
      <c r="AO5402" s="2">
        <v>15034.492659375899</v>
      </c>
      <c r="AP5402" s="2">
        <v>14527.4718646565</v>
      </c>
    </row>
    <row r="5403" spans="1:42" ht="14.5" x14ac:dyDescent="0.35">
      <c r="A5403" s="2" t="s">
        <v>35825</v>
      </c>
      <c r="B5403" s="2">
        <v>635.16078064604005</v>
      </c>
      <c r="C5403" s="2">
        <v>3.8797333333333301</v>
      </c>
      <c r="D5403" s="2" t="s">
        <v>70</v>
      </c>
      <c r="E5403" s="2" t="s">
        <v>35826</v>
      </c>
      <c r="F5403" s="2">
        <v>203760</v>
      </c>
      <c r="G5403" s="3" t="str">
        <f>HYPERLINK("http://funmeta.oebiotech.com/network/203760", "http://funmeta.oebiotech.com/network/203760")</f>
        <v>http://funmeta.oebiotech.com/network/203760</v>
      </c>
      <c r="H5403" s="2" t="s">
        <v>35827</v>
      </c>
      <c r="I5403" s="2"/>
      <c r="J5403" s="2"/>
      <c r="K5403" s="2"/>
      <c r="L5403" s="2"/>
      <c r="M5403" s="2"/>
      <c r="N5403" s="2"/>
      <c r="O5403" s="2"/>
      <c r="P5403" s="2"/>
      <c r="Q5403" s="2" t="s">
        <v>35828</v>
      </c>
      <c r="R5403" s="2" t="s">
        <v>35829</v>
      </c>
      <c r="S5403" s="2" t="s">
        <v>148</v>
      </c>
      <c r="T5403" s="2" t="s">
        <v>149</v>
      </c>
      <c r="U5403" s="2" t="s">
        <v>8963</v>
      </c>
      <c r="V5403" s="2" t="s">
        <v>59</v>
      </c>
      <c r="W5403" s="2">
        <v>38.700000000000003</v>
      </c>
      <c r="X5403" s="2">
        <v>0</v>
      </c>
      <c r="Y5403" s="2" t="s">
        <v>1654</v>
      </c>
      <c r="Z5403" s="2" t="s">
        <v>35830</v>
      </c>
      <c r="AA5403" s="2">
        <v>0.63376139469610904</v>
      </c>
      <c r="AB5403" s="2">
        <v>8.4785117430382195E-2</v>
      </c>
      <c r="AC5403" s="2">
        <v>10386.767785714301</v>
      </c>
      <c r="AD5403" s="2">
        <v>8546.2162889448009</v>
      </c>
      <c r="AE5403" s="2">
        <v>14387.708083040699</v>
      </c>
      <c r="AF5403" s="2">
        <v>6107.8087476883702</v>
      </c>
      <c r="AG5403" s="2">
        <v>5356.3686019739898</v>
      </c>
      <c r="AH5403" s="2">
        <v>9838.2798955877006</v>
      </c>
      <c r="AI5403" s="2">
        <v>15296.6952752937</v>
      </c>
      <c r="AJ5403" s="2">
        <v>11333.7461107012</v>
      </c>
      <c r="AK5403" s="2">
        <v>6573.9585945763101</v>
      </c>
      <c r="AL5403" s="2">
        <v>7625.43201263226</v>
      </c>
      <c r="AM5403" s="2">
        <v>8963.5626712397898</v>
      </c>
      <c r="AN5403" s="2">
        <v>13805.203964377901</v>
      </c>
      <c r="AO5403" s="2">
        <v>8608.6018550005992</v>
      </c>
      <c r="AP5403" s="2">
        <v>5700.53863584191</v>
      </c>
    </row>
    <row r="5404" spans="1:42" ht="14.5" x14ac:dyDescent="0.35">
      <c r="A5404" s="2" t="s">
        <v>35831</v>
      </c>
      <c r="B5404" s="2">
        <v>584.45155812994199</v>
      </c>
      <c r="C5404" s="2">
        <v>13.6442833333333</v>
      </c>
      <c r="D5404" s="2" t="s">
        <v>34</v>
      </c>
      <c r="E5404" s="2" t="s">
        <v>35832</v>
      </c>
      <c r="F5404" s="2">
        <v>57578</v>
      </c>
      <c r="G5404" s="3" t="str">
        <f>HYPERLINK("http://funmeta.oebiotech.com/network/57578", "http://funmeta.oebiotech.com/network/57578")</f>
        <v>http://funmeta.oebiotech.com/network/57578</v>
      </c>
      <c r="H5404" s="2" t="s">
        <v>35833</v>
      </c>
      <c r="I5404" s="2">
        <v>89183</v>
      </c>
      <c r="J5404" s="2"/>
      <c r="K5404" s="2">
        <v>169761</v>
      </c>
      <c r="L5404" s="2"/>
      <c r="M5404" s="2"/>
      <c r="N5404" s="2"/>
      <c r="O5404" s="2">
        <v>13491361</v>
      </c>
      <c r="P5404" s="2" t="s">
        <v>35834</v>
      </c>
      <c r="Q5404" s="2" t="s">
        <v>35835</v>
      </c>
      <c r="R5404" s="2" t="s">
        <v>35836</v>
      </c>
      <c r="S5404" s="2" t="s">
        <v>50</v>
      </c>
      <c r="T5404" s="2" t="s">
        <v>201</v>
      </c>
      <c r="U5404" s="2" t="s">
        <v>6839</v>
      </c>
      <c r="V5404" s="2" t="s">
        <v>59</v>
      </c>
      <c r="W5404" s="2">
        <v>38.1</v>
      </c>
      <c r="X5404" s="2">
        <v>0</v>
      </c>
      <c r="Y5404" s="2" t="s">
        <v>43</v>
      </c>
      <c r="Z5404" s="2" t="s">
        <v>35837</v>
      </c>
      <c r="AA5404" s="2">
        <v>-0.92086904722495599</v>
      </c>
      <c r="AB5404" s="2">
        <v>8.4739527826737299E-2</v>
      </c>
      <c r="AC5404" s="2">
        <v>10269.3407683858</v>
      </c>
      <c r="AD5404" s="2">
        <v>11711.789047066501</v>
      </c>
      <c r="AE5404" s="2">
        <v>8895.6313716270597</v>
      </c>
      <c r="AF5404" s="2">
        <v>9861.9426426085993</v>
      </c>
      <c r="AG5404" s="2">
        <v>9771.3545377643804</v>
      </c>
      <c r="AH5404" s="2">
        <v>11205.8662877678</v>
      </c>
      <c r="AI5404" s="2">
        <v>10421.164345339401</v>
      </c>
      <c r="AJ5404" s="2">
        <v>11460.0854252073</v>
      </c>
      <c r="AK5404" s="2">
        <v>17058.917581091198</v>
      </c>
      <c r="AL5404" s="2">
        <v>13214.993894949501</v>
      </c>
      <c r="AM5404" s="2">
        <v>10608.7947723535</v>
      </c>
      <c r="AN5404" s="2">
        <v>10821.014782816699</v>
      </c>
      <c r="AO5404" s="2">
        <v>10281.293216304601</v>
      </c>
      <c r="AP5404" s="2">
        <v>8285.7200348833503</v>
      </c>
    </row>
    <row r="5405" spans="1:42" ht="14.5" x14ac:dyDescent="0.35">
      <c r="A5405" s="2" t="s">
        <v>35838</v>
      </c>
      <c r="B5405" s="2">
        <v>256.115464520633</v>
      </c>
      <c r="C5405" s="2">
        <v>4.1233166666666703</v>
      </c>
      <c r="D5405" s="2" t="s">
        <v>34</v>
      </c>
      <c r="E5405" s="2" t="s">
        <v>35839</v>
      </c>
      <c r="F5405" s="2">
        <v>82699</v>
      </c>
      <c r="G5405" s="3" t="str">
        <f>HYPERLINK("http://funmeta.oebiotech.com/network/82699", "http://funmeta.oebiotech.com/network/82699")</f>
        <v>http://funmeta.oebiotech.com/network/82699</v>
      </c>
      <c r="H5405" s="2" t="s">
        <v>35840</v>
      </c>
      <c r="I5405" s="2"/>
      <c r="J5405" s="2"/>
      <c r="K5405" s="2"/>
      <c r="L5405" s="2"/>
      <c r="M5405" s="2"/>
      <c r="N5405" s="2"/>
      <c r="O5405" s="2">
        <v>15107528</v>
      </c>
      <c r="P5405" s="2"/>
      <c r="Q5405" s="2" t="s">
        <v>35841</v>
      </c>
      <c r="R5405" s="2" t="s">
        <v>35842</v>
      </c>
      <c r="S5405" s="2" t="s">
        <v>148</v>
      </c>
      <c r="T5405" s="2" t="s">
        <v>19471</v>
      </c>
      <c r="U5405" s="2" t="s">
        <v>41</v>
      </c>
      <c r="V5405" s="2" t="s">
        <v>59</v>
      </c>
      <c r="W5405" s="2">
        <v>38.6</v>
      </c>
      <c r="X5405" s="2">
        <v>0</v>
      </c>
      <c r="Y5405" s="2" t="s">
        <v>141</v>
      </c>
      <c r="Z5405" s="2" t="s">
        <v>35843</v>
      </c>
      <c r="AA5405" s="2">
        <v>6.4209958326059205E-2</v>
      </c>
      <c r="AB5405" s="2">
        <v>8.4694761384605105E-2</v>
      </c>
      <c r="AC5405" s="2">
        <v>1922.00613398418</v>
      </c>
      <c r="AD5405" s="2">
        <v>2715.1902204784901</v>
      </c>
      <c r="AE5405" s="2">
        <v>1521.0868583200099</v>
      </c>
      <c r="AF5405" s="2">
        <v>2435.78427257558</v>
      </c>
      <c r="AG5405" s="2">
        <v>1439.6708212369001</v>
      </c>
      <c r="AH5405" s="2">
        <v>1143.0729280038099</v>
      </c>
      <c r="AI5405" s="2">
        <v>3200.58537093016</v>
      </c>
      <c r="AJ5405" s="2">
        <v>1791.8365528386</v>
      </c>
      <c r="AK5405" s="2">
        <v>2759.4761227803101</v>
      </c>
      <c r="AL5405" s="2">
        <v>3070.09893616625</v>
      </c>
      <c r="AM5405" s="2">
        <v>2387.9844766235801</v>
      </c>
      <c r="AN5405" s="2">
        <v>3129.6651798628</v>
      </c>
      <c r="AO5405" s="2">
        <v>2131.37187988292</v>
      </c>
      <c r="AP5405" s="2">
        <v>2812.54472755506</v>
      </c>
    </row>
    <row r="5406" spans="1:42" ht="14.5" x14ac:dyDescent="0.35">
      <c r="A5406" s="2" t="s">
        <v>35844</v>
      </c>
      <c r="B5406" s="2">
        <v>437.21784661513698</v>
      </c>
      <c r="C5406" s="2">
        <v>6.1797833333333303</v>
      </c>
      <c r="D5406" s="2" t="s">
        <v>70</v>
      </c>
      <c r="E5406" s="2" t="s">
        <v>35845</v>
      </c>
      <c r="F5406" s="2">
        <v>51903</v>
      </c>
      <c r="G5406" s="3" t="str">
        <f>HYPERLINK("http://funmeta.oebiotech.com/network/51903", "http://funmeta.oebiotech.com/network/51903")</f>
        <v>http://funmeta.oebiotech.com/network/51903</v>
      </c>
      <c r="H5406" s="2" t="s">
        <v>35846</v>
      </c>
      <c r="I5406" s="2">
        <v>45500</v>
      </c>
      <c r="J5406" s="2"/>
      <c r="K5406" s="2">
        <v>16522</v>
      </c>
      <c r="L5406" s="2" t="s">
        <v>35847</v>
      </c>
      <c r="M5406" s="2" t="s">
        <v>35848</v>
      </c>
      <c r="N5406" s="2" t="s">
        <v>35849</v>
      </c>
      <c r="O5406" s="2">
        <v>449093</v>
      </c>
      <c r="P5406" s="2" t="s">
        <v>35850</v>
      </c>
      <c r="Q5406" s="2" t="s">
        <v>35851</v>
      </c>
      <c r="R5406" s="2" t="s">
        <v>35852</v>
      </c>
      <c r="S5406" s="2" t="s">
        <v>491</v>
      </c>
      <c r="T5406" s="2" t="s">
        <v>7431</v>
      </c>
      <c r="U5406" s="2" t="s">
        <v>7432</v>
      </c>
      <c r="V5406" s="2" t="s">
        <v>59</v>
      </c>
      <c r="W5406" s="2">
        <v>38.799999999999997</v>
      </c>
      <c r="X5406" s="2">
        <v>0</v>
      </c>
      <c r="Y5406" s="2" t="s">
        <v>560</v>
      </c>
      <c r="Z5406" s="2" t="s">
        <v>35853</v>
      </c>
      <c r="AA5406" s="2">
        <v>2.5168090886893499</v>
      </c>
      <c r="AB5406" s="2">
        <v>8.4688295787471599E-2</v>
      </c>
      <c r="AC5406" s="2">
        <v>2819.56345813288</v>
      </c>
      <c r="AD5406" s="2">
        <v>2096.9157152180001</v>
      </c>
      <c r="AE5406" s="2">
        <v>2733.3320284065999</v>
      </c>
      <c r="AF5406" s="2">
        <v>2032.3250707234899</v>
      </c>
      <c r="AG5406" s="2">
        <v>2734.9321219284998</v>
      </c>
      <c r="AH5406" s="2">
        <v>3284.9425927949801</v>
      </c>
      <c r="AI5406" s="2">
        <v>3041.2680450493099</v>
      </c>
      <c r="AJ5406" s="2">
        <v>3090.5808898943801</v>
      </c>
      <c r="AK5406" s="2">
        <v>2096.67694129338</v>
      </c>
      <c r="AL5406" s="2">
        <v>2945.3946436615602</v>
      </c>
      <c r="AM5406" s="2">
        <v>2080.7871385511698</v>
      </c>
      <c r="AN5406" s="2">
        <v>1647.7297290658601</v>
      </c>
      <c r="AO5406" s="2">
        <v>2178.73394781448</v>
      </c>
      <c r="AP5406" s="2">
        <v>1632.1718909215299</v>
      </c>
    </row>
    <row r="5407" spans="1:42" ht="14.5" x14ac:dyDescent="0.35">
      <c r="A5407" s="2" t="s">
        <v>35854</v>
      </c>
      <c r="B5407" s="2">
        <v>257.22613702003099</v>
      </c>
      <c r="C5407" s="2">
        <v>4.7017833333333297</v>
      </c>
      <c r="D5407" s="2" t="s">
        <v>34</v>
      </c>
      <c r="E5407" s="2" t="s">
        <v>35855</v>
      </c>
      <c r="F5407" s="2">
        <v>202294</v>
      </c>
      <c r="G5407" s="3" t="str">
        <f>HYPERLINK("http://funmeta.oebiotech.com/network/202294", "http://funmeta.oebiotech.com/network/202294")</f>
        <v>http://funmeta.oebiotech.com/network/202294</v>
      </c>
      <c r="H5407" s="2" t="s">
        <v>35856</v>
      </c>
      <c r="I5407" s="2">
        <v>41837</v>
      </c>
      <c r="J5407" s="2"/>
      <c r="K5407" s="2"/>
      <c r="L5407" s="2"/>
      <c r="M5407" s="2"/>
      <c r="N5407" s="2"/>
      <c r="O5407" s="2">
        <v>556492</v>
      </c>
      <c r="P5407" s="2" t="s">
        <v>18893</v>
      </c>
      <c r="Q5407" s="2" t="s">
        <v>35857</v>
      </c>
      <c r="R5407" s="2" t="s">
        <v>35858</v>
      </c>
      <c r="S5407" s="2" t="s">
        <v>50</v>
      </c>
      <c r="T5407" s="2" t="s">
        <v>124</v>
      </c>
      <c r="U5407" s="2" t="s">
        <v>2373</v>
      </c>
      <c r="V5407" s="2" t="s">
        <v>59</v>
      </c>
      <c r="W5407" s="2">
        <v>38.6</v>
      </c>
      <c r="X5407" s="2">
        <v>0</v>
      </c>
      <c r="Y5407" s="2" t="s">
        <v>141</v>
      </c>
      <c r="Z5407" s="2" t="s">
        <v>18896</v>
      </c>
      <c r="AA5407" s="2">
        <v>-0.87631521777085497</v>
      </c>
      <c r="AB5407" s="2">
        <v>8.46531492481368E-2</v>
      </c>
      <c r="AC5407" s="2">
        <v>2501.8977285921301</v>
      </c>
      <c r="AD5407" s="2">
        <v>1828.30738361672</v>
      </c>
      <c r="AE5407" s="2">
        <v>3045.7082307488199</v>
      </c>
      <c r="AF5407" s="2">
        <v>1916.11212352752</v>
      </c>
      <c r="AG5407" s="2">
        <v>2708.6141213299302</v>
      </c>
      <c r="AH5407" s="2">
        <v>2864.9143422944298</v>
      </c>
      <c r="AI5407" s="2">
        <v>2162.8513772298602</v>
      </c>
      <c r="AJ5407" s="2">
        <v>2313.1861764221899</v>
      </c>
      <c r="AK5407" s="2">
        <v>1756.87306926264</v>
      </c>
      <c r="AL5407" s="2">
        <v>1301.55990316518</v>
      </c>
      <c r="AM5407" s="2">
        <v>1932.70325285222</v>
      </c>
      <c r="AN5407" s="2">
        <v>1839.39088568384</v>
      </c>
      <c r="AO5407" s="2">
        <v>2248.03130499289</v>
      </c>
      <c r="AP5407" s="2">
        <v>1891.2858857435599</v>
      </c>
    </row>
    <row r="5408" spans="1:42" ht="14.5" x14ac:dyDescent="0.35">
      <c r="A5408" s="2" t="s">
        <v>35859</v>
      </c>
      <c r="B5408" s="2">
        <v>455.19181510108598</v>
      </c>
      <c r="C5408" s="2">
        <v>4.22216666666667</v>
      </c>
      <c r="D5408" s="2" t="s">
        <v>70</v>
      </c>
      <c r="E5408" s="2" t="s">
        <v>35860</v>
      </c>
      <c r="F5408" s="2">
        <v>63853</v>
      </c>
      <c r="G5408" s="3" t="str">
        <f>HYPERLINK("http://funmeta.oebiotech.com/network/63853", "http://funmeta.oebiotech.com/network/63853")</f>
        <v>http://funmeta.oebiotech.com/network/63853</v>
      </c>
      <c r="H5408" s="2" t="s">
        <v>35861</v>
      </c>
      <c r="I5408" s="2"/>
      <c r="J5408" s="2"/>
      <c r="K5408" s="2"/>
      <c r="L5408" s="2"/>
      <c r="M5408" s="2"/>
      <c r="N5408" s="2"/>
      <c r="O5408" s="2">
        <v>73816202</v>
      </c>
      <c r="P5408" s="2" t="s">
        <v>35862</v>
      </c>
      <c r="Q5408" s="2" t="s">
        <v>35863</v>
      </c>
      <c r="R5408" s="2" t="s">
        <v>35864</v>
      </c>
      <c r="S5408" s="2" t="s">
        <v>50</v>
      </c>
      <c r="T5408" s="2" t="s">
        <v>201</v>
      </c>
      <c r="U5408" s="2" t="s">
        <v>1217</v>
      </c>
      <c r="V5408" s="2" t="s">
        <v>59</v>
      </c>
      <c r="W5408" s="2">
        <v>44.1</v>
      </c>
      <c r="X5408" s="2">
        <v>28.7</v>
      </c>
      <c r="Y5408" s="2" t="s">
        <v>408</v>
      </c>
      <c r="Z5408" s="2" t="s">
        <v>13361</v>
      </c>
      <c r="AA5408" s="2">
        <v>-1.11090708048286</v>
      </c>
      <c r="AB5408" s="2">
        <v>8.4639678862746107E-2</v>
      </c>
      <c r="AC5408" s="2">
        <v>7067.40662608001</v>
      </c>
      <c r="AD5408" s="2">
        <v>6014.8053309956204</v>
      </c>
      <c r="AE5408" s="2">
        <v>8305.9792579016394</v>
      </c>
      <c r="AF5408" s="2">
        <v>7187.2176428156899</v>
      </c>
      <c r="AG5408" s="2">
        <v>7598.8340950645297</v>
      </c>
      <c r="AH5408" s="2">
        <v>7030.9037525547901</v>
      </c>
      <c r="AI5408" s="2">
        <v>5696.1560789634004</v>
      </c>
      <c r="AJ5408" s="2">
        <v>6585.3489291800197</v>
      </c>
      <c r="AK5408" s="2">
        <v>7291.4608165384598</v>
      </c>
      <c r="AL5408" s="2">
        <v>7631.1022918035296</v>
      </c>
      <c r="AM5408" s="2">
        <v>5772.2252403899902</v>
      </c>
      <c r="AN5408" s="2">
        <v>3713.65463223816</v>
      </c>
      <c r="AO5408" s="2">
        <v>6571.3639189339901</v>
      </c>
      <c r="AP5408" s="2">
        <v>5109.0250860696196</v>
      </c>
    </row>
    <row r="5409" spans="1:42" ht="14.5" x14ac:dyDescent="0.35">
      <c r="A5409" s="2" t="s">
        <v>35865</v>
      </c>
      <c r="B5409" s="2">
        <v>729.18809172204499</v>
      </c>
      <c r="C5409" s="2">
        <v>7.1594666666666704</v>
      </c>
      <c r="D5409" s="2" t="s">
        <v>70</v>
      </c>
      <c r="E5409" s="2" t="s">
        <v>35866</v>
      </c>
      <c r="F5409" s="2">
        <v>32822</v>
      </c>
      <c r="G5409" s="3" t="str">
        <f>HYPERLINK("http://funmeta.oebiotech.com/network/32822", "http://funmeta.oebiotech.com/network/32822")</f>
        <v>http://funmeta.oebiotech.com/network/32822</v>
      </c>
      <c r="H5409" s="2"/>
      <c r="I5409" s="2"/>
      <c r="J5409" s="2" t="s">
        <v>35867</v>
      </c>
      <c r="K5409" s="2"/>
      <c r="L5409" s="2"/>
      <c r="M5409" s="2"/>
      <c r="N5409" s="2"/>
      <c r="O5409" s="2">
        <v>44259684</v>
      </c>
      <c r="P5409" s="2"/>
      <c r="Q5409" s="2" t="s">
        <v>35868</v>
      </c>
      <c r="R5409" s="2" t="s">
        <v>35869</v>
      </c>
      <c r="S5409" s="2" t="s">
        <v>115</v>
      </c>
      <c r="T5409" s="2" t="s">
        <v>139</v>
      </c>
      <c r="U5409" s="2" t="s">
        <v>1552</v>
      </c>
      <c r="V5409" s="2" t="s">
        <v>59</v>
      </c>
      <c r="W5409" s="2">
        <v>38.5</v>
      </c>
      <c r="X5409" s="2">
        <v>0</v>
      </c>
      <c r="Y5409" s="2" t="s">
        <v>408</v>
      </c>
      <c r="Z5409" s="2" t="s">
        <v>35870</v>
      </c>
      <c r="AA5409" s="2">
        <v>-0.402599407147258</v>
      </c>
      <c r="AB5409" s="2">
        <v>8.4622988098862095E-2</v>
      </c>
      <c r="AC5409" s="2">
        <v>16577.1483425031</v>
      </c>
      <c r="AD5409" s="2">
        <v>15432.5112937005</v>
      </c>
      <c r="AE5409" s="2">
        <v>18975.101872949199</v>
      </c>
      <c r="AF5409" s="2">
        <v>15633.785686805701</v>
      </c>
      <c r="AG5409" s="2">
        <v>15565.1936263596</v>
      </c>
      <c r="AH5409" s="2">
        <v>15806.218202092299</v>
      </c>
      <c r="AI5409" s="2">
        <v>17724.255984869302</v>
      </c>
      <c r="AJ5409" s="2">
        <v>15758.334681942501</v>
      </c>
      <c r="AK5409" s="2">
        <v>15134.4828117446</v>
      </c>
      <c r="AL5409" s="2">
        <v>15062.832690365</v>
      </c>
      <c r="AM5409" s="2">
        <v>16518.986990184902</v>
      </c>
      <c r="AN5409" s="2">
        <v>16581.5662234878</v>
      </c>
      <c r="AO5409" s="2">
        <v>13176.811861971801</v>
      </c>
      <c r="AP5409" s="2">
        <v>16120.3871844491</v>
      </c>
    </row>
    <row r="5410" spans="1:42" ht="14.5" x14ac:dyDescent="0.35">
      <c r="A5410" s="2" t="s">
        <v>35871</v>
      </c>
      <c r="B5410" s="2">
        <v>677.33003816537598</v>
      </c>
      <c r="C5410" s="2">
        <v>6.5939500000000004</v>
      </c>
      <c r="D5410" s="2" t="s">
        <v>70</v>
      </c>
      <c r="E5410" s="2" t="s">
        <v>35872</v>
      </c>
      <c r="F5410" s="2">
        <v>197677</v>
      </c>
      <c r="G5410" s="3" t="str">
        <f>HYPERLINK("http://funmeta.oebiotech.com/network/197677", "http://funmeta.oebiotech.com/network/197677")</f>
        <v>http://funmeta.oebiotech.com/network/197677</v>
      </c>
      <c r="H5410" s="2" t="s">
        <v>35873</v>
      </c>
      <c r="I5410" s="2"/>
      <c r="J5410" s="2"/>
      <c r="K5410" s="2"/>
      <c r="L5410" s="2"/>
      <c r="M5410" s="2"/>
      <c r="N5410" s="2"/>
      <c r="O5410" s="2"/>
      <c r="P5410" s="2"/>
      <c r="Q5410" s="2" t="s">
        <v>35874</v>
      </c>
      <c r="R5410" s="2" t="s">
        <v>35875</v>
      </c>
      <c r="S5410" s="2" t="s">
        <v>41</v>
      </c>
      <c r="T5410" s="2" t="s">
        <v>41</v>
      </c>
      <c r="U5410" s="2" t="s">
        <v>41</v>
      </c>
      <c r="V5410" s="2" t="s">
        <v>59</v>
      </c>
      <c r="W5410" s="2">
        <v>38.299999999999997</v>
      </c>
      <c r="X5410" s="2">
        <v>0</v>
      </c>
      <c r="Y5410" s="2" t="s">
        <v>560</v>
      </c>
      <c r="Z5410" s="2" t="s">
        <v>35876</v>
      </c>
      <c r="AA5410" s="2">
        <v>1.38507912961503</v>
      </c>
      <c r="AB5410" s="2">
        <v>8.4574025289566507E-2</v>
      </c>
      <c r="AC5410" s="2">
        <v>931.74970030501004</v>
      </c>
      <c r="AD5410" s="2">
        <v>1810.5142232947401</v>
      </c>
      <c r="AE5410" s="2">
        <v>472.40754389517298</v>
      </c>
      <c r="AF5410" s="2">
        <v>886.86812273135695</v>
      </c>
      <c r="AG5410" s="2">
        <v>637.575519052554</v>
      </c>
      <c r="AH5410" s="2">
        <v>8.62649401620601</v>
      </c>
      <c r="AI5410" s="2">
        <v>2483.02167171464</v>
      </c>
      <c r="AJ5410" s="2">
        <v>1101.9988504201301</v>
      </c>
      <c r="AK5410" s="2">
        <v>838.70997879444303</v>
      </c>
      <c r="AL5410" s="2">
        <v>1937.03297460055</v>
      </c>
      <c r="AM5410" s="2">
        <v>2559.38235897504</v>
      </c>
      <c r="AN5410" s="2">
        <v>1590.93969353223</v>
      </c>
      <c r="AO5410" s="2">
        <v>2694.7124109701199</v>
      </c>
      <c r="AP5410" s="2">
        <v>1242.3079228960501</v>
      </c>
    </row>
    <row r="5411" spans="1:42" ht="14.5" x14ac:dyDescent="0.35">
      <c r="A5411" s="2" t="s">
        <v>35877</v>
      </c>
      <c r="B5411" s="2">
        <v>158.921954769846</v>
      </c>
      <c r="C5411" s="2">
        <v>0.68611666666666704</v>
      </c>
      <c r="D5411" s="2" t="s">
        <v>34</v>
      </c>
      <c r="E5411" s="2" t="s">
        <v>35878</v>
      </c>
      <c r="F5411" s="2">
        <v>256304</v>
      </c>
      <c r="G5411" s="3" t="str">
        <f>HYPERLINK("http://funmeta.oebiotech.com/network/256304", "http://funmeta.oebiotech.com/network/256304")</f>
        <v>http://funmeta.oebiotech.com/network/256304</v>
      </c>
      <c r="H5411" s="2" t="s">
        <v>35879</v>
      </c>
      <c r="I5411" s="2"/>
      <c r="J5411" s="2"/>
      <c r="K5411" s="2">
        <v>37585</v>
      </c>
      <c r="L5411" s="2"/>
      <c r="M5411" s="2"/>
      <c r="N5411" s="2"/>
      <c r="O5411" s="2">
        <v>24204</v>
      </c>
      <c r="P5411" s="2"/>
      <c r="Q5411" s="2" t="s">
        <v>35880</v>
      </c>
      <c r="R5411" s="2" t="s">
        <v>35881</v>
      </c>
      <c r="S5411" s="2" t="s">
        <v>7696</v>
      </c>
      <c r="T5411" s="2" t="s">
        <v>7697</v>
      </c>
      <c r="U5411" s="2" t="s">
        <v>13517</v>
      </c>
      <c r="V5411" s="2" t="s">
        <v>59</v>
      </c>
      <c r="W5411" s="2">
        <v>39.700000000000003</v>
      </c>
      <c r="X5411" s="2">
        <v>0</v>
      </c>
      <c r="Y5411" s="2" t="s">
        <v>340</v>
      </c>
      <c r="Z5411" s="2" t="s">
        <v>35882</v>
      </c>
      <c r="AA5411" s="2">
        <v>-0.35648422153124398</v>
      </c>
      <c r="AB5411" s="2">
        <v>8.4476509605907801E-2</v>
      </c>
      <c r="AC5411" s="2">
        <v>2862.7514629371199</v>
      </c>
      <c r="AD5411" s="2">
        <v>2008.87743083487</v>
      </c>
      <c r="AE5411" s="2">
        <v>2153.59853993354</v>
      </c>
      <c r="AF5411" s="2">
        <v>3495.7088717235101</v>
      </c>
      <c r="AG5411" s="2">
        <v>2962.9089137316</v>
      </c>
      <c r="AH5411" s="2">
        <v>3136.6195361487198</v>
      </c>
      <c r="AI5411" s="2">
        <v>2226.7632192696901</v>
      </c>
      <c r="AJ5411" s="2">
        <v>3200.90969681568</v>
      </c>
      <c r="AK5411" s="2">
        <v>2218.27210928061</v>
      </c>
      <c r="AL5411" s="2">
        <v>1079.1769238331899</v>
      </c>
      <c r="AM5411" s="2">
        <v>2481.6451156409598</v>
      </c>
      <c r="AN5411" s="2">
        <v>3297.6388247492</v>
      </c>
      <c r="AO5411" s="2">
        <v>1801.18341179554</v>
      </c>
      <c r="AP5411" s="2">
        <v>1175.3481997097199</v>
      </c>
    </row>
    <row r="5412" spans="1:42" ht="14.5" x14ac:dyDescent="0.35">
      <c r="A5412" s="2" t="s">
        <v>35883</v>
      </c>
      <c r="B5412" s="2">
        <v>368.99893030060298</v>
      </c>
      <c r="C5412" s="2">
        <v>6.5939500000000004</v>
      </c>
      <c r="D5412" s="2" t="s">
        <v>70</v>
      </c>
      <c r="E5412" s="2" t="s">
        <v>35884</v>
      </c>
      <c r="F5412" s="2">
        <v>82209</v>
      </c>
      <c r="G5412" s="3" t="str">
        <f>HYPERLINK("http://funmeta.oebiotech.com/network/82209", "http://funmeta.oebiotech.com/network/82209")</f>
        <v>http://funmeta.oebiotech.com/network/82209</v>
      </c>
      <c r="H5412" s="2" t="s">
        <v>35885</v>
      </c>
      <c r="I5412" s="2">
        <v>156</v>
      </c>
      <c r="J5412" s="2"/>
      <c r="K5412" s="2">
        <v>17969</v>
      </c>
      <c r="L5412" s="2" t="s">
        <v>35886</v>
      </c>
      <c r="M5412" s="2" t="s">
        <v>35887</v>
      </c>
      <c r="N5412" s="2" t="s">
        <v>35888</v>
      </c>
      <c r="O5412" s="2">
        <v>164735</v>
      </c>
      <c r="P5412" s="2" t="s">
        <v>35889</v>
      </c>
      <c r="Q5412" s="2" t="s">
        <v>35890</v>
      </c>
      <c r="R5412" s="2" t="s">
        <v>35891</v>
      </c>
      <c r="S5412" s="2" t="s">
        <v>79</v>
      </c>
      <c r="T5412" s="2" t="s">
        <v>80</v>
      </c>
      <c r="U5412" s="2" t="s">
        <v>81</v>
      </c>
      <c r="V5412" s="2" t="s">
        <v>59</v>
      </c>
      <c r="W5412" s="2">
        <v>39</v>
      </c>
      <c r="X5412" s="2">
        <v>0</v>
      </c>
      <c r="Y5412" s="2" t="s">
        <v>118</v>
      </c>
      <c r="Z5412" s="2" t="s">
        <v>35892</v>
      </c>
      <c r="AA5412" s="2">
        <v>-1.1002365415280499</v>
      </c>
      <c r="AB5412" s="2">
        <v>8.4321419230134406E-2</v>
      </c>
      <c r="AC5412" s="2">
        <v>2447.4874904708199</v>
      </c>
      <c r="AD5412" s="2">
        <v>3194.3238698605101</v>
      </c>
      <c r="AE5412" s="2">
        <v>2462.8165734804502</v>
      </c>
      <c r="AF5412" s="2">
        <v>2563.7072731133499</v>
      </c>
      <c r="AG5412" s="2">
        <v>2813.6517895451798</v>
      </c>
      <c r="AH5412" s="2">
        <v>2508.1991224482099</v>
      </c>
      <c r="AI5412" s="2">
        <v>2325.6722801327601</v>
      </c>
      <c r="AJ5412" s="2">
        <v>2010.87790410496</v>
      </c>
      <c r="AK5412" s="2">
        <v>2062.12491988597</v>
      </c>
      <c r="AL5412" s="2">
        <v>3938.3545442602799</v>
      </c>
      <c r="AM5412" s="2">
        <v>3300.5984622812198</v>
      </c>
      <c r="AN5412" s="2">
        <v>2955.16138470435</v>
      </c>
      <c r="AO5412" s="2">
        <v>3741.4041944276901</v>
      </c>
      <c r="AP5412" s="2">
        <v>3168.2997136035401</v>
      </c>
    </row>
    <row r="5413" spans="1:42" ht="14.5" x14ac:dyDescent="0.35">
      <c r="A5413" s="2" t="s">
        <v>35893</v>
      </c>
      <c r="B5413" s="2">
        <v>159.06527140755</v>
      </c>
      <c r="C5413" s="2">
        <v>3.51128333333333</v>
      </c>
      <c r="D5413" s="2" t="s">
        <v>34</v>
      </c>
      <c r="E5413" s="2" t="s">
        <v>35894</v>
      </c>
      <c r="F5413" s="2">
        <v>47134</v>
      </c>
      <c r="G5413" s="3" t="str">
        <f>HYPERLINK("http://funmeta.oebiotech.com/network/47134", "http://funmeta.oebiotech.com/network/47134")</f>
        <v>http://funmeta.oebiotech.com/network/47134</v>
      </c>
      <c r="H5413" s="2" t="s">
        <v>35895</v>
      </c>
      <c r="I5413" s="2">
        <v>4154</v>
      </c>
      <c r="J5413" s="2"/>
      <c r="K5413" s="2">
        <v>87897</v>
      </c>
      <c r="L5413" s="2"/>
      <c r="M5413" s="2"/>
      <c r="N5413" s="2"/>
      <c r="O5413" s="2">
        <v>5312</v>
      </c>
      <c r="P5413" s="2" t="s">
        <v>35896</v>
      </c>
      <c r="Q5413" s="2" t="s">
        <v>35897</v>
      </c>
      <c r="R5413" s="2" t="s">
        <v>35898</v>
      </c>
      <c r="S5413" s="2" t="s">
        <v>89</v>
      </c>
      <c r="T5413" s="2" t="s">
        <v>2718</v>
      </c>
      <c r="U5413" s="2" t="s">
        <v>11268</v>
      </c>
      <c r="V5413" s="2" t="s">
        <v>59</v>
      </c>
      <c r="W5413" s="2">
        <v>39</v>
      </c>
      <c r="X5413" s="2">
        <v>0</v>
      </c>
      <c r="Y5413" s="2" t="s">
        <v>394</v>
      </c>
      <c r="Z5413" s="2" t="s">
        <v>19141</v>
      </c>
      <c r="AA5413" s="2">
        <v>0.54522175021369201</v>
      </c>
      <c r="AB5413" s="2">
        <v>8.4293371436056294E-2</v>
      </c>
      <c r="AC5413" s="2">
        <v>4806.3315259070396</v>
      </c>
      <c r="AD5413" s="2">
        <v>4243.8707001036</v>
      </c>
      <c r="AE5413" s="2">
        <v>4762.9179622658203</v>
      </c>
      <c r="AF5413" s="2">
        <v>4978.9827849222402</v>
      </c>
      <c r="AG5413" s="2">
        <v>4807.59578772646</v>
      </c>
      <c r="AH5413" s="2">
        <v>4560.3935767824396</v>
      </c>
      <c r="AI5413" s="2">
        <v>4729.2733671023298</v>
      </c>
      <c r="AJ5413" s="2">
        <v>4998.8256766429704</v>
      </c>
      <c r="AK5413" s="2">
        <v>4206.8975459595404</v>
      </c>
      <c r="AL5413" s="2">
        <v>3917.26502859009</v>
      </c>
      <c r="AM5413" s="2">
        <v>4607.4000123265996</v>
      </c>
      <c r="AN5413" s="2">
        <v>4053.7428693739598</v>
      </c>
      <c r="AO5413" s="2">
        <v>4299.4753564756102</v>
      </c>
      <c r="AP5413" s="2">
        <v>4378.4433878957798</v>
      </c>
    </row>
    <row r="5414" spans="1:42" ht="14.5" x14ac:dyDescent="0.35">
      <c r="A5414" s="2" t="s">
        <v>35899</v>
      </c>
      <c r="B5414" s="2">
        <v>317.15062317396598</v>
      </c>
      <c r="C5414" s="2">
        <v>4.6492000000000004</v>
      </c>
      <c r="D5414" s="2" t="s">
        <v>70</v>
      </c>
      <c r="E5414" s="2" t="s">
        <v>35900</v>
      </c>
      <c r="F5414" s="2">
        <v>211979</v>
      </c>
      <c r="G5414" s="3" t="str">
        <f>HYPERLINK("http://funmeta.oebiotech.com/network/211979", "http://funmeta.oebiotech.com/network/211979")</f>
        <v>http://funmeta.oebiotech.com/network/211979</v>
      </c>
      <c r="H5414" s="2" t="s">
        <v>35901</v>
      </c>
      <c r="I5414" s="2"/>
      <c r="J5414" s="2"/>
      <c r="K5414" s="2"/>
      <c r="L5414" s="2"/>
      <c r="M5414" s="2"/>
      <c r="N5414" s="2"/>
      <c r="O5414" s="2"/>
      <c r="P5414" s="2"/>
      <c r="Q5414" s="2" t="s">
        <v>35902</v>
      </c>
      <c r="R5414" s="2" t="s">
        <v>35903</v>
      </c>
      <c r="S5414" s="2" t="s">
        <v>115</v>
      </c>
      <c r="T5414" s="2" t="s">
        <v>116</v>
      </c>
      <c r="U5414" s="2" t="s">
        <v>117</v>
      </c>
      <c r="V5414" s="2" t="s">
        <v>59</v>
      </c>
      <c r="W5414" s="2">
        <v>39.200000000000003</v>
      </c>
      <c r="X5414" s="2">
        <v>0</v>
      </c>
      <c r="Y5414" s="2" t="s">
        <v>408</v>
      </c>
      <c r="Z5414" s="2" t="s">
        <v>35904</v>
      </c>
      <c r="AA5414" s="2">
        <v>-0.21159518664569801</v>
      </c>
      <c r="AB5414" s="2">
        <v>8.4077679097993893E-2</v>
      </c>
      <c r="AC5414" s="2">
        <v>8839.6244112690893</v>
      </c>
      <c r="AD5414" s="2">
        <v>8015.4990061643202</v>
      </c>
      <c r="AE5414" s="2">
        <v>9019.0447467110607</v>
      </c>
      <c r="AF5414" s="2">
        <v>9939.3156157408594</v>
      </c>
      <c r="AG5414" s="2">
        <v>8048.26620442679</v>
      </c>
      <c r="AH5414" s="2">
        <v>8498.9099739338999</v>
      </c>
      <c r="AI5414" s="2">
        <v>8437.76924414122</v>
      </c>
      <c r="AJ5414" s="2">
        <v>9094.4406826607101</v>
      </c>
      <c r="AK5414" s="2">
        <v>8106.4527380651898</v>
      </c>
      <c r="AL5414" s="2">
        <v>8062.6700647588004</v>
      </c>
      <c r="AM5414" s="2">
        <v>8767.8998646498003</v>
      </c>
      <c r="AN5414" s="2">
        <v>7302.4083772361801</v>
      </c>
      <c r="AO5414" s="2">
        <v>7139.7460853724197</v>
      </c>
      <c r="AP5414" s="2">
        <v>8713.8169069035503</v>
      </c>
    </row>
    <row r="5415" spans="1:42" ht="14.5" x14ac:dyDescent="0.35">
      <c r="A5415" s="2" t="s">
        <v>35905</v>
      </c>
      <c r="B5415" s="2">
        <v>355.05444855782901</v>
      </c>
      <c r="C5415" s="2">
        <v>4.4179500000000003</v>
      </c>
      <c r="D5415" s="2" t="s">
        <v>70</v>
      </c>
      <c r="E5415" s="2" t="s">
        <v>35906</v>
      </c>
      <c r="F5415" s="2">
        <v>278602</v>
      </c>
      <c r="G5415" s="3" t="str">
        <f>HYPERLINK("http://funmeta.oebiotech.com/network/278602", "http://funmeta.oebiotech.com/network/278602")</f>
        <v>http://funmeta.oebiotech.com/network/278602</v>
      </c>
      <c r="H5415" s="2"/>
      <c r="I5415" s="2">
        <v>70884</v>
      </c>
      <c r="J5415" s="2"/>
      <c r="K5415" s="2"/>
      <c r="L5415" s="2" t="s">
        <v>35907</v>
      </c>
      <c r="M5415" s="2"/>
      <c r="N5415" s="2"/>
      <c r="O5415" s="2">
        <v>690730</v>
      </c>
      <c r="P5415" s="2" t="s">
        <v>35908</v>
      </c>
      <c r="Q5415" s="2" t="s">
        <v>35909</v>
      </c>
      <c r="R5415" s="2" t="s">
        <v>35910</v>
      </c>
      <c r="S5415" s="2" t="s">
        <v>491</v>
      </c>
      <c r="T5415" s="2" t="s">
        <v>3519</v>
      </c>
      <c r="U5415" s="2" t="s">
        <v>35911</v>
      </c>
      <c r="V5415" s="2" t="s">
        <v>59</v>
      </c>
      <c r="W5415" s="2">
        <v>38.200000000000003</v>
      </c>
      <c r="X5415" s="2">
        <v>0</v>
      </c>
      <c r="Y5415" s="2" t="s">
        <v>560</v>
      </c>
      <c r="Z5415" s="2" t="s">
        <v>35912</v>
      </c>
      <c r="AA5415" s="2">
        <v>-2.55413885993815</v>
      </c>
      <c r="AB5415" s="2">
        <v>8.4043757209503606E-2</v>
      </c>
      <c r="AC5415" s="2">
        <v>2023.4709753314301</v>
      </c>
      <c r="AD5415" s="2">
        <v>1348.9421244617999</v>
      </c>
      <c r="AE5415" s="2">
        <v>1570.5363757355301</v>
      </c>
      <c r="AF5415" s="2">
        <v>2069.2899681528602</v>
      </c>
      <c r="AG5415" s="2">
        <v>1431.0648855284401</v>
      </c>
      <c r="AH5415" s="2">
        <v>2199.9281108329101</v>
      </c>
      <c r="AI5415" s="2">
        <v>2439.9969143602598</v>
      </c>
      <c r="AJ5415" s="2">
        <v>2430.0095973785801</v>
      </c>
      <c r="AK5415" s="2">
        <v>1212.8816790989699</v>
      </c>
      <c r="AL5415" s="2">
        <v>1684.2725869026301</v>
      </c>
      <c r="AM5415" s="2">
        <v>1673.83013839866</v>
      </c>
      <c r="AN5415" s="2">
        <v>1320.1199756125</v>
      </c>
      <c r="AO5415" s="2">
        <v>1391.2394145682899</v>
      </c>
      <c r="AP5415" s="2">
        <v>811.30895218973399</v>
      </c>
    </row>
    <row r="5416" spans="1:42" ht="14.5" x14ac:dyDescent="0.35">
      <c r="A5416" s="2" t="s">
        <v>35913</v>
      </c>
      <c r="B5416" s="2">
        <v>330.30012534611302</v>
      </c>
      <c r="C5416" s="2">
        <v>9.9973333333333301</v>
      </c>
      <c r="D5416" s="2" t="s">
        <v>34</v>
      </c>
      <c r="E5416" s="2" t="s">
        <v>35914</v>
      </c>
      <c r="F5416" s="2">
        <v>8773</v>
      </c>
      <c r="G5416" s="3" t="str">
        <f>HYPERLINK("http://funmeta.oebiotech.com/network/8773", "http://funmeta.oebiotech.com/network/8773")</f>
        <v>http://funmeta.oebiotech.com/network/8773</v>
      </c>
      <c r="H5416" s="2" t="s">
        <v>35915</v>
      </c>
      <c r="I5416" s="2">
        <v>64849</v>
      </c>
      <c r="J5416" s="2" t="s">
        <v>35916</v>
      </c>
      <c r="K5416" s="2"/>
      <c r="L5416" s="2"/>
      <c r="M5416" s="2"/>
      <c r="N5416" s="2"/>
      <c r="O5416" s="2">
        <v>9862307</v>
      </c>
      <c r="P5416" s="2" t="s">
        <v>35917</v>
      </c>
      <c r="Q5416" s="2" t="s">
        <v>35918</v>
      </c>
      <c r="R5416" s="2" t="s">
        <v>35919</v>
      </c>
      <c r="S5416" s="2" t="s">
        <v>50</v>
      </c>
      <c r="T5416" s="2" t="s">
        <v>229</v>
      </c>
      <c r="U5416" s="2" t="s">
        <v>645</v>
      </c>
      <c r="V5416" s="2" t="s">
        <v>59</v>
      </c>
      <c r="W5416" s="2">
        <v>47</v>
      </c>
      <c r="X5416" s="2">
        <v>40.299999999999997</v>
      </c>
      <c r="Y5416" s="2" t="s">
        <v>394</v>
      </c>
      <c r="Z5416" s="2" t="s">
        <v>35920</v>
      </c>
      <c r="AA5416" s="2">
        <v>-0.44094499406663101</v>
      </c>
      <c r="AB5416" s="2">
        <v>8.4038621705098696E-2</v>
      </c>
      <c r="AC5416" s="2">
        <v>1383.1317242380301</v>
      </c>
      <c r="AD5416" s="2">
        <v>1925.3139105950499</v>
      </c>
      <c r="AE5416" s="2">
        <v>1343.2941256797901</v>
      </c>
      <c r="AF5416" s="2">
        <v>1391.3332238609501</v>
      </c>
      <c r="AG5416" s="2">
        <v>1158.3081885466299</v>
      </c>
      <c r="AH5416" s="2">
        <v>1336.28149599276</v>
      </c>
      <c r="AI5416" s="2">
        <v>1336.49557546506</v>
      </c>
      <c r="AJ5416" s="2">
        <v>1733.07773588297</v>
      </c>
      <c r="AK5416" s="2">
        <v>2178.7290857289099</v>
      </c>
      <c r="AL5416" s="2">
        <v>1698.37942506032</v>
      </c>
      <c r="AM5416" s="2">
        <v>1872.37715300232</v>
      </c>
      <c r="AN5416" s="2">
        <v>1886.38261384629</v>
      </c>
      <c r="AO5416" s="2">
        <v>1845.1564726105501</v>
      </c>
      <c r="AP5416" s="2">
        <v>2070.8587133219098</v>
      </c>
    </row>
    <row r="5417" spans="1:42" ht="14.5" x14ac:dyDescent="0.35">
      <c r="A5417" s="2" t="s">
        <v>35921</v>
      </c>
      <c r="B5417" s="2">
        <v>421.03844584393499</v>
      </c>
      <c r="C5417" s="2">
        <v>4.84418333333333</v>
      </c>
      <c r="D5417" s="2" t="s">
        <v>70</v>
      </c>
      <c r="E5417" s="2" t="s">
        <v>35922</v>
      </c>
      <c r="F5417" s="2">
        <v>201438</v>
      </c>
      <c r="G5417" s="3" t="str">
        <f>HYPERLINK("http://funmeta.oebiotech.com/network/201438", "http://funmeta.oebiotech.com/network/201438")</f>
        <v>http://funmeta.oebiotech.com/network/201438</v>
      </c>
      <c r="H5417" s="2" t="s">
        <v>35923</v>
      </c>
      <c r="I5417" s="2">
        <v>44168</v>
      </c>
      <c r="J5417" s="2"/>
      <c r="K5417" s="2"/>
      <c r="L5417" s="2"/>
      <c r="M5417" s="2"/>
      <c r="N5417" s="2"/>
      <c r="O5417" s="2">
        <v>4511</v>
      </c>
      <c r="P5417" s="2" t="s">
        <v>35924</v>
      </c>
      <c r="Q5417" s="2" t="s">
        <v>35925</v>
      </c>
      <c r="R5417" s="2" t="s">
        <v>35926</v>
      </c>
      <c r="S5417" s="2" t="s">
        <v>148</v>
      </c>
      <c r="T5417" s="2" t="s">
        <v>149</v>
      </c>
      <c r="U5417" s="2" t="s">
        <v>14157</v>
      </c>
      <c r="V5417" s="2" t="s">
        <v>59</v>
      </c>
      <c r="W5417" s="2">
        <v>37.700000000000003</v>
      </c>
      <c r="X5417" s="2">
        <v>0</v>
      </c>
      <c r="Y5417" s="2" t="s">
        <v>560</v>
      </c>
      <c r="Z5417" s="2" t="s">
        <v>35927</v>
      </c>
      <c r="AA5417" s="2">
        <v>-0.28022824437869798</v>
      </c>
      <c r="AB5417" s="2">
        <v>8.3979600119429093E-2</v>
      </c>
      <c r="AC5417" s="2">
        <v>9257.9471255643894</v>
      </c>
      <c r="AD5417" s="2">
        <v>8335.5600496554507</v>
      </c>
      <c r="AE5417" s="2">
        <v>11180.3173193987</v>
      </c>
      <c r="AF5417" s="2">
        <v>9222.1852737108402</v>
      </c>
      <c r="AG5417" s="2">
        <v>9137.0006076015798</v>
      </c>
      <c r="AH5417" s="2">
        <v>8560.2462726489994</v>
      </c>
      <c r="AI5417" s="2">
        <v>9832.2534581377804</v>
      </c>
      <c r="AJ5417" s="2">
        <v>7615.6798218884096</v>
      </c>
      <c r="AK5417" s="2">
        <v>8290.0295593684605</v>
      </c>
      <c r="AL5417" s="2">
        <v>8300.3958093992405</v>
      </c>
      <c r="AM5417" s="2">
        <v>8380.5190173987594</v>
      </c>
      <c r="AN5417" s="2">
        <v>8607.3289355502293</v>
      </c>
      <c r="AO5417" s="2">
        <v>8491.3923977477807</v>
      </c>
      <c r="AP5417" s="2">
        <v>7943.6945784682302</v>
      </c>
    </row>
    <row r="5418" spans="1:42" ht="14.5" x14ac:dyDescent="0.35">
      <c r="A5418" s="2" t="s">
        <v>35928</v>
      </c>
      <c r="B5418" s="2">
        <v>283.13380193672202</v>
      </c>
      <c r="C5418" s="2">
        <v>8.8312166666666698</v>
      </c>
      <c r="D5418" s="2" t="s">
        <v>70</v>
      </c>
      <c r="E5418" s="2" t="s">
        <v>35929</v>
      </c>
      <c r="F5418" s="2">
        <v>47013</v>
      </c>
      <c r="G5418" s="3" t="str">
        <f>HYPERLINK("http://funmeta.oebiotech.com/network/47013", "http://funmeta.oebiotech.com/network/47013")</f>
        <v>http://funmeta.oebiotech.com/network/47013</v>
      </c>
      <c r="H5418" s="2" t="s">
        <v>35930</v>
      </c>
      <c r="I5418" s="2">
        <v>5361</v>
      </c>
      <c r="J5418" s="2"/>
      <c r="K5418" s="2"/>
      <c r="L5418" s="2" t="s">
        <v>35931</v>
      </c>
      <c r="M5418" s="2"/>
      <c r="N5418" s="2"/>
      <c r="O5418" s="2">
        <v>53477688</v>
      </c>
      <c r="P5418" s="2" t="s">
        <v>35932</v>
      </c>
      <c r="Q5418" s="2" t="s">
        <v>35933</v>
      </c>
      <c r="R5418" s="2" t="s">
        <v>35934</v>
      </c>
      <c r="S5418" s="2" t="s">
        <v>50</v>
      </c>
      <c r="T5418" s="2" t="s">
        <v>124</v>
      </c>
      <c r="U5418" s="2" t="s">
        <v>2093</v>
      </c>
      <c r="V5418" s="2" t="s">
        <v>59</v>
      </c>
      <c r="W5418" s="2">
        <v>38.299999999999997</v>
      </c>
      <c r="X5418" s="2">
        <v>0</v>
      </c>
      <c r="Y5418" s="2" t="s">
        <v>118</v>
      </c>
      <c r="Z5418" s="2" t="s">
        <v>35935</v>
      </c>
      <c r="AA5418" s="2">
        <v>-0.58467878524846395</v>
      </c>
      <c r="AB5418" s="2">
        <v>8.3919692564448201E-2</v>
      </c>
      <c r="AC5418" s="2">
        <v>501.39201554938302</v>
      </c>
      <c r="AD5418" s="2">
        <v>23.396065190860899</v>
      </c>
      <c r="AE5418" s="2">
        <v>344.706421343165</v>
      </c>
      <c r="AF5418" s="2">
        <v>506.14365127899998</v>
      </c>
      <c r="AG5418" s="2">
        <v>596.29057718826596</v>
      </c>
      <c r="AH5418" s="2">
        <v>558.80321876910205</v>
      </c>
      <c r="AI5418" s="2">
        <v>533.26941154592305</v>
      </c>
      <c r="AJ5418" s="2">
        <v>469.13881317084099</v>
      </c>
      <c r="AK5418" s="2">
        <v>2.7106294003980101E-5</v>
      </c>
      <c r="AL5418" s="2">
        <v>2.7106294003980101E-5</v>
      </c>
      <c r="AM5418" s="2">
        <v>2.7106294003980101E-5</v>
      </c>
      <c r="AN5418" s="2">
        <v>66.924264853729596</v>
      </c>
      <c r="AO5418" s="2">
        <v>73.452017866259894</v>
      </c>
      <c r="AP5418" s="2">
        <v>2.7106294003980101E-5</v>
      </c>
    </row>
    <row r="5419" spans="1:42" ht="14.5" x14ac:dyDescent="0.35">
      <c r="A5419" s="2" t="s">
        <v>35936</v>
      </c>
      <c r="B5419" s="2">
        <v>415.08326638263202</v>
      </c>
      <c r="C5419" s="2">
        <v>2.1595499999999999</v>
      </c>
      <c r="D5419" s="2" t="s">
        <v>70</v>
      </c>
      <c r="E5419" s="2" t="s">
        <v>35937</v>
      </c>
      <c r="F5419" s="2">
        <v>30821</v>
      </c>
      <c r="G5419" s="3" t="str">
        <f>HYPERLINK("http://funmeta.oebiotech.com/network/30821", "http://funmeta.oebiotech.com/network/30821")</f>
        <v>http://funmeta.oebiotech.com/network/30821</v>
      </c>
      <c r="H5419" s="2"/>
      <c r="I5419" s="2">
        <v>49159</v>
      </c>
      <c r="J5419" s="2" t="s">
        <v>35938</v>
      </c>
      <c r="K5419" s="2"/>
      <c r="L5419" s="2"/>
      <c r="M5419" s="2"/>
      <c r="N5419" s="2"/>
      <c r="O5419" s="2">
        <v>10433042</v>
      </c>
      <c r="P5419" s="2"/>
      <c r="Q5419" s="2" t="s">
        <v>35939</v>
      </c>
      <c r="R5419" s="2" t="s">
        <v>35940</v>
      </c>
      <c r="S5419" s="2" t="s">
        <v>1184</v>
      </c>
      <c r="T5419" s="2" t="s">
        <v>35941</v>
      </c>
      <c r="U5419" s="2" t="s">
        <v>41</v>
      </c>
      <c r="V5419" s="2" t="s">
        <v>59</v>
      </c>
      <c r="W5419" s="2">
        <v>41.8</v>
      </c>
      <c r="X5419" s="2">
        <v>24.4</v>
      </c>
      <c r="Y5419" s="2" t="s">
        <v>751</v>
      </c>
      <c r="Z5419" s="2" t="s">
        <v>35942</v>
      </c>
      <c r="AA5419" s="2">
        <v>2.1653271798625302</v>
      </c>
      <c r="AB5419" s="2">
        <v>8.3868675184113103E-2</v>
      </c>
      <c r="AC5419" s="2">
        <v>76836.805226060096</v>
      </c>
      <c r="AD5419" s="2">
        <v>78483.221573966395</v>
      </c>
      <c r="AE5419" s="2">
        <v>76349.770199806502</v>
      </c>
      <c r="AF5419" s="2">
        <v>72790.540204877805</v>
      </c>
      <c r="AG5419" s="2">
        <v>81588.238768818803</v>
      </c>
      <c r="AH5419" s="2">
        <v>76261.197235738</v>
      </c>
      <c r="AI5419" s="2">
        <v>74493.419389520699</v>
      </c>
      <c r="AJ5419" s="2">
        <v>79537.665557598797</v>
      </c>
      <c r="AK5419" s="2">
        <v>73872.126985620096</v>
      </c>
      <c r="AL5419" s="2">
        <v>79450.039168598407</v>
      </c>
      <c r="AM5419" s="2">
        <v>78965.734201546598</v>
      </c>
      <c r="AN5419" s="2">
        <v>78343.937790027499</v>
      </c>
      <c r="AO5419" s="2">
        <v>77768.493827049897</v>
      </c>
      <c r="AP5419" s="2">
        <v>82498.997470955801</v>
      </c>
    </row>
    <row r="5420" spans="1:42" ht="14.5" x14ac:dyDescent="0.35">
      <c r="A5420" s="2" t="s">
        <v>35943</v>
      </c>
      <c r="B5420" s="2">
        <v>283.034660221271</v>
      </c>
      <c r="C5420" s="2">
        <v>1.22268333333333</v>
      </c>
      <c r="D5420" s="2" t="s">
        <v>70</v>
      </c>
      <c r="E5420" s="2" t="s">
        <v>35944</v>
      </c>
      <c r="F5420" s="2">
        <v>51906</v>
      </c>
      <c r="G5420" s="3" t="str">
        <f>HYPERLINK("http://funmeta.oebiotech.com/network/51906", "http://funmeta.oebiotech.com/network/51906")</f>
        <v>http://funmeta.oebiotech.com/network/51906</v>
      </c>
      <c r="H5420" s="2" t="s">
        <v>35945</v>
      </c>
      <c r="I5420" s="2">
        <v>3374</v>
      </c>
      <c r="J5420" s="2"/>
      <c r="K5420" s="2">
        <v>17805</v>
      </c>
      <c r="L5420" s="2" t="s">
        <v>35946</v>
      </c>
      <c r="M5420" s="2" t="s">
        <v>15688</v>
      </c>
      <c r="N5420" s="2" t="s">
        <v>15689</v>
      </c>
      <c r="O5420" s="2">
        <v>440431</v>
      </c>
      <c r="P5420" s="2" t="s">
        <v>35947</v>
      </c>
      <c r="Q5420" s="2" t="s">
        <v>35948</v>
      </c>
      <c r="R5420" s="2" t="s">
        <v>35949</v>
      </c>
      <c r="S5420" s="2" t="s">
        <v>89</v>
      </c>
      <c r="T5420" s="2" t="s">
        <v>894</v>
      </c>
      <c r="U5420" s="2" t="s">
        <v>895</v>
      </c>
      <c r="V5420" s="2" t="s">
        <v>59</v>
      </c>
      <c r="W5420" s="2">
        <v>38.700000000000003</v>
      </c>
      <c r="X5420" s="2">
        <v>0</v>
      </c>
      <c r="Y5420" s="2" t="s">
        <v>408</v>
      </c>
      <c r="Z5420" s="2" t="s">
        <v>35950</v>
      </c>
      <c r="AA5420" s="2">
        <v>4.1365328018489302</v>
      </c>
      <c r="AB5420" s="2">
        <v>8.3849058718880307E-2</v>
      </c>
      <c r="AC5420" s="2">
        <v>5482.2245117914599</v>
      </c>
      <c r="AD5420" s="2">
        <v>4745.5286157596101</v>
      </c>
      <c r="AE5420" s="2">
        <v>5416.5152606416004</v>
      </c>
      <c r="AF5420" s="2">
        <v>6043.0644639088996</v>
      </c>
      <c r="AG5420" s="2">
        <v>5683.0301969212996</v>
      </c>
      <c r="AH5420" s="2">
        <v>5449.2379628651097</v>
      </c>
      <c r="AI5420" s="2">
        <v>5171.3202552757302</v>
      </c>
      <c r="AJ5420" s="2">
        <v>5130.1789311361499</v>
      </c>
      <c r="AK5420" s="2">
        <v>4975.0270264174596</v>
      </c>
      <c r="AL5420" s="2">
        <v>4826.1460287898099</v>
      </c>
      <c r="AM5420" s="2">
        <v>3542.9591567153602</v>
      </c>
      <c r="AN5420" s="2">
        <v>4710.5978161165804</v>
      </c>
      <c r="AO5420" s="2">
        <v>5448.25265724359</v>
      </c>
      <c r="AP5420" s="2">
        <v>4970.1890092748499</v>
      </c>
    </row>
    <row r="5421" spans="1:42" ht="14.5" x14ac:dyDescent="0.35">
      <c r="A5421" s="2" t="s">
        <v>35951</v>
      </c>
      <c r="B5421" s="2">
        <v>307.11625014265798</v>
      </c>
      <c r="C5421" s="2">
        <v>9.3708500000000008</v>
      </c>
      <c r="D5421" s="2" t="s">
        <v>70</v>
      </c>
      <c r="E5421" s="2" t="s">
        <v>35952</v>
      </c>
      <c r="F5421" s="2">
        <v>255424</v>
      </c>
      <c r="G5421" s="3" t="str">
        <f>HYPERLINK("http://funmeta.oebiotech.com/network/255424", "http://funmeta.oebiotech.com/network/255424")</f>
        <v>http://funmeta.oebiotech.com/network/255424</v>
      </c>
      <c r="H5421" s="2" t="s">
        <v>35953</v>
      </c>
      <c r="I5421" s="2"/>
      <c r="J5421" s="2"/>
      <c r="K5421" s="2"/>
      <c r="L5421" s="2"/>
      <c r="M5421" s="2"/>
      <c r="N5421" s="2"/>
      <c r="O5421" s="2">
        <v>45109789</v>
      </c>
      <c r="P5421" s="2"/>
      <c r="Q5421" s="2" t="s">
        <v>35954</v>
      </c>
      <c r="R5421" s="2" t="s">
        <v>35955</v>
      </c>
      <c r="S5421" s="2" t="s">
        <v>50</v>
      </c>
      <c r="T5421" s="2" t="s">
        <v>51</v>
      </c>
      <c r="U5421" s="2" t="s">
        <v>273</v>
      </c>
      <c r="V5421" s="2" t="s">
        <v>59</v>
      </c>
      <c r="W5421" s="2">
        <v>38.799999999999997</v>
      </c>
      <c r="X5421" s="2">
        <v>0</v>
      </c>
      <c r="Y5421" s="2" t="s">
        <v>408</v>
      </c>
      <c r="Z5421" s="2" t="s">
        <v>35956</v>
      </c>
      <c r="AA5421" s="2">
        <v>-0.35263439611606701</v>
      </c>
      <c r="AB5421" s="2">
        <v>8.3774169418256397E-2</v>
      </c>
      <c r="AC5421" s="2">
        <v>9852.4297670009291</v>
      </c>
      <c r="AD5421" s="2">
        <v>10668.998232398701</v>
      </c>
      <c r="AE5421" s="2">
        <v>9440.0069194540392</v>
      </c>
      <c r="AF5421" s="2">
        <v>10850.949480797501</v>
      </c>
      <c r="AG5421" s="2">
        <v>10098.768558289101</v>
      </c>
      <c r="AH5421" s="2">
        <v>9035.9223800194195</v>
      </c>
      <c r="AI5421" s="2">
        <v>9772.6955432949508</v>
      </c>
      <c r="AJ5421" s="2">
        <v>9916.2357201505693</v>
      </c>
      <c r="AK5421" s="2">
        <v>11203.754546607501</v>
      </c>
      <c r="AL5421" s="2">
        <v>10824.246628736601</v>
      </c>
      <c r="AM5421" s="2">
        <v>11171.457914275599</v>
      </c>
      <c r="AN5421" s="2">
        <v>9536.0255674506207</v>
      </c>
      <c r="AO5421" s="2">
        <v>11082.3870134303</v>
      </c>
      <c r="AP5421" s="2">
        <v>10196.117723891501</v>
      </c>
    </row>
    <row r="5422" spans="1:42" ht="14.5" x14ac:dyDescent="0.35">
      <c r="A5422" s="2" t="s">
        <v>35957</v>
      </c>
      <c r="B5422" s="2">
        <v>196.05780278255301</v>
      </c>
      <c r="C5422" s="2">
        <v>1.0770999999999999</v>
      </c>
      <c r="D5422" s="2" t="s">
        <v>34</v>
      </c>
      <c r="E5422" s="2" t="s">
        <v>35958</v>
      </c>
      <c r="F5422" s="2">
        <v>48743</v>
      </c>
      <c r="G5422" s="3" t="str">
        <f>HYPERLINK("http://funmeta.oebiotech.com/network/48743", "http://funmeta.oebiotech.com/network/48743")</f>
        <v>http://funmeta.oebiotech.com/network/48743</v>
      </c>
      <c r="H5422" s="2" t="s">
        <v>35959</v>
      </c>
      <c r="I5422" s="2">
        <v>3298</v>
      </c>
      <c r="J5422" s="2"/>
      <c r="K5422" s="2">
        <v>16319</v>
      </c>
      <c r="L5422" s="2" t="s">
        <v>35960</v>
      </c>
      <c r="M5422" s="2" t="s">
        <v>35961</v>
      </c>
      <c r="N5422" s="2" t="s">
        <v>35962</v>
      </c>
      <c r="O5422" s="2">
        <v>192878</v>
      </c>
      <c r="P5422" s="2" t="s">
        <v>35963</v>
      </c>
      <c r="Q5422" s="2" t="s">
        <v>35964</v>
      </c>
      <c r="R5422" s="2" t="s">
        <v>35965</v>
      </c>
      <c r="S5422" s="2" t="s">
        <v>89</v>
      </c>
      <c r="T5422" s="2" t="s">
        <v>90</v>
      </c>
      <c r="U5422" s="2" t="s">
        <v>99</v>
      </c>
      <c r="V5422" s="2" t="s">
        <v>59</v>
      </c>
      <c r="W5422" s="2">
        <v>38.799999999999997</v>
      </c>
      <c r="X5422" s="2">
        <v>0</v>
      </c>
      <c r="Y5422" s="2" t="s">
        <v>323</v>
      </c>
      <c r="Z5422" s="2" t="s">
        <v>10420</v>
      </c>
      <c r="AA5422" s="2">
        <v>-1.3042977542716701</v>
      </c>
      <c r="AB5422" s="2">
        <v>8.3770680732364794E-2</v>
      </c>
      <c r="AC5422" s="2">
        <v>5085.6338472874304</v>
      </c>
      <c r="AD5422" s="2">
        <v>4433.1148843616702</v>
      </c>
      <c r="AE5422" s="2">
        <v>4563.8661056890696</v>
      </c>
      <c r="AF5422" s="2">
        <v>5521.9233131328801</v>
      </c>
      <c r="AG5422" s="2">
        <v>5441.2339537667604</v>
      </c>
      <c r="AH5422" s="2">
        <v>5441.6020190591998</v>
      </c>
      <c r="AI5422" s="2">
        <v>4850.8822679529103</v>
      </c>
      <c r="AJ5422" s="2">
        <v>4694.2954241237903</v>
      </c>
      <c r="AK5422" s="2">
        <v>4537.3890376585996</v>
      </c>
      <c r="AL5422" s="2">
        <v>4391.7803490516199</v>
      </c>
      <c r="AM5422" s="2">
        <v>4247.1842881599996</v>
      </c>
      <c r="AN5422" s="2">
        <v>4516.86179166289</v>
      </c>
      <c r="AO5422" s="2">
        <v>4862.34116479144</v>
      </c>
      <c r="AP5422" s="2">
        <v>4043.1326748454499</v>
      </c>
    </row>
    <row r="5423" spans="1:42" ht="14.5" x14ac:dyDescent="0.35">
      <c r="A5423" s="2" t="s">
        <v>35966</v>
      </c>
      <c r="B5423" s="2">
        <v>199.13317858851099</v>
      </c>
      <c r="C5423" s="2">
        <v>8.6008499999999994</v>
      </c>
      <c r="D5423" s="2" t="s">
        <v>70</v>
      </c>
      <c r="E5423" s="2" t="s">
        <v>35967</v>
      </c>
      <c r="F5423" s="2">
        <v>208914</v>
      </c>
      <c r="G5423" s="3" t="str">
        <f>HYPERLINK("http://funmeta.oebiotech.com/network/208914", "http://funmeta.oebiotech.com/network/208914")</f>
        <v>http://funmeta.oebiotech.com/network/208914</v>
      </c>
      <c r="H5423" s="2" t="s">
        <v>35968</v>
      </c>
      <c r="I5423" s="2">
        <v>320825</v>
      </c>
      <c r="J5423" s="2"/>
      <c r="K5423" s="2">
        <v>84309</v>
      </c>
      <c r="L5423" s="2"/>
      <c r="M5423" s="2"/>
      <c r="N5423" s="2"/>
      <c r="O5423" s="2">
        <v>3033877</v>
      </c>
      <c r="P5423" s="2"/>
      <c r="Q5423" s="2" t="s">
        <v>35969</v>
      </c>
      <c r="R5423" s="2" t="s">
        <v>35970</v>
      </c>
      <c r="S5423" s="2" t="s">
        <v>50</v>
      </c>
      <c r="T5423" s="2" t="s">
        <v>448</v>
      </c>
      <c r="U5423" s="2" t="s">
        <v>7051</v>
      </c>
      <c r="V5423" s="2" t="s">
        <v>59</v>
      </c>
      <c r="W5423" s="2">
        <v>37.9</v>
      </c>
      <c r="X5423" s="2">
        <v>0</v>
      </c>
      <c r="Y5423" s="2" t="s">
        <v>751</v>
      </c>
      <c r="Z5423" s="2" t="s">
        <v>35971</v>
      </c>
      <c r="AA5423" s="2">
        <v>-3.6189260680374602</v>
      </c>
      <c r="AB5423" s="2">
        <v>8.3742073641355497E-2</v>
      </c>
      <c r="AC5423" s="2">
        <v>4433.7637087907897</v>
      </c>
      <c r="AD5423" s="2">
        <v>5086.7741080137002</v>
      </c>
      <c r="AE5423" s="2">
        <v>4272.2091932126796</v>
      </c>
      <c r="AF5423" s="2">
        <v>4753.4373999250602</v>
      </c>
      <c r="AG5423" s="2">
        <v>4550.3771551252003</v>
      </c>
      <c r="AH5423" s="2">
        <v>4595.1622188683496</v>
      </c>
      <c r="AI5423" s="2">
        <v>4132.4718970841004</v>
      </c>
      <c r="AJ5423" s="2">
        <v>4298.9243885293599</v>
      </c>
      <c r="AK5423" s="2">
        <v>5272.0650867690902</v>
      </c>
      <c r="AL5423" s="2">
        <v>4947.2094684298399</v>
      </c>
      <c r="AM5423" s="2">
        <v>5103.0574195461204</v>
      </c>
      <c r="AN5423" s="2">
        <v>5286.4457286417501</v>
      </c>
      <c r="AO5423" s="2">
        <v>5617.6505495312003</v>
      </c>
      <c r="AP5423" s="2">
        <v>4294.2163951642297</v>
      </c>
    </row>
    <row r="5424" spans="1:42" ht="14.5" x14ac:dyDescent="0.35">
      <c r="A5424" s="2" t="s">
        <v>35972</v>
      </c>
      <c r="B5424" s="2">
        <v>223.027697107222</v>
      </c>
      <c r="C5424" s="2">
        <v>11.977066666666699</v>
      </c>
      <c r="D5424" s="2" t="s">
        <v>70</v>
      </c>
      <c r="E5424" s="2" t="s">
        <v>35973</v>
      </c>
      <c r="F5424" s="2">
        <v>206988</v>
      </c>
      <c r="G5424" s="3" t="str">
        <f>HYPERLINK("http://funmeta.oebiotech.com/network/206988", "http://funmeta.oebiotech.com/network/206988")</f>
        <v>http://funmeta.oebiotech.com/network/206988</v>
      </c>
      <c r="H5424" s="2" t="s">
        <v>35974</v>
      </c>
      <c r="I5424" s="2"/>
      <c r="J5424" s="2"/>
      <c r="K5424" s="2"/>
      <c r="L5424" s="2"/>
      <c r="M5424" s="2"/>
      <c r="N5424" s="2"/>
      <c r="O5424" s="2">
        <v>146161009</v>
      </c>
      <c r="P5424" s="2"/>
      <c r="Q5424" s="2" t="s">
        <v>35975</v>
      </c>
      <c r="R5424" s="2" t="s">
        <v>35976</v>
      </c>
      <c r="S5424" s="2" t="s">
        <v>491</v>
      </c>
      <c r="T5424" s="2" t="s">
        <v>27803</v>
      </c>
      <c r="U5424" s="2" t="s">
        <v>41</v>
      </c>
      <c r="V5424" s="2" t="s">
        <v>59</v>
      </c>
      <c r="W5424" s="2">
        <v>39.200000000000003</v>
      </c>
      <c r="X5424" s="2">
        <v>0</v>
      </c>
      <c r="Y5424" s="2" t="s">
        <v>751</v>
      </c>
      <c r="Z5424" s="2" t="s">
        <v>35977</v>
      </c>
      <c r="AA5424" s="2">
        <v>-2.0060593032799101</v>
      </c>
      <c r="AB5424" s="2">
        <v>8.3705192067132395E-2</v>
      </c>
      <c r="AC5424" s="2">
        <v>1085.37382174613</v>
      </c>
      <c r="AD5424" s="2">
        <v>1707.1672542009001</v>
      </c>
      <c r="AE5424" s="2">
        <v>1169.303626588</v>
      </c>
      <c r="AF5424" s="2">
        <v>1421.3731687371001</v>
      </c>
      <c r="AG5424" s="2">
        <v>1120.7763375890599</v>
      </c>
      <c r="AH5424" s="2">
        <v>927.01211400349496</v>
      </c>
      <c r="AI5424" s="2">
        <v>871.42168580043699</v>
      </c>
      <c r="AJ5424" s="2">
        <v>1002.35599775871</v>
      </c>
      <c r="AK5424" s="2">
        <v>2262.4494766719199</v>
      </c>
      <c r="AL5424" s="2">
        <v>1913.75728417562</v>
      </c>
      <c r="AM5424" s="2">
        <v>1575.62214452269</v>
      </c>
      <c r="AN5424" s="2">
        <v>1777.7033491392699</v>
      </c>
      <c r="AO5424" s="2">
        <v>1134.3971904134301</v>
      </c>
      <c r="AP5424" s="2">
        <v>1579.07408028246</v>
      </c>
    </row>
    <row r="5425" spans="1:42" ht="14.5" x14ac:dyDescent="0.35">
      <c r="A5425" s="2" t="s">
        <v>35978</v>
      </c>
      <c r="B5425" s="2">
        <v>677.243106842418</v>
      </c>
      <c r="C5425" s="2">
        <v>7.1594666666666704</v>
      </c>
      <c r="D5425" s="2" t="s">
        <v>70</v>
      </c>
      <c r="E5425" s="2" t="s">
        <v>35979</v>
      </c>
      <c r="F5425" s="2">
        <v>52562</v>
      </c>
      <c r="G5425" s="3" t="str">
        <f>HYPERLINK("http://funmeta.oebiotech.com/network/52562", "http://funmeta.oebiotech.com/network/52562")</f>
        <v>http://funmeta.oebiotech.com/network/52562</v>
      </c>
      <c r="H5425" s="2" t="s">
        <v>35980</v>
      </c>
      <c r="I5425" s="2">
        <v>3118</v>
      </c>
      <c r="J5425" s="2"/>
      <c r="K5425" s="2"/>
      <c r="L5425" s="2"/>
      <c r="M5425" s="2"/>
      <c r="N5425" s="2"/>
      <c r="O5425" s="2">
        <v>131750725</v>
      </c>
      <c r="P5425" s="2"/>
      <c r="Q5425" s="2" t="s">
        <v>35981</v>
      </c>
      <c r="R5425" s="2" t="s">
        <v>35982</v>
      </c>
      <c r="S5425" s="2" t="s">
        <v>148</v>
      </c>
      <c r="T5425" s="2" t="s">
        <v>149</v>
      </c>
      <c r="U5425" s="2" t="s">
        <v>4282</v>
      </c>
      <c r="V5425" s="2" t="s">
        <v>59</v>
      </c>
      <c r="W5425" s="2">
        <v>38.9</v>
      </c>
      <c r="X5425" s="2">
        <v>0</v>
      </c>
      <c r="Y5425" s="2" t="s">
        <v>560</v>
      </c>
      <c r="Z5425" s="2" t="s">
        <v>35983</v>
      </c>
      <c r="AA5425" s="2">
        <v>-0.25220444069765202</v>
      </c>
      <c r="AB5425" s="2">
        <v>8.3662932504607102E-2</v>
      </c>
      <c r="AC5425" s="2">
        <v>4738.8331659836103</v>
      </c>
      <c r="AD5425" s="2">
        <v>3683.4689030642799</v>
      </c>
      <c r="AE5425" s="2">
        <v>6791.6347998739102</v>
      </c>
      <c r="AF5425" s="2">
        <v>3834.0851961937401</v>
      </c>
      <c r="AG5425" s="2">
        <v>5900.4701877164798</v>
      </c>
      <c r="AH5425" s="2">
        <v>3474.19356895084</v>
      </c>
      <c r="AI5425" s="2">
        <v>4071.14774701653</v>
      </c>
      <c r="AJ5425" s="2">
        <v>4361.4674961501696</v>
      </c>
      <c r="AK5425" s="2">
        <v>3232.1850645259101</v>
      </c>
      <c r="AL5425" s="2">
        <v>5032.4423331614698</v>
      </c>
      <c r="AM5425" s="2">
        <v>4625.0089744087099</v>
      </c>
      <c r="AN5425" s="2">
        <v>4131.7304489977196</v>
      </c>
      <c r="AO5425" s="2">
        <v>1997.07492393745</v>
      </c>
      <c r="AP5425" s="2">
        <v>3082.3716733544302</v>
      </c>
    </row>
    <row r="5426" spans="1:42" ht="14.5" x14ac:dyDescent="0.35">
      <c r="A5426" s="2" t="s">
        <v>35984</v>
      </c>
      <c r="B5426" s="2">
        <v>395.29414140812099</v>
      </c>
      <c r="C5426" s="2">
        <v>5.5068333333333301</v>
      </c>
      <c r="D5426" s="2" t="s">
        <v>34</v>
      </c>
      <c r="E5426" s="2" t="s">
        <v>35985</v>
      </c>
      <c r="F5426" s="2">
        <v>8821</v>
      </c>
      <c r="G5426" s="3" t="str">
        <f>HYPERLINK("http://funmeta.oebiotech.com/network/8821", "http://funmeta.oebiotech.com/network/8821")</f>
        <v>http://funmeta.oebiotech.com/network/8821</v>
      </c>
      <c r="H5426" s="2"/>
      <c r="I5426" s="2"/>
      <c r="J5426" s="2" t="s">
        <v>35986</v>
      </c>
      <c r="K5426" s="2"/>
      <c r="L5426" s="2"/>
      <c r="M5426" s="2"/>
      <c r="N5426" s="2"/>
      <c r="O5426" s="2">
        <v>20455404</v>
      </c>
      <c r="P5426" s="2"/>
      <c r="Q5426" s="2" t="s">
        <v>35987</v>
      </c>
      <c r="R5426" s="2" t="s">
        <v>35988</v>
      </c>
      <c r="S5426" s="2" t="s">
        <v>50</v>
      </c>
      <c r="T5426" s="2" t="s">
        <v>229</v>
      </c>
      <c r="U5426" s="2" t="s">
        <v>645</v>
      </c>
      <c r="V5426" s="2" t="s">
        <v>59</v>
      </c>
      <c r="W5426" s="2">
        <v>38.4</v>
      </c>
      <c r="X5426" s="2">
        <v>0</v>
      </c>
      <c r="Y5426" s="2" t="s">
        <v>43</v>
      </c>
      <c r="Z5426" s="2" t="s">
        <v>35989</v>
      </c>
      <c r="AA5426" s="2">
        <v>0.89101513226331797</v>
      </c>
      <c r="AB5426" s="2">
        <v>8.3657880238048501E-2</v>
      </c>
      <c r="AC5426" s="2">
        <v>6000.5492193278396</v>
      </c>
      <c r="AD5426" s="2">
        <v>6956.3159920129901</v>
      </c>
      <c r="AE5426" s="2">
        <v>5580.7168960843101</v>
      </c>
      <c r="AF5426" s="2">
        <v>8069.7909232497796</v>
      </c>
      <c r="AG5426" s="2">
        <v>5417.8442696901302</v>
      </c>
      <c r="AH5426" s="2">
        <v>5881.5948004320599</v>
      </c>
      <c r="AI5426" s="2">
        <v>5619.4465618435197</v>
      </c>
      <c r="AJ5426" s="2">
        <v>5433.9018646672403</v>
      </c>
      <c r="AK5426" s="2">
        <v>6067.6548267014296</v>
      </c>
      <c r="AL5426" s="2">
        <v>5921.6173830061198</v>
      </c>
      <c r="AM5426" s="2">
        <v>6570.2460836690298</v>
      </c>
      <c r="AN5426" s="2">
        <v>7981.8780654188404</v>
      </c>
      <c r="AO5426" s="2">
        <v>7624.61640895449</v>
      </c>
      <c r="AP5426" s="2">
        <v>7571.8831843280104</v>
      </c>
    </row>
    <row r="5427" spans="1:42" ht="14.5" x14ac:dyDescent="0.35">
      <c r="A5427" s="2" t="s">
        <v>35990</v>
      </c>
      <c r="B5427" s="2">
        <v>123.034743981891</v>
      </c>
      <c r="C5427" s="2">
        <v>4.4886999999999997</v>
      </c>
      <c r="D5427" s="2" t="s">
        <v>70</v>
      </c>
      <c r="E5427" s="2" t="s">
        <v>35991</v>
      </c>
      <c r="F5427" s="2">
        <v>514458</v>
      </c>
      <c r="G5427" s="3" t="str">
        <f>HYPERLINK("http://funmeta.oebiotech.com/network/514458", "http://funmeta.oebiotech.com/network/514458")</f>
        <v>http://funmeta.oebiotech.com/network/514458</v>
      </c>
      <c r="H5427" s="2"/>
      <c r="I5427" s="2">
        <v>96391</v>
      </c>
      <c r="J5427" s="2"/>
      <c r="K5427" s="2"/>
      <c r="L5427" s="2"/>
      <c r="M5427" s="2"/>
      <c r="N5427" s="2"/>
      <c r="O5427" s="2">
        <v>3817602</v>
      </c>
      <c r="P5427" s="2" t="s">
        <v>35992</v>
      </c>
      <c r="Q5427" s="2" t="s">
        <v>35993</v>
      </c>
      <c r="R5427" s="2" t="s">
        <v>35994</v>
      </c>
      <c r="S5427" s="2" t="s">
        <v>491</v>
      </c>
      <c r="T5427" s="2" t="s">
        <v>2184</v>
      </c>
      <c r="U5427" s="2" t="s">
        <v>3838</v>
      </c>
      <c r="V5427" s="2" t="s">
        <v>59</v>
      </c>
      <c r="W5427" s="2">
        <v>37.799999999999997</v>
      </c>
      <c r="X5427" s="2">
        <v>0</v>
      </c>
      <c r="Y5427" s="2" t="s">
        <v>751</v>
      </c>
      <c r="Z5427" s="2" t="s">
        <v>35995</v>
      </c>
      <c r="AA5427" s="2">
        <v>-3.6120305392354801</v>
      </c>
      <c r="AB5427" s="2">
        <v>8.3538250153671903E-2</v>
      </c>
      <c r="AC5427" s="2">
        <v>205.93738375297099</v>
      </c>
      <c r="AD5427" s="2">
        <v>734.68968145453903</v>
      </c>
      <c r="AE5427" s="2">
        <v>125.990590086376</v>
      </c>
      <c r="AF5427" s="2">
        <v>110.723370955878</v>
      </c>
      <c r="AG5427" s="2">
        <v>621.91880799102898</v>
      </c>
      <c r="AH5427" s="2">
        <v>121.450352871726</v>
      </c>
      <c r="AI5427" s="2">
        <v>62.938014683349998</v>
      </c>
      <c r="AJ5427" s="2">
        <v>192.603165929466</v>
      </c>
      <c r="AK5427" s="2">
        <v>813.20842818749895</v>
      </c>
      <c r="AL5427" s="2">
        <v>679.16313374164395</v>
      </c>
      <c r="AM5427" s="2">
        <v>810.66282956917303</v>
      </c>
      <c r="AN5427" s="2">
        <v>686.39515077397198</v>
      </c>
      <c r="AO5427" s="2">
        <v>840.292983222055</v>
      </c>
      <c r="AP5427" s="2">
        <v>578.41556323288899</v>
      </c>
    </row>
    <row r="5428" spans="1:42" ht="14.5" x14ac:dyDescent="0.35">
      <c r="A5428" s="2" t="s">
        <v>35996</v>
      </c>
      <c r="B5428" s="2">
        <v>1007.22372318148</v>
      </c>
      <c r="C5428" s="2">
        <v>5.00538333333333</v>
      </c>
      <c r="D5428" s="2" t="s">
        <v>70</v>
      </c>
      <c r="E5428" s="2" t="s">
        <v>35997</v>
      </c>
      <c r="F5428" s="2">
        <v>63104</v>
      </c>
      <c r="G5428" s="3" t="str">
        <f>HYPERLINK("http://funmeta.oebiotech.com/network/63104", "http://funmeta.oebiotech.com/network/63104")</f>
        <v>http://funmeta.oebiotech.com/network/63104</v>
      </c>
      <c r="H5428" s="2" t="s">
        <v>35998</v>
      </c>
      <c r="I5428" s="2">
        <v>94410</v>
      </c>
      <c r="J5428" s="2"/>
      <c r="K5428" s="2"/>
      <c r="L5428" s="2"/>
      <c r="M5428" s="2"/>
      <c r="N5428" s="2"/>
      <c r="O5428" s="2">
        <v>74029703</v>
      </c>
      <c r="P5428" s="2"/>
      <c r="Q5428" s="2" t="s">
        <v>35999</v>
      </c>
      <c r="R5428" s="2" t="s">
        <v>36000</v>
      </c>
      <c r="S5428" s="2" t="s">
        <v>115</v>
      </c>
      <c r="T5428" s="2" t="s">
        <v>139</v>
      </c>
      <c r="U5428" s="2" t="s">
        <v>957</v>
      </c>
      <c r="V5428" s="2" t="s">
        <v>59</v>
      </c>
      <c r="W5428" s="2">
        <v>37.9</v>
      </c>
      <c r="X5428" s="2">
        <v>0</v>
      </c>
      <c r="Y5428" s="2" t="s">
        <v>751</v>
      </c>
      <c r="Z5428" s="2" t="s">
        <v>36001</v>
      </c>
      <c r="AA5428" s="2">
        <v>-1.3870239675534799</v>
      </c>
      <c r="AB5428" s="2">
        <v>8.3426226150385599E-2</v>
      </c>
      <c r="AC5428" s="2">
        <v>1028.27439951005</v>
      </c>
      <c r="AD5428" s="2">
        <v>2.7106294003980101E-5</v>
      </c>
      <c r="AE5428" s="2">
        <v>3605.4788741459101</v>
      </c>
      <c r="AF5428" s="2">
        <v>2.7106294003980101E-5</v>
      </c>
      <c r="AG5428" s="2">
        <v>2.7106294003980101E-5</v>
      </c>
      <c r="AH5428" s="2">
        <v>2564.1674144892199</v>
      </c>
      <c r="AI5428" s="2">
        <v>2.7106294003980101E-5</v>
      </c>
      <c r="AJ5428" s="2">
        <v>2.7106294003980101E-5</v>
      </c>
      <c r="AK5428" s="2">
        <v>2.7106294003980101E-5</v>
      </c>
      <c r="AL5428" s="2">
        <v>2.7106294003980101E-5</v>
      </c>
      <c r="AM5428" s="2">
        <v>2.7106294003980101E-5</v>
      </c>
      <c r="AN5428" s="2">
        <v>2.7106294003980101E-5</v>
      </c>
      <c r="AO5428" s="2">
        <v>2.7106294003980101E-5</v>
      </c>
      <c r="AP5428" s="2">
        <v>2.7106294003980101E-5</v>
      </c>
    </row>
    <row r="5429" spans="1:42" ht="14.5" x14ac:dyDescent="0.35">
      <c r="A5429" s="2" t="s">
        <v>36002</v>
      </c>
      <c r="B5429" s="2">
        <v>259.059816725075</v>
      </c>
      <c r="C5429" s="2">
        <v>3.9663166666666698</v>
      </c>
      <c r="D5429" s="2" t="s">
        <v>34</v>
      </c>
      <c r="E5429" s="2" t="s">
        <v>36003</v>
      </c>
      <c r="F5429" s="2">
        <v>279898</v>
      </c>
      <c r="G5429" s="3" t="str">
        <f>HYPERLINK("http://funmeta.oebiotech.com/network/279898", "http://funmeta.oebiotech.com/network/279898")</f>
        <v>http://funmeta.oebiotech.com/network/279898</v>
      </c>
      <c r="H5429" s="2"/>
      <c r="I5429" s="2">
        <v>72737</v>
      </c>
      <c r="J5429" s="2"/>
      <c r="K5429" s="2"/>
      <c r="L5429" s="2" t="s">
        <v>36004</v>
      </c>
      <c r="M5429" s="2"/>
      <c r="N5429" s="2"/>
      <c r="O5429" s="2">
        <v>24723</v>
      </c>
      <c r="P5429" s="2" t="s">
        <v>36005</v>
      </c>
      <c r="Q5429" s="2" t="s">
        <v>36006</v>
      </c>
      <c r="R5429" s="2" t="s">
        <v>36007</v>
      </c>
      <c r="S5429" s="2" t="s">
        <v>27200</v>
      </c>
      <c r="T5429" s="2" t="s">
        <v>27201</v>
      </c>
      <c r="U5429" s="2" t="s">
        <v>41</v>
      </c>
      <c r="V5429" s="2" t="s">
        <v>59</v>
      </c>
      <c r="W5429" s="2">
        <v>37.700000000000003</v>
      </c>
      <c r="X5429" s="2">
        <v>0</v>
      </c>
      <c r="Y5429" s="2" t="s">
        <v>394</v>
      </c>
      <c r="Z5429" s="2" t="s">
        <v>36008</v>
      </c>
      <c r="AA5429" s="2">
        <v>4.7168720179796697</v>
      </c>
      <c r="AB5429" s="2">
        <v>8.33896846574321E-2</v>
      </c>
      <c r="AC5429" s="2">
        <v>4084.6559002539002</v>
      </c>
      <c r="AD5429" s="2">
        <v>4739.3075267178201</v>
      </c>
      <c r="AE5429" s="2">
        <v>4415.3056662516701</v>
      </c>
      <c r="AF5429" s="2">
        <v>3945.85825862506</v>
      </c>
      <c r="AG5429" s="2">
        <v>4202.4224653066503</v>
      </c>
      <c r="AH5429" s="2">
        <v>3929.81905176077</v>
      </c>
      <c r="AI5429" s="2">
        <v>3931.15620844246</v>
      </c>
      <c r="AJ5429" s="2">
        <v>4083.3737511367899</v>
      </c>
      <c r="AK5429" s="2">
        <v>4650.0246794021496</v>
      </c>
      <c r="AL5429" s="2">
        <v>4378.3316142997</v>
      </c>
      <c r="AM5429" s="2">
        <v>4931.5714561612203</v>
      </c>
      <c r="AN5429" s="2">
        <v>5264.7168462092604</v>
      </c>
      <c r="AO5429" s="2">
        <v>4018.8772389385999</v>
      </c>
      <c r="AP5429" s="2">
        <v>5192.3233252959899</v>
      </c>
    </row>
    <row r="5430" spans="1:42" ht="14.5" x14ac:dyDescent="0.35">
      <c r="A5430" s="2" t="s">
        <v>36009</v>
      </c>
      <c r="B5430" s="2">
        <v>215.13913120962201</v>
      </c>
      <c r="C5430" s="2">
        <v>2.2389333333333301</v>
      </c>
      <c r="D5430" s="2" t="s">
        <v>34</v>
      </c>
      <c r="E5430" s="2" t="s">
        <v>36010</v>
      </c>
      <c r="F5430" s="2">
        <v>48138</v>
      </c>
      <c r="G5430" s="3" t="str">
        <f>HYPERLINK("http://funmeta.oebiotech.com/network/48138", "http://funmeta.oebiotech.com/network/48138")</f>
        <v>http://funmeta.oebiotech.com/network/48138</v>
      </c>
      <c r="H5430" s="2" t="s">
        <v>36011</v>
      </c>
      <c r="I5430" s="2">
        <v>3351</v>
      </c>
      <c r="J5430" s="2"/>
      <c r="K5430" s="2">
        <v>42280</v>
      </c>
      <c r="L5430" s="2" t="s">
        <v>36012</v>
      </c>
      <c r="M5430" s="2" t="s">
        <v>36013</v>
      </c>
      <c r="N5430" s="2" t="s">
        <v>36014</v>
      </c>
      <c r="O5430" s="2">
        <v>445027</v>
      </c>
      <c r="P5430" s="2" t="s">
        <v>36015</v>
      </c>
      <c r="Q5430" s="2" t="s">
        <v>36016</v>
      </c>
      <c r="R5430" s="2" t="s">
        <v>36017</v>
      </c>
      <c r="S5430" s="2" t="s">
        <v>50</v>
      </c>
      <c r="T5430" s="2" t="s">
        <v>229</v>
      </c>
      <c r="U5430" s="2" t="s">
        <v>433</v>
      </c>
      <c r="V5430" s="2" t="s">
        <v>59</v>
      </c>
      <c r="W5430" s="2">
        <v>37.700000000000003</v>
      </c>
      <c r="X5430" s="2">
        <v>0</v>
      </c>
      <c r="Y5430" s="2" t="s">
        <v>394</v>
      </c>
      <c r="Z5430" s="2" t="s">
        <v>36018</v>
      </c>
      <c r="AA5430" s="2">
        <v>0.52459332071878095</v>
      </c>
      <c r="AB5430" s="2">
        <v>8.3365310731869799E-2</v>
      </c>
      <c r="AC5430" s="2">
        <v>767.43482571098502</v>
      </c>
      <c r="AD5430" s="2">
        <v>294.15600298902802</v>
      </c>
      <c r="AE5430" s="2">
        <v>781.43340395939504</v>
      </c>
      <c r="AF5430" s="2">
        <v>869.68254593780796</v>
      </c>
      <c r="AG5430" s="2">
        <v>772.38742559530897</v>
      </c>
      <c r="AH5430" s="2">
        <v>721.31636298108901</v>
      </c>
      <c r="AI5430" s="2">
        <v>823.58879675574894</v>
      </c>
      <c r="AJ5430" s="2">
        <v>636.20041903656204</v>
      </c>
      <c r="AK5430" s="2">
        <v>247.59098201516599</v>
      </c>
      <c r="AL5430" s="2">
        <v>314.71953353140901</v>
      </c>
      <c r="AM5430" s="2">
        <v>386.57757288348398</v>
      </c>
      <c r="AN5430" s="2">
        <v>211.00401658912099</v>
      </c>
      <c r="AO5430" s="2">
        <v>291.76968477709403</v>
      </c>
      <c r="AP5430" s="2">
        <v>313.27422813789502</v>
      </c>
    </row>
    <row r="5431" spans="1:42" ht="14.5" x14ac:dyDescent="0.35">
      <c r="A5431" s="2" t="s">
        <v>36019</v>
      </c>
      <c r="B5431" s="2">
        <v>165.13857747069099</v>
      </c>
      <c r="C5431" s="2">
        <v>4.1233166666666703</v>
      </c>
      <c r="D5431" s="2" t="s">
        <v>34</v>
      </c>
      <c r="E5431" s="2" t="s">
        <v>36020</v>
      </c>
      <c r="F5431" s="2">
        <v>199641</v>
      </c>
      <c r="G5431" s="3" t="str">
        <f>HYPERLINK("http://funmeta.oebiotech.com/network/199641", "http://funmeta.oebiotech.com/network/199641")</f>
        <v>http://funmeta.oebiotech.com/network/199641</v>
      </c>
      <c r="H5431" s="2" t="s">
        <v>36021</v>
      </c>
      <c r="I5431" s="2"/>
      <c r="J5431" s="2"/>
      <c r="K5431" s="2"/>
      <c r="L5431" s="2"/>
      <c r="M5431" s="2"/>
      <c r="N5431" s="2"/>
      <c r="O5431" s="2">
        <v>18066</v>
      </c>
      <c r="P5431" s="2"/>
      <c r="Q5431" s="2" t="s">
        <v>36022</v>
      </c>
      <c r="R5431" s="2" t="s">
        <v>36023</v>
      </c>
      <c r="S5431" s="2" t="s">
        <v>148</v>
      </c>
      <c r="T5431" s="2" t="s">
        <v>19471</v>
      </c>
      <c r="U5431" s="2" t="s">
        <v>41</v>
      </c>
      <c r="V5431" s="2" t="s">
        <v>59</v>
      </c>
      <c r="W5431" s="2">
        <v>42.1</v>
      </c>
      <c r="X5431" s="2">
        <v>15</v>
      </c>
      <c r="Y5431" s="2" t="s">
        <v>440</v>
      </c>
      <c r="Z5431" s="2" t="s">
        <v>36024</v>
      </c>
      <c r="AA5431" s="2">
        <v>-0.322770021069821</v>
      </c>
      <c r="AB5431" s="2">
        <v>8.3163886347107696E-2</v>
      </c>
      <c r="AC5431" s="2">
        <v>1797.23447414213</v>
      </c>
      <c r="AD5431" s="2">
        <v>1189.3498922275301</v>
      </c>
      <c r="AE5431" s="2">
        <v>1293.58171268262</v>
      </c>
      <c r="AF5431" s="2">
        <v>1664.5909050994901</v>
      </c>
      <c r="AG5431" s="2">
        <v>1598.1008365120599</v>
      </c>
      <c r="AH5431" s="2">
        <v>2262.42333415638</v>
      </c>
      <c r="AI5431" s="2">
        <v>1872.8976652783299</v>
      </c>
      <c r="AJ5431" s="2">
        <v>2091.81239112392</v>
      </c>
      <c r="AK5431" s="2">
        <v>1217.49324516814</v>
      </c>
      <c r="AL5431" s="2">
        <v>935.50578901555605</v>
      </c>
      <c r="AM5431" s="2">
        <v>1110.96397711494</v>
      </c>
      <c r="AN5431" s="2">
        <v>1179.5551804659699</v>
      </c>
      <c r="AO5431" s="2">
        <v>1107.22241361182</v>
      </c>
      <c r="AP5431" s="2">
        <v>1585.3587479887799</v>
      </c>
    </row>
    <row r="5432" spans="1:42" ht="14.5" x14ac:dyDescent="0.35">
      <c r="A5432" s="2" t="s">
        <v>36025</v>
      </c>
      <c r="B5432" s="2">
        <v>392.16753882255699</v>
      </c>
      <c r="C5432" s="2">
        <v>4.6832000000000003</v>
      </c>
      <c r="D5432" s="2" t="s">
        <v>34</v>
      </c>
      <c r="E5432" s="2" t="s">
        <v>36026</v>
      </c>
      <c r="F5432" s="2">
        <v>64030</v>
      </c>
      <c r="G5432" s="3" t="str">
        <f>HYPERLINK("http://funmeta.oebiotech.com/network/64030", "http://funmeta.oebiotech.com/network/64030")</f>
        <v>http://funmeta.oebiotech.com/network/64030</v>
      </c>
      <c r="H5432" s="2" t="s">
        <v>36027</v>
      </c>
      <c r="I5432" s="2">
        <v>95362</v>
      </c>
      <c r="J5432" s="2"/>
      <c r="K5432" s="2">
        <v>175808</v>
      </c>
      <c r="L5432" s="2"/>
      <c r="M5432" s="2"/>
      <c r="N5432" s="2"/>
      <c r="O5432" s="2">
        <v>78302078</v>
      </c>
      <c r="P5432" s="2" t="s">
        <v>36028</v>
      </c>
      <c r="Q5432" s="2" t="s">
        <v>36029</v>
      </c>
      <c r="R5432" s="2" t="s">
        <v>36030</v>
      </c>
      <c r="S5432" s="2" t="s">
        <v>1444</v>
      </c>
      <c r="T5432" s="2" t="s">
        <v>3595</v>
      </c>
      <c r="U5432" s="2" t="s">
        <v>41</v>
      </c>
      <c r="V5432" s="2" t="s">
        <v>59</v>
      </c>
      <c r="W5432" s="2">
        <v>37.700000000000003</v>
      </c>
      <c r="X5432" s="2">
        <v>0</v>
      </c>
      <c r="Y5432" s="2" t="s">
        <v>43</v>
      </c>
      <c r="Z5432" s="2" t="s">
        <v>36031</v>
      </c>
      <c r="AA5432" s="2">
        <v>-0.41271672033353302</v>
      </c>
      <c r="AB5432" s="2">
        <v>8.3079423725965995E-2</v>
      </c>
      <c r="AC5432" s="2">
        <v>9660.8575675852408</v>
      </c>
      <c r="AD5432" s="2">
        <v>8814.5397922468892</v>
      </c>
      <c r="AE5432" s="2">
        <v>10136.6680324235</v>
      </c>
      <c r="AF5432" s="2">
        <v>10638.099237709701</v>
      </c>
      <c r="AG5432" s="2">
        <v>10182.578466859601</v>
      </c>
      <c r="AH5432" s="2">
        <v>9343.8237652290009</v>
      </c>
      <c r="AI5432" s="2">
        <v>9003.8815602027498</v>
      </c>
      <c r="AJ5432" s="2">
        <v>8660.0943430869102</v>
      </c>
      <c r="AK5432" s="2">
        <v>8501.2431879584892</v>
      </c>
      <c r="AL5432" s="2">
        <v>8313.1767413054295</v>
      </c>
      <c r="AM5432" s="2">
        <v>8107.1516329898204</v>
      </c>
      <c r="AN5432" s="2">
        <v>8508.0652244244393</v>
      </c>
      <c r="AO5432" s="2">
        <v>9633.1626122928101</v>
      </c>
      <c r="AP5432" s="2">
        <v>9824.4393545103794</v>
      </c>
    </row>
    <row r="5433" spans="1:42" ht="14.5" x14ac:dyDescent="0.35">
      <c r="A5433" s="2" t="s">
        <v>36032</v>
      </c>
      <c r="B5433" s="2">
        <v>150.03109292495901</v>
      </c>
      <c r="C5433" s="2">
        <v>2.03033333333333</v>
      </c>
      <c r="D5433" s="2" t="s">
        <v>70</v>
      </c>
      <c r="E5433" s="2" t="s">
        <v>36033</v>
      </c>
      <c r="F5433" s="2">
        <v>200533</v>
      </c>
      <c r="G5433" s="3" t="str">
        <f>HYPERLINK("http://funmeta.oebiotech.com/network/200533", "http://funmeta.oebiotech.com/network/200533")</f>
        <v>http://funmeta.oebiotech.com/network/200533</v>
      </c>
      <c r="H5433" s="2" t="s">
        <v>36034</v>
      </c>
      <c r="I5433" s="2">
        <v>45032</v>
      </c>
      <c r="J5433" s="2"/>
      <c r="K5433" s="2"/>
      <c r="L5433" s="2"/>
      <c r="M5433" s="2"/>
      <c r="N5433" s="2"/>
      <c r="O5433" s="2">
        <v>2757979</v>
      </c>
      <c r="P5433" s="2" t="s">
        <v>36035</v>
      </c>
      <c r="Q5433" s="2" t="s">
        <v>36036</v>
      </c>
      <c r="R5433" s="2" t="s">
        <v>36037</v>
      </c>
      <c r="S5433" s="2" t="s">
        <v>491</v>
      </c>
      <c r="T5433" s="2" t="s">
        <v>4517</v>
      </c>
      <c r="U5433" s="2" t="s">
        <v>4518</v>
      </c>
      <c r="V5433" s="2" t="s">
        <v>59</v>
      </c>
      <c r="W5433" s="2">
        <v>38.6</v>
      </c>
      <c r="X5433" s="2">
        <v>0</v>
      </c>
      <c r="Y5433" s="2" t="s">
        <v>408</v>
      </c>
      <c r="Z5433" s="2" t="s">
        <v>36038</v>
      </c>
      <c r="AA5433" s="2">
        <v>1.83699318407506</v>
      </c>
      <c r="AB5433" s="2">
        <v>8.3030347784568206E-2</v>
      </c>
      <c r="AC5433" s="2">
        <v>1526.0453313589701</v>
      </c>
      <c r="AD5433" s="2">
        <v>1022.73663118359</v>
      </c>
      <c r="AE5433" s="2">
        <v>1385.8721906732601</v>
      </c>
      <c r="AF5433" s="2">
        <v>1641.8408897407101</v>
      </c>
      <c r="AG5433" s="2">
        <v>1598.00017381007</v>
      </c>
      <c r="AH5433" s="2">
        <v>1435.6562877045701</v>
      </c>
      <c r="AI5433" s="2">
        <v>1403.99999641569</v>
      </c>
      <c r="AJ5433" s="2">
        <v>1690.90244980953</v>
      </c>
      <c r="AK5433" s="2">
        <v>919.62826092666205</v>
      </c>
      <c r="AL5433" s="2">
        <v>1167.79915278608</v>
      </c>
      <c r="AM5433" s="2">
        <v>914.35037057021202</v>
      </c>
      <c r="AN5433" s="2">
        <v>1210.3738398350799</v>
      </c>
      <c r="AO5433" s="2">
        <v>1040.73285484296</v>
      </c>
      <c r="AP5433" s="2">
        <v>883.53530814054295</v>
      </c>
    </row>
    <row r="5434" spans="1:42" ht="14.5" x14ac:dyDescent="0.35">
      <c r="A5434" s="2" t="s">
        <v>36039</v>
      </c>
      <c r="B5434" s="2">
        <v>337.16185827804202</v>
      </c>
      <c r="C5434" s="2">
        <v>3.9315333333333302</v>
      </c>
      <c r="D5434" s="2" t="s">
        <v>34</v>
      </c>
      <c r="E5434" s="2" t="s">
        <v>36040</v>
      </c>
      <c r="F5434" s="2">
        <v>53593</v>
      </c>
      <c r="G5434" s="3" t="str">
        <f>HYPERLINK("http://funmeta.oebiotech.com/network/53593", "http://funmeta.oebiotech.com/network/53593")</f>
        <v>http://funmeta.oebiotech.com/network/53593</v>
      </c>
      <c r="H5434" s="2" t="s">
        <v>36041</v>
      </c>
      <c r="I5434" s="2">
        <v>85531</v>
      </c>
      <c r="J5434" s="2"/>
      <c r="K5434" s="2">
        <v>63635</v>
      </c>
      <c r="L5434" s="2"/>
      <c r="M5434" s="2"/>
      <c r="N5434" s="2"/>
      <c r="O5434" s="2">
        <v>64147</v>
      </c>
      <c r="P5434" s="2" t="s">
        <v>36042</v>
      </c>
      <c r="Q5434" s="2" t="s">
        <v>36043</v>
      </c>
      <c r="R5434" s="2" t="s">
        <v>36044</v>
      </c>
      <c r="S5434" s="2" t="s">
        <v>89</v>
      </c>
      <c r="T5434" s="2" t="s">
        <v>90</v>
      </c>
      <c r="U5434" s="2" t="s">
        <v>99</v>
      </c>
      <c r="V5434" s="2" t="s">
        <v>59</v>
      </c>
      <c r="W5434" s="2">
        <v>38.1</v>
      </c>
      <c r="X5434" s="2">
        <v>0</v>
      </c>
      <c r="Y5434" s="2" t="s">
        <v>141</v>
      </c>
      <c r="Z5434" s="2" t="s">
        <v>36045</v>
      </c>
      <c r="AA5434" s="2">
        <v>-6.0153002259146E-2</v>
      </c>
      <c r="AB5434" s="2">
        <v>8.2949498649142098E-2</v>
      </c>
      <c r="AC5434" s="2">
        <v>4292.1901235060996</v>
      </c>
      <c r="AD5434" s="2">
        <v>5092.3188063852504</v>
      </c>
      <c r="AE5434" s="2">
        <v>4758.2937328925</v>
      </c>
      <c r="AF5434" s="2">
        <v>4244.9368759251001</v>
      </c>
      <c r="AG5434" s="2">
        <v>5174.3834492366304</v>
      </c>
      <c r="AH5434" s="2">
        <v>3322.9631647443498</v>
      </c>
      <c r="AI5434" s="2">
        <v>3624.4385981300602</v>
      </c>
      <c r="AJ5434" s="2">
        <v>4628.1249201079299</v>
      </c>
      <c r="AK5434" s="2">
        <v>4565.2806047981903</v>
      </c>
      <c r="AL5434" s="2">
        <v>5666.4787593011297</v>
      </c>
      <c r="AM5434" s="2">
        <v>5718.3065519760003</v>
      </c>
      <c r="AN5434" s="2">
        <v>4735.7561835052202</v>
      </c>
      <c r="AO5434" s="2">
        <v>4609.6889530458102</v>
      </c>
      <c r="AP5434" s="2">
        <v>5258.4017856851397</v>
      </c>
    </row>
    <row r="5435" spans="1:42" ht="14.5" x14ac:dyDescent="0.35">
      <c r="A5435" s="2" t="s">
        <v>36046</v>
      </c>
      <c r="B5435" s="2">
        <v>333.26327369784599</v>
      </c>
      <c r="C5435" s="2">
        <v>5.8281166666666699</v>
      </c>
      <c r="D5435" s="2" t="s">
        <v>34</v>
      </c>
      <c r="E5435" s="2" t="s">
        <v>36047</v>
      </c>
      <c r="F5435" s="2">
        <v>1976</v>
      </c>
      <c r="G5435" s="3" t="str">
        <f>HYPERLINK("http://funmeta.oebiotech.com/network/1976", "http://funmeta.oebiotech.com/network/1976")</f>
        <v>http://funmeta.oebiotech.com/network/1976</v>
      </c>
      <c r="H5435" s="2" t="s">
        <v>36048</v>
      </c>
      <c r="I5435" s="2">
        <v>87299</v>
      </c>
      <c r="J5435" s="2" t="s">
        <v>36049</v>
      </c>
      <c r="K5435" s="2"/>
      <c r="L5435" s="2"/>
      <c r="M5435" s="2"/>
      <c r="N5435" s="2"/>
      <c r="O5435" s="2">
        <v>45359277</v>
      </c>
      <c r="P5435" s="2" t="s">
        <v>36050</v>
      </c>
      <c r="Q5435" s="2" t="s">
        <v>36051</v>
      </c>
      <c r="R5435" s="2" t="s">
        <v>36052</v>
      </c>
      <c r="S5435" s="2" t="s">
        <v>50</v>
      </c>
      <c r="T5435" s="2" t="s">
        <v>229</v>
      </c>
      <c r="U5435" s="2" t="s">
        <v>433</v>
      </c>
      <c r="V5435" s="2" t="s">
        <v>59</v>
      </c>
      <c r="W5435" s="2">
        <v>38.799999999999997</v>
      </c>
      <c r="X5435" s="2">
        <v>0</v>
      </c>
      <c r="Y5435" s="2" t="s">
        <v>394</v>
      </c>
      <c r="Z5435" s="2" t="s">
        <v>36053</v>
      </c>
      <c r="AA5435" s="2">
        <v>-0.83365310252508396</v>
      </c>
      <c r="AB5435" s="2">
        <v>8.29391185742899E-2</v>
      </c>
      <c r="AC5435" s="2">
        <v>17186.0129205374</v>
      </c>
      <c r="AD5435" s="2">
        <v>18255.1962343997</v>
      </c>
      <c r="AE5435" s="2">
        <v>16608.413768599901</v>
      </c>
      <c r="AF5435" s="2">
        <v>17773.010709039401</v>
      </c>
      <c r="AG5435" s="2">
        <v>16771.068720715801</v>
      </c>
      <c r="AH5435" s="2">
        <v>16165.741608477099</v>
      </c>
      <c r="AI5435" s="2">
        <v>16523.7486723121</v>
      </c>
      <c r="AJ5435" s="2">
        <v>19274.09404408</v>
      </c>
      <c r="AK5435" s="2">
        <v>19444.056993514499</v>
      </c>
      <c r="AL5435" s="2">
        <v>17048.9100295631</v>
      </c>
      <c r="AM5435" s="2">
        <v>18309.8080681477</v>
      </c>
      <c r="AN5435" s="2">
        <v>20192.223882658302</v>
      </c>
      <c r="AO5435" s="2">
        <v>17878.954554014799</v>
      </c>
      <c r="AP5435" s="2">
        <v>16657.223878499899</v>
      </c>
    </row>
    <row r="5436" spans="1:42" ht="14.5" x14ac:dyDescent="0.35">
      <c r="A5436" s="2" t="s">
        <v>36054</v>
      </c>
      <c r="B5436" s="2">
        <v>203.14297938617901</v>
      </c>
      <c r="C5436" s="2">
        <v>5.4047833333333299</v>
      </c>
      <c r="D5436" s="2" t="s">
        <v>34</v>
      </c>
      <c r="E5436" s="2" t="s">
        <v>36055</v>
      </c>
      <c r="F5436" s="2">
        <v>52462</v>
      </c>
      <c r="G5436" s="3" t="str">
        <f>HYPERLINK("http://funmeta.oebiotech.com/network/52462", "http://funmeta.oebiotech.com/network/52462")</f>
        <v>http://funmeta.oebiotech.com/network/52462</v>
      </c>
      <c r="H5436" s="2" t="s">
        <v>36056</v>
      </c>
      <c r="I5436" s="2">
        <v>85272</v>
      </c>
      <c r="J5436" s="2"/>
      <c r="K5436" s="2"/>
      <c r="L5436" s="2"/>
      <c r="M5436" s="2"/>
      <c r="N5436" s="2"/>
      <c r="O5436" s="2">
        <v>12867</v>
      </c>
      <c r="P5436" s="2" t="s">
        <v>36057</v>
      </c>
      <c r="Q5436" s="2" t="s">
        <v>36058</v>
      </c>
      <c r="R5436" s="2" t="s">
        <v>36059</v>
      </c>
      <c r="S5436" s="2" t="s">
        <v>50</v>
      </c>
      <c r="T5436" s="2" t="s">
        <v>201</v>
      </c>
      <c r="U5436" s="2" t="s">
        <v>265</v>
      </c>
      <c r="V5436" s="2" t="s">
        <v>59</v>
      </c>
      <c r="W5436" s="2">
        <v>37.1</v>
      </c>
      <c r="X5436" s="2">
        <v>0</v>
      </c>
      <c r="Y5436" s="2" t="s">
        <v>141</v>
      </c>
      <c r="Z5436" s="2" t="s">
        <v>24958</v>
      </c>
      <c r="AA5436" s="2">
        <v>-0.28274076234253598</v>
      </c>
      <c r="AB5436" s="2">
        <v>8.2909196635552004E-2</v>
      </c>
      <c r="AC5436" s="2">
        <v>4218.1662256928103</v>
      </c>
      <c r="AD5436" s="2">
        <v>3644.1168027695799</v>
      </c>
      <c r="AE5436" s="2">
        <v>4667.8496394035301</v>
      </c>
      <c r="AF5436" s="2">
        <v>3924.1201889173099</v>
      </c>
      <c r="AG5436" s="2">
        <v>4417.9716477889597</v>
      </c>
      <c r="AH5436" s="2">
        <v>3956.6856872152198</v>
      </c>
      <c r="AI5436" s="2">
        <v>4408.25991188838</v>
      </c>
      <c r="AJ5436" s="2">
        <v>3934.1102789434899</v>
      </c>
      <c r="AK5436" s="2">
        <v>3906.2736683881199</v>
      </c>
      <c r="AL5436" s="2">
        <v>3651.9617532491102</v>
      </c>
      <c r="AM5436" s="2">
        <v>3490.6311294001098</v>
      </c>
      <c r="AN5436" s="2">
        <v>3588.8454752176799</v>
      </c>
      <c r="AO5436" s="2">
        <v>3620.1907389326698</v>
      </c>
      <c r="AP5436" s="2">
        <v>3606.7980514298101</v>
      </c>
    </row>
    <row r="5437" spans="1:42" ht="14.5" x14ac:dyDescent="0.35">
      <c r="A5437" s="2" t="s">
        <v>36060</v>
      </c>
      <c r="B5437" s="2">
        <v>301.99573233420801</v>
      </c>
      <c r="C5437" s="2">
        <v>0.91621666666666701</v>
      </c>
      <c r="D5437" s="2" t="s">
        <v>34</v>
      </c>
      <c r="E5437" s="2" t="s">
        <v>36061</v>
      </c>
      <c r="F5437" s="2">
        <v>209862</v>
      </c>
      <c r="G5437" s="3" t="str">
        <f>HYPERLINK("http://funmeta.oebiotech.com/network/209862", "http://funmeta.oebiotech.com/network/209862")</f>
        <v>http://funmeta.oebiotech.com/network/209862</v>
      </c>
      <c r="H5437" s="2" t="s">
        <v>36062</v>
      </c>
      <c r="I5437" s="2">
        <v>338709</v>
      </c>
      <c r="J5437" s="2"/>
      <c r="K5437" s="2"/>
      <c r="L5437" s="2"/>
      <c r="M5437" s="2"/>
      <c r="N5437" s="2"/>
      <c r="O5437" s="2">
        <v>198716</v>
      </c>
      <c r="P5437" s="2"/>
      <c r="Q5437" s="2" t="s">
        <v>36063</v>
      </c>
      <c r="R5437" s="2" t="s">
        <v>36064</v>
      </c>
      <c r="S5437" s="2" t="s">
        <v>41</v>
      </c>
      <c r="T5437" s="2" t="s">
        <v>41</v>
      </c>
      <c r="U5437" s="2" t="s">
        <v>41</v>
      </c>
      <c r="V5437" s="2" t="s">
        <v>59</v>
      </c>
      <c r="W5437" s="2">
        <v>39</v>
      </c>
      <c r="X5437" s="2">
        <v>0</v>
      </c>
      <c r="Y5437" s="2" t="s">
        <v>340</v>
      </c>
      <c r="Z5437" s="2" t="s">
        <v>36065</v>
      </c>
      <c r="AA5437" s="2">
        <v>0.75721263478784395</v>
      </c>
      <c r="AB5437" s="2">
        <v>8.2880065495640504E-2</v>
      </c>
      <c r="AC5437" s="2">
        <v>28153.772779155999</v>
      </c>
      <c r="AD5437" s="2">
        <v>29253.5514798935</v>
      </c>
      <c r="AE5437" s="2">
        <v>27712.309353670698</v>
      </c>
      <c r="AF5437" s="2">
        <v>29271.328453156399</v>
      </c>
      <c r="AG5437" s="2">
        <v>28206.384967765898</v>
      </c>
      <c r="AH5437" s="2">
        <v>28071.354408323001</v>
      </c>
      <c r="AI5437" s="2">
        <v>28183.549409213101</v>
      </c>
      <c r="AJ5437" s="2">
        <v>27477.710082806701</v>
      </c>
      <c r="AK5437" s="2">
        <v>29412.085551682401</v>
      </c>
      <c r="AL5437" s="2">
        <v>26473.422454731601</v>
      </c>
      <c r="AM5437" s="2">
        <v>27661.085920077599</v>
      </c>
      <c r="AN5437" s="2">
        <v>30261.074955058899</v>
      </c>
      <c r="AO5437" s="2">
        <v>31009.712762663799</v>
      </c>
      <c r="AP5437" s="2">
        <v>30703.927235146901</v>
      </c>
    </row>
    <row r="5438" spans="1:42" ht="14.5" x14ac:dyDescent="0.35">
      <c r="A5438" s="2" t="s">
        <v>36066</v>
      </c>
      <c r="B5438" s="2">
        <v>530.40618698876301</v>
      </c>
      <c r="C5438" s="2">
        <v>11.3656166666667</v>
      </c>
      <c r="D5438" s="2" t="s">
        <v>34</v>
      </c>
      <c r="E5438" s="2" t="s">
        <v>36067</v>
      </c>
      <c r="F5438" s="2">
        <v>53027</v>
      </c>
      <c r="G5438" s="3" t="str">
        <f>HYPERLINK("http://funmeta.oebiotech.com/network/53027", "http://funmeta.oebiotech.com/network/53027")</f>
        <v>http://funmeta.oebiotech.com/network/53027</v>
      </c>
      <c r="H5438" s="2" t="s">
        <v>36068</v>
      </c>
      <c r="I5438" s="2">
        <v>85421</v>
      </c>
      <c r="J5438" s="2"/>
      <c r="K5438" s="2">
        <v>8884</v>
      </c>
      <c r="L5438" s="2" t="s">
        <v>36069</v>
      </c>
      <c r="M5438" s="2"/>
      <c r="N5438" s="2"/>
      <c r="O5438" s="2">
        <v>441290</v>
      </c>
      <c r="P5438" s="2" t="s">
        <v>36070</v>
      </c>
      <c r="Q5438" s="2" t="s">
        <v>36071</v>
      </c>
      <c r="R5438" s="2" t="s">
        <v>36072</v>
      </c>
      <c r="S5438" s="2" t="s">
        <v>50</v>
      </c>
      <c r="T5438" s="2" t="s">
        <v>124</v>
      </c>
      <c r="U5438" s="2" t="s">
        <v>8787</v>
      </c>
      <c r="V5438" s="2" t="s">
        <v>59</v>
      </c>
      <c r="W5438" s="2">
        <v>38.6</v>
      </c>
      <c r="X5438" s="2">
        <v>0</v>
      </c>
      <c r="Y5438" s="2" t="s">
        <v>394</v>
      </c>
      <c r="Z5438" s="2" t="s">
        <v>36073</v>
      </c>
      <c r="AA5438" s="2">
        <v>-3.0650342899241001</v>
      </c>
      <c r="AB5438" s="2">
        <v>8.2874079652045601E-2</v>
      </c>
      <c r="AC5438" s="2">
        <v>5649.1356896044899</v>
      </c>
      <c r="AD5438" s="2">
        <v>3973.2145792546698</v>
      </c>
      <c r="AE5438" s="2">
        <v>2786.4050157525999</v>
      </c>
      <c r="AF5438" s="2">
        <v>3181.6091949637798</v>
      </c>
      <c r="AG5438" s="2">
        <v>4484.4593028487498</v>
      </c>
      <c r="AH5438" s="2">
        <v>14434.1423747889</v>
      </c>
      <c r="AI5438" s="2">
        <v>4026.46766837113</v>
      </c>
      <c r="AJ5438" s="2">
        <v>4981.7305809017598</v>
      </c>
      <c r="AK5438" s="2">
        <v>3199.45644800328</v>
      </c>
      <c r="AL5438" s="2">
        <v>2388.70854565438</v>
      </c>
      <c r="AM5438" s="2">
        <v>4216.91235871149</v>
      </c>
      <c r="AN5438" s="2">
        <v>5738.2756727175201</v>
      </c>
      <c r="AO5438" s="2">
        <v>5263.1880305004897</v>
      </c>
      <c r="AP5438" s="2">
        <v>3032.7464199408701</v>
      </c>
    </row>
    <row r="5439" spans="1:42" ht="14.5" x14ac:dyDescent="0.35">
      <c r="A5439" s="2" t="s">
        <v>36074</v>
      </c>
      <c r="B5439" s="2">
        <v>358.994705923938</v>
      </c>
      <c r="C5439" s="2">
        <v>9.4602166666666694</v>
      </c>
      <c r="D5439" s="2" t="s">
        <v>70</v>
      </c>
      <c r="E5439" s="2" t="s">
        <v>36075</v>
      </c>
      <c r="F5439" s="2">
        <v>202277</v>
      </c>
      <c r="G5439" s="3" t="str">
        <f>HYPERLINK("http://funmeta.oebiotech.com/network/202277", "http://funmeta.oebiotech.com/network/202277")</f>
        <v>http://funmeta.oebiotech.com/network/202277</v>
      </c>
      <c r="H5439" s="2" t="s">
        <v>36076</v>
      </c>
      <c r="I5439" s="2">
        <v>2424</v>
      </c>
      <c r="J5439" s="2"/>
      <c r="K5439" s="2"/>
      <c r="L5439" s="2"/>
      <c r="M5439" s="2"/>
      <c r="N5439" s="2"/>
      <c r="O5439" s="2">
        <v>105015</v>
      </c>
      <c r="P5439" s="2" t="s">
        <v>36077</v>
      </c>
      <c r="Q5439" s="2" t="s">
        <v>36078</v>
      </c>
      <c r="R5439" s="2" t="s">
        <v>36079</v>
      </c>
      <c r="S5439" s="2" t="s">
        <v>2811</v>
      </c>
      <c r="T5439" s="2" t="s">
        <v>6384</v>
      </c>
      <c r="U5439" s="2" t="s">
        <v>6385</v>
      </c>
      <c r="V5439" s="2" t="s">
        <v>59</v>
      </c>
      <c r="W5439" s="2">
        <v>39.700000000000003</v>
      </c>
      <c r="X5439" s="2">
        <v>0</v>
      </c>
      <c r="Y5439" s="2" t="s">
        <v>560</v>
      </c>
      <c r="Z5439" s="2" t="s">
        <v>36080</v>
      </c>
      <c r="AA5439" s="2">
        <v>3.9856833226546998E-2</v>
      </c>
      <c r="AB5439" s="2">
        <v>8.2748074002482894E-2</v>
      </c>
      <c r="AC5439" s="2">
        <v>7411.6719332716602</v>
      </c>
      <c r="AD5439" s="2">
        <v>8177.1753097334704</v>
      </c>
      <c r="AE5439" s="2">
        <v>7713.9644733961004</v>
      </c>
      <c r="AF5439" s="2">
        <v>7970.3912785478396</v>
      </c>
      <c r="AG5439" s="2">
        <v>7178.6996608909103</v>
      </c>
      <c r="AH5439" s="2">
        <v>7847.9854947130998</v>
      </c>
      <c r="AI5439" s="2">
        <v>7290.53573799274</v>
      </c>
      <c r="AJ5439" s="2">
        <v>6468.4549540892604</v>
      </c>
      <c r="AK5439" s="2">
        <v>8340.0783084978593</v>
      </c>
      <c r="AL5439" s="2">
        <v>9152.2419702733696</v>
      </c>
      <c r="AM5439" s="2">
        <v>8196.4222546113306</v>
      </c>
      <c r="AN5439" s="2">
        <v>7550.6270558122997</v>
      </c>
      <c r="AO5439" s="2">
        <v>8187.4544294754196</v>
      </c>
      <c r="AP5439" s="2">
        <v>7636.2278397305199</v>
      </c>
    </row>
    <row r="5440" spans="1:42" ht="14.5" x14ac:dyDescent="0.35">
      <c r="A5440" s="2" t="s">
        <v>36081</v>
      </c>
      <c r="B5440" s="2">
        <v>780.35776936775005</v>
      </c>
      <c r="C5440" s="2">
        <v>10.455550000000001</v>
      </c>
      <c r="D5440" s="2" t="s">
        <v>34</v>
      </c>
      <c r="E5440" s="2" t="s">
        <v>36082</v>
      </c>
      <c r="F5440" s="2">
        <v>213007</v>
      </c>
      <c r="G5440" s="3" t="str">
        <f>HYPERLINK("http://funmeta.oebiotech.com/network/213007", "http://funmeta.oebiotech.com/network/213007")</f>
        <v>http://funmeta.oebiotech.com/network/213007</v>
      </c>
      <c r="H5440" s="2" t="s">
        <v>36083</v>
      </c>
      <c r="I5440" s="2"/>
      <c r="J5440" s="2"/>
      <c r="K5440" s="2"/>
      <c r="L5440" s="2"/>
      <c r="M5440" s="2"/>
      <c r="N5440" s="2"/>
      <c r="O5440" s="2">
        <v>78097275</v>
      </c>
      <c r="P5440" s="2"/>
      <c r="Q5440" s="2" t="s">
        <v>36084</v>
      </c>
      <c r="R5440" s="2" t="s">
        <v>36085</v>
      </c>
      <c r="S5440" s="2" t="s">
        <v>89</v>
      </c>
      <c r="T5440" s="2" t="s">
        <v>90</v>
      </c>
      <c r="U5440" s="2" t="s">
        <v>99</v>
      </c>
      <c r="V5440" s="2" t="s">
        <v>59</v>
      </c>
      <c r="W5440" s="2">
        <v>37.1</v>
      </c>
      <c r="X5440" s="2">
        <v>0</v>
      </c>
      <c r="Y5440" s="2" t="s">
        <v>323</v>
      </c>
      <c r="Z5440" s="2" t="s">
        <v>36086</v>
      </c>
      <c r="AA5440" s="2">
        <v>-4.6221353732905701</v>
      </c>
      <c r="AB5440" s="2">
        <v>8.2719079484022101E-2</v>
      </c>
      <c r="AC5440" s="2">
        <v>17544.574359212002</v>
      </c>
      <c r="AD5440" s="2">
        <v>18920.163784883702</v>
      </c>
      <c r="AE5440" s="2">
        <v>15136.230523171</v>
      </c>
      <c r="AF5440" s="2">
        <v>17399.523079166502</v>
      </c>
      <c r="AG5440" s="2">
        <v>18151.651499889402</v>
      </c>
      <c r="AH5440" s="2">
        <v>18356.824911731699</v>
      </c>
      <c r="AI5440" s="2">
        <v>17252.257188622301</v>
      </c>
      <c r="AJ5440" s="2">
        <v>18970.958952691199</v>
      </c>
      <c r="AK5440" s="2">
        <v>16190.140572550799</v>
      </c>
      <c r="AL5440" s="2">
        <v>22484.623383897801</v>
      </c>
      <c r="AM5440" s="2">
        <v>22271.214067392801</v>
      </c>
      <c r="AN5440" s="2">
        <v>16933.8859864224</v>
      </c>
      <c r="AO5440" s="2">
        <v>17801.492551241499</v>
      </c>
      <c r="AP5440" s="2">
        <v>17839.6261477968</v>
      </c>
    </row>
    <row r="5441" spans="1:42" ht="14.5" x14ac:dyDescent="0.35">
      <c r="A5441" s="2" t="s">
        <v>36087</v>
      </c>
      <c r="B5441" s="2">
        <v>237.111808347139</v>
      </c>
      <c r="C5441" s="2">
        <v>4.0516166666666704</v>
      </c>
      <c r="D5441" s="2" t="s">
        <v>34</v>
      </c>
      <c r="E5441" s="2" t="s">
        <v>36088</v>
      </c>
      <c r="F5441" s="2">
        <v>2663</v>
      </c>
      <c r="G5441" s="3" t="str">
        <f>HYPERLINK("http://funmeta.oebiotech.com/network/2663", "http://funmeta.oebiotech.com/network/2663")</f>
        <v>http://funmeta.oebiotech.com/network/2663</v>
      </c>
      <c r="H5441" s="2"/>
      <c r="I5441" s="2"/>
      <c r="J5441" s="2" t="s">
        <v>36089</v>
      </c>
      <c r="K5441" s="2"/>
      <c r="L5441" s="2"/>
      <c r="M5441" s="2"/>
      <c r="N5441" s="2"/>
      <c r="O5441" s="2">
        <v>134812136</v>
      </c>
      <c r="P5441" s="2"/>
      <c r="Q5441" s="2" t="s">
        <v>36090</v>
      </c>
      <c r="R5441" s="2" t="s">
        <v>36091</v>
      </c>
      <c r="S5441" s="2" t="s">
        <v>50</v>
      </c>
      <c r="T5441" s="2" t="s">
        <v>229</v>
      </c>
      <c r="U5441" s="2" t="s">
        <v>433</v>
      </c>
      <c r="V5441" s="2" t="s">
        <v>59</v>
      </c>
      <c r="W5441" s="2">
        <v>43.6</v>
      </c>
      <c r="X5441" s="2">
        <v>42.2</v>
      </c>
      <c r="Y5441" s="2" t="s">
        <v>266</v>
      </c>
      <c r="Z5441" s="2" t="s">
        <v>17871</v>
      </c>
      <c r="AA5441" s="2">
        <v>-1.2871234523339801</v>
      </c>
      <c r="AB5441" s="2">
        <v>8.2637185114119202E-2</v>
      </c>
      <c r="AC5441" s="2">
        <v>36657.121750903701</v>
      </c>
      <c r="AD5441" s="2">
        <v>35307.885065784598</v>
      </c>
      <c r="AE5441" s="2">
        <v>35779.289148752199</v>
      </c>
      <c r="AF5441" s="2">
        <v>39697.596278536599</v>
      </c>
      <c r="AG5441" s="2">
        <v>36019.048693755998</v>
      </c>
      <c r="AH5441" s="2">
        <v>33995.632653922999</v>
      </c>
      <c r="AI5441" s="2">
        <v>37417.650904971502</v>
      </c>
      <c r="AJ5441" s="2">
        <v>37033.512825482903</v>
      </c>
      <c r="AK5441" s="2">
        <v>38459.979442591401</v>
      </c>
      <c r="AL5441" s="2">
        <v>37607.003138188004</v>
      </c>
      <c r="AM5441" s="2">
        <v>33805.944718426399</v>
      </c>
      <c r="AN5441" s="2">
        <v>35214.681103484298</v>
      </c>
      <c r="AO5441" s="2">
        <v>32266.444722464701</v>
      </c>
      <c r="AP5441" s="2">
        <v>34493.257269552603</v>
      </c>
    </row>
    <row r="5442" spans="1:42" ht="14.5" x14ac:dyDescent="0.35">
      <c r="A5442" s="2" t="s">
        <v>36092</v>
      </c>
      <c r="B5442" s="2">
        <v>343.18794520984801</v>
      </c>
      <c r="C5442" s="2">
        <v>9.9206166666666693</v>
      </c>
      <c r="D5442" s="2" t="s">
        <v>34</v>
      </c>
      <c r="E5442" s="2" t="s">
        <v>36093</v>
      </c>
      <c r="F5442" s="2">
        <v>1716</v>
      </c>
      <c r="G5442" s="3" t="str">
        <f>HYPERLINK("http://funmeta.oebiotech.com/network/1716", "http://funmeta.oebiotech.com/network/1716")</f>
        <v>http://funmeta.oebiotech.com/network/1716</v>
      </c>
      <c r="H5442" s="2"/>
      <c r="I5442" s="2">
        <v>35478</v>
      </c>
      <c r="J5442" s="2" t="s">
        <v>36094</v>
      </c>
      <c r="K5442" s="2"/>
      <c r="L5442" s="2"/>
      <c r="M5442" s="2"/>
      <c r="N5442" s="2"/>
      <c r="O5442" s="2">
        <v>10790</v>
      </c>
      <c r="P5442" s="2"/>
      <c r="Q5442" s="2" t="s">
        <v>36095</v>
      </c>
      <c r="R5442" s="2" t="s">
        <v>36096</v>
      </c>
      <c r="S5442" s="2" t="s">
        <v>50</v>
      </c>
      <c r="T5442" s="2" t="s">
        <v>229</v>
      </c>
      <c r="U5442" s="2" t="s">
        <v>433</v>
      </c>
      <c r="V5442" s="2" t="s">
        <v>59</v>
      </c>
      <c r="W5442" s="2">
        <v>39.4</v>
      </c>
      <c r="X5442" s="2">
        <v>0</v>
      </c>
      <c r="Y5442" s="2" t="s">
        <v>340</v>
      </c>
      <c r="Z5442" s="2" t="s">
        <v>36097</v>
      </c>
      <c r="AA5442" s="2">
        <v>-0.61465759889830796</v>
      </c>
      <c r="AB5442" s="2">
        <v>8.2457062564195299E-2</v>
      </c>
      <c r="AC5442" s="2">
        <v>1720.23307280734</v>
      </c>
      <c r="AD5442" s="2">
        <v>1133.6393408234501</v>
      </c>
      <c r="AE5442" s="2">
        <v>1706.9407116407799</v>
      </c>
      <c r="AF5442" s="2">
        <v>1519.3791550365499</v>
      </c>
      <c r="AG5442" s="2">
        <v>1418.6597659261699</v>
      </c>
      <c r="AH5442" s="2">
        <v>1840.55663569998</v>
      </c>
      <c r="AI5442" s="2">
        <v>1475.03200140638</v>
      </c>
      <c r="AJ5442" s="2">
        <v>2360.8301671341601</v>
      </c>
      <c r="AK5442" s="2">
        <v>1244.45450147613</v>
      </c>
      <c r="AL5442" s="2">
        <v>1047.45521157708</v>
      </c>
      <c r="AM5442" s="2">
        <v>1171.6241530104101</v>
      </c>
      <c r="AN5442" s="2">
        <v>1241.08238833368</v>
      </c>
      <c r="AO5442" s="2">
        <v>1258.2328713379</v>
      </c>
      <c r="AP5442" s="2">
        <v>838.98691920547503</v>
      </c>
    </row>
    <row r="5443" spans="1:42" ht="14.5" x14ac:dyDescent="0.35">
      <c r="A5443" s="2" t="s">
        <v>36098</v>
      </c>
      <c r="B5443" s="2">
        <v>250.10789032470501</v>
      </c>
      <c r="C5443" s="2">
        <v>3.42648333333333</v>
      </c>
      <c r="D5443" s="2" t="s">
        <v>70</v>
      </c>
      <c r="E5443" s="2" t="s">
        <v>36099</v>
      </c>
      <c r="F5443" s="2">
        <v>63279</v>
      </c>
      <c r="G5443" s="3" t="str">
        <f>HYPERLINK("http://funmeta.oebiotech.com/network/63279", "http://funmeta.oebiotech.com/network/63279")</f>
        <v>http://funmeta.oebiotech.com/network/63279</v>
      </c>
      <c r="H5443" s="2" t="s">
        <v>36100</v>
      </c>
      <c r="I5443" s="2">
        <v>94587</v>
      </c>
      <c r="J5443" s="2"/>
      <c r="K5443" s="2">
        <v>172447</v>
      </c>
      <c r="L5443" s="2"/>
      <c r="M5443" s="2"/>
      <c r="N5443" s="2"/>
      <c r="O5443" s="2">
        <v>86127012</v>
      </c>
      <c r="P5443" s="2" t="s">
        <v>36101</v>
      </c>
      <c r="Q5443" s="2" t="s">
        <v>36102</v>
      </c>
      <c r="R5443" s="2" t="s">
        <v>36103</v>
      </c>
      <c r="S5443" s="2" t="s">
        <v>491</v>
      </c>
      <c r="T5443" s="2" t="s">
        <v>36104</v>
      </c>
      <c r="U5443" s="2" t="s">
        <v>41</v>
      </c>
      <c r="V5443" s="2" t="s">
        <v>42</v>
      </c>
      <c r="W5443" s="2">
        <v>54.5</v>
      </c>
      <c r="X5443" s="2">
        <v>77.3</v>
      </c>
      <c r="Y5443" s="2" t="s">
        <v>408</v>
      </c>
      <c r="Z5443" s="2" t="s">
        <v>36105</v>
      </c>
      <c r="AA5443" s="2">
        <v>-2.8826944644892398</v>
      </c>
      <c r="AB5443" s="2">
        <v>8.2406270589687497E-2</v>
      </c>
      <c r="AC5443" s="2">
        <v>94444.213259287295</v>
      </c>
      <c r="AD5443" s="2">
        <v>92951.742505063696</v>
      </c>
      <c r="AE5443" s="2">
        <v>96856.250537214102</v>
      </c>
      <c r="AF5443" s="2">
        <v>94534.508281316099</v>
      </c>
      <c r="AG5443" s="2">
        <v>95879.722654769794</v>
      </c>
      <c r="AH5443" s="2">
        <v>92658.141324037599</v>
      </c>
      <c r="AI5443" s="2">
        <v>93189.550675559905</v>
      </c>
      <c r="AJ5443" s="2">
        <v>93547.106082826402</v>
      </c>
      <c r="AK5443" s="2">
        <v>88255.607033407607</v>
      </c>
      <c r="AL5443" s="2">
        <v>93322.868165821303</v>
      </c>
      <c r="AM5443" s="2">
        <v>97288.278316845899</v>
      </c>
      <c r="AN5443" s="2">
        <v>94863.209214614006</v>
      </c>
      <c r="AO5443" s="2">
        <v>94002.972932063101</v>
      </c>
      <c r="AP5443" s="2">
        <v>89977.519367629997</v>
      </c>
    </row>
    <row r="5444" spans="1:42" ht="14.5" x14ac:dyDescent="0.35">
      <c r="A5444" s="2" t="s">
        <v>36106</v>
      </c>
      <c r="B5444" s="2">
        <v>421.17138610199498</v>
      </c>
      <c r="C5444" s="2">
        <v>3.9884499999999998</v>
      </c>
      <c r="D5444" s="2" t="s">
        <v>70</v>
      </c>
      <c r="E5444" s="2" t="s">
        <v>36107</v>
      </c>
      <c r="F5444" s="2">
        <v>210997</v>
      </c>
      <c r="G5444" s="3" t="str">
        <f>HYPERLINK("http://funmeta.oebiotech.com/network/210997", "http://funmeta.oebiotech.com/network/210997")</f>
        <v>http://funmeta.oebiotech.com/network/210997</v>
      </c>
      <c r="H5444" s="2" t="s">
        <v>36108</v>
      </c>
      <c r="I5444" s="2"/>
      <c r="J5444" s="2"/>
      <c r="K5444" s="2"/>
      <c r="L5444" s="2"/>
      <c r="M5444" s="2"/>
      <c r="N5444" s="2"/>
      <c r="O5444" s="2">
        <v>12007072</v>
      </c>
      <c r="P5444" s="2"/>
      <c r="Q5444" s="2" t="s">
        <v>36109</v>
      </c>
      <c r="R5444" s="2" t="s">
        <v>36110</v>
      </c>
      <c r="S5444" s="2" t="s">
        <v>41</v>
      </c>
      <c r="T5444" s="2" t="s">
        <v>41</v>
      </c>
      <c r="U5444" s="2" t="s">
        <v>41</v>
      </c>
      <c r="V5444" s="2" t="s">
        <v>59</v>
      </c>
      <c r="W5444" s="2">
        <v>37.6</v>
      </c>
      <c r="X5444" s="2">
        <v>0</v>
      </c>
      <c r="Y5444" s="2" t="s">
        <v>408</v>
      </c>
      <c r="Z5444" s="2" t="s">
        <v>36111</v>
      </c>
      <c r="AA5444" s="2">
        <v>-3.9520329345268101</v>
      </c>
      <c r="AB5444" s="2">
        <v>8.2405497949118695E-2</v>
      </c>
      <c r="AC5444" s="2">
        <v>1706.6752049240799</v>
      </c>
      <c r="AD5444" s="2">
        <v>2379.1543402186899</v>
      </c>
      <c r="AE5444" s="2">
        <v>1335.7479228201901</v>
      </c>
      <c r="AF5444" s="2">
        <v>1850.4541936052101</v>
      </c>
      <c r="AG5444" s="2">
        <v>2084.1328666414602</v>
      </c>
      <c r="AH5444" s="2">
        <v>1748.79342104937</v>
      </c>
      <c r="AI5444" s="2">
        <v>1419.8903930684</v>
      </c>
      <c r="AJ5444" s="2">
        <v>1801.03243235986</v>
      </c>
      <c r="AK5444" s="2">
        <v>2282.8340970422801</v>
      </c>
      <c r="AL5444" s="2">
        <v>2217.8185201327001</v>
      </c>
      <c r="AM5444" s="2">
        <v>2720.9260608977402</v>
      </c>
      <c r="AN5444" s="2">
        <v>2073.1445509233899</v>
      </c>
      <c r="AO5444" s="2">
        <v>1776.88433157853</v>
      </c>
      <c r="AP5444" s="2">
        <v>3203.3184807374801</v>
      </c>
    </row>
    <row r="5445" spans="1:42" ht="14.5" x14ac:dyDescent="0.35">
      <c r="A5445" s="2" t="s">
        <v>36112</v>
      </c>
      <c r="B5445" s="2">
        <v>357.11833830861298</v>
      </c>
      <c r="C5445" s="2">
        <v>4.0429833333333303</v>
      </c>
      <c r="D5445" s="2" t="s">
        <v>70</v>
      </c>
      <c r="E5445" s="2" t="s">
        <v>36113</v>
      </c>
      <c r="F5445" s="2">
        <v>58798</v>
      </c>
      <c r="G5445" s="3" t="str">
        <f>HYPERLINK("http://funmeta.oebiotech.com/network/58798", "http://funmeta.oebiotech.com/network/58798")</f>
        <v>http://funmeta.oebiotech.com/network/58798</v>
      </c>
      <c r="H5445" s="2" t="s">
        <v>36114</v>
      </c>
      <c r="I5445" s="2">
        <v>90251</v>
      </c>
      <c r="J5445" s="2"/>
      <c r="K5445" s="2">
        <v>168428</v>
      </c>
      <c r="L5445" s="2"/>
      <c r="M5445" s="2"/>
      <c r="N5445" s="2"/>
      <c r="O5445" s="2">
        <v>78384828</v>
      </c>
      <c r="P5445" s="2"/>
      <c r="Q5445" s="2" t="s">
        <v>36115</v>
      </c>
      <c r="R5445" s="2" t="s">
        <v>36116</v>
      </c>
      <c r="S5445" s="2" t="s">
        <v>79</v>
      </c>
      <c r="T5445" s="2" t="s">
        <v>80</v>
      </c>
      <c r="U5445" s="2" t="s">
        <v>81</v>
      </c>
      <c r="V5445" s="2" t="s">
        <v>59</v>
      </c>
      <c r="W5445" s="2">
        <v>41.2</v>
      </c>
      <c r="X5445" s="2">
        <v>15.3</v>
      </c>
      <c r="Y5445" s="2" t="s">
        <v>408</v>
      </c>
      <c r="Z5445" s="2" t="s">
        <v>27397</v>
      </c>
      <c r="AA5445" s="2">
        <v>-2.4591102353137702</v>
      </c>
      <c r="AB5445" s="2">
        <v>8.2262478122962904E-2</v>
      </c>
      <c r="AC5445" s="2">
        <v>18643.671896563301</v>
      </c>
      <c r="AD5445" s="2">
        <v>17390.235817898501</v>
      </c>
      <c r="AE5445" s="2">
        <v>17114.733135406001</v>
      </c>
      <c r="AF5445" s="2">
        <v>19525.534598707502</v>
      </c>
      <c r="AG5445" s="2">
        <v>20674.052204465701</v>
      </c>
      <c r="AH5445" s="2">
        <v>17231.177401634901</v>
      </c>
      <c r="AI5445" s="2">
        <v>17436.1627063001</v>
      </c>
      <c r="AJ5445" s="2">
        <v>19880.371332865401</v>
      </c>
      <c r="AK5445" s="2">
        <v>15704.8451556991</v>
      </c>
      <c r="AL5445" s="2">
        <v>15794.628851342201</v>
      </c>
      <c r="AM5445" s="2">
        <v>20328.723874477699</v>
      </c>
      <c r="AN5445" s="2">
        <v>19170.424321614799</v>
      </c>
      <c r="AO5445" s="2">
        <v>17700.457112229</v>
      </c>
      <c r="AP5445" s="2">
        <v>15642.335592027899</v>
      </c>
    </row>
    <row r="5446" spans="1:42" ht="14.5" x14ac:dyDescent="0.35">
      <c r="A5446" s="2" t="s">
        <v>36117</v>
      </c>
      <c r="B5446" s="2">
        <v>118.06490739971601</v>
      </c>
      <c r="C5446" s="2">
        <v>12.3610166666667</v>
      </c>
      <c r="D5446" s="2" t="s">
        <v>34</v>
      </c>
      <c r="E5446" s="2" t="s">
        <v>36118</v>
      </c>
      <c r="F5446" s="2">
        <v>60719</v>
      </c>
      <c r="G5446" s="3" t="str">
        <f>HYPERLINK("http://funmeta.oebiotech.com/network/60719", "http://funmeta.oebiotech.com/network/60719")</f>
        <v>http://funmeta.oebiotech.com/network/60719</v>
      </c>
      <c r="H5446" s="2" t="s">
        <v>36119</v>
      </c>
      <c r="I5446" s="2">
        <v>92047</v>
      </c>
      <c r="J5446" s="2"/>
      <c r="K5446" s="2"/>
      <c r="L5446" s="2"/>
      <c r="M5446" s="2"/>
      <c r="N5446" s="2"/>
      <c r="O5446" s="2">
        <v>564760</v>
      </c>
      <c r="P5446" s="2" t="s">
        <v>36120</v>
      </c>
      <c r="Q5446" s="2" t="s">
        <v>36121</v>
      </c>
      <c r="R5446" s="2" t="s">
        <v>36122</v>
      </c>
      <c r="S5446" s="2" t="s">
        <v>79</v>
      </c>
      <c r="T5446" s="2" t="s">
        <v>80</v>
      </c>
      <c r="U5446" s="2" t="s">
        <v>2820</v>
      </c>
      <c r="V5446" s="2" t="s">
        <v>59</v>
      </c>
      <c r="W5446" s="2">
        <v>43.7</v>
      </c>
      <c r="X5446" s="2">
        <v>29.3</v>
      </c>
      <c r="Y5446" s="2" t="s">
        <v>141</v>
      </c>
      <c r="Z5446" s="2" t="s">
        <v>10313</v>
      </c>
      <c r="AA5446" s="2">
        <v>-1.61594608156773</v>
      </c>
      <c r="AB5446" s="2">
        <v>8.2230207088937302E-2</v>
      </c>
      <c r="AC5446" s="2">
        <v>6738.1154222846799</v>
      </c>
      <c r="AD5446" s="2">
        <v>5789.7355092306698</v>
      </c>
      <c r="AE5446" s="2">
        <v>7756.0510972851598</v>
      </c>
      <c r="AF5446" s="2">
        <v>5892.6220400481598</v>
      </c>
      <c r="AG5446" s="2">
        <v>6180.0475414309703</v>
      </c>
      <c r="AH5446" s="2">
        <v>7388.2701327552104</v>
      </c>
      <c r="AI5446" s="2">
        <v>6810.8521262450904</v>
      </c>
      <c r="AJ5446" s="2">
        <v>6400.8495959435004</v>
      </c>
      <c r="AK5446" s="2">
        <v>5364.7735865675704</v>
      </c>
      <c r="AL5446" s="2">
        <v>7226.3613678023603</v>
      </c>
      <c r="AM5446" s="2">
        <v>5227.03090940524</v>
      </c>
      <c r="AN5446" s="2">
        <v>7332.8320667754897</v>
      </c>
      <c r="AO5446" s="2">
        <v>4720.2949122458103</v>
      </c>
      <c r="AP5446" s="2">
        <v>4867.1202125875398</v>
      </c>
    </row>
    <row r="5447" spans="1:42" ht="14.5" x14ac:dyDescent="0.35">
      <c r="A5447" s="2" t="s">
        <v>36123</v>
      </c>
      <c r="B5447" s="2">
        <v>238.10699695644101</v>
      </c>
      <c r="C5447" s="2">
        <v>8.0464500000000001</v>
      </c>
      <c r="D5447" s="2" t="s">
        <v>34</v>
      </c>
      <c r="E5447" s="2" t="s">
        <v>36124</v>
      </c>
      <c r="F5447" s="2">
        <v>514183</v>
      </c>
      <c r="G5447" s="3" t="str">
        <f>HYPERLINK("http://funmeta.oebiotech.com/network/514183", "http://funmeta.oebiotech.com/network/514183")</f>
        <v>http://funmeta.oebiotech.com/network/514183</v>
      </c>
      <c r="H5447" s="2"/>
      <c r="I5447" s="2">
        <v>96365</v>
      </c>
      <c r="J5447" s="2"/>
      <c r="K5447" s="2"/>
      <c r="L5447" s="2"/>
      <c r="M5447" s="2"/>
      <c r="N5447" s="2"/>
      <c r="O5447" s="2">
        <v>222680</v>
      </c>
      <c r="P5447" s="2"/>
      <c r="Q5447" s="2" t="s">
        <v>36125</v>
      </c>
      <c r="R5447" s="2" t="s">
        <v>36126</v>
      </c>
      <c r="S5447" s="2" t="s">
        <v>491</v>
      </c>
      <c r="T5447" s="2" t="s">
        <v>36127</v>
      </c>
      <c r="U5447" s="2" t="s">
        <v>36128</v>
      </c>
      <c r="V5447" s="2" t="s">
        <v>59</v>
      </c>
      <c r="W5447" s="2">
        <v>43.6</v>
      </c>
      <c r="X5447" s="2">
        <v>27.4</v>
      </c>
      <c r="Y5447" s="2" t="s">
        <v>266</v>
      </c>
      <c r="Z5447" s="2" t="s">
        <v>36129</v>
      </c>
      <c r="AA5447" s="2">
        <v>-1.6340762254354499</v>
      </c>
      <c r="AB5447" s="2">
        <v>8.2220435967238797E-2</v>
      </c>
      <c r="AC5447" s="2">
        <v>21888.871920876001</v>
      </c>
      <c r="AD5447" s="2">
        <v>21022.2729436347</v>
      </c>
      <c r="AE5447" s="2">
        <v>22110.8770498798</v>
      </c>
      <c r="AF5447" s="2">
        <v>21320.5791713937</v>
      </c>
      <c r="AG5447" s="2">
        <v>23269.016004515699</v>
      </c>
      <c r="AH5447" s="2">
        <v>21771.062831683001</v>
      </c>
      <c r="AI5447" s="2">
        <v>20799.8705526548</v>
      </c>
      <c r="AJ5447" s="2">
        <v>22061.8259151288</v>
      </c>
      <c r="AK5447" s="2">
        <v>21109.539679971302</v>
      </c>
      <c r="AL5447" s="2">
        <v>20655.412975953401</v>
      </c>
      <c r="AM5447" s="2">
        <v>21001.721606856401</v>
      </c>
      <c r="AN5447" s="2">
        <v>20027.147029639898</v>
      </c>
      <c r="AO5447" s="2">
        <v>20862.124027990401</v>
      </c>
      <c r="AP5447" s="2">
        <v>22477.6923413968</v>
      </c>
    </row>
    <row r="5448" spans="1:42" ht="14.5" x14ac:dyDescent="0.35">
      <c r="A5448" s="2" t="s">
        <v>36130</v>
      </c>
      <c r="B5448" s="2">
        <v>148.108065296044</v>
      </c>
      <c r="C5448" s="2">
        <v>1.00718333333333</v>
      </c>
      <c r="D5448" s="2" t="s">
        <v>34</v>
      </c>
      <c r="E5448" s="2" t="s">
        <v>36131</v>
      </c>
      <c r="F5448" s="2">
        <v>54354</v>
      </c>
      <c r="G5448" s="3" t="str">
        <f>HYPERLINK("http://funmeta.oebiotech.com/network/54354", "http://funmeta.oebiotech.com/network/54354")</f>
        <v>http://funmeta.oebiotech.com/network/54354</v>
      </c>
      <c r="H5448" s="2" t="s">
        <v>36132</v>
      </c>
      <c r="I5448" s="2">
        <v>86241</v>
      </c>
      <c r="J5448" s="2"/>
      <c r="K5448" s="2"/>
      <c r="L5448" s="2"/>
      <c r="M5448" s="2"/>
      <c r="N5448" s="2"/>
      <c r="O5448" s="2">
        <v>21998160</v>
      </c>
      <c r="P5448" s="2" t="s">
        <v>36133</v>
      </c>
      <c r="Q5448" s="2" t="s">
        <v>36134</v>
      </c>
      <c r="R5448" s="2" t="s">
        <v>36135</v>
      </c>
      <c r="S5448" s="2" t="s">
        <v>89</v>
      </c>
      <c r="T5448" s="2" t="s">
        <v>90</v>
      </c>
      <c r="U5448" s="2" t="s">
        <v>99</v>
      </c>
      <c r="V5448" s="2" t="s">
        <v>59</v>
      </c>
      <c r="W5448" s="2">
        <v>38.700000000000003</v>
      </c>
      <c r="X5448" s="2">
        <v>0</v>
      </c>
      <c r="Y5448" s="2" t="s">
        <v>43</v>
      </c>
      <c r="Z5448" s="2" t="s">
        <v>36136</v>
      </c>
      <c r="AA5448" s="2">
        <v>9.3766642326793798E-2</v>
      </c>
      <c r="AB5448" s="2">
        <v>8.2213528547547501E-2</v>
      </c>
      <c r="AC5448" s="2">
        <v>485.87076996436701</v>
      </c>
      <c r="AD5448" s="2">
        <v>2.7106294003980101E-5</v>
      </c>
      <c r="AE5448" s="2">
        <v>333.81092703331302</v>
      </c>
      <c r="AF5448" s="2">
        <v>612.48569055182202</v>
      </c>
      <c r="AG5448" s="2">
        <v>333.926334885784</v>
      </c>
      <c r="AH5448" s="2">
        <v>623.57605119030404</v>
      </c>
      <c r="AI5448" s="2">
        <v>325.99605575188701</v>
      </c>
      <c r="AJ5448" s="2">
        <v>685.42956037309295</v>
      </c>
      <c r="AK5448" s="2">
        <v>2.7106294003980101E-5</v>
      </c>
      <c r="AL5448" s="2">
        <v>2.7106294003980101E-5</v>
      </c>
      <c r="AM5448" s="2">
        <v>2.7106294003980101E-5</v>
      </c>
      <c r="AN5448" s="2">
        <v>2.7106294003980101E-5</v>
      </c>
      <c r="AO5448" s="2">
        <v>2.7106294003980101E-5</v>
      </c>
      <c r="AP5448" s="2">
        <v>2.7106294003980101E-5</v>
      </c>
    </row>
    <row r="5449" spans="1:42" ht="14.5" x14ac:dyDescent="0.35">
      <c r="A5449" s="2" t="s">
        <v>36137</v>
      </c>
      <c r="B5449" s="2">
        <v>376.24784081491498</v>
      </c>
      <c r="C5449" s="2">
        <v>4.4128166666666697</v>
      </c>
      <c r="D5449" s="2" t="s">
        <v>34</v>
      </c>
      <c r="E5449" s="2" t="s">
        <v>36138</v>
      </c>
      <c r="F5449" s="2">
        <v>266944</v>
      </c>
      <c r="G5449" s="3" t="str">
        <f>HYPERLINK("http://funmeta.oebiotech.com/network/266944", "http://funmeta.oebiotech.com/network/266944")</f>
        <v>http://funmeta.oebiotech.com/network/266944</v>
      </c>
      <c r="H5449" s="2"/>
      <c r="I5449" s="2">
        <v>44375</v>
      </c>
      <c r="J5449" s="2"/>
      <c r="K5449" s="2"/>
      <c r="L5449" s="2"/>
      <c r="M5449" s="2"/>
      <c r="N5449" s="2"/>
      <c r="O5449" s="2">
        <v>2517</v>
      </c>
      <c r="P5449" s="2" t="s">
        <v>36139</v>
      </c>
      <c r="Q5449" s="2" t="s">
        <v>36140</v>
      </c>
      <c r="R5449" s="2" t="s">
        <v>36141</v>
      </c>
      <c r="S5449" s="2" t="s">
        <v>491</v>
      </c>
      <c r="T5449" s="2" t="s">
        <v>2943</v>
      </c>
      <c r="U5449" s="2" t="s">
        <v>41</v>
      </c>
      <c r="V5449" s="2" t="s">
        <v>59</v>
      </c>
      <c r="W5449" s="2">
        <v>38.6</v>
      </c>
      <c r="X5449" s="2">
        <v>0</v>
      </c>
      <c r="Y5449" s="2" t="s">
        <v>43</v>
      </c>
      <c r="Z5449" s="2" t="s">
        <v>7078</v>
      </c>
      <c r="AA5449" s="2">
        <v>-1.1003338083355501</v>
      </c>
      <c r="AB5449" s="2">
        <v>8.2157822109642994E-2</v>
      </c>
      <c r="AC5449" s="2">
        <v>2474.6695287991502</v>
      </c>
      <c r="AD5449" s="2">
        <v>1650.59674701266</v>
      </c>
      <c r="AE5449" s="2">
        <v>2460.4050337806998</v>
      </c>
      <c r="AF5449" s="2">
        <v>2664.6247090879801</v>
      </c>
      <c r="AG5449" s="2">
        <v>2263.5081589207002</v>
      </c>
      <c r="AH5449" s="2">
        <v>2255.2315381598701</v>
      </c>
      <c r="AI5449" s="2">
        <v>3023.1334233996499</v>
      </c>
      <c r="AJ5449" s="2">
        <v>2181.1143094459799</v>
      </c>
      <c r="AK5449" s="2">
        <v>2756.7243428642701</v>
      </c>
      <c r="AL5449" s="2">
        <v>2759.62105268409</v>
      </c>
      <c r="AM5449" s="2">
        <v>703.74661348805796</v>
      </c>
      <c r="AN5449" s="2">
        <v>1819.8363572118501</v>
      </c>
      <c r="AO5449" s="2">
        <v>1167.2759164204699</v>
      </c>
      <c r="AP5449" s="2">
        <v>696.37619940722197</v>
      </c>
    </row>
    <row r="5450" spans="1:42" ht="14.5" x14ac:dyDescent="0.35">
      <c r="A5450" s="2" t="s">
        <v>36142</v>
      </c>
      <c r="B5450" s="2">
        <v>449.19954080913698</v>
      </c>
      <c r="C5450" s="2">
        <v>4.6661999999999999</v>
      </c>
      <c r="D5450" s="2" t="s">
        <v>34</v>
      </c>
      <c r="E5450" s="2" t="s">
        <v>36143</v>
      </c>
      <c r="F5450" s="2">
        <v>202440</v>
      </c>
      <c r="G5450" s="3" t="str">
        <f>HYPERLINK("http://funmeta.oebiotech.com/network/202440", "http://funmeta.oebiotech.com/network/202440")</f>
        <v>http://funmeta.oebiotech.com/network/202440</v>
      </c>
      <c r="H5450" s="2" t="s">
        <v>36144</v>
      </c>
      <c r="I5450" s="2"/>
      <c r="J5450" s="2"/>
      <c r="K5450" s="2"/>
      <c r="L5450" s="2"/>
      <c r="M5450" s="2"/>
      <c r="N5450" s="2"/>
      <c r="O5450" s="2">
        <v>11269872</v>
      </c>
      <c r="P5450" s="2"/>
      <c r="Q5450" s="2" t="s">
        <v>36145</v>
      </c>
      <c r="R5450" s="2" t="s">
        <v>36146</v>
      </c>
      <c r="S5450" s="2" t="s">
        <v>41</v>
      </c>
      <c r="T5450" s="2" t="s">
        <v>41</v>
      </c>
      <c r="U5450" s="2" t="s">
        <v>41</v>
      </c>
      <c r="V5450" s="2" t="s">
        <v>59</v>
      </c>
      <c r="W5450" s="2">
        <v>37.200000000000003</v>
      </c>
      <c r="X5450" s="2">
        <v>0</v>
      </c>
      <c r="Y5450" s="2" t="s">
        <v>340</v>
      </c>
      <c r="Z5450" s="2" t="s">
        <v>36147</v>
      </c>
      <c r="AA5450" s="2">
        <v>-2.6430117207535702</v>
      </c>
      <c r="AB5450" s="2">
        <v>8.2104654653658501E-2</v>
      </c>
      <c r="AC5450" s="2">
        <v>2580.8869243933</v>
      </c>
      <c r="AD5450" s="2">
        <v>1794.5762978032001</v>
      </c>
      <c r="AE5450" s="2">
        <v>2302.1386215041098</v>
      </c>
      <c r="AF5450" s="2">
        <v>2133.46800889819</v>
      </c>
      <c r="AG5450" s="2">
        <v>3278.3890876205801</v>
      </c>
      <c r="AH5450" s="2">
        <v>3004.3703888698001</v>
      </c>
      <c r="AI5450" s="2">
        <v>2579.61585791892</v>
      </c>
      <c r="AJ5450" s="2">
        <v>2187.3395815481999</v>
      </c>
      <c r="AK5450" s="2">
        <v>2207.4819382783598</v>
      </c>
      <c r="AL5450" s="2">
        <v>854.67727284643797</v>
      </c>
      <c r="AM5450" s="2">
        <v>1993.94061342021</v>
      </c>
      <c r="AN5450" s="2">
        <v>2502.09808021958</v>
      </c>
      <c r="AO5450" s="2">
        <v>2351.11595411596</v>
      </c>
      <c r="AP5450" s="2">
        <v>858.14392793867898</v>
      </c>
    </row>
    <row r="5451" spans="1:42" ht="14.5" x14ac:dyDescent="0.35">
      <c r="A5451" s="2" t="s">
        <v>36148</v>
      </c>
      <c r="B5451" s="2">
        <v>346.81528227400401</v>
      </c>
      <c r="C5451" s="2">
        <v>12.4728333333333</v>
      </c>
      <c r="D5451" s="2" t="s">
        <v>70</v>
      </c>
      <c r="E5451" s="2" t="s">
        <v>36149</v>
      </c>
      <c r="F5451" s="2">
        <v>257154</v>
      </c>
      <c r="G5451" s="3" t="str">
        <f>HYPERLINK("http://funmeta.oebiotech.com/network/257154", "http://funmeta.oebiotech.com/network/257154")</f>
        <v>http://funmeta.oebiotech.com/network/257154</v>
      </c>
      <c r="H5451" s="2" t="s">
        <v>36150</v>
      </c>
      <c r="I5451" s="2"/>
      <c r="J5451" s="2"/>
      <c r="K5451" s="2">
        <v>18361</v>
      </c>
      <c r="L5451" s="2"/>
      <c r="M5451" s="2"/>
      <c r="N5451" s="2"/>
      <c r="O5451" s="2"/>
      <c r="P5451" s="2"/>
      <c r="Q5451" s="2" t="s">
        <v>36151</v>
      </c>
      <c r="R5451" s="2" t="s">
        <v>36152</v>
      </c>
      <c r="S5451" s="2" t="s">
        <v>36153</v>
      </c>
      <c r="T5451" s="2" t="s">
        <v>36154</v>
      </c>
      <c r="U5451" s="2" t="s">
        <v>36155</v>
      </c>
      <c r="V5451" s="2" t="s">
        <v>59</v>
      </c>
      <c r="W5451" s="2">
        <v>36.1</v>
      </c>
      <c r="X5451" s="2">
        <v>0</v>
      </c>
      <c r="Y5451" s="2" t="s">
        <v>560</v>
      </c>
      <c r="Z5451" s="2" t="s">
        <v>36156</v>
      </c>
      <c r="AA5451" s="2">
        <v>-3.7159264136249299</v>
      </c>
      <c r="AB5451" s="2">
        <v>8.2089733129885795E-2</v>
      </c>
      <c r="AC5451" s="2">
        <v>83701.294785838603</v>
      </c>
      <c r="AD5451" s="2">
        <v>85283.149001364101</v>
      </c>
      <c r="AE5451" s="2">
        <v>84370.790086528796</v>
      </c>
      <c r="AF5451" s="2">
        <v>82960.050879837101</v>
      </c>
      <c r="AG5451" s="2">
        <v>86458.158762495295</v>
      </c>
      <c r="AH5451" s="2">
        <v>83323.187379583396</v>
      </c>
      <c r="AI5451" s="2">
        <v>86985.067920374</v>
      </c>
      <c r="AJ5451" s="2">
        <v>78110.513686213206</v>
      </c>
      <c r="AK5451" s="2">
        <v>80598.5297813902</v>
      </c>
      <c r="AL5451" s="2">
        <v>84511.480190420101</v>
      </c>
      <c r="AM5451" s="2">
        <v>85192.525256358495</v>
      </c>
      <c r="AN5451" s="2">
        <v>87002.414145739298</v>
      </c>
      <c r="AO5451" s="2">
        <v>89634.207711921204</v>
      </c>
      <c r="AP5451" s="2">
        <v>84759.736922355194</v>
      </c>
    </row>
    <row r="5452" spans="1:42" ht="14.5" x14ac:dyDescent="0.35">
      <c r="A5452" s="2" t="s">
        <v>36157</v>
      </c>
      <c r="B5452" s="2">
        <v>331.13632566467601</v>
      </c>
      <c r="C5452" s="2">
        <v>3.8609</v>
      </c>
      <c r="D5452" s="2" t="s">
        <v>34</v>
      </c>
      <c r="E5452" s="2" t="s">
        <v>36158</v>
      </c>
      <c r="F5452" s="2">
        <v>212448</v>
      </c>
      <c r="G5452" s="3" t="str">
        <f>HYPERLINK("http://funmeta.oebiotech.com/network/212448", "http://funmeta.oebiotech.com/network/212448")</f>
        <v>http://funmeta.oebiotech.com/network/212448</v>
      </c>
      <c r="H5452" s="2" t="s">
        <v>36159</v>
      </c>
      <c r="I5452" s="2">
        <v>45306</v>
      </c>
      <c r="J5452" s="2"/>
      <c r="K5452" s="2"/>
      <c r="L5452" s="2" t="s">
        <v>36160</v>
      </c>
      <c r="M5452" s="2"/>
      <c r="N5452" s="2"/>
      <c r="O5452" s="2">
        <v>3035905</v>
      </c>
      <c r="P5452" s="2" t="s">
        <v>36161</v>
      </c>
      <c r="Q5452" s="2" t="s">
        <v>36162</v>
      </c>
      <c r="R5452" s="2" t="s">
        <v>36163</v>
      </c>
      <c r="S5452" s="2" t="s">
        <v>491</v>
      </c>
      <c r="T5452" s="2" t="s">
        <v>7584</v>
      </c>
      <c r="U5452" s="2" t="s">
        <v>41</v>
      </c>
      <c r="V5452" s="2" t="s">
        <v>59</v>
      </c>
      <c r="W5452" s="2">
        <v>38.4</v>
      </c>
      <c r="X5452" s="2">
        <v>6.62</v>
      </c>
      <c r="Y5452" s="2" t="s">
        <v>340</v>
      </c>
      <c r="Z5452" s="2" t="s">
        <v>36164</v>
      </c>
      <c r="AA5452" s="2">
        <v>3.4219405759949901</v>
      </c>
      <c r="AB5452" s="2">
        <v>8.1999202539310298E-2</v>
      </c>
      <c r="AC5452" s="2">
        <v>215607.67262764199</v>
      </c>
      <c r="AD5452" s="2">
        <v>213446.67576131399</v>
      </c>
      <c r="AE5452" s="2">
        <v>220613.355974504</v>
      </c>
      <c r="AF5452" s="2">
        <v>215391.94711914001</v>
      </c>
      <c r="AG5452" s="2">
        <v>221961.94223611799</v>
      </c>
      <c r="AH5452" s="2">
        <v>202701.10716910299</v>
      </c>
      <c r="AI5452" s="2">
        <v>215902.357701525</v>
      </c>
      <c r="AJ5452" s="2">
        <v>217075.325565465</v>
      </c>
      <c r="AK5452" s="2">
        <v>206612.16844615</v>
      </c>
      <c r="AL5452" s="2">
        <v>211643.16319579299</v>
      </c>
      <c r="AM5452" s="2">
        <v>212701.14372439301</v>
      </c>
      <c r="AN5452" s="2">
        <v>216625.117413053</v>
      </c>
      <c r="AO5452" s="2">
        <v>218574.807484744</v>
      </c>
      <c r="AP5452" s="2">
        <v>214523.65430375299</v>
      </c>
    </row>
    <row r="5453" spans="1:42" ht="14.5" x14ac:dyDescent="0.35">
      <c r="A5453" s="2" t="s">
        <v>36165</v>
      </c>
      <c r="B5453" s="2">
        <v>1045.4805160470801</v>
      </c>
      <c r="C5453" s="2">
        <v>11.2162166666667</v>
      </c>
      <c r="D5453" s="2" t="s">
        <v>70</v>
      </c>
      <c r="E5453" s="2" t="s">
        <v>36166</v>
      </c>
      <c r="F5453" s="2">
        <v>50684</v>
      </c>
      <c r="G5453" s="3" t="str">
        <f>HYPERLINK("http://funmeta.oebiotech.com/network/50684", "http://funmeta.oebiotech.com/network/50684")</f>
        <v>http://funmeta.oebiotech.com/network/50684</v>
      </c>
      <c r="H5453" s="2" t="s">
        <v>36167</v>
      </c>
      <c r="I5453" s="2">
        <v>61425</v>
      </c>
      <c r="J5453" s="2"/>
      <c r="K5453" s="2"/>
      <c r="L5453" s="2" t="s">
        <v>5751</v>
      </c>
      <c r="M5453" s="2"/>
      <c r="N5453" s="2"/>
      <c r="O5453" s="2">
        <v>53480238</v>
      </c>
      <c r="P5453" s="2"/>
      <c r="Q5453" s="2" t="s">
        <v>36168</v>
      </c>
      <c r="R5453" s="2" t="s">
        <v>36169</v>
      </c>
      <c r="S5453" s="2" t="s">
        <v>50</v>
      </c>
      <c r="T5453" s="2" t="s">
        <v>51</v>
      </c>
      <c r="U5453" s="2" t="s">
        <v>5754</v>
      </c>
      <c r="V5453" s="2" t="s">
        <v>59</v>
      </c>
      <c r="W5453" s="2">
        <v>36.6</v>
      </c>
      <c r="X5453" s="2">
        <v>0</v>
      </c>
      <c r="Y5453" s="2" t="s">
        <v>118</v>
      </c>
      <c r="Z5453" s="2" t="s">
        <v>36170</v>
      </c>
      <c r="AA5453" s="2">
        <v>-1.9091524120644101</v>
      </c>
      <c r="AB5453" s="2">
        <v>8.1714388878048203E-2</v>
      </c>
      <c r="AC5453" s="2">
        <v>8088.3147733715496</v>
      </c>
      <c r="AD5453" s="2">
        <v>6829.2516039252296</v>
      </c>
      <c r="AE5453" s="2">
        <v>8009.4965575341303</v>
      </c>
      <c r="AF5453" s="2">
        <v>8610.3582896943899</v>
      </c>
      <c r="AG5453" s="2">
        <v>6682.5459983671399</v>
      </c>
      <c r="AH5453" s="2">
        <v>7691.5141297547798</v>
      </c>
      <c r="AI5453" s="2">
        <v>7732.4931269272802</v>
      </c>
      <c r="AJ5453" s="2">
        <v>9803.4805379515601</v>
      </c>
      <c r="AK5453" s="2">
        <v>4629.2080995331198</v>
      </c>
      <c r="AL5453" s="2">
        <v>6797.7999545140101</v>
      </c>
      <c r="AM5453" s="2">
        <v>4646.5945412233596</v>
      </c>
      <c r="AN5453" s="2">
        <v>11074.694347656299</v>
      </c>
      <c r="AO5453" s="2">
        <v>6459.8538485424797</v>
      </c>
      <c r="AP5453" s="2">
        <v>7367.35883208213</v>
      </c>
    </row>
    <row r="5454" spans="1:42" ht="14.5" x14ac:dyDescent="0.35">
      <c r="A5454" s="2" t="s">
        <v>36171</v>
      </c>
      <c r="B5454" s="2">
        <v>803.18280408127805</v>
      </c>
      <c r="C5454" s="2">
        <v>7.88835</v>
      </c>
      <c r="D5454" s="2" t="s">
        <v>70</v>
      </c>
      <c r="E5454" s="2" t="s">
        <v>36172</v>
      </c>
      <c r="F5454" s="2">
        <v>33668</v>
      </c>
      <c r="G5454" s="3" t="str">
        <f>HYPERLINK("http://funmeta.oebiotech.com/network/33668", "http://funmeta.oebiotech.com/network/33668")</f>
        <v>http://funmeta.oebiotech.com/network/33668</v>
      </c>
      <c r="H5454" s="2"/>
      <c r="I5454" s="2"/>
      <c r="J5454" s="2" t="s">
        <v>36173</v>
      </c>
      <c r="K5454" s="2"/>
      <c r="L5454" s="2"/>
      <c r="M5454" s="2"/>
      <c r="N5454" s="2"/>
      <c r="O5454" s="2">
        <v>15755766</v>
      </c>
      <c r="P5454" s="2"/>
      <c r="Q5454" s="2" t="s">
        <v>36174</v>
      </c>
      <c r="R5454" s="2" t="s">
        <v>36175</v>
      </c>
      <c r="S5454" s="2" t="s">
        <v>115</v>
      </c>
      <c r="T5454" s="2" t="s">
        <v>139</v>
      </c>
      <c r="U5454" s="2" t="s">
        <v>140</v>
      </c>
      <c r="V5454" s="2" t="s">
        <v>59</v>
      </c>
      <c r="W5454" s="2">
        <v>38.700000000000003</v>
      </c>
      <c r="X5454" s="2">
        <v>0</v>
      </c>
      <c r="Y5454" s="2" t="s">
        <v>286</v>
      </c>
      <c r="Z5454" s="2" t="s">
        <v>36176</v>
      </c>
      <c r="AA5454" s="2">
        <v>-0.110516690138892</v>
      </c>
      <c r="AB5454" s="2">
        <v>8.1714283380351596E-2</v>
      </c>
      <c r="AC5454" s="2">
        <v>11995.9324287241</v>
      </c>
      <c r="AD5454" s="2">
        <v>12900.877878191999</v>
      </c>
      <c r="AE5454" s="2">
        <v>11690.791044751701</v>
      </c>
      <c r="AF5454" s="2">
        <v>10509.9843993291</v>
      </c>
      <c r="AG5454" s="2">
        <v>13616.213424383801</v>
      </c>
      <c r="AH5454" s="2">
        <v>12685.841522034299</v>
      </c>
      <c r="AI5454" s="2">
        <v>11124.7381383024</v>
      </c>
      <c r="AJ5454" s="2">
        <v>12348.026043543099</v>
      </c>
      <c r="AK5454" s="2">
        <v>12934.902685864599</v>
      </c>
      <c r="AL5454" s="2">
        <v>13016.2301682291</v>
      </c>
      <c r="AM5454" s="2">
        <v>12363.5930916903</v>
      </c>
      <c r="AN5454" s="2">
        <v>12721.3285232669</v>
      </c>
      <c r="AO5454" s="2">
        <v>13884.5685921694</v>
      </c>
      <c r="AP5454" s="2">
        <v>12484.6442079316</v>
      </c>
    </row>
    <row r="5455" spans="1:42" ht="14.5" x14ac:dyDescent="0.35">
      <c r="A5455" s="2" t="s">
        <v>36177</v>
      </c>
      <c r="B5455" s="2">
        <v>245.09191146744101</v>
      </c>
      <c r="C5455" s="2">
        <v>5.6390833333333301</v>
      </c>
      <c r="D5455" s="2" t="s">
        <v>34</v>
      </c>
      <c r="E5455" s="2" t="s">
        <v>36178</v>
      </c>
      <c r="F5455" s="2">
        <v>55043</v>
      </c>
      <c r="G5455" s="3" t="str">
        <f>HYPERLINK("http://funmeta.oebiotech.com/network/55043", "http://funmeta.oebiotech.com/network/55043")</f>
        <v>http://funmeta.oebiotech.com/network/55043</v>
      </c>
      <c r="H5455" s="2" t="s">
        <v>36179</v>
      </c>
      <c r="I5455" s="2"/>
      <c r="J5455" s="2"/>
      <c r="K5455" s="2"/>
      <c r="L5455" s="2"/>
      <c r="M5455" s="2"/>
      <c r="N5455" s="2"/>
      <c r="O5455" s="2">
        <v>101508363</v>
      </c>
      <c r="P5455" s="2" t="s">
        <v>36180</v>
      </c>
      <c r="Q5455" s="2" t="s">
        <v>36181</v>
      </c>
      <c r="R5455" s="2" t="s">
        <v>36182</v>
      </c>
      <c r="S5455" s="2" t="s">
        <v>491</v>
      </c>
      <c r="T5455" s="2" t="s">
        <v>2184</v>
      </c>
      <c r="U5455" s="2" t="s">
        <v>8546</v>
      </c>
      <c r="V5455" s="2" t="s">
        <v>59</v>
      </c>
      <c r="W5455" s="2">
        <v>38.5</v>
      </c>
      <c r="X5455" s="2">
        <v>0</v>
      </c>
      <c r="Y5455" s="2" t="s">
        <v>43</v>
      </c>
      <c r="Z5455" s="2" t="s">
        <v>36183</v>
      </c>
      <c r="AA5455" s="2">
        <v>-0.69239798269990405</v>
      </c>
      <c r="AB5455" s="2">
        <v>8.1657466138963603E-2</v>
      </c>
      <c r="AC5455" s="2">
        <v>671.62665626223304</v>
      </c>
      <c r="AD5455" s="2">
        <v>132.48217219054999</v>
      </c>
      <c r="AE5455" s="2">
        <v>1002.82476911661</v>
      </c>
      <c r="AF5455" s="2">
        <v>381.17863362449799</v>
      </c>
      <c r="AG5455" s="2">
        <v>614.13198918879505</v>
      </c>
      <c r="AH5455" s="2">
        <v>513.68470588826801</v>
      </c>
      <c r="AI5455" s="2">
        <v>797.91991797572302</v>
      </c>
      <c r="AJ5455" s="2">
        <v>720.01992177950399</v>
      </c>
      <c r="AK5455" s="2">
        <v>2.7106294003980101E-5</v>
      </c>
      <c r="AL5455" s="2">
        <v>363.63957950858497</v>
      </c>
      <c r="AM5455" s="2">
        <v>2.7106294003980101E-5</v>
      </c>
      <c r="AN5455" s="2">
        <v>2.7106294003980101E-5</v>
      </c>
      <c r="AO5455" s="2">
        <v>2.7106294003980101E-5</v>
      </c>
      <c r="AP5455" s="2">
        <v>431.25334520953999</v>
      </c>
    </row>
    <row r="5456" spans="1:42" ht="14.5" x14ac:dyDescent="0.35">
      <c r="A5456" s="2" t="s">
        <v>36184</v>
      </c>
      <c r="B5456" s="2">
        <v>207.11662359476901</v>
      </c>
      <c r="C5456" s="2">
        <v>6.2845833333333303</v>
      </c>
      <c r="D5456" s="2" t="s">
        <v>34</v>
      </c>
      <c r="E5456" s="2" t="s">
        <v>36185</v>
      </c>
      <c r="F5456" s="2">
        <v>51969</v>
      </c>
      <c r="G5456" s="3" t="str">
        <f>HYPERLINK("http://funmeta.oebiotech.com/network/51969", "http://funmeta.oebiotech.com/network/51969")</f>
        <v>http://funmeta.oebiotech.com/network/51969</v>
      </c>
      <c r="H5456" s="2" t="s">
        <v>36186</v>
      </c>
      <c r="I5456" s="2">
        <v>66519</v>
      </c>
      <c r="J5456" s="2"/>
      <c r="K5456" s="2"/>
      <c r="L5456" s="2" t="s">
        <v>36187</v>
      </c>
      <c r="M5456" s="2"/>
      <c r="N5456" s="2"/>
      <c r="O5456" s="2">
        <v>5121218</v>
      </c>
      <c r="P5456" s="2" t="s">
        <v>36188</v>
      </c>
      <c r="Q5456" s="2" t="s">
        <v>36189</v>
      </c>
      <c r="R5456" s="2" t="s">
        <v>36190</v>
      </c>
      <c r="S5456" s="2" t="s">
        <v>89</v>
      </c>
      <c r="T5456" s="2" t="s">
        <v>90</v>
      </c>
      <c r="U5456" s="2" t="s">
        <v>99</v>
      </c>
      <c r="V5456" s="2" t="s">
        <v>59</v>
      </c>
      <c r="W5456" s="2">
        <v>38.6</v>
      </c>
      <c r="X5456" s="2">
        <v>0</v>
      </c>
      <c r="Y5456" s="2" t="s">
        <v>43</v>
      </c>
      <c r="Z5456" s="2" t="s">
        <v>36191</v>
      </c>
      <c r="AA5456" s="2">
        <v>2.3711351143469299</v>
      </c>
      <c r="AB5456" s="2">
        <v>8.1635394389935501E-2</v>
      </c>
      <c r="AC5456" s="2">
        <v>10437.1557845431</v>
      </c>
      <c r="AD5456" s="2">
        <v>9589.2348217342096</v>
      </c>
      <c r="AE5456" s="2">
        <v>9690.5271753796405</v>
      </c>
      <c r="AF5456" s="2">
        <v>10344.303932517099</v>
      </c>
      <c r="AG5456" s="2">
        <v>10248.555194922399</v>
      </c>
      <c r="AH5456" s="2">
        <v>10511.4502668347</v>
      </c>
      <c r="AI5456" s="2">
        <v>12071.2338321935</v>
      </c>
      <c r="AJ5456" s="2">
        <v>9756.8643054111708</v>
      </c>
      <c r="AK5456" s="2">
        <v>9111.8181662643601</v>
      </c>
      <c r="AL5456" s="2">
        <v>10435.644976195101</v>
      </c>
      <c r="AM5456" s="2">
        <v>8987.6260664026704</v>
      </c>
      <c r="AN5456" s="2">
        <v>9582.9286152644509</v>
      </c>
      <c r="AO5456" s="2">
        <v>9181.8862826202003</v>
      </c>
      <c r="AP5456" s="2">
        <v>10235.504823658501</v>
      </c>
    </row>
    <row r="5457" spans="1:42" ht="14.5" x14ac:dyDescent="0.35">
      <c r="A5457" s="2" t="s">
        <v>36192</v>
      </c>
      <c r="B5457" s="2">
        <v>105.06974139624199</v>
      </c>
      <c r="C5457" s="2">
        <v>4.4289500000000004</v>
      </c>
      <c r="D5457" s="2" t="s">
        <v>34</v>
      </c>
      <c r="E5457" s="2" t="s">
        <v>36193</v>
      </c>
      <c r="F5457" s="2">
        <v>58091</v>
      </c>
      <c r="G5457" s="3" t="str">
        <f>HYPERLINK("http://funmeta.oebiotech.com/network/58091", "http://funmeta.oebiotech.com/network/58091")</f>
        <v>http://funmeta.oebiotech.com/network/58091</v>
      </c>
      <c r="H5457" s="2" t="s">
        <v>36194</v>
      </c>
      <c r="I5457" s="2">
        <v>64740</v>
      </c>
      <c r="J5457" s="2"/>
      <c r="K5457" s="2">
        <v>49000</v>
      </c>
      <c r="L5457" s="2" t="s">
        <v>36195</v>
      </c>
      <c r="M5457" s="2" t="s">
        <v>33275</v>
      </c>
      <c r="N5457" s="2" t="s">
        <v>33276</v>
      </c>
      <c r="O5457" s="2">
        <v>6054</v>
      </c>
      <c r="P5457" s="2" t="s">
        <v>36196</v>
      </c>
      <c r="Q5457" s="2" t="s">
        <v>36197</v>
      </c>
      <c r="R5457" s="2" t="s">
        <v>36198</v>
      </c>
      <c r="S5457" s="2" t="s">
        <v>148</v>
      </c>
      <c r="T5457" s="2" t="s">
        <v>149</v>
      </c>
      <c r="U5457" s="2" t="s">
        <v>41</v>
      </c>
      <c r="V5457" s="2" t="s">
        <v>59</v>
      </c>
      <c r="W5457" s="2">
        <v>38.9</v>
      </c>
      <c r="X5457" s="2">
        <v>0</v>
      </c>
      <c r="Y5457" s="2" t="s">
        <v>141</v>
      </c>
      <c r="Z5457" s="2" t="s">
        <v>35307</v>
      </c>
      <c r="AA5457" s="2">
        <v>-1.10830269783709</v>
      </c>
      <c r="AB5457" s="2">
        <v>8.16063009078416E-2</v>
      </c>
      <c r="AC5457" s="2">
        <v>5027.5515169975897</v>
      </c>
      <c r="AD5457" s="2">
        <v>4479.3864923593901</v>
      </c>
      <c r="AE5457" s="2">
        <v>4860.2646353562704</v>
      </c>
      <c r="AF5457" s="2">
        <v>5134.3254739517897</v>
      </c>
      <c r="AG5457" s="2">
        <v>5255.3765037427402</v>
      </c>
      <c r="AH5457" s="2">
        <v>4829.3384805866899</v>
      </c>
      <c r="AI5457" s="2">
        <v>5160.7040820873099</v>
      </c>
      <c r="AJ5457" s="2">
        <v>4925.29992626074</v>
      </c>
      <c r="AK5457" s="2">
        <v>4746.4070316224097</v>
      </c>
      <c r="AL5457" s="2">
        <v>4116.1914811753504</v>
      </c>
      <c r="AM5457" s="2">
        <v>4628.1442421368802</v>
      </c>
      <c r="AN5457" s="2">
        <v>4712.2700871878496</v>
      </c>
      <c r="AO5457" s="2">
        <v>4230.1441541214999</v>
      </c>
      <c r="AP5457" s="2">
        <v>4443.1619579123699</v>
      </c>
    </row>
    <row r="5458" spans="1:42" ht="14.5" x14ac:dyDescent="0.35">
      <c r="A5458" s="2" t="s">
        <v>36199</v>
      </c>
      <c r="B5458" s="2">
        <v>779.41710574378897</v>
      </c>
      <c r="C5458" s="2">
        <v>9.9781666666666702</v>
      </c>
      <c r="D5458" s="2" t="s">
        <v>34</v>
      </c>
      <c r="E5458" s="2" t="s">
        <v>36200</v>
      </c>
      <c r="F5458" s="2">
        <v>62673</v>
      </c>
      <c r="G5458" s="3" t="str">
        <f>HYPERLINK("http://funmeta.oebiotech.com/network/62673", "http://funmeta.oebiotech.com/network/62673")</f>
        <v>http://funmeta.oebiotech.com/network/62673</v>
      </c>
      <c r="H5458" s="2" t="s">
        <v>36201</v>
      </c>
      <c r="I5458" s="2"/>
      <c r="J5458" s="2"/>
      <c r="K5458" s="2">
        <v>143066</v>
      </c>
      <c r="L5458" s="2"/>
      <c r="M5458" s="2"/>
      <c r="N5458" s="2"/>
      <c r="O5458" s="2">
        <v>131752634</v>
      </c>
      <c r="P5458" s="2" t="s">
        <v>36202</v>
      </c>
      <c r="Q5458" s="2" t="s">
        <v>36203</v>
      </c>
      <c r="R5458" s="2" t="s">
        <v>36204</v>
      </c>
      <c r="S5458" s="2" t="s">
        <v>50</v>
      </c>
      <c r="T5458" s="2" t="s">
        <v>124</v>
      </c>
      <c r="U5458" s="2" t="s">
        <v>523</v>
      </c>
      <c r="V5458" s="2" t="s">
        <v>59</v>
      </c>
      <c r="W5458" s="2">
        <v>45</v>
      </c>
      <c r="X5458" s="2">
        <v>41.1</v>
      </c>
      <c r="Y5458" s="2" t="s">
        <v>323</v>
      </c>
      <c r="Z5458" s="2" t="s">
        <v>16702</v>
      </c>
      <c r="AA5458" s="2">
        <v>-2.2760380016542001</v>
      </c>
      <c r="AB5458" s="2">
        <v>8.1603327222996999E-2</v>
      </c>
      <c r="AC5458" s="2">
        <v>38604.775302978102</v>
      </c>
      <c r="AD5458" s="2">
        <v>37308.9039658935</v>
      </c>
      <c r="AE5458" s="2">
        <v>36278.886970031002</v>
      </c>
      <c r="AF5458" s="2">
        <v>36539.922769557197</v>
      </c>
      <c r="AG5458" s="2">
        <v>38222.290383576197</v>
      </c>
      <c r="AH5458" s="2">
        <v>39396.512159412297</v>
      </c>
      <c r="AI5458" s="2">
        <v>39283.8490625591</v>
      </c>
      <c r="AJ5458" s="2">
        <v>41907.1904727328</v>
      </c>
      <c r="AK5458" s="2">
        <v>37893.876148698699</v>
      </c>
      <c r="AL5458" s="2">
        <v>39533.676502251597</v>
      </c>
      <c r="AM5458" s="2">
        <v>35191.631137969896</v>
      </c>
      <c r="AN5458" s="2">
        <v>35888.281746071298</v>
      </c>
      <c r="AO5458" s="2">
        <v>39276.4615678478</v>
      </c>
      <c r="AP5458" s="2">
        <v>36069.496692521498</v>
      </c>
    </row>
    <row r="5459" spans="1:42" ht="14.5" x14ac:dyDescent="0.35">
      <c r="A5459" s="2" t="s">
        <v>36205</v>
      </c>
      <c r="B5459" s="2">
        <v>413.19183780161399</v>
      </c>
      <c r="C5459" s="2">
        <v>11.8404166666667</v>
      </c>
      <c r="D5459" s="2" t="s">
        <v>70</v>
      </c>
      <c r="E5459" s="2" t="s">
        <v>36206</v>
      </c>
      <c r="F5459" s="2">
        <v>51410</v>
      </c>
      <c r="G5459" s="3" t="str">
        <f>HYPERLINK("http://funmeta.oebiotech.com/network/51410", "http://funmeta.oebiotech.com/network/51410")</f>
        <v>http://funmeta.oebiotech.com/network/51410</v>
      </c>
      <c r="H5459" s="2" t="s">
        <v>36207</v>
      </c>
      <c r="I5459" s="2">
        <v>62378</v>
      </c>
      <c r="J5459" s="2"/>
      <c r="K5459" s="2">
        <v>32692</v>
      </c>
      <c r="L5459" s="2" t="s">
        <v>36208</v>
      </c>
      <c r="M5459" s="2" t="s">
        <v>36209</v>
      </c>
      <c r="N5459" s="2" t="s">
        <v>36210</v>
      </c>
      <c r="O5459" s="2">
        <v>47289</v>
      </c>
      <c r="P5459" s="2" t="s">
        <v>36211</v>
      </c>
      <c r="Q5459" s="2" t="s">
        <v>36212</v>
      </c>
      <c r="R5459" s="2" t="s">
        <v>36213</v>
      </c>
      <c r="S5459" s="2" t="s">
        <v>79</v>
      </c>
      <c r="T5459" s="2" t="s">
        <v>80</v>
      </c>
      <c r="U5459" s="2" t="s">
        <v>2820</v>
      </c>
      <c r="V5459" s="2" t="s">
        <v>59</v>
      </c>
      <c r="W5459" s="2">
        <v>37.799999999999997</v>
      </c>
      <c r="X5459" s="2">
        <v>0</v>
      </c>
      <c r="Y5459" s="2" t="s">
        <v>560</v>
      </c>
      <c r="Z5459" s="2" t="s">
        <v>36214</v>
      </c>
      <c r="AA5459" s="2">
        <v>-5.8886965196861496</v>
      </c>
      <c r="AB5459" s="2">
        <v>8.1550608801803398E-2</v>
      </c>
      <c r="AC5459" s="2">
        <v>741.34901766764597</v>
      </c>
      <c r="AD5459" s="2">
        <v>272.73606034331499</v>
      </c>
      <c r="AE5459" s="2">
        <v>883.82468477235</v>
      </c>
      <c r="AF5459" s="2">
        <v>773.87242904979405</v>
      </c>
      <c r="AG5459" s="2">
        <v>744.552020975441</v>
      </c>
      <c r="AH5459" s="2">
        <v>720.00540218709398</v>
      </c>
      <c r="AI5459" s="2">
        <v>738.92068840449997</v>
      </c>
      <c r="AJ5459" s="2">
        <v>586.91888061669601</v>
      </c>
      <c r="AK5459" s="2">
        <v>275.177812851282</v>
      </c>
      <c r="AL5459" s="2">
        <v>282.758183267758</v>
      </c>
      <c r="AM5459" s="2">
        <v>201.80722795376099</v>
      </c>
      <c r="AN5459" s="2">
        <v>152.20443981876099</v>
      </c>
      <c r="AO5459" s="2">
        <v>251.92850160014001</v>
      </c>
      <c r="AP5459" s="2">
        <v>472.54019656818798</v>
      </c>
    </row>
    <row r="5460" spans="1:42" ht="14.5" x14ac:dyDescent="0.35">
      <c r="A5460" s="2" t="s">
        <v>36215</v>
      </c>
      <c r="B5460" s="2">
        <v>237.232516583029</v>
      </c>
      <c r="C5460" s="2">
        <v>9.2734333333333296</v>
      </c>
      <c r="D5460" s="2" t="s">
        <v>34</v>
      </c>
      <c r="E5460" s="2" t="s">
        <v>36216</v>
      </c>
      <c r="F5460" s="2">
        <v>199407</v>
      </c>
      <c r="G5460" s="3" t="str">
        <f>HYPERLINK("http://funmeta.oebiotech.com/network/199407", "http://funmeta.oebiotech.com/network/199407")</f>
        <v>http://funmeta.oebiotech.com/network/199407</v>
      </c>
      <c r="H5460" s="2" t="s">
        <v>36217</v>
      </c>
      <c r="I5460" s="2">
        <v>349502</v>
      </c>
      <c r="J5460" s="2"/>
      <c r="K5460" s="2"/>
      <c r="L5460" s="2"/>
      <c r="M5460" s="2"/>
      <c r="N5460" s="2"/>
      <c r="O5460" s="2">
        <v>78002</v>
      </c>
      <c r="P5460" s="2"/>
      <c r="Q5460" s="2" t="s">
        <v>36218</v>
      </c>
      <c r="R5460" s="2" t="s">
        <v>36219</v>
      </c>
      <c r="S5460" s="2" t="s">
        <v>491</v>
      </c>
      <c r="T5460" s="2" t="s">
        <v>3519</v>
      </c>
      <c r="U5460" s="2" t="s">
        <v>7268</v>
      </c>
      <c r="V5460" s="2" t="s">
        <v>59</v>
      </c>
      <c r="W5460" s="2">
        <v>37.299999999999997</v>
      </c>
      <c r="X5460" s="2">
        <v>0</v>
      </c>
      <c r="Y5460" s="2" t="s">
        <v>394</v>
      </c>
      <c r="Z5460" s="2" t="s">
        <v>36220</v>
      </c>
      <c r="AA5460" s="2">
        <v>-3.7068564194816599E-2</v>
      </c>
      <c r="AB5460" s="2">
        <v>8.1497107149151898E-2</v>
      </c>
      <c r="AC5460" s="2">
        <v>1269.69282368567</v>
      </c>
      <c r="AD5460" s="2">
        <v>1849.79775787983</v>
      </c>
      <c r="AE5460" s="2">
        <v>1473.6034015299899</v>
      </c>
      <c r="AF5460" s="2">
        <v>1298.86509130729</v>
      </c>
      <c r="AG5460" s="2">
        <v>1235.93722975479</v>
      </c>
      <c r="AH5460" s="2">
        <v>959.58254453868005</v>
      </c>
      <c r="AI5460" s="2">
        <v>1077.23448017534</v>
      </c>
      <c r="AJ5460" s="2">
        <v>1572.93419480795</v>
      </c>
      <c r="AK5460" s="2">
        <v>2130.0440176873899</v>
      </c>
      <c r="AL5460" s="2">
        <v>2270.5036630514501</v>
      </c>
      <c r="AM5460" s="2">
        <v>1475.8324409056399</v>
      </c>
      <c r="AN5460" s="2">
        <v>1830.6785931326499</v>
      </c>
      <c r="AO5460" s="2">
        <v>1580.1998906689801</v>
      </c>
      <c r="AP5460" s="2">
        <v>1811.5279418328701</v>
      </c>
    </row>
    <row r="5461" spans="1:42" ht="14.5" x14ac:dyDescent="0.35">
      <c r="A5461" s="2" t="s">
        <v>36221</v>
      </c>
      <c r="B5461" s="2">
        <v>707.17552739285497</v>
      </c>
      <c r="C5461" s="2">
        <v>4.7931333333333299</v>
      </c>
      <c r="D5461" s="2" t="s">
        <v>70</v>
      </c>
      <c r="E5461" s="2" t="s">
        <v>36222</v>
      </c>
      <c r="F5461" s="2">
        <v>257469</v>
      </c>
      <c r="G5461" s="3" t="str">
        <f>HYPERLINK("http://funmeta.oebiotech.com/network/257469", "http://funmeta.oebiotech.com/network/257469")</f>
        <v>http://funmeta.oebiotech.com/network/257469</v>
      </c>
      <c r="H5461" s="2" t="s">
        <v>36223</v>
      </c>
      <c r="I5461" s="2">
        <v>64483</v>
      </c>
      <c r="J5461" s="2"/>
      <c r="K5461" s="2"/>
      <c r="L5461" s="2" t="s">
        <v>36224</v>
      </c>
      <c r="M5461" s="2" t="s">
        <v>36225</v>
      </c>
      <c r="N5461" s="2" t="s">
        <v>36226</v>
      </c>
      <c r="O5461" s="2">
        <v>441623</v>
      </c>
      <c r="P5461" s="2" t="s">
        <v>36227</v>
      </c>
      <c r="Q5461" s="2" t="s">
        <v>36228</v>
      </c>
      <c r="R5461" s="2" t="s">
        <v>36229</v>
      </c>
      <c r="S5461" s="2" t="s">
        <v>39</v>
      </c>
      <c r="T5461" s="2" t="s">
        <v>3643</v>
      </c>
      <c r="U5461" s="2" t="s">
        <v>3644</v>
      </c>
      <c r="V5461" s="2" t="s">
        <v>59</v>
      </c>
      <c r="W5461" s="2">
        <v>36.700000000000003</v>
      </c>
      <c r="X5461" s="2">
        <v>0</v>
      </c>
      <c r="Y5461" s="2" t="s">
        <v>751</v>
      </c>
      <c r="Z5461" s="2" t="s">
        <v>36230</v>
      </c>
      <c r="AA5461" s="2">
        <v>3.4915063649956202</v>
      </c>
      <c r="AB5461" s="2">
        <v>8.1399482601945003E-2</v>
      </c>
      <c r="AC5461" s="2">
        <v>6381.7530238187701</v>
      </c>
      <c r="AD5461" s="2">
        <v>7757.2949152732499</v>
      </c>
      <c r="AE5461" s="2">
        <v>7389.3858907981903</v>
      </c>
      <c r="AF5461" s="2">
        <v>5529.5700137660897</v>
      </c>
      <c r="AG5461" s="2">
        <v>1282.66927094324</v>
      </c>
      <c r="AH5461" s="2">
        <v>9323.6718327536692</v>
      </c>
      <c r="AI5461" s="2">
        <v>7084.1346191553803</v>
      </c>
      <c r="AJ5461" s="2">
        <v>7681.0865154960602</v>
      </c>
      <c r="AK5461" s="2">
        <v>5773.2587310957997</v>
      </c>
      <c r="AL5461" s="2">
        <v>9403.1475375442205</v>
      </c>
      <c r="AM5461" s="2">
        <v>9875.9616417875004</v>
      </c>
      <c r="AN5461" s="2">
        <v>6408.7625775469696</v>
      </c>
      <c r="AO5461" s="2">
        <v>8484.4358554237897</v>
      </c>
      <c r="AP5461" s="2">
        <v>6598.2031482411903</v>
      </c>
    </row>
    <row r="5462" spans="1:42" ht="14.5" x14ac:dyDescent="0.35">
      <c r="A5462" s="2" t="s">
        <v>36231</v>
      </c>
      <c r="B5462" s="2">
        <v>298.02630124506402</v>
      </c>
      <c r="C5462" s="2">
        <v>1.06171666666667</v>
      </c>
      <c r="D5462" s="2" t="s">
        <v>34</v>
      </c>
      <c r="E5462" s="2" t="s">
        <v>36232</v>
      </c>
      <c r="F5462" s="2">
        <v>203633</v>
      </c>
      <c r="G5462" s="3" t="str">
        <f>HYPERLINK("http://funmeta.oebiotech.com/network/203633", "http://funmeta.oebiotech.com/network/203633")</f>
        <v>http://funmeta.oebiotech.com/network/203633</v>
      </c>
      <c r="H5462" s="2" t="s">
        <v>36233</v>
      </c>
      <c r="I5462" s="2"/>
      <c r="J5462" s="2"/>
      <c r="K5462" s="2"/>
      <c r="L5462" s="2"/>
      <c r="M5462" s="2"/>
      <c r="N5462" s="2"/>
      <c r="O5462" s="2">
        <v>5253499</v>
      </c>
      <c r="P5462" s="2"/>
      <c r="Q5462" s="2" t="s">
        <v>36234</v>
      </c>
      <c r="R5462" s="2" t="s">
        <v>36235</v>
      </c>
      <c r="S5462" s="2" t="s">
        <v>1444</v>
      </c>
      <c r="T5462" s="2" t="s">
        <v>10689</v>
      </c>
      <c r="U5462" s="2" t="s">
        <v>41</v>
      </c>
      <c r="V5462" s="2" t="s">
        <v>59</v>
      </c>
      <c r="W5462" s="2">
        <v>36.4</v>
      </c>
      <c r="X5462" s="2">
        <v>0</v>
      </c>
      <c r="Y5462" s="2" t="s">
        <v>340</v>
      </c>
      <c r="Z5462" s="2" t="s">
        <v>36236</v>
      </c>
      <c r="AA5462" s="2">
        <v>1.7997788018584</v>
      </c>
      <c r="AB5462" s="2">
        <v>8.1335722172022396E-2</v>
      </c>
      <c r="AC5462" s="2">
        <v>1181.8453085957101</v>
      </c>
      <c r="AD5462" s="2">
        <v>1738.1556702161599</v>
      </c>
      <c r="AE5462" s="2">
        <v>1278.83944934602</v>
      </c>
      <c r="AF5462" s="2">
        <v>1227.69254706222</v>
      </c>
      <c r="AG5462" s="2">
        <v>746.85581346848005</v>
      </c>
      <c r="AH5462" s="2">
        <v>1272.8002482361201</v>
      </c>
      <c r="AI5462" s="2">
        <v>1389.4694269041199</v>
      </c>
      <c r="AJ5462" s="2">
        <v>1175.4143665572899</v>
      </c>
      <c r="AK5462" s="2">
        <v>2091.2437055656601</v>
      </c>
      <c r="AL5462" s="2">
        <v>2014.0576353812801</v>
      </c>
      <c r="AM5462" s="2">
        <v>1651.6720839658899</v>
      </c>
      <c r="AN5462" s="2">
        <v>1638.35122136719</v>
      </c>
      <c r="AO5462" s="2">
        <v>1651.9249938768</v>
      </c>
      <c r="AP5462" s="2">
        <v>1381.68438114016</v>
      </c>
    </row>
    <row r="5463" spans="1:42" ht="14.5" x14ac:dyDescent="0.35">
      <c r="A5463" s="2" t="s">
        <v>36237</v>
      </c>
      <c r="B5463" s="2">
        <v>345.18777480987399</v>
      </c>
      <c r="C5463" s="2">
        <v>4.8018000000000001</v>
      </c>
      <c r="D5463" s="2" t="s">
        <v>34</v>
      </c>
      <c r="E5463" s="2" t="s">
        <v>36238</v>
      </c>
      <c r="F5463" s="2">
        <v>200311</v>
      </c>
      <c r="G5463" s="3" t="str">
        <f>HYPERLINK("http://funmeta.oebiotech.com/network/200311", "http://funmeta.oebiotech.com/network/200311")</f>
        <v>http://funmeta.oebiotech.com/network/200311</v>
      </c>
      <c r="H5463" s="2" t="s">
        <v>36239</v>
      </c>
      <c r="I5463" s="2"/>
      <c r="J5463" s="2"/>
      <c r="K5463" s="2"/>
      <c r="L5463" s="2"/>
      <c r="M5463" s="2"/>
      <c r="N5463" s="2"/>
      <c r="O5463" s="2">
        <v>204104</v>
      </c>
      <c r="P5463" s="2"/>
      <c r="Q5463" s="2" t="s">
        <v>36240</v>
      </c>
      <c r="R5463" s="2" t="s">
        <v>36241</v>
      </c>
      <c r="S5463" s="2" t="s">
        <v>491</v>
      </c>
      <c r="T5463" s="2" t="s">
        <v>12559</v>
      </c>
      <c r="U5463" s="2" t="s">
        <v>41</v>
      </c>
      <c r="V5463" s="2" t="s">
        <v>59</v>
      </c>
      <c r="W5463" s="2">
        <v>36.799999999999997</v>
      </c>
      <c r="X5463" s="2">
        <v>0</v>
      </c>
      <c r="Y5463" s="2" t="s">
        <v>141</v>
      </c>
      <c r="Z5463" s="2" t="s">
        <v>36242</v>
      </c>
      <c r="AA5463" s="2">
        <v>1.0714882830811501</v>
      </c>
      <c r="AB5463" s="2">
        <v>8.1323636299185903E-2</v>
      </c>
      <c r="AC5463" s="2">
        <v>15580.905851806399</v>
      </c>
      <c r="AD5463" s="2">
        <v>14397.2571281242</v>
      </c>
      <c r="AE5463" s="2">
        <v>15437.6829416118</v>
      </c>
      <c r="AF5463" s="2">
        <v>16886.480523627899</v>
      </c>
      <c r="AG5463" s="2">
        <v>13542.004902593</v>
      </c>
      <c r="AH5463" s="2">
        <v>16336.560479236799</v>
      </c>
      <c r="AI5463" s="2">
        <v>14979.1497637947</v>
      </c>
      <c r="AJ5463" s="2">
        <v>16303.5564999744</v>
      </c>
      <c r="AK5463" s="2">
        <v>14682.046123980699</v>
      </c>
      <c r="AL5463" s="2">
        <v>12573.1682040622</v>
      </c>
      <c r="AM5463" s="2">
        <v>18100.6277424654</v>
      </c>
      <c r="AN5463" s="2">
        <v>14047.746906694199</v>
      </c>
      <c r="AO5463" s="2">
        <v>13811.4243321543</v>
      </c>
      <c r="AP5463" s="2">
        <v>13168.529459388399</v>
      </c>
    </row>
    <row r="5464" spans="1:42" ht="14.5" x14ac:dyDescent="0.35">
      <c r="A5464" s="2" t="s">
        <v>36243</v>
      </c>
      <c r="B5464" s="2">
        <v>249.03397175356901</v>
      </c>
      <c r="C5464" s="2">
        <v>0.67131666666666701</v>
      </c>
      <c r="D5464" s="2" t="s">
        <v>70</v>
      </c>
      <c r="E5464" s="2" t="s">
        <v>36244</v>
      </c>
      <c r="F5464" s="2">
        <v>56484</v>
      </c>
      <c r="G5464" s="3" t="str">
        <f>HYPERLINK("http://funmeta.oebiotech.com/network/56484", "http://funmeta.oebiotech.com/network/56484")</f>
        <v>http://funmeta.oebiotech.com/network/56484</v>
      </c>
      <c r="H5464" s="2" t="s">
        <v>36245</v>
      </c>
      <c r="I5464" s="2">
        <v>88128</v>
      </c>
      <c r="J5464" s="2"/>
      <c r="K5464" s="2">
        <v>173569</v>
      </c>
      <c r="L5464" s="2"/>
      <c r="M5464" s="2"/>
      <c r="N5464" s="2"/>
      <c r="O5464" s="2">
        <v>85760249</v>
      </c>
      <c r="P5464" s="2"/>
      <c r="Q5464" s="2" t="s">
        <v>36246</v>
      </c>
      <c r="R5464" s="2" t="s">
        <v>36247</v>
      </c>
      <c r="S5464" s="2" t="s">
        <v>491</v>
      </c>
      <c r="T5464" s="2" t="s">
        <v>2184</v>
      </c>
      <c r="U5464" s="2" t="s">
        <v>3838</v>
      </c>
      <c r="V5464" s="2" t="s">
        <v>59</v>
      </c>
      <c r="W5464" s="2">
        <v>37.799999999999997</v>
      </c>
      <c r="X5464" s="2">
        <v>0</v>
      </c>
      <c r="Y5464" s="2" t="s">
        <v>408</v>
      </c>
      <c r="Z5464" s="2" t="s">
        <v>36248</v>
      </c>
      <c r="AA5464" s="2">
        <v>0.17152803847615</v>
      </c>
      <c r="AB5464" s="2">
        <v>8.1281449750892104E-2</v>
      </c>
      <c r="AC5464" s="2">
        <v>478.48376294854501</v>
      </c>
      <c r="AD5464" s="2">
        <v>2.7106294003980101E-5</v>
      </c>
      <c r="AE5464" s="2">
        <v>184.34580536594399</v>
      </c>
      <c r="AF5464" s="2">
        <v>585.91499638626794</v>
      </c>
      <c r="AG5464" s="2">
        <v>480.84121363209698</v>
      </c>
      <c r="AH5464" s="2">
        <v>574.98020792908596</v>
      </c>
      <c r="AI5464" s="2">
        <v>378.06730719676301</v>
      </c>
      <c r="AJ5464" s="2">
        <v>666.75304718111295</v>
      </c>
      <c r="AK5464" s="2">
        <v>2.7106294003980101E-5</v>
      </c>
      <c r="AL5464" s="2">
        <v>2.7106294003980101E-5</v>
      </c>
      <c r="AM5464" s="2">
        <v>2.7106294003980101E-5</v>
      </c>
      <c r="AN5464" s="2">
        <v>2.7106294003980101E-5</v>
      </c>
      <c r="AO5464" s="2">
        <v>2.7106294003980101E-5</v>
      </c>
      <c r="AP5464" s="2">
        <v>2.7106294003980101E-5</v>
      </c>
    </row>
    <row r="5465" spans="1:42" ht="14.5" x14ac:dyDescent="0.35">
      <c r="A5465" s="2" t="s">
        <v>36249</v>
      </c>
      <c r="B5465" s="2">
        <v>181.04952994123201</v>
      </c>
      <c r="C5465" s="2">
        <v>3.6785666666666699</v>
      </c>
      <c r="D5465" s="2" t="s">
        <v>34</v>
      </c>
      <c r="E5465" s="2" t="s">
        <v>36250</v>
      </c>
      <c r="F5465" s="2">
        <v>47172</v>
      </c>
      <c r="G5465" s="3" t="str">
        <f>HYPERLINK("http://funmeta.oebiotech.com/network/47172", "http://funmeta.oebiotech.com/network/47172")</f>
        <v>http://funmeta.oebiotech.com/network/47172</v>
      </c>
      <c r="H5465" s="2" t="s">
        <v>36251</v>
      </c>
      <c r="I5465" s="2">
        <v>3315</v>
      </c>
      <c r="J5465" s="2"/>
      <c r="K5465" s="2">
        <v>15999</v>
      </c>
      <c r="L5465" s="2" t="s">
        <v>36252</v>
      </c>
      <c r="M5465" s="2" t="s">
        <v>36253</v>
      </c>
      <c r="N5465" s="2" t="s">
        <v>36254</v>
      </c>
      <c r="O5465" s="2">
        <v>979</v>
      </c>
      <c r="P5465" s="2" t="s">
        <v>36255</v>
      </c>
      <c r="Q5465" s="2" t="s">
        <v>36256</v>
      </c>
      <c r="R5465" s="2" t="s">
        <v>36257</v>
      </c>
      <c r="S5465" s="2" t="s">
        <v>148</v>
      </c>
      <c r="T5465" s="2" t="s">
        <v>149</v>
      </c>
      <c r="U5465" s="2" t="s">
        <v>36258</v>
      </c>
      <c r="V5465" s="2" t="s">
        <v>59</v>
      </c>
      <c r="W5465" s="2">
        <v>39.200000000000003</v>
      </c>
      <c r="X5465" s="2">
        <v>0</v>
      </c>
      <c r="Y5465" s="2" t="s">
        <v>394</v>
      </c>
      <c r="Z5465" s="2" t="s">
        <v>20173</v>
      </c>
      <c r="AA5465" s="2">
        <v>-2.90241209154786E-2</v>
      </c>
      <c r="AB5465" s="2">
        <v>8.12796517709264E-2</v>
      </c>
      <c r="AC5465" s="2">
        <v>1683.2090102536899</v>
      </c>
      <c r="AD5465" s="2">
        <v>1191.42250248699</v>
      </c>
      <c r="AE5465" s="2">
        <v>1693.3036946126199</v>
      </c>
      <c r="AF5465" s="2">
        <v>1450.89050839319</v>
      </c>
      <c r="AG5465" s="2">
        <v>1563.56963833339</v>
      </c>
      <c r="AH5465" s="2">
        <v>1889.5950480327001</v>
      </c>
      <c r="AI5465" s="2">
        <v>1633.1447674793001</v>
      </c>
      <c r="AJ5465" s="2">
        <v>1868.75040467093</v>
      </c>
      <c r="AK5465" s="2">
        <v>1251.4868451962</v>
      </c>
      <c r="AL5465" s="2">
        <v>1301.0280035610199</v>
      </c>
      <c r="AM5465" s="2">
        <v>1241.6617535327</v>
      </c>
      <c r="AN5465" s="2">
        <v>1122.17285586767</v>
      </c>
      <c r="AO5465" s="2">
        <v>999.24693944450303</v>
      </c>
      <c r="AP5465" s="2">
        <v>1232.93861731984</v>
      </c>
    </row>
    <row r="5466" spans="1:42" ht="14.5" x14ac:dyDescent="0.35">
      <c r="A5466" s="2" t="s">
        <v>36259</v>
      </c>
      <c r="B5466" s="2">
        <v>495.23866079752497</v>
      </c>
      <c r="C5466" s="2">
        <v>5.8468499999999999</v>
      </c>
      <c r="D5466" s="2" t="s">
        <v>34</v>
      </c>
      <c r="E5466" s="2" t="s">
        <v>36260</v>
      </c>
      <c r="F5466" s="2">
        <v>47959</v>
      </c>
      <c r="G5466" s="3" t="str">
        <f>HYPERLINK("http://funmeta.oebiotech.com/network/47959", "http://funmeta.oebiotech.com/network/47959")</f>
        <v>http://funmeta.oebiotech.com/network/47959</v>
      </c>
      <c r="H5466" s="2" t="s">
        <v>36261</v>
      </c>
      <c r="I5466" s="2">
        <v>6709</v>
      </c>
      <c r="J5466" s="2"/>
      <c r="K5466" s="2"/>
      <c r="L5466" s="2"/>
      <c r="M5466" s="2"/>
      <c r="N5466" s="2"/>
      <c r="O5466" s="2">
        <v>21252308</v>
      </c>
      <c r="P5466" s="2" t="s">
        <v>36262</v>
      </c>
      <c r="Q5466" s="2" t="s">
        <v>36263</v>
      </c>
      <c r="R5466" s="2" t="s">
        <v>36264</v>
      </c>
      <c r="S5466" s="2" t="s">
        <v>50</v>
      </c>
      <c r="T5466" s="2" t="s">
        <v>124</v>
      </c>
      <c r="U5466" s="2" t="s">
        <v>125</v>
      </c>
      <c r="V5466" s="2" t="s">
        <v>59</v>
      </c>
      <c r="W5466" s="2">
        <v>37.4</v>
      </c>
      <c r="X5466" s="2">
        <v>0</v>
      </c>
      <c r="Y5466" s="2" t="s">
        <v>323</v>
      </c>
      <c r="Z5466" s="2" t="s">
        <v>1491</v>
      </c>
      <c r="AA5466" s="2">
        <v>-7.3059255038052301E-2</v>
      </c>
      <c r="AB5466" s="2">
        <v>8.1257264473007101E-2</v>
      </c>
      <c r="AC5466" s="2">
        <v>8058.7380943286698</v>
      </c>
      <c r="AD5466" s="2">
        <v>6591.7302037483096</v>
      </c>
      <c r="AE5466" s="2">
        <v>8859.3466747388193</v>
      </c>
      <c r="AF5466" s="2">
        <v>8540.9869847407208</v>
      </c>
      <c r="AG5466" s="2">
        <v>7710.3557980891701</v>
      </c>
      <c r="AH5466" s="2">
        <v>5581.9290815110899</v>
      </c>
      <c r="AI5466" s="2">
        <v>8879.7625474318393</v>
      </c>
      <c r="AJ5466" s="2">
        <v>8780.0474794603506</v>
      </c>
      <c r="AK5466" s="2">
        <v>4522.1978155224097</v>
      </c>
      <c r="AL5466" s="2">
        <v>13672.7690344243</v>
      </c>
      <c r="AM5466" s="2">
        <v>5404.41214697545</v>
      </c>
      <c r="AN5466" s="2">
        <v>5417.2454635355998</v>
      </c>
      <c r="AO5466" s="2">
        <v>6110.2816424409002</v>
      </c>
      <c r="AP5466" s="2">
        <v>4423.4751195912104</v>
      </c>
    </row>
    <row r="5467" spans="1:42" ht="14.5" x14ac:dyDescent="0.35">
      <c r="A5467" s="2" t="s">
        <v>36265</v>
      </c>
      <c r="B5467" s="2">
        <v>427.06921865195602</v>
      </c>
      <c r="C5467" s="2">
        <v>4.4710000000000001</v>
      </c>
      <c r="D5467" s="2" t="s">
        <v>70</v>
      </c>
      <c r="E5467" s="2" t="s">
        <v>36266</v>
      </c>
      <c r="F5467" s="2">
        <v>31170</v>
      </c>
      <c r="G5467" s="3" t="str">
        <f>HYPERLINK("http://funmeta.oebiotech.com/network/31170", "http://funmeta.oebiotech.com/network/31170")</f>
        <v>http://funmeta.oebiotech.com/network/31170</v>
      </c>
      <c r="H5467" s="2"/>
      <c r="I5467" s="2">
        <v>49507</v>
      </c>
      <c r="J5467" s="2" t="s">
        <v>36267</v>
      </c>
      <c r="K5467" s="2">
        <v>2981</v>
      </c>
      <c r="L5467" s="2" t="s">
        <v>36268</v>
      </c>
      <c r="M5467" s="2"/>
      <c r="N5467" s="2"/>
      <c r="O5467" s="2">
        <v>64982</v>
      </c>
      <c r="P5467" s="2" t="s">
        <v>36269</v>
      </c>
      <c r="Q5467" s="2" t="s">
        <v>36270</v>
      </c>
      <c r="R5467" s="2" t="s">
        <v>36271</v>
      </c>
      <c r="S5467" s="2" t="s">
        <v>115</v>
      </c>
      <c r="T5467" s="2" t="s">
        <v>139</v>
      </c>
      <c r="U5467" s="2" t="s">
        <v>140</v>
      </c>
      <c r="V5467" s="2" t="s">
        <v>59</v>
      </c>
      <c r="W5467" s="2">
        <v>38</v>
      </c>
      <c r="X5467" s="2">
        <v>0</v>
      </c>
      <c r="Y5467" s="2" t="s">
        <v>751</v>
      </c>
      <c r="Z5467" s="2" t="s">
        <v>36272</v>
      </c>
      <c r="AA5467" s="2">
        <v>4.8160775706877201</v>
      </c>
      <c r="AB5467" s="2">
        <v>8.1253871267109895E-2</v>
      </c>
      <c r="AC5467" s="2">
        <v>2707.76676275107</v>
      </c>
      <c r="AD5467" s="2">
        <v>1952.91143686532</v>
      </c>
      <c r="AE5467" s="2">
        <v>2272.60054456733</v>
      </c>
      <c r="AF5467" s="2">
        <v>1547.3917555207099</v>
      </c>
      <c r="AG5467" s="2">
        <v>3028.89263471501</v>
      </c>
      <c r="AH5467" s="2">
        <v>3378.6854321438</v>
      </c>
      <c r="AI5467" s="2">
        <v>3400.9290052483102</v>
      </c>
      <c r="AJ5467" s="2">
        <v>2618.1012043112501</v>
      </c>
      <c r="AK5467" s="2">
        <v>2228.6628418884902</v>
      </c>
      <c r="AL5467" s="2">
        <v>1562.6856402474</v>
      </c>
      <c r="AM5467" s="2">
        <v>2061.1073205656799</v>
      </c>
      <c r="AN5467" s="2">
        <v>1653.42175534021</v>
      </c>
      <c r="AO5467" s="2">
        <v>1678.8368681777299</v>
      </c>
      <c r="AP5467" s="2">
        <v>2532.75419497243</v>
      </c>
    </row>
    <row r="5468" spans="1:42" ht="14.5" x14ac:dyDescent="0.35">
      <c r="A5468" s="2" t="s">
        <v>36273</v>
      </c>
      <c r="B5468" s="2">
        <v>383.243562201857</v>
      </c>
      <c r="C5468" s="2">
        <v>5.9351500000000001</v>
      </c>
      <c r="D5468" s="2" t="s">
        <v>70</v>
      </c>
      <c r="E5468" s="2" t="s">
        <v>36274</v>
      </c>
      <c r="F5468" s="2">
        <v>53291</v>
      </c>
      <c r="G5468" s="3" t="str">
        <f>HYPERLINK("http://funmeta.oebiotech.com/network/53291", "http://funmeta.oebiotech.com/network/53291")</f>
        <v>http://funmeta.oebiotech.com/network/53291</v>
      </c>
      <c r="H5468" s="2" t="s">
        <v>36275</v>
      </c>
      <c r="I5468" s="2">
        <v>2864</v>
      </c>
      <c r="J5468" s="2"/>
      <c r="K5468" s="2">
        <v>9611</v>
      </c>
      <c r="L5468" s="2" t="s">
        <v>36276</v>
      </c>
      <c r="M5468" s="2"/>
      <c r="N5468" s="2"/>
      <c r="O5468" s="2">
        <v>38945</v>
      </c>
      <c r="P5468" s="2" t="s">
        <v>36277</v>
      </c>
      <c r="Q5468" s="2" t="s">
        <v>36278</v>
      </c>
      <c r="R5468" s="2" t="s">
        <v>36279</v>
      </c>
      <c r="S5468" s="2" t="s">
        <v>148</v>
      </c>
      <c r="T5468" s="2" t="s">
        <v>149</v>
      </c>
      <c r="U5468" s="2" t="s">
        <v>28806</v>
      </c>
      <c r="V5468" s="2" t="s">
        <v>59</v>
      </c>
      <c r="W5468" s="2">
        <v>36.6</v>
      </c>
      <c r="X5468" s="2">
        <v>0</v>
      </c>
      <c r="Y5468" s="2" t="s">
        <v>560</v>
      </c>
      <c r="Z5468" s="2" t="s">
        <v>36280</v>
      </c>
      <c r="AA5468" s="2">
        <v>-4.3920354121490801</v>
      </c>
      <c r="AB5468" s="2">
        <v>8.1171766273050505E-2</v>
      </c>
      <c r="AC5468" s="2">
        <v>853.30788943920697</v>
      </c>
      <c r="AD5468" s="2">
        <v>1394.4798010009799</v>
      </c>
      <c r="AE5468" s="2">
        <v>1189.8967964143601</v>
      </c>
      <c r="AF5468" s="2">
        <v>657.95954533003805</v>
      </c>
      <c r="AG5468" s="2">
        <v>1018.91707391459</v>
      </c>
      <c r="AH5468" s="2">
        <v>661.20428675897301</v>
      </c>
      <c r="AI5468" s="2">
        <v>721.124398474597</v>
      </c>
      <c r="AJ5468" s="2">
        <v>870.74523574268096</v>
      </c>
      <c r="AK5468" s="2">
        <v>1192.65078865234</v>
      </c>
      <c r="AL5468" s="2">
        <v>1408.5184286556901</v>
      </c>
      <c r="AM5468" s="2">
        <v>1798.19325388008</v>
      </c>
      <c r="AN5468" s="2">
        <v>1172.40759607875</v>
      </c>
      <c r="AO5468" s="2">
        <v>1408.40636772832</v>
      </c>
      <c r="AP5468" s="2">
        <v>1386.7023710107101</v>
      </c>
    </row>
    <row r="5469" spans="1:42" ht="14.5" x14ac:dyDescent="0.35">
      <c r="A5469" s="2" t="s">
        <v>36281</v>
      </c>
      <c r="B5469" s="2">
        <v>234.833712209297</v>
      </c>
      <c r="C5469" s="2">
        <v>0.66754999999999998</v>
      </c>
      <c r="D5469" s="2" t="s">
        <v>34</v>
      </c>
      <c r="E5469" s="2" t="s">
        <v>36282</v>
      </c>
      <c r="F5469" s="2">
        <v>256305</v>
      </c>
      <c r="G5469" s="3" t="str">
        <f>HYPERLINK("http://funmeta.oebiotech.com/network/256305", "http://funmeta.oebiotech.com/network/256305")</f>
        <v>http://funmeta.oebiotech.com/network/256305</v>
      </c>
      <c r="H5469" s="2" t="s">
        <v>36283</v>
      </c>
      <c r="I5469" s="2"/>
      <c r="J5469" s="2"/>
      <c r="K5469" s="2"/>
      <c r="L5469" s="2"/>
      <c r="M5469" s="2"/>
      <c r="N5469" s="2"/>
      <c r="O5469" s="2"/>
      <c r="P5469" s="2"/>
      <c r="Q5469" s="2" t="s">
        <v>36284</v>
      </c>
      <c r="R5469" s="2" t="s">
        <v>36285</v>
      </c>
      <c r="S5469" s="2" t="s">
        <v>7696</v>
      </c>
      <c r="T5469" s="2" t="s">
        <v>7697</v>
      </c>
      <c r="U5469" s="2" t="s">
        <v>13517</v>
      </c>
      <c r="V5469" s="2" t="s">
        <v>59</v>
      </c>
      <c r="W5469" s="2">
        <v>36</v>
      </c>
      <c r="X5469" s="2">
        <v>0</v>
      </c>
      <c r="Y5469" s="2" t="s">
        <v>323</v>
      </c>
      <c r="Z5469" s="2" t="s">
        <v>36286</v>
      </c>
      <c r="AA5469" s="2">
        <v>-0.22950293142012501</v>
      </c>
      <c r="AB5469" s="2">
        <v>8.1163181844877405E-2</v>
      </c>
      <c r="AC5469" s="2">
        <v>904.42413067067901</v>
      </c>
      <c r="AD5469" s="2">
        <v>1476.1322265916599</v>
      </c>
      <c r="AE5469" s="2">
        <v>848.42814471336897</v>
      </c>
      <c r="AF5469" s="2">
        <v>969.20009986542004</v>
      </c>
      <c r="AG5469" s="2">
        <v>762.47439890739497</v>
      </c>
      <c r="AH5469" s="2">
        <v>1257.02575720498</v>
      </c>
      <c r="AI5469" s="2">
        <v>687.12032010519704</v>
      </c>
      <c r="AJ5469" s="2">
        <v>902.29606322771497</v>
      </c>
      <c r="AK5469" s="2">
        <v>1277.76792572063</v>
      </c>
      <c r="AL5469" s="2">
        <v>1138.03506445775</v>
      </c>
      <c r="AM5469" s="2">
        <v>1898.4820360092399</v>
      </c>
      <c r="AN5469" s="2">
        <v>1863.5657952239501</v>
      </c>
      <c r="AO5469" s="2">
        <v>1469.0193141124901</v>
      </c>
      <c r="AP5469" s="2">
        <v>1209.9232240259</v>
      </c>
    </row>
    <row r="5470" spans="1:42" ht="14.5" x14ac:dyDescent="0.35">
      <c r="A5470" s="2" t="s">
        <v>36287</v>
      </c>
      <c r="B5470" s="2">
        <v>349.18646619044603</v>
      </c>
      <c r="C5470" s="2">
        <v>3.9694833333333301</v>
      </c>
      <c r="D5470" s="2" t="s">
        <v>70</v>
      </c>
      <c r="E5470" s="2" t="s">
        <v>36288</v>
      </c>
      <c r="F5470" s="2">
        <v>10273</v>
      </c>
      <c r="G5470" s="3" t="str">
        <f>HYPERLINK("http://funmeta.oebiotech.com/network/10273", "http://funmeta.oebiotech.com/network/10273")</f>
        <v>http://funmeta.oebiotech.com/network/10273</v>
      </c>
      <c r="H5470" s="2"/>
      <c r="I5470" s="2"/>
      <c r="J5470" s="2" t="s">
        <v>36289</v>
      </c>
      <c r="K5470" s="2">
        <v>78838</v>
      </c>
      <c r="L5470" s="2"/>
      <c r="M5470" s="2"/>
      <c r="N5470" s="2"/>
      <c r="O5470" s="2">
        <v>86289662</v>
      </c>
      <c r="P5470" s="2"/>
      <c r="Q5470" s="2" t="s">
        <v>36290</v>
      </c>
      <c r="R5470" s="2" t="s">
        <v>36291</v>
      </c>
      <c r="S5470" s="2" t="s">
        <v>79</v>
      </c>
      <c r="T5470" s="2" t="s">
        <v>80</v>
      </c>
      <c r="U5470" s="2" t="s">
        <v>81</v>
      </c>
      <c r="V5470" s="2" t="s">
        <v>59</v>
      </c>
      <c r="W5470" s="2">
        <v>38.799999999999997</v>
      </c>
      <c r="X5470" s="2">
        <v>0</v>
      </c>
      <c r="Y5470" s="2" t="s">
        <v>408</v>
      </c>
      <c r="Z5470" s="2" t="s">
        <v>36292</v>
      </c>
      <c r="AA5470" s="2">
        <v>-1.0693855269565999</v>
      </c>
      <c r="AB5470" s="2">
        <v>8.1073923050064001E-2</v>
      </c>
      <c r="AC5470" s="2">
        <v>868.667542492292</v>
      </c>
      <c r="AD5470" s="2">
        <v>1415.6473284178201</v>
      </c>
      <c r="AE5470" s="2">
        <v>515.72038317275997</v>
      </c>
      <c r="AF5470" s="2">
        <v>748.46094180116995</v>
      </c>
      <c r="AG5470" s="2">
        <v>1067.3137170176699</v>
      </c>
      <c r="AH5470" s="2">
        <v>805.71391029304596</v>
      </c>
      <c r="AI5470" s="2">
        <v>932.727591977374</v>
      </c>
      <c r="AJ5470" s="2">
        <v>1142.0687106917301</v>
      </c>
      <c r="AK5470" s="2">
        <v>1682.8881254282201</v>
      </c>
      <c r="AL5470" s="2">
        <v>1461.07448578921</v>
      </c>
      <c r="AM5470" s="2">
        <v>1666.8754201936599</v>
      </c>
      <c r="AN5470" s="2">
        <v>1083.18119976034</v>
      </c>
      <c r="AO5470" s="2">
        <v>1369.8218412394299</v>
      </c>
      <c r="AP5470" s="2">
        <v>1230.0428980960501</v>
      </c>
    </row>
    <row r="5471" spans="1:42" ht="14.5" x14ac:dyDescent="0.35">
      <c r="A5471" s="2" t="s">
        <v>36293</v>
      </c>
      <c r="B5471" s="2">
        <v>230.153777185293</v>
      </c>
      <c r="C5471" s="2">
        <v>4.3453166666666698</v>
      </c>
      <c r="D5471" s="2" t="s">
        <v>34</v>
      </c>
      <c r="E5471" s="2" t="s">
        <v>36294</v>
      </c>
      <c r="F5471" s="2">
        <v>210605</v>
      </c>
      <c r="G5471" s="3" t="str">
        <f>HYPERLINK("http://funmeta.oebiotech.com/network/210605", "http://funmeta.oebiotech.com/network/210605")</f>
        <v>http://funmeta.oebiotech.com/network/210605</v>
      </c>
      <c r="H5471" s="2" t="s">
        <v>36295</v>
      </c>
      <c r="I5471" s="2">
        <v>44357</v>
      </c>
      <c r="J5471" s="2"/>
      <c r="K5471" s="2"/>
      <c r="L5471" s="2" t="s">
        <v>36296</v>
      </c>
      <c r="M5471" s="2"/>
      <c r="N5471" s="2"/>
      <c r="O5471" s="2">
        <v>4930</v>
      </c>
      <c r="P5471" s="2" t="s">
        <v>36297</v>
      </c>
      <c r="Q5471" s="2" t="s">
        <v>36298</v>
      </c>
      <c r="R5471" s="2" t="s">
        <v>36299</v>
      </c>
      <c r="S5471" s="2" t="s">
        <v>148</v>
      </c>
      <c r="T5471" s="2" t="s">
        <v>6221</v>
      </c>
      <c r="U5471" s="2" t="s">
        <v>41</v>
      </c>
      <c r="V5471" s="2" t="s">
        <v>59</v>
      </c>
      <c r="W5471" s="2">
        <v>39.6</v>
      </c>
      <c r="X5471" s="2">
        <v>0</v>
      </c>
      <c r="Y5471" s="2" t="s">
        <v>394</v>
      </c>
      <c r="Z5471" s="2" t="s">
        <v>36300</v>
      </c>
      <c r="AA5471" s="2">
        <v>-0.71343127733624701</v>
      </c>
      <c r="AB5471" s="2">
        <v>8.0947720659143796E-2</v>
      </c>
      <c r="AC5471" s="2">
        <v>7169.2502679359504</v>
      </c>
      <c r="AD5471" s="2">
        <v>8021.1932391710097</v>
      </c>
      <c r="AE5471" s="2">
        <v>6994.0682269577101</v>
      </c>
      <c r="AF5471" s="2">
        <v>6036.3605981465798</v>
      </c>
      <c r="AG5471" s="2">
        <v>7810.9972206607399</v>
      </c>
      <c r="AH5471" s="2">
        <v>7057.7118720749604</v>
      </c>
      <c r="AI5471" s="2">
        <v>7695.5864084593204</v>
      </c>
      <c r="AJ5471" s="2">
        <v>7420.7772813164001</v>
      </c>
      <c r="AK5471" s="2">
        <v>7925.8071174234701</v>
      </c>
      <c r="AL5471" s="2">
        <v>7719.88689861276</v>
      </c>
      <c r="AM5471" s="2">
        <v>9058.0999196302801</v>
      </c>
      <c r="AN5471" s="2">
        <v>8167.4278851877498</v>
      </c>
      <c r="AO5471" s="2">
        <v>6404.82725848891</v>
      </c>
      <c r="AP5471" s="2">
        <v>8851.1103556829003</v>
      </c>
    </row>
    <row r="5472" spans="1:42" ht="14.5" x14ac:dyDescent="0.35">
      <c r="A5472" s="2" t="s">
        <v>36301</v>
      </c>
      <c r="B5472" s="2">
        <v>627.15491354298297</v>
      </c>
      <c r="C5472" s="2">
        <v>3.9845333333333302</v>
      </c>
      <c r="D5472" s="2" t="s">
        <v>34</v>
      </c>
      <c r="E5472" s="2" t="s">
        <v>36302</v>
      </c>
      <c r="F5472" s="2">
        <v>60931</v>
      </c>
      <c r="G5472" s="3" t="str">
        <f>HYPERLINK("http://funmeta.oebiotech.com/network/60931", "http://funmeta.oebiotech.com/network/60931")</f>
        <v>http://funmeta.oebiotech.com/network/60931</v>
      </c>
      <c r="H5472" s="2" t="s">
        <v>36303</v>
      </c>
      <c r="I5472" s="2"/>
      <c r="J5472" s="2"/>
      <c r="K5472" s="2"/>
      <c r="L5472" s="2"/>
      <c r="M5472" s="2"/>
      <c r="N5472" s="2"/>
      <c r="O5472" s="2">
        <v>73157268</v>
      </c>
      <c r="P5472" s="2" t="s">
        <v>36304</v>
      </c>
      <c r="Q5472" s="2" t="s">
        <v>36305</v>
      </c>
      <c r="R5472" s="2" t="s">
        <v>36306</v>
      </c>
      <c r="S5472" s="2" t="s">
        <v>115</v>
      </c>
      <c r="T5472" s="2" t="s">
        <v>139</v>
      </c>
      <c r="U5472" s="2" t="s">
        <v>140</v>
      </c>
      <c r="V5472" s="2" t="s">
        <v>59</v>
      </c>
      <c r="W5472" s="2">
        <v>37.299999999999997</v>
      </c>
      <c r="X5472" s="2">
        <v>0</v>
      </c>
      <c r="Y5472" s="2" t="s">
        <v>394</v>
      </c>
      <c r="Z5472" s="2" t="s">
        <v>7322</v>
      </c>
      <c r="AA5472" s="2">
        <v>-1.05787021582136</v>
      </c>
      <c r="AB5472" s="2">
        <v>8.0796987765124506E-2</v>
      </c>
      <c r="AC5472" s="2">
        <v>2007.39403123083</v>
      </c>
      <c r="AD5472" s="2">
        <v>1220.9639429850499</v>
      </c>
      <c r="AE5472" s="2">
        <v>2131.2365481553002</v>
      </c>
      <c r="AF5472" s="2">
        <v>1499.21783709893</v>
      </c>
      <c r="AG5472" s="2">
        <v>1768.32152438101</v>
      </c>
      <c r="AH5472" s="2">
        <v>1565.88668052869</v>
      </c>
      <c r="AI5472" s="2">
        <v>1448.2682641031399</v>
      </c>
      <c r="AJ5472" s="2">
        <v>3631.43333311793</v>
      </c>
      <c r="AK5472" s="2">
        <v>1628.24069640637</v>
      </c>
      <c r="AL5472" s="2">
        <v>881.57844710488303</v>
      </c>
      <c r="AM5472" s="2">
        <v>1488.6127546740599</v>
      </c>
      <c r="AN5472" s="2">
        <v>1656.1667847327899</v>
      </c>
      <c r="AO5472" s="2">
        <v>1057.5036385163401</v>
      </c>
      <c r="AP5472" s="2">
        <v>613.681336475835</v>
      </c>
    </row>
    <row r="5473" spans="1:42" ht="14.5" x14ac:dyDescent="0.35">
      <c r="A5473" s="2" t="s">
        <v>36307</v>
      </c>
      <c r="B5473" s="2">
        <v>632.36439140261905</v>
      </c>
      <c r="C5473" s="2">
        <v>9.0830166666666692</v>
      </c>
      <c r="D5473" s="2" t="s">
        <v>34</v>
      </c>
      <c r="E5473" s="2" t="s">
        <v>36308</v>
      </c>
      <c r="F5473" s="2">
        <v>63367</v>
      </c>
      <c r="G5473" s="3" t="str">
        <f>HYPERLINK("http://funmeta.oebiotech.com/network/63367", "http://funmeta.oebiotech.com/network/63367")</f>
        <v>http://funmeta.oebiotech.com/network/63367</v>
      </c>
      <c r="H5473" s="2" t="s">
        <v>36309</v>
      </c>
      <c r="I5473" s="2">
        <v>94675</v>
      </c>
      <c r="J5473" s="2"/>
      <c r="K5473" s="2"/>
      <c r="L5473" s="2"/>
      <c r="M5473" s="2"/>
      <c r="N5473" s="2"/>
      <c r="O5473" s="2">
        <v>85220065</v>
      </c>
      <c r="P5473" s="2"/>
      <c r="Q5473" s="2" t="s">
        <v>36310</v>
      </c>
      <c r="R5473" s="2" t="s">
        <v>36311</v>
      </c>
      <c r="S5473" s="2" t="s">
        <v>89</v>
      </c>
      <c r="T5473" s="2" t="s">
        <v>1600</v>
      </c>
      <c r="U5473" s="2" t="s">
        <v>1601</v>
      </c>
      <c r="V5473" s="2" t="s">
        <v>59</v>
      </c>
      <c r="W5473" s="2">
        <v>37</v>
      </c>
      <c r="X5473" s="2">
        <v>0</v>
      </c>
      <c r="Y5473" s="2" t="s">
        <v>323</v>
      </c>
      <c r="Z5473" s="2" t="s">
        <v>36312</v>
      </c>
      <c r="AA5473" s="2">
        <v>2.3091026449542</v>
      </c>
      <c r="AB5473" s="2">
        <v>8.0780445577983806E-2</v>
      </c>
      <c r="AC5473" s="2">
        <v>9980.6925393317597</v>
      </c>
      <c r="AD5473" s="2">
        <v>8884.9238946166206</v>
      </c>
      <c r="AE5473" s="2">
        <v>7692.2981324643097</v>
      </c>
      <c r="AF5473" s="2">
        <v>8484.9646142944493</v>
      </c>
      <c r="AG5473" s="2">
        <v>10424.192516367701</v>
      </c>
      <c r="AH5473" s="2">
        <v>10861.8442158952</v>
      </c>
      <c r="AI5473" s="2">
        <v>10872.915704962799</v>
      </c>
      <c r="AJ5473" s="2">
        <v>11547.940052006101</v>
      </c>
      <c r="AK5473" s="2">
        <v>9062.6487321443092</v>
      </c>
      <c r="AL5473" s="2">
        <v>9911.7778178025492</v>
      </c>
      <c r="AM5473" s="2">
        <v>10135.718133281</v>
      </c>
      <c r="AN5473" s="2">
        <v>6954.2342781085899</v>
      </c>
      <c r="AO5473" s="2">
        <v>7772.6842876203</v>
      </c>
      <c r="AP5473" s="2">
        <v>9472.4801187429402</v>
      </c>
    </row>
    <row r="5474" spans="1:42" ht="14.5" x14ac:dyDescent="0.35">
      <c r="A5474" s="2" t="s">
        <v>36313</v>
      </c>
      <c r="B5474" s="2">
        <v>171.10162896766201</v>
      </c>
      <c r="C5474" s="2">
        <v>5.84148333333333</v>
      </c>
      <c r="D5474" s="2" t="s">
        <v>70</v>
      </c>
      <c r="E5474" s="2" t="s">
        <v>36314</v>
      </c>
      <c r="F5474" s="2">
        <v>83665</v>
      </c>
      <c r="G5474" s="3" t="str">
        <f>HYPERLINK("http://funmeta.oebiotech.com/network/83665", "http://funmeta.oebiotech.com/network/83665")</f>
        <v>http://funmeta.oebiotech.com/network/83665</v>
      </c>
      <c r="H5474" s="2" t="s">
        <v>36315</v>
      </c>
      <c r="I5474" s="2"/>
      <c r="J5474" s="2"/>
      <c r="K5474" s="2">
        <v>58600</v>
      </c>
      <c r="L5474" s="2"/>
      <c r="M5474" s="2"/>
      <c r="N5474" s="2"/>
      <c r="O5474" s="2">
        <v>25245502</v>
      </c>
      <c r="P5474" s="2"/>
      <c r="Q5474" s="2" t="s">
        <v>36316</v>
      </c>
      <c r="R5474" s="2" t="s">
        <v>36317</v>
      </c>
      <c r="S5474" s="2" t="s">
        <v>1677</v>
      </c>
      <c r="T5474" s="2" t="s">
        <v>1678</v>
      </c>
      <c r="U5474" s="2" t="s">
        <v>1679</v>
      </c>
      <c r="V5474" s="2" t="s">
        <v>59</v>
      </c>
      <c r="W5474" s="2">
        <v>38.9</v>
      </c>
      <c r="X5474" s="2">
        <v>0</v>
      </c>
      <c r="Y5474" s="2" t="s">
        <v>408</v>
      </c>
      <c r="Z5474" s="2" t="s">
        <v>36318</v>
      </c>
      <c r="AA5474" s="2">
        <v>2.4083338761405999</v>
      </c>
      <c r="AB5474" s="2">
        <v>8.0679645252172597E-2</v>
      </c>
      <c r="AC5474" s="2">
        <v>2315.0450415247501</v>
      </c>
      <c r="AD5474" s="2">
        <v>2808.25867031494</v>
      </c>
      <c r="AE5474" s="2">
        <v>2199.8371395873801</v>
      </c>
      <c r="AF5474" s="2">
        <v>2163.1671281930599</v>
      </c>
      <c r="AG5474" s="2">
        <v>2441.00079943737</v>
      </c>
      <c r="AH5474" s="2">
        <v>2461.8025645974499</v>
      </c>
      <c r="AI5474" s="2">
        <v>2438.4338038791302</v>
      </c>
      <c r="AJ5474" s="2">
        <v>2186.0288134540901</v>
      </c>
      <c r="AK5474" s="2">
        <v>2900.6574721939401</v>
      </c>
      <c r="AL5474" s="2">
        <v>2739.7418517072201</v>
      </c>
      <c r="AM5474" s="2">
        <v>2796.88172999484</v>
      </c>
      <c r="AN5474" s="2">
        <v>2579.2872951976801</v>
      </c>
      <c r="AO5474" s="2">
        <v>3080.82576111446</v>
      </c>
      <c r="AP5474" s="2">
        <v>2752.1579116815301</v>
      </c>
    </row>
    <row r="5475" spans="1:42" ht="14.5" x14ac:dyDescent="0.35">
      <c r="A5475" s="2" t="s">
        <v>36319</v>
      </c>
      <c r="B5475" s="2">
        <v>308.073944856992</v>
      </c>
      <c r="C5475" s="2">
        <v>1.43973333333333</v>
      </c>
      <c r="D5475" s="2" t="s">
        <v>34</v>
      </c>
      <c r="E5475" s="2" t="s">
        <v>36320</v>
      </c>
      <c r="F5475" s="2">
        <v>258276</v>
      </c>
      <c r="G5475" s="3" t="str">
        <f>HYPERLINK("http://funmeta.oebiotech.com/network/258276", "http://funmeta.oebiotech.com/network/258276")</f>
        <v>http://funmeta.oebiotech.com/network/258276</v>
      </c>
      <c r="H5475" s="2" t="s">
        <v>10322</v>
      </c>
      <c r="I5475" s="2">
        <v>3418</v>
      </c>
      <c r="J5475" s="2"/>
      <c r="K5475" s="2"/>
      <c r="L5475" s="2" t="s">
        <v>10323</v>
      </c>
      <c r="M5475" s="2" t="s">
        <v>10324</v>
      </c>
      <c r="N5475" s="2" t="s">
        <v>10325</v>
      </c>
      <c r="O5475" s="2">
        <v>165007</v>
      </c>
      <c r="P5475" s="2" t="s">
        <v>36321</v>
      </c>
      <c r="Q5475" s="2" t="s">
        <v>36322</v>
      </c>
      <c r="R5475" s="2" t="s">
        <v>36323</v>
      </c>
      <c r="S5475" s="2" t="s">
        <v>79</v>
      </c>
      <c r="T5475" s="2" t="s">
        <v>80</v>
      </c>
      <c r="U5475" s="2" t="s">
        <v>81</v>
      </c>
      <c r="V5475" s="2" t="s">
        <v>59</v>
      </c>
      <c r="W5475" s="2">
        <v>39</v>
      </c>
      <c r="X5475" s="2">
        <v>0</v>
      </c>
      <c r="Y5475" s="2" t="s">
        <v>43</v>
      </c>
      <c r="Z5475" s="2" t="s">
        <v>10329</v>
      </c>
      <c r="AA5475" s="2">
        <v>-0.56536856392236801</v>
      </c>
      <c r="AB5475" s="2">
        <v>8.0667429724165296E-2</v>
      </c>
      <c r="AC5475" s="2">
        <v>5739.8673890098598</v>
      </c>
      <c r="AD5475" s="2">
        <v>4971.4243690005096</v>
      </c>
      <c r="AE5475" s="2">
        <v>4853.8821392496002</v>
      </c>
      <c r="AF5475" s="2">
        <v>6651.6670190690902</v>
      </c>
      <c r="AG5475" s="2">
        <v>5399.4369302547702</v>
      </c>
      <c r="AH5475" s="2">
        <v>5353.8406324847001</v>
      </c>
      <c r="AI5475" s="2">
        <v>6826.5005627601504</v>
      </c>
      <c r="AJ5475" s="2">
        <v>5353.8770502408397</v>
      </c>
      <c r="AK5475" s="2">
        <v>4963.8279265968904</v>
      </c>
      <c r="AL5475" s="2">
        <v>4756.0978220753004</v>
      </c>
      <c r="AM5475" s="2">
        <v>4606.1972579071598</v>
      </c>
      <c r="AN5475" s="2">
        <v>5519.36485855296</v>
      </c>
      <c r="AO5475" s="2">
        <v>5130.4396850705598</v>
      </c>
      <c r="AP5475" s="2">
        <v>4852.61866380021</v>
      </c>
    </row>
    <row r="5476" spans="1:42" ht="14.5" x14ac:dyDescent="0.35">
      <c r="A5476" s="2" t="s">
        <v>36324</v>
      </c>
      <c r="B5476" s="2">
        <v>591.49787014279195</v>
      </c>
      <c r="C5476" s="2">
        <v>13.7756666666667</v>
      </c>
      <c r="D5476" s="2" t="s">
        <v>34</v>
      </c>
      <c r="E5476" s="2" t="s">
        <v>36325</v>
      </c>
      <c r="F5476" s="2">
        <v>48985</v>
      </c>
      <c r="G5476" s="3" t="str">
        <f>HYPERLINK("http://funmeta.oebiotech.com/network/48985", "http://funmeta.oebiotech.com/network/48985")</f>
        <v>http://funmeta.oebiotech.com/network/48985</v>
      </c>
      <c r="H5476" s="2" t="s">
        <v>36326</v>
      </c>
      <c r="I5476" s="2">
        <v>58658</v>
      </c>
      <c r="J5476" s="2"/>
      <c r="K5476" s="2">
        <v>88794</v>
      </c>
      <c r="L5476" s="2"/>
      <c r="M5476" s="2"/>
      <c r="N5476" s="2"/>
      <c r="O5476" s="2">
        <v>53477958</v>
      </c>
      <c r="P5476" s="2"/>
      <c r="Q5476" s="2" t="s">
        <v>36327</v>
      </c>
      <c r="R5476" s="2" t="s">
        <v>36328</v>
      </c>
      <c r="S5476" s="2" t="s">
        <v>50</v>
      </c>
      <c r="T5476" s="2" t="s">
        <v>448</v>
      </c>
      <c r="U5476" s="2" t="s">
        <v>1864</v>
      </c>
      <c r="V5476" s="2" t="s">
        <v>59</v>
      </c>
      <c r="W5476" s="2">
        <v>37.9</v>
      </c>
      <c r="X5476" s="2">
        <v>0</v>
      </c>
      <c r="Y5476" s="2" t="s">
        <v>394</v>
      </c>
      <c r="Z5476" s="2" t="s">
        <v>36329</v>
      </c>
      <c r="AA5476" s="2">
        <v>-0.73075391456736005</v>
      </c>
      <c r="AB5476" s="2">
        <v>8.0426116378816206E-2</v>
      </c>
      <c r="AC5476" s="2">
        <v>3073.5234218534702</v>
      </c>
      <c r="AD5476" s="2">
        <v>2468.8246216192301</v>
      </c>
      <c r="AE5476" s="2">
        <v>3085.5564565282598</v>
      </c>
      <c r="AF5476" s="2">
        <v>2767.7629309660601</v>
      </c>
      <c r="AG5476" s="2">
        <v>3039.44186149711</v>
      </c>
      <c r="AH5476" s="2">
        <v>3137.3306569003198</v>
      </c>
      <c r="AI5476" s="2">
        <v>2899.9416310454599</v>
      </c>
      <c r="AJ5476" s="2">
        <v>3511.1069941836099</v>
      </c>
      <c r="AK5476" s="2">
        <v>2422.0360635697898</v>
      </c>
      <c r="AL5476" s="2">
        <v>2166.2824595625302</v>
      </c>
      <c r="AM5476" s="2">
        <v>2077.0800395864098</v>
      </c>
      <c r="AN5476" s="2">
        <v>2341.9041109679301</v>
      </c>
      <c r="AO5476" s="2">
        <v>2602.1965879703098</v>
      </c>
      <c r="AP5476" s="2">
        <v>3203.4484680584301</v>
      </c>
    </row>
    <row r="5477" spans="1:42" ht="14.5" x14ac:dyDescent="0.35">
      <c r="A5477" s="2" t="s">
        <v>36330</v>
      </c>
      <c r="B5477" s="2">
        <v>667.33311645720096</v>
      </c>
      <c r="C5477" s="2">
        <v>7.6215666666666699</v>
      </c>
      <c r="D5477" s="2" t="s">
        <v>70</v>
      </c>
      <c r="E5477" s="2" t="s">
        <v>36331</v>
      </c>
      <c r="F5477" s="2">
        <v>48300</v>
      </c>
      <c r="G5477" s="3" t="str">
        <f>HYPERLINK("http://funmeta.oebiotech.com/network/48300", "http://funmeta.oebiotech.com/network/48300")</f>
        <v>http://funmeta.oebiotech.com/network/48300</v>
      </c>
      <c r="H5477" s="2" t="s">
        <v>36332</v>
      </c>
      <c r="I5477" s="2">
        <v>58247</v>
      </c>
      <c r="J5477" s="2"/>
      <c r="K5477" s="2"/>
      <c r="L5477" s="2"/>
      <c r="M5477" s="2"/>
      <c r="N5477" s="2"/>
      <c r="O5477" s="2">
        <v>98521</v>
      </c>
      <c r="P5477" s="2" t="s">
        <v>36333</v>
      </c>
      <c r="Q5477" s="2" t="s">
        <v>36334</v>
      </c>
      <c r="R5477" s="2" t="s">
        <v>36335</v>
      </c>
      <c r="S5477" s="2" t="s">
        <v>50</v>
      </c>
      <c r="T5477" s="2" t="s">
        <v>124</v>
      </c>
      <c r="U5477" s="2" t="s">
        <v>2373</v>
      </c>
      <c r="V5477" s="2" t="s">
        <v>59</v>
      </c>
      <c r="W5477" s="2">
        <v>38.4</v>
      </c>
      <c r="X5477" s="2">
        <v>0</v>
      </c>
      <c r="Y5477" s="2" t="s">
        <v>560</v>
      </c>
      <c r="Z5477" s="2" t="s">
        <v>36336</v>
      </c>
      <c r="AA5477" s="2">
        <v>0.71412640451332998</v>
      </c>
      <c r="AB5477" s="2">
        <v>8.0350966677039407E-2</v>
      </c>
      <c r="AC5477" s="2">
        <v>6113.6501238137598</v>
      </c>
      <c r="AD5477" s="2">
        <v>5147.7996923912297</v>
      </c>
      <c r="AE5477" s="2">
        <v>6713.0957179572297</v>
      </c>
      <c r="AF5477" s="2">
        <v>5660.5638892515999</v>
      </c>
      <c r="AG5477" s="2">
        <v>5382.3596199345602</v>
      </c>
      <c r="AH5477" s="2">
        <v>5440.1867831761101</v>
      </c>
      <c r="AI5477" s="2">
        <v>7556.3516377073402</v>
      </c>
      <c r="AJ5477" s="2">
        <v>5929.3430948557098</v>
      </c>
      <c r="AK5477" s="2">
        <v>6308.8094165518696</v>
      </c>
      <c r="AL5477" s="2">
        <v>4944.2652817387298</v>
      </c>
      <c r="AM5477" s="2">
        <v>5089.6080240390102</v>
      </c>
      <c r="AN5477" s="2">
        <v>5098.5681811030199</v>
      </c>
      <c r="AO5477" s="2">
        <v>3007.0428523012301</v>
      </c>
      <c r="AP5477" s="2">
        <v>6438.5043986134997</v>
      </c>
    </row>
    <row r="5478" spans="1:42" ht="14.5" x14ac:dyDescent="0.35">
      <c r="A5478" s="2" t="s">
        <v>36337</v>
      </c>
      <c r="B5478" s="2">
        <v>459.129778695585</v>
      </c>
      <c r="C5478" s="2">
        <v>4.8087833333333299</v>
      </c>
      <c r="D5478" s="2" t="s">
        <v>70</v>
      </c>
      <c r="E5478" s="2" t="s">
        <v>36338</v>
      </c>
      <c r="F5478" s="2">
        <v>31102</v>
      </c>
      <c r="G5478" s="3" t="str">
        <f>HYPERLINK("http://funmeta.oebiotech.com/network/31102", "http://funmeta.oebiotech.com/network/31102")</f>
        <v>http://funmeta.oebiotech.com/network/31102</v>
      </c>
      <c r="H5478" s="2"/>
      <c r="I5478" s="2"/>
      <c r="J5478" s="2" t="s">
        <v>36339</v>
      </c>
      <c r="K5478" s="2"/>
      <c r="L5478" s="2"/>
      <c r="M5478" s="2"/>
      <c r="N5478" s="2"/>
      <c r="O5478" s="2">
        <v>44258356</v>
      </c>
      <c r="P5478" s="2"/>
      <c r="Q5478" s="2" t="s">
        <v>36340</v>
      </c>
      <c r="R5478" s="2" t="s">
        <v>36341</v>
      </c>
      <c r="S5478" s="2" t="s">
        <v>115</v>
      </c>
      <c r="T5478" s="2" t="s">
        <v>139</v>
      </c>
      <c r="U5478" s="2" t="s">
        <v>140</v>
      </c>
      <c r="V5478" s="2" t="s">
        <v>59</v>
      </c>
      <c r="W5478" s="2">
        <v>47.5</v>
      </c>
      <c r="X5478" s="2">
        <v>43</v>
      </c>
      <c r="Y5478" s="2" t="s">
        <v>118</v>
      </c>
      <c r="Z5478" s="2" t="s">
        <v>30879</v>
      </c>
      <c r="AA5478" s="2">
        <v>0.235065463810816</v>
      </c>
      <c r="AB5478" s="2">
        <v>8.0339515204770007E-2</v>
      </c>
      <c r="AC5478" s="2">
        <v>50510.7445402179</v>
      </c>
      <c r="AD5478" s="2">
        <v>48839.734648668898</v>
      </c>
      <c r="AE5478" s="2">
        <v>50938.706018719</v>
      </c>
      <c r="AF5478" s="2">
        <v>46860.730559053998</v>
      </c>
      <c r="AG5478" s="2">
        <v>52479.834381561501</v>
      </c>
      <c r="AH5478" s="2">
        <v>53798.085955449998</v>
      </c>
      <c r="AI5478" s="2">
        <v>49465.928626657202</v>
      </c>
      <c r="AJ5478" s="2">
        <v>49521.181699865701</v>
      </c>
      <c r="AK5478" s="2">
        <v>46431.620248669999</v>
      </c>
      <c r="AL5478" s="2">
        <v>46374.078362333799</v>
      </c>
      <c r="AM5478" s="2">
        <v>55309.878804731001</v>
      </c>
      <c r="AN5478" s="2">
        <v>50379.801789065299</v>
      </c>
      <c r="AO5478" s="2">
        <v>43582.914018789597</v>
      </c>
      <c r="AP5478" s="2">
        <v>50960.114668423703</v>
      </c>
    </row>
    <row r="5479" spans="1:42" ht="14.5" x14ac:dyDescent="0.35">
      <c r="A5479" s="2" t="s">
        <v>36342</v>
      </c>
      <c r="B5479" s="2">
        <v>297.14831208230697</v>
      </c>
      <c r="C5479" s="2">
        <v>10.4180166666667</v>
      </c>
      <c r="D5479" s="2" t="s">
        <v>34</v>
      </c>
      <c r="E5479" s="2" t="s">
        <v>36343</v>
      </c>
      <c r="F5479" s="2">
        <v>59110</v>
      </c>
      <c r="G5479" s="3" t="str">
        <f>HYPERLINK("http://funmeta.oebiotech.com/network/59110", "http://funmeta.oebiotech.com/network/59110")</f>
        <v>http://funmeta.oebiotech.com/network/59110</v>
      </c>
      <c r="H5479" s="2" t="s">
        <v>36344</v>
      </c>
      <c r="I5479" s="2">
        <v>90535</v>
      </c>
      <c r="J5479" s="2"/>
      <c r="K5479" s="2"/>
      <c r="L5479" s="2"/>
      <c r="M5479" s="2"/>
      <c r="N5479" s="2"/>
      <c r="O5479" s="2">
        <v>496348</v>
      </c>
      <c r="P5479" s="2" t="s">
        <v>36345</v>
      </c>
      <c r="Q5479" s="2" t="s">
        <v>36346</v>
      </c>
      <c r="R5479" s="2" t="s">
        <v>36347</v>
      </c>
      <c r="S5479" s="2" t="s">
        <v>50</v>
      </c>
      <c r="T5479" s="2" t="s">
        <v>201</v>
      </c>
      <c r="U5479" s="2" t="s">
        <v>241</v>
      </c>
      <c r="V5479" s="2" t="s">
        <v>59</v>
      </c>
      <c r="W5479" s="2">
        <v>39</v>
      </c>
      <c r="X5479" s="2">
        <v>0</v>
      </c>
      <c r="Y5479" s="2" t="s">
        <v>394</v>
      </c>
      <c r="Z5479" s="2" t="s">
        <v>36348</v>
      </c>
      <c r="AA5479" s="2">
        <v>-0.70523703294857698</v>
      </c>
      <c r="AB5479" s="2">
        <v>8.0284948115051893E-2</v>
      </c>
      <c r="AC5479" s="2">
        <v>868.83278833914005</v>
      </c>
      <c r="AD5479" s="2">
        <v>1363.66636356719</v>
      </c>
      <c r="AE5479" s="2">
        <v>1089.5930412425701</v>
      </c>
      <c r="AF5479" s="2">
        <v>999.47209153625795</v>
      </c>
      <c r="AG5479" s="2">
        <v>858.98963583132695</v>
      </c>
      <c r="AH5479" s="2">
        <v>683.870505953362</v>
      </c>
      <c r="AI5479" s="2">
        <v>812.56507496218705</v>
      </c>
      <c r="AJ5479" s="2">
        <v>768.50638050913801</v>
      </c>
      <c r="AK5479" s="2">
        <v>1291.1013532121101</v>
      </c>
      <c r="AL5479" s="2">
        <v>1116.6928210026799</v>
      </c>
      <c r="AM5479" s="2">
        <v>1636.5549610754599</v>
      </c>
      <c r="AN5479" s="2">
        <v>1486.43690710178</v>
      </c>
      <c r="AO5479" s="2">
        <v>1297.98106555204</v>
      </c>
      <c r="AP5479" s="2">
        <v>1353.2310734590501</v>
      </c>
    </row>
    <row r="5480" spans="1:42" ht="14.5" x14ac:dyDescent="0.35">
      <c r="A5480" s="2" t="s">
        <v>36349</v>
      </c>
      <c r="B5480" s="2">
        <v>399.00951393298402</v>
      </c>
      <c r="C5480" s="2">
        <v>7.7806833333333296</v>
      </c>
      <c r="D5480" s="2" t="s">
        <v>70</v>
      </c>
      <c r="E5480" s="2" t="s">
        <v>36350</v>
      </c>
      <c r="F5480" s="2">
        <v>47516</v>
      </c>
      <c r="G5480" s="3" t="str">
        <f>HYPERLINK("http://funmeta.oebiotech.com/network/47516", "http://funmeta.oebiotech.com/network/47516")</f>
        <v>http://funmeta.oebiotech.com/network/47516</v>
      </c>
      <c r="H5480" s="2" t="s">
        <v>36351</v>
      </c>
      <c r="I5480" s="2">
        <v>355</v>
      </c>
      <c r="J5480" s="2"/>
      <c r="K5480" s="2">
        <v>48153</v>
      </c>
      <c r="L5480" s="2" t="s">
        <v>36352</v>
      </c>
      <c r="M5480" s="2" t="s">
        <v>36353</v>
      </c>
      <c r="N5480" s="2" t="s">
        <v>36354</v>
      </c>
      <c r="O5480" s="2">
        <v>122357</v>
      </c>
      <c r="P5480" s="2" t="s">
        <v>36355</v>
      </c>
      <c r="Q5480" s="2" t="s">
        <v>36356</v>
      </c>
      <c r="R5480" s="2" t="s">
        <v>36357</v>
      </c>
      <c r="S5480" s="2" t="s">
        <v>79</v>
      </c>
      <c r="T5480" s="2" t="s">
        <v>80</v>
      </c>
      <c r="U5480" s="2" t="s">
        <v>81</v>
      </c>
      <c r="V5480" s="2" t="s">
        <v>59</v>
      </c>
      <c r="W5480" s="2">
        <v>39.200000000000003</v>
      </c>
      <c r="X5480" s="2">
        <v>0</v>
      </c>
      <c r="Y5480" s="2" t="s">
        <v>560</v>
      </c>
      <c r="Z5480" s="2" t="s">
        <v>36358</v>
      </c>
      <c r="AA5480" s="2">
        <v>-0.97032361891018304</v>
      </c>
      <c r="AB5480" s="2">
        <v>8.0270078288464303E-2</v>
      </c>
      <c r="AC5480" s="2">
        <v>4287.6256329171601</v>
      </c>
      <c r="AD5480" s="2">
        <v>4950.8094169816304</v>
      </c>
      <c r="AE5480" s="2">
        <v>4076.27189910792</v>
      </c>
      <c r="AF5480" s="2">
        <v>5095.7147300076404</v>
      </c>
      <c r="AG5480" s="2">
        <v>3849.2615678494399</v>
      </c>
      <c r="AH5480" s="2">
        <v>4784.3613793378499</v>
      </c>
      <c r="AI5480" s="2">
        <v>4244.4268814828401</v>
      </c>
      <c r="AJ5480" s="2">
        <v>3675.7173397172501</v>
      </c>
      <c r="AK5480" s="2">
        <v>4878.8428215103704</v>
      </c>
      <c r="AL5480" s="2">
        <v>5173.85018394688</v>
      </c>
      <c r="AM5480" s="2">
        <v>4817.82728132991</v>
      </c>
      <c r="AN5480" s="2">
        <v>5149.1251264317498</v>
      </c>
      <c r="AO5480" s="2">
        <v>5213.3989425864702</v>
      </c>
      <c r="AP5480" s="2">
        <v>4471.8121460844204</v>
      </c>
    </row>
    <row r="5481" spans="1:42" ht="14.5" x14ac:dyDescent="0.35">
      <c r="A5481" s="2" t="s">
        <v>36359</v>
      </c>
      <c r="B5481" s="2">
        <v>313.082252933772</v>
      </c>
      <c r="C5481" s="2">
        <v>3.82433333333333</v>
      </c>
      <c r="D5481" s="2" t="s">
        <v>70</v>
      </c>
      <c r="E5481" s="2" t="s">
        <v>36360</v>
      </c>
      <c r="F5481" s="2">
        <v>64920</v>
      </c>
      <c r="G5481" s="3" t="str">
        <f>HYPERLINK("http://funmeta.oebiotech.com/network/64920", "http://funmeta.oebiotech.com/network/64920")</f>
        <v>http://funmeta.oebiotech.com/network/64920</v>
      </c>
      <c r="H5481" s="2" t="s">
        <v>36361</v>
      </c>
      <c r="I5481" s="2">
        <v>1849</v>
      </c>
      <c r="J5481" s="2"/>
      <c r="K5481" s="2">
        <v>63804</v>
      </c>
      <c r="L5481" s="2"/>
      <c r="M5481" s="2"/>
      <c r="N5481" s="2"/>
      <c r="O5481" s="2">
        <v>17732</v>
      </c>
      <c r="P5481" s="2" t="s">
        <v>36362</v>
      </c>
      <c r="Q5481" s="2" t="s">
        <v>36363</v>
      </c>
      <c r="R5481" s="2" t="s">
        <v>36364</v>
      </c>
      <c r="S5481" s="2" t="s">
        <v>491</v>
      </c>
      <c r="T5481" s="2" t="s">
        <v>3479</v>
      </c>
      <c r="U5481" s="2" t="s">
        <v>13711</v>
      </c>
      <c r="V5481" s="2" t="s">
        <v>59</v>
      </c>
      <c r="W5481" s="2">
        <v>37.6</v>
      </c>
      <c r="X5481" s="2">
        <v>0</v>
      </c>
      <c r="Y5481" s="2" t="s">
        <v>408</v>
      </c>
      <c r="Z5481" s="2" t="s">
        <v>36365</v>
      </c>
      <c r="AA5481" s="2">
        <v>-2.76848731896925</v>
      </c>
      <c r="AB5481" s="2">
        <v>8.02643064280463E-2</v>
      </c>
      <c r="AC5481" s="2">
        <v>12155.858238646801</v>
      </c>
      <c r="AD5481" s="2">
        <v>11313.2877504712</v>
      </c>
      <c r="AE5481" s="2">
        <v>12354.1536890598</v>
      </c>
      <c r="AF5481" s="2">
        <v>13460.2948573713</v>
      </c>
      <c r="AG5481" s="2">
        <v>11297.1716725482</v>
      </c>
      <c r="AH5481" s="2">
        <v>11091.098632809</v>
      </c>
      <c r="AI5481" s="2">
        <v>11721.179074523599</v>
      </c>
      <c r="AJ5481" s="2">
        <v>13011.2515055689</v>
      </c>
      <c r="AK5481" s="2">
        <v>10968.7230196701</v>
      </c>
      <c r="AL5481" s="2">
        <v>12249.716807864401</v>
      </c>
      <c r="AM5481" s="2">
        <v>11203.7169451031</v>
      </c>
      <c r="AN5481" s="2">
        <v>11919.7430759612</v>
      </c>
      <c r="AO5481" s="2">
        <v>10680.2440535233</v>
      </c>
      <c r="AP5481" s="2">
        <v>10857.5826007048</v>
      </c>
    </row>
    <row r="5482" spans="1:42" ht="14.5" x14ac:dyDescent="0.35">
      <c r="A5482" s="2" t="s">
        <v>36366</v>
      </c>
      <c r="B5482" s="2">
        <v>809.35574379044704</v>
      </c>
      <c r="C5482" s="2">
        <v>5.7854333333333301</v>
      </c>
      <c r="D5482" s="2" t="s">
        <v>70</v>
      </c>
      <c r="E5482" s="2" t="s">
        <v>36367</v>
      </c>
      <c r="F5482" s="2">
        <v>8873</v>
      </c>
      <c r="G5482" s="3" t="str">
        <f>HYPERLINK("http://funmeta.oebiotech.com/network/8873", "http://funmeta.oebiotech.com/network/8873")</f>
        <v>http://funmeta.oebiotech.com/network/8873</v>
      </c>
      <c r="H5482" s="2"/>
      <c r="I5482" s="2"/>
      <c r="J5482" s="2" t="s">
        <v>36368</v>
      </c>
      <c r="K5482" s="2"/>
      <c r="L5482" s="2"/>
      <c r="M5482" s="2"/>
      <c r="N5482" s="2"/>
      <c r="O5482" s="2">
        <v>101705082</v>
      </c>
      <c r="P5482" s="2"/>
      <c r="Q5482" s="2" t="s">
        <v>36369</v>
      </c>
      <c r="R5482" s="2" t="s">
        <v>36370</v>
      </c>
      <c r="S5482" s="2" t="s">
        <v>79</v>
      </c>
      <c r="T5482" s="2" t="s">
        <v>80</v>
      </c>
      <c r="U5482" s="2" t="s">
        <v>2021</v>
      </c>
      <c r="V5482" s="2" t="s">
        <v>59</v>
      </c>
      <c r="W5482" s="2">
        <v>36.4</v>
      </c>
      <c r="X5482" s="2">
        <v>0</v>
      </c>
      <c r="Y5482" s="2" t="s">
        <v>560</v>
      </c>
      <c r="Z5482" s="2" t="s">
        <v>36371</v>
      </c>
      <c r="AA5482" s="2">
        <v>-1.5134543981350499</v>
      </c>
      <c r="AB5482" s="2">
        <v>8.0236812487151699E-2</v>
      </c>
      <c r="AC5482" s="2">
        <v>6374.4186402621399</v>
      </c>
      <c r="AD5482" s="2">
        <v>7406.8208018259302</v>
      </c>
      <c r="AE5482" s="2">
        <v>6518.1620528916201</v>
      </c>
      <c r="AF5482" s="2">
        <v>7499.0470075535604</v>
      </c>
      <c r="AG5482" s="2">
        <v>5924.1043404198999</v>
      </c>
      <c r="AH5482" s="2">
        <v>5573.3623814063203</v>
      </c>
      <c r="AI5482" s="2">
        <v>7210.1757081452897</v>
      </c>
      <c r="AJ5482" s="2">
        <v>5521.6603511561298</v>
      </c>
      <c r="AK5482" s="2">
        <v>8068.0228321848999</v>
      </c>
      <c r="AL5482" s="2">
        <v>8265.2105232986396</v>
      </c>
      <c r="AM5482" s="2">
        <v>9799.9008694466393</v>
      </c>
      <c r="AN5482" s="2">
        <v>6087.7592242574301</v>
      </c>
      <c r="AO5482" s="2">
        <v>6579.5696749033305</v>
      </c>
      <c r="AP5482" s="2">
        <v>5640.4616868646599</v>
      </c>
    </row>
    <row r="5483" spans="1:42" ht="14.5" x14ac:dyDescent="0.35">
      <c r="A5483" s="2" t="s">
        <v>36372</v>
      </c>
      <c r="B5483" s="2">
        <v>481.221732279604</v>
      </c>
      <c r="C5483" s="2">
        <v>8.4891833333333295</v>
      </c>
      <c r="D5483" s="2" t="s">
        <v>34</v>
      </c>
      <c r="E5483" s="2" t="s">
        <v>36373</v>
      </c>
      <c r="F5483" s="2">
        <v>58737</v>
      </c>
      <c r="G5483" s="3" t="str">
        <f>HYPERLINK("http://funmeta.oebiotech.com/network/58737", "http://funmeta.oebiotech.com/network/58737")</f>
        <v>http://funmeta.oebiotech.com/network/58737</v>
      </c>
      <c r="H5483" s="2" t="s">
        <v>36374</v>
      </c>
      <c r="I5483" s="2"/>
      <c r="J5483" s="2"/>
      <c r="K5483" s="2"/>
      <c r="L5483" s="2"/>
      <c r="M5483" s="2"/>
      <c r="N5483" s="2"/>
      <c r="O5483" s="2">
        <v>131751621</v>
      </c>
      <c r="P5483" s="2" t="s">
        <v>36375</v>
      </c>
      <c r="Q5483" s="2" t="s">
        <v>36376</v>
      </c>
      <c r="R5483" s="2" t="s">
        <v>36377</v>
      </c>
      <c r="S5483" s="2" t="s">
        <v>50</v>
      </c>
      <c r="T5483" s="2" t="s">
        <v>229</v>
      </c>
      <c r="U5483" s="2" t="s">
        <v>1283</v>
      </c>
      <c r="V5483" s="2" t="s">
        <v>59</v>
      </c>
      <c r="W5483" s="2">
        <v>42.1</v>
      </c>
      <c r="X5483" s="2">
        <v>20.2</v>
      </c>
      <c r="Y5483" s="2" t="s">
        <v>323</v>
      </c>
      <c r="Z5483" s="2" t="s">
        <v>4024</v>
      </c>
      <c r="AA5483" s="2">
        <v>4.4915659552212199</v>
      </c>
      <c r="AB5483" s="2">
        <v>7.9962893561929302E-2</v>
      </c>
      <c r="AC5483" s="2">
        <v>72002.303416071896</v>
      </c>
      <c r="AD5483" s="2">
        <v>73794.293059771997</v>
      </c>
      <c r="AE5483" s="2">
        <v>70835.508135812997</v>
      </c>
      <c r="AF5483" s="2">
        <v>68071.079368217106</v>
      </c>
      <c r="AG5483" s="2">
        <v>75353.020130791003</v>
      </c>
      <c r="AH5483" s="2">
        <v>73661.078986153007</v>
      </c>
      <c r="AI5483" s="2">
        <v>66198.686936886705</v>
      </c>
      <c r="AJ5483" s="2">
        <v>77894.446938570502</v>
      </c>
      <c r="AK5483" s="2">
        <v>76653.945740439507</v>
      </c>
      <c r="AL5483" s="2">
        <v>69648.607371870501</v>
      </c>
      <c r="AM5483" s="2">
        <v>70019.011999797105</v>
      </c>
      <c r="AN5483" s="2">
        <v>75852.126367586199</v>
      </c>
      <c r="AO5483" s="2">
        <v>73321.098174288301</v>
      </c>
      <c r="AP5483" s="2">
        <v>77270.968704650295</v>
      </c>
    </row>
    <row r="5484" spans="1:42" ht="14.5" x14ac:dyDescent="0.35">
      <c r="A5484" s="2" t="s">
        <v>36378</v>
      </c>
      <c r="B5484" s="2">
        <v>342.10623119893103</v>
      </c>
      <c r="C5484" s="2">
        <v>0.66754999999999998</v>
      </c>
      <c r="D5484" s="2" t="s">
        <v>34</v>
      </c>
      <c r="E5484" s="2" t="s">
        <v>36379</v>
      </c>
      <c r="F5484" s="2">
        <v>53801</v>
      </c>
      <c r="G5484" s="3" t="str">
        <f>HYPERLINK("http://funmeta.oebiotech.com/network/53801", "http://funmeta.oebiotech.com/network/53801")</f>
        <v>http://funmeta.oebiotech.com/network/53801</v>
      </c>
      <c r="H5484" s="2" t="s">
        <v>36380</v>
      </c>
      <c r="I5484" s="2"/>
      <c r="J5484" s="2"/>
      <c r="K5484" s="2"/>
      <c r="L5484" s="2"/>
      <c r="M5484" s="2"/>
      <c r="N5484" s="2"/>
      <c r="O5484" s="2">
        <v>9948926</v>
      </c>
      <c r="P5484" s="2"/>
      <c r="Q5484" s="2" t="s">
        <v>36381</v>
      </c>
      <c r="R5484" s="2" t="s">
        <v>36382</v>
      </c>
      <c r="S5484" s="2" t="s">
        <v>89</v>
      </c>
      <c r="T5484" s="2" t="s">
        <v>90</v>
      </c>
      <c r="U5484" s="2" t="s">
        <v>99</v>
      </c>
      <c r="V5484" s="2" t="s">
        <v>59</v>
      </c>
      <c r="W5484" s="2">
        <v>37.6</v>
      </c>
      <c r="X5484" s="2">
        <v>0</v>
      </c>
      <c r="Y5484" s="2" t="s">
        <v>323</v>
      </c>
      <c r="Z5484" s="2" t="s">
        <v>36383</v>
      </c>
      <c r="AA5484" s="2">
        <v>0.594959365252133</v>
      </c>
      <c r="AB5484" s="2">
        <v>7.9950683320995197E-2</v>
      </c>
      <c r="AC5484" s="2">
        <v>3014.7434174503301</v>
      </c>
      <c r="AD5484" s="2">
        <v>2347.2824539646499</v>
      </c>
      <c r="AE5484" s="2">
        <v>2526.7974390876002</v>
      </c>
      <c r="AF5484" s="2">
        <v>3094.7536162503002</v>
      </c>
      <c r="AG5484" s="2">
        <v>2546.01254639335</v>
      </c>
      <c r="AH5484" s="2">
        <v>3719.8085921107299</v>
      </c>
      <c r="AI5484" s="2">
        <v>3004.5568767380901</v>
      </c>
      <c r="AJ5484" s="2">
        <v>3196.53143412189</v>
      </c>
      <c r="AK5484" s="2">
        <v>2236.9006347506202</v>
      </c>
      <c r="AL5484" s="2">
        <v>2461.7125687513499</v>
      </c>
      <c r="AM5484" s="2">
        <v>2924.1064651767401</v>
      </c>
      <c r="AN5484" s="2">
        <v>2294.1582078976398</v>
      </c>
      <c r="AO5484" s="2">
        <v>1569.6637417597599</v>
      </c>
      <c r="AP5484" s="2">
        <v>2597.15310545177</v>
      </c>
    </row>
    <row r="5485" spans="1:42" ht="14.5" x14ac:dyDescent="0.35">
      <c r="A5485" s="2" t="s">
        <v>36384</v>
      </c>
      <c r="B5485" s="2">
        <v>371.14868161147803</v>
      </c>
      <c r="C5485" s="2">
        <v>4.8327999999999998</v>
      </c>
      <c r="D5485" s="2" t="s">
        <v>34</v>
      </c>
      <c r="E5485" s="2" t="s">
        <v>36385</v>
      </c>
      <c r="F5485" s="2">
        <v>53983</v>
      </c>
      <c r="G5485" s="3" t="str">
        <f>HYPERLINK("http://funmeta.oebiotech.com/network/53983", "http://funmeta.oebiotech.com/network/53983")</f>
        <v>http://funmeta.oebiotech.com/network/53983</v>
      </c>
      <c r="H5485" s="2" t="s">
        <v>36386</v>
      </c>
      <c r="I5485" s="2">
        <v>23700</v>
      </c>
      <c r="J5485" s="2"/>
      <c r="K5485" s="2">
        <v>74569</v>
      </c>
      <c r="L5485" s="2"/>
      <c r="M5485" s="2"/>
      <c r="N5485" s="2"/>
      <c r="O5485" s="2">
        <v>4369395</v>
      </c>
      <c r="P5485" s="2" t="s">
        <v>36387</v>
      </c>
      <c r="Q5485" s="2" t="s">
        <v>36388</v>
      </c>
      <c r="R5485" s="2" t="s">
        <v>36389</v>
      </c>
      <c r="S5485" s="2" t="s">
        <v>89</v>
      </c>
      <c r="T5485" s="2" t="s">
        <v>90</v>
      </c>
      <c r="U5485" s="2" t="s">
        <v>99</v>
      </c>
      <c r="V5485" s="2" t="s">
        <v>59</v>
      </c>
      <c r="W5485" s="2">
        <v>37.9</v>
      </c>
      <c r="X5485" s="2">
        <v>0</v>
      </c>
      <c r="Y5485" s="2" t="s">
        <v>340</v>
      </c>
      <c r="Z5485" s="2" t="s">
        <v>36390</v>
      </c>
      <c r="AA5485" s="2">
        <v>2.0557347430861301</v>
      </c>
      <c r="AB5485" s="2">
        <v>7.9859782979082597E-2</v>
      </c>
      <c r="AC5485" s="2">
        <v>28271.436913689999</v>
      </c>
      <c r="AD5485" s="2">
        <v>29743.166654819699</v>
      </c>
      <c r="AE5485" s="2">
        <v>30651.926495621501</v>
      </c>
      <c r="AF5485" s="2">
        <v>29137.074260354799</v>
      </c>
      <c r="AG5485" s="2">
        <v>26025.215146531798</v>
      </c>
      <c r="AH5485" s="2">
        <v>30660.5943242627</v>
      </c>
      <c r="AI5485" s="2">
        <v>28510.542227723199</v>
      </c>
      <c r="AJ5485" s="2">
        <v>24643.269027645802</v>
      </c>
      <c r="AK5485" s="2">
        <v>30304.852083542599</v>
      </c>
      <c r="AL5485" s="2">
        <v>26768.393962373801</v>
      </c>
      <c r="AM5485" s="2">
        <v>27732.9361339473</v>
      </c>
      <c r="AN5485" s="2">
        <v>34246.618707381</v>
      </c>
      <c r="AO5485" s="2">
        <v>32367.426922168699</v>
      </c>
      <c r="AP5485" s="2">
        <v>27038.772119504702</v>
      </c>
    </row>
    <row r="5486" spans="1:42" ht="14.5" x14ac:dyDescent="0.35">
      <c r="A5486" s="2" t="s">
        <v>36391</v>
      </c>
      <c r="B5486" s="2">
        <v>567.29863171184604</v>
      </c>
      <c r="C5486" s="2">
        <v>5.0258500000000002</v>
      </c>
      <c r="D5486" s="2" t="s">
        <v>34</v>
      </c>
      <c r="E5486" s="2" t="s">
        <v>36392</v>
      </c>
      <c r="F5486" s="2">
        <v>46714</v>
      </c>
      <c r="G5486" s="3" t="str">
        <f>HYPERLINK("http://funmeta.oebiotech.com/network/46714", "http://funmeta.oebiotech.com/network/46714")</f>
        <v>http://funmeta.oebiotech.com/network/46714</v>
      </c>
      <c r="H5486" s="2"/>
      <c r="I5486" s="2"/>
      <c r="J5486" s="2" t="s">
        <v>36393</v>
      </c>
      <c r="K5486" s="2"/>
      <c r="L5486" s="2"/>
      <c r="M5486" s="2"/>
      <c r="N5486" s="2"/>
      <c r="O5486" s="2"/>
      <c r="P5486" s="2"/>
      <c r="Q5486" s="2" t="s">
        <v>36394</v>
      </c>
      <c r="R5486" s="2" t="s">
        <v>36395</v>
      </c>
      <c r="S5486" s="2" t="s">
        <v>50</v>
      </c>
      <c r="T5486" s="2" t="s">
        <v>124</v>
      </c>
      <c r="U5486" s="2" t="s">
        <v>723</v>
      </c>
      <c r="V5486" s="2" t="s">
        <v>59</v>
      </c>
      <c r="W5486" s="2">
        <v>36.200000000000003</v>
      </c>
      <c r="X5486" s="2">
        <v>3.18</v>
      </c>
      <c r="Y5486" s="2" t="s">
        <v>250</v>
      </c>
      <c r="Z5486" s="2" t="s">
        <v>36396</v>
      </c>
      <c r="AA5486" s="2">
        <v>4.4488423865815099</v>
      </c>
      <c r="AB5486" s="2">
        <v>7.9734308629291303E-2</v>
      </c>
      <c r="AC5486" s="2">
        <v>3155761.6732286699</v>
      </c>
      <c r="AD5486" s="2">
        <v>3144891.2646850199</v>
      </c>
      <c r="AE5486" s="2">
        <v>3246021.7611721898</v>
      </c>
      <c r="AF5486" s="2">
        <v>3180558.5640091598</v>
      </c>
      <c r="AG5486" s="2">
        <v>3132948.0345252599</v>
      </c>
      <c r="AH5486" s="2">
        <v>3310811.0203646701</v>
      </c>
      <c r="AI5486" s="2">
        <v>3174525.6779781501</v>
      </c>
      <c r="AJ5486" s="2">
        <v>2889704.9813226098</v>
      </c>
      <c r="AK5486" s="2">
        <v>3060082.6963184099</v>
      </c>
      <c r="AL5486" s="2">
        <v>2989864.7046827902</v>
      </c>
      <c r="AM5486" s="2">
        <v>3347248.1382690398</v>
      </c>
      <c r="AN5486" s="2">
        <v>3109577.2242801199</v>
      </c>
      <c r="AO5486" s="2">
        <v>3225464.4829710601</v>
      </c>
      <c r="AP5486" s="2">
        <v>3137110.3415886899</v>
      </c>
    </row>
    <row r="5487" spans="1:42" ht="14.5" x14ac:dyDescent="0.35">
      <c r="A5487" s="2" t="s">
        <v>36397</v>
      </c>
      <c r="B5487" s="2">
        <v>795.41681177838404</v>
      </c>
      <c r="C5487" s="2">
        <v>10.81855</v>
      </c>
      <c r="D5487" s="2" t="s">
        <v>70</v>
      </c>
      <c r="E5487" s="2" t="s">
        <v>36398</v>
      </c>
      <c r="F5487" s="2">
        <v>46761</v>
      </c>
      <c r="G5487" s="3" t="str">
        <f>HYPERLINK("http://funmeta.oebiotech.com/network/46761", "http://funmeta.oebiotech.com/network/46761")</f>
        <v>http://funmeta.oebiotech.com/network/46761</v>
      </c>
      <c r="H5487" s="2"/>
      <c r="I5487" s="2">
        <v>84923</v>
      </c>
      <c r="J5487" s="2" t="s">
        <v>36399</v>
      </c>
      <c r="K5487" s="2"/>
      <c r="L5487" s="2"/>
      <c r="M5487" s="2"/>
      <c r="N5487" s="2"/>
      <c r="O5487" s="2">
        <v>44191524</v>
      </c>
      <c r="P5487" s="2"/>
      <c r="Q5487" s="2" t="s">
        <v>36400</v>
      </c>
      <c r="R5487" s="2" t="s">
        <v>36401</v>
      </c>
      <c r="S5487" s="2" t="s">
        <v>50</v>
      </c>
      <c r="T5487" s="2" t="s">
        <v>124</v>
      </c>
      <c r="U5487" s="2" t="s">
        <v>523</v>
      </c>
      <c r="V5487" s="2" t="s">
        <v>42</v>
      </c>
      <c r="W5487" s="2">
        <v>53</v>
      </c>
      <c r="X5487" s="2">
        <v>69.900000000000006</v>
      </c>
      <c r="Y5487" s="2" t="s">
        <v>118</v>
      </c>
      <c r="Z5487" s="2" t="s">
        <v>36402</v>
      </c>
      <c r="AA5487" s="2">
        <v>-0.54385002476175304</v>
      </c>
      <c r="AB5487" s="2">
        <v>7.9559933150344195E-2</v>
      </c>
      <c r="AC5487" s="2">
        <v>71738.635118705395</v>
      </c>
      <c r="AD5487" s="2">
        <v>69389.275832242201</v>
      </c>
      <c r="AE5487" s="2">
        <v>70437.592876232098</v>
      </c>
      <c r="AF5487" s="2">
        <v>59244.244808827301</v>
      </c>
      <c r="AG5487" s="2">
        <v>75392.925144127003</v>
      </c>
      <c r="AH5487" s="2">
        <v>79918.296502050303</v>
      </c>
      <c r="AI5487" s="2">
        <v>70741.076221010997</v>
      </c>
      <c r="AJ5487" s="2">
        <v>74697.675159984501</v>
      </c>
      <c r="AK5487" s="2">
        <v>62690.513275519101</v>
      </c>
      <c r="AL5487" s="2">
        <v>64496.538581354303</v>
      </c>
      <c r="AM5487" s="2">
        <v>70089.484525923996</v>
      </c>
      <c r="AN5487" s="2">
        <v>74474.084553838693</v>
      </c>
      <c r="AO5487" s="2">
        <v>64420.531838512499</v>
      </c>
      <c r="AP5487" s="2">
        <v>80164.5022183049</v>
      </c>
    </row>
    <row r="5488" spans="1:42" ht="14.5" x14ac:dyDescent="0.35">
      <c r="A5488" s="2" t="s">
        <v>36403</v>
      </c>
      <c r="B5488" s="2">
        <v>231.06255469272301</v>
      </c>
      <c r="C5488" s="2">
        <v>0.67131666666666701</v>
      </c>
      <c r="D5488" s="2" t="s">
        <v>70</v>
      </c>
      <c r="E5488" s="2" t="s">
        <v>36404</v>
      </c>
      <c r="F5488" s="2">
        <v>207244</v>
      </c>
      <c r="G5488" s="3" t="str">
        <f>HYPERLINK("http://funmeta.oebiotech.com/network/207244", "http://funmeta.oebiotech.com/network/207244")</f>
        <v>http://funmeta.oebiotech.com/network/207244</v>
      </c>
      <c r="H5488" s="2" t="s">
        <v>36405</v>
      </c>
      <c r="I5488" s="2"/>
      <c r="J5488" s="2"/>
      <c r="K5488" s="2"/>
      <c r="L5488" s="2"/>
      <c r="M5488" s="2"/>
      <c r="N5488" s="2"/>
      <c r="O5488" s="2">
        <v>129629480</v>
      </c>
      <c r="P5488" s="2"/>
      <c r="Q5488" s="2" t="s">
        <v>36406</v>
      </c>
      <c r="R5488" s="2" t="s">
        <v>36407</v>
      </c>
      <c r="S5488" s="2" t="s">
        <v>41</v>
      </c>
      <c r="T5488" s="2" t="s">
        <v>41</v>
      </c>
      <c r="U5488" s="2" t="s">
        <v>41</v>
      </c>
      <c r="V5488" s="2" t="s">
        <v>59</v>
      </c>
      <c r="W5488" s="2">
        <v>41.9</v>
      </c>
      <c r="X5488" s="2">
        <v>18.100000000000001</v>
      </c>
      <c r="Y5488" s="2" t="s">
        <v>118</v>
      </c>
      <c r="Z5488" s="2" t="s">
        <v>36408</v>
      </c>
      <c r="AA5488" s="2">
        <v>1.2712264108504201</v>
      </c>
      <c r="AB5488" s="2">
        <v>7.95515536615643E-2</v>
      </c>
      <c r="AC5488" s="2">
        <v>469.66045660592999</v>
      </c>
      <c r="AD5488" s="2">
        <v>2.7106294003980101E-5</v>
      </c>
      <c r="AE5488" s="2">
        <v>146.308776922856</v>
      </c>
      <c r="AF5488" s="2">
        <v>531.48610148733098</v>
      </c>
      <c r="AG5488" s="2">
        <v>451.63729824938599</v>
      </c>
      <c r="AH5488" s="2">
        <v>635.54683792766002</v>
      </c>
      <c r="AI5488" s="2">
        <v>378.99121889796498</v>
      </c>
      <c r="AJ5488" s="2">
        <v>673.99250615038102</v>
      </c>
      <c r="AK5488" s="2">
        <v>2.7106294003980101E-5</v>
      </c>
      <c r="AL5488" s="2">
        <v>2.7106294003980101E-5</v>
      </c>
      <c r="AM5488" s="2">
        <v>2.7106294003980101E-5</v>
      </c>
      <c r="AN5488" s="2">
        <v>2.7106294003980101E-5</v>
      </c>
      <c r="AO5488" s="2">
        <v>2.7106294003980101E-5</v>
      </c>
      <c r="AP5488" s="2">
        <v>2.7106294003980101E-5</v>
      </c>
    </row>
    <row r="5489" spans="1:42" ht="14.5" x14ac:dyDescent="0.35">
      <c r="A5489" s="2" t="s">
        <v>36409</v>
      </c>
      <c r="B5489" s="2">
        <v>487.10086222955903</v>
      </c>
      <c r="C5489" s="2">
        <v>5.71</v>
      </c>
      <c r="D5489" s="2" t="s">
        <v>70</v>
      </c>
      <c r="E5489" s="2" t="s">
        <v>36410</v>
      </c>
      <c r="F5489" s="2">
        <v>279627</v>
      </c>
      <c r="G5489" s="3" t="str">
        <f>HYPERLINK("http://funmeta.oebiotech.com/network/279627", "http://funmeta.oebiotech.com/network/279627")</f>
        <v>http://funmeta.oebiotech.com/network/279627</v>
      </c>
      <c r="H5489" s="2"/>
      <c r="I5489" s="2">
        <v>72329</v>
      </c>
      <c r="J5489" s="2"/>
      <c r="K5489" s="2"/>
      <c r="L5489" s="2" t="s">
        <v>36411</v>
      </c>
      <c r="M5489" s="2"/>
      <c r="N5489" s="2"/>
      <c r="O5489" s="2">
        <v>11614934</v>
      </c>
      <c r="P5489" s="2" t="s">
        <v>36412</v>
      </c>
      <c r="Q5489" s="2" t="s">
        <v>36413</v>
      </c>
      <c r="R5489" s="2" t="s">
        <v>36414</v>
      </c>
      <c r="S5489" s="2" t="s">
        <v>115</v>
      </c>
      <c r="T5489" s="2" t="s">
        <v>4730</v>
      </c>
      <c r="U5489" s="2" t="s">
        <v>41</v>
      </c>
      <c r="V5489" s="2" t="s">
        <v>59</v>
      </c>
      <c r="W5489" s="2">
        <v>38.700000000000003</v>
      </c>
      <c r="X5489" s="2">
        <v>0</v>
      </c>
      <c r="Y5489" s="2" t="s">
        <v>751</v>
      </c>
      <c r="Z5489" s="2" t="s">
        <v>36415</v>
      </c>
      <c r="AA5489" s="2">
        <v>1.89335017068523</v>
      </c>
      <c r="AB5489" s="2">
        <v>7.9402510253429801E-2</v>
      </c>
      <c r="AC5489" s="2">
        <v>1466.17135872276</v>
      </c>
      <c r="AD5489" s="2">
        <v>788.78868141404996</v>
      </c>
      <c r="AE5489" s="2">
        <v>428.934466830649</v>
      </c>
      <c r="AF5489" s="2">
        <v>1259.6091431684099</v>
      </c>
      <c r="AG5489" s="2">
        <v>1496.01976239074</v>
      </c>
      <c r="AH5489" s="2">
        <v>1925.07909015512</v>
      </c>
      <c r="AI5489" s="2">
        <v>1937.16082713426</v>
      </c>
      <c r="AJ5489" s="2">
        <v>1750.2248626573801</v>
      </c>
      <c r="AK5489" s="2">
        <v>426.69850522781798</v>
      </c>
      <c r="AL5489" s="2">
        <v>1137.34144473993</v>
      </c>
      <c r="AM5489" s="2">
        <v>877.52444781224699</v>
      </c>
      <c r="AN5489" s="2">
        <v>368.93799474645698</v>
      </c>
      <c r="AO5489" s="2">
        <v>1195.5363882331999</v>
      </c>
      <c r="AP5489" s="2">
        <v>726.69330772464502</v>
      </c>
    </row>
    <row r="5490" spans="1:42" ht="14.5" x14ac:dyDescent="0.35">
      <c r="A5490" s="2" t="s">
        <v>36416</v>
      </c>
      <c r="B5490" s="2">
        <v>535.25461848121904</v>
      </c>
      <c r="C5490" s="2">
        <v>7.4131166666666699</v>
      </c>
      <c r="D5490" s="2" t="s">
        <v>70</v>
      </c>
      <c r="E5490" s="2" t="s">
        <v>36417</v>
      </c>
      <c r="F5490" s="2">
        <v>207833</v>
      </c>
      <c r="G5490" s="3" t="str">
        <f>HYPERLINK("http://funmeta.oebiotech.com/network/207833", "http://funmeta.oebiotech.com/network/207833")</f>
        <v>http://funmeta.oebiotech.com/network/207833</v>
      </c>
      <c r="H5490" s="2" t="s">
        <v>36418</v>
      </c>
      <c r="I5490" s="2"/>
      <c r="J5490" s="2"/>
      <c r="K5490" s="2"/>
      <c r="L5490" s="2"/>
      <c r="M5490" s="2"/>
      <c r="N5490" s="2"/>
      <c r="O5490" s="2">
        <v>104982</v>
      </c>
      <c r="P5490" s="2"/>
      <c r="Q5490" s="2" t="s">
        <v>36419</v>
      </c>
      <c r="R5490" s="2" t="s">
        <v>36420</v>
      </c>
      <c r="S5490" s="2" t="s">
        <v>50</v>
      </c>
      <c r="T5490" s="2" t="s">
        <v>201</v>
      </c>
      <c r="U5490" s="2" t="s">
        <v>636</v>
      </c>
      <c r="V5490" s="2" t="s">
        <v>42</v>
      </c>
      <c r="W5490" s="2">
        <v>54</v>
      </c>
      <c r="X5490" s="2">
        <v>73.599999999999994</v>
      </c>
      <c r="Y5490" s="2" t="s">
        <v>408</v>
      </c>
      <c r="Z5490" s="2" t="s">
        <v>36421</v>
      </c>
      <c r="AA5490" s="2">
        <v>-0.51516672226060001</v>
      </c>
      <c r="AB5490" s="2">
        <v>7.9389881730112702E-2</v>
      </c>
      <c r="AC5490" s="2">
        <v>2426.44064656614</v>
      </c>
      <c r="AD5490" s="2">
        <v>1418.8940570119601</v>
      </c>
      <c r="AE5490" s="2">
        <v>4207.0078318198903</v>
      </c>
      <c r="AF5490" s="2">
        <v>3665.2885822640201</v>
      </c>
      <c r="AG5490" s="2">
        <v>1116.67938728338</v>
      </c>
      <c r="AH5490" s="2">
        <v>1933.01598189791</v>
      </c>
      <c r="AI5490" s="2">
        <v>1676.26214308984</v>
      </c>
      <c r="AJ5490" s="2">
        <v>1960.38995304178</v>
      </c>
      <c r="AK5490" s="2">
        <v>3614.1836271580801</v>
      </c>
      <c r="AL5490" s="2">
        <v>2380.64126293768</v>
      </c>
      <c r="AM5490" s="2">
        <v>280.97214815579002</v>
      </c>
      <c r="AN5490" s="2">
        <v>364.66585219093298</v>
      </c>
      <c r="AO5490" s="2">
        <v>1022.03680379256</v>
      </c>
      <c r="AP5490" s="2">
        <v>850.86464783673102</v>
      </c>
    </row>
    <row r="5491" spans="1:42" ht="14.5" x14ac:dyDescent="0.35">
      <c r="A5491" s="2" t="s">
        <v>36422</v>
      </c>
      <c r="B5491" s="2">
        <v>475.21828565007098</v>
      </c>
      <c r="C5491" s="2">
        <v>5.3579833333333298</v>
      </c>
      <c r="D5491" s="2" t="s">
        <v>70</v>
      </c>
      <c r="E5491" s="2" t="s">
        <v>36423</v>
      </c>
      <c r="F5491" s="2">
        <v>64164</v>
      </c>
      <c r="G5491" s="3" t="str">
        <f>HYPERLINK("http://funmeta.oebiotech.com/network/64164", "http://funmeta.oebiotech.com/network/64164")</f>
        <v>http://funmeta.oebiotech.com/network/64164</v>
      </c>
      <c r="H5491" s="2" t="s">
        <v>36424</v>
      </c>
      <c r="I5491" s="2"/>
      <c r="J5491" s="2"/>
      <c r="K5491" s="2">
        <v>458649</v>
      </c>
      <c r="L5491" s="2"/>
      <c r="M5491" s="2"/>
      <c r="N5491" s="2"/>
      <c r="O5491" s="2">
        <v>72773471</v>
      </c>
      <c r="P5491" s="2" t="s">
        <v>36425</v>
      </c>
      <c r="Q5491" s="2" t="s">
        <v>36426</v>
      </c>
      <c r="R5491" s="2" t="s">
        <v>36427</v>
      </c>
      <c r="S5491" s="2" t="s">
        <v>89</v>
      </c>
      <c r="T5491" s="2" t="s">
        <v>90</v>
      </c>
      <c r="U5491" s="2" t="s">
        <v>99</v>
      </c>
      <c r="V5491" s="2" t="s">
        <v>59</v>
      </c>
      <c r="W5491" s="2">
        <v>45.7</v>
      </c>
      <c r="X5491" s="2">
        <v>41.6</v>
      </c>
      <c r="Y5491" s="2" t="s">
        <v>751</v>
      </c>
      <c r="Z5491" s="2" t="s">
        <v>36428</v>
      </c>
      <c r="AA5491" s="2">
        <v>-3.1104387647171099</v>
      </c>
      <c r="AB5491" s="2">
        <v>7.9213799602724594E-2</v>
      </c>
      <c r="AC5491" s="2">
        <v>48051.988855821503</v>
      </c>
      <c r="AD5491" s="2">
        <v>46420.744417059199</v>
      </c>
      <c r="AE5491" s="2">
        <v>52926.053014160498</v>
      </c>
      <c r="AF5491" s="2">
        <v>43851.155077320604</v>
      </c>
      <c r="AG5491" s="2">
        <v>50523.771289776902</v>
      </c>
      <c r="AH5491" s="2">
        <v>45630.107173057302</v>
      </c>
      <c r="AI5491" s="2">
        <v>47957.180688114</v>
      </c>
      <c r="AJ5491" s="2">
        <v>47423.665892499899</v>
      </c>
      <c r="AK5491" s="2">
        <v>42947.786307366703</v>
      </c>
      <c r="AL5491" s="2">
        <v>43736.756246562101</v>
      </c>
      <c r="AM5491" s="2">
        <v>50435.853980481603</v>
      </c>
      <c r="AN5491" s="2">
        <v>46761.526317693199</v>
      </c>
      <c r="AO5491" s="2">
        <v>50648.516253489499</v>
      </c>
      <c r="AP5491" s="2">
        <v>43994.027396762402</v>
      </c>
    </row>
    <row r="5492" spans="1:42" ht="14.5" x14ac:dyDescent="0.35">
      <c r="A5492" s="2" t="s">
        <v>36429</v>
      </c>
      <c r="B5492" s="2">
        <v>469.12561888271102</v>
      </c>
      <c r="C5492" s="2">
        <v>5.4498833333333296</v>
      </c>
      <c r="D5492" s="2" t="s">
        <v>70</v>
      </c>
      <c r="E5492" s="2" t="s">
        <v>36430</v>
      </c>
      <c r="F5492" s="2">
        <v>204558</v>
      </c>
      <c r="G5492" s="3" t="str">
        <f>HYPERLINK("http://funmeta.oebiotech.com/network/204558", "http://funmeta.oebiotech.com/network/204558")</f>
        <v>http://funmeta.oebiotech.com/network/204558</v>
      </c>
      <c r="H5492" s="2" t="s">
        <v>36431</v>
      </c>
      <c r="I5492" s="2">
        <v>68941</v>
      </c>
      <c r="J5492" s="2"/>
      <c r="K5492" s="2">
        <v>3405</v>
      </c>
      <c r="L5492" s="2" t="s">
        <v>36432</v>
      </c>
      <c r="M5492" s="2"/>
      <c r="N5492" s="2"/>
      <c r="O5492" s="2">
        <v>21307</v>
      </c>
      <c r="P5492" s="2" t="s">
        <v>36433</v>
      </c>
      <c r="Q5492" s="2" t="s">
        <v>36434</v>
      </c>
      <c r="R5492" s="2" t="s">
        <v>36435</v>
      </c>
      <c r="S5492" s="2" t="s">
        <v>148</v>
      </c>
      <c r="T5492" s="2" t="s">
        <v>149</v>
      </c>
      <c r="U5492" s="2" t="s">
        <v>4630</v>
      </c>
      <c r="V5492" s="2" t="s">
        <v>59</v>
      </c>
      <c r="W5492" s="2">
        <v>38.5</v>
      </c>
      <c r="X5492" s="2">
        <v>0</v>
      </c>
      <c r="Y5492" s="2" t="s">
        <v>560</v>
      </c>
      <c r="Z5492" s="2" t="s">
        <v>36436</v>
      </c>
      <c r="AA5492" s="2">
        <v>-1.0720509327433001</v>
      </c>
      <c r="AB5492" s="2">
        <v>7.9189396243873805E-2</v>
      </c>
      <c r="AC5492" s="2">
        <v>2711.9766043995201</v>
      </c>
      <c r="AD5492" s="2">
        <v>2050.8543714683601</v>
      </c>
      <c r="AE5492" s="2">
        <v>3139.94058783636</v>
      </c>
      <c r="AF5492" s="2">
        <v>2427.4110779611801</v>
      </c>
      <c r="AG5492" s="2">
        <v>3300.3383677574602</v>
      </c>
      <c r="AH5492" s="2">
        <v>3159.74042293305</v>
      </c>
      <c r="AI5492" s="2">
        <v>1892.86170000987</v>
      </c>
      <c r="AJ5492" s="2">
        <v>2351.5674698992202</v>
      </c>
      <c r="AK5492" s="2">
        <v>2462.4643548731401</v>
      </c>
      <c r="AL5492" s="2">
        <v>1466.8152789898099</v>
      </c>
      <c r="AM5492" s="2">
        <v>2182.03298801854</v>
      </c>
      <c r="AN5492" s="2">
        <v>2158.4565774400098</v>
      </c>
      <c r="AO5492" s="2">
        <v>1923.24477829594</v>
      </c>
      <c r="AP5492" s="2">
        <v>2112.1122511927001</v>
      </c>
    </row>
    <row r="5493" spans="1:42" ht="14.5" x14ac:dyDescent="0.35">
      <c r="A5493" s="2" t="s">
        <v>36437</v>
      </c>
      <c r="B5493" s="2">
        <v>225.08481102947999</v>
      </c>
      <c r="C5493" s="2">
        <v>1.2386666666666699</v>
      </c>
      <c r="D5493" s="2" t="s">
        <v>34</v>
      </c>
      <c r="E5493" s="2" t="s">
        <v>36438</v>
      </c>
      <c r="F5493" s="2">
        <v>53728</v>
      </c>
      <c r="G5493" s="3" t="str">
        <f>HYPERLINK("http://funmeta.oebiotech.com/network/53728", "http://funmeta.oebiotech.com/network/53728")</f>
        <v>http://funmeta.oebiotech.com/network/53728</v>
      </c>
      <c r="H5493" s="2" t="s">
        <v>36439</v>
      </c>
      <c r="I5493" s="2"/>
      <c r="J5493" s="2"/>
      <c r="K5493" s="2"/>
      <c r="L5493" s="2"/>
      <c r="M5493" s="2"/>
      <c r="N5493" s="2"/>
      <c r="O5493" s="2">
        <v>20190533</v>
      </c>
      <c r="P5493" s="2" t="s">
        <v>36440</v>
      </c>
      <c r="Q5493" s="2" t="s">
        <v>36441</v>
      </c>
      <c r="R5493" s="2" t="s">
        <v>36442</v>
      </c>
      <c r="S5493" s="2" t="s">
        <v>89</v>
      </c>
      <c r="T5493" s="2" t="s">
        <v>90</v>
      </c>
      <c r="U5493" s="2" t="s">
        <v>99</v>
      </c>
      <c r="V5493" s="2" t="s">
        <v>59</v>
      </c>
      <c r="W5493" s="2">
        <v>37.700000000000003</v>
      </c>
      <c r="X5493" s="2">
        <v>0</v>
      </c>
      <c r="Y5493" s="2" t="s">
        <v>323</v>
      </c>
      <c r="Z5493" s="2" t="s">
        <v>36443</v>
      </c>
      <c r="AA5493" s="2">
        <v>1.15496300136153</v>
      </c>
      <c r="AB5493" s="2">
        <v>7.90904637369024E-2</v>
      </c>
      <c r="AC5493" s="2">
        <v>656.38965667172499</v>
      </c>
      <c r="AD5493" s="2">
        <v>1146.17592956563</v>
      </c>
      <c r="AE5493" s="2">
        <v>520.20935346752697</v>
      </c>
      <c r="AF5493" s="2">
        <v>690.91294706604003</v>
      </c>
      <c r="AG5493" s="2">
        <v>663.11784383207203</v>
      </c>
      <c r="AH5493" s="2">
        <v>584.75233838914005</v>
      </c>
      <c r="AI5493" s="2">
        <v>603.85040412593298</v>
      </c>
      <c r="AJ5493" s="2">
        <v>875.49505314963505</v>
      </c>
      <c r="AK5493" s="2">
        <v>836.78304575416303</v>
      </c>
      <c r="AL5493" s="2">
        <v>1096.7630028398701</v>
      </c>
      <c r="AM5493" s="2">
        <v>1044.8004659600399</v>
      </c>
      <c r="AN5493" s="2">
        <v>1232.5241015015299</v>
      </c>
      <c r="AO5493" s="2">
        <v>1184.61210172398</v>
      </c>
      <c r="AP5493" s="2">
        <v>1481.5728596142001</v>
      </c>
    </row>
    <row r="5494" spans="1:42" ht="14.5" x14ac:dyDescent="0.35">
      <c r="A5494" s="2" t="s">
        <v>36444</v>
      </c>
      <c r="B5494" s="2">
        <v>377.26613006595898</v>
      </c>
      <c r="C5494" s="2">
        <v>11.18065</v>
      </c>
      <c r="D5494" s="2" t="s">
        <v>34</v>
      </c>
      <c r="E5494" s="2" t="s">
        <v>36445</v>
      </c>
      <c r="F5494" s="2">
        <v>10449</v>
      </c>
      <c r="G5494" s="3" t="str">
        <f>HYPERLINK("http://funmeta.oebiotech.com/network/10449", "http://funmeta.oebiotech.com/network/10449")</f>
        <v>http://funmeta.oebiotech.com/network/10449</v>
      </c>
      <c r="H5494" s="2" t="s">
        <v>36446</v>
      </c>
      <c r="I5494" s="2">
        <v>62322</v>
      </c>
      <c r="J5494" s="2" t="s">
        <v>36447</v>
      </c>
      <c r="K5494" s="2">
        <v>75457</v>
      </c>
      <c r="L5494" s="2"/>
      <c r="M5494" s="2"/>
      <c r="N5494" s="2"/>
      <c r="O5494" s="2">
        <v>5365676</v>
      </c>
      <c r="P5494" s="2"/>
      <c r="Q5494" s="2" t="s">
        <v>36448</v>
      </c>
      <c r="R5494" s="2" t="s">
        <v>36449</v>
      </c>
      <c r="S5494" s="2" t="s">
        <v>50</v>
      </c>
      <c r="T5494" s="2" t="s">
        <v>229</v>
      </c>
      <c r="U5494" s="2" t="s">
        <v>1360</v>
      </c>
      <c r="V5494" s="2" t="s">
        <v>59</v>
      </c>
      <c r="W5494" s="2">
        <v>38.299999999999997</v>
      </c>
      <c r="X5494" s="2">
        <v>0</v>
      </c>
      <c r="Y5494" s="2" t="s">
        <v>67</v>
      </c>
      <c r="Z5494" s="2" t="s">
        <v>11347</v>
      </c>
      <c r="AA5494" s="2">
        <v>-0.28314267811585903</v>
      </c>
      <c r="AB5494" s="2">
        <v>7.9062084834975899E-2</v>
      </c>
      <c r="AC5494" s="2">
        <v>10484.986850077299</v>
      </c>
      <c r="AD5494" s="2">
        <v>11363.0291499951</v>
      </c>
      <c r="AE5494" s="2">
        <v>11449.3890978257</v>
      </c>
      <c r="AF5494" s="2">
        <v>10749.0147755213</v>
      </c>
      <c r="AG5494" s="2">
        <v>10376.631413528299</v>
      </c>
      <c r="AH5494" s="2">
        <v>10824.164992841201</v>
      </c>
      <c r="AI5494" s="2">
        <v>9959.2071641515504</v>
      </c>
      <c r="AJ5494" s="2">
        <v>9551.5136565955399</v>
      </c>
      <c r="AK5494" s="2">
        <v>11591.7557181477</v>
      </c>
      <c r="AL5494" s="2">
        <v>11309.061037003299</v>
      </c>
      <c r="AM5494" s="2">
        <v>12730.037021132401</v>
      </c>
      <c r="AN5494" s="2">
        <v>9694.5099607031698</v>
      </c>
      <c r="AO5494" s="2">
        <v>10739.5984091711</v>
      </c>
      <c r="AP5494" s="2">
        <v>12113.212753813201</v>
      </c>
    </row>
    <row r="5495" spans="1:42" ht="14.5" x14ac:dyDescent="0.35">
      <c r="A5495" s="2" t="s">
        <v>36450</v>
      </c>
      <c r="B5495" s="2">
        <v>214.00447652725501</v>
      </c>
      <c r="C5495" s="2">
        <v>0.62124999999999997</v>
      </c>
      <c r="D5495" s="2" t="s">
        <v>34</v>
      </c>
      <c r="E5495" s="2" t="s">
        <v>36451</v>
      </c>
      <c r="F5495" s="2">
        <v>212355</v>
      </c>
      <c r="G5495" s="3" t="str">
        <f>HYPERLINK("http://funmeta.oebiotech.com/network/212355", "http://funmeta.oebiotech.com/network/212355")</f>
        <v>http://funmeta.oebiotech.com/network/212355</v>
      </c>
      <c r="H5495" s="2" t="s">
        <v>36452</v>
      </c>
      <c r="I5495" s="2">
        <v>73012</v>
      </c>
      <c r="J5495" s="2"/>
      <c r="K5495" s="2"/>
      <c r="L5495" s="2" t="s">
        <v>36453</v>
      </c>
      <c r="M5495" s="2"/>
      <c r="N5495" s="2"/>
      <c r="O5495" s="2">
        <v>10509</v>
      </c>
      <c r="P5495" s="2" t="s">
        <v>36454</v>
      </c>
      <c r="Q5495" s="2" t="s">
        <v>36455</v>
      </c>
      <c r="R5495" s="2" t="s">
        <v>36456</v>
      </c>
      <c r="S5495" s="2" t="s">
        <v>1677</v>
      </c>
      <c r="T5495" s="2" t="s">
        <v>1678</v>
      </c>
      <c r="U5495" s="2" t="s">
        <v>36457</v>
      </c>
      <c r="V5495" s="2" t="s">
        <v>59</v>
      </c>
      <c r="W5495" s="2">
        <v>38</v>
      </c>
      <c r="X5495" s="2">
        <v>0</v>
      </c>
      <c r="Y5495" s="2" t="s">
        <v>43</v>
      </c>
      <c r="Z5495" s="2" t="s">
        <v>36458</v>
      </c>
      <c r="AA5495" s="2">
        <v>-4.9087641327470504</v>
      </c>
      <c r="AB5495" s="2">
        <v>7.9060836052404701E-2</v>
      </c>
      <c r="AC5495" s="2">
        <v>13870.0187331242</v>
      </c>
      <c r="AD5495" s="2">
        <v>12546.9803421752</v>
      </c>
      <c r="AE5495" s="2">
        <v>12887.704749849099</v>
      </c>
      <c r="AF5495" s="2">
        <v>13658.3874373253</v>
      </c>
      <c r="AG5495" s="2">
        <v>14362.834319223301</v>
      </c>
      <c r="AH5495" s="2">
        <v>12985.065256936899</v>
      </c>
      <c r="AI5495" s="2">
        <v>15754.767141812201</v>
      </c>
      <c r="AJ5495" s="2">
        <v>13571.353493598401</v>
      </c>
      <c r="AK5495" s="2">
        <v>13303.162889257201</v>
      </c>
      <c r="AL5495" s="2">
        <v>8678.3898696697106</v>
      </c>
      <c r="AM5495" s="2">
        <v>11610.7954698094</v>
      </c>
      <c r="AN5495" s="2">
        <v>12499.283671401099</v>
      </c>
      <c r="AO5495" s="2">
        <v>17369.1346065281</v>
      </c>
      <c r="AP5495" s="2">
        <v>11821.115546385699</v>
      </c>
    </row>
    <row r="5496" spans="1:42" ht="14.5" x14ac:dyDescent="0.35">
      <c r="A5496" s="2" t="s">
        <v>36459</v>
      </c>
      <c r="B5496" s="2">
        <v>439.12130132663901</v>
      </c>
      <c r="C5496" s="2">
        <v>3.5976333333333299</v>
      </c>
      <c r="D5496" s="2" t="s">
        <v>70</v>
      </c>
      <c r="E5496" s="2" t="s">
        <v>36460</v>
      </c>
      <c r="F5496" s="2">
        <v>199418</v>
      </c>
      <c r="G5496" s="3" t="str">
        <f>HYPERLINK("http://funmeta.oebiotech.com/network/199418", "http://funmeta.oebiotech.com/network/199418")</f>
        <v>http://funmeta.oebiotech.com/network/199418</v>
      </c>
      <c r="H5496" s="2" t="s">
        <v>36461</v>
      </c>
      <c r="I5496" s="2"/>
      <c r="J5496" s="2"/>
      <c r="K5496" s="2"/>
      <c r="L5496" s="2"/>
      <c r="M5496" s="2"/>
      <c r="N5496" s="2"/>
      <c r="O5496" s="2">
        <v>90701205</v>
      </c>
      <c r="P5496" s="2"/>
      <c r="Q5496" s="2" t="s">
        <v>36462</v>
      </c>
      <c r="R5496" s="2" t="s">
        <v>36463</v>
      </c>
      <c r="S5496" s="2" t="s">
        <v>41</v>
      </c>
      <c r="T5496" s="2" t="s">
        <v>41</v>
      </c>
      <c r="U5496" s="2" t="s">
        <v>41</v>
      </c>
      <c r="V5496" s="2" t="s">
        <v>59</v>
      </c>
      <c r="W5496" s="2">
        <v>38.200000000000003</v>
      </c>
      <c r="X5496" s="2">
        <v>0</v>
      </c>
      <c r="Y5496" s="2" t="s">
        <v>560</v>
      </c>
      <c r="Z5496" s="2" t="s">
        <v>36464</v>
      </c>
      <c r="AA5496" s="2">
        <v>-2.34875371625398</v>
      </c>
      <c r="AB5496" s="2">
        <v>7.8952731768055007E-2</v>
      </c>
      <c r="AC5496" s="2">
        <v>1083.7581381488101</v>
      </c>
      <c r="AD5496" s="2">
        <v>595.069176624541</v>
      </c>
      <c r="AE5496" s="2">
        <v>1308.17687975885</v>
      </c>
      <c r="AF5496" s="2">
        <v>1267.10607419445</v>
      </c>
      <c r="AG5496" s="2">
        <v>911.35489631462099</v>
      </c>
      <c r="AH5496" s="2">
        <v>931.49397153502605</v>
      </c>
      <c r="AI5496" s="2">
        <v>1213.6645695205</v>
      </c>
      <c r="AJ5496" s="2">
        <v>870.75243756942302</v>
      </c>
      <c r="AK5496" s="2">
        <v>669.01694865950606</v>
      </c>
      <c r="AL5496" s="2">
        <v>773.34493871920404</v>
      </c>
      <c r="AM5496" s="2">
        <v>365.22131815614603</v>
      </c>
      <c r="AN5496" s="2">
        <v>624.45146151855897</v>
      </c>
      <c r="AO5496" s="2">
        <v>476.27253975660199</v>
      </c>
      <c r="AP5496" s="2">
        <v>662.10785293722699</v>
      </c>
    </row>
    <row r="5497" spans="1:42" ht="14.5" x14ac:dyDescent="0.35">
      <c r="A5497" s="2" t="s">
        <v>36465</v>
      </c>
      <c r="B5497" s="2">
        <v>297.11263418567103</v>
      </c>
      <c r="C5497" s="2">
        <v>4.96875</v>
      </c>
      <c r="D5497" s="2" t="s">
        <v>70</v>
      </c>
      <c r="E5497" s="2" t="s">
        <v>36466</v>
      </c>
      <c r="F5497" s="2">
        <v>58938</v>
      </c>
      <c r="G5497" s="3" t="str">
        <f>HYPERLINK("http://funmeta.oebiotech.com/network/58938", "http://funmeta.oebiotech.com/network/58938")</f>
        <v>http://funmeta.oebiotech.com/network/58938</v>
      </c>
      <c r="H5497" s="2" t="s">
        <v>36467</v>
      </c>
      <c r="I5497" s="2">
        <v>90378</v>
      </c>
      <c r="J5497" s="2"/>
      <c r="K5497" s="2"/>
      <c r="L5497" s="2"/>
      <c r="M5497" s="2"/>
      <c r="N5497" s="2"/>
      <c r="O5497" s="2">
        <v>5369459</v>
      </c>
      <c r="P5497" s="2" t="s">
        <v>36468</v>
      </c>
      <c r="Q5497" s="2" t="s">
        <v>36469</v>
      </c>
      <c r="R5497" s="2" t="s">
        <v>36470</v>
      </c>
      <c r="S5497" s="2" t="s">
        <v>115</v>
      </c>
      <c r="T5497" s="2" t="s">
        <v>116</v>
      </c>
      <c r="U5497" s="2" t="s">
        <v>7178</v>
      </c>
      <c r="V5497" s="2" t="s">
        <v>59</v>
      </c>
      <c r="W5497" s="2">
        <v>38.700000000000003</v>
      </c>
      <c r="X5497" s="2">
        <v>0</v>
      </c>
      <c r="Y5497" s="2" t="s">
        <v>408</v>
      </c>
      <c r="Z5497" s="2" t="s">
        <v>36471</v>
      </c>
      <c r="AA5497" s="2">
        <v>-2.3736647880122401</v>
      </c>
      <c r="AB5497" s="2">
        <v>7.8861607160798694E-2</v>
      </c>
      <c r="AC5497" s="2">
        <v>1602.2682408098401</v>
      </c>
      <c r="AD5497" s="2">
        <v>1101.2507820239</v>
      </c>
      <c r="AE5497" s="2">
        <v>1397.15922274677</v>
      </c>
      <c r="AF5497" s="2">
        <v>1521.42891695962</v>
      </c>
      <c r="AG5497" s="2">
        <v>1398.6475359830199</v>
      </c>
      <c r="AH5497" s="2">
        <v>1647.8944857690999</v>
      </c>
      <c r="AI5497" s="2">
        <v>1879.6829447218399</v>
      </c>
      <c r="AJ5497" s="2">
        <v>1768.7963386786801</v>
      </c>
      <c r="AK5497" s="2">
        <v>1187.5523482727899</v>
      </c>
      <c r="AL5497" s="2">
        <v>850.39823203212995</v>
      </c>
      <c r="AM5497" s="2">
        <v>1324.17759073873</v>
      </c>
      <c r="AN5497" s="2">
        <v>1195.0254449777599</v>
      </c>
      <c r="AO5497" s="2">
        <v>938.42789121436897</v>
      </c>
      <c r="AP5497" s="2">
        <v>1111.92318490765</v>
      </c>
    </row>
    <row r="5498" spans="1:42" ht="14.5" x14ac:dyDescent="0.35">
      <c r="A5498" s="2" t="s">
        <v>36472</v>
      </c>
      <c r="B5498" s="2">
        <v>190.04976760202399</v>
      </c>
      <c r="C5498" s="2">
        <v>8.8024666666666693</v>
      </c>
      <c r="D5498" s="2" t="s">
        <v>34</v>
      </c>
      <c r="E5498" s="2" t="s">
        <v>36473</v>
      </c>
      <c r="F5498" s="2">
        <v>198640</v>
      </c>
      <c r="G5498" s="3" t="str">
        <f>HYPERLINK("http://funmeta.oebiotech.com/network/198640", "http://funmeta.oebiotech.com/network/198640")</f>
        <v>http://funmeta.oebiotech.com/network/198640</v>
      </c>
      <c r="H5498" s="2" t="s">
        <v>36474</v>
      </c>
      <c r="I5498" s="2"/>
      <c r="J5498" s="2"/>
      <c r="K5498" s="2"/>
      <c r="L5498" s="2"/>
      <c r="M5498" s="2"/>
      <c r="N5498" s="2"/>
      <c r="O5498" s="2">
        <v>73863</v>
      </c>
      <c r="P5498" s="2"/>
      <c r="Q5498" s="2" t="s">
        <v>36475</v>
      </c>
      <c r="R5498" s="2" t="s">
        <v>36476</v>
      </c>
      <c r="S5498" s="2" t="s">
        <v>491</v>
      </c>
      <c r="T5498" s="2" t="s">
        <v>2184</v>
      </c>
      <c r="U5498" s="2" t="s">
        <v>8858</v>
      </c>
      <c r="V5498" s="2" t="s">
        <v>59</v>
      </c>
      <c r="W5498" s="2">
        <v>38.299999999999997</v>
      </c>
      <c r="X5498" s="2">
        <v>0</v>
      </c>
      <c r="Y5498" s="2" t="s">
        <v>394</v>
      </c>
      <c r="Z5498" s="2" t="s">
        <v>36477</v>
      </c>
      <c r="AA5498" s="2">
        <v>-0.53912689231844002</v>
      </c>
      <c r="AB5498" s="2">
        <v>7.8860779028697106E-2</v>
      </c>
      <c r="AC5498" s="2">
        <v>13463.688741268301</v>
      </c>
      <c r="AD5498" s="2">
        <v>14327.8938426078</v>
      </c>
      <c r="AE5498" s="2">
        <v>12844.4945609886</v>
      </c>
      <c r="AF5498" s="2">
        <v>14030.0393762781</v>
      </c>
      <c r="AG5498" s="2">
        <v>14157.027276738299</v>
      </c>
      <c r="AH5498" s="2">
        <v>12661.244454473201</v>
      </c>
      <c r="AI5498" s="2">
        <v>14205.559446186</v>
      </c>
      <c r="AJ5498" s="2">
        <v>12883.767332945399</v>
      </c>
      <c r="AK5498" s="2">
        <v>15686.405246930601</v>
      </c>
      <c r="AL5498" s="2">
        <v>13941.198196364299</v>
      </c>
      <c r="AM5498" s="2">
        <v>14597.8174471005</v>
      </c>
      <c r="AN5498" s="2">
        <v>13504.1929285726</v>
      </c>
      <c r="AO5498" s="2">
        <v>15203.8556135417</v>
      </c>
      <c r="AP5498" s="2">
        <v>13033.893623136801</v>
      </c>
    </row>
    <row r="5499" spans="1:42" ht="14.5" x14ac:dyDescent="0.35">
      <c r="A5499" s="2" t="s">
        <v>36478</v>
      </c>
      <c r="B5499" s="2">
        <v>427.00130679867902</v>
      </c>
      <c r="C5499" s="2">
        <v>9.8236333333333299</v>
      </c>
      <c r="D5499" s="2" t="s">
        <v>70</v>
      </c>
      <c r="E5499" s="2" t="s">
        <v>36479</v>
      </c>
      <c r="F5499" s="2">
        <v>209356</v>
      </c>
      <c r="G5499" s="3" t="str">
        <f>HYPERLINK("http://funmeta.oebiotech.com/network/209356", "http://funmeta.oebiotech.com/network/209356")</f>
        <v>http://funmeta.oebiotech.com/network/209356</v>
      </c>
      <c r="H5499" s="2" t="s">
        <v>36480</v>
      </c>
      <c r="I5499" s="2"/>
      <c r="J5499" s="2"/>
      <c r="K5499" s="2"/>
      <c r="L5499" s="2"/>
      <c r="M5499" s="2"/>
      <c r="N5499" s="2"/>
      <c r="O5499" s="2">
        <v>54314512</v>
      </c>
      <c r="P5499" s="2"/>
      <c r="Q5499" s="2" t="s">
        <v>36481</v>
      </c>
      <c r="R5499" s="2" t="s">
        <v>36482</v>
      </c>
      <c r="S5499" s="2" t="s">
        <v>41</v>
      </c>
      <c r="T5499" s="2" t="s">
        <v>41</v>
      </c>
      <c r="U5499" s="2" t="s">
        <v>41</v>
      </c>
      <c r="V5499" s="2" t="s">
        <v>59</v>
      </c>
      <c r="W5499" s="2">
        <v>37.1</v>
      </c>
      <c r="X5499" s="2">
        <v>0</v>
      </c>
      <c r="Y5499" s="2" t="s">
        <v>560</v>
      </c>
      <c r="Z5499" s="2" t="s">
        <v>36483</v>
      </c>
      <c r="AA5499" s="2">
        <v>-2.5049197541494901</v>
      </c>
      <c r="AB5499" s="2">
        <v>7.8776129847871093E-2</v>
      </c>
      <c r="AC5499" s="2">
        <v>4844.2137609907904</v>
      </c>
      <c r="AD5499" s="2">
        <v>5457.5354665630903</v>
      </c>
      <c r="AE5499" s="2">
        <v>5137.5521356499803</v>
      </c>
      <c r="AF5499" s="2">
        <v>4178.6654037237304</v>
      </c>
      <c r="AG5499" s="2">
        <v>5148.7649970920902</v>
      </c>
      <c r="AH5499" s="2">
        <v>5144.1106008320103</v>
      </c>
      <c r="AI5499" s="2">
        <v>4604.2231483367004</v>
      </c>
      <c r="AJ5499" s="2">
        <v>4851.9662803102201</v>
      </c>
      <c r="AK5499" s="2">
        <v>5607.2844744104696</v>
      </c>
      <c r="AL5499" s="2">
        <v>5772.0866493087497</v>
      </c>
      <c r="AM5499" s="2">
        <v>5776.3202695732198</v>
      </c>
      <c r="AN5499" s="2">
        <v>4921.9183394232596</v>
      </c>
      <c r="AO5499" s="2">
        <v>5532.5455756606098</v>
      </c>
      <c r="AP5499" s="2">
        <v>5135.0574910022196</v>
      </c>
    </row>
    <row r="5500" spans="1:42" ht="14.5" x14ac:dyDescent="0.35">
      <c r="A5500" s="2" t="s">
        <v>36484</v>
      </c>
      <c r="B5500" s="2">
        <v>291.19644835366501</v>
      </c>
      <c r="C5500" s="2">
        <v>9.9829166666666698</v>
      </c>
      <c r="D5500" s="2" t="s">
        <v>70</v>
      </c>
      <c r="E5500" s="2" t="s">
        <v>36485</v>
      </c>
      <c r="F5500" s="2">
        <v>55641</v>
      </c>
      <c r="G5500" s="3" t="str">
        <f>HYPERLINK("http://funmeta.oebiotech.com/network/55641", "http://funmeta.oebiotech.com/network/55641")</f>
        <v>http://funmeta.oebiotech.com/network/55641</v>
      </c>
      <c r="H5500" s="2" t="s">
        <v>36486</v>
      </c>
      <c r="I5500" s="2">
        <v>87292</v>
      </c>
      <c r="J5500" s="2"/>
      <c r="K5500" s="2"/>
      <c r="L5500" s="2"/>
      <c r="M5500" s="2"/>
      <c r="N5500" s="2"/>
      <c r="O5500" s="2">
        <v>131751100</v>
      </c>
      <c r="P5500" s="2" t="s">
        <v>36487</v>
      </c>
      <c r="Q5500" s="2" t="s">
        <v>36488</v>
      </c>
      <c r="R5500" s="2" t="s">
        <v>36489</v>
      </c>
      <c r="S5500" s="2" t="s">
        <v>491</v>
      </c>
      <c r="T5500" s="2" t="s">
        <v>2621</v>
      </c>
      <c r="U5500" s="2" t="s">
        <v>41</v>
      </c>
      <c r="V5500" s="2" t="s">
        <v>59</v>
      </c>
      <c r="W5500" s="2">
        <v>38.6</v>
      </c>
      <c r="X5500" s="2">
        <v>0</v>
      </c>
      <c r="Y5500" s="2" t="s">
        <v>408</v>
      </c>
      <c r="Z5500" s="2" t="s">
        <v>36490</v>
      </c>
      <c r="AA5500" s="2">
        <v>-0.48728883734161799</v>
      </c>
      <c r="AB5500" s="2">
        <v>7.8690754712820998E-2</v>
      </c>
      <c r="AC5500" s="2">
        <v>1715.50880832439</v>
      </c>
      <c r="AD5500" s="2">
        <v>1234.61073106501</v>
      </c>
      <c r="AE5500" s="2">
        <v>1714.2725205367999</v>
      </c>
      <c r="AF5500" s="2">
        <v>1834.5111337194</v>
      </c>
      <c r="AG5500" s="2">
        <v>1496.4403762569</v>
      </c>
      <c r="AH5500" s="2">
        <v>1769.40488945068</v>
      </c>
      <c r="AI5500" s="2">
        <v>1498.8510428644699</v>
      </c>
      <c r="AJ5500" s="2">
        <v>1979.57288711809</v>
      </c>
      <c r="AK5500" s="2">
        <v>1050.0233293405499</v>
      </c>
      <c r="AL5500" s="2">
        <v>1375.0251944910599</v>
      </c>
      <c r="AM5500" s="2">
        <v>1309.4488077103099</v>
      </c>
      <c r="AN5500" s="2">
        <v>1317.74966394537</v>
      </c>
      <c r="AO5500" s="2">
        <v>1301.02608770184</v>
      </c>
      <c r="AP5500" s="2">
        <v>1054.39130320093</v>
      </c>
    </row>
    <row r="5501" spans="1:42" ht="14.5" x14ac:dyDescent="0.35">
      <c r="A5501" s="2" t="s">
        <v>36491</v>
      </c>
      <c r="B5501" s="2">
        <v>289.105541347692</v>
      </c>
      <c r="C5501" s="2">
        <v>7.7996333333333299</v>
      </c>
      <c r="D5501" s="2" t="s">
        <v>70</v>
      </c>
      <c r="E5501" s="2" t="s">
        <v>36492</v>
      </c>
      <c r="F5501" s="2">
        <v>209484</v>
      </c>
      <c r="G5501" s="3" t="str">
        <f>HYPERLINK("http://funmeta.oebiotech.com/network/209484", "http://funmeta.oebiotech.com/network/209484")</f>
        <v>http://funmeta.oebiotech.com/network/209484</v>
      </c>
      <c r="H5501" s="2" t="s">
        <v>36493</v>
      </c>
      <c r="I5501" s="2"/>
      <c r="J5501" s="2"/>
      <c r="K5501" s="2">
        <v>91647</v>
      </c>
      <c r="L5501" s="2"/>
      <c r="M5501" s="2"/>
      <c r="N5501" s="2"/>
      <c r="O5501" s="2">
        <v>2868392</v>
      </c>
      <c r="P5501" s="2"/>
      <c r="Q5501" s="2" t="s">
        <v>36494</v>
      </c>
      <c r="R5501" s="2" t="s">
        <v>36495</v>
      </c>
      <c r="S5501" s="2" t="s">
        <v>1444</v>
      </c>
      <c r="T5501" s="2" t="s">
        <v>3595</v>
      </c>
      <c r="U5501" s="2" t="s">
        <v>41</v>
      </c>
      <c r="V5501" s="2" t="s">
        <v>59</v>
      </c>
      <c r="W5501" s="2">
        <v>38.799999999999997</v>
      </c>
      <c r="X5501" s="2">
        <v>0</v>
      </c>
      <c r="Y5501" s="2" t="s">
        <v>751</v>
      </c>
      <c r="Z5501" s="2" t="s">
        <v>36496</v>
      </c>
      <c r="AA5501" s="2">
        <v>0.25784331042895497</v>
      </c>
      <c r="AB5501" s="2">
        <v>7.86371133842204E-2</v>
      </c>
      <c r="AC5501" s="2">
        <v>4340.0003495470701</v>
      </c>
      <c r="AD5501" s="2">
        <v>4924.36333556918</v>
      </c>
      <c r="AE5501" s="2">
        <v>4373.77943995647</v>
      </c>
      <c r="AF5501" s="2">
        <v>4119.6199758588</v>
      </c>
      <c r="AG5501" s="2">
        <v>4389.3163422519301</v>
      </c>
      <c r="AH5501" s="2">
        <v>4115.4614750453502</v>
      </c>
      <c r="AI5501" s="2">
        <v>5070.9302218842504</v>
      </c>
      <c r="AJ5501" s="2">
        <v>3970.8946422856302</v>
      </c>
      <c r="AK5501" s="2">
        <v>4807.7193655168303</v>
      </c>
      <c r="AL5501" s="2">
        <v>5142.7563196204201</v>
      </c>
      <c r="AM5501" s="2">
        <v>4637.3870375246397</v>
      </c>
      <c r="AN5501" s="2">
        <v>5042.4026506700202</v>
      </c>
      <c r="AO5501" s="2">
        <v>5300.1622524473796</v>
      </c>
      <c r="AP5501" s="2">
        <v>4615.7523876358</v>
      </c>
    </row>
    <row r="5502" spans="1:42" ht="14.5" x14ac:dyDescent="0.35">
      <c r="A5502" s="2" t="s">
        <v>36497</v>
      </c>
      <c r="B5502" s="2">
        <v>729.37533449733996</v>
      </c>
      <c r="C5502" s="2">
        <v>10.471816666666699</v>
      </c>
      <c r="D5502" s="2" t="s">
        <v>34</v>
      </c>
      <c r="E5502" s="2" t="s">
        <v>36498</v>
      </c>
      <c r="F5502" s="2">
        <v>215878</v>
      </c>
      <c r="G5502" s="3" t="str">
        <f>HYPERLINK("http://funmeta.oebiotech.com/network/215878", "http://funmeta.oebiotech.com/network/215878")</f>
        <v>http://funmeta.oebiotech.com/network/215878</v>
      </c>
      <c r="H5502" s="2" t="s">
        <v>36499</v>
      </c>
      <c r="I5502" s="2"/>
      <c r="J5502" s="2"/>
      <c r="K5502" s="2"/>
      <c r="L5502" s="2"/>
      <c r="M5502" s="2"/>
      <c r="N5502" s="2"/>
      <c r="O5502" s="2"/>
      <c r="P5502" s="2"/>
      <c r="Q5502" s="2" t="s">
        <v>36500</v>
      </c>
      <c r="R5502" s="2" t="s">
        <v>36501</v>
      </c>
      <c r="S5502" s="2" t="s">
        <v>41</v>
      </c>
      <c r="T5502" s="2" t="s">
        <v>41</v>
      </c>
      <c r="U5502" s="2" t="s">
        <v>41</v>
      </c>
      <c r="V5502" s="2" t="s">
        <v>59</v>
      </c>
      <c r="W5502" s="2">
        <v>36.799999999999997</v>
      </c>
      <c r="X5502" s="2">
        <v>0</v>
      </c>
      <c r="Y5502" s="2" t="s">
        <v>340</v>
      </c>
      <c r="Z5502" s="2" t="s">
        <v>36502</v>
      </c>
      <c r="AA5502" s="2">
        <v>1.99439488999741</v>
      </c>
      <c r="AB5502" s="2">
        <v>7.8588694723221497E-2</v>
      </c>
      <c r="AC5502" s="2">
        <v>5534.4292181933897</v>
      </c>
      <c r="AD5502" s="2">
        <v>6480.9664748130099</v>
      </c>
      <c r="AE5502" s="2">
        <v>4165.06908958453</v>
      </c>
      <c r="AF5502" s="2">
        <v>5699.9649736122201</v>
      </c>
      <c r="AG5502" s="2">
        <v>5812.0464502288496</v>
      </c>
      <c r="AH5502" s="2">
        <v>5547.5542544418404</v>
      </c>
      <c r="AI5502" s="2">
        <v>4845.9176185277802</v>
      </c>
      <c r="AJ5502" s="2">
        <v>7136.0229227650998</v>
      </c>
      <c r="AK5502" s="2">
        <v>7555.0276351667999</v>
      </c>
      <c r="AL5502" s="2">
        <v>7619.27976125858</v>
      </c>
      <c r="AM5502" s="2">
        <v>5779.0619030051303</v>
      </c>
      <c r="AN5502" s="2">
        <v>6141.6062661363803</v>
      </c>
      <c r="AO5502" s="2">
        <v>7071.7383675394203</v>
      </c>
      <c r="AP5502" s="2">
        <v>4719.0849157717203</v>
      </c>
    </row>
    <row r="5503" spans="1:42" ht="14.5" x14ac:dyDescent="0.35">
      <c r="A5503" s="2" t="s">
        <v>36503</v>
      </c>
      <c r="B5503" s="2">
        <v>463.30606739177603</v>
      </c>
      <c r="C5503" s="2">
        <v>7.2989833333333296</v>
      </c>
      <c r="D5503" s="2" t="s">
        <v>70</v>
      </c>
      <c r="E5503" s="2" t="s">
        <v>36504</v>
      </c>
      <c r="F5503" s="2">
        <v>279576</v>
      </c>
      <c r="G5503" s="3" t="str">
        <f>HYPERLINK("http://funmeta.oebiotech.com/network/279576", "http://funmeta.oebiotech.com/network/279576")</f>
        <v>http://funmeta.oebiotech.com/network/279576</v>
      </c>
      <c r="H5503" s="2"/>
      <c r="I5503" s="2">
        <v>72242</v>
      </c>
      <c r="J5503" s="2"/>
      <c r="K5503" s="2"/>
      <c r="L5503" s="2" t="s">
        <v>36505</v>
      </c>
      <c r="M5503" s="2"/>
      <c r="N5503" s="2"/>
      <c r="O5503" s="2">
        <v>16116</v>
      </c>
      <c r="P5503" s="2" t="s">
        <v>36506</v>
      </c>
      <c r="Q5503" s="2" t="s">
        <v>36507</v>
      </c>
      <c r="R5503" s="2" t="s">
        <v>36508</v>
      </c>
      <c r="S5503" s="2" t="s">
        <v>148</v>
      </c>
      <c r="T5503" s="2" t="s">
        <v>149</v>
      </c>
      <c r="U5503" s="2" t="s">
        <v>17602</v>
      </c>
      <c r="V5503" s="2" t="s">
        <v>59</v>
      </c>
      <c r="W5503" s="2">
        <v>38.5</v>
      </c>
      <c r="X5503" s="2">
        <v>0</v>
      </c>
      <c r="Y5503" s="2" t="s">
        <v>560</v>
      </c>
      <c r="Z5503" s="2" t="s">
        <v>36509</v>
      </c>
      <c r="AA5503" s="2">
        <v>-3.8394556666320501</v>
      </c>
      <c r="AB5503" s="2">
        <v>7.8580872542845903E-2</v>
      </c>
      <c r="AC5503" s="2">
        <v>971.57069475055903</v>
      </c>
      <c r="AD5503" s="2">
        <v>1542.08457567562</v>
      </c>
      <c r="AE5503" s="2">
        <v>967.24522887452395</v>
      </c>
      <c r="AF5503" s="2">
        <v>1056.2391831012501</v>
      </c>
      <c r="AG5503" s="2">
        <v>820.36210875381403</v>
      </c>
      <c r="AH5503" s="2">
        <v>665.90751439749295</v>
      </c>
      <c r="AI5503" s="2">
        <v>1432.3995357260501</v>
      </c>
      <c r="AJ5503" s="2">
        <v>887.27059765022204</v>
      </c>
      <c r="AK5503" s="2">
        <v>1812.60839762307</v>
      </c>
      <c r="AL5503" s="2">
        <v>1989.60144437908</v>
      </c>
      <c r="AM5503" s="2">
        <v>1330.8911983293201</v>
      </c>
      <c r="AN5503" s="2">
        <v>1009.33133562035</v>
      </c>
      <c r="AO5503" s="2">
        <v>1649.57229443706</v>
      </c>
      <c r="AP5503" s="2">
        <v>1460.5027836648501</v>
      </c>
    </row>
    <row r="5504" spans="1:42" ht="14.5" x14ac:dyDescent="0.35">
      <c r="A5504" s="2" t="s">
        <v>36510</v>
      </c>
      <c r="B5504" s="2">
        <v>174.12767031774899</v>
      </c>
      <c r="C5504" s="2">
        <v>12.792866666666701</v>
      </c>
      <c r="D5504" s="2" t="s">
        <v>34</v>
      </c>
      <c r="E5504" s="2" t="s">
        <v>36511</v>
      </c>
      <c r="F5504" s="2">
        <v>81809</v>
      </c>
      <c r="G5504" s="3" t="str">
        <f>HYPERLINK("http://funmeta.oebiotech.com/network/81809", "http://funmeta.oebiotech.com/network/81809")</f>
        <v>http://funmeta.oebiotech.com/network/81809</v>
      </c>
      <c r="H5504" s="2" t="s">
        <v>36512</v>
      </c>
      <c r="I5504" s="2">
        <v>69971</v>
      </c>
      <c r="J5504" s="2"/>
      <c r="K5504" s="2">
        <v>34251</v>
      </c>
      <c r="L5504" s="2" t="s">
        <v>36513</v>
      </c>
      <c r="M5504" s="2"/>
      <c r="N5504" s="2"/>
      <c r="O5504" s="2">
        <v>11387</v>
      </c>
      <c r="P5504" s="2" t="s">
        <v>36514</v>
      </c>
      <c r="Q5504" s="2" t="s">
        <v>36515</v>
      </c>
      <c r="R5504" s="2" t="s">
        <v>36516</v>
      </c>
      <c r="S5504" s="2" t="s">
        <v>148</v>
      </c>
      <c r="T5504" s="2" t="s">
        <v>6221</v>
      </c>
      <c r="U5504" s="2" t="s">
        <v>41</v>
      </c>
      <c r="V5504" s="2" t="s">
        <v>59</v>
      </c>
      <c r="W5504" s="2">
        <v>37.700000000000003</v>
      </c>
      <c r="X5504" s="2">
        <v>0</v>
      </c>
      <c r="Y5504" s="2" t="s">
        <v>43</v>
      </c>
      <c r="Z5504" s="2" t="s">
        <v>36517</v>
      </c>
      <c r="AA5504" s="2">
        <v>-0.35617721830236898</v>
      </c>
      <c r="AB5504" s="2">
        <v>7.8575284210910395E-2</v>
      </c>
      <c r="AC5504" s="2">
        <v>607.17630203543797</v>
      </c>
      <c r="AD5504" s="2">
        <v>191.043423568267</v>
      </c>
      <c r="AE5504" s="2">
        <v>621.17677124197905</v>
      </c>
      <c r="AF5504" s="2">
        <v>683.52520826670002</v>
      </c>
      <c r="AG5504" s="2">
        <v>617.88919589982902</v>
      </c>
      <c r="AH5504" s="2">
        <v>571.77856827309097</v>
      </c>
      <c r="AI5504" s="2">
        <v>581.76540715703504</v>
      </c>
      <c r="AJ5504" s="2">
        <v>566.92266137399497</v>
      </c>
      <c r="AK5504" s="2">
        <v>170.90591173378701</v>
      </c>
      <c r="AL5504" s="2">
        <v>273.26682295309502</v>
      </c>
      <c r="AM5504" s="2">
        <v>206.65765324452801</v>
      </c>
      <c r="AN5504" s="2">
        <v>88.563090918771294</v>
      </c>
      <c r="AO5504" s="2">
        <v>249.30955785299699</v>
      </c>
      <c r="AP5504" s="2">
        <v>157.55750470642101</v>
      </c>
    </row>
    <row r="5505" spans="1:42" ht="14.5" x14ac:dyDescent="0.35">
      <c r="A5505" s="2" t="s">
        <v>36518</v>
      </c>
      <c r="B5505" s="2">
        <v>423.28665485624703</v>
      </c>
      <c r="C5505" s="2">
        <v>12.804</v>
      </c>
      <c r="D5505" s="2" t="s">
        <v>34</v>
      </c>
      <c r="E5505" s="2" t="s">
        <v>36519</v>
      </c>
      <c r="F5505" s="2">
        <v>199235</v>
      </c>
      <c r="G5505" s="3" t="str">
        <f>HYPERLINK("http://funmeta.oebiotech.com/network/199235", "http://funmeta.oebiotech.com/network/199235")</f>
        <v>http://funmeta.oebiotech.com/network/199235</v>
      </c>
      <c r="H5505" s="2" t="s">
        <v>36520</v>
      </c>
      <c r="I5505" s="2"/>
      <c r="J5505" s="2"/>
      <c r="K5505" s="2"/>
      <c r="L5505" s="2"/>
      <c r="M5505" s="2"/>
      <c r="N5505" s="2"/>
      <c r="O5505" s="2"/>
      <c r="P5505" s="2"/>
      <c r="Q5505" s="2" t="s">
        <v>36521</v>
      </c>
      <c r="R5505" s="2" t="s">
        <v>36522</v>
      </c>
      <c r="S5505" s="2" t="s">
        <v>50</v>
      </c>
      <c r="T5505" s="2" t="s">
        <v>124</v>
      </c>
      <c r="U5505" s="2" t="s">
        <v>982</v>
      </c>
      <c r="V5505" s="2" t="s">
        <v>59</v>
      </c>
      <c r="W5505" s="2">
        <v>39.200000000000003</v>
      </c>
      <c r="X5505" s="2">
        <v>0</v>
      </c>
      <c r="Y5505" s="2" t="s">
        <v>141</v>
      </c>
      <c r="Z5505" s="2" t="s">
        <v>36523</v>
      </c>
      <c r="AA5505" s="2">
        <v>-0.61787337813057497</v>
      </c>
      <c r="AB5505" s="2">
        <v>7.8574689476827803E-2</v>
      </c>
      <c r="AC5505" s="2">
        <v>12112.815206393299</v>
      </c>
      <c r="AD5505" s="2">
        <v>10867.408626909701</v>
      </c>
      <c r="AE5505" s="2">
        <v>12619.741732033101</v>
      </c>
      <c r="AF5505" s="2">
        <v>13091.278825267</v>
      </c>
      <c r="AG5505" s="2">
        <v>11734.0943302949</v>
      </c>
      <c r="AH5505" s="2">
        <v>12083.4480763559</v>
      </c>
      <c r="AI5505" s="2">
        <v>11880.3544148195</v>
      </c>
      <c r="AJ5505" s="2">
        <v>11267.9738595893</v>
      </c>
      <c r="AK5505" s="2">
        <v>9581.7082005754492</v>
      </c>
      <c r="AL5505" s="2">
        <v>9865.1263338812605</v>
      </c>
      <c r="AM5505" s="2">
        <v>9615.4891762585303</v>
      </c>
      <c r="AN5505" s="2">
        <v>8458.8249319529405</v>
      </c>
      <c r="AO5505" s="2">
        <v>11526.1377168203</v>
      </c>
      <c r="AP5505" s="2">
        <v>16157.16540197</v>
      </c>
    </row>
    <row r="5506" spans="1:42" ht="14.5" x14ac:dyDescent="0.35">
      <c r="A5506" s="2" t="s">
        <v>36524</v>
      </c>
      <c r="B5506" s="2">
        <v>443.15363675960498</v>
      </c>
      <c r="C5506" s="2">
        <v>5.2266333333333304</v>
      </c>
      <c r="D5506" s="2" t="s">
        <v>70</v>
      </c>
      <c r="E5506" s="2" t="s">
        <v>36525</v>
      </c>
      <c r="F5506" s="2">
        <v>202337</v>
      </c>
      <c r="G5506" s="3" t="str">
        <f>HYPERLINK("http://funmeta.oebiotech.com/network/202337", "http://funmeta.oebiotech.com/network/202337")</f>
        <v>http://funmeta.oebiotech.com/network/202337</v>
      </c>
      <c r="H5506" s="2" t="s">
        <v>36526</v>
      </c>
      <c r="I5506" s="2"/>
      <c r="J5506" s="2"/>
      <c r="K5506" s="2"/>
      <c r="L5506" s="2"/>
      <c r="M5506" s="2"/>
      <c r="N5506" s="2"/>
      <c r="O5506" s="2">
        <v>94937</v>
      </c>
      <c r="P5506" s="2"/>
      <c r="Q5506" s="2" t="s">
        <v>36527</v>
      </c>
      <c r="R5506" s="2" t="s">
        <v>36528</v>
      </c>
      <c r="S5506" s="2" t="s">
        <v>491</v>
      </c>
      <c r="T5506" s="2" t="s">
        <v>2184</v>
      </c>
      <c r="U5506" s="2" t="s">
        <v>8858</v>
      </c>
      <c r="V5506" s="2" t="s">
        <v>59</v>
      </c>
      <c r="W5506" s="2">
        <v>39</v>
      </c>
      <c r="X5506" s="2">
        <v>0</v>
      </c>
      <c r="Y5506" s="2" t="s">
        <v>560</v>
      </c>
      <c r="Z5506" s="2" t="s">
        <v>36529</v>
      </c>
      <c r="AA5506" s="2">
        <v>3.4866312951917001E-3</v>
      </c>
      <c r="AB5506" s="2">
        <v>7.8569961521923901E-2</v>
      </c>
      <c r="AC5506" s="2">
        <v>2344.6316219136202</v>
      </c>
      <c r="AD5506" s="2">
        <v>3026.6873218184801</v>
      </c>
      <c r="AE5506" s="2">
        <v>1769.1260920237701</v>
      </c>
      <c r="AF5506" s="2">
        <v>2537.94002030513</v>
      </c>
      <c r="AG5506" s="2">
        <v>2003.66167391876</v>
      </c>
      <c r="AH5506" s="2">
        <v>2541.1857332135801</v>
      </c>
      <c r="AI5506" s="2">
        <v>3062.0928436338399</v>
      </c>
      <c r="AJ5506" s="2">
        <v>2153.7833683866602</v>
      </c>
      <c r="AK5506" s="2">
        <v>3720.5203941790301</v>
      </c>
      <c r="AL5506" s="2">
        <v>2552.87256587505</v>
      </c>
      <c r="AM5506" s="2">
        <v>3172.2262947193599</v>
      </c>
      <c r="AN5506" s="2">
        <v>3331.4666439357302</v>
      </c>
      <c r="AO5506" s="2">
        <v>2150.9422082820802</v>
      </c>
      <c r="AP5506" s="2">
        <v>3232.0958239196498</v>
      </c>
    </row>
    <row r="5507" spans="1:42" ht="14.5" x14ac:dyDescent="0.35">
      <c r="A5507" s="2" t="s">
        <v>36530</v>
      </c>
      <c r="B5507" s="2">
        <v>346.98925649792699</v>
      </c>
      <c r="C5507" s="2">
        <v>1.20376666666667</v>
      </c>
      <c r="D5507" s="2" t="s">
        <v>70</v>
      </c>
      <c r="E5507" s="2" t="s">
        <v>36531</v>
      </c>
      <c r="F5507" s="2">
        <v>266269</v>
      </c>
      <c r="G5507" s="3" t="str">
        <f>HYPERLINK("http://funmeta.oebiotech.com/network/266269", "http://funmeta.oebiotech.com/network/266269")</f>
        <v>http://funmeta.oebiotech.com/network/266269</v>
      </c>
      <c r="H5507" s="2"/>
      <c r="I5507" s="2">
        <v>34512</v>
      </c>
      <c r="J5507" s="2"/>
      <c r="K5507" s="2"/>
      <c r="L5507" s="2" t="s">
        <v>36532</v>
      </c>
      <c r="M5507" s="2"/>
      <c r="N5507" s="2"/>
      <c r="O5507" s="2">
        <v>4765</v>
      </c>
      <c r="P5507" s="2" t="s">
        <v>36533</v>
      </c>
      <c r="Q5507" s="2" t="s">
        <v>36534</v>
      </c>
      <c r="R5507" s="2" t="s">
        <v>36535</v>
      </c>
      <c r="S5507" s="2" t="s">
        <v>148</v>
      </c>
      <c r="T5507" s="2" t="s">
        <v>149</v>
      </c>
      <c r="U5507" s="2" t="s">
        <v>6788</v>
      </c>
      <c r="V5507" s="2" t="s">
        <v>59</v>
      </c>
      <c r="W5507" s="2">
        <v>37.5</v>
      </c>
      <c r="X5507" s="2">
        <v>0</v>
      </c>
      <c r="Y5507" s="2" t="s">
        <v>560</v>
      </c>
      <c r="Z5507" s="2" t="s">
        <v>36536</v>
      </c>
      <c r="AA5507" s="2">
        <v>-2.3747634021446999</v>
      </c>
      <c r="AB5507" s="2">
        <v>7.8534827302628799E-2</v>
      </c>
      <c r="AC5507" s="2">
        <v>3989.82581547267</v>
      </c>
      <c r="AD5507" s="2">
        <v>3293.5866948828402</v>
      </c>
      <c r="AE5507" s="2">
        <v>4185.3122739591299</v>
      </c>
      <c r="AF5507" s="2">
        <v>4471.3799004051198</v>
      </c>
      <c r="AG5507" s="2">
        <v>4254.5490298293698</v>
      </c>
      <c r="AH5507" s="2">
        <v>4070.1665918918402</v>
      </c>
      <c r="AI5507" s="2">
        <v>2871.43063108656</v>
      </c>
      <c r="AJ5507" s="2">
        <v>4086.1164656639999</v>
      </c>
      <c r="AK5507" s="2">
        <v>3130.46543033022</v>
      </c>
      <c r="AL5507" s="2">
        <v>3217.45085034047</v>
      </c>
      <c r="AM5507" s="2">
        <v>2517.78905222605</v>
      </c>
      <c r="AN5507" s="2">
        <v>3056.3398285530102</v>
      </c>
      <c r="AO5507" s="2">
        <v>3965.2429886784198</v>
      </c>
      <c r="AP5507" s="2">
        <v>3874.23201916888</v>
      </c>
    </row>
    <row r="5508" spans="1:42" ht="14.5" x14ac:dyDescent="0.35">
      <c r="A5508" s="2" t="s">
        <v>36537</v>
      </c>
      <c r="B5508" s="2">
        <v>425.30458680669199</v>
      </c>
      <c r="C5508" s="2">
        <v>5.8651</v>
      </c>
      <c r="D5508" s="2" t="s">
        <v>34</v>
      </c>
      <c r="E5508" s="2" t="s">
        <v>36538</v>
      </c>
      <c r="F5508" s="2">
        <v>56949</v>
      </c>
      <c r="G5508" s="3" t="str">
        <f>HYPERLINK("http://funmeta.oebiotech.com/network/56949", "http://funmeta.oebiotech.com/network/56949")</f>
        <v>http://funmeta.oebiotech.com/network/56949</v>
      </c>
      <c r="H5508" s="2" t="s">
        <v>36539</v>
      </c>
      <c r="I5508" s="2">
        <v>88607</v>
      </c>
      <c r="J5508" s="2"/>
      <c r="K5508" s="2"/>
      <c r="L5508" s="2"/>
      <c r="M5508" s="2"/>
      <c r="N5508" s="2"/>
      <c r="O5508" s="2">
        <v>101417891</v>
      </c>
      <c r="P5508" s="2" t="s">
        <v>36540</v>
      </c>
      <c r="Q5508" s="2" t="s">
        <v>36541</v>
      </c>
      <c r="R5508" s="2" t="s">
        <v>36542</v>
      </c>
      <c r="S5508" s="2" t="s">
        <v>50</v>
      </c>
      <c r="T5508" s="2" t="s">
        <v>124</v>
      </c>
      <c r="U5508" s="2" t="s">
        <v>723</v>
      </c>
      <c r="V5508" s="2" t="s">
        <v>59</v>
      </c>
      <c r="W5508" s="2">
        <v>38.200000000000003</v>
      </c>
      <c r="X5508" s="2">
        <v>0</v>
      </c>
      <c r="Y5508" s="2" t="s">
        <v>141</v>
      </c>
      <c r="Z5508" s="2" t="s">
        <v>36543</v>
      </c>
      <c r="AA5508" s="2">
        <v>-0.98295346983167797</v>
      </c>
      <c r="AB5508" s="2">
        <v>7.8347998337255906E-2</v>
      </c>
      <c r="AC5508" s="2">
        <v>15538.041759986299</v>
      </c>
      <c r="AD5508" s="2">
        <v>16303.538460949099</v>
      </c>
      <c r="AE5508" s="2">
        <v>14819.468969674999</v>
      </c>
      <c r="AF5508" s="2">
        <v>16341.957852568299</v>
      </c>
      <c r="AG5508" s="2">
        <v>16224.4824822132</v>
      </c>
      <c r="AH5508" s="2">
        <v>14534.0621452507</v>
      </c>
      <c r="AI5508" s="2">
        <v>15855.886506455199</v>
      </c>
      <c r="AJ5508" s="2">
        <v>15452.392603755599</v>
      </c>
      <c r="AK5508" s="2">
        <v>17256.6823880989</v>
      </c>
      <c r="AL5508" s="2">
        <v>15772.7710224189</v>
      </c>
      <c r="AM5508" s="2">
        <v>16815.125693578801</v>
      </c>
      <c r="AN5508" s="2">
        <v>16229.7577406073</v>
      </c>
      <c r="AO5508" s="2">
        <v>15754.4221567105</v>
      </c>
      <c r="AP5508" s="2">
        <v>15992.471764280401</v>
      </c>
    </row>
    <row r="5509" spans="1:42" ht="14.5" x14ac:dyDescent="0.35">
      <c r="A5509" s="2" t="s">
        <v>36544</v>
      </c>
      <c r="B5509" s="2">
        <v>364.086160922099</v>
      </c>
      <c r="C5509" s="2">
        <v>2.1595499999999999</v>
      </c>
      <c r="D5509" s="2" t="s">
        <v>70</v>
      </c>
      <c r="E5509" s="2" t="s">
        <v>36545</v>
      </c>
      <c r="F5509" s="2">
        <v>200051</v>
      </c>
      <c r="G5509" s="3" t="str">
        <f>HYPERLINK("http://funmeta.oebiotech.com/network/200051", "http://funmeta.oebiotech.com/network/200051")</f>
        <v>http://funmeta.oebiotech.com/network/200051</v>
      </c>
      <c r="H5509" s="2" t="s">
        <v>36546</v>
      </c>
      <c r="I5509" s="2"/>
      <c r="J5509" s="2"/>
      <c r="K5509" s="2"/>
      <c r="L5509" s="2"/>
      <c r="M5509" s="2"/>
      <c r="N5509" s="2"/>
      <c r="O5509" s="2">
        <v>309599</v>
      </c>
      <c r="P5509" s="2"/>
      <c r="Q5509" s="2" t="s">
        <v>36547</v>
      </c>
      <c r="R5509" s="2" t="s">
        <v>36548</v>
      </c>
      <c r="S5509" s="2" t="s">
        <v>89</v>
      </c>
      <c r="T5509" s="2" t="s">
        <v>90</v>
      </c>
      <c r="U5509" s="2" t="s">
        <v>99</v>
      </c>
      <c r="V5509" s="2" t="s">
        <v>59</v>
      </c>
      <c r="W5509" s="2">
        <v>40.1</v>
      </c>
      <c r="X5509" s="2">
        <v>9.9700000000000006</v>
      </c>
      <c r="Y5509" s="2" t="s">
        <v>408</v>
      </c>
      <c r="Z5509" s="2" t="s">
        <v>36549</v>
      </c>
      <c r="AA5509" s="2">
        <v>0.40435221106728297</v>
      </c>
      <c r="AB5509" s="2">
        <v>7.8306917351061503E-2</v>
      </c>
      <c r="AC5509" s="2">
        <v>8987.3130173009904</v>
      </c>
      <c r="AD5509" s="2">
        <v>8379.4734247637607</v>
      </c>
      <c r="AE5509" s="2">
        <v>8571.2868346109608</v>
      </c>
      <c r="AF5509" s="2">
        <v>8749.3428091911392</v>
      </c>
      <c r="AG5509" s="2">
        <v>9880.7809894662296</v>
      </c>
      <c r="AH5509" s="2">
        <v>8777.8906294640001</v>
      </c>
      <c r="AI5509" s="2">
        <v>8541.3259079854597</v>
      </c>
      <c r="AJ5509" s="2">
        <v>9403.2509330881294</v>
      </c>
      <c r="AK5509" s="2">
        <v>8409.8500938498601</v>
      </c>
      <c r="AL5509" s="2">
        <v>8345.5968448944004</v>
      </c>
      <c r="AM5509" s="2">
        <v>8326.7322763829197</v>
      </c>
      <c r="AN5509" s="2">
        <v>8291.8790175302092</v>
      </c>
      <c r="AO5509" s="2">
        <v>8353.4394739100699</v>
      </c>
      <c r="AP5509" s="2">
        <v>8549.3428420151304</v>
      </c>
    </row>
    <row r="5510" spans="1:42" ht="14.5" x14ac:dyDescent="0.35">
      <c r="A5510" s="2" t="s">
        <v>36550</v>
      </c>
      <c r="B5510" s="2">
        <v>715.267137596873</v>
      </c>
      <c r="C5510" s="2">
        <v>4.8624666666666698</v>
      </c>
      <c r="D5510" s="2" t="s">
        <v>70</v>
      </c>
      <c r="E5510" s="2" t="s">
        <v>36551</v>
      </c>
      <c r="F5510" s="2">
        <v>211987</v>
      </c>
      <c r="G5510" s="3" t="str">
        <f>HYPERLINK("http://funmeta.oebiotech.com/network/211987", "http://funmeta.oebiotech.com/network/211987")</f>
        <v>http://funmeta.oebiotech.com/network/211987</v>
      </c>
      <c r="H5510" s="2" t="s">
        <v>36552</v>
      </c>
      <c r="I5510" s="2"/>
      <c r="J5510" s="2"/>
      <c r="K5510" s="2"/>
      <c r="L5510" s="2"/>
      <c r="M5510" s="2"/>
      <c r="N5510" s="2"/>
      <c r="O5510" s="2"/>
      <c r="P5510" s="2"/>
      <c r="Q5510" s="2" t="s">
        <v>36553</v>
      </c>
      <c r="R5510" s="2" t="s">
        <v>36554</v>
      </c>
      <c r="S5510" s="2" t="s">
        <v>79</v>
      </c>
      <c r="T5510" s="2" t="s">
        <v>80</v>
      </c>
      <c r="U5510" s="2" t="s">
        <v>81</v>
      </c>
      <c r="V5510" s="2" t="s">
        <v>59</v>
      </c>
      <c r="W5510" s="2">
        <v>45.5</v>
      </c>
      <c r="X5510" s="2">
        <v>38.299999999999997</v>
      </c>
      <c r="Y5510" s="2" t="s">
        <v>751</v>
      </c>
      <c r="Z5510" s="2" t="s">
        <v>36555</v>
      </c>
      <c r="AA5510" s="2">
        <v>0.70831216311482104</v>
      </c>
      <c r="AB5510" s="2">
        <v>7.8202159824400597E-2</v>
      </c>
      <c r="AC5510" s="2">
        <v>49981.213898360897</v>
      </c>
      <c r="AD5510" s="2">
        <v>51807.874750072602</v>
      </c>
      <c r="AE5510" s="2">
        <v>54014.435995597203</v>
      </c>
      <c r="AF5510" s="2">
        <v>51270.907535389299</v>
      </c>
      <c r="AG5510" s="2">
        <v>41525.720699908903</v>
      </c>
      <c r="AH5510" s="2">
        <v>51548.809529353297</v>
      </c>
      <c r="AI5510" s="2">
        <v>48657.367975946603</v>
      </c>
      <c r="AJ5510" s="2">
        <v>52870.0416539699</v>
      </c>
      <c r="AK5510" s="2">
        <v>56679.810623074998</v>
      </c>
      <c r="AL5510" s="2">
        <v>49271.801653651797</v>
      </c>
      <c r="AM5510" s="2">
        <v>44943.1684727678</v>
      </c>
      <c r="AN5510" s="2">
        <v>56225.481146193903</v>
      </c>
      <c r="AO5510" s="2">
        <v>51453.635412294498</v>
      </c>
      <c r="AP5510" s="2">
        <v>52273.351192452603</v>
      </c>
    </row>
    <row r="5511" spans="1:42" ht="14.5" x14ac:dyDescent="0.35">
      <c r="A5511" s="2" t="s">
        <v>36556</v>
      </c>
      <c r="B5511" s="2">
        <v>735.345031098204</v>
      </c>
      <c r="C5511" s="2">
        <v>7.6215666666666699</v>
      </c>
      <c r="D5511" s="2" t="s">
        <v>70</v>
      </c>
      <c r="E5511" s="2" t="s">
        <v>36557</v>
      </c>
      <c r="F5511" s="2">
        <v>201999</v>
      </c>
      <c r="G5511" s="3" t="str">
        <f>HYPERLINK("http://funmeta.oebiotech.com/network/201999", "http://funmeta.oebiotech.com/network/201999")</f>
        <v>http://funmeta.oebiotech.com/network/201999</v>
      </c>
      <c r="H5511" s="2" t="s">
        <v>36558</v>
      </c>
      <c r="I5511" s="2">
        <v>64701</v>
      </c>
      <c r="J5511" s="2"/>
      <c r="K5511" s="2"/>
      <c r="L5511" s="2"/>
      <c r="M5511" s="2"/>
      <c r="N5511" s="2"/>
      <c r="O5511" s="2">
        <v>9799417</v>
      </c>
      <c r="P5511" s="2" t="s">
        <v>36559</v>
      </c>
      <c r="Q5511" s="2" t="s">
        <v>36560</v>
      </c>
      <c r="R5511" s="2" t="s">
        <v>36561</v>
      </c>
      <c r="S5511" s="2" t="s">
        <v>148</v>
      </c>
      <c r="T5511" s="2" t="s">
        <v>149</v>
      </c>
      <c r="U5511" s="2" t="s">
        <v>25393</v>
      </c>
      <c r="V5511" s="2" t="s">
        <v>59</v>
      </c>
      <c r="W5511" s="2">
        <v>37</v>
      </c>
      <c r="X5511" s="2">
        <v>0</v>
      </c>
      <c r="Y5511" s="2" t="s">
        <v>560</v>
      </c>
      <c r="Z5511" s="2" t="s">
        <v>36562</v>
      </c>
      <c r="AA5511" s="2">
        <v>-4.0095963957466099</v>
      </c>
      <c r="AB5511" s="2">
        <v>7.7991254028087195E-2</v>
      </c>
      <c r="AC5511" s="2">
        <v>45081.979419245799</v>
      </c>
      <c r="AD5511" s="2">
        <v>46503.823160276297</v>
      </c>
      <c r="AE5511" s="2">
        <v>45497.360218078</v>
      </c>
      <c r="AF5511" s="2">
        <v>41088.417698660996</v>
      </c>
      <c r="AG5511" s="2">
        <v>41672.277202468496</v>
      </c>
      <c r="AH5511" s="2">
        <v>48761.669588855999</v>
      </c>
      <c r="AI5511" s="2">
        <v>45576.530727602199</v>
      </c>
      <c r="AJ5511" s="2">
        <v>47895.621079808901</v>
      </c>
      <c r="AK5511" s="2">
        <v>49900.090482109998</v>
      </c>
      <c r="AL5511" s="2">
        <v>46074.154476147</v>
      </c>
      <c r="AM5511" s="2">
        <v>46707.738135611602</v>
      </c>
      <c r="AN5511" s="2">
        <v>43160.948035923502</v>
      </c>
      <c r="AO5511" s="2">
        <v>46374.483992999703</v>
      </c>
      <c r="AP5511" s="2">
        <v>46805.523838866</v>
      </c>
    </row>
    <row r="5512" spans="1:42" ht="14.5" x14ac:dyDescent="0.35">
      <c r="A5512" s="2" t="s">
        <v>36563</v>
      </c>
      <c r="B5512" s="2">
        <v>300.16750853280303</v>
      </c>
      <c r="C5512" s="2">
        <v>9.8631833333333301</v>
      </c>
      <c r="D5512" s="2" t="s">
        <v>34</v>
      </c>
      <c r="E5512" s="2" t="s">
        <v>36564</v>
      </c>
      <c r="F5512" s="2">
        <v>64954</v>
      </c>
      <c r="G5512" s="3" t="str">
        <f>HYPERLINK("http://funmeta.oebiotech.com/network/64954", "http://funmeta.oebiotech.com/network/64954")</f>
        <v>http://funmeta.oebiotech.com/network/64954</v>
      </c>
      <c r="H5512" s="2" t="s">
        <v>36565</v>
      </c>
      <c r="I5512" s="2">
        <v>2102</v>
      </c>
      <c r="J5512" s="2"/>
      <c r="K5512" s="2">
        <v>60728</v>
      </c>
      <c r="L5512" s="2"/>
      <c r="M5512" s="2"/>
      <c r="N5512" s="2"/>
      <c r="O5512" s="2">
        <v>4342</v>
      </c>
      <c r="P5512" s="2" t="s">
        <v>36566</v>
      </c>
      <c r="Q5512" s="2" t="s">
        <v>36567</v>
      </c>
      <c r="R5512" s="2" t="s">
        <v>36568</v>
      </c>
      <c r="S5512" s="2" t="s">
        <v>148</v>
      </c>
      <c r="T5512" s="2" t="s">
        <v>149</v>
      </c>
      <c r="U5512" s="2" t="s">
        <v>1593</v>
      </c>
      <c r="V5512" s="2" t="s">
        <v>59</v>
      </c>
      <c r="W5512" s="2">
        <v>36.1</v>
      </c>
      <c r="X5512" s="2">
        <v>0</v>
      </c>
      <c r="Y5512" s="2" t="s">
        <v>323</v>
      </c>
      <c r="Z5512" s="2" t="s">
        <v>36569</v>
      </c>
      <c r="AA5512" s="2">
        <v>-2.66664594004639</v>
      </c>
      <c r="AB5512" s="2">
        <v>7.7982909421509899E-2</v>
      </c>
      <c r="AC5512" s="2">
        <v>529.42364881928097</v>
      </c>
      <c r="AD5512" s="2">
        <v>951.28610824483803</v>
      </c>
      <c r="AE5512" s="2">
        <v>453.06386041199897</v>
      </c>
      <c r="AF5512" s="2">
        <v>550.64573925324896</v>
      </c>
      <c r="AG5512" s="2">
        <v>563.34422885362198</v>
      </c>
      <c r="AH5512" s="2">
        <v>508.49121904347197</v>
      </c>
      <c r="AI5512" s="2">
        <v>492.92445941510499</v>
      </c>
      <c r="AJ5512" s="2">
        <v>608.07238593824002</v>
      </c>
      <c r="AK5512" s="2">
        <v>867.47696628325502</v>
      </c>
      <c r="AL5512" s="2">
        <v>852.70244781302699</v>
      </c>
      <c r="AM5512" s="2">
        <v>940.525586869054</v>
      </c>
      <c r="AN5512" s="2">
        <v>1017.7711530412899</v>
      </c>
      <c r="AO5512" s="2">
        <v>1114.30907583863</v>
      </c>
      <c r="AP5512" s="2">
        <v>914.93141962377399</v>
      </c>
    </row>
    <row r="5513" spans="1:42" ht="14.5" x14ac:dyDescent="0.35">
      <c r="A5513" s="2" t="s">
        <v>36570</v>
      </c>
      <c r="B5513" s="2">
        <v>190.049691216193</v>
      </c>
      <c r="C5513" s="2">
        <v>3.8783166666666702</v>
      </c>
      <c r="D5513" s="2" t="s">
        <v>34</v>
      </c>
      <c r="E5513" s="2" t="s">
        <v>36571</v>
      </c>
      <c r="F5513" s="2">
        <v>47327</v>
      </c>
      <c r="G5513" s="3" t="str">
        <f>HYPERLINK("http://funmeta.oebiotech.com/network/47327", "http://funmeta.oebiotech.com/network/47327")</f>
        <v>http://funmeta.oebiotech.com/network/47327</v>
      </c>
      <c r="H5513" s="2" t="s">
        <v>36572</v>
      </c>
      <c r="I5513" s="2">
        <v>5916</v>
      </c>
      <c r="J5513" s="2"/>
      <c r="K5513" s="2">
        <v>17442</v>
      </c>
      <c r="L5513" s="2" t="s">
        <v>36573</v>
      </c>
      <c r="M5513" s="2" t="s">
        <v>17784</v>
      </c>
      <c r="N5513" s="2" t="s">
        <v>17785</v>
      </c>
      <c r="O5513" s="2">
        <v>472</v>
      </c>
      <c r="P5513" s="2" t="s">
        <v>36574</v>
      </c>
      <c r="Q5513" s="2" t="s">
        <v>36575</v>
      </c>
      <c r="R5513" s="2" t="s">
        <v>36576</v>
      </c>
      <c r="S5513" s="2" t="s">
        <v>79</v>
      </c>
      <c r="T5513" s="2" t="s">
        <v>80</v>
      </c>
      <c r="U5513" s="2" t="s">
        <v>2820</v>
      </c>
      <c r="V5513" s="2" t="s">
        <v>42</v>
      </c>
      <c r="W5513" s="2">
        <v>50.8</v>
      </c>
      <c r="X5513" s="2">
        <v>58.5</v>
      </c>
      <c r="Y5513" s="2" t="s">
        <v>141</v>
      </c>
      <c r="Z5513" s="2" t="s">
        <v>14071</v>
      </c>
      <c r="AA5513" s="2">
        <v>-0.861157967768588</v>
      </c>
      <c r="AB5513" s="2">
        <v>7.7793912321742806E-2</v>
      </c>
      <c r="AC5513" s="2">
        <v>22634.253809041202</v>
      </c>
      <c r="AD5513" s="2">
        <v>23870.7672634755</v>
      </c>
      <c r="AE5513" s="2">
        <v>21618.991836933201</v>
      </c>
      <c r="AF5513" s="2">
        <v>26845.888162495801</v>
      </c>
      <c r="AG5513" s="2">
        <v>22647.511100324999</v>
      </c>
      <c r="AH5513" s="2">
        <v>20130.068273363599</v>
      </c>
      <c r="AI5513" s="2">
        <v>24477.079558334499</v>
      </c>
      <c r="AJ5513" s="2">
        <v>20085.983922795302</v>
      </c>
      <c r="AK5513" s="2">
        <v>22972.928026988</v>
      </c>
      <c r="AL5513" s="2">
        <v>23310.946935988301</v>
      </c>
      <c r="AM5513" s="2">
        <v>23429.399883606598</v>
      </c>
      <c r="AN5513" s="2">
        <v>23814.5004798152</v>
      </c>
      <c r="AO5513" s="2">
        <v>23752.394582642599</v>
      </c>
      <c r="AP5513" s="2">
        <v>25944.4336718124</v>
      </c>
    </row>
    <row r="5514" spans="1:42" ht="14.5" x14ac:dyDescent="0.35">
      <c r="A5514" s="2" t="s">
        <v>36577</v>
      </c>
      <c r="B5514" s="2">
        <v>417.11901272358398</v>
      </c>
      <c r="C5514" s="2">
        <v>4.8801333333333297</v>
      </c>
      <c r="D5514" s="2" t="s">
        <v>70</v>
      </c>
      <c r="E5514" s="2" t="s">
        <v>36578</v>
      </c>
      <c r="F5514" s="2">
        <v>313189</v>
      </c>
      <c r="G5514" s="3" t="str">
        <f>HYPERLINK("http://funmeta.oebiotech.com/network/313189", "http://funmeta.oebiotech.com/network/313189")</f>
        <v>http://funmeta.oebiotech.com/network/313189</v>
      </c>
      <c r="H5514" s="2"/>
      <c r="I5514" s="2">
        <v>340655</v>
      </c>
      <c r="J5514" s="2"/>
      <c r="K5514" s="2"/>
      <c r="L5514" s="2"/>
      <c r="M5514" s="2"/>
      <c r="N5514" s="2"/>
      <c r="O5514" s="2">
        <v>521171</v>
      </c>
      <c r="P5514" s="2"/>
      <c r="Q5514" s="2" t="s">
        <v>36579</v>
      </c>
      <c r="R5514" s="2" t="s">
        <v>36580</v>
      </c>
      <c r="S5514" s="2" t="s">
        <v>115</v>
      </c>
      <c r="T5514" s="2" t="s">
        <v>139</v>
      </c>
      <c r="U5514" s="2" t="s">
        <v>1552</v>
      </c>
      <c r="V5514" s="2" t="s">
        <v>59</v>
      </c>
      <c r="W5514" s="2">
        <v>38.5</v>
      </c>
      <c r="X5514" s="2">
        <v>0</v>
      </c>
      <c r="Y5514" s="2" t="s">
        <v>408</v>
      </c>
      <c r="Z5514" s="2" t="s">
        <v>36581</v>
      </c>
      <c r="AA5514" s="2">
        <v>-0.25025397727424398</v>
      </c>
      <c r="AB5514" s="2">
        <v>7.7723008068892693E-2</v>
      </c>
      <c r="AC5514" s="2">
        <v>1768.6543852237601</v>
      </c>
      <c r="AD5514" s="2">
        <v>2507.23995470919</v>
      </c>
      <c r="AE5514" s="2">
        <v>2054.9679171758398</v>
      </c>
      <c r="AF5514" s="2">
        <v>2777.9876101981099</v>
      </c>
      <c r="AG5514" s="2">
        <v>666.44966803136401</v>
      </c>
      <c r="AH5514" s="2">
        <v>2024.5493941657401</v>
      </c>
      <c r="AI5514" s="2">
        <v>1645.2245938865201</v>
      </c>
      <c r="AJ5514" s="2">
        <v>1442.74712788497</v>
      </c>
      <c r="AK5514" s="2">
        <v>2871.5886782706498</v>
      </c>
      <c r="AL5514" s="2">
        <v>2554.3151216337001</v>
      </c>
      <c r="AM5514" s="2">
        <v>2827.56511976412</v>
      </c>
      <c r="AN5514" s="2">
        <v>1650.0287243274099</v>
      </c>
      <c r="AO5514" s="2">
        <v>2087.72805937575</v>
      </c>
      <c r="AP5514" s="2">
        <v>3052.2140248835199</v>
      </c>
    </row>
    <row r="5515" spans="1:42" ht="14.5" x14ac:dyDescent="0.35">
      <c r="A5515" s="2" t="s">
        <v>36582</v>
      </c>
      <c r="B5515" s="2">
        <v>124.999692274564</v>
      </c>
      <c r="C5515" s="2">
        <v>1.4272166666666699</v>
      </c>
      <c r="D5515" s="2" t="s">
        <v>70</v>
      </c>
      <c r="E5515" s="2" t="s">
        <v>36583</v>
      </c>
      <c r="F5515" s="2">
        <v>202177</v>
      </c>
      <c r="G5515" s="3" t="str">
        <f>HYPERLINK("http://funmeta.oebiotech.com/network/202177", "http://funmeta.oebiotech.com/network/202177")</f>
        <v>http://funmeta.oebiotech.com/network/202177</v>
      </c>
      <c r="H5515" s="2" t="s">
        <v>36584</v>
      </c>
      <c r="I5515" s="2"/>
      <c r="J5515" s="2"/>
      <c r="K5515" s="2">
        <v>132197</v>
      </c>
      <c r="L5515" s="2"/>
      <c r="M5515" s="2"/>
      <c r="N5515" s="2"/>
      <c r="O5515" s="2">
        <v>67956</v>
      </c>
      <c r="P5515" s="2"/>
      <c r="Q5515" s="2" t="s">
        <v>36585</v>
      </c>
      <c r="R5515" s="2" t="s">
        <v>36586</v>
      </c>
      <c r="S5515" s="2" t="s">
        <v>491</v>
      </c>
      <c r="T5515" s="2" t="s">
        <v>4517</v>
      </c>
      <c r="U5515" s="2" t="s">
        <v>4518</v>
      </c>
      <c r="V5515" s="2" t="s">
        <v>59</v>
      </c>
      <c r="W5515" s="2">
        <v>38.299999999999997</v>
      </c>
      <c r="X5515" s="2">
        <v>0</v>
      </c>
      <c r="Y5515" s="2" t="s">
        <v>751</v>
      </c>
      <c r="Z5515" s="2" t="s">
        <v>36587</v>
      </c>
      <c r="AA5515" s="2">
        <v>2.9633871552393698</v>
      </c>
      <c r="AB5515" s="2">
        <v>7.7684577955636394E-2</v>
      </c>
      <c r="AC5515" s="2">
        <v>734.468626042609</v>
      </c>
      <c r="AD5515" s="2">
        <v>1246.56965128207</v>
      </c>
      <c r="AE5515" s="2">
        <v>649.89256368190502</v>
      </c>
      <c r="AF5515" s="2">
        <v>885.47885264929198</v>
      </c>
      <c r="AG5515" s="2">
        <v>724.79040398325401</v>
      </c>
      <c r="AH5515" s="2">
        <v>730.61002365476702</v>
      </c>
      <c r="AI5515" s="2">
        <v>729.792886898294</v>
      </c>
      <c r="AJ5515" s="2">
        <v>686.24702538814404</v>
      </c>
      <c r="AK5515" s="2">
        <v>1071.1705377830201</v>
      </c>
      <c r="AL5515" s="2">
        <v>1013.57384321667</v>
      </c>
      <c r="AM5515" s="2">
        <v>1012.96060263513</v>
      </c>
      <c r="AN5515" s="2">
        <v>1834.60084020878</v>
      </c>
      <c r="AO5515" s="2">
        <v>1389.7612101330001</v>
      </c>
      <c r="AP5515" s="2">
        <v>1157.3508737158299</v>
      </c>
    </row>
    <row r="5516" spans="1:42" ht="14.5" x14ac:dyDescent="0.35">
      <c r="A5516" s="2" t="s">
        <v>36588</v>
      </c>
      <c r="B5516" s="2">
        <v>349.07962489352599</v>
      </c>
      <c r="C5516" s="2">
        <v>8.3620833333333309</v>
      </c>
      <c r="D5516" s="2" t="s">
        <v>70</v>
      </c>
      <c r="E5516" s="2" t="s">
        <v>36589</v>
      </c>
      <c r="F5516" s="2">
        <v>256909</v>
      </c>
      <c r="G5516" s="3" t="str">
        <f>HYPERLINK("http://funmeta.oebiotech.com/network/256909", "http://funmeta.oebiotech.com/network/256909")</f>
        <v>http://funmeta.oebiotech.com/network/256909</v>
      </c>
      <c r="H5516" s="2" t="s">
        <v>36590</v>
      </c>
      <c r="I5516" s="2"/>
      <c r="J5516" s="2"/>
      <c r="K5516" s="2"/>
      <c r="L5516" s="2"/>
      <c r="M5516" s="2"/>
      <c r="N5516" s="2"/>
      <c r="O5516" s="2">
        <v>44237195</v>
      </c>
      <c r="P5516" s="2"/>
      <c r="Q5516" s="2" t="s">
        <v>36591</v>
      </c>
      <c r="R5516" s="2" t="s">
        <v>36592</v>
      </c>
      <c r="S5516" s="2" t="s">
        <v>89</v>
      </c>
      <c r="T5516" s="2" t="s">
        <v>2718</v>
      </c>
      <c r="U5516" s="2" t="s">
        <v>11268</v>
      </c>
      <c r="V5516" s="2" t="s">
        <v>59</v>
      </c>
      <c r="W5516" s="2">
        <v>37.5</v>
      </c>
      <c r="X5516" s="2">
        <v>0</v>
      </c>
      <c r="Y5516" s="2" t="s">
        <v>560</v>
      </c>
      <c r="Z5516" s="2" t="s">
        <v>36593</v>
      </c>
      <c r="AA5516" s="2">
        <v>3.20179421495614</v>
      </c>
      <c r="AB5516" s="2">
        <v>7.7612832651582198E-2</v>
      </c>
      <c r="AC5516" s="2">
        <v>420.92141894453198</v>
      </c>
      <c r="AD5516" s="2">
        <v>10.866354043780699</v>
      </c>
      <c r="AE5516" s="2">
        <v>491.16430135055299</v>
      </c>
      <c r="AF5516" s="2">
        <v>374.54827455365898</v>
      </c>
      <c r="AG5516" s="2">
        <v>558.13375622350702</v>
      </c>
      <c r="AH5516" s="2">
        <v>409.66143146571</v>
      </c>
      <c r="AI5516" s="2">
        <v>306.95072647035602</v>
      </c>
      <c r="AJ5516" s="2">
        <v>385.07002360340698</v>
      </c>
      <c r="AK5516" s="2">
        <v>65.197988731214195</v>
      </c>
      <c r="AL5516" s="2">
        <v>2.7106294003980101E-5</v>
      </c>
      <c r="AM5516" s="2">
        <v>2.7106294003980101E-5</v>
      </c>
      <c r="AN5516" s="2">
        <v>2.7106294003980101E-5</v>
      </c>
      <c r="AO5516" s="2">
        <v>2.7106294003980101E-5</v>
      </c>
      <c r="AP5516" s="2">
        <v>2.7106294003980101E-5</v>
      </c>
    </row>
    <row r="5517" spans="1:42" ht="14.5" x14ac:dyDescent="0.35">
      <c r="A5517" s="2" t="s">
        <v>36594</v>
      </c>
      <c r="B5517" s="2">
        <v>187.148103724078</v>
      </c>
      <c r="C5517" s="2">
        <v>4.3961833333333296</v>
      </c>
      <c r="D5517" s="2" t="s">
        <v>34</v>
      </c>
      <c r="E5517" s="2" t="s">
        <v>36595</v>
      </c>
      <c r="F5517" s="2">
        <v>59606</v>
      </c>
      <c r="G5517" s="3" t="str">
        <f>HYPERLINK("http://funmeta.oebiotech.com/network/59606", "http://funmeta.oebiotech.com/network/59606")</f>
        <v>http://funmeta.oebiotech.com/network/59606</v>
      </c>
      <c r="H5517" s="2" t="s">
        <v>36596</v>
      </c>
      <c r="I5517" s="2">
        <v>91006</v>
      </c>
      <c r="J5517" s="2"/>
      <c r="K5517" s="2"/>
      <c r="L5517" s="2"/>
      <c r="M5517" s="2"/>
      <c r="N5517" s="2"/>
      <c r="O5517" s="2">
        <v>131751862</v>
      </c>
      <c r="P5517" s="2" t="s">
        <v>36597</v>
      </c>
      <c r="Q5517" s="2" t="s">
        <v>36598</v>
      </c>
      <c r="R5517" s="2" t="s">
        <v>36599</v>
      </c>
      <c r="S5517" s="2" t="s">
        <v>3194</v>
      </c>
      <c r="T5517" s="2" t="s">
        <v>3195</v>
      </c>
      <c r="U5517" s="2" t="s">
        <v>14309</v>
      </c>
      <c r="V5517" s="2" t="s">
        <v>42</v>
      </c>
      <c r="W5517" s="2">
        <v>49.4</v>
      </c>
      <c r="X5517" s="2">
        <v>51.1</v>
      </c>
      <c r="Y5517" s="2" t="s">
        <v>394</v>
      </c>
      <c r="Z5517" s="2" t="s">
        <v>36600</v>
      </c>
      <c r="AA5517" s="2">
        <v>-0.12509442327657599</v>
      </c>
      <c r="AB5517" s="2">
        <v>7.7481010744662807E-2</v>
      </c>
      <c r="AC5517" s="2">
        <v>15723.478939398799</v>
      </c>
      <c r="AD5517" s="2">
        <v>14962.2062485651</v>
      </c>
      <c r="AE5517" s="2">
        <v>15207.747444041501</v>
      </c>
      <c r="AF5517" s="2">
        <v>16573.6627740863</v>
      </c>
      <c r="AG5517" s="2">
        <v>15784.3584450693</v>
      </c>
      <c r="AH5517" s="2">
        <v>15515.6022680152</v>
      </c>
      <c r="AI5517" s="2">
        <v>15072.428705729501</v>
      </c>
      <c r="AJ5517" s="2">
        <v>16187.0739994507</v>
      </c>
      <c r="AK5517" s="2">
        <v>14431.1371413412</v>
      </c>
      <c r="AL5517" s="2">
        <v>16269.7711476804</v>
      </c>
      <c r="AM5517" s="2">
        <v>15216.3188491039</v>
      </c>
      <c r="AN5517" s="2">
        <v>13833.4930329704</v>
      </c>
      <c r="AO5517" s="2">
        <v>15203.734916597001</v>
      </c>
      <c r="AP5517" s="2">
        <v>14818.7824036976</v>
      </c>
    </row>
    <row r="5518" spans="1:42" ht="14.5" x14ac:dyDescent="0.35">
      <c r="A5518" s="2" t="s">
        <v>36601</v>
      </c>
      <c r="B5518" s="2">
        <v>342.24261912379097</v>
      </c>
      <c r="C5518" s="2">
        <v>4.4964333333333304</v>
      </c>
      <c r="D5518" s="2" t="s">
        <v>34</v>
      </c>
      <c r="E5518" s="2" t="s">
        <v>36602</v>
      </c>
      <c r="F5518" s="2">
        <v>278683</v>
      </c>
      <c r="G5518" s="3" t="str">
        <f>HYPERLINK("http://funmeta.oebiotech.com/network/278683", "http://funmeta.oebiotech.com/network/278683")</f>
        <v>http://funmeta.oebiotech.com/network/278683</v>
      </c>
      <c r="H5518" s="2"/>
      <c r="I5518" s="2">
        <v>70991</v>
      </c>
      <c r="J5518" s="2"/>
      <c r="K5518" s="2"/>
      <c r="L5518" s="2" t="s">
        <v>36603</v>
      </c>
      <c r="M5518" s="2"/>
      <c r="N5518" s="2"/>
      <c r="O5518" s="2">
        <v>15032</v>
      </c>
      <c r="P5518" s="2" t="s">
        <v>36604</v>
      </c>
      <c r="Q5518" s="2" t="s">
        <v>36605</v>
      </c>
      <c r="R5518" s="2" t="s">
        <v>36606</v>
      </c>
      <c r="S5518" s="2" t="s">
        <v>50</v>
      </c>
      <c r="T5518" s="2" t="s">
        <v>124</v>
      </c>
      <c r="U5518" s="2" t="s">
        <v>929</v>
      </c>
      <c r="V5518" s="2" t="s">
        <v>59</v>
      </c>
      <c r="W5518" s="2">
        <v>38</v>
      </c>
      <c r="X5518" s="2">
        <v>0</v>
      </c>
      <c r="Y5518" s="2" t="s">
        <v>394</v>
      </c>
      <c r="Z5518" s="2" t="s">
        <v>36607</v>
      </c>
      <c r="AA5518" s="2">
        <v>-0.40015270178228102</v>
      </c>
      <c r="AB5518" s="2">
        <v>7.7436931610613102E-2</v>
      </c>
      <c r="AC5518" s="2">
        <v>5897.9928362645896</v>
      </c>
      <c r="AD5518" s="2">
        <v>5014.2925666154297</v>
      </c>
      <c r="AE5518" s="2">
        <v>4114.0047806563898</v>
      </c>
      <c r="AF5518" s="2">
        <v>5818.1051633090301</v>
      </c>
      <c r="AG5518" s="2">
        <v>6861.6743071054198</v>
      </c>
      <c r="AH5518" s="2">
        <v>6199.8226631102998</v>
      </c>
      <c r="AI5518" s="2">
        <v>4955.6716335033998</v>
      </c>
      <c r="AJ5518" s="2">
        <v>7438.6784699030204</v>
      </c>
      <c r="AK5518" s="2">
        <v>4193.6927909804899</v>
      </c>
      <c r="AL5518" s="2">
        <v>4466.9479319846196</v>
      </c>
      <c r="AM5518" s="2">
        <v>5938.6270361746701</v>
      </c>
      <c r="AN5518" s="2">
        <v>4829.4994555895501</v>
      </c>
      <c r="AO5518" s="2">
        <v>5516.1298403263099</v>
      </c>
      <c r="AP5518" s="2">
        <v>5140.8583446369203</v>
      </c>
    </row>
    <row r="5519" spans="1:42" ht="14.5" x14ac:dyDescent="0.35">
      <c r="A5519" s="2" t="s">
        <v>36608</v>
      </c>
      <c r="B5519" s="2">
        <v>377.18594681480403</v>
      </c>
      <c r="C5519" s="2">
        <v>5.2493499999999997</v>
      </c>
      <c r="D5519" s="2" t="s">
        <v>34</v>
      </c>
      <c r="E5519" s="2" t="s">
        <v>36609</v>
      </c>
      <c r="F5519" s="2">
        <v>266760</v>
      </c>
      <c r="G5519" s="3" t="str">
        <f>HYPERLINK("http://funmeta.oebiotech.com/network/266760", "http://funmeta.oebiotech.com/network/266760")</f>
        <v>http://funmeta.oebiotech.com/network/266760</v>
      </c>
      <c r="H5519" s="2"/>
      <c r="I5519" s="2">
        <v>43921</v>
      </c>
      <c r="J5519" s="2"/>
      <c r="K5519" s="2"/>
      <c r="L5519" s="2" t="s">
        <v>36610</v>
      </c>
      <c r="M5519" s="2"/>
      <c r="N5519" s="2"/>
      <c r="O5519" s="2">
        <v>442021</v>
      </c>
      <c r="P5519" s="2" t="s">
        <v>36611</v>
      </c>
      <c r="Q5519" s="2" t="s">
        <v>36612</v>
      </c>
      <c r="R5519" s="2" t="s">
        <v>36613</v>
      </c>
      <c r="S5519" s="2" t="s">
        <v>39</v>
      </c>
      <c r="T5519" s="2" t="s">
        <v>36614</v>
      </c>
      <c r="U5519" s="2" t="s">
        <v>41</v>
      </c>
      <c r="V5519" s="2" t="s">
        <v>59</v>
      </c>
      <c r="W5519" s="2">
        <v>36.299999999999997</v>
      </c>
      <c r="X5519" s="2">
        <v>0</v>
      </c>
      <c r="Y5519" s="2" t="s">
        <v>141</v>
      </c>
      <c r="Z5519" s="2" t="s">
        <v>36615</v>
      </c>
      <c r="AA5519" s="2">
        <v>-5.6462360835487301E-2</v>
      </c>
      <c r="AB5519" s="2">
        <v>7.7336847858711394E-2</v>
      </c>
      <c r="AC5519" s="2">
        <v>9337.8889369192493</v>
      </c>
      <c r="AD5519" s="2">
        <v>8485.63305160044</v>
      </c>
      <c r="AE5519" s="2">
        <v>8738.5966503795607</v>
      </c>
      <c r="AF5519" s="2">
        <v>9087.2639563614794</v>
      </c>
      <c r="AG5519" s="2">
        <v>9759.4143911991596</v>
      </c>
      <c r="AH5519" s="2">
        <v>9256.6294199589302</v>
      </c>
      <c r="AI5519" s="2">
        <v>8229.27917695004</v>
      </c>
      <c r="AJ5519" s="2">
        <v>10956.150026666301</v>
      </c>
      <c r="AK5519" s="2">
        <v>7736.4553695753802</v>
      </c>
      <c r="AL5519" s="2">
        <v>9236.0315624929499</v>
      </c>
      <c r="AM5519" s="2">
        <v>9824.1783420591892</v>
      </c>
      <c r="AN5519" s="2">
        <v>8557.2933386417299</v>
      </c>
      <c r="AO5519" s="2">
        <v>7709.4915818604304</v>
      </c>
      <c r="AP5519" s="2">
        <v>7850.3481149729596</v>
      </c>
    </row>
    <row r="5520" spans="1:42" ht="14.5" x14ac:dyDescent="0.35">
      <c r="A5520" s="2" t="s">
        <v>36616</v>
      </c>
      <c r="B5520" s="2">
        <v>863.40421066441604</v>
      </c>
      <c r="C5520" s="2">
        <v>10.5637333333333</v>
      </c>
      <c r="D5520" s="2" t="s">
        <v>70</v>
      </c>
      <c r="E5520" s="2" t="s">
        <v>36617</v>
      </c>
      <c r="F5520" s="2">
        <v>197000</v>
      </c>
      <c r="G5520" s="3" t="str">
        <f>HYPERLINK("http://funmeta.oebiotech.com/network/197000", "http://funmeta.oebiotech.com/network/197000")</f>
        <v>http://funmeta.oebiotech.com/network/197000</v>
      </c>
      <c r="H5520" s="2" t="s">
        <v>36618</v>
      </c>
      <c r="I5520" s="2">
        <v>316099</v>
      </c>
      <c r="J5520" s="2"/>
      <c r="K5520" s="2"/>
      <c r="L5520" s="2"/>
      <c r="M5520" s="2"/>
      <c r="N5520" s="2"/>
      <c r="O5520" s="2">
        <v>65906</v>
      </c>
      <c r="P5520" s="2" t="s">
        <v>36619</v>
      </c>
      <c r="Q5520" s="2" t="s">
        <v>36620</v>
      </c>
      <c r="R5520" s="2" t="s">
        <v>36621</v>
      </c>
      <c r="S5520" s="2" t="s">
        <v>491</v>
      </c>
      <c r="T5520" s="2" t="s">
        <v>15878</v>
      </c>
      <c r="U5520" s="2" t="s">
        <v>41</v>
      </c>
      <c r="V5520" s="2" t="s">
        <v>59</v>
      </c>
      <c r="W5520" s="2">
        <v>36.700000000000003</v>
      </c>
      <c r="X5520" s="2">
        <v>0</v>
      </c>
      <c r="Y5520" s="2" t="s">
        <v>560</v>
      </c>
      <c r="Z5520" s="2" t="s">
        <v>36622</v>
      </c>
      <c r="AA5520" s="2">
        <v>-3.8040115670807602</v>
      </c>
      <c r="AB5520" s="2">
        <v>7.7317554394569901E-2</v>
      </c>
      <c r="AC5520" s="2">
        <v>14882.2768474041</v>
      </c>
      <c r="AD5520" s="2">
        <v>16041.026486081</v>
      </c>
      <c r="AE5520" s="2">
        <v>13569.7670160501</v>
      </c>
      <c r="AF5520" s="2">
        <v>12229.835657941599</v>
      </c>
      <c r="AG5520" s="2">
        <v>16932.6686736804</v>
      </c>
      <c r="AH5520" s="2">
        <v>15592.605758220699</v>
      </c>
      <c r="AI5520" s="2">
        <v>14408.6741378591</v>
      </c>
      <c r="AJ5520" s="2">
        <v>16560.109840672601</v>
      </c>
      <c r="AK5520" s="2">
        <v>16002.4409797351</v>
      </c>
      <c r="AL5520" s="2">
        <v>13117.0095049069</v>
      </c>
      <c r="AM5520" s="2">
        <v>18184.630064870202</v>
      </c>
      <c r="AN5520" s="2">
        <v>15142.0410501195</v>
      </c>
      <c r="AO5520" s="2">
        <v>17046.818235606501</v>
      </c>
      <c r="AP5520" s="2">
        <v>16753.219081247898</v>
      </c>
    </row>
    <row r="5521" spans="1:42" ht="14.5" x14ac:dyDescent="0.35">
      <c r="A5521" s="2" t="s">
        <v>36623</v>
      </c>
      <c r="B5521" s="2">
        <v>931.52610587979495</v>
      </c>
      <c r="C5521" s="2">
        <v>12.4728333333333</v>
      </c>
      <c r="D5521" s="2" t="s">
        <v>70</v>
      </c>
      <c r="E5521" s="2" t="s">
        <v>36624</v>
      </c>
      <c r="F5521" s="2">
        <v>59245</v>
      </c>
      <c r="G5521" s="3" t="str">
        <f>HYPERLINK("http://funmeta.oebiotech.com/network/59245", "http://funmeta.oebiotech.com/network/59245")</f>
        <v>http://funmeta.oebiotech.com/network/59245</v>
      </c>
      <c r="H5521" s="2" t="s">
        <v>36625</v>
      </c>
      <c r="I5521" s="2"/>
      <c r="J5521" s="2"/>
      <c r="K5521" s="2"/>
      <c r="L5521" s="2"/>
      <c r="M5521" s="2"/>
      <c r="N5521" s="2"/>
      <c r="O5521" s="2">
        <v>4483635</v>
      </c>
      <c r="P5521" s="2" t="s">
        <v>36626</v>
      </c>
      <c r="Q5521" s="2" t="s">
        <v>36627</v>
      </c>
      <c r="R5521" s="2" t="s">
        <v>36628</v>
      </c>
      <c r="S5521" s="2" t="s">
        <v>50</v>
      </c>
      <c r="T5521" s="2" t="s">
        <v>201</v>
      </c>
      <c r="U5521" s="2" t="s">
        <v>210</v>
      </c>
      <c r="V5521" s="2" t="s">
        <v>59</v>
      </c>
      <c r="W5521" s="2">
        <v>37.5</v>
      </c>
      <c r="X5521" s="2">
        <v>0</v>
      </c>
      <c r="Y5521" s="2" t="s">
        <v>118</v>
      </c>
      <c r="Z5521" s="2" t="s">
        <v>36629</v>
      </c>
      <c r="AA5521" s="2">
        <v>-1.1617864266225599</v>
      </c>
      <c r="AB5521" s="2">
        <v>7.7204083133285001E-2</v>
      </c>
      <c r="AC5521" s="2">
        <v>31410.943446534198</v>
      </c>
      <c r="AD5521" s="2">
        <v>29990.349415928202</v>
      </c>
      <c r="AE5521" s="2">
        <v>32785.753400383299</v>
      </c>
      <c r="AF5521" s="2">
        <v>27779.038658891299</v>
      </c>
      <c r="AG5521" s="2">
        <v>30198.2907347892</v>
      </c>
      <c r="AH5521" s="2">
        <v>31175.112953719701</v>
      </c>
      <c r="AI5521" s="2">
        <v>31686.622210280799</v>
      </c>
      <c r="AJ5521" s="2">
        <v>34840.842721141002</v>
      </c>
      <c r="AK5521" s="2">
        <v>31046.180246009499</v>
      </c>
      <c r="AL5521" s="2">
        <v>32315.569123288999</v>
      </c>
      <c r="AM5521" s="2">
        <v>25286.814901376099</v>
      </c>
      <c r="AN5521" s="2">
        <v>31451.846998712601</v>
      </c>
      <c r="AO5521" s="2">
        <v>32560.587179749498</v>
      </c>
      <c r="AP5521" s="2">
        <v>27281.098046432398</v>
      </c>
    </row>
    <row r="5522" spans="1:42" ht="14.5" x14ac:dyDescent="0.35">
      <c r="A5522" s="2" t="s">
        <v>36630</v>
      </c>
      <c r="B5522" s="2">
        <v>321.026758484955</v>
      </c>
      <c r="C5522" s="2">
        <v>1.14655</v>
      </c>
      <c r="D5522" s="2" t="s">
        <v>34</v>
      </c>
      <c r="E5522" s="2" t="s">
        <v>36631</v>
      </c>
      <c r="F5522" s="2">
        <v>302135</v>
      </c>
      <c r="G5522" s="3" t="str">
        <f>HYPERLINK("http://funmeta.oebiotech.com/network/302135", "http://funmeta.oebiotech.com/network/302135")</f>
        <v>http://funmeta.oebiotech.com/network/302135</v>
      </c>
      <c r="H5522" s="2"/>
      <c r="I5522" s="2">
        <v>327667</v>
      </c>
      <c r="J5522" s="2"/>
      <c r="K5522" s="2"/>
      <c r="L5522" s="2"/>
      <c r="M5522" s="2"/>
      <c r="N5522" s="2"/>
      <c r="O5522" s="2">
        <v>80893</v>
      </c>
      <c r="P5522" s="2"/>
      <c r="Q5522" s="2" t="s">
        <v>36632</v>
      </c>
      <c r="R5522" s="2" t="s">
        <v>36633</v>
      </c>
      <c r="S5522" s="2" t="s">
        <v>41</v>
      </c>
      <c r="T5522" s="2" t="s">
        <v>41</v>
      </c>
      <c r="U5522" s="2" t="s">
        <v>41</v>
      </c>
      <c r="V5522" s="2" t="s">
        <v>59</v>
      </c>
      <c r="W5522" s="2">
        <v>37.5</v>
      </c>
      <c r="X5522" s="2">
        <v>0</v>
      </c>
      <c r="Y5522" s="2" t="s">
        <v>340</v>
      </c>
      <c r="Z5522" s="2" t="s">
        <v>36634</v>
      </c>
      <c r="AA5522" s="2">
        <v>-1.61808487764424</v>
      </c>
      <c r="AB5522" s="2">
        <v>7.7175612936734098E-2</v>
      </c>
      <c r="AC5522" s="2">
        <v>6990.7621783385102</v>
      </c>
      <c r="AD5522" s="2">
        <v>7728.4148685665896</v>
      </c>
      <c r="AE5522" s="2">
        <v>7384.9540191932601</v>
      </c>
      <c r="AF5522" s="2">
        <v>7505.7593664775704</v>
      </c>
      <c r="AG5522" s="2">
        <v>7044.8102967610703</v>
      </c>
      <c r="AH5522" s="2">
        <v>6471.1962261216504</v>
      </c>
      <c r="AI5522" s="2">
        <v>6668.5778121614903</v>
      </c>
      <c r="AJ5522" s="2">
        <v>6869.2753493159998</v>
      </c>
      <c r="AK5522" s="2">
        <v>7845.6779628008799</v>
      </c>
      <c r="AL5522" s="2">
        <v>6092.6839019333202</v>
      </c>
      <c r="AM5522" s="2">
        <v>7793.6450874396496</v>
      </c>
      <c r="AN5522" s="2">
        <v>8314.0504937870792</v>
      </c>
      <c r="AO5522" s="2">
        <v>8213.3657709200907</v>
      </c>
      <c r="AP5522" s="2">
        <v>8111.0659945184898</v>
      </c>
    </row>
    <row r="5523" spans="1:42" ht="14.5" x14ac:dyDescent="0.35">
      <c r="A5523" s="2" t="s">
        <v>36635</v>
      </c>
      <c r="B5523" s="2">
        <v>325.27349079145898</v>
      </c>
      <c r="C5523" s="2">
        <v>5.0414166666666702</v>
      </c>
      <c r="D5523" s="2" t="s">
        <v>34</v>
      </c>
      <c r="E5523" s="2" t="s">
        <v>36636</v>
      </c>
      <c r="F5523" s="2">
        <v>3603</v>
      </c>
      <c r="G5523" s="3" t="str">
        <f>HYPERLINK("http://funmeta.oebiotech.com/network/3603", "http://funmeta.oebiotech.com/network/3603")</f>
        <v>http://funmeta.oebiotech.com/network/3603</v>
      </c>
      <c r="H5523" s="2"/>
      <c r="I5523" s="2">
        <v>36083</v>
      </c>
      <c r="J5523" s="2" t="s">
        <v>36637</v>
      </c>
      <c r="K5523" s="2"/>
      <c r="L5523" s="2"/>
      <c r="M5523" s="2"/>
      <c r="N5523" s="2"/>
      <c r="O5523" s="2">
        <v>16061090</v>
      </c>
      <c r="P5523" s="2"/>
      <c r="Q5523" s="2" t="s">
        <v>36638</v>
      </c>
      <c r="R5523" s="2" t="s">
        <v>36639</v>
      </c>
      <c r="S5523" s="2" t="s">
        <v>50</v>
      </c>
      <c r="T5523" s="2" t="s">
        <v>229</v>
      </c>
      <c r="U5523" s="2" t="s">
        <v>766</v>
      </c>
      <c r="V5523" s="2" t="s">
        <v>59</v>
      </c>
      <c r="W5523" s="2">
        <v>38.1</v>
      </c>
      <c r="X5523" s="2">
        <v>0</v>
      </c>
      <c r="Y5523" s="2" t="s">
        <v>394</v>
      </c>
      <c r="Z5523" s="2" t="s">
        <v>7255</v>
      </c>
      <c r="AA5523" s="2">
        <v>-0.71130931086597704</v>
      </c>
      <c r="AB5523" s="2">
        <v>7.7001356260886195E-2</v>
      </c>
      <c r="AC5523" s="2">
        <v>7280.4935765666596</v>
      </c>
      <c r="AD5523" s="2">
        <v>6476.93307449444</v>
      </c>
      <c r="AE5523" s="2">
        <v>7820.3433459603802</v>
      </c>
      <c r="AF5523" s="2">
        <v>7528.1273995735901</v>
      </c>
      <c r="AG5523" s="2">
        <v>5847.3708721084004</v>
      </c>
      <c r="AH5523" s="2">
        <v>7547.34971623806</v>
      </c>
      <c r="AI5523" s="2">
        <v>7051.0182122032602</v>
      </c>
      <c r="AJ5523" s="2">
        <v>7888.7519133162896</v>
      </c>
      <c r="AK5523" s="2">
        <v>7124.1322997283396</v>
      </c>
      <c r="AL5523" s="2">
        <v>7260.5553794740999</v>
      </c>
      <c r="AM5523" s="2">
        <v>6685.0495105474902</v>
      </c>
      <c r="AN5523" s="2">
        <v>5340.9870865565899</v>
      </c>
      <c r="AO5523" s="2">
        <v>5467.4831727882402</v>
      </c>
      <c r="AP5523" s="2">
        <v>6983.3909978718802</v>
      </c>
    </row>
    <row r="5524" spans="1:42" ht="14.5" x14ac:dyDescent="0.35">
      <c r="A5524" s="2" t="s">
        <v>36640</v>
      </c>
      <c r="B5524" s="2">
        <v>437.25417333812197</v>
      </c>
      <c r="C5524" s="2">
        <v>8.9648166666666693</v>
      </c>
      <c r="D5524" s="2" t="s">
        <v>70</v>
      </c>
      <c r="E5524" s="2" t="s">
        <v>36641</v>
      </c>
      <c r="F5524" s="2">
        <v>213070</v>
      </c>
      <c r="G5524" s="3" t="str">
        <f>HYPERLINK("http://funmeta.oebiotech.com/network/213070", "http://funmeta.oebiotech.com/network/213070")</f>
        <v>http://funmeta.oebiotech.com/network/213070</v>
      </c>
      <c r="H5524" s="2" t="s">
        <v>36642</v>
      </c>
      <c r="I5524" s="2"/>
      <c r="J5524" s="2"/>
      <c r="K5524" s="2"/>
      <c r="L5524" s="2"/>
      <c r="M5524" s="2"/>
      <c r="N5524" s="2"/>
      <c r="O5524" s="2">
        <v>76414106</v>
      </c>
      <c r="P5524" s="2"/>
      <c r="Q5524" s="2" t="s">
        <v>36643</v>
      </c>
      <c r="R5524" s="2" t="s">
        <v>36644</v>
      </c>
      <c r="S5524" s="2" t="s">
        <v>41</v>
      </c>
      <c r="T5524" s="2" t="s">
        <v>41</v>
      </c>
      <c r="U5524" s="2" t="s">
        <v>41</v>
      </c>
      <c r="V5524" s="2" t="s">
        <v>59</v>
      </c>
      <c r="W5524" s="2">
        <v>40.299999999999997</v>
      </c>
      <c r="X5524" s="2">
        <v>5.94</v>
      </c>
      <c r="Y5524" s="2" t="s">
        <v>408</v>
      </c>
      <c r="Z5524" s="2" t="s">
        <v>35346</v>
      </c>
      <c r="AA5524" s="2">
        <v>-0.77445338037933298</v>
      </c>
      <c r="AB5524" s="2">
        <v>7.6822821143715997E-2</v>
      </c>
      <c r="AC5524" s="2">
        <v>25313.124201638599</v>
      </c>
      <c r="AD5524" s="2">
        <v>24005.131760514701</v>
      </c>
      <c r="AE5524" s="2">
        <v>26456.5378677515</v>
      </c>
      <c r="AF5524" s="2">
        <v>26987.1137331264</v>
      </c>
      <c r="AG5524" s="2">
        <v>23947.085175497701</v>
      </c>
      <c r="AH5524" s="2">
        <v>29153.791137492699</v>
      </c>
      <c r="AI5524" s="2">
        <v>20985.853741504401</v>
      </c>
      <c r="AJ5524" s="2">
        <v>24348.3635544588</v>
      </c>
      <c r="AK5524" s="2">
        <v>24363.277830022402</v>
      </c>
      <c r="AL5524" s="2">
        <v>21611.8407567512</v>
      </c>
      <c r="AM5524" s="2">
        <v>25982.521718597502</v>
      </c>
      <c r="AN5524" s="2">
        <v>21849.532630350299</v>
      </c>
      <c r="AO5524" s="2">
        <v>24503.6501609724</v>
      </c>
      <c r="AP5524" s="2">
        <v>25719.967466394199</v>
      </c>
    </row>
    <row r="5525" spans="1:42" ht="14.5" x14ac:dyDescent="0.35">
      <c r="A5525" s="2" t="s">
        <v>36645</v>
      </c>
      <c r="B5525" s="2">
        <v>209.04475873261501</v>
      </c>
      <c r="C5525" s="2">
        <v>3.8614999999999999</v>
      </c>
      <c r="D5525" s="2" t="s">
        <v>70</v>
      </c>
      <c r="E5525" s="2" t="s">
        <v>36646</v>
      </c>
      <c r="F5525" s="2">
        <v>377124</v>
      </c>
      <c r="G5525" s="3" t="str">
        <f>HYPERLINK("http://funmeta.oebiotech.com/network/377124", "http://funmeta.oebiotech.com/network/377124")</f>
        <v>http://funmeta.oebiotech.com/network/377124</v>
      </c>
      <c r="H5525" s="2"/>
      <c r="I5525" s="2">
        <v>453398</v>
      </c>
      <c r="J5525" s="2"/>
      <c r="K5525" s="2"/>
      <c r="L5525" s="2"/>
      <c r="M5525" s="2"/>
      <c r="N5525" s="2"/>
      <c r="O5525" s="2">
        <v>16547</v>
      </c>
      <c r="P5525" s="2"/>
      <c r="Q5525" s="2" t="s">
        <v>36647</v>
      </c>
      <c r="R5525" s="2" t="s">
        <v>36648</v>
      </c>
      <c r="S5525" s="2" t="s">
        <v>79</v>
      </c>
      <c r="T5525" s="2" t="s">
        <v>80</v>
      </c>
      <c r="U5525" s="2" t="s">
        <v>2820</v>
      </c>
      <c r="V5525" s="2" t="s">
        <v>59</v>
      </c>
      <c r="W5525" s="2">
        <v>39.799999999999997</v>
      </c>
      <c r="X5525" s="2">
        <v>7.83</v>
      </c>
      <c r="Y5525" s="2" t="s">
        <v>118</v>
      </c>
      <c r="Z5525" s="2" t="s">
        <v>36649</v>
      </c>
      <c r="AA5525" s="2">
        <v>-3.75264598546259</v>
      </c>
      <c r="AB5525" s="2">
        <v>7.6764858740871605E-2</v>
      </c>
      <c r="AC5525" s="2">
        <v>5498.5101797267998</v>
      </c>
      <c r="AD5525" s="2">
        <v>4932.22983594173</v>
      </c>
      <c r="AE5525" s="2">
        <v>5721.8292574433499</v>
      </c>
      <c r="AF5525" s="2">
        <v>5345.2545462136704</v>
      </c>
      <c r="AG5525" s="2">
        <v>4863.6160024567098</v>
      </c>
      <c r="AH5525" s="2">
        <v>5421.5234142870504</v>
      </c>
      <c r="AI5525" s="2">
        <v>5605.0423504983301</v>
      </c>
      <c r="AJ5525" s="2">
        <v>6033.7955074616902</v>
      </c>
      <c r="AK5525" s="2">
        <v>4715.4905771087997</v>
      </c>
      <c r="AL5525" s="2">
        <v>5336.9558474447304</v>
      </c>
      <c r="AM5525" s="2">
        <v>4827.07404869333</v>
      </c>
      <c r="AN5525" s="2">
        <v>5066.4302188807196</v>
      </c>
      <c r="AO5525" s="2">
        <v>4960.2989021376197</v>
      </c>
      <c r="AP5525" s="2">
        <v>4687.1294213851897</v>
      </c>
    </row>
    <row r="5526" spans="1:42" ht="14.5" x14ac:dyDescent="0.35">
      <c r="A5526" s="2" t="s">
        <v>36650</v>
      </c>
      <c r="B5526" s="2">
        <v>145.10111272987001</v>
      </c>
      <c r="C5526" s="2">
        <v>4.3453166666666698</v>
      </c>
      <c r="D5526" s="2" t="s">
        <v>34</v>
      </c>
      <c r="E5526" s="2" t="s">
        <v>36651</v>
      </c>
      <c r="F5526" s="2">
        <v>63051</v>
      </c>
      <c r="G5526" s="3" t="str">
        <f>HYPERLINK("http://funmeta.oebiotech.com/network/63051", "http://funmeta.oebiotech.com/network/63051")</f>
        <v>http://funmeta.oebiotech.com/network/63051</v>
      </c>
      <c r="H5526" s="2" t="s">
        <v>36652</v>
      </c>
      <c r="I5526" s="2">
        <v>94352</v>
      </c>
      <c r="J5526" s="2"/>
      <c r="K5526" s="2"/>
      <c r="L5526" s="2"/>
      <c r="M5526" s="2"/>
      <c r="N5526" s="2"/>
      <c r="O5526" s="2">
        <v>61935</v>
      </c>
      <c r="P5526" s="2" t="s">
        <v>36653</v>
      </c>
      <c r="Q5526" s="2" t="s">
        <v>36654</v>
      </c>
      <c r="R5526" s="2" t="s">
        <v>36655</v>
      </c>
      <c r="S5526" s="2" t="s">
        <v>79</v>
      </c>
      <c r="T5526" s="2" t="s">
        <v>80</v>
      </c>
      <c r="U5526" s="2" t="s">
        <v>2820</v>
      </c>
      <c r="V5526" s="2" t="s">
        <v>59</v>
      </c>
      <c r="W5526" s="2">
        <v>42.6</v>
      </c>
      <c r="X5526" s="2">
        <v>18.3</v>
      </c>
      <c r="Y5526" s="2" t="s">
        <v>141</v>
      </c>
      <c r="Z5526" s="2" t="s">
        <v>36656</v>
      </c>
      <c r="AA5526" s="2">
        <v>-0.39535413221204402</v>
      </c>
      <c r="AB5526" s="2">
        <v>7.6751051376568999E-2</v>
      </c>
      <c r="AC5526" s="2">
        <v>16541.361180286502</v>
      </c>
      <c r="AD5526" s="2">
        <v>17351.8331086693</v>
      </c>
      <c r="AE5526" s="2">
        <v>16069.184272435399</v>
      </c>
      <c r="AF5526" s="2">
        <v>16725.2870327696</v>
      </c>
      <c r="AG5526" s="2">
        <v>17010.130743483802</v>
      </c>
      <c r="AH5526" s="2">
        <v>16021.3254015518</v>
      </c>
      <c r="AI5526" s="2">
        <v>17078.460885676501</v>
      </c>
      <c r="AJ5526" s="2">
        <v>16343.778745801899</v>
      </c>
      <c r="AK5526" s="2">
        <v>17435.853876105899</v>
      </c>
      <c r="AL5526" s="2">
        <v>18323.0199845483</v>
      </c>
      <c r="AM5526" s="2">
        <v>18408.3032069697</v>
      </c>
      <c r="AN5526" s="2">
        <v>16333.8066937399</v>
      </c>
      <c r="AO5526" s="2">
        <v>15846.777223385299</v>
      </c>
      <c r="AP5526" s="2">
        <v>17763.2376672668</v>
      </c>
    </row>
    <row r="5527" spans="1:42" ht="14.5" x14ac:dyDescent="0.35">
      <c r="A5527" s="2" t="s">
        <v>36657</v>
      </c>
      <c r="B5527" s="2">
        <v>993.43252799552101</v>
      </c>
      <c r="C5527" s="2">
        <v>6.2733666666666696</v>
      </c>
      <c r="D5527" s="2" t="s">
        <v>70</v>
      </c>
      <c r="E5527" s="2" t="s">
        <v>36658</v>
      </c>
      <c r="F5527" s="2">
        <v>205743</v>
      </c>
      <c r="G5527" s="3" t="str">
        <f>HYPERLINK("http://funmeta.oebiotech.com/network/205743", "http://funmeta.oebiotech.com/network/205743")</f>
        <v>http://funmeta.oebiotech.com/network/205743</v>
      </c>
      <c r="H5527" s="2" t="s">
        <v>36659</v>
      </c>
      <c r="I5527" s="2"/>
      <c r="J5527" s="2"/>
      <c r="K5527" s="2"/>
      <c r="L5527" s="2"/>
      <c r="M5527" s="2"/>
      <c r="N5527" s="2"/>
      <c r="O5527" s="2">
        <v>14475474</v>
      </c>
      <c r="P5527" s="2"/>
      <c r="Q5527" s="2" t="s">
        <v>36660</v>
      </c>
      <c r="R5527" s="2" t="s">
        <v>36661</v>
      </c>
      <c r="S5527" s="2" t="s">
        <v>50</v>
      </c>
      <c r="T5527" s="2" t="s">
        <v>124</v>
      </c>
      <c r="U5527" s="2" t="s">
        <v>929</v>
      </c>
      <c r="V5527" s="2" t="s">
        <v>59</v>
      </c>
      <c r="W5527" s="2">
        <v>37.200000000000003</v>
      </c>
      <c r="X5527" s="2">
        <v>0</v>
      </c>
      <c r="Y5527" s="2" t="s">
        <v>560</v>
      </c>
      <c r="Z5527" s="2" t="s">
        <v>36662</v>
      </c>
      <c r="AA5527" s="2">
        <v>-2.9438691489512898</v>
      </c>
      <c r="AB5527" s="2">
        <v>7.6717206510135402E-2</v>
      </c>
      <c r="AC5527" s="2">
        <v>2963.2377448974798</v>
      </c>
      <c r="AD5527" s="2">
        <v>3920.0088038092599</v>
      </c>
      <c r="AE5527" s="2">
        <v>2765.9315475929302</v>
      </c>
      <c r="AF5527" s="2">
        <v>1828.7083212365301</v>
      </c>
      <c r="AG5527" s="2">
        <v>3713.4578058553002</v>
      </c>
      <c r="AH5527" s="2">
        <v>2648.1152240013898</v>
      </c>
      <c r="AI5527" s="2">
        <v>2646.3390769747298</v>
      </c>
      <c r="AJ5527" s="2">
        <v>4176.8744937239899</v>
      </c>
      <c r="AK5527" s="2">
        <v>2570.4046826653998</v>
      </c>
      <c r="AL5527" s="2">
        <v>4118.3253568669497</v>
      </c>
      <c r="AM5527" s="2">
        <v>4495.5525537804397</v>
      </c>
      <c r="AN5527" s="2">
        <v>1993.4992933215799</v>
      </c>
      <c r="AO5527" s="2">
        <v>5976.2473101391697</v>
      </c>
      <c r="AP5527" s="2">
        <v>4366.0236260820002</v>
      </c>
    </row>
    <row r="5528" spans="1:42" ht="14.5" x14ac:dyDescent="0.35">
      <c r="A5528" s="2" t="s">
        <v>36663</v>
      </c>
      <c r="B5528" s="2">
        <v>793.25226860896703</v>
      </c>
      <c r="C5528" s="2">
        <v>5.2455499999999997</v>
      </c>
      <c r="D5528" s="2" t="s">
        <v>70</v>
      </c>
      <c r="E5528" s="2" t="s">
        <v>36664</v>
      </c>
      <c r="F5528" s="2">
        <v>31806</v>
      </c>
      <c r="G5528" s="3" t="str">
        <f>HYPERLINK("http://funmeta.oebiotech.com/network/31806", "http://funmeta.oebiotech.com/network/31806")</f>
        <v>http://funmeta.oebiotech.com/network/31806</v>
      </c>
      <c r="H5528" s="2"/>
      <c r="I5528" s="2"/>
      <c r="J5528" s="2" t="s">
        <v>36665</v>
      </c>
      <c r="K5528" s="2"/>
      <c r="L5528" s="2"/>
      <c r="M5528" s="2"/>
      <c r="N5528" s="2"/>
      <c r="O5528" s="2">
        <v>44258789</v>
      </c>
      <c r="P5528" s="2"/>
      <c r="Q5528" s="2" t="s">
        <v>36666</v>
      </c>
      <c r="R5528" s="2" t="s">
        <v>36667</v>
      </c>
      <c r="S5528" s="2" t="s">
        <v>115</v>
      </c>
      <c r="T5528" s="2" t="s">
        <v>139</v>
      </c>
      <c r="U5528" s="2" t="s">
        <v>140</v>
      </c>
      <c r="V5528" s="2" t="s">
        <v>59</v>
      </c>
      <c r="W5528" s="2">
        <v>36.1</v>
      </c>
      <c r="X5528" s="2">
        <v>0</v>
      </c>
      <c r="Y5528" s="2" t="s">
        <v>118</v>
      </c>
      <c r="Z5528" s="2" t="s">
        <v>36668</v>
      </c>
      <c r="AA5528" s="2">
        <v>-4.7644222683163804</v>
      </c>
      <c r="AB5528" s="2">
        <v>7.6711383497454794E-2</v>
      </c>
      <c r="AC5528" s="2">
        <v>4028.7284662980501</v>
      </c>
      <c r="AD5528" s="2">
        <v>4947.4707427553903</v>
      </c>
      <c r="AE5528" s="2">
        <v>5631.1930829606399</v>
      </c>
      <c r="AF5528" s="2">
        <v>4381.94814720451</v>
      </c>
      <c r="AG5528" s="2">
        <v>1796.8451231818101</v>
      </c>
      <c r="AH5528" s="2">
        <v>4700.0937950975103</v>
      </c>
      <c r="AI5528" s="2">
        <v>3093.3620448162701</v>
      </c>
      <c r="AJ5528" s="2">
        <v>4568.9286045275403</v>
      </c>
      <c r="AK5528" s="2">
        <v>6243.3299952167399</v>
      </c>
      <c r="AL5528" s="2">
        <v>4635.1982579872101</v>
      </c>
      <c r="AM5528" s="2">
        <v>4763.9765614226199</v>
      </c>
      <c r="AN5528" s="2">
        <v>4835.3733088050303</v>
      </c>
      <c r="AO5528" s="2">
        <v>4339.9155935366098</v>
      </c>
      <c r="AP5528" s="2">
        <v>4867.0307395641403</v>
      </c>
    </row>
    <row r="5529" spans="1:42" ht="14.5" x14ac:dyDescent="0.35">
      <c r="A5529" s="2" t="s">
        <v>36669</v>
      </c>
      <c r="B5529" s="2">
        <v>417.24926906778001</v>
      </c>
      <c r="C5529" s="2">
        <v>4.2405333333333299</v>
      </c>
      <c r="D5529" s="2" t="s">
        <v>70</v>
      </c>
      <c r="E5529" s="2" t="s">
        <v>36670</v>
      </c>
      <c r="F5529" s="2">
        <v>257890</v>
      </c>
      <c r="G5529" s="3" t="str">
        <f>HYPERLINK("http://funmeta.oebiotech.com/network/257890", "http://funmeta.oebiotech.com/network/257890")</f>
        <v>http://funmeta.oebiotech.com/network/257890</v>
      </c>
      <c r="H5529" s="2"/>
      <c r="I5529" s="2">
        <v>1315</v>
      </c>
      <c r="J5529" s="2"/>
      <c r="K5529" s="2"/>
      <c r="L5529" s="2" t="s">
        <v>36671</v>
      </c>
      <c r="M5529" s="2"/>
      <c r="N5529" s="2"/>
      <c r="O5529" s="2">
        <v>4201</v>
      </c>
      <c r="P5529" s="2" t="s">
        <v>36672</v>
      </c>
      <c r="Q5529" s="2" t="s">
        <v>36673</v>
      </c>
      <c r="R5529" s="2" t="s">
        <v>36674</v>
      </c>
      <c r="S5529" s="2" t="s">
        <v>1677</v>
      </c>
      <c r="T5529" s="2" t="s">
        <v>1678</v>
      </c>
      <c r="U5529" s="2" t="s">
        <v>1679</v>
      </c>
      <c r="V5529" s="2" t="s">
        <v>59</v>
      </c>
      <c r="W5529" s="2">
        <v>38.799999999999997</v>
      </c>
      <c r="X5529" s="2">
        <v>0</v>
      </c>
      <c r="Y5529" s="2" t="s">
        <v>560</v>
      </c>
      <c r="Z5529" s="2" t="s">
        <v>36675</v>
      </c>
      <c r="AA5529" s="2">
        <v>2.9294320981664002</v>
      </c>
      <c r="AB5529" s="2">
        <v>7.6621592858883897E-2</v>
      </c>
      <c r="AC5529" s="2">
        <v>3377.45861441849</v>
      </c>
      <c r="AD5529" s="2">
        <v>4030.5296480984198</v>
      </c>
      <c r="AE5529" s="2">
        <v>3372.4283864505901</v>
      </c>
      <c r="AF5529" s="2">
        <v>2589.6178021359801</v>
      </c>
      <c r="AG5529" s="2">
        <v>4150.7975514445998</v>
      </c>
      <c r="AH5529" s="2">
        <v>3622.7834911673699</v>
      </c>
      <c r="AI5529" s="2">
        <v>3822.6981207673798</v>
      </c>
      <c r="AJ5529" s="2">
        <v>2706.4263345450399</v>
      </c>
      <c r="AK5529" s="2">
        <v>4037.58564670124</v>
      </c>
      <c r="AL5529" s="2">
        <v>4108.5093109796699</v>
      </c>
      <c r="AM5529" s="2">
        <v>4572.4261297768899</v>
      </c>
      <c r="AN5529" s="2">
        <v>3588.3915468282398</v>
      </c>
      <c r="AO5529" s="2">
        <v>4004.9205926033501</v>
      </c>
      <c r="AP5529" s="2">
        <v>3871.34466170114</v>
      </c>
    </row>
    <row r="5530" spans="1:42" ht="14.5" x14ac:dyDescent="0.35">
      <c r="A5530" s="2" t="s">
        <v>36676</v>
      </c>
      <c r="B5530" s="2">
        <v>163.08653854089599</v>
      </c>
      <c r="C5530" s="2">
        <v>1.6840333333333299</v>
      </c>
      <c r="D5530" s="2" t="s">
        <v>34</v>
      </c>
      <c r="E5530" s="2" t="s">
        <v>36677</v>
      </c>
      <c r="F5530" s="2">
        <v>48223</v>
      </c>
      <c r="G5530" s="3" t="str">
        <f>HYPERLINK("http://funmeta.oebiotech.com/network/48223", "http://funmeta.oebiotech.com/network/48223")</f>
        <v>http://funmeta.oebiotech.com/network/48223</v>
      </c>
      <c r="H5530" s="2" t="s">
        <v>36678</v>
      </c>
      <c r="I5530" s="2">
        <v>58203</v>
      </c>
      <c r="J5530" s="2"/>
      <c r="K5530" s="2">
        <v>28715</v>
      </c>
      <c r="L5530" s="2" t="s">
        <v>36679</v>
      </c>
      <c r="M5530" s="2" t="s">
        <v>17784</v>
      </c>
      <c r="N5530" s="2" t="s">
        <v>17785</v>
      </c>
      <c r="O5530" s="2">
        <v>164719</v>
      </c>
      <c r="P5530" s="2" t="s">
        <v>36680</v>
      </c>
      <c r="Q5530" s="2" t="s">
        <v>36681</v>
      </c>
      <c r="R5530" s="2" t="s">
        <v>36682</v>
      </c>
      <c r="S5530" s="2" t="s">
        <v>79</v>
      </c>
      <c r="T5530" s="2" t="s">
        <v>80</v>
      </c>
      <c r="U5530" s="2" t="s">
        <v>2820</v>
      </c>
      <c r="V5530" s="2" t="s">
        <v>59</v>
      </c>
      <c r="W5530" s="2">
        <v>43</v>
      </c>
      <c r="X5530" s="2">
        <v>19.7</v>
      </c>
      <c r="Y5530" s="2" t="s">
        <v>141</v>
      </c>
      <c r="Z5530" s="2" t="s">
        <v>36683</v>
      </c>
      <c r="AA5530" s="2">
        <v>-0.28231828020239602</v>
      </c>
      <c r="AB5530" s="2">
        <v>7.6614396490051903E-2</v>
      </c>
      <c r="AC5530" s="2">
        <v>3010.7810008803999</v>
      </c>
      <c r="AD5530" s="2">
        <v>2584.2699640573801</v>
      </c>
      <c r="AE5530" s="2">
        <v>3163.6319676469998</v>
      </c>
      <c r="AF5530" s="2">
        <v>2932.4638878654</v>
      </c>
      <c r="AG5530" s="2">
        <v>3075.5473481152499</v>
      </c>
      <c r="AH5530" s="2">
        <v>2939.5433367496298</v>
      </c>
      <c r="AI5530" s="2">
        <v>3072.71430722574</v>
      </c>
      <c r="AJ5530" s="2">
        <v>2880.7851576793601</v>
      </c>
      <c r="AK5530" s="2">
        <v>2616.8243046226198</v>
      </c>
      <c r="AL5530" s="2">
        <v>2477.7423229036399</v>
      </c>
      <c r="AM5530" s="2">
        <v>2766.0681278168699</v>
      </c>
      <c r="AN5530" s="2">
        <v>2457.7043722968001</v>
      </c>
      <c r="AO5530" s="2">
        <v>2602.3344427707302</v>
      </c>
      <c r="AP5530" s="2">
        <v>2584.9462139336201</v>
      </c>
    </row>
    <row r="5531" spans="1:42" ht="14.5" x14ac:dyDescent="0.35">
      <c r="A5531" s="2" t="s">
        <v>36684</v>
      </c>
      <c r="B5531" s="2">
        <v>530.13013076859795</v>
      </c>
      <c r="C5531" s="2">
        <v>4.7039999999999997</v>
      </c>
      <c r="D5531" s="2" t="s">
        <v>70</v>
      </c>
      <c r="E5531" s="2" t="s">
        <v>36685</v>
      </c>
      <c r="F5531" s="2">
        <v>205830</v>
      </c>
      <c r="G5531" s="3" t="str">
        <f>HYPERLINK("http://funmeta.oebiotech.com/network/205830", "http://funmeta.oebiotech.com/network/205830")</f>
        <v>http://funmeta.oebiotech.com/network/205830</v>
      </c>
      <c r="H5531" s="2" t="s">
        <v>36686</v>
      </c>
      <c r="I5531" s="2"/>
      <c r="J5531" s="2"/>
      <c r="K5531" s="2"/>
      <c r="L5531" s="2"/>
      <c r="M5531" s="2"/>
      <c r="N5531" s="2"/>
      <c r="O5531" s="2">
        <v>21889774</v>
      </c>
      <c r="P5531" s="2"/>
      <c r="Q5531" s="2" t="s">
        <v>36687</v>
      </c>
      <c r="R5531" s="2" t="s">
        <v>36688</v>
      </c>
      <c r="S5531" s="2" t="s">
        <v>41</v>
      </c>
      <c r="T5531" s="2" t="s">
        <v>41</v>
      </c>
      <c r="U5531" s="2" t="s">
        <v>41</v>
      </c>
      <c r="V5531" s="2" t="s">
        <v>59</v>
      </c>
      <c r="W5531" s="2">
        <v>38.700000000000003</v>
      </c>
      <c r="X5531" s="2">
        <v>0</v>
      </c>
      <c r="Y5531" s="2" t="s">
        <v>408</v>
      </c>
      <c r="Z5531" s="2" t="s">
        <v>36689</v>
      </c>
      <c r="AA5531" s="2">
        <v>1.5746233896708199</v>
      </c>
      <c r="AB5531" s="2">
        <v>7.6562278080087101E-2</v>
      </c>
      <c r="AC5531" s="2">
        <v>1496.93018770353</v>
      </c>
      <c r="AD5531" s="2">
        <v>889.42827237561698</v>
      </c>
      <c r="AE5531" s="2">
        <v>2083.52908878568</v>
      </c>
      <c r="AF5531" s="2">
        <v>1015.4278246067601</v>
      </c>
      <c r="AG5531" s="2">
        <v>1146.48935476063</v>
      </c>
      <c r="AH5531" s="2">
        <v>1918.50899835987</v>
      </c>
      <c r="AI5531" s="2">
        <v>825.08656603423299</v>
      </c>
      <c r="AJ5531" s="2">
        <v>1992.53929367401</v>
      </c>
      <c r="AK5531" s="2">
        <v>913.12228325380897</v>
      </c>
      <c r="AL5531" s="2">
        <v>969.57818807253295</v>
      </c>
      <c r="AM5531" s="2">
        <v>809.81674263671596</v>
      </c>
      <c r="AN5531" s="2">
        <v>1156.7548615012099</v>
      </c>
      <c r="AO5531" s="2">
        <v>796.57528008693498</v>
      </c>
      <c r="AP5531" s="2">
        <v>690.72227870249696</v>
      </c>
    </row>
    <row r="5532" spans="1:42" ht="14.5" x14ac:dyDescent="0.35">
      <c r="A5532" s="2" t="s">
        <v>36690</v>
      </c>
      <c r="B5532" s="2">
        <v>253.99703918534399</v>
      </c>
      <c r="C5532" s="2">
        <v>1.3655666666666699</v>
      </c>
      <c r="D5532" s="2" t="s">
        <v>34</v>
      </c>
      <c r="E5532" s="2" t="s">
        <v>36691</v>
      </c>
      <c r="F5532" s="2">
        <v>203205</v>
      </c>
      <c r="G5532" s="3" t="str">
        <f>HYPERLINK("http://funmeta.oebiotech.com/network/203205", "http://funmeta.oebiotech.com/network/203205")</f>
        <v>http://funmeta.oebiotech.com/network/203205</v>
      </c>
      <c r="H5532" s="2" t="s">
        <v>36692</v>
      </c>
      <c r="I5532" s="2">
        <v>45522</v>
      </c>
      <c r="J5532" s="2"/>
      <c r="K5532" s="2"/>
      <c r="L5532" s="2"/>
      <c r="M5532" s="2"/>
      <c r="N5532" s="2"/>
      <c r="O5532" s="2">
        <v>2046</v>
      </c>
      <c r="P5532" s="2" t="s">
        <v>36693</v>
      </c>
      <c r="Q5532" s="2" t="s">
        <v>36694</v>
      </c>
      <c r="R5532" s="2" t="s">
        <v>36695</v>
      </c>
      <c r="S5532" s="2" t="s">
        <v>148</v>
      </c>
      <c r="T5532" s="2" t="s">
        <v>392</v>
      </c>
      <c r="U5532" s="2" t="s">
        <v>1177</v>
      </c>
      <c r="V5532" s="2" t="s">
        <v>59</v>
      </c>
      <c r="W5532" s="2">
        <v>38.6</v>
      </c>
      <c r="X5532" s="2">
        <v>2.17</v>
      </c>
      <c r="Y5532" s="2" t="s">
        <v>340</v>
      </c>
      <c r="Z5532" s="2" t="s">
        <v>36696</v>
      </c>
      <c r="AA5532" s="2">
        <v>3.67418758772537</v>
      </c>
      <c r="AB5532" s="2">
        <v>7.6558568834626195E-2</v>
      </c>
      <c r="AC5532" s="2">
        <v>15281.633316137701</v>
      </c>
      <c r="AD5532" s="2">
        <v>14098.277091456101</v>
      </c>
      <c r="AE5532" s="2">
        <v>14737.8957708485</v>
      </c>
      <c r="AF5532" s="2">
        <v>15412.269647363701</v>
      </c>
      <c r="AG5532" s="2">
        <v>14633.260631700499</v>
      </c>
      <c r="AH5532" s="2">
        <v>19842.469046861199</v>
      </c>
      <c r="AI5532" s="2">
        <v>15036.1270139074</v>
      </c>
      <c r="AJ5532" s="2">
        <v>12027.7777861451</v>
      </c>
      <c r="AK5532" s="2">
        <v>14183.964139126299</v>
      </c>
      <c r="AL5532" s="2">
        <v>14133.1143068822</v>
      </c>
      <c r="AM5532" s="2">
        <v>14284.3858394657</v>
      </c>
      <c r="AN5532" s="2">
        <v>14786.5600805794</v>
      </c>
      <c r="AO5532" s="2">
        <v>14555.828233288499</v>
      </c>
      <c r="AP5532" s="2">
        <v>12645.809949394399</v>
      </c>
    </row>
    <row r="5533" spans="1:42" ht="14.5" x14ac:dyDescent="0.35">
      <c r="A5533" s="2" t="s">
        <v>36697</v>
      </c>
      <c r="B5533" s="2">
        <v>431.38409142529002</v>
      </c>
      <c r="C5533" s="2">
        <v>12.792866666666701</v>
      </c>
      <c r="D5533" s="2" t="s">
        <v>34</v>
      </c>
      <c r="E5533" s="2" t="s">
        <v>36698</v>
      </c>
      <c r="F5533" s="2">
        <v>198686</v>
      </c>
      <c r="G5533" s="3" t="str">
        <f>HYPERLINK("http://funmeta.oebiotech.com/network/198686", "http://funmeta.oebiotech.com/network/198686")</f>
        <v>http://funmeta.oebiotech.com/network/198686</v>
      </c>
      <c r="H5533" s="2" t="s">
        <v>36699</v>
      </c>
      <c r="I5533" s="2">
        <v>84993</v>
      </c>
      <c r="J5533" s="2"/>
      <c r="K5533" s="2"/>
      <c r="L5533" s="2"/>
      <c r="M5533" s="2"/>
      <c r="N5533" s="2"/>
      <c r="O5533" s="2">
        <v>2116</v>
      </c>
      <c r="P5533" s="2" t="s">
        <v>36700</v>
      </c>
      <c r="Q5533" s="2" t="s">
        <v>36701</v>
      </c>
      <c r="R5533" s="2" t="s">
        <v>36702</v>
      </c>
      <c r="S5533" s="2" t="s">
        <v>50</v>
      </c>
      <c r="T5533" s="2" t="s">
        <v>201</v>
      </c>
      <c r="U5533" s="2" t="s">
        <v>5622</v>
      </c>
      <c r="V5533" s="2" t="s">
        <v>59</v>
      </c>
      <c r="W5533" s="2">
        <v>39.700000000000003</v>
      </c>
      <c r="X5533" s="2">
        <v>18.2</v>
      </c>
      <c r="Y5533" s="2" t="s">
        <v>394</v>
      </c>
      <c r="Z5533" s="2" t="s">
        <v>36703</v>
      </c>
      <c r="AA5533" s="2">
        <v>-9.9117956627112402</v>
      </c>
      <c r="AB5533" s="2">
        <v>7.6532768295524398E-2</v>
      </c>
      <c r="AC5533" s="2">
        <v>7088.3981699809101</v>
      </c>
      <c r="AD5533" s="2">
        <v>5655.9831017980696</v>
      </c>
      <c r="AE5533" s="2">
        <v>8402.8084707353792</v>
      </c>
      <c r="AF5533" s="2">
        <v>5626.0162647756397</v>
      </c>
      <c r="AG5533" s="2">
        <v>4975.51761221992</v>
      </c>
      <c r="AH5533" s="2">
        <v>8999.9612296401192</v>
      </c>
      <c r="AI5533" s="2">
        <v>7456.3290485511898</v>
      </c>
      <c r="AJ5533" s="2">
        <v>7069.7563939632</v>
      </c>
      <c r="AK5533" s="2">
        <v>3835.4036617850002</v>
      </c>
      <c r="AL5533" s="2">
        <v>3679.9511760448599</v>
      </c>
      <c r="AM5533" s="2">
        <v>2218.5251704827101</v>
      </c>
      <c r="AN5533" s="2">
        <v>5479.7817979013598</v>
      </c>
      <c r="AO5533" s="2">
        <v>12332.8062696091</v>
      </c>
      <c r="AP5533" s="2">
        <v>6389.4305349653696</v>
      </c>
    </row>
    <row r="5534" spans="1:42" ht="14.5" x14ac:dyDescent="0.35">
      <c r="A5534" s="2" t="s">
        <v>36704</v>
      </c>
      <c r="B5534" s="2">
        <v>947.48409648398797</v>
      </c>
      <c r="C5534" s="2">
        <v>10.5498833333333</v>
      </c>
      <c r="D5534" s="2" t="s">
        <v>70</v>
      </c>
      <c r="E5534" s="2" t="s">
        <v>36705</v>
      </c>
      <c r="F5534" s="2">
        <v>136172</v>
      </c>
      <c r="G5534" s="3" t="str">
        <f>HYPERLINK("http://funmeta.oebiotech.com/network/136172", "http://funmeta.oebiotech.com/network/136172")</f>
        <v>http://funmeta.oebiotech.com/network/136172</v>
      </c>
      <c r="H5534" s="2" t="s">
        <v>36706</v>
      </c>
      <c r="I5534" s="2"/>
      <c r="J5534" s="2"/>
      <c r="K5534" s="2"/>
      <c r="L5534" s="2"/>
      <c r="M5534" s="2"/>
      <c r="N5534" s="2"/>
      <c r="O5534" s="2">
        <v>131823150</v>
      </c>
      <c r="P5534" s="2"/>
      <c r="Q5534" s="2" t="s">
        <v>36707</v>
      </c>
      <c r="R5534" s="2" t="s">
        <v>36708</v>
      </c>
      <c r="S5534" s="2" t="s">
        <v>50</v>
      </c>
      <c r="T5534" s="2" t="s">
        <v>51</v>
      </c>
      <c r="U5534" s="2" t="s">
        <v>1989</v>
      </c>
      <c r="V5534" s="2" t="s">
        <v>59</v>
      </c>
      <c r="W5534" s="2">
        <v>37.5</v>
      </c>
      <c r="X5534" s="2">
        <v>0</v>
      </c>
      <c r="Y5534" s="2" t="s">
        <v>118</v>
      </c>
      <c r="Z5534" s="2" t="s">
        <v>36709</v>
      </c>
      <c r="AA5534" s="2">
        <v>-0.414236333026613</v>
      </c>
      <c r="AB5534" s="2">
        <v>7.6518411978048206E-2</v>
      </c>
      <c r="AC5534" s="2">
        <v>64558.275354885503</v>
      </c>
      <c r="AD5534" s="2">
        <v>62206.051375819399</v>
      </c>
      <c r="AE5534" s="2">
        <v>72361.038317458006</v>
      </c>
      <c r="AF5534" s="2">
        <v>67101.437928166197</v>
      </c>
      <c r="AG5534" s="2">
        <v>61561.696374059597</v>
      </c>
      <c r="AH5534" s="2">
        <v>57517.098941674398</v>
      </c>
      <c r="AI5534" s="2">
        <v>56762.922034359501</v>
      </c>
      <c r="AJ5534" s="2">
        <v>72045.458533595098</v>
      </c>
      <c r="AK5534" s="2">
        <v>50649.379762680903</v>
      </c>
      <c r="AL5534" s="2">
        <v>54608.315267572201</v>
      </c>
      <c r="AM5534" s="2">
        <v>74117.6211364193</v>
      </c>
      <c r="AN5534" s="2">
        <v>66692.901742833201</v>
      </c>
      <c r="AO5534" s="2">
        <v>60833.264907717697</v>
      </c>
      <c r="AP5534" s="2">
        <v>66334.825437692896</v>
      </c>
    </row>
    <row r="5535" spans="1:42" ht="14.5" x14ac:dyDescent="0.35">
      <c r="A5535" s="2" t="s">
        <v>36710</v>
      </c>
      <c r="B5535" s="2">
        <v>298.99785251506199</v>
      </c>
      <c r="C5535" s="2">
        <v>1.11073333333333</v>
      </c>
      <c r="D5535" s="2" t="s">
        <v>34</v>
      </c>
      <c r="E5535" s="2" t="s">
        <v>36711</v>
      </c>
      <c r="F5535" s="2">
        <v>198439</v>
      </c>
      <c r="G5535" s="3" t="str">
        <f>HYPERLINK("http://funmeta.oebiotech.com/network/198439", "http://funmeta.oebiotech.com/network/198439")</f>
        <v>http://funmeta.oebiotech.com/network/198439</v>
      </c>
      <c r="H5535" s="2" t="s">
        <v>36712</v>
      </c>
      <c r="I5535" s="2"/>
      <c r="J5535" s="2"/>
      <c r="K5535" s="2">
        <v>133706</v>
      </c>
      <c r="L5535" s="2"/>
      <c r="M5535" s="2"/>
      <c r="N5535" s="2"/>
      <c r="O5535" s="2">
        <v>121225983</v>
      </c>
      <c r="P5535" s="2"/>
      <c r="Q5535" s="2" t="s">
        <v>36713</v>
      </c>
      <c r="R5535" s="2" t="s">
        <v>36714</v>
      </c>
      <c r="S5535" s="2" t="s">
        <v>41</v>
      </c>
      <c r="T5535" s="2" t="s">
        <v>41</v>
      </c>
      <c r="U5535" s="2" t="s">
        <v>41</v>
      </c>
      <c r="V5535" s="2" t="s">
        <v>59</v>
      </c>
      <c r="W5535" s="2">
        <v>38.1</v>
      </c>
      <c r="X5535" s="2">
        <v>0</v>
      </c>
      <c r="Y5535" s="2" t="s">
        <v>340</v>
      </c>
      <c r="Z5535" s="2" t="s">
        <v>36715</v>
      </c>
      <c r="AA5535" s="2">
        <v>-2.9406264096028099</v>
      </c>
      <c r="AB5535" s="2">
        <v>7.6444676136402601E-2</v>
      </c>
      <c r="AC5535" s="2">
        <v>2710.5957831378</v>
      </c>
      <c r="AD5535" s="2">
        <v>3562.6646568905198</v>
      </c>
      <c r="AE5535" s="2">
        <v>2896.5194323176502</v>
      </c>
      <c r="AF5535" s="2">
        <v>2992.8578338073798</v>
      </c>
      <c r="AG5535" s="2">
        <v>3075.95857907563</v>
      </c>
      <c r="AH5535" s="2">
        <v>2961.2867649457799</v>
      </c>
      <c r="AI5535" s="2">
        <v>2498.7170706050201</v>
      </c>
      <c r="AJ5535" s="2">
        <v>1838.2350180753599</v>
      </c>
      <c r="AK5535" s="2">
        <v>5809.0794077186902</v>
      </c>
      <c r="AL5535" s="2">
        <v>2265.92235748653</v>
      </c>
      <c r="AM5535" s="2">
        <v>2850.5208908406198</v>
      </c>
      <c r="AN5535" s="2">
        <v>3303.2667762339102</v>
      </c>
      <c r="AO5535" s="2">
        <v>3552.8331519277699</v>
      </c>
      <c r="AP5535" s="2">
        <v>3594.3653571355799</v>
      </c>
    </row>
    <row r="5536" spans="1:42" ht="14.5" x14ac:dyDescent="0.35">
      <c r="A5536" s="2" t="s">
        <v>36716</v>
      </c>
      <c r="B5536" s="2">
        <v>138.054867411597</v>
      </c>
      <c r="C5536" s="2">
        <v>0.75019999999999998</v>
      </c>
      <c r="D5536" s="2" t="s">
        <v>34</v>
      </c>
      <c r="E5536" s="2" t="s">
        <v>36717</v>
      </c>
      <c r="F5536" s="2">
        <v>82586</v>
      </c>
      <c r="G5536" s="3" t="str">
        <f>HYPERLINK("http://funmeta.oebiotech.com/network/82586", "http://funmeta.oebiotech.com/network/82586")</f>
        <v>http://funmeta.oebiotech.com/network/82586</v>
      </c>
      <c r="H5536" s="2" t="s">
        <v>36718</v>
      </c>
      <c r="I5536" s="2">
        <v>1308</v>
      </c>
      <c r="J5536" s="2"/>
      <c r="K5536" s="2"/>
      <c r="L5536" s="2"/>
      <c r="M5536" s="2"/>
      <c r="N5536" s="2"/>
      <c r="O5536" s="2">
        <v>85318</v>
      </c>
      <c r="P5536" s="2" t="s">
        <v>36719</v>
      </c>
      <c r="Q5536" s="2" t="s">
        <v>36720</v>
      </c>
      <c r="R5536" s="2" t="s">
        <v>36721</v>
      </c>
      <c r="S5536" s="2" t="s">
        <v>491</v>
      </c>
      <c r="T5536" s="2" t="s">
        <v>2238</v>
      </c>
      <c r="U5536" s="2" t="s">
        <v>41</v>
      </c>
      <c r="V5536" s="2" t="s">
        <v>59</v>
      </c>
      <c r="W5536" s="2">
        <v>39.299999999999997</v>
      </c>
      <c r="X5536" s="2">
        <v>0</v>
      </c>
      <c r="Y5536" s="2" t="s">
        <v>394</v>
      </c>
      <c r="Z5536" s="2" t="s">
        <v>36722</v>
      </c>
      <c r="AA5536" s="2">
        <v>-0.63838230399957496</v>
      </c>
      <c r="AB5536" s="2">
        <v>7.63778331957706E-2</v>
      </c>
      <c r="AC5536" s="2">
        <v>13810.7981996992</v>
      </c>
      <c r="AD5536" s="2">
        <v>13051.9724416219</v>
      </c>
      <c r="AE5536" s="2">
        <v>13806.6568851395</v>
      </c>
      <c r="AF5536" s="2">
        <v>14703.5376821674</v>
      </c>
      <c r="AG5536" s="2">
        <v>14070.5409264307</v>
      </c>
      <c r="AH5536" s="2">
        <v>12773.7708895167</v>
      </c>
      <c r="AI5536" s="2">
        <v>13928.244123302</v>
      </c>
      <c r="AJ5536" s="2">
        <v>13582.0386916391</v>
      </c>
      <c r="AK5536" s="2">
        <v>12327.2669228831</v>
      </c>
      <c r="AL5536" s="2">
        <v>12691.5634487719</v>
      </c>
      <c r="AM5536" s="2">
        <v>13323.9469094503</v>
      </c>
      <c r="AN5536" s="2">
        <v>14361.3919507545</v>
      </c>
      <c r="AO5536" s="2">
        <v>13229.6131675697</v>
      </c>
      <c r="AP5536" s="2">
        <v>12378.052250302</v>
      </c>
    </row>
    <row r="5537" spans="1:42" ht="14.5" x14ac:dyDescent="0.35">
      <c r="A5537" s="2" t="s">
        <v>36723</v>
      </c>
      <c r="B5537" s="2">
        <v>214.25279621098201</v>
      </c>
      <c r="C5537" s="2">
        <v>9.5804500000000008</v>
      </c>
      <c r="D5537" s="2" t="s">
        <v>34</v>
      </c>
      <c r="E5537" s="2" t="s">
        <v>36724</v>
      </c>
      <c r="F5537" s="2">
        <v>57784</v>
      </c>
      <c r="G5537" s="3" t="str">
        <f>HYPERLINK("http://funmeta.oebiotech.com/network/57784", "http://funmeta.oebiotech.com/network/57784")</f>
        <v>http://funmeta.oebiotech.com/network/57784</v>
      </c>
      <c r="H5537" s="2" t="s">
        <v>36725</v>
      </c>
      <c r="I5537" s="2">
        <v>89376</v>
      </c>
      <c r="J5537" s="2"/>
      <c r="K5537" s="2">
        <v>89715</v>
      </c>
      <c r="L5537" s="2"/>
      <c r="M5537" s="2"/>
      <c r="N5537" s="2"/>
      <c r="O5537" s="2">
        <v>67524</v>
      </c>
      <c r="P5537" s="2" t="s">
        <v>36726</v>
      </c>
      <c r="Q5537" s="2" t="s">
        <v>36727</v>
      </c>
      <c r="R5537" s="2" t="s">
        <v>36728</v>
      </c>
      <c r="S5537" s="2" t="s">
        <v>3194</v>
      </c>
      <c r="T5537" s="2" t="s">
        <v>36729</v>
      </c>
      <c r="U5537" s="2" t="s">
        <v>36730</v>
      </c>
      <c r="V5537" s="2" t="s">
        <v>59</v>
      </c>
      <c r="W5537" s="2">
        <v>38.9</v>
      </c>
      <c r="X5537" s="2">
        <v>0</v>
      </c>
      <c r="Y5537" s="2" t="s">
        <v>43</v>
      </c>
      <c r="Z5537" s="2" t="s">
        <v>36731</v>
      </c>
      <c r="AA5537" s="2">
        <v>-0.66363048957721305</v>
      </c>
      <c r="AB5537" s="2">
        <v>7.62393783339297E-2</v>
      </c>
      <c r="AC5537" s="2">
        <v>2027.0552341771499</v>
      </c>
      <c r="AD5537" s="2">
        <v>2688.6863875266099</v>
      </c>
      <c r="AE5537" s="2">
        <v>1942.92036370761</v>
      </c>
      <c r="AF5537" s="2">
        <v>1123.3891959996899</v>
      </c>
      <c r="AG5537" s="2">
        <v>2463.0067747667199</v>
      </c>
      <c r="AH5537" s="2">
        <v>1293.42495157298</v>
      </c>
      <c r="AI5537" s="2">
        <v>2653.0764220544202</v>
      </c>
      <c r="AJ5537" s="2">
        <v>2686.51369696147</v>
      </c>
      <c r="AK5537" s="2">
        <v>2654.9727272211499</v>
      </c>
      <c r="AL5537" s="2">
        <v>3128.7477453769902</v>
      </c>
      <c r="AM5537" s="2">
        <v>2352.9709689630199</v>
      </c>
      <c r="AN5537" s="2">
        <v>2775.9773241801399</v>
      </c>
      <c r="AO5537" s="2">
        <v>2542.6201069820399</v>
      </c>
      <c r="AP5537" s="2">
        <v>2676.82945243635</v>
      </c>
    </row>
    <row r="5538" spans="1:42" ht="14.5" x14ac:dyDescent="0.35">
      <c r="A5538" s="2" t="s">
        <v>36732</v>
      </c>
      <c r="B5538" s="2">
        <v>293.17565717666201</v>
      </c>
      <c r="C5538" s="2">
        <v>9.6037999999999997</v>
      </c>
      <c r="D5538" s="2" t="s">
        <v>70</v>
      </c>
      <c r="E5538" s="2" t="s">
        <v>36733</v>
      </c>
      <c r="F5538" s="2">
        <v>56638</v>
      </c>
      <c r="G5538" s="3" t="str">
        <f>HYPERLINK("http://funmeta.oebiotech.com/network/56638", "http://funmeta.oebiotech.com/network/56638")</f>
        <v>http://funmeta.oebiotech.com/network/56638</v>
      </c>
      <c r="H5538" s="2" t="s">
        <v>36734</v>
      </c>
      <c r="I5538" s="2">
        <v>88277</v>
      </c>
      <c r="J5538" s="2"/>
      <c r="K5538" s="2"/>
      <c r="L5538" s="2"/>
      <c r="M5538" s="2"/>
      <c r="N5538" s="2"/>
      <c r="O5538" s="2">
        <v>71587848</v>
      </c>
      <c r="P5538" s="2" t="s">
        <v>36735</v>
      </c>
      <c r="Q5538" s="2" t="s">
        <v>36736</v>
      </c>
      <c r="R5538" s="2" t="s">
        <v>36737</v>
      </c>
      <c r="S5538" s="2" t="s">
        <v>148</v>
      </c>
      <c r="T5538" s="2" t="s">
        <v>149</v>
      </c>
      <c r="U5538" s="2" t="s">
        <v>15271</v>
      </c>
      <c r="V5538" s="2" t="s">
        <v>59</v>
      </c>
      <c r="W5538" s="2">
        <v>38.5</v>
      </c>
      <c r="X5538" s="2">
        <v>0</v>
      </c>
      <c r="Y5538" s="2" t="s">
        <v>408</v>
      </c>
      <c r="Z5538" s="2" t="s">
        <v>36738</v>
      </c>
      <c r="AA5538" s="2">
        <v>-0.70796928066067399</v>
      </c>
      <c r="AB5538" s="2">
        <v>7.6226376129803999E-2</v>
      </c>
      <c r="AC5538" s="2">
        <v>6780.76801447866</v>
      </c>
      <c r="AD5538" s="2">
        <v>7493.8658014183302</v>
      </c>
      <c r="AE5538" s="2">
        <v>7640.1588850866301</v>
      </c>
      <c r="AF5538" s="2">
        <v>6332.85426708041</v>
      </c>
      <c r="AG5538" s="2">
        <v>6489.3823321504397</v>
      </c>
      <c r="AH5538" s="2">
        <v>6888.1791693622799</v>
      </c>
      <c r="AI5538" s="2">
        <v>6456.5305196134996</v>
      </c>
      <c r="AJ5538" s="2">
        <v>6877.5029135787199</v>
      </c>
      <c r="AK5538" s="2">
        <v>8713.2421437818994</v>
      </c>
      <c r="AL5538" s="2">
        <v>7907.3625039742501</v>
      </c>
      <c r="AM5538" s="2">
        <v>7242.0285840932502</v>
      </c>
      <c r="AN5538" s="2">
        <v>7150.4291925569996</v>
      </c>
      <c r="AO5538" s="2">
        <v>7250.0801185365899</v>
      </c>
      <c r="AP5538" s="2">
        <v>6700.0522655669902</v>
      </c>
    </row>
    <row r="5539" spans="1:42" ht="14.5" x14ac:dyDescent="0.35">
      <c r="A5539" s="2" t="s">
        <v>36739</v>
      </c>
      <c r="B5539" s="2">
        <v>553.31464625112903</v>
      </c>
      <c r="C5539" s="2">
        <v>11.199</v>
      </c>
      <c r="D5539" s="2" t="s">
        <v>70</v>
      </c>
      <c r="E5539" s="2" t="s">
        <v>36740</v>
      </c>
      <c r="F5539" s="2">
        <v>135242</v>
      </c>
      <c r="G5539" s="3" t="str">
        <f>HYPERLINK("http://funmeta.oebiotech.com/network/135242", "http://funmeta.oebiotech.com/network/135242")</f>
        <v>http://funmeta.oebiotech.com/network/135242</v>
      </c>
      <c r="H5539" s="2" t="s">
        <v>36741</v>
      </c>
      <c r="I5539" s="2"/>
      <c r="J5539" s="2"/>
      <c r="K5539" s="2"/>
      <c r="L5539" s="2"/>
      <c r="M5539" s="2"/>
      <c r="N5539" s="2"/>
      <c r="O5539" s="2">
        <v>131822221</v>
      </c>
      <c r="P5539" s="2"/>
      <c r="Q5539" s="2" t="s">
        <v>36742</v>
      </c>
      <c r="R5539" s="2" t="s">
        <v>36743</v>
      </c>
      <c r="S5539" s="2" t="s">
        <v>50</v>
      </c>
      <c r="T5539" s="2" t="s">
        <v>51</v>
      </c>
      <c r="U5539" s="2" t="s">
        <v>273</v>
      </c>
      <c r="V5539" s="2" t="s">
        <v>59</v>
      </c>
      <c r="W5539" s="2">
        <v>39.1</v>
      </c>
      <c r="X5539" s="2">
        <v>0</v>
      </c>
      <c r="Y5539" s="2" t="s">
        <v>408</v>
      </c>
      <c r="Z5539" s="2" t="s">
        <v>36744</v>
      </c>
      <c r="AA5539" s="2">
        <v>-0.121532116308011</v>
      </c>
      <c r="AB5539" s="2">
        <v>7.6100605610999905E-2</v>
      </c>
      <c r="AC5539" s="2">
        <v>1330.55271230008</v>
      </c>
      <c r="AD5539" s="2">
        <v>732.36728679583996</v>
      </c>
      <c r="AE5539" s="2">
        <v>1323.90763977443</v>
      </c>
      <c r="AF5539" s="2">
        <v>980.95060162844595</v>
      </c>
      <c r="AG5539" s="2">
        <v>1800.5151274433999</v>
      </c>
      <c r="AH5539" s="2">
        <v>1409.73588428582</v>
      </c>
      <c r="AI5539" s="2">
        <v>1074.4890396953001</v>
      </c>
      <c r="AJ5539" s="2">
        <v>1393.7179809730601</v>
      </c>
      <c r="AK5539" s="2">
        <v>2.7106294003980101E-5</v>
      </c>
      <c r="AL5539" s="2">
        <v>1017.45846427677</v>
      </c>
      <c r="AM5539" s="2">
        <v>715.56510021639099</v>
      </c>
      <c r="AN5539" s="2">
        <v>1430.1654476788699</v>
      </c>
      <c r="AO5539" s="2">
        <v>751.92844767732004</v>
      </c>
      <c r="AP5539" s="2">
        <v>479.086233819396</v>
      </c>
    </row>
    <row r="5540" spans="1:42" ht="14.5" x14ac:dyDescent="0.35">
      <c r="A5540" s="2" t="s">
        <v>36745</v>
      </c>
      <c r="B5540" s="2">
        <v>228.23179157224499</v>
      </c>
      <c r="C5540" s="2">
        <v>11.6407166666667</v>
      </c>
      <c r="D5540" s="2" t="s">
        <v>34</v>
      </c>
      <c r="E5540" s="2" t="s">
        <v>36746</v>
      </c>
      <c r="F5540" s="2">
        <v>6019</v>
      </c>
      <c r="G5540" s="3" t="str">
        <f>HYPERLINK("http://funmeta.oebiotech.com/network/6019", "http://funmeta.oebiotech.com/network/6019")</f>
        <v>http://funmeta.oebiotech.com/network/6019</v>
      </c>
      <c r="H5540" s="2"/>
      <c r="I5540" s="2">
        <v>36496</v>
      </c>
      <c r="J5540" s="2" t="s">
        <v>36747</v>
      </c>
      <c r="K5540" s="2"/>
      <c r="L5540" s="2"/>
      <c r="M5540" s="2"/>
      <c r="N5540" s="2"/>
      <c r="O5540" s="2">
        <v>5283290</v>
      </c>
      <c r="P5540" s="2"/>
      <c r="Q5540" s="2" t="s">
        <v>36748</v>
      </c>
      <c r="R5540" s="2" t="s">
        <v>36749</v>
      </c>
      <c r="S5540" s="2" t="s">
        <v>50</v>
      </c>
      <c r="T5540" s="2" t="s">
        <v>229</v>
      </c>
      <c r="U5540" s="2" t="s">
        <v>1283</v>
      </c>
      <c r="V5540" s="2" t="s">
        <v>59</v>
      </c>
      <c r="W5540" s="2">
        <v>39</v>
      </c>
      <c r="X5540" s="2">
        <v>3.14</v>
      </c>
      <c r="Y5540" s="2" t="s">
        <v>43</v>
      </c>
      <c r="Z5540" s="2" t="s">
        <v>36750</v>
      </c>
      <c r="AA5540" s="2">
        <v>-1.9001628981046299</v>
      </c>
      <c r="AB5540" s="2">
        <v>7.6063227573485007E-2</v>
      </c>
      <c r="AC5540" s="2">
        <v>2538.31774801864</v>
      </c>
      <c r="AD5540" s="2">
        <v>1894.7729066206</v>
      </c>
      <c r="AE5540" s="2">
        <v>2134.5423812270601</v>
      </c>
      <c r="AF5540" s="2">
        <v>3388.5683523992302</v>
      </c>
      <c r="AG5540" s="2">
        <v>2641.74886210761</v>
      </c>
      <c r="AH5540" s="2">
        <v>2008.9969300033399</v>
      </c>
      <c r="AI5540" s="2">
        <v>2256.8079827688698</v>
      </c>
      <c r="AJ5540" s="2">
        <v>2799.2419796057502</v>
      </c>
      <c r="AK5540" s="2">
        <v>2259.45487427335</v>
      </c>
      <c r="AL5540" s="2">
        <v>1213.4764776950101</v>
      </c>
      <c r="AM5540" s="2">
        <v>1497.20203601806</v>
      </c>
      <c r="AN5540" s="2">
        <v>2255.6793971521201</v>
      </c>
      <c r="AO5540" s="2">
        <v>2276.5426066089699</v>
      </c>
      <c r="AP5540" s="2">
        <v>1866.2820479760901</v>
      </c>
    </row>
    <row r="5541" spans="1:42" ht="14.5" x14ac:dyDescent="0.35">
      <c r="A5541" s="2" t="s">
        <v>36751</v>
      </c>
      <c r="B5541" s="2">
        <v>527.19318843342103</v>
      </c>
      <c r="C5541" s="2">
        <v>4.9873666666666701</v>
      </c>
      <c r="D5541" s="2" t="s">
        <v>70</v>
      </c>
      <c r="E5541" s="2" t="s">
        <v>36752</v>
      </c>
      <c r="F5541" s="2">
        <v>202520</v>
      </c>
      <c r="G5541" s="3" t="str">
        <f>HYPERLINK("http://funmeta.oebiotech.com/network/202520", "http://funmeta.oebiotech.com/network/202520")</f>
        <v>http://funmeta.oebiotech.com/network/202520</v>
      </c>
      <c r="H5541" s="2" t="s">
        <v>36753</v>
      </c>
      <c r="I5541" s="2"/>
      <c r="J5541" s="2"/>
      <c r="K5541" s="2"/>
      <c r="L5541" s="2"/>
      <c r="M5541" s="2"/>
      <c r="N5541" s="2"/>
      <c r="O5541" s="2">
        <v>4616292</v>
      </c>
      <c r="P5541" s="2"/>
      <c r="Q5541" s="2" t="s">
        <v>36754</v>
      </c>
      <c r="R5541" s="2" t="s">
        <v>36755</v>
      </c>
      <c r="S5541" s="2" t="s">
        <v>491</v>
      </c>
      <c r="T5541" s="2" t="s">
        <v>2184</v>
      </c>
      <c r="U5541" s="2" t="s">
        <v>8546</v>
      </c>
      <c r="V5541" s="2" t="s">
        <v>59</v>
      </c>
      <c r="W5541" s="2">
        <v>36</v>
      </c>
      <c r="X5541" s="2">
        <v>0</v>
      </c>
      <c r="Y5541" s="2" t="s">
        <v>408</v>
      </c>
      <c r="Z5541" s="2" t="s">
        <v>36756</v>
      </c>
      <c r="AA5541" s="2">
        <v>-0.87053471318206999</v>
      </c>
      <c r="AB5541" s="2">
        <v>7.6050181001010506E-2</v>
      </c>
      <c r="AC5541" s="2">
        <v>7417.3731925164902</v>
      </c>
      <c r="AD5541" s="2">
        <v>6275.2678991778503</v>
      </c>
      <c r="AE5541" s="2">
        <v>7012.0879445775099</v>
      </c>
      <c r="AF5541" s="2">
        <v>10623.8978290376</v>
      </c>
      <c r="AG5541" s="2">
        <v>6141.0906406664099</v>
      </c>
      <c r="AH5541" s="2">
        <v>7189.07540848395</v>
      </c>
      <c r="AI5541" s="2">
        <v>7010.2425542016899</v>
      </c>
      <c r="AJ5541" s="2">
        <v>6527.84477813179</v>
      </c>
      <c r="AK5541" s="2">
        <v>6029.5971911258503</v>
      </c>
      <c r="AL5541" s="2">
        <v>6011.8524143385403</v>
      </c>
      <c r="AM5541" s="2">
        <v>6644.7524487703804</v>
      </c>
      <c r="AN5541" s="2">
        <v>9353.0978365874907</v>
      </c>
      <c r="AO5541" s="2">
        <v>3349.6591589882801</v>
      </c>
      <c r="AP5541" s="2">
        <v>6262.6483452565399</v>
      </c>
    </row>
    <row r="5542" spans="1:42" ht="14.5" x14ac:dyDescent="0.35">
      <c r="A5542" s="2" t="s">
        <v>36757</v>
      </c>
      <c r="B5542" s="2">
        <v>298.10816651223797</v>
      </c>
      <c r="C5542" s="2">
        <v>4.9343500000000002</v>
      </c>
      <c r="D5542" s="2" t="s">
        <v>70</v>
      </c>
      <c r="E5542" s="2" t="s">
        <v>36758</v>
      </c>
      <c r="F5542" s="2">
        <v>55160</v>
      </c>
      <c r="G5542" s="3" t="str">
        <f>HYPERLINK("http://funmeta.oebiotech.com/network/55160", "http://funmeta.oebiotech.com/network/55160")</f>
        <v>http://funmeta.oebiotech.com/network/55160</v>
      </c>
      <c r="H5542" s="2" t="s">
        <v>36759</v>
      </c>
      <c r="I5542" s="2">
        <v>68169</v>
      </c>
      <c r="J5542" s="2"/>
      <c r="K5542" s="2">
        <v>564921</v>
      </c>
      <c r="L5542" s="2" t="s">
        <v>36760</v>
      </c>
      <c r="M5542" s="2"/>
      <c r="N5542" s="2"/>
      <c r="O5542" s="2">
        <v>637858</v>
      </c>
      <c r="P5542" s="2" t="s">
        <v>36761</v>
      </c>
      <c r="Q5542" s="2" t="s">
        <v>36762</v>
      </c>
      <c r="R5542" s="2" t="s">
        <v>36763</v>
      </c>
      <c r="S5542" s="2" t="s">
        <v>115</v>
      </c>
      <c r="T5542" s="2" t="s">
        <v>116</v>
      </c>
      <c r="U5542" s="2" t="s">
        <v>41</v>
      </c>
      <c r="V5542" s="2" t="s">
        <v>59</v>
      </c>
      <c r="W5542" s="2">
        <v>37.4</v>
      </c>
      <c r="X5542" s="2">
        <v>0</v>
      </c>
      <c r="Y5542" s="2" t="s">
        <v>751</v>
      </c>
      <c r="Z5542" s="2" t="s">
        <v>36764</v>
      </c>
      <c r="AA5542" s="2">
        <v>-0.993546322827078</v>
      </c>
      <c r="AB5542" s="2">
        <v>7.6029713449412104E-2</v>
      </c>
      <c r="AC5542" s="2">
        <v>1364.97183178471</v>
      </c>
      <c r="AD5542" s="2">
        <v>830.54712146016902</v>
      </c>
      <c r="AE5542" s="2">
        <v>1460.0802735300699</v>
      </c>
      <c r="AF5542" s="2">
        <v>1215.3194963747701</v>
      </c>
      <c r="AG5542" s="2">
        <v>1548.5169464712501</v>
      </c>
      <c r="AH5542" s="2">
        <v>1778.94142069075</v>
      </c>
      <c r="AI5542" s="2">
        <v>1243.81559564961</v>
      </c>
      <c r="AJ5542" s="2">
        <v>943.15725799178495</v>
      </c>
      <c r="AK5542" s="2">
        <v>942.66519628153503</v>
      </c>
      <c r="AL5542" s="2">
        <v>998.38356725663095</v>
      </c>
      <c r="AM5542" s="2">
        <v>1259.41532995748</v>
      </c>
      <c r="AN5542" s="2">
        <v>527.89060635227804</v>
      </c>
      <c r="AO5542" s="2">
        <v>491.60616090781201</v>
      </c>
      <c r="AP5542" s="2">
        <v>763.32186800527904</v>
      </c>
    </row>
    <row r="5543" spans="1:42" ht="14.5" x14ac:dyDescent="0.35">
      <c r="A5543" s="2" t="s">
        <v>36765</v>
      </c>
      <c r="B5543" s="2">
        <v>323.07159422202398</v>
      </c>
      <c r="C5543" s="2">
        <v>1.7133499999999999</v>
      </c>
      <c r="D5543" s="2" t="s">
        <v>70</v>
      </c>
      <c r="E5543" s="2" t="s">
        <v>36766</v>
      </c>
      <c r="F5543" s="2">
        <v>514063</v>
      </c>
      <c r="G5543" s="3" t="str">
        <f>HYPERLINK("http://funmeta.oebiotech.com/network/514063", "http://funmeta.oebiotech.com/network/514063")</f>
        <v>http://funmeta.oebiotech.com/network/514063</v>
      </c>
      <c r="H5543" s="2"/>
      <c r="I5543" s="2">
        <v>96353</v>
      </c>
      <c r="J5543" s="2"/>
      <c r="K5543" s="2"/>
      <c r="L5543" s="2"/>
      <c r="M5543" s="2"/>
      <c r="N5543" s="2"/>
      <c r="O5543" s="2">
        <v>66672</v>
      </c>
      <c r="P5543" s="2"/>
      <c r="Q5543" s="2" t="s">
        <v>36767</v>
      </c>
      <c r="R5543" s="2" t="s">
        <v>36768</v>
      </c>
      <c r="S5543" s="2" t="s">
        <v>148</v>
      </c>
      <c r="T5543" s="2" t="s">
        <v>149</v>
      </c>
      <c r="U5543" s="2" t="s">
        <v>6788</v>
      </c>
      <c r="V5543" s="2" t="s">
        <v>59</v>
      </c>
      <c r="W5543" s="2">
        <v>37.700000000000003</v>
      </c>
      <c r="X5543" s="2">
        <v>0</v>
      </c>
      <c r="Y5543" s="2" t="s">
        <v>408</v>
      </c>
      <c r="Z5543" s="2" t="s">
        <v>36769</v>
      </c>
      <c r="AA5543" s="2">
        <v>3.1575748134204602</v>
      </c>
      <c r="AB5543" s="2">
        <v>7.6014991249798505E-2</v>
      </c>
      <c r="AC5543" s="2">
        <v>388.40519026233102</v>
      </c>
      <c r="AD5543" s="2">
        <v>817.46039023372896</v>
      </c>
      <c r="AE5543" s="2">
        <v>533.10485668134504</v>
      </c>
      <c r="AF5543" s="2">
        <v>405.54331945643401</v>
      </c>
      <c r="AG5543" s="2">
        <v>348.95304972728297</v>
      </c>
      <c r="AH5543" s="2">
        <v>310.63578934251399</v>
      </c>
      <c r="AI5543" s="2">
        <v>324.14448910818402</v>
      </c>
      <c r="AJ5543" s="2">
        <v>408.04963725822802</v>
      </c>
      <c r="AK5543" s="2">
        <v>637.41817130449101</v>
      </c>
      <c r="AL5543" s="2">
        <v>860.76910752845401</v>
      </c>
      <c r="AM5543" s="2">
        <v>618.37644024362601</v>
      </c>
      <c r="AN5543" s="2">
        <v>965.77707543295401</v>
      </c>
      <c r="AO5543" s="2">
        <v>859.94038451685901</v>
      </c>
      <c r="AP5543" s="2">
        <v>962.48116237598902</v>
      </c>
    </row>
    <row r="5544" spans="1:42" ht="14.5" x14ac:dyDescent="0.35">
      <c r="A5544" s="2" t="s">
        <v>36770</v>
      </c>
      <c r="B5544" s="2">
        <v>493.16809433027498</v>
      </c>
      <c r="C5544" s="2">
        <v>5.2829833333333296</v>
      </c>
      <c r="D5544" s="2" t="s">
        <v>34</v>
      </c>
      <c r="E5544" s="2" t="s">
        <v>36771</v>
      </c>
      <c r="F5544" s="2">
        <v>62510</v>
      </c>
      <c r="G5544" s="3" t="str">
        <f>HYPERLINK("http://funmeta.oebiotech.com/network/62510", "http://funmeta.oebiotech.com/network/62510")</f>
        <v>http://funmeta.oebiotech.com/network/62510</v>
      </c>
      <c r="H5544" s="2" t="s">
        <v>36772</v>
      </c>
      <c r="I5544" s="2">
        <v>93805</v>
      </c>
      <c r="J5544" s="2"/>
      <c r="K5544" s="2">
        <v>167973</v>
      </c>
      <c r="L5544" s="2"/>
      <c r="M5544" s="2"/>
      <c r="N5544" s="2"/>
      <c r="O5544" s="2">
        <v>73981662</v>
      </c>
      <c r="P5544" s="2"/>
      <c r="Q5544" s="2" t="s">
        <v>36773</v>
      </c>
      <c r="R5544" s="2" t="s">
        <v>36774</v>
      </c>
      <c r="S5544" s="2" t="s">
        <v>50</v>
      </c>
      <c r="T5544" s="2" t="s">
        <v>229</v>
      </c>
      <c r="U5544" s="2" t="s">
        <v>230</v>
      </c>
      <c r="V5544" s="2" t="s">
        <v>59</v>
      </c>
      <c r="W5544" s="2">
        <v>38.5</v>
      </c>
      <c r="X5544" s="2">
        <v>0</v>
      </c>
      <c r="Y5544" s="2" t="s">
        <v>340</v>
      </c>
      <c r="Z5544" s="2" t="s">
        <v>12914</v>
      </c>
      <c r="AA5544" s="2">
        <v>-0.19875347031032101</v>
      </c>
      <c r="AB5544" s="2">
        <v>7.5994599223162998E-2</v>
      </c>
      <c r="AC5544" s="2">
        <v>5028.3833669769501</v>
      </c>
      <c r="AD5544" s="2">
        <v>5853.0201016814499</v>
      </c>
      <c r="AE5544" s="2">
        <v>4871.5874958929198</v>
      </c>
      <c r="AF5544" s="2">
        <v>4441.1650701813596</v>
      </c>
      <c r="AG5544" s="2">
        <v>6633.3808577391901</v>
      </c>
      <c r="AH5544" s="2">
        <v>3775.3128950638402</v>
      </c>
      <c r="AI5544" s="2">
        <v>5590.6611090216702</v>
      </c>
      <c r="AJ5544" s="2">
        <v>4858.1927739627499</v>
      </c>
      <c r="AK5544" s="2">
        <v>6390.0143066672699</v>
      </c>
      <c r="AL5544" s="2">
        <v>6819.5755858292296</v>
      </c>
      <c r="AM5544" s="2">
        <v>5875.3158447691703</v>
      </c>
      <c r="AN5544" s="2">
        <v>4835.9376277749197</v>
      </c>
      <c r="AO5544" s="2">
        <v>5929.7449221588904</v>
      </c>
      <c r="AP5544" s="2">
        <v>5267.5323228892403</v>
      </c>
    </row>
    <row r="5545" spans="1:42" ht="14.5" x14ac:dyDescent="0.35">
      <c r="A5545" s="2" t="s">
        <v>36775</v>
      </c>
      <c r="B5545" s="2">
        <v>767.326412495059</v>
      </c>
      <c r="C5545" s="2">
        <v>5.2079666666666702</v>
      </c>
      <c r="D5545" s="2" t="s">
        <v>70</v>
      </c>
      <c r="E5545" s="2" t="s">
        <v>36776</v>
      </c>
      <c r="F5545" s="2">
        <v>211216</v>
      </c>
      <c r="G5545" s="3" t="str">
        <f>HYPERLINK("http://funmeta.oebiotech.com/network/211216", "http://funmeta.oebiotech.com/network/211216")</f>
        <v>http://funmeta.oebiotech.com/network/211216</v>
      </c>
      <c r="H5545" s="2" t="s">
        <v>36777</v>
      </c>
      <c r="I5545" s="2"/>
      <c r="J5545" s="2"/>
      <c r="K5545" s="2"/>
      <c r="L5545" s="2"/>
      <c r="M5545" s="2"/>
      <c r="N5545" s="2"/>
      <c r="O5545" s="2">
        <v>14054189</v>
      </c>
      <c r="P5545" s="2"/>
      <c r="Q5545" s="2" t="s">
        <v>36778</v>
      </c>
      <c r="R5545" s="2" t="s">
        <v>36779</v>
      </c>
      <c r="S5545" s="2" t="s">
        <v>89</v>
      </c>
      <c r="T5545" s="2" t="s">
        <v>1600</v>
      </c>
      <c r="U5545" s="2" t="s">
        <v>3890</v>
      </c>
      <c r="V5545" s="2" t="s">
        <v>59</v>
      </c>
      <c r="W5545" s="2">
        <v>38.200000000000003</v>
      </c>
      <c r="X5545" s="2">
        <v>0</v>
      </c>
      <c r="Y5545" s="2" t="s">
        <v>560</v>
      </c>
      <c r="Z5545" s="2" t="s">
        <v>36780</v>
      </c>
      <c r="AA5545" s="2">
        <v>-4.3663482431383702</v>
      </c>
      <c r="AB5545" s="2">
        <v>7.5979168461779295E-2</v>
      </c>
      <c r="AC5545" s="2">
        <v>91705.526790210803</v>
      </c>
      <c r="AD5545" s="2">
        <v>93684.730728308699</v>
      </c>
      <c r="AE5545" s="2">
        <v>95139.424027928995</v>
      </c>
      <c r="AF5545" s="2">
        <v>85891.358762833595</v>
      </c>
      <c r="AG5545" s="2">
        <v>94345.889572063999</v>
      </c>
      <c r="AH5545" s="2">
        <v>101213.736480369</v>
      </c>
      <c r="AI5545" s="2">
        <v>88923.489598393804</v>
      </c>
      <c r="AJ5545" s="2">
        <v>84719.262299675407</v>
      </c>
      <c r="AK5545" s="2">
        <v>86195.403597298806</v>
      </c>
      <c r="AL5545" s="2">
        <v>88970.746409749103</v>
      </c>
      <c r="AM5545" s="2">
        <v>97876.420241784799</v>
      </c>
      <c r="AN5545" s="2">
        <v>98234.738096558198</v>
      </c>
      <c r="AO5545" s="2">
        <v>95696.324359536695</v>
      </c>
      <c r="AP5545" s="2">
        <v>95134.751664924406</v>
      </c>
    </row>
    <row r="5546" spans="1:42" ht="14.5" x14ac:dyDescent="0.35">
      <c r="A5546" s="2" t="s">
        <v>36781</v>
      </c>
      <c r="B5546" s="2">
        <v>437.06478166589102</v>
      </c>
      <c r="C5546" s="2">
        <v>2.2171833333333302</v>
      </c>
      <c r="D5546" s="2" t="s">
        <v>70</v>
      </c>
      <c r="E5546" s="2" t="s">
        <v>36782</v>
      </c>
      <c r="F5546" s="2">
        <v>209872</v>
      </c>
      <c r="G5546" s="3" t="str">
        <f>HYPERLINK("http://funmeta.oebiotech.com/network/209872", "http://funmeta.oebiotech.com/network/209872")</f>
        <v>http://funmeta.oebiotech.com/network/209872</v>
      </c>
      <c r="H5546" s="2" t="s">
        <v>36783</v>
      </c>
      <c r="I5546" s="2"/>
      <c r="J5546" s="2"/>
      <c r="K5546" s="2"/>
      <c r="L5546" s="2"/>
      <c r="M5546" s="2"/>
      <c r="N5546" s="2"/>
      <c r="O5546" s="2">
        <v>20542956</v>
      </c>
      <c r="P5546" s="2"/>
      <c r="Q5546" s="2" t="s">
        <v>36784</v>
      </c>
      <c r="R5546" s="2" t="s">
        <v>36785</v>
      </c>
      <c r="S5546" s="2" t="s">
        <v>41</v>
      </c>
      <c r="T5546" s="2" t="s">
        <v>41</v>
      </c>
      <c r="U5546" s="2" t="s">
        <v>41</v>
      </c>
      <c r="V5546" s="2" t="s">
        <v>59</v>
      </c>
      <c r="W5546" s="2">
        <v>37.6</v>
      </c>
      <c r="X5546" s="2">
        <v>0</v>
      </c>
      <c r="Y5546" s="2" t="s">
        <v>560</v>
      </c>
      <c r="Z5546" s="2" t="s">
        <v>36786</v>
      </c>
      <c r="AA5546" s="2">
        <v>2.8740395254033602</v>
      </c>
      <c r="AB5546" s="2">
        <v>7.5971663332622799E-2</v>
      </c>
      <c r="AC5546" s="2">
        <v>2604.9296545621</v>
      </c>
      <c r="AD5546" s="2">
        <v>2033.1739708079999</v>
      </c>
      <c r="AE5546" s="2">
        <v>2425.7066562919599</v>
      </c>
      <c r="AF5546" s="2">
        <v>2832.01382347867</v>
      </c>
      <c r="AG5546" s="2">
        <v>2548.0286141494398</v>
      </c>
      <c r="AH5546" s="2">
        <v>2745.0803509011198</v>
      </c>
      <c r="AI5546" s="2">
        <v>2134.9469377850301</v>
      </c>
      <c r="AJ5546" s="2">
        <v>2943.8015447663502</v>
      </c>
      <c r="AK5546" s="2">
        <v>1940.5100534681401</v>
      </c>
      <c r="AL5546" s="2">
        <v>2561.6050239522401</v>
      </c>
      <c r="AM5546" s="2">
        <v>1646.92188753351</v>
      </c>
      <c r="AN5546" s="2">
        <v>2486.0896904332299</v>
      </c>
      <c r="AO5546" s="2">
        <v>1999.6389227157699</v>
      </c>
      <c r="AP5546" s="2">
        <v>1564.27824674514</v>
      </c>
    </row>
    <row r="5547" spans="1:42" ht="14.5" x14ac:dyDescent="0.35">
      <c r="A5547" s="2" t="s">
        <v>36787</v>
      </c>
      <c r="B5547" s="2">
        <v>311.20038235632899</v>
      </c>
      <c r="C5547" s="2">
        <v>5.01</v>
      </c>
      <c r="D5547" s="2" t="s">
        <v>34</v>
      </c>
      <c r="E5547" s="2" t="s">
        <v>36788</v>
      </c>
      <c r="F5547" s="2">
        <v>53515</v>
      </c>
      <c r="G5547" s="3" t="str">
        <f>HYPERLINK("http://funmeta.oebiotech.com/network/53515", "http://funmeta.oebiotech.com/network/53515")</f>
        <v>http://funmeta.oebiotech.com/network/53515</v>
      </c>
      <c r="H5547" s="2" t="s">
        <v>36789</v>
      </c>
      <c r="I5547" s="2">
        <v>1156</v>
      </c>
      <c r="J5547" s="2"/>
      <c r="K5547" s="2">
        <v>6784</v>
      </c>
      <c r="L5547" s="2" t="s">
        <v>36790</v>
      </c>
      <c r="M5547" s="2"/>
      <c r="N5547" s="2"/>
      <c r="O5547" s="2">
        <v>6291</v>
      </c>
      <c r="P5547" s="2" t="s">
        <v>36791</v>
      </c>
      <c r="Q5547" s="2" t="s">
        <v>36792</v>
      </c>
      <c r="R5547" s="2" t="s">
        <v>36793</v>
      </c>
      <c r="S5547" s="2" t="s">
        <v>50</v>
      </c>
      <c r="T5547" s="2" t="s">
        <v>124</v>
      </c>
      <c r="U5547" s="2" t="s">
        <v>2093</v>
      </c>
      <c r="V5547" s="2" t="s">
        <v>59</v>
      </c>
      <c r="W5547" s="2">
        <v>39.1</v>
      </c>
      <c r="X5547" s="2">
        <v>0</v>
      </c>
      <c r="Y5547" s="2" t="s">
        <v>394</v>
      </c>
      <c r="Z5547" s="2" t="s">
        <v>36794</v>
      </c>
      <c r="AA5547" s="2">
        <v>-0.56141967645839597</v>
      </c>
      <c r="AB5547" s="2">
        <v>7.5937795043546197E-2</v>
      </c>
      <c r="AC5547" s="2">
        <v>1876.92518814148</v>
      </c>
      <c r="AD5547" s="2">
        <v>2521.6034714657499</v>
      </c>
      <c r="AE5547" s="2">
        <v>1875.6616286129799</v>
      </c>
      <c r="AF5547" s="2">
        <v>1695.14531589082</v>
      </c>
      <c r="AG5547" s="2">
        <v>1636.4002703666199</v>
      </c>
      <c r="AH5547" s="2">
        <v>1590.74775238392</v>
      </c>
      <c r="AI5547" s="2">
        <v>1959.49053446787</v>
      </c>
      <c r="AJ5547" s="2">
        <v>2504.1056271266498</v>
      </c>
      <c r="AK5547" s="2">
        <v>2600.9073590074399</v>
      </c>
      <c r="AL5547" s="2">
        <v>2838.49257593014</v>
      </c>
      <c r="AM5547" s="2">
        <v>1663.37062220292</v>
      </c>
      <c r="AN5547" s="2">
        <v>2386.3674272399398</v>
      </c>
      <c r="AO5547" s="2">
        <v>3434.40553341949</v>
      </c>
      <c r="AP5547" s="2">
        <v>2206.0773109945799</v>
      </c>
    </row>
    <row r="5548" spans="1:42" ht="14.5" x14ac:dyDescent="0.35">
      <c r="A5548" s="2" t="s">
        <v>36795</v>
      </c>
      <c r="B5548" s="2">
        <v>147.065118067524</v>
      </c>
      <c r="C5548" s="2">
        <v>2.08728333333333</v>
      </c>
      <c r="D5548" s="2" t="s">
        <v>70</v>
      </c>
      <c r="E5548" s="2" t="s">
        <v>36796</v>
      </c>
      <c r="F5548" s="2">
        <v>50</v>
      </c>
      <c r="G5548" s="3" t="str">
        <f>HYPERLINK("http://funmeta.oebiotech.com/network/50", "http://funmeta.oebiotech.com/network/50")</f>
        <v>http://funmeta.oebiotech.com/network/50</v>
      </c>
      <c r="H5548" s="2" t="s">
        <v>36797</v>
      </c>
      <c r="I5548" s="2">
        <v>3215</v>
      </c>
      <c r="J5548" s="2" t="s">
        <v>36798</v>
      </c>
      <c r="K5548" s="2">
        <v>30768</v>
      </c>
      <c r="L5548" s="2" t="s">
        <v>36799</v>
      </c>
      <c r="M5548" s="2" t="s">
        <v>36800</v>
      </c>
      <c r="N5548" s="2" t="s">
        <v>36801</v>
      </c>
      <c r="O5548" s="2">
        <v>1032</v>
      </c>
      <c r="P5548" s="2" t="s">
        <v>36802</v>
      </c>
      <c r="Q5548" s="2" t="s">
        <v>36803</v>
      </c>
      <c r="R5548" s="2" t="s">
        <v>36804</v>
      </c>
      <c r="S5548" s="2" t="s">
        <v>89</v>
      </c>
      <c r="T5548" s="2" t="s">
        <v>90</v>
      </c>
      <c r="U5548" s="2" t="s">
        <v>7335</v>
      </c>
      <c r="V5548" s="2" t="s">
        <v>59</v>
      </c>
      <c r="W5548" s="2">
        <v>38.1</v>
      </c>
      <c r="X5548" s="2">
        <v>0</v>
      </c>
      <c r="Y5548" s="2" t="s">
        <v>560</v>
      </c>
      <c r="Z5548" s="2" t="s">
        <v>36805</v>
      </c>
      <c r="AA5548" s="2">
        <v>-7.8634130536173501</v>
      </c>
      <c r="AB5548" s="2">
        <v>7.58090861234339E-2</v>
      </c>
      <c r="AC5548" s="2">
        <v>1862.1295924411399</v>
      </c>
      <c r="AD5548" s="2">
        <v>1441.1199381213501</v>
      </c>
      <c r="AE5548" s="2">
        <v>1724.92230312684</v>
      </c>
      <c r="AF5548" s="2">
        <v>1904.81269122708</v>
      </c>
      <c r="AG5548" s="2">
        <v>1981.6885011777699</v>
      </c>
      <c r="AH5548" s="2">
        <v>1839.0646324341701</v>
      </c>
      <c r="AI5548" s="2">
        <v>1784.11599464869</v>
      </c>
      <c r="AJ5548" s="2">
        <v>1938.1734320323101</v>
      </c>
      <c r="AK5548" s="2">
        <v>1250.9838721784299</v>
      </c>
      <c r="AL5548" s="2">
        <v>1384.76645799432</v>
      </c>
      <c r="AM5548" s="2">
        <v>1392.3091748079801</v>
      </c>
      <c r="AN5548" s="2">
        <v>1575.65223117204</v>
      </c>
      <c r="AO5548" s="2">
        <v>1444.2373579309201</v>
      </c>
      <c r="AP5548" s="2">
        <v>1598.77053464439</v>
      </c>
    </row>
    <row r="5549" spans="1:42" ht="14.5" x14ac:dyDescent="0.35">
      <c r="A5549" s="2" t="s">
        <v>36806</v>
      </c>
      <c r="B5549" s="2">
        <v>537.21134111557501</v>
      </c>
      <c r="C5549" s="2">
        <v>6.3386333333333296</v>
      </c>
      <c r="D5549" s="2" t="s">
        <v>34</v>
      </c>
      <c r="E5549" s="2" t="s">
        <v>36807</v>
      </c>
      <c r="F5549" s="2">
        <v>203422</v>
      </c>
      <c r="G5549" s="3" t="str">
        <f>HYPERLINK("http://funmeta.oebiotech.com/network/203422", "http://funmeta.oebiotech.com/network/203422")</f>
        <v>http://funmeta.oebiotech.com/network/203422</v>
      </c>
      <c r="H5549" s="2" t="s">
        <v>36808</v>
      </c>
      <c r="I5549" s="2"/>
      <c r="J5549" s="2"/>
      <c r="K5549" s="2"/>
      <c r="L5549" s="2"/>
      <c r="M5549" s="2"/>
      <c r="N5549" s="2"/>
      <c r="O5549" s="2"/>
      <c r="P5549" s="2"/>
      <c r="Q5549" s="2" t="s">
        <v>36809</v>
      </c>
      <c r="R5549" s="2" t="s">
        <v>36810</v>
      </c>
      <c r="S5549" s="2" t="s">
        <v>41</v>
      </c>
      <c r="T5549" s="2" t="s">
        <v>41</v>
      </c>
      <c r="U5549" s="2" t="s">
        <v>41</v>
      </c>
      <c r="V5549" s="2" t="s">
        <v>59</v>
      </c>
      <c r="W5549" s="2">
        <v>37.6</v>
      </c>
      <c r="X5549" s="2">
        <v>0</v>
      </c>
      <c r="Y5549" s="2" t="s">
        <v>43</v>
      </c>
      <c r="Z5549" s="2" t="s">
        <v>36811</v>
      </c>
      <c r="AA5549" s="2">
        <v>-4.6580970048839596</v>
      </c>
      <c r="AB5549" s="2">
        <v>7.5723321721972506E-2</v>
      </c>
      <c r="AC5549" s="2">
        <v>5908.9713561022299</v>
      </c>
      <c r="AD5549" s="2">
        <v>4789.86653034342</v>
      </c>
      <c r="AE5549" s="2">
        <v>3718.4779267909698</v>
      </c>
      <c r="AF5549" s="2">
        <v>8766.8220562437109</v>
      </c>
      <c r="AG5549" s="2">
        <v>6386.2326590539897</v>
      </c>
      <c r="AH5549" s="2">
        <v>5220.1247798310696</v>
      </c>
      <c r="AI5549" s="2">
        <v>6455.7140363321796</v>
      </c>
      <c r="AJ5549" s="2">
        <v>4906.45667836149</v>
      </c>
      <c r="AK5549" s="2">
        <v>2129.1193796969801</v>
      </c>
      <c r="AL5549" s="2">
        <v>5925.2285857964098</v>
      </c>
      <c r="AM5549" s="2">
        <v>4972.1792180451203</v>
      </c>
      <c r="AN5549" s="2">
        <v>6958.2856344485699</v>
      </c>
      <c r="AO5549" s="2">
        <v>4850.5243481203897</v>
      </c>
      <c r="AP5549" s="2">
        <v>3903.8620159530801</v>
      </c>
    </row>
    <row r="5550" spans="1:42" ht="14.5" x14ac:dyDescent="0.35">
      <c r="A5550" s="2" t="s">
        <v>36812</v>
      </c>
      <c r="B5550" s="2">
        <v>625.13939660942901</v>
      </c>
      <c r="C5550" s="2">
        <v>3.9694833333333301</v>
      </c>
      <c r="D5550" s="2" t="s">
        <v>70</v>
      </c>
      <c r="E5550" s="2" t="s">
        <v>36813</v>
      </c>
      <c r="F5550" s="2">
        <v>55471</v>
      </c>
      <c r="G5550" s="3" t="str">
        <f>HYPERLINK("http://funmeta.oebiotech.com/network/55471", "http://funmeta.oebiotech.com/network/55471")</f>
        <v>http://funmeta.oebiotech.com/network/55471</v>
      </c>
      <c r="H5550" s="2" t="s">
        <v>36814</v>
      </c>
      <c r="I5550" s="2"/>
      <c r="J5550" s="2"/>
      <c r="K5550" s="2"/>
      <c r="L5550" s="2"/>
      <c r="M5550" s="2"/>
      <c r="N5550" s="2"/>
      <c r="O5550" s="2">
        <v>73802481</v>
      </c>
      <c r="P5550" s="2" t="s">
        <v>36815</v>
      </c>
      <c r="Q5550" s="2" t="s">
        <v>36816</v>
      </c>
      <c r="R5550" s="2" t="s">
        <v>36817</v>
      </c>
      <c r="S5550" s="2" t="s">
        <v>115</v>
      </c>
      <c r="T5550" s="2" t="s">
        <v>139</v>
      </c>
      <c r="U5550" s="2" t="s">
        <v>140</v>
      </c>
      <c r="V5550" s="2" t="s">
        <v>59</v>
      </c>
      <c r="W5550" s="2">
        <v>38.6</v>
      </c>
      <c r="X5550" s="2">
        <v>0</v>
      </c>
      <c r="Y5550" s="2" t="s">
        <v>408</v>
      </c>
      <c r="Z5550" s="2" t="s">
        <v>4100</v>
      </c>
      <c r="AA5550" s="2">
        <v>-2.80353711922894</v>
      </c>
      <c r="AB5550" s="2">
        <v>7.5717023948018006E-2</v>
      </c>
      <c r="AC5550" s="2">
        <v>3630.45741391718</v>
      </c>
      <c r="AD5550" s="2">
        <v>2977.5460680449601</v>
      </c>
      <c r="AE5550" s="2">
        <v>3820.7358051912502</v>
      </c>
      <c r="AF5550" s="2">
        <v>3508.47894153476</v>
      </c>
      <c r="AG5550" s="2">
        <v>3106.4293752325998</v>
      </c>
      <c r="AH5550" s="2">
        <v>3524.2283597464598</v>
      </c>
      <c r="AI5550" s="2">
        <v>3170.3917294439698</v>
      </c>
      <c r="AJ5550" s="2">
        <v>4652.4802723540197</v>
      </c>
      <c r="AK5550" s="2">
        <v>3112.5504163894502</v>
      </c>
      <c r="AL5550" s="2">
        <v>3742.91477059196</v>
      </c>
      <c r="AM5550" s="2">
        <v>2563.2882765874001</v>
      </c>
      <c r="AN5550" s="2">
        <v>3184.0859869831702</v>
      </c>
      <c r="AO5550" s="2">
        <v>2702.7791514632399</v>
      </c>
      <c r="AP5550" s="2">
        <v>2559.65780625456</v>
      </c>
    </row>
    <row r="5551" spans="1:42" ht="14.5" x14ac:dyDescent="0.35">
      <c r="A5551" s="2" t="s">
        <v>36818</v>
      </c>
      <c r="B5551" s="2">
        <v>343.33169976549698</v>
      </c>
      <c r="C5551" s="2">
        <v>10.3221333333333</v>
      </c>
      <c r="D5551" s="2" t="s">
        <v>34</v>
      </c>
      <c r="E5551" s="2" t="s">
        <v>36819</v>
      </c>
      <c r="F5551" s="2">
        <v>9026</v>
      </c>
      <c r="G5551" s="3" t="str">
        <f>HYPERLINK("http://funmeta.oebiotech.com/network/9026", "http://funmeta.oebiotech.com/network/9026")</f>
        <v>http://funmeta.oebiotech.com/network/9026</v>
      </c>
      <c r="H5551" s="2" t="s">
        <v>36820</v>
      </c>
      <c r="I5551" s="2">
        <v>24103</v>
      </c>
      <c r="J5551" s="2" t="s">
        <v>36821</v>
      </c>
      <c r="K5551" s="2">
        <v>71466</v>
      </c>
      <c r="L5551" s="2"/>
      <c r="M5551" s="2"/>
      <c r="N5551" s="2"/>
      <c r="O5551" s="2">
        <v>5283454</v>
      </c>
      <c r="P5551" s="2" t="s">
        <v>36822</v>
      </c>
      <c r="Q5551" s="2" t="s">
        <v>36823</v>
      </c>
      <c r="R5551" s="2" t="s">
        <v>36824</v>
      </c>
      <c r="S5551" s="2" t="s">
        <v>1677</v>
      </c>
      <c r="T5551" s="2" t="s">
        <v>1678</v>
      </c>
      <c r="U5551" s="2" t="s">
        <v>1679</v>
      </c>
      <c r="V5551" s="2" t="s">
        <v>59</v>
      </c>
      <c r="W5551" s="2">
        <v>42.7</v>
      </c>
      <c r="X5551" s="2">
        <v>20.100000000000001</v>
      </c>
      <c r="Y5551" s="2" t="s">
        <v>43</v>
      </c>
      <c r="Z5551" s="2" t="s">
        <v>19505</v>
      </c>
      <c r="AA5551" s="2">
        <v>-0.63098790414849104</v>
      </c>
      <c r="AB5551" s="2">
        <v>7.5704808915286206E-2</v>
      </c>
      <c r="AC5551" s="2">
        <v>8563.9232295762795</v>
      </c>
      <c r="AD5551" s="2">
        <v>9774.8828883105398</v>
      </c>
      <c r="AE5551" s="2">
        <v>8714.7672161127302</v>
      </c>
      <c r="AF5551" s="2">
        <v>6132.7529708202101</v>
      </c>
      <c r="AG5551" s="2">
        <v>8382.8698783684995</v>
      </c>
      <c r="AH5551" s="2">
        <v>9690.6070366433196</v>
      </c>
      <c r="AI5551" s="2">
        <v>11326.634609209301</v>
      </c>
      <c r="AJ5551" s="2">
        <v>7135.9076663035903</v>
      </c>
      <c r="AK5551" s="2">
        <v>8637.66393709765</v>
      </c>
      <c r="AL5551" s="2">
        <v>12573.3987764174</v>
      </c>
      <c r="AM5551" s="2">
        <v>10266.825119308</v>
      </c>
      <c r="AN5551" s="2">
        <v>10188.2098995864</v>
      </c>
      <c r="AO5551" s="2">
        <v>11198.771905768999</v>
      </c>
      <c r="AP5551" s="2">
        <v>5784.4276916848103</v>
      </c>
    </row>
    <row r="5552" spans="1:42" ht="14.5" x14ac:dyDescent="0.35">
      <c r="A5552" s="2" t="s">
        <v>36825</v>
      </c>
      <c r="B5552" s="2">
        <v>417.19013982834099</v>
      </c>
      <c r="C5552" s="2">
        <v>6.4298666666666699</v>
      </c>
      <c r="D5552" s="2" t="s">
        <v>34</v>
      </c>
      <c r="E5552" s="2" t="s">
        <v>36826</v>
      </c>
      <c r="F5552" s="2">
        <v>202550</v>
      </c>
      <c r="G5552" s="3" t="str">
        <f>HYPERLINK("http://funmeta.oebiotech.com/network/202550", "http://funmeta.oebiotech.com/network/202550")</f>
        <v>http://funmeta.oebiotech.com/network/202550</v>
      </c>
      <c r="H5552" s="2" t="s">
        <v>36827</v>
      </c>
      <c r="I5552" s="2"/>
      <c r="J5552" s="2"/>
      <c r="K5552" s="2"/>
      <c r="L5552" s="2"/>
      <c r="M5552" s="2"/>
      <c r="N5552" s="2"/>
      <c r="O5552" s="2">
        <v>9865421</v>
      </c>
      <c r="P5552" s="2"/>
      <c r="Q5552" s="2" t="s">
        <v>36828</v>
      </c>
      <c r="R5552" s="2" t="s">
        <v>36829</v>
      </c>
      <c r="S5552" s="2" t="s">
        <v>491</v>
      </c>
      <c r="T5552" s="2" t="s">
        <v>4517</v>
      </c>
      <c r="U5552" s="2" t="s">
        <v>4518</v>
      </c>
      <c r="V5552" s="2" t="s">
        <v>59</v>
      </c>
      <c r="W5552" s="2">
        <v>37.5</v>
      </c>
      <c r="X5552" s="2">
        <v>0</v>
      </c>
      <c r="Y5552" s="2" t="s">
        <v>323</v>
      </c>
      <c r="Z5552" s="2" t="s">
        <v>36830</v>
      </c>
      <c r="AA5552" s="2">
        <v>1.0868495870917001</v>
      </c>
      <c r="AB5552" s="2">
        <v>7.5689619813102404E-2</v>
      </c>
      <c r="AC5552" s="2">
        <v>8252.4310235105404</v>
      </c>
      <c r="AD5552" s="2">
        <v>9095.3280518482807</v>
      </c>
      <c r="AE5552" s="2">
        <v>8984.6143365938406</v>
      </c>
      <c r="AF5552" s="2">
        <v>9414.7723083821293</v>
      </c>
      <c r="AG5552" s="2">
        <v>8409.0707825569407</v>
      </c>
      <c r="AH5552" s="2">
        <v>7443.7324691072899</v>
      </c>
      <c r="AI5552" s="2">
        <v>7298.2173212626603</v>
      </c>
      <c r="AJ5552" s="2">
        <v>7964.1789231603698</v>
      </c>
      <c r="AK5552" s="2">
        <v>7586.8590968993003</v>
      </c>
      <c r="AL5552" s="2">
        <v>9372.89072073032</v>
      </c>
      <c r="AM5552" s="2">
        <v>10512.0456733872</v>
      </c>
      <c r="AN5552" s="2">
        <v>8616.3205830692095</v>
      </c>
      <c r="AO5552" s="2">
        <v>9277.4773707652803</v>
      </c>
      <c r="AP5552" s="2">
        <v>9206.3748662383405</v>
      </c>
    </row>
    <row r="5553" spans="1:42" ht="14.5" x14ac:dyDescent="0.35">
      <c r="A5553" s="2" t="s">
        <v>36831</v>
      </c>
      <c r="B5553" s="2">
        <v>156.13813366055101</v>
      </c>
      <c r="C5553" s="2">
        <v>12.3610166666667</v>
      </c>
      <c r="D5553" s="2" t="s">
        <v>34</v>
      </c>
      <c r="E5553" s="2" t="s">
        <v>36832</v>
      </c>
      <c r="F5553" s="2">
        <v>63523</v>
      </c>
      <c r="G5553" s="3" t="str">
        <f>HYPERLINK("http://funmeta.oebiotech.com/network/63523", "http://funmeta.oebiotech.com/network/63523")</f>
        <v>http://funmeta.oebiotech.com/network/63523</v>
      </c>
      <c r="H5553" s="2" t="s">
        <v>36833</v>
      </c>
      <c r="I5553" s="2">
        <v>94854</v>
      </c>
      <c r="J5553" s="2"/>
      <c r="K5553" s="2"/>
      <c r="L5553" s="2"/>
      <c r="M5553" s="2"/>
      <c r="N5553" s="2"/>
      <c r="O5553" s="2">
        <v>10108</v>
      </c>
      <c r="P5553" s="2" t="s">
        <v>36834</v>
      </c>
      <c r="Q5553" s="2" t="s">
        <v>36835</v>
      </c>
      <c r="R5553" s="2" t="s">
        <v>36836</v>
      </c>
      <c r="S5553" s="2" t="s">
        <v>79</v>
      </c>
      <c r="T5553" s="2" t="s">
        <v>80</v>
      </c>
      <c r="U5553" s="2" t="s">
        <v>2820</v>
      </c>
      <c r="V5553" s="2" t="s">
        <v>59</v>
      </c>
      <c r="W5553" s="2">
        <v>45.8</v>
      </c>
      <c r="X5553" s="2">
        <v>39.9</v>
      </c>
      <c r="Y5553" s="2" t="s">
        <v>43</v>
      </c>
      <c r="Z5553" s="2" t="s">
        <v>36837</v>
      </c>
      <c r="AA5553" s="2">
        <v>-1.1363715797929701</v>
      </c>
      <c r="AB5553" s="2">
        <v>7.5603759211309199E-2</v>
      </c>
      <c r="AC5553" s="2">
        <v>5443.6266829756796</v>
      </c>
      <c r="AD5553" s="2">
        <v>4537.76759039237</v>
      </c>
      <c r="AE5553" s="2">
        <v>6211.7142920201904</v>
      </c>
      <c r="AF5553" s="2">
        <v>4381.8441636063499</v>
      </c>
      <c r="AG5553" s="2">
        <v>5225.0841461788496</v>
      </c>
      <c r="AH5553" s="2">
        <v>6039.4600542339804</v>
      </c>
      <c r="AI5553" s="2">
        <v>5661.1917807013897</v>
      </c>
      <c r="AJ5553" s="2">
        <v>5142.4656611133096</v>
      </c>
      <c r="AK5553" s="2">
        <v>4111.7782817443704</v>
      </c>
      <c r="AL5553" s="2">
        <v>6954.4144222313098</v>
      </c>
      <c r="AM5553" s="2">
        <v>4640.8780210118503</v>
      </c>
      <c r="AN5553" s="2">
        <v>5052.97845443811</v>
      </c>
      <c r="AO5553" s="2">
        <v>3157.9058933469901</v>
      </c>
      <c r="AP5553" s="2">
        <v>3308.6504695815702</v>
      </c>
    </row>
    <row r="5554" spans="1:42" ht="14.5" x14ac:dyDescent="0.35">
      <c r="A5554" s="2" t="s">
        <v>36838</v>
      </c>
      <c r="B5554" s="2">
        <v>363.19261581110197</v>
      </c>
      <c r="C5554" s="2">
        <v>11.3852666666667</v>
      </c>
      <c r="D5554" s="2" t="s">
        <v>34</v>
      </c>
      <c r="E5554" s="2" t="s">
        <v>36839</v>
      </c>
      <c r="F5554" s="2">
        <v>266273</v>
      </c>
      <c r="G5554" s="3" t="str">
        <f>HYPERLINK("http://funmeta.oebiotech.com/network/266273", "http://funmeta.oebiotech.com/network/266273")</f>
        <v>http://funmeta.oebiotech.com/network/266273</v>
      </c>
      <c r="H5554" s="2"/>
      <c r="I5554" s="2">
        <v>34518</v>
      </c>
      <c r="J5554" s="2"/>
      <c r="K5554" s="2"/>
      <c r="L5554" s="2"/>
      <c r="M5554" s="2"/>
      <c r="N5554" s="2"/>
      <c r="O5554" s="2">
        <v>115175</v>
      </c>
      <c r="P5554" s="2" t="s">
        <v>36840</v>
      </c>
      <c r="Q5554" s="2" t="s">
        <v>36841</v>
      </c>
      <c r="R5554" s="2" t="s">
        <v>36842</v>
      </c>
      <c r="S5554" s="2" t="s">
        <v>491</v>
      </c>
      <c r="T5554" s="2" t="s">
        <v>9656</v>
      </c>
      <c r="U5554" s="2" t="s">
        <v>9657</v>
      </c>
      <c r="V5554" s="2" t="s">
        <v>59</v>
      </c>
      <c r="W5554" s="2">
        <v>39</v>
      </c>
      <c r="X5554" s="2">
        <v>0</v>
      </c>
      <c r="Y5554" s="2" t="s">
        <v>340</v>
      </c>
      <c r="Z5554" s="2" t="s">
        <v>10642</v>
      </c>
      <c r="AA5554" s="2">
        <v>-1.85600736424677</v>
      </c>
      <c r="AB5554" s="2">
        <v>7.5597594347606503E-2</v>
      </c>
      <c r="AC5554" s="2">
        <v>7603.9393535722102</v>
      </c>
      <c r="AD5554" s="2">
        <v>6746.2604497571001</v>
      </c>
      <c r="AE5554" s="2">
        <v>9307.2782548957093</v>
      </c>
      <c r="AF5554" s="2">
        <v>8887.9308044503396</v>
      </c>
      <c r="AG5554" s="2">
        <v>7537.73369754952</v>
      </c>
      <c r="AH5554" s="2">
        <v>6779.9389196143002</v>
      </c>
      <c r="AI5554" s="2">
        <v>7041.5530235993901</v>
      </c>
      <c r="AJ5554" s="2">
        <v>6069.20142132403</v>
      </c>
      <c r="AK5554" s="2">
        <v>6867.91603726829</v>
      </c>
      <c r="AL5554" s="2">
        <v>7365.4547222990795</v>
      </c>
      <c r="AM5554" s="2">
        <v>5597.3516970048504</v>
      </c>
      <c r="AN5554" s="2">
        <v>6473.3225829654002</v>
      </c>
      <c r="AO5554" s="2">
        <v>6969.0162573504804</v>
      </c>
      <c r="AP5554" s="2">
        <v>7204.5014016545201</v>
      </c>
    </row>
    <row r="5555" spans="1:42" ht="14.5" x14ac:dyDescent="0.35">
      <c r="A5555" s="2" t="s">
        <v>36843</v>
      </c>
      <c r="B5555" s="2">
        <v>101.070851905399</v>
      </c>
      <c r="C5555" s="2">
        <v>14.7672833333333</v>
      </c>
      <c r="D5555" s="2" t="s">
        <v>34</v>
      </c>
      <c r="E5555" s="2" t="s">
        <v>36844</v>
      </c>
      <c r="F5555" s="2">
        <v>56136</v>
      </c>
      <c r="G5555" s="3" t="str">
        <f>HYPERLINK("http://funmeta.oebiotech.com/network/56136", "http://funmeta.oebiotech.com/network/56136")</f>
        <v>http://funmeta.oebiotech.com/network/56136</v>
      </c>
      <c r="H5555" s="2" t="s">
        <v>36845</v>
      </c>
      <c r="I5555" s="2">
        <v>73003</v>
      </c>
      <c r="J5555" s="2"/>
      <c r="K5555" s="2"/>
      <c r="L5555" s="2" t="s">
        <v>36846</v>
      </c>
      <c r="M5555" s="2"/>
      <c r="N5555" s="2"/>
      <c r="O5555" s="2">
        <v>13591</v>
      </c>
      <c r="P5555" s="2" t="s">
        <v>36847</v>
      </c>
      <c r="Q5555" s="2" t="s">
        <v>36848</v>
      </c>
      <c r="R5555" s="2" t="s">
        <v>36849</v>
      </c>
      <c r="S5555" s="2" t="s">
        <v>491</v>
      </c>
      <c r="T5555" s="2" t="s">
        <v>7208</v>
      </c>
      <c r="U5555" s="2" t="s">
        <v>41</v>
      </c>
      <c r="V5555" s="2" t="s">
        <v>59</v>
      </c>
      <c r="W5555" s="2">
        <v>39.700000000000003</v>
      </c>
      <c r="X5555" s="2">
        <v>0</v>
      </c>
      <c r="Y5555" s="2" t="s">
        <v>394</v>
      </c>
      <c r="Z5555" s="2" t="s">
        <v>36850</v>
      </c>
      <c r="AA5555" s="2">
        <v>-0.87356707179091497</v>
      </c>
      <c r="AB5555" s="2">
        <v>7.5571644587334799E-2</v>
      </c>
      <c r="AC5555" s="2">
        <v>4326.7698511133904</v>
      </c>
      <c r="AD5555" s="2">
        <v>4756.2786792347397</v>
      </c>
      <c r="AE5555" s="2">
        <v>4356.6600558564096</v>
      </c>
      <c r="AF5555" s="2">
        <v>4591.1054889837997</v>
      </c>
      <c r="AG5555" s="2">
        <v>4404.4962579266203</v>
      </c>
      <c r="AH5555" s="2">
        <v>4261.0148920312504</v>
      </c>
      <c r="AI5555" s="2">
        <v>4168.9679504772603</v>
      </c>
      <c r="AJ5555" s="2">
        <v>4178.3744614049801</v>
      </c>
      <c r="AK5555" s="2">
        <v>4863.43761677168</v>
      </c>
      <c r="AL5555" s="2">
        <v>4639.0909917833596</v>
      </c>
      <c r="AM5555" s="2">
        <v>4676.8134743985402</v>
      </c>
      <c r="AN5555" s="2">
        <v>4799.1786712439398</v>
      </c>
      <c r="AO5555" s="2">
        <v>4807.60778783758</v>
      </c>
      <c r="AP5555" s="2">
        <v>4751.5435333733603</v>
      </c>
    </row>
    <row r="5556" spans="1:42" ht="14.5" x14ac:dyDescent="0.35">
      <c r="A5556" s="2" t="s">
        <v>36851</v>
      </c>
      <c r="B5556" s="2">
        <v>273.09791265678098</v>
      </c>
      <c r="C5556" s="2">
        <v>3.7494000000000001</v>
      </c>
      <c r="D5556" s="2" t="s">
        <v>70</v>
      </c>
      <c r="E5556" s="2" t="s">
        <v>36852</v>
      </c>
      <c r="F5556" s="2">
        <v>289905</v>
      </c>
      <c r="G5556" s="3" t="str">
        <f>HYPERLINK("http://funmeta.oebiotech.com/network/289905", "http://funmeta.oebiotech.com/network/289905")</f>
        <v>http://funmeta.oebiotech.com/network/289905</v>
      </c>
      <c r="H5556" s="2"/>
      <c r="I5556" s="2">
        <v>985207</v>
      </c>
      <c r="J5556" s="2"/>
      <c r="K5556" s="2"/>
      <c r="L5556" s="2"/>
      <c r="M5556" s="2"/>
      <c r="N5556" s="2"/>
      <c r="O5556" s="2">
        <v>190904</v>
      </c>
      <c r="P5556" s="2"/>
      <c r="Q5556" s="2" t="s">
        <v>36853</v>
      </c>
      <c r="R5556" s="2" t="s">
        <v>36854</v>
      </c>
      <c r="S5556" s="2" t="s">
        <v>491</v>
      </c>
      <c r="T5556" s="2" t="s">
        <v>12134</v>
      </c>
      <c r="U5556" s="2" t="s">
        <v>14916</v>
      </c>
      <c r="V5556" s="2" t="s">
        <v>59</v>
      </c>
      <c r="W5556" s="2">
        <v>38.6</v>
      </c>
      <c r="X5556" s="2">
        <v>0</v>
      </c>
      <c r="Y5556" s="2" t="s">
        <v>408</v>
      </c>
      <c r="Z5556" s="2" t="s">
        <v>7503</v>
      </c>
      <c r="AA5556" s="2">
        <v>-0.27980799150385299</v>
      </c>
      <c r="AB5556" s="2">
        <v>7.5516056478086804E-2</v>
      </c>
      <c r="AC5556" s="2">
        <v>3314.54933052468</v>
      </c>
      <c r="AD5556" s="2">
        <v>3803.48559181767</v>
      </c>
      <c r="AE5556" s="2">
        <v>3423.2037888043501</v>
      </c>
      <c r="AF5556" s="2">
        <v>3154.3745616042202</v>
      </c>
      <c r="AG5556" s="2">
        <v>3224.5262568472599</v>
      </c>
      <c r="AH5556" s="2">
        <v>3472.8274204854702</v>
      </c>
      <c r="AI5556" s="2">
        <v>3330.4167538070401</v>
      </c>
      <c r="AJ5556" s="2">
        <v>3281.9472015997098</v>
      </c>
      <c r="AK5556" s="2">
        <v>3777.2158896451801</v>
      </c>
      <c r="AL5556" s="2">
        <v>3993.9569430045399</v>
      </c>
      <c r="AM5556" s="2">
        <v>3571.6622475514</v>
      </c>
      <c r="AN5556" s="2">
        <v>3489.0202957607498</v>
      </c>
      <c r="AO5556" s="2">
        <v>3711.1653997849799</v>
      </c>
      <c r="AP5556" s="2">
        <v>4277.89277515919</v>
      </c>
    </row>
    <row r="5557" spans="1:42" ht="14.5" x14ac:dyDescent="0.35">
      <c r="A5557" s="2" t="s">
        <v>36855</v>
      </c>
      <c r="B5557" s="2">
        <v>295.12848338130402</v>
      </c>
      <c r="C5557" s="2">
        <v>0.73473333333333302</v>
      </c>
      <c r="D5557" s="2" t="s">
        <v>34</v>
      </c>
      <c r="E5557" s="2" t="s">
        <v>36856</v>
      </c>
      <c r="F5557" s="2">
        <v>47700</v>
      </c>
      <c r="G5557" s="3" t="str">
        <f>HYPERLINK("http://funmeta.oebiotech.com/network/47700", "http://funmeta.oebiotech.com/network/47700")</f>
        <v>http://funmeta.oebiotech.com/network/47700</v>
      </c>
      <c r="H5557" s="2" t="s">
        <v>36857</v>
      </c>
      <c r="I5557" s="2">
        <v>6377</v>
      </c>
      <c r="J5557" s="2"/>
      <c r="K5557" s="2">
        <v>2877</v>
      </c>
      <c r="L5557" s="2" t="s">
        <v>36858</v>
      </c>
      <c r="M5557" s="2" t="s">
        <v>36859</v>
      </c>
      <c r="N5557" s="2" t="s">
        <v>36860</v>
      </c>
      <c r="O5557" s="2">
        <v>134601</v>
      </c>
      <c r="P5557" s="2" t="s">
        <v>36861</v>
      </c>
      <c r="Q5557" s="2" t="s">
        <v>36862</v>
      </c>
      <c r="R5557" s="2" t="s">
        <v>36863</v>
      </c>
      <c r="S5557" s="2" t="s">
        <v>89</v>
      </c>
      <c r="T5557" s="2" t="s">
        <v>90</v>
      </c>
      <c r="U5557" s="2" t="s">
        <v>99</v>
      </c>
      <c r="V5557" s="2" t="s">
        <v>59</v>
      </c>
      <c r="W5557" s="2">
        <v>36.9</v>
      </c>
      <c r="X5557" s="2">
        <v>0</v>
      </c>
      <c r="Y5557" s="2" t="s">
        <v>394</v>
      </c>
      <c r="Z5557" s="2" t="s">
        <v>18570</v>
      </c>
      <c r="AA5557" s="2">
        <v>-1.2400836644664599</v>
      </c>
      <c r="AB5557" s="2">
        <v>7.5353854021844704E-2</v>
      </c>
      <c r="AC5557" s="2">
        <v>12005.0295116746</v>
      </c>
      <c r="AD5557" s="2">
        <v>10963.3311439676</v>
      </c>
      <c r="AE5557" s="2">
        <v>13277.664568554301</v>
      </c>
      <c r="AF5557" s="2">
        <v>12276.6620783321</v>
      </c>
      <c r="AG5557" s="2">
        <v>12650.680267650199</v>
      </c>
      <c r="AH5557" s="2">
        <v>9857.3814998726393</v>
      </c>
      <c r="AI5557" s="2">
        <v>9526.4719718337401</v>
      </c>
      <c r="AJ5557" s="2">
        <v>14441.3166838045</v>
      </c>
      <c r="AK5557" s="2">
        <v>10829.3782617324</v>
      </c>
      <c r="AL5557" s="2">
        <v>12124.2876293921</v>
      </c>
      <c r="AM5557" s="2">
        <v>11389.906044683699</v>
      </c>
      <c r="AN5557" s="2">
        <v>11833.206931905501</v>
      </c>
      <c r="AO5557" s="2">
        <v>10158.9913872328</v>
      </c>
      <c r="AP5557" s="2">
        <v>9444.2166088591493</v>
      </c>
    </row>
    <row r="5558" spans="1:42" ht="14.5" x14ac:dyDescent="0.35">
      <c r="A5558" s="2" t="s">
        <v>36864</v>
      </c>
      <c r="B5558" s="2">
        <v>745.37627977403099</v>
      </c>
      <c r="C5558" s="2">
        <v>10.132666666666699</v>
      </c>
      <c r="D5558" s="2" t="s">
        <v>34</v>
      </c>
      <c r="E5558" s="2" t="s">
        <v>36865</v>
      </c>
      <c r="F5558" s="2">
        <v>27770</v>
      </c>
      <c r="G5558" s="3" t="str">
        <f>HYPERLINK("http://funmeta.oebiotech.com/network/27770", "http://funmeta.oebiotech.com/network/27770")</f>
        <v>http://funmeta.oebiotech.com/network/27770</v>
      </c>
      <c r="H5558" s="2"/>
      <c r="I5558" s="2"/>
      <c r="J5558" s="2" t="s">
        <v>36866</v>
      </c>
      <c r="K5558" s="2"/>
      <c r="L5558" s="2"/>
      <c r="M5558" s="2"/>
      <c r="N5558" s="2"/>
      <c r="O5558" s="2">
        <v>126457660</v>
      </c>
      <c r="P5558" s="2"/>
      <c r="Q5558" s="2" t="s">
        <v>36867</v>
      </c>
      <c r="R5558" s="2" t="s">
        <v>36868</v>
      </c>
      <c r="S5558" s="2" t="s">
        <v>50</v>
      </c>
      <c r="T5558" s="2" t="s">
        <v>51</v>
      </c>
      <c r="U5558" s="2" t="s">
        <v>52</v>
      </c>
      <c r="V5558" s="2" t="s">
        <v>59</v>
      </c>
      <c r="W5558" s="2">
        <v>37.9</v>
      </c>
      <c r="X5558" s="2">
        <v>0</v>
      </c>
      <c r="Y5558" s="2" t="s">
        <v>141</v>
      </c>
      <c r="Z5558" s="2" t="s">
        <v>36869</v>
      </c>
      <c r="AA5558" s="2">
        <v>-0.94330731079435404</v>
      </c>
      <c r="AB5558" s="2">
        <v>7.5346531001182396E-2</v>
      </c>
      <c r="AC5558" s="2">
        <v>2990.9152564998899</v>
      </c>
      <c r="AD5558" s="2">
        <v>3713.0414665079102</v>
      </c>
      <c r="AE5558" s="2">
        <v>3398.8980097190902</v>
      </c>
      <c r="AF5558" s="2">
        <v>1971.4161662568699</v>
      </c>
      <c r="AG5558" s="2">
        <v>3573.0556167377099</v>
      </c>
      <c r="AH5558" s="2">
        <v>2306.8646034203698</v>
      </c>
      <c r="AI5558" s="2">
        <v>2960.7940092512899</v>
      </c>
      <c r="AJ5558" s="2">
        <v>3734.4631336139901</v>
      </c>
      <c r="AK5558" s="2">
        <v>3331.8186564579601</v>
      </c>
      <c r="AL5558" s="2">
        <v>4229.79164996907</v>
      </c>
      <c r="AM5558" s="2">
        <v>3807.93152786889</v>
      </c>
      <c r="AN5558" s="2">
        <v>4580.7118192514599</v>
      </c>
      <c r="AO5558" s="2">
        <v>3212.4331337225199</v>
      </c>
      <c r="AP5558" s="2">
        <v>3115.5620117775702</v>
      </c>
    </row>
    <row r="5559" spans="1:42" ht="14.5" x14ac:dyDescent="0.35">
      <c r="A5559" s="2" t="s">
        <v>36870</v>
      </c>
      <c r="B5559" s="2">
        <v>483.07067380490298</v>
      </c>
      <c r="C5559" s="2">
        <v>2.1979333333333302</v>
      </c>
      <c r="D5559" s="2" t="s">
        <v>70</v>
      </c>
      <c r="E5559" s="2" t="s">
        <v>36871</v>
      </c>
      <c r="F5559" s="2">
        <v>64472</v>
      </c>
      <c r="G5559" s="3" t="str">
        <f>HYPERLINK("http://funmeta.oebiotech.com/network/64472", "http://funmeta.oebiotech.com/network/64472")</f>
        <v>http://funmeta.oebiotech.com/network/64472</v>
      </c>
      <c r="H5559" s="2" t="s">
        <v>36872</v>
      </c>
      <c r="I5559" s="2">
        <v>95784</v>
      </c>
      <c r="J5559" s="2"/>
      <c r="K5559" s="2"/>
      <c r="L5559" s="2"/>
      <c r="M5559" s="2"/>
      <c r="N5559" s="2"/>
      <c r="O5559" s="2">
        <v>101689964</v>
      </c>
      <c r="P5559" s="2" t="s">
        <v>36873</v>
      </c>
      <c r="Q5559" s="2" t="s">
        <v>36874</v>
      </c>
      <c r="R5559" s="2" t="s">
        <v>36875</v>
      </c>
      <c r="S5559" s="2" t="s">
        <v>491</v>
      </c>
      <c r="T5559" s="2" t="s">
        <v>2251</v>
      </c>
      <c r="U5559" s="2" t="s">
        <v>2252</v>
      </c>
      <c r="V5559" s="2" t="s">
        <v>59</v>
      </c>
      <c r="W5559" s="2">
        <v>42.5</v>
      </c>
      <c r="X5559" s="2">
        <v>31.2</v>
      </c>
      <c r="Y5559" s="2" t="s">
        <v>751</v>
      </c>
      <c r="Z5559" s="2" t="s">
        <v>36876</v>
      </c>
      <c r="AA5559" s="2">
        <v>-2.9513592510292401</v>
      </c>
      <c r="AB5559" s="2">
        <v>7.5282085622438294E-2</v>
      </c>
      <c r="AC5559" s="2">
        <v>31125.363977045799</v>
      </c>
      <c r="AD5559" s="2">
        <v>30161.801361977701</v>
      </c>
      <c r="AE5559" s="2">
        <v>29922.166518246799</v>
      </c>
      <c r="AF5559" s="2">
        <v>30601.914003228801</v>
      </c>
      <c r="AG5559" s="2">
        <v>33777.107211787697</v>
      </c>
      <c r="AH5559" s="2">
        <v>30414.699970531699</v>
      </c>
      <c r="AI5559" s="2">
        <v>29644.620226988602</v>
      </c>
      <c r="AJ5559" s="2">
        <v>32391.6759314911</v>
      </c>
      <c r="AK5559" s="2">
        <v>29286.318799429198</v>
      </c>
      <c r="AL5559" s="2">
        <v>30484.251653462001</v>
      </c>
      <c r="AM5559" s="2">
        <v>29812.543259259801</v>
      </c>
      <c r="AN5559" s="2">
        <v>30363.048830767199</v>
      </c>
      <c r="AO5559" s="2">
        <v>29370.2436997839</v>
      </c>
      <c r="AP5559" s="2">
        <v>31654.401929164102</v>
      </c>
    </row>
    <row r="5560" spans="1:42" ht="14.5" x14ac:dyDescent="0.35">
      <c r="A5560" s="2" t="s">
        <v>36877</v>
      </c>
      <c r="B5560" s="2">
        <v>489.19748695208102</v>
      </c>
      <c r="C5560" s="2">
        <v>4.6673166666666699</v>
      </c>
      <c r="D5560" s="2" t="s">
        <v>70</v>
      </c>
      <c r="E5560" s="2" t="s">
        <v>36878</v>
      </c>
      <c r="F5560" s="2">
        <v>53771</v>
      </c>
      <c r="G5560" s="3" t="str">
        <f>HYPERLINK("http://funmeta.oebiotech.com/network/53771", "http://funmeta.oebiotech.com/network/53771")</f>
        <v>http://funmeta.oebiotech.com/network/53771</v>
      </c>
      <c r="H5560" s="2" t="s">
        <v>36879</v>
      </c>
      <c r="I5560" s="2"/>
      <c r="J5560" s="2"/>
      <c r="K5560" s="2"/>
      <c r="L5560" s="2"/>
      <c r="M5560" s="2"/>
      <c r="N5560" s="2"/>
      <c r="O5560" s="2">
        <v>61157688</v>
      </c>
      <c r="P5560" s="2" t="s">
        <v>36880</v>
      </c>
      <c r="Q5560" s="2" t="s">
        <v>36881</v>
      </c>
      <c r="R5560" s="2" t="s">
        <v>36882</v>
      </c>
      <c r="S5560" s="2" t="s">
        <v>89</v>
      </c>
      <c r="T5560" s="2" t="s">
        <v>90</v>
      </c>
      <c r="U5560" s="2" t="s">
        <v>99</v>
      </c>
      <c r="V5560" s="2" t="s">
        <v>59</v>
      </c>
      <c r="W5560" s="2">
        <v>38.299999999999997</v>
      </c>
      <c r="X5560" s="2">
        <v>0</v>
      </c>
      <c r="Y5560" s="2" t="s">
        <v>560</v>
      </c>
      <c r="Z5560" s="2" t="s">
        <v>36883</v>
      </c>
      <c r="AA5560" s="2">
        <v>4.9412199351521204</v>
      </c>
      <c r="AB5560" s="2">
        <v>7.5238005494980803E-2</v>
      </c>
      <c r="AC5560" s="2">
        <v>15486.4718558273</v>
      </c>
      <c r="AD5560" s="2">
        <v>16562.0268524688</v>
      </c>
      <c r="AE5560" s="2">
        <v>14900.738083762601</v>
      </c>
      <c r="AF5560" s="2">
        <v>18747.643683638598</v>
      </c>
      <c r="AG5560" s="2">
        <v>13072.267603018599</v>
      </c>
      <c r="AH5560" s="2">
        <v>17001.904909353601</v>
      </c>
      <c r="AI5560" s="2">
        <v>14178.234666697799</v>
      </c>
      <c r="AJ5560" s="2">
        <v>15018.0421884923</v>
      </c>
      <c r="AK5560" s="2">
        <v>16085.908340510099</v>
      </c>
      <c r="AL5560" s="2">
        <v>16194.949786633801</v>
      </c>
      <c r="AM5560" s="2">
        <v>17331.320287633502</v>
      </c>
      <c r="AN5560" s="2">
        <v>15300.3756579616</v>
      </c>
      <c r="AO5560" s="2">
        <v>16908.374937541801</v>
      </c>
      <c r="AP5560" s="2">
        <v>17551.2321045321</v>
      </c>
    </row>
    <row r="5561" spans="1:42" ht="14.5" x14ac:dyDescent="0.35">
      <c r="A5561" s="2" t="s">
        <v>36884</v>
      </c>
      <c r="B5561" s="2">
        <v>751.29585511308903</v>
      </c>
      <c r="C5561" s="2">
        <v>5.4125166666666704</v>
      </c>
      <c r="D5561" s="2" t="s">
        <v>70</v>
      </c>
      <c r="E5561" s="2" t="s">
        <v>36885</v>
      </c>
      <c r="F5561" s="2">
        <v>202299</v>
      </c>
      <c r="G5561" s="3" t="str">
        <f>HYPERLINK("http://funmeta.oebiotech.com/network/202299", "http://funmeta.oebiotech.com/network/202299")</f>
        <v>http://funmeta.oebiotech.com/network/202299</v>
      </c>
      <c r="H5561" s="2" t="s">
        <v>36886</v>
      </c>
      <c r="I5561" s="2"/>
      <c r="J5561" s="2"/>
      <c r="K5561" s="2"/>
      <c r="L5561" s="2"/>
      <c r="M5561" s="2"/>
      <c r="N5561" s="2"/>
      <c r="O5561" s="2">
        <v>73028726</v>
      </c>
      <c r="P5561" s="2"/>
      <c r="Q5561" s="2" t="s">
        <v>36887</v>
      </c>
      <c r="R5561" s="2" t="s">
        <v>36888</v>
      </c>
      <c r="S5561" s="2" t="s">
        <v>491</v>
      </c>
      <c r="T5561" s="2" t="s">
        <v>23891</v>
      </c>
      <c r="U5561" s="2" t="s">
        <v>41</v>
      </c>
      <c r="V5561" s="2" t="s">
        <v>42</v>
      </c>
      <c r="W5561" s="2">
        <v>48.3</v>
      </c>
      <c r="X5561" s="2">
        <v>66.3</v>
      </c>
      <c r="Y5561" s="2" t="s">
        <v>560</v>
      </c>
      <c r="Z5561" s="2" t="s">
        <v>36889</v>
      </c>
      <c r="AA5561" s="2">
        <v>-1.6943515159678599</v>
      </c>
      <c r="AB5561" s="2">
        <v>7.5078345447263495E-2</v>
      </c>
      <c r="AC5561" s="2">
        <v>40017.153621087004</v>
      </c>
      <c r="AD5561" s="2">
        <v>42850.415670377799</v>
      </c>
      <c r="AE5561" s="2">
        <v>28652.1761537975</v>
      </c>
      <c r="AF5561" s="2">
        <v>46286.928737066897</v>
      </c>
      <c r="AG5561" s="2">
        <v>53459.126781426799</v>
      </c>
      <c r="AH5561" s="2">
        <v>22193.2640069927</v>
      </c>
      <c r="AI5561" s="2">
        <v>61912.831829033203</v>
      </c>
      <c r="AJ5561" s="2">
        <v>27598.594218204598</v>
      </c>
      <c r="AK5561" s="2">
        <v>35323.245567347702</v>
      </c>
      <c r="AL5561" s="2">
        <v>49828.587531973302</v>
      </c>
      <c r="AM5561" s="2">
        <v>48362.730324647702</v>
      </c>
      <c r="AN5561" s="2">
        <v>32555.964949140201</v>
      </c>
      <c r="AO5561" s="2">
        <v>45968.419166806103</v>
      </c>
      <c r="AP5561" s="2">
        <v>45063.546482351798</v>
      </c>
    </row>
    <row r="5562" spans="1:42" ht="14.5" x14ac:dyDescent="0.35">
      <c r="A5562" s="2" t="s">
        <v>36890</v>
      </c>
      <c r="B5562" s="2">
        <v>145.06067156023701</v>
      </c>
      <c r="C5562" s="2">
        <v>0.76544999999999996</v>
      </c>
      <c r="D5562" s="2" t="s">
        <v>34</v>
      </c>
      <c r="E5562" s="2" t="s">
        <v>36891</v>
      </c>
      <c r="F5562" s="2">
        <v>58406</v>
      </c>
      <c r="G5562" s="3" t="str">
        <f>HYPERLINK("http://funmeta.oebiotech.com/network/58406", "http://funmeta.oebiotech.com/network/58406")</f>
        <v>http://funmeta.oebiotech.com/network/58406</v>
      </c>
      <c r="H5562" s="2" t="s">
        <v>36892</v>
      </c>
      <c r="I5562" s="2">
        <v>89879</v>
      </c>
      <c r="J5562" s="2"/>
      <c r="K5562" s="2"/>
      <c r="L5562" s="2"/>
      <c r="M5562" s="2"/>
      <c r="N5562" s="2"/>
      <c r="O5562" s="2">
        <v>55287504</v>
      </c>
      <c r="P5562" s="2"/>
      <c r="Q5562" s="2" t="s">
        <v>36893</v>
      </c>
      <c r="R5562" s="2" t="s">
        <v>36894</v>
      </c>
      <c r="S5562" s="2" t="s">
        <v>491</v>
      </c>
      <c r="T5562" s="2" t="s">
        <v>12893</v>
      </c>
      <c r="U5562" s="2" t="s">
        <v>36895</v>
      </c>
      <c r="V5562" s="2" t="s">
        <v>59</v>
      </c>
      <c r="W5562" s="2">
        <v>38.6</v>
      </c>
      <c r="X5562" s="2">
        <v>0</v>
      </c>
      <c r="Y5562" s="2" t="s">
        <v>43</v>
      </c>
      <c r="Z5562" s="2" t="s">
        <v>36896</v>
      </c>
      <c r="AA5562" s="2">
        <v>-0.76356709030007497</v>
      </c>
      <c r="AB5562" s="2">
        <v>7.5059500820046601E-2</v>
      </c>
      <c r="AC5562" s="2">
        <v>2347.3499764011599</v>
      </c>
      <c r="AD5562" s="2">
        <v>1663.2052406241201</v>
      </c>
      <c r="AE5562" s="2">
        <v>2264.8042756975901</v>
      </c>
      <c r="AF5562" s="2">
        <v>1743.42779174458</v>
      </c>
      <c r="AG5562" s="2">
        <v>2455.8550363325899</v>
      </c>
      <c r="AH5562" s="2">
        <v>2848.6482546483398</v>
      </c>
      <c r="AI5562" s="2">
        <v>2038.63727366538</v>
      </c>
      <c r="AJ5562" s="2">
        <v>2732.72722631848</v>
      </c>
      <c r="AK5562" s="2">
        <v>1464.54935576351</v>
      </c>
      <c r="AL5562" s="2">
        <v>1767.8789823270899</v>
      </c>
      <c r="AM5562" s="2">
        <v>1768.30131685691</v>
      </c>
      <c r="AN5562" s="2">
        <v>1260.25748434452</v>
      </c>
      <c r="AO5562" s="2">
        <v>2917.0218715189399</v>
      </c>
      <c r="AP5562" s="2">
        <v>801.22243293373003</v>
      </c>
    </row>
    <row r="5563" spans="1:42" ht="14.5" x14ac:dyDescent="0.35">
      <c r="A5563" s="2" t="s">
        <v>36897</v>
      </c>
      <c r="B5563" s="2">
        <v>351.00830981281001</v>
      </c>
      <c r="C5563" s="2">
        <v>6.8767666666666702</v>
      </c>
      <c r="D5563" s="2" t="s">
        <v>70</v>
      </c>
      <c r="E5563" s="2" t="s">
        <v>36898</v>
      </c>
      <c r="F5563" s="2">
        <v>336612</v>
      </c>
      <c r="G5563" s="3" t="str">
        <f>HYPERLINK("http://funmeta.oebiotech.com/network/336612", "http://funmeta.oebiotech.com/network/336612")</f>
        <v>http://funmeta.oebiotech.com/network/336612</v>
      </c>
      <c r="H5563" s="2"/>
      <c r="I5563" s="2">
        <v>411138</v>
      </c>
      <c r="J5563" s="2"/>
      <c r="K5563" s="2"/>
      <c r="L5563" s="2"/>
      <c r="M5563" s="2"/>
      <c r="N5563" s="2"/>
      <c r="O5563" s="2">
        <v>853154</v>
      </c>
      <c r="P5563" s="2"/>
      <c r="Q5563" s="2" t="s">
        <v>36899</v>
      </c>
      <c r="R5563" s="2" t="s">
        <v>36900</v>
      </c>
      <c r="S5563" s="2" t="s">
        <v>148</v>
      </c>
      <c r="T5563" s="2" t="s">
        <v>149</v>
      </c>
      <c r="U5563" s="2" t="s">
        <v>1593</v>
      </c>
      <c r="V5563" s="2" t="s">
        <v>59</v>
      </c>
      <c r="W5563" s="2">
        <v>38.6</v>
      </c>
      <c r="X5563" s="2">
        <v>0</v>
      </c>
      <c r="Y5563" s="2" t="s">
        <v>560</v>
      </c>
      <c r="Z5563" s="2" t="s">
        <v>36901</v>
      </c>
      <c r="AA5563" s="2">
        <v>-4.0956707642480996</v>
      </c>
      <c r="AB5563" s="2">
        <v>7.5018232782509797E-2</v>
      </c>
      <c r="AC5563" s="2">
        <v>14243.6670713363</v>
      </c>
      <c r="AD5563" s="2">
        <v>15012.2922378928</v>
      </c>
      <c r="AE5563" s="2">
        <v>15975.784374880601</v>
      </c>
      <c r="AF5563" s="2">
        <v>13874.839727815701</v>
      </c>
      <c r="AG5563" s="2">
        <v>13918.7223240725</v>
      </c>
      <c r="AH5563" s="2">
        <v>13700.7279233024</v>
      </c>
      <c r="AI5563" s="2">
        <v>14297.994756075699</v>
      </c>
      <c r="AJ5563" s="2">
        <v>13693.933321871</v>
      </c>
      <c r="AK5563" s="2">
        <v>16138.459705711501</v>
      </c>
      <c r="AL5563" s="2">
        <v>15126.90937257</v>
      </c>
      <c r="AM5563" s="2">
        <v>15160.908434642201</v>
      </c>
      <c r="AN5563" s="2">
        <v>14583.337380668099</v>
      </c>
      <c r="AO5563" s="2">
        <v>14476.794568376699</v>
      </c>
      <c r="AP5563" s="2">
        <v>14587.3439653881</v>
      </c>
    </row>
    <row r="5564" spans="1:42" ht="14.5" x14ac:dyDescent="0.35">
      <c r="A5564" s="2" t="s">
        <v>36902</v>
      </c>
      <c r="B5564" s="2">
        <v>113.05958392298299</v>
      </c>
      <c r="C5564" s="2">
        <v>4.3632666666666697</v>
      </c>
      <c r="D5564" s="2" t="s">
        <v>34</v>
      </c>
      <c r="E5564" s="2" t="s">
        <v>36903</v>
      </c>
      <c r="F5564" s="2">
        <v>47163</v>
      </c>
      <c r="G5564" s="3" t="str">
        <f>HYPERLINK("http://funmeta.oebiotech.com/network/47163", "http://funmeta.oebiotech.com/network/47163")</f>
        <v>http://funmeta.oebiotech.com/network/47163</v>
      </c>
      <c r="H5564" s="2" t="s">
        <v>36904</v>
      </c>
      <c r="I5564" s="2">
        <v>121</v>
      </c>
      <c r="J5564" s="2"/>
      <c r="K5564" s="2">
        <v>48430</v>
      </c>
      <c r="L5564" s="2" t="s">
        <v>36905</v>
      </c>
      <c r="M5564" s="2" t="s">
        <v>36906</v>
      </c>
      <c r="N5564" s="2" t="s">
        <v>36907</v>
      </c>
      <c r="O5564" s="2">
        <v>70</v>
      </c>
      <c r="P5564" s="2" t="s">
        <v>36908</v>
      </c>
      <c r="Q5564" s="2" t="s">
        <v>36909</v>
      </c>
      <c r="R5564" s="2" t="s">
        <v>36910</v>
      </c>
      <c r="S5564" s="2" t="s">
        <v>89</v>
      </c>
      <c r="T5564" s="2" t="s">
        <v>2718</v>
      </c>
      <c r="U5564" s="2" t="s">
        <v>25095</v>
      </c>
      <c r="V5564" s="2" t="s">
        <v>59</v>
      </c>
      <c r="W5564" s="2">
        <v>38.700000000000003</v>
      </c>
      <c r="X5564" s="2">
        <v>0</v>
      </c>
      <c r="Y5564" s="2" t="s">
        <v>141</v>
      </c>
      <c r="Z5564" s="2" t="s">
        <v>35622</v>
      </c>
      <c r="AA5564" s="2">
        <v>-0.93805618879337804</v>
      </c>
      <c r="AB5564" s="2">
        <v>7.4994877574745406E-2</v>
      </c>
      <c r="AC5564" s="2">
        <v>4536.4987051647604</v>
      </c>
      <c r="AD5564" s="2">
        <v>4062.3948452735899</v>
      </c>
      <c r="AE5564" s="2">
        <v>4326.4276859971196</v>
      </c>
      <c r="AF5564" s="2">
        <v>4307.6643114468698</v>
      </c>
      <c r="AG5564" s="2">
        <v>4899.9707948898604</v>
      </c>
      <c r="AH5564" s="2">
        <v>4531.3585308174697</v>
      </c>
      <c r="AI5564" s="2">
        <v>4519.6655180524203</v>
      </c>
      <c r="AJ5564" s="2">
        <v>4633.9053897848098</v>
      </c>
      <c r="AK5564" s="2">
        <v>4341.38203407121</v>
      </c>
      <c r="AL5564" s="2">
        <v>4208.0526263706597</v>
      </c>
      <c r="AM5564" s="2">
        <v>3926.0018352341499</v>
      </c>
      <c r="AN5564" s="2">
        <v>3925.1440809651099</v>
      </c>
      <c r="AO5564" s="2">
        <v>4162.5034503552297</v>
      </c>
      <c r="AP5564" s="2">
        <v>3811.2850446451998</v>
      </c>
    </row>
    <row r="5565" spans="1:42" ht="14.5" x14ac:dyDescent="0.35">
      <c r="A5565" s="2" t="s">
        <v>36911</v>
      </c>
      <c r="B5565" s="2">
        <v>284.33078964784397</v>
      </c>
      <c r="C5565" s="2">
        <v>10.509316666666701</v>
      </c>
      <c r="D5565" s="2" t="s">
        <v>34</v>
      </c>
      <c r="E5565" s="2" t="s">
        <v>36912</v>
      </c>
      <c r="F5565" s="2">
        <v>9134</v>
      </c>
      <c r="G5565" s="3" t="str">
        <f>HYPERLINK("http://funmeta.oebiotech.com/network/9134", "http://funmeta.oebiotech.com/network/9134")</f>
        <v>http://funmeta.oebiotech.com/network/9134</v>
      </c>
      <c r="H5565" s="2"/>
      <c r="I5565" s="2">
        <v>97436</v>
      </c>
      <c r="J5565" s="2" t="s">
        <v>36913</v>
      </c>
      <c r="K5565" s="2"/>
      <c r="L5565" s="2"/>
      <c r="M5565" s="2"/>
      <c r="N5565" s="2"/>
      <c r="O5565" s="2">
        <v>11021850</v>
      </c>
      <c r="P5565" s="2"/>
      <c r="Q5565" s="2" t="s">
        <v>36914</v>
      </c>
      <c r="R5565" s="2" t="s">
        <v>36915</v>
      </c>
      <c r="S5565" s="2" t="s">
        <v>3194</v>
      </c>
      <c r="T5565" s="2" t="s">
        <v>3195</v>
      </c>
      <c r="U5565" s="2" t="s">
        <v>3196</v>
      </c>
      <c r="V5565" s="2" t="s">
        <v>59</v>
      </c>
      <c r="W5565" s="2">
        <v>38.6</v>
      </c>
      <c r="X5565" s="2">
        <v>0</v>
      </c>
      <c r="Y5565" s="2" t="s">
        <v>43</v>
      </c>
      <c r="Z5565" s="2" t="s">
        <v>36916</v>
      </c>
      <c r="AA5565" s="2">
        <v>-1.45364125457241</v>
      </c>
      <c r="AB5565" s="2">
        <v>7.4935723315104202E-2</v>
      </c>
      <c r="AC5565" s="2">
        <v>7939.8566947375002</v>
      </c>
      <c r="AD5565" s="2">
        <v>6675.4246988484401</v>
      </c>
      <c r="AE5565" s="2">
        <v>7600.3280101976097</v>
      </c>
      <c r="AF5565" s="2">
        <v>12977.407634421301</v>
      </c>
      <c r="AG5565" s="2">
        <v>5902.2972655712501</v>
      </c>
      <c r="AH5565" s="2">
        <v>8095.1525515857802</v>
      </c>
      <c r="AI5565" s="2">
        <v>5291.4626728256098</v>
      </c>
      <c r="AJ5565" s="2">
        <v>7772.4920338234397</v>
      </c>
      <c r="AK5565" s="2">
        <v>6361.1180334897899</v>
      </c>
      <c r="AL5565" s="2">
        <v>5004.3185698732696</v>
      </c>
      <c r="AM5565" s="2">
        <v>5532.6023123763098</v>
      </c>
      <c r="AN5565" s="2">
        <v>10088.282758646001</v>
      </c>
      <c r="AO5565" s="2">
        <v>5793.7376093859302</v>
      </c>
      <c r="AP5565" s="2">
        <v>7272.4889093193196</v>
      </c>
    </row>
    <row r="5566" spans="1:42" ht="14.5" x14ac:dyDescent="0.35">
      <c r="A5566" s="2" t="s">
        <v>36917</v>
      </c>
      <c r="B5566" s="2">
        <v>361.14793389832499</v>
      </c>
      <c r="C5566" s="2">
        <v>9.9588999999999999</v>
      </c>
      <c r="D5566" s="2" t="s">
        <v>34</v>
      </c>
      <c r="E5566" s="2" t="s">
        <v>36918</v>
      </c>
      <c r="F5566" s="2">
        <v>209481</v>
      </c>
      <c r="G5566" s="3" t="str">
        <f>HYPERLINK("http://funmeta.oebiotech.com/network/209481", "http://funmeta.oebiotech.com/network/209481")</f>
        <v>http://funmeta.oebiotech.com/network/209481</v>
      </c>
      <c r="H5566" s="2" t="s">
        <v>36919</v>
      </c>
      <c r="I5566" s="2"/>
      <c r="J5566" s="2"/>
      <c r="K5566" s="2"/>
      <c r="L5566" s="2"/>
      <c r="M5566" s="2"/>
      <c r="N5566" s="2"/>
      <c r="O5566" s="2">
        <v>413349</v>
      </c>
      <c r="P5566" s="2"/>
      <c r="Q5566" s="2" t="s">
        <v>36920</v>
      </c>
      <c r="R5566" s="2" t="s">
        <v>36921</v>
      </c>
      <c r="S5566" s="2" t="s">
        <v>79</v>
      </c>
      <c r="T5566" s="2" t="s">
        <v>80</v>
      </c>
      <c r="U5566" s="2" t="s">
        <v>81</v>
      </c>
      <c r="V5566" s="2" t="s">
        <v>59</v>
      </c>
      <c r="W5566" s="2">
        <v>36.700000000000003</v>
      </c>
      <c r="X5566" s="2">
        <v>0</v>
      </c>
      <c r="Y5566" s="2" t="s">
        <v>340</v>
      </c>
      <c r="Z5566" s="2" t="s">
        <v>36922</v>
      </c>
      <c r="AA5566" s="2">
        <v>-1.4238767204604901</v>
      </c>
      <c r="AB5566" s="2">
        <v>7.4922781258154603E-2</v>
      </c>
      <c r="AC5566" s="2">
        <v>816.93726794584097</v>
      </c>
      <c r="AD5566" s="2">
        <v>384.76229781951997</v>
      </c>
      <c r="AE5566" s="2">
        <v>857.03386691913499</v>
      </c>
      <c r="AF5566" s="2">
        <v>712.81792784711604</v>
      </c>
      <c r="AG5566" s="2">
        <v>758.66743248434204</v>
      </c>
      <c r="AH5566" s="2">
        <v>649.61346692414702</v>
      </c>
      <c r="AI5566" s="2">
        <v>944.32622160116398</v>
      </c>
      <c r="AJ5566" s="2">
        <v>979.16469189914301</v>
      </c>
      <c r="AK5566" s="2">
        <v>499.26846189644999</v>
      </c>
      <c r="AL5566" s="2">
        <v>396.468454119635</v>
      </c>
      <c r="AM5566" s="2">
        <v>283.44187533739898</v>
      </c>
      <c r="AN5566" s="2">
        <v>159.862749176264</v>
      </c>
      <c r="AO5566" s="2">
        <v>362.37142438195298</v>
      </c>
      <c r="AP5566" s="2">
        <v>607.16082200542098</v>
      </c>
    </row>
    <row r="5567" spans="1:42" ht="14.5" x14ac:dyDescent="0.35">
      <c r="A5567" s="2" t="s">
        <v>36923</v>
      </c>
      <c r="B5567" s="2">
        <v>461.181549812794</v>
      </c>
      <c r="C5567" s="2">
        <v>4.9343500000000002</v>
      </c>
      <c r="D5567" s="2" t="s">
        <v>70</v>
      </c>
      <c r="E5567" s="2" t="s">
        <v>36924</v>
      </c>
      <c r="F5567" s="2">
        <v>257000</v>
      </c>
      <c r="G5567" s="3" t="str">
        <f>HYPERLINK("http://funmeta.oebiotech.com/network/257000", "http://funmeta.oebiotech.com/network/257000")</f>
        <v>http://funmeta.oebiotech.com/network/257000</v>
      </c>
      <c r="H5567" s="2" t="s">
        <v>36925</v>
      </c>
      <c r="I5567" s="2"/>
      <c r="J5567" s="2"/>
      <c r="K5567" s="2"/>
      <c r="L5567" s="2"/>
      <c r="M5567" s="2"/>
      <c r="N5567" s="2"/>
      <c r="O5567" s="2"/>
      <c r="P5567" s="2"/>
      <c r="Q5567" s="2" t="s">
        <v>36926</v>
      </c>
      <c r="R5567" s="2" t="s">
        <v>36927</v>
      </c>
      <c r="S5567" s="2" t="s">
        <v>89</v>
      </c>
      <c r="T5567" s="2" t="s">
        <v>90</v>
      </c>
      <c r="U5567" s="2" t="s">
        <v>99</v>
      </c>
      <c r="V5567" s="2" t="s">
        <v>42</v>
      </c>
      <c r="W5567" s="2">
        <v>47.7</v>
      </c>
      <c r="X5567" s="2">
        <v>50</v>
      </c>
      <c r="Y5567" s="2" t="s">
        <v>118</v>
      </c>
      <c r="Z5567" s="2" t="s">
        <v>36928</v>
      </c>
      <c r="AA5567" s="2">
        <v>-4.7269468125660099</v>
      </c>
      <c r="AB5567" s="2">
        <v>7.4869550488074393E-2</v>
      </c>
      <c r="AC5567" s="2">
        <v>52059.755788060596</v>
      </c>
      <c r="AD5567" s="2">
        <v>49628.332514185502</v>
      </c>
      <c r="AE5567" s="2">
        <v>53181.759245141802</v>
      </c>
      <c r="AF5567" s="2">
        <v>60786.214391909998</v>
      </c>
      <c r="AG5567" s="2">
        <v>47497.241960149498</v>
      </c>
      <c r="AH5567" s="2">
        <v>51463.7692815267</v>
      </c>
      <c r="AI5567" s="2">
        <v>50070.906322137002</v>
      </c>
      <c r="AJ5567" s="2">
        <v>49358.643527498702</v>
      </c>
      <c r="AK5567" s="2">
        <v>46291.853175143202</v>
      </c>
      <c r="AL5567" s="2">
        <v>55909.906958456799</v>
      </c>
      <c r="AM5567" s="2">
        <v>50139.307769336898</v>
      </c>
      <c r="AN5567" s="2">
        <v>67260.802813487404</v>
      </c>
      <c r="AO5567" s="2">
        <v>33553.9301727891</v>
      </c>
      <c r="AP5567" s="2">
        <v>44614.194195899399</v>
      </c>
    </row>
    <row r="5568" spans="1:42" ht="14.5" x14ac:dyDescent="0.35">
      <c r="A5568" s="2" t="s">
        <v>36929</v>
      </c>
      <c r="B5568" s="2">
        <v>235.02200070374801</v>
      </c>
      <c r="C5568" s="2">
        <v>1.52295</v>
      </c>
      <c r="D5568" s="2" t="s">
        <v>70</v>
      </c>
      <c r="E5568" s="2" t="s">
        <v>36930</v>
      </c>
      <c r="F5568" s="2">
        <v>201662</v>
      </c>
      <c r="G5568" s="3" t="str">
        <f>HYPERLINK("http://funmeta.oebiotech.com/network/201662", "http://funmeta.oebiotech.com/network/201662")</f>
        <v>http://funmeta.oebiotech.com/network/201662</v>
      </c>
      <c r="H5568" s="2" t="s">
        <v>36931</v>
      </c>
      <c r="I5568" s="2">
        <v>337338</v>
      </c>
      <c r="J5568" s="2"/>
      <c r="K5568" s="2">
        <v>60696</v>
      </c>
      <c r="L5568" s="2"/>
      <c r="M5568" s="2"/>
      <c r="N5568" s="2"/>
      <c r="O5568" s="2">
        <v>9966</v>
      </c>
      <c r="P5568" s="2"/>
      <c r="Q5568" s="2" t="s">
        <v>36932</v>
      </c>
      <c r="R5568" s="2" t="s">
        <v>36933</v>
      </c>
      <c r="S5568" s="2" t="s">
        <v>148</v>
      </c>
      <c r="T5568" s="2" t="s">
        <v>149</v>
      </c>
      <c r="U5568" s="2" t="s">
        <v>10041</v>
      </c>
      <c r="V5568" s="2" t="s">
        <v>59</v>
      </c>
      <c r="W5568" s="2">
        <v>47.2</v>
      </c>
      <c r="X5568" s="2">
        <v>39.4</v>
      </c>
      <c r="Y5568" s="2" t="s">
        <v>408</v>
      </c>
      <c r="Z5568" s="2" t="s">
        <v>36934</v>
      </c>
      <c r="AA5568" s="2">
        <v>-1.9272586932109801</v>
      </c>
      <c r="AB5568" s="2">
        <v>7.4748083825992004E-2</v>
      </c>
      <c r="AC5568" s="2">
        <v>615.77014627888195</v>
      </c>
      <c r="AD5568" s="2">
        <v>1013.5604859746099</v>
      </c>
      <c r="AE5568" s="2">
        <v>570.709510292868</v>
      </c>
      <c r="AF5568" s="2">
        <v>660.68335561271704</v>
      </c>
      <c r="AG5568" s="2">
        <v>676.57363037200503</v>
      </c>
      <c r="AH5568" s="2">
        <v>557.161506997895</v>
      </c>
      <c r="AI5568" s="2">
        <v>713.86643932794595</v>
      </c>
      <c r="AJ5568" s="2">
        <v>515.62643506986001</v>
      </c>
      <c r="AK5568" s="2">
        <v>1014.24138505928</v>
      </c>
      <c r="AL5568" s="2">
        <v>1162.36774194702</v>
      </c>
      <c r="AM5568" s="2">
        <v>850.78216145099304</v>
      </c>
      <c r="AN5568" s="2">
        <v>1062.59452889921</v>
      </c>
      <c r="AO5568" s="2">
        <v>967.61178202078395</v>
      </c>
      <c r="AP5568" s="2">
        <v>1023.76531647037</v>
      </c>
    </row>
    <row r="5569" spans="1:42" ht="14.5" x14ac:dyDescent="0.35">
      <c r="A5569" s="2" t="s">
        <v>36935</v>
      </c>
      <c r="B5569" s="2">
        <v>435.20262317180999</v>
      </c>
      <c r="C5569" s="2">
        <v>5.97258333333333</v>
      </c>
      <c r="D5569" s="2" t="s">
        <v>70</v>
      </c>
      <c r="E5569" s="2" t="s">
        <v>36936</v>
      </c>
      <c r="F5569" s="2">
        <v>53077</v>
      </c>
      <c r="G5569" s="3" t="str">
        <f>HYPERLINK("http://funmeta.oebiotech.com/network/53077", "http://funmeta.oebiotech.com/network/53077")</f>
        <v>http://funmeta.oebiotech.com/network/53077</v>
      </c>
      <c r="H5569" s="2" t="s">
        <v>36937</v>
      </c>
      <c r="I5569" s="2">
        <v>2083</v>
      </c>
      <c r="J5569" s="2"/>
      <c r="K5569" s="2">
        <v>8412</v>
      </c>
      <c r="L5569" s="2" t="s">
        <v>36938</v>
      </c>
      <c r="M5569" s="2"/>
      <c r="N5569" s="2"/>
      <c r="O5569" s="2">
        <v>4909</v>
      </c>
      <c r="P5569" s="2" t="s">
        <v>36939</v>
      </c>
      <c r="Q5569" s="2" t="s">
        <v>36940</v>
      </c>
      <c r="R5569" s="2" t="s">
        <v>36941</v>
      </c>
      <c r="S5569" s="2" t="s">
        <v>491</v>
      </c>
      <c r="T5569" s="2" t="s">
        <v>4517</v>
      </c>
      <c r="U5569" s="2" t="s">
        <v>4518</v>
      </c>
      <c r="V5569" s="2" t="s">
        <v>59</v>
      </c>
      <c r="W5569" s="2">
        <v>39</v>
      </c>
      <c r="X5569" s="2">
        <v>0</v>
      </c>
      <c r="Y5569" s="2" t="s">
        <v>560</v>
      </c>
      <c r="Z5569" s="2" t="s">
        <v>36942</v>
      </c>
      <c r="AA5569" s="2">
        <v>-2.64961553685652</v>
      </c>
      <c r="AB5569" s="2">
        <v>7.4693061207038294E-2</v>
      </c>
      <c r="AC5569" s="2">
        <v>2855.2473354446702</v>
      </c>
      <c r="AD5569" s="2">
        <v>2240.3973564253201</v>
      </c>
      <c r="AE5569" s="2">
        <v>3130.0664156759699</v>
      </c>
      <c r="AF5569" s="2">
        <v>3391.1278449643401</v>
      </c>
      <c r="AG5569" s="2">
        <v>2300.5483193076402</v>
      </c>
      <c r="AH5569" s="2">
        <v>3069.8830856719801</v>
      </c>
      <c r="AI5569" s="2">
        <v>2198.75450361004</v>
      </c>
      <c r="AJ5569" s="2">
        <v>3041.1038434380598</v>
      </c>
      <c r="AK5569" s="2">
        <v>1968.2684897738</v>
      </c>
      <c r="AL5569" s="2">
        <v>2255.03170365396</v>
      </c>
      <c r="AM5569" s="2">
        <v>3083.0913535635</v>
      </c>
      <c r="AN5569" s="2">
        <v>2076.42059645073</v>
      </c>
      <c r="AO5569" s="2">
        <v>1861.6570783970701</v>
      </c>
      <c r="AP5569" s="2">
        <v>2197.9149167128598</v>
      </c>
    </row>
    <row r="5570" spans="1:42" ht="14.5" x14ac:dyDescent="0.35">
      <c r="A5570" s="2" t="s">
        <v>36943</v>
      </c>
      <c r="B5570" s="2">
        <v>520.30604270368895</v>
      </c>
      <c r="C5570" s="2">
        <v>9.2539333333333307</v>
      </c>
      <c r="D5570" s="2" t="s">
        <v>34</v>
      </c>
      <c r="E5570" s="2" t="s">
        <v>36944</v>
      </c>
      <c r="F5570" s="2">
        <v>22449</v>
      </c>
      <c r="G5570" s="3" t="str">
        <f>HYPERLINK("http://funmeta.oebiotech.com/network/22449", "http://funmeta.oebiotech.com/network/22449")</f>
        <v>http://funmeta.oebiotech.com/network/22449</v>
      </c>
      <c r="H5570" s="2"/>
      <c r="I5570" s="2">
        <v>78846</v>
      </c>
      <c r="J5570" s="2" t="s">
        <v>36945</v>
      </c>
      <c r="K5570" s="2"/>
      <c r="L5570" s="2"/>
      <c r="M5570" s="2"/>
      <c r="N5570" s="2"/>
      <c r="O5570" s="2">
        <v>52926287</v>
      </c>
      <c r="P5570" s="2"/>
      <c r="Q5570" s="2" t="s">
        <v>36946</v>
      </c>
      <c r="R5570" s="2" t="s">
        <v>36947</v>
      </c>
      <c r="S5570" s="2" t="s">
        <v>50</v>
      </c>
      <c r="T5570" s="2" t="s">
        <v>51</v>
      </c>
      <c r="U5570" s="2" t="s">
        <v>66</v>
      </c>
      <c r="V5570" s="2" t="s">
        <v>59</v>
      </c>
      <c r="W5570" s="2">
        <v>38.200000000000003</v>
      </c>
      <c r="X5570" s="2">
        <v>0</v>
      </c>
      <c r="Y5570" s="2" t="s">
        <v>4572</v>
      </c>
      <c r="Z5570" s="2" t="s">
        <v>36948</v>
      </c>
      <c r="AA5570" s="2">
        <v>4.9547188673215903</v>
      </c>
      <c r="AB5570" s="2">
        <v>7.4686721145360999E-2</v>
      </c>
      <c r="AC5570" s="2">
        <v>22346.4242294496</v>
      </c>
      <c r="AD5570" s="2">
        <v>21407.6282235775</v>
      </c>
      <c r="AE5570" s="2">
        <v>23066.8950266922</v>
      </c>
      <c r="AF5570" s="2">
        <v>22205.1264013746</v>
      </c>
      <c r="AG5570" s="2">
        <v>21417.5441013456</v>
      </c>
      <c r="AH5570" s="2">
        <v>22546.6245325083</v>
      </c>
      <c r="AI5570" s="2">
        <v>20432.429666926299</v>
      </c>
      <c r="AJ5570" s="2">
        <v>24409.925647850501</v>
      </c>
      <c r="AK5570" s="2">
        <v>22420.405523493799</v>
      </c>
      <c r="AL5570" s="2">
        <v>21177.8771966969</v>
      </c>
      <c r="AM5570" s="2">
        <v>22490.199443555801</v>
      </c>
      <c r="AN5570" s="2">
        <v>19364.1219882767</v>
      </c>
      <c r="AO5570" s="2">
        <v>21388.002110480498</v>
      </c>
      <c r="AP5570" s="2">
        <v>21605.163078961399</v>
      </c>
    </row>
    <row r="5571" spans="1:42" ht="14.5" x14ac:dyDescent="0.35">
      <c r="A5571" s="2" t="s">
        <v>36949</v>
      </c>
      <c r="B5571" s="2">
        <v>281.11310169456999</v>
      </c>
      <c r="C5571" s="2">
        <v>1.34713333333333</v>
      </c>
      <c r="D5571" s="2" t="s">
        <v>34</v>
      </c>
      <c r="E5571" s="2" t="s">
        <v>36950</v>
      </c>
      <c r="F5571" s="2">
        <v>201539</v>
      </c>
      <c r="G5571" s="3" t="str">
        <f>HYPERLINK("http://funmeta.oebiotech.com/network/201539", "http://funmeta.oebiotech.com/network/201539")</f>
        <v>http://funmeta.oebiotech.com/network/201539</v>
      </c>
      <c r="H5571" s="2" t="s">
        <v>36951</v>
      </c>
      <c r="I5571" s="2"/>
      <c r="J5571" s="2"/>
      <c r="K5571" s="2"/>
      <c r="L5571" s="2"/>
      <c r="M5571" s="2"/>
      <c r="N5571" s="2"/>
      <c r="O5571" s="2">
        <v>99557</v>
      </c>
      <c r="P5571" s="2"/>
      <c r="Q5571" s="2" t="s">
        <v>36952</v>
      </c>
      <c r="R5571" s="2" t="s">
        <v>36953</v>
      </c>
      <c r="S5571" s="2" t="s">
        <v>148</v>
      </c>
      <c r="T5571" s="2" t="s">
        <v>392</v>
      </c>
      <c r="U5571" s="2" t="s">
        <v>393</v>
      </c>
      <c r="V5571" s="2" t="s">
        <v>59</v>
      </c>
      <c r="W5571" s="2">
        <v>37</v>
      </c>
      <c r="X5571" s="2">
        <v>0</v>
      </c>
      <c r="Y5571" s="2" t="s">
        <v>43</v>
      </c>
      <c r="Z5571" s="2" t="s">
        <v>36954</v>
      </c>
      <c r="AA5571" s="2">
        <v>-0.36625805796418398</v>
      </c>
      <c r="AB5571" s="2">
        <v>7.4631914625619605E-2</v>
      </c>
      <c r="AC5571" s="2">
        <v>3032.96815628486</v>
      </c>
      <c r="AD5571" s="2">
        <v>2463.2642054733401</v>
      </c>
      <c r="AE5571" s="2">
        <v>3838.0057855713499</v>
      </c>
      <c r="AF5571" s="2">
        <v>2628.2917026478899</v>
      </c>
      <c r="AG5571" s="2">
        <v>2919.4302732382898</v>
      </c>
      <c r="AH5571" s="2">
        <v>2889.5654927257101</v>
      </c>
      <c r="AI5571" s="2">
        <v>2479.7492143899999</v>
      </c>
      <c r="AJ5571" s="2">
        <v>3442.76646913589</v>
      </c>
      <c r="AK5571" s="2">
        <v>2445.4944733320199</v>
      </c>
      <c r="AL5571" s="2">
        <v>2210.5573862629799</v>
      </c>
      <c r="AM5571" s="2">
        <v>2674.6054079476698</v>
      </c>
      <c r="AN5571" s="2">
        <v>2457.21342325463</v>
      </c>
      <c r="AO5571" s="2">
        <v>2438.2518751699599</v>
      </c>
      <c r="AP5571" s="2">
        <v>2553.4626668727501</v>
      </c>
    </row>
    <row r="5572" spans="1:42" ht="14.5" x14ac:dyDescent="0.35">
      <c r="A5572" s="2" t="s">
        <v>36955</v>
      </c>
      <c r="B5572" s="2">
        <v>423.20198285423999</v>
      </c>
      <c r="C5572" s="2">
        <v>4.9343500000000002</v>
      </c>
      <c r="D5572" s="2" t="s">
        <v>70</v>
      </c>
      <c r="E5572" s="2" t="s">
        <v>36956</v>
      </c>
      <c r="F5572" s="2">
        <v>534691</v>
      </c>
      <c r="G5572" s="3" t="str">
        <f>HYPERLINK("http://funmeta.oebiotech.com/network/534691", "http://funmeta.oebiotech.com/network/534691")</f>
        <v>http://funmeta.oebiotech.com/network/534691</v>
      </c>
      <c r="H5572" s="2"/>
      <c r="I5572" s="2">
        <v>985140</v>
      </c>
      <c r="J5572" s="2"/>
      <c r="K5572" s="2"/>
      <c r="L5572" s="2"/>
      <c r="M5572" s="2"/>
      <c r="N5572" s="2"/>
      <c r="O5572" s="2">
        <v>45359437</v>
      </c>
      <c r="P5572" s="2"/>
      <c r="Q5572" s="2" t="s">
        <v>36957</v>
      </c>
      <c r="R5572" s="2" t="s">
        <v>36958</v>
      </c>
      <c r="S5572" s="2" t="s">
        <v>491</v>
      </c>
      <c r="T5572" s="2" t="s">
        <v>2321</v>
      </c>
      <c r="U5572" s="2" t="s">
        <v>2322</v>
      </c>
      <c r="V5572" s="2" t="s">
        <v>59</v>
      </c>
      <c r="W5572" s="2">
        <v>39</v>
      </c>
      <c r="X5572" s="2">
        <v>0</v>
      </c>
      <c r="Y5572" s="2" t="s">
        <v>560</v>
      </c>
      <c r="Z5572" s="2" t="s">
        <v>36959</v>
      </c>
      <c r="AA5572" s="2">
        <v>-1.0812964917594801</v>
      </c>
      <c r="AB5572" s="2">
        <v>7.4627315074792699E-2</v>
      </c>
      <c r="AC5572" s="2">
        <v>6948.0565328641396</v>
      </c>
      <c r="AD5572" s="2">
        <v>6196.7603060834799</v>
      </c>
      <c r="AE5572" s="2">
        <v>6050.2327566103004</v>
      </c>
      <c r="AF5572" s="2">
        <v>7644.7218670980801</v>
      </c>
      <c r="AG5572" s="2">
        <v>8019.91005804412</v>
      </c>
      <c r="AH5572" s="2">
        <v>7154.5371481989796</v>
      </c>
      <c r="AI5572" s="2">
        <v>6814.1584179396004</v>
      </c>
      <c r="AJ5572" s="2">
        <v>6004.77894929377</v>
      </c>
      <c r="AK5572" s="2">
        <v>6740.2145674949197</v>
      </c>
      <c r="AL5572" s="2">
        <v>6420.3359636180703</v>
      </c>
      <c r="AM5572" s="2">
        <v>6891.5058395985197</v>
      </c>
      <c r="AN5572" s="2">
        <v>5415.2566388988198</v>
      </c>
      <c r="AO5572" s="2">
        <v>6388.5137386468996</v>
      </c>
      <c r="AP5572" s="2">
        <v>5324.7350882436804</v>
      </c>
    </row>
    <row r="5573" spans="1:42" ht="14.5" x14ac:dyDescent="0.35">
      <c r="A5573" s="2" t="s">
        <v>36960</v>
      </c>
      <c r="B5573" s="2">
        <v>385.12770079009499</v>
      </c>
      <c r="C5573" s="2">
        <v>5.8999499999999996</v>
      </c>
      <c r="D5573" s="2" t="s">
        <v>34</v>
      </c>
      <c r="E5573" s="2" t="s">
        <v>36961</v>
      </c>
      <c r="F5573" s="2">
        <v>208469</v>
      </c>
      <c r="G5573" s="3" t="str">
        <f>HYPERLINK("http://funmeta.oebiotech.com/network/208469", "http://funmeta.oebiotech.com/network/208469")</f>
        <v>http://funmeta.oebiotech.com/network/208469</v>
      </c>
      <c r="H5573" s="2" t="s">
        <v>36962</v>
      </c>
      <c r="I5573" s="2">
        <v>315508</v>
      </c>
      <c r="J5573" s="2"/>
      <c r="K5573" s="2"/>
      <c r="L5573" s="2"/>
      <c r="M5573" s="2"/>
      <c r="N5573" s="2"/>
      <c r="O5573" s="2">
        <v>60651</v>
      </c>
      <c r="P5573" s="2"/>
      <c r="Q5573" s="2" t="s">
        <v>36963</v>
      </c>
      <c r="R5573" s="2" t="s">
        <v>36964</v>
      </c>
      <c r="S5573" s="2" t="s">
        <v>491</v>
      </c>
      <c r="T5573" s="2" t="s">
        <v>1516</v>
      </c>
      <c r="U5573" s="2" t="s">
        <v>2355</v>
      </c>
      <c r="V5573" s="2" t="s">
        <v>59</v>
      </c>
      <c r="W5573" s="2">
        <v>38.6</v>
      </c>
      <c r="X5573" s="2">
        <v>0</v>
      </c>
      <c r="Y5573" s="2" t="s">
        <v>323</v>
      </c>
      <c r="Z5573" s="2" t="s">
        <v>36965</v>
      </c>
      <c r="AA5573" s="2">
        <v>-1.52763614004226</v>
      </c>
      <c r="AB5573" s="2">
        <v>7.4533698974434404E-2</v>
      </c>
      <c r="AC5573" s="2">
        <v>34938.727639816003</v>
      </c>
      <c r="AD5573" s="2">
        <v>33215.756876319698</v>
      </c>
      <c r="AE5573" s="2">
        <v>38336.159443645498</v>
      </c>
      <c r="AF5573" s="2">
        <v>35111.512450168302</v>
      </c>
      <c r="AG5573" s="2">
        <v>33046.271334512203</v>
      </c>
      <c r="AH5573" s="2">
        <v>33979.004612997298</v>
      </c>
      <c r="AI5573" s="2">
        <v>34162.040834915097</v>
      </c>
      <c r="AJ5573" s="2">
        <v>34997.377162657802</v>
      </c>
      <c r="AK5573" s="2">
        <v>43098.704024769802</v>
      </c>
      <c r="AL5573" s="2">
        <v>35942.068831586199</v>
      </c>
      <c r="AM5573" s="2">
        <v>33252.771876826097</v>
      </c>
      <c r="AN5573" s="2">
        <v>32076.629272154001</v>
      </c>
      <c r="AO5573" s="2">
        <v>29778.314232917899</v>
      </c>
      <c r="AP5573" s="2">
        <v>25146.053019664501</v>
      </c>
    </row>
    <row r="5574" spans="1:42" ht="14.5" x14ac:dyDescent="0.35">
      <c r="A5574" s="2" t="s">
        <v>36966</v>
      </c>
      <c r="B5574" s="2">
        <v>734.82746256257406</v>
      </c>
      <c r="C5574" s="2">
        <v>1.7133499999999999</v>
      </c>
      <c r="D5574" s="2" t="s">
        <v>70</v>
      </c>
      <c r="E5574" s="2" t="s">
        <v>36967</v>
      </c>
      <c r="F5574" s="2">
        <v>211572</v>
      </c>
      <c r="G5574" s="3" t="str">
        <f>HYPERLINK("http://funmeta.oebiotech.com/network/211572", "http://funmeta.oebiotech.com/network/211572")</f>
        <v>http://funmeta.oebiotech.com/network/211572</v>
      </c>
      <c r="H5574" s="2" t="s">
        <v>36968</v>
      </c>
      <c r="I5574" s="2"/>
      <c r="J5574" s="2"/>
      <c r="K5574" s="2"/>
      <c r="L5574" s="2"/>
      <c r="M5574" s="2"/>
      <c r="N5574" s="2"/>
      <c r="O5574" s="2"/>
      <c r="P5574" s="2"/>
      <c r="Q5574" s="2" t="s">
        <v>36969</v>
      </c>
      <c r="R5574" s="2" t="s">
        <v>36970</v>
      </c>
      <c r="S5574" s="2" t="s">
        <v>41</v>
      </c>
      <c r="T5574" s="2" t="s">
        <v>41</v>
      </c>
      <c r="U5574" s="2" t="s">
        <v>41</v>
      </c>
      <c r="V5574" s="2" t="s">
        <v>59</v>
      </c>
      <c r="W5574" s="2">
        <v>38.1</v>
      </c>
      <c r="X5574" s="2">
        <v>0</v>
      </c>
      <c r="Y5574" s="2" t="s">
        <v>408</v>
      </c>
      <c r="Z5574" s="2" t="s">
        <v>36971</v>
      </c>
      <c r="AA5574" s="2">
        <v>2.8295022849590401</v>
      </c>
      <c r="AB5574" s="2">
        <v>7.4487325363574095E-2</v>
      </c>
      <c r="AC5574" s="2">
        <v>3788.1092991098099</v>
      </c>
      <c r="AD5574" s="2">
        <v>2952.9966471159601</v>
      </c>
      <c r="AE5574" s="2">
        <v>3123.5336425729702</v>
      </c>
      <c r="AF5574" s="2">
        <v>5202.8532098590504</v>
      </c>
      <c r="AG5574" s="2">
        <v>2777.9201323823399</v>
      </c>
      <c r="AH5574" s="2">
        <v>4388.4106913537898</v>
      </c>
      <c r="AI5574" s="2">
        <v>3170.1624973830399</v>
      </c>
      <c r="AJ5574" s="2">
        <v>4065.7756211076598</v>
      </c>
      <c r="AK5574" s="2">
        <v>2309.4771129337901</v>
      </c>
      <c r="AL5574" s="2">
        <v>3229.7364642084699</v>
      </c>
      <c r="AM5574" s="2">
        <v>2562.2574506806</v>
      </c>
      <c r="AN5574" s="2">
        <v>4702.7134023755998</v>
      </c>
      <c r="AO5574" s="2">
        <v>2910.1058120837001</v>
      </c>
      <c r="AP5574" s="2">
        <v>2003.68964041359</v>
      </c>
    </row>
    <row r="5575" spans="1:42" ht="14.5" x14ac:dyDescent="0.35">
      <c r="A5575" s="2" t="s">
        <v>36972</v>
      </c>
      <c r="B5575" s="2">
        <v>959.47747411569003</v>
      </c>
      <c r="C5575" s="2">
        <v>10.3798166666667</v>
      </c>
      <c r="D5575" s="2" t="s">
        <v>34</v>
      </c>
      <c r="E5575" s="2" t="s">
        <v>36973</v>
      </c>
      <c r="F5575" s="2">
        <v>58598</v>
      </c>
      <c r="G5575" s="3" t="str">
        <f>HYPERLINK("http://funmeta.oebiotech.com/network/58598", "http://funmeta.oebiotech.com/network/58598")</f>
        <v>http://funmeta.oebiotech.com/network/58598</v>
      </c>
      <c r="H5575" s="2" t="s">
        <v>36974</v>
      </c>
      <c r="I5575" s="2"/>
      <c r="J5575" s="2"/>
      <c r="K5575" s="2"/>
      <c r="L5575" s="2"/>
      <c r="M5575" s="2"/>
      <c r="N5575" s="2"/>
      <c r="O5575" s="2">
        <v>131751589</v>
      </c>
      <c r="P5575" s="2" t="s">
        <v>36975</v>
      </c>
      <c r="Q5575" s="2" t="s">
        <v>36976</v>
      </c>
      <c r="R5575" s="2" t="s">
        <v>36977</v>
      </c>
      <c r="S5575" s="2" t="s">
        <v>50</v>
      </c>
      <c r="T5575" s="2" t="s">
        <v>124</v>
      </c>
      <c r="U5575" s="2" t="s">
        <v>523</v>
      </c>
      <c r="V5575" s="2" t="s">
        <v>59</v>
      </c>
      <c r="W5575" s="2">
        <v>39</v>
      </c>
      <c r="X5575" s="2">
        <v>0</v>
      </c>
      <c r="Y5575" s="2" t="s">
        <v>340</v>
      </c>
      <c r="Z5575" s="2" t="s">
        <v>36978</v>
      </c>
      <c r="AA5575" s="2">
        <v>1.0642816046341801</v>
      </c>
      <c r="AB5575" s="2">
        <v>7.4484071553914302E-2</v>
      </c>
      <c r="AC5575" s="2">
        <v>46278.714320682098</v>
      </c>
      <c r="AD5575" s="2">
        <v>47802.375444432997</v>
      </c>
      <c r="AE5575" s="2">
        <v>47324.854332754003</v>
      </c>
      <c r="AF5575" s="2">
        <v>45477.760497316704</v>
      </c>
      <c r="AG5575" s="2">
        <v>51223.855808022301</v>
      </c>
      <c r="AH5575" s="2">
        <v>43856.036512962601</v>
      </c>
      <c r="AI5575" s="2">
        <v>43610.428313850003</v>
      </c>
      <c r="AJ5575" s="2">
        <v>46179.350459186899</v>
      </c>
      <c r="AK5575" s="2">
        <v>42909.814310264199</v>
      </c>
      <c r="AL5575" s="2">
        <v>44716.3035696441</v>
      </c>
      <c r="AM5575" s="2">
        <v>46704.971848713998</v>
      </c>
      <c r="AN5575" s="2">
        <v>51644.552931807499</v>
      </c>
      <c r="AO5575" s="2">
        <v>52795.218886493501</v>
      </c>
      <c r="AP5575" s="2">
        <v>48043.391119674801</v>
      </c>
    </row>
    <row r="5576" spans="1:42" ht="14.5" x14ac:dyDescent="0.35">
      <c r="A5576" s="2" t="s">
        <v>36979</v>
      </c>
      <c r="B5576" s="2">
        <v>725.28331782864802</v>
      </c>
      <c r="C5576" s="2">
        <v>9.1675166666666694</v>
      </c>
      <c r="D5576" s="2" t="s">
        <v>70</v>
      </c>
      <c r="E5576" s="2" t="s">
        <v>36980</v>
      </c>
      <c r="F5576" s="2">
        <v>267569</v>
      </c>
      <c r="G5576" s="3" t="str">
        <f>HYPERLINK("http://funmeta.oebiotech.com/network/267569", "http://funmeta.oebiotech.com/network/267569")</f>
        <v>http://funmeta.oebiotech.com/network/267569</v>
      </c>
      <c r="H5576" s="2"/>
      <c r="I5576" s="2">
        <v>45721</v>
      </c>
      <c r="J5576" s="2"/>
      <c r="K5576" s="2"/>
      <c r="L5576" s="2"/>
      <c r="M5576" s="2"/>
      <c r="N5576" s="2"/>
      <c r="O5576" s="2">
        <v>44457280</v>
      </c>
      <c r="P5576" s="2" t="s">
        <v>36981</v>
      </c>
      <c r="Q5576" s="2" t="s">
        <v>36982</v>
      </c>
      <c r="R5576" s="2" t="s">
        <v>36983</v>
      </c>
      <c r="S5576" s="2" t="s">
        <v>491</v>
      </c>
      <c r="T5576" s="2" t="s">
        <v>1341</v>
      </c>
      <c r="U5576" s="2" t="s">
        <v>6866</v>
      </c>
      <c r="V5576" s="2" t="s">
        <v>59</v>
      </c>
      <c r="W5576" s="2">
        <v>38</v>
      </c>
      <c r="X5576" s="2">
        <v>0</v>
      </c>
      <c r="Y5576" s="2" t="s">
        <v>560</v>
      </c>
      <c r="Z5576" s="2" t="s">
        <v>36984</v>
      </c>
      <c r="AA5576" s="2">
        <v>-4.8493472454351298</v>
      </c>
      <c r="AB5576" s="2">
        <v>7.4411266879764695E-2</v>
      </c>
      <c r="AC5576" s="2">
        <v>6073.1005985678103</v>
      </c>
      <c r="AD5576" s="2">
        <v>6896.1804642587504</v>
      </c>
      <c r="AE5576" s="2">
        <v>5055.4432786235702</v>
      </c>
      <c r="AF5576" s="2">
        <v>6246.2574413736402</v>
      </c>
      <c r="AG5576" s="2">
        <v>6916.0258382094898</v>
      </c>
      <c r="AH5576" s="2">
        <v>6367.44651753783</v>
      </c>
      <c r="AI5576" s="2">
        <v>5522.1583154720101</v>
      </c>
      <c r="AJ5576" s="2">
        <v>6331.2722001903303</v>
      </c>
      <c r="AK5576" s="2">
        <v>5433.1487465849696</v>
      </c>
      <c r="AL5576" s="2">
        <v>7693.5822426211198</v>
      </c>
      <c r="AM5576" s="2">
        <v>6616.1458141843004</v>
      </c>
      <c r="AN5576" s="2">
        <v>7343.7311059498097</v>
      </c>
      <c r="AO5576" s="2">
        <v>5976.1269894542102</v>
      </c>
      <c r="AP5576" s="2">
        <v>8314.3478867580707</v>
      </c>
    </row>
    <row r="5577" spans="1:42" ht="14.5" x14ac:dyDescent="0.35">
      <c r="A5577" s="2" t="s">
        <v>36985</v>
      </c>
      <c r="B5577" s="2">
        <v>240.06552280988601</v>
      </c>
      <c r="C5577" s="2">
        <v>2.2580499999999999</v>
      </c>
      <c r="D5577" s="2" t="s">
        <v>34</v>
      </c>
      <c r="E5577" s="2" t="s">
        <v>36986</v>
      </c>
      <c r="F5577" s="2">
        <v>199941</v>
      </c>
      <c r="G5577" s="3" t="str">
        <f>HYPERLINK("http://funmeta.oebiotech.com/network/199941", "http://funmeta.oebiotech.com/network/199941")</f>
        <v>http://funmeta.oebiotech.com/network/199941</v>
      </c>
      <c r="H5577" s="2" t="s">
        <v>36987</v>
      </c>
      <c r="I5577" s="2">
        <v>64703</v>
      </c>
      <c r="J5577" s="2"/>
      <c r="K5577" s="2"/>
      <c r="L5577" s="2"/>
      <c r="M5577" s="2"/>
      <c r="N5577" s="2"/>
      <c r="O5577" s="2">
        <v>167453</v>
      </c>
      <c r="P5577" s="2" t="s">
        <v>36988</v>
      </c>
      <c r="Q5577" s="2" t="s">
        <v>36989</v>
      </c>
      <c r="R5577" s="2" t="s">
        <v>36990</v>
      </c>
      <c r="S5577" s="2" t="s">
        <v>491</v>
      </c>
      <c r="T5577" s="2" t="s">
        <v>20066</v>
      </c>
      <c r="U5577" s="2" t="s">
        <v>36991</v>
      </c>
      <c r="V5577" s="2" t="s">
        <v>59</v>
      </c>
      <c r="W5577" s="2">
        <v>37</v>
      </c>
      <c r="X5577" s="2">
        <v>0</v>
      </c>
      <c r="Y5577" s="2" t="s">
        <v>141</v>
      </c>
      <c r="Z5577" s="2" t="s">
        <v>36992</v>
      </c>
      <c r="AA5577" s="2">
        <v>1.25416854399412E-2</v>
      </c>
      <c r="AB5577" s="2">
        <v>7.4305673070054395E-2</v>
      </c>
      <c r="AC5577" s="2">
        <v>8766.6350489477609</v>
      </c>
      <c r="AD5577" s="2">
        <v>8166.1888119710802</v>
      </c>
      <c r="AE5577" s="2">
        <v>8387.3187268935908</v>
      </c>
      <c r="AF5577" s="2">
        <v>8709.4491006666995</v>
      </c>
      <c r="AG5577" s="2">
        <v>8930.5436272048792</v>
      </c>
      <c r="AH5577" s="2">
        <v>8711.8740720092501</v>
      </c>
      <c r="AI5577" s="2">
        <v>8661.1478765940792</v>
      </c>
      <c r="AJ5577" s="2">
        <v>9199.4768903180302</v>
      </c>
      <c r="AK5577" s="2">
        <v>9105.37562171842</v>
      </c>
      <c r="AL5577" s="2">
        <v>7953.37479412826</v>
      </c>
      <c r="AM5577" s="2">
        <v>7982.4962122369097</v>
      </c>
      <c r="AN5577" s="2">
        <v>8506.9468671575196</v>
      </c>
      <c r="AO5577" s="2">
        <v>7880.2878349099001</v>
      </c>
      <c r="AP5577" s="2">
        <v>7568.6515416754501</v>
      </c>
    </row>
    <row r="5578" spans="1:42" ht="14.5" x14ac:dyDescent="0.35">
      <c r="A5578" s="2" t="s">
        <v>36993</v>
      </c>
      <c r="B5578" s="2">
        <v>385.29186252060799</v>
      </c>
      <c r="C5578" s="2">
        <v>11.740833333333301</v>
      </c>
      <c r="D5578" s="2" t="s">
        <v>34</v>
      </c>
      <c r="E5578" s="2" t="s">
        <v>36994</v>
      </c>
      <c r="F5578" s="2">
        <v>208153</v>
      </c>
      <c r="G5578" s="3" t="str">
        <f>HYPERLINK("http://funmeta.oebiotech.com/network/208153", "http://funmeta.oebiotech.com/network/208153")</f>
        <v>http://funmeta.oebiotech.com/network/208153</v>
      </c>
      <c r="H5578" s="2" t="s">
        <v>36995</v>
      </c>
      <c r="I5578" s="2"/>
      <c r="J5578" s="2"/>
      <c r="K5578" s="2"/>
      <c r="L5578" s="2"/>
      <c r="M5578" s="2"/>
      <c r="N5578" s="2"/>
      <c r="O5578" s="2">
        <v>4407096</v>
      </c>
      <c r="P5578" s="2"/>
      <c r="Q5578" s="2" t="s">
        <v>36996</v>
      </c>
      <c r="R5578" s="2" t="s">
        <v>36997</v>
      </c>
      <c r="S5578" s="2" t="s">
        <v>89</v>
      </c>
      <c r="T5578" s="2" t="s">
        <v>90</v>
      </c>
      <c r="U5578" s="2" t="s">
        <v>99</v>
      </c>
      <c r="V5578" s="2" t="s">
        <v>59</v>
      </c>
      <c r="W5578" s="2">
        <v>38.5</v>
      </c>
      <c r="X5578" s="2">
        <v>0</v>
      </c>
      <c r="Y5578" s="2" t="s">
        <v>141</v>
      </c>
      <c r="Z5578" s="2" t="s">
        <v>36998</v>
      </c>
      <c r="AA5578" s="2">
        <v>-0.75306615960972401</v>
      </c>
      <c r="AB5578" s="2">
        <v>7.4262896308650406E-2</v>
      </c>
      <c r="AC5578" s="2">
        <v>4127.6784122573299</v>
      </c>
      <c r="AD5578" s="2">
        <v>3382.5838304302602</v>
      </c>
      <c r="AE5578" s="2">
        <v>4134.5550483920897</v>
      </c>
      <c r="AF5578" s="2">
        <v>4279.3363829592599</v>
      </c>
      <c r="AG5578" s="2">
        <v>4757.9689504776397</v>
      </c>
      <c r="AH5578" s="2">
        <v>4466.7424049507099</v>
      </c>
      <c r="AI5578" s="2">
        <v>3534.0017559626299</v>
      </c>
      <c r="AJ5578" s="2">
        <v>3593.4659308016298</v>
      </c>
      <c r="AK5578" s="2">
        <v>2176.9469970264599</v>
      </c>
      <c r="AL5578" s="2">
        <v>2884.1889662195099</v>
      </c>
      <c r="AM5578" s="2">
        <v>2748.2636243788702</v>
      </c>
      <c r="AN5578" s="2">
        <v>4412.0912162181803</v>
      </c>
      <c r="AO5578" s="2">
        <v>3676.72576170107</v>
      </c>
      <c r="AP5578" s="2">
        <v>4397.2864170374496</v>
      </c>
    </row>
    <row r="5579" spans="1:42" ht="14.5" x14ac:dyDescent="0.35">
      <c r="A5579" s="2" t="s">
        <v>36999</v>
      </c>
      <c r="B5579" s="2">
        <v>601.32279725769502</v>
      </c>
      <c r="C5579" s="2">
        <v>6.1235166666666698</v>
      </c>
      <c r="D5579" s="2" t="s">
        <v>70</v>
      </c>
      <c r="E5579" s="2" t="s">
        <v>37000</v>
      </c>
      <c r="F5579" s="2">
        <v>258033</v>
      </c>
      <c r="G5579" s="3" t="str">
        <f>HYPERLINK("http://funmeta.oebiotech.com/network/258033", "http://funmeta.oebiotech.com/network/258033")</f>
        <v>http://funmeta.oebiotech.com/network/258033</v>
      </c>
      <c r="H5579" s="2"/>
      <c r="I5579" s="2">
        <v>2092</v>
      </c>
      <c r="J5579" s="2"/>
      <c r="K5579" s="2"/>
      <c r="L5579" s="2"/>
      <c r="M5579" s="2"/>
      <c r="N5579" s="2"/>
      <c r="O5579" s="2">
        <v>5284543</v>
      </c>
      <c r="P5579" s="2" t="s">
        <v>37001</v>
      </c>
      <c r="Q5579" s="2" t="s">
        <v>37002</v>
      </c>
      <c r="R5579" s="2" t="s">
        <v>37003</v>
      </c>
      <c r="S5579" s="2" t="s">
        <v>39</v>
      </c>
      <c r="T5579" s="2" t="s">
        <v>3915</v>
      </c>
      <c r="U5579" s="2" t="s">
        <v>41</v>
      </c>
      <c r="V5579" s="2" t="s">
        <v>59</v>
      </c>
      <c r="W5579" s="2">
        <v>37.299999999999997</v>
      </c>
      <c r="X5579" s="2">
        <v>0</v>
      </c>
      <c r="Y5579" s="2" t="s">
        <v>560</v>
      </c>
      <c r="Z5579" s="2" t="s">
        <v>37004</v>
      </c>
      <c r="AA5579" s="2">
        <v>-9.1535559279795091</v>
      </c>
      <c r="AB5579" s="2">
        <v>7.4150833647861195E-2</v>
      </c>
      <c r="AC5579" s="2">
        <v>2262.69984653046</v>
      </c>
      <c r="AD5579" s="2">
        <v>1469.08265798242</v>
      </c>
      <c r="AE5579" s="2">
        <v>3184.9821224328798</v>
      </c>
      <c r="AF5579" s="2">
        <v>2336.3661477160199</v>
      </c>
      <c r="AG5579" s="2">
        <v>2696.4045160392502</v>
      </c>
      <c r="AH5579" s="2">
        <v>2698.6659417972901</v>
      </c>
      <c r="AI5579" s="2">
        <v>1509.1407541285901</v>
      </c>
      <c r="AJ5579" s="2">
        <v>1150.6395970687299</v>
      </c>
      <c r="AK5579" s="2">
        <v>2.7106294003980101E-5</v>
      </c>
      <c r="AL5579" s="2">
        <v>2375.3909797647402</v>
      </c>
      <c r="AM5579" s="2">
        <v>2025.5575186349099</v>
      </c>
      <c r="AN5579" s="2">
        <v>1240.82902373868</v>
      </c>
      <c r="AO5579" s="2">
        <v>2339.1709770561502</v>
      </c>
      <c r="AP5579" s="2">
        <v>833.54742159374405</v>
      </c>
    </row>
    <row r="5580" spans="1:42" ht="14.5" x14ac:dyDescent="0.35">
      <c r="A5580" s="2" t="s">
        <v>37005</v>
      </c>
      <c r="B5580" s="2">
        <v>314.949950010762</v>
      </c>
      <c r="C5580" s="2">
        <v>1.1853499999999999</v>
      </c>
      <c r="D5580" s="2" t="s">
        <v>70</v>
      </c>
      <c r="E5580" s="2" t="s">
        <v>37006</v>
      </c>
      <c r="F5580" s="2">
        <v>54730</v>
      </c>
      <c r="G5580" s="3" t="str">
        <f>HYPERLINK("http://funmeta.oebiotech.com/network/54730", "http://funmeta.oebiotech.com/network/54730")</f>
        <v>http://funmeta.oebiotech.com/network/54730</v>
      </c>
      <c r="H5580" s="2" t="s">
        <v>37007</v>
      </c>
      <c r="I5580" s="2"/>
      <c r="J5580" s="2"/>
      <c r="K5580" s="2">
        <v>278533</v>
      </c>
      <c r="L5580" s="2" t="s">
        <v>37008</v>
      </c>
      <c r="M5580" s="2"/>
      <c r="N5580" s="2"/>
      <c r="O5580" s="2">
        <v>9002</v>
      </c>
      <c r="P5580" s="2" t="s">
        <v>37009</v>
      </c>
      <c r="Q5580" s="2" t="s">
        <v>37010</v>
      </c>
      <c r="R5580" s="2" t="s">
        <v>37011</v>
      </c>
      <c r="S5580" s="2" t="s">
        <v>148</v>
      </c>
      <c r="T5580" s="2" t="s">
        <v>149</v>
      </c>
      <c r="U5580" s="2" t="s">
        <v>6788</v>
      </c>
      <c r="V5580" s="2" t="s">
        <v>59</v>
      </c>
      <c r="W5580" s="2">
        <v>36.6</v>
      </c>
      <c r="X5580" s="2">
        <v>0</v>
      </c>
      <c r="Y5580" s="2" t="s">
        <v>408</v>
      </c>
      <c r="Z5580" s="2" t="s">
        <v>37012</v>
      </c>
      <c r="AA5580" s="2">
        <v>4.9564357611642</v>
      </c>
      <c r="AB5580" s="2">
        <v>7.4053267978655593E-2</v>
      </c>
      <c r="AC5580" s="2">
        <v>1856.4981442477699</v>
      </c>
      <c r="AD5580" s="2">
        <v>1281.68312460074</v>
      </c>
      <c r="AE5580" s="2">
        <v>2114.1466919518198</v>
      </c>
      <c r="AF5580" s="2">
        <v>2264.9707639725798</v>
      </c>
      <c r="AG5580" s="2">
        <v>1921.97370416174</v>
      </c>
      <c r="AH5580" s="2">
        <v>2158.3921022711302</v>
      </c>
      <c r="AI5580" s="2">
        <v>1084.1821467263701</v>
      </c>
      <c r="AJ5580" s="2">
        <v>1595.3234564030099</v>
      </c>
      <c r="AK5580" s="2">
        <v>1356.68306005621</v>
      </c>
      <c r="AL5580" s="2">
        <v>1540.52734571001</v>
      </c>
      <c r="AM5580" s="2">
        <v>587.67719156544103</v>
      </c>
      <c r="AN5580" s="2">
        <v>1288.4146823379999</v>
      </c>
      <c r="AO5580" s="2">
        <v>1621.6357143177299</v>
      </c>
      <c r="AP5580" s="2">
        <v>1295.16075361702</v>
      </c>
    </row>
    <row r="5581" spans="1:42" ht="14.5" x14ac:dyDescent="0.35">
      <c r="A5581" s="2" t="s">
        <v>37013</v>
      </c>
      <c r="B5581" s="2">
        <v>707.25090071564102</v>
      </c>
      <c r="C5581" s="2">
        <v>4.2777833333333302</v>
      </c>
      <c r="D5581" s="2" t="s">
        <v>34</v>
      </c>
      <c r="E5581" s="2" t="s">
        <v>37014</v>
      </c>
      <c r="F5581" s="2">
        <v>205312</v>
      </c>
      <c r="G5581" s="3" t="str">
        <f>HYPERLINK("http://funmeta.oebiotech.com/network/205312", "http://funmeta.oebiotech.com/network/205312")</f>
        <v>http://funmeta.oebiotech.com/network/205312</v>
      </c>
      <c r="H5581" s="2" t="s">
        <v>37015</v>
      </c>
      <c r="I5581" s="2"/>
      <c r="J5581" s="2"/>
      <c r="K5581" s="2"/>
      <c r="L5581" s="2"/>
      <c r="M5581" s="2"/>
      <c r="N5581" s="2"/>
      <c r="O5581" s="2">
        <v>73170069</v>
      </c>
      <c r="P5581" s="2"/>
      <c r="Q5581" s="2" t="s">
        <v>37016</v>
      </c>
      <c r="R5581" s="2" t="s">
        <v>37017</v>
      </c>
      <c r="S5581" s="2" t="s">
        <v>89</v>
      </c>
      <c r="T5581" s="2" t="s">
        <v>1600</v>
      </c>
      <c r="U5581" s="2" t="s">
        <v>3890</v>
      </c>
      <c r="V5581" s="2" t="s">
        <v>59</v>
      </c>
      <c r="W5581" s="2">
        <v>37.299999999999997</v>
      </c>
      <c r="X5581" s="2">
        <v>12.8</v>
      </c>
      <c r="Y5581" s="2" t="s">
        <v>340</v>
      </c>
      <c r="Z5581" s="2" t="s">
        <v>37018</v>
      </c>
      <c r="AA5581" s="2">
        <v>1.9430686093071301</v>
      </c>
      <c r="AB5581" s="2">
        <v>7.4015896002190606E-2</v>
      </c>
      <c r="AC5581" s="2">
        <v>350630.07202676701</v>
      </c>
      <c r="AD5581" s="2">
        <v>354349.64492496097</v>
      </c>
      <c r="AE5581" s="2">
        <v>315558.15985871601</v>
      </c>
      <c r="AF5581" s="2">
        <v>326810.17110571102</v>
      </c>
      <c r="AG5581" s="2">
        <v>385124.84745812998</v>
      </c>
      <c r="AH5581" s="2">
        <v>349376.48464036803</v>
      </c>
      <c r="AI5581" s="2">
        <v>348854.63236798102</v>
      </c>
      <c r="AJ5581" s="2">
        <v>378056.13672969502</v>
      </c>
      <c r="AK5581" s="2">
        <v>346024.997334908</v>
      </c>
      <c r="AL5581" s="2">
        <v>341417.062539634</v>
      </c>
      <c r="AM5581" s="2">
        <v>352106.18376142601</v>
      </c>
      <c r="AN5581" s="2">
        <v>361372.14725137199</v>
      </c>
      <c r="AO5581" s="2">
        <v>347947.55432274099</v>
      </c>
      <c r="AP5581" s="2">
        <v>377229.92433968303</v>
      </c>
    </row>
    <row r="5582" spans="1:42" ht="14.5" x14ac:dyDescent="0.35">
      <c r="A5582" s="2" t="s">
        <v>37019</v>
      </c>
      <c r="B5582" s="2">
        <v>481.28019056092501</v>
      </c>
      <c r="C5582" s="2">
        <v>6.0676500000000004</v>
      </c>
      <c r="D5582" s="2" t="s">
        <v>70</v>
      </c>
      <c r="E5582" s="2" t="s">
        <v>37020</v>
      </c>
      <c r="F5582" s="2">
        <v>82882</v>
      </c>
      <c r="G5582" s="3" t="str">
        <f>HYPERLINK("http://funmeta.oebiotech.com/network/82882", "http://funmeta.oebiotech.com/network/82882")</f>
        <v>http://funmeta.oebiotech.com/network/82882</v>
      </c>
      <c r="H5582" s="2" t="s">
        <v>37021</v>
      </c>
      <c r="I5582" s="2">
        <v>2447</v>
      </c>
      <c r="J5582" s="2"/>
      <c r="K5582" s="2"/>
      <c r="L5582" s="2"/>
      <c r="M5582" s="2"/>
      <c r="N5582" s="2"/>
      <c r="O5582" s="2">
        <v>64718</v>
      </c>
      <c r="P5582" s="2" t="s">
        <v>37022</v>
      </c>
      <c r="Q5582" s="2" t="s">
        <v>37023</v>
      </c>
      <c r="R5582" s="2" t="s">
        <v>37024</v>
      </c>
      <c r="S5582" s="2" t="s">
        <v>89</v>
      </c>
      <c r="T5582" s="2" t="s">
        <v>4218</v>
      </c>
      <c r="U5582" s="2" t="s">
        <v>5830</v>
      </c>
      <c r="V5582" s="2" t="s">
        <v>59</v>
      </c>
      <c r="W5582" s="2">
        <v>38.299999999999997</v>
      </c>
      <c r="X5582" s="2">
        <v>0</v>
      </c>
      <c r="Y5582" s="2" t="s">
        <v>408</v>
      </c>
      <c r="Z5582" s="2" t="s">
        <v>37025</v>
      </c>
      <c r="AA5582" s="2">
        <v>-1.1490473428583201</v>
      </c>
      <c r="AB5582" s="2">
        <v>7.3891039633555394E-2</v>
      </c>
      <c r="AC5582" s="2">
        <v>2602.0129695946098</v>
      </c>
      <c r="AD5582" s="2">
        <v>1935.8176622286201</v>
      </c>
      <c r="AE5582" s="2">
        <v>3451.9591111613099</v>
      </c>
      <c r="AF5582" s="2">
        <v>1898.6868844553501</v>
      </c>
      <c r="AG5582" s="2">
        <v>3172.84505528707</v>
      </c>
      <c r="AH5582" s="2">
        <v>2586.0096330727802</v>
      </c>
      <c r="AI5582" s="2">
        <v>2379.4421190583498</v>
      </c>
      <c r="AJ5582" s="2">
        <v>2123.1350145328001</v>
      </c>
      <c r="AK5582" s="2">
        <v>2206.5543566742099</v>
      </c>
      <c r="AL5582" s="2">
        <v>2387.9221655024699</v>
      </c>
      <c r="AM5582" s="2">
        <v>871.486008996024</v>
      </c>
      <c r="AN5582" s="2">
        <v>2254.0087686184902</v>
      </c>
      <c r="AO5582" s="2">
        <v>1781.4263271467601</v>
      </c>
      <c r="AP5582" s="2">
        <v>2113.5083464337399</v>
      </c>
    </row>
    <row r="5583" spans="1:42" ht="14.5" x14ac:dyDescent="0.35">
      <c r="A5583" s="2" t="s">
        <v>37026</v>
      </c>
      <c r="B5583" s="2">
        <v>1091.2932433543001</v>
      </c>
      <c r="C5583" s="2">
        <v>3.6547999999999998</v>
      </c>
      <c r="D5583" s="2" t="s">
        <v>70</v>
      </c>
      <c r="E5583" s="2" t="s">
        <v>37027</v>
      </c>
      <c r="F5583" s="2">
        <v>513702</v>
      </c>
      <c r="G5583" s="3" t="str">
        <f>HYPERLINK("http://funmeta.oebiotech.com/network/513702", "http://funmeta.oebiotech.com/network/513702")</f>
        <v>http://funmeta.oebiotech.com/network/513702</v>
      </c>
      <c r="H5583" s="2"/>
      <c r="I5583" s="2">
        <v>96318</v>
      </c>
      <c r="J5583" s="2"/>
      <c r="K5583" s="2"/>
      <c r="L5583" s="2"/>
      <c r="M5583" s="2"/>
      <c r="N5583" s="2"/>
      <c r="O5583" s="2">
        <v>53277</v>
      </c>
      <c r="P5583" s="2"/>
      <c r="Q5583" s="2" t="s">
        <v>37028</v>
      </c>
      <c r="R5583" s="2" t="s">
        <v>37029</v>
      </c>
      <c r="S5583" s="2" t="s">
        <v>491</v>
      </c>
      <c r="T5583" s="2" t="s">
        <v>1341</v>
      </c>
      <c r="U5583" s="2" t="s">
        <v>6866</v>
      </c>
      <c r="V5583" s="2" t="s">
        <v>59</v>
      </c>
      <c r="W5583" s="2">
        <v>38.4</v>
      </c>
      <c r="X5583" s="2">
        <v>0</v>
      </c>
      <c r="Y5583" s="2" t="s">
        <v>560</v>
      </c>
      <c r="Z5583" s="2" t="s">
        <v>29458</v>
      </c>
      <c r="AA5583" s="2">
        <v>-4.2792733769832898</v>
      </c>
      <c r="AB5583" s="2">
        <v>7.3842280226582097E-2</v>
      </c>
      <c r="AC5583" s="2">
        <v>3562.0027721789902</v>
      </c>
      <c r="AD5583" s="2">
        <v>4603.6893712585797</v>
      </c>
      <c r="AE5583" s="2">
        <v>2763.9490487406902</v>
      </c>
      <c r="AF5583" s="2">
        <v>2518.1659719027398</v>
      </c>
      <c r="AG5583" s="2">
        <v>3859.38465444234</v>
      </c>
      <c r="AH5583" s="2">
        <v>2761.7651688566698</v>
      </c>
      <c r="AI5583" s="2">
        <v>5053.7075690768097</v>
      </c>
      <c r="AJ5583" s="2">
        <v>4415.0442200546904</v>
      </c>
      <c r="AK5583" s="2">
        <v>1934.95576393391</v>
      </c>
      <c r="AL5583" s="2">
        <v>4813.4654125111902</v>
      </c>
      <c r="AM5583" s="2">
        <v>2466.9896754684901</v>
      </c>
      <c r="AN5583" s="2">
        <v>5250.8012524331398</v>
      </c>
      <c r="AO5583" s="2">
        <v>6981.0234104281499</v>
      </c>
      <c r="AP5583" s="2">
        <v>6174.9007127765899</v>
      </c>
    </row>
    <row r="5584" spans="1:42" ht="14.5" x14ac:dyDescent="0.35">
      <c r="A5584" s="2" t="s">
        <v>37030</v>
      </c>
      <c r="B5584" s="2">
        <v>361.06964691369802</v>
      </c>
      <c r="C5584" s="2">
        <v>2.4821</v>
      </c>
      <c r="D5584" s="2" t="s">
        <v>70</v>
      </c>
      <c r="E5584" s="2" t="s">
        <v>37031</v>
      </c>
      <c r="F5584" s="2">
        <v>83756</v>
      </c>
      <c r="G5584" s="3" t="str">
        <f>HYPERLINK("http://funmeta.oebiotech.com/network/83756", "http://funmeta.oebiotech.com/network/83756")</f>
        <v>http://funmeta.oebiotech.com/network/83756</v>
      </c>
      <c r="H5584" s="2" t="s">
        <v>37032</v>
      </c>
      <c r="I5584" s="2">
        <v>461445</v>
      </c>
      <c r="J5584" s="2"/>
      <c r="K5584" s="2">
        <v>84296</v>
      </c>
      <c r="L5584" s="2"/>
      <c r="M5584" s="2"/>
      <c r="N5584" s="2"/>
      <c r="O5584" s="2">
        <v>160007</v>
      </c>
      <c r="P5584" s="2" t="s">
        <v>37033</v>
      </c>
      <c r="Q5584" s="2" t="s">
        <v>37034</v>
      </c>
      <c r="R5584" s="2" t="s">
        <v>37035</v>
      </c>
      <c r="S5584" s="2" t="s">
        <v>89</v>
      </c>
      <c r="T5584" s="2" t="s">
        <v>90</v>
      </c>
      <c r="U5584" s="2" t="s">
        <v>99</v>
      </c>
      <c r="V5584" s="2" t="s">
        <v>59</v>
      </c>
      <c r="W5584" s="2">
        <v>36.799999999999997</v>
      </c>
      <c r="X5584" s="2">
        <v>0</v>
      </c>
      <c r="Y5584" s="2" t="s">
        <v>408</v>
      </c>
      <c r="Z5584" s="2" t="s">
        <v>37036</v>
      </c>
      <c r="AA5584" s="2">
        <v>-4.6293002282223403</v>
      </c>
      <c r="AB5584" s="2">
        <v>7.3753168483058407E-2</v>
      </c>
      <c r="AC5584" s="2">
        <v>2475.0607074580698</v>
      </c>
      <c r="AD5584" s="2">
        <v>2952.1543742018198</v>
      </c>
      <c r="AE5584" s="2">
        <v>2435.5956759882502</v>
      </c>
      <c r="AF5584" s="2">
        <v>2582.1153547028798</v>
      </c>
      <c r="AG5584" s="2">
        <v>2269.4934425823799</v>
      </c>
      <c r="AH5584" s="2">
        <v>2296.2192768579198</v>
      </c>
      <c r="AI5584" s="2">
        <v>2582.3412270628301</v>
      </c>
      <c r="AJ5584" s="2">
        <v>2684.5992675541702</v>
      </c>
      <c r="AK5584" s="2">
        <v>3209.5384260088899</v>
      </c>
      <c r="AL5584" s="2">
        <v>2652.5244360398601</v>
      </c>
      <c r="AM5584" s="2">
        <v>3212.7270376388101</v>
      </c>
      <c r="AN5584" s="2">
        <v>2975.14207798285</v>
      </c>
      <c r="AO5584" s="2">
        <v>2553.48602139072</v>
      </c>
      <c r="AP5584" s="2">
        <v>3109.50824614979</v>
      </c>
    </row>
    <row r="5585" spans="1:42" ht="14.5" x14ac:dyDescent="0.35">
      <c r="A5585" s="2" t="s">
        <v>37037</v>
      </c>
      <c r="B5585" s="2">
        <v>181.08608911237701</v>
      </c>
      <c r="C5585" s="2">
        <v>1.64625</v>
      </c>
      <c r="D5585" s="2" t="s">
        <v>34</v>
      </c>
      <c r="E5585" s="2" t="s">
        <v>37038</v>
      </c>
      <c r="F5585" s="2">
        <v>83780</v>
      </c>
      <c r="G5585" s="3" t="str">
        <f>HYPERLINK("http://funmeta.oebiotech.com/network/83780", "http://funmeta.oebiotech.com/network/83780")</f>
        <v>http://funmeta.oebiotech.com/network/83780</v>
      </c>
      <c r="H5585" s="2" t="s">
        <v>37039</v>
      </c>
      <c r="I5585" s="2"/>
      <c r="J5585" s="2"/>
      <c r="K5585" s="2">
        <v>72691</v>
      </c>
      <c r="L5585" s="2"/>
      <c r="M5585" s="2"/>
      <c r="N5585" s="2"/>
      <c r="O5585" s="2">
        <v>9543616</v>
      </c>
      <c r="P5585" s="2"/>
      <c r="Q5585" s="2" t="s">
        <v>37040</v>
      </c>
      <c r="R5585" s="2" t="s">
        <v>37041</v>
      </c>
      <c r="S5585" s="2" t="s">
        <v>50</v>
      </c>
      <c r="T5585" s="2" t="s">
        <v>229</v>
      </c>
      <c r="U5585" s="2" t="s">
        <v>433</v>
      </c>
      <c r="V5585" s="2" t="s">
        <v>59</v>
      </c>
      <c r="W5585" s="2">
        <v>46.3</v>
      </c>
      <c r="X5585" s="2">
        <v>36.9</v>
      </c>
      <c r="Y5585" s="2" t="s">
        <v>394</v>
      </c>
      <c r="Z5585" s="2" t="s">
        <v>29721</v>
      </c>
      <c r="AA5585" s="2">
        <v>0.93535164700621298</v>
      </c>
      <c r="AB5585" s="2">
        <v>7.3744883259312805E-2</v>
      </c>
      <c r="AC5585" s="2">
        <v>15610.900708945701</v>
      </c>
      <c r="AD5585" s="2">
        <v>14856.176519520301</v>
      </c>
      <c r="AE5585" s="2">
        <v>16063.623086813201</v>
      </c>
      <c r="AF5585" s="2">
        <v>15214.937717303001</v>
      </c>
      <c r="AG5585" s="2">
        <v>15187.769363790399</v>
      </c>
      <c r="AH5585" s="2">
        <v>14581.3474275192</v>
      </c>
      <c r="AI5585" s="2">
        <v>16144.829936263501</v>
      </c>
      <c r="AJ5585" s="2">
        <v>16472.8967219851</v>
      </c>
      <c r="AK5585" s="2">
        <v>14420.1429798298</v>
      </c>
      <c r="AL5585" s="2">
        <v>14338.797235579899</v>
      </c>
      <c r="AM5585" s="2">
        <v>14432.053667678199</v>
      </c>
      <c r="AN5585" s="2">
        <v>16118.450786309</v>
      </c>
      <c r="AO5585" s="2">
        <v>14286.5245280047</v>
      </c>
      <c r="AP5585" s="2">
        <v>15541.08991972</v>
      </c>
    </row>
    <row r="5586" spans="1:42" ht="14.5" x14ac:dyDescent="0.35">
      <c r="A5586" s="2" t="s">
        <v>37042</v>
      </c>
      <c r="B5586" s="2">
        <v>469.15027052258699</v>
      </c>
      <c r="C5586" s="2">
        <v>5.0599499999999997</v>
      </c>
      <c r="D5586" s="2" t="s">
        <v>70</v>
      </c>
      <c r="E5586" s="2" t="s">
        <v>37043</v>
      </c>
      <c r="F5586" s="2">
        <v>29669</v>
      </c>
      <c r="G5586" s="3" t="str">
        <f>HYPERLINK("http://funmeta.oebiotech.com/network/29669", "http://funmeta.oebiotech.com/network/29669")</f>
        <v>http://funmeta.oebiotech.com/network/29669</v>
      </c>
      <c r="H5586" s="2"/>
      <c r="I5586" s="2">
        <v>48033</v>
      </c>
      <c r="J5586" s="2" t="s">
        <v>37044</v>
      </c>
      <c r="K5586" s="2"/>
      <c r="L5586" s="2"/>
      <c r="M5586" s="2"/>
      <c r="N5586" s="2"/>
      <c r="O5586" s="2">
        <v>14704460</v>
      </c>
      <c r="P5586" s="2"/>
      <c r="Q5586" s="2" t="s">
        <v>37045</v>
      </c>
      <c r="R5586" s="2" t="s">
        <v>37046</v>
      </c>
      <c r="S5586" s="2" t="s">
        <v>115</v>
      </c>
      <c r="T5586" s="2" t="s">
        <v>1371</v>
      </c>
      <c r="U5586" s="2" t="s">
        <v>10759</v>
      </c>
      <c r="V5586" s="2" t="s">
        <v>59</v>
      </c>
      <c r="W5586" s="2">
        <v>38.4</v>
      </c>
      <c r="X5586" s="2">
        <v>0</v>
      </c>
      <c r="Y5586" s="2" t="s">
        <v>408</v>
      </c>
      <c r="Z5586" s="2" t="s">
        <v>37047</v>
      </c>
      <c r="AA5586" s="2">
        <v>-0.31935237384607001</v>
      </c>
      <c r="AB5586" s="2">
        <v>7.3741846218992005E-2</v>
      </c>
      <c r="AC5586" s="2">
        <v>3425.7441996726602</v>
      </c>
      <c r="AD5586" s="2">
        <v>2680.0810540533898</v>
      </c>
      <c r="AE5586" s="2">
        <v>3392.7900087098101</v>
      </c>
      <c r="AF5586" s="2">
        <v>3079.6797047595701</v>
      </c>
      <c r="AG5586" s="2">
        <v>3272.2495621645999</v>
      </c>
      <c r="AH5586" s="2">
        <v>3384.5599376560699</v>
      </c>
      <c r="AI5586" s="2">
        <v>3151.6126084799598</v>
      </c>
      <c r="AJ5586" s="2">
        <v>4273.5733762659802</v>
      </c>
      <c r="AK5586" s="2">
        <v>3308.4522699583299</v>
      </c>
      <c r="AL5586" s="2">
        <v>1332.7727282559699</v>
      </c>
      <c r="AM5586" s="2">
        <v>3600.46636023366</v>
      </c>
      <c r="AN5586" s="2">
        <v>1839.5466739327501</v>
      </c>
      <c r="AO5586" s="2">
        <v>2409.3253821738799</v>
      </c>
      <c r="AP5586" s="2">
        <v>3589.9229097657699</v>
      </c>
    </row>
    <row r="5587" spans="1:42" ht="14.5" x14ac:dyDescent="0.35">
      <c r="A5587" s="2" t="s">
        <v>37048</v>
      </c>
      <c r="B5587" s="2">
        <v>351.19347151080001</v>
      </c>
      <c r="C5587" s="2">
        <v>9.8824666666666694</v>
      </c>
      <c r="D5587" s="2" t="s">
        <v>34</v>
      </c>
      <c r="E5587" s="2" t="s">
        <v>37049</v>
      </c>
      <c r="F5587" s="2">
        <v>134863</v>
      </c>
      <c r="G5587" s="3" t="str">
        <f>HYPERLINK("http://funmeta.oebiotech.com/network/134863", "http://funmeta.oebiotech.com/network/134863")</f>
        <v>http://funmeta.oebiotech.com/network/134863</v>
      </c>
      <c r="H5587" s="2" t="s">
        <v>37050</v>
      </c>
      <c r="I5587" s="2"/>
      <c r="J5587" s="2"/>
      <c r="K5587" s="2"/>
      <c r="L5587" s="2"/>
      <c r="M5587" s="2"/>
      <c r="N5587" s="2"/>
      <c r="O5587" s="2">
        <v>131821852</v>
      </c>
      <c r="P5587" s="2"/>
      <c r="Q5587" s="2" t="s">
        <v>37051</v>
      </c>
      <c r="R5587" s="2" t="s">
        <v>37052</v>
      </c>
      <c r="S5587" s="2" t="s">
        <v>50</v>
      </c>
      <c r="T5587" s="2" t="s">
        <v>51</v>
      </c>
      <c r="U5587" s="2" t="s">
        <v>273</v>
      </c>
      <c r="V5587" s="2" t="s">
        <v>59</v>
      </c>
      <c r="W5587" s="2">
        <v>36.4</v>
      </c>
      <c r="X5587" s="2">
        <v>0</v>
      </c>
      <c r="Y5587" s="2" t="s">
        <v>141</v>
      </c>
      <c r="Z5587" s="2" t="s">
        <v>37053</v>
      </c>
      <c r="AA5587" s="2">
        <v>1.0041803237306199</v>
      </c>
      <c r="AB5587" s="2">
        <v>7.3679060850832395E-2</v>
      </c>
      <c r="AC5587" s="2">
        <v>2120.2378823116901</v>
      </c>
      <c r="AD5587" s="2">
        <v>2646.9109321067299</v>
      </c>
      <c r="AE5587" s="2">
        <v>2070.0950359778499</v>
      </c>
      <c r="AF5587" s="2">
        <v>2514.6209964682698</v>
      </c>
      <c r="AG5587" s="2">
        <v>2024.67430139253</v>
      </c>
      <c r="AH5587" s="2">
        <v>2252.3025119024801</v>
      </c>
      <c r="AI5587" s="2">
        <v>1885.04181636612</v>
      </c>
      <c r="AJ5587" s="2">
        <v>1974.6926317629</v>
      </c>
      <c r="AK5587" s="2">
        <v>3252.2138302379099</v>
      </c>
      <c r="AL5587" s="2">
        <v>2899.3720079575401</v>
      </c>
      <c r="AM5587" s="2">
        <v>2342.2568503377101</v>
      </c>
      <c r="AN5587" s="2">
        <v>2363.0489285495801</v>
      </c>
      <c r="AO5587" s="2">
        <v>2642.9638289290801</v>
      </c>
      <c r="AP5587" s="2">
        <v>2381.61014662855</v>
      </c>
    </row>
    <row r="5588" spans="1:42" ht="14.5" x14ac:dyDescent="0.35">
      <c r="A5588" s="2" t="s">
        <v>37054</v>
      </c>
      <c r="B5588" s="2">
        <v>913.44201364866899</v>
      </c>
      <c r="C5588" s="2">
        <v>10.35305</v>
      </c>
      <c r="D5588" s="2" t="s">
        <v>70</v>
      </c>
      <c r="E5588" s="2" t="s">
        <v>37055</v>
      </c>
      <c r="F5588" s="2">
        <v>203131</v>
      </c>
      <c r="G5588" s="3" t="str">
        <f>HYPERLINK("http://funmeta.oebiotech.com/network/203131", "http://funmeta.oebiotech.com/network/203131")</f>
        <v>http://funmeta.oebiotech.com/network/203131</v>
      </c>
      <c r="H5588" s="2" t="s">
        <v>37056</v>
      </c>
      <c r="I5588" s="2"/>
      <c r="J5588" s="2"/>
      <c r="K5588" s="2"/>
      <c r="L5588" s="2"/>
      <c r="M5588" s="2"/>
      <c r="N5588" s="2"/>
      <c r="O5588" s="2">
        <v>9804157</v>
      </c>
      <c r="P5588" s="2"/>
      <c r="Q5588" s="2" t="s">
        <v>37057</v>
      </c>
      <c r="R5588" s="2" t="s">
        <v>37058</v>
      </c>
      <c r="S5588" s="2" t="s">
        <v>41</v>
      </c>
      <c r="T5588" s="2" t="s">
        <v>41</v>
      </c>
      <c r="U5588" s="2" t="s">
        <v>41</v>
      </c>
      <c r="V5588" s="2" t="s">
        <v>59</v>
      </c>
      <c r="W5588" s="2">
        <v>38.5</v>
      </c>
      <c r="X5588" s="2">
        <v>0</v>
      </c>
      <c r="Y5588" s="2" t="s">
        <v>560</v>
      </c>
      <c r="Z5588" s="2" t="s">
        <v>37059</v>
      </c>
      <c r="AA5588" s="2">
        <v>-1.45100645885968</v>
      </c>
      <c r="AB5588" s="2">
        <v>7.3572051767831201E-2</v>
      </c>
      <c r="AC5588" s="2">
        <v>4133.8943423175397</v>
      </c>
      <c r="AD5588" s="2">
        <v>4837.61346166165</v>
      </c>
      <c r="AE5588" s="2">
        <v>5270.77904055218</v>
      </c>
      <c r="AF5588" s="2">
        <v>4481.4722029227296</v>
      </c>
      <c r="AG5588" s="2">
        <v>3178.8011665429099</v>
      </c>
      <c r="AH5588" s="2">
        <v>3835.7436303777199</v>
      </c>
      <c r="AI5588" s="2">
        <v>4740.7767341742101</v>
      </c>
      <c r="AJ5588" s="2">
        <v>3295.7932793354798</v>
      </c>
      <c r="AK5588" s="2">
        <v>3986.2230703877599</v>
      </c>
      <c r="AL5588" s="2">
        <v>4830.7923738106501</v>
      </c>
      <c r="AM5588" s="2">
        <v>4827.9257920320497</v>
      </c>
      <c r="AN5588" s="2">
        <v>5192.1091028240098</v>
      </c>
      <c r="AO5588" s="2">
        <v>5258.0702784774003</v>
      </c>
      <c r="AP5588" s="2">
        <v>4930.5601524380099</v>
      </c>
    </row>
    <row r="5589" spans="1:42" ht="14.5" x14ac:dyDescent="0.35">
      <c r="A5589" s="2" t="s">
        <v>37060</v>
      </c>
      <c r="B5589" s="2">
        <v>432.07329756843097</v>
      </c>
      <c r="C5589" s="2">
        <v>2.1595499999999999</v>
      </c>
      <c r="D5589" s="2" t="s">
        <v>70</v>
      </c>
      <c r="E5589" s="2" t="s">
        <v>37061</v>
      </c>
      <c r="F5589" s="2">
        <v>202319</v>
      </c>
      <c r="G5589" s="3" t="str">
        <f>HYPERLINK("http://funmeta.oebiotech.com/network/202319", "http://funmeta.oebiotech.com/network/202319")</f>
        <v>http://funmeta.oebiotech.com/network/202319</v>
      </c>
      <c r="H5589" s="2" t="s">
        <v>37062</v>
      </c>
      <c r="I5589" s="2"/>
      <c r="J5589" s="2"/>
      <c r="K5589" s="2"/>
      <c r="L5589" s="2"/>
      <c r="M5589" s="2"/>
      <c r="N5589" s="2"/>
      <c r="O5589" s="2">
        <v>71308476</v>
      </c>
      <c r="P5589" s="2"/>
      <c r="Q5589" s="2" t="s">
        <v>37063</v>
      </c>
      <c r="R5589" s="2" t="s">
        <v>37064</v>
      </c>
      <c r="S5589" s="2" t="s">
        <v>1444</v>
      </c>
      <c r="T5589" s="2" t="s">
        <v>4937</v>
      </c>
      <c r="U5589" s="2" t="s">
        <v>14202</v>
      </c>
      <c r="V5589" s="2" t="s">
        <v>59</v>
      </c>
      <c r="W5589" s="2">
        <v>36.700000000000003</v>
      </c>
      <c r="X5589" s="2">
        <v>0</v>
      </c>
      <c r="Y5589" s="2" t="s">
        <v>118</v>
      </c>
      <c r="Z5589" s="2" t="s">
        <v>37065</v>
      </c>
      <c r="AA5589" s="2">
        <v>4.2474872227613796</v>
      </c>
      <c r="AB5589" s="2">
        <v>7.34720116795958E-2</v>
      </c>
      <c r="AC5589" s="2">
        <v>5736.7479082534001</v>
      </c>
      <c r="AD5589" s="2">
        <v>5210.4861710262803</v>
      </c>
      <c r="AE5589" s="2">
        <v>5633.7350795870798</v>
      </c>
      <c r="AF5589" s="2">
        <v>5744.1958737753102</v>
      </c>
      <c r="AG5589" s="2">
        <v>6052.8963389711998</v>
      </c>
      <c r="AH5589" s="2">
        <v>5453.9351786516099</v>
      </c>
      <c r="AI5589" s="2">
        <v>5475.6111881433899</v>
      </c>
      <c r="AJ5589" s="2">
        <v>6060.1137903918398</v>
      </c>
      <c r="AK5589" s="2">
        <v>4677.4959154115404</v>
      </c>
      <c r="AL5589" s="2">
        <v>5321.41699299828</v>
      </c>
      <c r="AM5589" s="2">
        <v>5623.0203486096598</v>
      </c>
      <c r="AN5589" s="2">
        <v>5507.7115923065203</v>
      </c>
      <c r="AO5589" s="2">
        <v>5227.9052404854301</v>
      </c>
      <c r="AP5589" s="2">
        <v>4905.3669363462304</v>
      </c>
    </row>
    <row r="5590" spans="1:42" ht="14.5" x14ac:dyDescent="0.35">
      <c r="A5590" s="2" t="s">
        <v>37066</v>
      </c>
      <c r="B5590" s="2">
        <v>309.144494741085</v>
      </c>
      <c r="C5590" s="2">
        <v>3.6431833333333299</v>
      </c>
      <c r="D5590" s="2" t="s">
        <v>34</v>
      </c>
      <c r="E5590" s="2" t="s">
        <v>37067</v>
      </c>
      <c r="F5590" s="2">
        <v>59069</v>
      </c>
      <c r="G5590" s="3" t="str">
        <f>HYPERLINK("http://funmeta.oebiotech.com/network/59069", "http://funmeta.oebiotech.com/network/59069")</f>
        <v>http://funmeta.oebiotech.com/network/59069</v>
      </c>
      <c r="H5590" s="2" t="s">
        <v>37068</v>
      </c>
      <c r="I5590" s="2">
        <v>90500</v>
      </c>
      <c r="J5590" s="2"/>
      <c r="K5590" s="2"/>
      <c r="L5590" s="2"/>
      <c r="M5590" s="2"/>
      <c r="N5590" s="2"/>
      <c r="O5590" s="2">
        <v>131751678</v>
      </c>
      <c r="P5590" s="2" t="s">
        <v>37069</v>
      </c>
      <c r="Q5590" s="2" t="s">
        <v>37070</v>
      </c>
      <c r="R5590" s="2" t="s">
        <v>37071</v>
      </c>
      <c r="S5590" s="2" t="s">
        <v>89</v>
      </c>
      <c r="T5590" s="2" t="s">
        <v>90</v>
      </c>
      <c r="U5590" s="2" t="s">
        <v>99</v>
      </c>
      <c r="V5590" s="2" t="s">
        <v>42</v>
      </c>
      <c r="W5590" s="2">
        <v>49.1</v>
      </c>
      <c r="X5590" s="2">
        <v>49.8</v>
      </c>
      <c r="Y5590" s="2" t="s">
        <v>394</v>
      </c>
      <c r="Z5590" s="2" t="s">
        <v>37072</v>
      </c>
      <c r="AA5590" s="2">
        <v>-1.1162931698456301E-2</v>
      </c>
      <c r="AB5590" s="2">
        <v>7.3428024124029295E-2</v>
      </c>
      <c r="AC5590" s="2">
        <v>11408.3214329948</v>
      </c>
      <c r="AD5590" s="2">
        <v>10745.634195685299</v>
      </c>
      <c r="AE5590" s="2">
        <v>11399.4927020578</v>
      </c>
      <c r="AF5590" s="2">
        <v>11413.0407079745</v>
      </c>
      <c r="AG5590" s="2">
        <v>12041.514367874601</v>
      </c>
      <c r="AH5590" s="2">
        <v>10575.4336313801</v>
      </c>
      <c r="AI5590" s="2">
        <v>11785.482686564999</v>
      </c>
      <c r="AJ5590" s="2">
        <v>11234.9645021168</v>
      </c>
      <c r="AK5590" s="2">
        <v>10354.078773186</v>
      </c>
      <c r="AL5590" s="2">
        <v>9787.3260585140306</v>
      </c>
      <c r="AM5590" s="2">
        <v>11167.1196321929</v>
      </c>
      <c r="AN5590" s="2">
        <v>10535.2573691216</v>
      </c>
      <c r="AO5590" s="2">
        <v>11292.874792639999</v>
      </c>
      <c r="AP5590" s="2">
        <v>11337.1485484571</v>
      </c>
    </row>
    <row r="5591" spans="1:42" ht="14.5" x14ac:dyDescent="0.35">
      <c r="A5591" s="2" t="s">
        <v>37073</v>
      </c>
      <c r="B5591" s="2">
        <v>465.062413240588</v>
      </c>
      <c r="C5591" s="2">
        <v>1.50383333333333</v>
      </c>
      <c r="D5591" s="2" t="s">
        <v>70</v>
      </c>
      <c r="E5591" s="2" t="s">
        <v>37074</v>
      </c>
      <c r="F5591" s="2">
        <v>212054</v>
      </c>
      <c r="G5591" s="3" t="str">
        <f>HYPERLINK("http://funmeta.oebiotech.com/network/212054", "http://funmeta.oebiotech.com/network/212054")</f>
        <v>http://funmeta.oebiotech.com/network/212054</v>
      </c>
      <c r="H5591" s="2" t="s">
        <v>37075</v>
      </c>
      <c r="I5591" s="2"/>
      <c r="J5591" s="2"/>
      <c r="K5591" s="2"/>
      <c r="L5591" s="2"/>
      <c r="M5591" s="2"/>
      <c r="N5591" s="2"/>
      <c r="O5591" s="2">
        <v>5316</v>
      </c>
      <c r="P5591" s="2"/>
      <c r="Q5591" s="2" t="s">
        <v>37076</v>
      </c>
      <c r="R5591" s="2" t="s">
        <v>37077</v>
      </c>
      <c r="S5591" s="2" t="s">
        <v>89</v>
      </c>
      <c r="T5591" s="2" t="s">
        <v>90</v>
      </c>
      <c r="U5591" s="2" t="s">
        <v>99</v>
      </c>
      <c r="V5591" s="2" t="s">
        <v>59</v>
      </c>
      <c r="W5591" s="2">
        <v>42.2</v>
      </c>
      <c r="X5591" s="2">
        <v>24.4</v>
      </c>
      <c r="Y5591" s="2" t="s">
        <v>560</v>
      </c>
      <c r="Z5591" s="2" t="s">
        <v>37078</v>
      </c>
      <c r="AA5591" s="2">
        <v>-4.0707011648509397</v>
      </c>
      <c r="AB5591" s="2">
        <v>7.3396332071362494E-2</v>
      </c>
      <c r="AC5591" s="2">
        <v>15980.0480896472</v>
      </c>
      <c r="AD5591" s="2">
        <v>16854.741725996999</v>
      </c>
      <c r="AE5591" s="2">
        <v>15983.766153242899</v>
      </c>
      <c r="AF5591" s="2">
        <v>16441.587786457701</v>
      </c>
      <c r="AG5591" s="2">
        <v>15683.0304950233</v>
      </c>
      <c r="AH5591" s="2">
        <v>15346.228078161301</v>
      </c>
      <c r="AI5591" s="2">
        <v>16150.212213421801</v>
      </c>
      <c r="AJ5591" s="2">
        <v>16275.463811576101</v>
      </c>
      <c r="AK5591" s="2">
        <v>16336.7219116743</v>
      </c>
      <c r="AL5591" s="2">
        <v>15787.779018810201</v>
      </c>
      <c r="AM5591" s="2">
        <v>14806.118022024601</v>
      </c>
      <c r="AN5591" s="2">
        <v>17908.587460871899</v>
      </c>
      <c r="AO5591" s="2">
        <v>17412.7196092583</v>
      </c>
      <c r="AP5591" s="2">
        <v>18876.524333342601</v>
      </c>
    </row>
    <row r="5592" spans="1:42" ht="14.5" x14ac:dyDescent="0.35">
      <c r="A5592" s="2" t="s">
        <v>37079</v>
      </c>
      <c r="B5592" s="2">
        <v>290.11801165160301</v>
      </c>
      <c r="C5592" s="2">
        <v>1.58995</v>
      </c>
      <c r="D5592" s="2" t="s">
        <v>34</v>
      </c>
      <c r="E5592" s="2" t="s">
        <v>37080</v>
      </c>
      <c r="F5592" s="2">
        <v>200180</v>
      </c>
      <c r="G5592" s="3" t="str">
        <f>HYPERLINK("http://funmeta.oebiotech.com/network/200180", "http://funmeta.oebiotech.com/network/200180")</f>
        <v>http://funmeta.oebiotech.com/network/200180</v>
      </c>
      <c r="H5592" s="2" t="s">
        <v>37081</v>
      </c>
      <c r="I5592" s="2">
        <v>63074</v>
      </c>
      <c r="J5592" s="2"/>
      <c r="K5592" s="2">
        <v>65329</v>
      </c>
      <c r="L5592" s="2" t="s">
        <v>37082</v>
      </c>
      <c r="M5592" s="2"/>
      <c r="N5592" s="2"/>
      <c r="O5592" s="2">
        <v>3973</v>
      </c>
      <c r="P5592" s="2" t="s">
        <v>37083</v>
      </c>
      <c r="Q5592" s="2" t="s">
        <v>37084</v>
      </c>
      <c r="R5592" s="2" t="s">
        <v>37085</v>
      </c>
      <c r="S5592" s="2" t="s">
        <v>491</v>
      </c>
      <c r="T5592" s="2" t="s">
        <v>2251</v>
      </c>
      <c r="U5592" s="2" t="s">
        <v>2252</v>
      </c>
      <c r="V5592" s="2" t="s">
        <v>59</v>
      </c>
      <c r="W5592" s="2">
        <v>36.1</v>
      </c>
      <c r="X5592" s="2">
        <v>0</v>
      </c>
      <c r="Y5592" s="2" t="s">
        <v>141</v>
      </c>
      <c r="Z5592" s="2" t="s">
        <v>37086</v>
      </c>
      <c r="AA5592" s="2">
        <v>1.4863625909001901</v>
      </c>
      <c r="AB5592" s="2">
        <v>7.3272140822747203E-2</v>
      </c>
      <c r="AC5592" s="2">
        <v>396.46899172400498</v>
      </c>
      <c r="AD5592" s="2">
        <v>888.27330753237698</v>
      </c>
      <c r="AE5592" s="2">
        <v>142.58362353733699</v>
      </c>
      <c r="AF5592" s="2">
        <v>294.58825808267102</v>
      </c>
      <c r="AG5592" s="2">
        <v>397.86625964523301</v>
      </c>
      <c r="AH5592" s="2">
        <v>576.94024782635302</v>
      </c>
      <c r="AI5592" s="2">
        <v>507.65297218992202</v>
      </c>
      <c r="AJ5592" s="2">
        <v>459.18258906251202</v>
      </c>
      <c r="AK5592" s="2">
        <v>924.50997777814598</v>
      </c>
      <c r="AL5592" s="2">
        <v>415.99356737563198</v>
      </c>
      <c r="AM5592" s="2">
        <v>872.20598929125902</v>
      </c>
      <c r="AN5592" s="2">
        <v>640.88303376254203</v>
      </c>
      <c r="AO5592" s="2">
        <v>1077.0613837982301</v>
      </c>
      <c r="AP5592" s="2">
        <v>1398.9858931884501</v>
      </c>
    </row>
    <row r="5593" spans="1:42" ht="14.5" x14ac:dyDescent="0.35">
      <c r="A5593" s="2" t="s">
        <v>37087</v>
      </c>
      <c r="B5593" s="2">
        <v>502.27279564138098</v>
      </c>
      <c r="C5593" s="2">
        <v>0.78071666666666695</v>
      </c>
      <c r="D5593" s="2" t="s">
        <v>34</v>
      </c>
      <c r="E5593" s="2" t="s">
        <v>37088</v>
      </c>
      <c r="F5593" s="2">
        <v>53389</v>
      </c>
      <c r="G5593" s="3" t="str">
        <f>HYPERLINK("http://funmeta.oebiotech.com/network/53389", "http://funmeta.oebiotech.com/network/53389")</f>
        <v>http://funmeta.oebiotech.com/network/53389</v>
      </c>
      <c r="H5593" s="2" t="s">
        <v>37089</v>
      </c>
      <c r="I5593" s="2">
        <v>43223</v>
      </c>
      <c r="J5593" s="2"/>
      <c r="K5593" s="2">
        <v>17630</v>
      </c>
      <c r="L5593" s="2" t="s">
        <v>37090</v>
      </c>
      <c r="M5593" s="2" t="s">
        <v>21200</v>
      </c>
      <c r="N5593" s="2" t="s">
        <v>21201</v>
      </c>
      <c r="O5593" s="2">
        <v>6032</v>
      </c>
      <c r="P5593" s="2" t="s">
        <v>37091</v>
      </c>
      <c r="Q5593" s="2" t="s">
        <v>37092</v>
      </c>
      <c r="R5593" s="2" t="s">
        <v>37093</v>
      </c>
      <c r="S5593" s="2" t="s">
        <v>79</v>
      </c>
      <c r="T5593" s="2" t="s">
        <v>80</v>
      </c>
      <c r="U5593" s="2" t="s">
        <v>81</v>
      </c>
      <c r="V5593" s="2" t="s">
        <v>59</v>
      </c>
      <c r="W5593" s="2">
        <v>38.1</v>
      </c>
      <c r="X5593" s="2">
        <v>0</v>
      </c>
      <c r="Y5593" s="2" t="s">
        <v>43</v>
      </c>
      <c r="Z5593" s="2" t="s">
        <v>37094</v>
      </c>
      <c r="AA5593" s="2">
        <v>1.88362415024307</v>
      </c>
      <c r="AB5593" s="2">
        <v>7.3028808393849204E-2</v>
      </c>
      <c r="AC5593" s="2">
        <v>12604.2181182397</v>
      </c>
      <c r="AD5593" s="2">
        <v>13961.4672486285</v>
      </c>
      <c r="AE5593" s="2">
        <v>8760.5936773874691</v>
      </c>
      <c r="AF5593" s="2">
        <v>14948.316267775301</v>
      </c>
      <c r="AG5593" s="2">
        <v>11709.804533562899</v>
      </c>
      <c r="AH5593" s="2">
        <v>10282.2677391377</v>
      </c>
      <c r="AI5593" s="2">
        <v>12452.615480938401</v>
      </c>
      <c r="AJ5593" s="2">
        <v>17471.711010636602</v>
      </c>
      <c r="AK5593" s="2">
        <v>11860.146996985701</v>
      </c>
      <c r="AL5593" s="2">
        <v>15032.7746273047</v>
      </c>
      <c r="AM5593" s="2">
        <v>13753.0172780964</v>
      </c>
      <c r="AN5593" s="2">
        <v>10766.5566264152</v>
      </c>
      <c r="AO5593" s="2">
        <v>16134.182117444499</v>
      </c>
      <c r="AP5593" s="2">
        <v>16222.125845524701</v>
      </c>
    </row>
    <row r="5594" spans="1:42" ht="14.5" x14ac:dyDescent="0.35">
      <c r="A5594" s="2" t="s">
        <v>37095</v>
      </c>
      <c r="B5594" s="2">
        <v>583.23817169402605</v>
      </c>
      <c r="C5594" s="2">
        <v>6.1053333333333297</v>
      </c>
      <c r="D5594" s="2" t="s">
        <v>70</v>
      </c>
      <c r="E5594" s="2" t="s">
        <v>37096</v>
      </c>
      <c r="F5594" s="2">
        <v>301035</v>
      </c>
      <c r="G5594" s="3" t="str">
        <f>HYPERLINK("http://funmeta.oebiotech.com/network/301035", "http://funmeta.oebiotech.com/network/301035")</f>
        <v>http://funmeta.oebiotech.com/network/301035</v>
      </c>
      <c r="H5594" s="2"/>
      <c r="I5594" s="2">
        <v>326349</v>
      </c>
      <c r="J5594" s="2"/>
      <c r="K5594" s="2"/>
      <c r="L5594" s="2"/>
      <c r="M5594" s="2"/>
      <c r="N5594" s="2"/>
      <c r="O5594" s="2">
        <v>17201</v>
      </c>
      <c r="P5594" s="2"/>
      <c r="Q5594" s="2" t="s">
        <v>37097</v>
      </c>
      <c r="R5594" s="2" t="s">
        <v>37098</v>
      </c>
      <c r="S5594" s="2" t="s">
        <v>148</v>
      </c>
      <c r="T5594" s="2" t="s">
        <v>149</v>
      </c>
      <c r="U5594" s="2" t="s">
        <v>5024</v>
      </c>
      <c r="V5594" s="2" t="s">
        <v>59</v>
      </c>
      <c r="W5594" s="2">
        <v>37.9</v>
      </c>
      <c r="X5594" s="2">
        <v>0</v>
      </c>
      <c r="Y5594" s="2" t="s">
        <v>560</v>
      </c>
      <c r="Z5594" s="2" t="s">
        <v>37099</v>
      </c>
      <c r="AA5594" s="2">
        <v>5.2933552608357397</v>
      </c>
      <c r="AB5594" s="2">
        <v>7.30159905170817E-2</v>
      </c>
      <c r="AC5594" s="2">
        <v>11977.0900126868</v>
      </c>
      <c r="AD5594" s="2">
        <v>10933.8411333854</v>
      </c>
      <c r="AE5594" s="2">
        <v>12886.5095061148</v>
      </c>
      <c r="AF5594" s="2">
        <v>13996.942687287201</v>
      </c>
      <c r="AG5594" s="2">
        <v>10574.8209854578</v>
      </c>
      <c r="AH5594" s="2">
        <v>10140.608145743199</v>
      </c>
      <c r="AI5594" s="2">
        <v>12168.671098209699</v>
      </c>
      <c r="AJ5594" s="2">
        <v>12094.987653308101</v>
      </c>
      <c r="AK5594" s="2">
        <v>9872.0507117042998</v>
      </c>
      <c r="AL5594" s="2">
        <v>10157.8314585272</v>
      </c>
      <c r="AM5594" s="2">
        <v>12084.142531343099</v>
      </c>
      <c r="AN5594" s="2">
        <v>13293.951945278701</v>
      </c>
      <c r="AO5594" s="2">
        <v>11581.5163422652</v>
      </c>
      <c r="AP5594" s="2">
        <v>8613.5538111941405</v>
      </c>
    </row>
    <row r="5595" spans="1:42" ht="14.5" x14ac:dyDescent="0.35">
      <c r="A5595" s="2" t="s">
        <v>37100</v>
      </c>
      <c r="B5595" s="2">
        <v>755.41501490876601</v>
      </c>
      <c r="C5595" s="2">
        <v>12.184433333333301</v>
      </c>
      <c r="D5595" s="2" t="s">
        <v>70</v>
      </c>
      <c r="E5595" s="2" t="s">
        <v>37101</v>
      </c>
      <c r="F5595" s="2">
        <v>216020</v>
      </c>
      <c r="G5595" s="3" t="str">
        <f>HYPERLINK("http://funmeta.oebiotech.com/network/216020", "http://funmeta.oebiotech.com/network/216020")</f>
        <v>http://funmeta.oebiotech.com/network/216020</v>
      </c>
      <c r="H5595" s="2" t="s">
        <v>37102</v>
      </c>
      <c r="I5595" s="2"/>
      <c r="J5595" s="2"/>
      <c r="K5595" s="2"/>
      <c r="L5595" s="2"/>
      <c r="M5595" s="2"/>
      <c r="N5595" s="2"/>
      <c r="O5595" s="2"/>
      <c r="P5595" s="2"/>
      <c r="Q5595" s="2" t="s">
        <v>37103</v>
      </c>
      <c r="R5595" s="2" t="s">
        <v>37104</v>
      </c>
      <c r="S5595" s="2" t="s">
        <v>41</v>
      </c>
      <c r="T5595" s="2" t="s">
        <v>41</v>
      </c>
      <c r="U5595" s="2" t="s">
        <v>41</v>
      </c>
      <c r="V5595" s="2" t="s">
        <v>59</v>
      </c>
      <c r="W5595" s="2">
        <v>37.299999999999997</v>
      </c>
      <c r="X5595" s="2">
        <v>0</v>
      </c>
      <c r="Y5595" s="2" t="s">
        <v>408</v>
      </c>
      <c r="Z5595" s="2" t="s">
        <v>37105</v>
      </c>
      <c r="AA5595" s="2">
        <v>1.3051408000381099</v>
      </c>
      <c r="AB5595" s="2">
        <v>7.2998148808355603E-2</v>
      </c>
      <c r="AC5595" s="2">
        <v>20317.742376612601</v>
      </c>
      <c r="AD5595" s="2">
        <v>21437.6704543015</v>
      </c>
      <c r="AE5595" s="2">
        <v>21827.055942914099</v>
      </c>
      <c r="AF5595" s="2">
        <v>16512.716751622502</v>
      </c>
      <c r="AG5595" s="2">
        <v>21300.0863237048</v>
      </c>
      <c r="AH5595" s="2">
        <v>19215.488355055601</v>
      </c>
      <c r="AI5595" s="2">
        <v>22630.499375097999</v>
      </c>
      <c r="AJ5595" s="2">
        <v>20420.607511280799</v>
      </c>
      <c r="AK5595" s="2">
        <v>21573.074937429999</v>
      </c>
      <c r="AL5595" s="2">
        <v>21474.3629493919</v>
      </c>
      <c r="AM5595" s="2">
        <v>20780.628115806299</v>
      </c>
      <c r="AN5595" s="2">
        <v>20964.379942772699</v>
      </c>
      <c r="AO5595" s="2">
        <v>19560.6462769192</v>
      </c>
      <c r="AP5595" s="2">
        <v>24272.9305034889</v>
      </c>
    </row>
    <row r="5596" spans="1:42" ht="14.5" x14ac:dyDescent="0.35">
      <c r="A5596" s="2" t="s">
        <v>37106</v>
      </c>
      <c r="B5596" s="2">
        <v>285.04030017300897</v>
      </c>
      <c r="C5596" s="2">
        <v>5.8977166666666703</v>
      </c>
      <c r="D5596" s="2" t="s">
        <v>70</v>
      </c>
      <c r="E5596" s="2" t="s">
        <v>37107</v>
      </c>
      <c r="F5596" s="2">
        <v>30099</v>
      </c>
      <c r="G5596" s="3" t="str">
        <f>HYPERLINK("http://funmeta.oebiotech.com/network/30099", "http://funmeta.oebiotech.com/network/30099")</f>
        <v>http://funmeta.oebiotech.com/network/30099</v>
      </c>
      <c r="H5596" s="2" t="s">
        <v>37108</v>
      </c>
      <c r="I5596" s="2">
        <v>3409</v>
      </c>
      <c r="J5596" s="2" t="s">
        <v>37109</v>
      </c>
      <c r="K5596" s="2">
        <v>15864</v>
      </c>
      <c r="L5596" s="2" t="s">
        <v>37110</v>
      </c>
      <c r="M5596" s="2" t="s">
        <v>5168</v>
      </c>
      <c r="N5596" s="2" t="s">
        <v>5169</v>
      </c>
      <c r="O5596" s="2">
        <v>5280445</v>
      </c>
      <c r="P5596" s="2" t="s">
        <v>37111</v>
      </c>
      <c r="Q5596" s="2" t="s">
        <v>37112</v>
      </c>
      <c r="R5596" s="2" t="s">
        <v>37113</v>
      </c>
      <c r="S5596" s="2" t="s">
        <v>115</v>
      </c>
      <c r="T5596" s="2" t="s">
        <v>139</v>
      </c>
      <c r="U5596" s="2" t="s">
        <v>1806</v>
      </c>
      <c r="V5596" s="2" t="s">
        <v>42</v>
      </c>
      <c r="W5596" s="2">
        <v>51.6</v>
      </c>
      <c r="X5596" s="2">
        <v>60.8</v>
      </c>
      <c r="Y5596" s="2" t="s">
        <v>118</v>
      </c>
      <c r="Z5596" s="2" t="s">
        <v>5173</v>
      </c>
      <c r="AA5596" s="2">
        <v>-0.56435702655326303</v>
      </c>
      <c r="AB5596" s="2">
        <v>7.2942670779720498E-2</v>
      </c>
      <c r="AC5596" s="2">
        <v>516.42308873219304</v>
      </c>
      <c r="AD5596" s="2">
        <v>938.76707752483696</v>
      </c>
      <c r="AE5596" s="2">
        <v>407.388837363557</v>
      </c>
      <c r="AF5596" s="2">
        <v>382.942048094043</v>
      </c>
      <c r="AG5596" s="2">
        <v>245.41063072814299</v>
      </c>
      <c r="AH5596" s="2">
        <v>830.93375185769105</v>
      </c>
      <c r="AI5596" s="2">
        <v>664.08873735994803</v>
      </c>
      <c r="AJ5596" s="2">
        <v>567.77452698977902</v>
      </c>
      <c r="AK5596" s="2">
        <v>1028.52744111424</v>
      </c>
      <c r="AL5596" s="2">
        <v>999.52099803959004</v>
      </c>
      <c r="AM5596" s="2">
        <v>795.276640646082</v>
      </c>
      <c r="AN5596" s="2">
        <v>941.64829062290801</v>
      </c>
      <c r="AO5596" s="2">
        <v>940.65001129272002</v>
      </c>
      <c r="AP5596" s="2">
        <v>926.97908343348297</v>
      </c>
    </row>
    <row r="5597" spans="1:42" ht="14.5" x14ac:dyDescent="0.35">
      <c r="A5597" s="2" t="s">
        <v>37114</v>
      </c>
      <c r="B5597" s="2">
        <v>223.060622669483</v>
      </c>
      <c r="C5597" s="2">
        <v>4.84418333333333</v>
      </c>
      <c r="D5597" s="2" t="s">
        <v>70</v>
      </c>
      <c r="E5597" s="2" t="s">
        <v>37115</v>
      </c>
      <c r="F5597" s="2">
        <v>56906</v>
      </c>
      <c r="G5597" s="3" t="str">
        <f>HYPERLINK("http://funmeta.oebiotech.com/network/56906", "http://funmeta.oebiotech.com/network/56906")</f>
        <v>http://funmeta.oebiotech.com/network/56906</v>
      </c>
      <c r="H5597" s="2" t="s">
        <v>37116</v>
      </c>
      <c r="I5597" s="2">
        <v>45738</v>
      </c>
      <c r="J5597" s="2"/>
      <c r="K5597" s="2">
        <v>15714</v>
      </c>
      <c r="L5597" s="2" t="s">
        <v>37117</v>
      </c>
      <c r="M5597" s="2" t="s">
        <v>74</v>
      </c>
      <c r="N5597" s="2" t="s">
        <v>75</v>
      </c>
      <c r="O5597" s="2">
        <v>637775</v>
      </c>
      <c r="P5597" s="2" t="s">
        <v>37118</v>
      </c>
      <c r="Q5597" s="2" t="s">
        <v>37119</v>
      </c>
      <c r="R5597" s="2" t="s">
        <v>37120</v>
      </c>
      <c r="S5597" s="2" t="s">
        <v>115</v>
      </c>
      <c r="T5597" s="2" t="s">
        <v>116</v>
      </c>
      <c r="U5597" s="2" t="s">
        <v>117</v>
      </c>
      <c r="V5597" s="2" t="s">
        <v>42</v>
      </c>
      <c r="W5597" s="2">
        <v>49.3</v>
      </c>
      <c r="X5597" s="2">
        <v>55</v>
      </c>
      <c r="Y5597" s="2" t="s">
        <v>118</v>
      </c>
      <c r="Z5597" s="2" t="s">
        <v>22448</v>
      </c>
      <c r="AA5597" s="2">
        <v>-2.5634179967727602</v>
      </c>
      <c r="AB5597" s="2">
        <v>7.2932034199683193E-2</v>
      </c>
      <c r="AC5597" s="2">
        <v>4966.7353946191997</v>
      </c>
      <c r="AD5597" s="2">
        <v>4347.5707650796603</v>
      </c>
      <c r="AE5597" s="2">
        <v>5014.0792171482899</v>
      </c>
      <c r="AF5597" s="2">
        <v>5051.8363737478203</v>
      </c>
      <c r="AG5597" s="2">
        <v>4959.4430504728598</v>
      </c>
      <c r="AH5597" s="2">
        <v>4298.9705874730798</v>
      </c>
      <c r="AI5597" s="2">
        <v>4549.9997630407797</v>
      </c>
      <c r="AJ5597" s="2">
        <v>5926.0833758323797</v>
      </c>
      <c r="AK5597" s="2">
        <v>4263.9112223900502</v>
      </c>
      <c r="AL5597" s="2">
        <v>3909.06669745611</v>
      </c>
      <c r="AM5597" s="2">
        <v>4316.2122969212396</v>
      </c>
      <c r="AN5597" s="2">
        <v>4095.21489632886</v>
      </c>
      <c r="AO5597" s="2">
        <v>5184.7348786455404</v>
      </c>
      <c r="AP5597" s="2">
        <v>4316.2845987361798</v>
      </c>
    </row>
    <row r="5598" spans="1:42" ht="14.5" x14ac:dyDescent="0.35">
      <c r="A5598" s="2" t="s">
        <v>37121</v>
      </c>
      <c r="B5598" s="2">
        <v>412.03581221264</v>
      </c>
      <c r="C5598" s="2">
        <v>1.3109999999999999</v>
      </c>
      <c r="D5598" s="2" t="s">
        <v>34</v>
      </c>
      <c r="E5598" s="2" t="s">
        <v>37122</v>
      </c>
      <c r="F5598" s="2">
        <v>58177</v>
      </c>
      <c r="G5598" s="3" t="str">
        <f>HYPERLINK("http://funmeta.oebiotech.com/network/58177", "http://funmeta.oebiotech.com/network/58177")</f>
        <v>http://funmeta.oebiotech.com/network/58177</v>
      </c>
      <c r="H5598" s="2" t="s">
        <v>37123</v>
      </c>
      <c r="I5598" s="2"/>
      <c r="J5598" s="2"/>
      <c r="K5598" s="2">
        <v>8454</v>
      </c>
      <c r="L5598" s="2" t="s">
        <v>37124</v>
      </c>
      <c r="M5598" s="2"/>
      <c r="N5598" s="2"/>
      <c r="O5598" s="2">
        <v>12309644</v>
      </c>
      <c r="P5598" s="2" t="s">
        <v>37125</v>
      </c>
      <c r="Q5598" s="2" t="s">
        <v>37126</v>
      </c>
      <c r="R5598" s="2" t="s">
        <v>37127</v>
      </c>
      <c r="S5598" s="2" t="s">
        <v>79</v>
      </c>
      <c r="T5598" s="2" t="s">
        <v>80</v>
      </c>
      <c r="U5598" s="2" t="s">
        <v>81</v>
      </c>
      <c r="V5598" s="2" t="s">
        <v>59</v>
      </c>
      <c r="W5598" s="2">
        <v>36.6</v>
      </c>
      <c r="X5598" s="2">
        <v>0</v>
      </c>
      <c r="Y5598" s="2" t="s">
        <v>323</v>
      </c>
      <c r="Z5598" s="2" t="s">
        <v>37128</v>
      </c>
      <c r="AA5598" s="2">
        <v>3.9936839161524702</v>
      </c>
      <c r="AB5598" s="2">
        <v>7.29119852103743E-2</v>
      </c>
      <c r="AC5598" s="2">
        <v>4074.7770182096501</v>
      </c>
      <c r="AD5598" s="2">
        <v>4589.8008488913001</v>
      </c>
      <c r="AE5598" s="2">
        <v>4136.4544488314104</v>
      </c>
      <c r="AF5598" s="2">
        <v>3941.9552706883301</v>
      </c>
      <c r="AG5598" s="2">
        <v>4013.8934852839302</v>
      </c>
      <c r="AH5598" s="2">
        <v>3771.7384840782802</v>
      </c>
      <c r="AI5598" s="2">
        <v>4352.88017665188</v>
      </c>
      <c r="AJ5598" s="2">
        <v>4231.7402437240598</v>
      </c>
      <c r="AK5598" s="2">
        <v>4305.68699602163</v>
      </c>
      <c r="AL5598" s="2">
        <v>4471.65688941196</v>
      </c>
      <c r="AM5598" s="2">
        <v>4471.4339690581601</v>
      </c>
      <c r="AN5598" s="2">
        <v>5335.6711458650698</v>
      </c>
      <c r="AO5598" s="2">
        <v>4277.6391256817997</v>
      </c>
      <c r="AP5598" s="2">
        <v>4676.7169673091603</v>
      </c>
    </row>
    <row r="5599" spans="1:42" ht="14.5" x14ac:dyDescent="0.35">
      <c r="A5599" s="2" t="s">
        <v>37129</v>
      </c>
      <c r="B5599" s="2">
        <v>581.19784191005203</v>
      </c>
      <c r="C5599" s="2">
        <v>5.8977166666666703</v>
      </c>
      <c r="D5599" s="2" t="s">
        <v>70</v>
      </c>
      <c r="E5599" s="2" t="s">
        <v>37130</v>
      </c>
      <c r="F5599" s="2">
        <v>205706</v>
      </c>
      <c r="G5599" s="3" t="str">
        <f>HYPERLINK("http://funmeta.oebiotech.com/network/205706", "http://funmeta.oebiotech.com/network/205706")</f>
        <v>http://funmeta.oebiotech.com/network/205706</v>
      </c>
      <c r="H5599" s="2" t="s">
        <v>37131</v>
      </c>
      <c r="I5599" s="2"/>
      <c r="J5599" s="2"/>
      <c r="K5599" s="2"/>
      <c r="L5599" s="2"/>
      <c r="M5599" s="2"/>
      <c r="N5599" s="2"/>
      <c r="O5599" s="2">
        <v>174121</v>
      </c>
      <c r="P5599" s="2"/>
      <c r="Q5599" s="2" t="s">
        <v>37132</v>
      </c>
      <c r="R5599" s="2" t="s">
        <v>37133</v>
      </c>
      <c r="S5599" s="2" t="s">
        <v>41</v>
      </c>
      <c r="T5599" s="2" t="s">
        <v>41</v>
      </c>
      <c r="U5599" s="2" t="s">
        <v>41</v>
      </c>
      <c r="V5599" s="2" t="s">
        <v>59</v>
      </c>
      <c r="W5599" s="2">
        <v>38.4</v>
      </c>
      <c r="X5599" s="2">
        <v>0</v>
      </c>
      <c r="Y5599" s="2" t="s">
        <v>560</v>
      </c>
      <c r="Z5599" s="2" t="s">
        <v>37134</v>
      </c>
      <c r="AA5599" s="2">
        <v>2.19726811427548</v>
      </c>
      <c r="AB5599" s="2">
        <v>7.2869916316357294E-2</v>
      </c>
      <c r="AC5599" s="2">
        <v>2695.9491232915602</v>
      </c>
      <c r="AD5599" s="2">
        <v>2148.8905946724199</v>
      </c>
      <c r="AE5599" s="2">
        <v>2689.4240992620698</v>
      </c>
      <c r="AF5599" s="2">
        <v>2420.75486925205</v>
      </c>
      <c r="AG5599" s="2">
        <v>2879.8824546062701</v>
      </c>
      <c r="AH5599" s="2">
        <v>2979.00930313656</v>
      </c>
      <c r="AI5599" s="2">
        <v>2755.4087775297899</v>
      </c>
      <c r="AJ5599" s="2">
        <v>2451.2152359626002</v>
      </c>
      <c r="AK5599" s="2">
        <v>2262.5393699467099</v>
      </c>
      <c r="AL5599" s="2">
        <v>2296.9519169390301</v>
      </c>
      <c r="AM5599" s="2">
        <v>1987.0882083998199</v>
      </c>
      <c r="AN5599" s="2">
        <v>2418.4394764198601</v>
      </c>
      <c r="AO5599" s="2">
        <v>1307.2048295054101</v>
      </c>
      <c r="AP5599" s="2">
        <v>2621.11976682368</v>
      </c>
    </row>
    <row r="5600" spans="1:42" ht="14.5" x14ac:dyDescent="0.35">
      <c r="A5600" s="2" t="s">
        <v>37135</v>
      </c>
      <c r="B5600" s="2">
        <v>427.124103210714</v>
      </c>
      <c r="C5600" s="2">
        <v>4.5236333333333301</v>
      </c>
      <c r="D5600" s="2" t="s">
        <v>70</v>
      </c>
      <c r="E5600" s="2" t="s">
        <v>37136</v>
      </c>
      <c r="F5600" s="2">
        <v>63288</v>
      </c>
      <c r="G5600" s="3" t="str">
        <f>HYPERLINK("http://funmeta.oebiotech.com/network/63288", "http://funmeta.oebiotech.com/network/63288")</f>
        <v>http://funmeta.oebiotech.com/network/63288</v>
      </c>
      <c r="H5600" s="2" t="s">
        <v>37137</v>
      </c>
      <c r="I5600" s="2">
        <v>94596</v>
      </c>
      <c r="J5600" s="2"/>
      <c r="K5600" s="2"/>
      <c r="L5600" s="2"/>
      <c r="M5600" s="2"/>
      <c r="N5600" s="2"/>
      <c r="O5600" s="2">
        <v>556940</v>
      </c>
      <c r="P5600" s="2" t="s">
        <v>37138</v>
      </c>
      <c r="Q5600" s="2" t="s">
        <v>37139</v>
      </c>
      <c r="R5600" s="2" t="s">
        <v>37140</v>
      </c>
      <c r="S5600" s="2" t="s">
        <v>491</v>
      </c>
      <c r="T5600" s="2" t="s">
        <v>2621</v>
      </c>
      <c r="U5600" s="2" t="s">
        <v>41</v>
      </c>
      <c r="V5600" s="2" t="s">
        <v>59</v>
      </c>
      <c r="W5600" s="2">
        <v>38.1</v>
      </c>
      <c r="X5600" s="2">
        <v>0</v>
      </c>
      <c r="Y5600" s="2" t="s">
        <v>560</v>
      </c>
      <c r="Z5600" s="2" t="s">
        <v>37141</v>
      </c>
      <c r="AA5600" s="2">
        <v>-3.1554994742370202</v>
      </c>
      <c r="AB5600" s="2">
        <v>7.2837686443395097E-2</v>
      </c>
      <c r="AC5600" s="2">
        <v>4843.1322604818697</v>
      </c>
      <c r="AD5600" s="2">
        <v>4139.3858511411499</v>
      </c>
      <c r="AE5600" s="2">
        <v>4780.8563858039297</v>
      </c>
      <c r="AF5600" s="2">
        <v>4809.7118560388999</v>
      </c>
      <c r="AG5600" s="2">
        <v>4879.7090147679</v>
      </c>
      <c r="AH5600" s="2">
        <v>5031.4029690698999</v>
      </c>
      <c r="AI5600" s="2">
        <v>5253.0578808547398</v>
      </c>
      <c r="AJ5600" s="2">
        <v>4304.0554563558499</v>
      </c>
      <c r="AK5600" s="2">
        <v>2773.33958327652</v>
      </c>
      <c r="AL5600" s="2">
        <v>5040.82912557904</v>
      </c>
      <c r="AM5600" s="2">
        <v>3956.4212154636198</v>
      </c>
      <c r="AN5600" s="2">
        <v>3487.3009442084699</v>
      </c>
      <c r="AO5600" s="2">
        <v>5000.4092607909097</v>
      </c>
      <c r="AP5600" s="2">
        <v>4578.0149775283498</v>
      </c>
    </row>
    <row r="5601" spans="1:42" ht="14.5" x14ac:dyDescent="0.35">
      <c r="A5601" s="2" t="s">
        <v>37142</v>
      </c>
      <c r="B5601" s="2">
        <v>145.10105559496699</v>
      </c>
      <c r="C5601" s="2">
        <v>5.8281166666666699</v>
      </c>
      <c r="D5601" s="2" t="s">
        <v>34</v>
      </c>
      <c r="E5601" s="2" t="s">
        <v>37143</v>
      </c>
      <c r="F5601" s="2">
        <v>55812</v>
      </c>
      <c r="G5601" s="3" t="str">
        <f>HYPERLINK("http://funmeta.oebiotech.com/network/55812", "http://funmeta.oebiotech.com/network/55812")</f>
        <v>http://funmeta.oebiotech.com/network/55812</v>
      </c>
      <c r="H5601" s="2" t="s">
        <v>37144</v>
      </c>
      <c r="I5601" s="2">
        <v>87496</v>
      </c>
      <c r="J5601" s="2"/>
      <c r="K5601" s="2">
        <v>36812</v>
      </c>
      <c r="L5601" s="2"/>
      <c r="M5601" s="2"/>
      <c r="N5601" s="2"/>
      <c r="O5601" s="2">
        <v>66093</v>
      </c>
      <c r="P5601" s="2" t="s">
        <v>37145</v>
      </c>
      <c r="Q5601" s="2" t="s">
        <v>37146</v>
      </c>
      <c r="R5601" s="2" t="s">
        <v>37147</v>
      </c>
      <c r="S5601" s="2" t="s">
        <v>79</v>
      </c>
      <c r="T5601" s="2" t="s">
        <v>80</v>
      </c>
      <c r="U5601" s="2" t="s">
        <v>2820</v>
      </c>
      <c r="V5601" s="2" t="s">
        <v>59</v>
      </c>
      <c r="W5601" s="2">
        <v>38.700000000000003</v>
      </c>
      <c r="X5601" s="2">
        <v>0</v>
      </c>
      <c r="Y5601" s="2" t="s">
        <v>141</v>
      </c>
      <c r="Z5601" s="2" t="s">
        <v>36656</v>
      </c>
      <c r="AA5601" s="2">
        <v>-0.74781143906725001</v>
      </c>
      <c r="AB5601" s="2">
        <v>7.2810565963330298E-2</v>
      </c>
      <c r="AC5601" s="2">
        <v>10058.0951820836</v>
      </c>
      <c r="AD5601" s="2">
        <v>9462.7752102414197</v>
      </c>
      <c r="AE5601" s="2">
        <v>9593.39681560795</v>
      </c>
      <c r="AF5601" s="2">
        <v>10480.922887545499</v>
      </c>
      <c r="AG5601" s="2">
        <v>9569.9246204046904</v>
      </c>
      <c r="AH5601" s="2">
        <v>9470.6976191195808</v>
      </c>
      <c r="AI5601" s="2">
        <v>10244.178762548299</v>
      </c>
      <c r="AJ5601" s="2">
        <v>10989.450387275399</v>
      </c>
      <c r="AK5601" s="2">
        <v>9315.1215390679099</v>
      </c>
      <c r="AL5601" s="2">
        <v>9657.7483960760292</v>
      </c>
      <c r="AM5601" s="2">
        <v>9657.69089310042</v>
      </c>
      <c r="AN5601" s="2">
        <v>9243.55609716449</v>
      </c>
      <c r="AO5601" s="2">
        <v>9473.98136681906</v>
      </c>
      <c r="AP5601" s="2">
        <v>9428.5529692206292</v>
      </c>
    </row>
    <row r="5602" spans="1:42" ht="14.5" x14ac:dyDescent="0.35">
      <c r="A5602" s="2" t="s">
        <v>37148</v>
      </c>
      <c r="B5602" s="2">
        <v>193.15861905251299</v>
      </c>
      <c r="C5602" s="2">
        <v>10.5845</v>
      </c>
      <c r="D5602" s="2" t="s">
        <v>34</v>
      </c>
      <c r="E5602" s="2" t="s">
        <v>37149</v>
      </c>
      <c r="F5602" s="2">
        <v>60362</v>
      </c>
      <c r="G5602" s="3" t="str">
        <f>HYPERLINK("http://funmeta.oebiotech.com/network/60362", "http://funmeta.oebiotech.com/network/60362")</f>
        <v>http://funmeta.oebiotech.com/network/60362</v>
      </c>
      <c r="H5602" s="2" t="s">
        <v>37150</v>
      </c>
      <c r="I5602" s="2">
        <v>91721</v>
      </c>
      <c r="J5602" s="2"/>
      <c r="K5602" s="2"/>
      <c r="L5602" s="2"/>
      <c r="M5602" s="2"/>
      <c r="N5602" s="2"/>
      <c r="O5602" s="2">
        <v>66963592</v>
      </c>
      <c r="P5602" s="2" t="s">
        <v>37151</v>
      </c>
      <c r="Q5602" s="2" t="s">
        <v>37152</v>
      </c>
      <c r="R5602" s="2" t="s">
        <v>37153</v>
      </c>
      <c r="S5602" s="2" t="s">
        <v>79</v>
      </c>
      <c r="T5602" s="2" t="s">
        <v>80</v>
      </c>
      <c r="U5602" s="2" t="s">
        <v>2021</v>
      </c>
      <c r="V5602" s="2" t="s">
        <v>42</v>
      </c>
      <c r="W5602" s="2">
        <v>50.6</v>
      </c>
      <c r="X5602" s="2">
        <v>57.3</v>
      </c>
      <c r="Y5602" s="2" t="s">
        <v>394</v>
      </c>
      <c r="Z5602" s="2" t="s">
        <v>25429</v>
      </c>
      <c r="AA5602" s="2">
        <v>-0.37803753070516799</v>
      </c>
      <c r="AB5602" s="2">
        <v>7.2761535885621398E-2</v>
      </c>
      <c r="AC5602" s="2">
        <v>6815.7122344989803</v>
      </c>
      <c r="AD5602" s="2">
        <v>7374.14917143815</v>
      </c>
      <c r="AE5602" s="2">
        <v>6493.8472768463198</v>
      </c>
      <c r="AF5602" s="2">
        <v>6710.5593301326398</v>
      </c>
      <c r="AG5602" s="2">
        <v>7108.8777289354703</v>
      </c>
      <c r="AH5602" s="2">
        <v>6994.8088785971304</v>
      </c>
      <c r="AI5602" s="2">
        <v>6537.5065150128403</v>
      </c>
      <c r="AJ5602" s="2">
        <v>7048.67367746947</v>
      </c>
      <c r="AK5602" s="2">
        <v>8054.4115527902704</v>
      </c>
      <c r="AL5602" s="2">
        <v>7382.2822581953897</v>
      </c>
      <c r="AM5602" s="2">
        <v>6811.9612680405398</v>
      </c>
      <c r="AN5602" s="2">
        <v>7373.9572720316401</v>
      </c>
      <c r="AO5602" s="2">
        <v>7690.4179964467403</v>
      </c>
      <c r="AP5602" s="2">
        <v>6931.8646811243198</v>
      </c>
    </row>
    <row r="5603" spans="1:42" ht="14.5" x14ac:dyDescent="0.35">
      <c r="A5603" s="2" t="s">
        <v>37154</v>
      </c>
      <c r="B5603" s="2">
        <v>282.09572945194702</v>
      </c>
      <c r="C5603" s="2">
        <v>3.6251333333333302</v>
      </c>
      <c r="D5603" s="2" t="s">
        <v>34</v>
      </c>
      <c r="E5603" s="2" t="s">
        <v>37155</v>
      </c>
      <c r="F5603" s="2">
        <v>254951</v>
      </c>
      <c r="G5603" s="3" t="str">
        <f>HYPERLINK("http://funmeta.oebiotech.com/network/254951", "http://funmeta.oebiotech.com/network/254951")</f>
        <v>http://funmeta.oebiotech.com/network/254951</v>
      </c>
      <c r="H5603" s="2" t="s">
        <v>37156</v>
      </c>
      <c r="I5603" s="2"/>
      <c r="J5603" s="2"/>
      <c r="K5603" s="2">
        <v>49310</v>
      </c>
      <c r="L5603" s="2" t="s">
        <v>37157</v>
      </c>
      <c r="M5603" s="2" t="s">
        <v>37158</v>
      </c>
      <c r="N5603" s="2" t="s">
        <v>37159</v>
      </c>
      <c r="O5603" s="2">
        <v>23724732</v>
      </c>
      <c r="P5603" s="2"/>
      <c r="Q5603" s="2" t="s">
        <v>37160</v>
      </c>
      <c r="R5603" s="2" t="s">
        <v>37161</v>
      </c>
      <c r="S5603" s="2" t="s">
        <v>1444</v>
      </c>
      <c r="T5603" s="2" t="s">
        <v>3595</v>
      </c>
      <c r="U5603" s="2" t="s">
        <v>41</v>
      </c>
      <c r="V5603" s="2" t="s">
        <v>59</v>
      </c>
      <c r="W5603" s="2">
        <v>37.200000000000003</v>
      </c>
      <c r="X5603" s="2">
        <v>0</v>
      </c>
      <c r="Y5603" s="2" t="s">
        <v>141</v>
      </c>
      <c r="Z5603" s="2" t="s">
        <v>37162</v>
      </c>
      <c r="AA5603" s="2">
        <v>-0.47313962332463499</v>
      </c>
      <c r="AB5603" s="2">
        <v>7.2753950667233905E-2</v>
      </c>
      <c r="AC5603" s="2">
        <v>2284.6227374882701</v>
      </c>
      <c r="AD5603" s="2">
        <v>2726.4328610172402</v>
      </c>
      <c r="AE5603" s="2">
        <v>2564.9020151060699</v>
      </c>
      <c r="AF5603" s="2">
        <v>2482.6874032017199</v>
      </c>
      <c r="AG5603" s="2">
        <v>1964.97852816255</v>
      </c>
      <c r="AH5603" s="2">
        <v>2166.4008430962699</v>
      </c>
      <c r="AI5603" s="2">
        <v>2345.4959734274898</v>
      </c>
      <c r="AJ5603" s="2">
        <v>2183.2716619355101</v>
      </c>
      <c r="AK5603" s="2">
        <v>2719.95994855861</v>
      </c>
      <c r="AL5603" s="2">
        <v>2765.40601731281</v>
      </c>
      <c r="AM5603" s="2">
        <v>2770.9327673345801</v>
      </c>
      <c r="AN5603" s="2">
        <v>2893.39420146162</v>
      </c>
      <c r="AO5603" s="2">
        <v>2777.0986741123102</v>
      </c>
      <c r="AP5603" s="2">
        <v>2431.8055573234801</v>
      </c>
    </row>
    <row r="5604" spans="1:42" ht="14.5" x14ac:dyDescent="0.35">
      <c r="A5604" s="2" t="s">
        <v>37163</v>
      </c>
      <c r="B5604" s="2">
        <v>401.123851717918</v>
      </c>
      <c r="C5604" s="2">
        <v>5.5805999999999996</v>
      </c>
      <c r="D5604" s="2" t="s">
        <v>70</v>
      </c>
      <c r="E5604" s="2" t="s">
        <v>37164</v>
      </c>
      <c r="F5604" s="2">
        <v>33681</v>
      </c>
      <c r="G5604" s="3" t="str">
        <f>HYPERLINK("http://funmeta.oebiotech.com/network/33681", "http://funmeta.oebiotech.com/network/33681")</f>
        <v>http://funmeta.oebiotech.com/network/33681</v>
      </c>
      <c r="H5604" s="2"/>
      <c r="I5604" s="2">
        <v>51994</v>
      </c>
      <c r="J5604" s="2" t="s">
        <v>37165</v>
      </c>
      <c r="K5604" s="2"/>
      <c r="L5604" s="2"/>
      <c r="M5604" s="2"/>
      <c r="N5604" s="2"/>
      <c r="O5604" s="2">
        <v>42607583</v>
      </c>
      <c r="P5604" s="2"/>
      <c r="Q5604" s="2" t="s">
        <v>37166</v>
      </c>
      <c r="R5604" s="2" t="s">
        <v>37167</v>
      </c>
      <c r="S5604" s="2" t="s">
        <v>115</v>
      </c>
      <c r="T5604" s="2" t="s">
        <v>139</v>
      </c>
      <c r="U5604" s="2" t="s">
        <v>140</v>
      </c>
      <c r="V5604" s="2" t="s">
        <v>42</v>
      </c>
      <c r="W5604" s="2">
        <v>50</v>
      </c>
      <c r="X5604" s="2">
        <v>56.9</v>
      </c>
      <c r="Y5604" s="2" t="s">
        <v>286</v>
      </c>
      <c r="Z5604" s="2" t="s">
        <v>10243</v>
      </c>
      <c r="AA5604" s="2">
        <v>-0.84428135886327005</v>
      </c>
      <c r="AB5604" s="2">
        <v>7.2732716930229202E-2</v>
      </c>
      <c r="AC5604" s="2">
        <v>61664.204982997602</v>
      </c>
      <c r="AD5604" s="2">
        <v>59832.162924572498</v>
      </c>
      <c r="AE5604" s="2">
        <v>71328.621296506797</v>
      </c>
      <c r="AF5604" s="2">
        <v>64230.406228525702</v>
      </c>
      <c r="AG5604" s="2">
        <v>63725.680613861899</v>
      </c>
      <c r="AH5604" s="2">
        <v>55644.700757331098</v>
      </c>
      <c r="AI5604" s="2">
        <v>56904.697935332697</v>
      </c>
      <c r="AJ5604" s="2">
        <v>58151.123066427703</v>
      </c>
      <c r="AK5604" s="2">
        <v>67333.903026775297</v>
      </c>
      <c r="AL5604" s="2">
        <v>62856.378371865998</v>
      </c>
      <c r="AM5604" s="2">
        <v>62986.851779869998</v>
      </c>
      <c r="AN5604" s="2">
        <v>53266.946078663299</v>
      </c>
      <c r="AO5604" s="2">
        <v>56084.940485327097</v>
      </c>
      <c r="AP5604" s="2">
        <v>56463.957804933401</v>
      </c>
    </row>
    <row r="5605" spans="1:42" ht="14.5" x14ac:dyDescent="0.35">
      <c r="A5605" s="2" t="s">
        <v>37168</v>
      </c>
      <c r="B5605" s="2">
        <v>147.095637850473</v>
      </c>
      <c r="C5605" s="2">
        <v>0.78071666666666695</v>
      </c>
      <c r="D5605" s="2" t="s">
        <v>34</v>
      </c>
      <c r="E5605" s="2" t="s">
        <v>37169</v>
      </c>
      <c r="F5605" s="2">
        <v>56709</v>
      </c>
      <c r="G5605" s="3" t="str">
        <f>HYPERLINK("http://funmeta.oebiotech.com/network/56709", "http://funmeta.oebiotech.com/network/56709")</f>
        <v>http://funmeta.oebiotech.com/network/56709</v>
      </c>
      <c r="H5605" s="2" t="s">
        <v>37170</v>
      </c>
      <c r="I5605" s="2">
        <v>88376</v>
      </c>
      <c r="J5605" s="2"/>
      <c r="K5605" s="2"/>
      <c r="L5605" s="2"/>
      <c r="M5605" s="2"/>
      <c r="N5605" s="2"/>
      <c r="O5605" s="2">
        <v>79086</v>
      </c>
      <c r="P5605" s="2" t="s">
        <v>37171</v>
      </c>
      <c r="Q5605" s="2" t="s">
        <v>37172</v>
      </c>
      <c r="R5605" s="2" t="s">
        <v>37173</v>
      </c>
      <c r="S5605" s="2" t="s">
        <v>5916</v>
      </c>
      <c r="T5605" s="2" t="s">
        <v>33870</v>
      </c>
      <c r="U5605" s="2" t="s">
        <v>41</v>
      </c>
      <c r="V5605" s="2" t="s">
        <v>59</v>
      </c>
      <c r="W5605" s="2">
        <v>36.700000000000003</v>
      </c>
      <c r="X5605" s="2">
        <v>0</v>
      </c>
      <c r="Y5605" s="2" t="s">
        <v>43</v>
      </c>
      <c r="Z5605" s="2" t="s">
        <v>37174</v>
      </c>
      <c r="AA5605" s="2">
        <v>4.5866829811842997</v>
      </c>
      <c r="AB5605" s="2">
        <v>7.2683177237300597E-2</v>
      </c>
      <c r="AC5605" s="2">
        <v>2007.8298923697701</v>
      </c>
      <c r="AD5605" s="2">
        <v>1425.2796484596499</v>
      </c>
      <c r="AE5605" s="2">
        <v>2195.6924896467299</v>
      </c>
      <c r="AF5605" s="2">
        <v>1952.83181265243</v>
      </c>
      <c r="AG5605" s="2">
        <v>1776.3551986945599</v>
      </c>
      <c r="AH5605" s="2">
        <v>1816.6300067458401</v>
      </c>
      <c r="AI5605" s="2">
        <v>2067.2937032185</v>
      </c>
      <c r="AJ5605" s="2">
        <v>2238.1761432605399</v>
      </c>
      <c r="AK5605" s="2">
        <v>2377.4319508184099</v>
      </c>
      <c r="AL5605" s="2">
        <v>1542.3440616846101</v>
      </c>
      <c r="AM5605" s="2">
        <v>1052.52941323707</v>
      </c>
      <c r="AN5605" s="2">
        <v>1036.47973859334</v>
      </c>
      <c r="AO5605" s="2">
        <v>1740.72967368745</v>
      </c>
      <c r="AP5605" s="2">
        <v>802.16305273702596</v>
      </c>
    </row>
    <row r="5606" spans="1:42" ht="14.5" x14ac:dyDescent="0.35">
      <c r="A5606" s="2" t="s">
        <v>37175</v>
      </c>
      <c r="B5606" s="2">
        <v>675.22507219405395</v>
      </c>
      <c r="C5606" s="2">
        <v>5.7854333333333301</v>
      </c>
      <c r="D5606" s="2" t="s">
        <v>70</v>
      </c>
      <c r="E5606" s="2" t="s">
        <v>37176</v>
      </c>
      <c r="F5606" s="2">
        <v>57979</v>
      </c>
      <c r="G5606" s="3" t="str">
        <f>HYPERLINK("http://funmeta.oebiotech.com/network/57979", "http://funmeta.oebiotech.com/network/57979")</f>
        <v>http://funmeta.oebiotech.com/network/57979</v>
      </c>
      <c r="H5606" s="2" t="s">
        <v>37177</v>
      </c>
      <c r="I5606" s="2">
        <v>64196</v>
      </c>
      <c r="J5606" s="2"/>
      <c r="K5606" s="2">
        <v>65737</v>
      </c>
      <c r="L5606" s="2" t="s">
        <v>37178</v>
      </c>
      <c r="M5606" s="2" t="s">
        <v>8986</v>
      </c>
      <c r="N5606" s="2" t="s">
        <v>8987</v>
      </c>
      <c r="O5606" s="2">
        <v>5469424</v>
      </c>
      <c r="P5606" s="2" t="s">
        <v>37179</v>
      </c>
      <c r="Q5606" s="2" t="s">
        <v>37180</v>
      </c>
      <c r="R5606" s="2" t="s">
        <v>37181</v>
      </c>
      <c r="S5606" s="2" t="s">
        <v>115</v>
      </c>
      <c r="T5606" s="2" t="s">
        <v>575</v>
      </c>
      <c r="U5606" s="2" t="s">
        <v>576</v>
      </c>
      <c r="V5606" s="2" t="s">
        <v>59</v>
      </c>
      <c r="W5606" s="2">
        <v>38.9</v>
      </c>
      <c r="X5606" s="2">
        <v>0</v>
      </c>
      <c r="Y5606" s="2" t="s">
        <v>560</v>
      </c>
      <c r="Z5606" s="2" t="s">
        <v>37182</v>
      </c>
      <c r="AA5606" s="2">
        <v>2.22006425722254</v>
      </c>
      <c r="AB5606" s="2">
        <v>7.2609450194071307E-2</v>
      </c>
      <c r="AC5606" s="2">
        <v>6967.2095886814004</v>
      </c>
      <c r="AD5606" s="2">
        <v>6058.3646371315699</v>
      </c>
      <c r="AE5606" s="2">
        <v>6361.13210582994</v>
      </c>
      <c r="AF5606" s="2">
        <v>4981.24028105457</v>
      </c>
      <c r="AG5606" s="2">
        <v>6752.3724715475</v>
      </c>
      <c r="AH5606" s="2">
        <v>7171.2379905858998</v>
      </c>
      <c r="AI5606" s="2">
        <v>8948.7770176092708</v>
      </c>
      <c r="AJ5606" s="2">
        <v>7588.4976654612101</v>
      </c>
      <c r="AK5606" s="2">
        <v>5259.6707679067604</v>
      </c>
      <c r="AL5606" s="2">
        <v>6565.9940142314399</v>
      </c>
      <c r="AM5606" s="2">
        <v>6294.37768114357</v>
      </c>
      <c r="AN5606" s="2">
        <v>4698.9258556700897</v>
      </c>
      <c r="AO5606" s="2">
        <v>7494.4131327649702</v>
      </c>
      <c r="AP5606" s="2">
        <v>6036.8063710725601</v>
      </c>
    </row>
    <row r="5607" spans="1:42" ht="14.5" x14ac:dyDescent="0.35">
      <c r="A5607" s="2" t="s">
        <v>37183</v>
      </c>
      <c r="B5607" s="2">
        <v>837.330887147201</v>
      </c>
      <c r="C5607" s="2">
        <v>5.4125166666666704</v>
      </c>
      <c r="D5607" s="2" t="s">
        <v>70</v>
      </c>
      <c r="E5607" s="2" t="s">
        <v>37184</v>
      </c>
      <c r="F5607" s="2">
        <v>274662</v>
      </c>
      <c r="G5607" s="3" t="str">
        <f>HYPERLINK("http://funmeta.oebiotech.com/network/274662", "http://funmeta.oebiotech.com/network/274662")</f>
        <v>http://funmeta.oebiotech.com/network/274662</v>
      </c>
      <c r="H5607" s="2"/>
      <c r="I5607" s="2">
        <v>64823</v>
      </c>
      <c r="J5607" s="2"/>
      <c r="K5607" s="2"/>
      <c r="L5607" s="2"/>
      <c r="M5607" s="2"/>
      <c r="N5607" s="2"/>
      <c r="O5607" s="2">
        <v>24859184</v>
      </c>
      <c r="P5607" s="2"/>
      <c r="Q5607" s="2" t="s">
        <v>37185</v>
      </c>
      <c r="R5607" s="2" t="s">
        <v>37186</v>
      </c>
      <c r="S5607" s="2" t="s">
        <v>148</v>
      </c>
      <c r="T5607" s="2" t="s">
        <v>149</v>
      </c>
      <c r="U5607" s="2" t="s">
        <v>22605</v>
      </c>
      <c r="V5607" s="2" t="s">
        <v>59</v>
      </c>
      <c r="W5607" s="2">
        <v>38.1</v>
      </c>
      <c r="X5607" s="2">
        <v>0</v>
      </c>
      <c r="Y5607" s="2" t="s">
        <v>408</v>
      </c>
      <c r="Z5607" s="2" t="s">
        <v>37187</v>
      </c>
      <c r="AA5607" s="2">
        <v>0.64615805087483502</v>
      </c>
      <c r="AB5607" s="2">
        <v>7.2597239073784195E-2</v>
      </c>
      <c r="AC5607" s="2">
        <v>33273.752897952203</v>
      </c>
      <c r="AD5607" s="2">
        <v>34876.746025247798</v>
      </c>
      <c r="AE5607" s="2">
        <v>30719.3822313491</v>
      </c>
      <c r="AF5607" s="2">
        <v>31111.029154087399</v>
      </c>
      <c r="AG5607" s="2">
        <v>34900.263796605097</v>
      </c>
      <c r="AH5607" s="2">
        <v>33038.295363481797</v>
      </c>
      <c r="AI5607" s="2">
        <v>36348.3173760141</v>
      </c>
      <c r="AJ5607" s="2">
        <v>33525.229466175799</v>
      </c>
      <c r="AK5607" s="2">
        <v>28638.883023288199</v>
      </c>
      <c r="AL5607" s="2">
        <v>42163.3587965919</v>
      </c>
      <c r="AM5607" s="2">
        <v>34081.6394162004</v>
      </c>
      <c r="AN5607" s="2">
        <v>30358.0830479258</v>
      </c>
      <c r="AO5607" s="2">
        <v>34609.7994030025</v>
      </c>
      <c r="AP5607" s="2">
        <v>39408.712464477998</v>
      </c>
    </row>
    <row r="5608" spans="1:42" ht="14.5" x14ac:dyDescent="0.35">
      <c r="A5608" s="2" t="s">
        <v>37188</v>
      </c>
      <c r="B5608" s="2">
        <v>401.143920484749</v>
      </c>
      <c r="C5608" s="2">
        <v>5.04155</v>
      </c>
      <c r="D5608" s="2" t="s">
        <v>70</v>
      </c>
      <c r="E5608" s="2" t="s">
        <v>37189</v>
      </c>
      <c r="F5608" s="2">
        <v>205294</v>
      </c>
      <c r="G5608" s="3" t="str">
        <f>HYPERLINK("http://funmeta.oebiotech.com/network/205294", "http://funmeta.oebiotech.com/network/205294")</f>
        <v>http://funmeta.oebiotech.com/network/205294</v>
      </c>
      <c r="H5608" s="2" t="s">
        <v>37190</v>
      </c>
      <c r="I5608" s="2"/>
      <c r="J5608" s="2"/>
      <c r="K5608" s="2"/>
      <c r="L5608" s="2"/>
      <c r="M5608" s="2"/>
      <c r="N5608" s="2"/>
      <c r="O5608" s="2">
        <v>129652103</v>
      </c>
      <c r="P5608" s="2"/>
      <c r="Q5608" s="2" t="s">
        <v>37191</v>
      </c>
      <c r="R5608" s="2" t="s">
        <v>37192</v>
      </c>
      <c r="S5608" s="2" t="s">
        <v>41</v>
      </c>
      <c r="T5608" s="2" t="s">
        <v>41</v>
      </c>
      <c r="U5608" s="2" t="s">
        <v>41</v>
      </c>
      <c r="V5608" s="2" t="s">
        <v>59</v>
      </c>
      <c r="W5608" s="2">
        <v>38.9</v>
      </c>
      <c r="X5608" s="2">
        <v>0</v>
      </c>
      <c r="Y5608" s="2" t="s">
        <v>560</v>
      </c>
      <c r="Z5608" s="2" t="s">
        <v>37193</v>
      </c>
      <c r="AA5608" s="2">
        <v>3.1958876310432101</v>
      </c>
      <c r="AB5608" s="2">
        <v>7.2560898687939801E-2</v>
      </c>
      <c r="AC5608" s="2">
        <v>2704.28350926446</v>
      </c>
      <c r="AD5608" s="2">
        <v>2112.2673308058002</v>
      </c>
      <c r="AE5608" s="2">
        <v>2230.1654686925599</v>
      </c>
      <c r="AF5608" s="2">
        <v>2900.4473934744101</v>
      </c>
      <c r="AG5608" s="2">
        <v>2813.4150543441701</v>
      </c>
      <c r="AH5608" s="2">
        <v>2271.8838831305302</v>
      </c>
      <c r="AI5608" s="2">
        <v>3076.9557730853298</v>
      </c>
      <c r="AJ5608" s="2">
        <v>2932.8334828597799</v>
      </c>
      <c r="AK5608" s="2">
        <v>1502.98002275617</v>
      </c>
      <c r="AL5608" s="2">
        <v>1826.82210824352</v>
      </c>
      <c r="AM5608" s="2">
        <v>2956.3361992866899</v>
      </c>
      <c r="AN5608" s="2">
        <v>1847.1817282895699</v>
      </c>
      <c r="AO5608" s="2">
        <v>2364.5238312936399</v>
      </c>
      <c r="AP5608" s="2">
        <v>2175.7600949652001</v>
      </c>
    </row>
    <row r="5609" spans="1:42" ht="14.5" x14ac:dyDescent="0.35">
      <c r="A5609" s="2" t="s">
        <v>37194</v>
      </c>
      <c r="B5609" s="2">
        <v>439.18461306512199</v>
      </c>
      <c r="C5609" s="2">
        <v>2.01128333333333</v>
      </c>
      <c r="D5609" s="2" t="s">
        <v>70</v>
      </c>
      <c r="E5609" s="2" t="s">
        <v>37195</v>
      </c>
      <c r="F5609" s="2">
        <v>82588</v>
      </c>
      <c r="G5609" s="3" t="str">
        <f>HYPERLINK("http://funmeta.oebiotech.com/network/82588", "http://funmeta.oebiotech.com/network/82588")</f>
        <v>http://funmeta.oebiotech.com/network/82588</v>
      </c>
      <c r="H5609" s="2" t="s">
        <v>37196</v>
      </c>
      <c r="I5609" s="2">
        <v>2461</v>
      </c>
      <c r="J5609" s="2"/>
      <c r="K5609" s="2"/>
      <c r="L5609" s="2"/>
      <c r="M5609" s="2"/>
      <c r="N5609" s="2"/>
      <c r="O5609" s="2">
        <v>4122435</v>
      </c>
      <c r="P5609" s="2" t="s">
        <v>37197</v>
      </c>
      <c r="Q5609" s="2" t="s">
        <v>37198</v>
      </c>
      <c r="R5609" s="2" t="s">
        <v>37199</v>
      </c>
      <c r="S5609" s="2" t="s">
        <v>491</v>
      </c>
      <c r="T5609" s="2" t="s">
        <v>3019</v>
      </c>
      <c r="U5609" s="2" t="s">
        <v>3020</v>
      </c>
      <c r="V5609" s="2" t="s">
        <v>59</v>
      </c>
      <c r="W5609" s="2">
        <v>39</v>
      </c>
      <c r="X5609" s="2">
        <v>3.7</v>
      </c>
      <c r="Y5609" s="2" t="s">
        <v>560</v>
      </c>
      <c r="Z5609" s="2" t="s">
        <v>37200</v>
      </c>
      <c r="AA5609" s="2">
        <v>-0.36754229867205501</v>
      </c>
      <c r="AB5609" s="2">
        <v>7.2522253237006895E-2</v>
      </c>
      <c r="AC5609" s="2">
        <v>14615.071647904901</v>
      </c>
      <c r="AD5609" s="2">
        <v>15603.323060050599</v>
      </c>
      <c r="AE5609" s="2">
        <v>14531.699024039901</v>
      </c>
      <c r="AF5609" s="2">
        <v>12944.281500797701</v>
      </c>
      <c r="AG5609" s="2">
        <v>16649.481814226601</v>
      </c>
      <c r="AH5609" s="2">
        <v>14600.947232889101</v>
      </c>
      <c r="AI5609" s="2">
        <v>13420.853816635299</v>
      </c>
      <c r="AJ5609" s="2">
        <v>15543.166498841099</v>
      </c>
      <c r="AK5609" s="2">
        <v>13019.359032812499</v>
      </c>
      <c r="AL5609" s="2">
        <v>15699.6336580347</v>
      </c>
      <c r="AM5609" s="2">
        <v>14984.8256793606</v>
      </c>
      <c r="AN5609" s="2">
        <v>17595.1860910172</v>
      </c>
      <c r="AO5609" s="2">
        <v>16198.490194420499</v>
      </c>
      <c r="AP5609" s="2">
        <v>16122.443704658101</v>
      </c>
    </row>
    <row r="5610" spans="1:42" ht="14.5" x14ac:dyDescent="0.35">
      <c r="A5610" s="2" t="s">
        <v>37201</v>
      </c>
      <c r="B5610" s="2">
        <v>252.15013679099599</v>
      </c>
      <c r="C5610" s="2">
        <v>11.185316666666701</v>
      </c>
      <c r="D5610" s="2" t="s">
        <v>70</v>
      </c>
      <c r="E5610" s="2" t="s">
        <v>37202</v>
      </c>
      <c r="F5610" s="2">
        <v>266814</v>
      </c>
      <c r="G5610" s="3" t="str">
        <f>HYPERLINK("http://funmeta.oebiotech.com/network/266814", "http://funmeta.oebiotech.com/network/266814")</f>
        <v>http://funmeta.oebiotech.com/network/266814</v>
      </c>
      <c r="H5610" s="2"/>
      <c r="I5610" s="2">
        <v>44025</v>
      </c>
      <c r="J5610" s="2"/>
      <c r="K5610" s="2"/>
      <c r="L5610" s="2"/>
      <c r="M5610" s="2"/>
      <c r="N5610" s="2"/>
      <c r="O5610" s="2">
        <v>161313</v>
      </c>
      <c r="P5610" s="2" t="s">
        <v>37203</v>
      </c>
      <c r="Q5610" s="2" t="s">
        <v>37204</v>
      </c>
      <c r="R5610" s="2" t="s">
        <v>37205</v>
      </c>
      <c r="S5610" s="2" t="s">
        <v>491</v>
      </c>
      <c r="T5610" s="2" t="s">
        <v>2238</v>
      </c>
      <c r="U5610" s="2" t="s">
        <v>10577</v>
      </c>
      <c r="V5610" s="2" t="s">
        <v>59</v>
      </c>
      <c r="W5610" s="2">
        <v>36.200000000000003</v>
      </c>
      <c r="X5610" s="2">
        <v>0</v>
      </c>
      <c r="Y5610" s="2" t="s">
        <v>118</v>
      </c>
      <c r="Z5610" s="2" t="s">
        <v>37206</v>
      </c>
      <c r="AA5610" s="2">
        <v>-1.9134332300707599</v>
      </c>
      <c r="AB5610" s="2">
        <v>7.2494793940385799E-2</v>
      </c>
      <c r="AC5610" s="2">
        <v>1467.7666327965901</v>
      </c>
      <c r="AD5610" s="2">
        <v>1918.62041849107</v>
      </c>
      <c r="AE5610" s="2">
        <v>1302.29758643832</v>
      </c>
      <c r="AF5610" s="2">
        <v>1668.1001471135</v>
      </c>
      <c r="AG5610" s="2">
        <v>1447.9142390664899</v>
      </c>
      <c r="AH5610" s="2">
        <v>1493.58798212997</v>
      </c>
      <c r="AI5610" s="2">
        <v>1313.66123758449</v>
      </c>
      <c r="AJ5610" s="2">
        <v>1581.0386044468</v>
      </c>
      <c r="AK5610" s="2">
        <v>2201.1266145945201</v>
      </c>
      <c r="AL5610" s="2">
        <v>2007.43170425468</v>
      </c>
      <c r="AM5610" s="2">
        <v>1540.82579111667</v>
      </c>
      <c r="AN5610" s="2">
        <v>2150.8347699946999</v>
      </c>
      <c r="AO5610" s="2">
        <v>1854.7574263296999</v>
      </c>
      <c r="AP5610" s="2">
        <v>1756.74620465614</v>
      </c>
    </row>
    <row r="5611" spans="1:42" ht="14.5" x14ac:dyDescent="0.35">
      <c r="A5611" s="2" t="s">
        <v>37207</v>
      </c>
      <c r="B5611" s="2">
        <v>399.16296980830703</v>
      </c>
      <c r="C5611" s="2">
        <v>3.6251333333333302</v>
      </c>
      <c r="D5611" s="2" t="s">
        <v>34</v>
      </c>
      <c r="E5611" s="2" t="s">
        <v>37208</v>
      </c>
      <c r="F5611" s="2">
        <v>210465</v>
      </c>
      <c r="G5611" s="3" t="str">
        <f>HYPERLINK("http://funmeta.oebiotech.com/network/210465", "http://funmeta.oebiotech.com/network/210465")</f>
        <v>http://funmeta.oebiotech.com/network/210465</v>
      </c>
      <c r="H5611" s="2" t="s">
        <v>37209</v>
      </c>
      <c r="I5611" s="2">
        <v>329506</v>
      </c>
      <c r="J5611" s="2"/>
      <c r="K5611" s="2"/>
      <c r="L5611" s="2"/>
      <c r="M5611" s="2"/>
      <c r="N5611" s="2"/>
      <c r="O5611" s="2">
        <v>1684</v>
      </c>
      <c r="P5611" s="2"/>
      <c r="Q5611" s="2" t="s">
        <v>37210</v>
      </c>
      <c r="R5611" s="2" t="s">
        <v>37211</v>
      </c>
      <c r="S5611" s="2" t="s">
        <v>491</v>
      </c>
      <c r="T5611" s="2" t="s">
        <v>3519</v>
      </c>
      <c r="U5611" s="2" t="s">
        <v>37212</v>
      </c>
      <c r="V5611" s="2" t="s">
        <v>59</v>
      </c>
      <c r="W5611" s="2">
        <v>36.6</v>
      </c>
      <c r="X5611" s="2">
        <v>0</v>
      </c>
      <c r="Y5611" s="2" t="s">
        <v>43</v>
      </c>
      <c r="Z5611" s="2" t="s">
        <v>37213</v>
      </c>
      <c r="AA5611" s="2">
        <v>-2.3137301509925599</v>
      </c>
      <c r="AB5611" s="2">
        <v>7.2491183337069998E-2</v>
      </c>
      <c r="AC5611" s="2">
        <v>3105.1842036220401</v>
      </c>
      <c r="AD5611" s="2">
        <v>3623.1761227382299</v>
      </c>
      <c r="AE5611" s="2">
        <v>3390.5211376540801</v>
      </c>
      <c r="AF5611" s="2">
        <v>2699.8279909498601</v>
      </c>
      <c r="AG5611" s="2">
        <v>2955.3029595990602</v>
      </c>
      <c r="AH5611" s="2">
        <v>2758.3479710735501</v>
      </c>
      <c r="AI5611" s="2">
        <v>3421.8638703025499</v>
      </c>
      <c r="AJ5611" s="2">
        <v>3405.24129215315</v>
      </c>
      <c r="AK5611" s="2">
        <v>3252.05674676121</v>
      </c>
      <c r="AL5611" s="2">
        <v>3988.6398511591101</v>
      </c>
      <c r="AM5611" s="2">
        <v>3942.73311131337</v>
      </c>
      <c r="AN5611" s="2">
        <v>3520.4639854519</v>
      </c>
      <c r="AO5611" s="2">
        <v>3353.70666405255</v>
      </c>
      <c r="AP5611" s="2">
        <v>3681.45637769123</v>
      </c>
    </row>
    <row r="5612" spans="1:42" ht="14.5" x14ac:dyDescent="0.35">
      <c r="A5612" s="2" t="s">
        <v>37214</v>
      </c>
      <c r="B5612" s="2">
        <v>459.02614234494098</v>
      </c>
      <c r="C5612" s="2">
        <v>7.6856999999999998</v>
      </c>
      <c r="D5612" s="2" t="s">
        <v>70</v>
      </c>
      <c r="E5612" s="2" t="s">
        <v>37215</v>
      </c>
      <c r="F5612" s="2">
        <v>257573</v>
      </c>
      <c r="G5612" s="3" t="str">
        <f>HYPERLINK("http://funmeta.oebiotech.com/network/257573", "http://funmeta.oebiotech.com/network/257573")</f>
        <v>http://funmeta.oebiotech.com/network/257573</v>
      </c>
      <c r="H5612" s="2" t="s">
        <v>37216</v>
      </c>
      <c r="I5612" s="2">
        <v>72500</v>
      </c>
      <c r="J5612" s="2"/>
      <c r="K5612" s="2"/>
      <c r="L5612" s="2" t="s">
        <v>37217</v>
      </c>
      <c r="M5612" s="2"/>
      <c r="N5612" s="2"/>
      <c r="O5612" s="2">
        <v>8519</v>
      </c>
      <c r="P5612" s="2" t="s">
        <v>37218</v>
      </c>
      <c r="Q5612" s="2" t="s">
        <v>37219</v>
      </c>
      <c r="R5612" s="2" t="s">
        <v>37220</v>
      </c>
      <c r="S5612" s="2" t="s">
        <v>89</v>
      </c>
      <c r="T5612" s="2" t="s">
        <v>90</v>
      </c>
      <c r="U5612" s="2" t="s">
        <v>22612</v>
      </c>
      <c r="V5612" s="2" t="s">
        <v>59</v>
      </c>
      <c r="W5612" s="2">
        <v>39.6</v>
      </c>
      <c r="X5612" s="2">
        <v>0</v>
      </c>
      <c r="Y5612" s="2" t="s">
        <v>560</v>
      </c>
      <c r="Z5612" s="2" t="s">
        <v>37221</v>
      </c>
      <c r="AA5612" s="2">
        <v>-1.09891565012461E-2</v>
      </c>
      <c r="AB5612" s="2">
        <v>7.2480586310582296E-2</v>
      </c>
      <c r="AC5612" s="2">
        <v>3154.2870015010699</v>
      </c>
      <c r="AD5612" s="2">
        <v>3766.8319863997199</v>
      </c>
      <c r="AE5612" s="2">
        <v>2951.2640610617</v>
      </c>
      <c r="AF5612" s="2">
        <v>2619.4840176769098</v>
      </c>
      <c r="AG5612" s="2">
        <v>3330.5206502457199</v>
      </c>
      <c r="AH5612" s="2">
        <v>3998.3631093609602</v>
      </c>
      <c r="AI5612" s="2">
        <v>3095.13100831471</v>
      </c>
      <c r="AJ5612" s="2">
        <v>2930.9591623464098</v>
      </c>
      <c r="AK5612" s="2">
        <v>4039.04168642881</v>
      </c>
      <c r="AL5612" s="2">
        <v>4119.5952167015002</v>
      </c>
      <c r="AM5612" s="2">
        <v>4380.2723767615998</v>
      </c>
      <c r="AN5612" s="2">
        <v>3308.8312605060801</v>
      </c>
      <c r="AO5612" s="2">
        <v>3699.7562088096101</v>
      </c>
      <c r="AP5612" s="2">
        <v>3053.4951691907399</v>
      </c>
    </row>
    <row r="5613" spans="1:42" ht="14.5" x14ac:dyDescent="0.35">
      <c r="A5613" s="2" t="s">
        <v>37222</v>
      </c>
      <c r="B5613" s="2">
        <v>547.16668670356796</v>
      </c>
      <c r="C5613" s="2">
        <v>2.1595499999999999</v>
      </c>
      <c r="D5613" s="2" t="s">
        <v>70</v>
      </c>
      <c r="E5613" s="2" t="s">
        <v>37223</v>
      </c>
      <c r="F5613" s="2">
        <v>534723</v>
      </c>
      <c r="G5613" s="3" t="str">
        <f>HYPERLINK("http://funmeta.oebiotech.com/network/534723", "http://funmeta.oebiotech.com/network/534723")</f>
        <v>http://funmeta.oebiotech.com/network/534723</v>
      </c>
      <c r="H5613" s="2"/>
      <c r="I5613" s="2">
        <v>985429</v>
      </c>
      <c r="J5613" s="2"/>
      <c r="K5613" s="2"/>
      <c r="L5613" s="2"/>
      <c r="M5613" s="2"/>
      <c r="N5613" s="2"/>
      <c r="O5613" s="2">
        <v>6326021</v>
      </c>
      <c r="P5613" s="2"/>
      <c r="Q5613" s="2" t="s">
        <v>37224</v>
      </c>
      <c r="R5613" s="2" t="s">
        <v>37225</v>
      </c>
      <c r="S5613" s="2" t="s">
        <v>115</v>
      </c>
      <c r="T5613" s="2" t="s">
        <v>116</v>
      </c>
      <c r="U5613" s="2" t="s">
        <v>117</v>
      </c>
      <c r="V5613" s="2" t="s">
        <v>59</v>
      </c>
      <c r="W5613" s="2">
        <v>39.5</v>
      </c>
      <c r="X5613" s="2">
        <v>0.34599999999999997</v>
      </c>
      <c r="Y5613" s="2" t="s">
        <v>118</v>
      </c>
      <c r="Z5613" s="2" t="s">
        <v>37226</v>
      </c>
      <c r="AA5613" s="2">
        <v>-0.28674113886027702</v>
      </c>
      <c r="AB5613" s="2">
        <v>7.2474352184727406E-2</v>
      </c>
      <c r="AC5613" s="2">
        <v>71139.416400446804</v>
      </c>
      <c r="AD5613" s="2">
        <v>72665.951985411695</v>
      </c>
      <c r="AE5613" s="2">
        <v>68832.285554714806</v>
      </c>
      <c r="AF5613" s="2">
        <v>65691.317789183697</v>
      </c>
      <c r="AG5613" s="2">
        <v>76493.669678044898</v>
      </c>
      <c r="AH5613" s="2">
        <v>71266.364588548298</v>
      </c>
      <c r="AI5613" s="2">
        <v>69053.478966778799</v>
      </c>
      <c r="AJ5613" s="2">
        <v>75499.381825410295</v>
      </c>
      <c r="AK5613" s="2">
        <v>71569.733775711793</v>
      </c>
      <c r="AL5613" s="2">
        <v>71611.476203394806</v>
      </c>
      <c r="AM5613" s="2">
        <v>73117.935987616904</v>
      </c>
      <c r="AN5613" s="2">
        <v>70226.032847131501</v>
      </c>
      <c r="AO5613" s="2">
        <v>71525.855708324205</v>
      </c>
      <c r="AP5613" s="2">
        <v>77944.677390291006</v>
      </c>
    </row>
    <row r="5614" spans="1:42" ht="14.5" x14ac:dyDescent="0.35">
      <c r="A5614" s="2" t="s">
        <v>37227</v>
      </c>
      <c r="B5614" s="2">
        <v>504.17254752098899</v>
      </c>
      <c r="C5614" s="2">
        <v>4.3281833333333299</v>
      </c>
      <c r="D5614" s="2" t="s">
        <v>70</v>
      </c>
      <c r="E5614" s="2" t="s">
        <v>37228</v>
      </c>
      <c r="F5614" s="2">
        <v>205775</v>
      </c>
      <c r="G5614" s="3" t="str">
        <f>HYPERLINK("http://funmeta.oebiotech.com/network/205775", "http://funmeta.oebiotech.com/network/205775")</f>
        <v>http://funmeta.oebiotech.com/network/205775</v>
      </c>
      <c r="H5614" s="2" t="s">
        <v>37229</v>
      </c>
      <c r="I5614" s="2">
        <v>4174</v>
      </c>
      <c r="J5614" s="2"/>
      <c r="K5614" s="2"/>
      <c r="L5614" s="2"/>
      <c r="M5614" s="2"/>
      <c r="N5614" s="2"/>
      <c r="O5614" s="2">
        <v>3012</v>
      </c>
      <c r="P5614" s="2" t="s">
        <v>37230</v>
      </c>
      <c r="Q5614" s="2" t="s">
        <v>37231</v>
      </c>
      <c r="R5614" s="2" t="s">
        <v>37232</v>
      </c>
      <c r="S5614" s="2" t="s">
        <v>148</v>
      </c>
      <c r="T5614" s="2" t="s">
        <v>149</v>
      </c>
      <c r="U5614" s="2" t="s">
        <v>3473</v>
      </c>
      <c r="V5614" s="2" t="s">
        <v>59</v>
      </c>
      <c r="W5614" s="2">
        <v>36.5</v>
      </c>
      <c r="X5614" s="2">
        <v>0</v>
      </c>
      <c r="Y5614" s="2" t="s">
        <v>286</v>
      </c>
      <c r="Z5614" s="2" t="s">
        <v>37233</v>
      </c>
      <c r="AA5614" s="2">
        <v>-8.0949790534329793</v>
      </c>
      <c r="AB5614" s="2">
        <v>7.24407423124004E-2</v>
      </c>
      <c r="AC5614" s="2">
        <v>21619.9043407422</v>
      </c>
      <c r="AD5614" s="2">
        <v>20618.074062106902</v>
      </c>
      <c r="AE5614" s="2">
        <v>21639.047618249198</v>
      </c>
      <c r="AF5614" s="2">
        <v>22603.631516745299</v>
      </c>
      <c r="AG5614" s="2">
        <v>24073.7017488071</v>
      </c>
      <c r="AH5614" s="2">
        <v>20053.570930383801</v>
      </c>
      <c r="AI5614" s="2">
        <v>20540.453634016201</v>
      </c>
      <c r="AJ5614" s="2">
        <v>20809.020596251499</v>
      </c>
      <c r="AK5614" s="2">
        <v>18889.195973829199</v>
      </c>
      <c r="AL5614" s="2">
        <v>22673.3352012746</v>
      </c>
      <c r="AM5614" s="2">
        <v>20604.095814998</v>
      </c>
      <c r="AN5614" s="2">
        <v>22069.3246043322</v>
      </c>
      <c r="AO5614" s="2">
        <v>18782.224905044899</v>
      </c>
      <c r="AP5614" s="2">
        <v>20690.2678731626</v>
      </c>
    </row>
    <row r="5615" spans="1:42" ht="14.5" x14ac:dyDescent="0.35">
      <c r="A5615" s="2" t="s">
        <v>37234</v>
      </c>
      <c r="B5615" s="2">
        <v>243.05062799641601</v>
      </c>
      <c r="C5615" s="2">
        <v>1.69431666666667</v>
      </c>
      <c r="D5615" s="2" t="s">
        <v>70</v>
      </c>
      <c r="E5615" s="2" t="s">
        <v>37235</v>
      </c>
      <c r="F5615" s="2">
        <v>257801</v>
      </c>
      <c r="G5615" s="3" t="str">
        <f>HYPERLINK("http://funmeta.oebiotech.com/network/257801", "http://funmeta.oebiotech.com/network/257801")</f>
        <v>http://funmeta.oebiotech.com/network/257801</v>
      </c>
      <c r="H5615" s="2" t="s">
        <v>37236</v>
      </c>
      <c r="I5615" s="2">
        <v>697</v>
      </c>
      <c r="J5615" s="2"/>
      <c r="K5615" s="2"/>
      <c r="L5615" s="2" t="s">
        <v>37237</v>
      </c>
      <c r="M5615" s="2" t="s">
        <v>22392</v>
      </c>
      <c r="N5615" s="2" t="s">
        <v>22393</v>
      </c>
      <c r="O5615" s="2">
        <v>1245</v>
      </c>
      <c r="P5615" s="2" t="s">
        <v>37238</v>
      </c>
      <c r="Q5615" s="2" t="s">
        <v>37239</v>
      </c>
      <c r="R5615" s="2" t="s">
        <v>37240</v>
      </c>
      <c r="S5615" s="2" t="s">
        <v>148</v>
      </c>
      <c r="T5615" s="2" t="s">
        <v>392</v>
      </c>
      <c r="U5615" s="2" t="s">
        <v>3450</v>
      </c>
      <c r="V5615" s="2" t="s">
        <v>59</v>
      </c>
      <c r="W5615" s="2">
        <v>44.8</v>
      </c>
      <c r="X5615" s="2">
        <v>31.2</v>
      </c>
      <c r="Y5615" s="2" t="s">
        <v>286</v>
      </c>
      <c r="Z5615" s="2" t="s">
        <v>14828</v>
      </c>
      <c r="AA5615" s="2">
        <v>-2.0110396665033399</v>
      </c>
      <c r="AB5615" s="2">
        <v>7.2402850815631595E-2</v>
      </c>
      <c r="AC5615" s="2">
        <v>10017.230502046699</v>
      </c>
      <c r="AD5615" s="2">
        <v>9382.5058926623606</v>
      </c>
      <c r="AE5615" s="2">
        <v>9729.5585171357307</v>
      </c>
      <c r="AF5615" s="2">
        <v>10321.7543741477</v>
      </c>
      <c r="AG5615" s="2">
        <v>10328.806153268</v>
      </c>
      <c r="AH5615" s="2">
        <v>9366.6986183091194</v>
      </c>
      <c r="AI5615" s="2">
        <v>9660.0613705816595</v>
      </c>
      <c r="AJ5615" s="2">
        <v>10696.5039788378</v>
      </c>
      <c r="AK5615" s="2">
        <v>9202.6201751014905</v>
      </c>
      <c r="AL5615" s="2">
        <v>9060.6926834590904</v>
      </c>
      <c r="AM5615" s="2">
        <v>9005.0285401098899</v>
      </c>
      <c r="AN5615" s="2">
        <v>10486.1702729021</v>
      </c>
      <c r="AO5615" s="2">
        <v>9494.2162852833499</v>
      </c>
      <c r="AP5615" s="2">
        <v>9046.3073991182591</v>
      </c>
    </row>
    <row r="5616" spans="1:42" ht="14.5" x14ac:dyDescent="0.35">
      <c r="A5616" s="2" t="s">
        <v>37241</v>
      </c>
      <c r="B5616" s="2">
        <v>809.49766955366294</v>
      </c>
      <c r="C5616" s="2">
        <v>14.895466666666699</v>
      </c>
      <c r="D5616" s="2" t="s">
        <v>70</v>
      </c>
      <c r="E5616" s="2" t="s">
        <v>37242</v>
      </c>
      <c r="F5616" s="2">
        <v>221897</v>
      </c>
      <c r="G5616" s="3" t="str">
        <f>HYPERLINK("http://funmeta.oebiotech.com/network/221897", "http://funmeta.oebiotech.com/network/221897")</f>
        <v>http://funmeta.oebiotech.com/network/221897</v>
      </c>
      <c r="H5616" s="2" t="s">
        <v>37243</v>
      </c>
      <c r="I5616" s="2"/>
      <c r="J5616" s="2"/>
      <c r="K5616" s="2"/>
      <c r="L5616" s="2"/>
      <c r="M5616" s="2"/>
      <c r="N5616" s="2"/>
      <c r="O5616" s="2"/>
      <c r="P5616" s="2"/>
      <c r="Q5616" s="2" t="s">
        <v>37244</v>
      </c>
      <c r="R5616" s="2" t="s">
        <v>37245</v>
      </c>
      <c r="S5616" s="2" t="s">
        <v>41</v>
      </c>
      <c r="T5616" s="2" t="s">
        <v>41</v>
      </c>
      <c r="U5616" s="2" t="s">
        <v>41</v>
      </c>
      <c r="V5616" s="2" t="s">
        <v>59</v>
      </c>
      <c r="W5616" s="2">
        <v>37.5</v>
      </c>
      <c r="X5616" s="2">
        <v>0</v>
      </c>
      <c r="Y5616" s="2" t="s">
        <v>751</v>
      </c>
      <c r="Z5616" s="2" t="s">
        <v>37246</v>
      </c>
      <c r="AA5616" s="2">
        <v>0.29708511644136598</v>
      </c>
      <c r="AB5616" s="2">
        <v>7.2374688375582599E-2</v>
      </c>
      <c r="AC5616" s="2">
        <v>7106.2480766418903</v>
      </c>
      <c r="AD5616" s="2">
        <v>6374.3230264084596</v>
      </c>
      <c r="AE5616" s="2">
        <v>6662.6679123285703</v>
      </c>
      <c r="AF5616" s="2">
        <v>8023.0273247639698</v>
      </c>
      <c r="AG5616" s="2">
        <v>6889.7834292282296</v>
      </c>
      <c r="AH5616" s="2">
        <v>6694.4683193863102</v>
      </c>
      <c r="AI5616" s="2">
        <v>6375.5209893639103</v>
      </c>
      <c r="AJ5616" s="2">
        <v>7992.0204847803498</v>
      </c>
      <c r="AK5616" s="2">
        <v>5433.9214773461199</v>
      </c>
      <c r="AL5616" s="2">
        <v>6481.4305591100901</v>
      </c>
      <c r="AM5616" s="2">
        <v>5980.4857369235697</v>
      </c>
      <c r="AN5616" s="2">
        <v>6946.4987705680496</v>
      </c>
      <c r="AO5616" s="2">
        <v>5777.3186231575201</v>
      </c>
      <c r="AP5616" s="2">
        <v>7626.2829913453797</v>
      </c>
    </row>
    <row r="5617" spans="1:42" ht="14.5" x14ac:dyDescent="0.35">
      <c r="A5617" s="2" t="s">
        <v>37247</v>
      </c>
      <c r="B5617" s="2">
        <v>365.24724948574197</v>
      </c>
      <c r="C5617" s="2">
        <v>10.132666666666699</v>
      </c>
      <c r="D5617" s="2" t="s">
        <v>34</v>
      </c>
      <c r="E5617" s="2" t="s">
        <v>37248</v>
      </c>
      <c r="F5617" s="2">
        <v>44872</v>
      </c>
      <c r="G5617" s="3" t="str">
        <f>HYPERLINK("http://funmeta.oebiotech.com/network/44872", "http://funmeta.oebiotech.com/network/44872")</f>
        <v>http://funmeta.oebiotech.com/network/44872</v>
      </c>
      <c r="H5617" s="2" t="s">
        <v>37249</v>
      </c>
      <c r="I5617" s="2">
        <v>41830</v>
      </c>
      <c r="J5617" s="2" t="s">
        <v>37250</v>
      </c>
      <c r="K5617" s="2">
        <v>8716</v>
      </c>
      <c r="L5617" s="2" t="s">
        <v>37251</v>
      </c>
      <c r="M5617" s="2"/>
      <c r="N5617" s="2"/>
      <c r="O5617" s="2">
        <v>9046</v>
      </c>
      <c r="P5617" s="2" t="s">
        <v>37252</v>
      </c>
      <c r="Q5617" s="2" t="s">
        <v>37253</v>
      </c>
      <c r="R5617" s="2" t="s">
        <v>37254</v>
      </c>
      <c r="S5617" s="2" t="s">
        <v>50</v>
      </c>
      <c r="T5617" s="2" t="s">
        <v>124</v>
      </c>
      <c r="U5617" s="2" t="s">
        <v>2093</v>
      </c>
      <c r="V5617" s="2" t="s">
        <v>59</v>
      </c>
      <c r="W5617" s="2">
        <v>37.9</v>
      </c>
      <c r="X5617" s="2">
        <v>0</v>
      </c>
      <c r="Y5617" s="2" t="s">
        <v>394</v>
      </c>
      <c r="Z5617" s="2" t="s">
        <v>37255</v>
      </c>
      <c r="AA5617" s="2">
        <v>-0.70615927799355305</v>
      </c>
      <c r="AB5617" s="2">
        <v>7.2350596890510599E-2</v>
      </c>
      <c r="AC5617" s="2">
        <v>1254.3687663487301</v>
      </c>
      <c r="AD5617" s="2">
        <v>1702.4354700747699</v>
      </c>
      <c r="AE5617" s="2">
        <v>1323.5055276483099</v>
      </c>
      <c r="AF5617" s="2">
        <v>1314.1740318371101</v>
      </c>
      <c r="AG5617" s="2">
        <v>1165.3446177733299</v>
      </c>
      <c r="AH5617" s="2">
        <v>1312.7421308737801</v>
      </c>
      <c r="AI5617" s="2">
        <v>1243.47090401737</v>
      </c>
      <c r="AJ5617" s="2">
        <v>1166.9753859425</v>
      </c>
      <c r="AK5617" s="2">
        <v>1551.9474666594799</v>
      </c>
      <c r="AL5617" s="2">
        <v>2051.6276232443602</v>
      </c>
      <c r="AM5617" s="2">
        <v>1562.7044089656699</v>
      </c>
      <c r="AN5617" s="2">
        <v>1524.56760440991</v>
      </c>
      <c r="AO5617" s="2">
        <v>1463.7430606866201</v>
      </c>
      <c r="AP5617" s="2">
        <v>2060.0226564825598</v>
      </c>
    </row>
    <row r="5618" spans="1:42" ht="14.5" x14ac:dyDescent="0.35">
      <c r="A5618" s="2" t="s">
        <v>37256</v>
      </c>
      <c r="B5618" s="2">
        <v>281.02433736691398</v>
      </c>
      <c r="C5618" s="2">
        <v>2.8303333333333298</v>
      </c>
      <c r="D5618" s="2" t="s">
        <v>34</v>
      </c>
      <c r="E5618" s="2" t="s">
        <v>37257</v>
      </c>
      <c r="F5618" s="2">
        <v>206379</v>
      </c>
      <c r="G5618" s="3" t="str">
        <f>HYPERLINK("http://funmeta.oebiotech.com/network/206379", "http://funmeta.oebiotech.com/network/206379")</f>
        <v>http://funmeta.oebiotech.com/network/206379</v>
      </c>
      <c r="H5618" s="2" t="s">
        <v>37258</v>
      </c>
      <c r="I5618" s="2">
        <v>72741</v>
      </c>
      <c r="J5618" s="2"/>
      <c r="K5618" s="2"/>
      <c r="L5618" s="2" t="s">
        <v>37259</v>
      </c>
      <c r="M5618" s="2"/>
      <c r="N5618" s="2"/>
      <c r="O5618" s="2">
        <v>17717</v>
      </c>
      <c r="P5618" s="2" t="s">
        <v>37260</v>
      </c>
      <c r="Q5618" s="2" t="s">
        <v>37261</v>
      </c>
      <c r="R5618" s="2" t="s">
        <v>37262</v>
      </c>
      <c r="S5618" s="2" t="s">
        <v>491</v>
      </c>
      <c r="T5618" s="2" t="s">
        <v>12134</v>
      </c>
      <c r="U5618" s="2" t="s">
        <v>14916</v>
      </c>
      <c r="V5618" s="2" t="s">
        <v>59</v>
      </c>
      <c r="W5618" s="2">
        <v>38</v>
      </c>
      <c r="X5618" s="2">
        <v>0</v>
      </c>
      <c r="Y5618" s="2" t="s">
        <v>394</v>
      </c>
      <c r="Z5618" s="2" t="s">
        <v>37263</v>
      </c>
      <c r="AA5618" s="2">
        <v>5.4177574507615602E-2</v>
      </c>
      <c r="AB5618" s="2">
        <v>7.2341976133817695E-2</v>
      </c>
      <c r="AC5618" s="2">
        <v>4192.21199659996</v>
      </c>
      <c r="AD5618" s="2">
        <v>3544.6804078771302</v>
      </c>
      <c r="AE5618" s="2">
        <v>3839.1649133993501</v>
      </c>
      <c r="AF5618" s="2">
        <v>4222.2649599378601</v>
      </c>
      <c r="AG5618" s="2">
        <v>4387.7735234066604</v>
      </c>
      <c r="AH5618" s="2">
        <v>3753.2684235782299</v>
      </c>
      <c r="AI5618" s="2">
        <v>4641.5103268595904</v>
      </c>
      <c r="AJ5618" s="2">
        <v>4309.2898324180696</v>
      </c>
      <c r="AK5618" s="2">
        <v>3180.7360966421802</v>
      </c>
      <c r="AL5618" s="2">
        <v>2618.09308843794</v>
      </c>
      <c r="AM5618" s="2">
        <v>3998.0822912445401</v>
      </c>
      <c r="AN5618" s="2">
        <v>3523.7816789940398</v>
      </c>
      <c r="AO5618" s="2">
        <v>3285.5160158513499</v>
      </c>
      <c r="AP5618" s="2">
        <v>4661.8732760927496</v>
      </c>
    </row>
    <row r="5619" spans="1:42" ht="14.5" x14ac:dyDescent="0.35">
      <c r="A5619" s="2" t="s">
        <v>37264</v>
      </c>
      <c r="B5619" s="2">
        <v>323.17124909167597</v>
      </c>
      <c r="C5619" s="2">
        <v>11.08745</v>
      </c>
      <c r="D5619" s="2" t="s">
        <v>70</v>
      </c>
      <c r="E5619" s="2" t="s">
        <v>37265</v>
      </c>
      <c r="F5619" s="2">
        <v>58948</v>
      </c>
      <c r="G5619" s="3" t="str">
        <f>HYPERLINK("http://funmeta.oebiotech.com/network/58948", "http://funmeta.oebiotech.com/network/58948")</f>
        <v>http://funmeta.oebiotech.com/network/58948</v>
      </c>
      <c r="H5619" s="2" t="s">
        <v>37266</v>
      </c>
      <c r="I5619" s="2">
        <v>90386</v>
      </c>
      <c r="J5619" s="2"/>
      <c r="K5619" s="2"/>
      <c r="L5619" s="2"/>
      <c r="M5619" s="2"/>
      <c r="N5619" s="2"/>
      <c r="O5619" s="2">
        <v>14138808</v>
      </c>
      <c r="P5619" s="2"/>
      <c r="Q5619" s="2" t="s">
        <v>37267</v>
      </c>
      <c r="R5619" s="2" t="s">
        <v>37268</v>
      </c>
      <c r="S5619" s="2" t="s">
        <v>50</v>
      </c>
      <c r="T5619" s="2" t="s">
        <v>229</v>
      </c>
      <c r="U5619" s="2" t="s">
        <v>230</v>
      </c>
      <c r="V5619" s="2" t="s">
        <v>59</v>
      </c>
      <c r="W5619" s="2">
        <v>42.1</v>
      </c>
      <c r="X5619" s="2">
        <v>12.9</v>
      </c>
      <c r="Y5619" s="2" t="s">
        <v>286</v>
      </c>
      <c r="Z5619" s="2" t="s">
        <v>37269</v>
      </c>
      <c r="AA5619" s="2">
        <v>0.38706315916816098</v>
      </c>
      <c r="AB5619" s="2">
        <v>7.2332080937041299E-2</v>
      </c>
      <c r="AC5619" s="2">
        <v>10548.587949770001</v>
      </c>
      <c r="AD5619" s="2">
        <v>8935.6644751937292</v>
      </c>
      <c r="AE5619" s="2">
        <v>13029.957192444799</v>
      </c>
      <c r="AF5619" s="2">
        <v>13509.3400942065</v>
      </c>
      <c r="AG5619" s="2">
        <v>12532.8951004705</v>
      </c>
      <c r="AH5619" s="2">
        <v>11005.475988599201</v>
      </c>
      <c r="AI5619" s="2">
        <v>7675.8528507799001</v>
      </c>
      <c r="AJ5619" s="2">
        <v>5538.0064721190802</v>
      </c>
      <c r="AK5619" s="2">
        <v>6690.7704539111801</v>
      </c>
      <c r="AL5619" s="2">
        <v>10492.687098508301</v>
      </c>
      <c r="AM5619" s="2">
        <v>18364.9859883598</v>
      </c>
      <c r="AN5619" s="2">
        <v>6624.4272332558103</v>
      </c>
      <c r="AO5619" s="2">
        <v>5113.6073676528804</v>
      </c>
      <c r="AP5619" s="2">
        <v>6327.5087094744304</v>
      </c>
    </row>
    <row r="5620" spans="1:42" ht="14.5" x14ac:dyDescent="0.35">
      <c r="A5620" s="2" t="s">
        <v>37270</v>
      </c>
      <c r="B5620" s="2">
        <v>320.97492501571003</v>
      </c>
      <c r="C5620" s="2">
        <v>0.66754999999999998</v>
      </c>
      <c r="D5620" s="2" t="s">
        <v>34</v>
      </c>
      <c r="E5620" s="2" t="s">
        <v>37271</v>
      </c>
      <c r="F5620" s="2">
        <v>210189</v>
      </c>
      <c r="G5620" s="3" t="str">
        <f>HYPERLINK("http://funmeta.oebiotech.com/network/210189", "http://funmeta.oebiotech.com/network/210189")</f>
        <v>http://funmeta.oebiotech.com/network/210189</v>
      </c>
      <c r="H5620" s="2" t="s">
        <v>37272</v>
      </c>
      <c r="I5620" s="2">
        <v>315350</v>
      </c>
      <c r="J5620" s="2"/>
      <c r="K5620" s="2">
        <v>39427</v>
      </c>
      <c r="L5620" s="2"/>
      <c r="M5620" s="2"/>
      <c r="N5620" s="2"/>
      <c r="O5620" s="2">
        <v>9639</v>
      </c>
      <c r="P5620" s="2"/>
      <c r="Q5620" s="2" t="s">
        <v>37273</v>
      </c>
      <c r="R5620" s="2" t="s">
        <v>37274</v>
      </c>
      <c r="S5620" s="2" t="s">
        <v>2811</v>
      </c>
      <c r="T5620" s="2" t="s">
        <v>17794</v>
      </c>
      <c r="U5620" s="2" t="s">
        <v>41</v>
      </c>
      <c r="V5620" s="2" t="s">
        <v>59</v>
      </c>
      <c r="W5620" s="2">
        <v>38.299999999999997</v>
      </c>
      <c r="X5620" s="2">
        <v>0</v>
      </c>
      <c r="Y5620" s="2" t="s">
        <v>141</v>
      </c>
      <c r="Z5620" s="2" t="s">
        <v>37275</v>
      </c>
      <c r="AA5620" s="2">
        <v>1.68113399935204</v>
      </c>
      <c r="AB5620" s="2">
        <v>7.2243994297215106E-2</v>
      </c>
      <c r="AC5620" s="2">
        <v>2804.6031230419699</v>
      </c>
      <c r="AD5620" s="2">
        <v>2190.0616970515998</v>
      </c>
      <c r="AE5620" s="2">
        <v>2817.9954632519498</v>
      </c>
      <c r="AF5620" s="2">
        <v>2819.4654716238201</v>
      </c>
      <c r="AG5620" s="2">
        <v>2392.4755667037598</v>
      </c>
      <c r="AH5620" s="2">
        <v>3812.06073547594</v>
      </c>
      <c r="AI5620" s="2">
        <v>2781.4579555311502</v>
      </c>
      <c r="AJ5620" s="2">
        <v>2204.1635456652298</v>
      </c>
      <c r="AK5620" s="2">
        <v>2800.6552237855299</v>
      </c>
      <c r="AL5620" s="2">
        <v>2264.9767793844298</v>
      </c>
      <c r="AM5620" s="2">
        <v>1511.12631505948</v>
      </c>
      <c r="AN5620" s="2">
        <v>2376.46159320268</v>
      </c>
      <c r="AO5620" s="2">
        <v>2288.9802519556201</v>
      </c>
      <c r="AP5620" s="2">
        <v>1898.17001892189</v>
      </c>
    </row>
    <row r="5621" spans="1:42" ht="14.5" x14ac:dyDescent="0.35">
      <c r="A5621" s="2" t="s">
        <v>37276</v>
      </c>
      <c r="B5621" s="2">
        <v>615.089276671579</v>
      </c>
      <c r="C5621" s="2">
        <v>4.2764166666666696</v>
      </c>
      <c r="D5621" s="2" t="s">
        <v>70</v>
      </c>
      <c r="E5621" s="2" t="s">
        <v>37277</v>
      </c>
      <c r="F5621" s="2">
        <v>209569</v>
      </c>
      <c r="G5621" s="3" t="str">
        <f>HYPERLINK("http://funmeta.oebiotech.com/network/209569", "http://funmeta.oebiotech.com/network/209569")</f>
        <v>http://funmeta.oebiotech.com/network/209569</v>
      </c>
      <c r="H5621" s="2" t="s">
        <v>37278</v>
      </c>
      <c r="I5621" s="2">
        <v>44341</v>
      </c>
      <c r="J5621" s="2"/>
      <c r="K5621" s="2">
        <v>44445</v>
      </c>
      <c r="L5621" s="2"/>
      <c r="M5621" s="2"/>
      <c r="N5621" s="2"/>
      <c r="O5621" s="2">
        <v>4495</v>
      </c>
      <c r="P5621" s="2" t="s">
        <v>37279</v>
      </c>
      <c r="Q5621" s="2" t="s">
        <v>37280</v>
      </c>
      <c r="R5621" s="2" t="s">
        <v>37281</v>
      </c>
      <c r="S5621" s="2" t="s">
        <v>148</v>
      </c>
      <c r="T5621" s="2" t="s">
        <v>149</v>
      </c>
      <c r="U5621" s="2" t="s">
        <v>5024</v>
      </c>
      <c r="V5621" s="2" t="s">
        <v>59</v>
      </c>
      <c r="W5621" s="2">
        <v>37.4</v>
      </c>
      <c r="X5621" s="2">
        <v>0</v>
      </c>
      <c r="Y5621" s="2" t="s">
        <v>560</v>
      </c>
      <c r="Z5621" s="2" t="s">
        <v>37282</v>
      </c>
      <c r="AA5621" s="2">
        <v>5.1422709216585902</v>
      </c>
      <c r="AB5621" s="2">
        <v>7.2224531202709802E-2</v>
      </c>
      <c r="AC5621" s="2">
        <v>7111.0995977976299</v>
      </c>
      <c r="AD5621" s="2">
        <v>8205.7892333674899</v>
      </c>
      <c r="AE5621" s="2">
        <v>7050.4325149178503</v>
      </c>
      <c r="AF5621" s="2">
        <v>7336.5181385149799</v>
      </c>
      <c r="AG5621" s="2">
        <v>6890.3758812451397</v>
      </c>
      <c r="AH5621" s="2">
        <v>9948.8918506331192</v>
      </c>
      <c r="AI5621" s="2">
        <v>6307.8706390174302</v>
      </c>
      <c r="AJ5621" s="2">
        <v>5132.5085624572303</v>
      </c>
      <c r="AK5621" s="2">
        <v>8600.6218784119301</v>
      </c>
      <c r="AL5621" s="2">
        <v>9507.3963696608607</v>
      </c>
      <c r="AM5621" s="2">
        <v>4790.4669038655702</v>
      </c>
      <c r="AN5621" s="2">
        <v>9434.0965164317495</v>
      </c>
      <c r="AO5621" s="2">
        <v>9935.06655111689</v>
      </c>
      <c r="AP5621" s="2">
        <v>6967.0871807179301</v>
      </c>
    </row>
    <row r="5622" spans="1:42" ht="14.5" x14ac:dyDescent="0.35">
      <c r="A5622" s="2" t="s">
        <v>37283</v>
      </c>
      <c r="B5622" s="2">
        <v>345.22799541310798</v>
      </c>
      <c r="C5622" s="2">
        <v>5.1341999999999999</v>
      </c>
      <c r="D5622" s="2" t="s">
        <v>70</v>
      </c>
      <c r="E5622" s="2" t="s">
        <v>37284</v>
      </c>
      <c r="F5622" s="2">
        <v>266762</v>
      </c>
      <c r="G5622" s="3" t="str">
        <f>HYPERLINK("http://funmeta.oebiotech.com/network/266762", "http://funmeta.oebiotech.com/network/266762")</f>
        <v>http://funmeta.oebiotech.com/network/266762</v>
      </c>
      <c r="H5622" s="2"/>
      <c r="I5622" s="2">
        <v>43927</v>
      </c>
      <c r="J5622" s="2"/>
      <c r="K5622" s="2"/>
      <c r="L5622" s="2"/>
      <c r="M5622" s="2"/>
      <c r="N5622" s="2"/>
      <c r="O5622" s="2">
        <v>11449446</v>
      </c>
      <c r="P5622" s="2" t="s">
        <v>37285</v>
      </c>
      <c r="Q5622" s="2" t="s">
        <v>37286</v>
      </c>
      <c r="R5622" s="2" t="s">
        <v>37287</v>
      </c>
      <c r="S5622" s="2" t="s">
        <v>50</v>
      </c>
      <c r="T5622" s="2" t="s">
        <v>229</v>
      </c>
      <c r="U5622" s="2" t="s">
        <v>433</v>
      </c>
      <c r="V5622" s="2" t="s">
        <v>59</v>
      </c>
      <c r="W5622" s="2">
        <v>38.1</v>
      </c>
      <c r="X5622" s="2">
        <v>0</v>
      </c>
      <c r="Y5622" s="2" t="s">
        <v>408</v>
      </c>
      <c r="Z5622" s="2" t="s">
        <v>33884</v>
      </c>
      <c r="AA5622" s="2">
        <v>-0.88918935143537903</v>
      </c>
      <c r="AB5622" s="2">
        <v>7.2059521915566499E-2</v>
      </c>
      <c r="AC5622" s="2">
        <v>2610.1894244146201</v>
      </c>
      <c r="AD5622" s="2">
        <v>3218.5232125737898</v>
      </c>
      <c r="AE5622" s="2">
        <v>2214.2739755780999</v>
      </c>
      <c r="AF5622" s="2">
        <v>3144.9508876567702</v>
      </c>
      <c r="AG5622" s="2">
        <v>2848.4066224723301</v>
      </c>
      <c r="AH5622" s="2">
        <v>2369.2166585281302</v>
      </c>
      <c r="AI5622" s="2">
        <v>3036.6582129498802</v>
      </c>
      <c r="AJ5622" s="2">
        <v>2047.6301893025</v>
      </c>
      <c r="AK5622" s="2">
        <v>2719.1888403006701</v>
      </c>
      <c r="AL5622" s="2">
        <v>3630.3983421415001</v>
      </c>
      <c r="AM5622" s="2">
        <v>4052.1507301786401</v>
      </c>
      <c r="AN5622" s="2">
        <v>2724.1542265990201</v>
      </c>
      <c r="AO5622" s="2">
        <v>3040.9359173892199</v>
      </c>
      <c r="AP5622" s="2">
        <v>3144.31121883371</v>
      </c>
    </row>
    <row r="5623" spans="1:42" ht="14.5" x14ac:dyDescent="0.35">
      <c r="A5623" s="2" t="s">
        <v>37288</v>
      </c>
      <c r="B5623" s="2">
        <v>309.14356362029002</v>
      </c>
      <c r="C5623" s="2">
        <v>4.4128166666666697</v>
      </c>
      <c r="D5623" s="2" t="s">
        <v>34</v>
      </c>
      <c r="E5623" s="2" t="s">
        <v>37289</v>
      </c>
      <c r="F5623" s="2">
        <v>53597</v>
      </c>
      <c r="G5623" s="3" t="str">
        <f>HYPERLINK("http://funmeta.oebiotech.com/network/53597", "http://funmeta.oebiotech.com/network/53597")</f>
        <v>http://funmeta.oebiotech.com/network/53597</v>
      </c>
      <c r="H5623" s="2" t="s">
        <v>37290</v>
      </c>
      <c r="I5623" s="2">
        <v>85533</v>
      </c>
      <c r="J5623" s="2"/>
      <c r="K5623" s="2">
        <v>44932</v>
      </c>
      <c r="L5623" s="2"/>
      <c r="M5623" s="2"/>
      <c r="N5623" s="2"/>
      <c r="O5623" s="2">
        <v>6077</v>
      </c>
      <c r="P5623" s="2" t="s">
        <v>37291</v>
      </c>
      <c r="Q5623" s="2" t="s">
        <v>37292</v>
      </c>
      <c r="R5623" s="2" t="s">
        <v>37293</v>
      </c>
      <c r="S5623" s="2" t="s">
        <v>491</v>
      </c>
      <c r="T5623" s="2" t="s">
        <v>25326</v>
      </c>
      <c r="U5623" s="2" t="s">
        <v>25327</v>
      </c>
      <c r="V5623" s="2" t="s">
        <v>59</v>
      </c>
      <c r="W5623" s="2">
        <v>36.799999999999997</v>
      </c>
      <c r="X5623" s="2">
        <v>0</v>
      </c>
      <c r="Y5623" s="2" t="s">
        <v>141</v>
      </c>
      <c r="Z5623" s="2" t="s">
        <v>37294</v>
      </c>
      <c r="AA5623" s="2">
        <v>4.8062494408877798</v>
      </c>
      <c r="AB5623" s="2">
        <v>7.1983173569755504E-2</v>
      </c>
      <c r="AC5623" s="2">
        <v>5465.4196190963403</v>
      </c>
      <c r="AD5623" s="2">
        <v>4699.8267514715999</v>
      </c>
      <c r="AE5623" s="2">
        <v>5324.8109690129304</v>
      </c>
      <c r="AF5623" s="2">
        <v>5518.7203945813098</v>
      </c>
      <c r="AG5623" s="2">
        <v>6037.5095510637902</v>
      </c>
      <c r="AH5623" s="2">
        <v>4094.4373087169702</v>
      </c>
      <c r="AI5623" s="2">
        <v>5394.9142679244196</v>
      </c>
      <c r="AJ5623" s="2">
        <v>6422.1252232786401</v>
      </c>
      <c r="AK5623" s="2">
        <v>5705.54934846373</v>
      </c>
      <c r="AL5623" s="2">
        <v>3888.76481010104</v>
      </c>
      <c r="AM5623" s="2">
        <v>3782.3397326749</v>
      </c>
      <c r="AN5623" s="2">
        <v>5636.5029342200796</v>
      </c>
      <c r="AO5623" s="2">
        <v>5124.5093050044197</v>
      </c>
      <c r="AP5623" s="2">
        <v>4061.2943783654</v>
      </c>
    </row>
    <row r="5624" spans="1:42" ht="14.5" x14ac:dyDescent="0.35">
      <c r="A5624" s="2" t="s">
        <v>37295</v>
      </c>
      <c r="B5624" s="2">
        <v>418.99614587066498</v>
      </c>
      <c r="C5624" s="2">
        <v>9.1675166666666694</v>
      </c>
      <c r="D5624" s="2" t="s">
        <v>70</v>
      </c>
      <c r="E5624" s="2" t="s">
        <v>37296</v>
      </c>
      <c r="F5624" s="2">
        <v>200828</v>
      </c>
      <c r="G5624" s="3" t="str">
        <f>HYPERLINK("http://funmeta.oebiotech.com/network/200828", "http://funmeta.oebiotech.com/network/200828")</f>
        <v>http://funmeta.oebiotech.com/network/200828</v>
      </c>
      <c r="H5624" s="2" t="s">
        <v>37297</v>
      </c>
      <c r="I5624" s="2"/>
      <c r="J5624" s="2"/>
      <c r="K5624" s="2"/>
      <c r="L5624" s="2"/>
      <c r="M5624" s="2"/>
      <c r="N5624" s="2"/>
      <c r="O5624" s="2">
        <v>3036650</v>
      </c>
      <c r="P5624" s="2"/>
      <c r="Q5624" s="2" t="s">
        <v>37298</v>
      </c>
      <c r="R5624" s="2" t="s">
        <v>37299</v>
      </c>
      <c r="S5624" s="2" t="s">
        <v>41</v>
      </c>
      <c r="T5624" s="2" t="s">
        <v>41</v>
      </c>
      <c r="U5624" s="2" t="s">
        <v>41</v>
      </c>
      <c r="V5624" s="2" t="s">
        <v>59</v>
      </c>
      <c r="W5624" s="2">
        <v>36.299999999999997</v>
      </c>
      <c r="X5624" s="2">
        <v>0</v>
      </c>
      <c r="Y5624" s="2" t="s">
        <v>560</v>
      </c>
      <c r="Z5624" s="2" t="s">
        <v>37300</v>
      </c>
      <c r="AA5624" s="2">
        <v>-1.6173537640562301</v>
      </c>
      <c r="AB5624" s="2">
        <v>7.1800313779940506E-2</v>
      </c>
      <c r="AC5624" s="2">
        <v>2496.1167883716998</v>
      </c>
      <c r="AD5624" s="2">
        <v>2981.1448764541701</v>
      </c>
      <c r="AE5624" s="2">
        <v>2866.2797414523202</v>
      </c>
      <c r="AF5624" s="2">
        <v>2393.9101823286601</v>
      </c>
      <c r="AG5624" s="2">
        <v>2238.6001455061801</v>
      </c>
      <c r="AH5624" s="2">
        <v>2142.7223013325502</v>
      </c>
      <c r="AI5624" s="2">
        <v>2884.8157868630401</v>
      </c>
      <c r="AJ5624" s="2">
        <v>2450.3725727474298</v>
      </c>
      <c r="AK5624" s="2">
        <v>3183.8871802518902</v>
      </c>
      <c r="AL5624" s="2">
        <v>2966.3979291401401</v>
      </c>
      <c r="AM5624" s="2">
        <v>2692.1465928818502</v>
      </c>
      <c r="AN5624" s="2">
        <v>2707.6825380802202</v>
      </c>
      <c r="AO5624" s="2">
        <v>3158.4033558719202</v>
      </c>
      <c r="AP5624" s="2">
        <v>3178.3516624989802</v>
      </c>
    </row>
    <row r="5625" spans="1:42" ht="14.5" x14ac:dyDescent="0.35">
      <c r="A5625" s="2" t="s">
        <v>37301</v>
      </c>
      <c r="B5625" s="2">
        <v>164.07067973356999</v>
      </c>
      <c r="C5625" s="2">
        <v>2.2312500000000002</v>
      </c>
      <c r="D5625" s="2" t="s">
        <v>70</v>
      </c>
      <c r="E5625" s="2" t="s">
        <v>37302</v>
      </c>
      <c r="F5625" s="2">
        <v>47992</v>
      </c>
      <c r="G5625" s="3" t="str">
        <f>HYPERLINK("http://funmeta.oebiotech.com/network/47992", "http://funmeta.oebiotech.com/network/47992")</f>
        <v>http://funmeta.oebiotech.com/network/47992</v>
      </c>
      <c r="H5625" s="2" t="s">
        <v>37303</v>
      </c>
      <c r="I5625" s="2">
        <v>1217</v>
      </c>
      <c r="J5625" s="2"/>
      <c r="K5625" s="2">
        <v>142891</v>
      </c>
      <c r="L5625" s="2" t="s">
        <v>37304</v>
      </c>
      <c r="M5625" s="2"/>
      <c r="N5625" s="2"/>
      <c r="O5625" s="2">
        <v>3917</v>
      </c>
      <c r="P5625" s="2" t="s">
        <v>37305</v>
      </c>
      <c r="Q5625" s="2" t="s">
        <v>37306</v>
      </c>
      <c r="R5625" s="2" t="s">
        <v>37307</v>
      </c>
      <c r="S5625" s="2" t="s">
        <v>148</v>
      </c>
      <c r="T5625" s="2" t="s">
        <v>149</v>
      </c>
      <c r="U5625" s="2" t="s">
        <v>15271</v>
      </c>
      <c r="V5625" s="2" t="s">
        <v>59</v>
      </c>
      <c r="W5625" s="2">
        <v>37.9</v>
      </c>
      <c r="X5625" s="2">
        <v>0</v>
      </c>
      <c r="Y5625" s="2" t="s">
        <v>751</v>
      </c>
      <c r="Z5625" s="2" t="s">
        <v>37308</v>
      </c>
      <c r="AA5625" s="2">
        <v>-5.5842993623157797</v>
      </c>
      <c r="AB5625" s="2">
        <v>7.1760181197794801E-2</v>
      </c>
      <c r="AC5625" s="2">
        <v>3328.6358610566299</v>
      </c>
      <c r="AD5625" s="2">
        <v>2855.5008975430501</v>
      </c>
      <c r="AE5625" s="2">
        <v>3067.7981626748601</v>
      </c>
      <c r="AF5625" s="2">
        <v>2833.3820690730799</v>
      </c>
      <c r="AG5625" s="2">
        <v>3624.36433053065</v>
      </c>
      <c r="AH5625" s="2">
        <v>3692.9879555805901</v>
      </c>
      <c r="AI5625" s="2">
        <v>3396.7896439719502</v>
      </c>
      <c r="AJ5625" s="2">
        <v>3356.4930045086498</v>
      </c>
      <c r="AK5625" s="2">
        <v>2786.8962967130001</v>
      </c>
      <c r="AL5625" s="2">
        <v>2930.12529979172</v>
      </c>
      <c r="AM5625" s="2">
        <v>3075.3385412064199</v>
      </c>
      <c r="AN5625" s="2">
        <v>2868.6603727205302</v>
      </c>
      <c r="AO5625" s="2">
        <v>2779.9575386500601</v>
      </c>
      <c r="AP5625" s="2">
        <v>2692.0273361765499</v>
      </c>
    </row>
    <row r="5626" spans="1:42" ht="14.5" x14ac:dyDescent="0.35">
      <c r="A5626" s="2" t="s">
        <v>37309</v>
      </c>
      <c r="B5626" s="2">
        <v>435.27391551923802</v>
      </c>
      <c r="C5626" s="2">
        <v>10.3221333333333</v>
      </c>
      <c r="D5626" s="2" t="s">
        <v>34</v>
      </c>
      <c r="E5626" s="2" t="s">
        <v>37310</v>
      </c>
      <c r="F5626" s="2">
        <v>250074</v>
      </c>
      <c r="G5626" s="3" t="str">
        <f>HYPERLINK("http://funmeta.oebiotech.com/network/250074", "http://funmeta.oebiotech.com/network/250074")</f>
        <v>http://funmeta.oebiotech.com/network/250074</v>
      </c>
      <c r="H5626" s="2" t="s">
        <v>37311</v>
      </c>
      <c r="I5626" s="2"/>
      <c r="J5626" s="2"/>
      <c r="K5626" s="2"/>
      <c r="L5626" s="2"/>
      <c r="M5626" s="2"/>
      <c r="N5626" s="2"/>
      <c r="O5626" s="2"/>
      <c r="P5626" s="2"/>
      <c r="Q5626" s="2" t="s">
        <v>37312</v>
      </c>
      <c r="R5626" s="2" t="s">
        <v>37313</v>
      </c>
      <c r="S5626" s="2" t="s">
        <v>41</v>
      </c>
      <c r="T5626" s="2" t="s">
        <v>41</v>
      </c>
      <c r="U5626" s="2" t="s">
        <v>41</v>
      </c>
      <c r="V5626" s="2" t="s">
        <v>59</v>
      </c>
      <c r="W5626" s="2">
        <v>38.9</v>
      </c>
      <c r="X5626" s="2">
        <v>8.5</v>
      </c>
      <c r="Y5626" s="2" t="s">
        <v>394</v>
      </c>
      <c r="Z5626" s="2" t="s">
        <v>20465</v>
      </c>
      <c r="AA5626" s="2">
        <v>-0.46019811793641902</v>
      </c>
      <c r="AB5626" s="2">
        <v>7.1745853454101699E-2</v>
      </c>
      <c r="AC5626" s="2">
        <v>12112.3601493716</v>
      </c>
      <c r="AD5626" s="2">
        <v>12849.5458076165</v>
      </c>
      <c r="AE5626" s="2">
        <v>12587.0889953695</v>
      </c>
      <c r="AF5626" s="2">
        <v>11440.4487944304</v>
      </c>
      <c r="AG5626" s="2">
        <v>12509.214912506701</v>
      </c>
      <c r="AH5626" s="2">
        <v>12761.012835593199</v>
      </c>
      <c r="AI5626" s="2">
        <v>12121.300453976401</v>
      </c>
      <c r="AJ5626" s="2">
        <v>11255.0949043533</v>
      </c>
      <c r="AK5626" s="2">
        <v>13213.424622968199</v>
      </c>
      <c r="AL5626" s="2">
        <v>11133.080011199299</v>
      </c>
      <c r="AM5626" s="2">
        <v>12745.013377311099</v>
      </c>
      <c r="AN5626" s="2">
        <v>12886.233079449899</v>
      </c>
      <c r="AO5626" s="2">
        <v>13889.816877261201</v>
      </c>
      <c r="AP5626" s="2">
        <v>13229.706877509199</v>
      </c>
    </row>
    <row r="5627" spans="1:42" ht="14.5" x14ac:dyDescent="0.35">
      <c r="A5627" s="2" t="s">
        <v>37314</v>
      </c>
      <c r="B5627" s="2">
        <v>260.16054763894999</v>
      </c>
      <c r="C5627" s="2">
        <v>2.79266666666667</v>
      </c>
      <c r="D5627" s="2" t="s">
        <v>34</v>
      </c>
      <c r="E5627" s="2" t="s">
        <v>37315</v>
      </c>
      <c r="F5627" s="2">
        <v>201465</v>
      </c>
      <c r="G5627" s="3" t="str">
        <f>HYPERLINK("http://funmeta.oebiotech.com/network/201465", "http://funmeta.oebiotech.com/network/201465")</f>
        <v>http://funmeta.oebiotech.com/network/201465</v>
      </c>
      <c r="H5627" s="2" t="s">
        <v>37316</v>
      </c>
      <c r="I5627" s="2">
        <v>497</v>
      </c>
      <c r="J5627" s="2"/>
      <c r="K5627" s="2"/>
      <c r="L5627" s="2"/>
      <c r="M5627" s="2"/>
      <c r="N5627" s="2"/>
      <c r="O5627" s="2">
        <v>121454</v>
      </c>
      <c r="P5627" s="2" t="s">
        <v>37317</v>
      </c>
      <c r="Q5627" s="2" t="s">
        <v>37318</v>
      </c>
      <c r="R5627" s="2" t="s">
        <v>37319</v>
      </c>
      <c r="S5627" s="2" t="s">
        <v>491</v>
      </c>
      <c r="T5627" s="2" t="s">
        <v>4517</v>
      </c>
      <c r="U5627" s="2" t="s">
        <v>4518</v>
      </c>
      <c r="V5627" s="2" t="s">
        <v>59</v>
      </c>
      <c r="W5627" s="2">
        <v>38.9</v>
      </c>
      <c r="X5627" s="2">
        <v>0</v>
      </c>
      <c r="Y5627" s="2" t="s">
        <v>43</v>
      </c>
      <c r="Z5627" s="2" t="s">
        <v>37320</v>
      </c>
      <c r="AA5627" s="2">
        <v>0.26863564384365102</v>
      </c>
      <c r="AB5627" s="2">
        <v>7.1734710397813706E-2</v>
      </c>
      <c r="AC5627" s="2">
        <v>552.10870629894896</v>
      </c>
      <c r="AD5627" s="2">
        <v>177.31630395289099</v>
      </c>
      <c r="AE5627" s="2">
        <v>751.84720436182897</v>
      </c>
      <c r="AF5627" s="2">
        <v>475.96312135122599</v>
      </c>
      <c r="AG5627" s="2">
        <v>378.31688002100799</v>
      </c>
      <c r="AH5627" s="2">
        <v>640.17691136314897</v>
      </c>
      <c r="AI5627" s="2">
        <v>514.15274664116305</v>
      </c>
      <c r="AJ5627" s="2">
        <v>552.19537405532003</v>
      </c>
      <c r="AK5627" s="2">
        <v>106.78462378750901</v>
      </c>
      <c r="AL5627" s="2">
        <v>233.583307529786</v>
      </c>
      <c r="AM5627" s="2">
        <v>234.593365237412</v>
      </c>
      <c r="AN5627" s="2">
        <v>154.698377117484</v>
      </c>
      <c r="AO5627" s="2">
        <v>184.65299216138499</v>
      </c>
      <c r="AP5627" s="2">
        <v>149.58515788376701</v>
      </c>
    </row>
    <row r="5628" spans="1:42" ht="14.5" x14ac:dyDescent="0.35">
      <c r="A5628" s="2" t="s">
        <v>37321</v>
      </c>
      <c r="B5628" s="2">
        <v>361.23704036036401</v>
      </c>
      <c r="C5628" s="2">
        <v>5.3873333333333298</v>
      </c>
      <c r="D5628" s="2" t="s">
        <v>34</v>
      </c>
      <c r="E5628" s="2" t="s">
        <v>37322</v>
      </c>
      <c r="F5628" s="2">
        <v>280600</v>
      </c>
      <c r="G5628" s="3" t="str">
        <f>HYPERLINK("http://funmeta.oebiotech.com/network/280600", "http://funmeta.oebiotech.com/network/280600")</f>
        <v>http://funmeta.oebiotech.com/network/280600</v>
      </c>
      <c r="H5628" s="2" t="s">
        <v>37323</v>
      </c>
      <c r="I5628" s="2">
        <v>87968</v>
      </c>
      <c r="J5628" s="2"/>
      <c r="K5628" s="2"/>
      <c r="L5628" s="2"/>
      <c r="M5628" s="2"/>
      <c r="N5628" s="2"/>
      <c r="O5628" s="2">
        <v>24667</v>
      </c>
      <c r="P5628" s="2" t="s">
        <v>37324</v>
      </c>
      <c r="Q5628" s="2" t="s">
        <v>37325</v>
      </c>
      <c r="R5628" s="2" t="s">
        <v>37326</v>
      </c>
      <c r="S5628" s="2" t="s">
        <v>148</v>
      </c>
      <c r="T5628" s="2" t="s">
        <v>392</v>
      </c>
      <c r="U5628" s="2" t="s">
        <v>3450</v>
      </c>
      <c r="V5628" s="2" t="s">
        <v>59</v>
      </c>
      <c r="W5628" s="2">
        <v>38</v>
      </c>
      <c r="X5628" s="2">
        <v>0</v>
      </c>
      <c r="Y5628" s="2" t="s">
        <v>394</v>
      </c>
      <c r="Z5628" s="2" t="s">
        <v>8484</v>
      </c>
      <c r="AA5628" s="2">
        <v>-0.820520409518669</v>
      </c>
      <c r="AB5628" s="2">
        <v>7.1600508082080294E-2</v>
      </c>
      <c r="AC5628" s="2">
        <v>2026.5004078296099</v>
      </c>
      <c r="AD5628" s="2">
        <v>2699.7592144413902</v>
      </c>
      <c r="AE5628" s="2">
        <v>2677.7981251382398</v>
      </c>
      <c r="AF5628" s="2">
        <v>2190.5766273210702</v>
      </c>
      <c r="AG5628" s="2">
        <v>2257.5298485347598</v>
      </c>
      <c r="AH5628" s="2">
        <v>2294.63632617659</v>
      </c>
      <c r="AI5628" s="2">
        <v>1026.7399519343401</v>
      </c>
      <c r="AJ5628" s="2">
        <v>1711.72156787269</v>
      </c>
      <c r="AK5628" s="2">
        <v>3985.7883041812602</v>
      </c>
      <c r="AL5628" s="2">
        <v>2348.6438492009001</v>
      </c>
      <c r="AM5628" s="2">
        <v>2458.6395012966</v>
      </c>
      <c r="AN5628" s="2">
        <v>2329.1949924035498</v>
      </c>
      <c r="AO5628" s="2">
        <v>2319.09981772119</v>
      </c>
      <c r="AP5628" s="2">
        <v>2757.1888218448298</v>
      </c>
    </row>
    <row r="5629" spans="1:42" ht="14.5" x14ac:dyDescent="0.35">
      <c r="A5629" s="2" t="s">
        <v>37327</v>
      </c>
      <c r="B5629" s="2">
        <v>621.26998714757406</v>
      </c>
      <c r="C5629" s="2">
        <v>12.953900000000001</v>
      </c>
      <c r="D5629" s="2" t="s">
        <v>34</v>
      </c>
      <c r="E5629" s="2" t="s">
        <v>37328</v>
      </c>
      <c r="F5629" s="2">
        <v>255142</v>
      </c>
      <c r="G5629" s="3" t="str">
        <f>HYPERLINK("http://funmeta.oebiotech.com/network/255142", "http://funmeta.oebiotech.com/network/255142")</f>
        <v>http://funmeta.oebiotech.com/network/255142</v>
      </c>
      <c r="H5629" s="2" t="s">
        <v>37329</v>
      </c>
      <c r="I5629" s="2"/>
      <c r="J5629" s="2"/>
      <c r="K5629" s="2"/>
      <c r="L5629" s="2"/>
      <c r="M5629" s="2"/>
      <c r="N5629" s="2"/>
      <c r="O5629" s="2"/>
      <c r="P5629" s="2"/>
      <c r="Q5629" s="2" t="s">
        <v>37330</v>
      </c>
      <c r="R5629" s="2" t="s">
        <v>37331</v>
      </c>
      <c r="S5629" s="2" t="s">
        <v>491</v>
      </c>
      <c r="T5629" s="2" t="s">
        <v>492</v>
      </c>
      <c r="U5629" s="2" t="s">
        <v>5931</v>
      </c>
      <c r="V5629" s="2" t="s">
        <v>59</v>
      </c>
      <c r="W5629" s="2">
        <v>44.2</v>
      </c>
      <c r="X5629" s="2">
        <v>24.7</v>
      </c>
      <c r="Y5629" s="2" t="s">
        <v>67</v>
      </c>
      <c r="Z5629" s="2" t="s">
        <v>37332</v>
      </c>
      <c r="AA5629" s="2">
        <v>-1.24813974120712</v>
      </c>
      <c r="AB5629" s="2">
        <v>7.1522038245130301E-2</v>
      </c>
      <c r="AC5629" s="2">
        <v>1108.2685447060301</v>
      </c>
      <c r="AD5629" s="2">
        <v>259.00854684985001</v>
      </c>
      <c r="AE5629" s="2">
        <v>3861.0315345398499</v>
      </c>
      <c r="AF5629" s="2">
        <v>350.85799765262698</v>
      </c>
      <c r="AG5629" s="2">
        <v>240.77168872257499</v>
      </c>
      <c r="AH5629" s="2">
        <v>1301.90358988258</v>
      </c>
      <c r="AI5629" s="2">
        <v>705.80580029032296</v>
      </c>
      <c r="AJ5629" s="2">
        <v>189.24065714825201</v>
      </c>
      <c r="AK5629" s="2">
        <v>1554.0511455676301</v>
      </c>
      <c r="AL5629" s="2">
        <v>2.7106294003980101E-5</v>
      </c>
      <c r="AM5629" s="2">
        <v>2.7106294003980101E-5</v>
      </c>
      <c r="AN5629" s="2">
        <v>2.7106294003980101E-5</v>
      </c>
      <c r="AO5629" s="2">
        <v>2.7106294003980101E-5</v>
      </c>
      <c r="AP5629" s="2">
        <v>2.7106294003980101E-5</v>
      </c>
    </row>
    <row r="5630" spans="1:42" ht="14.5" x14ac:dyDescent="0.35">
      <c r="A5630" s="2" t="s">
        <v>37333</v>
      </c>
      <c r="B5630" s="2">
        <v>200.05532683444599</v>
      </c>
      <c r="C5630" s="2">
        <v>1.0770999999999999</v>
      </c>
      <c r="D5630" s="2" t="s">
        <v>34</v>
      </c>
      <c r="E5630" s="2" t="s">
        <v>37334</v>
      </c>
      <c r="F5630" s="2">
        <v>200612</v>
      </c>
      <c r="G5630" s="3" t="str">
        <f>HYPERLINK("http://funmeta.oebiotech.com/network/200612", "http://funmeta.oebiotech.com/network/200612")</f>
        <v>http://funmeta.oebiotech.com/network/200612</v>
      </c>
      <c r="H5630" s="2" t="s">
        <v>37335</v>
      </c>
      <c r="I5630" s="2">
        <v>341137</v>
      </c>
      <c r="J5630" s="2"/>
      <c r="K5630" s="2"/>
      <c r="L5630" s="2"/>
      <c r="M5630" s="2"/>
      <c r="N5630" s="2"/>
      <c r="O5630" s="2">
        <v>97257</v>
      </c>
      <c r="P5630" s="2"/>
      <c r="Q5630" s="2" t="s">
        <v>37336</v>
      </c>
      <c r="R5630" s="2" t="s">
        <v>37337</v>
      </c>
      <c r="S5630" s="2" t="s">
        <v>148</v>
      </c>
      <c r="T5630" s="2" t="s">
        <v>149</v>
      </c>
      <c r="U5630" s="2" t="s">
        <v>1593</v>
      </c>
      <c r="V5630" s="2" t="s">
        <v>59</v>
      </c>
      <c r="W5630" s="2">
        <v>39.200000000000003</v>
      </c>
      <c r="X5630" s="2">
        <v>0</v>
      </c>
      <c r="Y5630" s="2" t="s">
        <v>43</v>
      </c>
      <c r="Z5630" s="2" t="s">
        <v>37338</v>
      </c>
      <c r="AA5630" s="2">
        <v>-0.12078667275676</v>
      </c>
      <c r="AB5630" s="2">
        <v>7.1465075614789805E-2</v>
      </c>
      <c r="AC5630" s="2">
        <v>2629.0593647397</v>
      </c>
      <c r="AD5630" s="2">
        <v>3170.2067626397002</v>
      </c>
      <c r="AE5630" s="2">
        <v>3013.7817749701398</v>
      </c>
      <c r="AF5630" s="2">
        <v>2693.15616512722</v>
      </c>
      <c r="AG5630" s="2">
        <v>2140.0692379002198</v>
      </c>
      <c r="AH5630" s="2">
        <v>2769.4787781937198</v>
      </c>
      <c r="AI5630" s="2">
        <v>2769.43346342206</v>
      </c>
      <c r="AJ5630" s="2">
        <v>2388.4367688248599</v>
      </c>
      <c r="AK5630" s="2">
        <v>3307.5345287227201</v>
      </c>
      <c r="AL5630" s="2">
        <v>2333.8834679462402</v>
      </c>
      <c r="AM5630" s="2">
        <v>3145.2586453624499</v>
      </c>
      <c r="AN5630" s="2">
        <v>3634.43901323207</v>
      </c>
      <c r="AO5630" s="2">
        <v>3194.3587264452799</v>
      </c>
      <c r="AP5630" s="2">
        <v>3405.76619412942</v>
      </c>
    </row>
    <row r="5631" spans="1:42" ht="14.5" x14ac:dyDescent="0.35">
      <c r="A5631" s="2" t="s">
        <v>37339</v>
      </c>
      <c r="B5631" s="2">
        <v>161.096096097546</v>
      </c>
      <c r="C5631" s="2">
        <v>3.1984666666666701</v>
      </c>
      <c r="D5631" s="2" t="s">
        <v>34</v>
      </c>
      <c r="E5631" s="2" t="s">
        <v>37340</v>
      </c>
      <c r="F5631" s="2">
        <v>208686</v>
      </c>
      <c r="G5631" s="3" t="str">
        <f>HYPERLINK("http://funmeta.oebiotech.com/network/208686", "http://funmeta.oebiotech.com/network/208686")</f>
        <v>http://funmeta.oebiotech.com/network/208686</v>
      </c>
      <c r="H5631" s="2" t="s">
        <v>37341</v>
      </c>
      <c r="I5631" s="2">
        <v>328652</v>
      </c>
      <c r="J5631" s="2"/>
      <c r="K5631" s="2">
        <v>14469</v>
      </c>
      <c r="L5631" s="2"/>
      <c r="M5631" s="2"/>
      <c r="N5631" s="2"/>
      <c r="O5631" s="2">
        <v>7128</v>
      </c>
      <c r="P5631" s="2"/>
      <c r="Q5631" s="2" t="s">
        <v>37342</v>
      </c>
      <c r="R5631" s="2" t="s">
        <v>37343</v>
      </c>
      <c r="S5631" s="2" t="s">
        <v>148</v>
      </c>
      <c r="T5631" s="2" t="s">
        <v>149</v>
      </c>
      <c r="U5631" s="2" t="s">
        <v>4297</v>
      </c>
      <c r="V5631" s="2" t="s">
        <v>59</v>
      </c>
      <c r="W5631" s="2">
        <v>38.700000000000003</v>
      </c>
      <c r="X5631" s="2">
        <v>0</v>
      </c>
      <c r="Y5631" s="2" t="s">
        <v>141</v>
      </c>
      <c r="Z5631" s="2" t="s">
        <v>12201</v>
      </c>
      <c r="AA5631" s="2">
        <v>2.61620579380673E-2</v>
      </c>
      <c r="AB5631" s="2">
        <v>7.1456433770939298E-2</v>
      </c>
      <c r="AC5631" s="2">
        <v>3382.8974827218599</v>
      </c>
      <c r="AD5631" s="2">
        <v>3848.8366514417798</v>
      </c>
      <c r="AE5631" s="2">
        <v>3500.9871696729401</v>
      </c>
      <c r="AF5631" s="2">
        <v>3588.1409084490701</v>
      </c>
      <c r="AG5631" s="2">
        <v>3182.9996357858499</v>
      </c>
      <c r="AH5631" s="2">
        <v>3383.9332653892998</v>
      </c>
      <c r="AI5631" s="2">
        <v>3527.2747205954201</v>
      </c>
      <c r="AJ5631" s="2">
        <v>3114.0491964385701</v>
      </c>
      <c r="AK5631" s="2">
        <v>3971.6223704750801</v>
      </c>
      <c r="AL5631" s="2">
        <v>4117.1657916190197</v>
      </c>
      <c r="AM5631" s="2">
        <v>3452.4467949702998</v>
      </c>
      <c r="AN5631" s="2">
        <v>3795.6585808868899</v>
      </c>
      <c r="AO5631" s="2">
        <v>4167.9214173681603</v>
      </c>
      <c r="AP5631" s="2">
        <v>3588.2049533312202</v>
      </c>
    </row>
    <row r="5632" spans="1:42" ht="14.5" x14ac:dyDescent="0.35">
      <c r="A5632" s="2" t="s">
        <v>37344</v>
      </c>
      <c r="B5632" s="2">
        <v>485.20257796420498</v>
      </c>
      <c r="C5632" s="2">
        <v>4.9511166666666702</v>
      </c>
      <c r="D5632" s="2" t="s">
        <v>70</v>
      </c>
      <c r="E5632" s="2" t="s">
        <v>37345</v>
      </c>
      <c r="F5632" s="2">
        <v>59453</v>
      </c>
      <c r="G5632" s="3" t="str">
        <f>HYPERLINK("http://funmeta.oebiotech.com/network/59453", "http://funmeta.oebiotech.com/network/59453")</f>
        <v>http://funmeta.oebiotech.com/network/59453</v>
      </c>
      <c r="H5632" s="2" t="s">
        <v>37346</v>
      </c>
      <c r="I5632" s="2">
        <v>90869</v>
      </c>
      <c r="J5632" s="2"/>
      <c r="K5632" s="2"/>
      <c r="L5632" s="2"/>
      <c r="M5632" s="2"/>
      <c r="N5632" s="2"/>
      <c r="O5632" s="2">
        <v>74105490</v>
      </c>
      <c r="P5632" s="2" t="s">
        <v>37347</v>
      </c>
      <c r="Q5632" s="2" t="s">
        <v>37348</v>
      </c>
      <c r="R5632" s="2" t="s">
        <v>37349</v>
      </c>
      <c r="S5632" s="2" t="s">
        <v>50</v>
      </c>
      <c r="T5632" s="2" t="s">
        <v>201</v>
      </c>
      <c r="U5632" s="2" t="s">
        <v>636</v>
      </c>
      <c r="V5632" s="2" t="s">
        <v>42</v>
      </c>
      <c r="W5632" s="2">
        <v>50.1</v>
      </c>
      <c r="X5632" s="2">
        <v>57.8</v>
      </c>
      <c r="Y5632" s="2" t="s">
        <v>4732</v>
      </c>
      <c r="Z5632" s="2" t="s">
        <v>37350</v>
      </c>
      <c r="AA5632" s="2">
        <v>-0.52962562676231195</v>
      </c>
      <c r="AB5632" s="2">
        <v>7.1327711515435904E-2</v>
      </c>
      <c r="AC5632" s="2">
        <v>67694.594135298496</v>
      </c>
      <c r="AD5632" s="2">
        <v>66170.221385625395</v>
      </c>
      <c r="AE5632" s="2">
        <v>72989.809748136206</v>
      </c>
      <c r="AF5632" s="2">
        <v>68689.858216711495</v>
      </c>
      <c r="AG5632" s="2">
        <v>65511.265447591002</v>
      </c>
      <c r="AH5632" s="2">
        <v>69937.462466764002</v>
      </c>
      <c r="AI5632" s="2">
        <v>59776.255186569098</v>
      </c>
      <c r="AJ5632" s="2">
        <v>69262.913746019098</v>
      </c>
      <c r="AK5632" s="2">
        <v>69290.743272624502</v>
      </c>
      <c r="AL5632" s="2">
        <v>64025.100011575603</v>
      </c>
      <c r="AM5632" s="2">
        <v>68395.176040945007</v>
      </c>
      <c r="AN5632" s="2">
        <v>66211.639940393405</v>
      </c>
      <c r="AO5632" s="2">
        <v>60659.133018128399</v>
      </c>
      <c r="AP5632" s="2">
        <v>68439.536030085495</v>
      </c>
    </row>
    <row r="5633" spans="1:42" ht="14.5" x14ac:dyDescent="0.35">
      <c r="A5633" s="2" t="s">
        <v>37351</v>
      </c>
      <c r="B5633" s="2">
        <v>823.53194808848195</v>
      </c>
      <c r="C5633" s="2">
        <v>15.127133333333299</v>
      </c>
      <c r="D5633" s="2" t="s">
        <v>34</v>
      </c>
      <c r="E5633" s="2" t="s">
        <v>37352</v>
      </c>
      <c r="F5633" s="2">
        <v>221753</v>
      </c>
      <c r="G5633" s="3" t="str">
        <f>HYPERLINK("http://funmeta.oebiotech.com/network/221753", "http://funmeta.oebiotech.com/network/221753")</f>
        <v>http://funmeta.oebiotech.com/network/221753</v>
      </c>
      <c r="H5633" s="2" t="s">
        <v>37353</v>
      </c>
      <c r="I5633" s="2"/>
      <c r="J5633" s="2"/>
      <c r="K5633" s="2"/>
      <c r="L5633" s="2"/>
      <c r="M5633" s="2"/>
      <c r="N5633" s="2"/>
      <c r="O5633" s="2"/>
      <c r="P5633" s="2"/>
      <c r="Q5633" s="2" t="s">
        <v>37354</v>
      </c>
      <c r="R5633" s="2" t="s">
        <v>37355</v>
      </c>
      <c r="S5633" s="2" t="s">
        <v>41</v>
      </c>
      <c r="T5633" s="2" t="s">
        <v>41</v>
      </c>
      <c r="U5633" s="2" t="s">
        <v>41</v>
      </c>
      <c r="V5633" s="2" t="s">
        <v>59</v>
      </c>
      <c r="W5633" s="2">
        <v>38.6</v>
      </c>
      <c r="X5633" s="2">
        <v>0</v>
      </c>
      <c r="Y5633" s="2" t="s">
        <v>394</v>
      </c>
      <c r="Z5633" s="2" t="s">
        <v>37356</v>
      </c>
      <c r="AA5633" s="2">
        <v>-1.4073252012215101</v>
      </c>
      <c r="AB5633" s="2">
        <v>7.1121609905662103E-2</v>
      </c>
      <c r="AC5633" s="2">
        <v>13861.678451390801</v>
      </c>
      <c r="AD5633" s="2">
        <v>12970.5154623048</v>
      </c>
      <c r="AE5633" s="2">
        <v>11664.268784079601</v>
      </c>
      <c r="AF5633" s="2">
        <v>12450.4798069025</v>
      </c>
      <c r="AG5633" s="2">
        <v>14410.6964904264</v>
      </c>
      <c r="AH5633" s="2">
        <v>14419.6851343774</v>
      </c>
      <c r="AI5633" s="2">
        <v>14964.9864380706</v>
      </c>
      <c r="AJ5633" s="2">
        <v>15259.9540544881</v>
      </c>
      <c r="AK5633" s="2">
        <v>14069.5257758916</v>
      </c>
      <c r="AL5633" s="2">
        <v>13359.8933352443</v>
      </c>
      <c r="AM5633" s="2">
        <v>12587.329425608499</v>
      </c>
      <c r="AN5633" s="2">
        <v>12661.138726286301</v>
      </c>
      <c r="AO5633" s="2">
        <v>13467.669305535201</v>
      </c>
      <c r="AP5633" s="2">
        <v>11677.536205262901</v>
      </c>
    </row>
    <row r="5634" spans="1:42" ht="14.5" x14ac:dyDescent="0.35">
      <c r="A5634" s="2" t="s">
        <v>37357</v>
      </c>
      <c r="B5634" s="2">
        <v>435.38191028008401</v>
      </c>
      <c r="C5634" s="2">
        <v>14.962949999999999</v>
      </c>
      <c r="D5634" s="2" t="s">
        <v>34</v>
      </c>
      <c r="E5634" s="2" t="s">
        <v>37358</v>
      </c>
      <c r="F5634" s="2">
        <v>403</v>
      </c>
      <c r="G5634" s="3" t="str">
        <f>HYPERLINK("http://funmeta.oebiotech.com/network/403", "http://funmeta.oebiotech.com/network/403")</f>
        <v>http://funmeta.oebiotech.com/network/403</v>
      </c>
      <c r="H5634" s="2"/>
      <c r="I5634" s="2">
        <v>73745</v>
      </c>
      <c r="J5634" s="2" t="s">
        <v>37359</v>
      </c>
      <c r="K5634" s="2"/>
      <c r="L5634" s="2"/>
      <c r="M5634" s="2"/>
      <c r="N5634" s="2"/>
      <c r="O5634" s="2">
        <v>52921764</v>
      </c>
      <c r="P5634" s="2"/>
      <c r="Q5634" s="2" t="s">
        <v>37360</v>
      </c>
      <c r="R5634" s="2" t="s">
        <v>37361</v>
      </c>
      <c r="S5634" s="2" t="s">
        <v>50</v>
      </c>
      <c r="T5634" s="2" t="s">
        <v>229</v>
      </c>
      <c r="U5634" s="2" t="s">
        <v>433</v>
      </c>
      <c r="V5634" s="2" t="s">
        <v>59</v>
      </c>
      <c r="W5634" s="2">
        <v>36.700000000000003</v>
      </c>
      <c r="X5634" s="2">
        <v>0</v>
      </c>
      <c r="Y5634" s="2" t="s">
        <v>323</v>
      </c>
      <c r="Z5634" s="2" t="s">
        <v>37362</v>
      </c>
      <c r="AA5634" s="2">
        <v>2.5317529461370198</v>
      </c>
      <c r="AB5634" s="2">
        <v>7.1119992566646001E-2</v>
      </c>
      <c r="AC5634" s="2">
        <v>1929.1365466134901</v>
      </c>
      <c r="AD5634" s="2">
        <v>2374.6243029289499</v>
      </c>
      <c r="AE5634" s="2">
        <v>1668.6703628836201</v>
      </c>
      <c r="AF5634" s="2">
        <v>2029.15552955527</v>
      </c>
      <c r="AG5634" s="2">
        <v>2049.57816662303</v>
      </c>
      <c r="AH5634" s="2">
        <v>2085.1818598896398</v>
      </c>
      <c r="AI5634" s="2">
        <v>1683.11741543225</v>
      </c>
      <c r="AJ5634" s="2">
        <v>2059.1159452971201</v>
      </c>
      <c r="AK5634" s="2">
        <v>2448.0237343611302</v>
      </c>
      <c r="AL5634" s="2">
        <v>2570.9995550418598</v>
      </c>
      <c r="AM5634" s="2">
        <v>2437.4629997685502</v>
      </c>
      <c r="AN5634" s="2">
        <v>2058.0391399169198</v>
      </c>
      <c r="AO5634" s="2">
        <v>2603.0226113998401</v>
      </c>
      <c r="AP5634" s="2">
        <v>2130.1977770854301</v>
      </c>
    </row>
    <row r="5635" spans="1:42" ht="14.5" x14ac:dyDescent="0.35">
      <c r="A5635" s="2" t="s">
        <v>37363</v>
      </c>
      <c r="B5635" s="2">
        <v>575.051086620089</v>
      </c>
      <c r="C5635" s="2">
        <v>10.1084333333333</v>
      </c>
      <c r="D5635" s="2" t="s">
        <v>70</v>
      </c>
      <c r="E5635" s="2" t="s">
        <v>37364</v>
      </c>
      <c r="F5635" s="2">
        <v>54186</v>
      </c>
      <c r="G5635" s="3" t="str">
        <f>HYPERLINK("http://funmeta.oebiotech.com/network/54186", "http://funmeta.oebiotech.com/network/54186")</f>
        <v>http://funmeta.oebiotech.com/network/54186</v>
      </c>
      <c r="H5635" s="2" t="s">
        <v>37365</v>
      </c>
      <c r="I5635" s="2">
        <v>86078</v>
      </c>
      <c r="J5635" s="2"/>
      <c r="K5635" s="2">
        <v>134254</v>
      </c>
      <c r="L5635" s="2"/>
      <c r="M5635" s="2"/>
      <c r="N5635" s="2"/>
      <c r="O5635" s="2">
        <v>129626609</v>
      </c>
      <c r="P5635" s="2"/>
      <c r="Q5635" s="2" t="s">
        <v>37366</v>
      </c>
      <c r="R5635" s="2" t="s">
        <v>37367</v>
      </c>
      <c r="S5635" s="2" t="s">
        <v>89</v>
      </c>
      <c r="T5635" s="2" t="s">
        <v>1773</v>
      </c>
      <c r="U5635" s="2" t="s">
        <v>21134</v>
      </c>
      <c r="V5635" s="2" t="s">
        <v>59</v>
      </c>
      <c r="W5635" s="2">
        <v>37.200000000000003</v>
      </c>
      <c r="X5635" s="2">
        <v>0</v>
      </c>
      <c r="Y5635" s="2" t="s">
        <v>560</v>
      </c>
      <c r="Z5635" s="2" t="s">
        <v>37368</v>
      </c>
      <c r="AA5635" s="2">
        <v>-4.1391319266019799</v>
      </c>
      <c r="AB5635" s="2">
        <v>7.1098151102416199E-2</v>
      </c>
      <c r="AC5635" s="2">
        <v>4624.4038625786498</v>
      </c>
      <c r="AD5635" s="2">
        <v>5311.6130967822201</v>
      </c>
      <c r="AE5635" s="2">
        <v>3939.1694245189601</v>
      </c>
      <c r="AF5635" s="2">
        <v>4456.8752263610704</v>
      </c>
      <c r="AG5635" s="2">
        <v>5067.1663787033604</v>
      </c>
      <c r="AH5635" s="2">
        <v>4392.3011005749904</v>
      </c>
      <c r="AI5635" s="2">
        <v>4676.5793070344298</v>
      </c>
      <c r="AJ5635" s="2">
        <v>5214.3317382790901</v>
      </c>
      <c r="AK5635" s="2">
        <v>5745.1383373908602</v>
      </c>
      <c r="AL5635" s="2">
        <v>6211.9060090036101</v>
      </c>
      <c r="AM5635" s="2">
        <v>5637.8331331120698</v>
      </c>
      <c r="AN5635" s="2">
        <v>4781.0702921913698</v>
      </c>
      <c r="AO5635" s="2">
        <v>5606.68270107437</v>
      </c>
      <c r="AP5635" s="2">
        <v>3887.0481079210699</v>
      </c>
    </row>
    <row r="5636" spans="1:42" ht="14.5" x14ac:dyDescent="0.35">
      <c r="A5636" s="2" t="s">
        <v>37369</v>
      </c>
      <c r="B5636" s="2">
        <v>361.111361975894</v>
      </c>
      <c r="C5636" s="2">
        <v>3.24125</v>
      </c>
      <c r="D5636" s="2" t="s">
        <v>70</v>
      </c>
      <c r="E5636" s="2" t="s">
        <v>37370</v>
      </c>
      <c r="F5636" s="2">
        <v>210126</v>
      </c>
      <c r="G5636" s="3" t="str">
        <f>HYPERLINK("http://funmeta.oebiotech.com/network/210126", "http://funmeta.oebiotech.com/network/210126")</f>
        <v>http://funmeta.oebiotech.com/network/210126</v>
      </c>
      <c r="H5636" s="2" t="s">
        <v>37371</v>
      </c>
      <c r="I5636" s="2">
        <v>436250</v>
      </c>
      <c r="J5636" s="2"/>
      <c r="K5636" s="2"/>
      <c r="L5636" s="2"/>
      <c r="M5636" s="2"/>
      <c r="N5636" s="2"/>
      <c r="O5636" s="2">
        <v>150933</v>
      </c>
      <c r="P5636" s="2"/>
      <c r="Q5636" s="2" t="s">
        <v>37372</v>
      </c>
      <c r="R5636" s="2" t="s">
        <v>37373</v>
      </c>
      <c r="S5636" s="2" t="s">
        <v>79</v>
      </c>
      <c r="T5636" s="2" t="s">
        <v>18840</v>
      </c>
      <c r="U5636" s="2" t="s">
        <v>26129</v>
      </c>
      <c r="V5636" s="2" t="s">
        <v>59</v>
      </c>
      <c r="W5636" s="2">
        <v>37.700000000000003</v>
      </c>
      <c r="X5636" s="2">
        <v>0</v>
      </c>
      <c r="Y5636" s="2" t="s">
        <v>560</v>
      </c>
      <c r="Z5636" s="2" t="s">
        <v>37374</v>
      </c>
      <c r="AA5636" s="2">
        <v>3.7674480939997999</v>
      </c>
      <c r="AB5636" s="2">
        <v>7.1093701436833606E-2</v>
      </c>
      <c r="AC5636" s="2">
        <v>1056.2524618677</v>
      </c>
      <c r="AD5636" s="2">
        <v>1562.18356658886</v>
      </c>
      <c r="AE5636" s="2">
        <v>1314.91221675508</v>
      </c>
      <c r="AF5636" s="2">
        <v>616.41628674681203</v>
      </c>
      <c r="AG5636" s="2">
        <v>1107.09759460187</v>
      </c>
      <c r="AH5636" s="2">
        <v>1039.57273675289</v>
      </c>
      <c r="AI5636" s="2">
        <v>1142.04068869294</v>
      </c>
      <c r="AJ5636" s="2">
        <v>1117.47524765659</v>
      </c>
      <c r="AK5636" s="2">
        <v>2090.7050359025002</v>
      </c>
      <c r="AL5636" s="2">
        <v>1336.5190491701301</v>
      </c>
      <c r="AM5636" s="2">
        <v>1863.74720726532</v>
      </c>
      <c r="AN5636" s="2">
        <v>999.80667342357401</v>
      </c>
      <c r="AO5636" s="2">
        <v>1602.7072051723401</v>
      </c>
      <c r="AP5636" s="2">
        <v>1479.61622859928</v>
      </c>
    </row>
    <row r="5637" spans="1:42" ht="14.5" x14ac:dyDescent="0.35">
      <c r="A5637" s="2" t="s">
        <v>37375</v>
      </c>
      <c r="B5637" s="2">
        <v>657.42236829386002</v>
      </c>
      <c r="C5637" s="2">
        <v>9.7631833333333304</v>
      </c>
      <c r="D5637" s="2" t="s">
        <v>70</v>
      </c>
      <c r="E5637" s="2" t="s">
        <v>37376</v>
      </c>
      <c r="F5637" s="2">
        <v>210565</v>
      </c>
      <c r="G5637" s="3" t="str">
        <f>HYPERLINK("http://funmeta.oebiotech.com/network/210565", "http://funmeta.oebiotech.com/network/210565")</f>
        <v>http://funmeta.oebiotech.com/network/210565</v>
      </c>
      <c r="H5637" s="2" t="s">
        <v>37377</v>
      </c>
      <c r="I5637" s="2">
        <v>321371</v>
      </c>
      <c r="J5637" s="2"/>
      <c r="K5637" s="2"/>
      <c r="L5637" s="2"/>
      <c r="M5637" s="2"/>
      <c r="N5637" s="2"/>
      <c r="O5637" s="2">
        <v>9801</v>
      </c>
      <c r="P5637" s="2"/>
      <c r="Q5637" s="2" t="s">
        <v>37378</v>
      </c>
      <c r="R5637" s="2" t="s">
        <v>37379</v>
      </c>
      <c r="S5637" s="2" t="s">
        <v>148</v>
      </c>
      <c r="T5637" s="2" t="s">
        <v>149</v>
      </c>
      <c r="U5637" s="2" t="s">
        <v>3473</v>
      </c>
      <c r="V5637" s="2" t="s">
        <v>59</v>
      </c>
      <c r="W5637" s="2">
        <v>38.9</v>
      </c>
      <c r="X5637" s="2">
        <v>0</v>
      </c>
      <c r="Y5637" s="2" t="s">
        <v>560</v>
      </c>
      <c r="Z5637" s="2" t="s">
        <v>37380</v>
      </c>
      <c r="AA5637" s="2">
        <v>1.4352115584290699</v>
      </c>
      <c r="AB5637" s="2">
        <v>7.1040180073598705E-2</v>
      </c>
      <c r="AC5637" s="2">
        <v>2868.1111005821799</v>
      </c>
      <c r="AD5637" s="2">
        <v>3416.4140292019702</v>
      </c>
      <c r="AE5637" s="2">
        <v>3277.1366393649701</v>
      </c>
      <c r="AF5637" s="2">
        <v>2828.5132072698598</v>
      </c>
      <c r="AG5637" s="2">
        <v>2450.9178345107398</v>
      </c>
      <c r="AH5637" s="2">
        <v>2987.1271428175</v>
      </c>
      <c r="AI5637" s="2">
        <v>2540.7384253816699</v>
      </c>
      <c r="AJ5637" s="2">
        <v>3124.2333541483699</v>
      </c>
      <c r="AK5637" s="2">
        <v>3366.21166694873</v>
      </c>
      <c r="AL5637" s="2">
        <v>3045.4874279720898</v>
      </c>
      <c r="AM5637" s="2">
        <v>2836.4389281693002</v>
      </c>
      <c r="AN5637" s="2">
        <v>4129.5488508181297</v>
      </c>
      <c r="AO5637" s="2">
        <v>3660.4497030346902</v>
      </c>
      <c r="AP5637" s="2">
        <v>3460.3475982688901</v>
      </c>
    </row>
    <row r="5638" spans="1:42" ht="14.5" x14ac:dyDescent="0.35">
      <c r="A5638" s="2" t="s">
        <v>37381</v>
      </c>
      <c r="B5638" s="2">
        <v>367.12418794083902</v>
      </c>
      <c r="C5638" s="2">
        <v>1.7133499999999999</v>
      </c>
      <c r="D5638" s="2" t="s">
        <v>70</v>
      </c>
      <c r="E5638" s="2" t="s">
        <v>37382</v>
      </c>
      <c r="F5638" s="2">
        <v>52985</v>
      </c>
      <c r="G5638" s="3" t="str">
        <f>HYPERLINK("http://funmeta.oebiotech.com/network/52985", "http://funmeta.oebiotech.com/network/52985")</f>
        <v>http://funmeta.oebiotech.com/network/52985</v>
      </c>
      <c r="H5638" s="2" t="s">
        <v>37383</v>
      </c>
      <c r="I5638" s="2">
        <v>43220</v>
      </c>
      <c r="J5638" s="2"/>
      <c r="K5638" s="2">
        <v>17941</v>
      </c>
      <c r="L5638" s="2" t="s">
        <v>37384</v>
      </c>
      <c r="M5638" s="2"/>
      <c r="N5638" s="2"/>
      <c r="O5638" s="2">
        <v>5936</v>
      </c>
      <c r="P5638" s="2" t="s">
        <v>37385</v>
      </c>
      <c r="Q5638" s="2" t="s">
        <v>37386</v>
      </c>
      <c r="R5638" s="2" t="s">
        <v>37387</v>
      </c>
      <c r="S5638" s="2" t="s">
        <v>89</v>
      </c>
      <c r="T5638" s="2" t="s">
        <v>894</v>
      </c>
      <c r="U5638" s="2" t="s">
        <v>895</v>
      </c>
      <c r="V5638" s="2" t="s">
        <v>59</v>
      </c>
      <c r="W5638" s="2">
        <v>38.6</v>
      </c>
      <c r="X5638" s="2">
        <v>0</v>
      </c>
      <c r="Y5638" s="2" t="s">
        <v>560</v>
      </c>
      <c r="Z5638" s="2" t="s">
        <v>37388</v>
      </c>
      <c r="AA5638" s="2">
        <v>-3.9495041280737202</v>
      </c>
      <c r="AB5638" s="2">
        <v>7.0999533368460099E-2</v>
      </c>
      <c r="AC5638" s="2">
        <v>3454.4850124770701</v>
      </c>
      <c r="AD5638" s="2">
        <v>3991.7030141097298</v>
      </c>
      <c r="AE5638" s="2">
        <v>3319.5423676177902</v>
      </c>
      <c r="AF5638" s="2">
        <v>3675.70987618443</v>
      </c>
      <c r="AG5638" s="2">
        <v>3442.1690996934699</v>
      </c>
      <c r="AH5638" s="2">
        <v>3305.0740753864402</v>
      </c>
      <c r="AI5638" s="2">
        <v>3505.1410592894199</v>
      </c>
      <c r="AJ5638" s="2">
        <v>3479.2735966908799</v>
      </c>
      <c r="AK5638" s="2">
        <v>3550.0253370047599</v>
      </c>
      <c r="AL5638" s="2">
        <v>4779.6482030161396</v>
      </c>
      <c r="AM5638" s="2">
        <v>3477.94988703936</v>
      </c>
      <c r="AN5638" s="2">
        <v>4397.8591897914803</v>
      </c>
      <c r="AO5638" s="2">
        <v>4008.3372354068201</v>
      </c>
      <c r="AP5638" s="2">
        <v>3736.3982323998498</v>
      </c>
    </row>
    <row r="5639" spans="1:42" ht="14.5" x14ac:dyDescent="0.35">
      <c r="A5639" s="2" t="s">
        <v>37389</v>
      </c>
      <c r="B5639" s="2">
        <v>291.01961935776097</v>
      </c>
      <c r="C5639" s="2">
        <v>0.86113333333333297</v>
      </c>
      <c r="D5639" s="2" t="s">
        <v>34</v>
      </c>
      <c r="E5639" s="2" t="s">
        <v>37390</v>
      </c>
      <c r="F5639" s="2">
        <v>52535</v>
      </c>
      <c r="G5639" s="3" t="str">
        <f>HYPERLINK("http://funmeta.oebiotech.com/network/52535", "http://funmeta.oebiotech.com/network/52535")</f>
        <v>http://funmeta.oebiotech.com/network/52535</v>
      </c>
      <c r="H5639" s="2" t="s">
        <v>37391</v>
      </c>
      <c r="I5639" s="2">
        <v>85322</v>
      </c>
      <c r="J5639" s="2"/>
      <c r="K5639" s="2">
        <v>145222</v>
      </c>
      <c r="L5639" s="2"/>
      <c r="M5639" s="2"/>
      <c r="N5639" s="2"/>
      <c r="O5639" s="2">
        <v>131750722</v>
      </c>
      <c r="P5639" s="2"/>
      <c r="Q5639" s="2" t="s">
        <v>37392</v>
      </c>
      <c r="R5639" s="2" t="s">
        <v>37393</v>
      </c>
      <c r="S5639" s="2" t="s">
        <v>491</v>
      </c>
      <c r="T5639" s="2" t="s">
        <v>37394</v>
      </c>
      <c r="U5639" s="2" t="s">
        <v>37395</v>
      </c>
      <c r="V5639" s="2" t="s">
        <v>59</v>
      </c>
      <c r="W5639" s="2">
        <v>37.700000000000003</v>
      </c>
      <c r="X5639" s="2">
        <v>0</v>
      </c>
      <c r="Y5639" s="2" t="s">
        <v>340</v>
      </c>
      <c r="Z5639" s="2" t="s">
        <v>37396</v>
      </c>
      <c r="AA5639" s="2">
        <v>-1.5947804549014899</v>
      </c>
      <c r="AB5639" s="2">
        <v>7.0949491516331994E-2</v>
      </c>
      <c r="AC5639" s="2">
        <v>1166.6020538268499</v>
      </c>
      <c r="AD5639" s="2">
        <v>716.29985525677398</v>
      </c>
      <c r="AE5639" s="2">
        <v>1116.5897953819799</v>
      </c>
      <c r="AF5639" s="2">
        <v>1260.4120824035699</v>
      </c>
      <c r="AG5639" s="2">
        <v>1484.4747673705599</v>
      </c>
      <c r="AH5639" s="2">
        <v>829.23167139483405</v>
      </c>
      <c r="AI5639" s="2">
        <v>949.30985031858199</v>
      </c>
      <c r="AJ5639" s="2">
        <v>1359.5941560916001</v>
      </c>
      <c r="AK5639" s="2">
        <v>694.24112044276103</v>
      </c>
      <c r="AL5639" s="2">
        <v>406.37791070914398</v>
      </c>
      <c r="AM5639" s="2">
        <v>970.78471795168798</v>
      </c>
      <c r="AN5639" s="2">
        <v>536.65484586120704</v>
      </c>
      <c r="AO5639" s="2">
        <v>837.91762974537096</v>
      </c>
      <c r="AP5639" s="2">
        <v>851.82290683046995</v>
      </c>
    </row>
    <row r="5640" spans="1:42" ht="14.5" x14ac:dyDescent="0.35">
      <c r="A5640" s="2" t="s">
        <v>37397</v>
      </c>
      <c r="B5640" s="2">
        <v>222.071584544259</v>
      </c>
      <c r="C5640" s="2">
        <v>4.4289500000000004</v>
      </c>
      <c r="D5640" s="2" t="s">
        <v>34</v>
      </c>
      <c r="E5640" s="2" t="s">
        <v>37398</v>
      </c>
      <c r="F5640" s="2">
        <v>63300</v>
      </c>
      <c r="G5640" s="3" t="str">
        <f>HYPERLINK("http://funmeta.oebiotech.com/network/63300", "http://funmeta.oebiotech.com/network/63300")</f>
        <v>http://funmeta.oebiotech.com/network/63300</v>
      </c>
      <c r="H5640" s="2" t="s">
        <v>37399</v>
      </c>
      <c r="I5640" s="2">
        <v>94608</v>
      </c>
      <c r="J5640" s="2"/>
      <c r="K5640" s="2"/>
      <c r="L5640" s="2"/>
      <c r="M5640" s="2"/>
      <c r="N5640" s="2"/>
      <c r="O5640" s="2">
        <v>17827946</v>
      </c>
      <c r="P5640" s="2" t="s">
        <v>37400</v>
      </c>
      <c r="Q5640" s="2" t="s">
        <v>37401</v>
      </c>
      <c r="R5640" s="2" t="s">
        <v>37402</v>
      </c>
      <c r="S5640" s="2" t="s">
        <v>491</v>
      </c>
      <c r="T5640" s="2" t="s">
        <v>3519</v>
      </c>
      <c r="U5640" s="2" t="s">
        <v>19069</v>
      </c>
      <c r="V5640" s="2" t="s">
        <v>59</v>
      </c>
      <c r="W5640" s="2">
        <v>36.9</v>
      </c>
      <c r="X5640" s="2">
        <v>0</v>
      </c>
      <c r="Y5640" s="2" t="s">
        <v>340</v>
      </c>
      <c r="Z5640" s="2" t="s">
        <v>37403</v>
      </c>
      <c r="AA5640" s="2">
        <v>1.3976125036315801</v>
      </c>
      <c r="AB5640" s="2">
        <v>7.0919555161607695E-2</v>
      </c>
      <c r="AC5640" s="2">
        <v>2578.2005895695402</v>
      </c>
      <c r="AD5640" s="2">
        <v>2032.5861654391899</v>
      </c>
      <c r="AE5640" s="2">
        <v>2495.8106871361101</v>
      </c>
      <c r="AF5640" s="2">
        <v>3112.79217149229</v>
      </c>
      <c r="AG5640" s="2">
        <v>2833.4331496878099</v>
      </c>
      <c r="AH5640" s="2">
        <v>2818.0297761707802</v>
      </c>
      <c r="AI5640" s="2">
        <v>1763.7970432790401</v>
      </c>
      <c r="AJ5640" s="2">
        <v>2445.3407096511801</v>
      </c>
      <c r="AK5640" s="2">
        <v>2400.22970837506</v>
      </c>
      <c r="AL5640" s="2">
        <v>2061.2145648031901</v>
      </c>
      <c r="AM5640" s="2">
        <v>2009.45979646096</v>
      </c>
      <c r="AN5640" s="2">
        <v>2025.0676895736401</v>
      </c>
      <c r="AO5640" s="2">
        <v>1415.0501829755999</v>
      </c>
      <c r="AP5640" s="2">
        <v>2284.4950504467101</v>
      </c>
    </row>
    <row r="5641" spans="1:42" ht="14.5" x14ac:dyDescent="0.35">
      <c r="A5641" s="2" t="s">
        <v>37404</v>
      </c>
      <c r="B5641" s="2">
        <v>361.16317765271901</v>
      </c>
      <c r="C5641" s="2">
        <v>8.9648166666666693</v>
      </c>
      <c r="D5641" s="2" t="s">
        <v>70</v>
      </c>
      <c r="E5641" s="2" t="s">
        <v>37405</v>
      </c>
      <c r="F5641" s="2">
        <v>82083</v>
      </c>
      <c r="G5641" s="3" t="str">
        <f>HYPERLINK("http://funmeta.oebiotech.com/network/82083", "http://funmeta.oebiotech.com/network/82083")</f>
        <v>http://funmeta.oebiotech.com/network/82083</v>
      </c>
      <c r="H5641" s="2" t="s">
        <v>37406</v>
      </c>
      <c r="I5641" s="2">
        <v>44807</v>
      </c>
      <c r="J5641" s="2"/>
      <c r="K5641" s="2">
        <v>35940</v>
      </c>
      <c r="L5641" s="2" t="s">
        <v>37407</v>
      </c>
      <c r="M5641" s="2"/>
      <c r="N5641" s="2"/>
      <c r="O5641" s="2">
        <v>638678</v>
      </c>
      <c r="P5641" s="2" t="s">
        <v>37408</v>
      </c>
      <c r="Q5641" s="2" t="s">
        <v>37409</v>
      </c>
      <c r="R5641" s="2" t="s">
        <v>37410</v>
      </c>
      <c r="S5641" s="2" t="s">
        <v>89</v>
      </c>
      <c r="T5641" s="2" t="s">
        <v>90</v>
      </c>
      <c r="U5641" s="2" t="s">
        <v>99</v>
      </c>
      <c r="V5641" s="2" t="s">
        <v>59</v>
      </c>
      <c r="W5641" s="2">
        <v>38.6</v>
      </c>
      <c r="X5641" s="2">
        <v>0</v>
      </c>
      <c r="Y5641" s="2" t="s">
        <v>118</v>
      </c>
      <c r="Z5641" s="2" t="s">
        <v>37411</v>
      </c>
      <c r="AA5641" s="2">
        <v>0.554634559834429</v>
      </c>
      <c r="AB5641" s="2">
        <v>7.0907425192588802E-2</v>
      </c>
      <c r="AC5641" s="2">
        <v>10441.643901138899</v>
      </c>
      <c r="AD5641" s="2">
        <v>9591.4408506863092</v>
      </c>
      <c r="AE5641" s="2">
        <v>10763.111165276599</v>
      </c>
      <c r="AF5641" s="2">
        <v>12799.265143800199</v>
      </c>
      <c r="AG5641" s="2">
        <v>11055.3612966647</v>
      </c>
      <c r="AH5641" s="2">
        <v>9160.2173706862995</v>
      </c>
      <c r="AI5641" s="2">
        <v>8769.4343819592104</v>
      </c>
      <c r="AJ5641" s="2">
        <v>10102.4740484464</v>
      </c>
      <c r="AK5641" s="2">
        <v>10020.900272432</v>
      </c>
      <c r="AL5641" s="2">
        <v>10744.976172373499</v>
      </c>
      <c r="AM5641" s="2">
        <v>9815.5637617121702</v>
      </c>
      <c r="AN5641" s="2">
        <v>8412.1467981965798</v>
      </c>
      <c r="AO5641" s="2">
        <v>9276.5233412451107</v>
      </c>
      <c r="AP5641" s="2">
        <v>9278.5347581585102</v>
      </c>
    </row>
    <row r="5642" spans="1:42" ht="14.5" x14ac:dyDescent="0.35">
      <c r="A5642" s="2" t="s">
        <v>37412</v>
      </c>
      <c r="B5642" s="2">
        <v>191.106476864922</v>
      </c>
      <c r="C5642" s="2">
        <v>5.5233833333333298</v>
      </c>
      <c r="D5642" s="2" t="s">
        <v>34</v>
      </c>
      <c r="E5642" s="2" t="s">
        <v>37413</v>
      </c>
      <c r="F5642" s="2">
        <v>212266</v>
      </c>
      <c r="G5642" s="3" t="str">
        <f>HYPERLINK("http://funmeta.oebiotech.com/network/212266", "http://funmeta.oebiotech.com/network/212266")</f>
        <v>http://funmeta.oebiotech.com/network/212266</v>
      </c>
      <c r="H5642" s="2" t="s">
        <v>37414</v>
      </c>
      <c r="I5642" s="2">
        <v>73220</v>
      </c>
      <c r="J5642" s="2"/>
      <c r="K5642" s="2"/>
      <c r="L5642" s="2" t="s">
        <v>37415</v>
      </c>
      <c r="M5642" s="2"/>
      <c r="N5642" s="2"/>
      <c r="O5642" s="2">
        <v>11016</v>
      </c>
      <c r="P5642" s="2" t="s">
        <v>37416</v>
      </c>
      <c r="Q5642" s="2" t="s">
        <v>37417</v>
      </c>
      <c r="R5642" s="2" t="s">
        <v>37418</v>
      </c>
      <c r="S5642" s="2" t="s">
        <v>89</v>
      </c>
      <c r="T5642" s="2" t="s">
        <v>894</v>
      </c>
      <c r="U5642" s="2" t="s">
        <v>37419</v>
      </c>
      <c r="V5642" s="2" t="s">
        <v>59</v>
      </c>
      <c r="W5642" s="2">
        <v>37.299999999999997</v>
      </c>
      <c r="X5642" s="2">
        <v>0</v>
      </c>
      <c r="Y5642" s="2" t="s">
        <v>43</v>
      </c>
      <c r="Z5642" s="2" t="s">
        <v>37420</v>
      </c>
      <c r="AA5642" s="2">
        <v>4.9267767974396701</v>
      </c>
      <c r="AB5642" s="2">
        <v>7.0847843626140494E-2</v>
      </c>
      <c r="AC5642" s="2">
        <v>1541.1254843276499</v>
      </c>
      <c r="AD5642" s="2">
        <v>969.48620232024405</v>
      </c>
      <c r="AE5642" s="2">
        <v>1768.7629707149299</v>
      </c>
      <c r="AF5642" s="2">
        <v>1927.5060723833101</v>
      </c>
      <c r="AG5642" s="2">
        <v>1269.5076740785</v>
      </c>
      <c r="AH5642" s="2">
        <v>1618.10866859877</v>
      </c>
      <c r="AI5642" s="2">
        <v>1235.35340894806</v>
      </c>
      <c r="AJ5642" s="2">
        <v>1427.5141112423601</v>
      </c>
      <c r="AK5642" s="2">
        <v>1443.7854316841799</v>
      </c>
      <c r="AL5642" s="2">
        <v>1476.15945783693</v>
      </c>
      <c r="AM5642" s="2">
        <v>1274.0418909877201</v>
      </c>
      <c r="AN5642" s="2">
        <v>1018.05160647733</v>
      </c>
      <c r="AO5642" s="2">
        <v>604.878799829012</v>
      </c>
      <c r="AP5642" s="2">
        <v>2.7106294003980101E-5</v>
      </c>
    </row>
    <row r="5643" spans="1:42" ht="14.5" x14ac:dyDescent="0.35">
      <c r="A5643" s="2" t="s">
        <v>37421</v>
      </c>
      <c r="B5643" s="2">
        <v>550.31337571881795</v>
      </c>
      <c r="C5643" s="2">
        <v>6.4480000000000004</v>
      </c>
      <c r="D5643" s="2" t="s">
        <v>34</v>
      </c>
      <c r="E5643" s="2" t="s">
        <v>37422</v>
      </c>
      <c r="F5643" s="2">
        <v>23672</v>
      </c>
      <c r="G5643" s="3" t="str">
        <f>HYPERLINK("http://funmeta.oebiotech.com/network/23672", "http://funmeta.oebiotech.com/network/23672")</f>
        <v>http://funmeta.oebiotech.com/network/23672</v>
      </c>
      <c r="H5643" s="2"/>
      <c r="I5643" s="2">
        <v>46735</v>
      </c>
      <c r="J5643" s="2" t="s">
        <v>37423</v>
      </c>
      <c r="K5643" s="2"/>
      <c r="L5643" s="2"/>
      <c r="M5643" s="2"/>
      <c r="N5643" s="2"/>
      <c r="O5643" s="2">
        <v>42607485</v>
      </c>
      <c r="P5643" s="2"/>
      <c r="Q5643" s="2" t="s">
        <v>37424</v>
      </c>
      <c r="R5643" s="2" t="s">
        <v>37425</v>
      </c>
      <c r="S5643" s="2" t="s">
        <v>50</v>
      </c>
      <c r="T5643" s="2" t="s">
        <v>51</v>
      </c>
      <c r="U5643" s="2" t="s">
        <v>738</v>
      </c>
      <c r="V5643" s="2" t="s">
        <v>59</v>
      </c>
      <c r="W5643" s="2">
        <v>38.700000000000003</v>
      </c>
      <c r="X5643" s="2">
        <v>0</v>
      </c>
      <c r="Y5643" s="2" t="s">
        <v>43</v>
      </c>
      <c r="Z5643" s="2" t="s">
        <v>37426</v>
      </c>
      <c r="AA5643" s="2">
        <v>-1.0698509133452601</v>
      </c>
      <c r="AB5643" s="2">
        <v>7.0830742139426806E-2</v>
      </c>
      <c r="AC5643" s="2">
        <v>2909.2965181172399</v>
      </c>
      <c r="AD5643" s="2">
        <v>2048.7448397626999</v>
      </c>
      <c r="AE5643" s="2">
        <v>3720.9211307380501</v>
      </c>
      <c r="AF5643" s="2">
        <v>3452.0035677668102</v>
      </c>
      <c r="AG5643" s="2">
        <v>3126.8247445174902</v>
      </c>
      <c r="AH5643" s="2">
        <v>1772.6648748810101</v>
      </c>
      <c r="AI5643" s="2">
        <v>1864.85333429873</v>
      </c>
      <c r="AJ5643" s="2">
        <v>3518.51145650135</v>
      </c>
      <c r="AK5643" s="2">
        <v>2.7106294003980101E-5</v>
      </c>
      <c r="AL5643" s="2">
        <v>1499.61968999295</v>
      </c>
      <c r="AM5643" s="2">
        <v>1431.66663786495</v>
      </c>
      <c r="AN5643" s="2">
        <v>2578.97271584079</v>
      </c>
      <c r="AO5643" s="2">
        <v>2730.3615455208301</v>
      </c>
      <c r="AP5643" s="2">
        <v>4051.8484222503798</v>
      </c>
    </row>
    <row r="5644" spans="1:42" ht="14.5" x14ac:dyDescent="0.35">
      <c r="A5644" s="2" t="s">
        <v>37427</v>
      </c>
      <c r="B5644" s="2">
        <v>284.09206314673003</v>
      </c>
      <c r="C5644" s="2">
        <v>9.04463333333333</v>
      </c>
      <c r="D5644" s="2" t="s">
        <v>70</v>
      </c>
      <c r="E5644" s="2" t="s">
        <v>37428</v>
      </c>
      <c r="F5644" s="2">
        <v>57740</v>
      </c>
      <c r="G5644" s="3" t="str">
        <f>HYPERLINK("http://funmeta.oebiotech.com/network/57740", "http://funmeta.oebiotech.com/network/57740")</f>
        <v>http://funmeta.oebiotech.com/network/57740</v>
      </c>
      <c r="H5644" s="2" t="s">
        <v>37429</v>
      </c>
      <c r="I5644" s="2">
        <v>89331</v>
      </c>
      <c r="J5644" s="2"/>
      <c r="K5644" s="2"/>
      <c r="L5644" s="2"/>
      <c r="M5644" s="2"/>
      <c r="N5644" s="2"/>
      <c r="O5644" s="2">
        <v>14257919</v>
      </c>
      <c r="P5644" s="2" t="s">
        <v>37430</v>
      </c>
      <c r="Q5644" s="2" t="s">
        <v>37431</v>
      </c>
      <c r="R5644" s="2" t="s">
        <v>37432</v>
      </c>
      <c r="S5644" s="2" t="s">
        <v>89</v>
      </c>
      <c r="T5644" s="2" t="s">
        <v>19794</v>
      </c>
      <c r="U5644" s="2" t="s">
        <v>19795</v>
      </c>
      <c r="V5644" s="2" t="s">
        <v>59</v>
      </c>
      <c r="W5644" s="2">
        <v>42</v>
      </c>
      <c r="X5644" s="2">
        <v>16.8</v>
      </c>
      <c r="Y5644" s="2" t="s">
        <v>408</v>
      </c>
      <c r="Z5644" s="2" t="s">
        <v>37433</v>
      </c>
      <c r="AA5644" s="2">
        <v>-0.48834814407511001</v>
      </c>
      <c r="AB5644" s="2">
        <v>7.0816564270454199E-2</v>
      </c>
      <c r="AC5644" s="2">
        <v>3881.71437452788</v>
      </c>
      <c r="AD5644" s="2">
        <v>3420.7548022164301</v>
      </c>
      <c r="AE5644" s="2">
        <v>3994.4282499497899</v>
      </c>
      <c r="AF5644" s="2">
        <v>3778.9374399263902</v>
      </c>
      <c r="AG5644" s="2">
        <v>3754.5234616358698</v>
      </c>
      <c r="AH5644" s="2">
        <v>3589.3719548177601</v>
      </c>
      <c r="AI5644" s="2">
        <v>3722.10414765106</v>
      </c>
      <c r="AJ5644" s="2">
        <v>4450.9209931864098</v>
      </c>
      <c r="AK5644" s="2">
        <v>3497.8539569373002</v>
      </c>
      <c r="AL5644" s="2">
        <v>3293.6216046447398</v>
      </c>
      <c r="AM5644" s="2">
        <v>3391.8395918542501</v>
      </c>
      <c r="AN5644" s="2">
        <v>3424.5796711131602</v>
      </c>
      <c r="AO5644" s="2">
        <v>3210.7589084931801</v>
      </c>
      <c r="AP5644" s="2">
        <v>3705.8750802559398</v>
      </c>
    </row>
    <row r="5645" spans="1:42" ht="14.5" x14ac:dyDescent="0.35">
      <c r="A5645" s="2" t="s">
        <v>37434</v>
      </c>
      <c r="B5645" s="2">
        <v>381.052916875184</v>
      </c>
      <c r="C5645" s="2">
        <v>9.0455833333333295</v>
      </c>
      <c r="D5645" s="2" t="s">
        <v>34</v>
      </c>
      <c r="E5645" s="2" t="s">
        <v>37435</v>
      </c>
      <c r="F5645" s="2">
        <v>204489</v>
      </c>
      <c r="G5645" s="3" t="str">
        <f>HYPERLINK("http://funmeta.oebiotech.com/network/204489", "http://funmeta.oebiotech.com/network/204489")</f>
        <v>http://funmeta.oebiotech.com/network/204489</v>
      </c>
      <c r="H5645" s="2" t="s">
        <v>37436</v>
      </c>
      <c r="I5645" s="2">
        <v>347535</v>
      </c>
      <c r="J5645" s="2"/>
      <c r="K5645" s="2"/>
      <c r="L5645" s="2"/>
      <c r="M5645" s="2"/>
      <c r="N5645" s="2"/>
      <c r="O5645" s="2">
        <v>2530</v>
      </c>
      <c r="P5645" s="2"/>
      <c r="Q5645" s="2" t="s">
        <v>37437</v>
      </c>
      <c r="R5645" s="2" t="s">
        <v>37438</v>
      </c>
      <c r="S5645" s="2" t="s">
        <v>148</v>
      </c>
      <c r="T5645" s="2" t="s">
        <v>6221</v>
      </c>
      <c r="U5645" s="2" t="s">
        <v>7016</v>
      </c>
      <c r="V5645" s="2" t="s">
        <v>59</v>
      </c>
      <c r="W5645" s="2">
        <v>37.299999999999997</v>
      </c>
      <c r="X5645" s="2">
        <v>0</v>
      </c>
      <c r="Y5645" s="2" t="s">
        <v>323</v>
      </c>
      <c r="Z5645" s="2" t="s">
        <v>37439</v>
      </c>
      <c r="AA5645" s="2">
        <v>3.7804556430852601</v>
      </c>
      <c r="AB5645" s="2">
        <v>7.0667027494047394E-2</v>
      </c>
      <c r="AC5645" s="2">
        <v>4822.7427729306701</v>
      </c>
      <c r="AD5645" s="2">
        <v>4233.3280227149398</v>
      </c>
      <c r="AE5645" s="2">
        <v>4051.5952599418101</v>
      </c>
      <c r="AF5645" s="2">
        <v>5002.4483788161597</v>
      </c>
      <c r="AG5645" s="2">
        <v>5411.1030841026904</v>
      </c>
      <c r="AH5645" s="2">
        <v>5144.3976169993803</v>
      </c>
      <c r="AI5645" s="2">
        <v>4428.2638418506003</v>
      </c>
      <c r="AJ5645" s="2">
        <v>4898.6484558734001</v>
      </c>
      <c r="AK5645" s="2">
        <v>3417.5463273651399</v>
      </c>
      <c r="AL5645" s="2">
        <v>4665.6374089450801</v>
      </c>
      <c r="AM5645" s="2">
        <v>4626.79925388222</v>
      </c>
      <c r="AN5645" s="2">
        <v>4402.2111275843799</v>
      </c>
      <c r="AO5645" s="2">
        <v>3924.0479167856001</v>
      </c>
      <c r="AP5645" s="2">
        <v>4363.7261017272303</v>
      </c>
    </row>
    <row r="5646" spans="1:42" ht="14.5" x14ac:dyDescent="0.35">
      <c r="A5646" s="2" t="s">
        <v>37440</v>
      </c>
      <c r="B5646" s="2">
        <v>393.278453998305</v>
      </c>
      <c r="C5646" s="2">
        <v>11.688883333333299</v>
      </c>
      <c r="D5646" s="2" t="s">
        <v>34</v>
      </c>
      <c r="E5646" s="2" t="s">
        <v>37441</v>
      </c>
      <c r="F5646" s="2">
        <v>62332</v>
      </c>
      <c r="G5646" s="3" t="str">
        <f>HYPERLINK("http://funmeta.oebiotech.com/network/62332", "http://funmeta.oebiotech.com/network/62332")</f>
        <v>http://funmeta.oebiotech.com/network/62332</v>
      </c>
      <c r="H5646" s="2" t="s">
        <v>37442</v>
      </c>
      <c r="I5646" s="2">
        <v>93626</v>
      </c>
      <c r="J5646" s="2"/>
      <c r="K5646" s="2">
        <v>172652</v>
      </c>
      <c r="L5646" s="2"/>
      <c r="M5646" s="2"/>
      <c r="N5646" s="2"/>
      <c r="O5646" s="2">
        <v>131752516</v>
      </c>
      <c r="P5646" s="2" t="s">
        <v>37443</v>
      </c>
      <c r="Q5646" s="2" t="s">
        <v>37444</v>
      </c>
      <c r="R5646" s="2" t="s">
        <v>37445</v>
      </c>
      <c r="S5646" s="2" t="s">
        <v>50</v>
      </c>
      <c r="T5646" s="2" t="s">
        <v>201</v>
      </c>
      <c r="U5646" s="2" t="s">
        <v>6839</v>
      </c>
      <c r="V5646" s="2" t="s">
        <v>59</v>
      </c>
      <c r="W5646" s="2">
        <v>43.5</v>
      </c>
      <c r="X5646" s="2">
        <v>25.5</v>
      </c>
      <c r="Y5646" s="2" t="s">
        <v>141</v>
      </c>
      <c r="Z5646" s="2" t="s">
        <v>37446</v>
      </c>
      <c r="AA5646" s="2">
        <v>-0.85996693257920997</v>
      </c>
      <c r="AB5646" s="2">
        <v>7.0627054168633602E-2</v>
      </c>
      <c r="AC5646" s="2">
        <v>2177.5679694810901</v>
      </c>
      <c r="AD5646" s="2">
        <v>1462.3901148060099</v>
      </c>
      <c r="AE5646" s="2">
        <v>1986.08938060949</v>
      </c>
      <c r="AF5646" s="2">
        <v>2277.1335195870302</v>
      </c>
      <c r="AG5646" s="2">
        <v>1776.7599979138399</v>
      </c>
      <c r="AH5646" s="2">
        <v>2012.90479221394</v>
      </c>
      <c r="AI5646" s="2">
        <v>1702.90699856221</v>
      </c>
      <c r="AJ5646" s="2">
        <v>3309.61312800004</v>
      </c>
      <c r="AK5646" s="2">
        <v>1571.94040342873</v>
      </c>
      <c r="AL5646" s="2">
        <v>1545.38976659543</v>
      </c>
      <c r="AM5646" s="2">
        <v>2.7106294003980101E-5</v>
      </c>
      <c r="AN5646" s="2">
        <v>1161.6085893776999</v>
      </c>
      <c r="AO5646" s="2">
        <v>2855.31693550625</v>
      </c>
      <c r="AP5646" s="2">
        <v>1640.0849668216599</v>
      </c>
    </row>
    <row r="5647" spans="1:42" ht="14.5" x14ac:dyDescent="0.35">
      <c r="A5647" s="2" t="s">
        <v>37447</v>
      </c>
      <c r="B5647" s="2">
        <v>489.28489375985498</v>
      </c>
      <c r="C5647" s="2">
        <v>9.2929833333333303</v>
      </c>
      <c r="D5647" s="2" t="s">
        <v>34</v>
      </c>
      <c r="E5647" s="2" t="s">
        <v>37448</v>
      </c>
      <c r="F5647" s="2">
        <v>57451</v>
      </c>
      <c r="G5647" s="3" t="str">
        <f>HYPERLINK("http://funmeta.oebiotech.com/network/57451", "http://funmeta.oebiotech.com/network/57451")</f>
        <v>http://funmeta.oebiotech.com/network/57451</v>
      </c>
      <c r="H5647" s="2" t="s">
        <v>37449</v>
      </c>
      <c r="I5647" s="2">
        <v>89071</v>
      </c>
      <c r="J5647" s="2"/>
      <c r="K5647" s="2"/>
      <c r="L5647" s="2"/>
      <c r="M5647" s="2"/>
      <c r="N5647" s="2"/>
      <c r="O5647" s="2">
        <v>78385401</v>
      </c>
      <c r="P5647" s="2" t="s">
        <v>37450</v>
      </c>
      <c r="Q5647" s="2" t="s">
        <v>37451</v>
      </c>
      <c r="R5647" s="2" t="s">
        <v>37452</v>
      </c>
      <c r="S5647" s="2" t="s">
        <v>50</v>
      </c>
      <c r="T5647" s="2" t="s">
        <v>124</v>
      </c>
      <c r="U5647" s="2" t="s">
        <v>567</v>
      </c>
      <c r="V5647" s="2" t="s">
        <v>59</v>
      </c>
      <c r="W5647" s="2">
        <v>38.5</v>
      </c>
      <c r="X5647" s="2">
        <v>0</v>
      </c>
      <c r="Y5647" s="2" t="s">
        <v>141</v>
      </c>
      <c r="Z5647" s="2" t="s">
        <v>37453</v>
      </c>
      <c r="AA5647" s="2">
        <v>0.42210450949119699</v>
      </c>
      <c r="AB5647" s="2">
        <v>7.0619494925813903E-2</v>
      </c>
      <c r="AC5647" s="2">
        <v>9911.8529327053893</v>
      </c>
      <c r="AD5647" s="2">
        <v>9157.6868051583606</v>
      </c>
      <c r="AE5647" s="2">
        <v>9252.0680194740398</v>
      </c>
      <c r="AF5647" s="2">
        <v>9117.3703182461595</v>
      </c>
      <c r="AG5647" s="2">
        <v>9789.7931486598209</v>
      </c>
      <c r="AH5647" s="2">
        <v>10931.113752908101</v>
      </c>
      <c r="AI5647" s="2">
        <v>10344.9882716334</v>
      </c>
      <c r="AJ5647" s="2">
        <v>10035.784085310799</v>
      </c>
      <c r="AK5647" s="2">
        <v>10596.0242627526</v>
      </c>
      <c r="AL5647" s="2">
        <v>9271.5162829274905</v>
      </c>
      <c r="AM5647" s="2">
        <v>9211.3401029660108</v>
      </c>
      <c r="AN5647" s="2">
        <v>7476.8220544361402</v>
      </c>
      <c r="AO5647" s="2">
        <v>9424.0027622753696</v>
      </c>
      <c r="AP5647" s="2">
        <v>8966.4153655925402</v>
      </c>
    </row>
    <row r="5648" spans="1:42" ht="14.5" x14ac:dyDescent="0.35">
      <c r="A5648" s="2" t="s">
        <v>37454</v>
      </c>
      <c r="B5648" s="2">
        <v>807.44107290035299</v>
      </c>
      <c r="C5648" s="2">
        <v>6.13035</v>
      </c>
      <c r="D5648" s="2" t="s">
        <v>34</v>
      </c>
      <c r="E5648" s="2" t="s">
        <v>37455</v>
      </c>
      <c r="F5648" s="2">
        <v>23733</v>
      </c>
      <c r="G5648" s="3" t="str">
        <f>HYPERLINK("http://funmeta.oebiotech.com/network/23733", "http://funmeta.oebiotech.com/network/23733")</f>
        <v>http://funmeta.oebiotech.com/network/23733</v>
      </c>
      <c r="H5648" s="2"/>
      <c r="I5648" s="2"/>
      <c r="J5648" s="2" t="s">
        <v>37456</v>
      </c>
      <c r="K5648" s="2"/>
      <c r="L5648" s="2"/>
      <c r="M5648" s="2"/>
      <c r="N5648" s="2"/>
      <c r="O5648" s="2">
        <v>52927471</v>
      </c>
      <c r="P5648" s="2"/>
      <c r="Q5648" s="2" t="s">
        <v>37457</v>
      </c>
      <c r="R5648" s="2" t="s">
        <v>37458</v>
      </c>
      <c r="S5648" s="2" t="s">
        <v>50</v>
      </c>
      <c r="T5648" s="2" t="s">
        <v>51</v>
      </c>
      <c r="U5648" s="2" t="s">
        <v>52</v>
      </c>
      <c r="V5648" s="2" t="s">
        <v>59</v>
      </c>
      <c r="W5648" s="2">
        <v>38.299999999999997</v>
      </c>
      <c r="X5648" s="2">
        <v>0</v>
      </c>
      <c r="Y5648" s="2" t="s">
        <v>340</v>
      </c>
      <c r="Z5648" s="2" t="s">
        <v>37459</v>
      </c>
      <c r="AA5648" s="2">
        <v>-1.2546929570062899</v>
      </c>
      <c r="AB5648" s="2">
        <v>7.0609266179908606E-2</v>
      </c>
      <c r="AC5648" s="2">
        <v>27764.5681003188</v>
      </c>
      <c r="AD5648" s="2">
        <v>29102.9852123249</v>
      </c>
      <c r="AE5648" s="2">
        <v>26685.463731518201</v>
      </c>
      <c r="AF5648" s="2">
        <v>23204.390109967298</v>
      </c>
      <c r="AG5648" s="2">
        <v>29305.814609360801</v>
      </c>
      <c r="AH5648" s="2">
        <v>32987.416123103001</v>
      </c>
      <c r="AI5648" s="2">
        <v>24789.8931490217</v>
      </c>
      <c r="AJ5648" s="2">
        <v>29614.430878941901</v>
      </c>
      <c r="AK5648" s="2">
        <v>27179.566619301499</v>
      </c>
      <c r="AL5648" s="2">
        <v>26903.545252231801</v>
      </c>
      <c r="AM5648" s="2">
        <v>30486.1608397294</v>
      </c>
      <c r="AN5648" s="2">
        <v>31151.6418660731</v>
      </c>
      <c r="AO5648" s="2">
        <v>31330.148676497502</v>
      </c>
      <c r="AP5648" s="2">
        <v>27566.8480201161</v>
      </c>
    </row>
    <row r="5649" spans="1:42" ht="14.5" x14ac:dyDescent="0.35">
      <c r="A5649" s="2" t="s">
        <v>37460</v>
      </c>
      <c r="B5649" s="2">
        <v>309.27974887793903</v>
      </c>
      <c r="C5649" s="2">
        <v>14.1130333333333</v>
      </c>
      <c r="D5649" s="2" t="s">
        <v>70</v>
      </c>
      <c r="E5649" s="2" t="s">
        <v>37461</v>
      </c>
      <c r="F5649" s="2">
        <v>9233</v>
      </c>
      <c r="G5649" s="3" t="str">
        <f>HYPERLINK("http://funmeta.oebiotech.com/network/9233", "http://funmeta.oebiotech.com/network/9233")</f>
        <v>http://funmeta.oebiotech.com/network/9233</v>
      </c>
      <c r="H5649" s="2"/>
      <c r="I5649" s="2">
        <v>97532</v>
      </c>
      <c r="J5649" s="2" t="s">
        <v>37462</v>
      </c>
      <c r="K5649" s="2"/>
      <c r="L5649" s="2"/>
      <c r="M5649" s="2"/>
      <c r="N5649" s="2"/>
      <c r="O5649" s="2">
        <v>56936099</v>
      </c>
      <c r="P5649" s="2"/>
      <c r="Q5649" s="2" t="s">
        <v>37463</v>
      </c>
      <c r="R5649" s="2" t="s">
        <v>37464</v>
      </c>
      <c r="S5649" s="2" t="s">
        <v>3194</v>
      </c>
      <c r="T5649" s="2" t="s">
        <v>3195</v>
      </c>
      <c r="U5649" s="2" t="s">
        <v>12978</v>
      </c>
      <c r="V5649" s="2" t="s">
        <v>59</v>
      </c>
      <c r="W5649" s="2">
        <v>38.799999999999997</v>
      </c>
      <c r="X5649" s="2">
        <v>0</v>
      </c>
      <c r="Y5649" s="2" t="s">
        <v>408</v>
      </c>
      <c r="Z5649" s="2" t="s">
        <v>37465</v>
      </c>
      <c r="AA5649" s="2">
        <v>-0.58705003173884895</v>
      </c>
      <c r="AB5649" s="2">
        <v>7.0529861987767797E-2</v>
      </c>
      <c r="AC5649" s="2">
        <v>540.12836655134299</v>
      </c>
      <c r="AD5649" s="2">
        <v>174.61845358337601</v>
      </c>
      <c r="AE5649" s="2">
        <v>530.179201867497</v>
      </c>
      <c r="AF5649" s="2">
        <v>400.44535895603002</v>
      </c>
      <c r="AG5649" s="2">
        <v>532.26647103913297</v>
      </c>
      <c r="AH5649" s="2">
        <v>681.11909718827405</v>
      </c>
      <c r="AI5649" s="2">
        <v>473.49488953103298</v>
      </c>
      <c r="AJ5649" s="2">
        <v>623.26518072608906</v>
      </c>
      <c r="AK5649" s="2">
        <v>208.597711290619</v>
      </c>
      <c r="AL5649" s="2">
        <v>196.36394435279601</v>
      </c>
      <c r="AM5649" s="2">
        <v>94.621638626933105</v>
      </c>
      <c r="AN5649" s="2">
        <v>336.98849963776001</v>
      </c>
      <c r="AO5649" s="2">
        <v>160.95708914239901</v>
      </c>
      <c r="AP5649" s="2">
        <v>50.181838449750202</v>
      </c>
    </row>
    <row r="5650" spans="1:42" ht="14.5" x14ac:dyDescent="0.35">
      <c r="A5650" s="2" t="s">
        <v>37466</v>
      </c>
      <c r="B5650" s="2">
        <v>135.11682294667401</v>
      </c>
      <c r="C5650" s="2">
        <v>2.7544166666666698</v>
      </c>
      <c r="D5650" s="2" t="s">
        <v>34</v>
      </c>
      <c r="E5650" s="2" t="s">
        <v>37467</v>
      </c>
      <c r="F5650" s="2">
        <v>35360</v>
      </c>
      <c r="G5650" s="3" t="str">
        <f>HYPERLINK("http://funmeta.oebiotech.com/network/35360", "http://funmeta.oebiotech.com/network/35360")</f>
        <v>http://funmeta.oebiotech.com/network/35360</v>
      </c>
      <c r="H5650" s="2" t="s">
        <v>37468</v>
      </c>
      <c r="I5650" s="2">
        <v>41091</v>
      </c>
      <c r="J5650" s="2" t="s">
        <v>37469</v>
      </c>
      <c r="K5650" s="2">
        <v>28768</v>
      </c>
      <c r="L5650" s="2" t="s">
        <v>37470</v>
      </c>
      <c r="M5650" s="2" t="s">
        <v>28801</v>
      </c>
      <c r="N5650" s="2" t="s">
        <v>28802</v>
      </c>
      <c r="O5650" s="2">
        <v>7463</v>
      </c>
      <c r="P5650" s="2" t="s">
        <v>37471</v>
      </c>
      <c r="Q5650" s="2" t="s">
        <v>37472</v>
      </c>
      <c r="R5650" s="2" t="s">
        <v>37473</v>
      </c>
      <c r="S5650" s="2" t="s">
        <v>50</v>
      </c>
      <c r="T5650" s="2" t="s">
        <v>201</v>
      </c>
      <c r="U5650" s="2" t="s">
        <v>265</v>
      </c>
      <c r="V5650" s="2" t="s">
        <v>59</v>
      </c>
      <c r="W5650" s="2">
        <v>38.799999999999997</v>
      </c>
      <c r="X5650" s="2">
        <v>0</v>
      </c>
      <c r="Y5650" s="2" t="s">
        <v>394</v>
      </c>
      <c r="Z5650" s="2" t="s">
        <v>37474</v>
      </c>
      <c r="AA5650" s="2">
        <v>-2.9336511457915E-2</v>
      </c>
      <c r="AB5650" s="2">
        <v>7.0465498173788998E-2</v>
      </c>
      <c r="AC5650" s="2">
        <v>6900.4837474946298</v>
      </c>
      <c r="AD5650" s="2">
        <v>6377.7079142375596</v>
      </c>
      <c r="AE5650" s="2">
        <v>6298.30445809515</v>
      </c>
      <c r="AF5650" s="2">
        <v>6893.4940299949703</v>
      </c>
      <c r="AG5650" s="2">
        <v>7373.5072860721102</v>
      </c>
      <c r="AH5650" s="2">
        <v>6915.0270764490297</v>
      </c>
      <c r="AI5650" s="2">
        <v>7099.8005356695503</v>
      </c>
      <c r="AJ5650" s="2">
        <v>6822.7690986869802</v>
      </c>
      <c r="AK5650" s="2">
        <v>6819.40873189177</v>
      </c>
      <c r="AL5650" s="2">
        <v>6372.94704450482</v>
      </c>
      <c r="AM5650" s="2">
        <v>6300.3370200620202</v>
      </c>
      <c r="AN5650" s="2">
        <v>6108.4400583005599</v>
      </c>
      <c r="AO5650" s="2">
        <v>6764.7504831444003</v>
      </c>
      <c r="AP5650" s="2">
        <v>5900.3641475218001</v>
      </c>
    </row>
    <row r="5651" spans="1:42" ht="14.5" x14ac:dyDescent="0.35">
      <c r="A5651" s="2" t="s">
        <v>37475</v>
      </c>
      <c r="B5651" s="2">
        <v>337.077355439423</v>
      </c>
      <c r="C5651" s="2">
        <v>1.05673333333333</v>
      </c>
      <c r="D5651" s="2" t="s">
        <v>70</v>
      </c>
      <c r="E5651" s="2" t="s">
        <v>37476</v>
      </c>
      <c r="F5651" s="2">
        <v>54805</v>
      </c>
      <c r="G5651" s="3" t="str">
        <f>HYPERLINK("http://funmeta.oebiotech.com/network/54805", "http://funmeta.oebiotech.com/network/54805")</f>
        <v>http://funmeta.oebiotech.com/network/54805</v>
      </c>
      <c r="H5651" s="2" t="s">
        <v>37477</v>
      </c>
      <c r="I5651" s="2"/>
      <c r="J5651" s="2"/>
      <c r="K5651" s="2">
        <v>167945</v>
      </c>
      <c r="L5651" s="2"/>
      <c r="M5651" s="2"/>
      <c r="N5651" s="2"/>
      <c r="O5651" s="2">
        <v>14160009</v>
      </c>
      <c r="P5651" s="2" t="s">
        <v>37478</v>
      </c>
      <c r="Q5651" s="2" t="s">
        <v>37479</v>
      </c>
      <c r="R5651" s="2" t="s">
        <v>37480</v>
      </c>
      <c r="S5651" s="2" t="s">
        <v>79</v>
      </c>
      <c r="T5651" s="2" t="s">
        <v>80</v>
      </c>
      <c r="U5651" s="2" t="s">
        <v>81</v>
      </c>
      <c r="V5651" s="2" t="s">
        <v>42</v>
      </c>
      <c r="W5651" s="2">
        <v>48.9</v>
      </c>
      <c r="X5651" s="2">
        <v>51.6</v>
      </c>
      <c r="Y5651" s="2" t="s">
        <v>751</v>
      </c>
      <c r="Z5651" s="2" t="s">
        <v>37481</v>
      </c>
      <c r="AA5651" s="2">
        <v>-0.78494874532626002</v>
      </c>
      <c r="AB5651" s="2">
        <v>7.0433483952630604E-2</v>
      </c>
      <c r="AC5651" s="2">
        <v>14466.497554859099</v>
      </c>
      <c r="AD5651" s="2">
        <v>15490.6977642447</v>
      </c>
      <c r="AE5651" s="2">
        <v>16923.628530270002</v>
      </c>
      <c r="AF5651" s="2">
        <v>14527.560077301599</v>
      </c>
      <c r="AG5651" s="2">
        <v>12937.437103119</v>
      </c>
      <c r="AH5651" s="2">
        <v>14516.1437308717</v>
      </c>
      <c r="AI5651" s="2">
        <v>15345.964799478201</v>
      </c>
      <c r="AJ5651" s="2">
        <v>12548.251088113801</v>
      </c>
      <c r="AK5651" s="2">
        <v>16541.1395266002</v>
      </c>
      <c r="AL5651" s="2">
        <v>15225.2369682639</v>
      </c>
      <c r="AM5651" s="2">
        <v>14177.6072638929</v>
      </c>
      <c r="AN5651" s="2">
        <v>16641.092495799301</v>
      </c>
      <c r="AO5651" s="2">
        <v>17609.7264720403</v>
      </c>
      <c r="AP5651" s="2">
        <v>12749.383858871801</v>
      </c>
    </row>
    <row r="5652" spans="1:42" ht="14.5" x14ac:dyDescent="0.35">
      <c r="A5652" s="2" t="s">
        <v>37482</v>
      </c>
      <c r="B5652" s="2">
        <v>228.26864952069201</v>
      </c>
      <c r="C5652" s="2">
        <v>9.2539333333333307</v>
      </c>
      <c r="D5652" s="2" t="s">
        <v>34</v>
      </c>
      <c r="E5652" s="2" t="s">
        <v>37483</v>
      </c>
      <c r="F5652" s="2">
        <v>199368</v>
      </c>
      <c r="G5652" s="3" t="str">
        <f>HYPERLINK("http://funmeta.oebiotech.com/network/199368", "http://funmeta.oebiotech.com/network/199368")</f>
        <v>http://funmeta.oebiotech.com/network/199368</v>
      </c>
      <c r="H5652" s="2" t="s">
        <v>37484</v>
      </c>
      <c r="I5652" s="2">
        <v>34540</v>
      </c>
      <c r="J5652" s="2"/>
      <c r="K5652" s="2">
        <v>87551</v>
      </c>
      <c r="L5652" s="2"/>
      <c r="M5652" s="2"/>
      <c r="N5652" s="2"/>
      <c r="O5652" s="2">
        <v>17386</v>
      </c>
      <c r="P5652" s="2" t="s">
        <v>37485</v>
      </c>
      <c r="Q5652" s="2" t="s">
        <v>37486</v>
      </c>
      <c r="R5652" s="2" t="s">
        <v>37487</v>
      </c>
      <c r="S5652" s="2" t="s">
        <v>1677</v>
      </c>
      <c r="T5652" s="2" t="s">
        <v>1678</v>
      </c>
      <c r="U5652" s="2" t="s">
        <v>1679</v>
      </c>
      <c r="V5652" s="2" t="s">
        <v>59</v>
      </c>
      <c r="W5652" s="2">
        <v>40.700000000000003</v>
      </c>
      <c r="X5652" s="2">
        <v>6.71</v>
      </c>
      <c r="Y5652" s="2" t="s">
        <v>394</v>
      </c>
      <c r="Z5652" s="2" t="s">
        <v>37488</v>
      </c>
      <c r="AA5652" s="2">
        <v>0.32132871685710102</v>
      </c>
      <c r="AB5652" s="2">
        <v>7.0376032308980804E-2</v>
      </c>
      <c r="AC5652" s="2">
        <v>2881.7678480702598</v>
      </c>
      <c r="AD5652" s="2">
        <v>3472.63115600847</v>
      </c>
      <c r="AE5652" s="2">
        <v>3314.5884668185199</v>
      </c>
      <c r="AF5652" s="2">
        <v>3143.4886754976501</v>
      </c>
      <c r="AG5652" s="2">
        <v>2666.7566930515</v>
      </c>
      <c r="AH5652" s="2">
        <v>2600.3607390797101</v>
      </c>
      <c r="AI5652" s="2">
        <v>3094.1690008772098</v>
      </c>
      <c r="AJ5652" s="2">
        <v>2471.2435130969602</v>
      </c>
      <c r="AK5652" s="2">
        <v>4421.3824305233802</v>
      </c>
      <c r="AL5652" s="2">
        <v>3921.20014202638</v>
      </c>
      <c r="AM5652" s="2">
        <v>3302.2009332234302</v>
      </c>
      <c r="AN5652" s="2">
        <v>3190.7461156575</v>
      </c>
      <c r="AO5652" s="2">
        <v>3246.4405841611801</v>
      </c>
      <c r="AP5652" s="2">
        <v>2753.8167304589401</v>
      </c>
    </row>
    <row r="5653" spans="1:42" ht="14.5" x14ac:dyDescent="0.35">
      <c r="A5653" s="2" t="s">
        <v>37489</v>
      </c>
      <c r="B5653" s="2">
        <v>283.00454035032499</v>
      </c>
      <c r="C5653" s="2">
        <v>1.4463666666666699</v>
      </c>
      <c r="D5653" s="2" t="s">
        <v>70</v>
      </c>
      <c r="E5653" s="2" t="s">
        <v>37490</v>
      </c>
      <c r="F5653" s="2">
        <v>256604</v>
      </c>
      <c r="G5653" s="3" t="str">
        <f>HYPERLINK("http://funmeta.oebiotech.com/network/256604", "http://funmeta.oebiotech.com/network/256604")</f>
        <v>http://funmeta.oebiotech.com/network/256604</v>
      </c>
      <c r="H5653" s="2" t="s">
        <v>37491</v>
      </c>
      <c r="I5653" s="2"/>
      <c r="J5653" s="2"/>
      <c r="K5653" s="2"/>
      <c r="L5653" s="2"/>
      <c r="M5653" s="2"/>
      <c r="N5653" s="2"/>
      <c r="O5653" s="2">
        <v>9859539</v>
      </c>
      <c r="P5653" s="2"/>
      <c r="Q5653" s="2" t="s">
        <v>37492</v>
      </c>
      <c r="R5653" s="2" t="s">
        <v>37493</v>
      </c>
      <c r="S5653" s="2" t="s">
        <v>89</v>
      </c>
      <c r="T5653" s="2" t="s">
        <v>90</v>
      </c>
      <c r="U5653" s="2" t="s">
        <v>91</v>
      </c>
      <c r="V5653" s="2" t="s">
        <v>59</v>
      </c>
      <c r="W5653" s="2">
        <v>39.200000000000003</v>
      </c>
      <c r="X5653" s="2">
        <v>0</v>
      </c>
      <c r="Y5653" s="2" t="s">
        <v>408</v>
      </c>
      <c r="Z5653" s="2" t="s">
        <v>37494</v>
      </c>
      <c r="AA5653" s="2">
        <v>-0.85575360043110005</v>
      </c>
      <c r="AB5653" s="2">
        <v>7.0331270798488194E-2</v>
      </c>
      <c r="AC5653" s="2">
        <v>1037.54416207125</v>
      </c>
      <c r="AD5653" s="2">
        <v>638.65315234583204</v>
      </c>
      <c r="AE5653" s="2">
        <v>1066.7213008194999</v>
      </c>
      <c r="AF5653" s="2">
        <v>1051.0413473987601</v>
      </c>
      <c r="AG5653" s="2">
        <v>1153.7815440226</v>
      </c>
      <c r="AH5653" s="2">
        <v>1050.5408966168</v>
      </c>
      <c r="AI5653" s="2">
        <v>817.16874170172503</v>
      </c>
      <c r="AJ5653" s="2">
        <v>1086.0111418681399</v>
      </c>
      <c r="AK5653" s="2">
        <v>700.54826484716602</v>
      </c>
      <c r="AL5653" s="2">
        <v>609.71883686844205</v>
      </c>
      <c r="AM5653" s="2">
        <v>428.67505005791497</v>
      </c>
      <c r="AN5653" s="2">
        <v>908.778635993742</v>
      </c>
      <c r="AO5653" s="2">
        <v>764.73651064918897</v>
      </c>
      <c r="AP5653" s="2">
        <v>419.46161565853902</v>
      </c>
    </row>
    <row r="5654" spans="1:42" ht="14.5" x14ac:dyDescent="0.35">
      <c r="A5654" s="2" t="s">
        <v>37495</v>
      </c>
      <c r="B5654" s="2">
        <v>316.13673036110202</v>
      </c>
      <c r="C5654" s="2">
        <v>1.4777166666666699</v>
      </c>
      <c r="D5654" s="2" t="s">
        <v>34</v>
      </c>
      <c r="E5654" s="2" t="s">
        <v>37496</v>
      </c>
      <c r="F5654" s="2">
        <v>61325</v>
      </c>
      <c r="G5654" s="3" t="str">
        <f>HYPERLINK("http://funmeta.oebiotech.com/network/61325", "http://funmeta.oebiotech.com/network/61325")</f>
        <v>http://funmeta.oebiotech.com/network/61325</v>
      </c>
      <c r="H5654" s="2" t="s">
        <v>37497</v>
      </c>
      <c r="I5654" s="2"/>
      <c r="J5654" s="2"/>
      <c r="K5654" s="2">
        <v>136629</v>
      </c>
      <c r="L5654" s="2"/>
      <c r="M5654" s="2"/>
      <c r="N5654" s="2"/>
      <c r="O5654" s="2">
        <v>131752244</v>
      </c>
      <c r="P5654" s="2" t="s">
        <v>37498</v>
      </c>
      <c r="Q5654" s="2" t="s">
        <v>37499</v>
      </c>
      <c r="R5654" s="2" t="s">
        <v>37500</v>
      </c>
      <c r="S5654" s="2" t="s">
        <v>89</v>
      </c>
      <c r="T5654" s="2" t="s">
        <v>90</v>
      </c>
      <c r="U5654" s="2" t="s">
        <v>99</v>
      </c>
      <c r="V5654" s="2" t="s">
        <v>59</v>
      </c>
      <c r="W5654" s="2">
        <v>39.5</v>
      </c>
      <c r="X5654" s="2">
        <v>0.73299999999999998</v>
      </c>
      <c r="Y5654" s="2" t="s">
        <v>323</v>
      </c>
      <c r="Z5654" s="2" t="s">
        <v>37501</v>
      </c>
      <c r="AA5654" s="2">
        <v>0.19649419145353</v>
      </c>
      <c r="AB5654" s="2">
        <v>7.0272528956819402E-2</v>
      </c>
      <c r="AC5654" s="2">
        <v>21821.1416300983</v>
      </c>
      <c r="AD5654" s="2">
        <v>22751.3837959419</v>
      </c>
      <c r="AE5654" s="2">
        <v>21518.370088930798</v>
      </c>
      <c r="AF5654" s="2">
        <v>22478.705226781702</v>
      </c>
      <c r="AG5654" s="2">
        <v>21336.514205842301</v>
      </c>
      <c r="AH5654" s="2">
        <v>21464.710966259201</v>
      </c>
      <c r="AI5654" s="2">
        <v>22479.8028965298</v>
      </c>
      <c r="AJ5654" s="2">
        <v>21648.746396246101</v>
      </c>
      <c r="AK5654" s="2">
        <v>21085.865334469399</v>
      </c>
      <c r="AL5654" s="2">
        <v>22246.734192837801</v>
      </c>
      <c r="AM5654" s="2">
        <v>21296.3899911796</v>
      </c>
      <c r="AN5654" s="2">
        <v>22598.423183847099</v>
      </c>
      <c r="AO5654" s="2">
        <v>22995.119238763102</v>
      </c>
      <c r="AP5654" s="2">
        <v>26285.770834554402</v>
      </c>
    </row>
    <row r="5655" spans="1:42" ht="14.5" x14ac:dyDescent="0.35">
      <c r="A5655" s="2" t="s">
        <v>37502</v>
      </c>
      <c r="B5655" s="2">
        <v>368.13476773202098</v>
      </c>
      <c r="C5655" s="2">
        <v>4.7579333333333302</v>
      </c>
      <c r="D5655" s="2" t="s">
        <v>70</v>
      </c>
      <c r="E5655" s="2" t="s">
        <v>37503</v>
      </c>
      <c r="F5655" s="2">
        <v>205636</v>
      </c>
      <c r="G5655" s="3" t="str">
        <f>HYPERLINK("http://funmeta.oebiotech.com/network/205636", "http://funmeta.oebiotech.com/network/205636")</f>
        <v>http://funmeta.oebiotech.com/network/205636</v>
      </c>
      <c r="H5655" s="2" t="s">
        <v>37504</v>
      </c>
      <c r="I5655" s="2"/>
      <c r="J5655" s="2"/>
      <c r="K5655" s="2"/>
      <c r="L5655" s="2"/>
      <c r="M5655" s="2"/>
      <c r="N5655" s="2"/>
      <c r="O5655" s="2">
        <v>577090</v>
      </c>
      <c r="P5655" s="2"/>
      <c r="Q5655" s="2" t="s">
        <v>37505</v>
      </c>
      <c r="R5655" s="2" t="s">
        <v>37506</v>
      </c>
      <c r="S5655" s="2" t="s">
        <v>491</v>
      </c>
      <c r="T5655" s="2" t="s">
        <v>36104</v>
      </c>
      <c r="U5655" s="2" t="s">
        <v>41</v>
      </c>
      <c r="V5655" s="2" t="s">
        <v>59</v>
      </c>
      <c r="W5655" s="2">
        <v>39.1</v>
      </c>
      <c r="X5655" s="2">
        <v>0</v>
      </c>
      <c r="Y5655" s="2" t="s">
        <v>286</v>
      </c>
      <c r="Z5655" s="2" t="s">
        <v>37507</v>
      </c>
      <c r="AA5655" s="2">
        <v>-0.99813305657311402</v>
      </c>
      <c r="AB5655" s="2">
        <v>7.0257080049060699E-2</v>
      </c>
      <c r="AC5655" s="2">
        <v>16095.597989374101</v>
      </c>
      <c r="AD5655" s="2">
        <v>16866.411470118801</v>
      </c>
      <c r="AE5655" s="2">
        <v>15598.424046771501</v>
      </c>
      <c r="AF5655" s="2">
        <v>15417.3772954705</v>
      </c>
      <c r="AG5655" s="2">
        <v>16751.352366214898</v>
      </c>
      <c r="AH5655" s="2">
        <v>17292.360948326299</v>
      </c>
      <c r="AI5655" s="2">
        <v>15227.579671092601</v>
      </c>
      <c r="AJ5655" s="2">
        <v>16286.493608368601</v>
      </c>
      <c r="AK5655" s="2">
        <v>16264.905017024799</v>
      </c>
      <c r="AL5655" s="2">
        <v>16849.157952478901</v>
      </c>
      <c r="AM5655" s="2">
        <v>17998.594626654602</v>
      </c>
      <c r="AN5655" s="2">
        <v>17987.2710921252</v>
      </c>
      <c r="AO5655" s="2">
        <v>15465.125727815899</v>
      </c>
      <c r="AP5655" s="2">
        <v>16633.414404613599</v>
      </c>
    </row>
    <row r="5656" spans="1:42" ht="14.5" x14ac:dyDescent="0.35">
      <c r="A5656" s="2" t="s">
        <v>37508</v>
      </c>
      <c r="B5656" s="2">
        <v>705.23588236414196</v>
      </c>
      <c r="C5656" s="2">
        <v>4.5991</v>
      </c>
      <c r="D5656" s="2" t="s">
        <v>34</v>
      </c>
      <c r="E5656" s="2" t="s">
        <v>37509</v>
      </c>
      <c r="F5656" s="2">
        <v>316049</v>
      </c>
      <c r="G5656" s="3" t="str">
        <f>HYPERLINK("http://funmeta.oebiotech.com/network/316049", "http://funmeta.oebiotech.com/network/316049")</f>
        <v>http://funmeta.oebiotech.com/network/316049</v>
      </c>
      <c r="H5656" s="2"/>
      <c r="I5656" s="2">
        <v>343740</v>
      </c>
      <c r="J5656" s="2"/>
      <c r="K5656" s="2"/>
      <c r="L5656" s="2"/>
      <c r="M5656" s="2"/>
      <c r="N5656" s="2"/>
      <c r="O5656" s="2">
        <v>174003</v>
      </c>
      <c r="P5656" s="2"/>
      <c r="Q5656" s="2" t="s">
        <v>37510</v>
      </c>
      <c r="R5656" s="2" t="s">
        <v>37511</v>
      </c>
      <c r="S5656" s="2" t="s">
        <v>1184</v>
      </c>
      <c r="T5656" s="2" t="s">
        <v>1185</v>
      </c>
      <c r="U5656" s="2" t="s">
        <v>41</v>
      </c>
      <c r="V5656" s="2" t="s">
        <v>59</v>
      </c>
      <c r="W5656" s="2">
        <v>37.799999999999997</v>
      </c>
      <c r="X5656" s="2">
        <v>0</v>
      </c>
      <c r="Y5656" s="2" t="s">
        <v>470</v>
      </c>
      <c r="Z5656" s="2" t="s">
        <v>37512</v>
      </c>
      <c r="AA5656" s="2">
        <v>-0.91400254870164399</v>
      </c>
      <c r="AB5656" s="2">
        <v>7.0255151818326103E-2</v>
      </c>
      <c r="AC5656" s="2">
        <v>81467.095448784996</v>
      </c>
      <c r="AD5656" s="2">
        <v>83787.164533826406</v>
      </c>
      <c r="AE5656" s="2">
        <v>75454.984230719696</v>
      </c>
      <c r="AF5656" s="2">
        <v>99515.650222708195</v>
      </c>
      <c r="AG5656" s="2">
        <v>76584.633618185602</v>
      </c>
      <c r="AH5656" s="2">
        <v>73307.338589562103</v>
      </c>
      <c r="AI5656" s="2">
        <v>84143.672426500794</v>
      </c>
      <c r="AJ5656" s="2">
        <v>79796.293605033599</v>
      </c>
      <c r="AK5656" s="2">
        <v>93758.752230156897</v>
      </c>
      <c r="AL5656" s="2">
        <v>83363.655620504403</v>
      </c>
      <c r="AM5656" s="2">
        <v>80996.140267345399</v>
      </c>
      <c r="AN5656" s="2">
        <v>91069.432886492403</v>
      </c>
      <c r="AO5656" s="2">
        <v>70228.189896649405</v>
      </c>
      <c r="AP5656" s="2">
        <v>83306.816301810104</v>
      </c>
    </row>
    <row r="5657" spans="1:42" ht="14.5" x14ac:dyDescent="0.35">
      <c r="A5657" s="2" t="s">
        <v>37513</v>
      </c>
      <c r="B5657" s="2">
        <v>671.23450588815695</v>
      </c>
      <c r="C5657" s="2">
        <v>6.1797833333333303</v>
      </c>
      <c r="D5657" s="2" t="s">
        <v>70</v>
      </c>
      <c r="E5657" s="2" t="s">
        <v>37514</v>
      </c>
      <c r="F5657" s="2">
        <v>203410</v>
      </c>
      <c r="G5657" s="3" t="str">
        <f>HYPERLINK("http://funmeta.oebiotech.com/network/203410", "http://funmeta.oebiotech.com/network/203410")</f>
        <v>http://funmeta.oebiotech.com/network/203410</v>
      </c>
      <c r="H5657" s="2" t="s">
        <v>37515</v>
      </c>
      <c r="I5657" s="2"/>
      <c r="J5657" s="2"/>
      <c r="K5657" s="2"/>
      <c r="L5657" s="2"/>
      <c r="M5657" s="2"/>
      <c r="N5657" s="2"/>
      <c r="O5657" s="2">
        <v>135499684</v>
      </c>
      <c r="P5657" s="2"/>
      <c r="Q5657" s="2" t="s">
        <v>37516</v>
      </c>
      <c r="R5657" s="2" t="s">
        <v>37517</v>
      </c>
      <c r="S5657" s="2" t="s">
        <v>491</v>
      </c>
      <c r="T5657" s="2" t="s">
        <v>9656</v>
      </c>
      <c r="U5657" s="2" t="s">
        <v>37518</v>
      </c>
      <c r="V5657" s="2" t="s">
        <v>59</v>
      </c>
      <c r="W5657" s="2">
        <v>37.799999999999997</v>
      </c>
      <c r="X5657" s="2">
        <v>0</v>
      </c>
      <c r="Y5657" s="2" t="s">
        <v>560</v>
      </c>
      <c r="Z5657" s="2" t="s">
        <v>37519</v>
      </c>
      <c r="AA5657" s="2">
        <v>-4.0141078436006596</v>
      </c>
      <c r="AB5657" s="2">
        <v>7.0230367895742996E-2</v>
      </c>
      <c r="AC5657" s="2">
        <v>3464.9924844043298</v>
      </c>
      <c r="AD5657" s="2">
        <v>2405.2350164117402</v>
      </c>
      <c r="AE5657" s="2">
        <v>2040.7214884743901</v>
      </c>
      <c r="AF5657" s="2">
        <v>6677.6982720532496</v>
      </c>
      <c r="AG5657" s="2">
        <v>1639.0322140487699</v>
      </c>
      <c r="AH5657" s="2">
        <v>2060.1121016841098</v>
      </c>
      <c r="AI5657" s="2">
        <v>5217.5792809135201</v>
      </c>
      <c r="AJ5657" s="2">
        <v>3154.8115492519401</v>
      </c>
      <c r="AK5657" s="2">
        <v>1795.3266000250301</v>
      </c>
      <c r="AL5657" s="2">
        <v>3878.6515131262399</v>
      </c>
      <c r="AM5657" s="2">
        <v>3495.6943251693701</v>
      </c>
      <c r="AN5657" s="2">
        <v>2.7106294003980101E-5</v>
      </c>
      <c r="AO5657" s="2">
        <v>3573.0010795193898</v>
      </c>
      <c r="AP5657" s="2">
        <v>1688.7365535240999</v>
      </c>
    </row>
    <row r="5658" spans="1:42" ht="14.5" x14ac:dyDescent="0.35">
      <c r="A5658" s="2" t="s">
        <v>37520</v>
      </c>
      <c r="B5658" s="2">
        <v>371.01435025805699</v>
      </c>
      <c r="C5658" s="2">
        <v>7.8969500000000004</v>
      </c>
      <c r="D5658" s="2" t="s">
        <v>70</v>
      </c>
      <c r="E5658" s="2" t="s">
        <v>37521</v>
      </c>
      <c r="F5658" s="2">
        <v>202683</v>
      </c>
      <c r="G5658" s="3" t="str">
        <f>HYPERLINK("http://funmeta.oebiotech.com/network/202683", "http://funmeta.oebiotech.com/network/202683")</f>
        <v>http://funmeta.oebiotech.com/network/202683</v>
      </c>
      <c r="H5658" s="2" t="s">
        <v>37522</v>
      </c>
      <c r="I5658" s="2"/>
      <c r="J5658" s="2"/>
      <c r="K5658" s="2"/>
      <c r="L5658" s="2"/>
      <c r="M5658" s="2"/>
      <c r="N5658" s="2"/>
      <c r="O5658" s="2">
        <v>11854256</v>
      </c>
      <c r="P5658" s="2"/>
      <c r="Q5658" s="2" t="s">
        <v>37523</v>
      </c>
      <c r="R5658" s="2" t="s">
        <v>37524</v>
      </c>
      <c r="S5658" s="2" t="s">
        <v>1444</v>
      </c>
      <c r="T5658" s="2" t="s">
        <v>4937</v>
      </c>
      <c r="U5658" s="2" t="s">
        <v>14202</v>
      </c>
      <c r="V5658" s="2" t="s">
        <v>59</v>
      </c>
      <c r="W5658" s="2">
        <v>37.9</v>
      </c>
      <c r="X5658" s="2">
        <v>0</v>
      </c>
      <c r="Y5658" s="2" t="s">
        <v>751</v>
      </c>
      <c r="Z5658" s="2" t="s">
        <v>37525</v>
      </c>
      <c r="AA5658" s="2">
        <v>-0.82354558240897802</v>
      </c>
      <c r="AB5658" s="2">
        <v>7.0222281508522597E-2</v>
      </c>
      <c r="AC5658" s="2">
        <v>11169.174884633399</v>
      </c>
      <c r="AD5658" s="2">
        <v>11746.365867643701</v>
      </c>
      <c r="AE5658" s="2">
        <v>10803.478148476999</v>
      </c>
      <c r="AF5658" s="2">
        <v>11960.699740788399</v>
      </c>
      <c r="AG5658" s="2">
        <v>10888.9411371929</v>
      </c>
      <c r="AH5658" s="2">
        <v>10778.969026147101</v>
      </c>
      <c r="AI5658" s="2">
        <v>11388.261849701301</v>
      </c>
      <c r="AJ5658" s="2">
        <v>11194.6994054934</v>
      </c>
      <c r="AK5658" s="2">
        <v>12242.337161485</v>
      </c>
      <c r="AL5658" s="2">
        <v>12305.236875635899</v>
      </c>
      <c r="AM5658" s="2">
        <v>11742.217764356799</v>
      </c>
      <c r="AN5658" s="2">
        <v>11540.889773778301</v>
      </c>
      <c r="AO5658" s="2">
        <v>11606.020989741</v>
      </c>
      <c r="AP5658" s="2">
        <v>11041.492640865299</v>
      </c>
    </row>
    <row r="5659" spans="1:42" ht="14.5" x14ac:dyDescent="0.35">
      <c r="A5659" s="2" t="s">
        <v>37526</v>
      </c>
      <c r="B5659" s="2">
        <v>443.15236294859102</v>
      </c>
      <c r="C5659" s="2">
        <v>1.3287</v>
      </c>
      <c r="D5659" s="2" t="s">
        <v>34</v>
      </c>
      <c r="E5659" s="2" t="s">
        <v>37527</v>
      </c>
      <c r="F5659" s="2">
        <v>35311</v>
      </c>
      <c r="G5659" s="3" t="str">
        <f>HYPERLINK("http://funmeta.oebiotech.com/network/35311", "http://funmeta.oebiotech.com/network/35311")</f>
        <v>http://funmeta.oebiotech.com/network/35311</v>
      </c>
      <c r="H5659" s="2"/>
      <c r="I5659" s="2">
        <v>41163</v>
      </c>
      <c r="J5659" s="2" t="s">
        <v>37528</v>
      </c>
      <c r="K5659" s="2">
        <v>6365</v>
      </c>
      <c r="L5659" s="2" t="s">
        <v>37529</v>
      </c>
      <c r="M5659" s="2"/>
      <c r="N5659" s="2"/>
      <c r="O5659" s="2">
        <v>443328</v>
      </c>
      <c r="P5659" s="2"/>
      <c r="Q5659" s="2" t="s">
        <v>37530</v>
      </c>
      <c r="R5659" s="2" t="s">
        <v>37531</v>
      </c>
      <c r="S5659" s="2" t="s">
        <v>50</v>
      </c>
      <c r="T5659" s="2" t="s">
        <v>201</v>
      </c>
      <c r="U5659" s="2" t="s">
        <v>202</v>
      </c>
      <c r="V5659" s="2" t="s">
        <v>59</v>
      </c>
      <c r="W5659" s="2">
        <v>38.299999999999997</v>
      </c>
      <c r="X5659" s="2">
        <v>0</v>
      </c>
      <c r="Y5659" s="2" t="s">
        <v>323</v>
      </c>
      <c r="Z5659" s="2" t="s">
        <v>37532</v>
      </c>
      <c r="AA5659" s="2">
        <v>-4.6278520583682099E-2</v>
      </c>
      <c r="AB5659" s="2">
        <v>7.0058514268256697E-2</v>
      </c>
      <c r="AC5659" s="2">
        <v>2050.16908473372</v>
      </c>
      <c r="AD5659" s="2">
        <v>2749.5335003589498</v>
      </c>
      <c r="AE5659" s="2">
        <v>3334.5241168753901</v>
      </c>
      <c r="AF5659" s="2">
        <v>1587.5649918547001</v>
      </c>
      <c r="AG5659" s="2">
        <v>1208.1723870459</v>
      </c>
      <c r="AH5659" s="2">
        <v>1807.30987065711</v>
      </c>
      <c r="AI5659" s="2">
        <v>1930.8108720007299</v>
      </c>
      <c r="AJ5659" s="2">
        <v>2432.6322699685102</v>
      </c>
      <c r="AK5659" s="2">
        <v>1745.2005726198199</v>
      </c>
      <c r="AL5659" s="2">
        <v>2829.5336473110501</v>
      </c>
      <c r="AM5659" s="2">
        <v>1959.8658228875099</v>
      </c>
      <c r="AN5659" s="2">
        <v>3594.1780044361699</v>
      </c>
      <c r="AO5659" s="2">
        <v>3204.1685803708301</v>
      </c>
      <c r="AP5659" s="2">
        <v>3164.2543745283401</v>
      </c>
    </row>
    <row r="5660" spans="1:42" ht="14.5" x14ac:dyDescent="0.35">
      <c r="A5660" s="2" t="s">
        <v>37533</v>
      </c>
      <c r="B5660" s="2">
        <v>245.18595425779901</v>
      </c>
      <c r="C5660" s="2">
        <v>1.4019333333333299</v>
      </c>
      <c r="D5660" s="2" t="s">
        <v>34</v>
      </c>
      <c r="E5660" s="2" t="s">
        <v>37534</v>
      </c>
      <c r="F5660" s="2">
        <v>8997</v>
      </c>
      <c r="G5660" s="3" t="str">
        <f>HYPERLINK("http://funmeta.oebiotech.com/network/8997", "http://funmeta.oebiotech.com/network/8997")</f>
        <v>http://funmeta.oebiotech.com/network/8997</v>
      </c>
      <c r="H5660" s="2"/>
      <c r="I5660" s="2">
        <v>45309</v>
      </c>
      <c r="J5660" s="2" t="s">
        <v>37535</v>
      </c>
      <c r="K5660" s="2"/>
      <c r="L5660" s="2"/>
      <c r="M5660" s="2"/>
      <c r="N5660" s="2"/>
      <c r="O5660" s="2">
        <v>6914579</v>
      </c>
      <c r="P5660" s="2" t="s">
        <v>37536</v>
      </c>
      <c r="Q5660" s="2" t="s">
        <v>37537</v>
      </c>
      <c r="R5660" s="2" t="s">
        <v>37538</v>
      </c>
      <c r="S5660" s="2" t="s">
        <v>89</v>
      </c>
      <c r="T5660" s="2" t="s">
        <v>90</v>
      </c>
      <c r="U5660" s="2" t="s">
        <v>99</v>
      </c>
      <c r="V5660" s="2" t="s">
        <v>59</v>
      </c>
      <c r="W5660" s="2">
        <v>38.4</v>
      </c>
      <c r="X5660" s="2">
        <v>0</v>
      </c>
      <c r="Y5660" s="2" t="s">
        <v>43</v>
      </c>
      <c r="Z5660" s="2" t="s">
        <v>37539</v>
      </c>
      <c r="AA5660" s="2">
        <v>-6.5194855720203407E-2</v>
      </c>
      <c r="AB5660" s="2">
        <v>7.0022404164125099E-2</v>
      </c>
      <c r="AC5660" s="2">
        <v>1027.4389159750999</v>
      </c>
      <c r="AD5660" s="2">
        <v>671.52686242565403</v>
      </c>
      <c r="AE5660" s="2">
        <v>1228.65929769429</v>
      </c>
      <c r="AF5660" s="2">
        <v>957.16260924173798</v>
      </c>
      <c r="AG5660" s="2">
        <v>956.74847599090106</v>
      </c>
      <c r="AH5660" s="2">
        <v>1033.45822049004</v>
      </c>
      <c r="AI5660" s="2">
        <v>1023.62700050902</v>
      </c>
      <c r="AJ5660" s="2">
        <v>964.97789192459697</v>
      </c>
      <c r="AK5660" s="2">
        <v>635.27367975328195</v>
      </c>
      <c r="AL5660" s="2">
        <v>556.88930931397601</v>
      </c>
      <c r="AM5660" s="2">
        <v>658.87263160840996</v>
      </c>
      <c r="AN5660" s="2">
        <v>777.08761407131203</v>
      </c>
      <c r="AO5660" s="2">
        <v>682.29155983675798</v>
      </c>
      <c r="AP5660" s="2">
        <v>718.74637997018704</v>
      </c>
    </row>
    <row r="5661" spans="1:42" ht="14.5" x14ac:dyDescent="0.35">
      <c r="A5661" s="2" t="s">
        <v>37540</v>
      </c>
      <c r="B5661" s="2">
        <v>309.24213166266497</v>
      </c>
      <c r="C5661" s="2">
        <v>9.9781666666666702</v>
      </c>
      <c r="D5661" s="2" t="s">
        <v>34</v>
      </c>
      <c r="E5661" s="2" t="s">
        <v>37541</v>
      </c>
      <c r="F5661" s="2">
        <v>6364</v>
      </c>
      <c r="G5661" s="3" t="str">
        <f>HYPERLINK("http://funmeta.oebiotech.com/network/6364", "http://funmeta.oebiotech.com/network/6364")</f>
        <v>http://funmeta.oebiotech.com/network/6364</v>
      </c>
      <c r="H5661" s="2" t="s">
        <v>37542</v>
      </c>
      <c r="I5661" s="2">
        <v>43513</v>
      </c>
      <c r="J5661" s="2" t="s">
        <v>37543</v>
      </c>
      <c r="K5661" s="2">
        <v>920054</v>
      </c>
      <c r="L5661" s="2"/>
      <c r="M5661" s="2"/>
      <c r="N5661" s="2"/>
      <c r="O5661" s="2">
        <v>3952079</v>
      </c>
      <c r="P5661" s="2" t="s">
        <v>37544</v>
      </c>
      <c r="Q5661" s="2" t="s">
        <v>37545</v>
      </c>
      <c r="R5661" s="2" t="s">
        <v>37546</v>
      </c>
      <c r="S5661" s="2" t="s">
        <v>50</v>
      </c>
      <c r="T5661" s="2" t="s">
        <v>229</v>
      </c>
      <c r="U5661" s="2" t="s">
        <v>1283</v>
      </c>
      <c r="V5661" s="2" t="s">
        <v>59</v>
      </c>
      <c r="W5661" s="2">
        <v>38.700000000000003</v>
      </c>
      <c r="X5661" s="2">
        <v>0</v>
      </c>
      <c r="Y5661" s="2" t="s">
        <v>141</v>
      </c>
      <c r="Z5661" s="2" t="s">
        <v>37547</v>
      </c>
      <c r="AA5661" s="2">
        <v>-0.88784602184549499</v>
      </c>
      <c r="AB5661" s="2">
        <v>6.9959502208832097E-2</v>
      </c>
      <c r="AC5661" s="2">
        <v>683.71561805824194</v>
      </c>
      <c r="AD5661" s="2">
        <v>1031.9488898267</v>
      </c>
      <c r="AE5661" s="2">
        <v>639.573606485205</v>
      </c>
      <c r="AF5661" s="2">
        <v>755.94130477011799</v>
      </c>
      <c r="AG5661" s="2">
        <v>573.92108263381601</v>
      </c>
      <c r="AH5661" s="2">
        <v>721.09627819768605</v>
      </c>
      <c r="AI5661" s="2">
        <v>663.74843039042003</v>
      </c>
      <c r="AJ5661" s="2">
        <v>748.01300587220703</v>
      </c>
      <c r="AK5661" s="2">
        <v>1104.2825139496999</v>
      </c>
      <c r="AL5661" s="2">
        <v>986.34778325751699</v>
      </c>
      <c r="AM5661" s="2">
        <v>1059.8797320362</v>
      </c>
      <c r="AN5661" s="2">
        <v>887.45835303226795</v>
      </c>
      <c r="AO5661" s="2">
        <v>1126.55876556354</v>
      </c>
      <c r="AP5661" s="2">
        <v>1027.1661911210001</v>
      </c>
    </row>
    <row r="5662" spans="1:42" ht="14.5" x14ac:dyDescent="0.35">
      <c r="A5662" s="2" t="s">
        <v>37548</v>
      </c>
      <c r="B5662" s="2">
        <v>429.10368418936201</v>
      </c>
      <c r="C5662" s="2">
        <v>4.1877333333333304</v>
      </c>
      <c r="D5662" s="2" t="s">
        <v>70</v>
      </c>
      <c r="E5662" s="2" t="s">
        <v>37549</v>
      </c>
      <c r="F5662" s="2">
        <v>64752</v>
      </c>
      <c r="G5662" s="3" t="str">
        <f>HYPERLINK("http://funmeta.oebiotech.com/network/64752", "http://funmeta.oebiotech.com/network/64752")</f>
        <v>http://funmeta.oebiotech.com/network/64752</v>
      </c>
      <c r="H5662" s="2" t="s">
        <v>37550</v>
      </c>
      <c r="I5662" s="2">
        <v>96051</v>
      </c>
      <c r="J5662" s="2"/>
      <c r="K5662" s="2">
        <v>88659</v>
      </c>
      <c r="L5662" s="2"/>
      <c r="M5662" s="2"/>
      <c r="N5662" s="2"/>
      <c r="O5662" s="2">
        <v>124202085</v>
      </c>
      <c r="P5662" s="2"/>
      <c r="Q5662" s="2" t="s">
        <v>37551</v>
      </c>
      <c r="R5662" s="2" t="s">
        <v>37552</v>
      </c>
      <c r="S5662" s="2" t="s">
        <v>79</v>
      </c>
      <c r="T5662" s="2" t="s">
        <v>80</v>
      </c>
      <c r="U5662" s="2" t="s">
        <v>81</v>
      </c>
      <c r="V5662" s="2" t="s">
        <v>59</v>
      </c>
      <c r="W5662" s="2">
        <v>43.2</v>
      </c>
      <c r="X5662" s="2">
        <v>25.7</v>
      </c>
      <c r="Y5662" s="2" t="s">
        <v>408</v>
      </c>
      <c r="Z5662" s="2" t="s">
        <v>4559</v>
      </c>
      <c r="AA5662" s="2">
        <v>-0.43091695996470802</v>
      </c>
      <c r="AB5662" s="2">
        <v>6.9928728729896306E-2</v>
      </c>
      <c r="AC5662" s="2">
        <v>37969.811585202398</v>
      </c>
      <c r="AD5662" s="2">
        <v>36693.169088742899</v>
      </c>
      <c r="AE5662" s="2">
        <v>36075.068718635703</v>
      </c>
      <c r="AF5662" s="2">
        <v>39167.142469629398</v>
      </c>
      <c r="AG5662" s="2">
        <v>39309.567999085397</v>
      </c>
      <c r="AH5662" s="2">
        <v>36667.577120430004</v>
      </c>
      <c r="AI5662" s="2">
        <v>38519.295827169502</v>
      </c>
      <c r="AJ5662" s="2">
        <v>38080.2173762643</v>
      </c>
      <c r="AK5662" s="2">
        <v>31827.1814090587</v>
      </c>
      <c r="AL5662" s="2">
        <v>40106.352153319101</v>
      </c>
      <c r="AM5662" s="2">
        <v>34623.506291915</v>
      </c>
      <c r="AN5662" s="2">
        <v>36558.726749681497</v>
      </c>
      <c r="AO5662" s="2">
        <v>41509.8884360187</v>
      </c>
      <c r="AP5662" s="2">
        <v>35533.3594924645</v>
      </c>
    </row>
    <row r="5663" spans="1:42" ht="14.5" x14ac:dyDescent="0.35">
      <c r="A5663" s="2" t="s">
        <v>37553</v>
      </c>
      <c r="B5663" s="2">
        <v>120.080688044689</v>
      </c>
      <c r="C5663" s="2">
        <v>4.6832000000000003</v>
      </c>
      <c r="D5663" s="2" t="s">
        <v>34</v>
      </c>
      <c r="E5663" s="2" t="s">
        <v>37554</v>
      </c>
      <c r="F5663" s="2">
        <v>203349</v>
      </c>
      <c r="G5663" s="3" t="str">
        <f>HYPERLINK("http://funmeta.oebiotech.com/network/203349", "http://funmeta.oebiotech.com/network/203349")</f>
        <v>http://funmeta.oebiotech.com/network/203349</v>
      </c>
      <c r="H5663" s="2" t="s">
        <v>37555</v>
      </c>
      <c r="I5663" s="2"/>
      <c r="J5663" s="2"/>
      <c r="K5663" s="2"/>
      <c r="L5663" s="2"/>
      <c r="M5663" s="2"/>
      <c r="N5663" s="2"/>
      <c r="O5663" s="2">
        <v>28618</v>
      </c>
      <c r="P5663" s="2"/>
      <c r="Q5663" s="2" t="s">
        <v>37556</v>
      </c>
      <c r="R5663" s="2" t="s">
        <v>37557</v>
      </c>
      <c r="S5663" s="2" t="s">
        <v>148</v>
      </c>
      <c r="T5663" s="2" t="s">
        <v>149</v>
      </c>
      <c r="U5663" s="2" t="s">
        <v>41</v>
      </c>
      <c r="V5663" s="2" t="s">
        <v>59</v>
      </c>
      <c r="W5663" s="2">
        <v>47.3</v>
      </c>
      <c r="X5663" s="2">
        <v>41.9</v>
      </c>
      <c r="Y5663" s="2" t="s">
        <v>141</v>
      </c>
      <c r="Z5663" s="2" t="s">
        <v>32998</v>
      </c>
      <c r="AA5663" s="2">
        <v>-0.63962534085939404</v>
      </c>
      <c r="AB5663" s="2">
        <v>6.9688399326528094E-2</v>
      </c>
      <c r="AC5663" s="2">
        <v>3372.3033690750299</v>
      </c>
      <c r="AD5663" s="2">
        <v>2980.1193342758002</v>
      </c>
      <c r="AE5663" s="2">
        <v>3575.1472056308999</v>
      </c>
      <c r="AF5663" s="2">
        <v>3228.2160861676498</v>
      </c>
      <c r="AG5663" s="2">
        <v>3256.2795273904298</v>
      </c>
      <c r="AH5663" s="2">
        <v>3428.4875887092298</v>
      </c>
      <c r="AI5663" s="2">
        <v>3496.1988798246898</v>
      </c>
      <c r="AJ5663" s="2">
        <v>3249.4909267272601</v>
      </c>
      <c r="AK5663" s="2">
        <v>2757.0763594883001</v>
      </c>
      <c r="AL5663" s="2">
        <v>2994.33579684695</v>
      </c>
      <c r="AM5663" s="2">
        <v>3178.8488033329299</v>
      </c>
      <c r="AN5663" s="2">
        <v>3116.21033032181</v>
      </c>
      <c r="AO5663" s="2">
        <v>2932.1080701497999</v>
      </c>
      <c r="AP5663" s="2">
        <v>2902.1366455150201</v>
      </c>
    </row>
    <row r="5664" spans="1:42" ht="14.5" x14ac:dyDescent="0.35">
      <c r="A5664" s="2" t="s">
        <v>37558</v>
      </c>
      <c r="B5664" s="2">
        <v>298.83487793859098</v>
      </c>
      <c r="C5664" s="2">
        <v>0.54574999999999996</v>
      </c>
      <c r="D5664" s="2" t="s">
        <v>70</v>
      </c>
      <c r="E5664" s="2" t="s">
        <v>37559</v>
      </c>
      <c r="F5664" s="2">
        <v>256294</v>
      </c>
      <c r="G5664" s="3" t="str">
        <f>HYPERLINK("http://funmeta.oebiotech.com/network/256294", "http://funmeta.oebiotech.com/network/256294")</f>
        <v>http://funmeta.oebiotech.com/network/256294</v>
      </c>
      <c r="H5664" s="2" t="s">
        <v>37560</v>
      </c>
      <c r="I5664" s="2">
        <v>984539</v>
      </c>
      <c r="J5664" s="2"/>
      <c r="K5664" s="2">
        <v>32598</v>
      </c>
      <c r="L5664" s="2"/>
      <c r="M5664" s="2"/>
      <c r="N5664" s="2"/>
      <c r="O5664" s="2">
        <v>24632</v>
      </c>
      <c r="P5664" s="2"/>
      <c r="Q5664" s="2" t="s">
        <v>37561</v>
      </c>
      <c r="R5664" s="2" t="s">
        <v>37562</v>
      </c>
      <c r="S5664" s="2" t="s">
        <v>7696</v>
      </c>
      <c r="T5664" s="2" t="s">
        <v>37563</v>
      </c>
      <c r="U5664" s="2" t="s">
        <v>37564</v>
      </c>
      <c r="V5664" s="2" t="s">
        <v>59</v>
      </c>
      <c r="W5664" s="2">
        <v>36.799999999999997</v>
      </c>
      <c r="X5664" s="2">
        <v>0</v>
      </c>
      <c r="Y5664" s="2" t="s">
        <v>408</v>
      </c>
      <c r="Z5664" s="2" t="s">
        <v>37565</v>
      </c>
      <c r="AA5664" s="2">
        <v>-1.70380261905936</v>
      </c>
      <c r="AB5664" s="2">
        <v>6.9607961816979105E-2</v>
      </c>
      <c r="AC5664" s="2">
        <v>7964.2506740611498</v>
      </c>
      <c r="AD5664" s="2">
        <v>7318.96929800417</v>
      </c>
      <c r="AE5664" s="2">
        <v>7088.2563584704103</v>
      </c>
      <c r="AF5664" s="2">
        <v>7100.7718859214401</v>
      </c>
      <c r="AG5664" s="2">
        <v>8163.2140479115096</v>
      </c>
      <c r="AH5664" s="2">
        <v>7927.2332230134498</v>
      </c>
      <c r="AI5664" s="2">
        <v>9176.5369561385396</v>
      </c>
      <c r="AJ5664" s="2">
        <v>8329.4915729115492</v>
      </c>
      <c r="AK5664" s="2">
        <v>7352.5663331006899</v>
      </c>
      <c r="AL5664" s="2">
        <v>7157.9504211808198</v>
      </c>
      <c r="AM5664" s="2">
        <v>6942.1354124112404</v>
      </c>
      <c r="AN5664" s="2">
        <v>7334.1836221315498</v>
      </c>
      <c r="AO5664" s="2">
        <v>7834.9766357339404</v>
      </c>
      <c r="AP5664" s="2">
        <v>7292.0033634668098</v>
      </c>
    </row>
    <row r="5665" spans="1:42" ht="14.5" x14ac:dyDescent="0.35">
      <c r="A5665" s="2" t="s">
        <v>37566</v>
      </c>
      <c r="B5665" s="2">
        <v>376.31815507411602</v>
      </c>
      <c r="C5665" s="2">
        <v>12.5939333333333</v>
      </c>
      <c r="D5665" s="2" t="s">
        <v>34</v>
      </c>
      <c r="E5665" s="2" t="s">
        <v>37567</v>
      </c>
      <c r="F5665" s="2">
        <v>9022</v>
      </c>
      <c r="G5665" s="3" t="str">
        <f>HYPERLINK("http://funmeta.oebiotech.com/network/9022", "http://funmeta.oebiotech.com/network/9022")</f>
        <v>http://funmeta.oebiotech.com/network/9022</v>
      </c>
      <c r="H5665" s="2"/>
      <c r="I5665" s="2">
        <v>3722</v>
      </c>
      <c r="J5665" s="2" t="s">
        <v>37568</v>
      </c>
      <c r="K5665" s="2">
        <v>73725</v>
      </c>
      <c r="L5665" s="2"/>
      <c r="M5665" s="2"/>
      <c r="N5665" s="2"/>
      <c r="O5665" s="2">
        <v>5283452</v>
      </c>
      <c r="P5665" s="2"/>
      <c r="Q5665" s="2" t="s">
        <v>37569</v>
      </c>
      <c r="R5665" s="2" t="s">
        <v>37570</v>
      </c>
      <c r="S5665" s="2" t="s">
        <v>1677</v>
      </c>
      <c r="T5665" s="2" t="s">
        <v>1678</v>
      </c>
      <c r="U5665" s="2" t="s">
        <v>1679</v>
      </c>
      <c r="V5665" s="2" t="s">
        <v>59</v>
      </c>
      <c r="W5665" s="2">
        <v>41.8</v>
      </c>
      <c r="X5665" s="2">
        <v>15.3</v>
      </c>
      <c r="Y5665" s="2" t="s">
        <v>323</v>
      </c>
      <c r="Z5665" s="2" t="s">
        <v>37571</v>
      </c>
      <c r="AA5665" s="2">
        <v>-1.2600956482062899</v>
      </c>
      <c r="AB5665" s="2">
        <v>6.9526087208966206E-2</v>
      </c>
      <c r="AC5665" s="2">
        <v>55274.027320867397</v>
      </c>
      <c r="AD5665" s="2">
        <v>58580.147836704004</v>
      </c>
      <c r="AE5665" s="2">
        <v>50134.671175715499</v>
      </c>
      <c r="AF5665" s="2">
        <v>50054.242033239403</v>
      </c>
      <c r="AG5665" s="2">
        <v>38066.199775927103</v>
      </c>
      <c r="AH5665" s="2">
        <v>70710.1199687138</v>
      </c>
      <c r="AI5665" s="2">
        <v>53334.214370463102</v>
      </c>
      <c r="AJ5665" s="2">
        <v>69344.716601145803</v>
      </c>
      <c r="AK5665" s="2">
        <v>43248.235209058701</v>
      </c>
      <c r="AL5665" s="2">
        <v>65474.0202967839</v>
      </c>
      <c r="AM5665" s="2">
        <v>44016.408349759797</v>
      </c>
      <c r="AN5665" s="2">
        <v>40690.463003486097</v>
      </c>
      <c r="AO5665" s="2">
        <v>57636.866162979502</v>
      </c>
      <c r="AP5665" s="2">
        <v>100414.893998156</v>
      </c>
    </row>
    <row r="5666" spans="1:42" ht="14.5" x14ac:dyDescent="0.35">
      <c r="A5666" s="2" t="s">
        <v>37572</v>
      </c>
      <c r="B5666" s="2">
        <v>364.99516848582402</v>
      </c>
      <c r="C5666" s="2">
        <v>4.89903333333333</v>
      </c>
      <c r="D5666" s="2" t="s">
        <v>34</v>
      </c>
      <c r="E5666" s="2" t="s">
        <v>37573</v>
      </c>
      <c r="F5666" s="2">
        <v>82297</v>
      </c>
      <c r="G5666" s="3" t="str">
        <f>HYPERLINK("http://funmeta.oebiotech.com/network/82297", "http://funmeta.oebiotech.com/network/82297")</f>
        <v>http://funmeta.oebiotech.com/network/82297</v>
      </c>
      <c r="H5666" s="2" t="s">
        <v>37574</v>
      </c>
      <c r="I5666" s="2">
        <v>66144</v>
      </c>
      <c r="J5666" s="2"/>
      <c r="K5666" s="2"/>
      <c r="L5666" s="2" t="s">
        <v>37575</v>
      </c>
      <c r="M5666" s="2" t="s">
        <v>17102</v>
      </c>
      <c r="N5666" s="2" t="s">
        <v>17103</v>
      </c>
      <c r="O5666" s="2">
        <v>8642</v>
      </c>
      <c r="P5666" s="2"/>
      <c r="Q5666" s="2" t="s">
        <v>37576</v>
      </c>
      <c r="R5666" s="2" t="s">
        <v>37577</v>
      </c>
      <c r="S5666" s="2" t="s">
        <v>1444</v>
      </c>
      <c r="T5666" s="2" t="s">
        <v>4040</v>
      </c>
      <c r="U5666" s="2" t="s">
        <v>15347</v>
      </c>
      <c r="V5666" s="2" t="s">
        <v>59</v>
      </c>
      <c r="W5666" s="2">
        <v>38.799999999999997</v>
      </c>
      <c r="X5666" s="2">
        <v>0</v>
      </c>
      <c r="Y5666" s="2" t="s">
        <v>340</v>
      </c>
      <c r="Z5666" s="2" t="s">
        <v>37578</v>
      </c>
      <c r="AA5666" s="2">
        <v>1.47287872314869</v>
      </c>
      <c r="AB5666" s="2">
        <v>6.9420812151528802E-2</v>
      </c>
      <c r="AC5666" s="2">
        <v>11595.7333301443</v>
      </c>
      <c r="AD5666" s="2">
        <v>12471.5767456345</v>
      </c>
      <c r="AE5666" s="2">
        <v>9737.4195746040496</v>
      </c>
      <c r="AF5666" s="2">
        <v>11422.0598940455</v>
      </c>
      <c r="AG5666" s="2">
        <v>13493.031144664499</v>
      </c>
      <c r="AH5666" s="2">
        <v>12483.3001444734</v>
      </c>
      <c r="AI5666" s="2">
        <v>11714.3178976441</v>
      </c>
      <c r="AJ5666" s="2">
        <v>10724.2713254345</v>
      </c>
      <c r="AK5666" s="2">
        <v>11692.0018750734</v>
      </c>
      <c r="AL5666" s="2">
        <v>13264.984984798601</v>
      </c>
      <c r="AM5666" s="2">
        <v>14383.1249539644</v>
      </c>
      <c r="AN5666" s="2">
        <v>12461.5537676945</v>
      </c>
      <c r="AO5666" s="2">
        <v>11716.5615412558</v>
      </c>
      <c r="AP5666" s="2">
        <v>11311.233351020501</v>
      </c>
    </row>
    <row r="5667" spans="1:42" ht="14.5" x14ac:dyDescent="0.35">
      <c r="A5667" s="2" t="s">
        <v>37579</v>
      </c>
      <c r="B5667" s="2">
        <v>213.075829124194</v>
      </c>
      <c r="C5667" s="2">
        <v>3.6614666666666702</v>
      </c>
      <c r="D5667" s="2" t="s">
        <v>34</v>
      </c>
      <c r="E5667" s="2" t="s">
        <v>37580</v>
      </c>
      <c r="F5667" s="2">
        <v>58496</v>
      </c>
      <c r="G5667" s="3" t="str">
        <f>HYPERLINK("http://funmeta.oebiotech.com/network/58496", "http://funmeta.oebiotech.com/network/58496")</f>
        <v>http://funmeta.oebiotech.com/network/58496</v>
      </c>
      <c r="H5667" s="2" t="s">
        <v>37581</v>
      </c>
      <c r="I5667" s="2"/>
      <c r="J5667" s="2"/>
      <c r="K5667" s="2"/>
      <c r="L5667" s="2" t="s">
        <v>37582</v>
      </c>
      <c r="M5667" s="2"/>
      <c r="N5667" s="2"/>
      <c r="O5667" s="2">
        <v>131751569</v>
      </c>
      <c r="P5667" s="2" t="s">
        <v>37583</v>
      </c>
      <c r="Q5667" s="2" t="s">
        <v>37584</v>
      </c>
      <c r="R5667" s="2" t="s">
        <v>37585</v>
      </c>
      <c r="S5667" s="2" t="s">
        <v>50</v>
      </c>
      <c r="T5667" s="2" t="s">
        <v>201</v>
      </c>
      <c r="U5667" s="2" t="s">
        <v>265</v>
      </c>
      <c r="V5667" s="2" t="s">
        <v>42</v>
      </c>
      <c r="W5667" s="2">
        <v>50.6</v>
      </c>
      <c r="X5667" s="2">
        <v>56.5</v>
      </c>
      <c r="Y5667" s="2" t="s">
        <v>394</v>
      </c>
      <c r="Z5667" s="2" t="s">
        <v>37586</v>
      </c>
      <c r="AA5667" s="2">
        <v>0.37350933236067102</v>
      </c>
      <c r="AB5667" s="2">
        <v>6.94090561884914E-2</v>
      </c>
      <c r="AC5667" s="2">
        <v>19580.286484422701</v>
      </c>
      <c r="AD5667" s="2">
        <v>18798.150777934701</v>
      </c>
      <c r="AE5667" s="2">
        <v>20009.3584285496</v>
      </c>
      <c r="AF5667" s="2">
        <v>18791.004047093698</v>
      </c>
      <c r="AG5667" s="2">
        <v>19975.352544801401</v>
      </c>
      <c r="AH5667" s="2">
        <v>19166.949802510801</v>
      </c>
      <c r="AI5667" s="2">
        <v>18979.5612235056</v>
      </c>
      <c r="AJ5667" s="2">
        <v>20559.492860075199</v>
      </c>
      <c r="AK5667" s="2">
        <v>17466.707861518302</v>
      </c>
      <c r="AL5667" s="2">
        <v>20309.446941601502</v>
      </c>
      <c r="AM5667" s="2">
        <v>19418.619187225599</v>
      </c>
      <c r="AN5667" s="2">
        <v>19615.5946836937</v>
      </c>
      <c r="AO5667" s="2">
        <v>18574.380791262902</v>
      </c>
      <c r="AP5667" s="2">
        <v>17404.155202306101</v>
      </c>
    </row>
    <row r="5668" spans="1:42" ht="14.5" x14ac:dyDescent="0.35">
      <c r="A5668" s="2" t="s">
        <v>37587</v>
      </c>
      <c r="B5668" s="2">
        <v>227.053757591448</v>
      </c>
      <c r="C5668" s="2">
        <v>1.4463666666666699</v>
      </c>
      <c r="D5668" s="2" t="s">
        <v>70</v>
      </c>
      <c r="E5668" s="2" t="s">
        <v>37588</v>
      </c>
      <c r="F5668" s="2">
        <v>203059</v>
      </c>
      <c r="G5668" s="3" t="str">
        <f>HYPERLINK("http://funmeta.oebiotech.com/network/203059", "http://funmeta.oebiotech.com/network/203059")</f>
        <v>http://funmeta.oebiotech.com/network/203059</v>
      </c>
      <c r="H5668" s="2" t="s">
        <v>37589</v>
      </c>
      <c r="I5668" s="2"/>
      <c r="J5668" s="2"/>
      <c r="K5668" s="2"/>
      <c r="L5668" s="2"/>
      <c r="M5668" s="2"/>
      <c r="N5668" s="2"/>
      <c r="O5668" s="2">
        <v>6711198</v>
      </c>
      <c r="P5668" s="2"/>
      <c r="Q5668" s="2" t="s">
        <v>37590</v>
      </c>
      <c r="R5668" s="2" t="s">
        <v>37591</v>
      </c>
      <c r="S5668" s="2" t="s">
        <v>41</v>
      </c>
      <c r="T5668" s="2" t="s">
        <v>41</v>
      </c>
      <c r="U5668" s="2" t="s">
        <v>41</v>
      </c>
      <c r="V5668" s="2" t="s">
        <v>59</v>
      </c>
      <c r="W5668" s="2">
        <v>36.9</v>
      </c>
      <c r="X5668" s="2">
        <v>0</v>
      </c>
      <c r="Y5668" s="2" t="s">
        <v>751</v>
      </c>
      <c r="Z5668" s="2" t="s">
        <v>37592</v>
      </c>
      <c r="AA5668" s="2">
        <v>-2.1854011570426302</v>
      </c>
      <c r="AB5668" s="2">
        <v>6.9365721781842707E-2</v>
      </c>
      <c r="AC5668" s="2">
        <v>2191.63305986978</v>
      </c>
      <c r="AD5668" s="2">
        <v>1785.61935495289</v>
      </c>
      <c r="AE5668" s="2">
        <v>2245.7714083085398</v>
      </c>
      <c r="AF5668" s="2">
        <v>2001.7827621018901</v>
      </c>
      <c r="AG5668" s="2">
        <v>2181.6287756963402</v>
      </c>
      <c r="AH5668" s="2">
        <v>2234.8772279566101</v>
      </c>
      <c r="AI5668" s="2">
        <v>2432.6659124560401</v>
      </c>
      <c r="AJ5668" s="2">
        <v>2053.0722726992799</v>
      </c>
      <c r="AK5668" s="2">
        <v>1600.3532161967701</v>
      </c>
      <c r="AL5668" s="2">
        <v>1674.2388173826901</v>
      </c>
      <c r="AM5668" s="2">
        <v>1711.65224506922</v>
      </c>
      <c r="AN5668" s="2">
        <v>1714.61910462536</v>
      </c>
      <c r="AO5668" s="2">
        <v>2135.9951401809999</v>
      </c>
      <c r="AP5668" s="2">
        <v>1876.8576062622899</v>
      </c>
    </row>
    <row r="5669" spans="1:42" ht="14.5" x14ac:dyDescent="0.35">
      <c r="A5669" s="2" t="s">
        <v>37593</v>
      </c>
      <c r="B5669" s="2">
        <v>489.226097059175</v>
      </c>
      <c r="C5669" s="2">
        <v>6.0108166666666696</v>
      </c>
      <c r="D5669" s="2" t="s">
        <v>70</v>
      </c>
      <c r="E5669" s="2" t="s">
        <v>37594</v>
      </c>
      <c r="F5669" s="2">
        <v>266906</v>
      </c>
      <c r="G5669" s="3" t="str">
        <f>HYPERLINK("http://funmeta.oebiotech.com/network/266906", "http://funmeta.oebiotech.com/network/266906")</f>
        <v>http://funmeta.oebiotech.com/network/266906</v>
      </c>
      <c r="H5669" s="2"/>
      <c r="I5669" s="2">
        <v>44265</v>
      </c>
      <c r="J5669" s="2"/>
      <c r="K5669" s="2"/>
      <c r="L5669" s="2"/>
      <c r="M5669" s="2"/>
      <c r="N5669" s="2"/>
      <c r="O5669" s="2">
        <v>94230</v>
      </c>
      <c r="P5669" s="2" t="s">
        <v>37595</v>
      </c>
      <c r="Q5669" s="2" t="s">
        <v>37596</v>
      </c>
      <c r="R5669" s="2" t="s">
        <v>37597</v>
      </c>
      <c r="S5669" s="2" t="s">
        <v>491</v>
      </c>
      <c r="T5669" s="2" t="s">
        <v>2184</v>
      </c>
      <c r="U5669" s="2" t="s">
        <v>3838</v>
      </c>
      <c r="V5669" s="2" t="s">
        <v>59</v>
      </c>
      <c r="W5669" s="2">
        <v>38.6</v>
      </c>
      <c r="X5669" s="2">
        <v>0</v>
      </c>
      <c r="Y5669" s="2" t="s">
        <v>560</v>
      </c>
      <c r="Z5669" s="2" t="s">
        <v>37598</v>
      </c>
      <c r="AA5669" s="2">
        <v>1.0607653722288499</v>
      </c>
      <c r="AB5669" s="2">
        <v>6.9275816907492196E-2</v>
      </c>
      <c r="AC5669" s="2">
        <v>2718.2361590710898</v>
      </c>
      <c r="AD5669" s="2">
        <v>2122.6592444949401</v>
      </c>
      <c r="AE5669" s="2">
        <v>2307.47903919601</v>
      </c>
      <c r="AF5669" s="2">
        <v>2193.3704463453901</v>
      </c>
      <c r="AG5669" s="2">
        <v>3720.3393500379402</v>
      </c>
      <c r="AH5669" s="2">
        <v>3330.2916025331601</v>
      </c>
      <c r="AI5669" s="2">
        <v>2306.3852331742801</v>
      </c>
      <c r="AJ5669" s="2">
        <v>2451.55128313978</v>
      </c>
      <c r="AK5669" s="2">
        <v>2371.3240861259601</v>
      </c>
      <c r="AL5669" s="2">
        <v>2101.4416925114001</v>
      </c>
      <c r="AM5669" s="2">
        <v>2733.9660045744199</v>
      </c>
      <c r="AN5669" s="2">
        <v>2054.0192915747898</v>
      </c>
      <c r="AO5669" s="2">
        <v>1687.05672525213</v>
      </c>
      <c r="AP5669" s="2">
        <v>1788.14766693092</v>
      </c>
    </row>
    <row r="5670" spans="1:42" ht="14.5" x14ac:dyDescent="0.35">
      <c r="A5670" s="2" t="s">
        <v>37599</v>
      </c>
      <c r="B5670" s="2">
        <v>1051.5727812380801</v>
      </c>
      <c r="C5670" s="2">
        <v>9.5044666666666693</v>
      </c>
      <c r="D5670" s="2" t="s">
        <v>34</v>
      </c>
      <c r="E5670" s="2" t="s">
        <v>37600</v>
      </c>
      <c r="F5670" s="2">
        <v>27491</v>
      </c>
      <c r="G5670" s="3" t="str">
        <f>HYPERLINK("http://funmeta.oebiotech.com/network/27491", "http://funmeta.oebiotech.com/network/27491")</f>
        <v>http://funmeta.oebiotech.com/network/27491</v>
      </c>
      <c r="H5670" s="2"/>
      <c r="I5670" s="2"/>
      <c r="J5670" s="2" t="s">
        <v>37601</v>
      </c>
      <c r="K5670" s="2"/>
      <c r="L5670" s="2"/>
      <c r="M5670" s="2"/>
      <c r="N5670" s="2"/>
      <c r="O5670" s="2">
        <v>126457381</v>
      </c>
      <c r="P5670" s="2"/>
      <c r="Q5670" s="2" t="s">
        <v>37602</v>
      </c>
      <c r="R5670" s="2" t="s">
        <v>37603</v>
      </c>
      <c r="S5670" s="2" t="s">
        <v>50</v>
      </c>
      <c r="T5670" s="2" t="s">
        <v>51</v>
      </c>
      <c r="U5670" s="2" t="s">
        <v>52</v>
      </c>
      <c r="V5670" s="2" t="s">
        <v>59</v>
      </c>
      <c r="W5670" s="2">
        <v>38.799999999999997</v>
      </c>
      <c r="X5670" s="2">
        <v>0</v>
      </c>
      <c r="Y5670" s="2" t="s">
        <v>340</v>
      </c>
      <c r="Z5670" s="2" t="s">
        <v>37604</v>
      </c>
      <c r="AA5670" s="2">
        <v>-0.32550194609806898</v>
      </c>
      <c r="AB5670" s="2">
        <v>6.9213401927478393E-2</v>
      </c>
      <c r="AC5670" s="2">
        <v>10843.6925437553</v>
      </c>
      <c r="AD5670" s="2">
        <v>9816.2237606966592</v>
      </c>
      <c r="AE5670" s="2">
        <v>11518.792436772599</v>
      </c>
      <c r="AF5670" s="2">
        <v>9945.7266268536696</v>
      </c>
      <c r="AG5670" s="2">
        <v>12366.1609776603</v>
      </c>
      <c r="AH5670" s="2">
        <v>9450.1398057915994</v>
      </c>
      <c r="AI5670" s="2">
        <v>11023.7280880241</v>
      </c>
      <c r="AJ5670" s="2">
        <v>10757.6073274296</v>
      </c>
      <c r="AK5670" s="2">
        <v>7131.1912888078996</v>
      </c>
      <c r="AL5670" s="2">
        <v>10367.402341659001</v>
      </c>
      <c r="AM5670" s="2">
        <v>8667.3566441620605</v>
      </c>
      <c r="AN5670" s="2">
        <v>10763.2674009518</v>
      </c>
      <c r="AO5670" s="2">
        <v>8440.5419277404708</v>
      </c>
      <c r="AP5670" s="2">
        <v>13527.582960858699</v>
      </c>
    </row>
    <row r="5671" spans="1:42" ht="14.5" x14ac:dyDescent="0.35">
      <c r="A5671" s="2" t="s">
        <v>37605</v>
      </c>
      <c r="B5671" s="2">
        <v>465.151847703898</v>
      </c>
      <c r="C5671" s="2">
        <v>5.1890333333333301</v>
      </c>
      <c r="D5671" s="2" t="s">
        <v>70</v>
      </c>
      <c r="E5671" s="2" t="s">
        <v>37606</v>
      </c>
      <c r="F5671" s="2">
        <v>201636</v>
      </c>
      <c r="G5671" s="3" t="str">
        <f>HYPERLINK("http://funmeta.oebiotech.com/network/201636", "http://funmeta.oebiotech.com/network/201636")</f>
        <v>http://funmeta.oebiotech.com/network/201636</v>
      </c>
      <c r="H5671" s="2" t="s">
        <v>37607</v>
      </c>
      <c r="I5671" s="2"/>
      <c r="J5671" s="2"/>
      <c r="K5671" s="2"/>
      <c r="L5671" s="2"/>
      <c r="M5671" s="2"/>
      <c r="N5671" s="2"/>
      <c r="O5671" s="2">
        <v>2806704</v>
      </c>
      <c r="P5671" s="2"/>
      <c r="Q5671" s="2" t="s">
        <v>37608</v>
      </c>
      <c r="R5671" s="2" t="s">
        <v>37609</v>
      </c>
      <c r="S5671" s="2" t="s">
        <v>41</v>
      </c>
      <c r="T5671" s="2" t="s">
        <v>41</v>
      </c>
      <c r="U5671" s="2" t="s">
        <v>41</v>
      </c>
      <c r="V5671" s="2" t="s">
        <v>59</v>
      </c>
      <c r="W5671" s="2">
        <v>38.6</v>
      </c>
      <c r="X5671" s="2">
        <v>0</v>
      </c>
      <c r="Y5671" s="2" t="s">
        <v>560</v>
      </c>
      <c r="Z5671" s="2" t="s">
        <v>37610</v>
      </c>
      <c r="AA5671" s="2">
        <v>-2.0557654728735102</v>
      </c>
      <c r="AB5671" s="2">
        <v>6.9112672021313798E-2</v>
      </c>
      <c r="AC5671" s="2">
        <v>1628.2153576042399</v>
      </c>
      <c r="AD5671" s="2">
        <v>2305.0078949550598</v>
      </c>
      <c r="AE5671" s="2">
        <v>2672.05715907484</v>
      </c>
      <c r="AF5671" s="2">
        <v>886.10210459541599</v>
      </c>
      <c r="AG5671" s="2">
        <v>1065.3283232849001</v>
      </c>
      <c r="AH5671" s="2">
        <v>1509.3091398716699</v>
      </c>
      <c r="AI5671" s="2">
        <v>2350.8200534809298</v>
      </c>
      <c r="AJ5671" s="2">
        <v>1285.6753653177</v>
      </c>
      <c r="AK5671" s="2">
        <v>3670.1203533767102</v>
      </c>
      <c r="AL5671" s="2">
        <v>1826.08683667539</v>
      </c>
      <c r="AM5671" s="2">
        <v>1670.5342035200599</v>
      </c>
      <c r="AN5671" s="2">
        <v>2439.0120360470901</v>
      </c>
      <c r="AO5671" s="2">
        <v>2223.8837479259801</v>
      </c>
      <c r="AP5671" s="2">
        <v>2000.41019218513</v>
      </c>
    </row>
    <row r="5672" spans="1:42" ht="14.5" x14ac:dyDescent="0.35">
      <c r="A5672" s="2" t="s">
        <v>37611</v>
      </c>
      <c r="B5672" s="2">
        <v>279.19534738872198</v>
      </c>
      <c r="C5672" s="2">
        <v>4.1925499999999998</v>
      </c>
      <c r="D5672" s="2" t="s">
        <v>34</v>
      </c>
      <c r="E5672" s="2" t="s">
        <v>37612</v>
      </c>
      <c r="F5672" s="2">
        <v>55540</v>
      </c>
      <c r="G5672" s="3" t="str">
        <f>HYPERLINK("http://funmeta.oebiotech.com/network/55540", "http://funmeta.oebiotech.com/network/55540")</f>
        <v>http://funmeta.oebiotech.com/network/55540</v>
      </c>
      <c r="H5672" s="2" t="s">
        <v>37613</v>
      </c>
      <c r="I5672" s="2">
        <v>68355</v>
      </c>
      <c r="J5672" s="2"/>
      <c r="K5672" s="2"/>
      <c r="L5672" s="2" t="s">
        <v>37614</v>
      </c>
      <c r="M5672" s="2"/>
      <c r="N5672" s="2"/>
      <c r="O5672" s="2">
        <v>94378</v>
      </c>
      <c r="P5672" s="2" t="s">
        <v>37615</v>
      </c>
      <c r="Q5672" s="2" t="s">
        <v>37616</v>
      </c>
      <c r="R5672" s="2" t="s">
        <v>37617</v>
      </c>
      <c r="S5672" s="2" t="s">
        <v>148</v>
      </c>
      <c r="T5672" s="2" t="s">
        <v>392</v>
      </c>
      <c r="U5672" s="2" t="s">
        <v>3450</v>
      </c>
      <c r="V5672" s="2" t="s">
        <v>59</v>
      </c>
      <c r="W5672" s="2">
        <v>39.200000000000003</v>
      </c>
      <c r="X5672" s="2">
        <v>0</v>
      </c>
      <c r="Y5672" s="2" t="s">
        <v>394</v>
      </c>
      <c r="Z5672" s="2" t="s">
        <v>37618</v>
      </c>
      <c r="AA5672" s="2">
        <v>-0.44479162059376698</v>
      </c>
      <c r="AB5672" s="2">
        <v>6.9087955558577399E-2</v>
      </c>
      <c r="AC5672" s="2">
        <v>2931.9482422383899</v>
      </c>
      <c r="AD5672" s="2">
        <v>2397.5812550543801</v>
      </c>
      <c r="AE5672" s="2">
        <v>2611.9393287678499</v>
      </c>
      <c r="AF5672" s="2">
        <v>3104.55572016816</v>
      </c>
      <c r="AG5672" s="2">
        <v>3270.75439644681</v>
      </c>
      <c r="AH5672" s="2">
        <v>2671.7130898670598</v>
      </c>
      <c r="AI5672" s="2">
        <v>2158.9973949995301</v>
      </c>
      <c r="AJ5672" s="2">
        <v>3773.7295231809499</v>
      </c>
      <c r="AK5672" s="2">
        <v>2365.4312614147302</v>
      </c>
      <c r="AL5672" s="2">
        <v>2665.1800747246798</v>
      </c>
      <c r="AM5672" s="2">
        <v>2273.41915950987</v>
      </c>
      <c r="AN5672" s="2">
        <v>2393.0734959305601</v>
      </c>
      <c r="AO5672" s="2">
        <v>2201.4726802763598</v>
      </c>
      <c r="AP5672" s="2">
        <v>2486.9108584700598</v>
      </c>
    </row>
    <row r="5673" spans="1:42" ht="14.5" x14ac:dyDescent="0.35">
      <c r="A5673" s="2" t="s">
        <v>37619</v>
      </c>
      <c r="B5673" s="2">
        <v>418.91530577226803</v>
      </c>
      <c r="C5673" s="2">
        <v>9.6037999999999997</v>
      </c>
      <c r="D5673" s="2" t="s">
        <v>70</v>
      </c>
      <c r="E5673" s="2" t="s">
        <v>37620</v>
      </c>
      <c r="F5673" s="2">
        <v>256078</v>
      </c>
      <c r="G5673" s="3" t="str">
        <f>HYPERLINK("http://funmeta.oebiotech.com/network/256078", "http://funmeta.oebiotech.com/network/256078")</f>
        <v>http://funmeta.oebiotech.com/network/256078</v>
      </c>
      <c r="H5673" s="2" t="s">
        <v>37621</v>
      </c>
      <c r="I5673" s="2">
        <v>69510</v>
      </c>
      <c r="J5673" s="2"/>
      <c r="K5673" s="2"/>
      <c r="L5673" s="2" t="s">
        <v>37622</v>
      </c>
      <c r="M5673" s="2"/>
      <c r="N5673" s="2"/>
      <c r="O5673" s="2">
        <v>120096</v>
      </c>
      <c r="P5673" s="2" t="s">
        <v>37623</v>
      </c>
      <c r="Q5673" s="2" t="s">
        <v>37624</v>
      </c>
      <c r="R5673" s="2" t="s">
        <v>37625</v>
      </c>
      <c r="S5673" s="2" t="s">
        <v>50</v>
      </c>
      <c r="T5673" s="2" t="s">
        <v>51</v>
      </c>
      <c r="U5673" s="2" t="s">
        <v>273</v>
      </c>
      <c r="V5673" s="2" t="s">
        <v>59</v>
      </c>
      <c r="W5673" s="2">
        <v>37.700000000000003</v>
      </c>
      <c r="X5673" s="2">
        <v>0</v>
      </c>
      <c r="Y5673" s="2" t="s">
        <v>560</v>
      </c>
      <c r="Z5673" s="2" t="s">
        <v>37626</v>
      </c>
      <c r="AA5673" s="2">
        <v>3.21750954073454</v>
      </c>
      <c r="AB5673" s="2">
        <v>6.90033842199579E-2</v>
      </c>
      <c r="AC5673" s="2">
        <v>2277.3502405710301</v>
      </c>
      <c r="AD5673" s="2">
        <v>2860.91830001569</v>
      </c>
      <c r="AE5673" s="2">
        <v>2599.11251725384</v>
      </c>
      <c r="AF5673" s="2">
        <v>2648.3477325183399</v>
      </c>
      <c r="AG5673" s="2">
        <v>1437.4322718251001</v>
      </c>
      <c r="AH5673" s="2">
        <v>2893.2250562510799</v>
      </c>
      <c r="AI5673" s="2">
        <v>2324.5289998605899</v>
      </c>
      <c r="AJ5673" s="2">
        <v>1761.4548657171999</v>
      </c>
      <c r="AK5673" s="2">
        <v>3531.1923796607198</v>
      </c>
      <c r="AL5673" s="2">
        <v>3027.1275344656901</v>
      </c>
      <c r="AM5673" s="2">
        <v>2736.9305841304699</v>
      </c>
      <c r="AN5673" s="2">
        <v>2993.1924971276298</v>
      </c>
      <c r="AO5673" s="2">
        <v>2652.2754155218499</v>
      </c>
      <c r="AP5673" s="2">
        <v>2224.7913891878102</v>
      </c>
    </row>
    <row r="5674" spans="1:42" ht="14.5" x14ac:dyDescent="0.35">
      <c r="A5674" s="2" t="s">
        <v>37627</v>
      </c>
      <c r="B5674" s="2">
        <v>365.14005549661698</v>
      </c>
      <c r="C5674" s="2">
        <v>10.301</v>
      </c>
      <c r="D5674" s="2" t="s">
        <v>70</v>
      </c>
      <c r="E5674" s="2" t="s">
        <v>37628</v>
      </c>
      <c r="F5674" s="2">
        <v>256171</v>
      </c>
      <c r="G5674" s="3" t="str">
        <f>HYPERLINK("http://funmeta.oebiotech.com/network/256171", "http://funmeta.oebiotech.com/network/256171")</f>
        <v>http://funmeta.oebiotech.com/network/256171</v>
      </c>
      <c r="H5674" s="2" t="s">
        <v>37629</v>
      </c>
      <c r="I5674" s="2"/>
      <c r="J5674" s="2"/>
      <c r="K5674" s="2"/>
      <c r="L5674" s="2"/>
      <c r="M5674" s="2"/>
      <c r="N5674" s="2"/>
      <c r="O5674" s="2"/>
      <c r="P5674" s="2"/>
      <c r="Q5674" s="2" t="s">
        <v>37630</v>
      </c>
      <c r="R5674" s="2" t="s">
        <v>37631</v>
      </c>
      <c r="S5674" s="2" t="s">
        <v>148</v>
      </c>
      <c r="T5674" s="2" t="s">
        <v>149</v>
      </c>
      <c r="U5674" s="2" t="s">
        <v>6788</v>
      </c>
      <c r="V5674" s="2" t="s">
        <v>59</v>
      </c>
      <c r="W5674" s="2">
        <v>38.1</v>
      </c>
      <c r="X5674" s="2">
        <v>0</v>
      </c>
      <c r="Y5674" s="2" t="s">
        <v>408</v>
      </c>
      <c r="Z5674" s="2" t="s">
        <v>37632</v>
      </c>
      <c r="AA5674" s="2">
        <v>-1.1161124721254001</v>
      </c>
      <c r="AB5674" s="2">
        <v>6.8964515794316797E-2</v>
      </c>
      <c r="AC5674" s="2">
        <v>15006.568781067601</v>
      </c>
      <c r="AD5674" s="2">
        <v>12950.3584289993</v>
      </c>
      <c r="AE5674" s="2">
        <v>11446.211667809101</v>
      </c>
      <c r="AF5674" s="2">
        <v>11477.822557925199</v>
      </c>
      <c r="AG5674" s="2">
        <v>10383.154356904201</v>
      </c>
      <c r="AH5674" s="2">
        <v>35413.6196329753</v>
      </c>
      <c r="AI5674" s="2">
        <v>10039.845313383101</v>
      </c>
      <c r="AJ5674" s="2">
        <v>11278.7591574086</v>
      </c>
      <c r="AK5674" s="2">
        <v>8352.8240782306602</v>
      </c>
      <c r="AL5674" s="2">
        <v>12831.1240670263</v>
      </c>
      <c r="AM5674" s="2">
        <v>12298.4191775318</v>
      </c>
      <c r="AN5674" s="2">
        <v>15326.850008786199</v>
      </c>
      <c r="AO5674" s="2">
        <v>13519.751097942</v>
      </c>
      <c r="AP5674" s="2">
        <v>15373.1821444791</v>
      </c>
    </row>
    <row r="5675" spans="1:42" ht="14.5" x14ac:dyDescent="0.35">
      <c r="A5675" s="2" t="s">
        <v>37633</v>
      </c>
      <c r="B5675" s="2">
        <v>913.47948894297099</v>
      </c>
      <c r="C5675" s="2">
        <v>10.2578333333333</v>
      </c>
      <c r="D5675" s="2" t="s">
        <v>70</v>
      </c>
      <c r="E5675" s="2" t="s">
        <v>37634</v>
      </c>
      <c r="F5675" s="2">
        <v>44509</v>
      </c>
      <c r="G5675" s="3" t="str">
        <f>HYPERLINK("http://funmeta.oebiotech.com/network/44509", "http://funmeta.oebiotech.com/network/44509")</f>
        <v>http://funmeta.oebiotech.com/network/44509</v>
      </c>
      <c r="H5675" s="2"/>
      <c r="I5675" s="2">
        <v>67253</v>
      </c>
      <c r="J5675" s="2" t="s">
        <v>37635</v>
      </c>
      <c r="K5675" s="2">
        <v>74023</v>
      </c>
      <c r="L5675" s="2" t="s">
        <v>37636</v>
      </c>
      <c r="M5675" s="2"/>
      <c r="N5675" s="2"/>
      <c r="O5675" s="2">
        <v>52931449</v>
      </c>
      <c r="P5675" s="2" t="s">
        <v>37637</v>
      </c>
      <c r="Q5675" s="2" t="s">
        <v>37638</v>
      </c>
      <c r="R5675" s="2" t="s">
        <v>37639</v>
      </c>
      <c r="S5675" s="2" t="s">
        <v>50</v>
      </c>
      <c r="T5675" s="2" t="s">
        <v>124</v>
      </c>
      <c r="U5675" s="2" t="s">
        <v>523</v>
      </c>
      <c r="V5675" s="2" t="s">
        <v>59</v>
      </c>
      <c r="W5675" s="2">
        <v>38</v>
      </c>
      <c r="X5675" s="2">
        <v>0</v>
      </c>
      <c r="Y5675" s="2" t="s">
        <v>408</v>
      </c>
      <c r="Z5675" s="2" t="s">
        <v>37640</v>
      </c>
      <c r="AA5675" s="2">
        <v>-0.86374731640838098</v>
      </c>
      <c r="AB5675" s="2">
        <v>6.8942960353125596E-2</v>
      </c>
      <c r="AC5675" s="2">
        <v>11178.057290103599</v>
      </c>
      <c r="AD5675" s="2">
        <v>10238.9732505105</v>
      </c>
      <c r="AE5675" s="2">
        <v>8716.0465304204008</v>
      </c>
      <c r="AF5675" s="2">
        <v>9837.2106873085104</v>
      </c>
      <c r="AG5675" s="2">
        <v>11735.090297537399</v>
      </c>
      <c r="AH5675" s="2">
        <v>12725.4496100205</v>
      </c>
      <c r="AI5675" s="2">
        <v>12772.4197119786</v>
      </c>
      <c r="AJ5675" s="2">
        <v>11282.126903356</v>
      </c>
      <c r="AK5675" s="2">
        <v>8564.4742995184406</v>
      </c>
      <c r="AL5675" s="2">
        <v>11005.1918747338</v>
      </c>
      <c r="AM5675" s="2">
        <v>9436.7110110838603</v>
      </c>
      <c r="AN5675" s="2">
        <v>9674.5702340869302</v>
      </c>
      <c r="AO5675" s="2">
        <v>11555.880481247799</v>
      </c>
      <c r="AP5675" s="2">
        <v>11197.0116023922</v>
      </c>
    </row>
    <row r="5676" spans="1:42" ht="14.5" x14ac:dyDescent="0.35">
      <c r="A5676" s="2" t="s">
        <v>37641</v>
      </c>
      <c r="B5676" s="2">
        <v>755.38409930076</v>
      </c>
      <c r="C5676" s="2">
        <v>4.3632666666666697</v>
      </c>
      <c r="D5676" s="2" t="s">
        <v>34</v>
      </c>
      <c r="E5676" s="2" t="s">
        <v>37642</v>
      </c>
      <c r="F5676" s="2">
        <v>136197</v>
      </c>
      <c r="G5676" s="3" t="str">
        <f>HYPERLINK("http://funmeta.oebiotech.com/network/136197", "http://funmeta.oebiotech.com/network/136197")</f>
        <v>http://funmeta.oebiotech.com/network/136197</v>
      </c>
      <c r="H5676" s="2" t="s">
        <v>37643</v>
      </c>
      <c r="I5676" s="2"/>
      <c r="J5676" s="2"/>
      <c r="K5676" s="2"/>
      <c r="L5676" s="2"/>
      <c r="M5676" s="2"/>
      <c r="N5676" s="2"/>
      <c r="O5676" s="2">
        <v>131823175</v>
      </c>
      <c r="P5676" s="2"/>
      <c r="Q5676" s="2" t="s">
        <v>37644</v>
      </c>
      <c r="R5676" s="2" t="s">
        <v>37645</v>
      </c>
      <c r="S5676" s="2" t="s">
        <v>50</v>
      </c>
      <c r="T5676" s="2" t="s">
        <v>51</v>
      </c>
      <c r="U5676" s="2" t="s">
        <v>1989</v>
      </c>
      <c r="V5676" s="2" t="s">
        <v>59</v>
      </c>
      <c r="W5676" s="2">
        <v>37.200000000000003</v>
      </c>
      <c r="X5676" s="2">
        <v>0</v>
      </c>
      <c r="Y5676" s="2" t="s">
        <v>323</v>
      </c>
      <c r="Z5676" s="2" t="s">
        <v>37646</v>
      </c>
      <c r="AA5676" s="2">
        <v>-4.07812513036819</v>
      </c>
      <c r="AB5676" s="2">
        <v>6.8872263079644697E-2</v>
      </c>
      <c r="AC5676" s="2">
        <v>16797.743827415401</v>
      </c>
      <c r="AD5676" s="2">
        <v>15842.477592036599</v>
      </c>
      <c r="AE5676" s="2">
        <v>15465.7331119336</v>
      </c>
      <c r="AF5676" s="2">
        <v>19245.900709380599</v>
      </c>
      <c r="AG5676" s="2">
        <v>16756.949801511299</v>
      </c>
      <c r="AH5676" s="2">
        <v>18148.4121384842</v>
      </c>
      <c r="AI5676" s="2">
        <v>16131.675032135299</v>
      </c>
      <c r="AJ5676" s="2">
        <v>15037.7921710477</v>
      </c>
      <c r="AK5676" s="2">
        <v>15959.892341365499</v>
      </c>
      <c r="AL5676" s="2">
        <v>15229.604044314199</v>
      </c>
      <c r="AM5676" s="2">
        <v>18407.620876692501</v>
      </c>
      <c r="AN5676" s="2">
        <v>14262.601069922101</v>
      </c>
      <c r="AO5676" s="2">
        <v>14887.5841524648</v>
      </c>
      <c r="AP5676" s="2">
        <v>16307.5630674602</v>
      </c>
    </row>
    <row r="5677" spans="1:42" ht="14.5" x14ac:dyDescent="0.35">
      <c r="A5677" s="2" t="s">
        <v>37647</v>
      </c>
      <c r="B5677" s="2">
        <v>409.01085014167802</v>
      </c>
      <c r="C5677" s="2">
        <v>9.5903833333333299</v>
      </c>
      <c r="D5677" s="2" t="s">
        <v>70</v>
      </c>
      <c r="E5677" s="2" t="s">
        <v>37648</v>
      </c>
      <c r="F5677" s="2">
        <v>213396</v>
      </c>
      <c r="G5677" s="3" t="str">
        <f>HYPERLINK("http://funmeta.oebiotech.com/network/213396", "http://funmeta.oebiotech.com/network/213396")</f>
        <v>http://funmeta.oebiotech.com/network/213396</v>
      </c>
      <c r="H5677" s="2" t="s">
        <v>37649</v>
      </c>
      <c r="I5677" s="2"/>
      <c r="J5677" s="2"/>
      <c r="K5677" s="2"/>
      <c r="L5677" s="2"/>
      <c r="M5677" s="2"/>
      <c r="N5677" s="2"/>
      <c r="O5677" s="2"/>
      <c r="P5677" s="2"/>
      <c r="Q5677" s="2" t="s">
        <v>37650</v>
      </c>
      <c r="R5677" s="2" t="s">
        <v>37651</v>
      </c>
      <c r="S5677" s="2" t="s">
        <v>2811</v>
      </c>
      <c r="T5677" s="2" t="s">
        <v>2812</v>
      </c>
      <c r="U5677" s="2" t="s">
        <v>2813</v>
      </c>
      <c r="V5677" s="2" t="s">
        <v>59</v>
      </c>
      <c r="W5677" s="2">
        <v>38.9</v>
      </c>
      <c r="X5677" s="2">
        <v>0</v>
      </c>
      <c r="Y5677" s="2" t="s">
        <v>408</v>
      </c>
      <c r="Z5677" s="2" t="s">
        <v>37652</v>
      </c>
      <c r="AA5677" s="2">
        <v>-1.7427062806939599</v>
      </c>
      <c r="AB5677" s="2">
        <v>6.8862341548106401E-2</v>
      </c>
      <c r="AC5677" s="2">
        <v>8147.5973428739699</v>
      </c>
      <c r="AD5677" s="2">
        <v>8949.6129545814292</v>
      </c>
      <c r="AE5677" s="2">
        <v>7526.8856868843504</v>
      </c>
      <c r="AF5677" s="2">
        <v>8099.3040515105804</v>
      </c>
      <c r="AG5677" s="2">
        <v>8224.7621564288202</v>
      </c>
      <c r="AH5677" s="2">
        <v>9389.7061906920007</v>
      </c>
      <c r="AI5677" s="2">
        <v>7961.7629843004997</v>
      </c>
      <c r="AJ5677" s="2">
        <v>7683.1629874275804</v>
      </c>
      <c r="AK5677" s="2">
        <v>10027.943691242501</v>
      </c>
      <c r="AL5677" s="2">
        <v>9911.9218648201095</v>
      </c>
      <c r="AM5677" s="2">
        <v>8829.1822535462597</v>
      </c>
      <c r="AN5677" s="2">
        <v>9986.4230172474308</v>
      </c>
      <c r="AO5677" s="2">
        <v>8223.2172751771304</v>
      </c>
      <c r="AP5677" s="2">
        <v>6718.9896254551304</v>
      </c>
    </row>
    <row r="5678" spans="1:42" ht="14.5" x14ac:dyDescent="0.35">
      <c r="A5678" s="2" t="s">
        <v>37653</v>
      </c>
      <c r="B5678" s="2">
        <v>281.07431630208299</v>
      </c>
      <c r="C5678" s="2">
        <v>1.3109999999999999</v>
      </c>
      <c r="D5678" s="2" t="s">
        <v>34</v>
      </c>
      <c r="E5678" s="2" t="s">
        <v>37654</v>
      </c>
      <c r="F5678" s="2">
        <v>47279</v>
      </c>
      <c r="G5678" s="3" t="str">
        <f>HYPERLINK("http://funmeta.oebiotech.com/network/47279", "http://funmeta.oebiotech.com/network/47279")</f>
        <v>http://funmeta.oebiotech.com/network/47279</v>
      </c>
      <c r="H5678" s="2" t="s">
        <v>37655</v>
      </c>
      <c r="I5678" s="2">
        <v>85160</v>
      </c>
      <c r="J5678" s="2"/>
      <c r="K5678" s="2">
        <v>45996</v>
      </c>
      <c r="L5678" s="2"/>
      <c r="M5678" s="2"/>
      <c r="N5678" s="2"/>
      <c r="O5678" s="2">
        <v>445408</v>
      </c>
      <c r="P5678" s="2" t="s">
        <v>37656</v>
      </c>
      <c r="Q5678" s="2" t="s">
        <v>37657</v>
      </c>
      <c r="R5678" s="2" t="s">
        <v>37658</v>
      </c>
      <c r="S5678" s="2" t="s">
        <v>1444</v>
      </c>
      <c r="T5678" s="2" t="s">
        <v>10689</v>
      </c>
      <c r="U5678" s="2" t="s">
        <v>41</v>
      </c>
      <c r="V5678" s="2" t="s">
        <v>59</v>
      </c>
      <c r="W5678" s="2">
        <v>38.799999999999997</v>
      </c>
      <c r="X5678" s="2">
        <v>0</v>
      </c>
      <c r="Y5678" s="2" t="s">
        <v>323</v>
      </c>
      <c r="Z5678" s="2" t="s">
        <v>37659</v>
      </c>
      <c r="AA5678" s="2">
        <v>-0.35086809338931102</v>
      </c>
      <c r="AB5678" s="2">
        <v>6.8829299886363896E-2</v>
      </c>
      <c r="AC5678" s="2">
        <v>1686.56194779566</v>
      </c>
      <c r="AD5678" s="2">
        <v>2151.9275776292302</v>
      </c>
      <c r="AE5678" s="2">
        <v>1982.1477096036899</v>
      </c>
      <c r="AF5678" s="2">
        <v>1703.5779558738</v>
      </c>
      <c r="AG5678" s="2">
        <v>1121.50476159146</v>
      </c>
      <c r="AH5678" s="2">
        <v>1757.12369694725</v>
      </c>
      <c r="AI5678" s="2">
        <v>2045.7127417307499</v>
      </c>
      <c r="AJ5678" s="2">
        <v>1509.3048210269999</v>
      </c>
      <c r="AK5678" s="2">
        <v>1821.70508310012</v>
      </c>
      <c r="AL5678" s="2">
        <v>2005.2090124092599</v>
      </c>
      <c r="AM5678" s="2">
        <v>2182.8178003783401</v>
      </c>
      <c r="AN5678" s="2">
        <v>2241.5476536903402</v>
      </c>
      <c r="AO5678" s="2">
        <v>2531.8165538941898</v>
      </c>
      <c r="AP5678" s="2">
        <v>2128.4693623031098</v>
      </c>
    </row>
    <row r="5679" spans="1:42" ht="14.5" x14ac:dyDescent="0.35">
      <c r="A5679" s="2" t="s">
        <v>37660</v>
      </c>
      <c r="B5679" s="2">
        <v>477.10377422193</v>
      </c>
      <c r="C5679" s="2">
        <v>4.7765333333333304</v>
      </c>
      <c r="D5679" s="2" t="s">
        <v>70</v>
      </c>
      <c r="E5679" s="2" t="s">
        <v>37661</v>
      </c>
      <c r="F5679" s="2">
        <v>34962</v>
      </c>
      <c r="G5679" s="3" t="str">
        <f>HYPERLINK("http://funmeta.oebiotech.com/network/34962", "http://funmeta.oebiotech.com/network/34962")</f>
        <v>http://funmeta.oebiotech.com/network/34962</v>
      </c>
      <c r="H5679" s="2" t="s">
        <v>37662</v>
      </c>
      <c r="I5679" s="2">
        <v>41046</v>
      </c>
      <c r="J5679" s="2" t="s">
        <v>37663</v>
      </c>
      <c r="K5679" s="2"/>
      <c r="L5679" s="2" t="s">
        <v>37664</v>
      </c>
      <c r="M5679" s="2"/>
      <c r="N5679" s="2"/>
      <c r="O5679" s="2">
        <v>99649</v>
      </c>
      <c r="P5679" s="2"/>
      <c r="Q5679" s="2" t="s">
        <v>37665</v>
      </c>
      <c r="R5679" s="2" t="s">
        <v>37666</v>
      </c>
      <c r="S5679" s="2" t="s">
        <v>148</v>
      </c>
      <c r="T5679" s="2" t="s">
        <v>6068</v>
      </c>
      <c r="U5679" s="2" t="s">
        <v>6069</v>
      </c>
      <c r="V5679" s="2" t="s">
        <v>59</v>
      </c>
      <c r="W5679" s="2">
        <v>38.6</v>
      </c>
      <c r="X5679" s="2">
        <v>0</v>
      </c>
      <c r="Y5679" s="2" t="s">
        <v>408</v>
      </c>
      <c r="Z5679" s="2" t="s">
        <v>1373</v>
      </c>
      <c r="AA5679" s="2">
        <v>-0.174691236431264</v>
      </c>
      <c r="AB5679" s="2">
        <v>6.8804071290145694E-2</v>
      </c>
      <c r="AC5679" s="2">
        <v>9424.9780345717609</v>
      </c>
      <c r="AD5679" s="2">
        <v>8481.5550746887002</v>
      </c>
      <c r="AE5679" s="2">
        <v>9503.9169253665696</v>
      </c>
      <c r="AF5679" s="2">
        <v>7677.9990202894996</v>
      </c>
      <c r="AG5679" s="2">
        <v>10577.5278387952</v>
      </c>
      <c r="AH5679" s="2">
        <v>9232.2507000102705</v>
      </c>
      <c r="AI5679" s="2">
        <v>7568.8083103826302</v>
      </c>
      <c r="AJ5679" s="2">
        <v>11989.3654125864</v>
      </c>
      <c r="AK5679" s="2">
        <v>7079.9251614692403</v>
      </c>
      <c r="AL5679" s="2">
        <v>8481.28382756059</v>
      </c>
      <c r="AM5679" s="2">
        <v>6918.7653303014304</v>
      </c>
      <c r="AN5679" s="2">
        <v>8774.1170440766</v>
      </c>
      <c r="AO5679" s="2">
        <v>10316.4473613924</v>
      </c>
      <c r="AP5679" s="2">
        <v>9318.7917233319495</v>
      </c>
    </row>
    <row r="5680" spans="1:42" ht="14.5" x14ac:dyDescent="0.35">
      <c r="A5680" s="2" t="s">
        <v>37667</v>
      </c>
      <c r="B5680" s="2">
        <v>309.20694009315997</v>
      </c>
      <c r="C5680" s="2">
        <v>7.8364166666666701</v>
      </c>
      <c r="D5680" s="2" t="s">
        <v>70</v>
      </c>
      <c r="E5680" s="2" t="s">
        <v>37668</v>
      </c>
      <c r="F5680" s="2">
        <v>6969</v>
      </c>
      <c r="G5680" s="3" t="str">
        <f>HYPERLINK("http://funmeta.oebiotech.com/network/6969", "http://funmeta.oebiotech.com/network/6969")</f>
        <v>http://funmeta.oebiotech.com/network/6969</v>
      </c>
      <c r="H5680" s="2" t="s">
        <v>37669</v>
      </c>
      <c r="I5680" s="2">
        <v>46229</v>
      </c>
      <c r="J5680" s="2" t="s">
        <v>37670</v>
      </c>
      <c r="K5680" s="2"/>
      <c r="L5680" s="2"/>
      <c r="M5680" s="2"/>
      <c r="N5680" s="2"/>
      <c r="O5680" s="2">
        <v>638500</v>
      </c>
      <c r="P5680" s="2" t="s">
        <v>37671</v>
      </c>
      <c r="Q5680" s="2" t="s">
        <v>37672</v>
      </c>
      <c r="R5680" s="2" t="s">
        <v>37673</v>
      </c>
      <c r="S5680" s="2" t="s">
        <v>50</v>
      </c>
      <c r="T5680" s="2" t="s">
        <v>201</v>
      </c>
      <c r="U5680" s="2" t="s">
        <v>636</v>
      </c>
      <c r="V5680" s="2" t="s">
        <v>59</v>
      </c>
      <c r="W5680" s="2">
        <v>38.4</v>
      </c>
      <c r="X5680" s="2">
        <v>0</v>
      </c>
      <c r="Y5680" s="2" t="s">
        <v>408</v>
      </c>
      <c r="Z5680" s="2" t="s">
        <v>37674</v>
      </c>
      <c r="AA5680" s="2">
        <v>-0.73015669942186501</v>
      </c>
      <c r="AB5680" s="2">
        <v>6.87742905139761E-2</v>
      </c>
      <c r="AC5680" s="2">
        <v>876.26924603896498</v>
      </c>
      <c r="AD5680" s="2">
        <v>500.47566139446297</v>
      </c>
      <c r="AE5680" s="2">
        <v>927.70841052507899</v>
      </c>
      <c r="AF5680" s="2">
        <v>871.09374348756398</v>
      </c>
      <c r="AG5680" s="2">
        <v>814.61732242684297</v>
      </c>
      <c r="AH5680" s="2">
        <v>824.51479499665504</v>
      </c>
      <c r="AI5680" s="2">
        <v>741.61659473087695</v>
      </c>
      <c r="AJ5680" s="2">
        <v>1078.06461006677</v>
      </c>
      <c r="AK5680" s="2">
        <v>562.480556518208</v>
      </c>
      <c r="AL5680" s="2">
        <v>217.60324384883401</v>
      </c>
      <c r="AM5680" s="2">
        <v>701.31223931925001</v>
      </c>
      <c r="AN5680" s="2">
        <v>552.94346242455799</v>
      </c>
      <c r="AO5680" s="2">
        <v>461.08753931175801</v>
      </c>
      <c r="AP5680" s="2">
        <v>507.42692694417002</v>
      </c>
    </row>
    <row r="5681" spans="1:42" ht="14.5" x14ac:dyDescent="0.35">
      <c r="A5681" s="2" t="s">
        <v>37675</v>
      </c>
      <c r="B5681" s="2">
        <v>235.20556732579601</v>
      </c>
      <c r="C5681" s="2">
        <v>9.9781666666666702</v>
      </c>
      <c r="D5681" s="2" t="s">
        <v>34</v>
      </c>
      <c r="E5681" s="2" t="s">
        <v>37676</v>
      </c>
      <c r="F5681" s="2">
        <v>63402</v>
      </c>
      <c r="G5681" s="3" t="str">
        <f>HYPERLINK("http://funmeta.oebiotech.com/network/63402", "http://funmeta.oebiotech.com/network/63402")</f>
        <v>http://funmeta.oebiotech.com/network/63402</v>
      </c>
      <c r="H5681" s="2" t="s">
        <v>37677</v>
      </c>
      <c r="I5681" s="2">
        <v>94714</v>
      </c>
      <c r="J5681" s="2"/>
      <c r="K5681" s="2"/>
      <c r="L5681" s="2"/>
      <c r="M5681" s="2"/>
      <c r="N5681" s="2"/>
      <c r="O5681" s="2">
        <v>20087</v>
      </c>
      <c r="P5681" s="2" t="s">
        <v>37678</v>
      </c>
      <c r="Q5681" s="2" t="s">
        <v>37679</v>
      </c>
      <c r="R5681" s="2" t="s">
        <v>37680</v>
      </c>
      <c r="S5681" s="2" t="s">
        <v>148</v>
      </c>
      <c r="T5681" s="2" t="s">
        <v>149</v>
      </c>
      <c r="U5681" s="2" t="s">
        <v>15271</v>
      </c>
      <c r="V5681" s="2" t="s">
        <v>59</v>
      </c>
      <c r="W5681" s="2">
        <v>39.4</v>
      </c>
      <c r="X5681" s="2">
        <v>0</v>
      </c>
      <c r="Y5681" s="2" t="s">
        <v>394</v>
      </c>
      <c r="Z5681" s="2" t="s">
        <v>37681</v>
      </c>
      <c r="AA5681" s="2">
        <v>-0.31836082284251799</v>
      </c>
      <c r="AB5681" s="2">
        <v>6.8766136891419999E-2</v>
      </c>
      <c r="AC5681" s="2">
        <v>2571.5537465043399</v>
      </c>
      <c r="AD5681" s="2">
        <v>2169.35926834776</v>
      </c>
      <c r="AE5681" s="2">
        <v>2341.1207520018402</v>
      </c>
      <c r="AF5681" s="2">
        <v>2502.41999606849</v>
      </c>
      <c r="AG5681" s="2">
        <v>2568.56762006806</v>
      </c>
      <c r="AH5681" s="2">
        <v>2386.33785647078</v>
      </c>
      <c r="AI5681" s="2">
        <v>2628.15838677794</v>
      </c>
      <c r="AJ5681" s="2">
        <v>3002.7178676389099</v>
      </c>
      <c r="AK5681" s="2">
        <v>2280.4937425410999</v>
      </c>
      <c r="AL5681" s="2">
        <v>2170.0256523445501</v>
      </c>
      <c r="AM5681" s="2">
        <v>2002.69103370074</v>
      </c>
      <c r="AN5681" s="2">
        <v>2226.1653446821401</v>
      </c>
      <c r="AO5681" s="2">
        <v>2191.74161332521</v>
      </c>
      <c r="AP5681" s="2">
        <v>2145.0382234928402</v>
      </c>
    </row>
    <row r="5682" spans="1:42" ht="14.5" x14ac:dyDescent="0.35">
      <c r="A5682" s="2" t="s">
        <v>37682</v>
      </c>
      <c r="B5682" s="2">
        <v>451.23198344416602</v>
      </c>
      <c r="C5682" s="2">
        <v>8.4520166666666707</v>
      </c>
      <c r="D5682" s="2" t="s">
        <v>34</v>
      </c>
      <c r="E5682" s="2" t="s">
        <v>37683</v>
      </c>
      <c r="F5682" s="2">
        <v>213126</v>
      </c>
      <c r="G5682" s="3" t="str">
        <f>HYPERLINK("http://funmeta.oebiotech.com/network/213126", "http://funmeta.oebiotech.com/network/213126")</f>
        <v>http://funmeta.oebiotech.com/network/213126</v>
      </c>
      <c r="H5682" s="2" t="s">
        <v>37684</v>
      </c>
      <c r="I5682" s="2"/>
      <c r="J5682" s="2"/>
      <c r="K5682" s="2"/>
      <c r="L5682" s="2"/>
      <c r="M5682" s="2"/>
      <c r="N5682" s="2"/>
      <c r="O5682" s="2">
        <v>456317</v>
      </c>
      <c r="P5682" s="2"/>
      <c r="Q5682" s="2" t="s">
        <v>37685</v>
      </c>
      <c r="R5682" s="2" t="s">
        <v>37686</v>
      </c>
      <c r="S5682" s="2" t="s">
        <v>41</v>
      </c>
      <c r="T5682" s="2" t="s">
        <v>41</v>
      </c>
      <c r="U5682" s="2" t="s">
        <v>41</v>
      </c>
      <c r="V5682" s="2" t="s">
        <v>59</v>
      </c>
      <c r="W5682" s="2">
        <v>37.6</v>
      </c>
      <c r="X5682" s="2">
        <v>0</v>
      </c>
      <c r="Y5682" s="2" t="s">
        <v>43</v>
      </c>
      <c r="Z5682" s="2" t="s">
        <v>37687</v>
      </c>
      <c r="AA5682" s="2">
        <v>1.02993809437568</v>
      </c>
      <c r="AB5682" s="2">
        <v>6.8758875150308998E-2</v>
      </c>
      <c r="AC5682" s="2">
        <v>590.11106153736102</v>
      </c>
      <c r="AD5682" s="2">
        <v>68.406454762638006</v>
      </c>
      <c r="AE5682" s="2">
        <v>1022.03742817207</v>
      </c>
      <c r="AF5682" s="2">
        <v>426.69977670890802</v>
      </c>
      <c r="AG5682" s="2">
        <v>2.7106294003980101E-5</v>
      </c>
      <c r="AH5682" s="2">
        <v>1241.04639347136</v>
      </c>
      <c r="AI5682" s="2">
        <v>2.7106294003980101E-5</v>
      </c>
      <c r="AJ5682" s="2">
        <v>850.88271665923901</v>
      </c>
      <c r="AK5682" s="2">
        <v>2.7106294003980101E-5</v>
      </c>
      <c r="AL5682" s="2">
        <v>2.7106294003980101E-5</v>
      </c>
      <c r="AM5682" s="2">
        <v>2.7106294003980101E-5</v>
      </c>
      <c r="AN5682" s="2">
        <v>2.7106294003980101E-5</v>
      </c>
      <c r="AO5682" s="2">
        <v>2.7106294003980101E-5</v>
      </c>
      <c r="AP5682" s="2">
        <v>410.43859304435802</v>
      </c>
    </row>
    <row r="5683" spans="1:42" ht="14.5" x14ac:dyDescent="0.35">
      <c r="A5683" s="2" t="s">
        <v>37688</v>
      </c>
      <c r="B5683" s="2">
        <v>327.050890237651</v>
      </c>
      <c r="C5683" s="2">
        <v>3.53996666666667</v>
      </c>
      <c r="D5683" s="2" t="s">
        <v>70</v>
      </c>
      <c r="E5683" s="2" t="s">
        <v>37689</v>
      </c>
      <c r="F5683" s="2">
        <v>54507</v>
      </c>
      <c r="G5683" s="3" t="str">
        <f>HYPERLINK("http://funmeta.oebiotech.com/network/54507", "http://funmeta.oebiotech.com/network/54507")</f>
        <v>http://funmeta.oebiotech.com/network/54507</v>
      </c>
      <c r="H5683" s="2" t="s">
        <v>37690</v>
      </c>
      <c r="I5683" s="2">
        <v>86364</v>
      </c>
      <c r="J5683" s="2"/>
      <c r="K5683" s="2"/>
      <c r="L5683" s="2"/>
      <c r="M5683" s="2"/>
      <c r="N5683" s="2"/>
      <c r="O5683" s="2">
        <v>131750884</v>
      </c>
      <c r="P5683" s="2"/>
      <c r="Q5683" s="2" t="s">
        <v>37691</v>
      </c>
      <c r="R5683" s="2" t="s">
        <v>37692</v>
      </c>
      <c r="S5683" s="2" t="s">
        <v>115</v>
      </c>
      <c r="T5683" s="2" t="s">
        <v>1371</v>
      </c>
      <c r="U5683" s="2" t="s">
        <v>19037</v>
      </c>
      <c r="V5683" s="2" t="s">
        <v>59</v>
      </c>
      <c r="W5683" s="2">
        <v>38.9</v>
      </c>
      <c r="X5683" s="2">
        <v>0</v>
      </c>
      <c r="Y5683" s="2" t="s">
        <v>408</v>
      </c>
      <c r="Z5683" s="2" t="s">
        <v>37693</v>
      </c>
      <c r="AA5683" s="2">
        <v>-0.48235946576334998</v>
      </c>
      <c r="AB5683" s="2">
        <v>6.8618374401265406E-2</v>
      </c>
      <c r="AC5683" s="2">
        <v>2018.79896310249</v>
      </c>
      <c r="AD5683" s="2">
        <v>1608.10871576421</v>
      </c>
      <c r="AE5683" s="2">
        <v>2289.22035525823</v>
      </c>
      <c r="AF5683" s="2">
        <v>1931.9328582170399</v>
      </c>
      <c r="AG5683" s="2">
        <v>1927.9687993540099</v>
      </c>
      <c r="AH5683" s="2">
        <v>2159.2972818455601</v>
      </c>
      <c r="AI5683" s="2">
        <v>1736.27945496133</v>
      </c>
      <c r="AJ5683" s="2">
        <v>2068.0950289787702</v>
      </c>
      <c r="AK5683" s="2">
        <v>1355.7789148019699</v>
      </c>
      <c r="AL5683" s="2">
        <v>1703.5688104677799</v>
      </c>
      <c r="AM5683" s="2">
        <v>1821.8503627991099</v>
      </c>
      <c r="AN5683" s="2">
        <v>1800.43521832386</v>
      </c>
      <c r="AO5683" s="2">
        <v>1382.7925530058999</v>
      </c>
      <c r="AP5683" s="2">
        <v>1584.2264351866299</v>
      </c>
    </row>
    <row r="5684" spans="1:42" ht="14.5" x14ac:dyDescent="0.35">
      <c r="A5684" s="2" t="s">
        <v>37694</v>
      </c>
      <c r="B5684" s="2">
        <v>455.10088734331401</v>
      </c>
      <c r="C5684" s="2">
        <v>0.82825000000000004</v>
      </c>
      <c r="D5684" s="2" t="s">
        <v>34</v>
      </c>
      <c r="E5684" s="2" t="s">
        <v>37695</v>
      </c>
      <c r="F5684" s="2">
        <v>199345</v>
      </c>
      <c r="G5684" s="3" t="str">
        <f>HYPERLINK("http://funmeta.oebiotech.com/network/199345", "http://funmeta.oebiotech.com/network/199345")</f>
        <v>http://funmeta.oebiotech.com/network/199345</v>
      </c>
      <c r="H5684" s="2" t="s">
        <v>37696</v>
      </c>
      <c r="I5684" s="2"/>
      <c r="J5684" s="2"/>
      <c r="K5684" s="2"/>
      <c r="L5684" s="2"/>
      <c r="M5684" s="2"/>
      <c r="N5684" s="2"/>
      <c r="O5684" s="2">
        <v>10477896</v>
      </c>
      <c r="P5684" s="2"/>
      <c r="Q5684" s="2" t="s">
        <v>37697</v>
      </c>
      <c r="R5684" s="2" t="s">
        <v>37698</v>
      </c>
      <c r="S5684" s="2" t="s">
        <v>2811</v>
      </c>
      <c r="T5684" s="2" t="s">
        <v>17794</v>
      </c>
      <c r="U5684" s="2" t="s">
        <v>41</v>
      </c>
      <c r="V5684" s="2" t="s">
        <v>59</v>
      </c>
      <c r="W5684" s="2">
        <v>39.200000000000003</v>
      </c>
      <c r="X5684" s="2">
        <v>0</v>
      </c>
      <c r="Y5684" s="2" t="s">
        <v>323</v>
      </c>
      <c r="Z5684" s="2" t="s">
        <v>37699</v>
      </c>
      <c r="AA5684" s="2">
        <v>-1.3902449006519999</v>
      </c>
      <c r="AB5684" s="2">
        <v>6.8612899216967699E-2</v>
      </c>
      <c r="AC5684" s="2">
        <v>4875.3066096778102</v>
      </c>
      <c r="AD5684" s="2">
        <v>5646.6372467393103</v>
      </c>
      <c r="AE5684" s="2">
        <v>5128.2797575169998</v>
      </c>
      <c r="AF5684" s="2">
        <v>4701.3833770177998</v>
      </c>
      <c r="AG5684" s="2">
        <v>4019.8557365295401</v>
      </c>
      <c r="AH5684" s="2">
        <v>5649.8941542661196</v>
      </c>
      <c r="AI5684" s="2">
        <v>5619.9426404046199</v>
      </c>
      <c r="AJ5684" s="2">
        <v>4132.4839923317904</v>
      </c>
      <c r="AK5684" s="2">
        <v>4381.1010294417802</v>
      </c>
      <c r="AL5684" s="2">
        <v>5445.2143897944998</v>
      </c>
      <c r="AM5684" s="2">
        <v>6261.0123773750202</v>
      </c>
      <c r="AN5684" s="2">
        <v>6799.8399401765701</v>
      </c>
      <c r="AO5684" s="2">
        <v>4084.7352508496401</v>
      </c>
      <c r="AP5684" s="2">
        <v>6907.9204927983701</v>
      </c>
    </row>
    <row r="5685" spans="1:42" ht="14.5" x14ac:dyDescent="0.35">
      <c r="A5685" s="2" t="s">
        <v>37700</v>
      </c>
      <c r="B5685" s="2">
        <v>603.12642434740201</v>
      </c>
      <c r="C5685" s="2">
        <v>10.523999999999999</v>
      </c>
      <c r="D5685" s="2" t="s">
        <v>70</v>
      </c>
      <c r="E5685" s="2" t="s">
        <v>37701</v>
      </c>
      <c r="F5685" s="2">
        <v>204470</v>
      </c>
      <c r="G5685" s="3" t="str">
        <f>HYPERLINK("http://funmeta.oebiotech.com/network/204470", "http://funmeta.oebiotech.com/network/204470")</f>
        <v>http://funmeta.oebiotech.com/network/204470</v>
      </c>
      <c r="H5685" s="2" t="s">
        <v>37702</v>
      </c>
      <c r="I5685" s="2">
        <v>44275</v>
      </c>
      <c r="J5685" s="2"/>
      <c r="K5685" s="2">
        <v>51903</v>
      </c>
      <c r="L5685" s="2"/>
      <c r="M5685" s="2"/>
      <c r="N5685" s="2"/>
      <c r="O5685" s="2">
        <v>65079</v>
      </c>
      <c r="P5685" s="2" t="s">
        <v>37703</v>
      </c>
      <c r="Q5685" s="2" t="s">
        <v>37704</v>
      </c>
      <c r="R5685" s="2" t="s">
        <v>37705</v>
      </c>
      <c r="S5685" s="2" t="s">
        <v>89</v>
      </c>
      <c r="T5685" s="2" t="s">
        <v>90</v>
      </c>
      <c r="U5685" s="2" t="s">
        <v>469</v>
      </c>
      <c r="V5685" s="2" t="s">
        <v>59</v>
      </c>
      <c r="W5685" s="2">
        <v>38.799999999999997</v>
      </c>
      <c r="X5685" s="2">
        <v>0</v>
      </c>
      <c r="Y5685" s="2" t="s">
        <v>751</v>
      </c>
      <c r="Z5685" s="2" t="s">
        <v>37706</v>
      </c>
      <c r="AA5685" s="2">
        <v>1.2482163932089401</v>
      </c>
      <c r="AB5685" s="2">
        <v>6.8589660333055705E-2</v>
      </c>
      <c r="AC5685" s="2">
        <v>6173.0624023603496</v>
      </c>
      <c r="AD5685" s="2">
        <v>5425.3163540315099</v>
      </c>
      <c r="AE5685" s="2">
        <v>6816.1652219058296</v>
      </c>
      <c r="AF5685" s="2">
        <v>4931.2866079124096</v>
      </c>
      <c r="AG5685" s="2">
        <v>5422.2671420806601</v>
      </c>
      <c r="AH5685" s="2">
        <v>7658.7751431540901</v>
      </c>
      <c r="AI5685" s="2">
        <v>6546.3155476983602</v>
      </c>
      <c r="AJ5685" s="2">
        <v>5663.5647514107204</v>
      </c>
      <c r="AK5685" s="2">
        <v>5693.0146346396104</v>
      </c>
      <c r="AL5685" s="2">
        <v>4600.7621596073004</v>
      </c>
      <c r="AM5685" s="2">
        <v>4840.0340583833704</v>
      </c>
      <c r="AN5685" s="2">
        <v>5692.8546481490603</v>
      </c>
      <c r="AO5685" s="2">
        <v>6598.4611167783996</v>
      </c>
      <c r="AP5685" s="2">
        <v>5126.7715066312903</v>
      </c>
    </row>
    <row r="5686" spans="1:42" ht="14.5" x14ac:dyDescent="0.35">
      <c r="A5686" s="2" t="s">
        <v>37707</v>
      </c>
      <c r="B5686" s="2">
        <v>356.135237896962</v>
      </c>
      <c r="C5686" s="2">
        <v>1.4272166666666699</v>
      </c>
      <c r="D5686" s="2" t="s">
        <v>70</v>
      </c>
      <c r="E5686" s="2" t="s">
        <v>37708</v>
      </c>
      <c r="F5686" s="2">
        <v>277697</v>
      </c>
      <c r="G5686" s="3" t="str">
        <f>HYPERLINK("http://funmeta.oebiotech.com/network/277697", "http://funmeta.oebiotech.com/network/277697")</f>
        <v>http://funmeta.oebiotech.com/network/277697</v>
      </c>
      <c r="H5686" s="2"/>
      <c r="I5686" s="2">
        <v>69666</v>
      </c>
      <c r="J5686" s="2"/>
      <c r="K5686" s="2"/>
      <c r="L5686" s="2" t="s">
        <v>37709</v>
      </c>
      <c r="M5686" s="2"/>
      <c r="N5686" s="2"/>
      <c r="O5686" s="2">
        <v>5282253</v>
      </c>
      <c r="P5686" s="2" t="s">
        <v>37710</v>
      </c>
      <c r="Q5686" s="2" t="s">
        <v>37711</v>
      </c>
      <c r="R5686" s="2" t="s">
        <v>37712</v>
      </c>
      <c r="S5686" s="2" t="s">
        <v>89</v>
      </c>
      <c r="T5686" s="2" t="s">
        <v>90</v>
      </c>
      <c r="U5686" s="2" t="s">
        <v>99</v>
      </c>
      <c r="V5686" s="2" t="s">
        <v>59</v>
      </c>
      <c r="W5686" s="2">
        <v>38.799999999999997</v>
      </c>
      <c r="X5686" s="2">
        <v>0</v>
      </c>
      <c r="Y5686" s="2" t="s">
        <v>408</v>
      </c>
      <c r="Z5686" s="2" t="s">
        <v>37713</v>
      </c>
      <c r="AA5686" s="2">
        <v>0.47448996945702598</v>
      </c>
      <c r="AB5686" s="2">
        <v>6.8564458407050902E-2</v>
      </c>
      <c r="AC5686" s="2">
        <v>740.92114785302101</v>
      </c>
      <c r="AD5686" s="2">
        <v>354.40101941523699</v>
      </c>
      <c r="AE5686" s="2">
        <v>736.25637858024004</v>
      </c>
      <c r="AF5686" s="2">
        <v>899.696649481951</v>
      </c>
      <c r="AG5686" s="2">
        <v>614.370845506161</v>
      </c>
      <c r="AH5686" s="2">
        <v>729.53093581274902</v>
      </c>
      <c r="AI5686" s="2">
        <v>810.91071033230605</v>
      </c>
      <c r="AJ5686" s="2">
        <v>654.76136740471895</v>
      </c>
      <c r="AK5686" s="2">
        <v>251.92742544837799</v>
      </c>
      <c r="AL5686" s="2">
        <v>203.03907080253001</v>
      </c>
      <c r="AM5686" s="2">
        <v>244.74858174839201</v>
      </c>
      <c r="AN5686" s="2">
        <v>690.56929246641096</v>
      </c>
      <c r="AO5686" s="2">
        <v>493.62487149574298</v>
      </c>
      <c r="AP5686" s="2">
        <v>242.49687452996599</v>
      </c>
    </row>
    <row r="5687" spans="1:42" ht="14.5" x14ac:dyDescent="0.35">
      <c r="A5687" s="2" t="s">
        <v>37714</v>
      </c>
      <c r="B5687" s="2">
        <v>649.13188431074798</v>
      </c>
      <c r="C5687" s="2">
        <v>6.2923</v>
      </c>
      <c r="D5687" s="2" t="s">
        <v>70</v>
      </c>
      <c r="E5687" s="2" t="s">
        <v>37715</v>
      </c>
      <c r="F5687" s="2">
        <v>206635</v>
      </c>
      <c r="G5687" s="3" t="str">
        <f>HYPERLINK("http://funmeta.oebiotech.com/network/206635", "http://funmeta.oebiotech.com/network/206635")</f>
        <v>http://funmeta.oebiotech.com/network/206635</v>
      </c>
      <c r="H5687" s="2" t="s">
        <v>37716</v>
      </c>
      <c r="I5687" s="2"/>
      <c r="J5687" s="2"/>
      <c r="K5687" s="2"/>
      <c r="L5687" s="2"/>
      <c r="M5687" s="2"/>
      <c r="N5687" s="2"/>
      <c r="O5687" s="2">
        <v>16760419</v>
      </c>
      <c r="P5687" s="2"/>
      <c r="Q5687" s="2" t="s">
        <v>37717</v>
      </c>
      <c r="R5687" s="2" t="s">
        <v>37718</v>
      </c>
      <c r="S5687" s="2" t="s">
        <v>1184</v>
      </c>
      <c r="T5687" s="2" t="s">
        <v>14631</v>
      </c>
      <c r="U5687" s="2" t="s">
        <v>14632</v>
      </c>
      <c r="V5687" s="2" t="s">
        <v>59</v>
      </c>
      <c r="W5687" s="2">
        <v>39.1</v>
      </c>
      <c r="X5687" s="2">
        <v>0</v>
      </c>
      <c r="Y5687" s="2" t="s">
        <v>751</v>
      </c>
      <c r="Z5687" s="2" t="s">
        <v>37719</v>
      </c>
      <c r="AA5687" s="2">
        <v>-1.3412702061419399</v>
      </c>
      <c r="AB5687" s="2">
        <v>6.8498703636820896E-2</v>
      </c>
      <c r="AC5687" s="2">
        <v>11834.716651287999</v>
      </c>
      <c r="AD5687" s="2">
        <v>12773.400242005</v>
      </c>
      <c r="AE5687" s="2">
        <v>12818.142892727999</v>
      </c>
      <c r="AF5687" s="2">
        <v>9846.6557661941097</v>
      </c>
      <c r="AG5687" s="2">
        <v>10926.910805703799</v>
      </c>
      <c r="AH5687" s="2">
        <v>11512.225274299801</v>
      </c>
      <c r="AI5687" s="2">
        <v>13242.7265808671</v>
      </c>
      <c r="AJ5687" s="2">
        <v>12661.6385879349</v>
      </c>
      <c r="AK5687" s="2">
        <v>10450.6318805217</v>
      </c>
      <c r="AL5687" s="2">
        <v>12044.1270028374</v>
      </c>
      <c r="AM5687" s="2">
        <v>14764.7618169246</v>
      </c>
      <c r="AN5687" s="2">
        <v>11490.097422422201</v>
      </c>
      <c r="AO5687" s="2">
        <v>13336.1393207823</v>
      </c>
      <c r="AP5687" s="2">
        <v>14554.644008542</v>
      </c>
    </row>
    <row r="5688" spans="1:42" ht="14.5" x14ac:dyDescent="0.35">
      <c r="A5688" s="2" t="s">
        <v>37720</v>
      </c>
      <c r="B5688" s="2">
        <v>375.14338346696201</v>
      </c>
      <c r="C5688" s="2">
        <v>4.4289500000000004</v>
      </c>
      <c r="D5688" s="2" t="s">
        <v>34</v>
      </c>
      <c r="E5688" s="2" t="s">
        <v>37721</v>
      </c>
      <c r="F5688" s="2">
        <v>203679</v>
      </c>
      <c r="G5688" s="3" t="str">
        <f>HYPERLINK("http://funmeta.oebiotech.com/network/203679", "http://funmeta.oebiotech.com/network/203679")</f>
        <v>http://funmeta.oebiotech.com/network/203679</v>
      </c>
      <c r="H5688" s="2" t="s">
        <v>37722</v>
      </c>
      <c r="I5688" s="2"/>
      <c r="J5688" s="2"/>
      <c r="K5688" s="2"/>
      <c r="L5688" s="2"/>
      <c r="M5688" s="2"/>
      <c r="N5688" s="2"/>
      <c r="O5688" s="2">
        <v>353295</v>
      </c>
      <c r="P5688" s="2"/>
      <c r="Q5688" s="2" t="s">
        <v>37723</v>
      </c>
      <c r="R5688" s="2" t="s">
        <v>37724</v>
      </c>
      <c r="S5688" s="2" t="s">
        <v>89</v>
      </c>
      <c r="T5688" s="2" t="s">
        <v>90</v>
      </c>
      <c r="U5688" s="2" t="s">
        <v>99</v>
      </c>
      <c r="V5688" s="2" t="s">
        <v>59</v>
      </c>
      <c r="W5688" s="2">
        <v>38.299999999999997</v>
      </c>
      <c r="X5688" s="2">
        <v>0</v>
      </c>
      <c r="Y5688" s="2" t="s">
        <v>340</v>
      </c>
      <c r="Z5688" s="2" t="s">
        <v>37725</v>
      </c>
      <c r="AA5688" s="2">
        <v>1.39841806167941</v>
      </c>
      <c r="AB5688" s="2">
        <v>6.8496264316393093E-2</v>
      </c>
      <c r="AC5688" s="2">
        <v>28361.447545119601</v>
      </c>
      <c r="AD5688" s="2">
        <v>27065.0684306441</v>
      </c>
      <c r="AE5688" s="2">
        <v>25575.794903555499</v>
      </c>
      <c r="AF5688" s="2">
        <v>33102.350475854997</v>
      </c>
      <c r="AG5688" s="2">
        <v>27228.6682404286</v>
      </c>
      <c r="AH5688" s="2">
        <v>25824.841545089901</v>
      </c>
      <c r="AI5688" s="2">
        <v>28768.8087128855</v>
      </c>
      <c r="AJ5688" s="2">
        <v>29668.221392902899</v>
      </c>
      <c r="AK5688" s="2">
        <v>28635.118380534099</v>
      </c>
      <c r="AL5688" s="2">
        <v>26265.368843845899</v>
      </c>
      <c r="AM5688" s="2">
        <v>26094.0682442201</v>
      </c>
      <c r="AN5688" s="2">
        <v>30544.7949732546</v>
      </c>
      <c r="AO5688" s="2">
        <v>22076.408249251901</v>
      </c>
      <c r="AP5688" s="2">
        <v>28774.6518927578</v>
      </c>
    </row>
    <row r="5689" spans="1:42" ht="14.5" x14ac:dyDescent="0.35">
      <c r="A5689" s="2" t="s">
        <v>37726</v>
      </c>
      <c r="B5689" s="2">
        <v>268.09648179905503</v>
      </c>
      <c r="C5689" s="2">
        <v>7.9920499999999999</v>
      </c>
      <c r="D5689" s="2" t="s">
        <v>34</v>
      </c>
      <c r="E5689" s="2" t="s">
        <v>37727</v>
      </c>
      <c r="F5689" s="2">
        <v>47363</v>
      </c>
      <c r="G5689" s="3" t="str">
        <f>HYPERLINK("http://funmeta.oebiotech.com/network/47363", "http://funmeta.oebiotech.com/network/47363")</f>
        <v>http://funmeta.oebiotech.com/network/47363</v>
      </c>
      <c r="H5689" s="2" t="s">
        <v>37728</v>
      </c>
      <c r="I5689" s="2">
        <v>341113</v>
      </c>
      <c r="J5689" s="2"/>
      <c r="K5689" s="2">
        <v>17515</v>
      </c>
      <c r="L5689" s="2" t="s">
        <v>37729</v>
      </c>
      <c r="M5689" s="2" t="s">
        <v>37730</v>
      </c>
      <c r="N5689" s="2" t="s">
        <v>37731</v>
      </c>
      <c r="O5689" s="2">
        <v>123938</v>
      </c>
      <c r="P5689" s="2" t="s">
        <v>37732</v>
      </c>
      <c r="Q5689" s="2" t="s">
        <v>37733</v>
      </c>
      <c r="R5689" s="2" t="s">
        <v>37734</v>
      </c>
      <c r="S5689" s="2" t="s">
        <v>89</v>
      </c>
      <c r="T5689" s="2" t="s">
        <v>90</v>
      </c>
      <c r="U5689" s="2" t="s">
        <v>99</v>
      </c>
      <c r="V5689" s="2" t="s">
        <v>59</v>
      </c>
      <c r="W5689" s="2">
        <v>38.4</v>
      </c>
      <c r="X5689" s="2">
        <v>0</v>
      </c>
      <c r="Y5689" s="2" t="s">
        <v>43</v>
      </c>
      <c r="Z5689" s="2" t="s">
        <v>37735</v>
      </c>
      <c r="AA5689" s="2">
        <v>1.25453785604588</v>
      </c>
      <c r="AB5689" s="2">
        <v>6.8390731185590498E-2</v>
      </c>
      <c r="AC5689" s="2">
        <v>2181.2704790207299</v>
      </c>
      <c r="AD5689" s="2">
        <v>2632.3129335067802</v>
      </c>
      <c r="AE5689" s="2">
        <v>2396.23717023376</v>
      </c>
      <c r="AF5689" s="2">
        <v>2094.6720054452398</v>
      </c>
      <c r="AG5689" s="2">
        <v>1980.42688310274</v>
      </c>
      <c r="AH5689" s="2">
        <v>1950.3696087978601</v>
      </c>
      <c r="AI5689" s="2">
        <v>2371.4295789829798</v>
      </c>
      <c r="AJ5689" s="2">
        <v>2294.4876275618099</v>
      </c>
      <c r="AK5689" s="2">
        <v>2825.6617173608201</v>
      </c>
      <c r="AL5689" s="2">
        <v>2576.88132929517</v>
      </c>
      <c r="AM5689" s="2">
        <v>2507.5076208676601</v>
      </c>
      <c r="AN5689" s="2">
        <v>2093.7215142059999</v>
      </c>
      <c r="AO5689" s="2">
        <v>2781.8442960225798</v>
      </c>
      <c r="AP5689" s="2">
        <v>3008.2611232884701</v>
      </c>
    </row>
    <row r="5690" spans="1:42" ht="14.5" x14ac:dyDescent="0.35">
      <c r="A5690" s="2" t="s">
        <v>37736</v>
      </c>
      <c r="B5690" s="2">
        <v>149.096049938193</v>
      </c>
      <c r="C5690" s="2">
        <v>4.3632666666666697</v>
      </c>
      <c r="D5690" s="2" t="s">
        <v>34</v>
      </c>
      <c r="E5690" s="2" t="s">
        <v>37737</v>
      </c>
      <c r="F5690" s="2">
        <v>60663</v>
      </c>
      <c r="G5690" s="3" t="str">
        <f>HYPERLINK("http://funmeta.oebiotech.com/network/60663", "http://funmeta.oebiotech.com/network/60663")</f>
        <v>http://funmeta.oebiotech.com/network/60663</v>
      </c>
      <c r="H5690" s="2" t="s">
        <v>37738</v>
      </c>
      <c r="I5690" s="2">
        <v>91995</v>
      </c>
      <c r="J5690" s="2"/>
      <c r="K5690" s="2"/>
      <c r="L5690" s="2"/>
      <c r="M5690" s="2"/>
      <c r="N5690" s="2"/>
      <c r="O5690" s="2">
        <v>380816</v>
      </c>
      <c r="P5690" s="2" t="s">
        <v>37739</v>
      </c>
      <c r="Q5690" s="2" t="s">
        <v>37740</v>
      </c>
      <c r="R5690" s="2" t="s">
        <v>37741</v>
      </c>
      <c r="S5690" s="2" t="s">
        <v>50</v>
      </c>
      <c r="T5690" s="2" t="s">
        <v>201</v>
      </c>
      <c r="U5690" s="2" t="s">
        <v>265</v>
      </c>
      <c r="V5690" s="2" t="s">
        <v>42</v>
      </c>
      <c r="W5690" s="2">
        <v>50.4</v>
      </c>
      <c r="X5690" s="2">
        <v>54.8</v>
      </c>
      <c r="Y5690" s="2" t="s">
        <v>141</v>
      </c>
      <c r="Z5690" s="2" t="s">
        <v>18176</v>
      </c>
      <c r="AA5690" s="2">
        <v>-0.249849859805541</v>
      </c>
      <c r="AB5690" s="2">
        <v>6.8389349922069506E-2</v>
      </c>
      <c r="AC5690" s="2">
        <v>126386.341900946</v>
      </c>
      <c r="AD5690" s="2">
        <v>125117.12058670299</v>
      </c>
      <c r="AE5690" s="2">
        <v>124009.49472309899</v>
      </c>
      <c r="AF5690" s="2">
        <v>124239.019367095</v>
      </c>
      <c r="AG5690" s="2">
        <v>128166.726963714</v>
      </c>
      <c r="AH5690" s="2">
        <v>126056.533223177</v>
      </c>
      <c r="AI5690" s="2">
        <v>130801.64691909601</v>
      </c>
      <c r="AJ5690" s="2">
        <v>125044.630209493</v>
      </c>
      <c r="AK5690" s="2">
        <v>127309.773642022</v>
      </c>
      <c r="AL5690" s="2">
        <v>122559.38194840901</v>
      </c>
      <c r="AM5690" s="2">
        <v>128112.53468975901</v>
      </c>
      <c r="AN5690" s="2">
        <v>124933.170110347</v>
      </c>
      <c r="AO5690" s="2">
        <v>121537.861298263</v>
      </c>
      <c r="AP5690" s="2">
        <v>126250.001831417</v>
      </c>
    </row>
    <row r="5691" spans="1:42" ht="14.5" x14ac:dyDescent="0.35">
      <c r="A5691" s="2" t="s">
        <v>37742</v>
      </c>
      <c r="B5691" s="2">
        <v>257.17553909419001</v>
      </c>
      <c r="C5691" s="2">
        <v>6.3868666666666698</v>
      </c>
      <c r="D5691" s="2" t="s">
        <v>70</v>
      </c>
      <c r="E5691" s="2" t="s">
        <v>37743</v>
      </c>
      <c r="F5691" s="2">
        <v>257189</v>
      </c>
      <c r="G5691" s="3" t="str">
        <f>HYPERLINK("http://funmeta.oebiotech.com/network/257189", "http://funmeta.oebiotech.com/network/257189")</f>
        <v>http://funmeta.oebiotech.com/network/257189</v>
      </c>
      <c r="H5691" s="2" t="s">
        <v>37744</v>
      </c>
      <c r="I5691" s="2"/>
      <c r="J5691" s="2"/>
      <c r="K5691" s="2">
        <v>32362</v>
      </c>
      <c r="L5691" s="2"/>
      <c r="M5691" s="2"/>
      <c r="N5691" s="2"/>
      <c r="O5691" s="2">
        <v>93052</v>
      </c>
      <c r="P5691" s="2"/>
      <c r="Q5691" s="2" t="s">
        <v>37745</v>
      </c>
      <c r="R5691" s="2" t="s">
        <v>37746</v>
      </c>
      <c r="S5691" s="2" t="s">
        <v>50</v>
      </c>
      <c r="T5691" s="2" t="s">
        <v>229</v>
      </c>
      <c r="U5691" s="2" t="s">
        <v>433</v>
      </c>
      <c r="V5691" s="2" t="s">
        <v>59</v>
      </c>
      <c r="W5691" s="2">
        <v>39.4</v>
      </c>
      <c r="X5691" s="2">
        <v>0</v>
      </c>
      <c r="Y5691" s="2" t="s">
        <v>560</v>
      </c>
      <c r="Z5691" s="2" t="s">
        <v>37747</v>
      </c>
      <c r="AA5691" s="2">
        <v>-1.13789732532559</v>
      </c>
      <c r="AB5691" s="2">
        <v>6.8320576967107499E-2</v>
      </c>
      <c r="AC5691" s="2">
        <v>1759.7002339693399</v>
      </c>
      <c r="AD5691" s="2">
        <v>1344.1305073160599</v>
      </c>
      <c r="AE5691" s="2">
        <v>1694.4016023910899</v>
      </c>
      <c r="AF5691" s="2">
        <v>1586.4084964634001</v>
      </c>
      <c r="AG5691" s="2">
        <v>2214.37460619888</v>
      </c>
      <c r="AH5691" s="2">
        <v>1624.7010947501999</v>
      </c>
      <c r="AI5691" s="2">
        <v>1611.9535778586701</v>
      </c>
      <c r="AJ5691" s="2">
        <v>1826.3620261538099</v>
      </c>
      <c r="AK5691" s="2">
        <v>1187.95652256681</v>
      </c>
      <c r="AL5691" s="2">
        <v>1242.2191563638301</v>
      </c>
      <c r="AM5691" s="2">
        <v>1545.25536579807</v>
      </c>
      <c r="AN5691" s="2">
        <v>1440.09500555878</v>
      </c>
      <c r="AO5691" s="2">
        <v>1509.7096843947199</v>
      </c>
      <c r="AP5691" s="2">
        <v>1139.5473092141399</v>
      </c>
    </row>
    <row r="5692" spans="1:42" ht="14.5" x14ac:dyDescent="0.35">
      <c r="A5692" s="2" t="s">
        <v>37748</v>
      </c>
      <c r="B5692" s="2">
        <v>731.27568387339602</v>
      </c>
      <c r="C5692" s="2">
        <v>4.09636666666667</v>
      </c>
      <c r="D5692" s="2" t="s">
        <v>70</v>
      </c>
      <c r="E5692" s="2" t="s">
        <v>37749</v>
      </c>
      <c r="F5692" s="2">
        <v>6738</v>
      </c>
      <c r="G5692" s="3" t="str">
        <f>HYPERLINK("http://funmeta.oebiotech.com/network/6738", "http://funmeta.oebiotech.com/network/6738")</f>
        <v>http://funmeta.oebiotech.com/network/6738</v>
      </c>
      <c r="H5692" s="2"/>
      <c r="I5692" s="2"/>
      <c r="J5692" s="2" t="s">
        <v>37750</v>
      </c>
      <c r="K5692" s="2"/>
      <c r="L5692" s="2"/>
      <c r="M5692" s="2"/>
      <c r="N5692" s="2"/>
      <c r="O5692" s="2">
        <v>3035587</v>
      </c>
      <c r="P5692" s="2"/>
      <c r="Q5692" s="2" t="s">
        <v>37751</v>
      </c>
      <c r="R5692" s="2" t="s">
        <v>37752</v>
      </c>
      <c r="S5692" s="2" t="s">
        <v>2811</v>
      </c>
      <c r="T5692" s="2" t="s">
        <v>4889</v>
      </c>
      <c r="U5692" s="2" t="s">
        <v>41</v>
      </c>
      <c r="V5692" s="2" t="s">
        <v>59</v>
      </c>
      <c r="W5692" s="2">
        <v>39.299999999999997</v>
      </c>
      <c r="X5692" s="2">
        <v>0</v>
      </c>
      <c r="Y5692" s="2" t="s">
        <v>560</v>
      </c>
      <c r="Z5692" s="2" t="s">
        <v>37753</v>
      </c>
      <c r="AA5692" s="2">
        <v>-1.3204196185596699</v>
      </c>
      <c r="AB5692" s="2">
        <v>6.8268754545180596E-2</v>
      </c>
      <c r="AC5692" s="2">
        <v>7160.8782222731597</v>
      </c>
      <c r="AD5692" s="2">
        <v>6367.7054217965797</v>
      </c>
      <c r="AE5692" s="2">
        <v>5277.2529051408901</v>
      </c>
      <c r="AF5692" s="2">
        <v>8223.5914627850507</v>
      </c>
      <c r="AG5692" s="2">
        <v>6084.7056464993602</v>
      </c>
      <c r="AH5692" s="2">
        <v>8363.6690949066506</v>
      </c>
      <c r="AI5692" s="2">
        <v>7429.0173202923697</v>
      </c>
      <c r="AJ5692" s="2">
        <v>7587.0329040146498</v>
      </c>
      <c r="AK5692" s="2">
        <v>7164.6023841941897</v>
      </c>
      <c r="AL5692" s="2">
        <v>6127.0152086034504</v>
      </c>
      <c r="AM5692" s="2">
        <v>6157.6736217450598</v>
      </c>
      <c r="AN5692" s="2">
        <v>7408.0959393501798</v>
      </c>
      <c r="AO5692" s="2">
        <v>5432.3381554192802</v>
      </c>
      <c r="AP5692" s="2">
        <v>5916.50722146729</v>
      </c>
    </row>
    <row r="5693" spans="1:42" ht="14.5" x14ac:dyDescent="0.35">
      <c r="A5693" s="2" t="s">
        <v>37754</v>
      </c>
      <c r="B5693" s="2">
        <v>251.05461362276199</v>
      </c>
      <c r="C5693" s="2">
        <v>4.2251833333333302</v>
      </c>
      <c r="D5693" s="2" t="s">
        <v>34</v>
      </c>
      <c r="E5693" s="2" t="s">
        <v>37755</v>
      </c>
      <c r="F5693" s="2">
        <v>211457</v>
      </c>
      <c r="G5693" s="3" t="str">
        <f>HYPERLINK("http://funmeta.oebiotech.com/network/211457", "http://funmeta.oebiotech.com/network/211457")</f>
        <v>http://funmeta.oebiotech.com/network/211457</v>
      </c>
      <c r="H5693" s="2" t="s">
        <v>37756</v>
      </c>
      <c r="I5693" s="2"/>
      <c r="J5693" s="2"/>
      <c r="K5693" s="2"/>
      <c r="L5693" s="2"/>
      <c r="M5693" s="2"/>
      <c r="N5693" s="2"/>
      <c r="O5693" s="2">
        <v>22178470</v>
      </c>
      <c r="P5693" s="2"/>
      <c r="Q5693" s="2" t="s">
        <v>37757</v>
      </c>
      <c r="R5693" s="2" t="s">
        <v>37758</v>
      </c>
      <c r="S5693" s="2" t="s">
        <v>41</v>
      </c>
      <c r="T5693" s="2" t="s">
        <v>41</v>
      </c>
      <c r="U5693" s="2" t="s">
        <v>41</v>
      </c>
      <c r="V5693" s="2" t="s">
        <v>59</v>
      </c>
      <c r="W5693" s="2">
        <v>39</v>
      </c>
      <c r="X5693" s="2">
        <v>0</v>
      </c>
      <c r="Y5693" s="2" t="s">
        <v>394</v>
      </c>
      <c r="Z5693" s="2" t="s">
        <v>37759</v>
      </c>
      <c r="AA5693" s="2">
        <v>-1.60308308158216</v>
      </c>
      <c r="AB5693" s="2">
        <v>6.8257479962776604E-2</v>
      </c>
      <c r="AC5693" s="2">
        <v>2111.0579798208701</v>
      </c>
      <c r="AD5693" s="2">
        <v>1590.24056726035</v>
      </c>
      <c r="AE5693" s="2">
        <v>2071.8348150522102</v>
      </c>
      <c r="AF5693" s="2">
        <v>1586.12250341546</v>
      </c>
      <c r="AG5693" s="2">
        <v>1927.84279776176</v>
      </c>
      <c r="AH5693" s="2">
        <v>2540.2210135495202</v>
      </c>
      <c r="AI5693" s="2">
        <v>2517.3824247996199</v>
      </c>
      <c r="AJ5693" s="2">
        <v>2022.9443243466301</v>
      </c>
      <c r="AK5693" s="2">
        <v>932.76502976120003</v>
      </c>
      <c r="AL5693" s="2">
        <v>1522.4811279282801</v>
      </c>
      <c r="AM5693" s="2">
        <v>1794.1597497442101</v>
      </c>
      <c r="AN5693" s="2">
        <v>1415.0138865046599</v>
      </c>
      <c r="AO5693" s="2">
        <v>1778.9789098752999</v>
      </c>
      <c r="AP5693" s="2">
        <v>2098.0446997484601</v>
      </c>
    </row>
    <row r="5694" spans="1:42" ht="14.5" x14ac:dyDescent="0.35">
      <c r="A5694" s="2" t="s">
        <v>37760</v>
      </c>
      <c r="B5694" s="2">
        <v>619.24062351974601</v>
      </c>
      <c r="C5694" s="2">
        <v>4.5236333333333301</v>
      </c>
      <c r="D5694" s="2" t="s">
        <v>70</v>
      </c>
      <c r="E5694" s="2" t="s">
        <v>37761</v>
      </c>
      <c r="F5694" s="2">
        <v>58180</v>
      </c>
      <c r="G5694" s="3" t="str">
        <f>HYPERLINK("http://funmeta.oebiotech.com/network/58180", "http://funmeta.oebiotech.com/network/58180")</f>
        <v>http://funmeta.oebiotech.com/network/58180</v>
      </c>
      <c r="H5694" s="2" t="s">
        <v>37762</v>
      </c>
      <c r="I5694" s="2"/>
      <c r="J5694" s="2"/>
      <c r="K5694" s="2"/>
      <c r="L5694" s="2"/>
      <c r="M5694" s="2"/>
      <c r="N5694" s="2"/>
      <c r="O5694" s="2">
        <v>131751523</v>
      </c>
      <c r="P5694" s="2" t="s">
        <v>37763</v>
      </c>
      <c r="Q5694" s="2" t="s">
        <v>37764</v>
      </c>
      <c r="R5694" s="2" t="s">
        <v>37765</v>
      </c>
      <c r="S5694" s="2" t="s">
        <v>491</v>
      </c>
      <c r="T5694" s="2" t="s">
        <v>2251</v>
      </c>
      <c r="U5694" s="2" t="s">
        <v>2252</v>
      </c>
      <c r="V5694" s="2" t="s">
        <v>59</v>
      </c>
      <c r="W5694" s="2">
        <v>37.4</v>
      </c>
      <c r="X5694" s="2">
        <v>0</v>
      </c>
      <c r="Y5694" s="2" t="s">
        <v>408</v>
      </c>
      <c r="Z5694" s="2" t="s">
        <v>3006</v>
      </c>
      <c r="AA5694" s="2">
        <v>1.75643188522308</v>
      </c>
      <c r="AB5694" s="2">
        <v>6.8182239265140901E-2</v>
      </c>
      <c r="AC5694" s="2">
        <v>6160.6834106751203</v>
      </c>
      <c r="AD5694" s="2">
        <v>5255.0015753109301</v>
      </c>
      <c r="AE5694" s="2">
        <v>7313.8534068875897</v>
      </c>
      <c r="AF5694" s="2">
        <v>6663.29123117586</v>
      </c>
      <c r="AG5694" s="2">
        <v>5790.0064765545903</v>
      </c>
      <c r="AH5694" s="2">
        <v>6099.7147576463803</v>
      </c>
      <c r="AI5694" s="2">
        <v>6077.4419035709398</v>
      </c>
      <c r="AJ5694" s="2">
        <v>5019.7926882153897</v>
      </c>
      <c r="AK5694" s="2">
        <v>7081.7591473647499</v>
      </c>
      <c r="AL5694" s="2">
        <v>5297.5030171001899</v>
      </c>
      <c r="AM5694" s="2">
        <v>4197.65201467929</v>
      </c>
      <c r="AN5694" s="2">
        <v>6564.5495311782597</v>
      </c>
      <c r="AO5694" s="2">
        <v>6166.4102868727696</v>
      </c>
      <c r="AP5694" s="2">
        <v>2222.1354546703101</v>
      </c>
    </row>
    <row r="5695" spans="1:42" ht="14.5" x14ac:dyDescent="0.35">
      <c r="A5695" s="2" t="s">
        <v>37766</v>
      </c>
      <c r="B5695" s="2">
        <v>321.13262699546499</v>
      </c>
      <c r="C5695" s="2">
        <v>4.3791333333333302</v>
      </c>
      <c r="D5695" s="2" t="s">
        <v>34</v>
      </c>
      <c r="E5695" s="2" t="s">
        <v>37767</v>
      </c>
      <c r="F5695" s="2">
        <v>209542</v>
      </c>
      <c r="G5695" s="3" t="str">
        <f>HYPERLINK("http://funmeta.oebiotech.com/network/209542", "http://funmeta.oebiotech.com/network/209542")</f>
        <v>http://funmeta.oebiotech.com/network/209542</v>
      </c>
      <c r="H5695" s="2" t="s">
        <v>37768</v>
      </c>
      <c r="I5695" s="2"/>
      <c r="J5695" s="2"/>
      <c r="K5695" s="2"/>
      <c r="L5695" s="2"/>
      <c r="M5695" s="2"/>
      <c r="N5695" s="2"/>
      <c r="O5695" s="2">
        <v>4472</v>
      </c>
      <c r="P5695" s="2"/>
      <c r="Q5695" s="2" t="s">
        <v>37769</v>
      </c>
      <c r="R5695" s="2" t="s">
        <v>37770</v>
      </c>
      <c r="S5695" s="2" t="s">
        <v>491</v>
      </c>
      <c r="T5695" s="2" t="s">
        <v>2238</v>
      </c>
      <c r="U5695" s="2" t="s">
        <v>15117</v>
      </c>
      <c r="V5695" s="2" t="s">
        <v>59</v>
      </c>
      <c r="W5695" s="2">
        <v>38.1</v>
      </c>
      <c r="X5695" s="2">
        <v>0</v>
      </c>
      <c r="Y5695" s="2" t="s">
        <v>323</v>
      </c>
      <c r="Z5695" s="2" t="s">
        <v>37771</v>
      </c>
      <c r="AA5695" s="2">
        <v>1.44387062694096</v>
      </c>
      <c r="AB5695" s="2">
        <v>6.8143182523173501E-2</v>
      </c>
      <c r="AC5695" s="2">
        <v>2765.9177854682298</v>
      </c>
      <c r="AD5695" s="2">
        <v>3391.2616052328699</v>
      </c>
      <c r="AE5695" s="2">
        <v>2631.62225484994</v>
      </c>
      <c r="AF5695" s="2">
        <v>3179.3759225866402</v>
      </c>
      <c r="AG5695" s="2">
        <v>2378.8911650653199</v>
      </c>
      <c r="AH5695" s="2">
        <v>2498.8455752566401</v>
      </c>
      <c r="AI5695" s="2">
        <v>3095.0396292891701</v>
      </c>
      <c r="AJ5695" s="2">
        <v>2811.7321657616599</v>
      </c>
      <c r="AK5695" s="2">
        <v>4953.5144496100202</v>
      </c>
      <c r="AL5695" s="2">
        <v>2647.6084262201298</v>
      </c>
      <c r="AM5695" s="2">
        <v>3268.3146319427701</v>
      </c>
      <c r="AN5695" s="2">
        <v>3402.7766947383002</v>
      </c>
      <c r="AO5695" s="2">
        <v>2874.2698696228899</v>
      </c>
      <c r="AP5695" s="2">
        <v>3201.0855592631001</v>
      </c>
    </row>
    <row r="5696" spans="1:42" ht="14.5" x14ac:dyDescent="0.35">
      <c r="A5696" s="2" t="s">
        <v>37772</v>
      </c>
      <c r="B5696" s="2">
        <v>204.086539308467</v>
      </c>
      <c r="C5696" s="2">
        <v>0.73473333333333302</v>
      </c>
      <c r="D5696" s="2" t="s">
        <v>34</v>
      </c>
      <c r="E5696" s="2" t="s">
        <v>37773</v>
      </c>
      <c r="F5696" s="2">
        <v>209321</v>
      </c>
      <c r="G5696" s="3" t="str">
        <f>HYPERLINK("http://funmeta.oebiotech.com/network/209321", "http://funmeta.oebiotech.com/network/209321")</f>
        <v>http://funmeta.oebiotech.com/network/209321</v>
      </c>
      <c r="H5696" s="2" t="s">
        <v>37774</v>
      </c>
      <c r="I5696" s="2"/>
      <c r="J5696" s="2"/>
      <c r="K5696" s="2"/>
      <c r="L5696" s="2"/>
      <c r="M5696" s="2"/>
      <c r="N5696" s="2"/>
      <c r="O5696" s="2">
        <v>76090650</v>
      </c>
      <c r="P5696" s="2"/>
      <c r="Q5696" s="2" t="s">
        <v>37775</v>
      </c>
      <c r="R5696" s="2" t="s">
        <v>37776</v>
      </c>
      <c r="S5696" s="2" t="s">
        <v>41</v>
      </c>
      <c r="T5696" s="2" t="s">
        <v>41</v>
      </c>
      <c r="U5696" s="2" t="s">
        <v>41</v>
      </c>
      <c r="V5696" s="2" t="s">
        <v>42</v>
      </c>
      <c r="W5696" s="2">
        <v>49.5</v>
      </c>
      <c r="X5696" s="2">
        <v>54.3</v>
      </c>
      <c r="Y5696" s="2" t="s">
        <v>266</v>
      </c>
      <c r="Z5696" s="2" t="s">
        <v>26008</v>
      </c>
      <c r="AA5696" s="2">
        <v>-0.49592823630555899</v>
      </c>
      <c r="AB5696" s="2">
        <v>6.8123734061677502E-2</v>
      </c>
      <c r="AC5696" s="2">
        <v>158555.95490599601</v>
      </c>
      <c r="AD5696" s="2">
        <v>156622.83397335201</v>
      </c>
      <c r="AE5696" s="2">
        <v>155179.55325352499</v>
      </c>
      <c r="AF5696" s="2">
        <v>155417.49859936899</v>
      </c>
      <c r="AG5696" s="2">
        <v>165156.523968083</v>
      </c>
      <c r="AH5696" s="2">
        <v>157695.04093531499</v>
      </c>
      <c r="AI5696" s="2">
        <v>160284.15070911599</v>
      </c>
      <c r="AJ5696" s="2">
        <v>157602.961970567</v>
      </c>
      <c r="AK5696" s="2">
        <v>150782.23441743499</v>
      </c>
      <c r="AL5696" s="2">
        <v>154727.68291048901</v>
      </c>
      <c r="AM5696" s="2">
        <v>164271.56787277301</v>
      </c>
      <c r="AN5696" s="2">
        <v>156864.06573025399</v>
      </c>
      <c r="AO5696" s="2">
        <v>167498.11351570001</v>
      </c>
      <c r="AP5696" s="2">
        <v>145593.33939345999</v>
      </c>
    </row>
    <row r="5697" spans="1:42" ht="14.5" x14ac:dyDescent="0.35">
      <c r="A5697" s="2" t="s">
        <v>37777</v>
      </c>
      <c r="B5697" s="2">
        <v>487.08585024072499</v>
      </c>
      <c r="C5697" s="2">
        <v>3.9694833333333301</v>
      </c>
      <c r="D5697" s="2" t="s">
        <v>70</v>
      </c>
      <c r="E5697" s="2" t="s">
        <v>37778</v>
      </c>
      <c r="F5697" s="2">
        <v>28911</v>
      </c>
      <c r="G5697" s="3" t="str">
        <f>HYPERLINK("http://funmeta.oebiotech.com/network/28911", "http://funmeta.oebiotech.com/network/28911")</f>
        <v>http://funmeta.oebiotech.com/network/28911</v>
      </c>
      <c r="H5697" s="2" t="s">
        <v>37779</v>
      </c>
      <c r="I5697" s="2">
        <v>47307</v>
      </c>
      <c r="J5697" s="2" t="s">
        <v>37780</v>
      </c>
      <c r="K5697" s="2">
        <v>76131</v>
      </c>
      <c r="L5697" s="2"/>
      <c r="M5697" s="2"/>
      <c r="N5697" s="2"/>
      <c r="O5697" s="2">
        <v>6419835</v>
      </c>
      <c r="P5697" s="2" t="s">
        <v>37781</v>
      </c>
      <c r="Q5697" s="2" t="s">
        <v>37782</v>
      </c>
      <c r="R5697" s="2" t="s">
        <v>37783</v>
      </c>
      <c r="S5697" s="2" t="s">
        <v>115</v>
      </c>
      <c r="T5697" s="2" t="s">
        <v>139</v>
      </c>
      <c r="U5697" s="2" t="s">
        <v>1437</v>
      </c>
      <c r="V5697" s="2" t="s">
        <v>59</v>
      </c>
      <c r="W5697" s="2">
        <v>36.5</v>
      </c>
      <c r="X5697" s="2">
        <v>0</v>
      </c>
      <c r="Y5697" s="2" t="s">
        <v>408</v>
      </c>
      <c r="Z5697" s="2" t="s">
        <v>37784</v>
      </c>
      <c r="AA5697" s="2">
        <v>-5.3143073867332102</v>
      </c>
      <c r="AB5697" s="2">
        <v>6.8113695300594607E-2</v>
      </c>
      <c r="AC5697" s="2">
        <v>4264.0679805268801</v>
      </c>
      <c r="AD5697" s="2">
        <v>4991.8684678248801</v>
      </c>
      <c r="AE5697" s="2">
        <v>4575.1004740859998</v>
      </c>
      <c r="AF5697" s="2">
        <v>4273.685991929</v>
      </c>
      <c r="AG5697" s="2">
        <v>3610.9744806004601</v>
      </c>
      <c r="AH5697" s="2">
        <v>3462.8669545703901</v>
      </c>
      <c r="AI5697" s="2">
        <v>5146.4503135682799</v>
      </c>
      <c r="AJ5697" s="2">
        <v>4515.3296684071502</v>
      </c>
      <c r="AK5697" s="2">
        <v>4789.05072176249</v>
      </c>
      <c r="AL5697" s="2">
        <v>4048.1285129325902</v>
      </c>
      <c r="AM5697" s="2">
        <v>7161.78433750568</v>
      </c>
      <c r="AN5697" s="2">
        <v>4604.5092286139698</v>
      </c>
      <c r="AO5697" s="2">
        <v>4676.3251038576</v>
      </c>
      <c r="AP5697" s="2">
        <v>4671.4129022769803</v>
      </c>
    </row>
    <row r="5698" spans="1:42" ht="14.5" x14ac:dyDescent="0.35">
      <c r="A5698" s="2" t="s">
        <v>37785</v>
      </c>
      <c r="B5698" s="2">
        <v>269.189804331012</v>
      </c>
      <c r="C5698" s="2">
        <v>4.0024166666666696</v>
      </c>
      <c r="D5698" s="2" t="s">
        <v>34</v>
      </c>
      <c r="E5698" s="2" t="s">
        <v>37786</v>
      </c>
      <c r="F5698" s="2">
        <v>2336</v>
      </c>
      <c r="G5698" s="3" t="str">
        <f>HYPERLINK("http://funmeta.oebiotech.com/network/2336", "http://funmeta.oebiotech.com/network/2336")</f>
        <v>http://funmeta.oebiotech.com/network/2336</v>
      </c>
      <c r="H5698" s="2"/>
      <c r="I5698" s="2">
        <v>96779</v>
      </c>
      <c r="J5698" s="2" t="s">
        <v>37787</v>
      </c>
      <c r="K5698" s="2"/>
      <c r="L5698" s="2"/>
      <c r="M5698" s="2"/>
      <c r="N5698" s="2"/>
      <c r="O5698" s="2">
        <v>19047214</v>
      </c>
      <c r="P5698" s="2"/>
      <c r="Q5698" s="2" t="s">
        <v>37788</v>
      </c>
      <c r="R5698" s="2" t="s">
        <v>37789</v>
      </c>
      <c r="S5698" s="2" t="s">
        <v>50</v>
      </c>
      <c r="T5698" s="2" t="s">
        <v>229</v>
      </c>
      <c r="U5698" s="2" t="s">
        <v>433</v>
      </c>
      <c r="V5698" s="2" t="s">
        <v>59</v>
      </c>
      <c r="W5698" s="2">
        <v>38.700000000000003</v>
      </c>
      <c r="X5698" s="2">
        <v>0</v>
      </c>
      <c r="Y5698" s="2" t="s">
        <v>323</v>
      </c>
      <c r="Z5698" s="2" t="s">
        <v>37790</v>
      </c>
      <c r="AA5698" s="2">
        <v>4.3677016612584803</v>
      </c>
      <c r="AB5698" s="2">
        <v>6.8062456943256605E-2</v>
      </c>
      <c r="AC5698" s="2">
        <v>3843.3059145897</v>
      </c>
      <c r="AD5698" s="2">
        <v>3328.7822587041201</v>
      </c>
      <c r="AE5698" s="2">
        <v>3041.7787611414601</v>
      </c>
      <c r="AF5698" s="2">
        <v>3825.01377067671</v>
      </c>
      <c r="AG5698" s="2">
        <v>4157.6450264632904</v>
      </c>
      <c r="AH5698" s="2">
        <v>3614.57721528197</v>
      </c>
      <c r="AI5698" s="2">
        <v>3793.71768639842</v>
      </c>
      <c r="AJ5698" s="2">
        <v>4627.1030275763696</v>
      </c>
      <c r="AK5698" s="2">
        <v>3391.7783947421699</v>
      </c>
      <c r="AL5698" s="2">
        <v>3445.79373196714</v>
      </c>
      <c r="AM5698" s="2">
        <v>3252.3302911616802</v>
      </c>
      <c r="AN5698" s="2">
        <v>3456.9382867722102</v>
      </c>
      <c r="AO5698" s="2">
        <v>3152.5812218941101</v>
      </c>
      <c r="AP5698" s="2">
        <v>3273.27162568739</v>
      </c>
    </row>
    <row r="5699" spans="1:42" ht="14.5" x14ac:dyDescent="0.35">
      <c r="A5699" s="2" t="s">
        <v>37791</v>
      </c>
      <c r="B5699" s="2">
        <v>223.09447327985299</v>
      </c>
      <c r="C5699" s="2">
        <v>5.8791000000000002</v>
      </c>
      <c r="D5699" s="2" t="s">
        <v>70</v>
      </c>
      <c r="E5699" s="2" t="s">
        <v>37792</v>
      </c>
      <c r="F5699" s="2">
        <v>202284</v>
      </c>
      <c r="G5699" s="3" t="str">
        <f>HYPERLINK("http://funmeta.oebiotech.com/network/202284", "http://funmeta.oebiotech.com/network/202284")</f>
        <v>http://funmeta.oebiotech.com/network/202284</v>
      </c>
      <c r="H5699" s="2" t="s">
        <v>37793</v>
      </c>
      <c r="I5699" s="2">
        <v>316920</v>
      </c>
      <c r="J5699" s="2"/>
      <c r="K5699" s="2"/>
      <c r="L5699" s="2"/>
      <c r="M5699" s="2"/>
      <c r="N5699" s="2"/>
      <c r="O5699" s="2">
        <v>94588</v>
      </c>
      <c r="P5699" s="2"/>
      <c r="Q5699" s="2" t="s">
        <v>37794</v>
      </c>
      <c r="R5699" s="2" t="s">
        <v>37795</v>
      </c>
      <c r="S5699" s="2" t="s">
        <v>41</v>
      </c>
      <c r="T5699" s="2" t="s">
        <v>41</v>
      </c>
      <c r="U5699" s="2" t="s">
        <v>41</v>
      </c>
      <c r="V5699" s="2" t="s">
        <v>59</v>
      </c>
      <c r="W5699" s="2">
        <v>38.5</v>
      </c>
      <c r="X5699" s="2">
        <v>0</v>
      </c>
      <c r="Y5699" s="2" t="s">
        <v>118</v>
      </c>
      <c r="Z5699" s="2" t="s">
        <v>37796</v>
      </c>
      <c r="AA5699" s="2">
        <v>-1.8917304559988699</v>
      </c>
      <c r="AB5699" s="2">
        <v>6.8032463645118196E-2</v>
      </c>
      <c r="AC5699" s="2">
        <v>705.68236717677905</v>
      </c>
      <c r="AD5699" s="2">
        <v>1162.8025913270001</v>
      </c>
      <c r="AE5699" s="2">
        <v>643.64734422711695</v>
      </c>
      <c r="AF5699" s="2">
        <v>937.713230703411</v>
      </c>
      <c r="AG5699" s="2">
        <v>794.40249042247206</v>
      </c>
      <c r="AH5699" s="2">
        <v>484.69783357711702</v>
      </c>
      <c r="AI5699" s="2">
        <v>794.84758323442702</v>
      </c>
      <c r="AJ5699" s="2">
        <v>578.78572089612805</v>
      </c>
      <c r="AK5699" s="2">
        <v>814.86260981377097</v>
      </c>
      <c r="AL5699" s="2">
        <v>1584.54448281807</v>
      </c>
      <c r="AM5699" s="2">
        <v>1450.0073358406401</v>
      </c>
      <c r="AN5699" s="2">
        <v>984.37258923129696</v>
      </c>
      <c r="AO5699" s="2">
        <v>1403.5971314820199</v>
      </c>
      <c r="AP5699" s="2">
        <v>739.43139877619797</v>
      </c>
    </row>
    <row r="5700" spans="1:42" ht="14.5" x14ac:dyDescent="0.35">
      <c r="A5700" s="2" t="s">
        <v>37797</v>
      </c>
      <c r="B5700" s="2">
        <v>805.505117068608</v>
      </c>
      <c r="C5700" s="2">
        <v>14.215916666666701</v>
      </c>
      <c r="D5700" s="2" t="s">
        <v>34</v>
      </c>
      <c r="E5700" s="2" t="s">
        <v>37798</v>
      </c>
      <c r="F5700" s="2">
        <v>217994</v>
      </c>
      <c r="G5700" s="3" t="str">
        <f>HYPERLINK("http://funmeta.oebiotech.com/network/217994", "http://funmeta.oebiotech.com/network/217994")</f>
        <v>http://funmeta.oebiotech.com/network/217994</v>
      </c>
      <c r="H5700" s="2" t="s">
        <v>37799</v>
      </c>
      <c r="I5700" s="2"/>
      <c r="J5700" s="2"/>
      <c r="K5700" s="2"/>
      <c r="L5700" s="2"/>
      <c r="M5700" s="2"/>
      <c r="N5700" s="2"/>
      <c r="O5700" s="2"/>
      <c r="P5700" s="2"/>
      <c r="Q5700" s="2" t="s">
        <v>37800</v>
      </c>
      <c r="R5700" s="2" t="s">
        <v>37801</v>
      </c>
      <c r="S5700" s="2" t="s">
        <v>41</v>
      </c>
      <c r="T5700" s="2" t="s">
        <v>41</v>
      </c>
      <c r="U5700" s="2" t="s">
        <v>41</v>
      </c>
      <c r="V5700" s="2" t="s">
        <v>59</v>
      </c>
      <c r="W5700" s="2">
        <v>36.5</v>
      </c>
      <c r="X5700" s="2">
        <v>0</v>
      </c>
      <c r="Y5700" s="2" t="s">
        <v>394</v>
      </c>
      <c r="Z5700" s="2" t="s">
        <v>37802</v>
      </c>
      <c r="AA5700" s="2">
        <v>4.6059626002581702</v>
      </c>
      <c r="AB5700" s="2">
        <v>6.7872672849268303E-2</v>
      </c>
      <c r="AC5700" s="2">
        <v>7488.1280522295301</v>
      </c>
      <c r="AD5700" s="2">
        <v>6838.3029388476898</v>
      </c>
      <c r="AE5700" s="2">
        <v>7729.3029407906597</v>
      </c>
      <c r="AF5700" s="2">
        <v>6702.3206421029099</v>
      </c>
      <c r="AG5700" s="2">
        <v>7130.7099083027897</v>
      </c>
      <c r="AH5700" s="2">
        <v>6894.63816028578</v>
      </c>
      <c r="AI5700" s="2">
        <v>7398.8163298277404</v>
      </c>
      <c r="AJ5700" s="2">
        <v>9072.9803320673</v>
      </c>
      <c r="AK5700" s="2">
        <v>7307.18420008258</v>
      </c>
      <c r="AL5700" s="2">
        <v>6321.7079707183902</v>
      </c>
      <c r="AM5700" s="2">
        <v>6783.2840597124496</v>
      </c>
      <c r="AN5700" s="2">
        <v>6474.6859651390496</v>
      </c>
      <c r="AO5700" s="2">
        <v>6787.7485404614099</v>
      </c>
      <c r="AP5700" s="2">
        <v>7355.2068969722504</v>
      </c>
    </row>
    <row r="5701" spans="1:42" ht="14.5" x14ac:dyDescent="0.35">
      <c r="A5701" s="2" t="s">
        <v>37803</v>
      </c>
      <c r="B5701" s="2">
        <v>431.17086173688199</v>
      </c>
      <c r="C5701" s="2">
        <v>8.8018000000000001</v>
      </c>
      <c r="D5701" s="2" t="s">
        <v>70</v>
      </c>
      <c r="E5701" s="2" t="s">
        <v>37804</v>
      </c>
      <c r="F5701" s="2">
        <v>299634</v>
      </c>
      <c r="G5701" s="3" t="str">
        <f>HYPERLINK("http://funmeta.oebiotech.com/network/299634", "http://funmeta.oebiotech.com/network/299634")</f>
        <v>http://funmeta.oebiotech.com/network/299634</v>
      </c>
      <c r="H5701" s="2"/>
      <c r="I5701" s="2">
        <v>324728</v>
      </c>
      <c r="J5701" s="2"/>
      <c r="K5701" s="2"/>
      <c r="L5701" s="2"/>
      <c r="M5701" s="2"/>
      <c r="N5701" s="2"/>
      <c r="O5701" s="2">
        <v>9821547</v>
      </c>
      <c r="P5701" s="2"/>
      <c r="Q5701" s="2" t="s">
        <v>37805</v>
      </c>
      <c r="R5701" s="2" t="s">
        <v>37806</v>
      </c>
      <c r="S5701" s="2" t="s">
        <v>148</v>
      </c>
      <c r="T5701" s="2" t="s">
        <v>149</v>
      </c>
      <c r="U5701" s="2" t="s">
        <v>21041</v>
      </c>
      <c r="V5701" s="2" t="s">
        <v>59</v>
      </c>
      <c r="W5701" s="2">
        <v>38.700000000000003</v>
      </c>
      <c r="X5701" s="2">
        <v>0</v>
      </c>
      <c r="Y5701" s="2" t="s">
        <v>408</v>
      </c>
      <c r="Z5701" s="2" t="s">
        <v>9072</v>
      </c>
      <c r="AA5701" s="2">
        <v>-0.72424623851979797</v>
      </c>
      <c r="AB5701" s="2">
        <v>6.7763307896885505E-2</v>
      </c>
      <c r="AC5701" s="2">
        <v>7644.2033738855598</v>
      </c>
      <c r="AD5701" s="2">
        <v>9273.5689407625105</v>
      </c>
      <c r="AE5701" s="2">
        <v>9734.0297951412795</v>
      </c>
      <c r="AF5701" s="2">
        <v>6302.8448333184197</v>
      </c>
      <c r="AG5701" s="2">
        <v>7098.8835442742502</v>
      </c>
      <c r="AH5701" s="2">
        <v>7068.5681654808404</v>
      </c>
      <c r="AI5701" s="2">
        <v>9374.9563957807695</v>
      </c>
      <c r="AJ5701" s="2">
        <v>6285.9375093178096</v>
      </c>
      <c r="AK5701" s="2">
        <v>5036.1524652110402</v>
      </c>
      <c r="AL5701" s="2">
        <v>21359.5534019398</v>
      </c>
      <c r="AM5701" s="2">
        <v>9741.2787315736605</v>
      </c>
      <c r="AN5701" s="2">
        <v>9589.8126288850708</v>
      </c>
      <c r="AO5701" s="2">
        <v>6749.6774278932398</v>
      </c>
      <c r="AP5701" s="2">
        <v>3164.93898907222</v>
      </c>
    </row>
    <row r="5702" spans="1:42" ht="14.5" x14ac:dyDescent="0.35">
      <c r="A5702" s="2" t="s">
        <v>37807</v>
      </c>
      <c r="B5702" s="2">
        <v>171.06544773605401</v>
      </c>
      <c r="C5702" s="2">
        <v>3.56836666666667</v>
      </c>
      <c r="D5702" s="2" t="s">
        <v>34</v>
      </c>
      <c r="E5702" s="2" t="s">
        <v>37808</v>
      </c>
      <c r="F5702" s="2">
        <v>52458</v>
      </c>
      <c r="G5702" s="3" t="str">
        <f>HYPERLINK("http://funmeta.oebiotech.com/network/52458", "http://funmeta.oebiotech.com/network/52458")</f>
        <v>http://funmeta.oebiotech.com/network/52458</v>
      </c>
      <c r="H5702" s="2" t="s">
        <v>37809</v>
      </c>
      <c r="I5702" s="2"/>
      <c r="J5702" s="2"/>
      <c r="K5702" s="2">
        <v>89185</v>
      </c>
      <c r="L5702" s="2"/>
      <c r="M5702" s="2"/>
      <c r="N5702" s="2"/>
      <c r="O5702" s="2"/>
      <c r="P5702" s="2" t="s">
        <v>37810</v>
      </c>
      <c r="Q5702" s="2" t="s">
        <v>37811</v>
      </c>
      <c r="R5702" s="2" t="s">
        <v>37812</v>
      </c>
      <c r="S5702" s="2" t="s">
        <v>25629</v>
      </c>
      <c r="T5702" s="2" t="s">
        <v>25630</v>
      </c>
      <c r="U5702" s="2" t="s">
        <v>25631</v>
      </c>
      <c r="V5702" s="2" t="s">
        <v>59</v>
      </c>
      <c r="W5702" s="2">
        <v>39</v>
      </c>
      <c r="X5702" s="2">
        <v>0</v>
      </c>
      <c r="Y5702" s="2" t="s">
        <v>340</v>
      </c>
      <c r="Z5702" s="2" t="s">
        <v>37813</v>
      </c>
      <c r="AA5702" s="2">
        <v>-1.24173958115725</v>
      </c>
      <c r="AB5702" s="2">
        <v>6.7747107323033101E-2</v>
      </c>
      <c r="AC5702" s="2">
        <v>3139.50798031661</v>
      </c>
      <c r="AD5702" s="2">
        <v>3570.28483100517</v>
      </c>
      <c r="AE5702" s="2">
        <v>3272.1584201532801</v>
      </c>
      <c r="AF5702" s="2">
        <v>3160.4623520843702</v>
      </c>
      <c r="AG5702" s="2">
        <v>3362.8491164474399</v>
      </c>
      <c r="AH5702" s="2">
        <v>2702.70177868884</v>
      </c>
      <c r="AI5702" s="2">
        <v>3093.7772743253799</v>
      </c>
      <c r="AJ5702" s="2">
        <v>3245.0989402003302</v>
      </c>
      <c r="AK5702" s="2">
        <v>3474.48915210729</v>
      </c>
      <c r="AL5702" s="2">
        <v>3486.6135774294698</v>
      </c>
      <c r="AM5702" s="2">
        <v>3467.3406055240198</v>
      </c>
      <c r="AN5702" s="2">
        <v>4079.5699767706701</v>
      </c>
      <c r="AO5702" s="2">
        <v>3434.4135704354399</v>
      </c>
      <c r="AP5702" s="2">
        <v>3479.2821037641502</v>
      </c>
    </row>
    <row r="5703" spans="1:42" ht="14.5" x14ac:dyDescent="0.35">
      <c r="A5703" s="2" t="s">
        <v>37814</v>
      </c>
      <c r="B5703" s="2">
        <v>303.12244385009899</v>
      </c>
      <c r="C5703" s="2">
        <v>4.7186333333333303</v>
      </c>
      <c r="D5703" s="2" t="s">
        <v>34</v>
      </c>
      <c r="E5703" s="2" t="s">
        <v>37815</v>
      </c>
      <c r="F5703" s="2">
        <v>29923</v>
      </c>
      <c r="G5703" s="3" t="str">
        <f>HYPERLINK("http://funmeta.oebiotech.com/network/29923", "http://funmeta.oebiotech.com/network/29923")</f>
        <v>http://funmeta.oebiotech.com/network/29923</v>
      </c>
      <c r="H5703" s="2" t="s">
        <v>37816</v>
      </c>
      <c r="I5703" s="2">
        <v>48278</v>
      </c>
      <c r="J5703" s="2" t="s">
        <v>37817</v>
      </c>
      <c r="K5703" s="2"/>
      <c r="L5703" s="2"/>
      <c r="M5703" s="2"/>
      <c r="N5703" s="2"/>
      <c r="O5703" s="2">
        <v>602152</v>
      </c>
      <c r="P5703" s="2" t="s">
        <v>37818</v>
      </c>
      <c r="Q5703" s="2" t="s">
        <v>37819</v>
      </c>
      <c r="R5703" s="2" t="s">
        <v>37820</v>
      </c>
      <c r="S5703" s="2" t="s">
        <v>115</v>
      </c>
      <c r="T5703" s="2" t="s">
        <v>1371</v>
      </c>
      <c r="U5703" s="2" t="s">
        <v>6597</v>
      </c>
      <c r="V5703" s="2" t="s">
        <v>59</v>
      </c>
      <c r="W5703" s="2">
        <v>38.6</v>
      </c>
      <c r="X5703" s="2">
        <v>0</v>
      </c>
      <c r="Y5703" s="2" t="s">
        <v>394</v>
      </c>
      <c r="Z5703" s="2" t="s">
        <v>37821</v>
      </c>
      <c r="AA5703" s="2">
        <v>-0.84820880156494405</v>
      </c>
      <c r="AB5703" s="2">
        <v>6.7713868485680798E-2</v>
      </c>
      <c r="AC5703" s="2">
        <v>4466.2415777659298</v>
      </c>
      <c r="AD5703" s="2">
        <v>5050.6792141314199</v>
      </c>
      <c r="AE5703" s="2">
        <v>4613.7401870182202</v>
      </c>
      <c r="AF5703" s="2">
        <v>3986.30416992561</v>
      </c>
      <c r="AG5703" s="2">
        <v>4792.2332916343303</v>
      </c>
      <c r="AH5703" s="2">
        <v>4642.4694980661998</v>
      </c>
      <c r="AI5703" s="2">
        <v>4059.6611094660998</v>
      </c>
      <c r="AJ5703" s="2">
        <v>4703.0412104851002</v>
      </c>
      <c r="AK5703" s="2">
        <v>4446.6679815259804</v>
      </c>
      <c r="AL5703" s="2">
        <v>4451.6819240002797</v>
      </c>
      <c r="AM5703" s="2">
        <v>5823.9346910021604</v>
      </c>
      <c r="AN5703" s="2">
        <v>5414.5217679186899</v>
      </c>
      <c r="AO5703" s="2">
        <v>5726.7076258336201</v>
      </c>
      <c r="AP5703" s="2">
        <v>4440.5612945077801</v>
      </c>
    </row>
    <row r="5704" spans="1:42" ht="14.5" x14ac:dyDescent="0.35">
      <c r="A5704" s="2" t="s">
        <v>37822</v>
      </c>
      <c r="B5704" s="2">
        <v>905.572645284788</v>
      </c>
      <c r="C5704" s="2">
        <v>8.7089333333333308</v>
      </c>
      <c r="D5704" s="2" t="s">
        <v>34</v>
      </c>
      <c r="E5704" s="2" t="s">
        <v>37823</v>
      </c>
      <c r="F5704" s="2">
        <v>230223</v>
      </c>
      <c r="G5704" s="3" t="str">
        <f>HYPERLINK("http://funmeta.oebiotech.com/network/230223", "http://funmeta.oebiotech.com/network/230223")</f>
        <v>http://funmeta.oebiotech.com/network/230223</v>
      </c>
      <c r="H5704" s="2" t="s">
        <v>37824</v>
      </c>
      <c r="I5704" s="2"/>
      <c r="J5704" s="2"/>
      <c r="K5704" s="2"/>
      <c r="L5704" s="2"/>
      <c r="M5704" s="2"/>
      <c r="N5704" s="2"/>
      <c r="O5704" s="2"/>
      <c r="P5704" s="2"/>
      <c r="Q5704" s="2" t="s">
        <v>37825</v>
      </c>
      <c r="R5704" s="2" t="s">
        <v>37826</v>
      </c>
      <c r="S5704" s="2" t="s">
        <v>41</v>
      </c>
      <c r="T5704" s="2" t="s">
        <v>41</v>
      </c>
      <c r="U5704" s="2" t="s">
        <v>41</v>
      </c>
      <c r="V5704" s="2" t="s">
        <v>59</v>
      </c>
      <c r="W5704" s="2">
        <v>37.700000000000003</v>
      </c>
      <c r="X5704" s="2">
        <v>0</v>
      </c>
      <c r="Y5704" s="2" t="s">
        <v>141</v>
      </c>
      <c r="Z5704" s="2" t="s">
        <v>37827</v>
      </c>
      <c r="AA5704" s="2">
        <v>-2.5203051123672102</v>
      </c>
      <c r="AB5704" s="2">
        <v>6.7712619892462494E-2</v>
      </c>
      <c r="AC5704" s="2">
        <v>14540.461984256801</v>
      </c>
      <c r="AD5704" s="2">
        <v>13273.676084835</v>
      </c>
      <c r="AE5704" s="2">
        <v>13528.3796568815</v>
      </c>
      <c r="AF5704" s="2">
        <v>13189.635747869899</v>
      </c>
      <c r="AG5704" s="2">
        <v>16020.922617848901</v>
      </c>
      <c r="AH5704" s="2">
        <v>13227.341159612601</v>
      </c>
      <c r="AI5704" s="2">
        <v>16982.120555063499</v>
      </c>
      <c r="AJ5704" s="2">
        <v>14294.372168264201</v>
      </c>
      <c r="AK5704" s="2">
        <v>9443.9672554066092</v>
      </c>
      <c r="AL5704" s="2">
        <v>19963.198099777001</v>
      </c>
      <c r="AM5704" s="2">
        <v>10423.8256396908</v>
      </c>
      <c r="AN5704" s="2">
        <v>12678.945681651099</v>
      </c>
      <c r="AO5704" s="2">
        <v>13476.606375871601</v>
      </c>
      <c r="AP5704" s="2">
        <v>13655.5134566131</v>
      </c>
    </row>
    <row r="5705" spans="1:42" ht="14.5" x14ac:dyDescent="0.35">
      <c r="A5705" s="2" t="s">
        <v>37828</v>
      </c>
      <c r="B5705" s="2">
        <v>255.003893203914</v>
      </c>
      <c r="C5705" s="2">
        <v>2.24525</v>
      </c>
      <c r="D5705" s="2" t="s">
        <v>70</v>
      </c>
      <c r="E5705" s="2" t="s">
        <v>37829</v>
      </c>
      <c r="F5705" s="2">
        <v>200756</v>
      </c>
      <c r="G5705" s="3" t="str">
        <f>HYPERLINK("http://funmeta.oebiotech.com/network/200756", "http://funmeta.oebiotech.com/network/200756")</f>
        <v>http://funmeta.oebiotech.com/network/200756</v>
      </c>
      <c r="H5705" s="2" t="s">
        <v>37830</v>
      </c>
      <c r="I5705" s="2">
        <v>73016</v>
      </c>
      <c r="J5705" s="2"/>
      <c r="K5705" s="2">
        <v>348530</v>
      </c>
      <c r="L5705" s="2" t="s">
        <v>37831</v>
      </c>
      <c r="M5705" s="2"/>
      <c r="N5705" s="2"/>
      <c r="O5705" s="2">
        <v>1586</v>
      </c>
      <c r="P5705" s="2" t="s">
        <v>37832</v>
      </c>
      <c r="Q5705" s="2" t="s">
        <v>37833</v>
      </c>
      <c r="R5705" s="2" t="s">
        <v>37834</v>
      </c>
      <c r="S5705" s="2" t="s">
        <v>491</v>
      </c>
      <c r="T5705" s="2" t="s">
        <v>4517</v>
      </c>
      <c r="U5705" s="2" t="s">
        <v>4518</v>
      </c>
      <c r="V5705" s="2" t="s">
        <v>59</v>
      </c>
      <c r="W5705" s="2">
        <v>36.1</v>
      </c>
      <c r="X5705" s="2">
        <v>0</v>
      </c>
      <c r="Y5705" s="2" t="s">
        <v>560</v>
      </c>
      <c r="Z5705" s="2" t="s">
        <v>37835</v>
      </c>
      <c r="AA5705" s="2">
        <v>8.9923488064324406</v>
      </c>
      <c r="AB5705" s="2">
        <v>6.7671747736186394E-2</v>
      </c>
      <c r="AC5705" s="2">
        <v>781.08347586460604</v>
      </c>
      <c r="AD5705" s="2">
        <v>426.84439195425801</v>
      </c>
      <c r="AE5705" s="2">
        <v>797.37116088601397</v>
      </c>
      <c r="AF5705" s="2">
        <v>657.08282667467495</v>
      </c>
      <c r="AG5705" s="2">
        <v>1001.57011150787</v>
      </c>
      <c r="AH5705" s="2">
        <v>762.31550366502199</v>
      </c>
      <c r="AI5705" s="2">
        <v>651.87583429956999</v>
      </c>
      <c r="AJ5705" s="2">
        <v>816.28541815448398</v>
      </c>
      <c r="AK5705" s="2">
        <v>422.49611883262298</v>
      </c>
      <c r="AL5705" s="2">
        <v>638.83624990894305</v>
      </c>
      <c r="AM5705" s="2">
        <v>330.64184587760599</v>
      </c>
      <c r="AN5705" s="2">
        <v>484.53040196354402</v>
      </c>
      <c r="AO5705" s="2">
        <v>317.42233117714699</v>
      </c>
      <c r="AP5705" s="2">
        <v>367.13940396568501</v>
      </c>
    </row>
    <row r="5706" spans="1:42" ht="14.5" x14ac:dyDescent="0.35">
      <c r="A5706" s="2" t="s">
        <v>37836</v>
      </c>
      <c r="B5706" s="2">
        <v>205.03089237843901</v>
      </c>
      <c r="C5706" s="2">
        <v>3.0689833333333301</v>
      </c>
      <c r="D5706" s="2" t="s">
        <v>34</v>
      </c>
      <c r="E5706" s="2" t="s">
        <v>37837</v>
      </c>
      <c r="F5706" s="2">
        <v>207536</v>
      </c>
      <c r="G5706" s="3" t="str">
        <f>HYPERLINK("http://funmeta.oebiotech.com/network/207536", "http://funmeta.oebiotech.com/network/207536")</f>
        <v>http://funmeta.oebiotech.com/network/207536</v>
      </c>
      <c r="H5706" s="2" t="s">
        <v>37838</v>
      </c>
      <c r="I5706" s="2"/>
      <c r="J5706" s="2"/>
      <c r="K5706" s="2">
        <v>24556</v>
      </c>
      <c r="L5706" s="2"/>
      <c r="M5706" s="2"/>
      <c r="N5706" s="2"/>
      <c r="O5706" s="2"/>
      <c r="P5706" s="2"/>
      <c r="Q5706" s="2" t="s">
        <v>37839</v>
      </c>
      <c r="R5706" s="2" t="s">
        <v>37840</v>
      </c>
      <c r="S5706" s="2" t="s">
        <v>491</v>
      </c>
      <c r="T5706" s="2" t="s">
        <v>883</v>
      </c>
      <c r="U5706" s="2" t="s">
        <v>884</v>
      </c>
      <c r="V5706" s="2" t="s">
        <v>59</v>
      </c>
      <c r="W5706" s="2">
        <v>38.200000000000003</v>
      </c>
      <c r="X5706" s="2">
        <v>0</v>
      </c>
      <c r="Y5706" s="2" t="s">
        <v>141</v>
      </c>
      <c r="Z5706" s="2" t="s">
        <v>37841</v>
      </c>
      <c r="AA5706" s="2">
        <v>-3.1585583984510999</v>
      </c>
      <c r="AB5706" s="2">
        <v>6.7601226799786501E-2</v>
      </c>
      <c r="AC5706" s="2">
        <v>5101.56621497587</v>
      </c>
      <c r="AD5706" s="2">
        <v>5922.6233957778904</v>
      </c>
      <c r="AE5706" s="2">
        <v>5471.8892819006296</v>
      </c>
      <c r="AF5706" s="2">
        <v>5610.3361949917899</v>
      </c>
      <c r="AG5706" s="2">
        <v>4664.6749657927603</v>
      </c>
      <c r="AH5706" s="2">
        <v>4369.3765312214</v>
      </c>
      <c r="AI5706" s="2">
        <v>6427.5244787750498</v>
      </c>
      <c r="AJ5706" s="2">
        <v>4065.5958371735901</v>
      </c>
      <c r="AK5706" s="2">
        <v>5873.8364443959299</v>
      </c>
      <c r="AL5706" s="2">
        <v>7526.5645825423398</v>
      </c>
      <c r="AM5706" s="2">
        <v>4489.1119625233096</v>
      </c>
      <c r="AN5706" s="2">
        <v>4410.78162325004</v>
      </c>
      <c r="AO5706" s="2">
        <v>5859.0304967506599</v>
      </c>
      <c r="AP5706" s="2">
        <v>7376.4152652050598</v>
      </c>
    </row>
    <row r="5707" spans="1:42" ht="14.5" x14ac:dyDescent="0.35">
      <c r="A5707" s="2" t="s">
        <v>37842</v>
      </c>
      <c r="B5707" s="2">
        <v>177.054621529683</v>
      </c>
      <c r="C5707" s="2">
        <v>3.6251333333333302</v>
      </c>
      <c r="D5707" s="2" t="s">
        <v>34</v>
      </c>
      <c r="E5707" s="2" t="s">
        <v>37843</v>
      </c>
      <c r="F5707" s="2">
        <v>81723</v>
      </c>
      <c r="G5707" s="3" t="str">
        <f>HYPERLINK("http://funmeta.oebiotech.com/network/81723", "http://funmeta.oebiotech.com/network/81723")</f>
        <v>http://funmeta.oebiotech.com/network/81723</v>
      </c>
      <c r="H5707" s="2" t="s">
        <v>37844</v>
      </c>
      <c r="I5707" s="2">
        <v>65904</v>
      </c>
      <c r="J5707" s="2"/>
      <c r="K5707" s="2">
        <v>17224</v>
      </c>
      <c r="L5707" s="2" t="s">
        <v>37845</v>
      </c>
      <c r="M5707" s="2"/>
      <c r="N5707" s="2"/>
      <c r="O5707" s="2">
        <v>5280567</v>
      </c>
      <c r="P5707" s="2" t="s">
        <v>37846</v>
      </c>
      <c r="Q5707" s="2" t="s">
        <v>37847</v>
      </c>
      <c r="R5707" s="2" t="s">
        <v>37848</v>
      </c>
      <c r="S5707" s="2" t="s">
        <v>115</v>
      </c>
      <c r="T5707" s="2" t="s">
        <v>758</v>
      </c>
      <c r="U5707" s="2" t="s">
        <v>10001</v>
      </c>
      <c r="V5707" s="2" t="s">
        <v>59</v>
      </c>
      <c r="W5707" s="2">
        <v>43.8</v>
      </c>
      <c r="X5707" s="2">
        <v>23.3</v>
      </c>
      <c r="Y5707" s="2" t="s">
        <v>394</v>
      </c>
      <c r="Z5707" s="2" t="s">
        <v>10002</v>
      </c>
      <c r="AA5707" s="2">
        <v>5.5805601842553801E-3</v>
      </c>
      <c r="AB5707" s="2">
        <v>6.7595840411349195E-2</v>
      </c>
      <c r="AC5707" s="2">
        <v>12539.5844682033</v>
      </c>
      <c r="AD5707" s="2">
        <v>13183.1366784212</v>
      </c>
      <c r="AE5707" s="2">
        <v>12782.279408071199</v>
      </c>
      <c r="AF5707" s="2">
        <v>11786.878529678201</v>
      </c>
      <c r="AG5707" s="2">
        <v>11967.464750413599</v>
      </c>
      <c r="AH5707" s="2">
        <v>13017.683218116699</v>
      </c>
      <c r="AI5707" s="2">
        <v>12228.097628502201</v>
      </c>
      <c r="AJ5707" s="2">
        <v>13455.103274438001</v>
      </c>
      <c r="AK5707" s="2">
        <v>12731.0830616845</v>
      </c>
      <c r="AL5707" s="2">
        <v>12670.766123524299</v>
      </c>
      <c r="AM5707" s="2">
        <v>13625.5781872811</v>
      </c>
      <c r="AN5707" s="2">
        <v>14446.2647173</v>
      </c>
      <c r="AO5707" s="2">
        <v>12921.829327375301</v>
      </c>
      <c r="AP5707" s="2">
        <v>12703.298653362001</v>
      </c>
    </row>
    <row r="5708" spans="1:42" ht="14.5" x14ac:dyDescent="0.35">
      <c r="A5708" s="2" t="s">
        <v>37849</v>
      </c>
      <c r="B5708" s="2">
        <v>319.14433474000401</v>
      </c>
      <c r="C5708" s="2">
        <v>4.63378333333333</v>
      </c>
      <c r="D5708" s="2" t="s">
        <v>34</v>
      </c>
      <c r="E5708" s="2" t="s">
        <v>37850</v>
      </c>
      <c r="F5708" s="2">
        <v>209565</v>
      </c>
      <c r="G5708" s="3" t="str">
        <f>HYPERLINK("http://funmeta.oebiotech.com/network/209565", "http://funmeta.oebiotech.com/network/209565")</f>
        <v>http://funmeta.oebiotech.com/network/209565</v>
      </c>
      <c r="H5708" s="2" t="s">
        <v>37851</v>
      </c>
      <c r="I5708" s="2">
        <v>354120</v>
      </c>
      <c r="J5708" s="2"/>
      <c r="K5708" s="2">
        <v>52169</v>
      </c>
      <c r="L5708" s="2"/>
      <c r="M5708" s="2"/>
      <c r="N5708" s="2"/>
      <c r="O5708" s="2">
        <v>65182</v>
      </c>
      <c r="P5708" s="2"/>
      <c r="Q5708" s="2" t="s">
        <v>37852</v>
      </c>
      <c r="R5708" s="2" t="s">
        <v>37853</v>
      </c>
      <c r="S5708" s="2" t="s">
        <v>491</v>
      </c>
      <c r="T5708" s="2" t="s">
        <v>20066</v>
      </c>
      <c r="U5708" s="2" t="s">
        <v>36991</v>
      </c>
      <c r="V5708" s="2" t="s">
        <v>59</v>
      </c>
      <c r="W5708" s="2">
        <v>37.200000000000003</v>
      </c>
      <c r="X5708" s="2">
        <v>0</v>
      </c>
      <c r="Y5708" s="2" t="s">
        <v>394</v>
      </c>
      <c r="Z5708" s="2" t="s">
        <v>37854</v>
      </c>
      <c r="AA5708" s="2">
        <v>0.72447451395373597</v>
      </c>
      <c r="AB5708" s="2">
        <v>6.7585283398652093E-2</v>
      </c>
      <c r="AC5708" s="2">
        <v>23882.3007422134</v>
      </c>
      <c r="AD5708" s="2">
        <v>23035.167697368899</v>
      </c>
      <c r="AE5708" s="2">
        <v>24226.6290649734</v>
      </c>
      <c r="AF5708" s="2">
        <v>24660.9853678281</v>
      </c>
      <c r="AG5708" s="2">
        <v>23578.9756895184</v>
      </c>
      <c r="AH5708" s="2">
        <v>23621.785470796101</v>
      </c>
      <c r="AI5708" s="2">
        <v>22920.904189483401</v>
      </c>
      <c r="AJ5708" s="2">
        <v>24284.524670680799</v>
      </c>
      <c r="AK5708" s="2">
        <v>23596.212680185901</v>
      </c>
      <c r="AL5708" s="2">
        <v>23515.195283672099</v>
      </c>
      <c r="AM5708" s="2">
        <v>22663.059875720399</v>
      </c>
      <c r="AN5708" s="2">
        <v>25669.105402032601</v>
      </c>
      <c r="AO5708" s="2">
        <v>20989.234300841901</v>
      </c>
      <c r="AP5708" s="2">
        <v>21778.198641760198</v>
      </c>
    </row>
    <row r="5709" spans="1:42" ht="14.5" x14ac:dyDescent="0.35">
      <c r="A5709" s="2" t="s">
        <v>37855</v>
      </c>
      <c r="B5709" s="2">
        <v>263.16129914931599</v>
      </c>
      <c r="C5709" s="2">
        <v>8.2691666666666706</v>
      </c>
      <c r="D5709" s="2" t="s">
        <v>34</v>
      </c>
      <c r="E5709" s="2" t="s">
        <v>37856</v>
      </c>
      <c r="F5709" s="2">
        <v>199294</v>
      </c>
      <c r="G5709" s="3" t="str">
        <f>HYPERLINK("http://funmeta.oebiotech.com/network/199294", "http://funmeta.oebiotech.com/network/199294")</f>
        <v>http://funmeta.oebiotech.com/network/199294</v>
      </c>
      <c r="H5709" s="2" t="s">
        <v>37857</v>
      </c>
      <c r="I5709" s="2"/>
      <c r="J5709" s="2"/>
      <c r="K5709" s="2"/>
      <c r="L5709" s="2"/>
      <c r="M5709" s="2"/>
      <c r="N5709" s="2"/>
      <c r="O5709" s="2">
        <v>20846020</v>
      </c>
      <c r="P5709" s="2"/>
      <c r="Q5709" s="2" t="s">
        <v>37858</v>
      </c>
      <c r="R5709" s="2" t="s">
        <v>37859</v>
      </c>
      <c r="S5709" s="2" t="s">
        <v>41</v>
      </c>
      <c r="T5709" s="2" t="s">
        <v>41</v>
      </c>
      <c r="U5709" s="2" t="s">
        <v>41</v>
      </c>
      <c r="V5709" s="2" t="s">
        <v>59</v>
      </c>
      <c r="W5709" s="2">
        <v>38.5</v>
      </c>
      <c r="X5709" s="2">
        <v>0</v>
      </c>
      <c r="Y5709" s="2" t="s">
        <v>43</v>
      </c>
      <c r="Z5709" s="2" t="s">
        <v>37860</v>
      </c>
      <c r="AA5709" s="2">
        <v>-0.760849650220495</v>
      </c>
      <c r="AB5709" s="2">
        <v>6.7547055798670597E-2</v>
      </c>
      <c r="AC5709" s="2">
        <v>2164.8976129155799</v>
      </c>
      <c r="AD5709" s="2">
        <v>2672.3587334548101</v>
      </c>
      <c r="AE5709" s="2">
        <v>1756.2601568771399</v>
      </c>
      <c r="AF5709" s="2">
        <v>2354.8925991896799</v>
      </c>
      <c r="AG5709" s="2">
        <v>2466.5438059630201</v>
      </c>
      <c r="AH5709" s="2">
        <v>2371.4029363487198</v>
      </c>
      <c r="AI5709" s="2">
        <v>2212.4892850750298</v>
      </c>
      <c r="AJ5709" s="2">
        <v>1827.79689403988</v>
      </c>
      <c r="AK5709" s="2">
        <v>3136.6531597877402</v>
      </c>
      <c r="AL5709" s="2">
        <v>2205.6459396904402</v>
      </c>
      <c r="AM5709" s="2">
        <v>2167.9058816453999</v>
      </c>
      <c r="AN5709" s="2">
        <v>2946.3711707371699</v>
      </c>
      <c r="AO5709" s="2">
        <v>3121.4664376853998</v>
      </c>
      <c r="AP5709" s="2">
        <v>2456.10981118269</v>
      </c>
    </row>
    <row r="5710" spans="1:42" ht="14.5" x14ac:dyDescent="0.35">
      <c r="A5710" s="2" t="s">
        <v>37861</v>
      </c>
      <c r="B5710" s="2">
        <v>443.088011099661</v>
      </c>
      <c r="C5710" s="2">
        <v>5.0599499999999997</v>
      </c>
      <c r="D5710" s="2" t="s">
        <v>70</v>
      </c>
      <c r="E5710" s="2" t="s">
        <v>37862</v>
      </c>
      <c r="F5710" s="2">
        <v>212210</v>
      </c>
      <c r="G5710" s="3" t="str">
        <f>HYPERLINK("http://funmeta.oebiotech.com/network/212210", "http://funmeta.oebiotech.com/network/212210")</f>
        <v>http://funmeta.oebiotech.com/network/212210</v>
      </c>
      <c r="H5710" s="2" t="s">
        <v>37863</v>
      </c>
      <c r="I5710" s="2">
        <v>73434</v>
      </c>
      <c r="J5710" s="2"/>
      <c r="K5710" s="2"/>
      <c r="L5710" s="2" t="s">
        <v>37864</v>
      </c>
      <c r="M5710" s="2"/>
      <c r="N5710" s="2"/>
      <c r="O5710" s="2">
        <v>104781</v>
      </c>
      <c r="P5710" s="2" t="s">
        <v>37865</v>
      </c>
      <c r="Q5710" s="2" t="s">
        <v>37866</v>
      </c>
      <c r="R5710" s="2" t="s">
        <v>37867</v>
      </c>
      <c r="S5710" s="2" t="s">
        <v>89</v>
      </c>
      <c r="T5710" s="2" t="s">
        <v>15082</v>
      </c>
      <c r="U5710" s="2" t="s">
        <v>15083</v>
      </c>
      <c r="V5710" s="2" t="s">
        <v>59</v>
      </c>
      <c r="W5710" s="2">
        <v>37.299999999999997</v>
      </c>
      <c r="X5710" s="2">
        <v>0</v>
      </c>
      <c r="Y5710" s="2" t="s">
        <v>560</v>
      </c>
      <c r="Z5710" s="2" t="s">
        <v>37868</v>
      </c>
      <c r="AA5710" s="2">
        <v>-1.3880060440729201</v>
      </c>
      <c r="AB5710" s="2">
        <v>6.7535391807636402E-2</v>
      </c>
      <c r="AC5710" s="2">
        <v>892.9628006849</v>
      </c>
      <c r="AD5710" s="2">
        <v>337.07187212554999</v>
      </c>
      <c r="AE5710" s="2">
        <v>593.60460321788798</v>
      </c>
      <c r="AF5710" s="2">
        <v>946.22776431099896</v>
      </c>
      <c r="AG5710" s="2">
        <v>800.714783206996</v>
      </c>
      <c r="AH5710" s="2">
        <v>1191.80666833336</v>
      </c>
      <c r="AI5710" s="2">
        <v>1154.73243338524</v>
      </c>
      <c r="AJ5710" s="2">
        <v>670.69055165491795</v>
      </c>
      <c r="AK5710" s="2">
        <v>1563.4028517422801</v>
      </c>
      <c r="AL5710" s="2">
        <v>459.02827258584699</v>
      </c>
      <c r="AM5710" s="2">
        <v>2.7106294003980101E-5</v>
      </c>
      <c r="AN5710" s="2">
        <v>2.7106294003980101E-5</v>
      </c>
      <c r="AO5710" s="2">
        <v>2.7106294003980101E-5</v>
      </c>
      <c r="AP5710" s="2">
        <v>2.7106294003980101E-5</v>
      </c>
    </row>
    <row r="5711" spans="1:42" ht="14.5" x14ac:dyDescent="0.35">
      <c r="A5711" s="2" t="s">
        <v>37869</v>
      </c>
      <c r="B5711" s="2">
        <v>406.14529770039599</v>
      </c>
      <c r="C5711" s="2">
        <v>1.06171666666667</v>
      </c>
      <c r="D5711" s="2" t="s">
        <v>34</v>
      </c>
      <c r="E5711" s="2" t="s">
        <v>37870</v>
      </c>
      <c r="F5711" s="2">
        <v>52809</v>
      </c>
      <c r="G5711" s="3" t="str">
        <f>HYPERLINK("http://funmeta.oebiotech.com/network/52809", "http://funmeta.oebiotech.com/network/52809")</f>
        <v>http://funmeta.oebiotech.com/network/52809</v>
      </c>
      <c r="H5711" s="2" t="s">
        <v>37871</v>
      </c>
      <c r="I5711" s="2">
        <v>2062</v>
      </c>
      <c r="J5711" s="2"/>
      <c r="K5711" s="2">
        <v>8364</v>
      </c>
      <c r="L5711" s="2" t="s">
        <v>37872</v>
      </c>
      <c r="M5711" s="2"/>
      <c r="N5711" s="2"/>
      <c r="O5711" s="2">
        <v>4893</v>
      </c>
      <c r="P5711" s="2" t="s">
        <v>37873</v>
      </c>
      <c r="Q5711" s="2" t="s">
        <v>37874</v>
      </c>
      <c r="R5711" s="2" t="s">
        <v>37875</v>
      </c>
      <c r="S5711" s="2" t="s">
        <v>491</v>
      </c>
      <c r="T5711" s="2" t="s">
        <v>5190</v>
      </c>
      <c r="U5711" s="2" t="s">
        <v>5191</v>
      </c>
      <c r="V5711" s="2" t="s">
        <v>59</v>
      </c>
      <c r="W5711" s="2">
        <v>36.5</v>
      </c>
      <c r="X5711" s="2">
        <v>0</v>
      </c>
      <c r="Y5711" s="2" t="s">
        <v>323</v>
      </c>
      <c r="Z5711" s="2" t="s">
        <v>37876</v>
      </c>
      <c r="AA5711" s="2">
        <v>-8.5529826636932906</v>
      </c>
      <c r="AB5711" s="2">
        <v>6.7451270573673602E-2</v>
      </c>
      <c r="AC5711" s="2">
        <v>4354.0643696719899</v>
      </c>
      <c r="AD5711" s="2">
        <v>3645.53542250384</v>
      </c>
      <c r="AE5711" s="2">
        <v>4675.3053922271602</v>
      </c>
      <c r="AF5711" s="2">
        <v>5161.00315237429</v>
      </c>
      <c r="AG5711" s="2">
        <v>3583.5345703727999</v>
      </c>
      <c r="AH5711" s="2">
        <v>3965.1031009592598</v>
      </c>
      <c r="AI5711" s="2">
        <v>3585.9336361278201</v>
      </c>
      <c r="AJ5711" s="2">
        <v>5153.5063659705902</v>
      </c>
      <c r="AK5711" s="2">
        <v>3974.7080196208299</v>
      </c>
      <c r="AL5711" s="2">
        <v>3687.8548206146802</v>
      </c>
      <c r="AM5711" s="2">
        <v>3883.3921340372199</v>
      </c>
      <c r="AN5711" s="2">
        <v>4045.8501043491501</v>
      </c>
      <c r="AO5711" s="2">
        <v>4473.4355455008399</v>
      </c>
      <c r="AP5711" s="2">
        <v>1807.9719109002999</v>
      </c>
    </row>
    <row r="5712" spans="1:42" ht="14.5" x14ac:dyDescent="0.35">
      <c r="A5712" s="2" t="s">
        <v>37877</v>
      </c>
      <c r="B5712" s="2">
        <v>205.158855491786</v>
      </c>
      <c r="C5712" s="2">
        <v>2.39191666666667</v>
      </c>
      <c r="D5712" s="2" t="s">
        <v>34</v>
      </c>
      <c r="E5712" s="2" t="s">
        <v>37878</v>
      </c>
      <c r="F5712" s="2">
        <v>293240</v>
      </c>
      <c r="G5712" s="3" t="str">
        <f>HYPERLINK("http://funmeta.oebiotech.com/network/293240", "http://funmeta.oebiotech.com/network/293240")</f>
        <v>http://funmeta.oebiotech.com/network/293240</v>
      </c>
      <c r="H5712" s="2"/>
      <c r="I5712" s="2">
        <v>317118</v>
      </c>
      <c r="J5712" s="2"/>
      <c r="K5712" s="2"/>
      <c r="L5712" s="2"/>
      <c r="M5712" s="2"/>
      <c r="N5712" s="2"/>
      <c r="O5712" s="2">
        <v>74879</v>
      </c>
      <c r="P5712" s="2"/>
      <c r="Q5712" s="2" t="s">
        <v>37879</v>
      </c>
      <c r="R5712" s="2" t="s">
        <v>37880</v>
      </c>
      <c r="S5712" s="2" t="s">
        <v>79</v>
      </c>
      <c r="T5712" s="2" t="s">
        <v>80</v>
      </c>
      <c r="U5712" s="2" t="s">
        <v>2820</v>
      </c>
      <c r="V5712" s="2" t="s">
        <v>59</v>
      </c>
      <c r="W5712" s="2">
        <v>38.6</v>
      </c>
      <c r="X5712" s="2">
        <v>0</v>
      </c>
      <c r="Y5712" s="2" t="s">
        <v>394</v>
      </c>
      <c r="Z5712" s="2" t="s">
        <v>37881</v>
      </c>
      <c r="AA5712" s="2">
        <v>0.802339897855464</v>
      </c>
      <c r="AB5712" s="2">
        <v>6.7438844269749498E-2</v>
      </c>
      <c r="AC5712" s="2">
        <v>4180.1409874824803</v>
      </c>
      <c r="AD5712" s="2">
        <v>4663.1516284392601</v>
      </c>
      <c r="AE5712" s="2">
        <v>4648.9469029680404</v>
      </c>
      <c r="AF5712" s="2">
        <v>4279.3566270423498</v>
      </c>
      <c r="AG5712" s="2">
        <v>4117.3874337203897</v>
      </c>
      <c r="AH5712" s="2">
        <v>3949.02007230868</v>
      </c>
      <c r="AI5712" s="2">
        <v>3920.3645156440002</v>
      </c>
      <c r="AJ5712" s="2">
        <v>4165.7703732114296</v>
      </c>
      <c r="AK5712" s="2">
        <v>4803.2134160777496</v>
      </c>
      <c r="AL5712" s="2">
        <v>5166.9664114992902</v>
      </c>
      <c r="AM5712" s="2">
        <v>4773.71722070345</v>
      </c>
      <c r="AN5712" s="2">
        <v>4290.9655897334897</v>
      </c>
      <c r="AO5712" s="2">
        <v>4806.5538035122399</v>
      </c>
      <c r="AP5712" s="2">
        <v>4137.4933291093503</v>
      </c>
    </row>
    <row r="5713" spans="1:42" ht="14.5" x14ac:dyDescent="0.35">
      <c r="A5713" s="2" t="s">
        <v>37882</v>
      </c>
      <c r="B5713" s="2">
        <v>110.096347714074</v>
      </c>
      <c r="C5713" s="2">
        <v>4.2938999999999998</v>
      </c>
      <c r="D5713" s="2" t="s">
        <v>34</v>
      </c>
      <c r="E5713" s="2" t="s">
        <v>37883</v>
      </c>
      <c r="F5713" s="2">
        <v>54621</v>
      </c>
      <c r="G5713" s="3" t="str">
        <f>HYPERLINK("http://funmeta.oebiotech.com/network/54621", "http://funmeta.oebiotech.com/network/54621")</f>
        <v>http://funmeta.oebiotech.com/network/54621</v>
      </c>
      <c r="H5713" s="2" t="s">
        <v>37884</v>
      </c>
      <c r="I5713" s="2">
        <v>86446</v>
      </c>
      <c r="J5713" s="2"/>
      <c r="K5713" s="2"/>
      <c r="L5713" s="2"/>
      <c r="M5713" s="2"/>
      <c r="N5713" s="2"/>
      <c r="O5713" s="2">
        <v>70260</v>
      </c>
      <c r="P5713" s="2" t="s">
        <v>37885</v>
      </c>
      <c r="Q5713" s="2" t="s">
        <v>37886</v>
      </c>
      <c r="R5713" s="2" t="s">
        <v>37887</v>
      </c>
      <c r="S5713" s="2" t="s">
        <v>491</v>
      </c>
      <c r="T5713" s="2" t="s">
        <v>12893</v>
      </c>
      <c r="U5713" s="2" t="s">
        <v>12894</v>
      </c>
      <c r="V5713" s="2" t="s">
        <v>59</v>
      </c>
      <c r="W5713" s="2">
        <v>38.700000000000003</v>
      </c>
      <c r="X5713" s="2">
        <v>0</v>
      </c>
      <c r="Y5713" s="2" t="s">
        <v>394</v>
      </c>
      <c r="Z5713" s="2" t="s">
        <v>37888</v>
      </c>
      <c r="AA5713" s="2">
        <v>-0.71570359100672298</v>
      </c>
      <c r="AB5713" s="2">
        <v>6.7425427773215293E-2</v>
      </c>
      <c r="AC5713" s="2">
        <v>757.73473194431301</v>
      </c>
      <c r="AD5713" s="2">
        <v>403.14404303528897</v>
      </c>
      <c r="AE5713" s="2">
        <v>701.62740724347304</v>
      </c>
      <c r="AF5713" s="2">
        <v>812.62694519140996</v>
      </c>
      <c r="AG5713" s="2">
        <v>815.02543682910596</v>
      </c>
      <c r="AH5713" s="2">
        <v>670.07351833691303</v>
      </c>
      <c r="AI5713" s="2">
        <v>640.76640450891796</v>
      </c>
      <c r="AJ5713" s="2">
        <v>906.28867955605995</v>
      </c>
      <c r="AK5713" s="2">
        <v>210.680535983645</v>
      </c>
      <c r="AL5713" s="2">
        <v>313.34160179928898</v>
      </c>
      <c r="AM5713" s="2">
        <v>503.64226483258102</v>
      </c>
      <c r="AN5713" s="2">
        <v>360.82316030704101</v>
      </c>
      <c r="AO5713" s="2">
        <v>404.92654732371102</v>
      </c>
      <c r="AP5713" s="2">
        <v>625.45014796547002</v>
      </c>
    </row>
    <row r="5714" spans="1:42" ht="14.5" x14ac:dyDescent="0.35">
      <c r="A5714" s="2" t="s">
        <v>37889</v>
      </c>
      <c r="B5714" s="2">
        <v>613.13481915451496</v>
      </c>
      <c r="C5714" s="2">
        <v>9.2409999999999997</v>
      </c>
      <c r="D5714" s="2" t="s">
        <v>70</v>
      </c>
      <c r="E5714" s="2" t="s">
        <v>37890</v>
      </c>
      <c r="F5714" s="2">
        <v>47431</v>
      </c>
      <c r="G5714" s="3" t="str">
        <f>HYPERLINK("http://funmeta.oebiotech.com/network/47431", "http://funmeta.oebiotech.com/network/47431")</f>
        <v>http://funmeta.oebiotech.com/network/47431</v>
      </c>
      <c r="H5714" s="2" t="s">
        <v>37891</v>
      </c>
      <c r="I5714" s="2">
        <v>434</v>
      </c>
      <c r="J5714" s="2"/>
      <c r="K5714" s="2">
        <v>16556</v>
      </c>
      <c r="L5714" s="2" t="s">
        <v>37892</v>
      </c>
      <c r="M5714" s="2" t="s">
        <v>13073</v>
      </c>
      <c r="N5714" s="2" t="s">
        <v>13074</v>
      </c>
      <c r="O5714" s="2">
        <v>448209</v>
      </c>
      <c r="P5714" s="2" t="s">
        <v>37893</v>
      </c>
      <c r="Q5714" s="2" t="s">
        <v>37894</v>
      </c>
      <c r="R5714" s="2" t="s">
        <v>37895</v>
      </c>
      <c r="S5714" s="2" t="s">
        <v>1444</v>
      </c>
      <c r="T5714" s="2" t="s">
        <v>4040</v>
      </c>
      <c r="U5714" s="2" t="s">
        <v>4041</v>
      </c>
      <c r="V5714" s="2" t="s">
        <v>59</v>
      </c>
      <c r="W5714" s="2">
        <v>36.4</v>
      </c>
      <c r="X5714" s="2">
        <v>0</v>
      </c>
      <c r="Y5714" s="2" t="s">
        <v>118</v>
      </c>
      <c r="Z5714" s="2" t="s">
        <v>37896</v>
      </c>
      <c r="AA5714" s="2">
        <v>-8.4213837431680805</v>
      </c>
      <c r="AB5714" s="2">
        <v>6.7397777182195404E-2</v>
      </c>
      <c r="AC5714" s="2">
        <v>5243.2517053015399</v>
      </c>
      <c r="AD5714" s="2">
        <v>4478.5179381483804</v>
      </c>
      <c r="AE5714" s="2">
        <v>4478.3856393708302</v>
      </c>
      <c r="AF5714" s="2">
        <v>3985.5037472546101</v>
      </c>
      <c r="AG5714" s="2">
        <v>4432.4281640897298</v>
      </c>
      <c r="AH5714" s="2">
        <v>6412.9614857240203</v>
      </c>
      <c r="AI5714" s="2">
        <v>6041.3934191464496</v>
      </c>
      <c r="AJ5714" s="2">
        <v>6108.8377762235796</v>
      </c>
      <c r="AK5714" s="2">
        <v>5208.8894850690504</v>
      </c>
      <c r="AL5714" s="2">
        <v>3292.8898878667601</v>
      </c>
      <c r="AM5714" s="2">
        <v>3852.50276267647</v>
      </c>
      <c r="AN5714" s="2">
        <v>4081.61765512787</v>
      </c>
      <c r="AO5714" s="2">
        <v>5326.2055478988104</v>
      </c>
      <c r="AP5714" s="2">
        <v>5109.0022902513201</v>
      </c>
    </row>
    <row r="5715" spans="1:42" ht="14.5" x14ac:dyDescent="0.35">
      <c r="A5715" s="2" t="s">
        <v>37897</v>
      </c>
      <c r="B5715" s="2">
        <v>316.32083868786998</v>
      </c>
      <c r="C5715" s="2">
        <v>9.7274833333333302</v>
      </c>
      <c r="D5715" s="2" t="s">
        <v>34</v>
      </c>
      <c r="E5715" s="2" t="s">
        <v>37898</v>
      </c>
      <c r="F5715" s="2">
        <v>65</v>
      </c>
      <c r="G5715" s="3" t="str">
        <f>HYPERLINK("http://funmeta.oebiotech.com/network/65", "http://funmeta.oebiotech.com/network/65")</f>
        <v>http://funmeta.oebiotech.com/network/65</v>
      </c>
      <c r="H5715" s="2" t="s">
        <v>37899</v>
      </c>
      <c r="I5715" s="2">
        <v>4207</v>
      </c>
      <c r="J5715" s="2" t="s">
        <v>37900</v>
      </c>
      <c r="K5715" s="2">
        <v>39246</v>
      </c>
      <c r="L5715" s="2" t="s">
        <v>37901</v>
      </c>
      <c r="M5715" s="2"/>
      <c r="N5715" s="2"/>
      <c r="O5715" s="2">
        <v>12591</v>
      </c>
      <c r="P5715" s="2" t="s">
        <v>37902</v>
      </c>
      <c r="Q5715" s="2" t="s">
        <v>37903</v>
      </c>
      <c r="R5715" s="2" t="s">
        <v>37904</v>
      </c>
      <c r="S5715" s="2" t="s">
        <v>50</v>
      </c>
      <c r="T5715" s="2" t="s">
        <v>229</v>
      </c>
      <c r="U5715" s="2" t="s">
        <v>433</v>
      </c>
      <c r="V5715" s="2" t="s">
        <v>59</v>
      </c>
      <c r="W5715" s="2">
        <v>43</v>
      </c>
      <c r="X5715" s="2">
        <v>18.600000000000001</v>
      </c>
      <c r="Y5715" s="2" t="s">
        <v>43</v>
      </c>
      <c r="Z5715" s="2" t="s">
        <v>37905</v>
      </c>
      <c r="AA5715" s="2">
        <v>-0.56086858970730102</v>
      </c>
      <c r="AB5715" s="2">
        <v>6.7366043794164193E-2</v>
      </c>
      <c r="AC5715" s="2">
        <v>201219.902225809</v>
      </c>
      <c r="AD5715" s="2">
        <v>197090.15558013</v>
      </c>
      <c r="AE5715" s="2">
        <v>196693.14180786599</v>
      </c>
      <c r="AF5715" s="2">
        <v>185005.494102317</v>
      </c>
      <c r="AG5715" s="2">
        <v>178625.971426017</v>
      </c>
      <c r="AH5715" s="2">
        <v>181091.79212706801</v>
      </c>
      <c r="AI5715" s="2">
        <v>238354.42014810099</v>
      </c>
      <c r="AJ5715" s="2">
        <v>227548.59374348199</v>
      </c>
      <c r="AK5715" s="2">
        <v>247955.174942852</v>
      </c>
      <c r="AL5715" s="2">
        <v>213996.075428665</v>
      </c>
      <c r="AM5715" s="2">
        <v>172043.96689833401</v>
      </c>
      <c r="AN5715" s="2">
        <v>154784.28234214199</v>
      </c>
      <c r="AO5715" s="2">
        <v>179580.68009506899</v>
      </c>
      <c r="AP5715" s="2">
        <v>214180.75377371901</v>
      </c>
    </row>
    <row r="5716" spans="1:42" ht="14.5" x14ac:dyDescent="0.35">
      <c r="A5716" s="2" t="s">
        <v>37906</v>
      </c>
      <c r="B5716" s="2">
        <v>493.18636241927601</v>
      </c>
      <c r="C5716" s="2">
        <v>5.0414166666666702</v>
      </c>
      <c r="D5716" s="2" t="s">
        <v>34</v>
      </c>
      <c r="E5716" s="2" t="s">
        <v>37907</v>
      </c>
      <c r="F5716" s="2">
        <v>212704</v>
      </c>
      <c r="G5716" s="3" t="str">
        <f>HYPERLINK("http://funmeta.oebiotech.com/network/212704", "http://funmeta.oebiotech.com/network/212704")</f>
        <v>http://funmeta.oebiotech.com/network/212704</v>
      </c>
      <c r="H5716" s="2" t="s">
        <v>37908</v>
      </c>
      <c r="I5716" s="2"/>
      <c r="J5716" s="2"/>
      <c r="K5716" s="2"/>
      <c r="L5716" s="2"/>
      <c r="M5716" s="2"/>
      <c r="N5716" s="2"/>
      <c r="O5716" s="2">
        <v>9804966</v>
      </c>
      <c r="P5716" s="2"/>
      <c r="Q5716" s="2" t="s">
        <v>37909</v>
      </c>
      <c r="R5716" s="2" t="s">
        <v>37910</v>
      </c>
      <c r="S5716" s="2" t="s">
        <v>41</v>
      </c>
      <c r="T5716" s="2" t="s">
        <v>41</v>
      </c>
      <c r="U5716" s="2" t="s">
        <v>41</v>
      </c>
      <c r="V5716" s="2" t="s">
        <v>59</v>
      </c>
      <c r="W5716" s="2">
        <v>37.799999999999997</v>
      </c>
      <c r="X5716" s="2">
        <v>0</v>
      </c>
      <c r="Y5716" s="2" t="s">
        <v>43</v>
      </c>
      <c r="Z5716" s="2" t="s">
        <v>37911</v>
      </c>
      <c r="AA5716" s="2">
        <v>-3.7154033993117598E-2</v>
      </c>
      <c r="AB5716" s="2">
        <v>6.7243804538581795E-2</v>
      </c>
      <c r="AC5716" s="2">
        <v>10255.757520879301</v>
      </c>
      <c r="AD5716" s="2">
        <v>8869.9482625662895</v>
      </c>
      <c r="AE5716" s="2">
        <v>7445.4390638283803</v>
      </c>
      <c r="AF5716" s="2">
        <v>16260.862386196401</v>
      </c>
      <c r="AG5716" s="2">
        <v>5592.2546625061404</v>
      </c>
      <c r="AH5716" s="2">
        <v>10922.0739452415</v>
      </c>
      <c r="AI5716" s="2">
        <v>11508.770414447101</v>
      </c>
      <c r="AJ5716" s="2">
        <v>9805.1446530565609</v>
      </c>
      <c r="AK5716" s="2">
        <v>4104.67074101455</v>
      </c>
      <c r="AL5716" s="2">
        <v>10530.803555585</v>
      </c>
      <c r="AM5716" s="2">
        <v>10297.3971595395</v>
      </c>
      <c r="AN5716" s="2">
        <v>10109.805054749801</v>
      </c>
      <c r="AO5716" s="2">
        <v>6013.0885518088899</v>
      </c>
      <c r="AP5716" s="2">
        <v>12163.924512699999</v>
      </c>
    </row>
    <row r="5717" spans="1:42" ht="14.5" x14ac:dyDescent="0.35">
      <c r="A5717" s="2" t="s">
        <v>37912</v>
      </c>
      <c r="B5717" s="2">
        <v>507.200786004105</v>
      </c>
      <c r="C5717" s="2">
        <v>8.6905333333333292</v>
      </c>
      <c r="D5717" s="2" t="s">
        <v>34</v>
      </c>
      <c r="E5717" s="2" t="s">
        <v>37913</v>
      </c>
      <c r="F5717" s="2">
        <v>33958</v>
      </c>
      <c r="G5717" s="3" t="str">
        <f>HYPERLINK("http://funmeta.oebiotech.com/network/33958", "http://funmeta.oebiotech.com/network/33958")</f>
        <v>http://funmeta.oebiotech.com/network/33958</v>
      </c>
      <c r="H5717" s="2"/>
      <c r="I5717" s="2">
        <v>52271</v>
      </c>
      <c r="J5717" s="2" t="s">
        <v>37914</v>
      </c>
      <c r="K5717" s="2">
        <v>8234</v>
      </c>
      <c r="L5717" s="2" t="s">
        <v>37915</v>
      </c>
      <c r="M5717" s="2"/>
      <c r="N5717" s="2"/>
      <c r="O5717" s="2">
        <v>442455</v>
      </c>
      <c r="P5717" s="2"/>
      <c r="Q5717" s="2" t="s">
        <v>37916</v>
      </c>
      <c r="R5717" s="2" t="s">
        <v>37917</v>
      </c>
      <c r="S5717" s="2" t="s">
        <v>115</v>
      </c>
      <c r="T5717" s="2" t="s">
        <v>575</v>
      </c>
      <c r="U5717" s="2" t="s">
        <v>576</v>
      </c>
      <c r="V5717" s="2" t="s">
        <v>59</v>
      </c>
      <c r="W5717" s="2">
        <v>42.5</v>
      </c>
      <c r="X5717" s="2">
        <v>23.6</v>
      </c>
      <c r="Y5717" s="2" t="s">
        <v>394</v>
      </c>
      <c r="Z5717" s="2" t="s">
        <v>32154</v>
      </c>
      <c r="AA5717" s="2">
        <v>-1.10302848326657</v>
      </c>
      <c r="AB5717" s="2">
        <v>6.7238032436641698E-2</v>
      </c>
      <c r="AC5717" s="2">
        <v>36251.372669700402</v>
      </c>
      <c r="AD5717" s="2">
        <v>37939.888665688399</v>
      </c>
      <c r="AE5717" s="2">
        <v>31475.476210546902</v>
      </c>
      <c r="AF5717" s="2">
        <v>34454.130701335002</v>
      </c>
      <c r="AG5717" s="2">
        <v>37585.084701338703</v>
      </c>
      <c r="AH5717" s="2">
        <v>33932.619813864098</v>
      </c>
      <c r="AI5717" s="2">
        <v>42492.848013761999</v>
      </c>
      <c r="AJ5717" s="2">
        <v>37568.076577355801</v>
      </c>
      <c r="AK5717" s="2">
        <v>40684.003091425002</v>
      </c>
      <c r="AL5717" s="2">
        <v>38076.765293656797</v>
      </c>
      <c r="AM5717" s="2">
        <v>36670.3394449111</v>
      </c>
      <c r="AN5717" s="2">
        <v>32405.129134094801</v>
      </c>
      <c r="AO5717" s="2">
        <v>30996.5912828496</v>
      </c>
      <c r="AP5717" s="2">
        <v>48806.503747193201</v>
      </c>
    </row>
    <row r="5718" spans="1:42" ht="14.5" x14ac:dyDescent="0.35">
      <c r="A5718" s="2" t="s">
        <v>37918</v>
      </c>
      <c r="B5718" s="2">
        <v>123.091603525468</v>
      </c>
      <c r="C5718" s="2">
        <v>15.158049999999999</v>
      </c>
      <c r="D5718" s="2" t="s">
        <v>34</v>
      </c>
      <c r="E5718" s="2" t="s">
        <v>37919</v>
      </c>
      <c r="F5718" s="2">
        <v>280126</v>
      </c>
      <c r="G5718" s="3" t="str">
        <f>HYPERLINK("http://funmeta.oebiotech.com/network/280126", "http://funmeta.oebiotech.com/network/280126")</f>
        <v>http://funmeta.oebiotech.com/network/280126</v>
      </c>
      <c r="H5718" s="2"/>
      <c r="I5718" s="2">
        <v>73089</v>
      </c>
      <c r="J5718" s="2"/>
      <c r="K5718" s="2"/>
      <c r="L5718" s="2" t="s">
        <v>37920</v>
      </c>
      <c r="M5718" s="2"/>
      <c r="N5718" s="2"/>
      <c r="O5718" s="2">
        <v>7252</v>
      </c>
      <c r="P5718" s="2" t="s">
        <v>37921</v>
      </c>
      <c r="Q5718" s="2" t="s">
        <v>37922</v>
      </c>
      <c r="R5718" s="2" t="s">
        <v>37923</v>
      </c>
      <c r="S5718" s="2" t="s">
        <v>148</v>
      </c>
      <c r="T5718" s="2" t="s">
        <v>149</v>
      </c>
      <c r="U5718" s="2" t="s">
        <v>21041</v>
      </c>
      <c r="V5718" s="2" t="s">
        <v>59</v>
      </c>
      <c r="W5718" s="2">
        <v>39.200000000000003</v>
      </c>
      <c r="X5718" s="2">
        <v>0</v>
      </c>
      <c r="Y5718" s="2" t="s">
        <v>394</v>
      </c>
      <c r="Z5718" s="2" t="s">
        <v>37924</v>
      </c>
      <c r="AA5718" s="2">
        <v>-0.58350479448801595</v>
      </c>
      <c r="AB5718" s="2">
        <v>6.7237028908450805E-2</v>
      </c>
      <c r="AC5718" s="2">
        <v>5459.2230802665299</v>
      </c>
      <c r="AD5718" s="2">
        <v>5990.9399452670796</v>
      </c>
      <c r="AE5718" s="2">
        <v>5619.5823820635496</v>
      </c>
      <c r="AF5718" s="2">
        <v>5550.1067431294796</v>
      </c>
      <c r="AG5718" s="2">
        <v>5683.9475324990299</v>
      </c>
      <c r="AH5718" s="2">
        <v>5752.6069314998404</v>
      </c>
      <c r="AI5718" s="2">
        <v>5442.5119885846898</v>
      </c>
      <c r="AJ5718" s="2">
        <v>4706.5829038225602</v>
      </c>
      <c r="AK5718" s="2">
        <v>5633.3054455473002</v>
      </c>
      <c r="AL5718" s="2">
        <v>5511.6675849706198</v>
      </c>
      <c r="AM5718" s="2">
        <v>5581.4680556612802</v>
      </c>
      <c r="AN5718" s="2">
        <v>6199.1544975362303</v>
      </c>
      <c r="AO5718" s="2">
        <v>6666.6676001912201</v>
      </c>
      <c r="AP5718" s="2">
        <v>6353.3764876958303</v>
      </c>
    </row>
    <row r="5719" spans="1:42" ht="14.5" x14ac:dyDescent="0.35">
      <c r="A5719" s="2" t="s">
        <v>37925</v>
      </c>
      <c r="B5719" s="2">
        <v>343.15372440228498</v>
      </c>
      <c r="C5719" s="2">
        <v>5.5233833333333298</v>
      </c>
      <c r="D5719" s="2" t="s">
        <v>34</v>
      </c>
      <c r="E5719" s="2" t="s">
        <v>37926</v>
      </c>
      <c r="F5719" s="2">
        <v>202665</v>
      </c>
      <c r="G5719" s="3" t="str">
        <f>HYPERLINK("http://funmeta.oebiotech.com/network/202665", "http://funmeta.oebiotech.com/network/202665")</f>
        <v>http://funmeta.oebiotech.com/network/202665</v>
      </c>
      <c r="H5719" s="2" t="s">
        <v>37927</v>
      </c>
      <c r="I5719" s="2">
        <v>44518</v>
      </c>
      <c r="J5719" s="2"/>
      <c r="K5719" s="2">
        <v>73282</v>
      </c>
      <c r="L5719" s="2" t="s">
        <v>37928</v>
      </c>
      <c r="M5719" s="2"/>
      <c r="N5719" s="2"/>
      <c r="O5719" s="2">
        <v>1329</v>
      </c>
      <c r="P5719" s="2" t="s">
        <v>37929</v>
      </c>
      <c r="Q5719" s="2" t="s">
        <v>37930</v>
      </c>
      <c r="R5719" s="2" t="s">
        <v>37931</v>
      </c>
      <c r="S5719" s="2" t="s">
        <v>491</v>
      </c>
      <c r="T5719" s="2" t="s">
        <v>7431</v>
      </c>
      <c r="U5719" s="2" t="s">
        <v>7432</v>
      </c>
      <c r="V5719" s="2" t="s">
        <v>59</v>
      </c>
      <c r="W5719" s="2">
        <v>37.799999999999997</v>
      </c>
      <c r="X5719" s="2">
        <v>0</v>
      </c>
      <c r="Y5719" s="2" t="s">
        <v>340</v>
      </c>
      <c r="Z5719" s="2" t="s">
        <v>37932</v>
      </c>
      <c r="AA5719" s="2">
        <v>2.1049161385948199</v>
      </c>
      <c r="AB5719" s="2">
        <v>6.7188769636397597E-2</v>
      </c>
      <c r="AC5719" s="2">
        <v>9194.2030472492606</v>
      </c>
      <c r="AD5719" s="2">
        <v>8493.6206767691201</v>
      </c>
      <c r="AE5719" s="2">
        <v>10267.401749262001</v>
      </c>
      <c r="AF5719" s="2">
        <v>9587.0086951417707</v>
      </c>
      <c r="AG5719" s="2">
        <v>8787.0581384003199</v>
      </c>
      <c r="AH5719" s="2">
        <v>9037.1306630667405</v>
      </c>
      <c r="AI5719" s="2">
        <v>8697.9556188406295</v>
      </c>
      <c r="AJ5719" s="2">
        <v>8788.6634187840991</v>
      </c>
      <c r="AK5719" s="2">
        <v>7891.0039871055797</v>
      </c>
      <c r="AL5719" s="2">
        <v>8515.7148133584196</v>
      </c>
      <c r="AM5719" s="2">
        <v>7985.8157442042902</v>
      </c>
      <c r="AN5719" s="2">
        <v>8930.8616849467198</v>
      </c>
      <c r="AO5719" s="2">
        <v>10218.6141408965</v>
      </c>
      <c r="AP5719" s="2">
        <v>7419.7136901031899</v>
      </c>
    </row>
    <row r="5720" spans="1:42" ht="14.5" x14ac:dyDescent="0.35">
      <c r="A5720" s="2" t="s">
        <v>37933</v>
      </c>
      <c r="B5720" s="2">
        <v>483.09078610006497</v>
      </c>
      <c r="C5720" s="2">
        <v>5.9542333333333302</v>
      </c>
      <c r="D5720" s="2" t="s">
        <v>70</v>
      </c>
      <c r="E5720" s="2" t="s">
        <v>37934</v>
      </c>
      <c r="F5720" s="2">
        <v>81718</v>
      </c>
      <c r="G5720" s="3" t="str">
        <f>HYPERLINK("http://funmeta.oebiotech.com/network/81718", "http://funmeta.oebiotech.com/network/81718")</f>
        <v>http://funmeta.oebiotech.com/network/81718</v>
      </c>
      <c r="H5720" s="2" t="s">
        <v>37935</v>
      </c>
      <c r="I5720" s="2"/>
      <c r="J5720" s="2"/>
      <c r="K5720" s="2">
        <v>15045</v>
      </c>
      <c r="L5720" s="2" t="s">
        <v>37936</v>
      </c>
      <c r="M5720" s="2"/>
      <c r="N5720" s="2"/>
      <c r="O5720" s="2">
        <v>11026517</v>
      </c>
      <c r="P5720" s="2"/>
      <c r="Q5720" s="2" t="s">
        <v>37937</v>
      </c>
      <c r="R5720" s="2" t="s">
        <v>37938</v>
      </c>
      <c r="S5720" s="2" t="s">
        <v>491</v>
      </c>
      <c r="T5720" s="2" t="s">
        <v>4914</v>
      </c>
      <c r="U5720" s="2" t="s">
        <v>7721</v>
      </c>
      <c r="V5720" s="2" t="s">
        <v>59</v>
      </c>
      <c r="W5720" s="2">
        <v>38.9</v>
      </c>
      <c r="X5720" s="2">
        <v>0</v>
      </c>
      <c r="Y5720" s="2" t="s">
        <v>408</v>
      </c>
      <c r="Z5720" s="2" t="s">
        <v>37939</v>
      </c>
      <c r="AA5720" s="2">
        <v>-3.3485616713843598</v>
      </c>
      <c r="AB5720" s="2">
        <v>6.7159598483985006E-2</v>
      </c>
      <c r="AC5720" s="2">
        <v>2750.9803151537599</v>
      </c>
      <c r="AD5720" s="2">
        <v>2272.81865218347</v>
      </c>
      <c r="AE5720" s="2">
        <v>2717.4825434710201</v>
      </c>
      <c r="AF5720" s="2">
        <v>2763.3451479382702</v>
      </c>
      <c r="AG5720" s="2">
        <v>3312.9332928273898</v>
      </c>
      <c r="AH5720" s="2">
        <v>2797.66244405311</v>
      </c>
      <c r="AI5720" s="2">
        <v>2387.5545684827398</v>
      </c>
      <c r="AJ5720" s="2">
        <v>2526.9038941500498</v>
      </c>
      <c r="AK5720" s="2">
        <v>1848.2050075063901</v>
      </c>
      <c r="AL5720" s="2">
        <v>2162.0312242059899</v>
      </c>
      <c r="AM5720" s="2">
        <v>2889.3898188092198</v>
      </c>
      <c r="AN5720" s="2">
        <v>2374.5277829113102</v>
      </c>
      <c r="AO5720" s="2">
        <v>2295.1869854490401</v>
      </c>
      <c r="AP5720" s="2">
        <v>2067.5710942188698</v>
      </c>
    </row>
    <row r="5721" spans="1:42" ht="14.5" x14ac:dyDescent="0.35">
      <c r="A5721" s="2" t="s">
        <v>37940</v>
      </c>
      <c r="B5721" s="2">
        <v>367.21232910858703</v>
      </c>
      <c r="C5721" s="2">
        <v>5.3579833333333298</v>
      </c>
      <c r="D5721" s="2" t="s">
        <v>70</v>
      </c>
      <c r="E5721" s="2" t="s">
        <v>37941</v>
      </c>
      <c r="F5721" s="2">
        <v>59910</v>
      </c>
      <c r="G5721" s="3" t="str">
        <f>HYPERLINK("http://funmeta.oebiotech.com/network/59910", "http://funmeta.oebiotech.com/network/59910")</f>
        <v>http://funmeta.oebiotech.com/network/59910</v>
      </c>
      <c r="H5721" s="2" t="s">
        <v>37942</v>
      </c>
      <c r="I5721" s="2">
        <v>91274</v>
      </c>
      <c r="J5721" s="2"/>
      <c r="K5721" s="2">
        <v>173886</v>
      </c>
      <c r="L5721" s="2"/>
      <c r="M5721" s="2"/>
      <c r="N5721" s="2"/>
      <c r="O5721" s="2">
        <v>12313272</v>
      </c>
      <c r="P5721" s="2" t="s">
        <v>37943</v>
      </c>
      <c r="Q5721" s="2" t="s">
        <v>37944</v>
      </c>
      <c r="R5721" s="2" t="s">
        <v>37945</v>
      </c>
      <c r="S5721" s="2" t="s">
        <v>50</v>
      </c>
      <c r="T5721" s="2" t="s">
        <v>201</v>
      </c>
      <c r="U5721" s="2" t="s">
        <v>265</v>
      </c>
      <c r="V5721" s="2" t="s">
        <v>59</v>
      </c>
      <c r="W5721" s="2">
        <v>39</v>
      </c>
      <c r="X5721" s="2">
        <v>0</v>
      </c>
      <c r="Y5721" s="2" t="s">
        <v>560</v>
      </c>
      <c r="Z5721" s="2" t="s">
        <v>37946</v>
      </c>
      <c r="AA5721" s="2">
        <v>-0.76911384031997498</v>
      </c>
      <c r="AB5721" s="2">
        <v>6.71225522304391E-2</v>
      </c>
      <c r="AC5721" s="2">
        <v>2402.28228690884</v>
      </c>
      <c r="AD5721" s="2">
        <v>1808.20426827391</v>
      </c>
      <c r="AE5721" s="2">
        <v>2534.9039508911801</v>
      </c>
      <c r="AF5721" s="2">
        <v>2454.8049171702301</v>
      </c>
      <c r="AG5721" s="2">
        <v>1310.7775629779001</v>
      </c>
      <c r="AH5721" s="2">
        <v>2338.6813910812598</v>
      </c>
      <c r="AI5721" s="2">
        <v>3479.05459655407</v>
      </c>
      <c r="AJ5721" s="2">
        <v>2295.4713027784001</v>
      </c>
      <c r="AK5721" s="2">
        <v>1550.0979852385699</v>
      </c>
      <c r="AL5721" s="2">
        <v>1988.5978281959599</v>
      </c>
      <c r="AM5721" s="2">
        <v>2246.6382245756299</v>
      </c>
      <c r="AN5721" s="2">
        <v>1997.2635556858099</v>
      </c>
      <c r="AO5721" s="2">
        <v>1305.0099483277199</v>
      </c>
      <c r="AP5721" s="2">
        <v>1761.61806761975</v>
      </c>
    </row>
    <row r="5722" spans="1:42" ht="14.5" x14ac:dyDescent="0.35">
      <c r="A5722" s="2" t="s">
        <v>37947</v>
      </c>
      <c r="B5722" s="2">
        <v>577.13359749599897</v>
      </c>
      <c r="C5722" s="2">
        <v>4.3112000000000004</v>
      </c>
      <c r="D5722" s="2" t="s">
        <v>34</v>
      </c>
      <c r="E5722" s="2" t="s">
        <v>37948</v>
      </c>
      <c r="F5722" s="2">
        <v>58325</v>
      </c>
      <c r="G5722" s="3" t="str">
        <f>HYPERLINK("http://funmeta.oebiotech.com/network/58325", "http://funmeta.oebiotech.com/network/58325")</f>
        <v>http://funmeta.oebiotech.com/network/58325</v>
      </c>
      <c r="H5722" s="2" t="s">
        <v>37949</v>
      </c>
      <c r="I5722" s="2">
        <v>89813</v>
      </c>
      <c r="J5722" s="2"/>
      <c r="K5722" s="2">
        <v>169512</v>
      </c>
      <c r="L5722" s="2"/>
      <c r="M5722" s="2"/>
      <c r="N5722" s="2"/>
      <c r="O5722" s="2">
        <v>131751541</v>
      </c>
      <c r="P5722" s="2" t="s">
        <v>37950</v>
      </c>
      <c r="Q5722" s="2" t="s">
        <v>37951</v>
      </c>
      <c r="R5722" s="2" t="s">
        <v>37952</v>
      </c>
      <c r="S5722" s="2" t="s">
        <v>50</v>
      </c>
      <c r="T5722" s="2" t="s">
        <v>201</v>
      </c>
      <c r="U5722" s="2" t="s">
        <v>202</v>
      </c>
      <c r="V5722" s="2" t="s">
        <v>59</v>
      </c>
      <c r="W5722" s="2">
        <v>37.799999999999997</v>
      </c>
      <c r="X5722" s="2">
        <v>0</v>
      </c>
      <c r="Y5722" s="2" t="s">
        <v>340</v>
      </c>
      <c r="Z5722" s="2" t="s">
        <v>37953</v>
      </c>
      <c r="AA5722" s="2">
        <v>3.3417027346005201</v>
      </c>
      <c r="AB5722" s="2">
        <v>6.6935312227103694E-2</v>
      </c>
      <c r="AC5722" s="2">
        <v>1292.5385505834099</v>
      </c>
      <c r="AD5722" s="2">
        <v>2035.8027294487499</v>
      </c>
      <c r="AE5722" s="2">
        <v>731.82132845610204</v>
      </c>
      <c r="AF5722" s="2">
        <v>1656.1319634772001</v>
      </c>
      <c r="AG5722" s="2">
        <v>592.06714537543803</v>
      </c>
      <c r="AH5722" s="2">
        <v>1148.4270496623899</v>
      </c>
      <c r="AI5722" s="2">
        <v>1005.10527058296</v>
      </c>
      <c r="AJ5722" s="2">
        <v>2621.6785459463699</v>
      </c>
      <c r="AK5722" s="2">
        <v>726.173655572298</v>
      </c>
      <c r="AL5722" s="2">
        <v>480.31549669884902</v>
      </c>
      <c r="AM5722" s="2">
        <v>2310.9607411500201</v>
      </c>
      <c r="AN5722" s="2">
        <v>3138.3659471364599</v>
      </c>
      <c r="AO5722" s="2">
        <v>2747.3923208986398</v>
      </c>
      <c r="AP5722" s="2">
        <v>2811.6082152362501</v>
      </c>
    </row>
    <row r="5723" spans="1:42" ht="14.5" x14ac:dyDescent="0.35">
      <c r="A5723" s="2" t="s">
        <v>37954</v>
      </c>
      <c r="B5723" s="2">
        <v>437.11444883826698</v>
      </c>
      <c r="C5723" s="2">
        <v>5.2831999999999999</v>
      </c>
      <c r="D5723" s="2" t="s">
        <v>70</v>
      </c>
      <c r="E5723" s="2" t="s">
        <v>37955</v>
      </c>
      <c r="F5723" s="2">
        <v>199700</v>
      </c>
      <c r="G5723" s="3" t="str">
        <f>HYPERLINK("http://funmeta.oebiotech.com/network/199700", "http://funmeta.oebiotech.com/network/199700")</f>
        <v>http://funmeta.oebiotech.com/network/199700</v>
      </c>
      <c r="H5723" s="2" t="s">
        <v>37956</v>
      </c>
      <c r="I5723" s="2"/>
      <c r="J5723" s="2"/>
      <c r="K5723" s="2"/>
      <c r="L5723" s="2"/>
      <c r="M5723" s="2"/>
      <c r="N5723" s="2"/>
      <c r="O5723" s="2">
        <v>1330</v>
      </c>
      <c r="P5723" s="2"/>
      <c r="Q5723" s="2" t="s">
        <v>37957</v>
      </c>
      <c r="R5723" s="2" t="s">
        <v>37958</v>
      </c>
      <c r="S5723" s="2" t="s">
        <v>491</v>
      </c>
      <c r="T5723" s="2" t="s">
        <v>7431</v>
      </c>
      <c r="U5723" s="2" t="s">
        <v>7432</v>
      </c>
      <c r="V5723" s="2" t="s">
        <v>42</v>
      </c>
      <c r="W5723" s="2">
        <v>45.7</v>
      </c>
      <c r="X5723" s="2">
        <v>45.5</v>
      </c>
      <c r="Y5723" s="2" t="s">
        <v>408</v>
      </c>
      <c r="Z5723" s="2" t="s">
        <v>37959</v>
      </c>
      <c r="AA5723" s="2">
        <v>2.0535020634607002</v>
      </c>
      <c r="AB5723" s="2">
        <v>6.6926245274451998E-2</v>
      </c>
      <c r="AC5723" s="2">
        <v>33725.811490694701</v>
      </c>
      <c r="AD5723" s="2">
        <v>32624.989585537001</v>
      </c>
      <c r="AE5723" s="2">
        <v>33409.119130463303</v>
      </c>
      <c r="AF5723" s="2">
        <v>29266.929422984002</v>
      </c>
      <c r="AG5723" s="2">
        <v>36253.641835495</v>
      </c>
      <c r="AH5723" s="2">
        <v>34369.4751601276</v>
      </c>
      <c r="AI5723" s="2">
        <v>32129.826585014402</v>
      </c>
      <c r="AJ5723" s="2">
        <v>36925.876810084002</v>
      </c>
      <c r="AK5723" s="2">
        <v>31848.570890831001</v>
      </c>
      <c r="AL5723" s="2">
        <v>32251.443216841701</v>
      </c>
      <c r="AM5723" s="2">
        <v>35125.0024433699</v>
      </c>
      <c r="AN5723" s="2">
        <v>32605.553484090098</v>
      </c>
      <c r="AO5723" s="2">
        <v>32260.108629579699</v>
      </c>
      <c r="AP5723" s="2">
        <v>31659.258848509398</v>
      </c>
    </row>
    <row r="5724" spans="1:42" ht="14.5" x14ac:dyDescent="0.35">
      <c r="A5724" s="2" t="s">
        <v>37960</v>
      </c>
      <c r="B5724" s="2">
        <v>142.12265786078001</v>
      </c>
      <c r="C5724" s="2">
        <v>1.3287</v>
      </c>
      <c r="D5724" s="2" t="s">
        <v>34</v>
      </c>
      <c r="E5724" s="2" t="s">
        <v>37961</v>
      </c>
      <c r="F5724" s="2">
        <v>2498</v>
      </c>
      <c r="G5724" s="3" t="str">
        <f>HYPERLINK("http://funmeta.oebiotech.com/network/2498", "http://funmeta.oebiotech.com/network/2498")</f>
        <v>http://funmeta.oebiotech.com/network/2498</v>
      </c>
      <c r="H5724" s="2" t="s">
        <v>37962</v>
      </c>
      <c r="I5724" s="2">
        <v>5923</v>
      </c>
      <c r="J5724" s="2" t="s">
        <v>37963</v>
      </c>
      <c r="K5724" s="2">
        <v>75145</v>
      </c>
      <c r="L5724" s="2"/>
      <c r="M5724" s="2"/>
      <c r="N5724" s="2"/>
      <c r="O5724" s="2">
        <v>69522</v>
      </c>
      <c r="P5724" s="2" t="s">
        <v>37964</v>
      </c>
      <c r="Q5724" s="2" t="s">
        <v>37965</v>
      </c>
      <c r="R5724" s="2" t="s">
        <v>37966</v>
      </c>
      <c r="S5724" s="2" t="s">
        <v>89</v>
      </c>
      <c r="T5724" s="2" t="s">
        <v>90</v>
      </c>
      <c r="U5724" s="2" t="s">
        <v>99</v>
      </c>
      <c r="V5724" s="2" t="s">
        <v>59</v>
      </c>
      <c r="W5724" s="2">
        <v>38.4</v>
      </c>
      <c r="X5724" s="2">
        <v>0</v>
      </c>
      <c r="Y5724" s="2" t="s">
        <v>266</v>
      </c>
      <c r="Z5724" s="2" t="s">
        <v>34475</v>
      </c>
      <c r="AA5724" s="2">
        <v>0.10885510956319901</v>
      </c>
      <c r="AB5724" s="2">
        <v>6.6920582337921905E-2</v>
      </c>
      <c r="AC5724" s="2">
        <v>5010.6871792730699</v>
      </c>
      <c r="AD5724" s="2">
        <v>4539.68692292785</v>
      </c>
      <c r="AE5724" s="2">
        <v>5178.9815532900402</v>
      </c>
      <c r="AF5724" s="2">
        <v>4635.31362134558</v>
      </c>
      <c r="AG5724" s="2">
        <v>5520.7163096663198</v>
      </c>
      <c r="AH5724" s="2">
        <v>5380.7184141382504</v>
      </c>
      <c r="AI5724" s="2">
        <v>4454.11740890888</v>
      </c>
      <c r="AJ5724" s="2">
        <v>4894.2757682893698</v>
      </c>
      <c r="AK5724" s="2">
        <v>4344.8502609480001</v>
      </c>
      <c r="AL5724" s="2">
        <v>4485.8890354408904</v>
      </c>
      <c r="AM5724" s="2">
        <v>4637.7789390981798</v>
      </c>
      <c r="AN5724" s="2">
        <v>4831.10258495577</v>
      </c>
      <c r="AO5724" s="2">
        <v>4621.7056959060201</v>
      </c>
      <c r="AP5724" s="2">
        <v>4316.7950212182204</v>
      </c>
    </row>
    <row r="5725" spans="1:42" ht="14.5" x14ac:dyDescent="0.35">
      <c r="A5725" s="2" t="s">
        <v>37967</v>
      </c>
      <c r="B5725" s="2">
        <v>409.18596132180602</v>
      </c>
      <c r="C5725" s="2">
        <v>3.8614999999999999</v>
      </c>
      <c r="D5725" s="2" t="s">
        <v>70</v>
      </c>
      <c r="E5725" s="2" t="s">
        <v>37968</v>
      </c>
      <c r="F5725" s="2">
        <v>63519</v>
      </c>
      <c r="G5725" s="3" t="str">
        <f>HYPERLINK("http://funmeta.oebiotech.com/network/63519", "http://funmeta.oebiotech.com/network/63519")</f>
        <v>http://funmeta.oebiotech.com/network/63519</v>
      </c>
      <c r="H5725" s="2" t="s">
        <v>37969</v>
      </c>
      <c r="I5725" s="2">
        <v>94850</v>
      </c>
      <c r="J5725" s="2"/>
      <c r="K5725" s="2"/>
      <c r="L5725" s="2"/>
      <c r="M5725" s="2"/>
      <c r="N5725" s="2"/>
      <c r="O5725" s="2">
        <v>71587382</v>
      </c>
      <c r="P5725" s="2" t="s">
        <v>37970</v>
      </c>
      <c r="Q5725" s="2" t="s">
        <v>37971</v>
      </c>
      <c r="R5725" s="2" t="s">
        <v>37972</v>
      </c>
      <c r="S5725" s="2" t="s">
        <v>491</v>
      </c>
      <c r="T5725" s="2" t="s">
        <v>37973</v>
      </c>
      <c r="U5725" s="2" t="s">
        <v>37974</v>
      </c>
      <c r="V5725" s="2" t="s">
        <v>59</v>
      </c>
      <c r="W5725" s="2">
        <v>36.4</v>
      </c>
      <c r="X5725" s="2">
        <v>0</v>
      </c>
      <c r="Y5725" s="2" t="s">
        <v>560</v>
      </c>
      <c r="Z5725" s="2" t="s">
        <v>37975</v>
      </c>
      <c r="AA5725" s="2">
        <v>3.5459646072491902</v>
      </c>
      <c r="AB5725" s="2">
        <v>6.6910776123081606E-2</v>
      </c>
      <c r="AC5725" s="2">
        <v>4514.3091184658097</v>
      </c>
      <c r="AD5725" s="2">
        <v>3928.58892041024</v>
      </c>
      <c r="AE5725" s="2">
        <v>5431.9358663551102</v>
      </c>
      <c r="AF5725" s="2">
        <v>4757.6885454676303</v>
      </c>
      <c r="AG5725" s="2">
        <v>4587.7511946677696</v>
      </c>
      <c r="AH5725" s="2">
        <v>4412.7521591704199</v>
      </c>
      <c r="AI5725" s="2">
        <v>3153.10606191543</v>
      </c>
      <c r="AJ5725" s="2">
        <v>4742.6208832185202</v>
      </c>
      <c r="AK5725" s="2">
        <v>4266.1794303255001</v>
      </c>
      <c r="AL5725" s="2">
        <v>4057.94121552364</v>
      </c>
      <c r="AM5725" s="2">
        <v>3751.2646664131998</v>
      </c>
      <c r="AN5725" s="2">
        <v>4300.0193850363403</v>
      </c>
      <c r="AO5725" s="2">
        <v>3645.64086897995</v>
      </c>
      <c r="AP5725" s="2">
        <v>3550.4879561827902</v>
      </c>
    </row>
    <row r="5726" spans="1:42" ht="14.5" x14ac:dyDescent="0.35">
      <c r="A5726" s="2" t="s">
        <v>37976</v>
      </c>
      <c r="B5726" s="2">
        <v>523.16103433161697</v>
      </c>
      <c r="C5726" s="2">
        <v>5.99163333333333</v>
      </c>
      <c r="D5726" s="2" t="s">
        <v>70</v>
      </c>
      <c r="E5726" s="2" t="s">
        <v>37977</v>
      </c>
      <c r="F5726" s="2">
        <v>55602</v>
      </c>
      <c r="G5726" s="3" t="str">
        <f>HYPERLINK("http://funmeta.oebiotech.com/network/55602", "http://funmeta.oebiotech.com/network/55602")</f>
        <v>http://funmeta.oebiotech.com/network/55602</v>
      </c>
      <c r="H5726" s="2" t="s">
        <v>37978</v>
      </c>
      <c r="I5726" s="2">
        <v>87251</v>
      </c>
      <c r="J5726" s="2"/>
      <c r="K5726" s="2">
        <v>174445</v>
      </c>
      <c r="L5726" s="2"/>
      <c r="M5726" s="2"/>
      <c r="N5726" s="2"/>
      <c r="O5726" s="2">
        <v>11108126</v>
      </c>
      <c r="P5726" s="2"/>
      <c r="Q5726" s="2" t="s">
        <v>37979</v>
      </c>
      <c r="R5726" s="2" t="s">
        <v>37980</v>
      </c>
      <c r="S5726" s="2" t="s">
        <v>115</v>
      </c>
      <c r="T5726" s="2" t="s">
        <v>758</v>
      </c>
      <c r="U5726" s="2" t="s">
        <v>1477</v>
      </c>
      <c r="V5726" s="2" t="s">
        <v>59</v>
      </c>
      <c r="W5726" s="2">
        <v>39.1</v>
      </c>
      <c r="X5726" s="2">
        <v>0</v>
      </c>
      <c r="Y5726" s="2" t="s">
        <v>560</v>
      </c>
      <c r="Z5726" s="2" t="s">
        <v>25849</v>
      </c>
      <c r="AA5726" s="2">
        <v>0.121468741322849</v>
      </c>
      <c r="AB5726" s="2">
        <v>6.6907560342124806E-2</v>
      </c>
      <c r="AC5726" s="2">
        <v>2558.81655762635</v>
      </c>
      <c r="AD5726" s="2">
        <v>3157.5847352839901</v>
      </c>
      <c r="AE5726" s="2">
        <v>1948.9822450588899</v>
      </c>
      <c r="AF5726" s="2">
        <v>2589.0030282457701</v>
      </c>
      <c r="AG5726" s="2">
        <v>2475.24801847142</v>
      </c>
      <c r="AH5726" s="2">
        <v>2765.7490406010402</v>
      </c>
      <c r="AI5726" s="2">
        <v>3420.6159280040101</v>
      </c>
      <c r="AJ5726" s="2">
        <v>2153.3010853769401</v>
      </c>
      <c r="AK5726" s="2">
        <v>3126.3000481443401</v>
      </c>
      <c r="AL5726" s="2">
        <v>2866.9936769600899</v>
      </c>
      <c r="AM5726" s="2">
        <v>3639.00715256584</v>
      </c>
      <c r="AN5726" s="2">
        <v>3026.51578519344</v>
      </c>
      <c r="AO5726" s="2">
        <v>2165.9134628860202</v>
      </c>
      <c r="AP5726" s="2">
        <v>4120.7782859542203</v>
      </c>
    </row>
    <row r="5727" spans="1:42" ht="14.5" x14ac:dyDescent="0.35">
      <c r="A5727" s="2" t="s">
        <v>37981</v>
      </c>
      <c r="B5727" s="2">
        <v>541.02948553248802</v>
      </c>
      <c r="C5727" s="2">
        <v>2.17875</v>
      </c>
      <c r="D5727" s="2" t="s">
        <v>70</v>
      </c>
      <c r="E5727" s="2" t="s">
        <v>37982</v>
      </c>
      <c r="F5727" s="2">
        <v>61253</v>
      </c>
      <c r="G5727" s="3" t="str">
        <f>HYPERLINK("http://funmeta.oebiotech.com/network/61253", "http://funmeta.oebiotech.com/network/61253")</f>
        <v>http://funmeta.oebiotech.com/network/61253</v>
      </c>
      <c r="H5727" s="2" t="s">
        <v>37983</v>
      </c>
      <c r="I5727" s="2">
        <v>92573</v>
      </c>
      <c r="J5727" s="2"/>
      <c r="K5727" s="2"/>
      <c r="L5727" s="2"/>
      <c r="M5727" s="2"/>
      <c r="N5727" s="2"/>
      <c r="O5727" s="2">
        <v>74978559</v>
      </c>
      <c r="P5727" s="2"/>
      <c r="Q5727" s="2" t="s">
        <v>37984</v>
      </c>
      <c r="R5727" s="2" t="s">
        <v>37985</v>
      </c>
      <c r="S5727" s="2" t="s">
        <v>115</v>
      </c>
      <c r="T5727" s="2" t="s">
        <v>139</v>
      </c>
      <c r="U5727" s="2" t="s">
        <v>140</v>
      </c>
      <c r="V5727" s="2" t="s">
        <v>59</v>
      </c>
      <c r="W5727" s="2">
        <v>38.299999999999997</v>
      </c>
      <c r="X5727" s="2">
        <v>0</v>
      </c>
      <c r="Y5727" s="2" t="s">
        <v>751</v>
      </c>
      <c r="Z5727" s="2" t="s">
        <v>37986</v>
      </c>
      <c r="AA5727" s="2">
        <v>0.21622843029375499</v>
      </c>
      <c r="AB5727" s="2">
        <v>6.67142731179131E-2</v>
      </c>
      <c r="AC5727" s="2">
        <v>2755.5219801408098</v>
      </c>
      <c r="AD5727" s="2">
        <v>2143.91215723915</v>
      </c>
      <c r="AE5727" s="2">
        <v>2318.82301435011</v>
      </c>
      <c r="AF5727" s="2">
        <v>2836.3310788757099</v>
      </c>
      <c r="AG5727" s="2">
        <v>2451.9663769806498</v>
      </c>
      <c r="AH5727" s="2">
        <v>2523.5584386553101</v>
      </c>
      <c r="AI5727" s="2">
        <v>2338.4929285510998</v>
      </c>
      <c r="AJ5727" s="2">
        <v>4063.96004343199</v>
      </c>
      <c r="AK5727" s="2">
        <v>1335.1904683806299</v>
      </c>
      <c r="AL5727" s="2">
        <v>2853.6800050286902</v>
      </c>
      <c r="AM5727" s="2">
        <v>2272.21789817133</v>
      </c>
      <c r="AN5727" s="2">
        <v>2672.7402786620901</v>
      </c>
      <c r="AO5727" s="2">
        <v>1879.13127643959</v>
      </c>
      <c r="AP5727" s="2">
        <v>1850.5130167525499</v>
      </c>
    </row>
    <row r="5728" spans="1:42" ht="14.5" x14ac:dyDescent="0.35">
      <c r="A5728" s="2" t="s">
        <v>37987</v>
      </c>
      <c r="B5728" s="2">
        <v>347.184983659686</v>
      </c>
      <c r="C5728" s="2">
        <v>5.1684333333333301</v>
      </c>
      <c r="D5728" s="2" t="s">
        <v>34</v>
      </c>
      <c r="E5728" s="2" t="s">
        <v>37988</v>
      </c>
      <c r="F5728" s="2">
        <v>64848</v>
      </c>
      <c r="G5728" s="3" t="str">
        <f>HYPERLINK("http://funmeta.oebiotech.com/network/64848", "http://funmeta.oebiotech.com/network/64848")</f>
        <v>http://funmeta.oebiotech.com/network/64848</v>
      </c>
      <c r="H5728" s="2" t="s">
        <v>37989</v>
      </c>
      <c r="I5728" s="2">
        <v>96143</v>
      </c>
      <c r="J5728" s="2"/>
      <c r="K5728" s="2">
        <v>175411</v>
      </c>
      <c r="L5728" s="2"/>
      <c r="M5728" s="2"/>
      <c r="N5728" s="2"/>
      <c r="O5728" s="2">
        <v>127113</v>
      </c>
      <c r="P5728" s="2" t="s">
        <v>37990</v>
      </c>
      <c r="Q5728" s="2" t="s">
        <v>37991</v>
      </c>
      <c r="R5728" s="2" t="s">
        <v>37992</v>
      </c>
      <c r="S5728" s="2" t="s">
        <v>50</v>
      </c>
      <c r="T5728" s="2" t="s">
        <v>124</v>
      </c>
      <c r="U5728" s="2" t="s">
        <v>1136</v>
      </c>
      <c r="V5728" s="2" t="s">
        <v>42</v>
      </c>
      <c r="W5728" s="2">
        <v>52</v>
      </c>
      <c r="X5728" s="2">
        <v>67.099999999999994</v>
      </c>
      <c r="Y5728" s="2" t="s">
        <v>266</v>
      </c>
      <c r="Z5728" s="2" t="s">
        <v>5232</v>
      </c>
      <c r="AA5728" s="2">
        <v>-0.91485857596419495</v>
      </c>
      <c r="AB5728" s="2">
        <v>6.6679190793072801E-2</v>
      </c>
      <c r="AC5728" s="2">
        <v>424284.89167588501</v>
      </c>
      <c r="AD5728" s="2">
        <v>426997.93736819702</v>
      </c>
      <c r="AE5728" s="2">
        <v>418809.68516713101</v>
      </c>
      <c r="AF5728" s="2">
        <v>421196.58850752201</v>
      </c>
      <c r="AG5728" s="2">
        <v>426501.95950677601</v>
      </c>
      <c r="AH5728" s="2">
        <v>420074.759383464</v>
      </c>
      <c r="AI5728" s="2">
        <v>411912.07576421299</v>
      </c>
      <c r="AJ5728" s="2">
        <v>447214.28172620299</v>
      </c>
      <c r="AK5728" s="2">
        <v>405769.06597729202</v>
      </c>
      <c r="AL5728" s="2">
        <v>441181.39039952197</v>
      </c>
      <c r="AM5728" s="2">
        <v>434288.613320529</v>
      </c>
      <c r="AN5728" s="2">
        <v>431098.77668210701</v>
      </c>
      <c r="AO5728" s="2">
        <v>436539.45531751198</v>
      </c>
      <c r="AP5728" s="2">
        <v>413110.32251222298</v>
      </c>
    </row>
    <row r="5729" spans="1:42" ht="14.5" x14ac:dyDescent="0.35">
      <c r="A5729" s="2" t="s">
        <v>37993</v>
      </c>
      <c r="B5729" s="2">
        <v>909.48168295989103</v>
      </c>
      <c r="C5729" s="2">
        <v>10.132666666666699</v>
      </c>
      <c r="D5729" s="2" t="s">
        <v>34</v>
      </c>
      <c r="E5729" s="2" t="s">
        <v>37994</v>
      </c>
      <c r="F5729" s="2">
        <v>58349</v>
      </c>
      <c r="G5729" s="3" t="str">
        <f>HYPERLINK("http://funmeta.oebiotech.com/network/58349", "http://funmeta.oebiotech.com/network/58349")</f>
        <v>http://funmeta.oebiotech.com/network/58349</v>
      </c>
      <c r="H5729" s="2" t="s">
        <v>37995</v>
      </c>
      <c r="I5729" s="2"/>
      <c r="J5729" s="2"/>
      <c r="K5729" s="2"/>
      <c r="L5729" s="2"/>
      <c r="M5729" s="2"/>
      <c r="N5729" s="2"/>
      <c r="O5729" s="2">
        <v>73020465</v>
      </c>
      <c r="P5729" s="2" t="s">
        <v>37996</v>
      </c>
      <c r="Q5729" s="2" t="s">
        <v>37997</v>
      </c>
      <c r="R5729" s="2" t="s">
        <v>37998</v>
      </c>
      <c r="S5729" s="2" t="s">
        <v>50</v>
      </c>
      <c r="T5729" s="2" t="s">
        <v>124</v>
      </c>
      <c r="U5729" s="2" t="s">
        <v>523</v>
      </c>
      <c r="V5729" s="2" t="s">
        <v>59</v>
      </c>
      <c r="W5729" s="2">
        <v>37.1</v>
      </c>
      <c r="X5729" s="2">
        <v>0</v>
      </c>
      <c r="Y5729" s="2" t="s">
        <v>323</v>
      </c>
      <c r="Z5729" s="2" t="s">
        <v>5258</v>
      </c>
      <c r="AA5729" s="2">
        <v>-0.15637559502197901</v>
      </c>
      <c r="AB5729" s="2">
        <v>6.64445350178407E-2</v>
      </c>
      <c r="AC5729" s="2">
        <v>17030.9030551451</v>
      </c>
      <c r="AD5729" s="2">
        <v>16065.746144168201</v>
      </c>
      <c r="AE5729" s="2">
        <v>15078.418515302699</v>
      </c>
      <c r="AF5729" s="2">
        <v>15030.5101752625</v>
      </c>
      <c r="AG5729" s="2">
        <v>18010.166006920499</v>
      </c>
      <c r="AH5729" s="2">
        <v>17982.8574346799</v>
      </c>
      <c r="AI5729" s="2">
        <v>16693.260961408101</v>
      </c>
      <c r="AJ5729" s="2">
        <v>19390.205237296901</v>
      </c>
      <c r="AK5729" s="2">
        <v>16085.5199975667</v>
      </c>
      <c r="AL5729" s="2">
        <v>16147.3473552878</v>
      </c>
      <c r="AM5729" s="2">
        <v>14956.6439114066</v>
      </c>
      <c r="AN5729" s="2">
        <v>13638.890726219901</v>
      </c>
      <c r="AO5729" s="2">
        <v>18220.578304737999</v>
      </c>
      <c r="AP5729" s="2">
        <v>17345.496569790401</v>
      </c>
    </row>
    <row r="5730" spans="1:42" ht="14.5" x14ac:dyDescent="0.35">
      <c r="A5730" s="2" t="s">
        <v>37999</v>
      </c>
      <c r="B5730" s="2">
        <v>533.28853080837598</v>
      </c>
      <c r="C5730" s="2">
        <v>10.3287</v>
      </c>
      <c r="D5730" s="2" t="s">
        <v>70</v>
      </c>
      <c r="E5730" s="2" t="s">
        <v>38000</v>
      </c>
      <c r="F5730" s="2">
        <v>23687</v>
      </c>
      <c r="G5730" s="3" t="str">
        <f>HYPERLINK("http://funmeta.oebiotech.com/network/23687", "http://funmeta.oebiotech.com/network/23687")</f>
        <v>http://funmeta.oebiotech.com/network/23687</v>
      </c>
      <c r="H5730" s="2"/>
      <c r="I5730" s="2">
        <v>80013</v>
      </c>
      <c r="J5730" s="2" t="s">
        <v>38001</v>
      </c>
      <c r="K5730" s="2"/>
      <c r="L5730" s="2"/>
      <c r="M5730" s="2"/>
      <c r="N5730" s="2"/>
      <c r="O5730" s="2">
        <v>52927448</v>
      </c>
      <c r="P5730" s="2"/>
      <c r="Q5730" s="2" t="s">
        <v>38002</v>
      </c>
      <c r="R5730" s="2" t="s">
        <v>38003</v>
      </c>
      <c r="S5730" s="2" t="s">
        <v>50</v>
      </c>
      <c r="T5730" s="2" t="s">
        <v>51</v>
      </c>
      <c r="U5730" s="2" t="s">
        <v>738</v>
      </c>
      <c r="V5730" s="2" t="s">
        <v>59</v>
      </c>
      <c r="W5730" s="2">
        <v>40.1</v>
      </c>
      <c r="X5730" s="2">
        <v>7.06</v>
      </c>
      <c r="Y5730" s="2" t="s">
        <v>118</v>
      </c>
      <c r="Z5730" s="2" t="s">
        <v>38004</v>
      </c>
      <c r="AA5730" s="2">
        <v>7.0236463808349997E-2</v>
      </c>
      <c r="AB5730" s="2">
        <v>6.6392312134990097E-2</v>
      </c>
      <c r="AC5730" s="2">
        <v>7308.6034648471104</v>
      </c>
      <c r="AD5730" s="2">
        <v>6341.4589348631298</v>
      </c>
      <c r="AE5730" s="2">
        <v>9164.1784254281501</v>
      </c>
      <c r="AF5730" s="2">
        <v>8022.6359076589997</v>
      </c>
      <c r="AG5730" s="2">
        <v>7179.5123385082097</v>
      </c>
      <c r="AH5730" s="2">
        <v>5894.7474993844198</v>
      </c>
      <c r="AI5730" s="2">
        <v>6085.6425247302604</v>
      </c>
      <c r="AJ5730" s="2">
        <v>7504.9040933726301</v>
      </c>
      <c r="AK5730" s="2">
        <v>5408.2448494393302</v>
      </c>
      <c r="AL5730" s="2">
        <v>7279.3580380038802</v>
      </c>
      <c r="AM5730" s="2">
        <v>7009.1868697467798</v>
      </c>
      <c r="AN5730" s="2">
        <v>5983.2304910350504</v>
      </c>
      <c r="AO5730" s="2">
        <v>9335.0629276519103</v>
      </c>
      <c r="AP5730" s="2">
        <v>3033.6704333018502</v>
      </c>
    </row>
    <row r="5731" spans="1:42" ht="14.5" x14ac:dyDescent="0.35">
      <c r="A5731" s="2" t="s">
        <v>38005</v>
      </c>
      <c r="B5731" s="2">
        <v>225.09085459103099</v>
      </c>
      <c r="C5731" s="2">
        <v>5.2660166666666699</v>
      </c>
      <c r="D5731" s="2" t="s">
        <v>34</v>
      </c>
      <c r="E5731" s="2" t="s">
        <v>38006</v>
      </c>
      <c r="F5731" s="2">
        <v>52905</v>
      </c>
      <c r="G5731" s="3" t="str">
        <f>HYPERLINK("http://funmeta.oebiotech.com/network/52905", "http://funmeta.oebiotech.com/network/52905")</f>
        <v>http://funmeta.oebiotech.com/network/52905</v>
      </c>
      <c r="H5731" s="2" t="s">
        <v>38007</v>
      </c>
      <c r="I5731" s="2">
        <v>2689</v>
      </c>
      <c r="J5731" s="2"/>
      <c r="K5731" s="2">
        <v>5004</v>
      </c>
      <c r="L5731" s="2" t="s">
        <v>38008</v>
      </c>
      <c r="M5731" s="2"/>
      <c r="N5731" s="2"/>
      <c r="O5731" s="2">
        <v>3342</v>
      </c>
      <c r="P5731" s="2" t="s">
        <v>38009</v>
      </c>
      <c r="Q5731" s="2" t="s">
        <v>38010</v>
      </c>
      <c r="R5731" s="2" t="s">
        <v>38011</v>
      </c>
      <c r="S5731" s="2" t="s">
        <v>148</v>
      </c>
      <c r="T5731" s="2" t="s">
        <v>149</v>
      </c>
      <c r="U5731" s="2" t="s">
        <v>5024</v>
      </c>
      <c r="V5731" s="2" t="s">
        <v>59</v>
      </c>
      <c r="W5731" s="2">
        <v>38.700000000000003</v>
      </c>
      <c r="X5731" s="2">
        <v>0</v>
      </c>
      <c r="Y5731" s="2" t="s">
        <v>266</v>
      </c>
      <c r="Z5731" s="2" t="s">
        <v>38012</v>
      </c>
      <c r="AA5731" s="2">
        <v>-0.62565137774983803</v>
      </c>
      <c r="AB5731" s="2">
        <v>6.63620948980264E-2</v>
      </c>
      <c r="AC5731" s="2">
        <v>2809.2578172686599</v>
      </c>
      <c r="AD5731" s="2">
        <v>3392.2158404592501</v>
      </c>
      <c r="AE5731" s="2">
        <v>2933.4797841152499</v>
      </c>
      <c r="AF5731" s="2">
        <v>2595.6946748176501</v>
      </c>
      <c r="AG5731" s="2">
        <v>2534.42999348693</v>
      </c>
      <c r="AH5731" s="2">
        <v>2067.7813191436699</v>
      </c>
      <c r="AI5731" s="2">
        <v>3448.4951189160402</v>
      </c>
      <c r="AJ5731" s="2">
        <v>3275.6660131324302</v>
      </c>
      <c r="AK5731" s="2">
        <v>2998.0228348349701</v>
      </c>
      <c r="AL5731" s="2">
        <v>3570.9771317126401</v>
      </c>
      <c r="AM5731" s="2">
        <v>3579.1007488520099</v>
      </c>
      <c r="AN5731" s="2">
        <v>4449.6573758713803</v>
      </c>
      <c r="AO5731" s="2">
        <v>2615.07580608853</v>
      </c>
      <c r="AP5731" s="2">
        <v>3140.4611453959701</v>
      </c>
    </row>
    <row r="5732" spans="1:42" ht="14.5" x14ac:dyDescent="0.35">
      <c r="A5732" s="2" t="s">
        <v>38013</v>
      </c>
      <c r="B5732" s="2">
        <v>427.32032148349901</v>
      </c>
      <c r="C5732" s="2">
        <v>5.9341833333333298</v>
      </c>
      <c r="D5732" s="2" t="s">
        <v>34</v>
      </c>
      <c r="E5732" s="2" t="s">
        <v>38014</v>
      </c>
      <c r="F5732" s="2">
        <v>45156</v>
      </c>
      <c r="G5732" s="3" t="str">
        <f>HYPERLINK("http://funmeta.oebiotech.com/network/45156", "http://funmeta.oebiotech.com/network/45156")</f>
        <v>http://funmeta.oebiotech.com/network/45156</v>
      </c>
      <c r="H5732" s="2" t="s">
        <v>38015</v>
      </c>
      <c r="I5732" s="2">
        <v>58367</v>
      </c>
      <c r="J5732" s="2" t="s">
        <v>38016</v>
      </c>
      <c r="K5732" s="2"/>
      <c r="L5732" s="2"/>
      <c r="M5732" s="2"/>
      <c r="N5732" s="2"/>
      <c r="O5732" s="2">
        <v>9547253</v>
      </c>
      <c r="P5732" s="2"/>
      <c r="Q5732" s="2" t="s">
        <v>38017</v>
      </c>
      <c r="R5732" s="2" t="s">
        <v>38018</v>
      </c>
      <c r="S5732" s="2" t="s">
        <v>50</v>
      </c>
      <c r="T5732" s="2" t="s">
        <v>124</v>
      </c>
      <c r="U5732" s="2" t="s">
        <v>982</v>
      </c>
      <c r="V5732" s="2" t="s">
        <v>59</v>
      </c>
      <c r="W5732" s="2">
        <v>37.299999999999997</v>
      </c>
      <c r="X5732" s="2">
        <v>0</v>
      </c>
      <c r="Y5732" s="2" t="s">
        <v>141</v>
      </c>
      <c r="Z5732" s="2" t="s">
        <v>38019</v>
      </c>
      <c r="AA5732" s="2">
        <v>-0.788064233578888</v>
      </c>
      <c r="AB5732" s="2">
        <v>6.6313723143625394E-2</v>
      </c>
      <c r="AC5732" s="2">
        <v>8750.3345732415291</v>
      </c>
      <c r="AD5732" s="2">
        <v>7935.4301914178604</v>
      </c>
      <c r="AE5732" s="2">
        <v>8597.7893368619407</v>
      </c>
      <c r="AF5732" s="2">
        <v>10624.8763556589</v>
      </c>
      <c r="AG5732" s="2">
        <v>7179.6256886922802</v>
      </c>
      <c r="AH5732" s="2">
        <v>8771.9801030137005</v>
      </c>
      <c r="AI5732" s="2">
        <v>7772.2735607941104</v>
      </c>
      <c r="AJ5732" s="2">
        <v>9555.4623944282303</v>
      </c>
      <c r="AK5732" s="2">
        <v>6286.5507343293202</v>
      </c>
      <c r="AL5732" s="2">
        <v>7353.62915141758</v>
      </c>
      <c r="AM5732" s="2">
        <v>7351.4985410346999</v>
      </c>
      <c r="AN5732" s="2">
        <v>8415.4800240253298</v>
      </c>
      <c r="AO5732" s="2">
        <v>8802.4136673059893</v>
      </c>
      <c r="AP5732" s="2">
        <v>9403.0090303942707</v>
      </c>
    </row>
    <row r="5733" spans="1:42" ht="14.5" x14ac:dyDescent="0.35">
      <c r="A5733" s="2" t="s">
        <v>38020</v>
      </c>
      <c r="B5733" s="2">
        <v>178.08616378999699</v>
      </c>
      <c r="C5733" s="2">
        <v>3.8783166666666702</v>
      </c>
      <c r="D5733" s="2" t="s">
        <v>34</v>
      </c>
      <c r="E5733" s="2" t="s">
        <v>38021</v>
      </c>
      <c r="F5733" s="2">
        <v>54202</v>
      </c>
      <c r="G5733" s="3" t="str">
        <f>HYPERLINK("http://funmeta.oebiotech.com/network/54202", "http://funmeta.oebiotech.com/network/54202")</f>
        <v>http://funmeta.oebiotech.com/network/54202</v>
      </c>
      <c r="H5733" s="2" t="s">
        <v>38022</v>
      </c>
      <c r="I5733" s="2">
        <v>65971</v>
      </c>
      <c r="J5733" s="2"/>
      <c r="K5733" s="2">
        <v>17215</v>
      </c>
      <c r="L5733" s="2" t="s">
        <v>38023</v>
      </c>
      <c r="M5733" s="2"/>
      <c r="N5733" s="2"/>
      <c r="O5733" s="2">
        <v>70652</v>
      </c>
      <c r="P5733" s="2" t="s">
        <v>38024</v>
      </c>
      <c r="Q5733" s="2" t="s">
        <v>38025</v>
      </c>
      <c r="R5733" s="2" t="s">
        <v>38026</v>
      </c>
      <c r="S5733" s="2" t="s">
        <v>89</v>
      </c>
      <c r="T5733" s="2" t="s">
        <v>90</v>
      </c>
      <c r="U5733" s="2" t="s">
        <v>99</v>
      </c>
      <c r="V5733" s="2" t="s">
        <v>42</v>
      </c>
      <c r="W5733" s="2">
        <v>49.5</v>
      </c>
      <c r="X5733" s="2">
        <v>57.1</v>
      </c>
      <c r="Y5733" s="2" t="s">
        <v>141</v>
      </c>
      <c r="Z5733" s="2" t="s">
        <v>5591</v>
      </c>
      <c r="AA5733" s="2">
        <v>-0.46768469076327401</v>
      </c>
      <c r="AB5733" s="2">
        <v>6.6261613176717596E-2</v>
      </c>
      <c r="AC5733" s="2">
        <v>6487.8460292025402</v>
      </c>
      <c r="AD5733" s="2">
        <v>5964.4360147334401</v>
      </c>
      <c r="AE5733" s="2">
        <v>6294.22858950507</v>
      </c>
      <c r="AF5733" s="2">
        <v>6991.9828937278398</v>
      </c>
      <c r="AG5733" s="2">
        <v>6934.4326376366598</v>
      </c>
      <c r="AH5733" s="2">
        <v>5701.6723692673004</v>
      </c>
      <c r="AI5733" s="2">
        <v>6610.3763733569604</v>
      </c>
      <c r="AJ5733" s="2">
        <v>6394.3833117213899</v>
      </c>
      <c r="AK5733" s="2">
        <v>6486.8211747214</v>
      </c>
      <c r="AL5733" s="2">
        <v>6180.6669426293902</v>
      </c>
      <c r="AM5733" s="2">
        <v>5553.4452913221003</v>
      </c>
      <c r="AN5733" s="2">
        <v>6001.8036082838798</v>
      </c>
      <c r="AO5733" s="2">
        <v>5422.4577378683498</v>
      </c>
      <c r="AP5733" s="2">
        <v>6141.4213335755403</v>
      </c>
    </row>
    <row r="5734" spans="1:42" ht="14.5" x14ac:dyDescent="0.35">
      <c r="A5734" s="2" t="s">
        <v>38027</v>
      </c>
      <c r="B5734" s="2">
        <v>981.57338592947804</v>
      </c>
      <c r="C5734" s="2">
        <v>8.7125000000000004</v>
      </c>
      <c r="D5734" s="2" t="s">
        <v>70</v>
      </c>
      <c r="E5734" s="2" t="s">
        <v>38028</v>
      </c>
      <c r="F5734" s="2">
        <v>230927</v>
      </c>
      <c r="G5734" s="3" t="str">
        <f>HYPERLINK("http://funmeta.oebiotech.com/network/230927", "http://funmeta.oebiotech.com/network/230927")</f>
        <v>http://funmeta.oebiotech.com/network/230927</v>
      </c>
      <c r="H5734" s="2" t="s">
        <v>38029</v>
      </c>
      <c r="I5734" s="2"/>
      <c r="J5734" s="2"/>
      <c r="K5734" s="2"/>
      <c r="L5734" s="2"/>
      <c r="M5734" s="2"/>
      <c r="N5734" s="2"/>
      <c r="O5734" s="2"/>
      <c r="P5734" s="2"/>
      <c r="Q5734" s="2" t="s">
        <v>38030</v>
      </c>
      <c r="R5734" s="2" t="s">
        <v>38031</v>
      </c>
      <c r="S5734" s="2" t="s">
        <v>41</v>
      </c>
      <c r="T5734" s="2" t="s">
        <v>41</v>
      </c>
      <c r="U5734" s="2" t="s">
        <v>41</v>
      </c>
      <c r="V5734" s="2" t="s">
        <v>59</v>
      </c>
      <c r="W5734" s="2">
        <v>40.299999999999997</v>
      </c>
      <c r="X5734" s="2">
        <v>9.8699999999999992</v>
      </c>
      <c r="Y5734" s="2" t="s">
        <v>751</v>
      </c>
      <c r="Z5734" s="2" t="s">
        <v>38032</v>
      </c>
      <c r="AA5734" s="2">
        <v>2.4022377943753401</v>
      </c>
      <c r="AB5734" s="2">
        <v>6.6251101967361697E-2</v>
      </c>
      <c r="AC5734" s="2">
        <v>133652.18525538201</v>
      </c>
      <c r="AD5734" s="2">
        <v>136161.71808387199</v>
      </c>
      <c r="AE5734" s="2">
        <v>151261.934100415</v>
      </c>
      <c r="AF5734" s="2">
        <v>139529.73584410199</v>
      </c>
      <c r="AG5734" s="2">
        <v>133038.37816325901</v>
      </c>
      <c r="AH5734" s="2">
        <v>123309.3493844</v>
      </c>
      <c r="AI5734" s="2">
        <v>132011.04244019001</v>
      </c>
      <c r="AJ5734" s="2">
        <v>122762.671599928</v>
      </c>
      <c r="AK5734" s="2">
        <v>125380.37403711599</v>
      </c>
      <c r="AL5734" s="2">
        <v>128277.51736343199</v>
      </c>
      <c r="AM5734" s="2">
        <v>158219.39855070901</v>
      </c>
      <c r="AN5734" s="2">
        <v>130908.09510542</v>
      </c>
      <c r="AO5734" s="2">
        <v>146313.599526659</v>
      </c>
      <c r="AP5734" s="2">
        <v>127871.323919898</v>
      </c>
    </row>
    <row r="5735" spans="1:42" ht="14.5" x14ac:dyDescent="0.35">
      <c r="A5735" s="2" t="s">
        <v>38033</v>
      </c>
      <c r="B5735" s="2">
        <v>353.120442451114</v>
      </c>
      <c r="C5735" s="2">
        <v>1.3287</v>
      </c>
      <c r="D5735" s="2" t="s">
        <v>34</v>
      </c>
      <c r="E5735" s="2" t="s">
        <v>38034</v>
      </c>
      <c r="F5735" s="2">
        <v>57330</v>
      </c>
      <c r="G5735" s="3" t="str">
        <f>HYPERLINK("http://funmeta.oebiotech.com/network/57330", "http://funmeta.oebiotech.com/network/57330")</f>
        <v>http://funmeta.oebiotech.com/network/57330</v>
      </c>
      <c r="H5735" s="2" t="s">
        <v>38035</v>
      </c>
      <c r="I5735" s="2"/>
      <c r="J5735" s="2"/>
      <c r="K5735" s="2">
        <v>168101</v>
      </c>
      <c r="L5735" s="2"/>
      <c r="M5735" s="2"/>
      <c r="N5735" s="2"/>
      <c r="O5735" s="2">
        <v>85257985</v>
      </c>
      <c r="P5735" s="2"/>
      <c r="Q5735" s="2" t="s">
        <v>38036</v>
      </c>
      <c r="R5735" s="2" t="s">
        <v>38037</v>
      </c>
      <c r="S5735" s="2" t="s">
        <v>79</v>
      </c>
      <c r="T5735" s="2" t="s">
        <v>80</v>
      </c>
      <c r="U5735" s="2" t="s">
        <v>81</v>
      </c>
      <c r="V5735" s="2" t="s">
        <v>59</v>
      </c>
      <c r="W5735" s="2">
        <v>39.799999999999997</v>
      </c>
      <c r="X5735" s="2">
        <v>3.16</v>
      </c>
      <c r="Y5735" s="2" t="s">
        <v>323</v>
      </c>
      <c r="Z5735" s="2" t="s">
        <v>2745</v>
      </c>
      <c r="AA5735" s="2">
        <v>-0.74482722785781996</v>
      </c>
      <c r="AB5735" s="2">
        <v>6.6237590055745102E-2</v>
      </c>
      <c r="AC5735" s="2">
        <v>69587.7513679767</v>
      </c>
      <c r="AD5735" s="2">
        <v>68040.542592653495</v>
      </c>
      <c r="AE5735" s="2">
        <v>69102.504550218597</v>
      </c>
      <c r="AF5735" s="2">
        <v>72707.948699209999</v>
      </c>
      <c r="AG5735" s="2">
        <v>63177.497584302502</v>
      </c>
      <c r="AH5735" s="2">
        <v>69553.185201823493</v>
      </c>
      <c r="AI5735" s="2">
        <v>68102.333523521796</v>
      </c>
      <c r="AJ5735" s="2">
        <v>74883.038648783593</v>
      </c>
      <c r="AK5735" s="2">
        <v>61992.449311836601</v>
      </c>
      <c r="AL5735" s="2">
        <v>75805.964824257899</v>
      </c>
      <c r="AM5735" s="2">
        <v>70607.623805540599</v>
      </c>
      <c r="AN5735" s="2">
        <v>68826.027268555103</v>
      </c>
      <c r="AO5735" s="2">
        <v>63460.7062862245</v>
      </c>
      <c r="AP5735" s="2">
        <v>67550.4840595063</v>
      </c>
    </row>
    <row r="5736" spans="1:42" ht="14.5" x14ac:dyDescent="0.35">
      <c r="A5736" s="2" t="s">
        <v>38038</v>
      </c>
      <c r="B5736" s="2">
        <v>511.124558466748</v>
      </c>
      <c r="C5736" s="2">
        <v>5.4125166666666704</v>
      </c>
      <c r="D5736" s="2" t="s">
        <v>70</v>
      </c>
      <c r="E5736" s="2" t="s">
        <v>38039</v>
      </c>
      <c r="F5736" s="2">
        <v>200380</v>
      </c>
      <c r="G5736" s="3" t="str">
        <f>HYPERLINK("http://funmeta.oebiotech.com/network/200380", "http://funmeta.oebiotech.com/network/200380")</f>
        <v>http://funmeta.oebiotech.com/network/200380</v>
      </c>
      <c r="H5736" s="2" t="s">
        <v>38040</v>
      </c>
      <c r="I5736" s="2"/>
      <c r="J5736" s="2"/>
      <c r="K5736" s="2"/>
      <c r="L5736" s="2"/>
      <c r="M5736" s="2"/>
      <c r="N5736" s="2"/>
      <c r="O5736" s="2">
        <v>10171487</v>
      </c>
      <c r="P5736" s="2"/>
      <c r="Q5736" s="2" t="s">
        <v>38041</v>
      </c>
      <c r="R5736" s="2" t="s">
        <v>38042</v>
      </c>
      <c r="S5736" s="2" t="s">
        <v>491</v>
      </c>
      <c r="T5736" s="2" t="s">
        <v>20731</v>
      </c>
      <c r="U5736" s="2" t="s">
        <v>41</v>
      </c>
      <c r="V5736" s="2" t="s">
        <v>59</v>
      </c>
      <c r="W5736" s="2">
        <v>37.700000000000003</v>
      </c>
      <c r="X5736" s="2">
        <v>0</v>
      </c>
      <c r="Y5736" s="2" t="s">
        <v>560</v>
      </c>
      <c r="Z5736" s="2" t="s">
        <v>38043</v>
      </c>
      <c r="AA5736" s="2">
        <v>-4.3604387825420003</v>
      </c>
      <c r="AB5736" s="2">
        <v>6.62145004336058E-2</v>
      </c>
      <c r="AC5736" s="2">
        <v>6456.1026648389197</v>
      </c>
      <c r="AD5736" s="2">
        <v>5752.7954919426202</v>
      </c>
      <c r="AE5736" s="2">
        <v>6354.59539264864</v>
      </c>
      <c r="AF5736" s="2">
        <v>7861.0655006384004</v>
      </c>
      <c r="AG5736" s="2">
        <v>5227.1422521808399</v>
      </c>
      <c r="AH5736" s="2">
        <v>6065.4300305148799</v>
      </c>
      <c r="AI5736" s="2">
        <v>5941.1668265164699</v>
      </c>
      <c r="AJ5736" s="2">
        <v>7287.2159865342601</v>
      </c>
      <c r="AK5736" s="2">
        <v>4605.7589959970601</v>
      </c>
      <c r="AL5736" s="2">
        <v>6934.2419354755702</v>
      </c>
      <c r="AM5736" s="2">
        <v>6176.8895583868298</v>
      </c>
      <c r="AN5736" s="2">
        <v>5593.7673427883901</v>
      </c>
      <c r="AO5736" s="2">
        <v>5410.5090902526099</v>
      </c>
      <c r="AP5736" s="2">
        <v>5795.60602875529</v>
      </c>
    </row>
    <row r="5737" spans="1:42" ht="14.5" x14ac:dyDescent="0.35">
      <c r="A5737" s="2" t="s">
        <v>38044</v>
      </c>
      <c r="B5737" s="2">
        <v>711.21394000458804</v>
      </c>
      <c r="C5737" s="2">
        <v>3.7870499999999998</v>
      </c>
      <c r="D5737" s="2" t="s">
        <v>70</v>
      </c>
      <c r="E5737" s="2" t="s">
        <v>38045</v>
      </c>
      <c r="F5737" s="2">
        <v>33519</v>
      </c>
      <c r="G5737" s="3" t="str">
        <f>HYPERLINK("http://funmeta.oebiotech.com/network/33519", "http://funmeta.oebiotech.com/network/33519")</f>
        <v>http://funmeta.oebiotech.com/network/33519</v>
      </c>
      <c r="H5737" s="2"/>
      <c r="I5737" s="2"/>
      <c r="J5737" s="2" t="s">
        <v>38046</v>
      </c>
      <c r="K5737" s="2">
        <v>140096</v>
      </c>
      <c r="L5737" s="2"/>
      <c r="M5737" s="2"/>
      <c r="N5737" s="2"/>
      <c r="O5737" s="2">
        <v>102317735</v>
      </c>
      <c r="P5737" s="2"/>
      <c r="Q5737" s="2" t="s">
        <v>38047</v>
      </c>
      <c r="R5737" s="2" t="s">
        <v>38048</v>
      </c>
      <c r="S5737" s="2" t="s">
        <v>115</v>
      </c>
      <c r="T5737" s="2" t="s">
        <v>139</v>
      </c>
      <c r="U5737" s="2" t="s">
        <v>140</v>
      </c>
      <c r="V5737" s="2" t="s">
        <v>42</v>
      </c>
      <c r="W5737" s="2">
        <v>55</v>
      </c>
      <c r="X5737" s="2">
        <v>77.400000000000006</v>
      </c>
      <c r="Y5737" s="2" t="s">
        <v>118</v>
      </c>
      <c r="Z5737" s="2" t="s">
        <v>17735</v>
      </c>
      <c r="AA5737" s="2">
        <v>-0.34820390030555298</v>
      </c>
      <c r="AB5737" s="2">
        <v>6.6167734647584894E-2</v>
      </c>
      <c r="AC5737" s="2">
        <v>1624565.43161431</v>
      </c>
      <c r="AD5737" s="2">
        <v>1630026.3204546201</v>
      </c>
      <c r="AE5737" s="2">
        <v>1618811.8312323501</v>
      </c>
      <c r="AF5737" s="2">
        <v>1603809.4952875699</v>
      </c>
      <c r="AG5737" s="2">
        <v>1623039.8868298801</v>
      </c>
      <c r="AH5737" s="2">
        <v>1546447.73942633</v>
      </c>
      <c r="AI5737" s="2">
        <v>1638927.32949979</v>
      </c>
      <c r="AJ5737" s="2">
        <v>1716356.3074099501</v>
      </c>
      <c r="AK5737" s="2">
        <v>1565994.2127815599</v>
      </c>
      <c r="AL5737" s="2">
        <v>1572053.21164841</v>
      </c>
      <c r="AM5737" s="2">
        <v>1741751.69116262</v>
      </c>
      <c r="AN5737" s="2">
        <v>1653191.16335854</v>
      </c>
      <c r="AO5737" s="2">
        <v>1562737.9034996899</v>
      </c>
      <c r="AP5737" s="2">
        <v>1684429.7402768999</v>
      </c>
    </row>
    <row r="5738" spans="1:42" ht="14.5" x14ac:dyDescent="0.35">
      <c r="A5738" s="2" t="s">
        <v>38049</v>
      </c>
      <c r="B5738" s="2">
        <v>193.04946130046301</v>
      </c>
      <c r="C5738" s="2">
        <v>4.2044333333333297</v>
      </c>
      <c r="D5738" s="2" t="s">
        <v>70</v>
      </c>
      <c r="E5738" s="2" t="s">
        <v>38050</v>
      </c>
      <c r="F5738" s="2">
        <v>53127</v>
      </c>
      <c r="G5738" s="3" t="str">
        <f>HYPERLINK("http://funmeta.oebiotech.com/network/53127", "http://funmeta.oebiotech.com/network/53127")</f>
        <v>http://funmeta.oebiotech.com/network/53127</v>
      </c>
      <c r="H5738" s="2" t="s">
        <v>38051</v>
      </c>
      <c r="I5738" s="2">
        <v>85179</v>
      </c>
      <c r="J5738" s="2"/>
      <c r="K5738" s="2">
        <v>72564</v>
      </c>
      <c r="L5738" s="2"/>
      <c r="M5738" s="2"/>
      <c r="N5738" s="2"/>
      <c r="O5738" s="2">
        <v>5394</v>
      </c>
      <c r="P5738" s="2" t="s">
        <v>38052</v>
      </c>
      <c r="Q5738" s="2" t="s">
        <v>38053</v>
      </c>
      <c r="R5738" s="2" t="s">
        <v>38054</v>
      </c>
      <c r="S5738" s="2" t="s">
        <v>491</v>
      </c>
      <c r="T5738" s="2" t="s">
        <v>38055</v>
      </c>
      <c r="U5738" s="2" t="s">
        <v>41</v>
      </c>
      <c r="V5738" s="2" t="s">
        <v>59</v>
      </c>
      <c r="W5738" s="2">
        <v>37.9</v>
      </c>
      <c r="X5738" s="2">
        <v>0</v>
      </c>
      <c r="Y5738" s="2" t="s">
        <v>118</v>
      </c>
      <c r="Z5738" s="2" t="s">
        <v>38056</v>
      </c>
      <c r="AA5738" s="2">
        <v>7.8033051407565797</v>
      </c>
      <c r="AB5738" s="2">
        <v>6.6136518048253906E-2</v>
      </c>
      <c r="AC5738" s="2">
        <v>1875.5830791527201</v>
      </c>
      <c r="AD5738" s="2">
        <v>1426.8511734300901</v>
      </c>
      <c r="AE5738" s="2">
        <v>2259.23749727417</v>
      </c>
      <c r="AF5738" s="2">
        <v>2046.34064572548</v>
      </c>
      <c r="AG5738" s="2">
        <v>1506.13078971805</v>
      </c>
      <c r="AH5738" s="2">
        <v>1784.0641435233799</v>
      </c>
      <c r="AI5738" s="2">
        <v>1923.5876950101599</v>
      </c>
      <c r="AJ5738" s="2">
        <v>1734.1377036650499</v>
      </c>
      <c r="AK5738" s="2">
        <v>1244.3236249388599</v>
      </c>
      <c r="AL5738" s="2">
        <v>1964.44301616848</v>
      </c>
      <c r="AM5738" s="2">
        <v>1419.43566632597</v>
      </c>
      <c r="AN5738" s="2">
        <v>1354.4438898235801</v>
      </c>
      <c r="AO5738" s="2">
        <v>988.09043775238604</v>
      </c>
      <c r="AP5738" s="2">
        <v>1590.3704055712501</v>
      </c>
    </row>
    <row r="5739" spans="1:42" ht="14.5" x14ac:dyDescent="0.35">
      <c r="A5739" s="2" t="s">
        <v>38057</v>
      </c>
      <c r="B5739" s="2">
        <v>505.17134658263899</v>
      </c>
      <c r="C5739" s="2">
        <v>5.5064166666666701</v>
      </c>
      <c r="D5739" s="2" t="s">
        <v>70</v>
      </c>
      <c r="E5739" s="2" t="s">
        <v>38058</v>
      </c>
      <c r="F5739" s="2">
        <v>534701</v>
      </c>
      <c r="G5739" s="3" t="str">
        <f>HYPERLINK("http://funmeta.oebiotech.com/network/534701", "http://funmeta.oebiotech.com/network/534701")</f>
        <v>http://funmeta.oebiotech.com/network/534701</v>
      </c>
      <c r="H5739" s="2"/>
      <c r="I5739" s="2">
        <v>985199</v>
      </c>
      <c r="J5739" s="2"/>
      <c r="K5739" s="2"/>
      <c r="L5739" s="2"/>
      <c r="M5739" s="2"/>
      <c r="N5739" s="2"/>
      <c r="O5739" s="2">
        <v>101683482</v>
      </c>
      <c r="P5739" s="2"/>
      <c r="Q5739" s="2" t="s">
        <v>38059</v>
      </c>
      <c r="R5739" s="2" t="s">
        <v>38060</v>
      </c>
      <c r="S5739" s="2" t="s">
        <v>50</v>
      </c>
      <c r="T5739" s="2" t="s">
        <v>201</v>
      </c>
      <c r="U5739" s="2" t="s">
        <v>1217</v>
      </c>
      <c r="V5739" s="2" t="s">
        <v>59</v>
      </c>
      <c r="W5739" s="2">
        <v>37.200000000000003</v>
      </c>
      <c r="X5739" s="2">
        <v>0</v>
      </c>
      <c r="Y5739" s="2" t="s">
        <v>408</v>
      </c>
      <c r="Z5739" s="2" t="s">
        <v>29796</v>
      </c>
      <c r="AA5739" s="2">
        <v>-0.41019621975834702</v>
      </c>
      <c r="AB5739" s="2">
        <v>6.6093886768897797E-2</v>
      </c>
      <c r="AC5739" s="2">
        <v>3479.1390317231999</v>
      </c>
      <c r="AD5739" s="2">
        <v>4183.5449870881303</v>
      </c>
      <c r="AE5739" s="2">
        <v>3648.0889257014201</v>
      </c>
      <c r="AF5739" s="2">
        <v>4198.3506059920901</v>
      </c>
      <c r="AG5739" s="2">
        <v>2745.1601056383602</v>
      </c>
      <c r="AH5739" s="2">
        <v>3081.6969921067998</v>
      </c>
      <c r="AI5739" s="2">
        <v>3228.3774260188102</v>
      </c>
      <c r="AJ5739" s="2">
        <v>3973.1601348817098</v>
      </c>
      <c r="AK5739" s="2">
        <v>4799.3876907946396</v>
      </c>
      <c r="AL5739" s="2">
        <v>5164.0503506308796</v>
      </c>
      <c r="AM5739" s="2">
        <v>3474.8488247651298</v>
      </c>
      <c r="AN5739" s="2">
        <v>5086.72261956495</v>
      </c>
      <c r="AO5739" s="2">
        <v>2430.6565643443701</v>
      </c>
      <c r="AP5739" s="2">
        <v>4145.6038724288201</v>
      </c>
    </row>
    <row r="5740" spans="1:42" ht="14.5" x14ac:dyDescent="0.35">
      <c r="A5740" s="2" t="s">
        <v>38061</v>
      </c>
      <c r="B5740" s="2">
        <v>469.132578207736</v>
      </c>
      <c r="C5740" s="2">
        <v>4.0592666666666704</v>
      </c>
      <c r="D5740" s="2" t="s">
        <v>70</v>
      </c>
      <c r="E5740" s="2" t="s">
        <v>38062</v>
      </c>
      <c r="F5740" s="2">
        <v>52207</v>
      </c>
      <c r="G5740" s="3" t="str">
        <f>HYPERLINK("http://funmeta.oebiotech.com/network/52207", "http://funmeta.oebiotech.com/network/52207")</f>
        <v>http://funmeta.oebiotech.com/network/52207</v>
      </c>
      <c r="H5740" s="2" t="s">
        <v>38063</v>
      </c>
      <c r="I5740" s="2"/>
      <c r="J5740" s="2"/>
      <c r="K5740" s="2">
        <v>172476</v>
      </c>
      <c r="L5740" s="2"/>
      <c r="M5740" s="2"/>
      <c r="N5740" s="2"/>
      <c r="O5740" s="2">
        <v>18877593</v>
      </c>
      <c r="P5740" s="2"/>
      <c r="Q5740" s="2" t="s">
        <v>38064</v>
      </c>
      <c r="R5740" s="2" t="s">
        <v>38065</v>
      </c>
      <c r="S5740" s="2" t="s">
        <v>491</v>
      </c>
      <c r="T5740" s="2" t="s">
        <v>7431</v>
      </c>
      <c r="U5740" s="2" t="s">
        <v>7432</v>
      </c>
      <c r="V5740" s="2" t="s">
        <v>59</v>
      </c>
      <c r="W5740" s="2">
        <v>39.1</v>
      </c>
      <c r="X5740" s="2">
        <v>0</v>
      </c>
      <c r="Y5740" s="2" t="s">
        <v>560</v>
      </c>
      <c r="Z5740" s="2" t="s">
        <v>38066</v>
      </c>
      <c r="AA5740" s="2">
        <v>-2.6028418710976502</v>
      </c>
      <c r="AB5740" s="2">
        <v>6.6050370775960598E-2</v>
      </c>
      <c r="AC5740" s="2">
        <v>6696.4137248123297</v>
      </c>
      <c r="AD5740" s="2">
        <v>5702.6864783993697</v>
      </c>
      <c r="AE5740" s="2">
        <v>5827.4259452246897</v>
      </c>
      <c r="AF5740" s="2">
        <v>6261.8488614716898</v>
      </c>
      <c r="AG5740" s="2">
        <v>4936.40746198323</v>
      </c>
      <c r="AH5740" s="2">
        <v>7197.4940428487698</v>
      </c>
      <c r="AI5740" s="2">
        <v>7865.3154104472696</v>
      </c>
      <c r="AJ5740" s="2">
        <v>8089.9906268983004</v>
      </c>
      <c r="AK5740" s="2">
        <v>7490.9079102712103</v>
      </c>
      <c r="AL5740" s="2">
        <v>8470.5699570028901</v>
      </c>
      <c r="AM5740" s="2">
        <v>4570.8200781947999</v>
      </c>
      <c r="AN5740" s="2">
        <v>2002.47588032971</v>
      </c>
      <c r="AO5740" s="2">
        <v>5886.8524489770498</v>
      </c>
      <c r="AP5740" s="2">
        <v>5794.4925956205498</v>
      </c>
    </row>
    <row r="5741" spans="1:42" ht="14.5" x14ac:dyDescent="0.35">
      <c r="A5741" s="2" t="s">
        <v>38067</v>
      </c>
      <c r="B5741" s="2">
        <v>1135.3493050843001</v>
      </c>
      <c r="C5741" s="2">
        <v>4.5065833333333298</v>
      </c>
      <c r="D5741" s="2" t="s">
        <v>70</v>
      </c>
      <c r="E5741" s="2" t="s">
        <v>38068</v>
      </c>
      <c r="F5741" s="2">
        <v>289888</v>
      </c>
      <c r="G5741" s="3" t="str">
        <f>HYPERLINK("http://funmeta.oebiotech.com/network/289888", "http://funmeta.oebiotech.com/network/289888")</f>
        <v>http://funmeta.oebiotech.com/network/289888</v>
      </c>
      <c r="H5741" s="2"/>
      <c r="I5741" s="2">
        <v>985139</v>
      </c>
      <c r="J5741" s="2"/>
      <c r="K5741" s="2"/>
      <c r="L5741" s="2"/>
      <c r="M5741" s="2"/>
      <c r="N5741" s="2"/>
      <c r="O5741" s="2">
        <v>95224384</v>
      </c>
      <c r="P5741" s="2"/>
      <c r="Q5741" s="2" t="s">
        <v>38069</v>
      </c>
      <c r="R5741" s="2" t="s">
        <v>38070</v>
      </c>
      <c r="S5741" s="2" t="s">
        <v>79</v>
      </c>
      <c r="T5741" s="2" t="s">
        <v>80</v>
      </c>
      <c r="U5741" s="2" t="s">
        <v>81</v>
      </c>
      <c r="V5741" s="2" t="s">
        <v>59</v>
      </c>
      <c r="W5741" s="2">
        <v>37.200000000000003</v>
      </c>
      <c r="X5741" s="2">
        <v>0</v>
      </c>
      <c r="Y5741" s="2" t="s">
        <v>560</v>
      </c>
      <c r="Z5741" s="2" t="s">
        <v>38071</v>
      </c>
      <c r="AA5741" s="2">
        <v>-1.6103051996913</v>
      </c>
      <c r="AB5741" s="2">
        <v>6.6007241740156805E-2</v>
      </c>
      <c r="AC5741" s="2">
        <v>16385.329128646699</v>
      </c>
      <c r="AD5741" s="2">
        <v>17892.544882060702</v>
      </c>
      <c r="AE5741" s="2">
        <v>12828.346225290201</v>
      </c>
      <c r="AF5741" s="2">
        <v>18103.615424360101</v>
      </c>
      <c r="AG5741" s="2">
        <v>14687.6361680302</v>
      </c>
      <c r="AH5741" s="2">
        <v>14192.332142301701</v>
      </c>
      <c r="AI5741" s="2">
        <v>16397.8571683187</v>
      </c>
      <c r="AJ5741" s="2">
        <v>22102.187643579298</v>
      </c>
      <c r="AK5741" s="2">
        <v>14023.2589586459</v>
      </c>
      <c r="AL5741" s="2">
        <v>12858.313926709199</v>
      </c>
      <c r="AM5741" s="2">
        <v>19480.299264620699</v>
      </c>
      <c r="AN5741" s="2">
        <v>21969.3872009716</v>
      </c>
      <c r="AO5741" s="2">
        <v>13441.2258478641</v>
      </c>
      <c r="AP5741" s="2">
        <v>25582.784093552498</v>
      </c>
    </row>
    <row r="5742" spans="1:42" ht="14.5" x14ac:dyDescent="0.35">
      <c r="A5742" s="2" t="s">
        <v>38072</v>
      </c>
      <c r="B5742" s="2">
        <v>383.19203231190897</v>
      </c>
      <c r="C5742" s="2">
        <v>3.8429333333333302</v>
      </c>
      <c r="D5742" s="2" t="s">
        <v>70</v>
      </c>
      <c r="E5742" s="2" t="s">
        <v>38073</v>
      </c>
      <c r="F5742" s="2">
        <v>202629</v>
      </c>
      <c r="G5742" s="3" t="str">
        <f>HYPERLINK("http://funmeta.oebiotech.com/network/202629", "http://funmeta.oebiotech.com/network/202629")</f>
        <v>http://funmeta.oebiotech.com/network/202629</v>
      </c>
      <c r="H5742" s="2" t="s">
        <v>38074</v>
      </c>
      <c r="I5742" s="2"/>
      <c r="J5742" s="2"/>
      <c r="K5742" s="2"/>
      <c r="L5742" s="2"/>
      <c r="M5742" s="2"/>
      <c r="N5742" s="2"/>
      <c r="O5742" s="2">
        <v>12898083</v>
      </c>
      <c r="P5742" s="2"/>
      <c r="Q5742" s="2" t="s">
        <v>38075</v>
      </c>
      <c r="R5742" s="2" t="s">
        <v>38076</v>
      </c>
      <c r="S5742" s="2" t="s">
        <v>50</v>
      </c>
      <c r="T5742" s="2" t="s">
        <v>229</v>
      </c>
      <c r="U5742" s="2" t="s">
        <v>1283</v>
      </c>
      <c r="V5742" s="2" t="s">
        <v>59</v>
      </c>
      <c r="W5742" s="2">
        <v>39.6</v>
      </c>
      <c r="X5742" s="2">
        <v>0</v>
      </c>
      <c r="Y5742" s="2" t="s">
        <v>560</v>
      </c>
      <c r="Z5742" s="2" t="s">
        <v>38077</v>
      </c>
      <c r="AA5742" s="2">
        <v>-0.62071372145210102</v>
      </c>
      <c r="AB5742" s="2">
        <v>6.5817459331375797E-2</v>
      </c>
      <c r="AC5742" s="2">
        <v>2363.79498740798</v>
      </c>
      <c r="AD5742" s="2">
        <v>1929.24393249222</v>
      </c>
      <c r="AE5742" s="2">
        <v>2394.3800864591099</v>
      </c>
      <c r="AF5742" s="2">
        <v>2592.0177436495501</v>
      </c>
      <c r="AG5742" s="2">
        <v>2379.3234517923102</v>
      </c>
      <c r="AH5742" s="2">
        <v>2039.4956296809901</v>
      </c>
      <c r="AI5742" s="2">
        <v>2219.5121565948598</v>
      </c>
      <c r="AJ5742" s="2">
        <v>2558.04085627105</v>
      </c>
      <c r="AK5742" s="2">
        <v>2098.8169537263402</v>
      </c>
      <c r="AL5742" s="2">
        <v>2189.6375773295399</v>
      </c>
      <c r="AM5742" s="2">
        <v>1834.1233643922301</v>
      </c>
      <c r="AN5742" s="2">
        <v>2119.2618671294099</v>
      </c>
      <c r="AO5742" s="2">
        <v>2040.3503380207001</v>
      </c>
      <c r="AP5742" s="2">
        <v>1293.27349435509</v>
      </c>
    </row>
    <row r="5743" spans="1:42" ht="14.5" x14ac:dyDescent="0.35">
      <c r="A5743" s="2" t="s">
        <v>38078</v>
      </c>
      <c r="B5743" s="2">
        <v>148.11188828904599</v>
      </c>
      <c r="C5743" s="2">
        <v>14.1747</v>
      </c>
      <c r="D5743" s="2" t="s">
        <v>34</v>
      </c>
      <c r="E5743" s="2" t="s">
        <v>38079</v>
      </c>
      <c r="F5743" s="2">
        <v>294173</v>
      </c>
      <c r="G5743" s="3" t="str">
        <f>HYPERLINK("http://funmeta.oebiotech.com/network/294173", "http://funmeta.oebiotech.com/network/294173")</f>
        <v>http://funmeta.oebiotech.com/network/294173</v>
      </c>
      <c r="H5743" s="2"/>
      <c r="I5743" s="2">
        <v>318185</v>
      </c>
      <c r="J5743" s="2"/>
      <c r="K5743" s="2"/>
      <c r="L5743" s="2"/>
      <c r="M5743" s="2"/>
      <c r="N5743" s="2"/>
      <c r="O5743" s="2">
        <v>66678</v>
      </c>
      <c r="P5743" s="2"/>
      <c r="Q5743" s="2" t="s">
        <v>38080</v>
      </c>
      <c r="R5743" s="2" t="s">
        <v>38081</v>
      </c>
      <c r="S5743" s="2" t="s">
        <v>491</v>
      </c>
      <c r="T5743" s="2" t="s">
        <v>1516</v>
      </c>
      <c r="U5743" s="2" t="s">
        <v>17752</v>
      </c>
      <c r="V5743" s="2" t="s">
        <v>59</v>
      </c>
      <c r="W5743" s="2">
        <v>39.6</v>
      </c>
      <c r="X5743" s="2">
        <v>0</v>
      </c>
      <c r="Y5743" s="2" t="s">
        <v>394</v>
      </c>
      <c r="Z5743" s="2" t="s">
        <v>36024</v>
      </c>
      <c r="AA5743" s="2">
        <v>-1.2750410925470901</v>
      </c>
      <c r="AB5743" s="2">
        <v>6.57692769672137E-2</v>
      </c>
      <c r="AC5743" s="2">
        <v>4252.9882955103203</v>
      </c>
      <c r="AD5743" s="2">
        <v>3860.8345789119599</v>
      </c>
      <c r="AE5743" s="2">
        <v>4056.48046061282</v>
      </c>
      <c r="AF5743" s="2">
        <v>4440.6174737264</v>
      </c>
      <c r="AG5743" s="2">
        <v>4291.25613704035</v>
      </c>
      <c r="AH5743" s="2">
        <v>4158.0108101817104</v>
      </c>
      <c r="AI5743" s="2">
        <v>4267.15192152894</v>
      </c>
      <c r="AJ5743" s="2">
        <v>4304.4129699717196</v>
      </c>
      <c r="AK5743" s="2">
        <v>3939.5297457811698</v>
      </c>
      <c r="AL5743" s="2">
        <v>4253.4764841421702</v>
      </c>
      <c r="AM5743" s="2">
        <v>3952.6518429880798</v>
      </c>
      <c r="AN5743" s="2">
        <v>3646.9411497552001</v>
      </c>
      <c r="AO5743" s="2">
        <v>3870.40369853521</v>
      </c>
      <c r="AP5743" s="2">
        <v>3502.0045522699602</v>
      </c>
    </row>
    <row r="5744" spans="1:42" ht="14.5" x14ac:dyDescent="0.35">
      <c r="A5744" s="2" t="s">
        <v>38082</v>
      </c>
      <c r="B5744" s="2">
        <v>515.26234518526496</v>
      </c>
      <c r="C5744" s="2">
        <v>9.9781666666666702</v>
      </c>
      <c r="D5744" s="2" t="s">
        <v>34</v>
      </c>
      <c r="E5744" s="2" t="s">
        <v>38083</v>
      </c>
      <c r="F5744" s="2">
        <v>209467</v>
      </c>
      <c r="G5744" s="3" t="str">
        <f>HYPERLINK("http://funmeta.oebiotech.com/network/209467", "http://funmeta.oebiotech.com/network/209467")</f>
        <v>http://funmeta.oebiotech.com/network/209467</v>
      </c>
      <c r="H5744" s="2" t="s">
        <v>38084</v>
      </c>
      <c r="I5744" s="2"/>
      <c r="J5744" s="2"/>
      <c r="K5744" s="2"/>
      <c r="L5744" s="2"/>
      <c r="M5744" s="2"/>
      <c r="N5744" s="2"/>
      <c r="O5744" s="2">
        <v>3081114</v>
      </c>
      <c r="P5744" s="2"/>
      <c r="Q5744" s="2" t="s">
        <v>38085</v>
      </c>
      <c r="R5744" s="2" t="s">
        <v>38086</v>
      </c>
      <c r="S5744" s="2" t="s">
        <v>41</v>
      </c>
      <c r="T5744" s="2" t="s">
        <v>41</v>
      </c>
      <c r="U5744" s="2" t="s">
        <v>41</v>
      </c>
      <c r="V5744" s="2" t="s">
        <v>59</v>
      </c>
      <c r="W5744" s="2">
        <v>38.700000000000003</v>
      </c>
      <c r="X5744" s="2">
        <v>0.14199999999999999</v>
      </c>
      <c r="Y5744" s="2" t="s">
        <v>340</v>
      </c>
      <c r="Z5744" s="2" t="s">
        <v>38087</v>
      </c>
      <c r="AA5744" s="2">
        <v>-1.4345889590921801</v>
      </c>
      <c r="AB5744" s="2">
        <v>6.5744930015106895E-2</v>
      </c>
      <c r="AC5744" s="2">
        <v>1968.6426432589899</v>
      </c>
      <c r="AD5744" s="2">
        <v>1505.8420780536901</v>
      </c>
      <c r="AE5744" s="2">
        <v>1803.07098948098</v>
      </c>
      <c r="AF5744" s="2">
        <v>2107.37276005793</v>
      </c>
      <c r="AG5744" s="2">
        <v>2026.4005708354</v>
      </c>
      <c r="AH5744" s="2">
        <v>2190.6093917911098</v>
      </c>
      <c r="AI5744" s="2">
        <v>1566.8837280334701</v>
      </c>
      <c r="AJ5744" s="2">
        <v>2117.5184193550799</v>
      </c>
      <c r="AK5744" s="2">
        <v>2096.98720838811</v>
      </c>
      <c r="AL5744" s="2">
        <v>1038.2259969126401</v>
      </c>
      <c r="AM5744" s="2">
        <v>1371.92417231628</v>
      </c>
      <c r="AN5744" s="2">
        <v>1496.6888000807801</v>
      </c>
      <c r="AO5744" s="2">
        <v>1171.1284433288099</v>
      </c>
      <c r="AP5744" s="2">
        <v>1860.0978472955001</v>
      </c>
    </row>
    <row r="5745" spans="1:42" ht="14.5" x14ac:dyDescent="0.35">
      <c r="A5745" s="2" t="s">
        <v>38088</v>
      </c>
      <c r="B5745" s="2">
        <v>256.04257884662502</v>
      </c>
      <c r="C5745" s="2">
        <v>1.06171666666667</v>
      </c>
      <c r="D5745" s="2" t="s">
        <v>34</v>
      </c>
      <c r="E5745" s="2" t="s">
        <v>38089</v>
      </c>
      <c r="F5745" s="2">
        <v>211527</v>
      </c>
      <c r="G5745" s="3" t="str">
        <f>HYPERLINK("http://funmeta.oebiotech.com/network/211527", "http://funmeta.oebiotech.com/network/211527")</f>
        <v>http://funmeta.oebiotech.com/network/211527</v>
      </c>
      <c r="H5745" s="2" t="s">
        <v>38090</v>
      </c>
      <c r="I5745" s="2"/>
      <c r="J5745" s="2"/>
      <c r="K5745" s="2"/>
      <c r="L5745" s="2"/>
      <c r="M5745" s="2"/>
      <c r="N5745" s="2"/>
      <c r="O5745" s="2"/>
      <c r="P5745" s="2"/>
      <c r="Q5745" s="2" t="s">
        <v>38091</v>
      </c>
      <c r="R5745" s="2" t="s">
        <v>38092</v>
      </c>
      <c r="S5745" s="2" t="s">
        <v>41</v>
      </c>
      <c r="T5745" s="2" t="s">
        <v>41</v>
      </c>
      <c r="U5745" s="2" t="s">
        <v>41</v>
      </c>
      <c r="V5745" s="2" t="s">
        <v>59</v>
      </c>
      <c r="W5745" s="2">
        <v>38.6</v>
      </c>
      <c r="X5745" s="2">
        <v>0</v>
      </c>
      <c r="Y5745" s="2" t="s">
        <v>323</v>
      </c>
      <c r="Z5745" s="2" t="s">
        <v>38093</v>
      </c>
      <c r="AA5745" s="2">
        <v>-0.83040083866371805</v>
      </c>
      <c r="AB5745" s="2">
        <v>6.5695703174388206E-2</v>
      </c>
      <c r="AC5745" s="2">
        <v>1706.87890294567</v>
      </c>
      <c r="AD5745" s="2">
        <v>2208.04249409355</v>
      </c>
      <c r="AE5745" s="2">
        <v>1824.63645366388</v>
      </c>
      <c r="AF5745" s="2">
        <v>1827.12077934629</v>
      </c>
      <c r="AG5745" s="2">
        <v>2436.9529814482298</v>
      </c>
      <c r="AH5745" s="2">
        <v>1013.7842701734</v>
      </c>
      <c r="AI5745" s="2">
        <v>1785.93948847807</v>
      </c>
      <c r="AJ5745" s="2">
        <v>1352.83944456417</v>
      </c>
      <c r="AK5745" s="2">
        <v>1758.1387291423</v>
      </c>
      <c r="AL5745" s="2">
        <v>2040.86850557914</v>
      </c>
      <c r="AM5745" s="2">
        <v>2550.9549710075898</v>
      </c>
      <c r="AN5745" s="2">
        <v>2239.71634149389</v>
      </c>
      <c r="AO5745" s="2">
        <v>2173.77044315273</v>
      </c>
      <c r="AP5745" s="2">
        <v>2484.80597418567</v>
      </c>
    </row>
    <row r="5746" spans="1:42" ht="14.5" x14ac:dyDescent="0.35">
      <c r="A5746" s="2" t="s">
        <v>38094</v>
      </c>
      <c r="B5746" s="2">
        <v>334.994084365476</v>
      </c>
      <c r="C5746" s="2">
        <v>9.4396666666666693</v>
      </c>
      <c r="D5746" s="2" t="s">
        <v>70</v>
      </c>
      <c r="E5746" s="2" t="s">
        <v>38095</v>
      </c>
      <c r="F5746" s="2">
        <v>53404</v>
      </c>
      <c r="G5746" s="3" t="str">
        <f>HYPERLINK("http://funmeta.oebiotech.com/network/53404", "http://funmeta.oebiotech.com/network/53404")</f>
        <v>http://funmeta.oebiotech.com/network/53404</v>
      </c>
      <c r="H5746" s="2" t="s">
        <v>38096</v>
      </c>
      <c r="I5746" s="2">
        <v>66668</v>
      </c>
      <c r="J5746" s="2"/>
      <c r="K5746" s="2">
        <v>4445</v>
      </c>
      <c r="L5746" s="2" t="s">
        <v>38097</v>
      </c>
      <c r="M5746" s="2"/>
      <c r="N5746" s="2"/>
      <c r="O5746" s="2">
        <v>42113</v>
      </c>
      <c r="P5746" s="2" t="s">
        <v>38098</v>
      </c>
      <c r="Q5746" s="2" t="s">
        <v>38099</v>
      </c>
      <c r="R5746" s="2" t="s">
        <v>38100</v>
      </c>
      <c r="S5746" s="2" t="s">
        <v>2811</v>
      </c>
      <c r="T5746" s="2" t="s">
        <v>17794</v>
      </c>
      <c r="U5746" s="2" t="s">
        <v>41</v>
      </c>
      <c r="V5746" s="2" t="s">
        <v>59</v>
      </c>
      <c r="W5746" s="2">
        <v>39.299999999999997</v>
      </c>
      <c r="X5746" s="2">
        <v>0</v>
      </c>
      <c r="Y5746" s="2" t="s">
        <v>560</v>
      </c>
      <c r="Z5746" s="2" t="s">
        <v>38101</v>
      </c>
      <c r="AA5746" s="2">
        <v>-1.80716180902351</v>
      </c>
      <c r="AB5746" s="2">
        <v>6.5684879231566795E-2</v>
      </c>
      <c r="AC5746" s="2">
        <v>5217.0070450160401</v>
      </c>
      <c r="AD5746" s="2">
        <v>5628.2312416556297</v>
      </c>
      <c r="AE5746" s="2">
        <v>5461.80921315257</v>
      </c>
      <c r="AF5746" s="2">
        <v>5406.4188319759096</v>
      </c>
      <c r="AG5746" s="2">
        <v>5135.6885803166597</v>
      </c>
      <c r="AH5746" s="2">
        <v>4963.75520516292</v>
      </c>
      <c r="AI5746" s="2">
        <v>5138.5990103281001</v>
      </c>
      <c r="AJ5746" s="2">
        <v>5195.7714291600996</v>
      </c>
      <c r="AK5746" s="2">
        <v>5872.3034616205496</v>
      </c>
      <c r="AL5746" s="2">
        <v>5466.7342871896699</v>
      </c>
      <c r="AM5746" s="2">
        <v>6019.15249684009</v>
      </c>
      <c r="AN5746" s="2">
        <v>5323.0317295889599</v>
      </c>
      <c r="AO5746" s="2">
        <v>5675.0392439034604</v>
      </c>
      <c r="AP5746" s="2">
        <v>5413.1262307910501</v>
      </c>
    </row>
    <row r="5747" spans="1:42" ht="14.5" x14ac:dyDescent="0.35">
      <c r="A5747" s="2" t="s">
        <v>38102</v>
      </c>
      <c r="B5747" s="2">
        <v>242.084537269587</v>
      </c>
      <c r="C5747" s="2">
        <v>2.65933333333333</v>
      </c>
      <c r="D5747" s="2" t="s">
        <v>34</v>
      </c>
      <c r="E5747" s="2" t="s">
        <v>38103</v>
      </c>
      <c r="F5747" s="2">
        <v>63488</v>
      </c>
      <c r="G5747" s="3" t="str">
        <f>HYPERLINK("http://funmeta.oebiotech.com/network/63488", "http://funmeta.oebiotech.com/network/63488")</f>
        <v>http://funmeta.oebiotech.com/network/63488</v>
      </c>
      <c r="H5747" s="2" t="s">
        <v>38104</v>
      </c>
      <c r="I5747" s="2">
        <v>94814</v>
      </c>
      <c r="J5747" s="2"/>
      <c r="K5747" s="2"/>
      <c r="L5747" s="2"/>
      <c r="M5747" s="2"/>
      <c r="N5747" s="2"/>
      <c r="O5747" s="2">
        <v>3035207</v>
      </c>
      <c r="P5747" s="2" t="s">
        <v>38105</v>
      </c>
      <c r="Q5747" s="2" t="s">
        <v>38106</v>
      </c>
      <c r="R5747" s="2" t="s">
        <v>38107</v>
      </c>
      <c r="S5747" s="2" t="s">
        <v>148</v>
      </c>
      <c r="T5747" s="2" t="s">
        <v>149</v>
      </c>
      <c r="U5747" s="2" t="s">
        <v>8454</v>
      </c>
      <c r="V5747" s="2" t="s">
        <v>59</v>
      </c>
      <c r="W5747" s="2">
        <v>39</v>
      </c>
      <c r="X5747" s="2">
        <v>0</v>
      </c>
      <c r="Y5747" s="2" t="s">
        <v>394</v>
      </c>
      <c r="Z5747" s="2" t="s">
        <v>38108</v>
      </c>
      <c r="AA5747" s="2">
        <v>-1.4546965736356599E-2</v>
      </c>
      <c r="AB5747" s="2">
        <v>6.5582007793606706E-2</v>
      </c>
      <c r="AC5747" s="2">
        <v>3642.7207304117701</v>
      </c>
      <c r="AD5747" s="2">
        <v>4056.65139556445</v>
      </c>
      <c r="AE5747" s="2">
        <v>3970.2384148646202</v>
      </c>
      <c r="AF5747" s="2">
        <v>3745.8317657130001</v>
      </c>
      <c r="AG5747" s="2">
        <v>3580.9980151524501</v>
      </c>
      <c r="AH5747" s="2">
        <v>3568.0360433246201</v>
      </c>
      <c r="AI5747" s="2">
        <v>3730.3055058311702</v>
      </c>
      <c r="AJ5747" s="2">
        <v>3260.9146375847799</v>
      </c>
      <c r="AK5747" s="2">
        <v>4261.8055387859504</v>
      </c>
      <c r="AL5747" s="2">
        <v>4100.5843620257301</v>
      </c>
      <c r="AM5747" s="2">
        <v>3805.3199821596199</v>
      </c>
      <c r="AN5747" s="2">
        <v>4169.1701015998897</v>
      </c>
      <c r="AO5747" s="2">
        <v>4306.3305095477899</v>
      </c>
      <c r="AP5747" s="2">
        <v>3696.6978792677301</v>
      </c>
    </row>
    <row r="5748" spans="1:42" ht="14.5" x14ac:dyDescent="0.35">
      <c r="A5748" s="2" t="s">
        <v>38109</v>
      </c>
      <c r="B5748" s="2">
        <v>291.14329838059501</v>
      </c>
      <c r="C5748" s="2">
        <v>3.9481333333333302</v>
      </c>
      <c r="D5748" s="2" t="s">
        <v>34</v>
      </c>
      <c r="E5748" s="2" t="s">
        <v>38110</v>
      </c>
      <c r="F5748" s="2">
        <v>53912</v>
      </c>
      <c r="G5748" s="3" t="str">
        <f>HYPERLINK("http://funmeta.oebiotech.com/network/53912", "http://funmeta.oebiotech.com/network/53912")</f>
        <v>http://funmeta.oebiotech.com/network/53912</v>
      </c>
      <c r="H5748" s="2" t="s">
        <v>38111</v>
      </c>
      <c r="I5748" s="2">
        <v>23749</v>
      </c>
      <c r="J5748" s="2"/>
      <c r="K5748" s="2">
        <v>141437</v>
      </c>
      <c r="L5748" s="2"/>
      <c r="M5748" s="2"/>
      <c r="N5748" s="2"/>
      <c r="O5748" s="2">
        <v>9900065</v>
      </c>
      <c r="P5748" s="2" t="s">
        <v>38112</v>
      </c>
      <c r="Q5748" s="2" t="s">
        <v>38113</v>
      </c>
      <c r="R5748" s="2" t="s">
        <v>38114</v>
      </c>
      <c r="S5748" s="2" t="s">
        <v>89</v>
      </c>
      <c r="T5748" s="2" t="s">
        <v>90</v>
      </c>
      <c r="U5748" s="2" t="s">
        <v>99</v>
      </c>
      <c r="V5748" s="2" t="s">
        <v>59</v>
      </c>
      <c r="W5748" s="2">
        <v>37.700000000000003</v>
      </c>
      <c r="X5748" s="2">
        <v>0</v>
      </c>
      <c r="Y5748" s="2" t="s">
        <v>323</v>
      </c>
      <c r="Z5748" s="2" t="s">
        <v>38115</v>
      </c>
      <c r="AA5748" s="2">
        <v>2.00326019792633</v>
      </c>
      <c r="AB5748" s="2">
        <v>6.5521586307786595E-2</v>
      </c>
      <c r="AC5748" s="2">
        <v>1490.7278139560501</v>
      </c>
      <c r="AD5748" s="2">
        <v>2005.04393691153</v>
      </c>
      <c r="AE5748" s="2">
        <v>1356.7842052532001</v>
      </c>
      <c r="AF5748" s="2">
        <v>1430.0764427320901</v>
      </c>
      <c r="AG5748" s="2">
        <v>1161.5900814957399</v>
      </c>
      <c r="AH5748" s="2">
        <v>1684.63001022256</v>
      </c>
      <c r="AI5748" s="2">
        <v>2203.7118455649302</v>
      </c>
      <c r="AJ5748" s="2">
        <v>1107.5742984678</v>
      </c>
      <c r="AK5748" s="2">
        <v>1342.75243848433</v>
      </c>
      <c r="AL5748" s="2">
        <v>1856.74054320094</v>
      </c>
      <c r="AM5748" s="2">
        <v>1662.0397384145199</v>
      </c>
      <c r="AN5748" s="2">
        <v>2589.0046471210899</v>
      </c>
      <c r="AO5748" s="2">
        <v>2075.67355247142</v>
      </c>
      <c r="AP5748" s="2">
        <v>2504.0527017769</v>
      </c>
    </row>
    <row r="5749" spans="1:42" ht="14.5" x14ac:dyDescent="0.35">
      <c r="A5749" s="2" t="s">
        <v>38116</v>
      </c>
      <c r="B5749" s="2">
        <v>181.00525725219899</v>
      </c>
      <c r="C5749" s="2">
        <v>3.7303666666666699</v>
      </c>
      <c r="D5749" s="2" t="s">
        <v>70</v>
      </c>
      <c r="E5749" s="2" t="s">
        <v>38117</v>
      </c>
      <c r="F5749" s="2">
        <v>211109</v>
      </c>
      <c r="G5749" s="3" t="str">
        <f>HYPERLINK("http://funmeta.oebiotech.com/network/211109", "http://funmeta.oebiotech.com/network/211109")</f>
        <v>http://funmeta.oebiotech.com/network/211109</v>
      </c>
      <c r="H5749" s="2" t="s">
        <v>38118</v>
      </c>
      <c r="I5749" s="2"/>
      <c r="J5749" s="2"/>
      <c r="K5749" s="2"/>
      <c r="L5749" s="2"/>
      <c r="M5749" s="2"/>
      <c r="N5749" s="2"/>
      <c r="O5749" s="2"/>
      <c r="P5749" s="2"/>
      <c r="Q5749" s="2" t="s">
        <v>38119</v>
      </c>
      <c r="R5749" s="2" t="s">
        <v>38120</v>
      </c>
      <c r="S5749" s="2" t="s">
        <v>89</v>
      </c>
      <c r="T5749" s="2" t="s">
        <v>90</v>
      </c>
      <c r="U5749" s="2" t="s">
        <v>99</v>
      </c>
      <c r="V5749" s="2" t="s">
        <v>59</v>
      </c>
      <c r="W5749" s="2">
        <v>37.9</v>
      </c>
      <c r="X5749" s="2">
        <v>0</v>
      </c>
      <c r="Y5749" s="2" t="s">
        <v>408</v>
      </c>
      <c r="Z5749" s="2" t="s">
        <v>38121</v>
      </c>
      <c r="AA5749" s="2">
        <v>1.5832019933372701</v>
      </c>
      <c r="AB5749" s="2">
        <v>6.5354070985584101E-2</v>
      </c>
      <c r="AC5749" s="2">
        <v>2543.2668563367201</v>
      </c>
      <c r="AD5749" s="2">
        <v>2959.64046219189</v>
      </c>
      <c r="AE5749" s="2">
        <v>2633.7892237571</v>
      </c>
      <c r="AF5749" s="2">
        <v>2663.2584383148801</v>
      </c>
      <c r="AG5749" s="2">
        <v>2241.5704253398699</v>
      </c>
      <c r="AH5749" s="2">
        <v>2723.7490001329602</v>
      </c>
      <c r="AI5749" s="2">
        <v>2878.7585098658101</v>
      </c>
      <c r="AJ5749" s="2">
        <v>2118.4755406096701</v>
      </c>
      <c r="AK5749" s="2">
        <v>3091.0699314086801</v>
      </c>
      <c r="AL5749" s="2">
        <v>3182.63235621476</v>
      </c>
      <c r="AM5749" s="2">
        <v>2973.5882598571902</v>
      </c>
      <c r="AN5749" s="2">
        <v>3080.2172531563001</v>
      </c>
      <c r="AO5749" s="2">
        <v>2649.2648946419299</v>
      </c>
      <c r="AP5749" s="2">
        <v>2781.0700778725</v>
      </c>
    </row>
    <row r="5750" spans="1:42" ht="14.5" x14ac:dyDescent="0.35">
      <c r="A5750" s="2" t="s">
        <v>38122</v>
      </c>
      <c r="B5750" s="2">
        <v>269.28363992444503</v>
      </c>
      <c r="C5750" s="2">
        <v>11.232416666666699</v>
      </c>
      <c r="D5750" s="2" t="s">
        <v>34</v>
      </c>
      <c r="E5750" s="2" t="s">
        <v>38123</v>
      </c>
      <c r="F5750" s="2">
        <v>6563</v>
      </c>
      <c r="G5750" s="3" t="str">
        <f>HYPERLINK("http://funmeta.oebiotech.com/network/6563", "http://funmeta.oebiotech.com/network/6563")</f>
        <v>http://funmeta.oebiotech.com/network/6563</v>
      </c>
      <c r="H5750" s="2" t="s">
        <v>38124</v>
      </c>
      <c r="I5750" s="2">
        <v>6658</v>
      </c>
      <c r="J5750" s="2" t="s">
        <v>38125</v>
      </c>
      <c r="K5750" s="2">
        <v>17034</v>
      </c>
      <c r="L5750" s="2" t="s">
        <v>38126</v>
      </c>
      <c r="M5750" s="2"/>
      <c r="N5750" s="2"/>
      <c r="O5750" s="2">
        <v>12533</v>
      </c>
      <c r="P5750" s="2" t="s">
        <v>38127</v>
      </c>
      <c r="Q5750" s="2" t="s">
        <v>38128</v>
      </c>
      <c r="R5750" s="2" t="s">
        <v>38129</v>
      </c>
      <c r="S5750" s="2" t="s">
        <v>50</v>
      </c>
      <c r="T5750" s="2" t="s">
        <v>229</v>
      </c>
      <c r="U5750" s="2" t="s">
        <v>1007</v>
      </c>
      <c r="V5750" s="2" t="s">
        <v>59</v>
      </c>
      <c r="W5750" s="2">
        <v>37.700000000000003</v>
      </c>
      <c r="X5750" s="2">
        <v>0</v>
      </c>
      <c r="Y5750" s="2" t="s">
        <v>394</v>
      </c>
      <c r="Z5750" s="2" t="s">
        <v>32349</v>
      </c>
      <c r="AA5750" s="2">
        <v>-0.94037877291592797</v>
      </c>
      <c r="AB5750" s="2">
        <v>6.5304695547976896E-2</v>
      </c>
      <c r="AC5750" s="2">
        <v>2123.0475061299599</v>
      </c>
      <c r="AD5750" s="2">
        <v>1757.52330573169</v>
      </c>
      <c r="AE5750" s="2">
        <v>2233.2775620248499</v>
      </c>
      <c r="AF5750" s="2">
        <v>2081.7161759107398</v>
      </c>
      <c r="AG5750" s="2">
        <v>2323.2855274317599</v>
      </c>
      <c r="AH5750" s="2">
        <v>2069.6299840595102</v>
      </c>
      <c r="AI5750" s="2">
        <v>2014.14183693466</v>
      </c>
      <c r="AJ5750" s="2">
        <v>2016.23395041822</v>
      </c>
      <c r="AK5750" s="2">
        <v>1755.0198979535101</v>
      </c>
      <c r="AL5750" s="2">
        <v>1549.70608251301</v>
      </c>
      <c r="AM5750" s="2">
        <v>1658.0128872474199</v>
      </c>
      <c r="AN5750" s="2">
        <v>1939.87167975546</v>
      </c>
      <c r="AO5750" s="2">
        <v>1583.54926889688</v>
      </c>
      <c r="AP5750" s="2">
        <v>2058.9800180238499</v>
      </c>
    </row>
    <row r="5751" spans="1:42" ht="14.5" x14ac:dyDescent="0.35">
      <c r="A5751" s="2" t="s">
        <v>38130</v>
      </c>
      <c r="B5751" s="2">
        <v>239.16380569312801</v>
      </c>
      <c r="C5751" s="2">
        <v>6.0954833333333296</v>
      </c>
      <c r="D5751" s="2" t="s">
        <v>34</v>
      </c>
      <c r="E5751" s="2" t="s">
        <v>38131</v>
      </c>
      <c r="F5751" s="2">
        <v>199747</v>
      </c>
      <c r="G5751" s="3" t="str">
        <f>HYPERLINK("http://funmeta.oebiotech.com/network/199747", "http://funmeta.oebiotech.com/network/199747")</f>
        <v>http://funmeta.oebiotech.com/network/199747</v>
      </c>
      <c r="H5751" s="2" t="s">
        <v>38132</v>
      </c>
      <c r="I5751" s="2"/>
      <c r="J5751" s="2"/>
      <c r="K5751" s="2">
        <v>37401</v>
      </c>
      <c r="L5751" s="2"/>
      <c r="M5751" s="2"/>
      <c r="N5751" s="2"/>
      <c r="O5751" s="2"/>
      <c r="P5751" s="2"/>
      <c r="Q5751" s="2" t="s">
        <v>38133</v>
      </c>
      <c r="R5751" s="2" t="s">
        <v>38134</v>
      </c>
      <c r="S5751" s="2" t="s">
        <v>1677</v>
      </c>
      <c r="T5751" s="2" t="s">
        <v>1678</v>
      </c>
      <c r="U5751" s="2" t="s">
        <v>1679</v>
      </c>
      <c r="V5751" s="2" t="s">
        <v>59</v>
      </c>
      <c r="W5751" s="2">
        <v>38.799999999999997</v>
      </c>
      <c r="X5751" s="2">
        <v>0</v>
      </c>
      <c r="Y5751" s="2" t="s">
        <v>340</v>
      </c>
      <c r="Z5751" s="2" t="s">
        <v>38135</v>
      </c>
      <c r="AA5751" s="2">
        <v>2.75136853836303</v>
      </c>
      <c r="AB5751" s="2">
        <v>6.51442940916339E-2</v>
      </c>
      <c r="AC5751" s="2">
        <v>5766.0818484360598</v>
      </c>
      <c r="AD5751" s="2">
        <v>5157.6812349598104</v>
      </c>
      <c r="AE5751" s="2">
        <v>5923.8250500207496</v>
      </c>
      <c r="AF5751" s="2">
        <v>5524.8165238290203</v>
      </c>
      <c r="AG5751" s="2">
        <v>6596.2817872942396</v>
      </c>
      <c r="AH5751" s="2">
        <v>6571.1613895588898</v>
      </c>
      <c r="AI5751" s="2">
        <v>4506.2815789093402</v>
      </c>
      <c r="AJ5751" s="2">
        <v>5474.12476100412</v>
      </c>
      <c r="AK5751" s="2">
        <v>4821.1453205405996</v>
      </c>
      <c r="AL5751" s="2">
        <v>5906.25687796898</v>
      </c>
      <c r="AM5751" s="2">
        <v>5229.2115191963803</v>
      </c>
      <c r="AN5751" s="2">
        <v>4628.5411547171798</v>
      </c>
      <c r="AO5751" s="2">
        <v>4651.2055721689103</v>
      </c>
      <c r="AP5751" s="2">
        <v>5709.7269651668403</v>
      </c>
    </row>
    <row r="5752" spans="1:42" ht="14.5" x14ac:dyDescent="0.35">
      <c r="A5752" s="2" t="s">
        <v>38136</v>
      </c>
      <c r="B5752" s="2">
        <v>651.42466046506502</v>
      </c>
      <c r="C5752" s="2">
        <v>12.582649999999999</v>
      </c>
      <c r="D5752" s="2" t="s">
        <v>34</v>
      </c>
      <c r="E5752" s="2" t="s">
        <v>38137</v>
      </c>
      <c r="F5752" s="2">
        <v>215902</v>
      </c>
      <c r="G5752" s="3" t="str">
        <f>HYPERLINK("http://funmeta.oebiotech.com/network/215902", "http://funmeta.oebiotech.com/network/215902")</f>
        <v>http://funmeta.oebiotech.com/network/215902</v>
      </c>
      <c r="H5752" s="2" t="s">
        <v>38138</v>
      </c>
      <c r="I5752" s="2"/>
      <c r="J5752" s="2"/>
      <c r="K5752" s="2"/>
      <c r="L5752" s="2"/>
      <c r="M5752" s="2"/>
      <c r="N5752" s="2"/>
      <c r="O5752" s="2"/>
      <c r="P5752" s="2"/>
      <c r="Q5752" s="2" t="s">
        <v>38139</v>
      </c>
      <c r="R5752" s="2" t="s">
        <v>38140</v>
      </c>
      <c r="S5752" s="2" t="s">
        <v>41</v>
      </c>
      <c r="T5752" s="2" t="s">
        <v>41</v>
      </c>
      <c r="U5752" s="2" t="s">
        <v>41</v>
      </c>
      <c r="V5752" s="2" t="s">
        <v>59</v>
      </c>
      <c r="W5752" s="2">
        <v>37.4</v>
      </c>
      <c r="X5752" s="2">
        <v>0</v>
      </c>
      <c r="Y5752" s="2" t="s">
        <v>394</v>
      </c>
      <c r="Z5752" s="2" t="s">
        <v>38141</v>
      </c>
      <c r="AA5752" s="2">
        <v>2.30496685325613</v>
      </c>
      <c r="AB5752" s="2">
        <v>6.5108873476762502E-2</v>
      </c>
      <c r="AC5752" s="2">
        <v>7698.9328015049796</v>
      </c>
      <c r="AD5752" s="2">
        <v>8779.4291886637693</v>
      </c>
      <c r="AE5752" s="2">
        <v>7577.0011106669199</v>
      </c>
      <c r="AF5752" s="2">
        <v>7132.7515884525701</v>
      </c>
      <c r="AG5752" s="2">
        <v>7715.2491955745099</v>
      </c>
      <c r="AH5752" s="2">
        <v>8390.8068944667993</v>
      </c>
      <c r="AI5752" s="2">
        <v>6982.2006374716102</v>
      </c>
      <c r="AJ5752" s="2">
        <v>8395.5873823974398</v>
      </c>
      <c r="AK5752" s="2">
        <v>4709.81656844382</v>
      </c>
      <c r="AL5752" s="2">
        <v>10334.569852447399</v>
      </c>
      <c r="AM5752" s="2">
        <v>11560.485363698201</v>
      </c>
      <c r="AN5752" s="2">
        <v>5169.1498039510998</v>
      </c>
      <c r="AO5752" s="2">
        <v>9896.5587883465996</v>
      </c>
      <c r="AP5752" s="2">
        <v>11005.9947550955</v>
      </c>
    </row>
    <row r="5753" spans="1:42" ht="14.5" x14ac:dyDescent="0.35">
      <c r="A5753" s="2" t="s">
        <v>38142</v>
      </c>
      <c r="B5753" s="2">
        <v>300.99140005084399</v>
      </c>
      <c r="C5753" s="2">
        <v>8.4066333333333301</v>
      </c>
      <c r="D5753" s="2" t="s">
        <v>70</v>
      </c>
      <c r="E5753" s="2" t="s">
        <v>38143</v>
      </c>
      <c r="F5753" s="2">
        <v>53596</v>
      </c>
      <c r="G5753" s="3" t="str">
        <f>HYPERLINK("http://funmeta.oebiotech.com/network/53596", "http://funmeta.oebiotech.com/network/53596")</f>
        <v>http://funmeta.oebiotech.com/network/53596</v>
      </c>
      <c r="H5753" s="2" t="s">
        <v>38144</v>
      </c>
      <c r="I5753" s="2">
        <v>85532</v>
      </c>
      <c r="J5753" s="2"/>
      <c r="K5753" s="2">
        <v>60072</v>
      </c>
      <c r="L5753" s="2"/>
      <c r="M5753" s="2"/>
      <c r="N5753" s="2"/>
      <c r="O5753" s="2">
        <v>5284553</v>
      </c>
      <c r="P5753" s="2" t="s">
        <v>38145</v>
      </c>
      <c r="Q5753" s="2" t="s">
        <v>38146</v>
      </c>
      <c r="R5753" s="2" t="s">
        <v>38147</v>
      </c>
      <c r="S5753" s="2" t="s">
        <v>79</v>
      </c>
      <c r="T5753" s="2" t="s">
        <v>18840</v>
      </c>
      <c r="U5753" s="2" t="s">
        <v>26129</v>
      </c>
      <c r="V5753" s="2" t="s">
        <v>59</v>
      </c>
      <c r="W5753" s="2">
        <v>39</v>
      </c>
      <c r="X5753" s="2">
        <v>0</v>
      </c>
      <c r="Y5753" s="2" t="s">
        <v>118</v>
      </c>
      <c r="Z5753" s="2" t="s">
        <v>38148</v>
      </c>
      <c r="AA5753" s="2">
        <v>1.50609000684562</v>
      </c>
      <c r="AB5753" s="2">
        <v>6.5102449623645198E-2</v>
      </c>
      <c r="AC5753" s="2">
        <v>4886.9470945947696</v>
      </c>
      <c r="AD5753" s="2">
        <v>5434.6396847693104</v>
      </c>
      <c r="AE5753" s="2">
        <v>4658.2347702401003</v>
      </c>
      <c r="AF5753" s="2">
        <v>4485.6113096249501</v>
      </c>
      <c r="AG5753" s="2">
        <v>4875.01243386641</v>
      </c>
      <c r="AH5753" s="2">
        <v>5624.4694480871103</v>
      </c>
      <c r="AI5753" s="2">
        <v>5328.9445536255198</v>
      </c>
      <c r="AJ5753" s="2">
        <v>4349.41005212451</v>
      </c>
      <c r="AK5753" s="2">
        <v>6112.3017627979598</v>
      </c>
      <c r="AL5753" s="2">
        <v>5762.5538969665904</v>
      </c>
      <c r="AM5753" s="2">
        <v>5736.9154593101402</v>
      </c>
      <c r="AN5753" s="2">
        <v>5339.5582186064803</v>
      </c>
      <c r="AO5753" s="2">
        <v>4752.2194212599197</v>
      </c>
      <c r="AP5753" s="2">
        <v>4904.2893496747602</v>
      </c>
    </row>
    <row r="5754" spans="1:42" ht="14.5" x14ac:dyDescent="0.35">
      <c r="A5754" s="2" t="s">
        <v>38149</v>
      </c>
      <c r="B5754" s="2">
        <v>331.13961323393102</v>
      </c>
      <c r="C5754" s="2">
        <v>4.4710000000000001</v>
      </c>
      <c r="D5754" s="2" t="s">
        <v>70</v>
      </c>
      <c r="E5754" s="2" t="s">
        <v>38150</v>
      </c>
      <c r="F5754" s="2">
        <v>199850</v>
      </c>
      <c r="G5754" s="3" t="str">
        <f>HYPERLINK("http://funmeta.oebiotech.com/network/199850", "http://funmeta.oebiotech.com/network/199850")</f>
        <v>http://funmeta.oebiotech.com/network/199850</v>
      </c>
      <c r="H5754" s="2" t="s">
        <v>38151</v>
      </c>
      <c r="I5754" s="2"/>
      <c r="J5754" s="2"/>
      <c r="K5754" s="2"/>
      <c r="L5754" s="2"/>
      <c r="M5754" s="2"/>
      <c r="N5754" s="2"/>
      <c r="O5754" s="2">
        <v>7979</v>
      </c>
      <c r="P5754" s="2"/>
      <c r="Q5754" s="2" t="s">
        <v>38152</v>
      </c>
      <c r="R5754" s="2" t="s">
        <v>38153</v>
      </c>
      <c r="S5754" s="2" t="s">
        <v>89</v>
      </c>
      <c r="T5754" s="2" t="s">
        <v>90</v>
      </c>
      <c r="U5754" s="2" t="s">
        <v>22612</v>
      </c>
      <c r="V5754" s="2" t="s">
        <v>59</v>
      </c>
      <c r="W5754" s="2">
        <v>38.6</v>
      </c>
      <c r="X5754" s="2">
        <v>0</v>
      </c>
      <c r="Y5754" s="2" t="s">
        <v>408</v>
      </c>
      <c r="Z5754" s="2" t="s">
        <v>14047</v>
      </c>
      <c r="AA5754" s="2">
        <v>-0.79701426843545897</v>
      </c>
      <c r="AB5754" s="2">
        <v>6.5019992646588101E-2</v>
      </c>
      <c r="AC5754" s="2">
        <v>4165.7882549055903</v>
      </c>
      <c r="AD5754" s="2">
        <v>4845.3930589164702</v>
      </c>
      <c r="AE5754" s="2">
        <v>4240.8666564438299</v>
      </c>
      <c r="AF5754" s="2">
        <v>3833.0664823720999</v>
      </c>
      <c r="AG5754" s="2">
        <v>4562.5823472288403</v>
      </c>
      <c r="AH5754" s="2">
        <v>4917.2484880934899</v>
      </c>
      <c r="AI5754" s="2">
        <v>3226.2303901575301</v>
      </c>
      <c r="AJ5754" s="2">
        <v>4214.7351651377403</v>
      </c>
      <c r="AK5754" s="2">
        <v>4455.0423539800304</v>
      </c>
      <c r="AL5754" s="2">
        <v>3782.7110341817202</v>
      </c>
      <c r="AM5754" s="2">
        <v>4365.1084991383505</v>
      </c>
      <c r="AN5754" s="2">
        <v>4315.1165993016302</v>
      </c>
      <c r="AO5754" s="2">
        <v>6368.2197979191396</v>
      </c>
      <c r="AP5754" s="2">
        <v>5786.1600689779598</v>
      </c>
    </row>
    <row r="5755" spans="1:42" ht="14.5" x14ac:dyDescent="0.35">
      <c r="A5755" s="2" t="s">
        <v>38154</v>
      </c>
      <c r="B5755" s="2">
        <v>357.20593925323197</v>
      </c>
      <c r="C5755" s="2">
        <v>9.8437333333333292</v>
      </c>
      <c r="D5755" s="2" t="s">
        <v>34</v>
      </c>
      <c r="E5755" s="2" t="s">
        <v>38155</v>
      </c>
      <c r="F5755" s="2">
        <v>59006</v>
      </c>
      <c r="G5755" s="3" t="str">
        <f>HYPERLINK("http://funmeta.oebiotech.com/network/59006", "http://funmeta.oebiotech.com/network/59006")</f>
        <v>http://funmeta.oebiotech.com/network/59006</v>
      </c>
      <c r="H5755" s="2" t="s">
        <v>38156</v>
      </c>
      <c r="I5755" s="2"/>
      <c r="J5755" s="2"/>
      <c r="K5755" s="2"/>
      <c r="L5755" s="2"/>
      <c r="M5755" s="2"/>
      <c r="N5755" s="2"/>
      <c r="O5755" s="2">
        <v>131751665</v>
      </c>
      <c r="P5755" s="2" t="s">
        <v>38157</v>
      </c>
      <c r="Q5755" s="2" t="s">
        <v>38158</v>
      </c>
      <c r="R5755" s="2" t="s">
        <v>38159</v>
      </c>
      <c r="S5755" s="2" t="s">
        <v>50</v>
      </c>
      <c r="T5755" s="2" t="s">
        <v>201</v>
      </c>
      <c r="U5755" s="2" t="s">
        <v>241</v>
      </c>
      <c r="V5755" s="2" t="s">
        <v>59</v>
      </c>
      <c r="W5755" s="2">
        <v>38.9</v>
      </c>
      <c r="X5755" s="2">
        <v>0</v>
      </c>
      <c r="Y5755" s="2" t="s">
        <v>394</v>
      </c>
      <c r="Z5755" s="2" t="s">
        <v>18038</v>
      </c>
      <c r="AA5755" s="2">
        <v>-0.27107047863991501</v>
      </c>
      <c r="AB5755" s="2">
        <v>6.4949061031780705E-2</v>
      </c>
      <c r="AC5755" s="2">
        <v>5987.5434491731303</v>
      </c>
      <c r="AD5755" s="2">
        <v>5493.3093189736301</v>
      </c>
      <c r="AE5755" s="2">
        <v>5708.7697807571203</v>
      </c>
      <c r="AF5755" s="2">
        <v>5875.4826885002303</v>
      </c>
      <c r="AG5755" s="2">
        <v>5757.1682116997599</v>
      </c>
      <c r="AH5755" s="2">
        <v>6383.3024344966097</v>
      </c>
      <c r="AI5755" s="2">
        <v>5874.2259728438503</v>
      </c>
      <c r="AJ5755" s="2">
        <v>6326.3116067412002</v>
      </c>
      <c r="AK5755" s="2">
        <v>5581.5586129515896</v>
      </c>
      <c r="AL5755" s="2">
        <v>5118.7517918551202</v>
      </c>
      <c r="AM5755" s="2">
        <v>5557.4070034038896</v>
      </c>
      <c r="AN5755" s="2">
        <v>5007.13873081361</v>
      </c>
      <c r="AO5755" s="2">
        <v>6358.7946827446904</v>
      </c>
      <c r="AP5755" s="2">
        <v>5336.2050920729098</v>
      </c>
    </row>
    <row r="5756" spans="1:42" ht="14.5" x14ac:dyDescent="0.35">
      <c r="A5756" s="2" t="s">
        <v>38160</v>
      </c>
      <c r="B5756" s="2">
        <v>384.15050843291499</v>
      </c>
      <c r="C5756" s="2">
        <v>3.6928666666666699</v>
      </c>
      <c r="D5756" s="2" t="s">
        <v>70</v>
      </c>
      <c r="E5756" s="2" t="s">
        <v>38161</v>
      </c>
      <c r="F5756" s="2">
        <v>37472</v>
      </c>
      <c r="G5756" s="3" t="str">
        <f>HYPERLINK("http://funmeta.oebiotech.com/network/37472", "http://funmeta.oebiotech.com/network/37472")</f>
        <v>http://funmeta.oebiotech.com/network/37472</v>
      </c>
      <c r="H5756" s="2"/>
      <c r="I5756" s="2"/>
      <c r="J5756" s="2" t="s">
        <v>38162</v>
      </c>
      <c r="K5756" s="2"/>
      <c r="L5756" s="2"/>
      <c r="M5756" s="2"/>
      <c r="N5756" s="2"/>
      <c r="O5756" s="2"/>
      <c r="P5756" s="2"/>
      <c r="Q5756" s="2" t="s">
        <v>38163</v>
      </c>
      <c r="R5756" s="2" t="s">
        <v>38164</v>
      </c>
      <c r="S5756" s="2" t="s">
        <v>491</v>
      </c>
      <c r="T5756" s="2" t="s">
        <v>2251</v>
      </c>
      <c r="U5756" s="2" t="s">
        <v>2252</v>
      </c>
      <c r="V5756" s="2" t="s">
        <v>59</v>
      </c>
      <c r="W5756" s="2">
        <v>37.1</v>
      </c>
      <c r="X5756" s="2">
        <v>0</v>
      </c>
      <c r="Y5756" s="2" t="s">
        <v>118</v>
      </c>
      <c r="Z5756" s="2" t="s">
        <v>38165</v>
      </c>
      <c r="AA5756" s="2">
        <v>4.8714736625542798</v>
      </c>
      <c r="AB5756" s="2">
        <v>6.4845790757636496E-2</v>
      </c>
      <c r="AC5756" s="2">
        <v>3009.46151065612</v>
      </c>
      <c r="AD5756" s="2">
        <v>3501.74759012199</v>
      </c>
      <c r="AE5756" s="2">
        <v>2778.4578985693402</v>
      </c>
      <c r="AF5756" s="2">
        <v>2468.3383096765001</v>
      </c>
      <c r="AG5756" s="2">
        <v>3095.9695397857799</v>
      </c>
      <c r="AH5756" s="2">
        <v>3484.27960924849</v>
      </c>
      <c r="AI5756" s="2">
        <v>3658.2577735760201</v>
      </c>
      <c r="AJ5756" s="2">
        <v>2571.4659330805598</v>
      </c>
      <c r="AK5756" s="2">
        <v>3838.4604849510201</v>
      </c>
      <c r="AL5756" s="2">
        <v>3146.4295816715899</v>
      </c>
      <c r="AM5756" s="2">
        <v>3304.4019396775898</v>
      </c>
      <c r="AN5756" s="2">
        <v>3529.8750701226199</v>
      </c>
      <c r="AO5756" s="2">
        <v>3282.4617786323602</v>
      </c>
      <c r="AP5756" s="2">
        <v>3908.8566856767602</v>
      </c>
    </row>
    <row r="5757" spans="1:42" ht="14.5" x14ac:dyDescent="0.35">
      <c r="A5757" s="2" t="s">
        <v>38166</v>
      </c>
      <c r="B5757" s="2">
        <v>303.24284413821499</v>
      </c>
      <c r="C5757" s="2">
        <v>5.7384500000000003</v>
      </c>
      <c r="D5757" s="2" t="s">
        <v>34</v>
      </c>
      <c r="E5757" s="2" t="s">
        <v>38167</v>
      </c>
      <c r="F5757" s="2">
        <v>52967</v>
      </c>
      <c r="G5757" s="3" t="str">
        <f>HYPERLINK("http://funmeta.oebiotech.com/network/52967", "http://funmeta.oebiotech.com/network/52967")</f>
        <v>http://funmeta.oebiotech.com/network/52967</v>
      </c>
      <c r="H5757" s="2" t="s">
        <v>38168</v>
      </c>
      <c r="I5757" s="2">
        <v>1751</v>
      </c>
      <c r="J5757" s="2"/>
      <c r="K5757" s="2">
        <v>116117</v>
      </c>
      <c r="L5757" s="2" t="s">
        <v>38169</v>
      </c>
      <c r="M5757" s="2"/>
      <c r="N5757" s="2"/>
      <c r="O5757" s="2">
        <v>441278</v>
      </c>
      <c r="P5757" s="2" t="s">
        <v>38170</v>
      </c>
      <c r="Q5757" s="2" t="s">
        <v>38171</v>
      </c>
      <c r="R5757" s="2" t="s">
        <v>38172</v>
      </c>
      <c r="S5757" s="2" t="s">
        <v>39</v>
      </c>
      <c r="T5757" s="2" t="s">
        <v>38173</v>
      </c>
      <c r="U5757" s="2" t="s">
        <v>38174</v>
      </c>
      <c r="V5757" s="2" t="s">
        <v>59</v>
      </c>
      <c r="W5757" s="2">
        <v>37.5</v>
      </c>
      <c r="X5757" s="2">
        <v>0</v>
      </c>
      <c r="Y5757" s="2" t="s">
        <v>43</v>
      </c>
      <c r="Z5757" s="2" t="s">
        <v>38175</v>
      </c>
      <c r="AA5757" s="2">
        <v>-0.86211096773639695</v>
      </c>
      <c r="AB5757" s="2">
        <v>6.4725521842345105E-2</v>
      </c>
      <c r="AC5757" s="2">
        <v>1427.3340783045501</v>
      </c>
      <c r="AD5757" s="2">
        <v>890.12561900301603</v>
      </c>
      <c r="AE5757" s="2">
        <v>1998.4642973089899</v>
      </c>
      <c r="AF5757" s="2">
        <v>1006.47157256762</v>
      </c>
      <c r="AG5757" s="2">
        <v>1751.2155012076601</v>
      </c>
      <c r="AH5757" s="2">
        <v>1219.75330043745</v>
      </c>
      <c r="AI5757" s="2">
        <v>939.14269459787999</v>
      </c>
      <c r="AJ5757" s="2">
        <v>1648.9571037076801</v>
      </c>
      <c r="AK5757" s="2">
        <v>669.11714763264104</v>
      </c>
      <c r="AL5757" s="2">
        <v>1434.4524583421801</v>
      </c>
      <c r="AM5757" s="2">
        <v>1422.7989880826799</v>
      </c>
      <c r="AN5757" s="2">
        <v>608.39756504406103</v>
      </c>
      <c r="AO5757" s="2">
        <v>1205.98752781024</v>
      </c>
      <c r="AP5757" s="2">
        <v>2.7106294003980101E-5</v>
      </c>
    </row>
    <row r="5758" spans="1:42" ht="14.5" x14ac:dyDescent="0.35">
      <c r="A5758" s="2" t="s">
        <v>38176</v>
      </c>
      <c r="B5758" s="2">
        <v>739.18798322399095</v>
      </c>
      <c r="C5758" s="2">
        <v>6.2355666666666698</v>
      </c>
      <c r="D5758" s="2" t="s">
        <v>70</v>
      </c>
      <c r="E5758" s="2" t="s">
        <v>38177</v>
      </c>
      <c r="F5758" s="2">
        <v>210009</v>
      </c>
      <c r="G5758" s="3" t="str">
        <f>HYPERLINK("http://funmeta.oebiotech.com/network/210009", "http://funmeta.oebiotech.com/network/210009")</f>
        <v>http://funmeta.oebiotech.com/network/210009</v>
      </c>
      <c r="H5758" s="2" t="s">
        <v>38178</v>
      </c>
      <c r="I5758" s="2"/>
      <c r="J5758" s="2"/>
      <c r="K5758" s="2">
        <v>73038</v>
      </c>
      <c r="L5758" s="2"/>
      <c r="M5758" s="2"/>
      <c r="N5758" s="2"/>
      <c r="O5758" s="2">
        <v>119828</v>
      </c>
      <c r="P5758" s="2"/>
      <c r="Q5758" s="2" t="s">
        <v>38179</v>
      </c>
      <c r="R5758" s="2" t="s">
        <v>38180</v>
      </c>
      <c r="S5758" s="2" t="s">
        <v>148</v>
      </c>
      <c r="T5758" s="2" t="s">
        <v>149</v>
      </c>
      <c r="U5758" s="2" t="s">
        <v>4282</v>
      </c>
      <c r="V5758" s="2" t="s">
        <v>59</v>
      </c>
      <c r="W5758" s="2">
        <v>37.5</v>
      </c>
      <c r="X5758" s="2">
        <v>0</v>
      </c>
      <c r="Y5758" s="2" t="s">
        <v>560</v>
      </c>
      <c r="Z5758" s="2" t="s">
        <v>38181</v>
      </c>
      <c r="AA5758" s="2">
        <v>-2.96741658653412</v>
      </c>
      <c r="AB5758" s="2">
        <v>6.4716100403142199E-2</v>
      </c>
      <c r="AC5758" s="2">
        <v>172.95028009976801</v>
      </c>
      <c r="AD5758" s="2">
        <v>666.46547649093202</v>
      </c>
      <c r="AE5758" s="2">
        <v>2.7106294003980101E-5</v>
      </c>
      <c r="AF5758" s="2">
        <v>2.7106294003980101E-5</v>
      </c>
      <c r="AG5758" s="2">
        <v>1037.7015450671399</v>
      </c>
      <c r="AH5758" s="2">
        <v>2.7106294003980101E-5</v>
      </c>
      <c r="AI5758" s="2">
        <v>2.7106294003980101E-5</v>
      </c>
      <c r="AJ5758" s="2">
        <v>2.7106294003980101E-5</v>
      </c>
      <c r="AK5758" s="2">
        <v>904.14486372878002</v>
      </c>
      <c r="AL5758" s="2">
        <v>1003.17881717507</v>
      </c>
      <c r="AM5758" s="2">
        <v>766.08903256751501</v>
      </c>
      <c r="AN5758" s="2">
        <v>2.7106294003980101E-5</v>
      </c>
      <c r="AO5758" s="2">
        <v>570.93997682018096</v>
      </c>
      <c r="AP5758" s="2">
        <v>754.44014154775402</v>
      </c>
    </row>
    <row r="5759" spans="1:42" ht="14.5" x14ac:dyDescent="0.35">
      <c r="A5759" s="2" t="s">
        <v>38182</v>
      </c>
      <c r="B5759" s="2">
        <v>512.98200324030495</v>
      </c>
      <c r="C5759" s="2">
        <v>1.54206666666667</v>
      </c>
      <c r="D5759" s="2" t="s">
        <v>70</v>
      </c>
      <c r="E5759" s="2" t="s">
        <v>38183</v>
      </c>
      <c r="F5759" s="2">
        <v>206932</v>
      </c>
      <c r="G5759" s="3" t="str">
        <f>HYPERLINK("http://funmeta.oebiotech.com/network/206932", "http://funmeta.oebiotech.com/network/206932")</f>
        <v>http://funmeta.oebiotech.com/network/206932</v>
      </c>
      <c r="H5759" s="2" t="s">
        <v>38184</v>
      </c>
      <c r="I5759" s="2">
        <v>72747</v>
      </c>
      <c r="J5759" s="2"/>
      <c r="K5759" s="2"/>
      <c r="L5759" s="2" t="s">
        <v>38185</v>
      </c>
      <c r="M5759" s="2"/>
      <c r="N5759" s="2"/>
      <c r="O5759" s="2">
        <v>17345</v>
      </c>
      <c r="P5759" s="2" t="s">
        <v>38186</v>
      </c>
      <c r="Q5759" s="2" t="s">
        <v>38187</v>
      </c>
      <c r="R5759" s="2" t="s">
        <v>38188</v>
      </c>
      <c r="S5759" s="2" t="s">
        <v>89</v>
      </c>
      <c r="T5759" s="2" t="s">
        <v>90</v>
      </c>
      <c r="U5759" s="2" t="s">
        <v>401</v>
      </c>
      <c r="V5759" s="2" t="s">
        <v>59</v>
      </c>
      <c r="W5759" s="2">
        <v>37.6</v>
      </c>
      <c r="X5759" s="2">
        <v>0</v>
      </c>
      <c r="Y5759" s="2" t="s">
        <v>560</v>
      </c>
      <c r="Z5759" s="2" t="s">
        <v>38189</v>
      </c>
      <c r="AA5759" s="2">
        <v>0.40210299366491098</v>
      </c>
      <c r="AB5759" s="2">
        <v>6.4697828069154306E-2</v>
      </c>
      <c r="AC5759" s="2">
        <v>2272.90742705917</v>
      </c>
      <c r="AD5759" s="2">
        <v>2772.3456852986901</v>
      </c>
      <c r="AE5759" s="2">
        <v>2579.6564916856701</v>
      </c>
      <c r="AF5759" s="2">
        <v>1902.8449489300101</v>
      </c>
      <c r="AG5759" s="2">
        <v>1886.2379275359499</v>
      </c>
      <c r="AH5759" s="2">
        <v>2421.4066805420998</v>
      </c>
      <c r="AI5759" s="2">
        <v>2274.9929315916902</v>
      </c>
      <c r="AJ5759" s="2">
        <v>2572.3055820695699</v>
      </c>
      <c r="AK5759" s="2">
        <v>3010.7310475152199</v>
      </c>
      <c r="AL5759" s="2">
        <v>3327.6613630229799</v>
      </c>
      <c r="AM5759" s="2">
        <v>1911.0261744534801</v>
      </c>
      <c r="AN5759" s="2">
        <v>2624.17617965622</v>
      </c>
      <c r="AO5759" s="2">
        <v>3038.7912423775601</v>
      </c>
      <c r="AP5759" s="2">
        <v>2721.6881047666802</v>
      </c>
    </row>
    <row r="5760" spans="1:42" ht="14.5" x14ac:dyDescent="0.35">
      <c r="A5760" s="2" t="s">
        <v>38190</v>
      </c>
      <c r="B5760" s="2">
        <v>431.05705131742201</v>
      </c>
      <c r="C5760" s="2">
        <v>4.5236333333333301</v>
      </c>
      <c r="D5760" s="2" t="s">
        <v>70</v>
      </c>
      <c r="E5760" s="2" t="s">
        <v>38191</v>
      </c>
      <c r="F5760" s="2">
        <v>200190</v>
      </c>
      <c r="G5760" s="3" t="str">
        <f>HYPERLINK("http://funmeta.oebiotech.com/network/200190", "http://funmeta.oebiotech.com/network/200190")</f>
        <v>http://funmeta.oebiotech.com/network/200190</v>
      </c>
      <c r="H5760" s="2" t="s">
        <v>38192</v>
      </c>
      <c r="I5760" s="2"/>
      <c r="J5760" s="2"/>
      <c r="K5760" s="2"/>
      <c r="L5760" s="2"/>
      <c r="M5760" s="2"/>
      <c r="N5760" s="2"/>
      <c r="O5760" s="2">
        <v>10004539</v>
      </c>
      <c r="P5760" s="2"/>
      <c r="Q5760" s="2" t="s">
        <v>38193</v>
      </c>
      <c r="R5760" s="2" t="s">
        <v>38194</v>
      </c>
      <c r="S5760" s="2" t="s">
        <v>148</v>
      </c>
      <c r="T5760" s="2" t="s">
        <v>149</v>
      </c>
      <c r="U5760" s="2" t="s">
        <v>5024</v>
      </c>
      <c r="V5760" s="2" t="s">
        <v>59</v>
      </c>
      <c r="W5760" s="2">
        <v>37.700000000000003</v>
      </c>
      <c r="X5760" s="2">
        <v>0</v>
      </c>
      <c r="Y5760" s="2" t="s">
        <v>408</v>
      </c>
      <c r="Z5760" s="2" t="s">
        <v>38195</v>
      </c>
      <c r="AA5760" s="2">
        <v>-0.16093095302733099</v>
      </c>
      <c r="AB5760" s="2">
        <v>6.4677654982251503E-2</v>
      </c>
      <c r="AC5760" s="2">
        <v>9055.4867691617492</v>
      </c>
      <c r="AD5760" s="2">
        <v>8306.9225220115495</v>
      </c>
      <c r="AE5760" s="2">
        <v>8157.4214800152704</v>
      </c>
      <c r="AF5760" s="2">
        <v>10851.458527697599</v>
      </c>
      <c r="AG5760" s="2">
        <v>8890.8795006755608</v>
      </c>
      <c r="AH5760" s="2">
        <v>7794.1404097698996</v>
      </c>
      <c r="AI5760" s="2">
        <v>9366.4521603296507</v>
      </c>
      <c r="AJ5760" s="2">
        <v>9272.5685364825094</v>
      </c>
      <c r="AK5760" s="2">
        <v>8223.4577025681592</v>
      </c>
      <c r="AL5760" s="2">
        <v>9979.9389647506705</v>
      </c>
      <c r="AM5760" s="2">
        <v>6970.3531292576699</v>
      </c>
      <c r="AN5760" s="2">
        <v>8697.4415354767898</v>
      </c>
      <c r="AO5760" s="2">
        <v>8408.30615967636</v>
      </c>
      <c r="AP5760" s="2">
        <v>7562.0376403396504</v>
      </c>
    </row>
    <row r="5761" spans="1:42" ht="14.5" x14ac:dyDescent="0.35">
      <c r="A5761" s="2" t="s">
        <v>38196</v>
      </c>
      <c r="B5761" s="2">
        <v>291.19464256779298</v>
      </c>
      <c r="C5761" s="2">
        <v>10.910600000000001</v>
      </c>
      <c r="D5761" s="2" t="s">
        <v>34</v>
      </c>
      <c r="E5761" s="2" t="s">
        <v>38197</v>
      </c>
      <c r="F5761" s="2">
        <v>274745</v>
      </c>
      <c r="G5761" s="3" t="str">
        <f>HYPERLINK("http://funmeta.oebiotech.com/network/274745", "http://funmeta.oebiotech.com/network/274745")</f>
        <v>http://funmeta.oebiotech.com/network/274745</v>
      </c>
      <c r="H5761" s="2"/>
      <c r="I5761" s="2">
        <v>65409</v>
      </c>
      <c r="J5761" s="2"/>
      <c r="K5761" s="2"/>
      <c r="L5761" s="2"/>
      <c r="M5761" s="2"/>
      <c r="N5761" s="2"/>
      <c r="O5761" s="2">
        <v>23428255</v>
      </c>
      <c r="P5761" s="2"/>
      <c r="Q5761" s="2" t="s">
        <v>38198</v>
      </c>
      <c r="R5761" s="2" t="s">
        <v>38199</v>
      </c>
      <c r="S5761" s="2" t="s">
        <v>115</v>
      </c>
      <c r="T5761" s="2" t="s">
        <v>1384</v>
      </c>
      <c r="U5761" s="2" t="s">
        <v>41</v>
      </c>
      <c r="V5761" s="2" t="s">
        <v>59</v>
      </c>
      <c r="W5761" s="2">
        <v>42.6</v>
      </c>
      <c r="X5761" s="2">
        <v>20.7</v>
      </c>
      <c r="Y5761" s="2" t="s">
        <v>394</v>
      </c>
      <c r="Z5761" s="2" t="s">
        <v>38200</v>
      </c>
      <c r="AA5761" s="2">
        <v>-2.8552391924248499</v>
      </c>
      <c r="AB5761" s="2">
        <v>6.4528606026502802E-2</v>
      </c>
      <c r="AC5761" s="2">
        <v>11396.287170317701</v>
      </c>
      <c r="AD5761" s="2">
        <v>10860.59758702</v>
      </c>
      <c r="AE5761" s="2">
        <v>11699.845313809899</v>
      </c>
      <c r="AF5761" s="2">
        <v>12235.5865082907</v>
      </c>
      <c r="AG5761" s="2">
        <v>11422.742643576499</v>
      </c>
      <c r="AH5761" s="2">
        <v>11412.107433859601</v>
      </c>
      <c r="AI5761" s="2">
        <v>10860.060650720599</v>
      </c>
      <c r="AJ5761" s="2">
        <v>10747.3804716492</v>
      </c>
      <c r="AK5761" s="2">
        <v>10374.309182204501</v>
      </c>
      <c r="AL5761" s="2">
        <v>10763.289825109399</v>
      </c>
      <c r="AM5761" s="2">
        <v>11563.728032315899</v>
      </c>
      <c r="AN5761" s="2">
        <v>10990.984156508001</v>
      </c>
      <c r="AO5761" s="2">
        <v>11072.738301847899</v>
      </c>
      <c r="AP5761" s="2">
        <v>10398.536024134501</v>
      </c>
    </row>
    <row r="5762" spans="1:42" ht="14.5" x14ac:dyDescent="0.35">
      <c r="A5762" s="2" t="s">
        <v>38201</v>
      </c>
      <c r="B5762" s="2">
        <v>260.023133532683</v>
      </c>
      <c r="C5762" s="2">
        <v>1.14778333333333</v>
      </c>
      <c r="D5762" s="2" t="s">
        <v>70</v>
      </c>
      <c r="E5762" s="2" t="s">
        <v>38202</v>
      </c>
      <c r="F5762" s="2">
        <v>144433</v>
      </c>
      <c r="G5762" s="3" t="str">
        <f>HYPERLINK("http://funmeta.oebiotech.com/network/144433", "http://funmeta.oebiotech.com/network/144433")</f>
        <v>http://funmeta.oebiotech.com/network/144433</v>
      </c>
      <c r="H5762" s="2" t="s">
        <v>38203</v>
      </c>
      <c r="I5762" s="2"/>
      <c r="J5762" s="2"/>
      <c r="K5762" s="2">
        <v>46215</v>
      </c>
      <c r="L5762" s="2"/>
      <c r="M5762" s="2"/>
      <c r="N5762" s="2"/>
      <c r="O5762" s="2">
        <v>514186</v>
      </c>
      <c r="P5762" s="2" t="s">
        <v>38204</v>
      </c>
      <c r="Q5762" s="2" t="s">
        <v>38205</v>
      </c>
      <c r="R5762" s="2" t="s">
        <v>38206</v>
      </c>
      <c r="S5762" s="2" t="s">
        <v>89</v>
      </c>
      <c r="T5762" s="2" t="s">
        <v>90</v>
      </c>
      <c r="U5762" s="2" t="s">
        <v>99</v>
      </c>
      <c r="V5762" s="2" t="s">
        <v>59</v>
      </c>
      <c r="W5762" s="2">
        <v>43.8</v>
      </c>
      <c r="X5762" s="2">
        <v>28.5</v>
      </c>
      <c r="Y5762" s="2" t="s">
        <v>118</v>
      </c>
      <c r="Z5762" s="2" t="s">
        <v>34468</v>
      </c>
      <c r="AA5762" s="2">
        <v>-1.1420504848489601</v>
      </c>
      <c r="AB5762" s="2">
        <v>6.4528270480367897E-2</v>
      </c>
      <c r="AC5762" s="2">
        <v>6978.6098732294404</v>
      </c>
      <c r="AD5762" s="2">
        <v>6481.5104276435304</v>
      </c>
      <c r="AE5762" s="2">
        <v>6932.8230883568503</v>
      </c>
      <c r="AF5762" s="2">
        <v>6720.0937814488598</v>
      </c>
      <c r="AG5762" s="2">
        <v>6575.1606141628499</v>
      </c>
      <c r="AH5762" s="2">
        <v>6766.8890847637804</v>
      </c>
      <c r="AI5762" s="2">
        <v>7677.6505096496403</v>
      </c>
      <c r="AJ5762" s="2">
        <v>7199.0421609946898</v>
      </c>
      <c r="AK5762" s="2">
        <v>6960.44431183906</v>
      </c>
      <c r="AL5762" s="2">
        <v>6096.4248418503603</v>
      </c>
      <c r="AM5762" s="2">
        <v>6046.6399784230898</v>
      </c>
      <c r="AN5762" s="2">
        <v>6424.8634433913203</v>
      </c>
      <c r="AO5762" s="2">
        <v>6403.08158191656</v>
      </c>
      <c r="AP5762" s="2">
        <v>6957.6084084408103</v>
      </c>
    </row>
    <row r="5763" spans="1:42" ht="14.5" x14ac:dyDescent="0.35">
      <c r="A5763" s="2" t="s">
        <v>38207</v>
      </c>
      <c r="B5763" s="2">
        <v>351.087055032367</v>
      </c>
      <c r="C5763" s="2">
        <v>0.71055000000000001</v>
      </c>
      <c r="D5763" s="2" t="s">
        <v>70</v>
      </c>
      <c r="E5763" s="2" t="s">
        <v>38208</v>
      </c>
      <c r="F5763" s="2">
        <v>56335</v>
      </c>
      <c r="G5763" s="3" t="str">
        <f>HYPERLINK("http://funmeta.oebiotech.com/network/56335", "http://funmeta.oebiotech.com/network/56335")</f>
        <v>http://funmeta.oebiotech.com/network/56335</v>
      </c>
      <c r="H5763" s="2" t="s">
        <v>38209</v>
      </c>
      <c r="I5763" s="2">
        <v>87988</v>
      </c>
      <c r="J5763" s="2"/>
      <c r="K5763" s="2">
        <v>168106</v>
      </c>
      <c r="L5763" s="2"/>
      <c r="M5763" s="2"/>
      <c r="N5763" s="2"/>
      <c r="O5763" s="2">
        <v>18410556</v>
      </c>
      <c r="P5763" s="2"/>
      <c r="Q5763" s="2" t="s">
        <v>38210</v>
      </c>
      <c r="R5763" s="2" t="s">
        <v>38211</v>
      </c>
      <c r="S5763" s="2" t="s">
        <v>89</v>
      </c>
      <c r="T5763" s="2" t="s">
        <v>90</v>
      </c>
      <c r="U5763" s="2" t="s">
        <v>99</v>
      </c>
      <c r="V5763" s="2" t="s">
        <v>59</v>
      </c>
      <c r="W5763" s="2">
        <v>39</v>
      </c>
      <c r="X5763" s="2">
        <v>0</v>
      </c>
      <c r="Y5763" s="2" t="s">
        <v>408</v>
      </c>
      <c r="Z5763" s="2" t="s">
        <v>38212</v>
      </c>
      <c r="AA5763" s="2">
        <v>0.96330993043765401</v>
      </c>
      <c r="AB5763" s="2">
        <v>6.4489398988886698E-2</v>
      </c>
      <c r="AC5763" s="2">
        <v>168795.6767094</v>
      </c>
      <c r="AD5763" s="2">
        <v>162858.754580868</v>
      </c>
      <c r="AE5763" s="2">
        <v>120270.997965057</v>
      </c>
      <c r="AF5763" s="2">
        <v>225762.40968224901</v>
      </c>
      <c r="AG5763" s="2">
        <v>108317.47720270899</v>
      </c>
      <c r="AH5763" s="2">
        <v>220237.47985639799</v>
      </c>
      <c r="AI5763" s="2">
        <v>224798.787500854</v>
      </c>
      <c r="AJ5763" s="2">
        <v>113386.908049134</v>
      </c>
      <c r="AK5763" s="2">
        <v>141260.49505062401</v>
      </c>
      <c r="AL5763" s="2">
        <v>128423.964460791</v>
      </c>
      <c r="AM5763" s="2">
        <v>125718.729479245</v>
      </c>
      <c r="AN5763" s="2">
        <v>217163.90319704</v>
      </c>
      <c r="AO5763" s="2">
        <v>237955.89329645899</v>
      </c>
      <c r="AP5763" s="2">
        <v>126629.542001052</v>
      </c>
    </row>
    <row r="5764" spans="1:42" ht="14.5" x14ac:dyDescent="0.35">
      <c r="A5764" s="2" t="s">
        <v>38213</v>
      </c>
      <c r="B5764" s="2">
        <v>202.10723352906101</v>
      </c>
      <c r="C5764" s="2">
        <v>0.78071666666666695</v>
      </c>
      <c r="D5764" s="2" t="s">
        <v>34</v>
      </c>
      <c r="E5764" s="2" t="s">
        <v>38214</v>
      </c>
      <c r="F5764" s="2">
        <v>8994</v>
      </c>
      <c r="G5764" s="3" t="str">
        <f>HYPERLINK("http://funmeta.oebiotech.com/network/8994", "http://funmeta.oebiotech.com/network/8994")</f>
        <v>http://funmeta.oebiotech.com/network/8994</v>
      </c>
      <c r="H5764" s="2"/>
      <c r="I5764" s="2"/>
      <c r="J5764" s="2" t="s">
        <v>38215</v>
      </c>
      <c r="K5764" s="2"/>
      <c r="L5764" s="2"/>
      <c r="M5764" s="2"/>
      <c r="N5764" s="2"/>
      <c r="O5764" s="2">
        <v>10241919</v>
      </c>
      <c r="P5764" s="2"/>
      <c r="Q5764" s="2" t="s">
        <v>38216</v>
      </c>
      <c r="R5764" s="2" t="s">
        <v>38217</v>
      </c>
      <c r="S5764" s="2" t="s">
        <v>89</v>
      </c>
      <c r="T5764" s="2" t="s">
        <v>90</v>
      </c>
      <c r="U5764" s="2" t="s">
        <v>99</v>
      </c>
      <c r="V5764" s="2" t="s">
        <v>59</v>
      </c>
      <c r="W5764" s="2">
        <v>39.1</v>
      </c>
      <c r="X5764" s="2">
        <v>0</v>
      </c>
      <c r="Y5764" s="2" t="s">
        <v>25428</v>
      </c>
      <c r="Z5764" s="2" t="s">
        <v>38218</v>
      </c>
      <c r="AA5764" s="2">
        <v>-0.75020859498463999</v>
      </c>
      <c r="AB5764" s="2">
        <v>6.4475821167557498E-2</v>
      </c>
      <c r="AC5764" s="2">
        <v>83600.242068268897</v>
      </c>
      <c r="AD5764" s="2">
        <v>82014.039986623902</v>
      </c>
      <c r="AE5764" s="2">
        <v>77496.876450346797</v>
      </c>
      <c r="AF5764" s="2">
        <v>92945.679836790703</v>
      </c>
      <c r="AG5764" s="2">
        <v>86712.315617600296</v>
      </c>
      <c r="AH5764" s="2">
        <v>76774.382540086706</v>
      </c>
      <c r="AI5764" s="2">
        <v>82933.984319113995</v>
      </c>
      <c r="AJ5764" s="2">
        <v>84738.213645674899</v>
      </c>
      <c r="AK5764" s="2">
        <v>77626.278184135299</v>
      </c>
      <c r="AL5764" s="2">
        <v>85718.772119785906</v>
      </c>
      <c r="AM5764" s="2">
        <v>76494.833149353595</v>
      </c>
      <c r="AN5764" s="2">
        <v>83050.454371346306</v>
      </c>
      <c r="AO5764" s="2">
        <v>82583.256201007796</v>
      </c>
      <c r="AP5764" s="2">
        <v>86610.645894114597</v>
      </c>
    </row>
    <row r="5765" spans="1:42" ht="14.5" x14ac:dyDescent="0.35">
      <c r="A5765" s="2" t="s">
        <v>38219</v>
      </c>
      <c r="B5765" s="2">
        <v>435.23862173989301</v>
      </c>
      <c r="C5765" s="2">
        <v>9.4771666666666707</v>
      </c>
      <c r="D5765" s="2" t="s">
        <v>70</v>
      </c>
      <c r="E5765" s="2" t="s">
        <v>38220</v>
      </c>
      <c r="F5765" s="2">
        <v>207172</v>
      </c>
      <c r="G5765" s="3" t="str">
        <f>HYPERLINK("http://funmeta.oebiotech.com/network/207172", "http://funmeta.oebiotech.com/network/207172")</f>
        <v>http://funmeta.oebiotech.com/network/207172</v>
      </c>
      <c r="H5765" s="2" t="s">
        <v>38221</v>
      </c>
      <c r="I5765" s="2"/>
      <c r="J5765" s="2"/>
      <c r="K5765" s="2"/>
      <c r="L5765" s="2"/>
      <c r="M5765" s="2"/>
      <c r="N5765" s="2"/>
      <c r="O5765" s="2">
        <v>608933</v>
      </c>
      <c r="P5765" s="2"/>
      <c r="Q5765" s="2" t="s">
        <v>38222</v>
      </c>
      <c r="R5765" s="2" t="s">
        <v>38223</v>
      </c>
      <c r="S5765" s="2" t="s">
        <v>50</v>
      </c>
      <c r="T5765" s="2" t="s">
        <v>124</v>
      </c>
      <c r="U5765" s="2" t="s">
        <v>567</v>
      </c>
      <c r="V5765" s="2" t="s">
        <v>59</v>
      </c>
      <c r="W5765" s="2">
        <v>41</v>
      </c>
      <c r="X5765" s="2">
        <v>11.1</v>
      </c>
      <c r="Y5765" s="2" t="s">
        <v>408</v>
      </c>
      <c r="Z5765" s="2" t="s">
        <v>38224</v>
      </c>
      <c r="AA5765" s="2">
        <v>-0.52613253150139705</v>
      </c>
      <c r="AB5765" s="2">
        <v>6.4461920407884898E-2</v>
      </c>
      <c r="AC5765" s="2">
        <v>36612.509208265699</v>
      </c>
      <c r="AD5765" s="2">
        <v>35434.957775367096</v>
      </c>
      <c r="AE5765" s="2">
        <v>37068.693016372097</v>
      </c>
      <c r="AF5765" s="2">
        <v>36778.797574993201</v>
      </c>
      <c r="AG5765" s="2">
        <v>31963.771793742198</v>
      </c>
      <c r="AH5765" s="2">
        <v>39226.599745358297</v>
      </c>
      <c r="AI5765" s="2">
        <v>35071.736637959802</v>
      </c>
      <c r="AJ5765" s="2">
        <v>39565.456481168403</v>
      </c>
      <c r="AK5765" s="2">
        <v>36899.901967997001</v>
      </c>
      <c r="AL5765" s="2">
        <v>32813.135172701397</v>
      </c>
      <c r="AM5765" s="2">
        <v>37850.211009379404</v>
      </c>
      <c r="AN5765" s="2">
        <v>34931.912085391203</v>
      </c>
      <c r="AO5765" s="2">
        <v>37887.071088685101</v>
      </c>
      <c r="AP5765" s="2">
        <v>32227.515328048201</v>
      </c>
    </row>
    <row r="5766" spans="1:42" ht="14.5" x14ac:dyDescent="0.35">
      <c r="A5766" s="2" t="s">
        <v>38225</v>
      </c>
      <c r="B5766" s="2">
        <v>184.07565716450199</v>
      </c>
      <c r="C5766" s="2">
        <v>4.8488333333333298</v>
      </c>
      <c r="D5766" s="2" t="s">
        <v>34</v>
      </c>
      <c r="E5766" s="2" t="s">
        <v>38226</v>
      </c>
      <c r="F5766" s="2">
        <v>204528</v>
      </c>
      <c r="G5766" s="3" t="str">
        <f>HYPERLINK("http://funmeta.oebiotech.com/network/204528", "http://funmeta.oebiotech.com/network/204528")</f>
        <v>http://funmeta.oebiotech.com/network/204528</v>
      </c>
      <c r="H5766" s="2" t="s">
        <v>38227</v>
      </c>
      <c r="I5766" s="2">
        <v>1496</v>
      </c>
      <c r="J5766" s="2"/>
      <c r="K5766" s="2">
        <v>3390</v>
      </c>
      <c r="L5766" s="2" t="s">
        <v>38228</v>
      </c>
      <c r="M5766" s="2"/>
      <c r="N5766" s="2"/>
      <c r="O5766" s="2">
        <v>6129</v>
      </c>
      <c r="P5766" s="2" t="s">
        <v>38229</v>
      </c>
      <c r="Q5766" s="2" t="s">
        <v>38230</v>
      </c>
      <c r="R5766" s="2" t="s">
        <v>38231</v>
      </c>
      <c r="S5766" s="2" t="s">
        <v>148</v>
      </c>
      <c r="T5766" s="2" t="s">
        <v>6221</v>
      </c>
      <c r="U5766" s="2" t="s">
        <v>41</v>
      </c>
      <c r="V5766" s="2" t="s">
        <v>59</v>
      </c>
      <c r="W5766" s="2">
        <v>37.4</v>
      </c>
      <c r="X5766" s="2">
        <v>0</v>
      </c>
      <c r="Y5766" s="2" t="s">
        <v>141</v>
      </c>
      <c r="Z5766" s="2" t="s">
        <v>38232</v>
      </c>
      <c r="AA5766" s="2">
        <v>-0.165020671801554</v>
      </c>
      <c r="AB5766" s="2">
        <v>6.4417164608379804E-2</v>
      </c>
      <c r="AC5766" s="2">
        <v>544.49713942574499</v>
      </c>
      <c r="AD5766" s="2">
        <v>191.973673410738</v>
      </c>
      <c r="AE5766" s="2">
        <v>357.913848652068</v>
      </c>
      <c r="AF5766" s="2">
        <v>756.71708448378695</v>
      </c>
      <c r="AG5766" s="2">
        <v>565.00984903799201</v>
      </c>
      <c r="AH5766" s="2">
        <v>473.76310489779399</v>
      </c>
      <c r="AI5766" s="2">
        <v>530.82322226996405</v>
      </c>
      <c r="AJ5766" s="2">
        <v>582.75572721286505</v>
      </c>
      <c r="AK5766" s="2">
        <v>2.7106294003980101E-5</v>
      </c>
      <c r="AL5766" s="2">
        <v>501.88293680444099</v>
      </c>
      <c r="AM5766" s="2">
        <v>214.649794979044</v>
      </c>
      <c r="AN5766" s="2">
        <v>2.7106294003980101E-5</v>
      </c>
      <c r="AO5766" s="2">
        <v>181.95412318194801</v>
      </c>
      <c r="AP5766" s="2">
        <v>253.35513128640801</v>
      </c>
    </row>
    <row r="5767" spans="1:42" ht="14.5" x14ac:dyDescent="0.35">
      <c r="A5767" s="2" t="s">
        <v>38233</v>
      </c>
      <c r="B5767" s="2">
        <v>145.01298854832999</v>
      </c>
      <c r="C5767" s="2">
        <v>0.78520000000000001</v>
      </c>
      <c r="D5767" s="2" t="s">
        <v>70</v>
      </c>
      <c r="E5767" s="2" t="s">
        <v>38234</v>
      </c>
      <c r="F5767" s="2">
        <v>46929</v>
      </c>
      <c r="G5767" s="3" t="str">
        <f>HYPERLINK("http://funmeta.oebiotech.com/network/46929", "http://funmeta.oebiotech.com/network/46929")</f>
        <v>http://funmeta.oebiotech.com/network/46929</v>
      </c>
      <c r="H5767" s="2" t="s">
        <v>38235</v>
      </c>
      <c r="I5767" s="2">
        <v>119</v>
      </c>
      <c r="J5767" s="2"/>
      <c r="K5767" s="2">
        <v>30915</v>
      </c>
      <c r="L5767" s="2" t="s">
        <v>38236</v>
      </c>
      <c r="M5767" s="2" t="s">
        <v>38237</v>
      </c>
      <c r="N5767" s="2" t="s">
        <v>38238</v>
      </c>
      <c r="O5767" s="2">
        <v>51</v>
      </c>
      <c r="P5767" s="2" t="s">
        <v>38239</v>
      </c>
      <c r="Q5767" s="2" t="s">
        <v>38240</v>
      </c>
      <c r="R5767" s="2" t="s">
        <v>38241</v>
      </c>
      <c r="S5767" s="2" t="s">
        <v>89</v>
      </c>
      <c r="T5767" s="2" t="s">
        <v>2718</v>
      </c>
      <c r="U5767" s="2" t="s">
        <v>6030</v>
      </c>
      <c r="V5767" s="2" t="s">
        <v>59</v>
      </c>
      <c r="W5767" s="2">
        <v>45.5</v>
      </c>
      <c r="X5767" s="2">
        <v>41.2</v>
      </c>
      <c r="Y5767" s="2" t="s">
        <v>118</v>
      </c>
      <c r="Z5767" s="2" t="s">
        <v>38242</v>
      </c>
      <c r="AA5767" s="2">
        <v>-8.6172905339590802</v>
      </c>
      <c r="AB5767" s="2">
        <v>6.4377919596930497E-2</v>
      </c>
      <c r="AC5767" s="2">
        <v>30512.805442778801</v>
      </c>
      <c r="AD5767" s="2">
        <v>31381.791048379298</v>
      </c>
      <c r="AE5767" s="2">
        <v>31795.2580658937</v>
      </c>
      <c r="AF5767" s="2">
        <v>29891.108604925001</v>
      </c>
      <c r="AG5767" s="2">
        <v>31326.0544033351</v>
      </c>
      <c r="AH5767" s="2">
        <v>30904.786171257801</v>
      </c>
      <c r="AI5767" s="2">
        <v>29525.847687117399</v>
      </c>
      <c r="AJ5767" s="2">
        <v>29633.7777241439</v>
      </c>
      <c r="AK5767" s="2">
        <v>31812.609072179101</v>
      </c>
      <c r="AL5767" s="2">
        <v>32093.186553126099</v>
      </c>
      <c r="AM5767" s="2">
        <v>32202.894249247001</v>
      </c>
      <c r="AN5767" s="2">
        <v>30018.1132766306</v>
      </c>
      <c r="AO5767" s="2">
        <v>33521.588695913</v>
      </c>
      <c r="AP5767" s="2">
        <v>28642.3544431802</v>
      </c>
    </row>
    <row r="5768" spans="1:42" ht="14.5" x14ac:dyDescent="0.35">
      <c r="A5768" s="2" t="s">
        <v>38243</v>
      </c>
      <c r="B5768" s="2">
        <v>369.13403326929699</v>
      </c>
      <c r="C5768" s="2">
        <v>6.5004833333333298</v>
      </c>
      <c r="D5768" s="2" t="s">
        <v>70</v>
      </c>
      <c r="E5768" s="2" t="s">
        <v>38244</v>
      </c>
      <c r="F5768" s="2">
        <v>33559</v>
      </c>
      <c r="G5768" s="3" t="str">
        <f>HYPERLINK("http://funmeta.oebiotech.com/network/33559", "http://funmeta.oebiotech.com/network/33559")</f>
        <v>http://funmeta.oebiotech.com/network/33559</v>
      </c>
      <c r="H5768" s="2" t="s">
        <v>38245</v>
      </c>
      <c r="I5768" s="2">
        <v>51874</v>
      </c>
      <c r="J5768" s="2" t="s">
        <v>38246</v>
      </c>
      <c r="K5768" s="2"/>
      <c r="L5768" s="2"/>
      <c r="M5768" s="2"/>
      <c r="N5768" s="2"/>
      <c r="O5768" s="2">
        <v>11099375</v>
      </c>
      <c r="P5768" s="2" t="s">
        <v>38247</v>
      </c>
      <c r="Q5768" s="2" t="s">
        <v>38248</v>
      </c>
      <c r="R5768" s="2" t="s">
        <v>38249</v>
      </c>
      <c r="S5768" s="2" t="s">
        <v>115</v>
      </c>
      <c r="T5768" s="2" t="s">
        <v>12600</v>
      </c>
      <c r="U5768" s="2" t="s">
        <v>12601</v>
      </c>
      <c r="V5768" s="2" t="s">
        <v>59</v>
      </c>
      <c r="W5768" s="2">
        <v>38.5</v>
      </c>
      <c r="X5768" s="2">
        <v>0</v>
      </c>
      <c r="Y5768" s="2" t="s">
        <v>408</v>
      </c>
      <c r="Z5768" s="2" t="s">
        <v>3745</v>
      </c>
      <c r="AA5768" s="2">
        <v>-1.0141427728513599</v>
      </c>
      <c r="AB5768" s="2">
        <v>6.4347506147113501E-2</v>
      </c>
      <c r="AC5768" s="2">
        <v>2707.2801987878302</v>
      </c>
      <c r="AD5768" s="2">
        <v>2310.81272456752</v>
      </c>
      <c r="AE5768" s="2">
        <v>2602.9766104995601</v>
      </c>
      <c r="AF5768" s="2">
        <v>2832.03665173126</v>
      </c>
      <c r="AG5768" s="2">
        <v>2548.32680372914</v>
      </c>
      <c r="AH5768" s="2">
        <v>3017.7554254026199</v>
      </c>
      <c r="AI5768" s="2">
        <v>2561.3806284173202</v>
      </c>
      <c r="AJ5768" s="2">
        <v>2681.2050729470898</v>
      </c>
      <c r="AK5768" s="2">
        <v>2707.6961367378299</v>
      </c>
      <c r="AL5768" s="2">
        <v>2508.3198609672299</v>
      </c>
      <c r="AM5768" s="2">
        <v>2305.6643007602102</v>
      </c>
      <c r="AN5768" s="2">
        <v>2046.16653034316</v>
      </c>
      <c r="AO5768" s="2">
        <v>2324.10825426262</v>
      </c>
      <c r="AP5768" s="2">
        <v>1972.92126433405</v>
      </c>
    </row>
    <row r="5769" spans="1:42" ht="14.5" x14ac:dyDescent="0.35">
      <c r="A5769" s="2" t="s">
        <v>38250</v>
      </c>
      <c r="B5769" s="2">
        <v>557.14763291415704</v>
      </c>
      <c r="C5769" s="2">
        <v>1.34713333333333</v>
      </c>
      <c r="D5769" s="2" t="s">
        <v>34</v>
      </c>
      <c r="E5769" s="2" t="s">
        <v>38251</v>
      </c>
      <c r="F5769" s="2">
        <v>57049</v>
      </c>
      <c r="G5769" s="3" t="str">
        <f>HYPERLINK("http://funmeta.oebiotech.com/network/57049", "http://funmeta.oebiotech.com/network/57049")</f>
        <v>http://funmeta.oebiotech.com/network/57049</v>
      </c>
      <c r="H5769" s="2" t="s">
        <v>38252</v>
      </c>
      <c r="I5769" s="2">
        <v>88704</v>
      </c>
      <c r="J5769" s="2"/>
      <c r="K5769" s="2"/>
      <c r="L5769" s="2"/>
      <c r="M5769" s="2"/>
      <c r="N5769" s="2"/>
      <c r="O5769" s="2">
        <v>10142653</v>
      </c>
      <c r="P5769" s="2" t="s">
        <v>38253</v>
      </c>
      <c r="Q5769" s="2" t="s">
        <v>38254</v>
      </c>
      <c r="R5769" s="2" t="s">
        <v>38255</v>
      </c>
      <c r="S5769" s="2" t="s">
        <v>79</v>
      </c>
      <c r="T5769" s="2" t="s">
        <v>80</v>
      </c>
      <c r="U5769" s="2" t="s">
        <v>81</v>
      </c>
      <c r="V5769" s="2" t="s">
        <v>59</v>
      </c>
      <c r="W5769" s="2">
        <v>38.200000000000003</v>
      </c>
      <c r="X5769" s="2">
        <v>0</v>
      </c>
      <c r="Y5769" s="2" t="s">
        <v>340</v>
      </c>
      <c r="Z5769" s="2" t="s">
        <v>38256</v>
      </c>
      <c r="AA5769" s="2">
        <v>-0.405587408368691</v>
      </c>
      <c r="AB5769" s="2">
        <v>6.4329710904115697E-2</v>
      </c>
      <c r="AC5769" s="2">
        <v>6133.7195460968896</v>
      </c>
      <c r="AD5769" s="2">
        <v>6865.2568837954404</v>
      </c>
      <c r="AE5769" s="2">
        <v>6146.2075134210099</v>
      </c>
      <c r="AF5769" s="2">
        <v>6909.0666728296101</v>
      </c>
      <c r="AG5769" s="2">
        <v>7059.7663995543498</v>
      </c>
      <c r="AH5769" s="2">
        <v>4762.89986336121</v>
      </c>
      <c r="AI5769" s="2">
        <v>6321.0243212370096</v>
      </c>
      <c r="AJ5769" s="2">
        <v>5603.3525061781602</v>
      </c>
      <c r="AK5769" s="2">
        <v>6935.17021859549</v>
      </c>
      <c r="AL5769" s="2">
        <v>5468.9687152285696</v>
      </c>
      <c r="AM5769" s="2">
        <v>7398.4529430661496</v>
      </c>
      <c r="AN5769" s="2">
        <v>7112.7047971750599</v>
      </c>
      <c r="AO5769" s="2">
        <v>5729.5209890371998</v>
      </c>
      <c r="AP5769" s="2">
        <v>8546.7236396701901</v>
      </c>
    </row>
    <row r="5770" spans="1:42" ht="14.5" x14ac:dyDescent="0.35">
      <c r="A5770" s="2" t="s">
        <v>38257</v>
      </c>
      <c r="B5770" s="2">
        <v>207.101581607588</v>
      </c>
      <c r="C5770" s="2">
        <v>4.63378333333333</v>
      </c>
      <c r="D5770" s="2" t="s">
        <v>34</v>
      </c>
      <c r="E5770" s="2" t="s">
        <v>38258</v>
      </c>
      <c r="F5770" s="2">
        <v>56433</v>
      </c>
      <c r="G5770" s="3" t="str">
        <f>HYPERLINK("http://funmeta.oebiotech.com/network/56433", "http://funmeta.oebiotech.com/network/56433")</f>
        <v>http://funmeta.oebiotech.com/network/56433</v>
      </c>
      <c r="H5770" s="2" t="s">
        <v>38259</v>
      </c>
      <c r="I5770" s="2">
        <v>88084</v>
      </c>
      <c r="J5770" s="2"/>
      <c r="K5770" s="2">
        <v>173582</v>
      </c>
      <c r="L5770" s="2"/>
      <c r="M5770" s="2"/>
      <c r="N5770" s="2"/>
      <c r="O5770" s="2">
        <v>131751231</v>
      </c>
      <c r="P5770" s="2" t="s">
        <v>38260</v>
      </c>
      <c r="Q5770" s="2" t="s">
        <v>38261</v>
      </c>
      <c r="R5770" s="2" t="s">
        <v>38262</v>
      </c>
      <c r="S5770" s="2" t="s">
        <v>148</v>
      </c>
      <c r="T5770" s="2" t="s">
        <v>149</v>
      </c>
      <c r="U5770" s="2" t="s">
        <v>2874</v>
      </c>
      <c r="V5770" s="2" t="s">
        <v>59</v>
      </c>
      <c r="W5770" s="2">
        <v>47.5</v>
      </c>
      <c r="X5770" s="2">
        <v>41.5</v>
      </c>
      <c r="Y5770" s="2" t="s">
        <v>266</v>
      </c>
      <c r="Z5770" s="2" t="s">
        <v>30817</v>
      </c>
      <c r="AA5770" s="2">
        <v>5.2732794772142398E-2</v>
      </c>
      <c r="AB5770" s="2">
        <v>6.43026800865142E-2</v>
      </c>
      <c r="AC5770" s="2">
        <v>104575.823093749</v>
      </c>
      <c r="AD5770" s="2">
        <v>106247.26635393</v>
      </c>
      <c r="AE5770" s="2">
        <v>102328.68842782101</v>
      </c>
      <c r="AF5770" s="2">
        <v>113618.28263822199</v>
      </c>
      <c r="AG5770" s="2">
        <v>104238.748234292</v>
      </c>
      <c r="AH5770" s="2">
        <v>97451.892294556004</v>
      </c>
      <c r="AI5770" s="2">
        <v>103881.515976273</v>
      </c>
      <c r="AJ5770" s="2">
        <v>105935.810991329</v>
      </c>
      <c r="AK5770" s="2">
        <v>112453.772660128</v>
      </c>
      <c r="AL5770" s="2">
        <v>109842.384372449</v>
      </c>
      <c r="AM5770" s="2">
        <v>101628.29457041599</v>
      </c>
      <c r="AN5770" s="2">
        <v>111058.47619765899</v>
      </c>
      <c r="AO5770" s="2">
        <v>100131.96541844</v>
      </c>
      <c r="AP5770" s="2">
        <v>102368.70490448699</v>
      </c>
    </row>
    <row r="5771" spans="1:42" ht="14.5" x14ac:dyDescent="0.35">
      <c r="A5771" s="2" t="s">
        <v>38263</v>
      </c>
      <c r="B5771" s="2">
        <v>260.20069226898602</v>
      </c>
      <c r="C5771" s="2">
        <v>10.60355</v>
      </c>
      <c r="D5771" s="2" t="s">
        <v>34</v>
      </c>
      <c r="E5771" s="2" t="s">
        <v>38264</v>
      </c>
      <c r="F5771" s="2">
        <v>48454</v>
      </c>
      <c r="G5771" s="3" t="str">
        <f>HYPERLINK("http://funmeta.oebiotech.com/network/48454", "http://funmeta.oebiotech.com/network/48454")</f>
        <v>http://funmeta.oebiotech.com/network/48454</v>
      </c>
      <c r="H5771" s="2" t="s">
        <v>38265</v>
      </c>
      <c r="I5771" s="2">
        <v>3005</v>
      </c>
      <c r="J5771" s="2"/>
      <c r="K5771" s="2">
        <v>9943</v>
      </c>
      <c r="L5771" s="2" t="s">
        <v>38266</v>
      </c>
      <c r="M5771" s="2"/>
      <c r="N5771" s="2"/>
      <c r="O5771" s="2">
        <v>5656</v>
      </c>
      <c r="P5771" s="2" t="s">
        <v>38267</v>
      </c>
      <c r="Q5771" s="2" t="s">
        <v>38268</v>
      </c>
      <c r="R5771" s="2" t="s">
        <v>38269</v>
      </c>
      <c r="S5771" s="2" t="s">
        <v>148</v>
      </c>
      <c r="T5771" s="2" t="s">
        <v>3772</v>
      </c>
      <c r="U5771" s="2" t="s">
        <v>18665</v>
      </c>
      <c r="V5771" s="2" t="s">
        <v>42</v>
      </c>
      <c r="W5771" s="2">
        <v>51.4</v>
      </c>
      <c r="X5771" s="2">
        <v>62.3</v>
      </c>
      <c r="Y5771" s="2" t="s">
        <v>141</v>
      </c>
      <c r="Z5771" s="2" t="s">
        <v>38270</v>
      </c>
      <c r="AA5771" s="2">
        <v>-0.71640631159791801</v>
      </c>
      <c r="AB5771" s="2">
        <v>6.4176598440160895E-2</v>
      </c>
      <c r="AC5771" s="2">
        <v>7846.0034603253498</v>
      </c>
      <c r="AD5771" s="2">
        <v>8381.3760170948008</v>
      </c>
      <c r="AE5771" s="2">
        <v>7469.36268877153</v>
      </c>
      <c r="AF5771" s="2">
        <v>7690.6745521123303</v>
      </c>
      <c r="AG5771" s="2">
        <v>8247.8447058868296</v>
      </c>
      <c r="AH5771" s="2">
        <v>8112.08524435255</v>
      </c>
      <c r="AI5771" s="2">
        <v>8174.5365249859997</v>
      </c>
      <c r="AJ5771" s="2">
        <v>7381.5170458428802</v>
      </c>
      <c r="AK5771" s="2">
        <v>9155.6786913441192</v>
      </c>
      <c r="AL5771" s="2">
        <v>8434.9716371808699</v>
      </c>
      <c r="AM5771" s="2">
        <v>7426.0276618876296</v>
      </c>
      <c r="AN5771" s="2">
        <v>8545.2085610604008</v>
      </c>
      <c r="AO5771" s="2">
        <v>8731.8937996117802</v>
      </c>
      <c r="AP5771" s="2">
        <v>7994.4757514839903</v>
      </c>
    </row>
    <row r="5772" spans="1:42" ht="14.5" x14ac:dyDescent="0.35">
      <c r="A5772" s="2" t="s">
        <v>38271</v>
      </c>
      <c r="B5772" s="2">
        <v>231.13783244773401</v>
      </c>
      <c r="C5772" s="2">
        <v>5.2179000000000002</v>
      </c>
      <c r="D5772" s="2" t="s">
        <v>34</v>
      </c>
      <c r="E5772" s="2" t="s">
        <v>38272</v>
      </c>
      <c r="F5772" s="2">
        <v>276189</v>
      </c>
      <c r="G5772" s="3" t="str">
        <f>HYPERLINK("http://funmeta.oebiotech.com/network/276189", "http://funmeta.oebiotech.com/network/276189")</f>
        <v>http://funmeta.oebiotech.com/network/276189</v>
      </c>
      <c r="H5772" s="2"/>
      <c r="I5772" s="2">
        <v>67654</v>
      </c>
      <c r="J5772" s="2"/>
      <c r="K5772" s="2"/>
      <c r="L5772" s="2" t="s">
        <v>38273</v>
      </c>
      <c r="M5772" s="2"/>
      <c r="N5772" s="2"/>
      <c r="O5772" s="2">
        <v>73174</v>
      </c>
      <c r="P5772" s="2" t="s">
        <v>38274</v>
      </c>
      <c r="Q5772" s="2" t="s">
        <v>38275</v>
      </c>
      <c r="R5772" s="2" t="s">
        <v>38276</v>
      </c>
      <c r="S5772" s="2" t="s">
        <v>50</v>
      </c>
      <c r="T5772" s="2" t="s">
        <v>201</v>
      </c>
      <c r="U5772" s="2" t="s">
        <v>1217</v>
      </c>
      <c r="V5772" s="2" t="s">
        <v>59</v>
      </c>
      <c r="W5772" s="2">
        <v>38.4</v>
      </c>
      <c r="X5772" s="2">
        <v>0</v>
      </c>
      <c r="Y5772" s="2" t="s">
        <v>394</v>
      </c>
      <c r="Z5772" s="2" t="s">
        <v>27934</v>
      </c>
      <c r="AA5772" s="2">
        <v>-0.53795802427006101</v>
      </c>
      <c r="AB5772" s="2">
        <v>6.4159209087769897E-2</v>
      </c>
      <c r="AC5772" s="2">
        <v>6432.69327263985</v>
      </c>
      <c r="AD5772" s="2">
        <v>5761.6875458457898</v>
      </c>
      <c r="AE5772" s="2">
        <v>5140.2467431926498</v>
      </c>
      <c r="AF5772" s="2">
        <v>6581.8702646767897</v>
      </c>
      <c r="AG5772" s="2">
        <v>7453.6589794423599</v>
      </c>
      <c r="AH5772" s="2">
        <v>5192.0624704579996</v>
      </c>
      <c r="AI5772" s="2">
        <v>7541.5230491728598</v>
      </c>
      <c r="AJ5772" s="2">
        <v>6686.7981288964302</v>
      </c>
      <c r="AK5772" s="2">
        <v>4878.6861894896201</v>
      </c>
      <c r="AL5772" s="2">
        <v>5862.9497937976003</v>
      </c>
      <c r="AM5772" s="2">
        <v>5842.0036773243801</v>
      </c>
      <c r="AN5772" s="2">
        <v>6232.4476461857003</v>
      </c>
      <c r="AO5772" s="2">
        <v>5932.2516608219803</v>
      </c>
      <c r="AP5772" s="2">
        <v>5821.7863074554398</v>
      </c>
    </row>
    <row r="5773" spans="1:42" ht="14.5" x14ac:dyDescent="0.35">
      <c r="A5773" s="2" t="s">
        <v>38277</v>
      </c>
      <c r="B5773" s="2">
        <v>280.035465319048</v>
      </c>
      <c r="C5773" s="2">
        <v>3.8614999999999999</v>
      </c>
      <c r="D5773" s="2" t="s">
        <v>70</v>
      </c>
      <c r="E5773" s="2" t="s">
        <v>38278</v>
      </c>
      <c r="F5773" s="2">
        <v>210323</v>
      </c>
      <c r="G5773" s="3" t="str">
        <f>HYPERLINK("http://funmeta.oebiotech.com/network/210323", "http://funmeta.oebiotech.com/network/210323")</f>
        <v>http://funmeta.oebiotech.com/network/210323</v>
      </c>
      <c r="H5773" s="2" t="s">
        <v>38279</v>
      </c>
      <c r="I5773" s="2"/>
      <c r="J5773" s="2"/>
      <c r="K5773" s="2"/>
      <c r="L5773" s="2"/>
      <c r="M5773" s="2"/>
      <c r="N5773" s="2"/>
      <c r="O5773" s="2">
        <v>129716747</v>
      </c>
      <c r="P5773" s="2"/>
      <c r="Q5773" s="2" t="s">
        <v>38280</v>
      </c>
      <c r="R5773" s="2" t="s">
        <v>38281</v>
      </c>
      <c r="S5773" s="2" t="s">
        <v>41</v>
      </c>
      <c r="T5773" s="2" t="s">
        <v>41</v>
      </c>
      <c r="U5773" s="2" t="s">
        <v>41</v>
      </c>
      <c r="V5773" s="2" t="s">
        <v>59</v>
      </c>
      <c r="W5773" s="2">
        <v>37.5</v>
      </c>
      <c r="X5773" s="2">
        <v>0</v>
      </c>
      <c r="Y5773" s="2" t="s">
        <v>751</v>
      </c>
      <c r="Z5773" s="2" t="s">
        <v>38282</v>
      </c>
      <c r="AA5773" s="2">
        <v>4.8666784137457704</v>
      </c>
      <c r="AB5773" s="2">
        <v>6.4127775678542706E-2</v>
      </c>
      <c r="AC5773" s="2">
        <v>3352.8865792345</v>
      </c>
      <c r="AD5773" s="2">
        <v>2865.7599277756799</v>
      </c>
      <c r="AE5773" s="2">
        <v>2764.4213958340601</v>
      </c>
      <c r="AF5773" s="2">
        <v>3493.67618715155</v>
      </c>
      <c r="AG5773" s="2">
        <v>3581.02044765451</v>
      </c>
      <c r="AH5773" s="2">
        <v>2842.9957297056799</v>
      </c>
      <c r="AI5773" s="2">
        <v>3723.50220758972</v>
      </c>
      <c r="AJ5773" s="2">
        <v>3711.7035074715</v>
      </c>
      <c r="AK5773" s="2">
        <v>3075.5262922008101</v>
      </c>
      <c r="AL5773" s="2">
        <v>3278.0675437492</v>
      </c>
      <c r="AM5773" s="2">
        <v>2528.2166479543198</v>
      </c>
      <c r="AN5773" s="2">
        <v>2878.2025183344499</v>
      </c>
      <c r="AO5773" s="2">
        <v>3086.1920641372299</v>
      </c>
      <c r="AP5773" s="2">
        <v>2348.3545002780802</v>
      </c>
    </row>
    <row r="5774" spans="1:42" ht="14.5" x14ac:dyDescent="0.35">
      <c r="A5774" s="2" t="s">
        <v>38283</v>
      </c>
      <c r="B5774" s="2">
        <v>373.29566460723601</v>
      </c>
      <c r="C5774" s="2">
        <v>10.661899999999999</v>
      </c>
      <c r="D5774" s="2" t="s">
        <v>70</v>
      </c>
      <c r="E5774" s="2" t="s">
        <v>38284</v>
      </c>
      <c r="F5774" s="2">
        <v>56809</v>
      </c>
      <c r="G5774" s="3" t="str">
        <f>HYPERLINK("http://funmeta.oebiotech.com/network/56809", "http://funmeta.oebiotech.com/network/56809")</f>
        <v>http://funmeta.oebiotech.com/network/56809</v>
      </c>
      <c r="H5774" s="2" t="s">
        <v>38285</v>
      </c>
      <c r="I5774" s="2">
        <v>88488</v>
      </c>
      <c r="J5774" s="2"/>
      <c r="K5774" s="2">
        <v>167626</v>
      </c>
      <c r="L5774" s="2"/>
      <c r="M5774" s="2"/>
      <c r="N5774" s="2"/>
      <c r="O5774" s="2">
        <v>24762</v>
      </c>
      <c r="P5774" s="2" t="s">
        <v>38286</v>
      </c>
      <c r="Q5774" s="2" t="s">
        <v>38287</v>
      </c>
      <c r="R5774" s="2" t="s">
        <v>38288</v>
      </c>
      <c r="S5774" s="2" t="s">
        <v>50</v>
      </c>
      <c r="T5774" s="2" t="s">
        <v>229</v>
      </c>
      <c r="U5774" s="2" t="s">
        <v>1914</v>
      </c>
      <c r="V5774" s="2" t="s">
        <v>59</v>
      </c>
      <c r="W5774" s="2">
        <v>38.5</v>
      </c>
      <c r="X5774" s="2">
        <v>0</v>
      </c>
      <c r="Y5774" s="2" t="s">
        <v>408</v>
      </c>
      <c r="Z5774" s="2" t="s">
        <v>32872</v>
      </c>
      <c r="AA5774" s="2">
        <v>-0.86325370241295196</v>
      </c>
      <c r="AB5774" s="2">
        <v>6.4126408846393701E-2</v>
      </c>
      <c r="AC5774" s="2">
        <v>3190.6021531659399</v>
      </c>
      <c r="AD5774" s="2">
        <v>2784.5080098654398</v>
      </c>
      <c r="AE5774" s="2">
        <v>3395.9812106607101</v>
      </c>
      <c r="AF5774" s="2">
        <v>2923.5336891742199</v>
      </c>
      <c r="AG5774" s="2">
        <v>3100.7600887282802</v>
      </c>
      <c r="AH5774" s="2">
        <v>3538.0369036843999</v>
      </c>
      <c r="AI5774" s="2">
        <v>3182.6891469184402</v>
      </c>
      <c r="AJ5774" s="2">
        <v>3002.6118798295602</v>
      </c>
      <c r="AK5774" s="2">
        <v>2471.6668719409099</v>
      </c>
      <c r="AL5774" s="2">
        <v>2660.2808418764298</v>
      </c>
      <c r="AM5774" s="2">
        <v>2953.2426759382602</v>
      </c>
      <c r="AN5774" s="2">
        <v>2540.1952149530898</v>
      </c>
      <c r="AO5774" s="2">
        <v>2975.32837211182</v>
      </c>
      <c r="AP5774" s="2">
        <v>3106.3340823721101</v>
      </c>
    </row>
    <row r="5775" spans="1:42" ht="14.5" x14ac:dyDescent="0.35">
      <c r="A5775" s="2" t="s">
        <v>38289</v>
      </c>
      <c r="B5775" s="2">
        <v>461.06762719846802</v>
      </c>
      <c r="C5775" s="2">
        <v>4.0592666666666704</v>
      </c>
      <c r="D5775" s="2" t="s">
        <v>70</v>
      </c>
      <c r="E5775" s="2" t="s">
        <v>38290</v>
      </c>
      <c r="F5775" s="2">
        <v>53492</v>
      </c>
      <c r="G5775" s="3" t="str">
        <f>HYPERLINK("http://funmeta.oebiotech.com/network/53492", "http://funmeta.oebiotech.com/network/53492")</f>
        <v>http://funmeta.oebiotech.com/network/53492</v>
      </c>
      <c r="H5775" s="2" t="s">
        <v>38291</v>
      </c>
      <c r="I5775" s="2">
        <v>1581</v>
      </c>
      <c r="J5775" s="2"/>
      <c r="K5775" s="2">
        <v>3480</v>
      </c>
      <c r="L5775" s="2" t="s">
        <v>38292</v>
      </c>
      <c r="M5775" s="2"/>
      <c r="N5775" s="2"/>
      <c r="O5775" s="2">
        <v>456255</v>
      </c>
      <c r="P5775" s="2" t="s">
        <v>38293</v>
      </c>
      <c r="Q5775" s="2" t="s">
        <v>38294</v>
      </c>
      <c r="R5775" s="2" t="s">
        <v>38295</v>
      </c>
      <c r="S5775" s="2" t="s">
        <v>491</v>
      </c>
      <c r="T5775" s="2" t="s">
        <v>8419</v>
      </c>
      <c r="U5775" s="2" t="s">
        <v>8420</v>
      </c>
      <c r="V5775" s="2" t="s">
        <v>59</v>
      </c>
      <c r="W5775" s="2">
        <v>36.299999999999997</v>
      </c>
      <c r="X5775" s="2">
        <v>6.42</v>
      </c>
      <c r="Y5775" s="2" t="s">
        <v>118</v>
      </c>
      <c r="Z5775" s="2" t="s">
        <v>38296</v>
      </c>
      <c r="AA5775" s="2">
        <v>-6.7219675605599498</v>
      </c>
      <c r="AB5775" s="2">
        <v>6.4096168378393506E-2</v>
      </c>
      <c r="AC5775" s="2">
        <v>28625.8343675816</v>
      </c>
      <c r="AD5775" s="2">
        <v>27593.088380688099</v>
      </c>
      <c r="AE5775" s="2">
        <v>30140.926970283199</v>
      </c>
      <c r="AF5775" s="2">
        <v>28671.7212121827</v>
      </c>
      <c r="AG5775" s="2">
        <v>28140.992243977002</v>
      </c>
      <c r="AH5775" s="2">
        <v>28830.312925844701</v>
      </c>
      <c r="AI5775" s="2">
        <v>28615.6997108551</v>
      </c>
      <c r="AJ5775" s="2">
        <v>27355.353142347099</v>
      </c>
      <c r="AK5775" s="2">
        <v>30234.7258043359</v>
      </c>
      <c r="AL5775" s="2">
        <v>30643.6246557585</v>
      </c>
      <c r="AM5775" s="2">
        <v>26943.570950365</v>
      </c>
      <c r="AN5775" s="2">
        <v>26896.141568307001</v>
      </c>
      <c r="AO5775" s="2">
        <v>28133.526279201302</v>
      </c>
      <c r="AP5775" s="2">
        <v>22706.941026161101</v>
      </c>
    </row>
    <row r="5776" spans="1:42" ht="14.5" x14ac:dyDescent="0.35">
      <c r="A5776" s="2" t="s">
        <v>38297</v>
      </c>
      <c r="B5776" s="2">
        <v>441.16126284003298</v>
      </c>
      <c r="C5776" s="2">
        <v>3.5208166666666698</v>
      </c>
      <c r="D5776" s="2" t="s">
        <v>70</v>
      </c>
      <c r="E5776" s="2" t="s">
        <v>38298</v>
      </c>
      <c r="F5776" s="2">
        <v>200934</v>
      </c>
      <c r="G5776" s="3" t="str">
        <f>HYPERLINK("http://funmeta.oebiotech.com/network/200934", "http://funmeta.oebiotech.com/network/200934")</f>
        <v>http://funmeta.oebiotech.com/network/200934</v>
      </c>
      <c r="H5776" s="2" t="s">
        <v>38299</v>
      </c>
      <c r="I5776" s="2">
        <v>333890</v>
      </c>
      <c r="J5776" s="2"/>
      <c r="K5776" s="2"/>
      <c r="L5776" s="2"/>
      <c r="M5776" s="2"/>
      <c r="N5776" s="2"/>
      <c r="O5776" s="2">
        <v>7105</v>
      </c>
      <c r="P5776" s="2"/>
      <c r="Q5776" s="2" t="s">
        <v>38300</v>
      </c>
      <c r="R5776" s="2" t="s">
        <v>38301</v>
      </c>
      <c r="S5776" s="2" t="s">
        <v>491</v>
      </c>
      <c r="T5776" s="2" t="s">
        <v>3519</v>
      </c>
      <c r="U5776" s="2" t="s">
        <v>29380</v>
      </c>
      <c r="V5776" s="2" t="s">
        <v>59</v>
      </c>
      <c r="W5776" s="2">
        <v>38.6</v>
      </c>
      <c r="X5776" s="2">
        <v>0</v>
      </c>
      <c r="Y5776" s="2" t="s">
        <v>560</v>
      </c>
      <c r="Z5776" s="2" t="s">
        <v>38302</v>
      </c>
      <c r="AA5776" s="2">
        <v>0.93022935633187698</v>
      </c>
      <c r="AB5776" s="2">
        <v>6.3970162583045206E-2</v>
      </c>
      <c r="AC5776" s="2">
        <v>4563.5421363248297</v>
      </c>
      <c r="AD5776" s="2">
        <v>4085.9108554743598</v>
      </c>
      <c r="AE5776" s="2">
        <v>4916.3412621805701</v>
      </c>
      <c r="AF5776" s="2">
        <v>4120.8523240259001</v>
      </c>
      <c r="AG5776" s="2">
        <v>4174.58836091584</v>
      </c>
      <c r="AH5776" s="2">
        <v>4747.5081855176704</v>
      </c>
      <c r="AI5776" s="2">
        <v>4243.1217764791299</v>
      </c>
      <c r="AJ5776" s="2">
        <v>5178.8409088298904</v>
      </c>
      <c r="AK5776" s="2">
        <v>4406.9070406421197</v>
      </c>
      <c r="AL5776" s="2">
        <v>4030.1972760175599</v>
      </c>
      <c r="AM5776" s="2">
        <v>4307.2990378466102</v>
      </c>
      <c r="AN5776" s="2">
        <v>4256.4671473540602</v>
      </c>
      <c r="AO5776" s="2">
        <v>3527.8011630262199</v>
      </c>
      <c r="AP5776" s="2">
        <v>3986.7934679595701</v>
      </c>
    </row>
    <row r="5777" spans="1:42" ht="14.5" x14ac:dyDescent="0.35">
      <c r="A5777" s="2" t="s">
        <v>38303</v>
      </c>
      <c r="B5777" s="2">
        <v>285.01636763975</v>
      </c>
      <c r="C5777" s="2">
        <v>7.2607833333333298</v>
      </c>
      <c r="D5777" s="2" t="s">
        <v>70</v>
      </c>
      <c r="E5777" s="2" t="s">
        <v>38304</v>
      </c>
      <c r="F5777" s="2">
        <v>299851</v>
      </c>
      <c r="G5777" s="3" t="str">
        <f>HYPERLINK("http://funmeta.oebiotech.com/network/299851", "http://funmeta.oebiotech.com/network/299851")</f>
        <v>http://funmeta.oebiotech.com/network/299851</v>
      </c>
      <c r="H5777" s="2"/>
      <c r="I5777" s="2">
        <v>324983</v>
      </c>
      <c r="J5777" s="2"/>
      <c r="K5777" s="2"/>
      <c r="L5777" s="2"/>
      <c r="M5777" s="2"/>
      <c r="N5777" s="2"/>
      <c r="O5777" s="2">
        <v>67656</v>
      </c>
      <c r="P5777" s="2"/>
      <c r="Q5777" s="2" t="s">
        <v>38305</v>
      </c>
      <c r="R5777" s="2" t="s">
        <v>38306</v>
      </c>
      <c r="S5777" s="2" t="s">
        <v>491</v>
      </c>
      <c r="T5777" s="2" t="s">
        <v>3519</v>
      </c>
      <c r="U5777" s="2" t="s">
        <v>19069</v>
      </c>
      <c r="V5777" s="2" t="s">
        <v>59</v>
      </c>
      <c r="W5777" s="2">
        <v>38.200000000000003</v>
      </c>
      <c r="X5777" s="2">
        <v>0</v>
      </c>
      <c r="Y5777" s="2" t="s">
        <v>408</v>
      </c>
      <c r="Z5777" s="2" t="s">
        <v>38307</v>
      </c>
      <c r="AA5777" s="2">
        <v>0.54844437300537296</v>
      </c>
      <c r="AB5777" s="2">
        <v>6.3944802420012006E-2</v>
      </c>
      <c r="AC5777" s="2">
        <v>1508.56031163322</v>
      </c>
      <c r="AD5777" s="2">
        <v>1847.3010157613301</v>
      </c>
      <c r="AE5777" s="2">
        <v>1423.30290142276</v>
      </c>
      <c r="AF5777" s="2">
        <v>1520.8426896976</v>
      </c>
      <c r="AG5777" s="2">
        <v>1559.7200070497699</v>
      </c>
      <c r="AH5777" s="2">
        <v>1581.0219442206001</v>
      </c>
      <c r="AI5777" s="2">
        <v>1562.7950322358399</v>
      </c>
      <c r="AJ5777" s="2">
        <v>1403.67929517278</v>
      </c>
      <c r="AK5777" s="2">
        <v>1918.97352904474</v>
      </c>
      <c r="AL5777" s="2">
        <v>2118.5715922940799</v>
      </c>
      <c r="AM5777" s="2">
        <v>1891.88281970193</v>
      </c>
      <c r="AN5777" s="2">
        <v>1560.9116098909301</v>
      </c>
      <c r="AO5777" s="2">
        <v>1772.06894217637</v>
      </c>
      <c r="AP5777" s="2">
        <v>1821.39760145994</v>
      </c>
    </row>
    <row r="5778" spans="1:42" ht="14.5" x14ac:dyDescent="0.35">
      <c r="A5778" s="2" t="s">
        <v>38308</v>
      </c>
      <c r="B5778" s="2">
        <v>242.06574768483401</v>
      </c>
      <c r="C5778" s="2">
        <v>2.3345833333333301</v>
      </c>
      <c r="D5778" s="2" t="s">
        <v>34</v>
      </c>
      <c r="E5778" s="2" t="s">
        <v>38309</v>
      </c>
      <c r="F5778" s="2">
        <v>60078</v>
      </c>
      <c r="G5778" s="3" t="str">
        <f>HYPERLINK("http://funmeta.oebiotech.com/network/60078", "http://funmeta.oebiotech.com/network/60078")</f>
        <v>http://funmeta.oebiotech.com/network/60078</v>
      </c>
      <c r="H5778" s="2" t="s">
        <v>38310</v>
      </c>
      <c r="I5778" s="2">
        <v>91459</v>
      </c>
      <c r="J5778" s="2"/>
      <c r="K5778" s="2"/>
      <c r="L5778" s="2"/>
      <c r="M5778" s="2"/>
      <c r="N5778" s="2"/>
      <c r="O5778" s="2">
        <v>9920917</v>
      </c>
      <c r="P5778" s="2" t="s">
        <v>38311</v>
      </c>
      <c r="Q5778" s="2" t="s">
        <v>38312</v>
      </c>
      <c r="R5778" s="2" t="s">
        <v>38313</v>
      </c>
      <c r="S5778" s="2" t="s">
        <v>148</v>
      </c>
      <c r="T5778" s="2" t="s">
        <v>149</v>
      </c>
      <c r="U5778" s="2" t="s">
        <v>4966</v>
      </c>
      <c r="V5778" s="2" t="s">
        <v>59</v>
      </c>
      <c r="W5778" s="2">
        <v>39.5</v>
      </c>
      <c r="X5778" s="2">
        <v>0</v>
      </c>
      <c r="Y5778" s="2" t="s">
        <v>43</v>
      </c>
      <c r="Z5778" s="2" t="s">
        <v>38314</v>
      </c>
      <c r="AA5778" s="2">
        <v>-0.74015774822716296</v>
      </c>
      <c r="AB5778" s="2">
        <v>6.3933770067513301E-2</v>
      </c>
      <c r="AC5778" s="2">
        <v>599.43619945165995</v>
      </c>
      <c r="AD5778" s="2">
        <v>309.89243094337502</v>
      </c>
      <c r="AE5778" s="2">
        <v>674.58246928058099</v>
      </c>
      <c r="AF5778" s="2">
        <v>642.18646714941303</v>
      </c>
      <c r="AG5778" s="2">
        <v>609.35047291274805</v>
      </c>
      <c r="AH5778" s="2">
        <v>536.61286709902197</v>
      </c>
      <c r="AI5778" s="2">
        <v>501.02709780695301</v>
      </c>
      <c r="AJ5778" s="2">
        <v>632.85782246124097</v>
      </c>
      <c r="AK5778" s="2">
        <v>302.978625930183</v>
      </c>
      <c r="AL5778" s="2">
        <v>315.98454055173499</v>
      </c>
      <c r="AM5778" s="2">
        <v>257.12639233137003</v>
      </c>
      <c r="AN5778" s="2">
        <v>289.413215567203</v>
      </c>
      <c r="AO5778" s="2">
        <v>253.751267954588</v>
      </c>
      <c r="AP5778" s="2">
        <v>440.10054332517302</v>
      </c>
    </row>
    <row r="5779" spans="1:42" ht="14.5" x14ac:dyDescent="0.35">
      <c r="A5779" s="2" t="s">
        <v>38315</v>
      </c>
      <c r="B5779" s="2">
        <v>733.27915599718096</v>
      </c>
      <c r="C5779" s="2">
        <v>11.10285</v>
      </c>
      <c r="D5779" s="2" t="s">
        <v>70</v>
      </c>
      <c r="E5779" s="2" t="s">
        <v>38316</v>
      </c>
      <c r="F5779" s="2">
        <v>280463</v>
      </c>
      <c r="G5779" s="3" t="str">
        <f>HYPERLINK("http://funmeta.oebiotech.com/network/280463", "http://funmeta.oebiotech.com/network/280463")</f>
        <v>http://funmeta.oebiotech.com/network/280463</v>
      </c>
      <c r="H5779" s="2"/>
      <c r="I5779" s="2">
        <v>73576</v>
      </c>
      <c r="J5779" s="2"/>
      <c r="K5779" s="2"/>
      <c r="L5779" s="2"/>
      <c r="M5779" s="2"/>
      <c r="N5779" s="2"/>
      <c r="O5779" s="2">
        <v>177014</v>
      </c>
      <c r="P5779" s="2" t="s">
        <v>38317</v>
      </c>
      <c r="Q5779" s="2" t="s">
        <v>38318</v>
      </c>
      <c r="R5779" s="2" t="s">
        <v>38319</v>
      </c>
      <c r="S5779" s="2" t="s">
        <v>39</v>
      </c>
      <c r="T5779" s="2" t="s">
        <v>38320</v>
      </c>
      <c r="U5779" s="2" t="s">
        <v>38321</v>
      </c>
      <c r="V5779" s="2" t="s">
        <v>59</v>
      </c>
      <c r="W5779" s="2">
        <v>38.4</v>
      </c>
      <c r="X5779" s="2">
        <v>0</v>
      </c>
      <c r="Y5779" s="2" t="s">
        <v>560</v>
      </c>
      <c r="Z5779" s="2" t="s">
        <v>38322</v>
      </c>
      <c r="AA5779" s="2">
        <v>3.3868056845060202</v>
      </c>
      <c r="AB5779" s="2">
        <v>6.3898368499572103E-2</v>
      </c>
      <c r="AC5779" s="2">
        <v>671.22197057718995</v>
      </c>
      <c r="AD5779" s="2">
        <v>250.12570990625099</v>
      </c>
      <c r="AE5779" s="2">
        <v>939.05392972748302</v>
      </c>
      <c r="AF5779" s="2">
        <v>762.72449842719095</v>
      </c>
      <c r="AG5779" s="2">
        <v>831.84923350259703</v>
      </c>
      <c r="AH5779" s="2">
        <v>512.58632222279698</v>
      </c>
      <c r="AI5779" s="2">
        <v>730.61190490065201</v>
      </c>
      <c r="AJ5779" s="2">
        <v>250.50593468241999</v>
      </c>
      <c r="AK5779" s="2">
        <v>2.7106294003980101E-5</v>
      </c>
      <c r="AL5779" s="2">
        <v>521.40389397127694</v>
      </c>
      <c r="AM5779" s="2">
        <v>2.7106294003980101E-5</v>
      </c>
      <c r="AN5779" s="2">
        <v>706.74659856257495</v>
      </c>
      <c r="AO5779" s="2">
        <v>272.60368558477501</v>
      </c>
      <c r="AP5779" s="2">
        <v>2.7106294003980101E-5</v>
      </c>
    </row>
    <row r="5780" spans="1:42" ht="14.5" x14ac:dyDescent="0.35">
      <c r="A5780" s="2" t="s">
        <v>38323</v>
      </c>
      <c r="B5780" s="2">
        <v>185.13238044626101</v>
      </c>
      <c r="C5780" s="2">
        <v>9.1582833333333298</v>
      </c>
      <c r="D5780" s="2" t="s">
        <v>34</v>
      </c>
      <c r="E5780" s="2" t="s">
        <v>38324</v>
      </c>
      <c r="F5780" s="2">
        <v>55888</v>
      </c>
      <c r="G5780" s="3" t="str">
        <f>HYPERLINK("http://funmeta.oebiotech.com/network/55888", "http://funmeta.oebiotech.com/network/55888")</f>
        <v>http://funmeta.oebiotech.com/network/55888</v>
      </c>
      <c r="H5780" s="2" t="s">
        <v>38325</v>
      </c>
      <c r="I5780" s="2">
        <v>69414</v>
      </c>
      <c r="J5780" s="2"/>
      <c r="K5780" s="2">
        <v>32318</v>
      </c>
      <c r="L5780" s="2" t="s">
        <v>38326</v>
      </c>
      <c r="M5780" s="2"/>
      <c r="N5780" s="2"/>
      <c r="O5780" s="2">
        <v>1712058</v>
      </c>
      <c r="P5780" s="2" t="s">
        <v>38327</v>
      </c>
      <c r="Q5780" s="2" t="s">
        <v>38328</v>
      </c>
      <c r="R5780" s="2" t="s">
        <v>38329</v>
      </c>
      <c r="S5780" s="2" t="s">
        <v>115</v>
      </c>
      <c r="T5780" s="2" t="s">
        <v>38330</v>
      </c>
      <c r="U5780" s="2" t="s">
        <v>41</v>
      </c>
      <c r="V5780" s="2" t="s">
        <v>59</v>
      </c>
      <c r="W5780" s="2">
        <v>45.1</v>
      </c>
      <c r="X5780" s="2">
        <v>31.4</v>
      </c>
      <c r="Y5780" s="2" t="s">
        <v>266</v>
      </c>
      <c r="Z5780" s="2" t="s">
        <v>38331</v>
      </c>
      <c r="AA5780" s="2">
        <v>-0.47740467516480001</v>
      </c>
      <c r="AB5780" s="2">
        <v>6.3856764286027295E-2</v>
      </c>
      <c r="AC5780" s="2">
        <v>8620.6906499767501</v>
      </c>
      <c r="AD5780" s="2">
        <v>8076.1364583422401</v>
      </c>
      <c r="AE5780" s="2">
        <v>8283.76362641376</v>
      </c>
      <c r="AF5780" s="2">
        <v>8465.2841236424301</v>
      </c>
      <c r="AG5780" s="2">
        <v>8664.4122931915699</v>
      </c>
      <c r="AH5780" s="2">
        <v>9026.2458830257692</v>
      </c>
      <c r="AI5780" s="2">
        <v>8064.6560349075298</v>
      </c>
      <c r="AJ5780" s="2">
        <v>9219.7819386794399</v>
      </c>
      <c r="AK5780" s="2">
        <v>7014.4109643551701</v>
      </c>
      <c r="AL5780" s="2">
        <v>7789.3398608871003</v>
      </c>
      <c r="AM5780" s="2">
        <v>8172.2241012319901</v>
      </c>
      <c r="AN5780" s="2">
        <v>8655.2555204068394</v>
      </c>
      <c r="AO5780" s="2">
        <v>8276.8419404053402</v>
      </c>
      <c r="AP5780" s="2">
        <v>8548.7463627669895</v>
      </c>
    </row>
    <row r="5781" spans="1:42" ht="14.5" x14ac:dyDescent="0.35">
      <c r="A5781" s="2" t="s">
        <v>38332</v>
      </c>
      <c r="B5781" s="2">
        <v>362.30690180860302</v>
      </c>
      <c r="C5781" s="2">
        <v>8.3800833333333298</v>
      </c>
      <c r="D5781" s="2" t="s">
        <v>34</v>
      </c>
      <c r="E5781" s="2" t="s">
        <v>38333</v>
      </c>
      <c r="F5781" s="2">
        <v>8628</v>
      </c>
      <c r="G5781" s="3" t="str">
        <f>HYPERLINK("http://funmeta.oebiotech.com/network/8628", "http://funmeta.oebiotech.com/network/8628")</f>
        <v>http://funmeta.oebiotech.com/network/8628</v>
      </c>
      <c r="H5781" s="2"/>
      <c r="I5781" s="2">
        <v>36710</v>
      </c>
      <c r="J5781" s="2" t="s">
        <v>38334</v>
      </c>
      <c r="K5781" s="2"/>
      <c r="L5781" s="2"/>
      <c r="M5781" s="2"/>
      <c r="N5781" s="2"/>
      <c r="O5781" s="2">
        <v>6321351</v>
      </c>
      <c r="P5781" s="2" t="s">
        <v>38335</v>
      </c>
      <c r="Q5781" s="2" t="s">
        <v>38336</v>
      </c>
      <c r="R5781" s="2" t="s">
        <v>38337</v>
      </c>
      <c r="S5781" s="2" t="s">
        <v>50</v>
      </c>
      <c r="T5781" s="2" t="s">
        <v>229</v>
      </c>
      <c r="U5781" s="2" t="s">
        <v>645</v>
      </c>
      <c r="V5781" s="2" t="s">
        <v>59</v>
      </c>
      <c r="W5781" s="2">
        <v>36.299999999999997</v>
      </c>
      <c r="X5781" s="2">
        <v>0</v>
      </c>
      <c r="Y5781" s="2" t="s">
        <v>394</v>
      </c>
      <c r="Z5781" s="2" t="s">
        <v>38338</v>
      </c>
      <c r="AA5781" s="2">
        <v>4.2786885417583802</v>
      </c>
      <c r="AB5781" s="2">
        <v>6.3709141308633102E-2</v>
      </c>
      <c r="AC5781" s="2">
        <v>6002.3093794043898</v>
      </c>
      <c r="AD5781" s="2">
        <v>6900.8873789458303</v>
      </c>
      <c r="AE5781" s="2">
        <v>8017.6974135566597</v>
      </c>
      <c r="AF5781" s="2">
        <v>8164.8617375777203</v>
      </c>
      <c r="AG5781" s="2">
        <v>5900.5670652899098</v>
      </c>
      <c r="AH5781" s="2">
        <v>4084.1447971973398</v>
      </c>
      <c r="AI5781" s="2">
        <v>4419.5452549749598</v>
      </c>
      <c r="AJ5781" s="2">
        <v>5427.0400078297498</v>
      </c>
      <c r="AK5781" s="2">
        <v>7407.7972483357598</v>
      </c>
      <c r="AL5781" s="2">
        <v>8395.4612031613706</v>
      </c>
      <c r="AM5781" s="2">
        <v>7523.3843331457101</v>
      </c>
      <c r="AN5781" s="2">
        <v>5262.4938691096904</v>
      </c>
      <c r="AO5781" s="2">
        <v>5683.5551388362401</v>
      </c>
      <c r="AP5781" s="2">
        <v>7132.6324810862397</v>
      </c>
    </row>
    <row r="5782" spans="1:42" ht="14.5" x14ac:dyDescent="0.35">
      <c r="A5782" s="2" t="s">
        <v>38339</v>
      </c>
      <c r="B5782" s="2">
        <v>188.03767907931001</v>
      </c>
      <c r="C5782" s="2">
        <v>2.39191666666667</v>
      </c>
      <c r="D5782" s="2" t="s">
        <v>34</v>
      </c>
      <c r="E5782" s="2" t="s">
        <v>38340</v>
      </c>
      <c r="F5782" s="2">
        <v>203353</v>
      </c>
      <c r="G5782" s="3" t="str">
        <f>HYPERLINK("http://funmeta.oebiotech.com/network/203353", "http://funmeta.oebiotech.com/network/203353")</f>
        <v>http://funmeta.oebiotech.com/network/203353</v>
      </c>
      <c r="H5782" s="2" t="s">
        <v>38341</v>
      </c>
      <c r="I5782" s="2"/>
      <c r="J5782" s="2"/>
      <c r="K5782" s="2"/>
      <c r="L5782" s="2"/>
      <c r="M5782" s="2"/>
      <c r="N5782" s="2"/>
      <c r="O5782" s="2">
        <v>115309</v>
      </c>
      <c r="P5782" s="2"/>
      <c r="Q5782" s="2" t="s">
        <v>38342</v>
      </c>
      <c r="R5782" s="2" t="s">
        <v>38343</v>
      </c>
      <c r="S5782" s="2" t="s">
        <v>41</v>
      </c>
      <c r="T5782" s="2" t="s">
        <v>41</v>
      </c>
      <c r="U5782" s="2" t="s">
        <v>41</v>
      </c>
      <c r="V5782" s="2" t="s">
        <v>59</v>
      </c>
      <c r="W5782" s="2">
        <v>37.4</v>
      </c>
      <c r="X5782" s="2">
        <v>0</v>
      </c>
      <c r="Y5782" s="2" t="s">
        <v>43</v>
      </c>
      <c r="Z5782" s="2" t="s">
        <v>38344</v>
      </c>
      <c r="AA5782" s="2">
        <v>0.52056617774672298</v>
      </c>
      <c r="AB5782" s="2">
        <v>6.3703124427556504E-2</v>
      </c>
      <c r="AC5782" s="2">
        <v>2536.8093066957599</v>
      </c>
      <c r="AD5782" s="2">
        <v>2861.5797959970701</v>
      </c>
      <c r="AE5782" s="2">
        <v>2444.4441000892798</v>
      </c>
      <c r="AF5782" s="2">
        <v>2504.0837644806802</v>
      </c>
      <c r="AG5782" s="2">
        <v>2803.2693889048101</v>
      </c>
      <c r="AH5782" s="2">
        <v>2509.9655450625401</v>
      </c>
      <c r="AI5782" s="2">
        <v>2568.2990035030498</v>
      </c>
      <c r="AJ5782" s="2">
        <v>2390.79403813418</v>
      </c>
      <c r="AK5782" s="2">
        <v>2728.6982098634098</v>
      </c>
      <c r="AL5782" s="2">
        <v>2879.1857291291199</v>
      </c>
      <c r="AM5782" s="2">
        <v>3013.4504877869699</v>
      </c>
      <c r="AN5782" s="2">
        <v>2926.35933051863</v>
      </c>
      <c r="AO5782" s="2">
        <v>2782.8807626558701</v>
      </c>
      <c r="AP5782" s="2">
        <v>2838.9042560284001</v>
      </c>
    </row>
    <row r="5783" spans="1:42" ht="14.5" x14ac:dyDescent="0.35">
      <c r="A5783" s="2" t="s">
        <v>38345</v>
      </c>
      <c r="B5783" s="2">
        <v>379.06691549296301</v>
      </c>
      <c r="C5783" s="2">
        <v>5.97258333333333</v>
      </c>
      <c r="D5783" s="2" t="s">
        <v>70</v>
      </c>
      <c r="E5783" s="2" t="s">
        <v>38346</v>
      </c>
      <c r="F5783" s="2">
        <v>56431</v>
      </c>
      <c r="G5783" s="3" t="str">
        <f>HYPERLINK("http://funmeta.oebiotech.com/network/56431", "http://funmeta.oebiotech.com/network/56431")</f>
        <v>http://funmeta.oebiotech.com/network/56431</v>
      </c>
      <c r="H5783" s="2" t="s">
        <v>38347</v>
      </c>
      <c r="I5783" s="2">
        <v>88082</v>
      </c>
      <c r="J5783" s="2"/>
      <c r="K5783" s="2">
        <v>175254</v>
      </c>
      <c r="L5783" s="2"/>
      <c r="M5783" s="2"/>
      <c r="N5783" s="2"/>
      <c r="O5783" s="2">
        <v>13846560</v>
      </c>
      <c r="P5783" s="2" t="s">
        <v>38348</v>
      </c>
      <c r="Q5783" s="2" t="s">
        <v>38349</v>
      </c>
      <c r="R5783" s="2" t="s">
        <v>38350</v>
      </c>
      <c r="S5783" s="2" t="s">
        <v>115</v>
      </c>
      <c r="T5783" s="2" t="s">
        <v>758</v>
      </c>
      <c r="U5783" s="2" t="s">
        <v>759</v>
      </c>
      <c r="V5783" s="2" t="s">
        <v>59</v>
      </c>
      <c r="W5783" s="2">
        <v>38.799999999999997</v>
      </c>
      <c r="X5783" s="2">
        <v>0</v>
      </c>
      <c r="Y5783" s="2" t="s">
        <v>1395</v>
      </c>
      <c r="Z5783" s="2" t="s">
        <v>38351</v>
      </c>
      <c r="AA5783" s="2">
        <v>-0.46332511598035703</v>
      </c>
      <c r="AB5783" s="2">
        <v>6.3659960649179601E-2</v>
      </c>
      <c r="AC5783" s="2">
        <v>1946.5806969631799</v>
      </c>
      <c r="AD5783" s="2">
        <v>1476.9384992822199</v>
      </c>
      <c r="AE5783" s="2">
        <v>1919.2155898022299</v>
      </c>
      <c r="AF5783" s="2">
        <v>2284.3363075561901</v>
      </c>
      <c r="AG5783" s="2">
        <v>2278.6894421406801</v>
      </c>
      <c r="AH5783" s="2">
        <v>1360.11524402994</v>
      </c>
      <c r="AI5783" s="2">
        <v>2466.2055670520999</v>
      </c>
      <c r="AJ5783" s="2">
        <v>1370.92203119796</v>
      </c>
      <c r="AK5783" s="2">
        <v>1615.39256228881</v>
      </c>
      <c r="AL5783" s="2">
        <v>1493.1005795671699</v>
      </c>
      <c r="AM5783" s="2">
        <v>1592.52309238775</v>
      </c>
      <c r="AN5783" s="2">
        <v>1661.47915894314</v>
      </c>
      <c r="AO5783" s="2">
        <v>1136.7635684311599</v>
      </c>
      <c r="AP5783" s="2">
        <v>1362.37203407529</v>
      </c>
    </row>
    <row r="5784" spans="1:42" ht="14.5" x14ac:dyDescent="0.35">
      <c r="A5784" s="2" t="s">
        <v>38352</v>
      </c>
      <c r="B5784" s="2">
        <v>800.218418067588</v>
      </c>
      <c r="C5784" s="2">
        <v>3.82433333333333</v>
      </c>
      <c r="D5784" s="2" t="s">
        <v>70</v>
      </c>
      <c r="E5784" s="2" t="s">
        <v>38353</v>
      </c>
      <c r="F5784" s="2">
        <v>61477</v>
      </c>
      <c r="G5784" s="3" t="str">
        <f>HYPERLINK("http://funmeta.oebiotech.com/network/61477", "http://funmeta.oebiotech.com/network/61477")</f>
        <v>http://funmeta.oebiotech.com/network/61477</v>
      </c>
      <c r="H5784" s="2" t="s">
        <v>38354</v>
      </c>
      <c r="I5784" s="2">
        <v>92786</v>
      </c>
      <c r="J5784" s="2"/>
      <c r="K5784" s="2"/>
      <c r="L5784" s="2"/>
      <c r="M5784" s="2"/>
      <c r="N5784" s="2"/>
      <c r="O5784" s="2">
        <v>131752271</v>
      </c>
      <c r="P5784" s="2" t="s">
        <v>38355</v>
      </c>
      <c r="Q5784" s="2" t="s">
        <v>38356</v>
      </c>
      <c r="R5784" s="2" t="s">
        <v>38357</v>
      </c>
      <c r="S5784" s="2" t="s">
        <v>115</v>
      </c>
      <c r="T5784" s="2" t="s">
        <v>139</v>
      </c>
      <c r="U5784" s="2" t="s">
        <v>140</v>
      </c>
      <c r="V5784" s="2" t="s">
        <v>59</v>
      </c>
      <c r="W5784" s="2">
        <v>38.200000000000003</v>
      </c>
      <c r="X5784" s="2">
        <v>0</v>
      </c>
      <c r="Y5784" s="2" t="s">
        <v>118</v>
      </c>
      <c r="Z5784" s="2" t="s">
        <v>38358</v>
      </c>
      <c r="AA5784" s="2">
        <v>1.8601698133396101</v>
      </c>
      <c r="AB5784" s="2">
        <v>6.3643242729806204E-2</v>
      </c>
      <c r="AC5784" s="2">
        <v>14287.9065664066</v>
      </c>
      <c r="AD5784" s="2">
        <v>15110.420637498601</v>
      </c>
      <c r="AE5784" s="2">
        <v>13091.140339764799</v>
      </c>
      <c r="AF5784" s="2">
        <v>14794.613525185499</v>
      </c>
      <c r="AG5784" s="2">
        <v>13767.2417426374</v>
      </c>
      <c r="AH5784" s="2">
        <v>13704.4026483671</v>
      </c>
      <c r="AI5784" s="2">
        <v>14574.0724888737</v>
      </c>
      <c r="AJ5784" s="2">
        <v>15795.9686536112</v>
      </c>
      <c r="AK5784" s="2">
        <v>12618.3541087337</v>
      </c>
      <c r="AL5784" s="2">
        <v>14014.903903377301</v>
      </c>
      <c r="AM5784" s="2">
        <v>14518.585636001601</v>
      </c>
      <c r="AN5784" s="2">
        <v>16335.0105264465</v>
      </c>
      <c r="AO5784" s="2">
        <v>16416.346548683301</v>
      </c>
      <c r="AP5784" s="2">
        <v>16759.3231017492</v>
      </c>
    </row>
    <row r="5785" spans="1:42" ht="14.5" x14ac:dyDescent="0.35">
      <c r="A5785" s="2" t="s">
        <v>38359</v>
      </c>
      <c r="B5785" s="2">
        <v>379.12258972893198</v>
      </c>
      <c r="C5785" s="2">
        <v>2.2171833333333302</v>
      </c>
      <c r="D5785" s="2" t="s">
        <v>70</v>
      </c>
      <c r="E5785" s="2" t="s">
        <v>38360</v>
      </c>
      <c r="F5785" s="2">
        <v>207711</v>
      </c>
      <c r="G5785" s="3" t="str">
        <f>HYPERLINK("http://funmeta.oebiotech.com/network/207711", "http://funmeta.oebiotech.com/network/207711")</f>
        <v>http://funmeta.oebiotech.com/network/207711</v>
      </c>
      <c r="H5785" s="2" t="s">
        <v>38361</v>
      </c>
      <c r="I5785" s="2"/>
      <c r="J5785" s="2"/>
      <c r="K5785" s="2"/>
      <c r="L5785" s="2"/>
      <c r="M5785" s="2"/>
      <c r="N5785" s="2"/>
      <c r="O5785" s="2">
        <v>21071390</v>
      </c>
      <c r="P5785" s="2"/>
      <c r="Q5785" s="2" t="s">
        <v>38362</v>
      </c>
      <c r="R5785" s="2" t="s">
        <v>38363</v>
      </c>
      <c r="S5785" s="2" t="s">
        <v>491</v>
      </c>
      <c r="T5785" s="2" t="s">
        <v>2184</v>
      </c>
      <c r="U5785" s="2" t="s">
        <v>5421</v>
      </c>
      <c r="V5785" s="2" t="s">
        <v>59</v>
      </c>
      <c r="W5785" s="2">
        <v>36.5</v>
      </c>
      <c r="X5785" s="2">
        <v>0</v>
      </c>
      <c r="Y5785" s="2" t="s">
        <v>751</v>
      </c>
      <c r="Z5785" s="2" t="s">
        <v>38364</v>
      </c>
      <c r="AA5785" s="2">
        <v>-3.3241666896608502</v>
      </c>
      <c r="AB5785" s="2">
        <v>6.3639377667929695E-2</v>
      </c>
      <c r="AC5785" s="2">
        <v>6267.9306350963498</v>
      </c>
      <c r="AD5785" s="2">
        <v>5822.2690013319998</v>
      </c>
      <c r="AE5785" s="2">
        <v>6238.6616824932198</v>
      </c>
      <c r="AF5785" s="2">
        <v>5997.9939990596204</v>
      </c>
      <c r="AG5785" s="2">
        <v>6712.9031755379401</v>
      </c>
      <c r="AH5785" s="2">
        <v>6211.0559261399703</v>
      </c>
      <c r="AI5785" s="2">
        <v>6102.9389282157699</v>
      </c>
      <c r="AJ5785" s="2">
        <v>6344.0300991315598</v>
      </c>
      <c r="AK5785" s="2">
        <v>5855.3940916687498</v>
      </c>
      <c r="AL5785" s="2">
        <v>5778.13791103312</v>
      </c>
      <c r="AM5785" s="2">
        <v>6023.9374989277003</v>
      </c>
      <c r="AN5785" s="2">
        <v>5378.9515980037104</v>
      </c>
      <c r="AO5785" s="2">
        <v>5429.4570517669899</v>
      </c>
      <c r="AP5785" s="2">
        <v>6467.7358565917502</v>
      </c>
    </row>
    <row r="5786" spans="1:42" ht="14.5" x14ac:dyDescent="0.35">
      <c r="A5786" s="2" t="s">
        <v>38365</v>
      </c>
      <c r="B5786" s="2">
        <v>655.27739801405698</v>
      </c>
      <c r="C5786" s="2">
        <v>10.0394666666667</v>
      </c>
      <c r="D5786" s="2" t="s">
        <v>70</v>
      </c>
      <c r="E5786" s="2" t="s">
        <v>38366</v>
      </c>
      <c r="F5786" s="2">
        <v>54024</v>
      </c>
      <c r="G5786" s="3" t="str">
        <f>HYPERLINK("http://funmeta.oebiotech.com/network/54024", "http://funmeta.oebiotech.com/network/54024")</f>
        <v>http://funmeta.oebiotech.com/network/54024</v>
      </c>
      <c r="H5786" s="2" t="s">
        <v>38367</v>
      </c>
      <c r="I5786" s="2">
        <v>336907</v>
      </c>
      <c r="J5786" s="2"/>
      <c r="K5786" s="2">
        <v>73637</v>
      </c>
      <c r="L5786" s="2"/>
      <c r="M5786" s="2"/>
      <c r="N5786" s="2"/>
      <c r="O5786" s="2">
        <v>13341191</v>
      </c>
      <c r="P5786" s="2" t="s">
        <v>38368</v>
      </c>
      <c r="Q5786" s="2" t="s">
        <v>38369</v>
      </c>
      <c r="R5786" s="2" t="s">
        <v>38370</v>
      </c>
      <c r="S5786" s="2" t="s">
        <v>89</v>
      </c>
      <c r="T5786" s="2" t="s">
        <v>90</v>
      </c>
      <c r="U5786" s="2" t="s">
        <v>99</v>
      </c>
      <c r="V5786" s="2" t="s">
        <v>59</v>
      </c>
      <c r="W5786" s="2">
        <v>38.700000000000003</v>
      </c>
      <c r="X5786" s="2">
        <v>0</v>
      </c>
      <c r="Y5786" s="2" t="s">
        <v>560</v>
      </c>
      <c r="Z5786" s="2" t="s">
        <v>38371</v>
      </c>
      <c r="AA5786" s="2">
        <v>9.1709566111105797E-2</v>
      </c>
      <c r="AB5786" s="2">
        <v>6.3605218427905202E-2</v>
      </c>
      <c r="AC5786" s="2">
        <v>1240.6426478073099</v>
      </c>
      <c r="AD5786" s="2">
        <v>696.02990559065495</v>
      </c>
      <c r="AE5786" s="2">
        <v>1877.9473530385201</v>
      </c>
      <c r="AF5786" s="2">
        <v>920.29343616492895</v>
      </c>
      <c r="AG5786" s="2">
        <v>1332.4125188754499</v>
      </c>
      <c r="AH5786" s="2">
        <v>807.28592185900504</v>
      </c>
      <c r="AI5786" s="2">
        <v>1393.47872925257</v>
      </c>
      <c r="AJ5786" s="2">
        <v>1112.4379276534</v>
      </c>
      <c r="AK5786" s="2">
        <v>1857.9811275122599</v>
      </c>
      <c r="AL5786" s="2">
        <v>467.46430458906201</v>
      </c>
      <c r="AM5786" s="2">
        <v>233.714023635236</v>
      </c>
      <c r="AN5786" s="2">
        <v>346.900016446682</v>
      </c>
      <c r="AO5786" s="2">
        <v>177.75782684157201</v>
      </c>
      <c r="AP5786" s="2">
        <v>1092.36213451912</v>
      </c>
    </row>
    <row r="5787" spans="1:42" ht="14.5" x14ac:dyDescent="0.35">
      <c r="A5787" s="2" t="s">
        <v>38372</v>
      </c>
      <c r="B5787" s="2">
        <v>363.17963682923198</v>
      </c>
      <c r="C5787" s="2">
        <v>5.37076666666667</v>
      </c>
      <c r="D5787" s="2" t="s">
        <v>34</v>
      </c>
      <c r="E5787" s="2" t="s">
        <v>38373</v>
      </c>
      <c r="F5787" s="2">
        <v>211574</v>
      </c>
      <c r="G5787" s="3" t="str">
        <f>HYPERLINK("http://funmeta.oebiotech.com/network/211574", "http://funmeta.oebiotech.com/network/211574")</f>
        <v>http://funmeta.oebiotech.com/network/211574</v>
      </c>
      <c r="H5787" s="2" t="s">
        <v>38374</v>
      </c>
      <c r="I5787" s="2"/>
      <c r="J5787" s="2"/>
      <c r="K5787" s="2"/>
      <c r="L5787" s="2"/>
      <c r="M5787" s="2"/>
      <c r="N5787" s="2"/>
      <c r="O5787" s="2">
        <v>53795199</v>
      </c>
      <c r="P5787" s="2"/>
      <c r="Q5787" s="2" t="s">
        <v>38375</v>
      </c>
      <c r="R5787" s="2" t="s">
        <v>38376</v>
      </c>
      <c r="S5787" s="2" t="s">
        <v>41</v>
      </c>
      <c r="T5787" s="2" t="s">
        <v>41</v>
      </c>
      <c r="U5787" s="2" t="s">
        <v>41</v>
      </c>
      <c r="V5787" s="2" t="s">
        <v>59</v>
      </c>
      <c r="W5787" s="2">
        <v>38.6</v>
      </c>
      <c r="X5787" s="2">
        <v>0</v>
      </c>
      <c r="Y5787" s="2" t="s">
        <v>43</v>
      </c>
      <c r="Z5787" s="2" t="s">
        <v>38377</v>
      </c>
      <c r="AA5787" s="2">
        <v>-3.47565796731979</v>
      </c>
      <c r="AB5787" s="2">
        <v>6.3592111119482597E-2</v>
      </c>
      <c r="AC5787" s="2">
        <v>4826.8781340394498</v>
      </c>
      <c r="AD5787" s="2">
        <v>5371.3934878482596</v>
      </c>
      <c r="AE5787" s="2">
        <v>5572.3950404817897</v>
      </c>
      <c r="AF5787" s="2">
        <v>4843.30207344055</v>
      </c>
      <c r="AG5787" s="2">
        <v>4913.8431240603304</v>
      </c>
      <c r="AH5787" s="2">
        <v>4771.7992964868499</v>
      </c>
      <c r="AI5787" s="2">
        <v>4180.7622140117301</v>
      </c>
      <c r="AJ5787" s="2">
        <v>4679.1670557554298</v>
      </c>
      <c r="AK5787" s="2">
        <v>4560.1211625603701</v>
      </c>
      <c r="AL5787" s="2">
        <v>5823.0611673261801</v>
      </c>
      <c r="AM5787" s="2">
        <v>6112.1527304849997</v>
      </c>
      <c r="AN5787" s="2">
        <v>5130.1231959258803</v>
      </c>
      <c r="AO5787" s="2">
        <v>4964.6978959663902</v>
      </c>
      <c r="AP5787" s="2">
        <v>5638.2047748257301</v>
      </c>
    </row>
    <row r="5788" spans="1:42" ht="14.5" x14ac:dyDescent="0.35">
      <c r="A5788" s="2" t="s">
        <v>38378</v>
      </c>
      <c r="B5788" s="2">
        <v>337.09255862913602</v>
      </c>
      <c r="C5788" s="2">
        <v>3.9694833333333301</v>
      </c>
      <c r="D5788" s="2" t="s">
        <v>70</v>
      </c>
      <c r="E5788" s="2" t="s">
        <v>38379</v>
      </c>
      <c r="F5788" s="2">
        <v>82197</v>
      </c>
      <c r="G5788" s="3" t="str">
        <f>HYPERLINK("http://funmeta.oebiotech.com/network/82197", "http://funmeta.oebiotech.com/network/82197")</f>
        <v>http://funmeta.oebiotech.com/network/82197</v>
      </c>
      <c r="H5788" s="2" t="s">
        <v>38380</v>
      </c>
      <c r="I5788" s="2">
        <v>63348</v>
      </c>
      <c r="J5788" s="2"/>
      <c r="K5788" s="2">
        <v>31997</v>
      </c>
      <c r="L5788" s="2" t="s">
        <v>38381</v>
      </c>
      <c r="M5788" s="2" t="s">
        <v>24389</v>
      </c>
      <c r="N5788" s="2" t="s">
        <v>24390</v>
      </c>
      <c r="O5788" s="2">
        <v>151438</v>
      </c>
      <c r="P5788" s="2"/>
      <c r="Q5788" s="2" t="s">
        <v>38382</v>
      </c>
      <c r="R5788" s="2" t="s">
        <v>38383</v>
      </c>
      <c r="S5788" s="2" t="s">
        <v>89</v>
      </c>
      <c r="T5788" s="2" t="s">
        <v>894</v>
      </c>
      <c r="U5788" s="2" t="s">
        <v>895</v>
      </c>
      <c r="V5788" s="2" t="s">
        <v>59</v>
      </c>
      <c r="W5788" s="2">
        <v>38.9</v>
      </c>
      <c r="X5788" s="2">
        <v>0</v>
      </c>
      <c r="Y5788" s="2" t="s">
        <v>560</v>
      </c>
      <c r="Z5788" s="2" t="s">
        <v>38384</v>
      </c>
      <c r="AA5788" s="2">
        <v>-2.8214504517561001</v>
      </c>
      <c r="AB5788" s="2">
        <v>6.3530338041155696E-2</v>
      </c>
      <c r="AC5788" s="2">
        <v>1389.69247624994</v>
      </c>
      <c r="AD5788" s="2">
        <v>963.53958417397598</v>
      </c>
      <c r="AE5788" s="2">
        <v>884.19454050159902</v>
      </c>
      <c r="AF5788" s="2">
        <v>1522.39188064983</v>
      </c>
      <c r="AG5788" s="2">
        <v>1823.2221484565</v>
      </c>
      <c r="AH5788" s="2">
        <v>1222.4435400049099</v>
      </c>
      <c r="AI5788" s="2">
        <v>1273.3126312618599</v>
      </c>
      <c r="AJ5788" s="2">
        <v>1612.59011662494</v>
      </c>
      <c r="AK5788" s="2">
        <v>1033.5283590726999</v>
      </c>
      <c r="AL5788" s="2">
        <v>695.07098627382697</v>
      </c>
      <c r="AM5788" s="2">
        <v>1241.7778187010999</v>
      </c>
      <c r="AN5788" s="2">
        <v>601.216748085718</v>
      </c>
      <c r="AO5788" s="2">
        <v>1062.5128909233399</v>
      </c>
      <c r="AP5788" s="2">
        <v>1147.1307019871699</v>
      </c>
    </row>
    <row r="5789" spans="1:42" ht="14.5" x14ac:dyDescent="0.35">
      <c r="A5789" s="2" t="s">
        <v>38385</v>
      </c>
      <c r="B5789" s="2">
        <v>237.03440289054399</v>
      </c>
      <c r="C5789" s="2">
        <v>1.2204999999999999</v>
      </c>
      <c r="D5789" s="2" t="s">
        <v>34</v>
      </c>
      <c r="E5789" s="2" t="s">
        <v>38386</v>
      </c>
      <c r="F5789" s="2">
        <v>53153</v>
      </c>
      <c r="G5789" s="3" t="str">
        <f>HYPERLINK("http://funmeta.oebiotech.com/network/53153", "http://funmeta.oebiotech.com/network/53153")</f>
        <v>http://funmeta.oebiotech.com/network/53153</v>
      </c>
      <c r="H5789" s="2" t="s">
        <v>38387</v>
      </c>
      <c r="I5789" s="2">
        <v>857</v>
      </c>
      <c r="J5789" s="2"/>
      <c r="K5789" s="2">
        <v>6061</v>
      </c>
      <c r="L5789" s="2" t="s">
        <v>38388</v>
      </c>
      <c r="M5789" s="2"/>
      <c r="N5789" s="2"/>
      <c r="O5789" s="2">
        <v>6883</v>
      </c>
      <c r="P5789" s="2" t="s">
        <v>38389</v>
      </c>
      <c r="Q5789" s="2" t="s">
        <v>38390</v>
      </c>
      <c r="R5789" s="2" t="s">
        <v>38391</v>
      </c>
      <c r="S5789" s="2" t="s">
        <v>491</v>
      </c>
      <c r="T5789" s="2" t="s">
        <v>5696</v>
      </c>
      <c r="U5789" s="2" t="s">
        <v>5697</v>
      </c>
      <c r="V5789" s="2" t="s">
        <v>59</v>
      </c>
      <c r="W5789" s="2">
        <v>38.6</v>
      </c>
      <c r="X5789" s="2">
        <v>0</v>
      </c>
      <c r="Y5789" s="2" t="s">
        <v>394</v>
      </c>
      <c r="Z5789" s="2" t="s">
        <v>38392</v>
      </c>
      <c r="AA5789" s="2">
        <v>-3.97734097990987</v>
      </c>
      <c r="AB5789" s="2">
        <v>6.34370321461077E-2</v>
      </c>
      <c r="AC5789" s="2">
        <v>3984.7414011191399</v>
      </c>
      <c r="AD5789" s="2">
        <v>4500.1495460228598</v>
      </c>
      <c r="AE5789" s="2">
        <v>4228.69119748718</v>
      </c>
      <c r="AF5789" s="2">
        <v>4342.8876583606398</v>
      </c>
      <c r="AG5789" s="2">
        <v>3991.5915262301801</v>
      </c>
      <c r="AH5789" s="2">
        <v>3868.4228074605298</v>
      </c>
      <c r="AI5789" s="2">
        <v>3781.19170832186</v>
      </c>
      <c r="AJ5789" s="2">
        <v>3695.6635088544799</v>
      </c>
      <c r="AK5789" s="2">
        <v>3720.8311678332798</v>
      </c>
      <c r="AL5789" s="2">
        <v>5284.3323485102001</v>
      </c>
      <c r="AM5789" s="2">
        <v>4214.2696036899897</v>
      </c>
      <c r="AN5789" s="2">
        <v>4961.6364075091196</v>
      </c>
      <c r="AO5789" s="2">
        <v>4816.0721934862104</v>
      </c>
      <c r="AP5789" s="2">
        <v>4003.7555551083301</v>
      </c>
    </row>
    <row r="5790" spans="1:42" ht="14.5" x14ac:dyDescent="0.35">
      <c r="A5790" s="2" t="s">
        <v>38393</v>
      </c>
      <c r="B5790" s="2">
        <v>369.13409863376103</v>
      </c>
      <c r="C5790" s="2">
        <v>7.7048833333333304</v>
      </c>
      <c r="D5790" s="2" t="s">
        <v>70</v>
      </c>
      <c r="E5790" s="2" t="s">
        <v>38394</v>
      </c>
      <c r="F5790" s="2">
        <v>256597</v>
      </c>
      <c r="G5790" s="3" t="str">
        <f>HYPERLINK("http://funmeta.oebiotech.com/network/256597", "http://funmeta.oebiotech.com/network/256597")</f>
        <v>http://funmeta.oebiotech.com/network/256597</v>
      </c>
      <c r="H5790" s="2" t="s">
        <v>38395</v>
      </c>
      <c r="I5790" s="2"/>
      <c r="J5790" s="2"/>
      <c r="K5790" s="2"/>
      <c r="L5790" s="2"/>
      <c r="M5790" s="2"/>
      <c r="N5790" s="2"/>
      <c r="O5790" s="2">
        <v>500179</v>
      </c>
      <c r="P5790" s="2"/>
      <c r="Q5790" s="2" t="s">
        <v>38396</v>
      </c>
      <c r="R5790" s="2" t="s">
        <v>38397</v>
      </c>
      <c r="S5790" s="2" t="s">
        <v>1184</v>
      </c>
      <c r="T5790" s="2" t="s">
        <v>3333</v>
      </c>
      <c r="U5790" s="2" t="s">
        <v>3334</v>
      </c>
      <c r="V5790" s="2" t="s">
        <v>59</v>
      </c>
      <c r="W5790" s="2">
        <v>45</v>
      </c>
      <c r="X5790" s="2">
        <v>31.7</v>
      </c>
      <c r="Y5790" s="2" t="s">
        <v>751</v>
      </c>
      <c r="Z5790" s="2" t="s">
        <v>8767</v>
      </c>
      <c r="AA5790" s="2">
        <v>-0.67847827963230101</v>
      </c>
      <c r="AB5790" s="2">
        <v>6.3389979160208998E-2</v>
      </c>
      <c r="AC5790" s="2">
        <v>14977.5456915796</v>
      </c>
      <c r="AD5790" s="2">
        <v>13902.035324181399</v>
      </c>
      <c r="AE5790" s="2">
        <v>13255.6455800651</v>
      </c>
      <c r="AF5790" s="2">
        <v>11109.4973307896</v>
      </c>
      <c r="AG5790" s="2">
        <v>15056.958529826101</v>
      </c>
      <c r="AH5790" s="2">
        <v>18518.153868659399</v>
      </c>
      <c r="AI5790" s="2">
        <v>17312.363813868898</v>
      </c>
      <c r="AJ5790" s="2">
        <v>14612.6550262688</v>
      </c>
      <c r="AK5790" s="2">
        <v>16435.0605208245</v>
      </c>
      <c r="AL5790" s="2">
        <v>13354.2659400878</v>
      </c>
      <c r="AM5790" s="2">
        <v>13213.067916922</v>
      </c>
      <c r="AN5790" s="2">
        <v>11353.889027433401</v>
      </c>
      <c r="AO5790" s="2">
        <v>14880.427699060499</v>
      </c>
      <c r="AP5790" s="2">
        <v>14175.50084076</v>
      </c>
    </row>
    <row r="5791" spans="1:42" ht="14.5" x14ac:dyDescent="0.35">
      <c r="A5791" s="2" t="s">
        <v>38398</v>
      </c>
      <c r="B5791" s="2">
        <v>561.03645237136902</v>
      </c>
      <c r="C5791" s="2">
        <v>8.5631000000000004</v>
      </c>
      <c r="D5791" s="2" t="s">
        <v>70</v>
      </c>
      <c r="E5791" s="2" t="s">
        <v>38399</v>
      </c>
      <c r="F5791" s="2">
        <v>64162</v>
      </c>
      <c r="G5791" s="3" t="str">
        <f>HYPERLINK("http://funmeta.oebiotech.com/network/64162", "http://funmeta.oebiotech.com/network/64162")</f>
        <v>http://funmeta.oebiotech.com/network/64162</v>
      </c>
      <c r="H5791" s="2" t="s">
        <v>38400</v>
      </c>
      <c r="I5791" s="2">
        <v>95485</v>
      </c>
      <c r="J5791" s="2"/>
      <c r="K5791" s="2"/>
      <c r="L5791" s="2"/>
      <c r="M5791" s="2"/>
      <c r="N5791" s="2"/>
      <c r="O5791" s="2">
        <v>59288250</v>
      </c>
      <c r="P5791" s="2"/>
      <c r="Q5791" s="2" t="s">
        <v>38401</v>
      </c>
      <c r="R5791" s="2" t="s">
        <v>38402</v>
      </c>
      <c r="S5791" s="2" t="s">
        <v>89</v>
      </c>
      <c r="T5791" s="2" t="s">
        <v>90</v>
      </c>
      <c r="U5791" s="2" t="s">
        <v>99</v>
      </c>
      <c r="V5791" s="2" t="s">
        <v>59</v>
      </c>
      <c r="W5791" s="2">
        <v>36.5</v>
      </c>
      <c r="X5791" s="2">
        <v>0</v>
      </c>
      <c r="Y5791" s="2" t="s">
        <v>560</v>
      </c>
      <c r="Z5791" s="2" t="s">
        <v>38403</v>
      </c>
      <c r="AA5791" s="2">
        <v>1.62997246550923</v>
      </c>
      <c r="AB5791" s="2">
        <v>6.3364792968175807E-2</v>
      </c>
      <c r="AC5791" s="2">
        <v>7842.8736381483996</v>
      </c>
      <c r="AD5791" s="2">
        <v>8471.4430675917793</v>
      </c>
      <c r="AE5791" s="2">
        <v>7601.0636761018104</v>
      </c>
      <c r="AF5791" s="2">
        <v>7960.8692633207002</v>
      </c>
      <c r="AG5791" s="2">
        <v>6929.1397671109999</v>
      </c>
      <c r="AH5791" s="2">
        <v>7376.1006424985699</v>
      </c>
      <c r="AI5791" s="2">
        <v>9488.0682175635993</v>
      </c>
      <c r="AJ5791" s="2">
        <v>7702.0002622947004</v>
      </c>
      <c r="AK5791" s="2">
        <v>8962.9728194311592</v>
      </c>
      <c r="AL5791" s="2">
        <v>7227.83755953323</v>
      </c>
      <c r="AM5791" s="2">
        <v>8844.1211683574293</v>
      </c>
      <c r="AN5791" s="2">
        <v>8755.1454618297503</v>
      </c>
      <c r="AO5791" s="2">
        <v>8961.3396519136295</v>
      </c>
      <c r="AP5791" s="2">
        <v>8077.24174448548</v>
      </c>
    </row>
    <row r="5792" spans="1:42" ht="14.5" x14ac:dyDescent="0.35">
      <c r="A5792" s="2" t="s">
        <v>38404</v>
      </c>
      <c r="B5792" s="2">
        <v>619.085104106274</v>
      </c>
      <c r="C5792" s="2">
        <v>8.91503333333333</v>
      </c>
      <c r="D5792" s="2" t="s">
        <v>70</v>
      </c>
      <c r="E5792" s="2" t="s">
        <v>38405</v>
      </c>
      <c r="F5792" s="2">
        <v>59120</v>
      </c>
      <c r="G5792" s="3" t="str">
        <f>HYPERLINK("http://funmeta.oebiotech.com/network/59120", "http://funmeta.oebiotech.com/network/59120")</f>
        <v>http://funmeta.oebiotech.com/network/59120</v>
      </c>
      <c r="H5792" s="2" t="s">
        <v>38406</v>
      </c>
      <c r="I5792" s="2">
        <v>90544</v>
      </c>
      <c r="J5792" s="2"/>
      <c r="K5792" s="2">
        <v>174228</v>
      </c>
      <c r="L5792" s="2"/>
      <c r="M5792" s="2"/>
      <c r="N5792" s="2"/>
      <c r="O5792" s="2">
        <v>11278310</v>
      </c>
      <c r="P5792" s="2" t="s">
        <v>38407</v>
      </c>
      <c r="Q5792" s="2" t="s">
        <v>38408</v>
      </c>
      <c r="R5792" s="2" t="s">
        <v>38409</v>
      </c>
      <c r="S5792" s="2" t="s">
        <v>115</v>
      </c>
      <c r="T5792" s="2" t="s">
        <v>758</v>
      </c>
      <c r="U5792" s="2" t="s">
        <v>1477</v>
      </c>
      <c r="V5792" s="2" t="s">
        <v>59</v>
      </c>
      <c r="W5792" s="2">
        <v>38.9</v>
      </c>
      <c r="X5792" s="2">
        <v>13.3</v>
      </c>
      <c r="Y5792" s="2" t="s">
        <v>560</v>
      </c>
      <c r="Z5792" s="2" t="s">
        <v>38410</v>
      </c>
      <c r="AA5792" s="2">
        <v>-4.9920342355242404</v>
      </c>
      <c r="AB5792" s="2">
        <v>6.3264226391855E-2</v>
      </c>
      <c r="AC5792" s="2">
        <v>734.62836743325101</v>
      </c>
      <c r="AD5792" s="2">
        <v>124.18902241771799</v>
      </c>
      <c r="AE5792" s="2">
        <v>358.25868042248601</v>
      </c>
      <c r="AF5792" s="2">
        <v>2.7106294003980101E-5</v>
      </c>
      <c r="AG5792" s="2">
        <v>185.77413100224501</v>
      </c>
      <c r="AH5792" s="2">
        <v>2645.3878383797901</v>
      </c>
      <c r="AI5792" s="2">
        <v>710.24972329830405</v>
      </c>
      <c r="AJ5792" s="2">
        <v>508.09980439038998</v>
      </c>
      <c r="AK5792" s="2">
        <v>285.35044013361102</v>
      </c>
      <c r="AL5792" s="2">
        <v>2.7106294003980101E-5</v>
      </c>
      <c r="AM5792" s="2">
        <v>2.7106294003980101E-5</v>
      </c>
      <c r="AN5792" s="2">
        <v>264.186356865704</v>
      </c>
      <c r="AO5792" s="2">
        <v>195.59725618811001</v>
      </c>
      <c r="AP5792" s="2">
        <v>2.7106294003980101E-5</v>
      </c>
    </row>
    <row r="5793" spans="1:42" ht="14.5" x14ac:dyDescent="0.35">
      <c r="A5793" s="2" t="s">
        <v>38411</v>
      </c>
      <c r="B5793" s="2">
        <v>561.195537416354</v>
      </c>
      <c r="C5793" s="2">
        <v>4.5612000000000004</v>
      </c>
      <c r="D5793" s="2" t="s">
        <v>70</v>
      </c>
      <c r="E5793" s="2" t="s">
        <v>38412</v>
      </c>
      <c r="F5793" s="2">
        <v>63833</v>
      </c>
      <c r="G5793" s="3" t="str">
        <f>HYPERLINK("http://funmeta.oebiotech.com/network/63833", "http://funmeta.oebiotech.com/network/63833")</f>
        <v>http://funmeta.oebiotech.com/network/63833</v>
      </c>
      <c r="H5793" s="2" t="s">
        <v>38413</v>
      </c>
      <c r="I5793" s="2"/>
      <c r="J5793" s="2"/>
      <c r="K5793" s="2"/>
      <c r="L5793" s="2"/>
      <c r="M5793" s="2"/>
      <c r="N5793" s="2"/>
      <c r="O5793" s="2">
        <v>5284398</v>
      </c>
      <c r="P5793" s="2" t="s">
        <v>38414</v>
      </c>
      <c r="Q5793" s="2" t="s">
        <v>38415</v>
      </c>
      <c r="R5793" s="2" t="s">
        <v>38416</v>
      </c>
      <c r="S5793" s="2" t="s">
        <v>89</v>
      </c>
      <c r="T5793" s="2" t="s">
        <v>90</v>
      </c>
      <c r="U5793" s="2" t="s">
        <v>99</v>
      </c>
      <c r="V5793" s="2" t="s">
        <v>59</v>
      </c>
      <c r="W5793" s="2">
        <v>39.299999999999997</v>
      </c>
      <c r="X5793" s="2">
        <v>0</v>
      </c>
      <c r="Y5793" s="2" t="s">
        <v>560</v>
      </c>
      <c r="Z5793" s="2" t="s">
        <v>38417</v>
      </c>
      <c r="AA5793" s="2">
        <v>0.84073263239850005</v>
      </c>
      <c r="AB5793" s="2">
        <v>6.3200887443760595E-2</v>
      </c>
      <c r="AC5793" s="2">
        <v>10010.651061168101</v>
      </c>
      <c r="AD5793" s="2">
        <v>10980.872795667599</v>
      </c>
      <c r="AE5793" s="2">
        <v>8902.0882679413207</v>
      </c>
      <c r="AF5793" s="2">
        <v>11671.520734844</v>
      </c>
      <c r="AG5793" s="2">
        <v>8997.9352584562494</v>
      </c>
      <c r="AH5793" s="2">
        <v>8256.3052413565092</v>
      </c>
      <c r="AI5793" s="2">
        <v>10713.909422033699</v>
      </c>
      <c r="AJ5793" s="2">
        <v>11522.147442376599</v>
      </c>
      <c r="AK5793" s="2">
        <v>12686.961126542899</v>
      </c>
      <c r="AL5793" s="2">
        <v>6691.46005300654</v>
      </c>
      <c r="AM5793" s="2">
        <v>12673.1358161382</v>
      </c>
      <c r="AN5793" s="2">
        <v>10253.408371376299</v>
      </c>
      <c r="AO5793" s="2">
        <v>11111.8857668122</v>
      </c>
      <c r="AP5793" s="2">
        <v>12468.3856401292</v>
      </c>
    </row>
    <row r="5794" spans="1:42" ht="14.5" x14ac:dyDescent="0.35">
      <c r="A5794" s="2" t="s">
        <v>38418</v>
      </c>
      <c r="B5794" s="2">
        <v>465.17594566982598</v>
      </c>
      <c r="C5794" s="2">
        <v>5.3939333333333304</v>
      </c>
      <c r="D5794" s="2" t="s">
        <v>70</v>
      </c>
      <c r="E5794" s="2" t="s">
        <v>38419</v>
      </c>
      <c r="F5794" s="2">
        <v>59742</v>
      </c>
      <c r="G5794" s="3" t="str">
        <f>HYPERLINK("http://funmeta.oebiotech.com/network/59742", "http://funmeta.oebiotech.com/network/59742")</f>
        <v>http://funmeta.oebiotech.com/network/59742</v>
      </c>
      <c r="H5794" s="2" t="s">
        <v>38420</v>
      </c>
      <c r="I5794" s="2"/>
      <c r="J5794" s="2"/>
      <c r="K5794" s="2">
        <v>91152</v>
      </c>
      <c r="L5794" s="2"/>
      <c r="M5794" s="2"/>
      <c r="N5794" s="2"/>
      <c r="O5794" s="2">
        <v>9794659</v>
      </c>
      <c r="P5794" s="2" t="s">
        <v>38421</v>
      </c>
      <c r="Q5794" s="2" t="s">
        <v>38422</v>
      </c>
      <c r="R5794" s="2" t="s">
        <v>38423</v>
      </c>
      <c r="S5794" s="2" t="s">
        <v>5916</v>
      </c>
      <c r="T5794" s="2" t="s">
        <v>13666</v>
      </c>
      <c r="U5794" s="2" t="s">
        <v>41</v>
      </c>
      <c r="V5794" s="2" t="s">
        <v>59</v>
      </c>
      <c r="W5794" s="2">
        <v>36.9</v>
      </c>
      <c r="X5794" s="2">
        <v>0</v>
      </c>
      <c r="Y5794" s="2" t="s">
        <v>560</v>
      </c>
      <c r="Z5794" s="2" t="s">
        <v>38424</v>
      </c>
      <c r="AA5794" s="2">
        <v>3.4528055227680001</v>
      </c>
      <c r="AB5794" s="2">
        <v>6.3160297196092105E-2</v>
      </c>
      <c r="AC5794" s="2">
        <v>2361.6429495850298</v>
      </c>
      <c r="AD5794" s="2">
        <v>1773.6889734848501</v>
      </c>
      <c r="AE5794" s="2">
        <v>2298.7722520622101</v>
      </c>
      <c r="AF5794" s="2">
        <v>2038.3189658164999</v>
      </c>
      <c r="AG5794" s="2">
        <v>2159.24010137903</v>
      </c>
      <c r="AH5794" s="2">
        <v>1343.9637698433801</v>
      </c>
      <c r="AI5794" s="2">
        <v>2772.2686107094</v>
      </c>
      <c r="AJ5794" s="2">
        <v>3557.2939976996599</v>
      </c>
      <c r="AK5794" s="2">
        <v>1633.2184950216199</v>
      </c>
      <c r="AL5794" s="2">
        <v>2768.7745410776001</v>
      </c>
      <c r="AM5794" s="2">
        <v>1289.1854982939001</v>
      </c>
      <c r="AN5794" s="2">
        <v>1492.1394412730599</v>
      </c>
      <c r="AO5794" s="2">
        <v>1930.5758837153401</v>
      </c>
      <c r="AP5794" s="2">
        <v>1528.2399815275601</v>
      </c>
    </row>
    <row r="5795" spans="1:42" ht="14.5" x14ac:dyDescent="0.35">
      <c r="A5795" s="2" t="s">
        <v>38425</v>
      </c>
      <c r="B5795" s="2">
        <v>329.10993154212099</v>
      </c>
      <c r="C5795" s="2">
        <v>1.1294500000000001</v>
      </c>
      <c r="D5795" s="2" t="s">
        <v>70</v>
      </c>
      <c r="E5795" s="2" t="s">
        <v>38426</v>
      </c>
      <c r="F5795" s="2">
        <v>53855</v>
      </c>
      <c r="G5795" s="3" t="str">
        <f>HYPERLINK("http://funmeta.oebiotech.com/network/53855", "http://funmeta.oebiotech.com/network/53855")</f>
        <v>http://funmeta.oebiotech.com/network/53855</v>
      </c>
      <c r="H5795" s="2" t="s">
        <v>38427</v>
      </c>
      <c r="I5795" s="2">
        <v>23863</v>
      </c>
      <c r="J5795" s="2"/>
      <c r="K5795" s="2"/>
      <c r="L5795" s="2"/>
      <c r="M5795" s="2"/>
      <c r="N5795" s="2"/>
      <c r="O5795" s="2">
        <v>9921875</v>
      </c>
      <c r="P5795" s="2" t="s">
        <v>38428</v>
      </c>
      <c r="Q5795" s="2" t="s">
        <v>38429</v>
      </c>
      <c r="R5795" s="2" t="s">
        <v>38430</v>
      </c>
      <c r="S5795" s="2" t="s">
        <v>89</v>
      </c>
      <c r="T5795" s="2" t="s">
        <v>90</v>
      </c>
      <c r="U5795" s="2" t="s">
        <v>99</v>
      </c>
      <c r="V5795" s="2" t="s">
        <v>59</v>
      </c>
      <c r="W5795" s="2">
        <v>37.700000000000003</v>
      </c>
      <c r="X5795" s="2">
        <v>0</v>
      </c>
      <c r="Y5795" s="2" t="s">
        <v>408</v>
      </c>
      <c r="Z5795" s="2" t="s">
        <v>38431</v>
      </c>
      <c r="AA5795" s="2">
        <v>-1.2000827676492101</v>
      </c>
      <c r="AB5795" s="2">
        <v>6.3114610979040905E-2</v>
      </c>
      <c r="AC5795" s="2">
        <v>341.27947957945503</v>
      </c>
      <c r="AD5795" s="2">
        <v>2.7106294003980101E-5</v>
      </c>
      <c r="AE5795" s="2">
        <v>186.34306930826099</v>
      </c>
      <c r="AF5795" s="2">
        <v>583.79076345959902</v>
      </c>
      <c r="AG5795" s="2">
        <v>333.45264330884902</v>
      </c>
      <c r="AH5795" s="2">
        <v>591.13145731288</v>
      </c>
      <c r="AI5795" s="2">
        <v>2.7106294003980101E-5</v>
      </c>
      <c r="AJ5795" s="2">
        <v>352.95891698084699</v>
      </c>
      <c r="AK5795" s="2">
        <v>2.7106294003980101E-5</v>
      </c>
      <c r="AL5795" s="2">
        <v>2.7106294003980101E-5</v>
      </c>
      <c r="AM5795" s="2">
        <v>2.7106294003980101E-5</v>
      </c>
      <c r="AN5795" s="2">
        <v>2.7106294003980101E-5</v>
      </c>
      <c r="AO5795" s="2">
        <v>2.7106294003980101E-5</v>
      </c>
      <c r="AP5795" s="2">
        <v>2.7106294003980101E-5</v>
      </c>
    </row>
    <row r="5796" spans="1:42" ht="14.5" x14ac:dyDescent="0.35">
      <c r="A5796" s="2" t="s">
        <v>38432</v>
      </c>
      <c r="B5796" s="2">
        <v>128.976633917653</v>
      </c>
      <c r="C5796" s="2">
        <v>1.3524</v>
      </c>
      <c r="D5796" s="2" t="s">
        <v>70</v>
      </c>
      <c r="E5796" s="2" t="s">
        <v>38433</v>
      </c>
      <c r="F5796" s="2">
        <v>202147</v>
      </c>
      <c r="G5796" s="3" t="str">
        <f>HYPERLINK("http://funmeta.oebiotech.com/network/202147", "http://funmeta.oebiotech.com/network/202147")</f>
        <v>http://funmeta.oebiotech.com/network/202147</v>
      </c>
      <c r="H5796" s="2" t="s">
        <v>38434</v>
      </c>
      <c r="I5796" s="2">
        <v>351834</v>
      </c>
      <c r="J5796" s="2"/>
      <c r="K5796" s="2"/>
      <c r="L5796" s="2"/>
      <c r="M5796" s="2"/>
      <c r="N5796" s="2"/>
      <c r="O5796" s="2">
        <v>541661</v>
      </c>
      <c r="P5796" s="2"/>
      <c r="Q5796" s="2" t="s">
        <v>38435</v>
      </c>
      <c r="R5796" s="2" t="s">
        <v>38436</v>
      </c>
      <c r="S5796" s="2" t="s">
        <v>491</v>
      </c>
      <c r="T5796" s="2" t="s">
        <v>3519</v>
      </c>
      <c r="U5796" s="2" t="s">
        <v>19069</v>
      </c>
      <c r="V5796" s="2" t="s">
        <v>59</v>
      </c>
      <c r="W5796" s="2">
        <v>37.799999999999997</v>
      </c>
      <c r="X5796" s="2">
        <v>0</v>
      </c>
      <c r="Y5796" s="2" t="s">
        <v>118</v>
      </c>
      <c r="Z5796" s="2" t="s">
        <v>38437</v>
      </c>
      <c r="AA5796" s="2">
        <v>1.63125681095981</v>
      </c>
      <c r="AB5796" s="2">
        <v>6.3111935796418703E-2</v>
      </c>
      <c r="AC5796" s="2">
        <v>3024.0539766827401</v>
      </c>
      <c r="AD5796" s="2">
        <v>3372.4466011128502</v>
      </c>
      <c r="AE5796" s="2">
        <v>2969.519132764</v>
      </c>
      <c r="AF5796" s="2">
        <v>2992.48438678709</v>
      </c>
      <c r="AG5796" s="2">
        <v>2975.4738540558301</v>
      </c>
      <c r="AH5796" s="2">
        <v>2969.9071668411302</v>
      </c>
      <c r="AI5796" s="2">
        <v>3099.2540631853599</v>
      </c>
      <c r="AJ5796" s="2">
        <v>3137.6852564630299</v>
      </c>
      <c r="AK5796" s="2">
        <v>3291.3600109991498</v>
      </c>
      <c r="AL5796" s="2">
        <v>3103.5231470651001</v>
      </c>
      <c r="AM5796" s="2">
        <v>3220.6088139701801</v>
      </c>
      <c r="AN5796" s="2">
        <v>3596.5686082249699</v>
      </c>
      <c r="AO5796" s="2">
        <v>3317.5316044650899</v>
      </c>
      <c r="AP5796" s="2">
        <v>3705.0874219525899</v>
      </c>
    </row>
    <row r="5797" spans="1:42" ht="14.5" x14ac:dyDescent="0.35">
      <c r="A5797" s="2" t="s">
        <v>38438</v>
      </c>
      <c r="B5797" s="2">
        <v>112.999627829312</v>
      </c>
      <c r="C5797" s="2">
        <v>0.71894999999999998</v>
      </c>
      <c r="D5797" s="2" t="s">
        <v>34</v>
      </c>
      <c r="E5797" s="2" t="s">
        <v>38439</v>
      </c>
      <c r="F5797" s="2">
        <v>83285</v>
      </c>
      <c r="G5797" s="3" t="str">
        <f>HYPERLINK("http://funmeta.oebiotech.com/network/83285", "http://funmeta.oebiotech.com/network/83285")</f>
        <v>http://funmeta.oebiotech.com/network/83285</v>
      </c>
      <c r="H5797" s="2" t="s">
        <v>38440</v>
      </c>
      <c r="I5797" s="2"/>
      <c r="J5797" s="2"/>
      <c r="K5797" s="2">
        <v>340824</v>
      </c>
      <c r="L5797" s="2"/>
      <c r="M5797" s="2"/>
      <c r="N5797" s="2"/>
      <c r="O5797" s="2">
        <v>13130</v>
      </c>
      <c r="P5797" s="2" t="s">
        <v>38441</v>
      </c>
      <c r="Q5797" s="2" t="s">
        <v>38442</v>
      </c>
      <c r="R5797" s="2" t="s">
        <v>38443</v>
      </c>
      <c r="S5797" s="2" t="s">
        <v>89</v>
      </c>
      <c r="T5797" s="2" t="s">
        <v>894</v>
      </c>
      <c r="U5797" s="2" t="s">
        <v>895</v>
      </c>
      <c r="V5797" s="2" t="s">
        <v>59</v>
      </c>
      <c r="W5797" s="2">
        <v>39.299999999999997</v>
      </c>
      <c r="X5797" s="2">
        <v>0.52700000000000002</v>
      </c>
      <c r="Y5797" s="2" t="s">
        <v>394</v>
      </c>
      <c r="Z5797" s="2" t="s">
        <v>38444</v>
      </c>
      <c r="AA5797" s="2">
        <v>-1.73110877977669</v>
      </c>
      <c r="AB5797" s="2">
        <v>6.3093296150914704E-2</v>
      </c>
      <c r="AC5797" s="2">
        <v>5438.6231189752098</v>
      </c>
      <c r="AD5797" s="2">
        <v>4672.5287241138303</v>
      </c>
      <c r="AE5797" s="2">
        <v>6558.5634421654104</v>
      </c>
      <c r="AF5797" s="2">
        <v>5637.5769127412595</v>
      </c>
      <c r="AG5797" s="2">
        <v>3199.1685834242799</v>
      </c>
      <c r="AH5797" s="2">
        <v>6614.2695167786096</v>
      </c>
      <c r="AI5797" s="2">
        <v>5998.3627826416496</v>
      </c>
      <c r="AJ5797" s="2">
        <v>4623.7974761000496</v>
      </c>
      <c r="AK5797" s="2">
        <v>4184.9171998070497</v>
      </c>
      <c r="AL5797" s="2">
        <v>3576.88671860977</v>
      </c>
      <c r="AM5797" s="2">
        <v>5478.9541448062701</v>
      </c>
      <c r="AN5797" s="2">
        <v>3997.34413894419</v>
      </c>
      <c r="AO5797" s="2">
        <v>5848.5685065219304</v>
      </c>
      <c r="AP5797" s="2">
        <v>4948.5016359937699</v>
      </c>
    </row>
    <row r="5798" spans="1:42" ht="14.5" x14ac:dyDescent="0.35">
      <c r="A5798" s="2" t="s">
        <v>38445</v>
      </c>
      <c r="B5798" s="2">
        <v>137.02306185783101</v>
      </c>
      <c r="C5798" s="2">
        <v>4.0250666666666701</v>
      </c>
      <c r="D5798" s="2" t="s">
        <v>70</v>
      </c>
      <c r="E5798" s="2" t="s">
        <v>38446</v>
      </c>
      <c r="F5798" s="2">
        <v>48217</v>
      </c>
      <c r="G5798" s="3" t="str">
        <f>HYPERLINK("http://funmeta.oebiotech.com/network/48217", "http://funmeta.oebiotech.com/network/48217")</f>
        <v>http://funmeta.oebiotech.com/network/48217</v>
      </c>
      <c r="H5798" s="2" t="s">
        <v>38447</v>
      </c>
      <c r="I5798" s="2">
        <v>44699</v>
      </c>
      <c r="J5798" s="2"/>
      <c r="K5798" s="2">
        <v>28508</v>
      </c>
      <c r="L5798" s="2" t="s">
        <v>38448</v>
      </c>
      <c r="M5798" s="2" t="s">
        <v>22392</v>
      </c>
      <c r="N5798" s="2" t="s">
        <v>22393</v>
      </c>
      <c r="O5798" s="2">
        <v>70949</v>
      </c>
      <c r="P5798" s="2" t="s">
        <v>38449</v>
      </c>
      <c r="Q5798" s="2" t="s">
        <v>38450</v>
      </c>
      <c r="R5798" s="2" t="s">
        <v>38451</v>
      </c>
      <c r="S5798" s="2" t="s">
        <v>79</v>
      </c>
      <c r="T5798" s="2" t="s">
        <v>80</v>
      </c>
      <c r="U5798" s="2" t="s">
        <v>2820</v>
      </c>
      <c r="V5798" s="2" t="s">
        <v>42</v>
      </c>
      <c r="W5798" s="2">
        <v>46.4</v>
      </c>
      <c r="X5798" s="2">
        <v>45.2</v>
      </c>
      <c r="Y5798" s="2" t="s">
        <v>118</v>
      </c>
      <c r="Z5798" s="2" t="s">
        <v>9456</v>
      </c>
      <c r="AA5798" s="2">
        <v>-9.8221012110974506</v>
      </c>
      <c r="AB5798" s="2">
        <v>6.3092113338111294E-2</v>
      </c>
      <c r="AC5798" s="2">
        <v>22037.5252370616</v>
      </c>
      <c r="AD5798" s="2">
        <v>21192.516949663201</v>
      </c>
      <c r="AE5798" s="2">
        <v>19984.372733994998</v>
      </c>
      <c r="AF5798" s="2">
        <v>20904.3659029685</v>
      </c>
      <c r="AG5798" s="2">
        <v>24134.763537571002</v>
      </c>
      <c r="AH5798" s="2">
        <v>22299.768612768599</v>
      </c>
      <c r="AI5798" s="2">
        <v>21564.086876599798</v>
      </c>
      <c r="AJ5798" s="2">
        <v>23337.7937584666</v>
      </c>
      <c r="AK5798" s="2">
        <v>19550.142739999301</v>
      </c>
      <c r="AL5798" s="2">
        <v>20920.184461013199</v>
      </c>
      <c r="AM5798" s="2">
        <v>23091.316475251599</v>
      </c>
      <c r="AN5798" s="2">
        <v>20902.186532551899</v>
      </c>
      <c r="AO5798" s="2">
        <v>22251.3103184467</v>
      </c>
      <c r="AP5798" s="2">
        <v>20439.961170716299</v>
      </c>
    </row>
    <row r="5799" spans="1:42" ht="14.5" x14ac:dyDescent="0.35">
      <c r="A5799" s="2" t="s">
        <v>38452</v>
      </c>
      <c r="B5799" s="2">
        <v>359.21959378943001</v>
      </c>
      <c r="C5799" s="2">
        <v>10.9197666666667</v>
      </c>
      <c r="D5799" s="2" t="s">
        <v>34</v>
      </c>
      <c r="E5799" s="2" t="s">
        <v>38453</v>
      </c>
      <c r="F5799" s="2">
        <v>3671</v>
      </c>
      <c r="G5799" s="3" t="str">
        <f>HYPERLINK("http://funmeta.oebiotech.com/network/3671", "http://funmeta.oebiotech.com/network/3671")</f>
        <v>http://funmeta.oebiotech.com/network/3671</v>
      </c>
      <c r="H5799" s="2"/>
      <c r="I5799" s="2">
        <v>36120</v>
      </c>
      <c r="J5799" s="2" t="s">
        <v>38454</v>
      </c>
      <c r="K5799" s="2"/>
      <c r="L5799" s="2"/>
      <c r="M5799" s="2"/>
      <c r="N5799" s="2"/>
      <c r="O5799" s="2">
        <v>5283050</v>
      </c>
      <c r="P5799" s="2" t="s">
        <v>38455</v>
      </c>
      <c r="Q5799" s="2" t="s">
        <v>38456</v>
      </c>
      <c r="R5799" s="2" t="s">
        <v>38457</v>
      </c>
      <c r="S5799" s="2" t="s">
        <v>50</v>
      </c>
      <c r="T5799" s="2" t="s">
        <v>229</v>
      </c>
      <c r="U5799" s="2" t="s">
        <v>766</v>
      </c>
      <c r="V5799" s="2" t="s">
        <v>59</v>
      </c>
      <c r="W5799" s="2">
        <v>39.1</v>
      </c>
      <c r="X5799" s="2">
        <v>0</v>
      </c>
      <c r="Y5799" s="2" t="s">
        <v>323</v>
      </c>
      <c r="Z5799" s="2" t="s">
        <v>38458</v>
      </c>
      <c r="AA5799" s="2">
        <v>0.93270943901103198</v>
      </c>
      <c r="AB5799" s="2">
        <v>6.3046203320656899E-2</v>
      </c>
      <c r="AC5799" s="2">
        <v>3071.6461944164898</v>
      </c>
      <c r="AD5799" s="2">
        <v>2613.66727152154</v>
      </c>
      <c r="AE5799" s="2">
        <v>3081.27202277372</v>
      </c>
      <c r="AF5799" s="2">
        <v>2871.2629131363301</v>
      </c>
      <c r="AG5799" s="2">
        <v>3087.7502853905298</v>
      </c>
      <c r="AH5799" s="2">
        <v>3055.8068403993998</v>
      </c>
      <c r="AI5799" s="2">
        <v>2698.7989570903701</v>
      </c>
      <c r="AJ5799" s="2">
        <v>3634.9861477085901</v>
      </c>
      <c r="AK5799" s="2">
        <v>1928.9855302170899</v>
      </c>
      <c r="AL5799" s="2">
        <v>2348.0389912936498</v>
      </c>
      <c r="AM5799" s="2">
        <v>2705.9356088846298</v>
      </c>
      <c r="AN5799" s="2">
        <v>3004.0255919238002</v>
      </c>
      <c r="AO5799" s="2">
        <v>2851.84979683539</v>
      </c>
      <c r="AP5799" s="2">
        <v>2843.1681099746802</v>
      </c>
    </row>
    <row r="5800" spans="1:42" ht="14.5" x14ac:dyDescent="0.35">
      <c r="A5800" s="2" t="s">
        <v>38459</v>
      </c>
      <c r="B5800" s="2">
        <v>671.32843902970296</v>
      </c>
      <c r="C5800" s="2">
        <v>9.2194500000000001</v>
      </c>
      <c r="D5800" s="2" t="s">
        <v>70</v>
      </c>
      <c r="E5800" s="2" t="s">
        <v>38460</v>
      </c>
      <c r="F5800" s="2">
        <v>18025</v>
      </c>
      <c r="G5800" s="3" t="str">
        <f>HYPERLINK("http://funmeta.oebiotech.com/network/18025", "http://funmeta.oebiotech.com/network/18025")</f>
        <v>http://funmeta.oebiotech.com/network/18025</v>
      </c>
      <c r="H5800" s="2"/>
      <c r="I5800" s="2"/>
      <c r="J5800" s="2" t="s">
        <v>38461</v>
      </c>
      <c r="K5800" s="2"/>
      <c r="L5800" s="2"/>
      <c r="M5800" s="2"/>
      <c r="N5800" s="2"/>
      <c r="O5800" s="2"/>
      <c r="P5800" s="2"/>
      <c r="Q5800" s="2" t="s">
        <v>38462</v>
      </c>
      <c r="R5800" s="2" t="s">
        <v>38463</v>
      </c>
      <c r="S5800" s="2" t="s">
        <v>50</v>
      </c>
      <c r="T5800" s="2" t="s">
        <v>448</v>
      </c>
      <c r="U5800" s="2" t="s">
        <v>449</v>
      </c>
      <c r="V5800" s="2" t="s">
        <v>59</v>
      </c>
      <c r="W5800" s="2">
        <v>39.299999999999997</v>
      </c>
      <c r="X5800" s="2">
        <v>0</v>
      </c>
      <c r="Y5800" s="2" t="s">
        <v>118</v>
      </c>
      <c r="Z5800" s="2" t="s">
        <v>38464</v>
      </c>
      <c r="AA5800" s="2">
        <v>1.35649847163731E-2</v>
      </c>
      <c r="AB5800" s="2">
        <v>6.3020032855120603E-2</v>
      </c>
      <c r="AC5800" s="2">
        <v>18996.420349026401</v>
      </c>
      <c r="AD5800" s="2">
        <v>18184.740599561301</v>
      </c>
      <c r="AE5800" s="2">
        <v>17696.5421859491</v>
      </c>
      <c r="AF5800" s="2">
        <v>18768.692345089999</v>
      </c>
      <c r="AG5800" s="2">
        <v>19870.9302059334</v>
      </c>
      <c r="AH5800" s="2">
        <v>19672.1918674218</v>
      </c>
      <c r="AI5800" s="2">
        <v>18931.1257027108</v>
      </c>
      <c r="AJ5800" s="2">
        <v>19039.039787053101</v>
      </c>
      <c r="AK5800" s="2">
        <v>17326.689073649999</v>
      </c>
      <c r="AL5800" s="2">
        <v>16754.209059974801</v>
      </c>
      <c r="AM5800" s="2">
        <v>20625.681112582501</v>
      </c>
      <c r="AN5800" s="2">
        <v>16689.854572707201</v>
      </c>
      <c r="AO5800" s="2">
        <v>17828.721365916601</v>
      </c>
      <c r="AP5800" s="2">
        <v>19883.288412536702</v>
      </c>
    </row>
    <row r="5801" spans="1:42" ht="14.5" x14ac:dyDescent="0.35">
      <c r="A5801" s="2" t="s">
        <v>38465</v>
      </c>
      <c r="B5801" s="2">
        <v>716.37915266329901</v>
      </c>
      <c r="C5801" s="2">
        <v>8.8024666666666693</v>
      </c>
      <c r="D5801" s="2" t="s">
        <v>34</v>
      </c>
      <c r="E5801" s="2" t="s">
        <v>38466</v>
      </c>
      <c r="F5801" s="2">
        <v>211162</v>
      </c>
      <c r="G5801" s="3" t="str">
        <f>HYPERLINK("http://funmeta.oebiotech.com/network/211162", "http://funmeta.oebiotech.com/network/211162")</f>
        <v>http://funmeta.oebiotech.com/network/211162</v>
      </c>
      <c r="H5801" s="2" t="s">
        <v>38467</v>
      </c>
      <c r="I5801" s="2"/>
      <c r="J5801" s="2"/>
      <c r="K5801" s="2"/>
      <c r="L5801" s="2"/>
      <c r="M5801" s="2"/>
      <c r="N5801" s="2"/>
      <c r="O5801" s="2"/>
      <c r="P5801" s="2"/>
      <c r="Q5801" s="2" t="s">
        <v>38468</v>
      </c>
      <c r="R5801" s="2" t="s">
        <v>38469</v>
      </c>
      <c r="S5801" s="2" t="s">
        <v>41</v>
      </c>
      <c r="T5801" s="2" t="s">
        <v>41</v>
      </c>
      <c r="U5801" s="2" t="s">
        <v>41</v>
      </c>
      <c r="V5801" s="2" t="s">
        <v>59</v>
      </c>
      <c r="W5801" s="2">
        <v>37.4</v>
      </c>
      <c r="X5801" s="2">
        <v>0</v>
      </c>
      <c r="Y5801" s="2" t="s">
        <v>394</v>
      </c>
      <c r="Z5801" s="2" t="s">
        <v>38470</v>
      </c>
      <c r="AA5801" s="2">
        <v>3.5356412178203702</v>
      </c>
      <c r="AB5801" s="2">
        <v>6.2994069108575496E-2</v>
      </c>
      <c r="AC5801" s="2">
        <v>8473.7474619836194</v>
      </c>
      <c r="AD5801" s="2">
        <v>9326.6065925370804</v>
      </c>
      <c r="AE5801" s="2">
        <v>8928.2556759367599</v>
      </c>
      <c r="AF5801" s="2">
        <v>6573.86992421163</v>
      </c>
      <c r="AG5801" s="2">
        <v>8559.2069290614108</v>
      </c>
      <c r="AH5801" s="2">
        <v>8141.9636114783198</v>
      </c>
      <c r="AI5801" s="2">
        <v>8272.8493655110196</v>
      </c>
      <c r="AJ5801" s="2">
        <v>10366.3392657026</v>
      </c>
      <c r="AK5801" s="2">
        <v>9460.0482740452899</v>
      </c>
      <c r="AL5801" s="2">
        <v>7929.27638190173</v>
      </c>
      <c r="AM5801" s="2">
        <v>10757.1330909711</v>
      </c>
      <c r="AN5801" s="2">
        <v>11960.8664380714</v>
      </c>
      <c r="AO5801" s="2">
        <v>8191.5312340212304</v>
      </c>
      <c r="AP5801" s="2">
        <v>7660.7841362117497</v>
      </c>
    </row>
    <row r="5802" spans="1:42" ht="14.5" x14ac:dyDescent="0.35">
      <c r="A5802" s="2" t="s">
        <v>38471</v>
      </c>
      <c r="B5802" s="2">
        <v>205.16990255705201</v>
      </c>
      <c r="C5802" s="2">
        <v>5.0723166666666701</v>
      </c>
      <c r="D5802" s="2" t="s">
        <v>34</v>
      </c>
      <c r="E5802" s="2" t="s">
        <v>38472</v>
      </c>
      <c r="F5802" s="2">
        <v>258098</v>
      </c>
      <c r="G5802" s="3" t="str">
        <f>HYPERLINK("http://funmeta.oebiotech.com/network/258098", "http://funmeta.oebiotech.com/network/258098")</f>
        <v>http://funmeta.oebiotech.com/network/258098</v>
      </c>
      <c r="H5802" s="2"/>
      <c r="I5802" s="2">
        <v>2401</v>
      </c>
      <c r="J5802" s="2"/>
      <c r="K5802" s="2"/>
      <c r="L5802" s="2" t="s">
        <v>38473</v>
      </c>
      <c r="M5802" s="2"/>
      <c r="N5802" s="2"/>
      <c r="O5802" s="2">
        <v>26757</v>
      </c>
      <c r="P5802" s="2" t="s">
        <v>38474</v>
      </c>
      <c r="Q5802" s="2" t="s">
        <v>38475</v>
      </c>
      <c r="R5802" s="2" t="s">
        <v>38476</v>
      </c>
      <c r="S5802" s="2" t="s">
        <v>148</v>
      </c>
      <c r="T5802" s="2" t="s">
        <v>149</v>
      </c>
      <c r="U5802" s="2" t="s">
        <v>13117</v>
      </c>
      <c r="V5802" s="2" t="s">
        <v>59</v>
      </c>
      <c r="W5802" s="2">
        <v>39.299999999999997</v>
      </c>
      <c r="X5802" s="2">
        <v>0</v>
      </c>
      <c r="Y5802" s="2" t="s">
        <v>43</v>
      </c>
      <c r="Z5802" s="2" t="s">
        <v>38477</v>
      </c>
      <c r="AA5802" s="2">
        <v>-0.120355924260272</v>
      </c>
      <c r="AB5802" s="2">
        <v>6.2934744424247305E-2</v>
      </c>
      <c r="AC5802" s="2">
        <v>1330.79082281458</v>
      </c>
      <c r="AD5802" s="2">
        <v>990.21047984077302</v>
      </c>
      <c r="AE5802" s="2">
        <v>1273.3271497232799</v>
      </c>
      <c r="AF5802" s="2">
        <v>1375.35448472655</v>
      </c>
      <c r="AG5802" s="2">
        <v>1562.0742297018</v>
      </c>
      <c r="AH5802" s="2">
        <v>1153.7346477143101</v>
      </c>
      <c r="AI5802" s="2">
        <v>1257.4253650543601</v>
      </c>
      <c r="AJ5802" s="2">
        <v>1362.82905996719</v>
      </c>
      <c r="AK5802" s="2">
        <v>879.43837634970498</v>
      </c>
      <c r="AL5802" s="2">
        <v>879.37153329105695</v>
      </c>
      <c r="AM5802" s="2">
        <v>895.77824855050096</v>
      </c>
      <c r="AN5802" s="2">
        <v>934.632008892925</v>
      </c>
      <c r="AO5802" s="2">
        <v>1337.1118884739401</v>
      </c>
      <c r="AP5802" s="2">
        <v>1014.93082348651</v>
      </c>
    </row>
    <row r="5803" spans="1:42" ht="14.5" x14ac:dyDescent="0.35">
      <c r="A5803" s="2" t="s">
        <v>38478</v>
      </c>
      <c r="B5803" s="2">
        <v>171.062907937522</v>
      </c>
      <c r="C5803" s="2">
        <v>1.6275333333333299</v>
      </c>
      <c r="D5803" s="2" t="s">
        <v>34</v>
      </c>
      <c r="E5803" s="2" t="s">
        <v>38479</v>
      </c>
      <c r="F5803" s="2">
        <v>56968</v>
      </c>
      <c r="G5803" s="3" t="str">
        <f>HYPERLINK("http://funmeta.oebiotech.com/network/56968", "http://funmeta.oebiotech.com/network/56968")</f>
        <v>http://funmeta.oebiotech.com/network/56968</v>
      </c>
      <c r="H5803" s="2" t="s">
        <v>38480</v>
      </c>
      <c r="I5803" s="2">
        <v>88626</v>
      </c>
      <c r="J5803" s="2"/>
      <c r="K5803" s="2">
        <v>173894</v>
      </c>
      <c r="L5803" s="2"/>
      <c r="M5803" s="2"/>
      <c r="N5803" s="2"/>
      <c r="O5803" s="2">
        <v>131751283</v>
      </c>
      <c r="P5803" s="2"/>
      <c r="Q5803" s="2" t="s">
        <v>38481</v>
      </c>
      <c r="R5803" s="2" t="s">
        <v>38482</v>
      </c>
      <c r="S5803" s="2" t="s">
        <v>148</v>
      </c>
      <c r="T5803" s="2" t="s">
        <v>149</v>
      </c>
      <c r="U5803" s="2" t="s">
        <v>41</v>
      </c>
      <c r="V5803" s="2" t="s">
        <v>59</v>
      </c>
      <c r="W5803" s="2">
        <v>37.700000000000003</v>
      </c>
      <c r="X5803" s="2">
        <v>0</v>
      </c>
      <c r="Y5803" s="2" t="s">
        <v>141</v>
      </c>
      <c r="Z5803" s="2" t="s">
        <v>38483</v>
      </c>
      <c r="AA5803" s="2">
        <v>1.19533948797982</v>
      </c>
      <c r="AB5803" s="2">
        <v>6.2903089704944806E-2</v>
      </c>
      <c r="AC5803" s="2">
        <v>2651.2537330679202</v>
      </c>
      <c r="AD5803" s="2">
        <v>3044.0113275641002</v>
      </c>
      <c r="AE5803" s="2">
        <v>2439.95301265632</v>
      </c>
      <c r="AF5803" s="2">
        <v>2871.0745602810498</v>
      </c>
      <c r="AG5803" s="2">
        <v>2249.8580135709399</v>
      </c>
      <c r="AH5803" s="2">
        <v>2529.2776370644101</v>
      </c>
      <c r="AI5803" s="2">
        <v>3084.7605880208198</v>
      </c>
      <c r="AJ5803" s="2">
        <v>2732.5985868139901</v>
      </c>
      <c r="AK5803" s="2">
        <v>2878.7032945976098</v>
      </c>
      <c r="AL5803" s="2">
        <v>2957.9731272078898</v>
      </c>
      <c r="AM5803" s="2">
        <v>2988.3863813599</v>
      </c>
      <c r="AN5803" s="2">
        <v>3323.2343691258902</v>
      </c>
      <c r="AO5803" s="2">
        <v>3236.39769783055</v>
      </c>
      <c r="AP5803" s="2">
        <v>2879.3730952627602</v>
      </c>
    </row>
    <row r="5804" spans="1:42" ht="14.5" x14ac:dyDescent="0.35">
      <c r="A5804" s="2" t="s">
        <v>38484</v>
      </c>
      <c r="B5804" s="2">
        <v>705.14054124418203</v>
      </c>
      <c r="C5804" s="2">
        <v>4.0429833333333303</v>
      </c>
      <c r="D5804" s="2" t="s">
        <v>70</v>
      </c>
      <c r="E5804" s="2" t="s">
        <v>38485</v>
      </c>
      <c r="F5804" s="2">
        <v>256870</v>
      </c>
      <c r="G5804" s="3" t="str">
        <f>HYPERLINK("http://funmeta.oebiotech.com/network/256870", "http://funmeta.oebiotech.com/network/256870")</f>
        <v>http://funmeta.oebiotech.com/network/256870</v>
      </c>
      <c r="H5804" s="2" t="s">
        <v>38486</v>
      </c>
      <c r="I5804" s="2">
        <v>3496</v>
      </c>
      <c r="J5804" s="2"/>
      <c r="K5804" s="2">
        <v>29114</v>
      </c>
      <c r="L5804" s="2" t="s">
        <v>38487</v>
      </c>
      <c r="M5804" s="2" t="s">
        <v>38488</v>
      </c>
      <c r="N5804" s="2" t="s">
        <v>38489</v>
      </c>
      <c r="O5804" s="2">
        <v>135398601</v>
      </c>
      <c r="P5804" s="2" t="s">
        <v>38490</v>
      </c>
      <c r="Q5804" s="2" t="s">
        <v>38491</v>
      </c>
      <c r="R5804" s="2" t="s">
        <v>38492</v>
      </c>
      <c r="S5804" s="2" t="s">
        <v>79</v>
      </c>
      <c r="T5804" s="2" t="s">
        <v>80</v>
      </c>
      <c r="U5804" s="2" t="s">
        <v>81</v>
      </c>
      <c r="V5804" s="2" t="s">
        <v>59</v>
      </c>
      <c r="W5804" s="2">
        <v>37.6</v>
      </c>
      <c r="X5804" s="2">
        <v>0</v>
      </c>
      <c r="Y5804" s="2" t="s">
        <v>560</v>
      </c>
      <c r="Z5804" s="2" t="s">
        <v>38493</v>
      </c>
      <c r="AA5804" s="2">
        <v>0.73558163123032905</v>
      </c>
      <c r="AB5804" s="2">
        <v>6.29017389415851E-2</v>
      </c>
      <c r="AC5804" s="2">
        <v>10167.1308626954</v>
      </c>
      <c r="AD5804" s="2">
        <v>9228.5244467683005</v>
      </c>
      <c r="AE5804" s="2">
        <v>10453.3409270136</v>
      </c>
      <c r="AF5804" s="2">
        <v>9167.7048572121494</v>
      </c>
      <c r="AG5804" s="2">
        <v>11978.7541673381</v>
      </c>
      <c r="AH5804" s="2">
        <v>10195.421463159601</v>
      </c>
      <c r="AI5804" s="2">
        <v>6833.09189224703</v>
      </c>
      <c r="AJ5804" s="2">
        <v>12374.4718692021</v>
      </c>
      <c r="AK5804" s="2">
        <v>6270.3372361164202</v>
      </c>
      <c r="AL5804" s="2">
        <v>9468.1961065512405</v>
      </c>
      <c r="AM5804" s="2">
        <v>9878.4284378147404</v>
      </c>
      <c r="AN5804" s="2">
        <v>8646.1124543286005</v>
      </c>
      <c r="AO5804" s="2">
        <v>11403.704956028199</v>
      </c>
      <c r="AP5804" s="2">
        <v>9704.3674897706005</v>
      </c>
    </row>
    <row r="5805" spans="1:42" ht="14.5" x14ac:dyDescent="0.35">
      <c r="A5805" s="2" t="s">
        <v>38494</v>
      </c>
      <c r="B5805" s="2">
        <v>777.43870140769604</v>
      </c>
      <c r="C5805" s="2">
        <v>11.4243166666667</v>
      </c>
      <c r="D5805" s="2" t="s">
        <v>34</v>
      </c>
      <c r="E5805" s="2" t="s">
        <v>38495</v>
      </c>
      <c r="F5805" s="2">
        <v>57430</v>
      </c>
      <c r="G5805" s="3" t="str">
        <f>HYPERLINK("http://funmeta.oebiotech.com/network/57430", "http://funmeta.oebiotech.com/network/57430")</f>
        <v>http://funmeta.oebiotech.com/network/57430</v>
      </c>
      <c r="H5805" s="2" t="s">
        <v>38496</v>
      </c>
      <c r="I5805" s="2">
        <v>89051</v>
      </c>
      <c r="J5805" s="2"/>
      <c r="K5805" s="2"/>
      <c r="L5805" s="2"/>
      <c r="M5805" s="2"/>
      <c r="N5805" s="2"/>
      <c r="O5805" s="2">
        <v>13919550</v>
      </c>
      <c r="P5805" s="2" t="s">
        <v>38497</v>
      </c>
      <c r="Q5805" s="2" t="s">
        <v>38498</v>
      </c>
      <c r="R5805" s="2" t="s">
        <v>38499</v>
      </c>
      <c r="S5805" s="2" t="s">
        <v>50</v>
      </c>
      <c r="T5805" s="2" t="s">
        <v>201</v>
      </c>
      <c r="U5805" s="2" t="s">
        <v>202</v>
      </c>
      <c r="V5805" s="2" t="s">
        <v>59</v>
      </c>
      <c r="W5805" s="2">
        <v>36.1</v>
      </c>
      <c r="X5805" s="2">
        <v>0</v>
      </c>
      <c r="Y5805" s="2" t="s">
        <v>141</v>
      </c>
      <c r="Z5805" s="2" t="s">
        <v>38500</v>
      </c>
      <c r="AA5805" s="2">
        <v>-4.1124706025435298</v>
      </c>
      <c r="AB5805" s="2">
        <v>6.2880364089779497E-2</v>
      </c>
      <c r="AC5805" s="2">
        <v>6773.6244045967396</v>
      </c>
      <c r="AD5805" s="2">
        <v>5805.69319543643</v>
      </c>
      <c r="AE5805" s="2">
        <v>6929.7409715353497</v>
      </c>
      <c r="AF5805" s="2">
        <v>5988.0424962483403</v>
      </c>
      <c r="AG5805" s="2">
        <v>6375.8391584062601</v>
      </c>
      <c r="AH5805" s="2">
        <v>6803.5152965707903</v>
      </c>
      <c r="AI5805" s="2">
        <v>7474.3727626085702</v>
      </c>
      <c r="AJ5805" s="2">
        <v>7070.2357422111299</v>
      </c>
      <c r="AK5805" s="2">
        <v>8786.4561622510992</v>
      </c>
      <c r="AL5805" s="2">
        <v>1226.16224559491</v>
      </c>
      <c r="AM5805" s="2">
        <v>5620.4454856308503</v>
      </c>
      <c r="AN5805" s="2">
        <v>7258.6380711053998</v>
      </c>
      <c r="AO5805" s="2">
        <v>5595.0730653074797</v>
      </c>
      <c r="AP5805" s="2">
        <v>6347.3841427288498</v>
      </c>
    </row>
    <row r="5806" spans="1:42" ht="14.5" x14ac:dyDescent="0.35">
      <c r="A5806" s="2" t="s">
        <v>38501</v>
      </c>
      <c r="B5806" s="2">
        <v>492.27301999901402</v>
      </c>
      <c r="C5806" s="2">
        <v>6.2845833333333303</v>
      </c>
      <c r="D5806" s="2" t="s">
        <v>34</v>
      </c>
      <c r="E5806" s="2" t="s">
        <v>38502</v>
      </c>
      <c r="F5806" s="2">
        <v>203681</v>
      </c>
      <c r="G5806" s="3" t="str">
        <f>HYPERLINK("http://funmeta.oebiotech.com/network/203681", "http://funmeta.oebiotech.com/network/203681")</f>
        <v>http://funmeta.oebiotech.com/network/203681</v>
      </c>
      <c r="H5806" s="2" t="s">
        <v>38503</v>
      </c>
      <c r="I5806" s="2"/>
      <c r="J5806" s="2"/>
      <c r="K5806" s="2"/>
      <c r="L5806" s="2"/>
      <c r="M5806" s="2"/>
      <c r="N5806" s="2"/>
      <c r="O5806" s="2">
        <v>24999143</v>
      </c>
      <c r="P5806" s="2"/>
      <c r="Q5806" s="2" t="s">
        <v>38504</v>
      </c>
      <c r="R5806" s="2" t="s">
        <v>38505</v>
      </c>
      <c r="S5806" s="2" t="s">
        <v>148</v>
      </c>
      <c r="T5806" s="2" t="s">
        <v>3772</v>
      </c>
      <c r="U5806" s="2" t="s">
        <v>41</v>
      </c>
      <c r="V5806" s="2" t="s">
        <v>59</v>
      </c>
      <c r="W5806" s="2">
        <v>38.4</v>
      </c>
      <c r="X5806" s="2">
        <v>0</v>
      </c>
      <c r="Y5806" s="2" t="s">
        <v>323</v>
      </c>
      <c r="Z5806" s="2" t="s">
        <v>38506</v>
      </c>
      <c r="AA5806" s="2">
        <v>2.07969615570217</v>
      </c>
      <c r="AB5806" s="2">
        <v>6.2874244195004994E-2</v>
      </c>
      <c r="AC5806" s="2">
        <v>5536.2529252506401</v>
      </c>
      <c r="AD5806" s="2">
        <v>4563.2030591049597</v>
      </c>
      <c r="AE5806" s="2">
        <v>8738.9358360293609</v>
      </c>
      <c r="AF5806" s="2">
        <v>3442.20276171967</v>
      </c>
      <c r="AG5806" s="2">
        <v>7534.1007296329499</v>
      </c>
      <c r="AH5806" s="2">
        <v>6690.5623038147996</v>
      </c>
      <c r="AI5806" s="2">
        <v>1523.59801914116</v>
      </c>
      <c r="AJ5806" s="2">
        <v>5288.1179011658896</v>
      </c>
      <c r="AK5806" s="2">
        <v>4665.2252953786201</v>
      </c>
      <c r="AL5806" s="2">
        <v>6377.8835002358101</v>
      </c>
      <c r="AM5806" s="2">
        <v>2742.3867949916998</v>
      </c>
      <c r="AN5806" s="2">
        <v>4803.7562187112699</v>
      </c>
      <c r="AO5806" s="2">
        <v>4123.1985042715996</v>
      </c>
      <c r="AP5806" s="2">
        <v>4666.7680410407402</v>
      </c>
    </row>
    <row r="5807" spans="1:42" ht="14.5" x14ac:dyDescent="0.35">
      <c r="A5807" s="2" t="s">
        <v>38507</v>
      </c>
      <c r="B5807" s="2">
        <v>479.24242016755602</v>
      </c>
      <c r="C5807" s="2">
        <v>8.5262166666666701</v>
      </c>
      <c r="D5807" s="2" t="s">
        <v>34</v>
      </c>
      <c r="E5807" s="2" t="s">
        <v>38508</v>
      </c>
      <c r="F5807" s="2">
        <v>55616</v>
      </c>
      <c r="G5807" s="3" t="str">
        <f>HYPERLINK("http://funmeta.oebiotech.com/network/55616", "http://funmeta.oebiotech.com/network/55616")</f>
        <v>http://funmeta.oebiotech.com/network/55616</v>
      </c>
      <c r="H5807" s="2" t="s">
        <v>38509</v>
      </c>
      <c r="I5807" s="2">
        <v>87265</v>
      </c>
      <c r="J5807" s="2"/>
      <c r="K5807" s="2"/>
      <c r="L5807" s="2"/>
      <c r="M5807" s="2"/>
      <c r="N5807" s="2"/>
      <c r="O5807" s="2">
        <v>78384956</v>
      </c>
      <c r="P5807" s="2"/>
      <c r="Q5807" s="2" t="s">
        <v>38510</v>
      </c>
      <c r="R5807" s="2" t="s">
        <v>38511</v>
      </c>
      <c r="S5807" s="2" t="s">
        <v>50</v>
      </c>
      <c r="T5807" s="2" t="s">
        <v>201</v>
      </c>
      <c r="U5807" s="2" t="s">
        <v>210</v>
      </c>
      <c r="V5807" s="2" t="s">
        <v>42</v>
      </c>
      <c r="W5807" s="2">
        <v>46.5</v>
      </c>
      <c r="X5807" s="2">
        <v>47.6</v>
      </c>
      <c r="Y5807" s="2" t="s">
        <v>323</v>
      </c>
      <c r="Z5807" s="2" t="s">
        <v>38512</v>
      </c>
      <c r="AA5807" s="2">
        <v>4.4068173966008501</v>
      </c>
      <c r="AB5807" s="2">
        <v>6.2870793588298099E-2</v>
      </c>
      <c r="AC5807" s="2">
        <v>16765.757465823201</v>
      </c>
      <c r="AD5807" s="2">
        <v>17900.104398077001</v>
      </c>
      <c r="AE5807" s="2">
        <v>18439.412481990199</v>
      </c>
      <c r="AF5807" s="2">
        <v>18377.084311341801</v>
      </c>
      <c r="AG5807" s="2">
        <v>11039.2238849195</v>
      </c>
      <c r="AH5807" s="2">
        <v>14195.9570484617</v>
      </c>
      <c r="AI5807" s="2">
        <v>18282.505509557799</v>
      </c>
      <c r="AJ5807" s="2">
        <v>20260.361558668101</v>
      </c>
      <c r="AK5807" s="2">
        <v>18928.423762111601</v>
      </c>
      <c r="AL5807" s="2">
        <v>14443.5101131049</v>
      </c>
      <c r="AM5807" s="2">
        <v>17872.210306357101</v>
      </c>
      <c r="AN5807" s="2">
        <v>19467.153490363999</v>
      </c>
      <c r="AO5807" s="2">
        <v>19275.261216982701</v>
      </c>
      <c r="AP5807" s="2">
        <v>17414.067499541801</v>
      </c>
    </row>
    <row r="5808" spans="1:42" ht="14.5" x14ac:dyDescent="0.35">
      <c r="A5808" s="2" t="s">
        <v>38513</v>
      </c>
      <c r="B5808" s="2">
        <v>407.05944121036799</v>
      </c>
      <c r="C5808" s="2">
        <v>2.6967333333333299</v>
      </c>
      <c r="D5808" s="2" t="s">
        <v>70</v>
      </c>
      <c r="E5808" s="2" t="s">
        <v>38514</v>
      </c>
      <c r="F5808" s="2">
        <v>210507</v>
      </c>
      <c r="G5808" s="3" t="str">
        <f>HYPERLINK("http://funmeta.oebiotech.com/network/210507", "http://funmeta.oebiotech.com/network/210507")</f>
        <v>http://funmeta.oebiotech.com/network/210507</v>
      </c>
      <c r="H5808" s="2" t="s">
        <v>38515</v>
      </c>
      <c r="I5808" s="2"/>
      <c r="J5808" s="2"/>
      <c r="K5808" s="2"/>
      <c r="L5808" s="2"/>
      <c r="M5808" s="2"/>
      <c r="N5808" s="2"/>
      <c r="O5808" s="2"/>
      <c r="P5808" s="2"/>
      <c r="Q5808" s="2" t="s">
        <v>38516</v>
      </c>
      <c r="R5808" s="2" t="s">
        <v>38517</v>
      </c>
      <c r="S5808" s="2" t="s">
        <v>41</v>
      </c>
      <c r="T5808" s="2" t="s">
        <v>41</v>
      </c>
      <c r="U5808" s="2" t="s">
        <v>41</v>
      </c>
      <c r="V5808" s="2" t="s">
        <v>59</v>
      </c>
      <c r="W5808" s="2">
        <v>39.1</v>
      </c>
      <c r="X5808" s="2">
        <v>0</v>
      </c>
      <c r="Y5808" s="2" t="s">
        <v>408</v>
      </c>
      <c r="Z5808" s="2" t="s">
        <v>38518</v>
      </c>
      <c r="AA5808" s="2">
        <v>-0.48150306987104402</v>
      </c>
      <c r="AB5808" s="2">
        <v>6.27870840591669E-2</v>
      </c>
      <c r="AC5808" s="2">
        <v>3194.5648965350201</v>
      </c>
      <c r="AD5808" s="2">
        <v>2805.3050915374502</v>
      </c>
      <c r="AE5808" s="2">
        <v>3308.6206246400602</v>
      </c>
      <c r="AF5808" s="2">
        <v>3343.7273213759199</v>
      </c>
      <c r="AG5808" s="2">
        <v>3293.7650635689602</v>
      </c>
      <c r="AH5808" s="2">
        <v>2984.3482585308002</v>
      </c>
      <c r="AI5808" s="2">
        <v>3275.1269908655099</v>
      </c>
      <c r="AJ5808" s="2">
        <v>2961.8011202288899</v>
      </c>
      <c r="AK5808" s="2">
        <v>2760.1839271510598</v>
      </c>
      <c r="AL5808" s="2">
        <v>2623.46039999089</v>
      </c>
      <c r="AM5808" s="2">
        <v>2746.6406308293799</v>
      </c>
      <c r="AN5808" s="2">
        <v>2684.3209097086701</v>
      </c>
      <c r="AO5808" s="2">
        <v>2625.44659447903</v>
      </c>
      <c r="AP5808" s="2">
        <v>3391.7780870656702</v>
      </c>
    </row>
    <row r="5809" spans="1:42" ht="14.5" x14ac:dyDescent="0.35">
      <c r="A5809" s="2" t="s">
        <v>38519</v>
      </c>
      <c r="B5809" s="2">
        <v>339.14138660687797</v>
      </c>
      <c r="C5809" s="2">
        <v>4.4609500000000004</v>
      </c>
      <c r="D5809" s="2" t="s">
        <v>34</v>
      </c>
      <c r="E5809" s="2" t="s">
        <v>38520</v>
      </c>
      <c r="F5809" s="2">
        <v>57853</v>
      </c>
      <c r="G5809" s="3" t="str">
        <f>HYPERLINK("http://funmeta.oebiotech.com/network/57853", "http://funmeta.oebiotech.com/network/57853")</f>
        <v>http://funmeta.oebiotech.com/network/57853</v>
      </c>
      <c r="H5809" s="2" t="s">
        <v>38521</v>
      </c>
      <c r="I5809" s="2">
        <v>89442</v>
      </c>
      <c r="J5809" s="2"/>
      <c r="K5809" s="2">
        <v>172547</v>
      </c>
      <c r="L5809" s="2"/>
      <c r="M5809" s="2"/>
      <c r="N5809" s="2"/>
      <c r="O5809" s="2">
        <v>85249407</v>
      </c>
      <c r="P5809" s="2" t="s">
        <v>38522</v>
      </c>
      <c r="Q5809" s="2" t="s">
        <v>38523</v>
      </c>
      <c r="R5809" s="2" t="s">
        <v>38524</v>
      </c>
      <c r="S5809" s="2" t="s">
        <v>50</v>
      </c>
      <c r="T5809" s="2" t="s">
        <v>201</v>
      </c>
      <c r="U5809" s="2" t="s">
        <v>202</v>
      </c>
      <c r="V5809" s="2" t="s">
        <v>59</v>
      </c>
      <c r="W5809" s="2">
        <v>38.799999999999997</v>
      </c>
      <c r="X5809" s="2">
        <v>0</v>
      </c>
      <c r="Y5809" s="2" t="s">
        <v>323</v>
      </c>
      <c r="Z5809" s="2" t="s">
        <v>6310</v>
      </c>
      <c r="AA5809" s="2">
        <v>-0.117600704456592</v>
      </c>
      <c r="AB5809" s="2">
        <v>6.2615465710686699E-2</v>
      </c>
      <c r="AC5809" s="2">
        <v>8790.7448981120306</v>
      </c>
      <c r="AD5809" s="2">
        <v>7970.5840575785296</v>
      </c>
      <c r="AE5809" s="2">
        <v>8632.6221102095005</v>
      </c>
      <c r="AF5809" s="2">
        <v>10048.679711389101</v>
      </c>
      <c r="AG5809" s="2">
        <v>7004.8442474580097</v>
      </c>
      <c r="AH5809" s="2">
        <v>8586.9628446439892</v>
      </c>
      <c r="AI5809" s="2">
        <v>9336.2605846031802</v>
      </c>
      <c r="AJ5809" s="2">
        <v>9135.0998903683903</v>
      </c>
      <c r="AK5809" s="2">
        <v>9410.70180088489</v>
      </c>
      <c r="AL5809" s="2">
        <v>7977.0239961402003</v>
      </c>
      <c r="AM5809" s="2">
        <v>8770.3361636709906</v>
      </c>
      <c r="AN5809" s="2">
        <v>7619.5093575191204</v>
      </c>
      <c r="AO5809" s="2">
        <v>4961.9859084664604</v>
      </c>
      <c r="AP5809" s="2">
        <v>9083.9471187895197</v>
      </c>
    </row>
    <row r="5810" spans="1:42" ht="14.5" x14ac:dyDescent="0.35">
      <c r="A5810" s="2" t="s">
        <v>38525</v>
      </c>
      <c r="B5810" s="2">
        <v>399.12947674593403</v>
      </c>
      <c r="C5810" s="2">
        <v>4.6857333333333298</v>
      </c>
      <c r="D5810" s="2" t="s">
        <v>70</v>
      </c>
      <c r="E5810" s="2" t="s">
        <v>38526</v>
      </c>
      <c r="F5810" s="2">
        <v>63928</v>
      </c>
      <c r="G5810" s="3" t="str">
        <f>HYPERLINK("http://funmeta.oebiotech.com/network/63928", "http://funmeta.oebiotech.com/network/63928")</f>
        <v>http://funmeta.oebiotech.com/network/63928</v>
      </c>
      <c r="H5810" s="2" t="s">
        <v>38527</v>
      </c>
      <c r="I5810" s="2">
        <v>95262</v>
      </c>
      <c r="J5810" s="2"/>
      <c r="K5810" s="2">
        <v>168120</v>
      </c>
      <c r="L5810" s="2"/>
      <c r="M5810" s="2"/>
      <c r="N5810" s="2"/>
      <c r="O5810" s="2">
        <v>131752941</v>
      </c>
      <c r="P5810" s="2"/>
      <c r="Q5810" s="2" t="s">
        <v>38528</v>
      </c>
      <c r="R5810" s="2" t="s">
        <v>38529</v>
      </c>
      <c r="S5810" s="2" t="s">
        <v>50</v>
      </c>
      <c r="T5810" s="2" t="s">
        <v>229</v>
      </c>
      <c r="U5810" s="2" t="s">
        <v>230</v>
      </c>
      <c r="V5810" s="2" t="s">
        <v>42</v>
      </c>
      <c r="W5810" s="2">
        <v>55.4</v>
      </c>
      <c r="X5810" s="2">
        <v>81.3</v>
      </c>
      <c r="Y5810" s="2" t="s">
        <v>408</v>
      </c>
      <c r="Z5810" s="2" t="s">
        <v>12741</v>
      </c>
      <c r="AA5810" s="2">
        <v>-0.54721509769690102</v>
      </c>
      <c r="AB5810" s="2">
        <v>6.2579450786464194E-2</v>
      </c>
      <c r="AC5810" s="2">
        <v>34583.105790014502</v>
      </c>
      <c r="AD5810" s="2">
        <v>35511.797589184702</v>
      </c>
      <c r="AE5810" s="2">
        <v>34607.200611868102</v>
      </c>
      <c r="AF5810" s="2">
        <v>34837.060765383801</v>
      </c>
      <c r="AG5810" s="2">
        <v>31761.037454662699</v>
      </c>
      <c r="AH5810" s="2">
        <v>36395.755037982199</v>
      </c>
      <c r="AI5810" s="2">
        <v>36195.901239827297</v>
      </c>
      <c r="AJ5810" s="2">
        <v>33701.679630362902</v>
      </c>
      <c r="AK5810" s="2">
        <v>32886.896233104497</v>
      </c>
      <c r="AL5810" s="2">
        <v>32894.104155859597</v>
      </c>
      <c r="AM5810" s="2">
        <v>36986.510223049998</v>
      </c>
      <c r="AN5810" s="2">
        <v>37182.873493945903</v>
      </c>
      <c r="AO5810" s="2">
        <v>36501.910220286401</v>
      </c>
      <c r="AP5810" s="2">
        <v>36618.491208861902</v>
      </c>
    </row>
    <row r="5811" spans="1:42" ht="14.5" x14ac:dyDescent="0.35">
      <c r="A5811" s="2" t="s">
        <v>38530</v>
      </c>
      <c r="B5811" s="2">
        <v>315.12135637802101</v>
      </c>
      <c r="C5811" s="2">
        <v>3.5784166666666701</v>
      </c>
      <c r="D5811" s="2" t="s">
        <v>70</v>
      </c>
      <c r="E5811" s="2" t="s">
        <v>38531</v>
      </c>
      <c r="F5811" s="2">
        <v>213099</v>
      </c>
      <c r="G5811" s="3" t="str">
        <f>HYPERLINK("http://funmeta.oebiotech.com/network/213099", "http://funmeta.oebiotech.com/network/213099")</f>
        <v>http://funmeta.oebiotech.com/network/213099</v>
      </c>
      <c r="H5811" s="2" t="s">
        <v>38532</v>
      </c>
      <c r="I5811" s="2"/>
      <c r="J5811" s="2"/>
      <c r="K5811" s="2"/>
      <c r="L5811" s="2"/>
      <c r="M5811" s="2"/>
      <c r="N5811" s="2"/>
      <c r="O5811" s="2"/>
      <c r="P5811" s="2"/>
      <c r="Q5811" s="2" t="s">
        <v>38533</v>
      </c>
      <c r="R5811" s="2" t="s">
        <v>38534</v>
      </c>
      <c r="S5811" s="2" t="s">
        <v>491</v>
      </c>
      <c r="T5811" s="2" t="s">
        <v>2238</v>
      </c>
      <c r="U5811" s="2" t="s">
        <v>12835</v>
      </c>
      <c r="V5811" s="2" t="s">
        <v>59</v>
      </c>
      <c r="W5811" s="2">
        <v>38</v>
      </c>
      <c r="X5811" s="2">
        <v>0</v>
      </c>
      <c r="Y5811" s="2" t="s">
        <v>408</v>
      </c>
      <c r="Z5811" s="2" t="s">
        <v>38535</v>
      </c>
      <c r="AA5811" s="2">
        <v>0.90481285541497203</v>
      </c>
      <c r="AB5811" s="2">
        <v>6.2578830656403198E-2</v>
      </c>
      <c r="AC5811" s="2">
        <v>1414.6537402884601</v>
      </c>
      <c r="AD5811" s="2">
        <v>1801.9536524733001</v>
      </c>
      <c r="AE5811" s="2">
        <v>1161.99713687844</v>
      </c>
      <c r="AF5811" s="2">
        <v>1883.23145351877</v>
      </c>
      <c r="AG5811" s="2">
        <v>1298.4103697989599</v>
      </c>
      <c r="AH5811" s="2">
        <v>1083.96697754959</v>
      </c>
      <c r="AI5811" s="2">
        <v>1604.9919776376501</v>
      </c>
      <c r="AJ5811" s="2">
        <v>1455.32452634737</v>
      </c>
      <c r="AK5811" s="2">
        <v>1674.1218161321401</v>
      </c>
      <c r="AL5811" s="2">
        <v>1928.1507716262599</v>
      </c>
      <c r="AM5811" s="2">
        <v>1878.0955585448601</v>
      </c>
      <c r="AN5811" s="2">
        <v>1785.03289793216</v>
      </c>
      <c r="AO5811" s="2">
        <v>1558.2494227729101</v>
      </c>
      <c r="AP5811" s="2">
        <v>1988.0714478314401</v>
      </c>
    </row>
    <row r="5812" spans="1:42" ht="14.5" x14ac:dyDescent="0.35">
      <c r="A5812" s="2" t="s">
        <v>38536</v>
      </c>
      <c r="B5812" s="2">
        <v>345.11532155133699</v>
      </c>
      <c r="C5812" s="2">
        <v>1.9954833333333299</v>
      </c>
      <c r="D5812" s="2" t="s">
        <v>34</v>
      </c>
      <c r="E5812" s="2" t="s">
        <v>38537</v>
      </c>
      <c r="F5812" s="2">
        <v>256966</v>
      </c>
      <c r="G5812" s="3" t="str">
        <f>HYPERLINK("http://funmeta.oebiotech.com/network/256966", "http://funmeta.oebiotech.com/network/256966")</f>
        <v>http://funmeta.oebiotech.com/network/256966</v>
      </c>
      <c r="H5812" s="2" t="s">
        <v>38538</v>
      </c>
      <c r="I5812" s="2"/>
      <c r="J5812" s="2"/>
      <c r="K5812" s="2"/>
      <c r="L5812" s="2"/>
      <c r="M5812" s="2"/>
      <c r="N5812" s="2"/>
      <c r="O5812" s="2">
        <v>75144755</v>
      </c>
      <c r="P5812" s="2"/>
      <c r="Q5812" s="2" t="s">
        <v>38539</v>
      </c>
      <c r="R5812" s="2" t="s">
        <v>38540</v>
      </c>
      <c r="S5812" s="2" t="s">
        <v>79</v>
      </c>
      <c r="T5812" s="2" t="s">
        <v>80</v>
      </c>
      <c r="U5812" s="2" t="s">
        <v>81</v>
      </c>
      <c r="V5812" s="2" t="s">
        <v>59</v>
      </c>
      <c r="W5812" s="2">
        <v>36.6</v>
      </c>
      <c r="X5812" s="2">
        <v>0</v>
      </c>
      <c r="Y5812" s="2" t="s">
        <v>43</v>
      </c>
      <c r="Z5812" s="2" t="s">
        <v>38541</v>
      </c>
      <c r="AA5812" s="2">
        <v>1.42663641291106</v>
      </c>
      <c r="AB5812" s="2">
        <v>6.2529610991022402E-2</v>
      </c>
      <c r="AC5812" s="2">
        <v>19270.062691866799</v>
      </c>
      <c r="AD5812" s="2">
        <v>20184.995840081901</v>
      </c>
      <c r="AE5812" s="2">
        <v>18828.209197300199</v>
      </c>
      <c r="AF5812" s="2">
        <v>18528.561985264601</v>
      </c>
      <c r="AG5812" s="2">
        <v>17935.529110551099</v>
      </c>
      <c r="AH5812" s="2">
        <v>18792.029740300601</v>
      </c>
      <c r="AI5812" s="2">
        <v>20073.9657257209</v>
      </c>
      <c r="AJ5812" s="2">
        <v>21462.080392063501</v>
      </c>
      <c r="AK5812" s="2">
        <v>18322.118731212198</v>
      </c>
      <c r="AL5812" s="2">
        <v>20753.0668012887</v>
      </c>
      <c r="AM5812" s="2">
        <v>18426.484731173401</v>
      </c>
      <c r="AN5812" s="2">
        <v>20556.7964335012</v>
      </c>
      <c r="AO5812" s="2">
        <v>19139.224448942499</v>
      </c>
      <c r="AP5812" s="2">
        <v>23912.283894373599</v>
      </c>
    </row>
    <row r="5813" spans="1:42" ht="14.5" x14ac:dyDescent="0.35">
      <c r="A5813" s="2" t="s">
        <v>38542</v>
      </c>
      <c r="B5813" s="2">
        <v>299.01198040732498</v>
      </c>
      <c r="C5813" s="2">
        <v>9.2298500000000008</v>
      </c>
      <c r="D5813" s="2" t="s">
        <v>70</v>
      </c>
      <c r="E5813" s="2" t="s">
        <v>38543</v>
      </c>
      <c r="F5813" s="2">
        <v>199640</v>
      </c>
      <c r="G5813" s="3" t="str">
        <f>HYPERLINK("http://funmeta.oebiotech.com/network/199640", "http://funmeta.oebiotech.com/network/199640")</f>
        <v>http://funmeta.oebiotech.com/network/199640</v>
      </c>
      <c r="H5813" s="2" t="s">
        <v>38544</v>
      </c>
      <c r="I5813" s="2"/>
      <c r="J5813" s="2"/>
      <c r="K5813" s="2"/>
      <c r="L5813" s="2"/>
      <c r="M5813" s="2"/>
      <c r="N5813" s="2"/>
      <c r="O5813" s="2">
        <v>11084</v>
      </c>
      <c r="P5813" s="2"/>
      <c r="Q5813" s="2" t="s">
        <v>38545</v>
      </c>
      <c r="R5813" s="2" t="s">
        <v>38546</v>
      </c>
      <c r="S5813" s="2" t="s">
        <v>148</v>
      </c>
      <c r="T5813" s="2" t="s">
        <v>149</v>
      </c>
      <c r="U5813" s="2" t="s">
        <v>8963</v>
      </c>
      <c r="V5813" s="2" t="s">
        <v>59</v>
      </c>
      <c r="W5813" s="2">
        <v>39.299999999999997</v>
      </c>
      <c r="X5813" s="2">
        <v>0</v>
      </c>
      <c r="Y5813" s="2" t="s">
        <v>560</v>
      </c>
      <c r="Z5813" s="2" t="s">
        <v>38547</v>
      </c>
      <c r="AA5813" s="2">
        <v>2.4363530299934499</v>
      </c>
      <c r="AB5813" s="2">
        <v>6.2520589300794696E-2</v>
      </c>
      <c r="AC5813" s="2">
        <v>3615.5410074821698</v>
      </c>
      <c r="AD5813" s="2">
        <v>4025.5939998607801</v>
      </c>
      <c r="AE5813" s="2">
        <v>3269.5867953360398</v>
      </c>
      <c r="AF5813" s="2">
        <v>3476.1988872883799</v>
      </c>
      <c r="AG5813" s="2">
        <v>3784.0268042569701</v>
      </c>
      <c r="AH5813" s="2">
        <v>4132.4249402099604</v>
      </c>
      <c r="AI5813" s="2">
        <v>3873.2214267660302</v>
      </c>
      <c r="AJ5813" s="2">
        <v>3157.7871910356598</v>
      </c>
      <c r="AK5813" s="2">
        <v>3949.13077013665</v>
      </c>
      <c r="AL5813" s="2">
        <v>3919.1807755467598</v>
      </c>
      <c r="AM5813" s="2">
        <v>4284.3236649608898</v>
      </c>
      <c r="AN5813" s="2">
        <v>4096.6548478640998</v>
      </c>
      <c r="AO5813" s="2">
        <v>3884.2237516631599</v>
      </c>
      <c r="AP5813" s="2">
        <v>4020.0501889931402</v>
      </c>
    </row>
    <row r="5814" spans="1:42" ht="14.5" x14ac:dyDescent="0.35">
      <c r="A5814" s="2" t="s">
        <v>38548</v>
      </c>
      <c r="B5814" s="2">
        <v>270.19314156074398</v>
      </c>
      <c r="C5814" s="2">
        <v>5.2337999999999996</v>
      </c>
      <c r="D5814" s="2" t="s">
        <v>34</v>
      </c>
      <c r="E5814" s="2" t="s">
        <v>38549</v>
      </c>
      <c r="F5814" s="2">
        <v>207530</v>
      </c>
      <c r="G5814" s="3" t="str">
        <f>HYPERLINK("http://funmeta.oebiotech.com/network/207530", "http://funmeta.oebiotech.com/network/207530")</f>
        <v>http://funmeta.oebiotech.com/network/207530</v>
      </c>
      <c r="H5814" s="2" t="s">
        <v>38550</v>
      </c>
      <c r="I5814" s="2">
        <v>68694</v>
      </c>
      <c r="J5814" s="2"/>
      <c r="K5814" s="2"/>
      <c r="L5814" s="2" t="s">
        <v>38551</v>
      </c>
      <c r="M5814" s="2"/>
      <c r="N5814" s="2"/>
      <c r="O5814" s="2">
        <v>39965</v>
      </c>
      <c r="P5814" s="2" t="s">
        <v>38552</v>
      </c>
      <c r="Q5814" s="2" t="s">
        <v>38553</v>
      </c>
      <c r="R5814" s="2" t="s">
        <v>38554</v>
      </c>
      <c r="S5814" s="2" t="s">
        <v>1677</v>
      </c>
      <c r="T5814" s="2" t="s">
        <v>1678</v>
      </c>
      <c r="U5814" s="2" t="s">
        <v>1679</v>
      </c>
      <c r="V5814" s="2" t="s">
        <v>59</v>
      </c>
      <c r="W5814" s="2">
        <v>37.200000000000003</v>
      </c>
      <c r="X5814" s="2">
        <v>0</v>
      </c>
      <c r="Y5814" s="2" t="s">
        <v>43</v>
      </c>
      <c r="Z5814" s="2" t="s">
        <v>38555</v>
      </c>
      <c r="AA5814" s="2">
        <v>2.7368923903448401</v>
      </c>
      <c r="AB5814" s="2">
        <v>6.2490009613306897E-2</v>
      </c>
      <c r="AC5814" s="2">
        <v>2432.17234962777</v>
      </c>
      <c r="AD5814" s="2">
        <v>1846.75258841501</v>
      </c>
      <c r="AE5814" s="2">
        <v>2592.9193649730701</v>
      </c>
      <c r="AF5814" s="2">
        <v>2607.6209298138701</v>
      </c>
      <c r="AG5814" s="2">
        <v>2807.2264751143398</v>
      </c>
      <c r="AH5814" s="2">
        <v>2201.99852871342</v>
      </c>
      <c r="AI5814" s="2">
        <v>2769.97156027352</v>
      </c>
      <c r="AJ5814" s="2">
        <v>1613.2972388784201</v>
      </c>
      <c r="AK5814" s="2">
        <v>2099.22591894487</v>
      </c>
      <c r="AL5814" s="2">
        <v>2678.2331196230298</v>
      </c>
      <c r="AM5814" s="2">
        <v>2077.2853790406798</v>
      </c>
      <c r="AN5814" s="2">
        <v>1420.3369200861</v>
      </c>
      <c r="AO5814" s="2">
        <v>2390.9103138289402</v>
      </c>
      <c r="AP5814" s="2">
        <v>414.52387896644899</v>
      </c>
    </row>
    <row r="5815" spans="1:42" ht="14.5" x14ac:dyDescent="0.35">
      <c r="A5815" s="2" t="s">
        <v>38556</v>
      </c>
      <c r="B5815" s="2">
        <v>201.163772716615</v>
      </c>
      <c r="C5815" s="2">
        <v>9.9973333333333301</v>
      </c>
      <c r="D5815" s="2" t="s">
        <v>34</v>
      </c>
      <c r="E5815" s="2" t="s">
        <v>38557</v>
      </c>
      <c r="F5815" s="2">
        <v>60205</v>
      </c>
      <c r="G5815" s="3" t="str">
        <f>HYPERLINK("http://funmeta.oebiotech.com/network/60205", "http://funmeta.oebiotech.com/network/60205")</f>
        <v>http://funmeta.oebiotech.com/network/60205</v>
      </c>
      <c r="H5815" s="2" t="s">
        <v>38558</v>
      </c>
      <c r="I5815" s="2">
        <v>91585</v>
      </c>
      <c r="J5815" s="2"/>
      <c r="K5815" s="2"/>
      <c r="L5815" s="2"/>
      <c r="M5815" s="2"/>
      <c r="N5815" s="2"/>
      <c r="O5815" s="2">
        <v>5315609</v>
      </c>
      <c r="P5815" s="2"/>
      <c r="Q5815" s="2" t="s">
        <v>38559</v>
      </c>
      <c r="R5815" s="2" t="s">
        <v>38560</v>
      </c>
      <c r="S5815" s="2" t="s">
        <v>50</v>
      </c>
      <c r="T5815" s="2" t="s">
        <v>201</v>
      </c>
      <c r="U5815" s="2" t="s">
        <v>636</v>
      </c>
      <c r="V5815" s="2" t="s">
        <v>59</v>
      </c>
      <c r="W5815" s="2">
        <v>38.5</v>
      </c>
      <c r="X5815" s="2">
        <v>0</v>
      </c>
      <c r="Y5815" s="2" t="s">
        <v>394</v>
      </c>
      <c r="Z5815" s="2" t="s">
        <v>38561</v>
      </c>
      <c r="AA5815" s="2">
        <v>-2.1766894246657498E-2</v>
      </c>
      <c r="AB5815" s="2">
        <v>6.2199207129693498E-2</v>
      </c>
      <c r="AC5815" s="2">
        <v>404.70604662053</v>
      </c>
      <c r="AD5815" s="2">
        <v>128.39489513803599</v>
      </c>
      <c r="AE5815" s="2">
        <v>414.05239393137401</v>
      </c>
      <c r="AF5815" s="2">
        <v>362.277184849371</v>
      </c>
      <c r="AG5815" s="2">
        <v>321.54028572337398</v>
      </c>
      <c r="AH5815" s="2">
        <v>536.42945649030105</v>
      </c>
      <c r="AI5815" s="2">
        <v>455.06986325266399</v>
      </c>
      <c r="AJ5815" s="2">
        <v>338.86709547609399</v>
      </c>
      <c r="AK5815" s="2">
        <v>100.87694150138699</v>
      </c>
      <c r="AL5815" s="2">
        <v>166.64414304876499</v>
      </c>
      <c r="AM5815" s="2">
        <v>179.88807163214901</v>
      </c>
      <c r="AN5815" s="2">
        <v>85.284518939770095</v>
      </c>
      <c r="AO5815" s="2">
        <v>101.127159191427</v>
      </c>
      <c r="AP5815" s="2">
        <v>136.54853651471899</v>
      </c>
    </row>
    <row r="5816" spans="1:42" ht="14.5" x14ac:dyDescent="0.35">
      <c r="A5816" s="2" t="s">
        <v>38562</v>
      </c>
      <c r="B5816" s="2">
        <v>417.278118720615</v>
      </c>
      <c r="C5816" s="2">
        <v>10.831849999999999</v>
      </c>
      <c r="D5816" s="2" t="s">
        <v>34</v>
      </c>
      <c r="E5816" s="2" t="s">
        <v>38563</v>
      </c>
      <c r="F5816" s="2">
        <v>267142</v>
      </c>
      <c r="G5816" s="3" t="str">
        <f>HYPERLINK("http://funmeta.oebiotech.com/network/267142", "http://funmeta.oebiotech.com/network/267142")</f>
        <v>http://funmeta.oebiotech.com/network/267142</v>
      </c>
      <c r="H5816" s="2"/>
      <c r="I5816" s="2">
        <v>44869</v>
      </c>
      <c r="J5816" s="2"/>
      <c r="K5816" s="2"/>
      <c r="L5816" s="2"/>
      <c r="M5816" s="2"/>
      <c r="N5816" s="2"/>
      <c r="O5816" s="2">
        <v>10112619</v>
      </c>
      <c r="P5816" s="2"/>
      <c r="Q5816" s="2" t="s">
        <v>38564</v>
      </c>
      <c r="R5816" s="2" t="s">
        <v>38565</v>
      </c>
      <c r="S5816" s="2" t="s">
        <v>50</v>
      </c>
      <c r="T5816" s="2" t="s">
        <v>229</v>
      </c>
      <c r="U5816" s="2" t="s">
        <v>1914</v>
      </c>
      <c r="V5816" s="2" t="s">
        <v>59</v>
      </c>
      <c r="W5816" s="2">
        <v>38.200000000000003</v>
      </c>
      <c r="X5816" s="2">
        <v>0</v>
      </c>
      <c r="Y5816" s="2" t="s">
        <v>394</v>
      </c>
      <c r="Z5816" s="2" t="s">
        <v>38566</v>
      </c>
      <c r="AA5816" s="2">
        <v>4.0388433785712197</v>
      </c>
      <c r="AB5816" s="2">
        <v>6.2180332406958201E-2</v>
      </c>
      <c r="AC5816" s="2">
        <v>1272.83629505094</v>
      </c>
      <c r="AD5816" s="2">
        <v>1750.4574677979499</v>
      </c>
      <c r="AE5816" s="2">
        <v>1075.52354649212</v>
      </c>
      <c r="AF5816" s="2">
        <v>849.10418293874397</v>
      </c>
      <c r="AG5816" s="2">
        <v>1135.15460862742</v>
      </c>
      <c r="AH5816" s="2">
        <v>1503.18969263348</v>
      </c>
      <c r="AI5816" s="2">
        <v>1193.41848967691</v>
      </c>
      <c r="AJ5816" s="2">
        <v>1880.62724993696</v>
      </c>
      <c r="AK5816" s="2">
        <v>1519.7100752925801</v>
      </c>
      <c r="AL5816" s="2">
        <v>1542.46405974596</v>
      </c>
      <c r="AM5816" s="2">
        <v>1136.37582552051</v>
      </c>
      <c r="AN5816" s="2">
        <v>1711.51559759306</v>
      </c>
      <c r="AO5816" s="2">
        <v>2397.3907436888999</v>
      </c>
      <c r="AP5816" s="2">
        <v>2195.28850494671</v>
      </c>
    </row>
    <row r="5817" spans="1:42" ht="14.5" x14ac:dyDescent="0.35">
      <c r="A5817" s="2" t="s">
        <v>38567</v>
      </c>
      <c r="B5817" s="2">
        <v>284.06136605022499</v>
      </c>
      <c r="C5817" s="2">
        <v>0.97008333333333296</v>
      </c>
      <c r="D5817" s="2" t="s">
        <v>34</v>
      </c>
      <c r="E5817" s="2" t="s">
        <v>38568</v>
      </c>
      <c r="F5817" s="2">
        <v>258336</v>
      </c>
      <c r="G5817" s="3" t="str">
        <f>HYPERLINK("http://funmeta.oebiotech.com/network/258336", "http://funmeta.oebiotech.com/network/258336")</f>
        <v>http://funmeta.oebiotech.com/network/258336</v>
      </c>
      <c r="H5817" s="2"/>
      <c r="I5817" s="2">
        <v>4087</v>
      </c>
      <c r="J5817" s="2"/>
      <c r="K5817" s="2"/>
      <c r="L5817" s="2"/>
      <c r="M5817" s="2"/>
      <c r="N5817" s="2"/>
      <c r="O5817" s="2">
        <v>5044578</v>
      </c>
      <c r="P5817" s="2"/>
      <c r="Q5817" s="2" t="s">
        <v>38569</v>
      </c>
      <c r="R5817" s="2" t="s">
        <v>38570</v>
      </c>
      <c r="S5817" s="2" t="s">
        <v>148</v>
      </c>
      <c r="T5817" s="2" t="s">
        <v>149</v>
      </c>
      <c r="U5817" s="2" t="s">
        <v>38571</v>
      </c>
      <c r="V5817" s="2" t="s">
        <v>59</v>
      </c>
      <c r="W5817" s="2">
        <v>36.200000000000003</v>
      </c>
      <c r="X5817" s="2">
        <v>0</v>
      </c>
      <c r="Y5817" s="2" t="s">
        <v>43</v>
      </c>
      <c r="Z5817" s="2" t="s">
        <v>38572</v>
      </c>
      <c r="AA5817" s="2">
        <v>9.9468199429893591</v>
      </c>
      <c r="AB5817" s="2">
        <v>6.2176599254984102E-2</v>
      </c>
      <c r="AC5817" s="2">
        <v>5685.27222775877</v>
      </c>
      <c r="AD5817" s="2">
        <v>6250.4264026251203</v>
      </c>
      <c r="AE5817" s="2">
        <v>6262.0643771578698</v>
      </c>
      <c r="AF5817" s="2">
        <v>5784.4116634240399</v>
      </c>
      <c r="AG5817" s="2">
        <v>5162.71404355703</v>
      </c>
      <c r="AH5817" s="2">
        <v>5361.5157711092697</v>
      </c>
      <c r="AI5817" s="2">
        <v>5954.5441682283299</v>
      </c>
      <c r="AJ5817" s="2">
        <v>5586.3833430760897</v>
      </c>
      <c r="AK5817" s="2">
        <v>7262.9302791575601</v>
      </c>
      <c r="AL5817" s="2">
        <v>5092.1415353022303</v>
      </c>
      <c r="AM5817" s="2">
        <v>5942.7550837449398</v>
      </c>
      <c r="AN5817" s="2">
        <v>6611.7372830489603</v>
      </c>
      <c r="AO5817" s="2">
        <v>6820.1353748768897</v>
      </c>
      <c r="AP5817" s="2">
        <v>5772.8588596201698</v>
      </c>
    </row>
    <row r="5818" spans="1:42" ht="14.5" x14ac:dyDescent="0.35">
      <c r="A5818" s="2" t="s">
        <v>38573</v>
      </c>
      <c r="B5818" s="2">
        <v>284.07396420555699</v>
      </c>
      <c r="C5818" s="2">
        <v>1.09313333333333</v>
      </c>
      <c r="D5818" s="2" t="s">
        <v>34</v>
      </c>
      <c r="E5818" s="2" t="s">
        <v>38574</v>
      </c>
      <c r="F5818" s="2">
        <v>55099</v>
      </c>
      <c r="G5818" s="3" t="str">
        <f>HYPERLINK("http://funmeta.oebiotech.com/network/55099", "http://funmeta.oebiotech.com/network/55099")</f>
        <v>http://funmeta.oebiotech.com/network/55099</v>
      </c>
      <c r="H5818" s="2" t="s">
        <v>38575</v>
      </c>
      <c r="I5818" s="2">
        <v>86854</v>
      </c>
      <c r="J5818" s="2"/>
      <c r="K5818" s="2">
        <v>176486</v>
      </c>
      <c r="L5818" s="2"/>
      <c r="M5818" s="2"/>
      <c r="N5818" s="2"/>
      <c r="O5818" s="2">
        <v>77879498</v>
      </c>
      <c r="P5818" s="2" t="s">
        <v>38576</v>
      </c>
      <c r="Q5818" s="2" t="s">
        <v>38577</v>
      </c>
      <c r="R5818" s="2" t="s">
        <v>38578</v>
      </c>
      <c r="S5818" s="2" t="s">
        <v>79</v>
      </c>
      <c r="T5818" s="2" t="s">
        <v>80</v>
      </c>
      <c r="U5818" s="2" t="s">
        <v>81</v>
      </c>
      <c r="V5818" s="2" t="s">
        <v>59</v>
      </c>
      <c r="W5818" s="2">
        <v>37.5</v>
      </c>
      <c r="X5818" s="2">
        <v>0</v>
      </c>
      <c r="Y5818" s="2" t="s">
        <v>323</v>
      </c>
      <c r="Z5818" s="2" t="s">
        <v>38579</v>
      </c>
      <c r="AA5818" s="2">
        <v>-0.41479699909853701</v>
      </c>
      <c r="AB5818" s="2">
        <v>6.1947449520690201E-2</v>
      </c>
      <c r="AC5818" s="2">
        <v>2867.0067737344498</v>
      </c>
      <c r="AD5818" s="2">
        <v>2435.53218304541</v>
      </c>
      <c r="AE5818" s="2">
        <v>2995.6738599474202</v>
      </c>
      <c r="AF5818" s="2">
        <v>3138.4038321725002</v>
      </c>
      <c r="AG5818" s="2">
        <v>2943.9860113066602</v>
      </c>
      <c r="AH5818" s="2">
        <v>2495.85130750093</v>
      </c>
      <c r="AI5818" s="2">
        <v>2798.2036472848199</v>
      </c>
      <c r="AJ5818" s="2">
        <v>2829.92198419437</v>
      </c>
      <c r="AK5818" s="2">
        <v>2137.8525423084002</v>
      </c>
      <c r="AL5818" s="2">
        <v>2009.87021102829</v>
      </c>
      <c r="AM5818" s="2">
        <v>3165.1085914503501</v>
      </c>
      <c r="AN5818" s="2">
        <v>2462.46669154152</v>
      </c>
      <c r="AO5818" s="2">
        <v>2526.6469379723399</v>
      </c>
      <c r="AP5818" s="2">
        <v>2311.2481239715798</v>
      </c>
    </row>
    <row r="5819" spans="1:42" ht="14.5" x14ac:dyDescent="0.35">
      <c r="A5819" s="2" t="s">
        <v>38580</v>
      </c>
      <c r="B5819" s="2">
        <v>183.003740074734</v>
      </c>
      <c r="C5819" s="2">
        <v>14.7029666666667</v>
      </c>
      <c r="D5819" s="2" t="s">
        <v>70</v>
      </c>
      <c r="E5819" s="2" t="s">
        <v>38581</v>
      </c>
      <c r="F5819" s="2">
        <v>200891</v>
      </c>
      <c r="G5819" s="3" t="str">
        <f>HYPERLINK("http://funmeta.oebiotech.com/network/200891", "http://funmeta.oebiotech.com/network/200891")</f>
        <v>http://funmeta.oebiotech.com/network/200891</v>
      </c>
      <c r="H5819" s="2" t="s">
        <v>38582</v>
      </c>
      <c r="I5819" s="2">
        <v>43994</v>
      </c>
      <c r="J5819" s="2"/>
      <c r="K5819" s="2">
        <v>42017</v>
      </c>
      <c r="L5819" s="2" t="s">
        <v>38583</v>
      </c>
      <c r="M5819" s="2"/>
      <c r="N5819" s="2"/>
      <c r="O5819" s="2">
        <v>1493</v>
      </c>
      <c r="P5819" s="2" t="s">
        <v>38584</v>
      </c>
      <c r="Q5819" s="2" t="s">
        <v>38585</v>
      </c>
      <c r="R5819" s="2" t="s">
        <v>38586</v>
      </c>
      <c r="S5819" s="2" t="s">
        <v>148</v>
      </c>
      <c r="T5819" s="2" t="s">
        <v>392</v>
      </c>
      <c r="U5819" s="2" t="s">
        <v>1177</v>
      </c>
      <c r="V5819" s="2" t="s">
        <v>59</v>
      </c>
      <c r="W5819" s="2">
        <v>37.6</v>
      </c>
      <c r="X5819" s="2">
        <v>0</v>
      </c>
      <c r="Y5819" s="2" t="s">
        <v>118</v>
      </c>
      <c r="Z5819" s="2" t="s">
        <v>38587</v>
      </c>
      <c r="AA5819" s="2">
        <v>-5.4601266782653202</v>
      </c>
      <c r="AB5819" s="2">
        <v>6.1903858259319398E-2</v>
      </c>
      <c r="AC5819" s="2">
        <v>2408.0434203804998</v>
      </c>
      <c r="AD5819" s="2">
        <v>2740.3967075564901</v>
      </c>
      <c r="AE5819" s="2">
        <v>2509.96979165114</v>
      </c>
      <c r="AF5819" s="2">
        <v>2760.9207990917698</v>
      </c>
      <c r="AG5819" s="2">
        <v>2365.67399397901</v>
      </c>
      <c r="AH5819" s="2">
        <v>2314.8294963574399</v>
      </c>
      <c r="AI5819" s="2">
        <v>2245.0761218406601</v>
      </c>
      <c r="AJ5819" s="2">
        <v>2251.79031936296</v>
      </c>
      <c r="AK5819" s="2">
        <v>2801.90707216798</v>
      </c>
      <c r="AL5819" s="2">
        <v>2658.8887068904801</v>
      </c>
      <c r="AM5819" s="2">
        <v>2824.0449330466599</v>
      </c>
      <c r="AN5819" s="2">
        <v>2608.5511496261902</v>
      </c>
      <c r="AO5819" s="2">
        <v>2743.9800879439099</v>
      </c>
      <c r="AP5819" s="2">
        <v>2805.0082956637398</v>
      </c>
    </row>
    <row r="5820" spans="1:42" ht="14.5" x14ac:dyDescent="0.35">
      <c r="A5820" s="2" t="s">
        <v>38588</v>
      </c>
      <c r="B5820" s="2">
        <v>229.032412494304</v>
      </c>
      <c r="C5820" s="2">
        <v>1.3894500000000001</v>
      </c>
      <c r="D5820" s="2" t="s">
        <v>70</v>
      </c>
      <c r="E5820" s="2" t="s">
        <v>38589</v>
      </c>
      <c r="F5820" s="2">
        <v>205816</v>
      </c>
      <c r="G5820" s="3" t="str">
        <f>HYPERLINK("http://funmeta.oebiotech.com/network/205816", "http://funmeta.oebiotech.com/network/205816")</f>
        <v>http://funmeta.oebiotech.com/network/205816</v>
      </c>
      <c r="H5820" s="2" t="s">
        <v>38590</v>
      </c>
      <c r="I5820" s="2">
        <v>44161</v>
      </c>
      <c r="J5820" s="2"/>
      <c r="K5820" s="2">
        <v>23681</v>
      </c>
      <c r="L5820" s="2" t="s">
        <v>38591</v>
      </c>
      <c r="M5820" s="2"/>
      <c r="N5820" s="2"/>
      <c r="O5820" s="2">
        <v>3023</v>
      </c>
      <c r="P5820" s="2" t="s">
        <v>38592</v>
      </c>
      <c r="Q5820" s="2" t="s">
        <v>38593</v>
      </c>
      <c r="R5820" s="2" t="s">
        <v>38594</v>
      </c>
      <c r="S5820" s="2" t="s">
        <v>491</v>
      </c>
      <c r="T5820" s="2" t="s">
        <v>37394</v>
      </c>
      <c r="U5820" s="2" t="s">
        <v>38595</v>
      </c>
      <c r="V5820" s="2" t="s">
        <v>59</v>
      </c>
      <c r="W5820" s="2">
        <v>40.4</v>
      </c>
      <c r="X5820" s="2">
        <v>16.399999999999999</v>
      </c>
      <c r="Y5820" s="2" t="s">
        <v>408</v>
      </c>
      <c r="Z5820" s="2" t="s">
        <v>38596</v>
      </c>
      <c r="AA5820" s="2">
        <v>-2.5083982974297898</v>
      </c>
      <c r="AB5820" s="2">
        <v>6.18813300149832E-2</v>
      </c>
      <c r="AC5820" s="2">
        <v>3206.6230401109801</v>
      </c>
      <c r="AD5820" s="2">
        <v>3717.5040313864001</v>
      </c>
      <c r="AE5820" s="2">
        <v>2848.2269518870498</v>
      </c>
      <c r="AF5820" s="2">
        <v>3555.0846823666898</v>
      </c>
      <c r="AG5820" s="2">
        <v>3233.3079015488302</v>
      </c>
      <c r="AH5820" s="2">
        <v>3225.8962768635702</v>
      </c>
      <c r="AI5820" s="2">
        <v>3346.43722640121</v>
      </c>
      <c r="AJ5820" s="2">
        <v>3030.78520159854</v>
      </c>
      <c r="AK5820" s="2">
        <v>3669.3921255002301</v>
      </c>
      <c r="AL5820" s="2">
        <v>4861.2915995763897</v>
      </c>
      <c r="AM5820" s="2">
        <v>3095.9324888061601</v>
      </c>
      <c r="AN5820" s="2">
        <v>3657.51442310525</v>
      </c>
      <c r="AO5820" s="2">
        <v>3902.0523392519199</v>
      </c>
      <c r="AP5820" s="2">
        <v>3118.8412120784701</v>
      </c>
    </row>
    <row r="5821" spans="1:42" ht="14.5" x14ac:dyDescent="0.35">
      <c r="A5821" s="2" t="s">
        <v>38597</v>
      </c>
      <c r="B5821" s="2">
        <v>587.17132993949497</v>
      </c>
      <c r="C5821" s="2">
        <v>4.5826500000000001</v>
      </c>
      <c r="D5821" s="2" t="s">
        <v>34</v>
      </c>
      <c r="E5821" s="2" t="s">
        <v>38598</v>
      </c>
      <c r="F5821" s="2">
        <v>59604</v>
      </c>
      <c r="G5821" s="3" t="str">
        <f>HYPERLINK("http://funmeta.oebiotech.com/network/59604", "http://funmeta.oebiotech.com/network/59604")</f>
        <v>http://funmeta.oebiotech.com/network/59604</v>
      </c>
      <c r="H5821" s="2" t="s">
        <v>38599</v>
      </c>
      <c r="I5821" s="2"/>
      <c r="J5821" s="2"/>
      <c r="K5821" s="2"/>
      <c r="L5821" s="2"/>
      <c r="M5821" s="2"/>
      <c r="N5821" s="2"/>
      <c r="O5821" s="2">
        <v>75144746</v>
      </c>
      <c r="P5821" s="2" t="s">
        <v>38600</v>
      </c>
      <c r="Q5821" s="2" t="s">
        <v>38601</v>
      </c>
      <c r="R5821" s="2" t="s">
        <v>38602</v>
      </c>
      <c r="S5821" s="2" t="s">
        <v>79</v>
      </c>
      <c r="T5821" s="2" t="s">
        <v>80</v>
      </c>
      <c r="U5821" s="2" t="s">
        <v>81</v>
      </c>
      <c r="V5821" s="2" t="s">
        <v>59</v>
      </c>
      <c r="W5821" s="2">
        <v>36.5</v>
      </c>
      <c r="X5821" s="2">
        <v>0</v>
      </c>
      <c r="Y5821" s="2" t="s">
        <v>323</v>
      </c>
      <c r="Z5821" s="2" t="s">
        <v>38603</v>
      </c>
      <c r="AA5821" s="2">
        <v>-3.8672133541921201</v>
      </c>
      <c r="AB5821" s="2">
        <v>6.1795649104922301E-2</v>
      </c>
      <c r="AC5821" s="2">
        <v>5520.7149329805598</v>
      </c>
      <c r="AD5821" s="2">
        <v>6330.5168764235696</v>
      </c>
      <c r="AE5821" s="2">
        <v>4847.3419820205299</v>
      </c>
      <c r="AF5821" s="2">
        <v>7481.5406856128802</v>
      </c>
      <c r="AG5821" s="2">
        <v>5904.2818278617497</v>
      </c>
      <c r="AH5821" s="2">
        <v>6022.91001202806</v>
      </c>
      <c r="AI5821" s="2">
        <v>5149.9826499624396</v>
      </c>
      <c r="AJ5821" s="2">
        <v>3718.23244039769</v>
      </c>
      <c r="AK5821" s="2">
        <v>7849.2056696795798</v>
      </c>
      <c r="AL5821" s="2">
        <v>7951.8286706478902</v>
      </c>
      <c r="AM5821" s="2">
        <v>4788.6372289565197</v>
      </c>
      <c r="AN5821" s="2">
        <v>6402.4215021761502</v>
      </c>
      <c r="AO5821" s="2">
        <v>6061.6402010395605</v>
      </c>
      <c r="AP5821" s="2">
        <v>4929.3679860416996</v>
      </c>
    </row>
    <row r="5822" spans="1:42" ht="14.5" x14ac:dyDescent="0.35">
      <c r="A5822" s="2" t="s">
        <v>38604</v>
      </c>
      <c r="B5822" s="2">
        <v>253.15836810163199</v>
      </c>
      <c r="C5822" s="2">
        <v>5.6059000000000001</v>
      </c>
      <c r="D5822" s="2" t="s">
        <v>34</v>
      </c>
      <c r="E5822" s="2" t="s">
        <v>38605</v>
      </c>
      <c r="F5822" s="2">
        <v>44852</v>
      </c>
      <c r="G5822" s="3" t="str">
        <f>HYPERLINK("http://funmeta.oebiotech.com/network/44852", "http://funmeta.oebiotech.com/network/44852")</f>
        <v>http://funmeta.oebiotech.com/network/44852</v>
      </c>
      <c r="H5822" s="2" t="s">
        <v>38606</v>
      </c>
      <c r="I5822" s="2">
        <v>264</v>
      </c>
      <c r="J5822" s="2" t="s">
        <v>38607</v>
      </c>
      <c r="K5822" s="2">
        <v>17263</v>
      </c>
      <c r="L5822" s="2" t="s">
        <v>38608</v>
      </c>
      <c r="M5822" s="2" t="s">
        <v>38609</v>
      </c>
      <c r="N5822" s="2" t="s">
        <v>38610</v>
      </c>
      <c r="O5822" s="2">
        <v>5870</v>
      </c>
      <c r="P5822" s="2" t="s">
        <v>38611</v>
      </c>
      <c r="Q5822" s="2" t="s">
        <v>38612</v>
      </c>
      <c r="R5822" s="2" t="s">
        <v>38613</v>
      </c>
      <c r="S5822" s="2" t="s">
        <v>50</v>
      </c>
      <c r="T5822" s="2" t="s">
        <v>124</v>
      </c>
      <c r="U5822" s="2" t="s">
        <v>2093</v>
      </c>
      <c r="V5822" s="2" t="s">
        <v>59</v>
      </c>
      <c r="W5822" s="2">
        <v>38.799999999999997</v>
      </c>
      <c r="X5822" s="2">
        <v>0</v>
      </c>
      <c r="Y5822" s="2" t="s">
        <v>141</v>
      </c>
      <c r="Z5822" s="2" t="s">
        <v>38614</v>
      </c>
      <c r="AA5822" s="2">
        <v>-1.1977741198987</v>
      </c>
      <c r="AB5822" s="2">
        <v>6.1755431437813903E-2</v>
      </c>
      <c r="AC5822" s="2">
        <v>2482.80864593961</v>
      </c>
      <c r="AD5822" s="2">
        <v>3093.4795157165399</v>
      </c>
      <c r="AE5822" s="2">
        <v>2805.2222060264398</v>
      </c>
      <c r="AF5822" s="2">
        <v>1380.1433587925001</v>
      </c>
      <c r="AG5822" s="2">
        <v>2099.0223800663098</v>
      </c>
      <c r="AH5822" s="2">
        <v>2982.3351384305702</v>
      </c>
      <c r="AI5822" s="2">
        <v>2443.3689001010198</v>
      </c>
      <c r="AJ5822" s="2">
        <v>3186.7598922208399</v>
      </c>
      <c r="AK5822" s="2">
        <v>4049.4631338366598</v>
      </c>
      <c r="AL5822" s="2">
        <v>3249.27232200043</v>
      </c>
      <c r="AM5822" s="2">
        <v>3246.9820401301599</v>
      </c>
      <c r="AN5822" s="2">
        <v>2752.38985118041</v>
      </c>
      <c r="AO5822" s="2">
        <v>1684.61009879229</v>
      </c>
      <c r="AP5822" s="2">
        <v>3578.1596483592698</v>
      </c>
    </row>
    <row r="5823" spans="1:42" ht="14.5" x14ac:dyDescent="0.35">
      <c r="A5823" s="2" t="s">
        <v>38615</v>
      </c>
      <c r="B5823" s="2">
        <v>515.19187646769706</v>
      </c>
      <c r="C5823" s="2">
        <v>4.5065833333333298</v>
      </c>
      <c r="D5823" s="2" t="s">
        <v>70</v>
      </c>
      <c r="E5823" s="2" t="s">
        <v>38616</v>
      </c>
      <c r="F5823" s="2">
        <v>59793</v>
      </c>
      <c r="G5823" s="3" t="str">
        <f>HYPERLINK("http://funmeta.oebiotech.com/network/59793", "http://funmeta.oebiotech.com/network/59793")</f>
        <v>http://funmeta.oebiotech.com/network/59793</v>
      </c>
      <c r="H5823" s="2" t="s">
        <v>38617</v>
      </c>
      <c r="I5823" s="2"/>
      <c r="J5823" s="2"/>
      <c r="K5823" s="2"/>
      <c r="L5823" s="2" t="s">
        <v>38618</v>
      </c>
      <c r="M5823" s="2"/>
      <c r="N5823" s="2"/>
      <c r="O5823" s="2">
        <v>4482275</v>
      </c>
      <c r="P5823" s="2" t="s">
        <v>38619</v>
      </c>
      <c r="Q5823" s="2" t="s">
        <v>38620</v>
      </c>
      <c r="R5823" s="2" t="s">
        <v>38621</v>
      </c>
      <c r="S5823" s="2" t="s">
        <v>50</v>
      </c>
      <c r="T5823" s="2" t="s">
        <v>201</v>
      </c>
      <c r="U5823" s="2" t="s">
        <v>210</v>
      </c>
      <c r="V5823" s="2" t="s">
        <v>59</v>
      </c>
      <c r="W5823" s="2">
        <v>44.9</v>
      </c>
      <c r="X5823" s="2">
        <v>31.1</v>
      </c>
      <c r="Y5823" s="2" t="s">
        <v>408</v>
      </c>
      <c r="Z5823" s="2" t="s">
        <v>11922</v>
      </c>
      <c r="AA5823" s="2">
        <v>-0.83863432185245701</v>
      </c>
      <c r="AB5823" s="2">
        <v>6.1735088224581298E-2</v>
      </c>
      <c r="AC5823" s="2">
        <v>314803.80215277901</v>
      </c>
      <c r="AD5823" s="2">
        <v>317871.28598221397</v>
      </c>
      <c r="AE5823" s="2">
        <v>321054.36098789203</v>
      </c>
      <c r="AF5823" s="2">
        <v>328651.97982054902</v>
      </c>
      <c r="AG5823" s="2">
        <v>303658.67304904602</v>
      </c>
      <c r="AH5823" s="2">
        <v>296473.12545137102</v>
      </c>
      <c r="AI5823" s="2">
        <v>340283.33877330099</v>
      </c>
      <c r="AJ5823" s="2">
        <v>298701.334834515</v>
      </c>
      <c r="AK5823" s="2">
        <v>329903.09483662603</v>
      </c>
      <c r="AL5823" s="2">
        <v>322160.19477085001</v>
      </c>
      <c r="AM5823" s="2">
        <v>304492.65881928301</v>
      </c>
      <c r="AN5823" s="2">
        <v>320781.805408124</v>
      </c>
      <c r="AO5823" s="2">
        <v>278572.60120626102</v>
      </c>
      <c r="AP5823" s="2">
        <v>351317.36085213802</v>
      </c>
    </row>
    <row r="5824" spans="1:42" ht="14.5" x14ac:dyDescent="0.35">
      <c r="A5824" s="2" t="s">
        <v>38622</v>
      </c>
      <c r="B5824" s="2">
        <v>175.06021194359499</v>
      </c>
      <c r="C5824" s="2">
        <v>3.9694833333333301</v>
      </c>
      <c r="D5824" s="2" t="s">
        <v>70</v>
      </c>
      <c r="E5824" s="2" t="s">
        <v>38623</v>
      </c>
      <c r="F5824" s="2">
        <v>257728</v>
      </c>
      <c r="G5824" s="3" t="str">
        <f>HYPERLINK("http://funmeta.oebiotech.com/network/257728", "http://funmeta.oebiotech.com/network/257728")</f>
        <v>http://funmeta.oebiotech.com/network/257728</v>
      </c>
      <c r="H5824" s="2" t="s">
        <v>27831</v>
      </c>
      <c r="I5824" s="2">
        <v>339</v>
      </c>
      <c r="J5824" s="2"/>
      <c r="K5824" s="2"/>
      <c r="L5824" s="2" t="s">
        <v>27833</v>
      </c>
      <c r="M5824" s="2" t="s">
        <v>27834</v>
      </c>
      <c r="N5824" s="2" t="s">
        <v>27835</v>
      </c>
      <c r="O5824" s="2">
        <v>77</v>
      </c>
      <c r="P5824" s="2" t="s">
        <v>38624</v>
      </c>
      <c r="Q5824" s="2" t="s">
        <v>38625</v>
      </c>
      <c r="R5824" s="2" t="s">
        <v>38626</v>
      </c>
      <c r="S5824" s="2" t="s">
        <v>50</v>
      </c>
      <c r="T5824" s="2" t="s">
        <v>229</v>
      </c>
      <c r="U5824" s="2" t="s">
        <v>433</v>
      </c>
      <c r="V5824" s="2" t="s">
        <v>42</v>
      </c>
      <c r="W5824" s="2">
        <v>48.2</v>
      </c>
      <c r="X5824" s="2">
        <v>51.6</v>
      </c>
      <c r="Y5824" s="2" t="s">
        <v>118</v>
      </c>
      <c r="Z5824" s="2" t="s">
        <v>12109</v>
      </c>
      <c r="AA5824" s="2">
        <v>-5.5950223526189902</v>
      </c>
      <c r="AB5824" s="2">
        <v>6.1693281602006697E-2</v>
      </c>
      <c r="AC5824" s="2">
        <v>1882.60366001324</v>
      </c>
      <c r="AD5824" s="2">
        <v>1326.59475788494</v>
      </c>
      <c r="AE5824" s="2">
        <v>2684.7644597652202</v>
      </c>
      <c r="AF5824" s="2">
        <v>1155.6427682497299</v>
      </c>
      <c r="AG5824" s="2">
        <v>1786.9380539773199</v>
      </c>
      <c r="AH5824" s="2">
        <v>1447.4650125538701</v>
      </c>
      <c r="AI5824" s="2">
        <v>1236.0623800860801</v>
      </c>
      <c r="AJ5824" s="2">
        <v>2984.7492854471998</v>
      </c>
      <c r="AK5824" s="2">
        <v>1402.9823053754501</v>
      </c>
      <c r="AL5824" s="2">
        <v>993.64200806909901</v>
      </c>
      <c r="AM5824" s="2">
        <v>1701.3357932474801</v>
      </c>
      <c r="AN5824" s="2">
        <v>1642.9319351735601</v>
      </c>
      <c r="AO5824" s="2">
        <v>730.43518710107503</v>
      </c>
      <c r="AP5824" s="2">
        <v>1488.2413183430001</v>
      </c>
    </row>
    <row r="5825" spans="1:42" ht="14.5" x14ac:dyDescent="0.35">
      <c r="A5825" s="2" t="s">
        <v>38627</v>
      </c>
      <c r="B5825" s="2">
        <v>441.11877402006598</v>
      </c>
      <c r="C5825" s="2">
        <v>5.1341999999999999</v>
      </c>
      <c r="D5825" s="2" t="s">
        <v>70</v>
      </c>
      <c r="E5825" s="2" t="s">
        <v>38628</v>
      </c>
      <c r="F5825" s="2">
        <v>277057</v>
      </c>
      <c r="G5825" s="3" t="str">
        <f>HYPERLINK("http://funmeta.oebiotech.com/network/277057", "http://funmeta.oebiotech.com/network/277057")</f>
        <v>http://funmeta.oebiotech.com/network/277057</v>
      </c>
      <c r="H5825" s="2"/>
      <c r="I5825" s="2">
        <v>68678</v>
      </c>
      <c r="J5825" s="2"/>
      <c r="K5825" s="2"/>
      <c r="L5825" s="2" t="s">
        <v>38629</v>
      </c>
      <c r="M5825" s="2"/>
      <c r="N5825" s="2"/>
      <c r="O5825" s="2">
        <v>29216</v>
      </c>
      <c r="P5825" s="2" t="s">
        <v>38630</v>
      </c>
      <c r="Q5825" s="2" t="s">
        <v>38631</v>
      </c>
      <c r="R5825" s="2" t="s">
        <v>38632</v>
      </c>
      <c r="S5825" s="2" t="s">
        <v>491</v>
      </c>
      <c r="T5825" s="2" t="s">
        <v>20731</v>
      </c>
      <c r="U5825" s="2" t="s">
        <v>41</v>
      </c>
      <c r="V5825" s="2" t="s">
        <v>59</v>
      </c>
      <c r="W5825" s="2">
        <v>36</v>
      </c>
      <c r="X5825" s="2">
        <v>0</v>
      </c>
      <c r="Y5825" s="2" t="s">
        <v>560</v>
      </c>
      <c r="Z5825" s="2" t="s">
        <v>38633</v>
      </c>
      <c r="AA5825" s="2">
        <v>3.3576026307825999</v>
      </c>
      <c r="AB5825" s="2">
        <v>6.1561943431753599E-2</v>
      </c>
      <c r="AC5825" s="2">
        <v>843.26836442678098</v>
      </c>
      <c r="AD5825" s="2">
        <v>369.94681149005498</v>
      </c>
      <c r="AE5825" s="2">
        <v>1075.6570487548299</v>
      </c>
      <c r="AF5825" s="2">
        <v>952.89456766570595</v>
      </c>
      <c r="AG5825" s="2">
        <v>1139.84081855162</v>
      </c>
      <c r="AH5825" s="2">
        <v>507.20229783815802</v>
      </c>
      <c r="AI5825" s="2">
        <v>1078.50880815562</v>
      </c>
      <c r="AJ5825" s="2">
        <v>305.50664559475399</v>
      </c>
      <c r="AK5825" s="2">
        <v>1316.50839588401</v>
      </c>
      <c r="AL5825" s="2">
        <v>289.52322723259198</v>
      </c>
      <c r="AM5825" s="2">
        <v>2.7106294003980101E-5</v>
      </c>
      <c r="AN5825" s="2">
        <v>2.7106294003980101E-5</v>
      </c>
      <c r="AO5825" s="2">
        <v>316.98958966021797</v>
      </c>
      <c r="AP5825" s="2">
        <v>296.65960195092202</v>
      </c>
    </row>
    <row r="5826" spans="1:42" ht="14.5" x14ac:dyDescent="0.35">
      <c r="A5826" s="2" t="s">
        <v>38634</v>
      </c>
      <c r="B5826" s="2">
        <v>691.274068054135</v>
      </c>
      <c r="C5826" s="2">
        <v>5.5993333333333304</v>
      </c>
      <c r="D5826" s="2" t="s">
        <v>70</v>
      </c>
      <c r="E5826" s="2" t="s">
        <v>38635</v>
      </c>
      <c r="F5826" s="2">
        <v>34053</v>
      </c>
      <c r="G5826" s="3" t="str">
        <f>HYPERLINK("http://funmeta.oebiotech.com/network/34053", "http://funmeta.oebiotech.com/network/34053")</f>
        <v>http://funmeta.oebiotech.com/network/34053</v>
      </c>
      <c r="H5826" s="2"/>
      <c r="I5826" s="2">
        <v>52365</v>
      </c>
      <c r="J5826" s="2" t="s">
        <v>38636</v>
      </c>
      <c r="K5826" s="2"/>
      <c r="L5826" s="2"/>
      <c r="M5826" s="2"/>
      <c r="N5826" s="2"/>
      <c r="O5826" s="2">
        <v>189521</v>
      </c>
      <c r="P5826" s="2"/>
      <c r="Q5826" s="2" t="s">
        <v>38637</v>
      </c>
      <c r="R5826" s="2" t="s">
        <v>38638</v>
      </c>
      <c r="S5826" s="2" t="s">
        <v>115</v>
      </c>
      <c r="T5826" s="2" t="s">
        <v>12600</v>
      </c>
      <c r="U5826" s="2" t="s">
        <v>12601</v>
      </c>
      <c r="V5826" s="2" t="s">
        <v>59</v>
      </c>
      <c r="W5826" s="2">
        <v>36.799999999999997</v>
      </c>
      <c r="X5826" s="2">
        <v>0.98699999999999999</v>
      </c>
      <c r="Y5826" s="2" t="s">
        <v>560</v>
      </c>
      <c r="Z5826" s="2" t="s">
        <v>25359</v>
      </c>
      <c r="AA5826" s="2">
        <v>-2.7912846232636199</v>
      </c>
      <c r="AB5826" s="2">
        <v>6.1535608427208399E-2</v>
      </c>
      <c r="AC5826" s="2">
        <v>41001.49396208</v>
      </c>
      <c r="AD5826" s="2">
        <v>42082.024990194303</v>
      </c>
      <c r="AE5826" s="2">
        <v>40440.469012787697</v>
      </c>
      <c r="AF5826" s="2">
        <v>39761.518486127097</v>
      </c>
      <c r="AG5826" s="2">
        <v>36882.545144827003</v>
      </c>
      <c r="AH5826" s="2">
        <v>44719.519755831803</v>
      </c>
      <c r="AI5826" s="2">
        <v>43240.975340632504</v>
      </c>
      <c r="AJ5826" s="2">
        <v>40963.936032274098</v>
      </c>
      <c r="AK5826" s="2">
        <v>43902.727988317602</v>
      </c>
      <c r="AL5826" s="2">
        <v>40619.181794933502</v>
      </c>
      <c r="AM5826" s="2">
        <v>42228.893301218202</v>
      </c>
      <c r="AN5826" s="2">
        <v>38710.278614455601</v>
      </c>
      <c r="AO5826" s="2">
        <v>45716.655402517099</v>
      </c>
      <c r="AP5826" s="2">
        <v>41314.412839723598</v>
      </c>
    </row>
    <row r="5827" spans="1:42" ht="14.5" x14ac:dyDescent="0.35">
      <c r="A5827" s="2" t="s">
        <v>38639</v>
      </c>
      <c r="B5827" s="2">
        <v>481.02744673235799</v>
      </c>
      <c r="C5827" s="2">
        <v>10.523999999999999</v>
      </c>
      <c r="D5827" s="2" t="s">
        <v>70</v>
      </c>
      <c r="E5827" s="2" t="s">
        <v>38640</v>
      </c>
      <c r="F5827" s="2">
        <v>210137</v>
      </c>
      <c r="G5827" s="3" t="str">
        <f>HYPERLINK("http://funmeta.oebiotech.com/network/210137", "http://funmeta.oebiotech.com/network/210137")</f>
        <v>http://funmeta.oebiotech.com/network/210137</v>
      </c>
      <c r="H5827" s="2" t="s">
        <v>38641</v>
      </c>
      <c r="I5827" s="2"/>
      <c r="J5827" s="2"/>
      <c r="K5827" s="2"/>
      <c r="L5827" s="2"/>
      <c r="M5827" s="2"/>
      <c r="N5827" s="2"/>
      <c r="O5827" s="2">
        <v>88845092</v>
      </c>
      <c r="P5827" s="2"/>
      <c r="Q5827" s="2" t="s">
        <v>38642</v>
      </c>
      <c r="R5827" s="2" t="s">
        <v>38643</v>
      </c>
      <c r="S5827" s="2" t="s">
        <v>41</v>
      </c>
      <c r="T5827" s="2" t="s">
        <v>41</v>
      </c>
      <c r="U5827" s="2" t="s">
        <v>41</v>
      </c>
      <c r="V5827" s="2" t="s">
        <v>59</v>
      </c>
      <c r="W5827" s="2">
        <v>37.5</v>
      </c>
      <c r="X5827" s="2">
        <v>0</v>
      </c>
      <c r="Y5827" s="2" t="s">
        <v>560</v>
      </c>
      <c r="Z5827" s="2" t="s">
        <v>38644</v>
      </c>
      <c r="AA5827" s="2">
        <v>4.7387266368582202</v>
      </c>
      <c r="AB5827" s="2">
        <v>6.1516219685376197E-2</v>
      </c>
      <c r="AC5827" s="2">
        <v>3466.7020242926301</v>
      </c>
      <c r="AD5827" s="2">
        <v>3956.9136228245502</v>
      </c>
      <c r="AE5827" s="2">
        <v>4159.0957398494702</v>
      </c>
      <c r="AF5827" s="2">
        <v>3677.3076649069999</v>
      </c>
      <c r="AG5827" s="2">
        <v>2721.9313474609498</v>
      </c>
      <c r="AH5827" s="2">
        <v>2958.4663034024502</v>
      </c>
      <c r="AI5827" s="2">
        <v>3724.3769192570799</v>
      </c>
      <c r="AJ5827" s="2">
        <v>3559.0341708788101</v>
      </c>
      <c r="AK5827" s="2">
        <v>3337.22307645517</v>
      </c>
      <c r="AL5827" s="2">
        <v>4209.7284399965201</v>
      </c>
      <c r="AM5827" s="2">
        <v>4351.5715616984698</v>
      </c>
      <c r="AN5827" s="2">
        <v>4247.9533677723803</v>
      </c>
      <c r="AO5827" s="2">
        <v>3785.2933743775202</v>
      </c>
      <c r="AP5827" s="2">
        <v>3809.7119166472298</v>
      </c>
    </row>
    <row r="5828" spans="1:42" ht="14.5" x14ac:dyDescent="0.35">
      <c r="A5828" s="2" t="s">
        <v>38645</v>
      </c>
      <c r="B5828" s="2">
        <v>343.07217883251201</v>
      </c>
      <c r="C5828" s="2">
        <v>7.3749000000000002</v>
      </c>
      <c r="D5828" s="2" t="s">
        <v>70</v>
      </c>
      <c r="E5828" s="2" t="s">
        <v>38646</v>
      </c>
      <c r="F5828" s="2">
        <v>205523</v>
      </c>
      <c r="G5828" s="3" t="str">
        <f>HYPERLINK("http://funmeta.oebiotech.com/network/205523", "http://funmeta.oebiotech.com/network/205523")</f>
        <v>http://funmeta.oebiotech.com/network/205523</v>
      </c>
      <c r="H5828" s="2" t="s">
        <v>38647</v>
      </c>
      <c r="I5828" s="2">
        <v>64883</v>
      </c>
      <c r="J5828" s="2"/>
      <c r="K5828" s="2"/>
      <c r="L5828" s="2"/>
      <c r="M5828" s="2"/>
      <c r="N5828" s="2"/>
      <c r="O5828" s="2">
        <v>10666340</v>
      </c>
      <c r="P5828" s="2" t="s">
        <v>38648</v>
      </c>
      <c r="Q5828" s="2" t="s">
        <v>38649</v>
      </c>
      <c r="R5828" s="2" t="s">
        <v>38650</v>
      </c>
      <c r="S5828" s="2" t="s">
        <v>491</v>
      </c>
      <c r="T5828" s="2" t="s">
        <v>2251</v>
      </c>
      <c r="U5828" s="2" t="s">
        <v>2252</v>
      </c>
      <c r="V5828" s="2" t="s">
        <v>59</v>
      </c>
      <c r="W5828" s="2">
        <v>38.799999999999997</v>
      </c>
      <c r="X5828" s="2">
        <v>0</v>
      </c>
      <c r="Y5828" s="2" t="s">
        <v>751</v>
      </c>
      <c r="Z5828" s="2" t="s">
        <v>38651</v>
      </c>
      <c r="AA5828" s="2">
        <v>-0.69486503095269103</v>
      </c>
      <c r="AB5828" s="2">
        <v>6.1506392199444697E-2</v>
      </c>
      <c r="AC5828" s="2">
        <v>5942.9198948599897</v>
      </c>
      <c r="AD5828" s="2">
        <v>5530.3543542468497</v>
      </c>
      <c r="AE5828" s="2">
        <v>5445.4376354672104</v>
      </c>
      <c r="AF5828" s="2">
        <v>6283.2518721976703</v>
      </c>
      <c r="AG5828" s="2">
        <v>6238.2104103175498</v>
      </c>
      <c r="AH5828" s="2">
        <v>5689.5538318737799</v>
      </c>
      <c r="AI5828" s="2">
        <v>5850.9480451235404</v>
      </c>
      <c r="AJ5828" s="2">
        <v>6150.1175741801899</v>
      </c>
      <c r="AK5828" s="2">
        <v>5740.6183106402304</v>
      </c>
      <c r="AL5828" s="2">
        <v>5845.4646083923299</v>
      </c>
      <c r="AM5828" s="2">
        <v>5547.09960936487</v>
      </c>
      <c r="AN5828" s="2">
        <v>5158.2028005541597</v>
      </c>
      <c r="AO5828" s="2">
        <v>5638.0549483260302</v>
      </c>
      <c r="AP5828" s="2">
        <v>5252.6858482034604</v>
      </c>
    </row>
    <row r="5829" spans="1:42" ht="14.5" x14ac:dyDescent="0.35">
      <c r="A5829" s="2" t="s">
        <v>38652</v>
      </c>
      <c r="B5829" s="2">
        <v>581.25986096388203</v>
      </c>
      <c r="C5829" s="2">
        <v>7.7996333333333299</v>
      </c>
      <c r="D5829" s="2" t="s">
        <v>70</v>
      </c>
      <c r="E5829" s="2" t="s">
        <v>38653</v>
      </c>
      <c r="F5829" s="2">
        <v>266697</v>
      </c>
      <c r="G5829" s="3" t="str">
        <f>HYPERLINK("http://funmeta.oebiotech.com/network/266697", "http://funmeta.oebiotech.com/network/266697")</f>
        <v>http://funmeta.oebiotech.com/network/266697</v>
      </c>
      <c r="H5829" s="2"/>
      <c r="I5829" s="2">
        <v>43792</v>
      </c>
      <c r="J5829" s="2"/>
      <c r="K5829" s="2"/>
      <c r="L5829" s="2"/>
      <c r="M5829" s="2"/>
      <c r="N5829" s="2"/>
      <c r="O5829" s="2">
        <v>6708587</v>
      </c>
      <c r="P5829" s="2"/>
      <c r="Q5829" s="2" t="s">
        <v>38654</v>
      </c>
      <c r="R5829" s="2" t="s">
        <v>38655</v>
      </c>
      <c r="S5829" s="2" t="s">
        <v>491</v>
      </c>
      <c r="T5829" s="2" t="s">
        <v>1341</v>
      </c>
      <c r="U5829" s="2" t="s">
        <v>41</v>
      </c>
      <c r="V5829" s="2" t="s">
        <v>59</v>
      </c>
      <c r="W5829" s="2">
        <v>38.4</v>
      </c>
      <c r="X5829" s="2">
        <v>0</v>
      </c>
      <c r="Y5829" s="2" t="s">
        <v>408</v>
      </c>
      <c r="Z5829" s="2" t="s">
        <v>38656</v>
      </c>
      <c r="AA5829" s="2">
        <v>-0.91258448996854902</v>
      </c>
      <c r="AB5829" s="2">
        <v>6.1500741889996602E-2</v>
      </c>
      <c r="AC5829" s="2">
        <v>330.74294826128499</v>
      </c>
      <c r="AD5829" s="2">
        <v>2.7106294003980101E-5</v>
      </c>
      <c r="AE5829" s="2">
        <v>107.573641800971</v>
      </c>
      <c r="AF5829" s="2">
        <v>190.92629859762499</v>
      </c>
      <c r="AG5829" s="2">
        <v>473.81473758099401</v>
      </c>
      <c r="AH5829" s="2">
        <v>673.663205139306</v>
      </c>
      <c r="AI5829" s="2">
        <v>400.20075466975902</v>
      </c>
      <c r="AJ5829" s="2">
        <v>138.279051779057</v>
      </c>
      <c r="AK5829" s="2">
        <v>2.7106294003980101E-5</v>
      </c>
      <c r="AL5829" s="2">
        <v>2.7106294003980101E-5</v>
      </c>
      <c r="AM5829" s="2">
        <v>2.7106294003980101E-5</v>
      </c>
      <c r="AN5829" s="2">
        <v>2.7106294003980101E-5</v>
      </c>
      <c r="AO5829" s="2">
        <v>2.7106294003980101E-5</v>
      </c>
      <c r="AP5829" s="2">
        <v>2.7106294003980101E-5</v>
      </c>
    </row>
    <row r="5830" spans="1:42" ht="14.5" x14ac:dyDescent="0.35">
      <c r="A5830" s="2" t="s">
        <v>38657</v>
      </c>
      <c r="B5830" s="2">
        <v>333.11905342288799</v>
      </c>
      <c r="C5830" s="2">
        <v>1.52295</v>
      </c>
      <c r="D5830" s="2" t="s">
        <v>70</v>
      </c>
      <c r="E5830" s="2" t="s">
        <v>38658</v>
      </c>
      <c r="F5830" s="2">
        <v>200819</v>
      </c>
      <c r="G5830" s="3" t="str">
        <f>HYPERLINK("http://funmeta.oebiotech.com/network/200819", "http://funmeta.oebiotech.com/network/200819")</f>
        <v>http://funmeta.oebiotech.com/network/200819</v>
      </c>
      <c r="H5830" s="2" t="s">
        <v>38659</v>
      </c>
      <c r="I5830" s="2"/>
      <c r="J5830" s="2"/>
      <c r="K5830" s="2"/>
      <c r="L5830" s="2"/>
      <c r="M5830" s="2"/>
      <c r="N5830" s="2"/>
      <c r="O5830" s="2">
        <v>194061</v>
      </c>
      <c r="P5830" s="2"/>
      <c r="Q5830" s="2" t="s">
        <v>38660</v>
      </c>
      <c r="R5830" s="2" t="s">
        <v>38661</v>
      </c>
      <c r="S5830" s="2" t="s">
        <v>50</v>
      </c>
      <c r="T5830" s="2" t="s">
        <v>229</v>
      </c>
      <c r="U5830" s="2" t="s">
        <v>1914</v>
      </c>
      <c r="V5830" s="2" t="s">
        <v>59</v>
      </c>
      <c r="W5830" s="2">
        <v>37.200000000000003</v>
      </c>
      <c r="X5830" s="2">
        <v>0</v>
      </c>
      <c r="Y5830" s="2" t="s">
        <v>118</v>
      </c>
      <c r="Z5830" s="2" t="s">
        <v>38662</v>
      </c>
      <c r="AA5830" s="2">
        <v>-2.7578031081401599</v>
      </c>
      <c r="AB5830" s="2">
        <v>6.1497120574235703E-2</v>
      </c>
      <c r="AC5830" s="2">
        <v>5020.67198452304</v>
      </c>
      <c r="AD5830" s="2">
        <v>4549.4825364009703</v>
      </c>
      <c r="AE5830" s="2">
        <v>4951.5666246302699</v>
      </c>
      <c r="AF5830" s="2">
        <v>4878.8655015061404</v>
      </c>
      <c r="AG5830" s="2">
        <v>5181.6150193653202</v>
      </c>
      <c r="AH5830" s="2">
        <v>4813.2767325302502</v>
      </c>
      <c r="AI5830" s="2">
        <v>5605.33987171844</v>
      </c>
      <c r="AJ5830" s="2">
        <v>4693.3681573877902</v>
      </c>
      <c r="AK5830" s="2">
        <v>4402.6955611724397</v>
      </c>
      <c r="AL5830" s="2">
        <v>4374.7877907137199</v>
      </c>
      <c r="AM5830" s="2">
        <v>3818.6442021675298</v>
      </c>
      <c r="AN5830" s="2">
        <v>4818.2715302397701</v>
      </c>
      <c r="AO5830" s="2">
        <v>5210.0325309486498</v>
      </c>
      <c r="AP5830" s="2">
        <v>4672.4636031636901</v>
      </c>
    </row>
    <row r="5831" spans="1:42" ht="14.5" x14ac:dyDescent="0.35">
      <c r="A5831" s="2" t="s">
        <v>38663</v>
      </c>
      <c r="B5831" s="2">
        <v>217.12269251109001</v>
      </c>
      <c r="C5831" s="2">
        <v>5.1704666666666697</v>
      </c>
      <c r="D5831" s="2" t="s">
        <v>70</v>
      </c>
      <c r="E5831" s="2" t="s">
        <v>38664</v>
      </c>
      <c r="F5831" s="2">
        <v>63910</v>
      </c>
      <c r="G5831" s="3" t="str">
        <f>HYPERLINK("http://funmeta.oebiotech.com/network/63910", "http://funmeta.oebiotech.com/network/63910")</f>
        <v>http://funmeta.oebiotech.com/network/63910</v>
      </c>
      <c r="H5831" s="2" t="s">
        <v>38665</v>
      </c>
      <c r="I5831" s="2">
        <v>95243</v>
      </c>
      <c r="J5831" s="2"/>
      <c r="K5831" s="2">
        <v>174214</v>
      </c>
      <c r="L5831" s="2"/>
      <c r="M5831" s="2"/>
      <c r="N5831" s="2"/>
      <c r="O5831" s="2">
        <v>72755911</v>
      </c>
      <c r="P5831" s="2" t="s">
        <v>38666</v>
      </c>
      <c r="Q5831" s="2" t="s">
        <v>38667</v>
      </c>
      <c r="R5831" s="2" t="s">
        <v>38668</v>
      </c>
      <c r="S5831" s="2" t="s">
        <v>50</v>
      </c>
      <c r="T5831" s="2" t="s">
        <v>201</v>
      </c>
      <c r="U5831" s="2" t="s">
        <v>636</v>
      </c>
      <c r="V5831" s="2" t="s">
        <v>42</v>
      </c>
      <c r="W5831" s="2">
        <v>48.3</v>
      </c>
      <c r="X5831" s="2">
        <v>50.6</v>
      </c>
      <c r="Y5831" s="2" t="s">
        <v>792</v>
      </c>
      <c r="Z5831" s="2" t="s">
        <v>38669</v>
      </c>
      <c r="AA5831" s="2">
        <v>-3.01035505776587</v>
      </c>
      <c r="AB5831" s="2">
        <v>6.1488738421032599E-2</v>
      </c>
      <c r="AC5831" s="2">
        <v>9207.4163488336508</v>
      </c>
      <c r="AD5831" s="2">
        <v>9842.6447723572892</v>
      </c>
      <c r="AE5831" s="2">
        <v>8568.5763599869406</v>
      </c>
      <c r="AF5831" s="2">
        <v>9112.5919502737906</v>
      </c>
      <c r="AG5831" s="2">
        <v>8920.7776645428494</v>
      </c>
      <c r="AH5831" s="2">
        <v>9264.1307911776203</v>
      </c>
      <c r="AI5831" s="2">
        <v>9247.2355335492193</v>
      </c>
      <c r="AJ5831" s="2">
        <v>10131.185793471501</v>
      </c>
      <c r="AK5831" s="2">
        <v>8518.1719522281292</v>
      </c>
      <c r="AL5831" s="2">
        <v>11353.372775613499</v>
      </c>
      <c r="AM5831" s="2">
        <v>10640.833033153</v>
      </c>
      <c r="AN5831" s="2">
        <v>9725.9572866798699</v>
      </c>
      <c r="AO5831" s="2">
        <v>9817.0211950572793</v>
      </c>
      <c r="AP5831" s="2">
        <v>9000.5123914119504</v>
      </c>
    </row>
    <row r="5832" spans="1:42" ht="14.5" x14ac:dyDescent="0.35">
      <c r="A5832" s="2" t="s">
        <v>38670</v>
      </c>
      <c r="B5832" s="2">
        <v>307.20534195701703</v>
      </c>
      <c r="C5832" s="2">
        <v>9.1206166666666704</v>
      </c>
      <c r="D5832" s="2" t="s">
        <v>34</v>
      </c>
      <c r="E5832" s="2" t="s">
        <v>38671</v>
      </c>
      <c r="F5832" s="2">
        <v>200953</v>
      </c>
      <c r="G5832" s="3" t="str">
        <f>HYPERLINK("http://funmeta.oebiotech.com/network/200953", "http://funmeta.oebiotech.com/network/200953")</f>
        <v>http://funmeta.oebiotech.com/network/200953</v>
      </c>
      <c r="H5832" s="2" t="s">
        <v>38672</v>
      </c>
      <c r="I5832" s="2"/>
      <c r="J5832" s="2"/>
      <c r="K5832" s="2"/>
      <c r="L5832" s="2"/>
      <c r="M5832" s="2"/>
      <c r="N5832" s="2"/>
      <c r="O5832" s="2">
        <v>198184</v>
      </c>
      <c r="P5832" s="2"/>
      <c r="Q5832" s="2" t="s">
        <v>38673</v>
      </c>
      <c r="R5832" s="2" t="s">
        <v>38674</v>
      </c>
      <c r="S5832" s="2" t="s">
        <v>41</v>
      </c>
      <c r="T5832" s="2" t="s">
        <v>41</v>
      </c>
      <c r="U5832" s="2" t="s">
        <v>41</v>
      </c>
      <c r="V5832" s="2" t="s">
        <v>59</v>
      </c>
      <c r="W5832" s="2">
        <v>38.700000000000003</v>
      </c>
      <c r="X5832" s="2">
        <v>0</v>
      </c>
      <c r="Y5832" s="2" t="s">
        <v>394</v>
      </c>
      <c r="Z5832" s="2" t="s">
        <v>38675</v>
      </c>
      <c r="AA5832" s="2">
        <v>-0.97952306904355202</v>
      </c>
      <c r="AB5832" s="2">
        <v>6.1408327835567399E-2</v>
      </c>
      <c r="AC5832" s="2">
        <v>1926.4541628075899</v>
      </c>
      <c r="AD5832" s="2">
        <v>2315.1881372673101</v>
      </c>
      <c r="AE5832" s="2">
        <v>1912.35073014201</v>
      </c>
      <c r="AF5832" s="2">
        <v>2071.8297390714501</v>
      </c>
      <c r="AG5832" s="2">
        <v>1993.0443512012</v>
      </c>
      <c r="AH5832" s="2">
        <v>1600.3621757819601</v>
      </c>
      <c r="AI5832" s="2">
        <v>2118.1059206264499</v>
      </c>
      <c r="AJ5832" s="2">
        <v>1863.0320600225</v>
      </c>
      <c r="AK5832" s="2">
        <v>2450.1942167940701</v>
      </c>
      <c r="AL5832" s="2">
        <v>1847.31896723416</v>
      </c>
      <c r="AM5832" s="2">
        <v>2415.17268196543</v>
      </c>
      <c r="AN5832" s="2">
        <v>2693.4083486793602</v>
      </c>
      <c r="AO5832" s="2">
        <v>1998.57986552496</v>
      </c>
      <c r="AP5832" s="2">
        <v>2486.45474340587</v>
      </c>
    </row>
    <row r="5833" spans="1:42" ht="14.5" x14ac:dyDescent="0.35">
      <c r="A5833" s="2" t="s">
        <v>38676</v>
      </c>
      <c r="B5833" s="2">
        <v>297.05817531074899</v>
      </c>
      <c r="C5833" s="2">
        <v>1.3287</v>
      </c>
      <c r="D5833" s="2" t="s">
        <v>34</v>
      </c>
      <c r="E5833" s="2" t="s">
        <v>38677</v>
      </c>
      <c r="F5833" s="2">
        <v>203933</v>
      </c>
      <c r="G5833" s="3" t="str">
        <f>HYPERLINK("http://funmeta.oebiotech.com/network/203933", "http://funmeta.oebiotech.com/network/203933")</f>
        <v>http://funmeta.oebiotech.com/network/203933</v>
      </c>
      <c r="H5833" s="2" t="s">
        <v>38678</v>
      </c>
      <c r="I5833" s="2">
        <v>4162</v>
      </c>
      <c r="J5833" s="2"/>
      <c r="K5833" s="2">
        <v>125449</v>
      </c>
      <c r="L5833" s="2"/>
      <c r="M5833" s="2"/>
      <c r="N5833" s="2"/>
      <c r="O5833" s="2">
        <v>266934</v>
      </c>
      <c r="P5833" s="2" t="s">
        <v>38679</v>
      </c>
      <c r="Q5833" s="2" t="s">
        <v>38680</v>
      </c>
      <c r="R5833" s="2" t="s">
        <v>38681</v>
      </c>
      <c r="S5833" s="2" t="s">
        <v>1444</v>
      </c>
      <c r="T5833" s="2" t="s">
        <v>30169</v>
      </c>
      <c r="U5833" s="2" t="s">
        <v>30170</v>
      </c>
      <c r="V5833" s="2" t="s">
        <v>59</v>
      </c>
      <c r="W5833" s="2">
        <v>37.799999999999997</v>
      </c>
      <c r="X5833" s="2">
        <v>0</v>
      </c>
      <c r="Y5833" s="2" t="s">
        <v>340</v>
      </c>
      <c r="Z5833" s="2" t="s">
        <v>38682</v>
      </c>
      <c r="AA5833" s="2">
        <v>-5.4333773134419703</v>
      </c>
      <c r="AB5833" s="2">
        <v>6.1406411495320702E-2</v>
      </c>
      <c r="AC5833" s="2">
        <v>9073.1028144928005</v>
      </c>
      <c r="AD5833" s="2">
        <v>9778.8002683160394</v>
      </c>
      <c r="AE5833" s="2">
        <v>9531.7009656178307</v>
      </c>
      <c r="AF5833" s="2">
        <v>7594.9992655342803</v>
      </c>
      <c r="AG5833" s="2">
        <v>9170.0266364134695</v>
      </c>
      <c r="AH5833" s="2">
        <v>8968.7455313153005</v>
      </c>
      <c r="AI5833" s="2">
        <v>8446.0484231774408</v>
      </c>
      <c r="AJ5833" s="2">
        <v>10727.0960648985</v>
      </c>
      <c r="AK5833" s="2">
        <v>9078.9390353128802</v>
      </c>
      <c r="AL5833" s="2">
        <v>9586.2919176757005</v>
      </c>
      <c r="AM5833" s="2">
        <v>9384.1697582090801</v>
      </c>
      <c r="AN5833" s="2">
        <v>9718.8893423009704</v>
      </c>
      <c r="AO5833" s="2">
        <v>9163.5611516981207</v>
      </c>
      <c r="AP5833" s="2">
        <v>11740.950404699501</v>
      </c>
    </row>
    <row r="5834" spans="1:42" ht="14.5" x14ac:dyDescent="0.35">
      <c r="A5834" s="2" t="s">
        <v>38683</v>
      </c>
      <c r="B5834" s="2">
        <v>337.08062420909698</v>
      </c>
      <c r="C5834" s="2">
        <v>1.43973333333333</v>
      </c>
      <c r="D5834" s="2" t="s">
        <v>34</v>
      </c>
      <c r="E5834" s="2" t="s">
        <v>38684</v>
      </c>
      <c r="F5834" s="2">
        <v>48301</v>
      </c>
      <c r="G5834" s="3" t="str">
        <f>HYPERLINK("http://funmeta.oebiotech.com/network/48301", "http://funmeta.oebiotech.com/network/48301")</f>
        <v>http://funmeta.oebiotech.com/network/48301</v>
      </c>
      <c r="H5834" s="2" t="s">
        <v>38685</v>
      </c>
      <c r="I5834" s="2">
        <v>58248</v>
      </c>
      <c r="J5834" s="2"/>
      <c r="K5834" s="2">
        <v>50091</v>
      </c>
      <c r="L5834" s="2"/>
      <c r="M5834" s="2"/>
      <c r="N5834" s="2"/>
      <c r="O5834" s="2">
        <v>104858</v>
      </c>
      <c r="P5834" s="2" t="s">
        <v>38686</v>
      </c>
      <c r="Q5834" s="2" t="s">
        <v>38687</v>
      </c>
      <c r="R5834" s="2" t="s">
        <v>38688</v>
      </c>
      <c r="S5834" s="2" t="s">
        <v>89</v>
      </c>
      <c r="T5834" s="2" t="s">
        <v>90</v>
      </c>
      <c r="U5834" s="2" t="s">
        <v>99</v>
      </c>
      <c r="V5834" s="2" t="s">
        <v>59</v>
      </c>
      <c r="W5834" s="2">
        <v>40.4</v>
      </c>
      <c r="X5834" s="2">
        <v>14.1</v>
      </c>
      <c r="Y5834" s="2" t="s">
        <v>394</v>
      </c>
      <c r="Z5834" s="2" t="s">
        <v>38689</v>
      </c>
      <c r="AA5834" s="2">
        <v>-1.8510572027341401</v>
      </c>
      <c r="AB5834" s="2">
        <v>6.1365829219307701E-2</v>
      </c>
      <c r="AC5834" s="2">
        <v>1118.6906077881099</v>
      </c>
      <c r="AD5834" s="2">
        <v>733.03351604344698</v>
      </c>
      <c r="AE5834" s="2">
        <v>1011.0372309616901</v>
      </c>
      <c r="AF5834" s="2">
        <v>914.15197768467601</v>
      </c>
      <c r="AG5834" s="2">
        <v>955.46562693602402</v>
      </c>
      <c r="AH5834" s="2">
        <v>1599.85068294189</v>
      </c>
      <c r="AI5834" s="2">
        <v>1277.3188315202401</v>
      </c>
      <c r="AJ5834" s="2">
        <v>954.31929668414398</v>
      </c>
      <c r="AK5834" s="2">
        <v>853.32077916108904</v>
      </c>
      <c r="AL5834" s="2">
        <v>300.330623063963</v>
      </c>
      <c r="AM5834" s="2">
        <v>799.89512182849899</v>
      </c>
      <c r="AN5834" s="2">
        <v>706.73344579613695</v>
      </c>
      <c r="AO5834" s="2">
        <v>897.84888065321695</v>
      </c>
      <c r="AP5834" s="2">
        <v>840.07224575777605</v>
      </c>
    </row>
    <row r="5835" spans="1:42" ht="14.5" x14ac:dyDescent="0.35">
      <c r="A5835" s="2" t="s">
        <v>38690</v>
      </c>
      <c r="B5835" s="2">
        <v>411.00924480853701</v>
      </c>
      <c r="C5835" s="2">
        <v>8.3620833333333309</v>
      </c>
      <c r="D5835" s="2" t="s">
        <v>70</v>
      </c>
      <c r="E5835" s="2" t="s">
        <v>38691</v>
      </c>
      <c r="F5835" s="2">
        <v>48125</v>
      </c>
      <c r="G5835" s="3" t="str">
        <f>HYPERLINK("http://funmeta.oebiotech.com/network/48125", "http://funmeta.oebiotech.com/network/48125")</f>
        <v>http://funmeta.oebiotech.com/network/48125</v>
      </c>
      <c r="H5835" s="2" t="s">
        <v>38692</v>
      </c>
      <c r="I5835" s="2"/>
      <c r="J5835" s="2"/>
      <c r="K5835" s="2">
        <v>28823</v>
      </c>
      <c r="L5835" s="2" t="s">
        <v>38693</v>
      </c>
      <c r="M5835" s="2" t="s">
        <v>4932</v>
      </c>
      <c r="N5835" s="2" t="s">
        <v>4933</v>
      </c>
      <c r="O5835" s="2">
        <v>439488</v>
      </c>
      <c r="P5835" s="2" t="s">
        <v>38694</v>
      </c>
      <c r="Q5835" s="2" t="s">
        <v>38695</v>
      </c>
      <c r="R5835" s="2" t="s">
        <v>38696</v>
      </c>
      <c r="S5835" s="2" t="s">
        <v>1444</v>
      </c>
      <c r="T5835" s="2" t="s">
        <v>4937</v>
      </c>
      <c r="U5835" s="2" t="s">
        <v>4938</v>
      </c>
      <c r="V5835" s="2" t="s">
        <v>59</v>
      </c>
      <c r="W5835" s="2">
        <v>37.6</v>
      </c>
      <c r="X5835" s="2">
        <v>0</v>
      </c>
      <c r="Y5835" s="2" t="s">
        <v>118</v>
      </c>
      <c r="Z5835" s="2" t="s">
        <v>38697</v>
      </c>
      <c r="AA5835" s="2">
        <v>-4.8412466085016899</v>
      </c>
      <c r="AB5835" s="2">
        <v>6.13422213605153E-2</v>
      </c>
      <c r="AC5835" s="2">
        <v>2333.5823744159302</v>
      </c>
      <c r="AD5835" s="2">
        <v>2832.1536347209999</v>
      </c>
      <c r="AE5835" s="2">
        <v>2417.6127468207001</v>
      </c>
      <c r="AF5835" s="2">
        <v>1850.7152818791601</v>
      </c>
      <c r="AG5835" s="2">
        <v>2225.28321544238</v>
      </c>
      <c r="AH5835" s="2">
        <v>2877.9273961808099</v>
      </c>
      <c r="AI5835" s="2">
        <v>2746.17427815981</v>
      </c>
      <c r="AJ5835" s="2">
        <v>1883.78132801274</v>
      </c>
      <c r="AK5835" s="2">
        <v>3677.3306783355602</v>
      </c>
      <c r="AL5835" s="2">
        <v>2766.4120014548398</v>
      </c>
      <c r="AM5835" s="2">
        <v>2847.6689118663699</v>
      </c>
      <c r="AN5835" s="2">
        <v>2324.27953588438</v>
      </c>
      <c r="AO5835" s="2">
        <v>3143.7893113200798</v>
      </c>
      <c r="AP5835" s="2">
        <v>2233.4413694647601</v>
      </c>
    </row>
    <row r="5836" spans="1:42" ht="14.5" x14ac:dyDescent="0.35">
      <c r="A5836" s="2" t="s">
        <v>38698</v>
      </c>
      <c r="B5836" s="2">
        <v>455.21413003356099</v>
      </c>
      <c r="C5836" s="2">
        <v>5.4125166666666704</v>
      </c>
      <c r="D5836" s="2" t="s">
        <v>70</v>
      </c>
      <c r="E5836" s="2" t="s">
        <v>38699</v>
      </c>
      <c r="F5836" s="2">
        <v>48836</v>
      </c>
      <c r="G5836" s="3" t="str">
        <f>HYPERLINK("http://funmeta.oebiotech.com/network/48836", "http://funmeta.oebiotech.com/network/48836")</f>
        <v>http://funmeta.oebiotech.com/network/48836</v>
      </c>
      <c r="H5836" s="2" t="s">
        <v>38700</v>
      </c>
      <c r="I5836" s="2">
        <v>58518</v>
      </c>
      <c r="J5836" s="2"/>
      <c r="K5836" s="2">
        <v>74767</v>
      </c>
      <c r="L5836" s="2"/>
      <c r="M5836" s="2"/>
      <c r="N5836" s="2"/>
      <c r="O5836" s="2">
        <v>11902892</v>
      </c>
      <c r="P5836" s="2" t="s">
        <v>38701</v>
      </c>
      <c r="Q5836" s="2" t="s">
        <v>38702</v>
      </c>
      <c r="R5836" s="2" t="s">
        <v>38703</v>
      </c>
      <c r="S5836" s="2" t="s">
        <v>89</v>
      </c>
      <c r="T5836" s="2" t="s">
        <v>90</v>
      </c>
      <c r="U5836" s="2" t="s">
        <v>99</v>
      </c>
      <c r="V5836" s="2" t="s">
        <v>59</v>
      </c>
      <c r="W5836" s="2">
        <v>38.799999999999997</v>
      </c>
      <c r="X5836" s="2">
        <v>0</v>
      </c>
      <c r="Y5836" s="2" t="s">
        <v>2165</v>
      </c>
      <c r="Z5836" s="2" t="s">
        <v>38704</v>
      </c>
      <c r="AA5836" s="2">
        <v>-1.3316682244159901</v>
      </c>
      <c r="AB5836" s="2">
        <v>6.1276105669117703E-2</v>
      </c>
      <c r="AC5836" s="2">
        <v>10189.638334547601</v>
      </c>
      <c r="AD5836" s="2">
        <v>8946.7655675394508</v>
      </c>
      <c r="AE5836" s="2">
        <v>7621.0092000585701</v>
      </c>
      <c r="AF5836" s="2">
        <v>10070.5286438571</v>
      </c>
      <c r="AG5836" s="2">
        <v>14831.8992370244</v>
      </c>
      <c r="AH5836" s="2">
        <v>7921.7856562519501</v>
      </c>
      <c r="AI5836" s="2">
        <v>14080.4997122241</v>
      </c>
      <c r="AJ5836" s="2">
        <v>6612.10755786965</v>
      </c>
      <c r="AK5836" s="2">
        <v>5864.3351771227399</v>
      </c>
      <c r="AL5836" s="2">
        <v>11177.382725687599</v>
      </c>
      <c r="AM5836" s="2">
        <v>12903.8991911987</v>
      </c>
      <c r="AN5836" s="2">
        <v>4936.9623629531798</v>
      </c>
      <c r="AO5836" s="2">
        <v>10102.0054391392</v>
      </c>
      <c r="AP5836" s="2">
        <v>8696.0085091352994</v>
      </c>
    </row>
    <row r="5837" spans="1:42" ht="14.5" x14ac:dyDescent="0.35">
      <c r="A5837" s="2" t="s">
        <v>38705</v>
      </c>
      <c r="B5837" s="2">
        <v>476.27715780505002</v>
      </c>
      <c r="C5837" s="2">
        <v>9.6898833333333307</v>
      </c>
      <c r="D5837" s="2" t="s">
        <v>34</v>
      </c>
      <c r="E5837" s="2" t="s">
        <v>38706</v>
      </c>
      <c r="F5837" s="2">
        <v>64193</v>
      </c>
      <c r="G5837" s="3" t="str">
        <f>HYPERLINK("http://funmeta.oebiotech.com/network/64193", "http://funmeta.oebiotech.com/network/64193")</f>
        <v>http://funmeta.oebiotech.com/network/64193</v>
      </c>
      <c r="H5837" s="2" t="s">
        <v>38707</v>
      </c>
      <c r="I5837" s="2"/>
      <c r="J5837" s="2"/>
      <c r="K5837" s="2"/>
      <c r="L5837" s="2"/>
      <c r="M5837" s="2"/>
      <c r="N5837" s="2"/>
      <c r="O5837" s="2">
        <v>129008908</v>
      </c>
      <c r="P5837" s="2" t="s">
        <v>38708</v>
      </c>
      <c r="Q5837" s="2" t="s">
        <v>38709</v>
      </c>
      <c r="R5837" s="2" t="s">
        <v>38710</v>
      </c>
      <c r="S5837" s="2" t="s">
        <v>50</v>
      </c>
      <c r="T5837" s="2" t="s">
        <v>201</v>
      </c>
      <c r="U5837" s="2" t="s">
        <v>202</v>
      </c>
      <c r="V5837" s="2" t="s">
        <v>59</v>
      </c>
      <c r="W5837" s="2">
        <v>37.200000000000003</v>
      </c>
      <c r="X5837" s="2">
        <v>0</v>
      </c>
      <c r="Y5837" s="2" t="s">
        <v>323</v>
      </c>
      <c r="Z5837" s="2" t="s">
        <v>38711</v>
      </c>
      <c r="AA5837" s="2">
        <v>6.2634100452034006E-2</v>
      </c>
      <c r="AB5837" s="2">
        <v>6.1216170522233201E-2</v>
      </c>
      <c r="AC5837" s="2">
        <v>4078.1965449122299</v>
      </c>
      <c r="AD5837" s="2">
        <v>3535.6217447265999</v>
      </c>
      <c r="AE5837" s="2">
        <v>3362.4848227194302</v>
      </c>
      <c r="AF5837" s="2">
        <v>3976.4035028431399</v>
      </c>
      <c r="AG5837" s="2">
        <v>4310.8149437880802</v>
      </c>
      <c r="AH5837" s="2">
        <v>3767.07282867611</v>
      </c>
      <c r="AI5837" s="2">
        <v>4405.2620558808003</v>
      </c>
      <c r="AJ5837" s="2">
        <v>4647.1411155658097</v>
      </c>
      <c r="AK5837" s="2">
        <v>3214.5907178134798</v>
      </c>
      <c r="AL5837" s="2">
        <v>4377.9059041241198</v>
      </c>
      <c r="AM5837" s="2">
        <v>2884.1250212672899</v>
      </c>
      <c r="AN5837" s="2">
        <v>2734.16510296049</v>
      </c>
      <c r="AO5837" s="2">
        <v>3830.80498171815</v>
      </c>
      <c r="AP5837" s="2">
        <v>4172.1387404760799</v>
      </c>
    </row>
    <row r="5838" spans="1:42" ht="14.5" x14ac:dyDescent="0.35">
      <c r="A5838" s="2" t="s">
        <v>38712</v>
      </c>
      <c r="B5838" s="2">
        <v>385.15021591853599</v>
      </c>
      <c r="C5838" s="2">
        <v>4.6673166666666699</v>
      </c>
      <c r="D5838" s="2" t="s">
        <v>70</v>
      </c>
      <c r="E5838" s="2" t="s">
        <v>38713</v>
      </c>
      <c r="F5838" s="2">
        <v>59947</v>
      </c>
      <c r="G5838" s="3" t="str">
        <f>HYPERLINK("http://funmeta.oebiotech.com/network/59947", "http://funmeta.oebiotech.com/network/59947")</f>
        <v>http://funmeta.oebiotech.com/network/59947</v>
      </c>
      <c r="H5838" s="2" t="s">
        <v>38714</v>
      </c>
      <c r="I5838" s="2">
        <v>985297</v>
      </c>
      <c r="J5838" s="2"/>
      <c r="K5838" s="2">
        <v>2082</v>
      </c>
      <c r="L5838" s="2" t="s">
        <v>38715</v>
      </c>
      <c r="M5838" s="2"/>
      <c r="N5838" s="2"/>
      <c r="O5838" s="2">
        <v>10337297</v>
      </c>
      <c r="P5838" s="2" t="s">
        <v>38716</v>
      </c>
      <c r="Q5838" s="2" t="s">
        <v>38717</v>
      </c>
      <c r="R5838" s="2" t="s">
        <v>38718</v>
      </c>
      <c r="S5838" s="2" t="s">
        <v>50</v>
      </c>
      <c r="T5838" s="2" t="s">
        <v>201</v>
      </c>
      <c r="U5838" s="2" t="s">
        <v>636</v>
      </c>
      <c r="V5838" s="2" t="s">
        <v>59</v>
      </c>
      <c r="W5838" s="2">
        <v>39.299999999999997</v>
      </c>
      <c r="X5838" s="2">
        <v>0</v>
      </c>
      <c r="Y5838" s="2" t="s">
        <v>408</v>
      </c>
      <c r="Z5838" s="2" t="s">
        <v>38719</v>
      </c>
      <c r="AA5838" s="2">
        <v>-0.55874418090057798</v>
      </c>
      <c r="AB5838" s="2">
        <v>6.1213698215738098E-2</v>
      </c>
      <c r="AC5838" s="2">
        <v>2103.7078208615299</v>
      </c>
      <c r="AD5838" s="2">
        <v>2559.9343204737402</v>
      </c>
      <c r="AE5838" s="2">
        <v>2120.4730257614301</v>
      </c>
      <c r="AF5838" s="2">
        <v>2369.9114468205998</v>
      </c>
      <c r="AG5838" s="2">
        <v>1686.67377535166</v>
      </c>
      <c r="AH5838" s="2">
        <v>2680.7668643879801</v>
      </c>
      <c r="AI5838" s="2">
        <v>1665.0863408047201</v>
      </c>
      <c r="AJ5838" s="2">
        <v>2099.3354720428001</v>
      </c>
      <c r="AK5838" s="2">
        <v>2851.95412297229</v>
      </c>
      <c r="AL5838" s="2">
        <v>2847.0897957710999</v>
      </c>
      <c r="AM5838" s="2">
        <v>2724.13507810803</v>
      </c>
      <c r="AN5838" s="2">
        <v>2626.8024355319299</v>
      </c>
      <c r="AO5838" s="2">
        <v>1863.7254873495499</v>
      </c>
      <c r="AP5838" s="2">
        <v>2445.89900310953</v>
      </c>
    </row>
    <row r="5839" spans="1:42" ht="14.5" x14ac:dyDescent="0.35">
      <c r="A5839" s="2" t="s">
        <v>38720</v>
      </c>
      <c r="B5839" s="2">
        <v>409.12571084293103</v>
      </c>
      <c r="C5839" s="2">
        <v>5.2493499999999997</v>
      </c>
      <c r="D5839" s="2" t="s">
        <v>34</v>
      </c>
      <c r="E5839" s="2" t="s">
        <v>38721</v>
      </c>
      <c r="F5839" s="2">
        <v>279549</v>
      </c>
      <c r="G5839" s="3" t="str">
        <f>HYPERLINK("http://funmeta.oebiotech.com/network/279549", "http://funmeta.oebiotech.com/network/279549")</f>
        <v>http://funmeta.oebiotech.com/network/279549</v>
      </c>
      <c r="H5839" s="2"/>
      <c r="I5839" s="2">
        <v>72198</v>
      </c>
      <c r="J5839" s="2"/>
      <c r="K5839" s="2"/>
      <c r="L5839" s="2" t="s">
        <v>38722</v>
      </c>
      <c r="M5839" s="2"/>
      <c r="N5839" s="2"/>
      <c r="O5839" s="2">
        <v>9507</v>
      </c>
      <c r="P5839" s="2" t="s">
        <v>38723</v>
      </c>
      <c r="Q5839" s="2" t="s">
        <v>38724</v>
      </c>
      <c r="R5839" s="2" t="s">
        <v>38725</v>
      </c>
      <c r="S5839" s="2" t="s">
        <v>148</v>
      </c>
      <c r="T5839" s="2" t="s">
        <v>149</v>
      </c>
      <c r="U5839" s="2" t="s">
        <v>17602</v>
      </c>
      <c r="V5839" s="2" t="s">
        <v>59</v>
      </c>
      <c r="W5839" s="2">
        <v>38</v>
      </c>
      <c r="X5839" s="2">
        <v>0</v>
      </c>
      <c r="Y5839" s="2" t="s">
        <v>141</v>
      </c>
      <c r="Z5839" s="2" t="s">
        <v>38726</v>
      </c>
      <c r="AA5839" s="2">
        <v>0.50869483573944296</v>
      </c>
      <c r="AB5839" s="2">
        <v>6.1196092266152601E-2</v>
      </c>
      <c r="AC5839" s="2">
        <v>4111.7931771157801</v>
      </c>
      <c r="AD5839" s="2">
        <v>3447.5665522593699</v>
      </c>
      <c r="AE5839" s="2">
        <v>5418.2600262864898</v>
      </c>
      <c r="AF5839" s="2">
        <v>3938.0165467069301</v>
      </c>
      <c r="AG5839" s="2">
        <v>3346.18692398951</v>
      </c>
      <c r="AH5839" s="2">
        <v>3864.5152479305498</v>
      </c>
      <c r="AI5839" s="2">
        <v>3416.03156462576</v>
      </c>
      <c r="AJ5839" s="2">
        <v>4687.7487531554598</v>
      </c>
      <c r="AK5839" s="2">
        <v>5159.6869800008599</v>
      </c>
      <c r="AL5839" s="2">
        <v>3475.4991701744102</v>
      </c>
      <c r="AM5839" s="2">
        <v>2923.5214383080302</v>
      </c>
      <c r="AN5839" s="2">
        <v>3004.6201003153701</v>
      </c>
      <c r="AO5839" s="2">
        <v>4014.1988503204402</v>
      </c>
      <c r="AP5839" s="2">
        <v>2107.8727744371299</v>
      </c>
    </row>
    <row r="5840" spans="1:42" ht="14.5" x14ac:dyDescent="0.35">
      <c r="A5840" s="2" t="s">
        <v>38727</v>
      </c>
      <c r="B5840" s="2">
        <v>881.28111131466801</v>
      </c>
      <c r="C5840" s="2">
        <v>8.5368499999999994</v>
      </c>
      <c r="D5840" s="2" t="s">
        <v>70</v>
      </c>
      <c r="E5840" s="2" t="s">
        <v>38728</v>
      </c>
      <c r="F5840" s="2">
        <v>257621</v>
      </c>
      <c r="G5840" s="3" t="str">
        <f>HYPERLINK("http://funmeta.oebiotech.com/network/257621", "http://funmeta.oebiotech.com/network/257621")</f>
        <v>http://funmeta.oebiotech.com/network/257621</v>
      </c>
      <c r="H5840" s="2" t="s">
        <v>38729</v>
      </c>
      <c r="I5840" s="2">
        <v>411011</v>
      </c>
      <c r="J5840" s="2"/>
      <c r="K5840" s="2"/>
      <c r="L5840" s="2"/>
      <c r="M5840" s="2"/>
      <c r="N5840" s="2"/>
      <c r="O5840" s="2">
        <v>56649450</v>
      </c>
      <c r="P5840" s="2"/>
      <c r="Q5840" s="2" t="s">
        <v>38730</v>
      </c>
      <c r="R5840" s="2" t="s">
        <v>38731</v>
      </c>
      <c r="S5840" s="2" t="s">
        <v>89</v>
      </c>
      <c r="T5840" s="2" t="s">
        <v>90</v>
      </c>
      <c r="U5840" s="2" t="s">
        <v>99</v>
      </c>
      <c r="V5840" s="2" t="s">
        <v>59</v>
      </c>
      <c r="W5840" s="2">
        <v>37.200000000000003</v>
      </c>
      <c r="X5840" s="2">
        <v>0</v>
      </c>
      <c r="Y5840" s="2" t="s">
        <v>560</v>
      </c>
      <c r="Z5840" s="2" t="s">
        <v>38732</v>
      </c>
      <c r="AA5840" s="2">
        <v>-0.99005019118251703</v>
      </c>
      <c r="AB5840" s="2">
        <v>6.1148082204836501E-2</v>
      </c>
      <c r="AC5840" s="2">
        <v>10404.130027851499</v>
      </c>
      <c r="AD5840" s="2">
        <v>11133.6382428816</v>
      </c>
      <c r="AE5840" s="2">
        <v>9607.2151463484606</v>
      </c>
      <c r="AF5840" s="2">
        <v>10165.3436041614</v>
      </c>
      <c r="AG5840" s="2">
        <v>11399.954163414101</v>
      </c>
      <c r="AH5840" s="2">
        <v>9829.6403649294498</v>
      </c>
      <c r="AI5840" s="2">
        <v>10877.887951053401</v>
      </c>
      <c r="AJ5840" s="2">
        <v>10544.738937202401</v>
      </c>
      <c r="AK5840" s="2">
        <v>8934.0401390596107</v>
      </c>
      <c r="AL5840" s="2">
        <v>12652.5775249818</v>
      </c>
      <c r="AM5840" s="2">
        <v>12150.9183125948</v>
      </c>
      <c r="AN5840" s="2">
        <v>9928.1303552846603</v>
      </c>
      <c r="AO5840" s="2">
        <v>11276.2653035858</v>
      </c>
      <c r="AP5840" s="2">
        <v>11859.897821782901</v>
      </c>
    </row>
    <row r="5841" spans="1:42" ht="14.5" x14ac:dyDescent="0.35">
      <c r="A5841" s="2" t="s">
        <v>38733</v>
      </c>
      <c r="B5841" s="2">
        <v>334.11424425284099</v>
      </c>
      <c r="C5841" s="2">
        <v>1.1853499999999999</v>
      </c>
      <c r="D5841" s="2" t="s">
        <v>70</v>
      </c>
      <c r="E5841" s="2" t="s">
        <v>38734</v>
      </c>
      <c r="F5841" s="2">
        <v>257212</v>
      </c>
      <c r="G5841" s="3" t="str">
        <f>HYPERLINK("http://funmeta.oebiotech.com/network/257212", "http://funmeta.oebiotech.com/network/257212")</f>
        <v>http://funmeta.oebiotech.com/network/257212</v>
      </c>
      <c r="H5841" s="2" t="s">
        <v>38735</v>
      </c>
      <c r="I5841" s="2"/>
      <c r="J5841" s="2"/>
      <c r="K5841" s="2"/>
      <c r="L5841" s="2"/>
      <c r="M5841" s="2"/>
      <c r="N5841" s="2"/>
      <c r="O5841" s="2"/>
      <c r="P5841" s="2"/>
      <c r="Q5841" s="2" t="s">
        <v>38736</v>
      </c>
      <c r="R5841" s="2" t="s">
        <v>38737</v>
      </c>
      <c r="S5841" s="2" t="s">
        <v>89</v>
      </c>
      <c r="T5841" s="2" t="s">
        <v>90</v>
      </c>
      <c r="U5841" s="2" t="s">
        <v>99</v>
      </c>
      <c r="V5841" s="2" t="s">
        <v>59</v>
      </c>
      <c r="W5841" s="2">
        <v>38.200000000000003</v>
      </c>
      <c r="X5841" s="2">
        <v>0</v>
      </c>
      <c r="Y5841" s="2" t="s">
        <v>408</v>
      </c>
      <c r="Z5841" s="2" t="s">
        <v>38738</v>
      </c>
      <c r="AA5841" s="2">
        <v>4.2616325815167597</v>
      </c>
      <c r="AB5841" s="2">
        <v>6.1146604863654197E-2</v>
      </c>
      <c r="AC5841" s="2">
        <v>1532.4454130904101</v>
      </c>
      <c r="AD5841" s="2">
        <v>1189.1162511729201</v>
      </c>
      <c r="AE5841" s="2">
        <v>1607.5217476330999</v>
      </c>
      <c r="AF5841" s="2">
        <v>1444.263984084</v>
      </c>
      <c r="AG5841" s="2">
        <v>1337.73740260468</v>
      </c>
      <c r="AH5841" s="2">
        <v>1430.1587829621501</v>
      </c>
      <c r="AI5841" s="2">
        <v>1581.3187025130201</v>
      </c>
      <c r="AJ5841" s="2">
        <v>1793.67185874553</v>
      </c>
      <c r="AK5841" s="2">
        <v>1403.10932455481</v>
      </c>
      <c r="AL5841" s="2">
        <v>1288.51472926718</v>
      </c>
      <c r="AM5841" s="2">
        <v>1302.9640643222699</v>
      </c>
      <c r="AN5841" s="2">
        <v>918.68581496699596</v>
      </c>
      <c r="AO5841" s="2">
        <v>1272.90129099407</v>
      </c>
      <c r="AP5841" s="2">
        <v>948.52228293221401</v>
      </c>
    </row>
    <row r="5842" spans="1:42" ht="14.5" x14ac:dyDescent="0.35">
      <c r="A5842" s="2" t="s">
        <v>38739</v>
      </c>
      <c r="B5842" s="2">
        <v>277.10716888009603</v>
      </c>
      <c r="C5842" s="2">
        <v>4.5315500000000002</v>
      </c>
      <c r="D5842" s="2" t="s">
        <v>34</v>
      </c>
      <c r="E5842" s="2" t="s">
        <v>38740</v>
      </c>
      <c r="F5842" s="2">
        <v>338620</v>
      </c>
      <c r="G5842" s="3" t="str">
        <f>HYPERLINK("http://funmeta.oebiotech.com/network/338620", "http://funmeta.oebiotech.com/network/338620")</f>
        <v>http://funmeta.oebiotech.com/network/338620</v>
      </c>
      <c r="H5842" s="2"/>
      <c r="I5842" s="2">
        <v>413224</v>
      </c>
      <c r="J5842" s="2"/>
      <c r="K5842" s="2"/>
      <c r="L5842" s="2"/>
      <c r="M5842" s="2"/>
      <c r="N5842" s="2"/>
      <c r="O5842" s="2">
        <v>180297</v>
      </c>
      <c r="P5842" s="2"/>
      <c r="Q5842" s="2" t="s">
        <v>38741</v>
      </c>
      <c r="R5842" s="2" t="s">
        <v>38742</v>
      </c>
      <c r="S5842" s="2" t="s">
        <v>115</v>
      </c>
      <c r="T5842" s="2" t="s">
        <v>758</v>
      </c>
      <c r="U5842" s="2" t="s">
        <v>41</v>
      </c>
      <c r="V5842" s="2" t="s">
        <v>59</v>
      </c>
      <c r="W5842" s="2">
        <v>38.799999999999997</v>
      </c>
      <c r="X5842" s="2">
        <v>0</v>
      </c>
      <c r="Y5842" s="2" t="s">
        <v>394</v>
      </c>
      <c r="Z5842" s="2" t="s">
        <v>38743</v>
      </c>
      <c r="AA5842" s="2">
        <v>0.43041388235746297</v>
      </c>
      <c r="AB5842" s="2">
        <v>6.1144631499369197E-2</v>
      </c>
      <c r="AC5842" s="2">
        <v>1069.17079123902</v>
      </c>
      <c r="AD5842" s="2">
        <v>1443.797431939</v>
      </c>
      <c r="AE5842" s="2">
        <v>929.28254727095805</v>
      </c>
      <c r="AF5842" s="2">
        <v>1307.2947331933699</v>
      </c>
      <c r="AG5842" s="2">
        <v>814.85890284588902</v>
      </c>
      <c r="AH5842" s="2">
        <v>714.17740442786396</v>
      </c>
      <c r="AI5842" s="2">
        <v>1390.80398461551</v>
      </c>
      <c r="AJ5842" s="2">
        <v>1258.6071750805399</v>
      </c>
      <c r="AK5842" s="2">
        <v>1384.96666074574</v>
      </c>
      <c r="AL5842" s="2">
        <v>1577.33941905047</v>
      </c>
      <c r="AM5842" s="2">
        <v>1522.1580699493099</v>
      </c>
      <c r="AN5842" s="2">
        <v>1702.53753847536</v>
      </c>
      <c r="AO5842" s="2">
        <v>1268.77965034306</v>
      </c>
      <c r="AP5842" s="2">
        <v>1207.00325307003</v>
      </c>
    </row>
    <row r="5843" spans="1:42" ht="14.5" x14ac:dyDescent="0.35">
      <c r="A5843" s="2" t="s">
        <v>38744</v>
      </c>
      <c r="B5843" s="2">
        <v>283.08213062190401</v>
      </c>
      <c r="C5843" s="2">
        <v>4.2405333333333299</v>
      </c>
      <c r="D5843" s="2" t="s">
        <v>70</v>
      </c>
      <c r="E5843" s="2" t="s">
        <v>38745</v>
      </c>
      <c r="F5843" s="2">
        <v>51468</v>
      </c>
      <c r="G5843" s="3" t="str">
        <f>HYPERLINK("http://funmeta.oebiotech.com/network/51468", "http://funmeta.oebiotech.com/network/51468")</f>
        <v>http://funmeta.oebiotech.com/network/51468</v>
      </c>
      <c r="H5843" s="2" t="s">
        <v>38746</v>
      </c>
      <c r="I5843" s="2">
        <v>62424</v>
      </c>
      <c r="J5843" s="2"/>
      <c r="K5843" s="2">
        <v>87986</v>
      </c>
      <c r="L5843" s="2"/>
      <c r="M5843" s="2"/>
      <c r="N5843" s="2"/>
      <c r="O5843" s="2">
        <v>154035</v>
      </c>
      <c r="P5843" s="2"/>
      <c r="Q5843" s="2" t="s">
        <v>38747</v>
      </c>
      <c r="R5843" s="2" t="s">
        <v>38748</v>
      </c>
      <c r="S5843" s="2" t="s">
        <v>79</v>
      </c>
      <c r="T5843" s="2" t="s">
        <v>80</v>
      </c>
      <c r="U5843" s="2" t="s">
        <v>81</v>
      </c>
      <c r="V5843" s="2" t="s">
        <v>59</v>
      </c>
      <c r="W5843" s="2">
        <v>39.200000000000003</v>
      </c>
      <c r="X5843" s="2">
        <v>0</v>
      </c>
      <c r="Y5843" s="2" t="s">
        <v>118</v>
      </c>
      <c r="Z5843" s="2" t="s">
        <v>6734</v>
      </c>
      <c r="AA5843" s="2">
        <v>-0.68920556840742597</v>
      </c>
      <c r="AB5843" s="2">
        <v>6.1053018660595398E-2</v>
      </c>
      <c r="AC5843" s="2">
        <v>1523.8409210111199</v>
      </c>
      <c r="AD5843" s="2">
        <v>1098.13951003735</v>
      </c>
      <c r="AE5843" s="2">
        <v>1143.3056498155199</v>
      </c>
      <c r="AF5843" s="2">
        <v>1868.89309937333</v>
      </c>
      <c r="AG5843" s="2">
        <v>1416.3289086403399</v>
      </c>
      <c r="AH5843" s="2">
        <v>2072.3149304245999</v>
      </c>
      <c r="AI5843" s="2">
        <v>960.59628953737399</v>
      </c>
      <c r="AJ5843" s="2">
        <v>1681.60664827554</v>
      </c>
      <c r="AK5843" s="2">
        <v>1176.74817976852</v>
      </c>
      <c r="AL5843" s="2">
        <v>1259.0970991004499</v>
      </c>
      <c r="AM5843" s="2">
        <v>928.66338247571298</v>
      </c>
      <c r="AN5843" s="2">
        <v>829.05871505226696</v>
      </c>
      <c r="AO5843" s="2">
        <v>967.81711546543295</v>
      </c>
      <c r="AP5843" s="2">
        <v>1427.4525683617101</v>
      </c>
    </row>
    <row r="5844" spans="1:42" ht="14.5" x14ac:dyDescent="0.35">
      <c r="A5844" s="2" t="s">
        <v>38749</v>
      </c>
      <c r="B5844" s="2">
        <v>202.18007700833701</v>
      </c>
      <c r="C5844" s="2">
        <v>0.78071666666666695</v>
      </c>
      <c r="D5844" s="2" t="s">
        <v>34</v>
      </c>
      <c r="E5844" s="2" t="s">
        <v>38750</v>
      </c>
      <c r="F5844" s="2">
        <v>60459</v>
      </c>
      <c r="G5844" s="3" t="str">
        <f>HYPERLINK("http://funmeta.oebiotech.com/network/60459", "http://funmeta.oebiotech.com/network/60459")</f>
        <v>http://funmeta.oebiotech.com/network/60459</v>
      </c>
      <c r="H5844" s="2" t="s">
        <v>38751</v>
      </c>
      <c r="I5844" s="2">
        <v>91804</v>
      </c>
      <c r="J5844" s="2"/>
      <c r="K5844" s="2"/>
      <c r="L5844" s="2"/>
      <c r="M5844" s="2"/>
      <c r="N5844" s="2"/>
      <c r="O5844" s="2">
        <v>61204</v>
      </c>
      <c r="P5844" s="2" t="s">
        <v>38752</v>
      </c>
      <c r="Q5844" s="2" t="s">
        <v>38753</v>
      </c>
      <c r="R5844" s="2" t="s">
        <v>38754</v>
      </c>
      <c r="S5844" s="2" t="s">
        <v>491</v>
      </c>
      <c r="T5844" s="2" t="s">
        <v>5973</v>
      </c>
      <c r="U5844" s="2" t="s">
        <v>5974</v>
      </c>
      <c r="V5844" s="2" t="s">
        <v>59</v>
      </c>
      <c r="W5844" s="2">
        <v>39.1</v>
      </c>
      <c r="X5844" s="2">
        <v>0</v>
      </c>
      <c r="Y5844" s="2" t="s">
        <v>43</v>
      </c>
      <c r="Z5844" s="2" t="s">
        <v>33837</v>
      </c>
      <c r="AA5844" s="2">
        <v>-0.42576022411721498</v>
      </c>
      <c r="AB5844" s="2">
        <v>6.1023019100456898E-2</v>
      </c>
      <c r="AC5844" s="2">
        <v>369.47156270365798</v>
      </c>
      <c r="AD5844" s="2">
        <v>2.7106294003980101E-5</v>
      </c>
      <c r="AE5844" s="2">
        <v>377.491303353604</v>
      </c>
      <c r="AF5844" s="2">
        <v>507.35793624933802</v>
      </c>
      <c r="AG5844" s="2">
        <v>2.7106294003980101E-5</v>
      </c>
      <c r="AH5844" s="2">
        <v>814.32039866609102</v>
      </c>
      <c r="AI5844" s="2">
        <v>517.65968374032605</v>
      </c>
      <c r="AJ5844" s="2">
        <v>2.7106294003980101E-5</v>
      </c>
      <c r="AK5844" s="2">
        <v>2.7106294003980101E-5</v>
      </c>
      <c r="AL5844" s="2">
        <v>2.7106294003980101E-5</v>
      </c>
      <c r="AM5844" s="2">
        <v>2.7106294003980101E-5</v>
      </c>
      <c r="AN5844" s="2">
        <v>2.7106294003980101E-5</v>
      </c>
      <c r="AO5844" s="2">
        <v>2.7106294003980101E-5</v>
      </c>
      <c r="AP5844" s="2">
        <v>2.7106294003980101E-5</v>
      </c>
    </row>
    <row r="5845" spans="1:42" ht="14.5" x14ac:dyDescent="0.35">
      <c r="A5845" s="2" t="s">
        <v>38755</v>
      </c>
      <c r="B5845" s="2">
        <v>367.26283842281202</v>
      </c>
      <c r="C5845" s="2">
        <v>11.4243166666667</v>
      </c>
      <c r="D5845" s="2" t="s">
        <v>34</v>
      </c>
      <c r="E5845" s="2" t="s">
        <v>38756</v>
      </c>
      <c r="F5845" s="2">
        <v>210809</v>
      </c>
      <c r="G5845" s="3" t="str">
        <f>HYPERLINK("http://funmeta.oebiotech.com/network/210809", "http://funmeta.oebiotech.com/network/210809")</f>
        <v>http://funmeta.oebiotech.com/network/210809</v>
      </c>
      <c r="H5845" s="2" t="s">
        <v>38757</v>
      </c>
      <c r="I5845" s="2"/>
      <c r="J5845" s="2"/>
      <c r="K5845" s="2"/>
      <c r="L5845" s="2"/>
      <c r="M5845" s="2"/>
      <c r="N5845" s="2"/>
      <c r="O5845" s="2">
        <v>25414</v>
      </c>
      <c r="P5845" s="2"/>
      <c r="Q5845" s="2" t="s">
        <v>38758</v>
      </c>
      <c r="R5845" s="2" t="s">
        <v>38759</v>
      </c>
      <c r="S5845" s="2" t="s">
        <v>41</v>
      </c>
      <c r="T5845" s="2" t="s">
        <v>41</v>
      </c>
      <c r="U5845" s="2" t="s">
        <v>41</v>
      </c>
      <c r="V5845" s="2" t="s">
        <v>59</v>
      </c>
      <c r="W5845" s="2">
        <v>41.8</v>
      </c>
      <c r="X5845" s="2">
        <v>22.6</v>
      </c>
      <c r="Y5845" s="2" t="s">
        <v>394</v>
      </c>
      <c r="Z5845" s="2" t="s">
        <v>38760</v>
      </c>
      <c r="AA5845" s="2">
        <v>-0.86917017757510395</v>
      </c>
      <c r="AB5845" s="2">
        <v>6.09201500035364E-2</v>
      </c>
      <c r="AC5845" s="2">
        <v>8264.8227306386507</v>
      </c>
      <c r="AD5845" s="2">
        <v>7802.66550728111</v>
      </c>
      <c r="AE5845" s="2">
        <v>8377.9300387414896</v>
      </c>
      <c r="AF5845" s="2">
        <v>7547.21542272848</v>
      </c>
      <c r="AG5845" s="2">
        <v>8373.0145450463897</v>
      </c>
      <c r="AH5845" s="2">
        <v>8490.0856746426307</v>
      </c>
      <c r="AI5845" s="2">
        <v>8558.3424244363905</v>
      </c>
      <c r="AJ5845" s="2">
        <v>8242.3482782365209</v>
      </c>
      <c r="AK5845" s="2">
        <v>7533.7878599751903</v>
      </c>
      <c r="AL5845" s="2">
        <v>7708.8118721847204</v>
      </c>
      <c r="AM5845" s="2">
        <v>7435.6502702610096</v>
      </c>
      <c r="AN5845" s="2">
        <v>7488.3868910742203</v>
      </c>
      <c r="AO5845" s="2">
        <v>8529.9015524605202</v>
      </c>
      <c r="AP5845" s="2">
        <v>8119.4545977310099</v>
      </c>
    </row>
    <row r="5846" spans="1:42" ht="14.5" x14ac:dyDescent="0.35">
      <c r="A5846" s="2" t="s">
        <v>38761</v>
      </c>
      <c r="B5846" s="2">
        <v>217.097040966733</v>
      </c>
      <c r="C5846" s="2">
        <v>4.1056666666666697</v>
      </c>
      <c r="D5846" s="2" t="s">
        <v>34</v>
      </c>
      <c r="E5846" s="2" t="s">
        <v>38762</v>
      </c>
      <c r="F5846" s="2">
        <v>205858</v>
      </c>
      <c r="G5846" s="3" t="str">
        <f>HYPERLINK("http://funmeta.oebiotech.com/network/205858", "http://funmeta.oebiotech.com/network/205858")</f>
        <v>http://funmeta.oebiotech.com/network/205858</v>
      </c>
      <c r="H5846" s="2" t="s">
        <v>38763</v>
      </c>
      <c r="I5846" s="2">
        <v>43765</v>
      </c>
      <c r="J5846" s="2"/>
      <c r="K5846" s="2"/>
      <c r="L5846" s="2" t="s">
        <v>38764</v>
      </c>
      <c r="M5846" s="2"/>
      <c r="N5846" s="2"/>
      <c r="O5846" s="2">
        <v>68085</v>
      </c>
      <c r="P5846" s="2" t="s">
        <v>38765</v>
      </c>
      <c r="Q5846" s="2" t="s">
        <v>38766</v>
      </c>
      <c r="R5846" s="2" t="s">
        <v>38767</v>
      </c>
      <c r="S5846" s="2" t="s">
        <v>491</v>
      </c>
      <c r="T5846" s="2" t="s">
        <v>1516</v>
      </c>
      <c r="U5846" s="2" t="s">
        <v>38768</v>
      </c>
      <c r="V5846" s="2" t="s">
        <v>59</v>
      </c>
      <c r="W5846" s="2">
        <v>39</v>
      </c>
      <c r="X5846" s="2">
        <v>0</v>
      </c>
      <c r="Y5846" s="2" t="s">
        <v>43</v>
      </c>
      <c r="Z5846" s="2" t="s">
        <v>38769</v>
      </c>
      <c r="AA5846" s="2">
        <v>-0.56813988724901798</v>
      </c>
      <c r="AB5846" s="2">
        <v>6.0915061714583801E-2</v>
      </c>
      <c r="AC5846" s="2">
        <v>466.51713822268903</v>
      </c>
      <c r="AD5846" s="2">
        <v>178.12217512009499</v>
      </c>
      <c r="AE5846" s="2">
        <v>417.134583207427</v>
      </c>
      <c r="AF5846" s="2">
        <v>534.95554071677702</v>
      </c>
      <c r="AG5846" s="2">
        <v>441.21576278500697</v>
      </c>
      <c r="AH5846" s="2">
        <v>487.16261022699302</v>
      </c>
      <c r="AI5846" s="2">
        <v>290.90150901452103</v>
      </c>
      <c r="AJ5846" s="2">
        <v>627.73282338540798</v>
      </c>
      <c r="AK5846" s="2">
        <v>173.53962423909101</v>
      </c>
      <c r="AL5846" s="2">
        <v>207.21130507279699</v>
      </c>
      <c r="AM5846" s="2">
        <v>212.457739478859</v>
      </c>
      <c r="AN5846" s="2">
        <v>230.999819974248</v>
      </c>
      <c r="AO5846" s="2">
        <v>2.7106294003980101E-5</v>
      </c>
      <c r="AP5846" s="2">
        <v>244.52453484928199</v>
      </c>
    </row>
    <row r="5847" spans="1:42" ht="14.5" x14ac:dyDescent="0.35">
      <c r="A5847" s="2" t="s">
        <v>38770</v>
      </c>
      <c r="B5847" s="2">
        <v>493.133743454772</v>
      </c>
      <c r="C5847" s="2">
        <v>5.0879333333333303</v>
      </c>
      <c r="D5847" s="2" t="s">
        <v>34</v>
      </c>
      <c r="E5847" s="2" t="s">
        <v>38771</v>
      </c>
      <c r="F5847" s="2">
        <v>52898</v>
      </c>
      <c r="G5847" s="3" t="str">
        <f>HYPERLINK("http://funmeta.oebiotech.com/network/52898", "http://funmeta.oebiotech.com/network/52898")</f>
        <v>http://funmeta.oebiotech.com/network/52898</v>
      </c>
      <c r="H5847" s="2" t="s">
        <v>38772</v>
      </c>
      <c r="I5847" s="2">
        <v>587</v>
      </c>
      <c r="J5847" s="2"/>
      <c r="K5847" s="2">
        <v>44185</v>
      </c>
      <c r="L5847" s="2" t="s">
        <v>38773</v>
      </c>
      <c r="M5847" s="2" t="s">
        <v>4185</v>
      </c>
      <c r="N5847" s="2" t="s">
        <v>4186</v>
      </c>
      <c r="O5847" s="2">
        <v>126941</v>
      </c>
      <c r="P5847" s="2" t="s">
        <v>38774</v>
      </c>
      <c r="Q5847" s="2" t="s">
        <v>38775</v>
      </c>
      <c r="R5847" s="2" t="s">
        <v>38776</v>
      </c>
      <c r="S5847" s="2" t="s">
        <v>89</v>
      </c>
      <c r="T5847" s="2" t="s">
        <v>90</v>
      </c>
      <c r="U5847" s="2" t="s">
        <v>99</v>
      </c>
      <c r="V5847" s="2" t="s">
        <v>59</v>
      </c>
      <c r="W5847" s="2">
        <v>38.4</v>
      </c>
      <c r="X5847" s="2">
        <v>0</v>
      </c>
      <c r="Y5847" s="2" t="s">
        <v>340</v>
      </c>
      <c r="Z5847" s="2" t="s">
        <v>38777</v>
      </c>
      <c r="AA5847" s="2">
        <v>-1.6083511710591101</v>
      </c>
      <c r="AB5847" s="2">
        <v>6.0908063714967597E-2</v>
      </c>
      <c r="AC5847" s="2">
        <v>44816.516870542902</v>
      </c>
      <c r="AD5847" s="2">
        <v>46864.269948970599</v>
      </c>
      <c r="AE5847" s="2">
        <v>48077.926309880801</v>
      </c>
      <c r="AF5847" s="2">
        <v>44513.328460783297</v>
      </c>
      <c r="AG5847" s="2">
        <v>47754.869303621897</v>
      </c>
      <c r="AH5847" s="2">
        <v>35193.669172307498</v>
      </c>
      <c r="AI5847" s="2">
        <v>37784.026431348299</v>
      </c>
      <c r="AJ5847" s="2">
        <v>55575.281545315302</v>
      </c>
      <c r="AK5847" s="2">
        <v>33524.381251521401</v>
      </c>
      <c r="AL5847" s="2">
        <v>45873.873017254198</v>
      </c>
      <c r="AM5847" s="2">
        <v>47833.971274239499</v>
      </c>
      <c r="AN5847" s="2">
        <v>46259.420605301799</v>
      </c>
      <c r="AO5847" s="2">
        <v>65611.712202394905</v>
      </c>
      <c r="AP5847" s="2">
        <v>42082.261343111801</v>
      </c>
    </row>
    <row r="5848" spans="1:42" ht="14.5" x14ac:dyDescent="0.35">
      <c r="A5848" s="2" t="s">
        <v>38778</v>
      </c>
      <c r="B5848" s="2">
        <v>174.10683434744999</v>
      </c>
      <c r="C5848" s="2">
        <v>0.67131666666666701</v>
      </c>
      <c r="D5848" s="2" t="s">
        <v>70</v>
      </c>
      <c r="E5848" s="2" t="s">
        <v>38779</v>
      </c>
      <c r="F5848" s="2">
        <v>201652</v>
      </c>
      <c r="G5848" s="3" t="str">
        <f>HYPERLINK("http://funmeta.oebiotech.com/network/201652", "http://funmeta.oebiotech.com/network/201652")</f>
        <v>http://funmeta.oebiotech.com/network/201652</v>
      </c>
      <c r="H5848" s="2" t="s">
        <v>38780</v>
      </c>
      <c r="I5848" s="2"/>
      <c r="J5848" s="2"/>
      <c r="K5848" s="2"/>
      <c r="L5848" s="2"/>
      <c r="M5848" s="2"/>
      <c r="N5848" s="2"/>
      <c r="O5848" s="2">
        <v>5227</v>
      </c>
      <c r="P5848" s="2"/>
      <c r="Q5848" s="2" t="s">
        <v>38781</v>
      </c>
      <c r="R5848" s="2" t="s">
        <v>38782</v>
      </c>
      <c r="S5848" s="2" t="s">
        <v>5916</v>
      </c>
      <c r="T5848" s="2" t="s">
        <v>38783</v>
      </c>
      <c r="U5848" s="2" t="s">
        <v>41</v>
      </c>
      <c r="V5848" s="2" t="s">
        <v>59</v>
      </c>
      <c r="W5848" s="2">
        <v>37.1</v>
      </c>
      <c r="X5848" s="2">
        <v>0</v>
      </c>
      <c r="Y5848" s="2" t="s">
        <v>118</v>
      </c>
      <c r="Z5848" s="2" t="s">
        <v>38784</v>
      </c>
      <c r="AA5848" s="2">
        <v>-1.1865399824529701</v>
      </c>
      <c r="AB5848" s="2">
        <v>6.0854372585497897E-2</v>
      </c>
      <c r="AC5848" s="2">
        <v>283.50332934689197</v>
      </c>
      <c r="AD5848" s="2">
        <v>2.7106294003980101E-5</v>
      </c>
      <c r="AE5848" s="2">
        <v>128.817582489111</v>
      </c>
      <c r="AF5848" s="2">
        <v>365.68604779836699</v>
      </c>
      <c r="AG5848" s="2">
        <v>263.43989714150399</v>
      </c>
      <c r="AH5848" s="2">
        <v>433.43264227226899</v>
      </c>
      <c r="AI5848" s="2">
        <v>120.810064347443</v>
      </c>
      <c r="AJ5848" s="2">
        <v>388.83374203266101</v>
      </c>
      <c r="AK5848" s="2">
        <v>2.7106294003980101E-5</v>
      </c>
      <c r="AL5848" s="2">
        <v>2.7106294003980101E-5</v>
      </c>
      <c r="AM5848" s="2">
        <v>2.7106294003980101E-5</v>
      </c>
      <c r="AN5848" s="2">
        <v>2.7106294003980101E-5</v>
      </c>
      <c r="AO5848" s="2">
        <v>2.7106294003980101E-5</v>
      </c>
      <c r="AP5848" s="2">
        <v>2.7106294003980101E-5</v>
      </c>
    </row>
    <row r="5849" spans="1:42" ht="14.5" x14ac:dyDescent="0.35">
      <c r="A5849" s="2" t="s">
        <v>38785</v>
      </c>
      <c r="B5849" s="2">
        <v>331.06526270997801</v>
      </c>
      <c r="C5849" s="2">
        <v>1.22268333333333</v>
      </c>
      <c r="D5849" s="2" t="s">
        <v>70</v>
      </c>
      <c r="E5849" s="2" t="s">
        <v>38786</v>
      </c>
      <c r="F5849" s="2">
        <v>210232</v>
      </c>
      <c r="G5849" s="3" t="str">
        <f>HYPERLINK("http://funmeta.oebiotech.com/network/210232", "http://funmeta.oebiotech.com/network/210232")</f>
        <v>http://funmeta.oebiotech.com/network/210232</v>
      </c>
      <c r="H5849" s="2" t="s">
        <v>38787</v>
      </c>
      <c r="I5849" s="2"/>
      <c r="J5849" s="2"/>
      <c r="K5849" s="2"/>
      <c r="L5849" s="2"/>
      <c r="M5849" s="2"/>
      <c r="N5849" s="2"/>
      <c r="O5849" s="2"/>
      <c r="P5849" s="2"/>
      <c r="Q5849" s="2" t="s">
        <v>38788</v>
      </c>
      <c r="R5849" s="2" t="s">
        <v>38789</v>
      </c>
      <c r="S5849" s="2" t="s">
        <v>41</v>
      </c>
      <c r="T5849" s="2" t="s">
        <v>41</v>
      </c>
      <c r="U5849" s="2" t="s">
        <v>41</v>
      </c>
      <c r="V5849" s="2" t="s">
        <v>59</v>
      </c>
      <c r="W5849" s="2">
        <v>36.700000000000003</v>
      </c>
      <c r="X5849" s="2">
        <v>0</v>
      </c>
      <c r="Y5849" s="2" t="s">
        <v>751</v>
      </c>
      <c r="Z5849" s="2" t="s">
        <v>38790</v>
      </c>
      <c r="AA5849" s="2">
        <v>-1.8363529529232401</v>
      </c>
      <c r="AB5849" s="2">
        <v>6.0852076337960803E-2</v>
      </c>
      <c r="AC5849" s="2">
        <v>12321.6492632646</v>
      </c>
      <c r="AD5849" s="2">
        <v>11571.4528616155</v>
      </c>
      <c r="AE5849" s="2">
        <v>12271.3210667083</v>
      </c>
      <c r="AF5849" s="2">
        <v>12952.1475192871</v>
      </c>
      <c r="AG5849" s="2">
        <v>12314.579877218101</v>
      </c>
      <c r="AH5849" s="2">
        <v>12070.2217204517</v>
      </c>
      <c r="AI5849" s="2">
        <v>11199.2694668065</v>
      </c>
      <c r="AJ5849" s="2">
        <v>13122.3559291162</v>
      </c>
      <c r="AK5849" s="2">
        <v>11884.8999885627</v>
      </c>
      <c r="AL5849" s="2">
        <v>12457.5370634834</v>
      </c>
      <c r="AM5849" s="2">
        <v>8662.5334747294801</v>
      </c>
      <c r="AN5849" s="2">
        <v>10747.871421330099</v>
      </c>
      <c r="AO5849" s="2">
        <v>13105.995112867</v>
      </c>
      <c r="AP5849" s="2">
        <v>12569.880108720299</v>
      </c>
    </row>
    <row r="5850" spans="1:42" ht="14.5" x14ac:dyDescent="0.35">
      <c r="A5850" s="2" t="s">
        <v>38791</v>
      </c>
      <c r="B5850" s="2">
        <v>563.24647327602599</v>
      </c>
      <c r="C5850" s="2">
        <v>4.2619999999999996</v>
      </c>
      <c r="D5850" s="2" t="s">
        <v>34</v>
      </c>
      <c r="E5850" s="2" t="s">
        <v>38792</v>
      </c>
      <c r="F5850" s="2">
        <v>212038</v>
      </c>
      <c r="G5850" s="3" t="str">
        <f>HYPERLINK("http://funmeta.oebiotech.com/network/212038", "http://funmeta.oebiotech.com/network/212038")</f>
        <v>http://funmeta.oebiotech.com/network/212038</v>
      </c>
      <c r="H5850" s="2" t="s">
        <v>38793</v>
      </c>
      <c r="I5850" s="2"/>
      <c r="J5850" s="2"/>
      <c r="K5850" s="2"/>
      <c r="L5850" s="2"/>
      <c r="M5850" s="2"/>
      <c r="N5850" s="2"/>
      <c r="O5850" s="2">
        <v>78387808</v>
      </c>
      <c r="P5850" s="2"/>
      <c r="Q5850" s="2" t="s">
        <v>38794</v>
      </c>
      <c r="R5850" s="2" t="s">
        <v>38795</v>
      </c>
      <c r="S5850" s="2" t="s">
        <v>41</v>
      </c>
      <c r="T5850" s="2" t="s">
        <v>41</v>
      </c>
      <c r="U5850" s="2" t="s">
        <v>41</v>
      </c>
      <c r="V5850" s="2" t="s">
        <v>59</v>
      </c>
      <c r="W5850" s="2">
        <v>38.5</v>
      </c>
      <c r="X5850" s="2">
        <v>0</v>
      </c>
      <c r="Y5850" s="2" t="s">
        <v>340</v>
      </c>
      <c r="Z5850" s="2" t="s">
        <v>38796</v>
      </c>
      <c r="AA5850" s="2">
        <v>7.3147910461430002E-2</v>
      </c>
      <c r="AB5850" s="2">
        <v>6.0841154351239601E-2</v>
      </c>
      <c r="AC5850" s="2">
        <v>20646.588106673898</v>
      </c>
      <c r="AD5850" s="2">
        <v>21468.8448037216</v>
      </c>
      <c r="AE5850" s="2">
        <v>18660.001733333302</v>
      </c>
      <c r="AF5850" s="2">
        <v>19952.766406197901</v>
      </c>
      <c r="AG5850" s="2">
        <v>23100.8247581947</v>
      </c>
      <c r="AH5850" s="2">
        <v>21106.656047097102</v>
      </c>
      <c r="AI5850" s="2">
        <v>21559.367909320899</v>
      </c>
      <c r="AJ5850" s="2">
        <v>19499.911785899501</v>
      </c>
      <c r="AK5850" s="2">
        <v>22482.0078957226</v>
      </c>
      <c r="AL5850" s="2">
        <v>20470.6287776348</v>
      </c>
      <c r="AM5850" s="2">
        <v>20234.903451108999</v>
      </c>
      <c r="AN5850" s="2">
        <v>20901.678134820399</v>
      </c>
      <c r="AO5850" s="2">
        <v>21103.978533256701</v>
      </c>
      <c r="AP5850" s="2">
        <v>23619.872029786002</v>
      </c>
    </row>
    <row r="5851" spans="1:42" ht="14.5" x14ac:dyDescent="0.35">
      <c r="A5851" s="2" t="s">
        <v>38797</v>
      </c>
      <c r="B5851" s="2">
        <v>583.12276397681296</v>
      </c>
      <c r="C5851" s="2">
        <v>9.10178333333333</v>
      </c>
      <c r="D5851" s="2" t="s">
        <v>34</v>
      </c>
      <c r="E5851" s="2" t="s">
        <v>38798</v>
      </c>
      <c r="F5851" s="2">
        <v>61203</v>
      </c>
      <c r="G5851" s="3" t="str">
        <f>HYPERLINK("http://funmeta.oebiotech.com/network/61203", "http://funmeta.oebiotech.com/network/61203")</f>
        <v>http://funmeta.oebiotech.com/network/61203</v>
      </c>
      <c r="H5851" s="2" t="s">
        <v>38799</v>
      </c>
      <c r="I5851" s="2">
        <v>92515</v>
      </c>
      <c r="J5851" s="2"/>
      <c r="K5851" s="2"/>
      <c r="L5851" s="2"/>
      <c r="M5851" s="2"/>
      <c r="N5851" s="2"/>
      <c r="O5851" s="2">
        <v>14586216</v>
      </c>
      <c r="P5851" s="2" t="s">
        <v>38800</v>
      </c>
      <c r="Q5851" s="2" t="s">
        <v>38801</v>
      </c>
      <c r="R5851" s="2" t="s">
        <v>38802</v>
      </c>
      <c r="S5851" s="2" t="s">
        <v>115</v>
      </c>
      <c r="T5851" s="2" t="s">
        <v>139</v>
      </c>
      <c r="U5851" s="2" t="s">
        <v>957</v>
      </c>
      <c r="V5851" s="2" t="s">
        <v>42</v>
      </c>
      <c r="W5851" s="2">
        <v>51.3</v>
      </c>
      <c r="X5851" s="2">
        <v>66.3</v>
      </c>
      <c r="Y5851" s="2" t="s">
        <v>323</v>
      </c>
      <c r="Z5851" s="2" t="s">
        <v>38803</v>
      </c>
      <c r="AA5851" s="2">
        <v>3.0023501394949101</v>
      </c>
      <c r="AB5851" s="2">
        <v>6.0782029788508302E-2</v>
      </c>
      <c r="AC5851" s="2">
        <v>628.20020442425403</v>
      </c>
      <c r="AD5851" s="2">
        <v>88.508012171983196</v>
      </c>
      <c r="AE5851" s="2">
        <v>223.409688224219</v>
      </c>
      <c r="AF5851" s="2">
        <v>2.7106294003980101E-5</v>
      </c>
      <c r="AG5851" s="2">
        <v>231.03735599383401</v>
      </c>
      <c r="AH5851" s="2">
        <v>2162.4022131899101</v>
      </c>
      <c r="AI5851" s="2">
        <v>865.62171489698903</v>
      </c>
      <c r="AJ5851" s="2">
        <v>286.73022713427798</v>
      </c>
      <c r="AK5851" s="2">
        <v>2.7106294003980101E-5</v>
      </c>
      <c r="AL5851" s="2">
        <v>251.01220875431201</v>
      </c>
      <c r="AM5851" s="2">
        <v>2.7106294003980101E-5</v>
      </c>
      <c r="AN5851" s="2">
        <v>2.7106294003980101E-5</v>
      </c>
      <c r="AO5851" s="2">
        <v>280.035755852411</v>
      </c>
      <c r="AP5851" s="2">
        <v>2.7106294003980101E-5</v>
      </c>
    </row>
    <row r="5852" spans="1:42" ht="14.5" x14ac:dyDescent="0.35">
      <c r="A5852" s="2" t="s">
        <v>38804</v>
      </c>
      <c r="B5852" s="2">
        <v>295.20560631930402</v>
      </c>
      <c r="C5852" s="2">
        <v>4.8327999999999998</v>
      </c>
      <c r="D5852" s="2" t="s">
        <v>34</v>
      </c>
      <c r="E5852" s="2" t="s">
        <v>38805</v>
      </c>
      <c r="F5852" s="2">
        <v>82463</v>
      </c>
      <c r="G5852" s="3" t="str">
        <f>HYPERLINK("http://funmeta.oebiotech.com/network/82463", "http://funmeta.oebiotech.com/network/82463")</f>
        <v>http://funmeta.oebiotech.com/network/82463</v>
      </c>
      <c r="H5852" s="2" t="s">
        <v>38806</v>
      </c>
      <c r="I5852" s="2">
        <v>1923</v>
      </c>
      <c r="J5852" s="2"/>
      <c r="K5852" s="2">
        <v>34749</v>
      </c>
      <c r="L5852" s="2" t="s">
        <v>38807</v>
      </c>
      <c r="M5852" s="2"/>
      <c r="N5852" s="2"/>
      <c r="O5852" s="2">
        <v>5284557</v>
      </c>
      <c r="P5852" s="2" t="s">
        <v>38808</v>
      </c>
      <c r="Q5852" s="2" t="s">
        <v>38809</v>
      </c>
      <c r="R5852" s="2" t="s">
        <v>38810</v>
      </c>
      <c r="S5852" s="2" t="s">
        <v>50</v>
      </c>
      <c r="T5852" s="2" t="s">
        <v>124</v>
      </c>
      <c r="U5852" s="2" t="s">
        <v>2373</v>
      </c>
      <c r="V5852" s="2" t="s">
        <v>59</v>
      </c>
      <c r="W5852" s="2">
        <v>38.4</v>
      </c>
      <c r="X5852" s="2">
        <v>0</v>
      </c>
      <c r="Y5852" s="2" t="s">
        <v>141</v>
      </c>
      <c r="Z5852" s="2" t="s">
        <v>38811</v>
      </c>
      <c r="AA5852" s="2">
        <v>-0.113922993109105</v>
      </c>
      <c r="AB5852" s="2">
        <v>6.0779293810574397E-2</v>
      </c>
      <c r="AC5852" s="2">
        <v>1897.90106309419</v>
      </c>
      <c r="AD5852" s="2">
        <v>2319.76242039718</v>
      </c>
      <c r="AE5852" s="2">
        <v>2429.8556165565201</v>
      </c>
      <c r="AF5852" s="2">
        <v>2087.5963041250502</v>
      </c>
      <c r="AG5852" s="2">
        <v>1664.47657022821</v>
      </c>
      <c r="AH5852" s="2">
        <v>1921.59458923847</v>
      </c>
      <c r="AI5852" s="2">
        <v>1826.7560588096501</v>
      </c>
      <c r="AJ5852" s="2">
        <v>1457.12723960723</v>
      </c>
      <c r="AK5852" s="2">
        <v>2502.6836871441501</v>
      </c>
      <c r="AL5852" s="2">
        <v>2309.2312868467602</v>
      </c>
      <c r="AM5852" s="2">
        <v>1732.84910180628</v>
      </c>
      <c r="AN5852" s="2">
        <v>2598.97645273029</v>
      </c>
      <c r="AO5852" s="2">
        <v>2274.73344830322</v>
      </c>
      <c r="AP5852" s="2">
        <v>2500.10054555238</v>
      </c>
    </row>
    <row r="5853" spans="1:42" ht="14.5" x14ac:dyDescent="0.35">
      <c r="A5853" s="2" t="s">
        <v>38812</v>
      </c>
      <c r="B5853" s="2">
        <v>423.21648474548601</v>
      </c>
      <c r="C5853" s="2">
        <v>10.036016666666701</v>
      </c>
      <c r="D5853" s="2" t="s">
        <v>34</v>
      </c>
      <c r="E5853" s="2" t="s">
        <v>38813</v>
      </c>
      <c r="F5853" s="2">
        <v>203850</v>
      </c>
      <c r="G5853" s="3" t="str">
        <f>HYPERLINK("http://funmeta.oebiotech.com/network/203850", "http://funmeta.oebiotech.com/network/203850")</f>
        <v>http://funmeta.oebiotech.com/network/203850</v>
      </c>
      <c r="H5853" s="2" t="s">
        <v>38814</v>
      </c>
      <c r="I5853" s="2"/>
      <c r="J5853" s="2"/>
      <c r="K5853" s="2"/>
      <c r="L5853" s="2"/>
      <c r="M5853" s="2"/>
      <c r="N5853" s="2"/>
      <c r="O5853" s="2">
        <v>91719492</v>
      </c>
      <c r="P5853" s="2"/>
      <c r="Q5853" s="2" t="s">
        <v>38815</v>
      </c>
      <c r="R5853" s="2" t="s">
        <v>38816</v>
      </c>
      <c r="S5853" s="2" t="s">
        <v>41</v>
      </c>
      <c r="T5853" s="2" t="s">
        <v>41</v>
      </c>
      <c r="U5853" s="2" t="s">
        <v>41</v>
      </c>
      <c r="V5853" s="2" t="s">
        <v>59</v>
      </c>
      <c r="W5853" s="2">
        <v>38.9</v>
      </c>
      <c r="X5853" s="2">
        <v>0</v>
      </c>
      <c r="Y5853" s="2" t="s">
        <v>340</v>
      </c>
      <c r="Z5853" s="2" t="s">
        <v>38817</v>
      </c>
      <c r="AA5853" s="2">
        <v>2.0829555341531898</v>
      </c>
      <c r="AB5853" s="2">
        <v>6.0730380502017803E-2</v>
      </c>
      <c r="AC5853" s="2">
        <v>291.04838617925702</v>
      </c>
      <c r="AD5853" s="2">
        <v>28.6214569971429</v>
      </c>
      <c r="AE5853" s="2">
        <v>340.98322653304899</v>
      </c>
      <c r="AF5853" s="2">
        <v>409.215002936742</v>
      </c>
      <c r="AG5853" s="2">
        <v>248.775193106058</v>
      </c>
      <c r="AH5853" s="2">
        <v>257.23100467373598</v>
      </c>
      <c r="AI5853" s="2">
        <v>170.807834548394</v>
      </c>
      <c r="AJ5853" s="2">
        <v>319.27805527756198</v>
      </c>
      <c r="AK5853" s="2">
        <v>2.7106294003980101E-5</v>
      </c>
      <c r="AL5853" s="2">
        <v>59.155674273292199</v>
      </c>
      <c r="AM5853" s="2">
        <v>2.7106294003980101E-5</v>
      </c>
      <c r="AN5853" s="2">
        <v>63.632712500735003</v>
      </c>
      <c r="AO5853" s="2">
        <v>48.940273889947903</v>
      </c>
      <c r="AP5853" s="2">
        <v>2.7106294003980101E-5</v>
      </c>
    </row>
    <row r="5854" spans="1:42" ht="14.5" x14ac:dyDescent="0.35">
      <c r="A5854" s="2" t="s">
        <v>38818</v>
      </c>
      <c r="B5854" s="2">
        <v>289.21051314279799</v>
      </c>
      <c r="C5854" s="2">
        <v>4.0429833333333303</v>
      </c>
      <c r="D5854" s="2" t="s">
        <v>70</v>
      </c>
      <c r="E5854" s="2" t="s">
        <v>38819</v>
      </c>
      <c r="F5854" s="2">
        <v>267030</v>
      </c>
      <c r="G5854" s="3" t="str">
        <f>HYPERLINK("http://funmeta.oebiotech.com/network/267030", "http://funmeta.oebiotech.com/network/267030")</f>
        <v>http://funmeta.oebiotech.com/network/267030</v>
      </c>
      <c r="H5854" s="2"/>
      <c r="I5854" s="2">
        <v>44542</v>
      </c>
      <c r="J5854" s="2"/>
      <c r="K5854" s="2"/>
      <c r="L5854" s="2"/>
      <c r="M5854" s="2"/>
      <c r="N5854" s="2"/>
      <c r="O5854" s="2">
        <v>560437</v>
      </c>
      <c r="P5854" s="2" t="s">
        <v>38820</v>
      </c>
      <c r="Q5854" s="2" t="s">
        <v>38821</v>
      </c>
      <c r="R5854" s="2" t="s">
        <v>38822</v>
      </c>
      <c r="S5854" s="2" t="s">
        <v>89</v>
      </c>
      <c r="T5854" s="2" t="s">
        <v>90</v>
      </c>
      <c r="U5854" s="2" t="s">
        <v>99</v>
      </c>
      <c r="V5854" s="2" t="s">
        <v>59</v>
      </c>
      <c r="W5854" s="2">
        <v>37.799999999999997</v>
      </c>
      <c r="X5854" s="2">
        <v>0</v>
      </c>
      <c r="Y5854" s="2" t="s">
        <v>560</v>
      </c>
      <c r="Z5854" s="2" t="s">
        <v>33221</v>
      </c>
      <c r="AA5854" s="2">
        <v>-9.5371436330762602</v>
      </c>
      <c r="AB5854" s="2">
        <v>6.0674631474929602E-2</v>
      </c>
      <c r="AC5854" s="2">
        <v>9667.1363283706996</v>
      </c>
      <c r="AD5854" s="2">
        <v>8893.3857689574797</v>
      </c>
      <c r="AE5854" s="2">
        <v>10120.530716994501</v>
      </c>
      <c r="AF5854" s="2">
        <v>9568.24023665807</v>
      </c>
      <c r="AG5854" s="2">
        <v>11668.923649193101</v>
      </c>
      <c r="AH5854" s="2">
        <v>9437.4653714553497</v>
      </c>
      <c r="AI5854" s="2">
        <v>9449.5907954773593</v>
      </c>
      <c r="AJ5854" s="2">
        <v>7758.0672004458302</v>
      </c>
      <c r="AK5854" s="2">
        <v>9333.5253791181894</v>
      </c>
      <c r="AL5854" s="2">
        <v>8098.3980206209899</v>
      </c>
      <c r="AM5854" s="2">
        <v>9459.5734227707308</v>
      </c>
      <c r="AN5854" s="2">
        <v>7799.93261110606</v>
      </c>
      <c r="AO5854" s="2">
        <v>7505.9614544095302</v>
      </c>
      <c r="AP5854" s="2">
        <v>11162.9237257194</v>
      </c>
    </row>
    <row r="5855" spans="1:42" ht="14.5" x14ac:dyDescent="0.35">
      <c r="A5855" s="2" t="s">
        <v>38823</v>
      </c>
      <c r="B5855" s="2">
        <v>253.15844974221901</v>
      </c>
      <c r="C5855" s="2">
        <v>9.1767166666666693</v>
      </c>
      <c r="D5855" s="2" t="s">
        <v>34</v>
      </c>
      <c r="E5855" s="2" t="s">
        <v>38824</v>
      </c>
      <c r="F5855" s="2">
        <v>6727</v>
      </c>
      <c r="G5855" s="3" t="str">
        <f>HYPERLINK("http://funmeta.oebiotech.com/network/6727", "http://funmeta.oebiotech.com/network/6727")</f>
        <v>http://funmeta.oebiotech.com/network/6727</v>
      </c>
      <c r="H5855" s="2"/>
      <c r="I5855" s="2"/>
      <c r="J5855" s="2" t="s">
        <v>38825</v>
      </c>
      <c r="K5855" s="2"/>
      <c r="L5855" s="2"/>
      <c r="M5855" s="2"/>
      <c r="N5855" s="2"/>
      <c r="O5855" s="2">
        <v>101118435</v>
      </c>
      <c r="P5855" s="2"/>
      <c r="Q5855" s="2" t="s">
        <v>38826</v>
      </c>
      <c r="R5855" s="2" t="s">
        <v>38827</v>
      </c>
      <c r="S5855" s="2" t="s">
        <v>50</v>
      </c>
      <c r="T5855" s="2" t="s">
        <v>229</v>
      </c>
      <c r="U5855" s="2" t="s">
        <v>1007</v>
      </c>
      <c r="V5855" s="2" t="s">
        <v>59</v>
      </c>
      <c r="W5855" s="2">
        <v>38.200000000000003</v>
      </c>
      <c r="X5855" s="2">
        <v>0</v>
      </c>
      <c r="Y5855" s="2" t="s">
        <v>266</v>
      </c>
      <c r="Z5855" s="2" t="s">
        <v>38828</v>
      </c>
      <c r="AA5855" s="2">
        <v>-0.95954544134472097</v>
      </c>
      <c r="AB5855" s="2">
        <v>6.0639375469519897E-2</v>
      </c>
      <c r="AC5855" s="2">
        <v>2959.8398335571101</v>
      </c>
      <c r="AD5855" s="2">
        <v>2546.9548531279402</v>
      </c>
      <c r="AE5855" s="2">
        <v>2847.68821097616</v>
      </c>
      <c r="AF5855" s="2">
        <v>2779.5857401655599</v>
      </c>
      <c r="AG5855" s="2">
        <v>3044.1017660627399</v>
      </c>
      <c r="AH5855" s="2">
        <v>3174.3150804017</v>
      </c>
      <c r="AI5855" s="2">
        <v>2523.7925371267602</v>
      </c>
      <c r="AJ5855" s="2">
        <v>3389.55566660972</v>
      </c>
      <c r="AK5855" s="2">
        <v>2305.4731114574702</v>
      </c>
      <c r="AL5855" s="2">
        <v>2609.5401953074602</v>
      </c>
      <c r="AM5855" s="2">
        <v>3118.94839989818</v>
      </c>
      <c r="AN5855" s="2">
        <v>2151.7990599787599</v>
      </c>
      <c r="AO5855" s="2">
        <v>2584.1799073913098</v>
      </c>
      <c r="AP5855" s="2">
        <v>2511.78844473446</v>
      </c>
    </row>
    <row r="5856" spans="1:42" ht="14.5" x14ac:dyDescent="0.35">
      <c r="A5856" s="2" t="s">
        <v>38829</v>
      </c>
      <c r="B5856" s="2">
        <v>375.21233270425603</v>
      </c>
      <c r="C5856" s="2">
        <v>1.06171666666667</v>
      </c>
      <c r="D5856" s="2" t="s">
        <v>34</v>
      </c>
      <c r="E5856" s="2" t="s">
        <v>38830</v>
      </c>
      <c r="F5856" s="2">
        <v>212697</v>
      </c>
      <c r="G5856" s="3" t="str">
        <f>HYPERLINK("http://funmeta.oebiotech.com/network/212697", "http://funmeta.oebiotech.com/network/212697")</f>
        <v>http://funmeta.oebiotech.com/network/212697</v>
      </c>
      <c r="H5856" s="2" t="s">
        <v>38831</v>
      </c>
      <c r="I5856" s="2"/>
      <c r="J5856" s="2"/>
      <c r="K5856" s="2"/>
      <c r="L5856" s="2"/>
      <c r="M5856" s="2"/>
      <c r="N5856" s="2"/>
      <c r="O5856" s="2">
        <v>13580504</v>
      </c>
      <c r="P5856" s="2"/>
      <c r="Q5856" s="2" t="s">
        <v>38832</v>
      </c>
      <c r="R5856" s="2" t="s">
        <v>38833</v>
      </c>
      <c r="S5856" s="2" t="s">
        <v>491</v>
      </c>
      <c r="T5856" s="2" t="s">
        <v>38834</v>
      </c>
      <c r="U5856" s="2" t="s">
        <v>38835</v>
      </c>
      <c r="V5856" s="2" t="s">
        <v>59</v>
      </c>
      <c r="W5856" s="2">
        <v>38.200000000000003</v>
      </c>
      <c r="X5856" s="2">
        <v>0</v>
      </c>
      <c r="Y5856" s="2" t="s">
        <v>394</v>
      </c>
      <c r="Z5856" s="2" t="s">
        <v>38836</v>
      </c>
      <c r="AA5856" s="2">
        <v>-0.65481799107159699</v>
      </c>
      <c r="AB5856" s="2">
        <v>6.0615420240568103E-2</v>
      </c>
      <c r="AC5856" s="2">
        <v>4970.2549419577399</v>
      </c>
      <c r="AD5856" s="2">
        <v>5558.6930529624096</v>
      </c>
      <c r="AE5856" s="2">
        <v>6503.81717348442</v>
      </c>
      <c r="AF5856" s="2">
        <v>4538.7505358370599</v>
      </c>
      <c r="AG5856" s="2">
        <v>4703.0567479065603</v>
      </c>
      <c r="AH5856" s="2">
        <v>4958.6254801927798</v>
      </c>
      <c r="AI5856" s="2">
        <v>4651.7661642224302</v>
      </c>
      <c r="AJ5856" s="2">
        <v>4465.51355010317</v>
      </c>
      <c r="AK5856" s="2">
        <v>5952.7086806295101</v>
      </c>
      <c r="AL5856" s="2">
        <v>4861.4107457492601</v>
      </c>
      <c r="AM5856" s="2">
        <v>6107.3145910866097</v>
      </c>
      <c r="AN5856" s="2">
        <v>5604.14576702678</v>
      </c>
      <c r="AO5856" s="2">
        <v>4658.33568219465</v>
      </c>
      <c r="AP5856" s="2">
        <v>6168.2428510876598</v>
      </c>
    </row>
    <row r="5857" spans="1:42" ht="14.5" x14ac:dyDescent="0.35">
      <c r="A5857" s="2" t="s">
        <v>38837</v>
      </c>
      <c r="B5857" s="2">
        <v>146.081062573932</v>
      </c>
      <c r="C5857" s="2">
        <v>0.73473333333333302</v>
      </c>
      <c r="D5857" s="2" t="s">
        <v>34</v>
      </c>
      <c r="E5857" s="2" t="s">
        <v>38838</v>
      </c>
      <c r="F5857" s="2">
        <v>55880</v>
      </c>
      <c r="G5857" s="3" t="str">
        <f>HYPERLINK("http://funmeta.oebiotech.com/network/55880", "http://funmeta.oebiotech.com/network/55880")</f>
        <v>http://funmeta.oebiotech.com/network/55880</v>
      </c>
      <c r="H5857" s="2" t="s">
        <v>38839</v>
      </c>
      <c r="I5857" s="2">
        <v>87570</v>
      </c>
      <c r="J5857" s="2"/>
      <c r="K5857" s="2">
        <v>173475</v>
      </c>
      <c r="L5857" s="2"/>
      <c r="M5857" s="2"/>
      <c r="N5857" s="2"/>
      <c r="O5857" s="2">
        <v>12374456</v>
      </c>
      <c r="P5857" s="2" t="s">
        <v>38840</v>
      </c>
      <c r="Q5857" s="2" t="s">
        <v>38841</v>
      </c>
      <c r="R5857" s="2" t="s">
        <v>38842</v>
      </c>
      <c r="S5857" s="2" t="s">
        <v>491</v>
      </c>
      <c r="T5857" s="2" t="s">
        <v>12134</v>
      </c>
      <c r="U5857" s="2" t="s">
        <v>14916</v>
      </c>
      <c r="V5857" s="2" t="s">
        <v>42</v>
      </c>
      <c r="W5857" s="2">
        <v>52.9</v>
      </c>
      <c r="X5857" s="2">
        <v>72.599999999999994</v>
      </c>
      <c r="Y5857" s="2" t="s">
        <v>43</v>
      </c>
      <c r="Z5857" s="2" t="s">
        <v>38843</v>
      </c>
      <c r="AA5857" s="2">
        <v>-0.83618531168395505</v>
      </c>
      <c r="AB5857" s="2">
        <v>6.0561956435497201E-2</v>
      </c>
      <c r="AC5857" s="2">
        <v>17855.825399619702</v>
      </c>
      <c r="AD5857" s="2">
        <v>18433.6211632833</v>
      </c>
      <c r="AE5857" s="2">
        <v>16656.446405465202</v>
      </c>
      <c r="AF5857" s="2">
        <v>18672.454414380802</v>
      </c>
      <c r="AG5857" s="2">
        <v>17520.816483889801</v>
      </c>
      <c r="AH5857" s="2">
        <v>17581.6078914635</v>
      </c>
      <c r="AI5857" s="2">
        <v>18462.572258771899</v>
      </c>
      <c r="AJ5857" s="2">
        <v>18241.054943747298</v>
      </c>
      <c r="AK5857" s="2">
        <v>17794.270828662698</v>
      </c>
      <c r="AL5857" s="2">
        <v>19462.220147380998</v>
      </c>
      <c r="AM5857" s="2">
        <v>18043.378131073099</v>
      </c>
      <c r="AN5857" s="2">
        <v>18157.704191043002</v>
      </c>
      <c r="AO5857" s="2">
        <v>18960.547457920999</v>
      </c>
      <c r="AP5857" s="2">
        <v>18183.606223619201</v>
      </c>
    </row>
    <row r="5858" spans="1:42" ht="14.5" x14ac:dyDescent="0.35">
      <c r="A5858" s="2" t="s">
        <v>38844</v>
      </c>
      <c r="B5858" s="2">
        <v>321.21973644599802</v>
      </c>
      <c r="C5858" s="2">
        <v>11.6230666666667</v>
      </c>
      <c r="D5858" s="2" t="s">
        <v>70</v>
      </c>
      <c r="E5858" s="2" t="s">
        <v>38845</v>
      </c>
      <c r="F5858" s="2">
        <v>204221</v>
      </c>
      <c r="G5858" s="3" t="str">
        <f>HYPERLINK("http://funmeta.oebiotech.com/network/204221", "http://funmeta.oebiotech.com/network/204221")</f>
        <v>http://funmeta.oebiotech.com/network/204221</v>
      </c>
      <c r="H5858" s="2" t="s">
        <v>38846</v>
      </c>
      <c r="I5858" s="2"/>
      <c r="J5858" s="2"/>
      <c r="K5858" s="2"/>
      <c r="L5858" s="2"/>
      <c r="M5858" s="2"/>
      <c r="N5858" s="2"/>
      <c r="O5858" s="2">
        <v>9275</v>
      </c>
      <c r="P5858" s="2"/>
      <c r="Q5858" s="2" t="s">
        <v>38847</v>
      </c>
      <c r="R5858" s="2" t="s">
        <v>38848</v>
      </c>
      <c r="S5858" s="2" t="s">
        <v>89</v>
      </c>
      <c r="T5858" s="2" t="s">
        <v>894</v>
      </c>
      <c r="U5858" s="2" t="s">
        <v>895</v>
      </c>
      <c r="V5858" s="2" t="s">
        <v>59</v>
      </c>
      <c r="W5858" s="2">
        <v>36.4</v>
      </c>
      <c r="X5858" s="2">
        <v>0</v>
      </c>
      <c r="Y5858" s="2" t="s">
        <v>118</v>
      </c>
      <c r="Z5858" s="2" t="s">
        <v>38849</v>
      </c>
      <c r="AA5858" s="2">
        <v>-0.87935657613816298</v>
      </c>
      <c r="AB5858" s="2">
        <v>6.0398586357821402E-2</v>
      </c>
      <c r="AC5858" s="2">
        <v>725.54319006382502</v>
      </c>
      <c r="AD5858" s="2">
        <v>1366.9222490162199</v>
      </c>
      <c r="AE5858" s="2">
        <v>390.56493042961802</v>
      </c>
      <c r="AF5858" s="2">
        <v>544.19380979048299</v>
      </c>
      <c r="AG5858" s="2">
        <v>497.008769789692</v>
      </c>
      <c r="AH5858" s="2">
        <v>1652.5437071122501</v>
      </c>
      <c r="AI5858" s="2">
        <v>513.53616460560602</v>
      </c>
      <c r="AJ5858" s="2">
        <v>755.41175865530101</v>
      </c>
      <c r="AK5858" s="2">
        <v>540.64967670927604</v>
      </c>
      <c r="AL5858" s="2">
        <v>1039.98040996539</v>
      </c>
      <c r="AM5858" s="2">
        <v>962.40383746673501</v>
      </c>
      <c r="AN5858" s="2">
        <v>3733.3815641830702</v>
      </c>
      <c r="AO5858" s="2">
        <v>985.42803892394602</v>
      </c>
      <c r="AP5858" s="2">
        <v>939.68996684891101</v>
      </c>
    </row>
    <row r="5859" spans="1:42" ht="14.5" x14ac:dyDescent="0.35">
      <c r="A5859" s="2" t="s">
        <v>38850</v>
      </c>
      <c r="B5859" s="2">
        <v>134.03600997543501</v>
      </c>
      <c r="C5859" s="2">
        <v>1.5801333333333301</v>
      </c>
      <c r="D5859" s="2" t="s">
        <v>70</v>
      </c>
      <c r="E5859" s="2" t="s">
        <v>38851</v>
      </c>
      <c r="F5859" s="2">
        <v>199434</v>
      </c>
      <c r="G5859" s="3" t="str">
        <f>HYPERLINK("http://funmeta.oebiotech.com/network/199434", "http://funmeta.oebiotech.com/network/199434")</f>
        <v>http://funmeta.oebiotech.com/network/199434</v>
      </c>
      <c r="H5859" s="2" t="s">
        <v>38852</v>
      </c>
      <c r="I5859" s="2"/>
      <c r="J5859" s="2"/>
      <c r="K5859" s="2"/>
      <c r="L5859" s="2"/>
      <c r="M5859" s="2"/>
      <c r="N5859" s="2"/>
      <c r="O5859" s="2">
        <v>75771</v>
      </c>
      <c r="P5859" s="2"/>
      <c r="Q5859" s="2" t="s">
        <v>38853</v>
      </c>
      <c r="R5859" s="2" t="s">
        <v>38854</v>
      </c>
      <c r="S5859" s="2" t="s">
        <v>491</v>
      </c>
      <c r="T5859" s="2" t="s">
        <v>20902</v>
      </c>
      <c r="U5859" s="2" t="s">
        <v>41</v>
      </c>
      <c r="V5859" s="2" t="s">
        <v>59</v>
      </c>
      <c r="W5859" s="2">
        <v>39.1</v>
      </c>
      <c r="X5859" s="2">
        <v>0</v>
      </c>
      <c r="Y5859" s="2" t="s">
        <v>118</v>
      </c>
      <c r="Z5859" s="2" t="s">
        <v>38855</v>
      </c>
      <c r="AA5859" s="2">
        <v>0.182261039954043</v>
      </c>
      <c r="AB5859" s="2">
        <v>6.0373186953066101E-2</v>
      </c>
      <c r="AC5859" s="2">
        <v>552.07325797006695</v>
      </c>
      <c r="AD5859" s="2">
        <v>289.65175491574797</v>
      </c>
      <c r="AE5859" s="2">
        <v>527.43033183453304</v>
      </c>
      <c r="AF5859" s="2">
        <v>643.58390801714904</v>
      </c>
      <c r="AG5859" s="2">
        <v>512.76325438726803</v>
      </c>
      <c r="AH5859" s="2">
        <v>560.97676987034299</v>
      </c>
      <c r="AI5859" s="2">
        <v>513.94364205052398</v>
      </c>
      <c r="AJ5859" s="2">
        <v>553.74164166058404</v>
      </c>
      <c r="AK5859" s="2">
        <v>267.23048645651602</v>
      </c>
      <c r="AL5859" s="2">
        <v>244.56399712392201</v>
      </c>
      <c r="AM5859" s="2">
        <v>212.46644918239099</v>
      </c>
      <c r="AN5859" s="2">
        <v>435.37799520779402</v>
      </c>
      <c r="AO5859" s="2">
        <v>293.86127262234601</v>
      </c>
      <c r="AP5859" s="2">
        <v>284.41032890152098</v>
      </c>
    </row>
    <row r="5860" spans="1:42" ht="14.5" x14ac:dyDescent="0.35">
      <c r="A5860" s="2" t="s">
        <v>38856</v>
      </c>
      <c r="B5860" s="2">
        <v>501.10742583687301</v>
      </c>
      <c r="C5860" s="2">
        <v>4.0071500000000002</v>
      </c>
      <c r="D5860" s="2" t="s">
        <v>70</v>
      </c>
      <c r="E5860" s="2" t="s">
        <v>38857</v>
      </c>
      <c r="F5860" s="2">
        <v>201168</v>
      </c>
      <c r="G5860" s="3" t="str">
        <f>HYPERLINK("http://funmeta.oebiotech.com/network/201168", "http://funmeta.oebiotech.com/network/201168")</f>
        <v>http://funmeta.oebiotech.com/network/201168</v>
      </c>
      <c r="H5860" s="2" t="s">
        <v>38858</v>
      </c>
      <c r="I5860" s="2">
        <v>414616</v>
      </c>
      <c r="J5860" s="2"/>
      <c r="K5860" s="2"/>
      <c r="L5860" s="2"/>
      <c r="M5860" s="2"/>
      <c r="N5860" s="2"/>
      <c r="O5860" s="2">
        <v>124404</v>
      </c>
      <c r="P5860" s="2"/>
      <c r="Q5860" s="2" t="s">
        <v>38859</v>
      </c>
      <c r="R5860" s="2" t="s">
        <v>38860</v>
      </c>
      <c r="S5860" s="2" t="s">
        <v>41</v>
      </c>
      <c r="T5860" s="2" t="s">
        <v>41</v>
      </c>
      <c r="U5860" s="2" t="s">
        <v>41</v>
      </c>
      <c r="V5860" s="2" t="s">
        <v>59</v>
      </c>
      <c r="W5860" s="2">
        <v>38.5</v>
      </c>
      <c r="X5860" s="2">
        <v>0</v>
      </c>
      <c r="Y5860" s="2" t="s">
        <v>560</v>
      </c>
      <c r="Z5860" s="2" t="s">
        <v>38861</v>
      </c>
      <c r="AA5860" s="2">
        <v>-3.5530308127749901</v>
      </c>
      <c r="AB5860" s="2">
        <v>6.0294568352075598E-2</v>
      </c>
      <c r="AC5860" s="2">
        <v>1721.7330908885201</v>
      </c>
      <c r="AD5860" s="2">
        <v>2236.5611212151698</v>
      </c>
      <c r="AE5860" s="2">
        <v>1349.05160927574</v>
      </c>
      <c r="AF5860" s="2">
        <v>1466.1242622765899</v>
      </c>
      <c r="AG5860" s="2">
        <v>1445.3117498532099</v>
      </c>
      <c r="AH5860" s="2">
        <v>1603.5784720025199</v>
      </c>
      <c r="AI5860" s="2">
        <v>1646.1749651580601</v>
      </c>
      <c r="AJ5860" s="2">
        <v>2820.1574867650102</v>
      </c>
      <c r="AK5860" s="2">
        <v>2250.6025048069801</v>
      </c>
      <c r="AL5860" s="2">
        <v>1452.2078259247701</v>
      </c>
      <c r="AM5860" s="2">
        <v>1714.1414460124799</v>
      </c>
      <c r="AN5860" s="2">
        <v>2516.5557160820299</v>
      </c>
      <c r="AO5860" s="2">
        <v>2751.2651539376998</v>
      </c>
      <c r="AP5860" s="2">
        <v>2734.5940805270802</v>
      </c>
    </row>
    <row r="5861" spans="1:42" ht="14.5" x14ac:dyDescent="0.35">
      <c r="A5861" s="2" t="s">
        <v>38862</v>
      </c>
      <c r="B5861" s="2">
        <v>853.41977455000097</v>
      </c>
      <c r="C5861" s="2">
        <v>9.8920666666666701</v>
      </c>
      <c r="D5861" s="2" t="s">
        <v>70</v>
      </c>
      <c r="E5861" s="2" t="s">
        <v>38863</v>
      </c>
      <c r="F5861" s="2">
        <v>62099</v>
      </c>
      <c r="G5861" s="3" t="str">
        <f>HYPERLINK("http://funmeta.oebiotech.com/network/62099", "http://funmeta.oebiotech.com/network/62099")</f>
        <v>http://funmeta.oebiotech.com/network/62099</v>
      </c>
      <c r="H5861" s="2" t="s">
        <v>38864</v>
      </c>
      <c r="I5861" s="2">
        <v>93392</v>
      </c>
      <c r="J5861" s="2"/>
      <c r="K5861" s="2">
        <v>176323</v>
      </c>
      <c r="L5861" s="2"/>
      <c r="M5861" s="2"/>
      <c r="N5861" s="2"/>
      <c r="O5861" s="2">
        <v>13457498</v>
      </c>
      <c r="P5861" s="2" t="s">
        <v>38865</v>
      </c>
      <c r="Q5861" s="2" t="s">
        <v>38866</v>
      </c>
      <c r="R5861" s="2" t="s">
        <v>38867</v>
      </c>
      <c r="S5861" s="2" t="s">
        <v>50</v>
      </c>
      <c r="T5861" s="2" t="s">
        <v>201</v>
      </c>
      <c r="U5861" s="2" t="s">
        <v>202</v>
      </c>
      <c r="V5861" s="2" t="s">
        <v>59</v>
      </c>
      <c r="W5861" s="2">
        <v>37.4</v>
      </c>
      <c r="X5861" s="2">
        <v>0</v>
      </c>
      <c r="Y5861" s="2" t="s">
        <v>408</v>
      </c>
      <c r="Z5861" s="2" t="s">
        <v>38868</v>
      </c>
      <c r="AA5861" s="2">
        <v>-3.6486595846869299</v>
      </c>
      <c r="AB5861" s="2">
        <v>6.0283634831375499E-2</v>
      </c>
      <c r="AC5861" s="2">
        <v>4306.1834022677804</v>
      </c>
      <c r="AD5861" s="2">
        <v>3616.2548301343099</v>
      </c>
      <c r="AE5861" s="2">
        <v>3923.6287686164301</v>
      </c>
      <c r="AF5861" s="2">
        <v>3214.0534029098799</v>
      </c>
      <c r="AG5861" s="2">
        <v>2978.06057472764</v>
      </c>
      <c r="AH5861" s="2">
        <v>5522.0213108313901</v>
      </c>
      <c r="AI5861" s="2">
        <v>5011.9033186520301</v>
      </c>
      <c r="AJ5861" s="2">
        <v>5187.4330378693203</v>
      </c>
      <c r="AK5861" s="2">
        <v>2649.9278627322701</v>
      </c>
      <c r="AL5861" s="2">
        <v>2495.3828871958299</v>
      </c>
      <c r="AM5861" s="2">
        <v>4422.7117476909498</v>
      </c>
      <c r="AN5861" s="2">
        <v>4387.2843189702198</v>
      </c>
      <c r="AO5861" s="2">
        <v>3671.8209806578898</v>
      </c>
      <c r="AP5861" s="2">
        <v>4070.4011835586898</v>
      </c>
    </row>
    <row r="5862" spans="1:42" ht="14.5" x14ac:dyDescent="0.35">
      <c r="A5862" s="2" t="s">
        <v>38869</v>
      </c>
      <c r="B5862" s="2">
        <v>424.10590142787902</v>
      </c>
      <c r="C5862" s="2">
        <v>3.9481333333333302</v>
      </c>
      <c r="D5862" s="2" t="s">
        <v>34</v>
      </c>
      <c r="E5862" s="2" t="s">
        <v>38870</v>
      </c>
      <c r="F5862" s="2">
        <v>213097</v>
      </c>
      <c r="G5862" s="3" t="str">
        <f>HYPERLINK("http://funmeta.oebiotech.com/network/213097", "http://funmeta.oebiotech.com/network/213097")</f>
        <v>http://funmeta.oebiotech.com/network/213097</v>
      </c>
      <c r="H5862" s="2" t="s">
        <v>38871</v>
      </c>
      <c r="I5862" s="2"/>
      <c r="J5862" s="2"/>
      <c r="K5862" s="2"/>
      <c r="L5862" s="2"/>
      <c r="M5862" s="2"/>
      <c r="N5862" s="2"/>
      <c r="O5862" s="2">
        <v>18969086</v>
      </c>
      <c r="P5862" s="2"/>
      <c r="Q5862" s="2" t="s">
        <v>38872</v>
      </c>
      <c r="R5862" s="2" t="s">
        <v>38873</v>
      </c>
      <c r="S5862" s="2" t="s">
        <v>491</v>
      </c>
      <c r="T5862" s="2" t="s">
        <v>3019</v>
      </c>
      <c r="U5862" s="2" t="s">
        <v>10208</v>
      </c>
      <c r="V5862" s="2" t="s">
        <v>59</v>
      </c>
      <c r="W5862" s="2">
        <v>37.299999999999997</v>
      </c>
      <c r="X5862" s="2">
        <v>0</v>
      </c>
      <c r="Y5862" s="2" t="s">
        <v>323</v>
      </c>
      <c r="Z5862" s="2" t="s">
        <v>38874</v>
      </c>
      <c r="AA5862" s="2">
        <v>2.25779280102876</v>
      </c>
      <c r="AB5862" s="2">
        <v>6.0278799185309997E-2</v>
      </c>
      <c r="AC5862" s="2">
        <v>1939.41124132186</v>
      </c>
      <c r="AD5862" s="2">
        <v>2325.86318324903</v>
      </c>
      <c r="AE5862" s="2">
        <v>1819.6723005697099</v>
      </c>
      <c r="AF5862" s="2">
        <v>1755.8755785359399</v>
      </c>
      <c r="AG5862" s="2">
        <v>1630.08943919122</v>
      </c>
      <c r="AH5862" s="2">
        <v>1728.7962735655799</v>
      </c>
      <c r="AI5862" s="2">
        <v>2492.8511157487401</v>
      </c>
      <c r="AJ5862" s="2">
        <v>2209.18274031998</v>
      </c>
      <c r="AK5862" s="2">
        <v>2035.16000770401</v>
      </c>
      <c r="AL5862" s="2">
        <v>2419.8440619439598</v>
      </c>
      <c r="AM5862" s="2">
        <v>2488.3244060747802</v>
      </c>
      <c r="AN5862" s="2">
        <v>2320.8218388094601</v>
      </c>
      <c r="AO5862" s="2">
        <v>2570.2624925488899</v>
      </c>
      <c r="AP5862" s="2">
        <v>2120.76629241307</v>
      </c>
    </row>
    <row r="5863" spans="1:42" ht="14.5" x14ac:dyDescent="0.35">
      <c r="A5863" s="2" t="s">
        <v>38875</v>
      </c>
      <c r="B5863" s="2">
        <v>344.09849583059002</v>
      </c>
      <c r="C5863" s="2">
        <v>4.4710000000000001</v>
      </c>
      <c r="D5863" s="2" t="s">
        <v>70</v>
      </c>
      <c r="E5863" s="2" t="s">
        <v>38876</v>
      </c>
      <c r="F5863" s="2">
        <v>64599</v>
      </c>
      <c r="G5863" s="3" t="str">
        <f>HYPERLINK("http://funmeta.oebiotech.com/network/64599", "http://funmeta.oebiotech.com/network/64599")</f>
        <v>http://funmeta.oebiotech.com/network/64599</v>
      </c>
      <c r="H5863" s="2" t="s">
        <v>38877</v>
      </c>
      <c r="I5863" s="2">
        <v>95901</v>
      </c>
      <c r="J5863" s="2"/>
      <c r="K5863" s="2"/>
      <c r="L5863" s="2"/>
      <c r="M5863" s="2"/>
      <c r="N5863" s="2"/>
      <c r="O5863" s="2">
        <v>75595895</v>
      </c>
      <c r="P5863" s="2"/>
      <c r="Q5863" s="2" t="s">
        <v>38878</v>
      </c>
      <c r="R5863" s="2" t="s">
        <v>38879</v>
      </c>
      <c r="S5863" s="2" t="s">
        <v>79</v>
      </c>
      <c r="T5863" s="2" t="s">
        <v>80</v>
      </c>
      <c r="U5863" s="2" t="s">
        <v>81</v>
      </c>
      <c r="V5863" s="2" t="s">
        <v>59</v>
      </c>
      <c r="W5863" s="2">
        <v>38</v>
      </c>
      <c r="X5863" s="2">
        <v>0</v>
      </c>
      <c r="Y5863" s="2" t="s">
        <v>408</v>
      </c>
      <c r="Z5863" s="2" t="s">
        <v>38880</v>
      </c>
      <c r="AA5863" s="2">
        <v>-0.69851544365096996</v>
      </c>
      <c r="AB5863" s="2">
        <v>6.0226103252833701E-2</v>
      </c>
      <c r="AC5863" s="2">
        <v>9595.3511651959507</v>
      </c>
      <c r="AD5863" s="2">
        <v>10143.384537830399</v>
      </c>
      <c r="AE5863" s="2">
        <v>9825.8250275907194</v>
      </c>
      <c r="AF5863" s="2">
        <v>10081.159251206</v>
      </c>
      <c r="AG5863" s="2">
        <v>8233.3741108048907</v>
      </c>
      <c r="AH5863" s="2">
        <v>9683.9011897611599</v>
      </c>
      <c r="AI5863" s="2">
        <v>9978.69779526001</v>
      </c>
      <c r="AJ5863" s="2">
        <v>9769.1496165529297</v>
      </c>
      <c r="AK5863" s="2">
        <v>10503.3754467483</v>
      </c>
      <c r="AL5863" s="2">
        <v>9663.5682159288808</v>
      </c>
      <c r="AM5863" s="2">
        <v>9269.5896294483391</v>
      </c>
      <c r="AN5863" s="2">
        <v>10532.017325442601</v>
      </c>
      <c r="AO5863" s="2">
        <v>10805.5769538941</v>
      </c>
      <c r="AP5863" s="2">
        <v>10086.1796555201</v>
      </c>
    </row>
    <row r="5864" spans="1:42" ht="14.5" x14ac:dyDescent="0.35">
      <c r="A5864" s="2" t="s">
        <v>38881</v>
      </c>
      <c r="B5864" s="2">
        <v>483.29459039435</v>
      </c>
      <c r="C5864" s="2">
        <v>6.8343333333333298</v>
      </c>
      <c r="D5864" s="2" t="s">
        <v>34</v>
      </c>
      <c r="E5864" s="2" t="s">
        <v>38882</v>
      </c>
      <c r="F5864" s="2">
        <v>29</v>
      </c>
      <c r="G5864" s="3" t="str">
        <f>HYPERLINK("http://funmeta.oebiotech.com/network/29", "http://funmeta.oebiotech.com/network/29")</f>
        <v>http://funmeta.oebiotech.com/network/29</v>
      </c>
      <c r="H5864" s="2"/>
      <c r="I5864" s="2"/>
      <c r="J5864" s="2" t="s">
        <v>38883</v>
      </c>
      <c r="K5864" s="2"/>
      <c r="L5864" s="2"/>
      <c r="M5864" s="2"/>
      <c r="N5864" s="2"/>
      <c r="O5864" s="2">
        <v>102124754</v>
      </c>
      <c r="P5864" s="2"/>
      <c r="Q5864" s="2" t="s">
        <v>38884</v>
      </c>
      <c r="R5864" s="2" t="s">
        <v>38885</v>
      </c>
      <c r="S5864" s="2" t="s">
        <v>2084</v>
      </c>
      <c r="T5864" s="2" t="s">
        <v>2085</v>
      </c>
      <c r="U5864" s="2" t="s">
        <v>2086</v>
      </c>
      <c r="V5864" s="2" t="s">
        <v>59</v>
      </c>
      <c r="W5864" s="2">
        <v>38.4</v>
      </c>
      <c r="X5864" s="2">
        <v>0</v>
      </c>
      <c r="Y5864" s="2" t="s">
        <v>340</v>
      </c>
      <c r="Z5864" s="2" t="s">
        <v>38886</v>
      </c>
      <c r="AA5864" s="2">
        <v>0.43772542569184197</v>
      </c>
      <c r="AB5864" s="2">
        <v>6.0169638179406702E-2</v>
      </c>
      <c r="AC5864" s="2">
        <v>11003.5567783882</v>
      </c>
      <c r="AD5864" s="2">
        <v>9816.4605072552495</v>
      </c>
      <c r="AE5864" s="2">
        <v>9742.7019328911501</v>
      </c>
      <c r="AF5864" s="2">
        <v>13756.521125904101</v>
      </c>
      <c r="AG5864" s="2">
        <v>5488.3352235085904</v>
      </c>
      <c r="AH5864" s="2">
        <v>17031.850342727499</v>
      </c>
      <c r="AI5864" s="2">
        <v>7443.4149587984302</v>
      </c>
      <c r="AJ5864" s="2">
        <v>12558.5170864997</v>
      </c>
      <c r="AK5864" s="2">
        <v>12384.8207341285</v>
      </c>
      <c r="AL5864" s="2">
        <v>11658.9659801244</v>
      </c>
      <c r="AM5864" s="2">
        <v>8877.1651968663991</v>
      </c>
      <c r="AN5864" s="2">
        <v>8464.9667688915597</v>
      </c>
      <c r="AO5864" s="2">
        <v>7235.1362320555199</v>
      </c>
      <c r="AP5864" s="2">
        <v>10277.7081314651</v>
      </c>
    </row>
    <row r="5865" spans="1:42" ht="14.5" x14ac:dyDescent="0.35">
      <c r="A5865" s="2" t="s">
        <v>38887</v>
      </c>
      <c r="B5865" s="2">
        <v>531.180817526753</v>
      </c>
      <c r="C5865" s="2">
        <v>5.5805999999999996</v>
      </c>
      <c r="D5865" s="2" t="s">
        <v>70</v>
      </c>
      <c r="E5865" s="2" t="s">
        <v>38888</v>
      </c>
      <c r="F5865" s="2">
        <v>266558</v>
      </c>
      <c r="G5865" s="3" t="str">
        <f>HYPERLINK("http://funmeta.oebiotech.com/network/266558", "http://funmeta.oebiotech.com/network/266558")</f>
        <v>http://funmeta.oebiotech.com/network/266558</v>
      </c>
      <c r="H5865" s="2"/>
      <c r="I5865" s="2">
        <v>43575</v>
      </c>
      <c r="J5865" s="2"/>
      <c r="K5865" s="2"/>
      <c r="L5865" s="2"/>
      <c r="M5865" s="2"/>
      <c r="N5865" s="2"/>
      <c r="O5865" s="2">
        <v>4119</v>
      </c>
      <c r="P5865" s="2"/>
      <c r="Q5865" s="2" t="s">
        <v>38889</v>
      </c>
      <c r="R5865" s="2" t="s">
        <v>38890</v>
      </c>
      <c r="S5865" s="2" t="s">
        <v>115</v>
      </c>
      <c r="T5865" s="2" t="s">
        <v>139</v>
      </c>
      <c r="U5865" s="2" t="s">
        <v>1552</v>
      </c>
      <c r="V5865" s="2" t="s">
        <v>59</v>
      </c>
      <c r="W5865" s="2">
        <v>39.1</v>
      </c>
      <c r="X5865" s="2">
        <v>0</v>
      </c>
      <c r="Y5865" s="2" t="s">
        <v>560</v>
      </c>
      <c r="Z5865" s="2" t="s">
        <v>38891</v>
      </c>
      <c r="AA5865" s="2">
        <v>-0.92947608648089497</v>
      </c>
      <c r="AB5865" s="2">
        <v>6.0123947513267897E-2</v>
      </c>
      <c r="AC5865" s="2">
        <v>6331.75635981704</v>
      </c>
      <c r="AD5865" s="2">
        <v>7025.1382792720497</v>
      </c>
      <c r="AE5865" s="2">
        <v>8052.16879763012</v>
      </c>
      <c r="AF5865" s="2">
        <v>6679.2501094085101</v>
      </c>
      <c r="AG5865" s="2">
        <v>6006.58503574921</v>
      </c>
      <c r="AH5865" s="2">
        <v>5263.7852207598698</v>
      </c>
      <c r="AI5865" s="2">
        <v>5501.4262430182098</v>
      </c>
      <c r="AJ5865" s="2">
        <v>6487.3227523363103</v>
      </c>
      <c r="AK5865" s="2">
        <v>7693.46654012622</v>
      </c>
      <c r="AL5865" s="2">
        <v>8672.9452096602708</v>
      </c>
      <c r="AM5865" s="2">
        <v>6638.3609589714097</v>
      </c>
      <c r="AN5865" s="2">
        <v>6486.7508341128696</v>
      </c>
      <c r="AO5865" s="2">
        <v>5930.3011074749602</v>
      </c>
      <c r="AP5865" s="2">
        <v>6729.0050252865403</v>
      </c>
    </row>
    <row r="5866" spans="1:42" ht="14.5" x14ac:dyDescent="0.35">
      <c r="A5866" s="2" t="s">
        <v>38892</v>
      </c>
      <c r="B5866" s="2">
        <v>326.08012298536897</v>
      </c>
      <c r="C5866" s="2">
        <v>1.3287</v>
      </c>
      <c r="D5866" s="2" t="s">
        <v>34</v>
      </c>
      <c r="E5866" s="2" t="s">
        <v>38893</v>
      </c>
      <c r="F5866" s="2">
        <v>210899</v>
      </c>
      <c r="G5866" s="3" t="str">
        <f>HYPERLINK("http://funmeta.oebiotech.com/network/210899", "http://funmeta.oebiotech.com/network/210899")</f>
        <v>http://funmeta.oebiotech.com/network/210899</v>
      </c>
      <c r="H5866" s="2" t="s">
        <v>38894</v>
      </c>
      <c r="I5866" s="2">
        <v>331200</v>
      </c>
      <c r="J5866" s="2"/>
      <c r="K5866" s="2"/>
      <c r="L5866" s="2"/>
      <c r="M5866" s="2"/>
      <c r="N5866" s="2"/>
      <c r="O5866" s="2">
        <v>449054</v>
      </c>
      <c r="P5866" s="2"/>
      <c r="Q5866" s="2" t="s">
        <v>38895</v>
      </c>
      <c r="R5866" s="2" t="s">
        <v>38896</v>
      </c>
      <c r="S5866" s="2" t="s">
        <v>491</v>
      </c>
      <c r="T5866" s="2" t="s">
        <v>2238</v>
      </c>
      <c r="U5866" s="2" t="s">
        <v>12835</v>
      </c>
      <c r="V5866" s="2" t="s">
        <v>59</v>
      </c>
      <c r="W5866" s="2">
        <v>37.700000000000003</v>
      </c>
      <c r="X5866" s="2">
        <v>0</v>
      </c>
      <c r="Y5866" s="2" t="s">
        <v>340</v>
      </c>
      <c r="Z5866" s="2" t="s">
        <v>38897</v>
      </c>
      <c r="AA5866" s="2">
        <v>-0.45464217474283503</v>
      </c>
      <c r="AB5866" s="2">
        <v>6.0035173645088202E-2</v>
      </c>
      <c r="AC5866" s="2">
        <v>3527.4015302706498</v>
      </c>
      <c r="AD5866" s="2">
        <v>3964.1640554435899</v>
      </c>
      <c r="AE5866" s="2">
        <v>3730.0646596893898</v>
      </c>
      <c r="AF5866" s="2">
        <v>3345.1064064040902</v>
      </c>
      <c r="AG5866" s="2">
        <v>3078.4858434992502</v>
      </c>
      <c r="AH5866" s="2">
        <v>3815.1249559091402</v>
      </c>
      <c r="AI5866" s="2">
        <v>3276.8044807718502</v>
      </c>
      <c r="AJ5866" s="2">
        <v>3918.8228353502</v>
      </c>
      <c r="AK5866" s="2">
        <v>4164.55350532389</v>
      </c>
      <c r="AL5866" s="2">
        <v>3925.1252485922801</v>
      </c>
      <c r="AM5866" s="2">
        <v>4032.2136758622701</v>
      </c>
      <c r="AN5866" s="2">
        <v>4145.0341252354101</v>
      </c>
      <c r="AO5866" s="2">
        <v>3198.6723057731001</v>
      </c>
      <c r="AP5866" s="2">
        <v>4319.3854718745697</v>
      </c>
    </row>
    <row r="5867" spans="1:42" ht="14.5" x14ac:dyDescent="0.35">
      <c r="A5867" s="2" t="s">
        <v>38898</v>
      </c>
      <c r="B5867" s="2">
        <v>307.12239487981901</v>
      </c>
      <c r="C5867" s="2">
        <v>1.5714333333333299</v>
      </c>
      <c r="D5867" s="2" t="s">
        <v>34</v>
      </c>
      <c r="E5867" s="2" t="s">
        <v>38899</v>
      </c>
      <c r="F5867" s="2">
        <v>208759</v>
      </c>
      <c r="G5867" s="3" t="str">
        <f>HYPERLINK("http://funmeta.oebiotech.com/network/208759", "http://funmeta.oebiotech.com/network/208759")</f>
        <v>http://funmeta.oebiotech.com/network/208759</v>
      </c>
      <c r="H5867" s="2" t="s">
        <v>38900</v>
      </c>
      <c r="I5867" s="2"/>
      <c r="J5867" s="2"/>
      <c r="K5867" s="2"/>
      <c r="L5867" s="2"/>
      <c r="M5867" s="2"/>
      <c r="N5867" s="2"/>
      <c r="O5867" s="2">
        <v>68590</v>
      </c>
      <c r="P5867" s="2"/>
      <c r="Q5867" s="2" t="s">
        <v>38901</v>
      </c>
      <c r="R5867" s="2" t="s">
        <v>38902</v>
      </c>
      <c r="S5867" s="2" t="s">
        <v>41</v>
      </c>
      <c r="T5867" s="2" t="s">
        <v>41</v>
      </c>
      <c r="U5867" s="2" t="s">
        <v>41</v>
      </c>
      <c r="V5867" s="2" t="s">
        <v>59</v>
      </c>
      <c r="W5867" s="2">
        <v>36.4</v>
      </c>
      <c r="X5867" s="2">
        <v>0</v>
      </c>
      <c r="Y5867" s="2" t="s">
        <v>394</v>
      </c>
      <c r="Z5867" s="2" t="s">
        <v>38903</v>
      </c>
      <c r="AA5867" s="2">
        <v>0.23393897031722</v>
      </c>
      <c r="AB5867" s="2">
        <v>5.9967192828908097E-2</v>
      </c>
      <c r="AC5867" s="2">
        <v>1875.37577465701</v>
      </c>
      <c r="AD5867" s="2">
        <v>2261.8068448017798</v>
      </c>
      <c r="AE5867" s="2">
        <v>1965.29925754135</v>
      </c>
      <c r="AF5867" s="2">
        <v>1648.1427038321899</v>
      </c>
      <c r="AG5867" s="2">
        <v>1858.92471893723</v>
      </c>
      <c r="AH5867" s="2">
        <v>1971.8007696411401</v>
      </c>
      <c r="AI5867" s="2">
        <v>1834.6749204907401</v>
      </c>
      <c r="AJ5867" s="2">
        <v>1973.41227749942</v>
      </c>
      <c r="AK5867" s="2">
        <v>1971.49662061551</v>
      </c>
      <c r="AL5867" s="2">
        <v>1862.7026229852099</v>
      </c>
      <c r="AM5867" s="2">
        <v>2859.5861824559602</v>
      </c>
      <c r="AN5867" s="2">
        <v>2053.6921431014598</v>
      </c>
      <c r="AO5867" s="2">
        <v>2452.25622566838</v>
      </c>
      <c r="AP5867" s="2">
        <v>2371.1072739841402</v>
      </c>
    </row>
    <row r="5868" spans="1:42" ht="14.5" x14ac:dyDescent="0.35">
      <c r="A5868" s="2" t="s">
        <v>38904</v>
      </c>
      <c r="B5868" s="2">
        <v>463.079297127122</v>
      </c>
      <c r="C5868" s="2">
        <v>3.7155666666666698</v>
      </c>
      <c r="D5868" s="2" t="s">
        <v>34</v>
      </c>
      <c r="E5868" s="2" t="s">
        <v>38905</v>
      </c>
      <c r="F5868" s="2">
        <v>29722</v>
      </c>
      <c r="G5868" s="3" t="str">
        <f>HYPERLINK("http://funmeta.oebiotech.com/network/29722", "http://funmeta.oebiotech.com/network/29722")</f>
        <v>http://funmeta.oebiotech.com/network/29722</v>
      </c>
      <c r="H5868" s="2"/>
      <c r="I5868" s="2">
        <v>48084</v>
      </c>
      <c r="J5868" s="2" t="s">
        <v>38906</v>
      </c>
      <c r="K5868" s="2"/>
      <c r="L5868" s="2"/>
      <c r="M5868" s="2"/>
      <c r="N5868" s="2"/>
      <c r="O5868" s="2">
        <v>44257423</v>
      </c>
      <c r="P5868" s="2"/>
      <c r="Q5868" s="2" t="s">
        <v>38907</v>
      </c>
      <c r="R5868" s="2" t="s">
        <v>38908</v>
      </c>
      <c r="S5868" s="2" t="s">
        <v>115</v>
      </c>
      <c r="T5868" s="2" t="s">
        <v>1371</v>
      </c>
      <c r="U5868" s="2" t="s">
        <v>10759</v>
      </c>
      <c r="V5868" s="2" t="s">
        <v>59</v>
      </c>
      <c r="W5868" s="2">
        <v>37.700000000000003</v>
      </c>
      <c r="X5868" s="2">
        <v>0</v>
      </c>
      <c r="Y5868" s="2" t="s">
        <v>340</v>
      </c>
      <c r="Z5868" s="2" t="s">
        <v>38909</v>
      </c>
      <c r="AA5868" s="2">
        <v>0.75792797216811503</v>
      </c>
      <c r="AB5868" s="2">
        <v>5.9962966901442101E-2</v>
      </c>
      <c r="AC5868" s="2">
        <v>1315.1707168619901</v>
      </c>
      <c r="AD5868" s="2">
        <v>797.75379859184602</v>
      </c>
      <c r="AE5868" s="2">
        <v>460.43569258402601</v>
      </c>
      <c r="AF5868" s="2">
        <v>2024.9022910086501</v>
      </c>
      <c r="AG5868" s="2">
        <v>1304.48387349987</v>
      </c>
      <c r="AH5868" s="2">
        <v>1661.0440168413199</v>
      </c>
      <c r="AI5868" s="2">
        <v>1307.1032040612699</v>
      </c>
      <c r="AJ5868" s="2">
        <v>1133.0552231768099</v>
      </c>
      <c r="AK5868" s="2">
        <v>589.45675908235398</v>
      </c>
      <c r="AL5868" s="2">
        <v>1455.01501227176</v>
      </c>
      <c r="AM5868" s="2">
        <v>486.18622859039499</v>
      </c>
      <c r="AN5868" s="2">
        <v>755.042545686062</v>
      </c>
      <c r="AO5868" s="2">
        <v>1500.8222188142099</v>
      </c>
      <c r="AP5868" s="2">
        <v>2.7106294003980101E-5</v>
      </c>
    </row>
    <row r="5869" spans="1:42" ht="14.5" x14ac:dyDescent="0.35">
      <c r="A5869" s="2" t="s">
        <v>38910</v>
      </c>
      <c r="B5869" s="2">
        <v>584.48773918787299</v>
      </c>
      <c r="C5869" s="2">
        <v>14.3843</v>
      </c>
      <c r="D5869" s="2" t="s">
        <v>34</v>
      </c>
      <c r="E5869" s="2" t="s">
        <v>38911</v>
      </c>
      <c r="F5869" s="2">
        <v>248032</v>
      </c>
      <c r="G5869" s="3" t="str">
        <f>HYPERLINK("http://funmeta.oebiotech.com/network/248032", "http://funmeta.oebiotech.com/network/248032")</f>
        <v>http://funmeta.oebiotech.com/network/248032</v>
      </c>
      <c r="H5869" s="2" t="s">
        <v>38912</v>
      </c>
      <c r="I5869" s="2"/>
      <c r="J5869" s="2"/>
      <c r="K5869" s="2"/>
      <c r="L5869" s="2"/>
      <c r="M5869" s="2"/>
      <c r="N5869" s="2"/>
      <c r="O5869" s="2"/>
      <c r="P5869" s="2"/>
      <c r="Q5869" s="2" t="s">
        <v>38913</v>
      </c>
      <c r="R5869" s="2" t="s">
        <v>38914</v>
      </c>
      <c r="S5869" s="2" t="s">
        <v>41</v>
      </c>
      <c r="T5869" s="2" t="s">
        <v>41</v>
      </c>
      <c r="U5869" s="2" t="s">
        <v>41</v>
      </c>
      <c r="V5869" s="2" t="s">
        <v>42</v>
      </c>
      <c r="W5869" s="2">
        <v>51.8</v>
      </c>
      <c r="X5869" s="2">
        <v>63.5</v>
      </c>
      <c r="Y5869" s="2" t="s">
        <v>43</v>
      </c>
      <c r="Z5869" s="2" t="s">
        <v>38915</v>
      </c>
      <c r="AA5869" s="2">
        <v>-1.2817404531065899</v>
      </c>
      <c r="AB5869" s="2">
        <v>5.9956531570485E-2</v>
      </c>
      <c r="AC5869" s="2">
        <v>41251.992843921798</v>
      </c>
      <c r="AD5869" s="2">
        <v>39674.629735175702</v>
      </c>
      <c r="AE5869" s="2">
        <v>36732.9250784713</v>
      </c>
      <c r="AF5869" s="2">
        <v>36067.816198588298</v>
      </c>
      <c r="AG5869" s="2">
        <v>41156.161190930601</v>
      </c>
      <c r="AH5869" s="2">
        <v>42402.641750196402</v>
      </c>
      <c r="AI5869" s="2">
        <v>44511.690780154102</v>
      </c>
      <c r="AJ5869" s="2">
        <v>46640.722065189897</v>
      </c>
      <c r="AK5869" s="2">
        <v>51683.344937577698</v>
      </c>
      <c r="AL5869" s="2">
        <v>32357.921499899599</v>
      </c>
      <c r="AM5869" s="2">
        <v>38219.7712438546</v>
      </c>
      <c r="AN5869" s="2">
        <v>37108.585893214702</v>
      </c>
      <c r="AO5869" s="2">
        <v>37601.098653595604</v>
      </c>
      <c r="AP5869" s="2">
        <v>41077.056182911903</v>
      </c>
    </row>
    <row r="5870" spans="1:42" ht="14.5" x14ac:dyDescent="0.35">
      <c r="A5870" s="2" t="s">
        <v>38916</v>
      </c>
      <c r="B5870" s="2">
        <v>605.217826617985</v>
      </c>
      <c r="C5870" s="2">
        <v>5.3016333333333296</v>
      </c>
      <c r="D5870" s="2" t="s">
        <v>70</v>
      </c>
      <c r="E5870" s="2" t="s">
        <v>38917</v>
      </c>
      <c r="F5870" s="2">
        <v>210832</v>
      </c>
      <c r="G5870" s="3" t="str">
        <f>HYPERLINK("http://funmeta.oebiotech.com/network/210832", "http://funmeta.oebiotech.com/network/210832")</f>
        <v>http://funmeta.oebiotech.com/network/210832</v>
      </c>
      <c r="H5870" s="2" t="s">
        <v>38918</v>
      </c>
      <c r="I5870" s="2"/>
      <c r="J5870" s="2"/>
      <c r="K5870" s="2">
        <v>90217</v>
      </c>
      <c r="L5870" s="2"/>
      <c r="M5870" s="2"/>
      <c r="N5870" s="2"/>
      <c r="O5870" s="2"/>
      <c r="P5870" s="2"/>
      <c r="Q5870" s="2" t="s">
        <v>38919</v>
      </c>
      <c r="R5870" s="2" t="s">
        <v>38920</v>
      </c>
      <c r="S5870" s="2" t="s">
        <v>491</v>
      </c>
      <c r="T5870" s="2" t="s">
        <v>3519</v>
      </c>
      <c r="U5870" s="2" t="s">
        <v>7268</v>
      </c>
      <c r="V5870" s="2" t="s">
        <v>59</v>
      </c>
      <c r="W5870" s="2">
        <v>36.6</v>
      </c>
      <c r="X5870" s="2">
        <v>0</v>
      </c>
      <c r="Y5870" s="2" t="s">
        <v>408</v>
      </c>
      <c r="Z5870" s="2" t="s">
        <v>38921</v>
      </c>
      <c r="AA5870" s="2">
        <v>-1.6971624009647599</v>
      </c>
      <c r="AB5870" s="2">
        <v>5.99118214649779E-2</v>
      </c>
      <c r="AC5870" s="2">
        <v>23544.550918063302</v>
      </c>
      <c r="AD5870" s="2">
        <v>22416.072948626799</v>
      </c>
      <c r="AE5870" s="2">
        <v>21080.396117714601</v>
      </c>
      <c r="AF5870" s="2">
        <v>25451.5702951936</v>
      </c>
      <c r="AG5870" s="2">
        <v>24394.490583629999</v>
      </c>
      <c r="AH5870" s="2">
        <v>21890.601814635302</v>
      </c>
      <c r="AI5870" s="2">
        <v>25674.708722961401</v>
      </c>
      <c r="AJ5870" s="2">
        <v>22775.537974244999</v>
      </c>
      <c r="AK5870" s="2">
        <v>20394.866622425699</v>
      </c>
      <c r="AL5870" s="2">
        <v>21145.697634417</v>
      </c>
      <c r="AM5870" s="2">
        <v>23513.556419344299</v>
      </c>
      <c r="AN5870" s="2">
        <v>27026.851230497599</v>
      </c>
      <c r="AO5870" s="2">
        <v>24770.578207873601</v>
      </c>
      <c r="AP5870" s="2">
        <v>17644.8875772024</v>
      </c>
    </row>
    <row r="5871" spans="1:42" ht="14.5" x14ac:dyDescent="0.35">
      <c r="A5871" s="2" t="s">
        <v>38922</v>
      </c>
      <c r="B5871" s="2">
        <v>511.18531883995797</v>
      </c>
      <c r="C5871" s="2">
        <v>5.4873666666666701</v>
      </c>
      <c r="D5871" s="2" t="s">
        <v>70</v>
      </c>
      <c r="E5871" s="2" t="s">
        <v>38923</v>
      </c>
      <c r="F5871" s="2">
        <v>202691</v>
      </c>
      <c r="G5871" s="3" t="str">
        <f>HYPERLINK("http://funmeta.oebiotech.com/network/202691", "http://funmeta.oebiotech.com/network/202691")</f>
        <v>http://funmeta.oebiotech.com/network/202691</v>
      </c>
      <c r="H5871" s="2" t="s">
        <v>38924</v>
      </c>
      <c r="I5871" s="2"/>
      <c r="J5871" s="2"/>
      <c r="K5871" s="2"/>
      <c r="L5871" s="2"/>
      <c r="M5871" s="2"/>
      <c r="N5871" s="2"/>
      <c r="O5871" s="2"/>
      <c r="P5871" s="2"/>
      <c r="Q5871" s="2" t="s">
        <v>38925</v>
      </c>
      <c r="R5871" s="2" t="s">
        <v>38926</v>
      </c>
      <c r="S5871" s="2" t="s">
        <v>491</v>
      </c>
      <c r="T5871" s="2" t="s">
        <v>7431</v>
      </c>
      <c r="U5871" s="2" t="s">
        <v>7432</v>
      </c>
      <c r="V5871" s="2" t="s">
        <v>59</v>
      </c>
      <c r="W5871" s="2">
        <v>38.9</v>
      </c>
      <c r="X5871" s="2">
        <v>0</v>
      </c>
      <c r="Y5871" s="2" t="s">
        <v>560</v>
      </c>
      <c r="Z5871" s="2" t="s">
        <v>38927</v>
      </c>
      <c r="AA5871" s="2">
        <v>1.0620735642258601</v>
      </c>
      <c r="AB5871" s="2">
        <v>5.9880880530692501E-2</v>
      </c>
      <c r="AC5871" s="2">
        <v>3074.9901246711702</v>
      </c>
      <c r="AD5871" s="2">
        <v>3732.7166656740101</v>
      </c>
      <c r="AE5871" s="2">
        <v>3635.4446321289302</v>
      </c>
      <c r="AF5871" s="2">
        <v>3390.4355468367899</v>
      </c>
      <c r="AG5871" s="2">
        <v>2973.0527000505099</v>
      </c>
      <c r="AH5871" s="2">
        <v>1838.3186124845799</v>
      </c>
      <c r="AI5871" s="2">
        <v>4014.6781568420101</v>
      </c>
      <c r="AJ5871" s="2">
        <v>2598.0110996842</v>
      </c>
      <c r="AK5871" s="2">
        <v>5718.7407273569497</v>
      </c>
      <c r="AL5871" s="2">
        <v>2674.6881686951301</v>
      </c>
      <c r="AM5871" s="2">
        <v>3928.5774806693998</v>
      </c>
      <c r="AN5871" s="2">
        <v>3428.0250538666201</v>
      </c>
      <c r="AO5871" s="2">
        <v>2826.6660032695499</v>
      </c>
      <c r="AP5871" s="2">
        <v>3819.6025601864299</v>
      </c>
    </row>
    <row r="5872" spans="1:42" ht="14.5" x14ac:dyDescent="0.35">
      <c r="A5872" s="2" t="s">
        <v>38928</v>
      </c>
      <c r="B5872" s="2">
        <v>103.038961781106</v>
      </c>
      <c r="C5872" s="2">
        <v>2.2769833333333298</v>
      </c>
      <c r="D5872" s="2" t="s">
        <v>34</v>
      </c>
      <c r="E5872" s="2" t="s">
        <v>38929</v>
      </c>
      <c r="F5872" s="2">
        <v>48700</v>
      </c>
      <c r="G5872" s="3" t="str">
        <f>HYPERLINK("http://funmeta.oebiotech.com/network/48700", "http://funmeta.oebiotech.com/network/48700")</f>
        <v>http://funmeta.oebiotech.com/network/48700</v>
      </c>
      <c r="H5872" s="2" t="s">
        <v>38930</v>
      </c>
      <c r="I5872" s="2">
        <v>58385</v>
      </c>
      <c r="J5872" s="2"/>
      <c r="K5872" s="2">
        <v>27913</v>
      </c>
      <c r="L5872" s="2" t="s">
        <v>38931</v>
      </c>
      <c r="M5872" s="2"/>
      <c r="N5872" s="2"/>
      <c r="O5872" s="2">
        <v>5460032</v>
      </c>
      <c r="P5872" s="2" t="s">
        <v>38932</v>
      </c>
      <c r="Q5872" s="2" t="s">
        <v>38933</v>
      </c>
      <c r="R5872" s="2" t="s">
        <v>38934</v>
      </c>
      <c r="S5872" s="2" t="s">
        <v>79</v>
      </c>
      <c r="T5872" s="2" t="s">
        <v>80</v>
      </c>
      <c r="U5872" s="2" t="s">
        <v>81</v>
      </c>
      <c r="V5872" s="2" t="s">
        <v>59</v>
      </c>
      <c r="W5872" s="2">
        <v>39.6</v>
      </c>
      <c r="X5872" s="2">
        <v>0</v>
      </c>
      <c r="Y5872" s="2" t="s">
        <v>141</v>
      </c>
      <c r="Z5872" s="2" t="s">
        <v>9602</v>
      </c>
      <c r="AA5872" s="2">
        <v>-7.2505249752754505E-2</v>
      </c>
      <c r="AB5872" s="2">
        <v>5.9817382684266798E-2</v>
      </c>
      <c r="AC5872" s="2">
        <v>8421.5168931586504</v>
      </c>
      <c r="AD5872" s="2">
        <v>7796.34493473989</v>
      </c>
      <c r="AE5872" s="2">
        <v>7417.8654965354499</v>
      </c>
      <c r="AF5872" s="2">
        <v>8564.7781857557493</v>
      </c>
      <c r="AG5872" s="2">
        <v>8517.8657618912293</v>
      </c>
      <c r="AH5872" s="2">
        <v>8387.6189522938603</v>
      </c>
      <c r="AI5872" s="2">
        <v>8737.6741805533002</v>
      </c>
      <c r="AJ5872" s="2">
        <v>8903.2987819223399</v>
      </c>
      <c r="AK5872" s="2">
        <v>6146.6427584916601</v>
      </c>
      <c r="AL5872" s="2">
        <v>7047.8398058155299</v>
      </c>
      <c r="AM5872" s="2">
        <v>7717.7000897255102</v>
      </c>
      <c r="AN5872" s="2">
        <v>8587.7695452570206</v>
      </c>
      <c r="AO5872" s="2">
        <v>8480.6788650913495</v>
      </c>
      <c r="AP5872" s="2">
        <v>8797.4385440582701</v>
      </c>
    </row>
    <row r="5873" spans="1:42" ht="14.5" x14ac:dyDescent="0.35">
      <c r="A5873" s="2" t="s">
        <v>38935</v>
      </c>
      <c r="B5873" s="2">
        <v>1191.29365011698</v>
      </c>
      <c r="C5873" s="2">
        <v>4.1410833333333299</v>
      </c>
      <c r="D5873" s="2" t="s">
        <v>34</v>
      </c>
      <c r="E5873" s="2" t="s">
        <v>38936</v>
      </c>
      <c r="F5873" s="2">
        <v>52050</v>
      </c>
      <c r="G5873" s="3" t="str">
        <f>HYPERLINK("http://funmeta.oebiotech.com/network/52050", "http://funmeta.oebiotech.com/network/52050")</f>
        <v>http://funmeta.oebiotech.com/network/52050</v>
      </c>
      <c r="H5873" s="2" t="s">
        <v>38937</v>
      </c>
      <c r="I5873" s="2"/>
      <c r="J5873" s="2"/>
      <c r="K5873" s="2"/>
      <c r="L5873" s="2"/>
      <c r="M5873" s="2"/>
      <c r="N5873" s="2"/>
      <c r="O5873" s="2">
        <v>76043762</v>
      </c>
      <c r="P5873" s="2"/>
      <c r="Q5873" s="2" t="s">
        <v>38938</v>
      </c>
      <c r="R5873" s="2" t="s">
        <v>38939</v>
      </c>
      <c r="S5873" s="2" t="s">
        <v>50</v>
      </c>
      <c r="T5873" s="2" t="s">
        <v>229</v>
      </c>
      <c r="U5873" s="2" t="s">
        <v>10433</v>
      </c>
      <c r="V5873" s="2" t="s">
        <v>59</v>
      </c>
      <c r="W5873" s="2">
        <v>37.5</v>
      </c>
      <c r="X5873" s="2">
        <v>0</v>
      </c>
      <c r="Y5873" s="2" t="s">
        <v>141</v>
      </c>
      <c r="Z5873" s="2" t="s">
        <v>38940</v>
      </c>
      <c r="AA5873" s="2">
        <v>-0.32604556862619599</v>
      </c>
      <c r="AB5873" s="2">
        <v>5.9704107158187303E-2</v>
      </c>
      <c r="AC5873" s="2">
        <v>9329.2722602702706</v>
      </c>
      <c r="AD5873" s="2">
        <v>10456.778961012</v>
      </c>
      <c r="AE5873" s="2">
        <v>14327.895181988</v>
      </c>
      <c r="AF5873" s="2">
        <v>7635.7156178076602</v>
      </c>
      <c r="AG5873" s="2">
        <v>9840.36963087201</v>
      </c>
      <c r="AH5873" s="2">
        <v>6367.5433733045902</v>
      </c>
      <c r="AI5873" s="2">
        <v>6137.9572114847797</v>
      </c>
      <c r="AJ5873" s="2">
        <v>11666.1525461646</v>
      </c>
      <c r="AK5873" s="2">
        <v>7360.4802852800403</v>
      </c>
      <c r="AL5873" s="2">
        <v>8636.8912129437904</v>
      </c>
      <c r="AM5873" s="2">
        <v>11611.497584467499</v>
      </c>
      <c r="AN5873" s="2">
        <v>9917.6787346991405</v>
      </c>
      <c r="AO5873" s="2">
        <v>11402.6430314925</v>
      </c>
      <c r="AP5873" s="2">
        <v>13811.482917189</v>
      </c>
    </row>
    <row r="5874" spans="1:42" ht="14.5" x14ac:dyDescent="0.35">
      <c r="A5874" s="2" t="s">
        <v>38941</v>
      </c>
      <c r="B5874" s="2">
        <v>443.19235109023703</v>
      </c>
      <c r="C5874" s="2">
        <v>5.3579833333333298</v>
      </c>
      <c r="D5874" s="2" t="s">
        <v>70</v>
      </c>
      <c r="E5874" s="2" t="s">
        <v>38942</v>
      </c>
      <c r="F5874" s="2">
        <v>53876</v>
      </c>
      <c r="G5874" s="3" t="str">
        <f>HYPERLINK("http://funmeta.oebiotech.com/network/53876", "http://funmeta.oebiotech.com/network/53876")</f>
        <v>http://funmeta.oebiotech.com/network/53876</v>
      </c>
      <c r="H5874" s="2" t="s">
        <v>38943</v>
      </c>
      <c r="I5874" s="2"/>
      <c r="J5874" s="2"/>
      <c r="K5874" s="2"/>
      <c r="L5874" s="2"/>
      <c r="M5874" s="2"/>
      <c r="N5874" s="2"/>
      <c r="O5874" s="2">
        <v>97415</v>
      </c>
      <c r="P5874" s="2"/>
      <c r="Q5874" s="2" t="s">
        <v>38944</v>
      </c>
      <c r="R5874" s="2" t="s">
        <v>38945</v>
      </c>
      <c r="S5874" s="2" t="s">
        <v>89</v>
      </c>
      <c r="T5874" s="2" t="s">
        <v>90</v>
      </c>
      <c r="U5874" s="2" t="s">
        <v>99</v>
      </c>
      <c r="V5874" s="2" t="s">
        <v>59</v>
      </c>
      <c r="W5874" s="2">
        <v>39</v>
      </c>
      <c r="X5874" s="2">
        <v>0</v>
      </c>
      <c r="Y5874" s="2" t="s">
        <v>560</v>
      </c>
      <c r="Z5874" s="2" t="s">
        <v>38946</v>
      </c>
      <c r="AA5874" s="2">
        <v>-2.8300535339113599</v>
      </c>
      <c r="AB5874" s="2">
        <v>5.9587294046471201E-2</v>
      </c>
      <c r="AC5874" s="2">
        <v>6059.5536918535099</v>
      </c>
      <c r="AD5874" s="2">
        <v>5529.0955798079203</v>
      </c>
      <c r="AE5874" s="2">
        <v>6697.0965552808902</v>
      </c>
      <c r="AF5874" s="2">
        <v>5920.0239398171097</v>
      </c>
      <c r="AG5874" s="2">
        <v>6286.8616408673097</v>
      </c>
      <c r="AH5874" s="2">
        <v>5133.0318713705401</v>
      </c>
      <c r="AI5874" s="2">
        <v>5428.4265022288</v>
      </c>
      <c r="AJ5874" s="2">
        <v>6891.8816415564197</v>
      </c>
      <c r="AK5874" s="2">
        <v>5807.1099379243897</v>
      </c>
      <c r="AL5874" s="2">
        <v>5281.6393753504099</v>
      </c>
      <c r="AM5874" s="2">
        <v>4983.1427461407702</v>
      </c>
      <c r="AN5874" s="2">
        <v>6337.1251728984998</v>
      </c>
      <c r="AO5874" s="2">
        <v>5158.6597190988896</v>
      </c>
      <c r="AP5874" s="2">
        <v>5606.8965274345801</v>
      </c>
    </row>
    <row r="5875" spans="1:42" ht="14.5" x14ac:dyDescent="0.35">
      <c r="A5875" s="2" t="s">
        <v>38947</v>
      </c>
      <c r="B5875" s="2">
        <v>544.26800271780201</v>
      </c>
      <c r="C5875" s="2">
        <v>10.09625</v>
      </c>
      <c r="D5875" s="2" t="s">
        <v>70</v>
      </c>
      <c r="E5875" s="2" t="s">
        <v>38948</v>
      </c>
      <c r="F5875" s="2">
        <v>22437</v>
      </c>
      <c r="G5875" s="3" t="str">
        <f>HYPERLINK("http://funmeta.oebiotech.com/network/22437", "http://funmeta.oebiotech.com/network/22437")</f>
        <v>http://funmeta.oebiotech.com/network/22437</v>
      </c>
      <c r="H5875" s="2"/>
      <c r="I5875" s="2">
        <v>46725</v>
      </c>
      <c r="J5875" s="2" t="s">
        <v>38949</v>
      </c>
      <c r="K5875" s="2">
        <v>85435</v>
      </c>
      <c r="L5875" s="2"/>
      <c r="M5875" s="2"/>
      <c r="N5875" s="2"/>
      <c r="O5875" s="2">
        <v>42607475</v>
      </c>
      <c r="P5875" s="2"/>
      <c r="Q5875" s="2" t="s">
        <v>38950</v>
      </c>
      <c r="R5875" s="2" t="s">
        <v>38951</v>
      </c>
      <c r="S5875" s="2" t="s">
        <v>50</v>
      </c>
      <c r="T5875" s="2" t="s">
        <v>51</v>
      </c>
      <c r="U5875" s="2" t="s">
        <v>66</v>
      </c>
      <c r="V5875" s="2" t="s">
        <v>59</v>
      </c>
      <c r="W5875" s="2">
        <v>46.4</v>
      </c>
      <c r="X5875" s="2">
        <v>38.4</v>
      </c>
      <c r="Y5875" s="2" t="s">
        <v>118</v>
      </c>
      <c r="Z5875" s="2" t="s">
        <v>38952</v>
      </c>
      <c r="AA5875" s="2">
        <v>-0.16408611674316001</v>
      </c>
      <c r="AB5875" s="2">
        <v>5.9441591058272E-2</v>
      </c>
      <c r="AC5875" s="2">
        <v>2713.92091371477</v>
      </c>
      <c r="AD5875" s="2">
        <v>3316.81034678882</v>
      </c>
      <c r="AE5875" s="2">
        <v>3421.8455526507601</v>
      </c>
      <c r="AF5875" s="2">
        <v>2835.65521704604</v>
      </c>
      <c r="AG5875" s="2">
        <v>2828.5749395696398</v>
      </c>
      <c r="AH5875" s="2">
        <v>2606.5383718245098</v>
      </c>
      <c r="AI5875" s="2">
        <v>2325.2327398789198</v>
      </c>
      <c r="AJ5875" s="2">
        <v>2265.6786613187301</v>
      </c>
      <c r="AK5875" s="2">
        <v>3668.3144095617799</v>
      </c>
      <c r="AL5875" s="2">
        <v>4646.0646838412804</v>
      </c>
      <c r="AM5875" s="2">
        <v>3739.4948840614602</v>
      </c>
      <c r="AN5875" s="2">
        <v>2959.0243128555098</v>
      </c>
      <c r="AO5875" s="2">
        <v>3268.98548613802</v>
      </c>
      <c r="AP5875" s="2">
        <v>1618.97830427488</v>
      </c>
    </row>
    <row r="5876" spans="1:42" ht="14.5" x14ac:dyDescent="0.35">
      <c r="A5876" s="2" t="s">
        <v>38953</v>
      </c>
      <c r="B5876" s="2">
        <v>313.06949499487899</v>
      </c>
      <c r="C5876" s="2">
        <v>1.6181333333333301</v>
      </c>
      <c r="D5876" s="2" t="s">
        <v>70</v>
      </c>
      <c r="E5876" s="2" t="s">
        <v>38954</v>
      </c>
      <c r="F5876" s="2">
        <v>198894</v>
      </c>
      <c r="G5876" s="3" t="str">
        <f>HYPERLINK("http://funmeta.oebiotech.com/network/198894", "http://funmeta.oebiotech.com/network/198894")</f>
        <v>http://funmeta.oebiotech.com/network/198894</v>
      </c>
      <c r="H5876" s="2" t="s">
        <v>38955</v>
      </c>
      <c r="I5876" s="2"/>
      <c r="J5876" s="2"/>
      <c r="K5876" s="2"/>
      <c r="L5876" s="2"/>
      <c r="M5876" s="2"/>
      <c r="N5876" s="2"/>
      <c r="O5876" s="2">
        <v>9838279</v>
      </c>
      <c r="P5876" s="2"/>
      <c r="Q5876" s="2" t="s">
        <v>38956</v>
      </c>
      <c r="R5876" s="2" t="s">
        <v>38957</v>
      </c>
      <c r="S5876" s="2" t="s">
        <v>491</v>
      </c>
      <c r="T5876" s="2" t="s">
        <v>38958</v>
      </c>
      <c r="U5876" s="2" t="s">
        <v>41</v>
      </c>
      <c r="V5876" s="2" t="s">
        <v>59</v>
      </c>
      <c r="W5876" s="2">
        <v>37.9</v>
      </c>
      <c r="X5876" s="2">
        <v>0</v>
      </c>
      <c r="Y5876" s="2" t="s">
        <v>408</v>
      </c>
      <c r="Z5876" s="2" t="s">
        <v>38959</v>
      </c>
      <c r="AA5876" s="2">
        <v>3.3087673297786599</v>
      </c>
      <c r="AB5876" s="2">
        <v>5.9390770338243297E-2</v>
      </c>
      <c r="AC5876" s="2">
        <v>3856.9735746569099</v>
      </c>
      <c r="AD5876" s="2">
        <v>4290.0966012045301</v>
      </c>
      <c r="AE5876" s="2">
        <v>3610.2495511413999</v>
      </c>
      <c r="AF5876" s="2">
        <v>3953.2406683433501</v>
      </c>
      <c r="AG5876" s="2">
        <v>3915.0341641749001</v>
      </c>
      <c r="AH5876" s="2">
        <v>3761.39655039228</v>
      </c>
      <c r="AI5876" s="2">
        <v>3887.1158607715602</v>
      </c>
      <c r="AJ5876" s="2">
        <v>4014.8046531179898</v>
      </c>
      <c r="AK5876" s="2">
        <v>4295.3882221844697</v>
      </c>
      <c r="AL5876" s="2">
        <v>3534.23219704148</v>
      </c>
      <c r="AM5876" s="2">
        <v>3995.6491667806799</v>
      </c>
      <c r="AN5876" s="2">
        <v>4871.7538312506003</v>
      </c>
      <c r="AO5876" s="2">
        <v>4174.7678832097299</v>
      </c>
      <c r="AP5876" s="2">
        <v>4868.7883067602197</v>
      </c>
    </row>
    <row r="5877" spans="1:42" ht="14.5" x14ac:dyDescent="0.35">
      <c r="A5877" s="2" t="s">
        <v>38960</v>
      </c>
      <c r="B5877" s="2">
        <v>629.31715882310698</v>
      </c>
      <c r="C5877" s="2">
        <v>8.2685333333333304</v>
      </c>
      <c r="D5877" s="2" t="s">
        <v>70</v>
      </c>
      <c r="E5877" s="2" t="s">
        <v>38961</v>
      </c>
      <c r="F5877" s="2">
        <v>46655</v>
      </c>
      <c r="G5877" s="3" t="str">
        <f>HYPERLINK("http://funmeta.oebiotech.com/network/46655", "http://funmeta.oebiotech.com/network/46655")</f>
        <v>http://funmeta.oebiotech.com/network/46655</v>
      </c>
      <c r="H5877" s="2" t="s">
        <v>38962</v>
      </c>
      <c r="I5877" s="2">
        <v>57962</v>
      </c>
      <c r="J5877" s="2" t="s">
        <v>38963</v>
      </c>
      <c r="K5877" s="2"/>
      <c r="L5877" s="2"/>
      <c r="M5877" s="2"/>
      <c r="N5877" s="2"/>
      <c r="O5877" s="2">
        <v>21252309</v>
      </c>
      <c r="P5877" s="2" t="s">
        <v>38964</v>
      </c>
      <c r="Q5877" s="2" t="s">
        <v>38965</v>
      </c>
      <c r="R5877" s="2" t="s">
        <v>38966</v>
      </c>
      <c r="S5877" s="2" t="s">
        <v>50</v>
      </c>
      <c r="T5877" s="2" t="s">
        <v>124</v>
      </c>
      <c r="U5877" s="2" t="s">
        <v>523</v>
      </c>
      <c r="V5877" s="2" t="s">
        <v>59</v>
      </c>
      <c r="W5877" s="2">
        <v>44.8</v>
      </c>
      <c r="X5877" s="2">
        <v>33.299999999999997</v>
      </c>
      <c r="Y5877" s="2" t="s">
        <v>408</v>
      </c>
      <c r="Z5877" s="2" t="s">
        <v>38967</v>
      </c>
      <c r="AA5877" s="2">
        <v>-1.2089297323660499</v>
      </c>
      <c r="AB5877" s="2">
        <v>5.9364288815793698E-2</v>
      </c>
      <c r="AC5877" s="2">
        <v>27283.824435595401</v>
      </c>
      <c r="AD5877" s="2">
        <v>26217.036784498199</v>
      </c>
      <c r="AE5877" s="2">
        <v>27414.003981947899</v>
      </c>
      <c r="AF5877" s="2">
        <v>26561.8521478072</v>
      </c>
      <c r="AG5877" s="2">
        <v>27707.587013623499</v>
      </c>
      <c r="AH5877" s="2">
        <v>28285.113343980502</v>
      </c>
      <c r="AI5877" s="2">
        <v>30004.125393471499</v>
      </c>
      <c r="AJ5877" s="2">
        <v>23730.264732742002</v>
      </c>
      <c r="AK5877" s="2">
        <v>30563.0700900802</v>
      </c>
      <c r="AL5877" s="2">
        <v>22265.809477321</v>
      </c>
      <c r="AM5877" s="2">
        <v>27633.9354780789</v>
      </c>
      <c r="AN5877" s="2">
        <v>24213.998556708299</v>
      </c>
      <c r="AO5877" s="2">
        <v>25285.1158885761</v>
      </c>
      <c r="AP5877" s="2">
        <v>27340.291216224901</v>
      </c>
    </row>
    <row r="5878" spans="1:42" ht="14.5" x14ac:dyDescent="0.35">
      <c r="A5878" s="2" t="s">
        <v>38968</v>
      </c>
      <c r="B5878" s="2">
        <v>187.07537458198999</v>
      </c>
      <c r="C5878" s="2">
        <v>4.2251833333333302</v>
      </c>
      <c r="D5878" s="2" t="s">
        <v>34</v>
      </c>
      <c r="E5878" s="2" t="s">
        <v>38969</v>
      </c>
      <c r="F5878" s="2">
        <v>266949</v>
      </c>
      <c r="G5878" s="3" t="str">
        <f>HYPERLINK("http://funmeta.oebiotech.com/network/266949", "http://funmeta.oebiotech.com/network/266949")</f>
        <v>http://funmeta.oebiotech.com/network/266949</v>
      </c>
      <c r="H5878" s="2"/>
      <c r="I5878" s="2">
        <v>44382</v>
      </c>
      <c r="J5878" s="2"/>
      <c r="K5878" s="2"/>
      <c r="L5878" s="2"/>
      <c r="M5878" s="2"/>
      <c r="N5878" s="2"/>
      <c r="O5878" s="2">
        <v>5951068</v>
      </c>
      <c r="P5878" s="2"/>
      <c r="Q5878" s="2" t="s">
        <v>38970</v>
      </c>
      <c r="R5878" s="2" t="s">
        <v>38971</v>
      </c>
      <c r="S5878" s="2" t="s">
        <v>115</v>
      </c>
      <c r="T5878" s="2" t="s">
        <v>116</v>
      </c>
      <c r="U5878" s="2" t="s">
        <v>41</v>
      </c>
      <c r="V5878" s="2" t="s">
        <v>59</v>
      </c>
      <c r="W5878" s="2">
        <v>38.6</v>
      </c>
      <c r="X5878" s="2">
        <v>0</v>
      </c>
      <c r="Y5878" s="2" t="s">
        <v>141</v>
      </c>
      <c r="Z5878" s="2" t="s">
        <v>21344</v>
      </c>
      <c r="AA5878" s="2">
        <v>9.1084835932624397E-2</v>
      </c>
      <c r="AB5878" s="2">
        <v>5.9288721842214301E-2</v>
      </c>
      <c r="AC5878" s="2">
        <v>2971.2602729658101</v>
      </c>
      <c r="AD5878" s="2">
        <v>3390.5132111584699</v>
      </c>
      <c r="AE5878" s="2">
        <v>3005.4923595860901</v>
      </c>
      <c r="AF5878" s="2">
        <v>2924.8032754129499</v>
      </c>
      <c r="AG5878" s="2">
        <v>2513.5266158558402</v>
      </c>
      <c r="AH5878" s="2">
        <v>2772.6995592210401</v>
      </c>
      <c r="AI5878" s="2">
        <v>3328.9673420112599</v>
      </c>
      <c r="AJ5878" s="2">
        <v>3282.0724857076498</v>
      </c>
      <c r="AK5878" s="2">
        <v>3425.6812636699201</v>
      </c>
      <c r="AL5878" s="2">
        <v>3649.1168282652402</v>
      </c>
      <c r="AM5878" s="2">
        <v>3198.19325157405</v>
      </c>
      <c r="AN5878" s="2">
        <v>3836.65715439219</v>
      </c>
      <c r="AO5878" s="2">
        <v>2711.1206182166702</v>
      </c>
      <c r="AP5878" s="2">
        <v>3522.31015083274</v>
      </c>
    </row>
    <row r="5879" spans="1:42" ht="14.5" x14ac:dyDescent="0.35">
      <c r="A5879" s="2" t="s">
        <v>38972</v>
      </c>
      <c r="B5879" s="2">
        <v>431.15514107890402</v>
      </c>
      <c r="C5879" s="2">
        <v>3.9884499999999998</v>
      </c>
      <c r="D5879" s="2" t="s">
        <v>70</v>
      </c>
      <c r="E5879" s="2" t="s">
        <v>38973</v>
      </c>
      <c r="F5879" s="2">
        <v>58880</v>
      </c>
      <c r="G5879" s="3" t="str">
        <f>HYPERLINK("http://funmeta.oebiotech.com/network/58880", "http://funmeta.oebiotech.com/network/58880")</f>
        <v>http://funmeta.oebiotech.com/network/58880</v>
      </c>
      <c r="H5879" s="2" t="s">
        <v>38974</v>
      </c>
      <c r="I5879" s="2"/>
      <c r="J5879" s="2"/>
      <c r="K5879" s="2"/>
      <c r="L5879" s="2"/>
      <c r="M5879" s="2"/>
      <c r="N5879" s="2"/>
      <c r="O5879" s="2">
        <v>73157713</v>
      </c>
      <c r="P5879" s="2" t="s">
        <v>38975</v>
      </c>
      <c r="Q5879" s="2" t="s">
        <v>38976</v>
      </c>
      <c r="R5879" s="2" t="s">
        <v>38977</v>
      </c>
      <c r="S5879" s="2" t="s">
        <v>79</v>
      </c>
      <c r="T5879" s="2" t="s">
        <v>80</v>
      </c>
      <c r="U5879" s="2" t="s">
        <v>81</v>
      </c>
      <c r="V5879" s="2" t="s">
        <v>59</v>
      </c>
      <c r="W5879" s="2">
        <v>43</v>
      </c>
      <c r="X5879" s="2">
        <v>23.7</v>
      </c>
      <c r="Y5879" s="2" t="s">
        <v>286</v>
      </c>
      <c r="Z5879" s="2" t="s">
        <v>14879</v>
      </c>
      <c r="AA5879" s="2">
        <v>-1.7220399182917501</v>
      </c>
      <c r="AB5879" s="2">
        <v>5.9231130797713097E-2</v>
      </c>
      <c r="AC5879" s="2">
        <v>69206.066422295495</v>
      </c>
      <c r="AD5879" s="2">
        <v>70662.381753266905</v>
      </c>
      <c r="AE5879" s="2">
        <v>70076.803887880596</v>
      </c>
      <c r="AF5879" s="2">
        <v>67474.149252071802</v>
      </c>
      <c r="AG5879" s="2">
        <v>65954.825042102602</v>
      </c>
      <c r="AH5879" s="2">
        <v>72383.735080913393</v>
      </c>
      <c r="AI5879" s="2">
        <v>73534.717754158904</v>
      </c>
      <c r="AJ5879" s="2">
        <v>65812.167516645597</v>
      </c>
      <c r="AK5879" s="2">
        <v>70765.369116696107</v>
      </c>
      <c r="AL5879" s="2">
        <v>71279.2475149698</v>
      </c>
      <c r="AM5879" s="2">
        <v>69887.574383356899</v>
      </c>
      <c r="AN5879" s="2">
        <v>67771.558087933401</v>
      </c>
      <c r="AO5879" s="2">
        <v>62359.831128857302</v>
      </c>
      <c r="AP5879" s="2">
        <v>81910.710287788199</v>
      </c>
    </row>
    <row r="5880" spans="1:42" ht="14.5" x14ac:dyDescent="0.35">
      <c r="A5880" s="2" t="s">
        <v>38978</v>
      </c>
      <c r="B5880" s="2">
        <v>179.07037791332601</v>
      </c>
      <c r="C5880" s="2">
        <v>7.1024166666666702</v>
      </c>
      <c r="D5880" s="2" t="s">
        <v>70</v>
      </c>
      <c r="E5880" s="2" t="s">
        <v>38979</v>
      </c>
      <c r="F5880" s="2">
        <v>7883</v>
      </c>
      <c r="G5880" s="3" t="str">
        <f>HYPERLINK("http://funmeta.oebiotech.com/network/7883", "http://funmeta.oebiotech.com/network/7883")</f>
        <v>http://funmeta.oebiotech.com/network/7883</v>
      </c>
      <c r="H5880" s="2"/>
      <c r="I5880" s="2"/>
      <c r="J5880" s="2" t="s">
        <v>38980</v>
      </c>
      <c r="K5880" s="2"/>
      <c r="L5880" s="2"/>
      <c r="M5880" s="2"/>
      <c r="N5880" s="2"/>
      <c r="O5880" s="2">
        <v>643697</v>
      </c>
      <c r="P5880" s="2"/>
      <c r="Q5880" s="2" t="s">
        <v>38981</v>
      </c>
      <c r="R5880" s="2" t="s">
        <v>38982</v>
      </c>
      <c r="S5880" s="2" t="s">
        <v>491</v>
      </c>
      <c r="T5880" s="2" t="s">
        <v>23722</v>
      </c>
      <c r="U5880" s="2" t="s">
        <v>41</v>
      </c>
      <c r="V5880" s="2" t="s">
        <v>59</v>
      </c>
      <c r="W5880" s="2">
        <v>43.9</v>
      </c>
      <c r="X5880" s="2">
        <v>29.1</v>
      </c>
      <c r="Y5880" s="2" t="s">
        <v>751</v>
      </c>
      <c r="Z5880" s="2" t="s">
        <v>38983</v>
      </c>
      <c r="AA5880" s="2">
        <v>-4.9972126159987997</v>
      </c>
      <c r="AB5880" s="2">
        <v>5.9022933246047599E-2</v>
      </c>
      <c r="AC5880" s="2">
        <v>8295.4749470823608</v>
      </c>
      <c r="AD5880" s="2">
        <v>7902.86678629775</v>
      </c>
      <c r="AE5880" s="2">
        <v>8185.2238303757304</v>
      </c>
      <c r="AF5880" s="2">
        <v>8287.08650883675</v>
      </c>
      <c r="AG5880" s="2">
        <v>8035.1668952127702</v>
      </c>
      <c r="AH5880" s="2">
        <v>8640.1688876369208</v>
      </c>
      <c r="AI5880" s="2">
        <v>8635.8023252419098</v>
      </c>
      <c r="AJ5880" s="2">
        <v>7989.4012351901101</v>
      </c>
      <c r="AK5880" s="2">
        <v>8041.5687024855297</v>
      </c>
      <c r="AL5880" s="2">
        <v>8194.0615657481594</v>
      </c>
      <c r="AM5880" s="2">
        <v>7906.33765109259</v>
      </c>
      <c r="AN5880" s="2">
        <v>7590.7215058779202</v>
      </c>
      <c r="AO5880" s="2">
        <v>8203.3484848132193</v>
      </c>
      <c r="AP5880" s="2">
        <v>7481.1628077691103</v>
      </c>
    </row>
    <row r="5881" spans="1:42" ht="14.5" x14ac:dyDescent="0.35">
      <c r="A5881" s="2" t="s">
        <v>38984</v>
      </c>
      <c r="B5881" s="2">
        <v>238.03208929783</v>
      </c>
      <c r="C5881" s="2">
        <v>1.3109999999999999</v>
      </c>
      <c r="D5881" s="2" t="s">
        <v>34</v>
      </c>
      <c r="E5881" s="2" t="s">
        <v>38985</v>
      </c>
      <c r="F5881" s="2">
        <v>206810</v>
      </c>
      <c r="G5881" s="3" t="str">
        <f>HYPERLINK("http://funmeta.oebiotech.com/network/206810", "http://funmeta.oebiotech.com/network/206810")</f>
        <v>http://funmeta.oebiotech.com/network/206810</v>
      </c>
      <c r="H5881" s="2" t="s">
        <v>38986</v>
      </c>
      <c r="I5881" s="2"/>
      <c r="J5881" s="2"/>
      <c r="K5881" s="2"/>
      <c r="L5881" s="2"/>
      <c r="M5881" s="2"/>
      <c r="N5881" s="2"/>
      <c r="O5881" s="2">
        <v>131270</v>
      </c>
      <c r="P5881" s="2"/>
      <c r="Q5881" s="2" t="s">
        <v>38987</v>
      </c>
      <c r="R5881" s="2" t="s">
        <v>38988</v>
      </c>
      <c r="S5881" s="2" t="s">
        <v>41</v>
      </c>
      <c r="T5881" s="2" t="s">
        <v>41</v>
      </c>
      <c r="U5881" s="2" t="s">
        <v>41</v>
      </c>
      <c r="V5881" s="2" t="s">
        <v>59</v>
      </c>
      <c r="W5881" s="2">
        <v>36.700000000000003</v>
      </c>
      <c r="X5881" s="2">
        <v>0</v>
      </c>
      <c r="Y5881" s="2" t="s">
        <v>141</v>
      </c>
      <c r="Z5881" s="2" t="s">
        <v>38989</v>
      </c>
      <c r="AA5881" s="2">
        <v>-4.5674095911627797</v>
      </c>
      <c r="AB5881" s="2">
        <v>5.8936608004327699E-2</v>
      </c>
      <c r="AC5881" s="2">
        <v>2334.0331254429998</v>
      </c>
      <c r="AD5881" s="2">
        <v>2726.22854430289</v>
      </c>
      <c r="AE5881" s="2">
        <v>2411.7532494371098</v>
      </c>
      <c r="AF5881" s="2">
        <v>2222.0241769395998</v>
      </c>
      <c r="AG5881" s="2">
        <v>2437.9178962594501</v>
      </c>
      <c r="AH5881" s="2">
        <v>2028.3123681305899</v>
      </c>
      <c r="AI5881" s="2">
        <v>2274.5054240878499</v>
      </c>
      <c r="AJ5881" s="2">
        <v>2629.6856378034299</v>
      </c>
      <c r="AK5881" s="2">
        <v>2672.9458376928301</v>
      </c>
      <c r="AL5881" s="2">
        <v>2174.8889257573501</v>
      </c>
      <c r="AM5881" s="2">
        <v>2470.6650680333601</v>
      </c>
      <c r="AN5881" s="2">
        <v>2804.8144118997502</v>
      </c>
      <c r="AO5881" s="2">
        <v>3211.4536742994501</v>
      </c>
      <c r="AP5881" s="2">
        <v>3022.6033481346299</v>
      </c>
    </row>
    <row r="5882" spans="1:42" ht="14.5" x14ac:dyDescent="0.35">
      <c r="A5882" s="2" t="s">
        <v>38990</v>
      </c>
      <c r="B5882" s="2">
        <v>635.32547530723298</v>
      </c>
      <c r="C5882" s="2">
        <v>6.3302166666666704</v>
      </c>
      <c r="D5882" s="2" t="s">
        <v>70</v>
      </c>
      <c r="E5882" s="2" t="s">
        <v>38991</v>
      </c>
      <c r="F5882" s="2">
        <v>266524</v>
      </c>
      <c r="G5882" s="3" t="str">
        <f>HYPERLINK("http://funmeta.oebiotech.com/network/266524", "http://funmeta.oebiotech.com/network/266524")</f>
        <v>http://funmeta.oebiotech.com/network/266524</v>
      </c>
      <c r="H5882" s="2"/>
      <c r="I5882" s="2">
        <v>43454</v>
      </c>
      <c r="J5882" s="2"/>
      <c r="K5882" s="2"/>
      <c r="L5882" s="2"/>
      <c r="M5882" s="2"/>
      <c r="N5882" s="2"/>
      <c r="O5882" s="2">
        <v>3969</v>
      </c>
      <c r="P5882" s="2" t="s">
        <v>38992</v>
      </c>
      <c r="Q5882" s="2" t="s">
        <v>38993</v>
      </c>
      <c r="R5882" s="2" t="s">
        <v>38994</v>
      </c>
      <c r="S5882" s="2" t="s">
        <v>79</v>
      </c>
      <c r="T5882" s="2" t="s">
        <v>80</v>
      </c>
      <c r="U5882" s="2" t="s">
        <v>2820</v>
      </c>
      <c r="V5882" s="2" t="s">
        <v>59</v>
      </c>
      <c r="W5882" s="2">
        <v>37.4</v>
      </c>
      <c r="X5882" s="2">
        <v>0</v>
      </c>
      <c r="Y5882" s="2" t="s">
        <v>560</v>
      </c>
      <c r="Z5882" s="2" t="s">
        <v>19147</v>
      </c>
      <c r="AA5882" s="2">
        <v>-8.8465944745543492</v>
      </c>
      <c r="AB5882" s="2">
        <v>5.8913287874543599E-2</v>
      </c>
      <c r="AC5882" s="2">
        <v>11682.7100897692</v>
      </c>
      <c r="AD5882" s="2">
        <v>10801.548576233599</v>
      </c>
      <c r="AE5882" s="2">
        <v>12462.812833370999</v>
      </c>
      <c r="AF5882" s="2">
        <v>12023.4475876787</v>
      </c>
      <c r="AG5882" s="2">
        <v>9417.2854069863006</v>
      </c>
      <c r="AH5882" s="2">
        <v>11453.604062312301</v>
      </c>
      <c r="AI5882" s="2">
        <v>12758.277794846499</v>
      </c>
      <c r="AJ5882" s="2">
        <v>11980.832853420399</v>
      </c>
      <c r="AK5882" s="2">
        <v>9316.0884000577207</v>
      </c>
      <c r="AL5882" s="2">
        <v>8098.5372659421901</v>
      </c>
      <c r="AM5882" s="2">
        <v>12622.532641044099</v>
      </c>
      <c r="AN5882" s="2">
        <v>9263.0036830665194</v>
      </c>
      <c r="AO5882" s="2">
        <v>13012.6142972697</v>
      </c>
      <c r="AP5882" s="2">
        <v>12496.515170021599</v>
      </c>
    </row>
    <row r="5883" spans="1:42" ht="14.5" x14ac:dyDescent="0.35">
      <c r="A5883" s="2" t="s">
        <v>38995</v>
      </c>
      <c r="B5883" s="2">
        <v>243.08644128261099</v>
      </c>
      <c r="C5883" s="2">
        <v>3.49291666666667</v>
      </c>
      <c r="D5883" s="2" t="s">
        <v>34</v>
      </c>
      <c r="E5883" s="2" t="s">
        <v>38996</v>
      </c>
      <c r="F5883" s="2">
        <v>8332</v>
      </c>
      <c r="G5883" s="3" t="str">
        <f>HYPERLINK("http://funmeta.oebiotech.com/network/8332", "http://funmeta.oebiotech.com/network/8332")</f>
        <v>http://funmeta.oebiotech.com/network/8332</v>
      </c>
      <c r="H5883" s="2" t="s">
        <v>10045</v>
      </c>
      <c r="I5883" s="2">
        <v>956</v>
      </c>
      <c r="J5883" s="2" t="s">
        <v>38997</v>
      </c>
      <c r="K5883" s="2">
        <v>57589</v>
      </c>
      <c r="L5883" s="2" t="s">
        <v>38998</v>
      </c>
      <c r="M5883" s="2" t="s">
        <v>38999</v>
      </c>
      <c r="N5883" s="2" t="s">
        <v>39000</v>
      </c>
      <c r="O5883" s="2">
        <v>7045767</v>
      </c>
      <c r="P5883" s="2" t="s">
        <v>39001</v>
      </c>
      <c r="Q5883" s="2" t="s">
        <v>39002</v>
      </c>
      <c r="R5883" s="2" t="s">
        <v>39003</v>
      </c>
      <c r="S5883" s="2" t="s">
        <v>50</v>
      </c>
      <c r="T5883" s="2" t="s">
        <v>229</v>
      </c>
      <c r="U5883" s="2" t="s">
        <v>1914</v>
      </c>
      <c r="V5883" s="2" t="s">
        <v>59</v>
      </c>
      <c r="W5883" s="2">
        <v>38.799999999999997</v>
      </c>
      <c r="X5883" s="2">
        <v>0</v>
      </c>
      <c r="Y5883" s="2" t="s">
        <v>340</v>
      </c>
      <c r="Z5883" s="2" t="s">
        <v>39004</v>
      </c>
      <c r="AA5883" s="2">
        <v>-1.4690007133574401</v>
      </c>
      <c r="AB5883" s="2">
        <v>5.8877405553112799E-2</v>
      </c>
      <c r="AC5883" s="2">
        <v>7712.4356801603999</v>
      </c>
      <c r="AD5883" s="2">
        <v>8232.7449476903093</v>
      </c>
      <c r="AE5883" s="2">
        <v>8228.8667215162604</v>
      </c>
      <c r="AF5883" s="2">
        <v>7097.9317274556497</v>
      </c>
      <c r="AG5883" s="2">
        <v>7336.8879930944104</v>
      </c>
      <c r="AH5883" s="2">
        <v>7495.3467175498399</v>
      </c>
      <c r="AI5883" s="2">
        <v>8321.1688603401599</v>
      </c>
      <c r="AJ5883" s="2">
        <v>7794.41206100609</v>
      </c>
      <c r="AK5883" s="2">
        <v>9220.6047726132292</v>
      </c>
      <c r="AL5883" s="2">
        <v>7852.5953914923903</v>
      </c>
      <c r="AM5883" s="2">
        <v>8284.6912681816702</v>
      </c>
      <c r="AN5883" s="2">
        <v>7609.4472154943996</v>
      </c>
      <c r="AO5883" s="2">
        <v>8867.3988107500809</v>
      </c>
      <c r="AP5883" s="2">
        <v>7561.7322276100804</v>
      </c>
    </row>
    <row r="5884" spans="1:42" ht="14.5" x14ac:dyDescent="0.35">
      <c r="A5884" s="2" t="s">
        <v>39005</v>
      </c>
      <c r="B5884" s="2">
        <v>595.34906452458199</v>
      </c>
      <c r="C5884" s="2">
        <v>5.8977166666666703</v>
      </c>
      <c r="D5884" s="2" t="s">
        <v>70</v>
      </c>
      <c r="E5884" s="2" t="s">
        <v>39006</v>
      </c>
      <c r="F5884" s="2">
        <v>250302</v>
      </c>
      <c r="G5884" s="3" t="str">
        <f>HYPERLINK("http://funmeta.oebiotech.com/network/250302", "http://funmeta.oebiotech.com/network/250302")</f>
        <v>http://funmeta.oebiotech.com/network/250302</v>
      </c>
      <c r="H5884" s="2" t="s">
        <v>39007</v>
      </c>
      <c r="I5884" s="2"/>
      <c r="J5884" s="2"/>
      <c r="K5884" s="2"/>
      <c r="L5884" s="2"/>
      <c r="M5884" s="2"/>
      <c r="N5884" s="2"/>
      <c r="O5884" s="2"/>
      <c r="P5884" s="2"/>
      <c r="Q5884" s="2" t="s">
        <v>39008</v>
      </c>
      <c r="R5884" s="2" t="s">
        <v>39009</v>
      </c>
      <c r="S5884" s="2" t="s">
        <v>41</v>
      </c>
      <c r="T5884" s="2" t="s">
        <v>41</v>
      </c>
      <c r="U5884" s="2" t="s">
        <v>41</v>
      </c>
      <c r="V5884" s="2" t="s">
        <v>59</v>
      </c>
      <c r="W5884" s="2">
        <v>39.200000000000003</v>
      </c>
      <c r="X5884" s="2">
        <v>4.43</v>
      </c>
      <c r="Y5884" s="2" t="s">
        <v>408</v>
      </c>
      <c r="Z5884" s="2" t="s">
        <v>39010</v>
      </c>
      <c r="AA5884" s="2">
        <v>0.53255982484929698</v>
      </c>
      <c r="AB5884" s="2">
        <v>5.8758861865458901E-2</v>
      </c>
      <c r="AC5884" s="2">
        <v>7739.1143215500697</v>
      </c>
      <c r="AD5884" s="2">
        <v>8518.8800208355406</v>
      </c>
      <c r="AE5884" s="2">
        <v>8416.8262783377795</v>
      </c>
      <c r="AF5884" s="2">
        <v>7147.6033946205598</v>
      </c>
      <c r="AG5884" s="2">
        <v>8579.8723628763892</v>
      </c>
      <c r="AH5884" s="2">
        <v>6344.4201427727203</v>
      </c>
      <c r="AI5884" s="2">
        <v>7645.5530626694799</v>
      </c>
      <c r="AJ5884" s="2">
        <v>8300.4106880234904</v>
      </c>
      <c r="AK5884" s="2">
        <v>8187.0263679826503</v>
      </c>
      <c r="AL5884" s="2">
        <v>10352.7715589444</v>
      </c>
      <c r="AM5884" s="2">
        <v>5864.9684824117803</v>
      </c>
      <c r="AN5884" s="2">
        <v>9941.2282746512701</v>
      </c>
      <c r="AO5884" s="2">
        <v>9586.9184738620697</v>
      </c>
      <c r="AP5884" s="2">
        <v>7180.3669671610996</v>
      </c>
    </row>
    <row r="5885" spans="1:42" ht="14.5" x14ac:dyDescent="0.35">
      <c r="A5885" s="2" t="s">
        <v>39011</v>
      </c>
      <c r="B5885" s="2">
        <v>483.12759392387397</v>
      </c>
      <c r="C5885" s="2">
        <v>4.3281833333333299</v>
      </c>
      <c r="D5885" s="2" t="s">
        <v>70</v>
      </c>
      <c r="E5885" s="2" t="s">
        <v>39012</v>
      </c>
      <c r="F5885" s="2">
        <v>55372</v>
      </c>
      <c r="G5885" s="3" t="str">
        <f>HYPERLINK("http://funmeta.oebiotech.com/network/55372", "http://funmeta.oebiotech.com/network/55372")</f>
        <v>http://funmeta.oebiotech.com/network/55372</v>
      </c>
      <c r="H5885" s="2" t="s">
        <v>39013</v>
      </c>
      <c r="I5885" s="2"/>
      <c r="J5885" s="2"/>
      <c r="K5885" s="2"/>
      <c r="L5885" s="2"/>
      <c r="M5885" s="2"/>
      <c r="N5885" s="2"/>
      <c r="O5885" s="2">
        <v>45934367</v>
      </c>
      <c r="P5885" s="2" t="s">
        <v>39014</v>
      </c>
      <c r="Q5885" s="2" t="s">
        <v>39015</v>
      </c>
      <c r="R5885" s="2" t="s">
        <v>39016</v>
      </c>
      <c r="S5885" s="2" t="s">
        <v>115</v>
      </c>
      <c r="T5885" s="2" t="s">
        <v>139</v>
      </c>
      <c r="U5885" s="2" t="s">
        <v>1437</v>
      </c>
      <c r="V5885" s="2" t="s">
        <v>59</v>
      </c>
      <c r="W5885" s="2">
        <v>38</v>
      </c>
      <c r="X5885" s="2">
        <v>0</v>
      </c>
      <c r="Y5885" s="2" t="s">
        <v>118</v>
      </c>
      <c r="Z5885" s="2" t="s">
        <v>39017</v>
      </c>
      <c r="AA5885" s="2">
        <v>-4.2893016520949301</v>
      </c>
      <c r="AB5885" s="2">
        <v>5.8541903266747998E-2</v>
      </c>
      <c r="AC5885" s="2">
        <v>1218.26043450886</v>
      </c>
      <c r="AD5885" s="2">
        <v>684.69217688261801</v>
      </c>
      <c r="AE5885" s="2">
        <v>874.34102614627795</v>
      </c>
      <c r="AF5885" s="2">
        <v>1195.09873945236</v>
      </c>
      <c r="AG5885" s="2">
        <v>2065.31774391312</v>
      </c>
      <c r="AH5885" s="2">
        <v>1881.5770899852801</v>
      </c>
      <c r="AI5885" s="2">
        <v>379.01279915832203</v>
      </c>
      <c r="AJ5885" s="2">
        <v>914.21520839782204</v>
      </c>
      <c r="AK5885" s="2">
        <v>1535.0759614270801</v>
      </c>
      <c r="AL5885" s="2">
        <v>240.57361240996599</v>
      </c>
      <c r="AM5885" s="2">
        <v>821.61895043068603</v>
      </c>
      <c r="AN5885" s="2">
        <v>1313.9184882578099</v>
      </c>
      <c r="AO5885" s="2">
        <v>173.89181619876501</v>
      </c>
      <c r="AP5885" s="2">
        <v>23.074232571401001</v>
      </c>
    </row>
    <row r="5886" spans="1:42" ht="14.5" x14ac:dyDescent="0.35">
      <c r="A5886" s="2" t="s">
        <v>39018</v>
      </c>
      <c r="B5886" s="2">
        <v>193.04967208201199</v>
      </c>
      <c r="C5886" s="2">
        <v>4.0592666666666704</v>
      </c>
      <c r="D5886" s="2" t="s">
        <v>70</v>
      </c>
      <c r="E5886" s="2" t="s">
        <v>39019</v>
      </c>
      <c r="F5886" s="2">
        <v>58009</v>
      </c>
      <c r="G5886" s="3" t="str">
        <f>HYPERLINK("http://funmeta.oebiotech.com/network/58009", "http://funmeta.oebiotech.com/network/58009")</f>
        <v>http://funmeta.oebiotech.com/network/58009</v>
      </c>
      <c r="H5886" s="2" t="s">
        <v>39020</v>
      </c>
      <c r="I5886" s="2">
        <v>44069</v>
      </c>
      <c r="J5886" s="2"/>
      <c r="K5886" s="2">
        <v>454991</v>
      </c>
      <c r="L5886" s="2"/>
      <c r="M5886" s="2"/>
      <c r="N5886" s="2"/>
      <c r="O5886" s="2">
        <v>8357</v>
      </c>
      <c r="P5886" s="2" t="s">
        <v>39021</v>
      </c>
      <c r="Q5886" s="2" t="s">
        <v>39022</v>
      </c>
      <c r="R5886" s="2" t="s">
        <v>39023</v>
      </c>
      <c r="S5886" s="2" t="s">
        <v>148</v>
      </c>
      <c r="T5886" s="2" t="s">
        <v>149</v>
      </c>
      <c r="U5886" s="2" t="s">
        <v>1593</v>
      </c>
      <c r="V5886" s="2" t="s">
        <v>59</v>
      </c>
      <c r="W5886" s="2">
        <v>38.4</v>
      </c>
      <c r="X5886" s="2">
        <v>0</v>
      </c>
      <c r="Y5886" s="2" t="s">
        <v>751</v>
      </c>
      <c r="Z5886" s="2" t="s">
        <v>37586</v>
      </c>
      <c r="AA5886" s="2">
        <v>-4.52816306164459</v>
      </c>
      <c r="AB5886" s="2">
        <v>5.8464538743003301E-2</v>
      </c>
      <c r="AC5886" s="2">
        <v>1889.0227402847499</v>
      </c>
      <c r="AD5886" s="2">
        <v>1585.6715728393799</v>
      </c>
      <c r="AE5886" s="2">
        <v>2085.3793355216499</v>
      </c>
      <c r="AF5886" s="2">
        <v>1921.8278228183499</v>
      </c>
      <c r="AG5886" s="2">
        <v>1923.4228064921799</v>
      </c>
      <c r="AH5886" s="2">
        <v>1795.7453279157501</v>
      </c>
      <c r="AI5886" s="2">
        <v>1564.38533246427</v>
      </c>
      <c r="AJ5886" s="2">
        <v>2043.3758164963201</v>
      </c>
      <c r="AK5886" s="2">
        <v>1685.54081209784</v>
      </c>
      <c r="AL5886" s="2">
        <v>1480.73913322727</v>
      </c>
      <c r="AM5886" s="2">
        <v>1739.32427029824</v>
      </c>
      <c r="AN5886" s="2">
        <v>1527.9209600281799</v>
      </c>
      <c r="AO5886" s="2">
        <v>1458.8084045723199</v>
      </c>
      <c r="AP5886" s="2">
        <v>1621.6958568124201</v>
      </c>
    </row>
    <row r="5887" spans="1:42" ht="14.5" x14ac:dyDescent="0.35">
      <c r="A5887" s="2" t="s">
        <v>39024</v>
      </c>
      <c r="B5887" s="2">
        <v>431.26448067303301</v>
      </c>
      <c r="C5887" s="2">
        <v>5.6357333333333299</v>
      </c>
      <c r="D5887" s="2" t="s">
        <v>70</v>
      </c>
      <c r="E5887" s="2" t="s">
        <v>39025</v>
      </c>
      <c r="F5887" s="2">
        <v>7482</v>
      </c>
      <c r="G5887" s="3" t="str">
        <f>HYPERLINK("http://funmeta.oebiotech.com/network/7482", "http://funmeta.oebiotech.com/network/7482")</f>
        <v>http://funmeta.oebiotech.com/network/7482</v>
      </c>
      <c r="H5887" s="2" t="s">
        <v>39026</v>
      </c>
      <c r="I5887" s="2">
        <v>92106</v>
      </c>
      <c r="J5887" s="2" t="s">
        <v>39027</v>
      </c>
      <c r="K5887" s="2"/>
      <c r="L5887" s="2"/>
      <c r="M5887" s="2"/>
      <c r="N5887" s="2"/>
      <c r="O5887" s="2">
        <v>24114</v>
      </c>
      <c r="P5887" s="2" t="s">
        <v>39028</v>
      </c>
      <c r="Q5887" s="2" t="s">
        <v>39029</v>
      </c>
      <c r="R5887" s="2" t="s">
        <v>39030</v>
      </c>
      <c r="S5887" s="2" t="s">
        <v>50</v>
      </c>
      <c r="T5887" s="2" t="s">
        <v>229</v>
      </c>
      <c r="U5887" s="2" t="s">
        <v>1914</v>
      </c>
      <c r="V5887" s="2" t="s">
        <v>59</v>
      </c>
      <c r="W5887" s="2">
        <v>38.9</v>
      </c>
      <c r="X5887" s="2">
        <v>0</v>
      </c>
      <c r="Y5887" s="2" t="s">
        <v>560</v>
      </c>
      <c r="Z5887" s="2" t="s">
        <v>39031</v>
      </c>
      <c r="AA5887" s="2">
        <v>-1.2981035872917599</v>
      </c>
      <c r="AB5887" s="2">
        <v>5.8431566462189902E-2</v>
      </c>
      <c r="AC5887" s="2">
        <v>1614.13289651641</v>
      </c>
      <c r="AD5887" s="2">
        <v>1274.1314619534601</v>
      </c>
      <c r="AE5887" s="2">
        <v>1772.19124248447</v>
      </c>
      <c r="AF5887" s="2">
        <v>1471.0981757335701</v>
      </c>
      <c r="AG5887" s="2">
        <v>1410.4686146720501</v>
      </c>
      <c r="AH5887" s="2">
        <v>1312.83351949596</v>
      </c>
      <c r="AI5887" s="2">
        <v>1625.71529368338</v>
      </c>
      <c r="AJ5887" s="2">
        <v>2092.4905330290098</v>
      </c>
      <c r="AK5887" s="2">
        <v>1230.10399859218</v>
      </c>
      <c r="AL5887" s="2">
        <v>1275.7084851111199</v>
      </c>
      <c r="AM5887" s="2">
        <v>1422.5776073995801</v>
      </c>
      <c r="AN5887" s="2">
        <v>1208.29763587205</v>
      </c>
      <c r="AO5887" s="2">
        <v>1174.9590580199599</v>
      </c>
      <c r="AP5887" s="2">
        <v>1333.1419867258701</v>
      </c>
    </row>
    <row r="5888" spans="1:42" ht="14.5" x14ac:dyDescent="0.35">
      <c r="A5888" s="2" t="s">
        <v>39032</v>
      </c>
      <c r="B5888" s="2">
        <v>375.15579411076101</v>
      </c>
      <c r="C5888" s="2">
        <v>10.2458166666667</v>
      </c>
      <c r="D5888" s="2" t="s">
        <v>34</v>
      </c>
      <c r="E5888" s="2" t="s">
        <v>39033</v>
      </c>
      <c r="F5888" s="2">
        <v>269906</v>
      </c>
      <c r="G5888" s="3" t="str">
        <f>HYPERLINK("http://funmeta.oebiotech.com/network/269906", "http://funmeta.oebiotech.com/network/269906")</f>
        <v>http://funmeta.oebiotech.com/network/269906</v>
      </c>
      <c r="H5888" s="2"/>
      <c r="I5888" s="2">
        <v>52668</v>
      </c>
      <c r="J5888" s="2"/>
      <c r="K5888" s="2"/>
      <c r="L5888" s="2"/>
      <c r="M5888" s="2"/>
      <c r="N5888" s="2"/>
      <c r="O5888" s="2">
        <v>157102</v>
      </c>
      <c r="P5888" s="2"/>
      <c r="Q5888" s="2" t="s">
        <v>39034</v>
      </c>
      <c r="R5888" s="2" t="s">
        <v>39035</v>
      </c>
      <c r="S5888" s="2" t="s">
        <v>115</v>
      </c>
      <c r="T5888" s="2" t="s">
        <v>139</v>
      </c>
      <c r="U5888" s="2" t="s">
        <v>1437</v>
      </c>
      <c r="V5888" s="2" t="s">
        <v>59</v>
      </c>
      <c r="W5888" s="2">
        <v>38.700000000000003</v>
      </c>
      <c r="X5888" s="2">
        <v>0</v>
      </c>
      <c r="Y5888" s="2" t="s">
        <v>323</v>
      </c>
      <c r="Z5888" s="2" t="s">
        <v>39036</v>
      </c>
      <c r="AA5888" s="2">
        <v>-2.5153293869435198</v>
      </c>
      <c r="AB5888" s="2">
        <v>5.8239423499578002E-2</v>
      </c>
      <c r="AC5888" s="2">
        <v>1089.58803361781</v>
      </c>
      <c r="AD5888" s="2">
        <v>740.49820190185403</v>
      </c>
      <c r="AE5888" s="2">
        <v>988.80756425438096</v>
      </c>
      <c r="AF5888" s="2">
        <v>750.27826909772898</v>
      </c>
      <c r="AG5888" s="2">
        <v>1431.66446150962</v>
      </c>
      <c r="AH5888" s="2">
        <v>772.13156471991101</v>
      </c>
      <c r="AI5888" s="2">
        <v>1375.2412722341001</v>
      </c>
      <c r="AJ5888" s="2">
        <v>1219.4050698911101</v>
      </c>
      <c r="AK5888" s="2">
        <v>761.42289480824695</v>
      </c>
      <c r="AL5888" s="2">
        <v>896.05370369108698</v>
      </c>
      <c r="AM5888" s="2">
        <v>741.17253205520603</v>
      </c>
      <c r="AN5888" s="2">
        <v>664.98031351156101</v>
      </c>
      <c r="AO5888" s="2">
        <v>836.65478753393597</v>
      </c>
      <c r="AP5888" s="2">
        <v>542.70497981108599</v>
      </c>
    </row>
    <row r="5889" spans="1:42" ht="14.5" x14ac:dyDescent="0.35">
      <c r="A5889" s="2" t="s">
        <v>39037</v>
      </c>
      <c r="B5889" s="2">
        <v>617.42000659344706</v>
      </c>
      <c r="C5889" s="2">
        <v>9.7467833333333296</v>
      </c>
      <c r="D5889" s="2" t="s">
        <v>34</v>
      </c>
      <c r="E5889" s="2" t="s">
        <v>39038</v>
      </c>
      <c r="F5889" s="2">
        <v>25101</v>
      </c>
      <c r="G5889" s="3" t="str">
        <f>HYPERLINK("http://funmeta.oebiotech.com/network/25101", "http://funmeta.oebiotech.com/network/25101")</f>
        <v>http://funmeta.oebiotech.com/network/25101</v>
      </c>
      <c r="H5889" s="2" t="s">
        <v>39039</v>
      </c>
      <c r="I5889" s="2">
        <v>81368</v>
      </c>
      <c r="J5889" s="2" t="s">
        <v>39040</v>
      </c>
      <c r="K5889" s="2"/>
      <c r="L5889" s="2"/>
      <c r="M5889" s="2"/>
      <c r="N5889" s="2"/>
      <c r="O5889" s="2">
        <v>52928795</v>
      </c>
      <c r="P5889" s="2"/>
      <c r="Q5889" s="2" t="s">
        <v>39041</v>
      </c>
      <c r="R5889" s="2" t="s">
        <v>39042</v>
      </c>
      <c r="S5889" s="2" t="s">
        <v>50</v>
      </c>
      <c r="T5889" s="2" t="s">
        <v>51</v>
      </c>
      <c r="U5889" s="2" t="s">
        <v>273</v>
      </c>
      <c r="V5889" s="2" t="s">
        <v>59</v>
      </c>
      <c r="W5889" s="2">
        <v>37.700000000000003</v>
      </c>
      <c r="X5889" s="2">
        <v>0</v>
      </c>
      <c r="Y5889" s="2" t="s">
        <v>394</v>
      </c>
      <c r="Z5889" s="2" t="s">
        <v>39043</v>
      </c>
      <c r="AA5889" s="2">
        <v>3.7712191037229399</v>
      </c>
      <c r="AB5889" s="2">
        <v>5.8135122572422898E-2</v>
      </c>
      <c r="AC5889" s="2">
        <v>1784.89205242137</v>
      </c>
      <c r="AD5889" s="2">
        <v>1373.0475877102001</v>
      </c>
      <c r="AE5889" s="2">
        <v>1466.8732965699</v>
      </c>
      <c r="AF5889" s="2">
        <v>1854.9268418895099</v>
      </c>
      <c r="AG5889" s="2">
        <v>1228.7594594843299</v>
      </c>
      <c r="AH5889" s="2">
        <v>2422.3843764532098</v>
      </c>
      <c r="AI5889" s="2">
        <v>2163.7511693567699</v>
      </c>
      <c r="AJ5889" s="2">
        <v>1572.6571707744799</v>
      </c>
      <c r="AK5889" s="2">
        <v>1459.8001382621201</v>
      </c>
      <c r="AL5889" s="2">
        <v>1125.0666303462399</v>
      </c>
      <c r="AM5889" s="2">
        <v>1396.5695828473499</v>
      </c>
      <c r="AN5889" s="2">
        <v>1221.1316529246701</v>
      </c>
      <c r="AO5889" s="2">
        <v>1381.4731119662699</v>
      </c>
      <c r="AP5889" s="2">
        <v>1654.24440991458</v>
      </c>
    </row>
    <row r="5890" spans="1:42" ht="14.5" x14ac:dyDescent="0.35">
      <c r="A5890" s="2" t="s">
        <v>39044</v>
      </c>
      <c r="B5890" s="2">
        <v>433.13500742500503</v>
      </c>
      <c r="C5890" s="2">
        <v>3.6167500000000001</v>
      </c>
      <c r="D5890" s="2" t="s">
        <v>70</v>
      </c>
      <c r="E5890" s="2" t="s">
        <v>39045</v>
      </c>
      <c r="F5890" s="2">
        <v>35296</v>
      </c>
      <c r="G5890" s="3" t="str">
        <f>HYPERLINK("http://funmeta.oebiotech.com/network/35296", "http://funmeta.oebiotech.com/network/35296")</f>
        <v>http://funmeta.oebiotech.com/network/35296</v>
      </c>
      <c r="H5890" s="2" t="s">
        <v>39046</v>
      </c>
      <c r="I5890" s="2">
        <v>41147</v>
      </c>
      <c r="J5890" s="2" t="s">
        <v>39047</v>
      </c>
      <c r="K5890" s="2">
        <v>18002</v>
      </c>
      <c r="L5890" s="2" t="s">
        <v>39048</v>
      </c>
      <c r="M5890" s="2" t="s">
        <v>39049</v>
      </c>
      <c r="N5890" s="2" t="s">
        <v>39050</v>
      </c>
      <c r="O5890" s="2">
        <v>161276</v>
      </c>
      <c r="P5890" s="2"/>
      <c r="Q5890" s="2" t="s">
        <v>39051</v>
      </c>
      <c r="R5890" s="2" t="s">
        <v>39052</v>
      </c>
      <c r="S5890" s="2" t="s">
        <v>50</v>
      </c>
      <c r="T5890" s="2" t="s">
        <v>201</v>
      </c>
      <c r="U5890" s="2" t="s">
        <v>202</v>
      </c>
      <c r="V5890" s="2" t="s">
        <v>42</v>
      </c>
      <c r="W5890" s="2">
        <v>49.9</v>
      </c>
      <c r="X5890" s="2">
        <v>53.7</v>
      </c>
      <c r="Y5890" s="2" t="s">
        <v>408</v>
      </c>
      <c r="Z5890" s="2" t="s">
        <v>13454</v>
      </c>
      <c r="AA5890" s="2">
        <v>-0.36690728900882003</v>
      </c>
      <c r="AB5890" s="2">
        <v>5.8130796976437797E-2</v>
      </c>
      <c r="AC5890" s="2">
        <v>34679.605353882398</v>
      </c>
      <c r="AD5890" s="2">
        <v>35468.2294831978</v>
      </c>
      <c r="AE5890" s="2">
        <v>36161.834105367103</v>
      </c>
      <c r="AF5890" s="2">
        <v>33227.018158286097</v>
      </c>
      <c r="AG5890" s="2">
        <v>32775.7328224476</v>
      </c>
      <c r="AH5890" s="2">
        <v>33460.910454054399</v>
      </c>
      <c r="AI5890" s="2">
        <v>35900.541195126803</v>
      </c>
      <c r="AJ5890" s="2">
        <v>36551.595388012604</v>
      </c>
      <c r="AK5890" s="2">
        <v>34103.136859702303</v>
      </c>
      <c r="AL5890" s="2">
        <v>36326.882327409898</v>
      </c>
      <c r="AM5890" s="2">
        <v>36005.931802697203</v>
      </c>
      <c r="AN5890" s="2">
        <v>36281.050259225303</v>
      </c>
      <c r="AO5890" s="2">
        <v>33496.456390464497</v>
      </c>
      <c r="AP5890" s="2">
        <v>36595.919259687602</v>
      </c>
    </row>
    <row r="5891" spans="1:42" ht="14.5" x14ac:dyDescent="0.35">
      <c r="A5891" s="2" t="s">
        <v>39053</v>
      </c>
      <c r="B5891" s="2">
        <v>546.28268820767596</v>
      </c>
      <c r="C5891" s="2">
        <v>10.0942333333333</v>
      </c>
      <c r="D5891" s="2" t="s">
        <v>34</v>
      </c>
      <c r="E5891" s="2" t="s">
        <v>39054</v>
      </c>
      <c r="F5891" s="2">
        <v>198855</v>
      </c>
      <c r="G5891" s="3" t="str">
        <f>HYPERLINK("http://funmeta.oebiotech.com/network/198855", "http://funmeta.oebiotech.com/network/198855")</f>
        <v>http://funmeta.oebiotech.com/network/198855</v>
      </c>
      <c r="H5891" s="2" t="s">
        <v>39055</v>
      </c>
      <c r="I5891" s="2"/>
      <c r="J5891" s="2"/>
      <c r="K5891" s="2"/>
      <c r="L5891" s="2"/>
      <c r="M5891" s="2"/>
      <c r="N5891" s="2"/>
      <c r="O5891" s="2"/>
      <c r="P5891" s="2"/>
      <c r="Q5891" s="2" t="s">
        <v>39056</v>
      </c>
      <c r="R5891" s="2" t="s">
        <v>39057</v>
      </c>
      <c r="S5891" s="2" t="s">
        <v>50</v>
      </c>
      <c r="T5891" s="2" t="s">
        <v>124</v>
      </c>
      <c r="U5891" s="2" t="s">
        <v>125</v>
      </c>
      <c r="V5891" s="2" t="s">
        <v>59</v>
      </c>
      <c r="W5891" s="2">
        <v>36.1</v>
      </c>
      <c r="X5891" s="2">
        <v>0</v>
      </c>
      <c r="Y5891" s="2" t="s">
        <v>340</v>
      </c>
      <c r="Z5891" s="2" t="s">
        <v>39058</v>
      </c>
      <c r="AA5891" s="2">
        <v>-0.14321779436825699</v>
      </c>
      <c r="AB5891" s="2">
        <v>5.80272495519535E-2</v>
      </c>
      <c r="AC5891" s="2">
        <v>6232.5453982366598</v>
      </c>
      <c r="AD5891" s="2">
        <v>6847.1464994022699</v>
      </c>
      <c r="AE5891" s="2">
        <v>6638.2460670439696</v>
      </c>
      <c r="AF5891" s="2">
        <v>6520.0521036536402</v>
      </c>
      <c r="AG5891" s="2">
        <v>6076.2702209386198</v>
      </c>
      <c r="AH5891" s="2">
        <v>5528.5304282683501</v>
      </c>
      <c r="AI5891" s="2">
        <v>5946.42140777227</v>
      </c>
      <c r="AJ5891" s="2">
        <v>6685.7521617431003</v>
      </c>
      <c r="AK5891" s="2">
        <v>8216.1052824732906</v>
      </c>
      <c r="AL5891" s="2">
        <v>8085.5128926662801</v>
      </c>
      <c r="AM5891" s="2">
        <v>6735.3843224824104</v>
      </c>
      <c r="AN5891" s="2">
        <v>6112.7719108931997</v>
      </c>
      <c r="AO5891" s="2">
        <v>6527.7664008194997</v>
      </c>
      <c r="AP5891" s="2">
        <v>5405.3381870789199</v>
      </c>
    </row>
    <row r="5892" spans="1:42" ht="14.5" x14ac:dyDescent="0.35">
      <c r="A5892" s="2" t="s">
        <v>39059</v>
      </c>
      <c r="B5892" s="2">
        <v>149.05978981278301</v>
      </c>
      <c r="C5892" s="2">
        <v>0.78071666666666695</v>
      </c>
      <c r="D5892" s="2" t="s">
        <v>34</v>
      </c>
      <c r="E5892" s="2" t="s">
        <v>39060</v>
      </c>
      <c r="F5892" s="2">
        <v>83671</v>
      </c>
      <c r="G5892" s="3" t="str">
        <f>HYPERLINK("http://funmeta.oebiotech.com/network/83671", "http://funmeta.oebiotech.com/network/83671")</f>
        <v>http://funmeta.oebiotech.com/network/83671</v>
      </c>
      <c r="H5892" s="2" t="s">
        <v>39061</v>
      </c>
      <c r="I5892" s="2">
        <v>1165</v>
      </c>
      <c r="J5892" s="2"/>
      <c r="K5892" s="2">
        <v>30765</v>
      </c>
      <c r="L5892" s="2" t="s">
        <v>39062</v>
      </c>
      <c r="M5892" s="2" t="s">
        <v>11852</v>
      </c>
      <c r="N5892" s="2" t="s">
        <v>11853</v>
      </c>
      <c r="O5892" s="2">
        <v>10726</v>
      </c>
      <c r="P5892" s="2" t="s">
        <v>39063</v>
      </c>
      <c r="Q5892" s="2" t="s">
        <v>39064</v>
      </c>
      <c r="R5892" s="2" t="s">
        <v>39065</v>
      </c>
      <c r="S5892" s="2" t="s">
        <v>89</v>
      </c>
      <c r="T5892" s="2" t="s">
        <v>4218</v>
      </c>
      <c r="U5892" s="2" t="s">
        <v>4219</v>
      </c>
      <c r="V5892" s="2" t="s">
        <v>59</v>
      </c>
      <c r="W5892" s="2">
        <v>39.4</v>
      </c>
      <c r="X5892" s="2">
        <v>0</v>
      </c>
      <c r="Y5892" s="2" t="s">
        <v>266</v>
      </c>
      <c r="Z5892" s="2" t="s">
        <v>28172</v>
      </c>
      <c r="AA5892" s="2">
        <v>0.50513001652173295</v>
      </c>
      <c r="AB5892" s="2">
        <v>5.8024937790478001E-2</v>
      </c>
      <c r="AC5892" s="2">
        <v>17091.992896187799</v>
      </c>
      <c r="AD5892" s="2">
        <v>16343.1593711356</v>
      </c>
      <c r="AE5892" s="2">
        <v>16678.717184655299</v>
      </c>
      <c r="AF5892" s="2">
        <v>18275.8246580382</v>
      </c>
      <c r="AG5892" s="2">
        <v>15666.8804535165</v>
      </c>
      <c r="AH5892" s="2">
        <v>15844.6588014796</v>
      </c>
      <c r="AI5892" s="2">
        <v>18076.896735457201</v>
      </c>
      <c r="AJ5892" s="2">
        <v>18008.979543979902</v>
      </c>
      <c r="AK5892" s="2">
        <v>14478.392974221901</v>
      </c>
      <c r="AL5892" s="2">
        <v>17679.069631941798</v>
      </c>
      <c r="AM5892" s="2">
        <v>16581.022715337502</v>
      </c>
      <c r="AN5892" s="2">
        <v>17039.1179175867</v>
      </c>
      <c r="AO5892" s="2">
        <v>14687.7492302275</v>
      </c>
      <c r="AP5892" s="2">
        <v>17593.6037574984</v>
      </c>
    </row>
    <row r="5893" spans="1:42" ht="14.5" x14ac:dyDescent="0.35">
      <c r="A5893" s="2" t="s">
        <v>39066</v>
      </c>
      <c r="B5893" s="2">
        <v>319.092442196089</v>
      </c>
      <c r="C5893" s="2">
        <v>3.51128333333333</v>
      </c>
      <c r="D5893" s="2" t="s">
        <v>34</v>
      </c>
      <c r="E5893" s="2" t="s">
        <v>39067</v>
      </c>
      <c r="F5893" s="2">
        <v>51467</v>
      </c>
      <c r="G5893" s="3" t="str">
        <f>HYPERLINK("http://funmeta.oebiotech.com/network/51467", "http://funmeta.oebiotech.com/network/51467")</f>
        <v>http://funmeta.oebiotech.com/network/51467</v>
      </c>
      <c r="H5893" s="2" t="s">
        <v>39068</v>
      </c>
      <c r="I5893" s="2">
        <v>62423</v>
      </c>
      <c r="J5893" s="2"/>
      <c r="K5893" s="2">
        <v>172525</v>
      </c>
      <c r="L5893" s="2"/>
      <c r="M5893" s="2"/>
      <c r="N5893" s="2"/>
      <c r="O5893" s="2">
        <v>53481029</v>
      </c>
      <c r="P5893" s="2"/>
      <c r="Q5893" s="2" t="s">
        <v>39069</v>
      </c>
      <c r="R5893" s="2" t="s">
        <v>39070</v>
      </c>
      <c r="S5893" s="2" t="s">
        <v>79</v>
      </c>
      <c r="T5893" s="2" t="s">
        <v>80</v>
      </c>
      <c r="U5893" s="2" t="s">
        <v>2820</v>
      </c>
      <c r="V5893" s="2" t="s">
        <v>59</v>
      </c>
      <c r="W5893" s="2">
        <v>36.700000000000003</v>
      </c>
      <c r="X5893" s="2">
        <v>0</v>
      </c>
      <c r="Y5893" s="2" t="s">
        <v>323</v>
      </c>
      <c r="Z5893" s="2" t="s">
        <v>39071</v>
      </c>
      <c r="AA5893" s="2">
        <v>2.4716972132391399</v>
      </c>
      <c r="AB5893" s="2">
        <v>5.7998823342479501E-2</v>
      </c>
      <c r="AC5893" s="2">
        <v>2688.2899556959601</v>
      </c>
      <c r="AD5893" s="2">
        <v>2268.4004805418399</v>
      </c>
      <c r="AE5893" s="2">
        <v>2911.1846923478001</v>
      </c>
      <c r="AF5893" s="2">
        <v>2727.7196191315902</v>
      </c>
      <c r="AG5893" s="2">
        <v>2407.4933736591602</v>
      </c>
      <c r="AH5893" s="2">
        <v>2568.8361961676501</v>
      </c>
      <c r="AI5893" s="2">
        <v>2855.8271911727602</v>
      </c>
      <c r="AJ5893" s="2">
        <v>2658.6786616968202</v>
      </c>
      <c r="AK5893" s="2">
        <v>1934.3402776078001</v>
      </c>
      <c r="AL5893" s="2">
        <v>2438.2422719610299</v>
      </c>
      <c r="AM5893" s="2">
        <v>1721.9814945215801</v>
      </c>
      <c r="AN5893" s="2">
        <v>3117.51535983534</v>
      </c>
      <c r="AO5893" s="2">
        <v>2200.79342325269</v>
      </c>
      <c r="AP5893" s="2">
        <v>2197.5300560726</v>
      </c>
    </row>
    <row r="5894" spans="1:42" ht="14.5" x14ac:dyDescent="0.35">
      <c r="A5894" s="2" t="s">
        <v>39072</v>
      </c>
      <c r="B5894" s="2">
        <v>477.17214455677498</v>
      </c>
      <c r="C5894" s="2">
        <v>4.9511166666666702</v>
      </c>
      <c r="D5894" s="2" t="s">
        <v>70</v>
      </c>
      <c r="E5894" s="2" t="s">
        <v>39073</v>
      </c>
      <c r="F5894" s="2">
        <v>200961</v>
      </c>
      <c r="G5894" s="3" t="str">
        <f>HYPERLINK("http://funmeta.oebiotech.com/network/200961", "http://funmeta.oebiotech.com/network/200961")</f>
        <v>http://funmeta.oebiotech.com/network/200961</v>
      </c>
      <c r="H5894" s="2" t="s">
        <v>39074</v>
      </c>
      <c r="I5894" s="2"/>
      <c r="J5894" s="2"/>
      <c r="K5894" s="2"/>
      <c r="L5894" s="2"/>
      <c r="M5894" s="2"/>
      <c r="N5894" s="2"/>
      <c r="O5894" s="2">
        <v>13941347</v>
      </c>
      <c r="P5894" s="2"/>
      <c r="Q5894" s="2" t="s">
        <v>39075</v>
      </c>
      <c r="R5894" s="2" t="s">
        <v>39076</v>
      </c>
      <c r="S5894" s="2" t="s">
        <v>491</v>
      </c>
      <c r="T5894" s="2" t="s">
        <v>4517</v>
      </c>
      <c r="U5894" s="2" t="s">
        <v>4518</v>
      </c>
      <c r="V5894" s="2" t="s">
        <v>59</v>
      </c>
      <c r="W5894" s="2">
        <v>38</v>
      </c>
      <c r="X5894" s="2">
        <v>0</v>
      </c>
      <c r="Y5894" s="2" t="s">
        <v>560</v>
      </c>
      <c r="Z5894" s="2" t="s">
        <v>39077</v>
      </c>
      <c r="AA5894" s="2">
        <v>-3.7450871781284998</v>
      </c>
      <c r="AB5894" s="2">
        <v>5.7995925559072597E-2</v>
      </c>
      <c r="AC5894" s="2">
        <v>9512.4609857919695</v>
      </c>
      <c r="AD5894" s="2">
        <v>10229.750211131401</v>
      </c>
      <c r="AE5894" s="2">
        <v>11595.6596246841</v>
      </c>
      <c r="AF5894" s="2">
        <v>9946.1733720426291</v>
      </c>
      <c r="AG5894" s="2">
        <v>8103.0682320899796</v>
      </c>
      <c r="AH5894" s="2">
        <v>9475.7622444057397</v>
      </c>
      <c r="AI5894" s="2">
        <v>8649.4590865229693</v>
      </c>
      <c r="AJ5894" s="2">
        <v>9304.6433550063794</v>
      </c>
      <c r="AK5894" s="2">
        <v>10760.074399277501</v>
      </c>
      <c r="AL5894" s="2">
        <v>10652.794710910701</v>
      </c>
      <c r="AM5894" s="2">
        <v>9671.2155057618602</v>
      </c>
      <c r="AN5894" s="2">
        <v>9578.6059562184</v>
      </c>
      <c r="AO5894" s="2">
        <v>8739.4117282158695</v>
      </c>
      <c r="AP5894" s="2">
        <v>11976.3989664042</v>
      </c>
    </row>
    <row r="5895" spans="1:42" ht="14.5" x14ac:dyDescent="0.35">
      <c r="A5895" s="2" t="s">
        <v>39078</v>
      </c>
      <c r="B5895" s="2">
        <v>265.25248261796497</v>
      </c>
      <c r="C5895" s="2">
        <v>11.18065</v>
      </c>
      <c r="D5895" s="2" t="s">
        <v>34</v>
      </c>
      <c r="E5895" s="2" t="s">
        <v>39079</v>
      </c>
      <c r="F5895" s="2">
        <v>6193</v>
      </c>
      <c r="G5895" s="3" t="str">
        <f>HYPERLINK("http://funmeta.oebiotech.com/network/6193", "http://funmeta.oebiotech.com/network/6193")</f>
        <v>http://funmeta.oebiotech.com/network/6193</v>
      </c>
      <c r="H5895" s="2"/>
      <c r="I5895" s="2">
        <v>46167</v>
      </c>
      <c r="J5895" s="2" t="s">
        <v>39080</v>
      </c>
      <c r="K5895" s="2"/>
      <c r="L5895" s="2"/>
      <c r="M5895" s="2"/>
      <c r="N5895" s="2"/>
      <c r="O5895" s="2">
        <v>5367327</v>
      </c>
      <c r="P5895" s="2"/>
      <c r="Q5895" s="2" t="s">
        <v>39081</v>
      </c>
      <c r="R5895" s="2" t="s">
        <v>39082</v>
      </c>
      <c r="S5895" s="2" t="s">
        <v>50</v>
      </c>
      <c r="T5895" s="2" t="s">
        <v>229</v>
      </c>
      <c r="U5895" s="2" t="s">
        <v>1283</v>
      </c>
      <c r="V5895" s="2" t="s">
        <v>59</v>
      </c>
      <c r="W5895" s="2">
        <v>42.8</v>
      </c>
      <c r="X5895" s="2">
        <v>18</v>
      </c>
      <c r="Y5895" s="2" t="s">
        <v>266</v>
      </c>
      <c r="Z5895" s="2" t="s">
        <v>1009</v>
      </c>
      <c r="AA5895" s="2">
        <v>-0.41423566908876602</v>
      </c>
      <c r="AB5895" s="2">
        <v>5.7905909897507303E-2</v>
      </c>
      <c r="AC5895" s="2">
        <v>6732.5609584805097</v>
      </c>
      <c r="AD5895" s="2">
        <v>7217.2090036852996</v>
      </c>
      <c r="AE5895" s="2">
        <v>7074.79749132708</v>
      </c>
      <c r="AF5895" s="2">
        <v>6903.0875838376496</v>
      </c>
      <c r="AG5895" s="2">
        <v>7379.4353596902802</v>
      </c>
      <c r="AH5895" s="2">
        <v>6817.3516261892701</v>
      </c>
      <c r="AI5895" s="2">
        <v>6349.0383822190097</v>
      </c>
      <c r="AJ5895" s="2">
        <v>5871.6553076197897</v>
      </c>
      <c r="AK5895" s="2">
        <v>6514.3263532886303</v>
      </c>
      <c r="AL5895" s="2">
        <v>7822.7223251427704</v>
      </c>
      <c r="AM5895" s="2">
        <v>7352.5725176266196</v>
      </c>
      <c r="AN5895" s="2">
        <v>6827.2792163742497</v>
      </c>
      <c r="AO5895" s="2">
        <v>7453.7489049331098</v>
      </c>
      <c r="AP5895" s="2">
        <v>7332.6047047464299</v>
      </c>
    </row>
    <row r="5896" spans="1:42" ht="14.5" x14ac:dyDescent="0.35">
      <c r="A5896" s="2" t="s">
        <v>39083</v>
      </c>
      <c r="B5896" s="2">
        <v>408.25068031440799</v>
      </c>
      <c r="C5896" s="2">
        <v>4.6661999999999999</v>
      </c>
      <c r="D5896" s="2" t="s">
        <v>34</v>
      </c>
      <c r="E5896" s="2" t="s">
        <v>39084</v>
      </c>
      <c r="F5896" s="2">
        <v>21165</v>
      </c>
      <c r="G5896" s="3" t="str">
        <f>HYPERLINK("http://funmeta.oebiotech.com/network/21165", "http://funmeta.oebiotech.com/network/21165")</f>
        <v>http://funmeta.oebiotech.com/network/21165</v>
      </c>
      <c r="H5896" s="2" t="s">
        <v>39085</v>
      </c>
      <c r="I5896" s="2">
        <v>40777</v>
      </c>
      <c r="J5896" s="2" t="s">
        <v>39086</v>
      </c>
      <c r="K5896" s="2">
        <v>84299</v>
      </c>
      <c r="L5896" s="2"/>
      <c r="M5896" s="2"/>
      <c r="N5896" s="2"/>
      <c r="O5896" s="2">
        <v>9547070</v>
      </c>
      <c r="P5896" s="2"/>
      <c r="Q5896" s="2" t="s">
        <v>39087</v>
      </c>
      <c r="R5896" s="2" t="s">
        <v>39088</v>
      </c>
      <c r="S5896" s="2" t="s">
        <v>50</v>
      </c>
      <c r="T5896" s="2" t="s">
        <v>51</v>
      </c>
      <c r="U5896" s="2" t="s">
        <v>257</v>
      </c>
      <c r="V5896" s="2" t="s">
        <v>59</v>
      </c>
      <c r="W5896" s="2">
        <v>36</v>
      </c>
      <c r="X5896" s="2">
        <v>0</v>
      </c>
      <c r="Y5896" s="2" t="s">
        <v>141</v>
      </c>
      <c r="Z5896" s="2" t="s">
        <v>39089</v>
      </c>
      <c r="AA5896" s="2">
        <v>-0.63653712681234598</v>
      </c>
      <c r="AB5896" s="2">
        <v>5.7841667332484199E-2</v>
      </c>
      <c r="AC5896" s="2">
        <v>16631.936850271199</v>
      </c>
      <c r="AD5896" s="2">
        <v>17321.1089785486</v>
      </c>
      <c r="AE5896" s="2">
        <v>15428.932342705901</v>
      </c>
      <c r="AF5896" s="2">
        <v>17883.577061656601</v>
      </c>
      <c r="AG5896" s="2">
        <v>14401.7027647491</v>
      </c>
      <c r="AH5896" s="2">
        <v>17765.585284656499</v>
      </c>
      <c r="AI5896" s="2">
        <v>17079.224056966501</v>
      </c>
      <c r="AJ5896" s="2">
        <v>17232.5995908929</v>
      </c>
      <c r="AK5896" s="2">
        <v>17676.676824929302</v>
      </c>
      <c r="AL5896" s="2">
        <v>16111.0515884899</v>
      </c>
      <c r="AM5896" s="2">
        <v>17654.702622412198</v>
      </c>
      <c r="AN5896" s="2">
        <v>17730.5256065906</v>
      </c>
      <c r="AO5896" s="2">
        <v>18337.058532578802</v>
      </c>
      <c r="AP5896" s="2">
        <v>16416.6386962908</v>
      </c>
    </row>
    <row r="5897" spans="1:42" ht="14.5" x14ac:dyDescent="0.35">
      <c r="A5897" s="2" t="s">
        <v>39090</v>
      </c>
      <c r="B5897" s="2">
        <v>333.08082813740299</v>
      </c>
      <c r="C5897" s="2">
        <v>1.52295</v>
      </c>
      <c r="D5897" s="2" t="s">
        <v>70</v>
      </c>
      <c r="E5897" s="2" t="s">
        <v>39091</v>
      </c>
      <c r="F5897" s="2">
        <v>47022</v>
      </c>
      <c r="G5897" s="3" t="str">
        <f>HYPERLINK("http://funmeta.oebiotech.com/network/47022", "http://funmeta.oebiotech.com/network/47022")</f>
        <v>http://funmeta.oebiotech.com/network/47022</v>
      </c>
      <c r="H5897" s="2" t="s">
        <v>39092</v>
      </c>
      <c r="I5897" s="2">
        <v>5390</v>
      </c>
      <c r="J5897" s="2"/>
      <c r="K5897" s="2"/>
      <c r="L5897" s="2"/>
      <c r="M5897" s="2"/>
      <c r="N5897" s="2"/>
      <c r="O5897" s="2">
        <v>92268</v>
      </c>
      <c r="P5897" s="2" t="s">
        <v>39093</v>
      </c>
      <c r="Q5897" s="2" t="s">
        <v>39094</v>
      </c>
      <c r="R5897" s="2" t="s">
        <v>39095</v>
      </c>
      <c r="S5897" s="2" t="s">
        <v>491</v>
      </c>
      <c r="T5897" s="2" t="s">
        <v>7431</v>
      </c>
      <c r="U5897" s="2" t="s">
        <v>7432</v>
      </c>
      <c r="V5897" s="2" t="s">
        <v>59</v>
      </c>
      <c r="W5897" s="2">
        <v>39.4</v>
      </c>
      <c r="X5897" s="2">
        <v>0</v>
      </c>
      <c r="Y5897" s="2" t="s">
        <v>560</v>
      </c>
      <c r="Z5897" s="2" t="s">
        <v>39096</v>
      </c>
      <c r="AA5897" s="2">
        <v>-1.6291410641511901</v>
      </c>
      <c r="AB5897" s="2">
        <v>5.78292062923869E-2</v>
      </c>
      <c r="AC5897" s="2">
        <v>2018.73534940371</v>
      </c>
      <c r="AD5897" s="2">
        <v>1660.2468963485301</v>
      </c>
      <c r="AE5897" s="2">
        <v>1829.91325741012</v>
      </c>
      <c r="AF5897" s="2">
        <v>2359.1772121529102</v>
      </c>
      <c r="AG5897" s="2">
        <v>1767.9850159018499</v>
      </c>
      <c r="AH5897" s="2">
        <v>2171.6682834652702</v>
      </c>
      <c r="AI5897" s="2">
        <v>1960.4081691286301</v>
      </c>
      <c r="AJ5897" s="2">
        <v>2023.2601583634701</v>
      </c>
      <c r="AK5897" s="2">
        <v>1775.5572215172499</v>
      </c>
      <c r="AL5897" s="2">
        <v>1446.5548079903599</v>
      </c>
      <c r="AM5897" s="2">
        <v>1404.59218024182</v>
      </c>
      <c r="AN5897" s="2">
        <v>2112.4957955240102</v>
      </c>
      <c r="AO5897" s="2">
        <v>1779.1347156071199</v>
      </c>
      <c r="AP5897" s="2">
        <v>1443.1466572106101</v>
      </c>
    </row>
    <row r="5898" spans="1:42" ht="14.5" x14ac:dyDescent="0.35">
      <c r="A5898" s="2" t="s">
        <v>39097</v>
      </c>
      <c r="B5898" s="2">
        <v>469.17106557378202</v>
      </c>
      <c r="C5898" s="2">
        <v>5.4314499999999999</v>
      </c>
      <c r="D5898" s="2" t="s">
        <v>70</v>
      </c>
      <c r="E5898" s="2" t="s">
        <v>39098</v>
      </c>
      <c r="F5898" s="2">
        <v>59135</v>
      </c>
      <c r="G5898" s="3" t="str">
        <f>HYPERLINK("http://funmeta.oebiotech.com/network/59135", "http://funmeta.oebiotech.com/network/59135")</f>
        <v>http://funmeta.oebiotech.com/network/59135</v>
      </c>
      <c r="H5898" s="2" t="s">
        <v>39099</v>
      </c>
      <c r="I5898" s="2">
        <v>90559</v>
      </c>
      <c r="J5898" s="2"/>
      <c r="K5898" s="2">
        <v>172666</v>
      </c>
      <c r="L5898" s="2"/>
      <c r="M5898" s="2"/>
      <c r="N5898" s="2"/>
      <c r="O5898" s="2">
        <v>131751687</v>
      </c>
      <c r="P5898" s="2" t="s">
        <v>39100</v>
      </c>
      <c r="Q5898" s="2" t="s">
        <v>39101</v>
      </c>
      <c r="R5898" s="2" t="s">
        <v>39102</v>
      </c>
      <c r="S5898" s="2" t="s">
        <v>50</v>
      </c>
      <c r="T5898" s="2" t="s">
        <v>201</v>
      </c>
      <c r="U5898" s="2" t="s">
        <v>1217</v>
      </c>
      <c r="V5898" s="2" t="s">
        <v>59</v>
      </c>
      <c r="W5898" s="2">
        <v>37.9</v>
      </c>
      <c r="X5898" s="2">
        <v>0</v>
      </c>
      <c r="Y5898" s="2" t="s">
        <v>408</v>
      </c>
      <c r="Z5898" s="2" t="s">
        <v>39103</v>
      </c>
      <c r="AA5898" s="2">
        <v>-1.1074958792887499</v>
      </c>
      <c r="AB5898" s="2">
        <v>5.7799478370582601E-2</v>
      </c>
      <c r="AC5898" s="2">
        <v>1639.4391711164001</v>
      </c>
      <c r="AD5898" s="2">
        <v>2069.0896446237398</v>
      </c>
      <c r="AE5898" s="2">
        <v>1573.4438062935301</v>
      </c>
      <c r="AF5898" s="2">
        <v>1221.5533085082</v>
      </c>
      <c r="AG5898" s="2">
        <v>1923.92461078577</v>
      </c>
      <c r="AH5898" s="2">
        <v>1144.81289242302</v>
      </c>
      <c r="AI5898" s="2">
        <v>1910.9274331742499</v>
      </c>
      <c r="AJ5898" s="2">
        <v>2061.97297551365</v>
      </c>
      <c r="AK5898" s="2">
        <v>2632.3859778597298</v>
      </c>
      <c r="AL5898" s="2">
        <v>2142.8441678505501</v>
      </c>
      <c r="AM5898" s="2">
        <v>1679.6278006474799</v>
      </c>
      <c r="AN5898" s="2">
        <v>1758.7803753522901</v>
      </c>
      <c r="AO5898" s="2">
        <v>1757.2753316082501</v>
      </c>
      <c r="AP5898" s="2">
        <v>2443.6242144241601</v>
      </c>
    </row>
    <row r="5899" spans="1:42" ht="14.5" x14ac:dyDescent="0.35">
      <c r="A5899" s="2" t="s">
        <v>39104</v>
      </c>
      <c r="B5899" s="2">
        <v>731.22860193622103</v>
      </c>
      <c r="C5899" s="2">
        <v>3.7870499999999998</v>
      </c>
      <c r="D5899" s="2" t="s">
        <v>70</v>
      </c>
      <c r="E5899" s="2" t="s">
        <v>39105</v>
      </c>
      <c r="F5899" s="2">
        <v>53421</v>
      </c>
      <c r="G5899" s="3" t="str">
        <f>HYPERLINK("http://funmeta.oebiotech.com/network/53421", "http://funmeta.oebiotech.com/network/53421")</f>
        <v>http://funmeta.oebiotech.com/network/53421</v>
      </c>
      <c r="H5899" s="2" t="s">
        <v>39106</v>
      </c>
      <c r="I5899" s="2">
        <v>85477</v>
      </c>
      <c r="J5899" s="2"/>
      <c r="K5899" s="2">
        <v>127439</v>
      </c>
      <c r="L5899" s="2"/>
      <c r="M5899" s="2"/>
      <c r="N5899" s="2"/>
      <c r="O5899" s="2">
        <v>5362391</v>
      </c>
      <c r="P5899" s="2" t="s">
        <v>39107</v>
      </c>
      <c r="Q5899" s="2" t="s">
        <v>39108</v>
      </c>
      <c r="R5899" s="2" t="s">
        <v>39109</v>
      </c>
      <c r="S5899" s="2" t="s">
        <v>148</v>
      </c>
      <c r="T5899" s="2" t="s">
        <v>149</v>
      </c>
      <c r="U5899" s="2" t="s">
        <v>10041</v>
      </c>
      <c r="V5899" s="2" t="s">
        <v>59</v>
      </c>
      <c r="W5899" s="2">
        <v>36.9</v>
      </c>
      <c r="X5899" s="2">
        <v>0</v>
      </c>
      <c r="Y5899" s="2" t="s">
        <v>560</v>
      </c>
      <c r="Z5899" s="2" t="s">
        <v>39110</v>
      </c>
      <c r="AA5899" s="2">
        <v>-3.2445432969782599</v>
      </c>
      <c r="AB5899" s="2">
        <v>5.7797741605348299E-2</v>
      </c>
      <c r="AC5899" s="2">
        <v>5710.5461340286902</v>
      </c>
      <c r="AD5899" s="2">
        <v>6355.98598116836</v>
      </c>
      <c r="AE5899" s="2">
        <v>5906.5458838578197</v>
      </c>
      <c r="AF5899" s="2">
        <v>5060.4444697828403</v>
      </c>
      <c r="AG5899" s="2">
        <v>5037.4009094841304</v>
      </c>
      <c r="AH5899" s="2">
        <v>6479.8659143675004</v>
      </c>
      <c r="AI5899" s="2">
        <v>4878.0252457113502</v>
      </c>
      <c r="AJ5899" s="2">
        <v>6900.9943809684901</v>
      </c>
      <c r="AK5899" s="2">
        <v>5046.9595965045801</v>
      </c>
      <c r="AL5899" s="2">
        <v>5691.3999149893298</v>
      </c>
      <c r="AM5899" s="2">
        <v>7691.6306031803097</v>
      </c>
      <c r="AN5899" s="2">
        <v>6943.4395432915098</v>
      </c>
      <c r="AO5899" s="2">
        <v>5430.7377003258398</v>
      </c>
      <c r="AP5899" s="2">
        <v>7331.7485287186</v>
      </c>
    </row>
    <row r="5900" spans="1:42" ht="14.5" x14ac:dyDescent="0.35">
      <c r="A5900" s="2" t="s">
        <v>39111</v>
      </c>
      <c r="B5900" s="2">
        <v>318.24028866440602</v>
      </c>
      <c r="C5900" s="2">
        <v>9.9206166666666693</v>
      </c>
      <c r="D5900" s="2" t="s">
        <v>34</v>
      </c>
      <c r="E5900" s="2" t="s">
        <v>39112</v>
      </c>
      <c r="F5900" s="2">
        <v>38956</v>
      </c>
      <c r="G5900" s="3" t="str">
        <f>HYPERLINK("http://funmeta.oebiotech.com/network/38956", "http://funmeta.oebiotech.com/network/38956")</f>
        <v>http://funmeta.oebiotech.com/network/38956</v>
      </c>
      <c r="H5900" s="2"/>
      <c r="I5900" s="2">
        <v>53913</v>
      </c>
      <c r="J5900" s="2" t="s">
        <v>39113</v>
      </c>
      <c r="K5900" s="2"/>
      <c r="L5900" s="2"/>
      <c r="M5900" s="2"/>
      <c r="N5900" s="2"/>
      <c r="O5900" s="2">
        <v>42608349</v>
      </c>
      <c r="P5900" s="2"/>
      <c r="Q5900" s="2" t="s">
        <v>39114</v>
      </c>
      <c r="R5900" s="2" t="s">
        <v>39115</v>
      </c>
      <c r="S5900" s="2" t="s">
        <v>1677</v>
      </c>
      <c r="T5900" s="2" t="s">
        <v>1678</v>
      </c>
      <c r="U5900" s="2" t="s">
        <v>1679</v>
      </c>
      <c r="V5900" s="2" t="s">
        <v>59</v>
      </c>
      <c r="W5900" s="2">
        <v>45.3</v>
      </c>
      <c r="X5900" s="2">
        <v>31.6</v>
      </c>
      <c r="Y5900" s="2" t="s">
        <v>1115</v>
      </c>
      <c r="Z5900" s="2" t="s">
        <v>39116</v>
      </c>
      <c r="AA5900" s="2">
        <v>-0.20768023553994899</v>
      </c>
      <c r="AB5900" s="2">
        <v>5.7738109956102401E-2</v>
      </c>
      <c r="AC5900" s="2">
        <v>44923.661446651298</v>
      </c>
      <c r="AD5900" s="2">
        <v>46798.746704400401</v>
      </c>
      <c r="AE5900" s="2">
        <v>49842.993266328303</v>
      </c>
      <c r="AF5900" s="2">
        <v>31681.423563217799</v>
      </c>
      <c r="AG5900" s="2">
        <v>42476.214543406197</v>
      </c>
      <c r="AH5900" s="2">
        <v>52433.586357799599</v>
      </c>
      <c r="AI5900" s="2">
        <v>56826.067809027903</v>
      </c>
      <c r="AJ5900" s="2">
        <v>36281.683140128298</v>
      </c>
      <c r="AK5900" s="2">
        <v>40112.302949137302</v>
      </c>
      <c r="AL5900" s="2">
        <v>62201.0431625325</v>
      </c>
      <c r="AM5900" s="2">
        <v>48211.781783511004</v>
      </c>
      <c r="AN5900" s="2">
        <v>50273.9215169573</v>
      </c>
      <c r="AO5900" s="2">
        <v>44538.852807663701</v>
      </c>
      <c r="AP5900" s="2">
        <v>35454.578006600503</v>
      </c>
    </row>
    <row r="5901" spans="1:42" ht="14.5" x14ac:dyDescent="0.35">
      <c r="A5901" s="2" t="s">
        <v>39117</v>
      </c>
      <c r="B5901" s="2">
        <v>579.20316009341298</v>
      </c>
      <c r="C5901" s="2">
        <v>3.8783166666666702</v>
      </c>
      <c r="D5901" s="2" t="s">
        <v>34</v>
      </c>
      <c r="E5901" s="2" t="s">
        <v>39118</v>
      </c>
      <c r="F5901" s="2">
        <v>58956</v>
      </c>
      <c r="G5901" s="3" t="str">
        <f>HYPERLINK("http://funmeta.oebiotech.com/network/58956", "http://funmeta.oebiotech.com/network/58956")</f>
        <v>http://funmeta.oebiotech.com/network/58956</v>
      </c>
      <c r="H5901" s="2" t="s">
        <v>39119</v>
      </c>
      <c r="I5901" s="2">
        <v>90393</v>
      </c>
      <c r="J5901" s="2"/>
      <c r="K5901" s="2"/>
      <c r="L5901" s="2"/>
      <c r="M5901" s="2"/>
      <c r="N5901" s="2"/>
      <c r="O5901" s="2">
        <v>435281</v>
      </c>
      <c r="P5901" s="2" t="s">
        <v>39120</v>
      </c>
      <c r="Q5901" s="2" t="s">
        <v>39121</v>
      </c>
      <c r="R5901" s="2" t="s">
        <v>39122</v>
      </c>
      <c r="S5901" s="2" t="s">
        <v>50</v>
      </c>
      <c r="T5901" s="2" t="s">
        <v>201</v>
      </c>
      <c r="U5901" s="2" t="s">
        <v>1217</v>
      </c>
      <c r="V5901" s="2" t="s">
        <v>59</v>
      </c>
      <c r="W5901" s="2">
        <v>38.700000000000003</v>
      </c>
      <c r="X5901" s="2">
        <v>2.83</v>
      </c>
      <c r="Y5901" s="2" t="s">
        <v>323</v>
      </c>
      <c r="Z5901" s="2" t="s">
        <v>21825</v>
      </c>
      <c r="AA5901" s="2">
        <v>-2.9697034991384998</v>
      </c>
      <c r="AB5901" s="2">
        <v>5.77357634993391E-2</v>
      </c>
      <c r="AC5901" s="2">
        <v>109021.495413956</v>
      </c>
      <c r="AD5901" s="2">
        <v>110882.208417791</v>
      </c>
      <c r="AE5901" s="2">
        <v>105852.76083102</v>
      </c>
      <c r="AF5901" s="2">
        <v>109619.671997322</v>
      </c>
      <c r="AG5901" s="2">
        <v>103302.781797916</v>
      </c>
      <c r="AH5901" s="2">
        <v>108356.249574464</v>
      </c>
      <c r="AI5901" s="2">
        <v>113683.514823973</v>
      </c>
      <c r="AJ5901" s="2">
        <v>113313.993459042</v>
      </c>
      <c r="AK5901" s="2">
        <v>109200.02635584401</v>
      </c>
      <c r="AL5901" s="2">
        <v>92554.447254151906</v>
      </c>
      <c r="AM5901" s="2">
        <v>104276.496757584</v>
      </c>
      <c r="AN5901" s="2">
        <v>117740.418702733</v>
      </c>
      <c r="AO5901" s="2">
        <v>111414.30137473901</v>
      </c>
      <c r="AP5901" s="2">
        <v>130107.560061695</v>
      </c>
    </row>
    <row r="5902" spans="1:42" ht="14.5" x14ac:dyDescent="0.35">
      <c r="A5902" s="2" t="s">
        <v>39123</v>
      </c>
      <c r="B5902" s="2">
        <v>228.06367250443699</v>
      </c>
      <c r="C5902" s="2">
        <v>4.6673166666666699</v>
      </c>
      <c r="D5902" s="2" t="s">
        <v>70</v>
      </c>
      <c r="E5902" s="2" t="s">
        <v>39124</v>
      </c>
      <c r="F5902" s="2">
        <v>53766</v>
      </c>
      <c r="G5902" s="3" t="str">
        <f>HYPERLINK("http://funmeta.oebiotech.com/network/53766", "http://funmeta.oebiotech.com/network/53766")</f>
        <v>http://funmeta.oebiotech.com/network/53766</v>
      </c>
      <c r="H5902" s="2" t="s">
        <v>39125</v>
      </c>
      <c r="I5902" s="2">
        <v>23963</v>
      </c>
      <c r="J5902" s="2"/>
      <c r="K5902" s="2">
        <v>73419</v>
      </c>
      <c r="L5902" s="2"/>
      <c r="M5902" s="2"/>
      <c r="N5902" s="2"/>
      <c r="O5902" s="2">
        <v>25145403</v>
      </c>
      <c r="P5902" s="2" t="s">
        <v>39126</v>
      </c>
      <c r="Q5902" s="2" t="s">
        <v>39127</v>
      </c>
      <c r="R5902" s="2" t="s">
        <v>39128</v>
      </c>
      <c r="S5902" s="2" t="s">
        <v>89</v>
      </c>
      <c r="T5902" s="2" t="s">
        <v>90</v>
      </c>
      <c r="U5902" s="2" t="s">
        <v>99</v>
      </c>
      <c r="V5902" s="2" t="s">
        <v>59</v>
      </c>
      <c r="W5902" s="2">
        <v>38.700000000000003</v>
      </c>
      <c r="X5902" s="2">
        <v>0</v>
      </c>
      <c r="Y5902" s="2" t="s">
        <v>751</v>
      </c>
      <c r="Z5902" s="2" t="s">
        <v>39129</v>
      </c>
      <c r="AA5902" s="2">
        <v>4.3648772384919701</v>
      </c>
      <c r="AB5902" s="2">
        <v>5.7716293453895097E-2</v>
      </c>
      <c r="AC5902" s="2">
        <v>4850.5072769328599</v>
      </c>
      <c r="AD5902" s="2">
        <v>4428.5710498896096</v>
      </c>
      <c r="AE5902" s="2">
        <v>4924.14831175366</v>
      </c>
      <c r="AF5902" s="2">
        <v>4569.7418435662703</v>
      </c>
      <c r="AG5902" s="2">
        <v>4854.8793426509001</v>
      </c>
      <c r="AH5902" s="2">
        <v>5026.0324148796499</v>
      </c>
      <c r="AI5902" s="2">
        <v>4478.6300800332301</v>
      </c>
      <c r="AJ5902" s="2">
        <v>5249.61166871347</v>
      </c>
      <c r="AK5902" s="2">
        <v>4332.0108552096799</v>
      </c>
      <c r="AL5902" s="2">
        <v>5196.5680501113902</v>
      </c>
      <c r="AM5902" s="2">
        <v>4741.8074616078002</v>
      </c>
      <c r="AN5902" s="2">
        <v>4210.0010348762098</v>
      </c>
      <c r="AO5902" s="2">
        <v>4232.4895368972802</v>
      </c>
      <c r="AP5902" s="2">
        <v>3858.5493606353002</v>
      </c>
    </row>
    <row r="5903" spans="1:42" ht="14.5" x14ac:dyDescent="0.35">
      <c r="A5903" s="2" t="s">
        <v>39130</v>
      </c>
      <c r="B5903" s="2">
        <v>970.25844331507506</v>
      </c>
      <c r="C5903" s="2">
        <v>10.141083333333301</v>
      </c>
      <c r="D5903" s="2" t="s">
        <v>70</v>
      </c>
      <c r="E5903" s="2" t="s">
        <v>39131</v>
      </c>
      <c r="F5903" s="2">
        <v>254265</v>
      </c>
      <c r="G5903" s="3" t="str">
        <f>HYPERLINK("http://funmeta.oebiotech.com/network/254265", "http://funmeta.oebiotech.com/network/254265")</f>
        <v>http://funmeta.oebiotech.com/network/254265</v>
      </c>
      <c r="H5903" s="2" t="s">
        <v>39132</v>
      </c>
      <c r="I5903" s="2"/>
      <c r="J5903" s="2"/>
      <c r="K5903" s="2"/>
      <c r="L5903" s="2"/>
      <c r="M5903" s="2"/>
      <c r="N5903" s="2"/>
      <c r="O5903" s="2"/>
      <c r="P5903" s="2"/>
      <c r="Q5903" s="2" t="s">
        <v>39133</v>
      </c>
      <c r="R5903" s="2" t="s">
        <v>39134</v>
      </c>
      <c r="S5903" s="2" t="s">
        <v>41</v>
      </c>
      <c r="T5903" s="2" t="s">
        <v>41</v>
      </c>
      <c r="U5903" s="2" t="s">
        <v>41</v>
      </c>
      <c r="V5903" s="2" t="s">
        <v>59</v>
      </c>
      <c r="W5903" s="2">
        <v>37.700000000000003</v>
      </c>
      <c r="X5903" s="2">
        <v>0</v>
      </c>
      <c r="Y5903" s="2" t="s">
        <v>1395</v>
      </c>
      <c r="Z5903" s="2" t="s">
        <v>39135</v>
      </c>
      <c r="AA5903" s="2">
        <v>-0.91430458015576199</v>
      </c>
      <c r="AB5903" s="2">
        <v>5.7679034716230898E-2</v>
      </c>
      <c r="AC5903" s="2">
        <v>324.58771169141198</v>
      </c>
      <c r="AD5903" s="2">
        <v>2.7106294003980101E-5</v>
      </c>
      <c r="AE5903" s="2">
        <v>415.61992810875</v>
      </c>
      <c r="AF5903" s="2">
        <v>767.48324658357797</v>
      </c>
      <c r="AG5903" s="2">
        <v>45.364952028772301</v>
      </c>
      <c r="AH5903" s="2">
        <v>320.67791562550201</v>
      </c>
      <c r="AI5903" s="2">
        <v>384.53807987847</v>
      </c>
      <c r="AJ5903" s="2">
        <v>13.842147923397199</v>
      </c>
      <c r="AK5903" s="2">
        <v>2.7106294003980101E-5</v>
      </c>
      <c r="AL5903" s="2">
        <v>2.7106294003980101E-5</v>
      </c>
      <c r="AM5903" s="2">
        <v>2.7106294003980101E-5</v>
      </c>
      <c r="AN5903" s="2">
        <v>2.7106294003980101E-5</v>
      </c>
      <c r="AO5903" s="2">
        <v>2.7106294003980101E-5</v>
      </c>
      <c r="AP5903" s="2">
        <v>2.7106294003980101E-5</v>
      </c>
    </row>
    <row r="5904" spans="1:42" ht="14.5" x14ac:dyDescent="0.35">
      <c r="A5904" s="2" t="s">
        <v>39136</v>
      </c>
      <c r="B5904" s="2">
        <v>293.17903541432503</v>
      </c>
      <c r="C5904" s="2">
        <v>11.948183333333301</v>
      </c>
      <c r="D5904" s="2" t="s">
        <v>70</v>
      </c>
      <c r="E5904" s="2" t="s">
        <v>39137</v>
      </c>
      <c r="F5904" s="2">
        <v>52815</v>
      </c>
      <c r="G5904" s="3" t="str">
        <f>HYPERLINK("http://funmeta.oebiotech.com/network/52815", "http://funmeta.oebiotech.com/network/52815")</f>
        <v>http://funmeta.oebiotech.com/network/52815</v>
      </c>
      <c r="H5904" s="2" t="s">
        <v>39138</v>
      </c>
      <c r="I5904" s="2">
        <v>85386</v>
      </c>
      <c r="J5904" s="2"/>
      <c r="K5904" s="2"/>
      <c r="L5904" s="2"/>
      <c r="M5904" s="2"/>
      <c r="N5904" s="2"/>
      <c r="O5904" s="2">
        <v>5248</v>
      </c>
      <c r="P5904" s="2" t="s">
        <v>39139</v>
      </c>
      <c r="Q5904" s="2" t="s">
        <v>39140</v>
      </c>
      <c r="R5904" s="2" t="s">
        <v>39141</v>
      </c>
      <c r="S5904" s="2" t="s">
        <v>89</v>
      </c>
      <c r="T5904" s="2" t="s">
        <v>1773</v>
      </c>
      <c r="U5904" s="2" t="s">
        <v>1774</v>
      </c>
      <c r="V5904" s="2" t="s">
        <v>59</v>
      </c>
      <c r="W5904" s="2">
        <v>39.299999999999997</v>
      </c>
      <c r="X5904" s="2">
        <v>7.56</v>
      </c>
      <c r="Y5904" s="2" t="s">
        <v>118</v>
      </c>
      <c r="Z5904" s="2" t="s">
        <v>39142</v>
      </c>
      <c r="AA5904" s="2">
        <v>-0.57308552865796503</v>
      </c>
      <c r="AB5904" s="2">
        <v>5.7617954180259598E-2</v>
      </c>
      <c r="AC5904" s="2">
        <v>6628.78165696211</v>
      </c>
      <c r="AD5904" s="2">
        <v>5586.8386907296799</v>
      </c>
      <c r="AE5904" s="2">
        <v>8418.4600089929409</v>
      </c>
      <c r="AF5904" s="2">
        <v>9604.4261202344205</v>
      </c>
      <c r="AG5904" s="2">
        <v>5527.1474369299503</v>
      </c>
      <c r="AH5904" s="2">
        <v>5889.8054487019299</v>
      </c>
      <c r="AI5904" s="2">
        <v>3851.61927419207</v>
      </c>
      <c r="AJ5904" s="2">
        <v>6481.2316527213698</v>
      </c>
      <c r="AK5904" s="2">
        <v>2898.1715331037899</v>
      </c>
      <c r="AL5904" s="2">
        <v>3804.62275083537</v>
      </c>
      <c r="AM5904" s="2">
        <v>4317.8441765983998</v>
      </c>
      <c r="AN5904" s="2">
        <v>11795.63394476</v>
      </c>
      <c r="AO5904" s="2">
        <v>5111.3240220724801</v>
      </c>
      <c r="AP5904" s="2">
        <v>5593.4357170080302</v>
      </c>
    </row>
    <row r="5905" spans="1:42" ht="14.5" x14ac:dyDescent="0.35">
      <c r="A5905" s="2" t="s">
        <v>39143</v>
      </c>
      <c r="B5905" s="2">
        <v>509.297029406398</v>
      </c>
      <c r="C5905" s="2">
        <v>5.00538333333333</v>
      </c>
      <c r="D5905" s="2" t="s">
        <v>70</v>
      </c>
      <c r="E5905" s="2" t="s">
        <v>39144</v>
      </c>
      <c r="F5905" s="2">
        <v>279635</v>
      </c>
      <c r="G5905" s="3" t="str">
        <f>HYPERLINK("http://funmeta.oebiotech.com/network/279635", "http://funmeta.oebiotech.com/network/279635")</f>
        <v>http://funmeta.oebiotech.com/network/279635</v>
      </c>
      <c r="H5905" s="2"/>
      <c r="I5905" s="2">
        <v>72343</v>
      </c>
      <c r="J5905" s="2"/>
      <c r="K5905" s="2"/>
      <c r="L5905" s="2" t="s">
        <v>39145</v>
      </c>
      <c r="M5905" s="2"/>
      <c r="N5905" s="2"/>
      <c r="O5905" s="2">
        <v>31573</v>
      </c>
      <c r="P5905" s="2" t="s">
        <v>39146</v>
      </c>
      <c r="Q5905" s="2" t="s">
        <v>39147</v>
      </c>
      <c r="R5905" s="2" t="s">
        <v>39148</v>
      </c>
      <c r="S5905" s="2" t="s">
        <v>491</v>
      </c>
      <c r="T5905" s="2" t="s">
        <v>6511</v>
      </c>
      <c r="U5905" s="2" t="s">
        <v>13259</v>
      </c>
      <c r="V5905" s="2" t="s">
        <v>59</v>
      </c>
      <c r="W5905" s="2">
        <v>38.6</v>
      </c>
      <c r="X5905" s="2">
        <v>0</v>
      </c>
      <c r="Y5905" s="2" t="s">
        <v>560</v>
      </c>
      <c r="Z5905" s="2" t="s">
        <v>39149</v>
      </c>
      <c r="AA5905" s="2">
        <v>1.51369412050847</v>
      </c>
      <c r="AB5905" s="2">
        <v>5.7610173086262199E-2</v>
      </c>
      <c r="AC5905" s="2">
        <v>23777.031258058902</v>
      </c>
      <c r="AD5905" s="2">
        <v>24554.143439280098</v>
      </c>
      <c r="AE5905" s="2">
        <v>23913.737684661701</v>
      </c>
      <c r="AF5905" s="2">
        <v>23045.285000842501</v>
      </c>
      <c r="AG5905" s="2">
        <v>23183.016012119799</v>
      </c>
      <c r="AH5905" s="2">
        <v>21676.367924045098</v>
      </c>
      <c r="AI5905" s="2">
        <v>25556.999056836699</v>
      </c>
      <c r="AJ5905" s="2">
        <v>25286.7818698476</v>
      </c>
      <c r="AK5905" s="2">
        <v>25152.8493397981</v>
      </c>
      <c r="AL5905" s="2">
        <v>23699.0925834015</v>
      </c>
      <c r="AM5905" s="2">
        <v>25653.890769928101</v>
      </c>
      <c r="AN5905" s="2">
        <v>21852.823284505401</v>
      </c>
      <c r="AO5905" s="2">
        <v>25148.592813456002</v>
      </c>
      <c r="AP5905" s="2">
        <v>25817.611844591302</v>
      </c>
    </row>
    <row r="5906" spans="1:42" ht="14.5" x14ac:dyDescent="0.35">
      <c r="A5906" s="2" t="s">
        <v>39150</v>
      </c>
      <c r="B5906" s="2">
        <v>209.07871182111401</v>
      </c>
      <c r="C5906" s="2">
        <v>5.2266333333333304</v>
      </c>
      <c r="D5906" s="2" t="s">
        <v>70</v>
      </c>
      <c r="E5906" s="2" t="s">
        <v>39151</v>
      </c>
      <c r="F5906" s="2">
        <v>46917</v>
      </c>
      <c r="G5906" s="3" t="str">
        <f>HYPERLINK("http://funmeta.oebiotech.com/network/46917", "http://funmeta.oebiotech.com/network/46917")</f>
        <v>http://funmeta.oebiotech.com/network/46917</v>
      </c>
      <c r="H5906" s="2" t="s">
        <v>39152</v>
      </c>
      <c r="I5906" s="2">
        <v>30</v>
      </c>
      <c r="J5906" s="2"/>
      <c r="K5906" s="2">
        <v>17115</v>
      </c>
      <c r="L5906" s="2" t="s">
        <v>39153</v>
      </c>
      <c r="M5906" s="2" t="s">
        <v>39154</v>
      </c>
      <c r="N5906" s="2" t="s">
        <v>39155</v>
      </c>
      <c r="O5906" s="2">
        <v>5951</v>
      </c>
      <c r="P5906" s="2" t="s">
        <v>39156</v>
      </c>
      <c r="Q5906" s="2" t="s">
        <v>39157</v>
      </c>
      <c r="R5906" s="2" t="s">
        <v>39158</v>
      </c>
      <c r="S5906" s="2" t="s">
        <v>89</v>
      </c>
      <c r="T5906" s="2" t="s">
        <v>90</v>
      </c>
      <c r="U5906" s="2" t="s">
        <v>99</v>
      </c>
      <c r="V5906" s="2" t="s">
        <v>59</v>
      </c>
      <c r="W5906" s="2">
        <v>38.6</v>
      </c>
      <c r="X5906" s="2">
        <v>0</v>
      </c>
      <c r="Y5906" s="2" t="s">
        <v>560</v>
      </c>
      <c r="Z5906" s="2" t="s">
        <v>39159</v>
      </c>
      <c r="AA5906" s="2">
        <v>3.81786640226853</v>
      </c>
      <c r="AB5906" s="2">
        <v>5.7573212185549401E-2</v>
      </c>
      <c r="AC5906" s="2">
        <v>1459.9960792941199</v>
      </c>
      <c r="AD5906" s="2">
        <v>1772.0412059228699</v>
      </c>
      <c r="AE5906" s="2">
        <v>1494.27029970936</v>
      </c>
      <c r="AF5906" s="2">
        <v>1390.2449674730501</v>
      </c>
      <c r="AG5906" s="2">
        <v>1245.6003868545799</v>
      </c>
      <c r="AH5906" s="2">
        <v>1591.31795461872</v>
      </c>
      <c r="AI5906" s="2">
        <v>1413.94109624456</v>
      </c>
      <c r="AJ5906" s="2">
        <v>1624.6017708644799</v>
      </c>
      <c r="AK5906" s="2">
        <v>1452.26259140861</v>
      </c>
      <c r="AL5906" s="2">
        <v>1772.7272359180699</v>
      </c>
      <c r="AM5906" s="2">
        <v>1983.2737897853999</v>
      </c>
      <c r="AN5906" s="2">
        <v>2005.0657212497799</v>
      </c>
      <c r="AO5906" s="2">
        <v>1787.95947904233</v>
      </c>
      <c r="AP5906" s="2">
        <v>1630.9584181330199</v>
      </c>
    </row>
    <row r="5907" spans="1:42" ht="14.5" x14ac:dyDescent="0.35">
      <c r="A5907" s="2" t="s">
        <v>39160</v>
      </c>
      <c r="B5907" s="2">
        <v>180.90388670788201</v>
      </c>
      <c r="C5907" s="2">
        <v>0.68611666666666704</v>
      </c>
      <c r="D5907" s="2" t="s">
        <v>34</v>
      </c>
      <c r="E5907" s="2" t="s">
        <v>39161</v>
      </c>
      <c r="F5907" s="2">
        <v>256299</v>
      </c>
      <c r="G5907" s="3" t="str">
        <f>HYPERLINK("http://funmeta.oebiotech.com/network/256299", "http://funmeta.oebiotech.com/network/256299")</f>
        <v>http://funmeta.oebiotech.com/network/256299</v>
      </c>
      <c r="H5907" s="2" t="s">
        <v>39162</v>
      </c>
      <c r="I5907" s="2"/>
      <c r="J5907" s="2"/>
      <c r="K5907" s="2">
        <v>34683</v>
      </c>
      <c r="L5907" s="2" t="s">
        <v>39163</v>
      </c>
      <c r="M5907" s="2"/>
      <c r="N5907" s="2"/>
      <c r="O5907" s="2">
        <v>24203</v>
      </c>
      <c r="P5907" s="2"/>
      <c r="Q5907" s="2" t="s">
        <v>39164</v>
      </c>
      <c r="R5907" s="2" t="s">
        <v>39165</v>
      </c>
      <c r="S5907" s="2" t="s">
        <v>7696</v>
      </c>
      <c r="T5907" s="2" t="s">
        <v>7697</v>
      </c>
      <c r="U5907" s="2" t="s">
        <v>13517</v>
      </c>
      <c r="V5907" s="2" t="s">
        <v>59</v>
      </c>
      <c r="W5907" s="2">
        <v>39.700000000000003</v>
      </c>
      <c r="X5907" s="2">
        <v>0</v>
      </c>
      <c r="Y5907" s="2" t="s">
        <v>340</v>
      </c>
      <c r="Z5907" s="2" t="s">
        <v>39166</v>
      </c>
      <c r="AA5907" s="2">
        <v>-0.38800848097967</v>
      </c>
      <c r="AB5907" s="2">
        <v>5.7537679576472198E-2</v>
      </c>
      <c r="AC5907" s="2">
        <v>3614.69140470415</v>
      </c>
      <c r="AD5907" s="2">
        <v>3083.6752679884798</v>
      </c>
      <c r="AE5907" s="2">
        <v>3679.9458154886802</v>
      </c>
      <c r="AF5907" s="2">
        <v>4851.7642507487999</v>
      </c>
      <c r="AG5907" s="2">
        <v>2950.52437342031</v>
      </c>
      <c r="AH5907" s="2">
        <v>3608.4366012348401</v>
      </c>
      <c r="AI5907" s="2">
        <v>3149.1818038080601</v>
      </c>
      <c r="AJ5907" s="2">
        <v>3448.2955835242301</v>
      </c>
      <c r="AK5907" s="2">
        <v>3166.4748328487299</v>
      </c>
      <c r="AL5907" s="2">
        <v>2514.3538104876402</v>
      </c>
      <c r="AM5907" s="2">
        <v>3694.2093587361301</v>
      </c>
      <c r="AN5907" s="2">
        <v>3947.2877429958098</v>
      </c>
      <c r="AO5907" s="2">
        <v>2419.3851072041398</v>
      </c>
      <c r="AP5907" s="2">
        <v>2760.3407556584202</v>
      </c>
    </row>
    <row r="5908" spans="1:42" ht="14.5" x14ac:dyDescent="0.35">
      <c r="A5908" s="2" t="s">
        <v>39167</v>
      </c>
      <c r="B5908" s="2">
        <v>259.00056972218903</v>
      </c>
      <c r="C5908" s="2">
        <v>10.539566666666699</v>
      </c>
      <c r="D5908" s="2" t="s">
        <v>70</v>
      </c>
      <c r="E5908" s="2" t="s">
        <v>39168</v>
      </c>
      <c r="F5908" s="2">
        <v>201532</v>
      </c>
      <c r="G5908" s="3" t="str">
        <f>HYPERLINK("http://funmeta.oebiotech.com/network/201532", "http://funmeta.oebiotech.com/network/201532")</f>
        <v>http://funmeta.oebiotech.com/network/201532</v>
      </c>
      <c r="H5908" s="2" t="s">
        <v>39169</v>
      </c>
      <c r="I5908" s="2"/>
      <c r="J5908" s="2"/>
      <c r="K5908" s="2"/>
      <c r="L5908" s="2"/>
      <c r="M5908" s="2"/>
      <c r="N5908" s="2"/>
      <c r="O5908" s="2">
        <v>1478348</v>
      </c>
      <c r="P5908" s="2"/>
      <c r="Q5908" s="2" t="s">
        <v>39170</v>
      </c>
      <c r="R5908" s="2" t="s">
        <v>39171</v>
      </c>
      <c r="S5908" s="2" t="s">
        <v>41</v>
      </c>
      <c r="T5908" s="2" t="s">
        <v>41</v>
      </c>
      <c r="U5908" s="2" t="s">
        <v>41</v>
      </c>
      <c r="V5908" s="2" t="s">
        <v>59</v>
      </c>
      <c r="W5908" s="2">
        <v>37.299999999999997</v>
      </c>
      <c r="X5908" s="2">
        <v>0</v>
      </c>
      <c r="Y5908" s="2" t="s">
        <v>118</v>
      </c>
      <c r="Z5908" s="2" t="s">
        <v>39172</v>
      </c>
      <c r="AA5908" s="2">
        <v>0.15872011609220499</v>
      </c>
      <c r="AB5908" s="2">
        <v>5.7502773765524803E-2</v>
      </c>
      <c r="AC5908" s="2">
        <v>2232.32679049842</v>
      </c>
      <c r="AD5908" s="2">
        <v>2498.0194714823501</v>
      </c>
      <c r="AE5908" s="2">
        <v>2166.1889262864702</v>
      </c>
      <c r="AF5908" s="2">
        <v>2238.1231672383701</v>
      </c>
      <c r="AG5908" s="2">
        <v>2364.0870956255098</v>
      </c>
      <c r="AH5908" s="2">
        <v>2266.1302393340102</v>
      </c>
      <c r="AI5908" s="2">
        <v>2172.34357273557</v>
      </c>
      <c r="AJ5908" s="2">
        <v>2187.0877417705901</v>
      </c>
      <c r="AK5908" s="2">
        <v>2537.9883251146198</v>
      </c>
      <c r="AL5908" s="2">
        <v>2439.8225526422498</v>
      </c>
      <c r="AM5908" s="2">
        <v>2605.49147936075</v>
      </c>
      <c r="AN5908" s="2">
        <v>2278.5842017432801</v>
      </c>
      <c r="AO5908" s="2">
        <v>2551.8937689603799</v>
      </c>
      <c r="AP5908" s="2">
        <v>2574.3365010728298</v>
      </c>
    </row>
    <row r="5909" spans="1:42" ht="14.5" x14ac:dyDescent="0.35">
      <c r="A5909" s="2" t="s">
        <v>39173</v>
      </c>
      <c r="B5909" s="2">
        <v>405.17309868803801</v>
      </c>
      <c r="C5909" s="2">
        <v>4.4128166666666697</v>
      </c>
      <c r="D5909" s="2" t="s">
        <v>34</v>
      </c>
      <c r="E5909" s="2" t="s">
        <v>39174</v>
      </c>
      <c r="F5909" s="2">
        <v>29339</v>
      </c>
      <c r="G5909" s="3" t="str">
        <f>HYPERLINK("http://funmeta.oebiotech.com/network/29339", "http://funmeta.oebiotech.com/network/29339")</f>
        <v>http://funmeta.oebiotech.com/network/29339</v>
      </c>
      <c r="H5909" s="2"/>
      <c r="I5909" s="2">
        <v>43606</v>
      </c>
      <c r="J5909" s="2" t="s">
        <v>39175</v>
      </c>
      <c r="K5909" s="2">
        <v>7797</v>
      </c>
      <c r="L5909" s="2" t="s">
        <v>39176</v>
      </c>
      <c r="M5909" s="2"/>
      <c r="N5909" s="2"/>
      <c r="O5909" s="2">
        <v>95168</v>
      </c>
      <c r="P5909" s="2" t="s">
        <v>39177</v>
      </c>
      <c r="Q5909" s="2" t="s">
        <v>39178</v>
      </c>
      <c r="R5909" s="2" t="s">
        <v>39179</v>
      </c>
      <c r="S5909" s="2" t="s">
        <v>115</v>
      </c>
      <c r="T5909" s="2" t="s">
        <v>1371</v>
      </c>
      <c r="U5909" s="2" t="s">
        <v>3261</v>
      </c>
      <c r="V5909" s="2" t="s">
        <v>59</v>
      </c>
      <c r="W5909" s="2">
        <v>37</v>
      </c>
      <c r="X5909" s="2">
        <v>4.1099999999999999E-3</v>
      </c>
      <c r="Y5909" s="2" t="s">
        <v>440</v>
      </c>
      <c r="Z5909" s="2" t="s">
        <v>39180</v>
      </c>
      <c r="AA5909" s="2">
        <v>8.5321860234126792</v>
      </c>
      <c r="AB5909" s="2">
        <v>5.7435317467182397E-2</v>
      </c>
      <c r="AC5909" s="2">
        <v>107256.986607599</v>
      </c>
      <c r="AD5909" s="2">
        <v>105825.741202246</v>
      </c>
      <c r="AE5909" s="2">
        <v>108749.225998048</v>
      </c>
      <c r="AF5909" s="2">
        <v>98697.979623379404</v>
      </c>
      <c r="AG5909" s="2">
        <v>110368.402188309</v>
      </c>
      <c r="AH5909" s="2">
        <v>107015.338715808</v>
      </c>
      <c r="AI5909" s="2">
        <v>107045.47972947</v>
      </c>
      <c r="AJ5909" s="2">
        <v>111665.49339058</v>
      </c>
      <c r="AK5909" s="2">
        <v>98335.099066695897</v>
      </c>
      <c r="AL5909" s="2">
        <v>106060.90090874</v>
      </c>
      <c r="AM5909" s="2">
        <v>113258.75107188099</v>
      </c>
      <c r="AN5909" s="2">
        <v>105728.629357379</v>
      </c>
      <c r="AO5909" s="2">
        <v>109547.240539821</v>
      </c>
      <c r="AP5909" s="2">
        <v>102023.826268958</v>
      </c>
    </row>
    <row r="5910" spans="1:42" ht="14.5" x14ac:dyDescent="0.35">
      <c r="A5910" s="2" t="s">
        <v>39181</v>
      </c>
      <c r="B5910" s="2">
        <v>291.10738048401998</v>
      </c>
      <c r="C5910" s="2">
        <v>3.6785666666666699</v>
      </c>
      <c r="D5910" s="2" t="s">
        <v>34</v>
      </c>
      <c r="E5910" s="2" t="s">
        <v>39182</v>
      </c>
      <c r="F5910" s="2">
        <v>52887</v>
      </c>
      <c r="G5910" s="3" t="str">
        <f>HYPERLINK("http://funmeta.oebiotech.com/network/52887", "http://funmeta.oebiotech.com/network/52887")</f>
        <v>http://funmeta.oebiotech.com/network/52887</v>
      </c>
      <c r="H5910" s="2" t="s">
        <v>39183</v>
      </c>
      <c r="I5910" s="2">
        <v>65742</v>
      </c>
      <c r="J5910" s="2"/>
      <c r="K5910" s="2"/>
      <c r="L5910" s="2" t="s">
        <v>39184</v>
      </c>
      <c r="M5910" s="2"/>
      <c r="N5910" s="2"/>
      <c r="O5910" s="2">
        <v>439693</v>
      </c>
      <c r="P5910" s="2" t="s">
        <v>39185</v>
      </c>
      <c r="Q5910" s="2" t="s">
        <v>39186</v>
      </c>
      <c r="R5910" s="2" t="s">
        <v>39187</v>
      </c>
      <c r="S5910" s="2" t="s">
        <v>491</v>
      </c>
      <c r="T5910" s="2" t="s">
        <v>39188</v>
      </c>
      <c r="U5910" s="2" t="s">
        <v>41</v>
      </c>
      <c r="V5910" s="2" t="s">
        <v>59</v>
      </c>
      <c r="W5910" s="2">
        <v>36.799999999999997</v>
      </c>
      <c r="X5910" s="2">
        <v>0</v>
      </c>
      <c r="Y5910" s="2" t="s">
        <v>568</v>
      </c>
      <c r="Z5910" s="2" t="s">
        <v>39189</v>
      </c>
      <c r="AA5910" s="2">
        <v>3.7475910856468801</v>
      </c>
      <c r="AB5910" s="2">
        <v>5.7341299133877102E-2</v>
      </c>
      <c r="AC5910" s="2">
        <v>11512.3660270239</v>
      </c>
      <c r="AD5910" s="2">
        <v>12156.469160897699</v>
      </c>
      <c r="AE5910" s="2">
        <v>10862.1994754509</v>
      </c>
      <c r="AF5910" s="2">
        <v>12642.4297737533</v>
      </c>
      <c r="AG5910" s="2">
        <v>11377.0684169123</v>
      </c>
      <c r="AH5910" s="2">
        <v>11055.608254991101</v>
      </c>
      <c r="AI5910" s="2">
        <v>13191.5120000933</v>
      </c>
      <c r="AJ5910" s="2">
        <v>9945.3782409426203</v>
      </c>
      <c r="AK5910" s="2">
        <v>11812.7916696186</v>
      </c>
      <c r="AL5910" s="2">
        <v>11802.6073719667</v>
      </c>
      <c r="AM5910" s="2">
        <v>12300.5325072544</v>
      </c>
      <c r="AN5910" s="2">
        <v>13796.8849574912</v>
      </c>
      <c r="AO5910" s="2">
        <v>11409.755389285199</v>
      </c>
      <c r="AP5910" s="2">
        <v>11816.24306977</v>
      </c>
    </row>
    <row r="5911" spans="1:42" ht="14.5" x14ac:dyDescent="0.35">
      <c r="A5911" s="2" t="s">
        <v>39190</v>
      </c>
      <c r="B5911" s="2">
        <v>771.24988699060702</v>
      </c>
      <c r="C5911" s="2">
        <v>4.7931333333333299</v>
      </c>
      <c r="D5911" s="2" t="s">
        <v>70</v>
      </c>
      <c r="E5911" s="2" t="s">
        <v>39191</v>
      </c>
      <c r="F5911" s="2">
        <v>199959</v>
      </c>
      <c r="G5911" s="3" t="str">
        <f>HYPERLINK("http://funmeta.oebiotech.com/network/199959", "http://funmeta.oebiotech.com/network/199959")</f>
        <v>http://funmeta.oebiotech.com/network/199959</v>
      </c>
      <c r="H5911" s="2" t="s">
        <v>39192</v>
      </c>
      <c r="I5911" s="2"/>
      <c r="J5911" s="2"/>
      <c r="K5911" s="2"/>
      <c r="L5911" s="2"/>
      <c r="M5911" s="2"/>
      <c r="N5911" s="2"/>
      <c r="O5911" s="2">
        <v>129003</v>
      </c>
      <c r="P5911" s="2"/>
      <c r="Q5911" s="2" t="s">
        <v>39193</v>
      </c>
      <c r="R5911" s="2" t="s">
        <v>39194</v>
      </c>
      <c r="S5911" s="2" t="s">
        <v>41</v>
      </c>
      <c r="T5911" s="2" t="s">
        <v>41</v>
      </c>
      <c r="U5911" s="2" t="s">
        <v>41</v>
      </c>
      <c r="V5911" s="2" t="s">
        <v>59</v>
      </c>
      <c r="W5911" s="2">
        <v>36.799999999999997</v>
      </c>
      <c r="X5911" s="2">
        <v>0</v>
      </c>
      <c r="Y5911" s="2" t="s">
        <v>560</v>
      </c>
      <c r="Z5911" s="2" t="s">
        <v>39195</v>
      </c>
      <c r="AA5911" s="2">
        <v>-3.7461009781015799</v>
      </c>
      <c r="AB5911" s="2">
        <v>5.73347427944794E-2</v>
      </c>
      <c r="AC5911" s="2">
        <v>13444.6082340754</v>
      </c>
      <c r="AD5911" s="2">
        <v>14468.911407047999</v>
      </c>
      <c r="AE5911" s="2">
        <v>17525.520823606199</v>
      </c>
      <c r="AF5911" s="2">
        <v>14267.228130367601</v>
      </c>
      <c r="AG5911" s="2">
        <v>9967.2327989637506</v>
      </c>
      <c r="AH5911" s="2">
        <v>12032.7036408363</v>
      </c>
      <c r="AI5911" s="2">
        <v>15747.0121263577</v>
      </c>
      <c r="AJ5911" s="2">
        <v>11127.951884320801</v>
      </c>
      <c r="AK5911" s="2">
        <v>13704.3378925857</v>
      </c>
      <c r="AL5911" s="2">
        <v>9527.0027830768395</v>
      </c>
      <c r="AM5911" s="2">
        <v>16339.352199037099</v>
      </c>
      <c r="AN5911" s="2">
        <v>16887.032150547599</v>
      </c>
      <c r="AO5911" s="2">
        <v>15032.0055448319</v>
      </c>
      <c r="AP5911" s="2">
        <v>15323.7378722087</v>
      </c>
    </row>
    <row r="5912" spans="1:42" ht="14.5" x14ac:dyDescent="0.35">
      <c r="A5912" s="2" t="s">
        <v>39196</v>
      </c>
      <c r="B5912" s="2">
        <v>253.092563029459</v>
      </c>
      <c r="C5912" s="2">
        <v>7.2989833333333296</v>
      </c>
      <c r="D5912" s="2" t="s">
        <v>70</v>
      </c>
      <c r="E5912" s="2" t="s">
        <v>39197</v>
      </c>
      <c r="F5912" s="2">
        <v>280455</v>
      </c>
      <c r="G5912" s="3" t="str">
        <f>HYPERLINK("http://funmeta.oebiotech.com/network/280455", "http://funmeta.oebiotech.com/network/280455")</f>
        <v>http://funmeta.oebiotech.com/network/280455</v>
      </c>
      <c r="H5912" s="2"/>
      <c r="I5912" s="2">
        <v>73559</v>
      </c>
      <c r="J5912" s="2"/>
      <c r="K5912" s="2"/>
      <c r="L5912" s="2" t="s">
        <v>39198</v>
      </c>
      <c r="M5912" s="2" t="s">
        <v>32719</v>
      </c>
      <c r="N5912" s="2" t="s">
        <v>32720</v>
      </c>
      <c r="O5912" s="2">
        <v>12583</v>
      </c>
      <c r="P5912" s="2" t="s">
        <v>39199</v>
      </c>
      <c r="Q5912" s="2" t="s">
        <v>39200</v>
      </c>
      <c r="R5912" s="2" t="s">
        <v>39201</v>
      </c>
      <c r="S5912" s="2" t="s">
        <v>491</v>
      </c>
      <c r="T5912" s="2" t="s">
        <v>6511</v>
      </c>
      <c r="U5912" s="2" t="s">
        <v>39202</v>
      </c>
      <c r="V5912" s="2" t="s">
        <v>59</v>
      </c>
      <c r="W5912" s="2">
        <v>38</v>
      </c>
      <c r="X5912" s="2">
        <v>0</v>
      </c>
      <c r="Y5912" s="2" t="s">
        <v>560</v>
      </c>
      <c r="Z5912" s="2" t="s">
        <v>39203</v>
      </c>
      <c r="AA5912" s="2">
        <v>4.0136102974623</v>
      </c>
      <c r="AB5912" s="2">
        <v>5.7316223561183502E-2</v>
      </c>
      <c r="AC5912" s="2">
        <v>673.36780633806995</v>
      </c>
      <c r="AD5912" s="2">
        <v>939.33351492348902</v>
      </c>
      <c r="AE5912" s="2">
        <v>618.55660644242903</v>
      </c>
      <c r="AF5912" s="2">
        <v>783.09017018379996</v>
      </c>
      <c r="AG5912" s="2">
        <v>492.87310254098998</v>
      </c>
      <c r="AH5912" s="2">
        <v>788.98474034346395</v>
      </c>
      <c r="AI5912" s="2">
        <v>674.79761824966204</v>
      </c>
      <c r="AJ5912" s="2">
        <v>681.90460026807602</v>
      </c>
      <c r="AK5912" s="2">
        <v>789.77532349100704</v>
      </c>
      <c r="AL5912" s="2">
        <v>1099.0566097721201</v>
      </c>
      <c r="AM5912" s="2">
        <v>957.78106037580801</v>
      </c>
      <c r="AN5912" s="2">
        <v>902.39424453253105</v>
      </c>
      <c r="AO5912" s="2">
        <v>946.34327324590504</v>
      </c>
      <c r="AP5912" s="2">
        <v>940.65057812356099</v>
      </c>
    </row>
    <row r="5913" spans="1:42" ht="14.5" x14ac:dyDescent="0.35">
      <c r="A5913" s="2" t="s">
        <v>39204</v>
      </c>
      <c r="B5913" s="2">
        <v>853.50847663126603</v>
      </c>
      <c r="C5913" s="2">
        <v>11.0400333333333</v>
      </c>
      <c r="D5913" s="2" t="s">
        <v>70</v>
      </c>
      <c r="E5913" s="2" t="s">
        <v>39205</v>
      </c>
      <c r="F5913" s="2">
        <v>50429</v>
      </c>
      <c r="G5913" s="3" t="str">
        <f>HYPERLINK("http://funmeta.oebiotech.com/network/50429", "http://funmeta.oebiotech.com/network/50429")</f>
        <v>http://funmeta.oebiotech.com/network/50429</v>
      </c>
      <c r="H5913" s="2" t="s">
        <v>39206</v>
      </c>
      <c r="I5913" s="2"/>
      <c r="J5913" s="2"/>
      <c r="K5913" s="2">
        <v>88396</v>
      </c>
      <c r="L5913" s="2" t="s">
        <v>5751</v>
      </c>
      <c r="M5913" s="2"/>
      <c r="N5913" s="2"/>
      <c r="O5913" s="2"/>
      <c r="P5913" s="2"/>
      <c r="Q5913" s="2" t="s">
        <v>39207</v>
      </c>
      <c r="R5913" s="2" t="s">
        <v>39208</v>
      </c>
      <c r="S5913" s="2" t="s">
        <v>50</v>
      </c>
      <c r="T5913" s="2" t="s">
        <v>51</v>
      </c>
      <c r="U5913" s="2" t="s">
        <v>52</v>
      </c>
      <c r="V5913" s="2" t="s">
        <v>59</v>
      </c>
      <c r="W5913" s="2">
        <v>38.1</v>
      </c>
      <c r="X5913" s="2">
        <v>0</v>
      </c>
      <c r="Y5913" s="2" t="s">
        <v>408</v>
      </c>
      <c r="Z5913" s="2" t="s">
        <v>456</v>
      </c>
      <c r="AA5913" s="2">
        <v>0.117014724377361</v>
      </c>
      <c r="AB5913" s="2">
        <v>5.7220891399924798E-2</v>
      </c>
      <c r="AC5913" s="2">
        <v>5001.1565058482201</v>
      </c>
      <c r="AD5913" s="2">
        <v>4057.8450781343299</v>
      </c>
      <c r="AE5913" s="2">
        <v>4395.8485393726996</v>
      </c>
      <c r="AF5913" s="2">
        <v>3019.74838143342</v>
      </c>
      <c r="AG5913" s="2">
        <v>10124.484971740099</v>
      </c>
      <c r="AH5913" s="2">
        <v>4421.9224506238997</v>
      </c>
      <c r="AI5913" s="2">
        <v>4015.2096453804702</v>
      </c>
      <c r="AJ5913" s="2">
        <v>4029.7250465387201</v>
      </c>
      <c r="AK5913" s="2">
        <v>6158.7138588539801</v>
      </c>
      <c r="AL5913" s="2">
        <v>4459.8664345032903</v>
      </c>
      <c r="AM5913" s="2">
        <v>2512.7956673553699</v>
      </c>
      <c r="AN5913" s="2">
        <v>3803.1214231671602</v>
      </c>
      <c r="AO5913" s="2">
        <v>6142.0284669852699</v>
      </c>
      <c r="AP5913" s="2">
        <v>1270.54461794093</v>
      </c>
    </row>
    <row r="5914" spans="1:42" ht="14.5" x14ac:dyDescent="0.35">
      <c r="A5914" s="2" t="s">
        <v>39209</v>
      </c>
      <c r="B5914" s="2">
        <v>323.07587453513599</v>
      </c>
      <c r="C5914" s="2">
        <v>4.3961833333333296</v>
      </c>
      <c r="D5914" s="2" t="s">
        <v>34</v>
      </c>
      <c r="E5914" s="2" t="s">
        <v>39210</v>
      </c>
      <c r="F5914" s="2">
        <v>51472</v>
      </c>
      <c r="G5914" s="3" t="str">
        <f>HYPERLINK("http://funmeta.oebiotech.com/network/51472", "http://funmeta.oebiotech.com/network/51472")</f>
        <v>http://funmeta.oebiotech.com/network/51472</v>
      </c>
      <c r="H5914" s="2" t="s">
        <v>39211</v>
      </c>
      <c r="I5914" s="2"/>
      <c r="J5914" s="2"/>
      <c r="K5914" s="2">
        <v>17858</v>
      </c>
      <c r="L5914" s="2" t="s">
        <v>39212</v>
      </c>
      <c r="M5914" s="2" t="s">
        <v>39213</v>
      </c>
      <c r="N5914" s="2" t="s">
        <v>39214</v>
      </c>
      <c r="O5914" s="2">
        <v>65359</v>
      </c>
      <c r="P5914" s="2" t="s">
        <v>39215</v>
      </c>
      <c r="Q5914" s="2" t="s">
        <v>39216</v>
      </c>
      <c r="R5914" s="2" t="s">
        <v>39217</v>
      </c>
      <c r="S5914" s="2" t="s">
        <v>1444</v>
      </c>
      <c r="T5914" s="2" t="s">
        <v>4040</v>
      </c>
      <c r="U5914" s="2" t="s">
        <v>39218</v>
      </c>
      <c r="V5914" s="2" t="s">
        <v>59</v>
      </c>
      <c r="W5914" s="2">
        <v>39</v>
      </c>
      <c r="X5914" s="2">
        <v>0</v>
      </c>
      <c r="Y5914" s="2" t="s">
        <v>43</v>
      </c>
      <c r="Z5914" s="2" t="s">
        <v>39219</v>
      </c>
      <c r="AA5914" s="2">
        <v>2.5001172285370501</v>
      </c>
      <c r="AB5914" s="2">
        <v>5.7197635540087603E-2</v>
      </c>
      <c r="AC5914" s="2">
        <v>11776.932362780801</v>
      </c>
      <c r="AD5914" s="2">
        <v>12394.592048361201</v>
      </c>
      <c r="AE5914" s="2">
        <v>10998.7577758757</v>
      </c>
      <c r="AF5914" s="2">
        <v>11767.898983523401</v>
      </c>
      <c r="AG5914" s="2">
        <v>12333.464993555501</v>
      </c>
      <c r="AH5914" s="2">
        <v>10963.590350271401</v>
      </c>
      <c r="AI5914" s="2">
        <v>12246.420007679</v>
      </c>
      <c r="AJ5914" s="2">
        <v>12351.4620657798</v>
      </c>
      <c r="AK5914" s="2">
        <v>12395.6288543391</v>
      </c>
      <c r="AL5914" s="2">
        <v>10224.483242575299</v>
      </c>
      <c r="AM5914" s="2">
        <v>12975.052686535901</v>
      </c>
      <c r="AN5914" s="2">
        <v>12808.4667505745</v>
      </c>
      <c r="AO5914" s="2">
        <v>12342.7946134185</v>
      </c>
      <c r="AP5914" s="2">
        <v>13621.126142724101</v>
      </c>
    </row>
    <row r="5915" spans="1:42" ht="14.5" x14ac:dyDescent="0.35">
      <c r="A5915" s="2" t="s">
        <v>39220</v>
      </c>
      <c r="B5915" s="2">
        <v>753.33138897845095</v>
      </c>
      <c r="C5915" s="2">
        <v>9.5480833333333308</v>
      </c>
      <c r="D5915" s="2" t="s">
        <v>70</v>
      </c>
      <c r="E5915" s="2" t="s">
        <v>39221</v>
      </c>
      <c r="F5915" s="2">
        <v>60603</v>
      </c>
      <c r="G5915" s="3" t="str">
        <f>HYPERLINK("http://funmeta.oebiotech.com/network/60603", "http://funmeta.oebiotech.com/network/60603")</f>
        <v>http://funmeta.oebiotech.com/network/60603</v>
      </c>
      <c r="H5915" s="2" t="s">
        <v>39222</v>
      </c>
      <c r="I5915" s="2">
        <v>91934</v>
      </c>
      <c r="J5915" s="2"/>
      <c r="K5915" s="2"/>
      <c r="L5915" s="2"/>
      <c r="M5915" s="2"/>
      <c r="N5915" s="2"/>
      <c r="O5915" s="2">
        <v>131752103</v>
      </c>
      <c r="P5915" s="2" t="s">
        <v>39223</v>
      </c>
      <c r="Q5915" s="2" t="s">
        <v>39224</v>
      </c>
      <c r="R5915" s="2" t="s">
        <v>39225</v>
      </c>
      <c r="S5915" s="2" t="s">
        <v>50</v>
      </c>
      <c r="T5915" s="2" t="s">
        <v>124</v>
      </c>
      <c r="U5915" s="2" t="s">
        <v>567</v>
      </c>
      <c r="V5915" s="2" t="s">
        <v>59</v>
      </c>
      <c r="W5915" s="2">
        <v>36.9</v>
      </c>
      <c r="X5915" s="2">
        <v>0</v>
      </c>
      <c r="Y5915" s="2" t="s">
        <v>408</v>
      </c>
      <c r="Z5915" s="2" t="s">
        <v>39226</v>
      </c>
      <c r="AA5915" s="2">
        <v>-3.5579641207039998</v>
      </c>
      <c r="AB5915" s="2">
        <v>5.70481245819634E-2</v>
      </c>
      <c r="AC5915" s="2">
        <v>15992.7817162747</v>
      </c>
      <c r="AD5915" s="2">
        <v>16804.8663036215</v>
      </c>
      <c r="AE5915" s="2">
        <v>13507.0823992511</v>
      </c>
      <c r="AF5915" s="2">
        <v>14752.108108173299</v>
      </c>
      <c r="AG5915" s="2">
        <v>19209.178773582498</v>
      </c>
      <c r="AH5915" s="2">
        <v>17399.9388942193</v>
      </c>
      <c r="AI5915" s="2">
        <v>16365.7940010283</v>
      </c>
      <c r="AJ5915" s="2">
        <v>14722.588121393601</v>
      </c>
      <c r="AK5915" s="2">
        <v>18470.527831058102</v>
      </c>
      <c r="AL5915" s="2">
        <v>16819.435642933298</v>
      </c>
      <c r="AM5915" s="2">
        <v>16917.607349834499</v>
      </c>
      <c r="AN5915" s="2">
        <v>15950.439010259901</v>
      </c>
      <c r="AO5915" s="2">
        <v>15799.199441748</v>
      </c>
      <c r="AP5915" s="2">
        <v>16871.988545895201</v>
      </c>
    </row>
    <row r="5916" spans="1:42" ht="14.5" x14ac:dyDescent="0.35">
      <c r="A5916" s="2" t="s">
        <v>39227</v>
      </c>
      <c r="B5916" s="2">
        <v>486.04623682289002</v>
      </c>
      <c r="C5916" s="2">
        <v>4.2764166666666696</v>
      </c>
      <c r="D5916" s="2" t="s">
        <v>70</v>
      </c>
      <c r="E5916" s="2" t="s">
        <v>39228</v>
      </c>
      <c r="F5916" s="2">
        <v>82520</v>
      </c>
      <c r="G5916" s="3" t="str">
        <f>HYPERLINK("http://funmeta.oebiotech.com/network/82520", "http://funmeta.oebiotech.com/network/82520")</f>
        <v>http://funmeta.oebiotech.com/network/82520</v>
      </c>
      <c r="H5916" s="2" t="s">
        <v>39229</v>
      </c>
      <c r="I5916" s="2"/>
      <c r="J5916" s="2"/>
      <c r="K5916" s="2"/>
      <c r="L5916" s="2"/>
      <c r="M5916" s="2"/>
      <c r="N5916" s="2"/>
      <c r="O5916" s="2">
        <v>92132084</v>
      </c>
      <c r="P5916" s="2"/>
      <c r="Q5916" s="2" t="s">
        <v>39230</v>
      </c>
      <c r="R5916" s="2" t="s">
        <v>39231</v>
      </c>
      <c r="S5916" s="2" t="s">
        <v>79</v>
      </c>
      <c r="T5916" s="2" t="s">
        <v>80</v>
      </c>
      <c r="U5916" s="2" t="s">
        <v>81</v>
      </c>
      <c r="V5916" s="2" t="s">
        <v>59</v>
      </c>
      <c r="W5916" s="2">
        <v>37.799999999999997</v>
      </c>
      <c r="X5916" s="2">
        <v>0</v>
      </c>
      <c r="Y5916" s="2" t="s">
        <v>408</v>
      </c>
      <c r="Z5916" s="2" t="s">
        <v>39232</v>
      </c>
      <c r="AA5916" s="2">
        <v>0.49713848022049201</v>
      </c>
      <c r="AB5916" s="2">
        <v>5.70034508603008E-2</v>
      </c>
      <c r="AC5916" s="2">
        <v>11105.9076186602</v>
      </c>
      <c r="AD5916" s="2">
        <v>10404.807993206299</v>
      </c>
      <c r="AE5916" s="2">
        <v>12755.192322450701</v>
      </c>
      <c r="AF5916" s="2">
        <v>9567.4228789848694</v>
      </c>
      <c r="AG5916" s="2">
        <v>10760.5787805524</v>
      </c>
      <c r="AH5916" s="2">
        <v>11896.426175188</v>
      </c>
      <c r="AI5916" s="2">
        <v>9432.7765544455506</v>
      </c>
      <c r="AJ5916" s="2">
        <v>12223.049000339901</v>
      </c>
      <c r="AK5916" s="2">
        <v>10920.264271313499</v>
      </c>
      <c r="AL5916" s="2">
        <v>10480.048253893599</v>
      </c>
      <c r="AM5916" s="2">
        <v>10919.4175746112</v>
      </c>
      <c r="AN5916" s="2">
        <v>9451.7183982289607</v>
      </c>
      <c r="AO5916" s="2">
        <v>11740.2731223173</v>
      </c>
      <c r="AP5916" s="2">
        <v>8917.1263388731295</v>
      </c>
    </row>
    <row r="5917" spans="1:42" ht="14.5" x14ac:dyDescent="0.35">
      <c r="A5917" s="2" t="s">
        <v>39233</v>
      </c>
      <c r="B5917" s="2">
        <v>191.10660383537399</v>
      </c>
      <c r="C5917" s="2">
        <v>5.0723166666666701</v>
      </c>
      <c r="D5917" s="2" t="s">
        <v>34</v>
      </c>
      <c r="E5917" s="2" t="s">
        <v>39234</v>
      </c>
      <c r="F5917" s="2">
        <v>55624</v>
      </c>
      <c r="G5917" s="3" t="str">
        <f>HYPERLINK("http://funmeta.oebiotech.com/network/55624", "http://funmeta.oebiotech.com/network/55624")</f>
        <v>http://funmeta.oebiotech.com/network/55624</v>
      </c>
      <c r="H5917" s="2" t="s">
        <v>39235</v>
      </c>
      <c r="I5917" s="2">
        <v>87273</v>
      </c>
      <c r="J5917" s="2"/>
      <c r="K5917" s="2"/>
      <c r="L5917" s="2"/>
      <c r="M5917" s="2"/>
      <c r="N5917" s="2"/>
      <c r="O5917" s="2">
        <v>5803450</v>
      </c>
      <c r="P5917" s="2" t="s">
        <v>39236</v>
      </c>
      <c r="Q5917" s="2" t="s">
        <v>39237</v>
      </c>
      <c r="R5917" s="2" t="s">
        <v>39238</v>
      </c>
      <c r="S5917" s="2" t="s">
        <v>148</v>
      </c>
      <c r="T5917" s="2" t="s">
        <v>3772</v>
      </c>
      <c r="U5917" s="2" t="s">
        <v>18665</v>
      </c>
      <c r="V5917" s="2" t="s">
        <v>59</v>
      </c>
      <c r="W5917" s="2">
        <v>38.5</v>
      </c>
      <c r="X5917" s="2">
        <v>0</v>
      </c>
      <c r="Y5917" s="2" t="s">
        <v>394</v>
      </c>
      <c r="Z5917" s="2" t="s">
        <v>39239</v>
      </c>
      <c r="AA5917" s="2">
        <v>-0.275038907829386</v>
      </c>
      <c r="AB5917" s="2">
        <v>5.69471079574436E-2</v>
      </c>
      <c r="AC5917" s="2">
        <v>6373.4263397214299</v>
      </c>
      <c r="AD5917" s="2">
        <v>5923.7881822291401</v>
      </c>
      <c r="AE5917" s="2">
        <v>6973.6106041202602</v>
      </c>
      <c r="AF5917" s="2">
        <v>6901.81615479008</v>
      </c>
      <c r="AG5917" s="2">
        <v>5798.9688288792004</v>
      </c>
      <c r="AH5917" s="2">
        <v>6867.4061620641196</v>
      </c>
      <c r="AI5917" s="2">
        <v>5652.4684138386301</v>
      </c>
      <c r="AJ5917" s="2">
        <v>6046.2878746363103</v>
      </c>
      <c r="AK5917" s="2">
        <v>6103.4589458161699</v>
      </c>
      <c r="AL5917" s="2">
        <v>6033.1810997048497</v>
      </c>
      <c r="AM5917" s="2">
        <v>5641.9564379674703</v>
      </c>
      <c r="AN5917" s="2">
        <v>5707.7841934019798</v>
      </c>
      <c r="AO5917" s="2">
        <v>6350.1665914984796</v>
      </c>
      <c r="AP5917" s="2">
        <v>5706.1818249859198</v>
      </c>
    </row>
    <row r="5918" spans="1:42" ht="14.5" x14ac:dyDescent="0.35">
      <c r="A5918" s="2" t="s">
        <v>39240</v>
      </c>
      <c r="B5918" s="2">
        <v>703.23807094769097</v>
      </c>
      <c r="C5918" s="2">
        <v>5.8600666666666701</v>
      </c>
      <c r="D5918" s="2" t="s">
        <v>70</v>
      </c>
      <c r="E5918" s="2" t="s">
        <v>39241</v>
      </c>
      <c r="F5918" s="2">
        <v>52854</v>
      </c>
      <c r="G5918" s="3" t="str">
        <f>HYPERLINK("http://funmeta.oebiotech.com/network/52854", "http://funmeta.oebiotech.com/network/52854")</f>
        <v>http://funmeta.oebiotech.com/network/52854</v>
      </c>
      <c r="H5918" s="2" t="s">
        <v>39242</v>
      </c>
      <c r="I5918" s="2">
        <v>85391</v>
      </c>
      <c r="J5918" s="2"/>
      <c r="K5918" s="2">
        <v>9711</v>
      </c>
      <c r="L5918" s="2"/>
      <c r="M5918" s="2"/>
      <c r="N5918" s="2"/>
      <c r="O5918" s="2">
        <v>5568</v>
      </c>
      <c r="P5918" s="2" t="s">
        <v>39243</v>
      </c>
      <c r="Q5918" s="2" t="s">
        <v>39244</v>
      </c>
      <c r="R5918" s="2" t="s">
        <v>39245</v>
      </c>
      <c r="S5918" s="2" t="s">
        <v>491</v>
      </c>
      <c r="T5918" s="2" t="s">
        <v>25326</v>
      </c>
      <c r="U5918" s="2" t="s">
        <v>25327</v>
      </c>
      <c r="V5918" s="2" t="s">
        <v>59</v>
      </c>
      <c r="W5918" s="2">
        <v>37.6</v>
      </c>
      <c r="X5918" s="2">
        <v>0</v>
      </c>
      <c r="Y5918" s="2" t="s">
        <v>560</v>
      </c>
      <c r="Z5918" s="2" t="s">
        <v>39246</v>
      </c>
      <c r="AA5918" s="2">
        <v>1.6170837000632099</v>
      </c>
      <c r="AB5918" s="2">
        <v>5.6944654045442099E-2</v>
      </c>
      <c r="AC5918" s="2">
        <v>741.97205356659401</v>
      </c>
      <c r="AD5918" s="2">
        <v>332.66779464431602</v>
      </c>
      <c r="AE5918" s="2">
        <v>1089.8466441847099</v>
      </c>
      <c r="AF5918" s="2">
        <v>815.46439776075295</v>
      </c>
      <c r="AG5918" s="2">
        <v>932.64675478696199</v>
      </c>
      <c r="AH5918" s="2">
        <v>378.514955323447</v>
      </c>
      <c r="AI5918" s="2">
        <v>885.87190301910096</v>
      </c>
      <c r="AJ5918" s="2">
        <v>349.487666324592</v>
      </c>
      <c r="AK5918" s="2">
        <v>498.30904344095899</v>
      </c>
      <c r="AL5918" s="2">
        <v>2.7106294003980101E-5</v>
      </c>
      <c r="AM5918" s="2">
        <v>437.00538368824198</v>
      </c>
      <c r="AN5918" s="2">
        <v>2.7106294003980101E-5</v>
      </c>
      <c r="AO5918" s="2">
        <v>2.7106294003980101E-5</v>
      </c>
      <c r="AP5918" s="2">
        <v>1060.69225941781</v>
      </c>
    </row>
    <row r="5919" spans="1:42" ht="14.5" x14ac:dyDescent="0.35">
      <c r="A5919" s="2" t="s">
        <v>39247</v>
      </c>
      <c r="B5919" s="2">
        <v>385.03786179831098</v>
      </c>
      <c r="C5919" s="2">
        <v>1.05673333333333</v>
      </c>
      <c r="D5919" s="2" t="s">
        <v>70</v>
      </c>
      <c r="E5919" s="2" t="s">
        <v>39248</v>
      </c>
      <c r="F5919" s="2">
        <v>62034</v>
      </c>
      <c r="G5919" s="3" t="str">
        <f>HYPERLINK("http://funmeta.oebiotech.com/network/62034", "http://funmeta.oebiotech.com/network/62034")</f>
        <v>http://funmeta.oebiotech.com/network/62034</v>
      </c>
      <c r="H5919" s="2" t="s">
        <v>39249</v>
      </c>
      <c r="I5919" s="2">
        <v>93326</v>
      </c>
      <c r="J5919" s="2"/>
      <c r="K5919" s="2"/>
      <c r="L5919" s="2"/>
      <c r="M5919" s="2"/>
      <c r="N5919" s="2"/>
      <c r="O5919" s="2">
        <v>9837024</v>
      </c>
      <c r="P5919" s="2" t="s">
        <v>39250</v>
      </c>
      <c r="Q5919" s="2" t="s">
        <v>39251</v>
      </c>
      <c r="R5919" s="2" t="s">
        <v>39252</v>
      </c>
      <c r="S5919" s="2" t="s">
        <v>89</v>
      </c>
      <c r="T5919" s="2" t="s">
        <v>90</v>
      </c>
      <c r="U5919" s="2" t="s">
        <v>99</v>
      </c>
      <c r="V5919" s="2" t="s">
        <v>59</v>
      </c>
      <c r="W5919" s="2">
        <v>41.3</v>
      </c>
      <c r="X5919" s="2">
        <v>20.100000000000001</v>
      </c>
      <c r="Y5919" s="2" t="s">
        <v>560</v>
      </c>
      <c r="Z5919" s="2" t="s">
        <v>39253</v>
      </c>
      <c r="AA5919" s="2">
        <v>-2.8570750125429099</v>
      </c>
      <c r="AB5919" s="2">
        <v>5.6904450273125302E-2</v>
      </c>
      <c r="AC5919" s="2">
        <v>28148.401207418799</v>
      </c>
      <c r="AD5919" s="2">
        <v>29447.048920740999</v>
      </c>
      <c r="AE5919" s="2">
        <v>33625.489644917601</v>
      </c>
      <c r="AF5919" s="2">
        <v>26869.950243467301</v>
      </c>
      <c r="AG5919" s="2">
        <v>23290.950793914199</v>
      </c>
      <c r="AH5919" s="2">
        <v>29294.5946694513</v>
      </c>
      <c r="AI5919" s="2">
        <v>31359.531798571999</v>
      </c>
      <c r="AJ5919" s="2">
        <v>24449.890094190301</v>
      </c>
      <c r="AK5919" s="2">
        <v>35084.702646064798</v>
      </c>
      <c r="AL5919" s="2">
        <v>25071.108469760798</v>
      </c>
      <c r="AM5919" s="2">
        <v>25788.5576206685</v>
      </c>
      <c r="AN5919" s="2">
        <v>29401.720579445901</v>
      </c>
      <c r="AO5919" s="2">
        <v>35901.747810526103</v>
      </c>
      <c r="AP5919" s="2">
        <v>25434.4563979798</v>
      </c>
    </row>
    <row r="5920" spans="1:42" ht="14.5" x14ac:dyDescent="0.35">
      <c r="A5920" s="2" t="s">
        <v>39254</v>
      </c>
      <c r="B5920" s="2">
        <v>439.19923425606902</v>
      </c>
      <c r="C5920" s="2">
        <v>9.6530833333333295</v>
      </c>
      <c r="D5920" s="2" t="s">
        <v>34</v>
      </c>
      <c r="E5920" s="2" t="s">
        <v>39255</v>
      </c>
      <c r="F5920" s="2">
        <v>267272</v>
      </c>
      <c r="G5920" s="3" t="str">
        <f>HYPERLINK("http://funmeta.oebiotech.com/network/267272", "http://funmeta.oebiotech.com/network/267272")</f>
        <v>http://funmeta.oebiotech.com/network/267272</v>
      </c>
      <c r="H5920" s="2"/>
      <c r="I5920" s="2">
        <v>45144</v>
      </c>
      <c r="J5920" s="2"/>
      <c r="K5920" s="2"/>
      <c r="L5920" s="2"/>
      <c r="M5920" s="2"/>
      <c r="N5920" s="2"/>
      <c r="O5920" s="2">
        <v>35027739</v>
      </c>
      <c r="P5920" s="2"/>
      <c r="Q5920" s="2" t="s">
        <v>39256</v>
      </c>
      <c r="R5920" s="2" t="s">
        <v>39257</v>
      </c>
      <c r="S5920" s="2" t="s">
        <v>148</v>
      </c>
      <c r="T5920" s="2" t="s">
        <v>149</v>
      </c>
      <c r="U5920" s="2" t="s">
        <v>5292</v>
      </c>
      <c r="V5920" s="2" t="s">
        <v>59</v>
      </c>
      <c r="W5920" s="2">
        <v>36.5</v>
      </c>
      <c r="X5920" s="2">
        <v>0</v>
      </c>
      <c r="Y5920" s="2" t="s">
        <v>323</v>
      </c>
      <c r="Z5920" s="2" t="s">
        <v>39258</v>
      </c>
      <c r="AA5920" s="2">
        <v>4.9998389614288201E-2</v>
      </c>
      <c r="AB5920" s="2">
        <v>5.6894233629970398E-2</v>
      </c>
      <c r="AC5920" s="2">
        <v>51876.622895911998</v>
      </c>
      <c r="AD5920" s="2">
        <v>54419.902837993803</v>
      </c>
      <c r="AE5920" s="2">
        <v>57681.416920291798</v>
      </c>
      <c r="AF5920" s="2">
        <v>45621.694358742498</v>
      </c>
      <c r="AG5920" s="2">
        <v>50717.633849746497</v>
      </c>
      <c r="AH5920" s="2">
        <v>50738.258946617498</v>
      </c>
      <c r="AI5920" s="2">
        <v>58632.724927694799</v>
      </c>
      <c r="AJ5920" s="2">
        <v>47868.008372378703</v>
      </c>
      <c r="AK5920" s="2">
        <v>42245.173196056203</v>
      </c>
      <c r="AL5920" s="2">
        <v>96991.373040905804</v>
      </c>
      <c r="AM5920" s="2">
        <v>53496.199112960698</v>
      </c>
      <c r="AN5920" s="2">
        <v>55366.587682171797</v>
      </c>
      <c r="AO5920" s="2">
        <v>44804.889784887702</v>
      </c>
      <c r="AP5920" s="2">
        <v>33615.194210980699</v>
      </c>
    </row>
    <row r="5921" spans="1:42" ht="14.5" x14ac:dyDescent="0.35">
      <c r="A5921" s="2" t="s">
        <v>39259</v>
      </c>
      <c r="B5921" s="2">
        <v>183.11672759880901</v>
      </c>
      <c r="C5921" s="2">
        <v>5.2337999999999996</v>
      </c>
      <c r="D5921" s="2" t="s">
        <v>34</v>
      </c>
      <c r="E5921" s="2" t="s">
        <v>39260</v>
      </c>
      <c r="F5921" s="2">
        <v>58990</v>
      </c>
      <c r="G5921" s="3" t="str">
        <f>HYPERLINK("http://funmeta.oebiotech.com/network/58990", "http://funmeta.oebiotech.com/network/58990")</f>
        <v>http://funmeta.oebiotech.com/network/58990</v>
      </c>
      <c r="H5921" s="2" t="s">
        <v>39261</v>
      </c>
      <c r="I5921" s="2">
        <v>90426</v>
      </c>
      <c r="J5921" s="2"/>
      <c r="K5921" s="2"/>
      <c r="L5921" s="2"/>
      <c r="M5921" s="2"/>
      <c r="N5921" s="2"/>
      <c r="O5921" s="2">
        <v>16582</v>
      </c>
      <c r="P5921" s="2" t="s">
        <v>39262</v>
      </c>
      <c r="Q5921" s="2" t="s">
        <v>39263</v>
      </c>
      <c r="R5921" s="2" t="s">
        <v>39264</v>
      </c>
      <c r="S5921" s="2" t="s">
        <v>148</v>
      </c>
      <c r="T5921" s="2" t="s">
        <v>6221</v>
      </c>
      <c r="U5921" s="2" t="s">
        <v>41</v>
      </c>
      <c r="V5921" s="2" t="s">
        <v>59</v>
      </c>
      <c r="W5921" s="2">
        <v>39.1</v>
      </c>
      <c r="X5921" s="2">
        <v>0</v>
      </c>
      <c r="Y5921" s="2" t="s">
        <v>141</v>
      </c>
      <c r="Z5921" s="2" t="s">
        <v>39265</v>
      </c>
      <c r="AA5921" s="2">
        <v>-0.49612139802830102</v>
      </c>
      <c r="AB5921" s="2">
        <v>5.68580194977698E-2</v>
      </c>
      <c r="AC5921" s="2">
        <v>2886.7174705237298</v>
      </c>
      <c r="AD5921" s="2">
        <v>2447.1417317976002</v>
      </c>
      <c r="AE5921" s="2">
        <v>2790.06953091491</v>
      </c>
      <c r="AF5921" s="2">
        <v>2537.2145023808598</v>
      </c>
      <c r="AG5921" s="2">
        <v>3496.2520874022798</v>
      </c>
      <c r="AH5921" s="2">
        <v>1992.3965778331401</v>
      </c>
      <c r="AI5921" s="2">
        <v>3207.49825985283</v>
      </c>
      <c r="AJ5921" s="2">
        <v>3296.87386475837</v>
      </c>
      <c r="AK5921" s="2">
        <v>2298.5276977456501</v>
      </c>
      <c r="AL5921" s="2">
        <v>2610.6650628860698</v>
      </c>
      <c r="AM5921" s="2">
        <v>2382.7947267130198</v>
      </c>
      <c r="AN5921" s="2">
        <v>2672.0579497153399</v>
      </c>
      <c r="AO5921" s="2">
        <v>2049.7993953236501</v>
      </c>
      <c r="AP5921" s="2">
        <v>2669.0055584018601</v>
      </c>
    </row>
    <row r="5922" spans="1:42" ht="14.5" x14ac:dyDescent="0.35">
      <c r="A5922" s="2" t="s">
        <v>39266</v>
      </c>
      <c r="B5922" s="2">
        <v>316.08243070038202</v>
      </c>
      <c r="C5922" s="2">
        <v>4.0778333333333299</v>
      </c>
      <c r="D5922" s="2" t="s">
        <v>70</v>
      </c>
      <c r="E5922" s="2" t="s">
        <v>39267</v>
      </c>
      <c r="F5922" s="2">
        <v>266533</v>
      </c>
      <c r="G5922" s="3" t="str">
        <f>HYPERLINK("http://funmeta.oebiotech.com/network/266533", "http://funmeta.oebiotech.com/network/266533")</f>
        <v>http://funmeta.oebiotech.com/network/266533</v>
      </c>
      <c r="H5922" s="2"/>
      <c r="I5922" s="2">
        <v>43489</v>
      </c>
      <c r="J5922" s="2"/>
      <c r="K5922" s="2"/>
      <c r="L5922" s="2"/>
      <c r="M5922" s="2"/>
      <c r="N5922" s="2"/>
      <c r="O5922" s="2">
        <v>1984</v>
      </c>
      <c r="P5922" s="2" t="s">
        <v>39268</v>
      </c>
      <c r="Q5922" s="2" t="s">
        <v>39269</v>
      </c>
      <c r="R5922" s="2" t="s">
        <v>39270</v>
      </c>
      <c r="S5922" s="2" t="s">
        <v>115</v>
      </c>
      <c r="T5922" s="2" t="s">
        <v>2833</v>
      </c>
      <c r="U5922" s="2" t="s">
        <v>41</v>
      </c>
      <c r="V5922" s="2" t="s">
        <v>59</v>
      </c>
      <c r="W5922" s="2">
        <v>37.200000000000003</v>
      </c>
      <c r="X5922" s="2">
        <v>0</v>
      </c>
      <c r="Y5922" s="2" t="s">
        <v>408</v>
      </c>
      <c r="Z5922" s="2" t="s">
        <v>39271</v>
      </c>
      <c r="AA5922" s="2">
        <v>-0.848700697032434</v>
      </c>
      <c r="AB5922" s="2">
        <v>5.6846781939483997E-2</v>
      </c>
      <c r="AC5922" s="2">
        <v>876.16573057832898</v>
      </c>
      <c r="AD5922" s="2">
        <v>1219.83630504753</v>
      </c>
      <c r="AE5922" s="2">
        <v>1025.82730277155</v>
      </c>
      <c r="AF5922" s="2">
        <v>621.70873469189701</v>
      </c>
      <c r="AG5922" s="2">
        <v>1050.03175011844</v>
      </c>
      <c r="AH5922" s="2">
        <v>879.79028021936801</v>
      </c>
      <c r="AI5922" s="2">
        <v>947.17468864765794</v>
      </c>
      <c r="AJ5922" s="2">
        <v>732.46162702106005</v>
      </c>
      <c r="AK5922" s="2">
        <v>1431.3934596485001</v>
      </c>
      <c r="AL5922" s="2">
        <v>1091.42289470028</v>
      </c>
      <c r="AM5922" s="2">
        <v>1435.5055242548499</v>
      </c>
      <c r="AN5922" s="2">
        <v>1522.8986279133501</v>
      </c>
      <c r="AO5922" s="2">
        <v>737.96892615267495</v>
      </c>
      <c r="AP5922" s="2">
        <v>1099.8283976155201</v>
      </c>
    </row>
    <row r="5923" spans="1:42" ht="14.5" x14ac:dyDescent="0.35">
      <c r="A5923" s="2" t="s">
        <v>39272</v>
      </c>
      <c r="B5923" s="2">
        <v>225.09990293395799</v>
      </c>
      <c r="C5923" s="2">
        <v>0.68611666666666704</v>
      </c>
      <c r="D5923" s="2" t="s">
        <v>34</v>
      </c>
      <c r="E5923" s="2" t="s">
        <v>39273</v>
      </c>
      <c r="F5923" s="2">
        <v>289967</v>
      </c>
      <c r="G5923" s="3" t="str">
        <f>HYPERLINK("http://funmeta.oebiotech.com/network/289967", "http://funmeta.oebiotech.com/network/289967")</f>
        <v>http://funmeta.oebiotech.com/network/289967</v>
      </c>
      <c r="H5923" s="2"/>
      <c r="I5923" s="2">
        <v>985531</v>
      </c>
      <c r="J5923" s="2"/>
      <c r="K5923" s="2"/>
      <c r="L5923" s="2"/>
      <c r="M5923" s="2"/>
      <c r="N5923" s="2"/>
      <c r="O5923" s="2">
        <v>100784</v>
      </c>
      <c r="P5923" s="2"/>
      <c r="Q5923" s="2" t="s">
        <v>39274</v>
      </c>
      <c r="R5923" s="2" t="s">
        <v>39275</v>
      </c>
      <c r="S5923" s="2" t="s">
        <v>89</v>
      </c>
      <c r="T5923" s="2" t="s">
        <v>90</v>
      </c>
      <c r="U5923" s="2" t="s">
        <v>401</v>
      </c>
      <c r="V5923" s="2" t="s">
        <v>59</v>
      </c>
      <c r="W5923" s="2">
        <v>38.4</v>
      </c>
      <c r="X5923" s="2">
        <v>0</v>
      </c>
      <c r="Y5923" s="2" t="s">
        <v>340</v>
      </c>
      <c r="Z5923" s="2" t="s">
        <v>39276</v>
      </c>
      <c r="AA5923" s="2">
        <v>-0.445758226486274</v>
      </c>
      <c r="AB5923" s="2">
        <v>5.6825683505474803E-2</v>
      </c>
      <c r="AC5923" s="2">
        <v>1263.41115213174</v>
      </c>
      <c r="AD5923" s="2">
        <v>824.956142859583</v>
      </c>
      <c r="AE5923" s="2">
        <v>829.53744336519196</v>
      </c>
      <c r="AF5923" s="2">
        <v>948.66851943547204</v>
      </c>
      <c r="AG5923" s="2">
        <v>1090.7321388243099</v>
      </c>
      <c r="AH5923" s="2">
        <v>2039.1968726804801</v>
      </c>
      <c r="AI5923" s="2">
        <v>795.85551794381195</v>
      </c>
      <c r="AJ5923" s="2">
        <v>1876.47642054118</v>
      </c>
      <c r="AK5923" s="2">
        <v>666.71145852205404</v>
      </c>
      <c r="AL5923" s="2">
        <v>465.92875489976501</v>
      </c>
      <c r="AM5923" s="2">
        <v>1264.70334376353</v>
      </c>
      <c r="AN5923" s="2">
        <v>928.79349195494001</v>
      </c>
      <c r="AO5923" s="2">
        <v>878.75254419993701</v>
      </c>
      <c r="AP5923" s="2">
        <v>744.84726381727205</v>
      </c>
    </row>
    <row r="5924" spans="1:42" ht="14.5" x14ac:dyDescent="0.35">
      <c r="A5924" s="2" t="s">
        <v>39277</v>
      </c>
      <c r="B5924" s="2">
        <v>826.49335216622399</v>
      </c>
      <c r="C5924" s="2">
        <v>9.9588999999999999</v>
      </c>
      <c r="D5924" s="2" t="s">
        <v>34</v>
      </c>
      <c r="E5924" s="2" t="s">
        <v>39278</v>
      </c>
      <c r="F5924" s="2">
        <v>64129</v>
      </c>
      <c r="G5924" s="3" t="str">
        <f>HYPERLINK("http://funmeta.oebiotech.com/network/64129", "http://funmeta.oebiotech.com/network/64129")</f>
        <v>http://funmeta.oebiotech.com/network/64129</v>
      </c>
      <c r="H5924" s="2" t="s">
        <v>39279</v>
      </c>
      <c r="I5924" s="2">
        <v>95452</v>
      </c>
      <c r="J5924" s="2"/>
      <c r="K5924" s="2">
        <v>171734</v>
      </c>
      <c r="L5924" s="2"/>
      <c r="M5924" s="2"/>
      <c r="N5924" s="2"/>
      <c r="O5924" s="2">
        <v>131753011</v>
      </c>
      <c r="P5924" s="2" t="s">
        <v>39280</v>
      </c>
      <c r="Q5924" s="2" t="s">
        <v>39281</v>
      </c>
      <c r="R5924" s="2" t="s">
        <v>39282</v>
      </c>
      <c r="S5924" s="2" t="s">
        <v>50</v>
      </c>
      <c r="T5924" s="2" t="s">
        <v>201</v>
      </c>
      <c r="U5924" s="2" t="s">
        <v>202</v>
      </c>
      <c r="V5924" s="2" t="s">
        <v>59</v>
      </c>
      <c r="W5924" s="2">
        <v>38.6</v>
      </c>
      <c r="X5924" s="2">
        <v>0</v>
      </c>
      <c r="Y5924" s="2" t="s">
        <v>43</v>
      </c>
      <c r="Z5924" s="2" t="s">
        <v>39283</v>
      </c>
      <c r="AA5924" s="2">
        <v>-1.70721721241081</v>
      </c>
      <c r="AB5924" s="2">
        <v>5.6787632775826997E-2</v>
      </c>
      <c r="AC5924" s="2">
        <v>4295.2212758268697</v>
      </c>
      <c r="AD5924" s="2">
        <v>3736.88342768352</v>
      </c>
      <c r="AE5924" s="2">
        <v>4075.4249652106901</v>
      </c>
      <c r="AF5924" s="2">
        <v>5502.1772100999997</v>
      </c>
      <c r="AG5924" s="2">
        <v>4823.7158344620202</v>
      </c>
      <c r="AH5924" s="2">
        <v>3273.5091509531098</v>
      </c>
      <c r="AI5924" s="2">
        <v>3557.2655015539099</v>
      </c>
      <c r="AJ5924" s="2">
        <v>4539.2349926814604</v>
      </c>
      <c r="AK5924" s="2">
        <v>3641.6073944578502</v>
      </c>
      <c r="AL5924" s="2">
        <v>3002.7904600316601</v>
      </c>
      <c r="AM5924" s="2">
        <v>3015.84695771611</v>
      </c>
      <c r="AN5924" s="2">
        <v>4054.2021362427099</v>
      </c>
      <c r="AO5924" s="2">
        <v>3841.5553923941502</v>
      </c>
      <c r="AP5924" s="2">
        <v>4865.2982252586298</v>
      </c>
    </row>
    <row r="5925" spans="1:42" ht="14.5" x14ac:dyDescent="0.35">
      <c r="A5925" s="2" t="s">
        <v>39284</v>
      </c>
      <c r="B5925" s="2">
        <v>590.42598079351296</v>
      </c>
      <c r="C5925" s="2">
        <v>11.346299999999999</v>
      </c>
      <c r="D5925" s="2" t="s">
        <v>34</v>
      </c>
      <c r="E5925" s="2" t="s">
        <v>39285</v>
      </c>
      <c r="F5925" s="2">
        <v>8758</v>
      </c>
      <c r="G5925" s="3" t="str">
        <f>HYPERLINK("http://funmeta.oebiotech.com/network/8758", "http://funmeta.oebiotech.com/network/8758")</f>
        <v>http://funmeta.oebiotech.com/network/8758</v>
      </c>
      <c r="H5925" s="2"/>
      <c r="I5925" s="2"/>
      <c r="J5925" s="2" t="s">
        <v>39286</v>
      </c>
      <c r="K5925" s="2">
        <v>66065</v>
      </c>
      <c r="L5925" s="2"/>
      <c r="M5925" s="2"/>
      <c r="N5925" s="2"/>
      <c r="O5925" s="2">
        <v>70678744</v>
      </c>
      <c r="P5925" s="2"/>
      <c r="Q5925" s="2" t="s">
        <v>39287</v>
      </c>
      <c r="R5925" s="2" t="s">
        <v>39288</v>
      </c>
      <c r="S5925" s="2" t="s">
        <v>89</v>
      </c>
      <c r="T5925" s="2" t="s">
        <v>90</v>
      </c>
      <c r="U5925" s="2" t="s">
        <v>401</v>
      </c>
      <c r="V5925" s="2" t="s">
        <v>42</v>
      </c>
      <c r="W5925" s="2">
        <v>49.1</v>
      </c>
      <c r="X5925" s="2">
        <v>51.9</v>
      </c>
      <c r="Y5925" s="2" t="s">
        <v>43</v>
      </c>
      <c r="Z5925" s="2" t="s">
        <v>39289</v>
      </c>
      <c r="AA5925" s="2">
        <v>4.2055787358119803</v>
      </c>
      <c r="AB5925" s="2">
        <v>5.6723419260365698E-2</v>
      </c>
      <c r="AC5925" s="2">
        <v>90100.831667267994</v>
      </c>
      <c r="AD5925" s="2">
        <v>86408.740792956305</v>
      </c>
      <c r="AE5925" s="2">
        <v>56202.0595428421</v>
      </c>
      <c r="AF5925" s="2">
        <v>68193.088114362501</v>
      </c>
      <c r="AG5925" s="2">
        <v>82530.841947213194</v>
      </c>
      <c r="AH5925" s="2">
        <v>182887.25075180701</v>
      </c>
      <c r="AI5925" s="2">
        <v>68029.200392340994</v>
      </c>
      <c r="AJ5925" s="2">
        <v>82762.549255042293</v>
      </c>
      <c r="AK5925" s="2">
        <v>60420.513115073598</v>
      </c>
      <c r="AL5925" s="2">
        <v>86363.897210223193</v>
      </c>
      <c r="AM5925" s="2">
        <v>79373.653521413697</v>
      </c>
      <c r="AN5925" s="2">
        <v>100785.02892105401</v>
      </c>
      <c r="AO5925" s="2">
        <v>99462.856106306106</v>
      </c>
      <c r="AP5925" s="2">
        <v>92046.495883667303</v>
      </c>
    </row>
    <row r="5926" spans="1:42" ht="14.5" x14ac:dyDescent="0.35">
      <c r="A5926" s="2" t="s">
        <v>39290</v>
      </c>
      <c r="B5926" s="2">
        <v>523.02313855944999</v>
      </c>
      <c r="C5926" s="2">
        <v>9.9728333333333303</v>
      </c>
      <c r="D5926" s="2" t="s">
        <v>70</v>
      </c>
      <c r="E5926" s="2" t="s">
        <v>39291</v>
      </c>
      <c r="F5926" s="2">
        <v>51492</v>
      </c>
      <c r="G5926" s="3" t="str">
        <f>HYPERLINK("http://funmeta.oebiotech.com/network/51492", "http://funmeta.oebiotech.com/network/51492")</f>
        <v>http://funmeta.oebiotech.com/network/51492</v>
      </c>
      <c r="H5926" s="2" t="s">
        <v>39292</v>
      </c>
      <c r="I5926" s="2"/>
      <c r="J5926" s="2"/>
      <c r="K5926" s="2">
        <v>88405</v>
      </c>
      <c r="L5926" s="2"/>
      <c r="M5926" s="2"/>
      <c r="N5926" s="2"/>
      <c r="O5926" s="2">
        <v>29981063</v>
      </c>
      <c r="P5926" s="2" t="s">
        <v>39293</v>
      </c>
      <c r="Q5926" s="2" t="s">
        <v>39294</v>
      </c>
      <c r="R5926" s="2" t="s">
        <v>39295</v>
      </c>
      <c r="S5926" s="2" t="s">
        <v>89</v>
      </c>
      <c r="T5926" s="2" t="s">
        <v>1773</v>
      </c>
      <c r="U5926" s="2" t="s">
        <v>21134</v>
      </c>
      <c r="V5926" s="2" t="s">
        <v>59</v>
      </c>
      <c r="W5926" s="2">
        <v>37.6</v>
      </c>
      <c r="X5926" s="2">
        <v>0</v>
      </c>
      <c r="Y5926" s="2" t="s">
        <v>560</v>
      </c>
      <c r="Z5926" s="2" t="s">
        <v>39296</v>
      </c>
      <c r="AA5926" s="2">
        <v>1.8466065504720299</v>
      </c>
      <c r="AB5926" s="2">
        <v>5.6606378410153702E-2</v>
      </c>
      <c r="AC5926" s="2">
        <v>9247.6670610425899</v>
      </c>
      <c r="AD5926" s="2">
        <v>9882.6975529121191</v>
      </c>
      <c r="AE5926" s="2">
        <v>9965.8378374652893</v>
      </c>
      <c r="AF5926" s="2">
        <v>9063.2903089910305</v>
      </c>
      <c r="AG5926" s="2">
        <v>9097.2313924660903</v>
      </c>
      <c r="AH5926" s="2">
        <v>9303.6487619130403</v>
      </c>
      <c r="AI5926" s="2">
        <v>9489.4819379500095</v>
      </c>
      <c r="AJ5926" s="2">
        <v>8566.5121274700796</v>
      </c>
      <c r="AK5926" s="2">
        <v>11525.9921100315</v>
      </c>
      <c r="AL5926" s="2">
        <v>7484.1463694022495</v>
      </c>
      <c r="AM5926" s="2">
        <v>9911.7384869220405</v>
      </c>
      <c r="AN5926" s="2">
        <v>9718.8375187892107</v>
      </c>
      <c r="AO5926" s="2">
        <v>10034.9277554902</v>
      </c>
      <c r="AP5926" s="2">
        <v>10620.543076837501</v>
      </c>
    </row>
    <row r="5927" spans="1:42" ht="14.5" x14ac:dyDescent="0.35">
      <c r="A5927" s="2" t="s">
        <v>39297</v>
      </c>
      <c r="B5927" s="2">
        <v>961.46451908531503</v>
      </c>
      <c r="C5927" s="2">
        <v>9.1276333333333302</v>
      </c>
      <c r="D5927" s="2" t="s">
        <v>70</v>
      </c>
      <c r="E5927" s="2" t="s">
        <v>39298</v>
      </c>
      <c r="F5927" s="2">
        <v>206188</v>
      </c>
      <c r="G5927" s="3" t="str">
        <f>HYPERLINK("http://funmeta.oebiotech.com/network/206188", "http://funmeta.oebiotech.com/network/206188")</f>
        <v>http://funmeta.oebiotech.com/network/206188</v>
      </c>
      <c r="H5927" s="2" t="s">
        <v>39299</v>
      </c>
      <c r="I5927" s="2"/>
      <c r="J5927" s="2"/>
      <c r="K5927" s="2"/>
      <c r="L5927" s="2"/>
      <c r="M5927" s="2"/>
      <c r="N5927" s="2"/>
      <c r="O5927" s="2"/>
      <c r="P5927" s="2"/>
      <c r="Q5927" s="2" t="s">
        <v>39300</v>
      </c>
      <c r="R5927" s="2" t="s">
        <v>39301</v>
      </c>
      <c r="S5927" s="2" t="s">
        <v>148</v>
      </c>
      <c r="T5927" s="2" t="s">
        <v>149</v>
      </c>
      <c r="U5927" s="2" t="s">
        <v>3473</v>
      </c>
      <c r="V5927" s="2" t="s">
        <v>59</v>
      </c>
      <c r="W5927" s="2">
        <v>38.1</v>
      </c>
      <c r="X5927" s="2">
        <v>0</v>
      </c>
      <c r="Y5927" s="2" t="s">
        <v>560</v>
      </c>
      <c r="Z5927" s="2" t="s">
        <v>39302</v>
      </c>
      <c r="AA5927" s="2">
        <v>-1.33844489411892</v>
      </c>
      <c r="AB5927" s="2">
        <v>5.6601171548186099E-2</v>
      </c>
      <c r="AC5927" s="2">
        <v>9320.1912854392995</v>
      </c>
      <c r="AD5927" s="2">
        <v>10029.0694771861</v>
      </c>
      <c r="AE5927" s="2">
        <v>7623.0270689307199</v>
      </c>
      <c r="AF5927" s="2">
        <v>7755.3180470429397</v>
      </c>
      <c r="AG5927" s="2">
        <v>10632.541533232201</v>
      </c>
      <c r="AH5927" s="2">
        <v>10538.318033879201</v>
      </c>
      <c r="AI5927" s="2">
        <v>10978.5374392373</v>
      </c>
      <c r="AJ5927" s="2">
        <v>8393.4055903134504</v>
      </c>
      <c r="AK5927" s="2">
        <v>10570.673044093999</v>
      </c>
      <c r="AL5927" s="2">
        <v>8237.6365351266304</v>
      </c>
      <c r="AM5927" s="2">
        <v>10818.172030396199</v>
      </c>
      <c r="AN5927" s="2">
        <v>10314.2718925219</v>
      </c>
      <c r="AO5927" s="2">
        <v>10873.327722530699</v>
      </c>
      <c r="AP5927" s="2">
        <v>9360.3356384472008</v>
      </c>
    </row>
    <row r="5928" spans="1:42" ht="14.5" x14ac:dyDescent="0.35">
      <c r="A5928" s="2" t="s">
        <v>39303</v>
      </c>
      <c r="B5928" s="2">
        <v>688.18292712701498</v>
      </c>
      <c r="C5928" s="2">
        <v>3.42648333333333</v>
      </c>
      <c r="D5928" s="2" t="s">
        <v>70</v>
      </c>
      <c r="E5928" s="2" t="s">
        <v>39304</v>
      </c>
      <c r="F5928" s="2">
        <v>211056</v>
      </c>
      <c r="G5928" s="3" t="str">
        <f>HYPERLINK("http://funmeta.oebiotech.com/network/211056", "http://funmeta.oebiotech.com/network/211056")</f>
        <v>http://funmeta.oebiotech.com/network/211056</v>
      </c>
      <c r="H5928" s="2" t="s">
        <v>39305</v>
      </c>
      <c r="I5928" s="2"/>
      <c r="J5928" s="2"/>
      <c r="K5928" s="2"/>
      <c r="L5928" s="2"/>
      <c r="M5928" s="2"/>
      <c r="N5928" s="2"/>
      <c r="O5928" s="2"/>
      <c r="P5928" s="2"/>
      <c r="Q5928" s="2" t="s">
        <v>39306</v>
      </c>
      <c r="R5928" s="2" t="s">
        <v>39307</v>
      </c>
      <c r="S5928" s="2" t="s">
        <v>89</v>
      </c>
      <c r="T5928" s="2" t="s">
        <v>90</v>
      </c>
      <c r="U5928" s="2" t="s">
        <v>99</v>
      </c>
      <c r="V5928" s="2" t="s">
        <v>59</v>
      </c>
      <c r="W5928" s="2">
        <v>37.4</v>
      </c>
      <c r="X5928" s="2">
        <v>0</v>
      </c>
      <c r="Y5928" s="2" t="s">
        <v>408</v>
      </c>
      <c r="Z5928" s="2" t="s">
        <v>39308</v>
      </c>
      <c r="AA5928" s="2">
        <v>-0.20012267659964</v>
      </c>
      <c r="AB5928" s="2">
        <v>5.6596559431567897E-2</v>
      </c>
      <c r="AC5928" s="2">
        <v>51085.727374648101</v>
      </c>
      <c r="AD5928" s="2">
        <v>49896.680492855201</v>
      </c>
      <c r="AE5928" s="2">
        <v>52682.165613580502</v>
      </c>
      <c r="AF5928" s="2">
        <v>44764.036950620903</v>
      </c>
      <c r="AG5928" s="2">
        <v>53592.488823243402</v>
      </c>
      <c r="AH5928" s="2">
        <v>52864.305325164198</v>
      </c>
      <c r="AI5928" s="2">
        <v>52530.710311381801</v>
      </c>
      <c r="AJ5928" s="2">
        <v>50080.657223897899</v>
      </c>
      <c r="AK5928" s="2">
        <v>43142.168701223003</v>
      </c>
      <c r="AL5928" s="2">
        <v>50757.9447830391</v>
      </c>
      <c r="AM5928" s="2">
        <v>53336.242030958601</v>
      </c>
      <c r="AN5928" s="2">
        <v>48663.727046594402</v>
      </c>
      <c r="AO5928" s="2">
        <v>50793.047518616899</v>
      </c>
      <c r="AP5928" s="2">
        <v>52686.952876699201</v>
      </c>
    </row>
    <row r="5929" spans="1:42" ht="14.5" x14ac:dyDescent="0.35">
      <c r="A5929" s="2" t="s">
        <v>39309</v>
      </c>
      <c r="B5929" s="2">
        <v>785.25799827891205</v>
      </c>
      <c r="C5929" s="2">
        <v>8.3620833333333309</v>
      </c>
      <c r="D5929" s="2" t="s">
        <v>70</v>
      </c>
      <c r="E5929" s="2" t="s">
        <v>39310</v>
      </c>
      <c r="F5929" s="2">
        <v>212503</v>
      </c>
      <c r="G5929" s="3" t="str">
        <f>HYPERLINK("http://funmeta.oebiotech.com/network/212503", "http://funmeta.oebiotech.com/network/212503")</f>
        <v>http://funmeta.oebiotech.com/network/212503</v>
      </c>
      <c r="H5929" s="2" t="s">
        <v>39311</v>
      </c>
      <c r="I5929" s="2">
        <v>69227</v>
      </c>
      <c r="J5929" s="2"/>
      <c r="K5929" s="2">
        <v>9591</v>
      </c>
      <c r="L5929" s="2" t="s">
        <v>39312</v>
      </c>
      <c r="M5929" s="2"/>
      <c r="N5929" s="2"/>
      <c r="O5929" s="2">
        <v>115208</v>
      </c>
      <c r="P5929" s="2" t="s">
        <v>39313</v>
      </c>
      <c r="Q5929" s="2" t="s">
        <v>39314</v>
      </c>
      <c r="R5929" s="2" t="s">
        <v>39315</v>
      </c>
      <c r="S5929" s="2" t="s">
        <v>491</v>
      </c>
      <c r="T5929" s="2" t="s">
        <v>2653</v>
      </c>
      <c r="U5929" s="2" t="s">
        <v>12620</v>
      </c>
      <c r="V5929" s="2" t="s">
        <v>59</v>
      </c>
      <c r="W5929" s="2">
        <v>36.9</v>
      </c>
      <c r="X5929" s="2">
        <v>0</v>
      </c>
      <c r="Y5929" s="2" t="s">
        <v>560</v>
      </c>
      <c r="Z5929" s="2" t="s">
        <v>39316</v>
      </c>
      <c r="AA5929" s="2">
        <v>3.8813007956792398</v>
      </c>
      <c r="AB5929" s="2">
        <v>5.6487410039304402E-2</v>
      </c>
      <c r="AC5929" s="2">
        <v>2471.1036833512499</v>
      </c>
      <c r="AD5929" s="2">
        <v>2934.74793535442</v>
      </c>
      <c r="AE5929" s="2">
        <v>2706.4210466230502</v>
      </c>
      <c r="AF5929" s="2">
        <v>2117.7214794198699</v>
      </c>
      <c r="AG5929" s="2">
        <v>2583.4324318735898</v>
      </c>
      <c r="AH5929" s="2">
        <v>1558.0291429948199</v>
      </c>
      <c r="AI5929" s="2">
        <v>2889.9388863335798</v>
      </c>
      <c r="AJ5929" s="2">
        <v>2971.0791128626201</v>
      </c>
      <c r="AK5929" s="2">
        <v>2366.27223108817</v>
      </c>
      <c r="AL5929" s="2">
        <v>3753.5006352385699</v>
      </c>
      <c r="AM5929" s="2">
        <v>2765.6589866511699</v>
      </c>
      <c r="AN5929" s="2">
        <v>2736.3088234184002</v>
      </c>
      <c r="AO5929" s="2">
        <v>2934.8376090726601</v>
      </c>
      <c r="AP5929" s="2">
        <v>3051.9093266575701</v>
      </c>
    </row>
    <row r="5930" spans="1:42" ht="14.5" x14ac:dyDescent="0.35">
      <c r="A5930" s="2" t="s">
        <v>39317</v>
      </c>
      <c r="B5930" s="2">
        <v>106.049724617466</v>
      </c>
      <c r="C5930" s="2">
        <v>0.71894999999999998</v>
      </c>
      <c r="D5930" s="2" t="s">
        <v>34</v>
      </c>
      <c r="E5930" s="2" t="s">
        <v>39318</v>
      </c>
      <c r="F5930" s="2">
        <v>48091</v>
      </c>
      <c r="G5930" s="3" t="str">
        <f>HYPERLINK("http://funmeta.oebiotech.com/network/48091", "http://funmeta.oebiotech.com/network/48091")</f>
        <v>http://funmeta.oebiotech.com/network/48091</v>
      </c>
      <c r="H5930" s="2" t="s">
        <v>39319</v>
      </c>
      <c r="I5930" s="2">
        <v>35687</v>
      </c>
      <c r="J5930" s="2"/>
      <c r="K5930" s="2">
        <v>16523</v>
      </c>
      <c r="L5930" s="2" t="s">
        <v>39320</v>
      </c>
      <c r="M5930" s="2" t="s">
        <v>39321</v>
      </c>
      <c r="N5930" s="2" t="s">
        <v>39322</v>
      </c>
      <c r="O5930" s="2">
        <v>71077</v>
      </c>
      <c r="P5930" s="2" t="s">
        <v>39323</v>
      </c>
      <c r="Q5930" s="2" t="s">
        <v>39324</v>
      </c>
      <c r="R5930" s="2" t="s">
        <v>39325</v>
      </c>
      <c r="S5930" s="2" t="s">
        <v>89</v>
      </c>
      <c r="T5930" s="2" t="s">
        <v>90</v>
      </c>
      <c r="U5930" s="2" t="s">
        <v>99</v>
      </c>
      <c r="V5930" s="2" t="s">
        <v>59</v>
      </c>
      <c r="W5930" s="2">
        <v>41</v>
      </c>
      <c r="X5930" s="2">
        <v>11.1</v>
      </c>
      <c r="Y5930" s="2" t="s">
        <v>394</v>
      </c>
      <c r="Z5930" s="2" t="s">
        <v>39159</v>
      </c>
      <c r="AA5930" s="2">
        <v>-1.3794642699747499</v>
      </c>
      <c r="AB5930" s="2">
        <v>5.63846180951783E-2</v>
      </c>
      <c r="AC5930" s="2">
        <v>2766.9282211242298</v>
      </c>
      <c r="AD5930" s="2">
        <v>2336.0863088327401</v>
      </c>
      <c r="AE5930" s="2">
        <v>2565.5026818614201</v>
      </c>
      <c r="AF5930" s="2">
        <v>2654.7886867021102</v>
      </c>
      <c r="AG5930" s="2">
        <v>2813.4553314699401</v>
      </c>
      <c r="AH5930" s="2">
        <v>2799.8314450582302</v>
      </c>
      <c r="AI5930" s="2">
        <v>2727.7101743865601</v>
      </c>
      <c r="AJ5930" s="2">
        <v>3040.2810072671</v>
      </c>
      <c r="AK5930" s="2">
        <v>2444.9528943892801</v>
      </c>
      <c r="AL5930" s="2">
        <v>1546.9830480624901</v>
      </c>
      <c r="AM5930" s="2">
        <v>2876.1934193351499</v>
      </c>
      <c r="AN5930" s="2">
        <v>2094.7866873180401</v>
      </c>
      <c r="AO5930" s="2">
        <v>3062.4913534295902</v>
      </c>
      <c r="AP5930" s="2">
        <v>1991.11045046186</v>
      </c>
    </row>
    <row r="5931" spans="1:42" ht="14.5" x14ac:dyDescent="0.35">
      <c r="A5931" s="2" t="s">
        <v>39326</v>
      </c>
      <c r="B5931" s="2">
        <v>131.046709452709</v>
      </c>
      <c r="C5931" s="2">
        <v>10.3798166666667</v>
      </c>
      <c r="D5931" s="2" t="s">
        <v>34</v>
      </c>
      <c r="E5931" s="2" t="s">
        <v>39327</v>
      </c>
      <c r="F5931" s="2">
        <v>47679</v>
      </c>
      <c r="G5931" s="3" t="str">
        <f>HYPERLINK("http://funmeta.oebiotech.com/network/47679", "http://funmeta.oebiotech.com/network/47679")</f>
        <v>http://funmeta.oebiotech.com/network/47679</v>
      </c>
      <c r="H5931" s="2" t="s">
        <v>39328</v>
      </c>
      <c r="I5931" s="2">
        <v>4236</v>
      </c>
      <c r="J5931" s="2"/>
      <c r="K5931" s="2">
        <v>17847</v>
      </c>
      <c r="L5931" s="2" t="s">
        <v>39329</v>
      </c>
      <c r="M5931" s="2" t="s">
        <v>39330</v>
      </c>
      <c r="N5931" s="2" t="s">
        <v>39331</v>
      </c>
      <c r="O5931" s="2">
        <v>2879</v>
      </c>
      <c r="P5931" s="2" t="s">
        <v>39332</v>
      </c>
      <c r="Q5931" s="2" t="s">
        <v>39333</v>
      </c>
      <c r="R5931" s="2" t="s">
        <v>39334</v>
      </c>
      <c r="S5931" s="2" t="s">
        <v>148</v>
      </c>
      <c r="T5931" s="2" t="s">
        <v>392</v>
      </c>
      <c r="U5931" s="2" t="s">
        <v>17047</v>
      </c>
      <c r="V5931" s="2" t="s">
        <v>59</v>
      </c>
      <c r="W5931" s="2">
        <v>38.4</v>
      </c>
      <c r="X5931" s="2">
        <v>0</v>
      </c>
      <c r="Y5931" s="2" t="s">
        <v>323</v>
      </c>
      <c r="Z5931" s="2" t="s">
        <v>39335</v>
      </c>
      <c r="AA5931" s="2">
        <v>-0.24156960251371601</v>
      </c>
      <c r="AB5931" s="2">
        <v>5.6364047825898198E-2</v>
      </c>
      <c r="AC5931" s="2">
        <v>307.61079410373401</v>
      </c>
      <c r="AD5931" s="2">
        <v>93.939419515311201</v>
      </c>
      <c r="AE5931" s="2">
        <v>290.15707660829798</v>
      </c>
      <c r="AF5931" s="2">
        <v>340.40935119392998</v>
      </c>
      <c r="AG5931" s="2">
        <v>318.42777823012199</v>
      </c>
      <c r="AH5931" s="2">
        <v>321.30132874557398</v>
      </c>
      <c r="AI5931" s="2">
        <v>280.76759619074198</v>
      </c>
      <c r="AJ5931" s="2">
        <v>294.60163365373899</v>
      </c>
      <c r="AK5931" s="2">
        <v>44.7914332671888</v>
      </c>
      <c r="AL5931" s="2">
        <v>86.020875455621805</v>
      </c>
      <c r="AM5931" s="2">
        <v>89.997853519367297</v>
      </c>
      <c r="AN5931" s="2">
        <v>113.447204934933</v>
      </c>
      <c r="AO5931" s="2">
        <v>135.49777768348901</v>
      </c>
      <c r="AP5931" s="2">
        <v>93.881372231267406</v>
      </c>
    </row>
    <row r="5932" spans="1:42" ht="14.5" x14ac:dyDescent="0.35">
      <c r="A5932" s="2" t="s">
        <v>39336</v>
      </c>
      <c r="B5932" s="2">
        <v>581.14619518284599</v>
      </c>
      <c r="C5932" s="2">
        <v>4.1337999999999999</v>
      </c>
      <c r="D5932" s="2" t="s">
        <v>70</v>
      </c>
      <c r="E5932" s="2" t="s">
        <v>39337</v>
      </c>
      <c r="F5932" s="2">
        <v>468307</v>
      </c>
      <c r="G5932" s="3" t="str">
        <f>HYPERLINK("http://funmeta.oebiotech.com/network/468307", "http://funmeta.oebiotech.com/network/468307")</f>
        <v>http://funmeta.oebiotech.com/network/468307</v>
      </c>
      <c r="H5932" s="2" t="s">
        <v>39338</v>
      </c>
      <c r="I5932" s="2">
        <v>90167</v>
      </c>
      <c r="J5932" s="2"/>
      <c r="K5932" s="2"/>
      <c r="L5932" s="2"/>
      <c r="M5932" s="2"/>
      <c r="N5932" s="2"/>
      <c r="O5932" s="2">
        <v>56776351</v>
      </c>
      <c r="P5932" s="2" t="s">
        <v>39339</v>
      </c>
      <c r="Q5932" s="2" t="s">
        <v>39340</v>
      </c>
      <c r="R5932" s="2" t="s">
        <v>39341</v>
      </c>
      <c r="S5932" s="2" t="s">
        <v>50</v>
      </c>
      <c r="T5932" s="2" t="s">
        <v>201</v>
      </c>
      <c r="U5932" s="2" t="s">
        <v>202</v>
      </c>
      <c r="V5932" s="2" t="s">
        <v>59</v>
      </c>
      <c r="W5932" s="2">
        <v>36.5</v>
      </c>
      <c r="X5932" s="2">
        <v>0</v>
      </c>
      <c r="Y5932" s="2" t="s">
        <v>408</v>
      </c>
      <c r="Z5932" s="2" t="s">
        <v>15437</v>
      </c>
      <c r="AA5932" s="2">
        <v>-9.3231586477298691</v>
      </c>
      <c r="AB5932" s="2">
        <v>5.6336187690128402E-2</v>
      </c>
      <c r="AC5932" s="2">
        <v>2058.3452489660599</v>
      </c>
      <c r="AD5932" s="2">
        <v>2734.64037338973</v>
      </c>
      <c r="AE5932" s="2">
        <v>2201.5213845523599</v>
      </c>
      <c r="AF5932" s="2">
        <v>2312.4446821842198</v>
      </c>
      <c r="AG5932" s="2">
        <v>3013.8064514350499</v>
      </c>
      <c r="AH5932" s="2">
        <v>2018.6736716159801</v>
      </c>
      <c r="AI5932" s="2">
        <v>1334.6196252218599</v>
      </c>
      <c r="AJ5932" s="2">
        <v>1469.00567878692</v>
      </c>
      <c r="AK5932" s="2">
        <v>446.74392560580401</v>
      </c>
      <c r="AL5932" s="2">
        <v>1442.0166199473099</v>
      </c>
      <c r="AM5932" s="2">
        <v>3494.45375415426</v>
      </c>
      <c r="AN5932" s="2">
        <v>4412.4821330854102</v>
      </c>
      <c r="AO5932" s="2">
        <v>3842.3657288222698</v>
      </c>
      <c r="AP5932" s="2">
        <v>2769.78007872331</v>
      </c>
    </row>
    <row r="5933" spans="1:42" ht="14.5" x14ac:dyDescent="0.35">
      <c r="A5933" s="2" t="s">
        <v>39342</v>
      </c>
      <c r="B5933" s="2">
        <v>789.31577874624497</v>
      </c>
      <c r="C5933" s="2">
        <v>4.09636666666667</v>
      </c>
      <c r="D5933" s="2" t="s">
        <v>70</v>
      </c>
      <c r="E5933" s="2" t="s">
        <v>39343</v>
      </c>
      <c r="F5933" s="2">
        <v>208072</v>
      </c>
      <c r="G5933" s="3" t="str">
        <f>HYPERLINK("http://funmeta.oebiotech.com/network/208072", "http://funmeta.oebiotech.com/network/208072")</f>
        <v>http://funmeta.oebiotech.com/network/208072</v>
      </c>
      <c r="H5933" s="2" t="s">
        <v>39344</v>
      </c>
      <c r="I5933" s="2">
        <v>889</v>
      </c>
      <c r="J5933" s="2"/>
      <c r="K5933" s="2">
        <v>6123</v>
      </c>
      <c r="L5933" s="2" t="s">
        <v>39345</v>
      </c>
      <c r="M5933" s="2"/>
      <c r="N5933" s="2"/>
      <c r="O5933" s="2">
        <v>3822</v>
      </c>
      <c r="P5933" s="2" t="s">
        <v>39346</v>
      </c>
      <c r="Q5933" s="2" t="s">
        <v>39347</v>
      </c>
      <c r="R5933" s="2" t="s">
        <v>39348</v>
      </c>
      <c r="S5933" s="2" t="s">
        <v>79</v>
      </c>
      <c r="T5933" s="2" t="s">
        <v>80</v>
      </c>
      <c r="U5933" s="2" t="s">
        <v>2820</v>
      </c>
      <c r="V5933" s="2" t="s">
        <v>59</v>
      </c>
      <c r="W5933" s="2">
        <v>37.700000000000003</v>
      </c>
      <c r="X5933" s="2">
        <v>0</v>
      </c>
      <c r="Y5933" s="2" t="s">
        <v>560</v>
      </c>
      <c r="Z5933" s="2" t="s">
        <v>39349</v>
      </c>
      <c r="AA5933" s="2">
        <v>-7.5720601104936103</v>
      </c>
      <c r="AB5933" s="2">
        <v>5.6311759752302598E-2</v>
      </c>
      <c r="AC5933" s="2">
        <v>6075.9364520322497</v>
      </c>
      <c r="AD5933" s="2">
        <v>5394.2285159647499</v>
      </c>
      <c r="AE5933" s="2">
        <v>6554.0792786929396</v>
      </c>
      <c r="AF5933" s="2">
        <v>5369.1213425554597</v>
      </c>
      <c r="AG5933" s="2">
        <v>6710.5616680356698</v>
      </c>
      <c r="AH5933" s="2">
        <v>6390.5319288792198</v>
      </c>
      <c r="AI5933" s="2">
        <v>6847.3956335181902</v>
      </c>
      <c r="AJ5933" s="2">
        <v>4583.92886051203</v>
      </c>
      <c r="AK5933" s="2">
        <v>4914.2905456442104</v>
      </c>
      <c r="AL5933" s="2">
        <v>5259.0767151177797</v>
      </c>
      <c r="AM5933" s="2">
        <v>7993.5722319286297</v>
      </c>
      <c r="AN5933" s="2">
        <v>4312.0252958095098</v>
      </c>
      <c r="AO5933" s="2">
        <v>5393.2476913617602</v>
      </c>
      <c r="AP5933" s="2">
        <v>4493.1586159266099</v>
      </c>
    </row>
    <row r="5934" spans="1:42" ht="14.5" x14ac:dyDescent="0.35">
      <c r="A5934" s="2" t="s">
        <v>39350</v>
      </c>
      <c r="B5934" s="2">
        <v>353.01393610868001</v>
      </c>
      <c r="C5934" s="2">
        <v>0.82825000000000004</v>
      </c>
      <c r="D5934" s="2" t="s">
        <v>34</v>
      </c>
      <c r="E5934" s="2" t="s">
        <v>39351</v>
      </c>
      <c r="F5934" s="2">
        <v>47505</v>
      </c>
      <c r="G5934" s="3" t="str">
        <f>HYPERLINK("http://funmeta.oebiotech.com/network/47505", "http://funmeta.oebiotech.com/network/47505")</f>
        <v>http://funmeta.oebiotech.com/network/47505</v>
      </c>
      <c r="H5934" s="2" t="s">
        <v>39352</v>
      </c>
      <c r="I5934" s="2"/>
      <c r="J5934" s="2"/>
      <c r="K5934" s="2"/>
      <c r="L5934" s="2" t="s">
        <v>39353</v>
      </c>
      <c r="M5934" s="2" t="s">
        <v>4932</v>
      </c>
      <c r="N5934" s="2" t="s">
        <v>4933</v>
      </c>
      <c r="O5934" s="2">
        <v>130805</v>
      </c>
      <c r="P5934" s="2" t="s">
        <v>39354</v>
      </c>
      <c r="Q5934" s="2" t="s">
        <v>39355</v>
      </c>
      <c r="R5934" s="2" t="s">
        <v>39356</v>
      </c>
      <c r="S5934" s="2" t="s">
        <v>1444</v>
      </c>
      <c r="T5934" s="2" t="s">
        <v>39357</v>
      </c>
      <c r="U5934" s="2" t="s">
        <v>41</v>
      </c>
      <c r="V5934" s="2" t="s">
        <v>59</v>
      </c>
      <c r="W5934" s="2">
        <v>37.200000000000003</v>
      </c>
      <c r="X5934" s="2">
        <v>0</v>
      </c>
      <c r="Y5934" s="2" t="s">
        <v>340</v>
      </c>
      <c r="Z5934" s="2" t="s">
        <v>39358</v>
      </c>
      <c r="AA5934" s="2">
        <v>-2.3520599988524298</v>
      </c>
      <c r="AB5934" s="2">
        <v>5.61460158242897E-2</v>
      </c>
      <c r="AC5934" s="2">
        <v>5133.6446886274698</v>
      </c>
      <c r="AD5934" s="2">
        <v>4519.3762444330996</v>
      </c>
      <c r="AE5934" s="2">
        <v>3931.6984997742202</v>
      </c>
      <c r="AF5934" s="2">
        <v>4106.4878925767398</v>
      </c>
      <c r="AG5934" s="2">
        <v>5859.6289856304402</v>
      </c>
      <c r="AH5934" s="2">
        <v>4895.9997180565997</v>
      </c>
      <c r="AI5934" s="2">
        <v>5304.92060865027</v>
      </c>
      <c r="AJ5934" s="2">
        <v>6703.1324270765399</v>
      </c>
      <c r="AK5934" s="2">
        <v>3882.6137379423299</v>
      </c>
      <c r="AL5934" s="2">
        <v>5359.2267461848296</v>
      </c>
      <c r="AM5934" s="2">
        <v>4959.07568446402</v>
      </c>
      <c r="AN5934" s="2">
        <v>3245.7459559535901</v>
      </c>
      <c r="AO5934" s="2">
        <v>4496.9311667331403</v>
      </c>
      <c r="AP5934" s="2">
        <v>5172.6641753206704</v>
      </c>
    </row>
    <row r="5935" spans="1:42" ht="14.5" x14ac:dyDescent="0.35">
      <c r="A5935" s="2" t="s">
        <v>39359</v>
      </c>
      <c r="B5935" s="2">
        <v>1024.30892869588</v>
      </c>
      <c r="C5935" s="2">
        <v>8.4346166666666704</v>
      </c>
      <c r="D5935" s="2" t="s">
        <v>34</v>
      </c>
      <c r="E5935" s="2" t="s">
        <v>39360</v>
      </c>
      <c r="F5935" s="2">
        <v>51164</v>
      </c>
      <c r="G5935" s="3" t="str">
        <f>HYPERLINK("http://funmeta.oebiotech.com/network/51164", "http://funmeta.oebiotech.com/network/51164")</f>
        <v>http://funmeta.oebiotech.com/network/51164</v>
      </c>
      <c r="H5935" s="2" t="s">
        <v>39361</v>
      </c>
      <c r="I5935" s="2">
        <v>61988</v>
      </c>
      <c r="J5935" s="2"/>
      <c r="K5935" s="2"/>
      <c r="L5935" s="2" t="s">
        <v>39362</v>
      </c>
      <c r="M5935" s="2" t="s">
        <v>5653</v>
      </c>
      <c r="N5935" s="2" t="s">
        <v>5654</v>
      </c>
      <c r="O5935" s="2">
        <v>53480664</v>
      </c>
      <c r="P5935" s="2"/>
      <c r="Q5935" s="2" t="s">
        <v>39363</v>
      </c>
      <c r="R5935" s="2" t="s">
        <v>39364</v>
      </c>
      <c r="S5935" s="2" t="s">
        <v>50</v>
      </c>
      <c r="T5935" s="2" t="s">
        <v>229</v>
      </c>
      <c r="U5935" s="2" t="s">
        <v>10433</v>
      </c>
      <c r="V5935" s="2" t="s">
        <v>59</v>
      </c>
      <c r="W5935" s="2">
        <v>37</v>
      </c>
      <c r="X5935" s="2">
        <v>0</v>
      </c>
      <c r="Y5935" s="2" t="s">
        <v>141</v>
      </c>
      <c r="Z5935" s="2" t="s">
        <v>39365</v>
      </c>
      <c r="AA5935" s="2">
        <v>3.5799975706013401</v>
      </c>
      <c r="AB5935" s="2">
        <v>5.6143336679204001E-2</v>
      </c>
      <c r="AC5935" s="2">
        <v>13504.8376332269</v>
      </c>
      <c r="AD5935" s="2">
        <v>14709.5898440483</v>
      </c>
      <c r="AE5935" s="2">
        <v>11271.732757362301</v>
      </c>
      <c r="AF5935" s="2">
        <v>13544.536837228399</v>
      </c>
      <c r="AG5935" s="2">
        <v>9205.4635804499594</v>
      </c>
      <c r="AH5935" s="2">
        <v>14750.5332417463</v>
      </c>
      <c r="AI5935" s="2">
        <v>14077.713328838499</v>
      </c>
      <c r="AJ5935" s="2">
        <v>18179.046053735699</v>
      </c>
      <c r="AK5935" s="2">
        <v>19612.365127957699</v>
      </c>
      <c r="AL5935" s="2">
        <v>12550.6938704185</v>
      </c>
      <c r="AM5935" s="2">
        <v>14136.5467770983</v>
      </c>
      <c r="AN5935" s="2">
        <v>20795.535343861098</v>
      </c>
      <c r="AO5935" s="2">
        <v>12955.721726419</v>
      </c>
      <c r="AP5935" s="2">
        <v>8206.6762185350399</v>
      </c>
    </row>
    <row r="5936" spans="1:42" ht="14.5" x14ac:dyDescent="0.35">
      <c r="A5936" s="2" t="s">
        <v>39366</v>
      </c>
      <c r="B5936" s="2">
        <v>655.18737027448901</v>
      </c>
      <c r="C5936" s="2">
        <v>3.8429333333333302</v>
      </c>
      <c r="D5936" s="2" t="s">
        <v>70</v>
      </c>
      <c r="E5936" s="2" t="s">
        <v>39367</v>
      </c>
      <c r="F5936" s="2">
        <v>34624</v>
      </c>
      <c r="G5936" s="3" t="str">
        <f>HYPERLINK("http://funmeta.oebiotech.com/network/34624", "http://funmeta.oebiotech.com/network/34624")</f>
        <v>http://funmeta.oebiotech.com/network/34624</v>
      </c>
      <c r="H5936" s="2" t="s">
        <v>39368</v>
      </c>
      <c r="I5936" s="2">
        <v>3678</v>
      </c>
      <c r="J5936" s="2" t="s">
        <v>39369</v>
      </c>
      <c r="K5936" s="2">
        <v>28775</v>
      </c>
      <c r="L5936" s="2" t="s">
        <v>39370</v>
      </c>
      <c r="M5936" s="2"/>
      <c r="N5936" s="2"/>
      <c r="O5936" s="2">
        <v>10621</v>
      </c>
      <c r="P5936" s="2" t="s">
        <v>39371</v>
      </c>
      <c r="Q5936" s="2" t="s">
        <v>39372</v>
      </c>
      <c r="R5936" s="2" t="s">
        <v>39373</v>
      </c>
      <c r="S5936" s="2" t="s">
        <v>115</v>
      </c>
      <c r="T5936" s="2" t="s">
        <v>139</v>
      </c>
      <c r="U5936" s="2" t="s">
        <v>140</v>
      </c>
      <c r="V5936" s="2" t="s">
        <v>59</v>
      </c>
      <c r="W5936" s="2">
        <v>37.299999999999997</v>
      </c>
      <c r="X5936" s="2">
        <v>0</v>
      </c>
      <c r="Y5936" s="2" t="s">
        <v>408</v>
      </c>
      <c r="Z5936" s="2" t="s">
        <v>34423</v>
      </c>
      <c r="AA5936" s="2">
        <v>-0.98818321835018097</v>
      </c>
      <c r="AB5936" s="2">
        <v>5.6135850645497601E-2</v>
      </c>
      <c r="AC5936" s="2">
        <v>3669.9363795385302</v>
      </c>
      <c r="AD5936" s="2">
        <v>3039.37077927152</v>
      </c>
      <c r="AE5936" s="2">
        <v>4633.3691459924703</v>
      </c>
      <c r="AF5936" s="2">
        <v>5011.6611660332601</v>
      </c>
      <c r="AG5936" s="2">
        <v>4774.8778615552801</v>
      </c>
      <c r="AH5936" s="2">
        <v>2976.1877770373098</v>
      </c>
      <c r="AI5936" s="2">
        <v>2339.5501569984899</v>
      </c>
      <c r="AJ5936" s="2">
        <v>2283.9721696143702</v>
      </c>
      <c r="AK5936" s="2">
        <v>3611.34467492043</v>
      </c>
      <c r="AL5936" s="2">
        <v>2757.1690330635001</v>
      </c>
      <c r="AM5936" s="2">
        <v>4061.4096205109699</v>
      </c>
      <c r="AN5936" s="2">
        <v>3240.5669015374901</v>
      </c>
      <c r="AO5936" s="2">
        <v>2348.2732089095898</v>
      </c>
      <c r="AP5936" s="2">
        <v>2217.4612366871602</v>
      </c>
    </row>
    <row r="5937" spans="1:42" ht="14.5" x14ac:dyDescent="0.35">
      <c r="A5937" s="2" t="s">
        <v>39374</v>
      </c>
      <c r="B5937" s="2">
        <v>711.28621464569505</v>
      </c>
      <c r="C5937" s="2">
        <v>4.5612000000000004</v>
      </c>
      <c r="D5937" s="2" t="s">
        <v>70</v>
      </c>
      <c r="E5937" s="2" t="s">
        <v>39375</v>
      </c>
      <c r="F5937" s="2">
        <v>56176</v>
      </c>
      <c r="G5937" s="3" t="str">
        <f>HYPERLINK("http://funmeta.oebiotech.com/network/56176", "http://funmeta.oebiotech.com/network/56176")</f>
        <v>http://funmeta.oebiotech.com/network/56176</v>
      </c>
      <c r="H5937" s="2" t="s">
        <v>39376</v>
      </c>
      <c r="I5937" s="2">
        <v>87871</v>
      </c>
      <c r="J5937" s="2"/>
      <c r="K5937" s="2">
        <v>167942</v>
      </c>
      <c r="L5937" s="2"/>
      <c r="M5937" s="2"/>
      <c r="N5937" s="2"/>
      <c r="O5937" s="2">
        <v>16681750</v>
      </c>
      <c r="P5937" s="2"/>
      <c r="Q5937" s="2" t="s">
        <v>39377</v>
      </c>
      <c r="R5937" s="2" t="s">
        <v>39378</v>
      </c>
      <c r="S5937" s="2" t="s">
        <v>50</v>
      </c>
      <c r="T5937" s="2" t="s">
        <v>229</v>
      </c>
      <c r="U5937" s="2" t="s">
        <v>230</v>
      </c>
      <c r="V5937" s="2" t="s">
        <v>59</v>
      </c>
      <c r="W5937" s="2">
        <v>38</v>
      </c>
      <c r="X5937" s="2">
        <v>0</v>
      </c>
      <c r="Y5937" s="2" t="s">
        <v>560</v>
      </c>
      <c r="Z5937" s="2" t="s">
        <v>39379</v>
      </c>
      <c r="AA5937" s="2">
        <v>-1.04503811529938</v>
      </c>
      <c r="AB5937" s="2">
        <v>5.5952937083642802E-2</v>
      </c>
      <c r="AC5937" s="2">
        <v>11121.613003648201</v>
      </c>
      <c r="AD5937" s="2">
        <v>10301.9214444518</v>
      </c>
      <c r="AE5937" s="2">
        <v>12695.4783528604</v>
      </c>
      <c r="AF5937" s="2">
        <v>11347.4262609406</v>
      </c>
      <c r="AG5937" s="2">
        <v>9740.4718484285804</v>
      </c>
      <c r="AH5937" s="2">
        <v>13259.314230669699</v>
      </c>
      <c r="AI5937" s="2">
        <v>9939.5663845854906</v>
      </c>
      <c r="AJ5937" s="2">
        <v>9747.4209444047192</v>
      </c>
      <c r="AK5937" s="2">
        <v>8812.4325825755004</v>
      </c>
      <c r="AL5937" s="2">
        <v>12111.110877741799</v>
      </c>
      <c r="AM5937" s="2">
        <v>11996.925170169699</v>
      </c>
      <c r="AN5937" s="2">
        <v>11912.477054588901</v>
      </c>
      <c r="AO5937" s="2">
        <v>9080.9680612358297</v>
      </c>
      <c r="AP5937" s="2">
        <v>7897.6149203991999</v>
      </c>
    </row>
    <row r="5938" spans="1:42" ht="14.5" x14ac:dyDescent="0.35">
      <c r="A5938" s="2" t="s">
        <v>39380</v>
      </c>
      <c r="B5938" s="2">
        <v>121.028286264416</v>
      </c>
      <c r="C5938" s="2">
        <v>3.8251333333333299</v>
      </c>
      <c r="D5938" s="2" t="s">
        <v>34</v>
      </c>
      <c r="E5938" s="2" t="s">
        <v>39381</v>
      </c>
      <c r="F5938" s="2">
        <v>213398</v>
      </c>
      <c r="G5938" s="3" t="str">
        <f>HYPERLINK("http://funmeta.oebiotech.com/network/213398", "http://funmeta.oebiotech.com/network/213398")</f>
        <v>http://funmeta.oebiotech.com/network/213398</v>
      </c>
      <c r="H5938" s="2" t="s">
        <v>39382</v>
      </c>
      <c r="I5938" s="2"/>
      <c r="J5938" s="2"/>
      <c r="K5938" s="2"/>
      <c r="L5938" s="2"/>
      <c r="M5938" s="2"/>
      <c r="N5938" s="2"/>
      <c r="O5938" s="2">
        <v>53734048</v>
      </c>
      <c r="P5938" s="2"/>
      <c r="Q5938" s="2" t="s">
        <v>39383</v>
      </c>
      <c r="R5938" s="2" t="s">
        <v>39384</v>
      </c>
      <c r="S5938" s="2" t="s">
        <v>11257</v>
      </c>
      <c r="T5938" s="2" t="s">
        <v>11258</v>
      </c>
      <c r="U5938" s="2" t="s">
        <v>41</v>
      </c>
      <c r="V5938" s="2" t="s">
        <v>59</v>
      </c>
      <c r="W5938" s="2">
        <v>44.3</v>
      </c>
      <c r="X5938" s="2">
        <v>25</v>
      </c>
      <c r="Y5938" s="2" t="s">
        <v>141</v>
      </c>
      <c r="Z5938" s="2" t="s">
        <v>9456</v>
      </c>
      <c r="AA5938" s="2">
        <v>-0.86600896360036705</v>
      </c>
      <c r="AB5938" s="2">
        <v>5.5928647725275699E-2</v>
      </c>
      <c r="AC5938" s="2">
        <v>15170.5346499396</v>
      </c>
      <c r="AD5938" s="2">
        <v>14631.780498763001</v>
      </c>
      <c r="AE5938" s="2">
        <v>14472.8584583845</v>
      </c>
      <c r="AF5938" s="2">
        <v>16134.662884748401</v>
      </c>
      <c r="AG5938" s="2">
        <v>15254.6962231168</v>
      </c>
      <c r="AH5938" s="2">
        <v>14867.690126830301</v>
      </c>
      <c r="AI5938" s="2">
        <v>15856.6654154886</v>
      </c>
      <c r="AJ5938" s="2">
        <v>14436.6347910691</v>
      </c>
      <c r="AK5938" s="2">
        <v>15161.7594343161</v>
      </c>
      <c r="AL5938" s="2">
        <v>15417.457928957499</v>
      </c>
      <c r="AM5938" s="2">
        <v>14845.7665779817</v>
      </c>
      <c r="AN5938" s="2">
        <v>14853.4398025025</v>
      </c>
      <c r="AO5938" s="2">
        <v>13670.4121979601</v>
      </c>
      <c r="AP5938" s="2">
        <v>13841.8470508602</v>
      </c>
    </row>
    <row r="5939" spans="1:42" ht="14.5" x14ac:dyDescent="0.35">
      <c r="A5939" s="2" t="s">
        <v>39385</v>
      </c>
      <c r="B5939" s="2">
        <v>915.45841608112801</v>
      </c>
      <c r="C5939" s="2">
        <v>9.2841333333333296</v>
      </c>
      <c r="D5939" s="2" t="s">
        <v>70</v>
      </c>
      <c r="E5939" s="2" t="s">
        <v>39386</v>
      </c>
      <c r="F5939" s="2">
        <v>64066</v>
      </c>
      <c r="G5939" s="3" t="str">
        <f>HYPERLINK("http://funmeta.oebiotech.com/network/64066", "http://funmeta.oebiotech.com/network/64066")</f>
        <v>http://funmeta.oebiotech.com/network/64066</v>
      </c>
      <c r="H5939" s="2" t="s">
        <v>39387</v>
      </c>
      <c r="I5939" s="2">
        <v>95394</v>
      </c>
      <c r="J5939" s="2"/>
      <c r="K5939" s="2"/>
      <c r="L5939" s="2"/>
      <c r="M5939" s="2"/>
      <c r="N5939" s="2"/>
      <c r="O5939" s="2">
        <v>14408723</v>
      </c>
      <c r="P5939" s="2" t="s">
        <v>39388</v>
      </c>
      <c r="Q5939" s="2" t="s">
        <v>39389</v>
      </c>
      <c r="R5939" s="2" t="s">
        <v>39390</v>
      </c>
      <c r="S5939" s="2" t="s">
        <v>50</v>
      </c>
      <c r="T5939" s="2" t="s">
        <v>124</v>
      </c>
      <c r="U5939" s="2" t="s">
        <v>523</v>
      </c>
      <c r="V5939" s="2" t="s">
        <v>59</v>
      </c>
      <c r="W5939" s="2">
        <v>37.6</v>
      </c>
      <c r="X5939" s="2">
        <v>0</v>
      </c>
      <c r="Y5939" s="2" t="s">
        <v>408</v>
      </c>
      <c r="Z5939" s="2" t="s">
        <v>39391</v>
      </c>
      <c r="AA5939" s="2">
        <v>-1.24941371979766</v>
      </c>
      <c r="AB5939" s="2">
        <v>5.5756299795386502E-2</v>
      </c>
      <c r="AC5939" s="2">
        <v>7198.9855525701096</v>
      </c>
      <c r="AD5939" s="2">
        <v>6447.9782342814196</v>
      </c>
      <c r="AE5939" s="2">
        <v>6907.9042200042704</v>
      </c>
      <c r="AF5939" s="2">
        <v>6540.4272022657296</v>
      </c>
      <c r="AG5939" s="2">
        <v>8264.1911369672507</v>
      </c>
      <c r="AH5939" s="2">
        <v>8964.6158815067192</v>
      </c>
      <c r="AI5939" s="2">
        <v>5316.0281623213496</v>
      </c>
      <c r="AJ5939" s="2">
        <v>7200.7467123553597</v>
      </c>
      <c r="AK5939" s="2">
        <v>4948.6989080245903</v>
      </c>
      <c r="AL5939" s="2">
        <v>6993.3324227077701</v>
      </c>
      <c r="AM5939" s="2">
        <v>9557.3085529607306</v>
      </c>
      <c r="AN5939" s="2">
        <v>6088.9208525370996</v>
      </c>
      <c r="AO5939" s="2">
        <v>5632.4647581751096</v>
      </c>
      <c r="AP5939" s="2">
        <v>5467.1439112832204</v>
      </c>
    </row>
    <row r="5940" spans="1:42" ht="14.5" x14ac:dyDescent="0.35">
      <c r="A5940" s="2" t="s">
        <v>39392</v>
      </c>
      <c r="B5940" s="2">
        <v>291.193335183491</v>
      </c>
      <c r="C5940" s="2">
        <v>8.7648333333333301</v>
      </c>
      <c r="D5940" s="2" t="s">
        <v>34</v>
      </c>
      <c r="E5940" s="2" t="s">
        <v>39393</v>
      </c>
      <c r="F5940" s="2">
        <v>3354</v>
      </c>
      <c r="G5940" s="3" t="str">
        <f>HYPERLINK("http://funmeta.oebiotech.com/network/3354", "http://funmeta.oebiotech.com/network/3354")</f>
        <v>http://funmeta.oebiotech.com/network/3354</v>
      </c>
      <c r="H5940" s="2"/>
      <c r="I5940" s="2">
        <v>74959</v>
      </c>
      <c r="J5940" s="2" t="s">
        <v>39394</v>
      </c>
      <c r="K5940" s="2">
        <v>138420</v>
      </c>
      <c r="L5940" s="2"/>
      <c r="M5940" s="2"/>
      <c r="N5940" s="2"/>
      <c r="O5940" s="2">
        <v>16061079</v>
      </c>
      <c r="P5940" s="2"/>
      <c r="Q5940" s="2" t="s">
        <v>39395</v>
      </c>
      <c r="R5940" s="2" t="s">
        <v>39396</v>
      </c>
      <c r="S5940" s="2" t="s">
        <v>50</v>
      </c>
      <c r="T5940" s="2" t="s">
        <v>229</v>
      </c>
      <c r="U5940" s="2" t="s">
        <v>766</v>
      </c>
      <c r="V5940" s="2" t="s">
        <v>59</v>
      </c>
      <c r="W5940" s="2">
        <v>42.5</v>
      </c>
      <c r="X5940" s="2">
        <v>17.8</v>
      </c>
      <c r="Y5940" s="2" t="s">
        <v>323</v>
      </c>
      <c r="Z5940" s="2" t="s">
        <v>9746</v>
      </c>
      <c r="AA5940" s="2">
        <v>1.0057531109962501</v>
      </c>
      <c r="AB5940" s="2">
        <v>5.56733486369052E-2</v>
      </c>
      <c r="AC5940" s="2">
        <v>38596.433501656997</v>
      </c>
      <c r="AD5940" s="2">
        <v>39560.714714071502</v>
      </c>
      <c r="AE5940" s="2">
        <v>39119.280438888403</v>
      </c>
      <c r="AF5940" s="2">
        <v>40388.664875172799</v>
      </c>
      <c r="AG5940" s="2">
        <v>39618.939847417802</v>
      </c>
      <c r="AH5940" s="2">
        <v>36200.394829856603</v>
      </c>
      <c r="AI5940" s="2">
        <v>38947.333858824</v>
      </c>
      <c r="AJ5940" s="2">
        <v>37303.987159782497</v>
      </c>
      <c r="AK5940" s="2">
        <v>45045.570210337697</v>
      </c>
      <c r="AL5940" s="2">
        <v>39453.1963997247</v>
      </c>
      <c r="AM5940" s="2">
        <v>37851.067744567801</v>
      </c>
      <c r="AN5940" s="2">
        <v>40601.213371206402</v>
      </c>
      <c r="AO5940" s="2">
        <v>37742.576731770998</v>
      </c>
      <c r="AP5940" s="2">
        <v>36670.663826821299</v>
      </c>
    </row>
    <row r="5941" spans="1:42" ht="14.5" x14ac:dyDescent="0.35">
      <c r="A5941" s="2" t="s">
        <v>39397</v>
      </c>
      <c r="B5941" s="2">
        <v>195.99903932791401</v>
      </c>
      <c r="C5941" s="2">
        <v>14.35755</v>
      </c>
      <c r="D5941" s="2" t="s">
        <v>70</v>
      </c>
      <c r="E5941" s="2" t="s">
        <v>39398</v>
      </c>
      <c r="F5941" s="2">
        <v>256603</v>
      </c>
      <c r="G5941" s="3" t="str">
        <f>HYPERLINK("http://funmeta.oebiotech.com/network/256603", "http://funmeta.oebiotech.com/network/256603")</f>
        <v>http://funmeta.oebiotech.com/network/256603</v>
      </c>
      <c r="H5941" s="2" t="s">
        <v>39399</v>
      </c>
      <c r="I5941" s="2"/>
      <c r="J5941" s="2"/>
      <c r="K5941" s="2"/>
      <c r="L5941" s="2"/>
      <c r="M5941" s="2"/>
      <c r="N5941" s="2"/>
      <c r="O5941" s="2">
        <v>10220013</v>
      </c>
      <c r="P5941" s="2"/>
      <c r="Q5941" s="2" t="s">
        <v>39400</v>
      </c>
      <c r="R5941" s="2" t="s">
        <v>39401</v>
      </c>
      <c r="S5941" s="2" t="s">
        <v>89</v>
      </c>
      <c r="T5941" s="2" t="s">
        <v>90</v>
      </c>
      <c r="U5941" s="2" t="s">
        <v>91</v>
      </c>
      <c r="V5941" s="2" t="s">
        <v>59</v>
      </c>
      <c r="W5941" s="2">
        <v>39.200000000000003</v>
      </c>
      <c r="X5941" s="2">
        <v>0</v>
      </c>
      <c r="Y5941" s="2" t="s">
        <v>751</v>
      </c>
      <c r="Z5941" s="2" t="s">
        <v>39402</v>
      </c>
      <c r="AA5941" s="2">
        <v>0.504953788316582</v>
      </c>
      <c r="AB5941" s="2">
        <v>5.5604503240071601E-2</v>
      </c>
      <c r="AC5941" s="2">
        <v>18275.288030899199</v>
      </c>
      <c r="AD5941" s="2">
        <v>18802.555614856799</v>
      </c>
      <c r="AE5941" s="2">
        <v>18695.330869273301</v>
      </c>
      <c r="AF5941" s="2">
        <v>18897.536187760001</v>
      </c>
      <c r="AG5941" s="2">
        <v>18039.9848984981</v>
      </c>
      <c r="AH5941" s="2">
        <v>18181.239148155299</v>
      </c>
      <c r="AI5941" s="2">
        <v>18452.588505534201</v>
      </c>
      <c r="AJ5941" s="2">
        <v>17385.048576174198</v>
      </c>
      <c r="AK5941" s="2">
        <v>18011.1412815818</v>
      </c>
      <c r="AL5941" s="2">
        <v>17823.797785520201</v>
      </c>
      <c r="AM5941" s="2">
        <v>20099.725980721199</v>
      </c>
      <c r="AN5941" s="2">
        <v>18645.3085143506</v>
      </c>
      <c r="AO5941" s="2">
        <v>19001.289080688101</v>
      </c>
      <c r="AP5941" s="2">
        <v>19234.071046279099</v>
      </c>
    </row>
    <row r="5942" spans="1:42" ht="14.5" x14ac:dyDescent="0.35">
      <c r="A5942" s="2" t="s">
        <v>39403</v>
      </c>
      <c r="B5942" s="2">
        <v>558.30198445201404</v>
      </c>
      <c r="C5942" s="2">
        <v>11.4806166666667</v>
      </c>
      <c r="D5942" s="2" t="s">
        <v>34</v>
      </c>
      <c r="E5942" s="2" t="s">
        <v>39404</v>
      </c>
      <c r="F5942" s="2">
        <v>45259</v>
      </c>
      <c r="G5942" s="3" t="str">
        <f>HYPERLINK("http://funmeta.oebiotech.com/network/45259", "http://funmeta.oebiotech.com/network/45259")</f>
        <v>http://funmeta.oebiotech.com/network/45259</v>
      </c>
      <c r="H5942" s="2"/>
      <c r="I5942" s="2">
        <v>42027</v>
      </c>
      <c r="J5942" s="2" t="s">
        <v>39405</v>
      </c>
      <c r="K5942" s="2"/>
      <c r="L5942" s="2"/>
      <c r="M5942" s="2"/>
      <c r="N5942" s="2"/>
      <c r="O5942" s="2">
        <v>9547338</v>
      </c>
      <c r="P5942" s="2"/>
      <c r="Q5942" s="2" t="s">
        <v>39406</v>
      </c>
      <c r="R5942" s="2" t="s">
        <v>39407</v>
      </c>
      <c r="S5942" s="2" t="s">
        <v>50</v>
      </c>
      <c r="T5942" s="2" t="s">
        <v>124</v>
      </c>
      <c r="U5942" s="2" t="s">
        <v>982</v>
      </c>
      <c r="V5942" s="2" t="s">
        <v>59</v>
      </c>
      <c r="W5942" s="2">
        <v>36.200000000000003</v>
      </c>
      <c r="X5942" s="2">
        <v>0</v>
      </c>
      <c r="Y5942" s="2" t="s">
        <v>43</v>
      </c>
      <c r="Z5942" s="2" t="s">
        <v>39408</v>
      </c>
      <c r="AA5942" s="2">
        <v>1.3510070648877099</v>
      </c>
      <c r="AB5942" s="2">
        <v>5.5559555639218501E-2</v>
      </c>
      <c r="AC5942" s="2">
        <v>243.06819662698601</v>
      </c>
      <c r="AD5942" s="2">
        <v>2.7106294003980101E-5</v>
      </c>
      <c r="AE5942" s="2">
        <v>372.73784964481399</v>
      </c>
      <c r="AF5942" s="2">
        <v>295.499446909357</v>
      </c>
      <c r="AG5942" s="2">
        <v>109.39416423843799</v>
      </c>
      <c r="AH5942" s="2">
        <v>98.816229131019398</v>
      </c>
      <c r="AI5942" s="2">
        <v>200.36608971715501</v>
      </c>
      <c r="AJ5942" s="2">
        <v>381.59540012113303</v>
      </c>
      <c r="AK5942" s="2">
        <v>2.7106294003980101E-5</v>
      </c>
      <c r="AL5942" s="2">
        <v>2.7106294003980101E-5</v>
      </c>
      <c r="AM5942" s="2">
        <v>2.7106294003980101E-5</v>
      </c>
      <c r="AN5942" s="2">
        <v>2.7106294003980101E-5</v>
      </c>
      <c r="AO5942" s="2">
        <v>2.7106294003980101E-5</v>
      </c>
      <c r="AP5942" s="2">
        <v>2.7106294003980101E-5</v>
      </c>
    </row>
    <row r="5943" spans="1:42" ht="14.5" x14ac:dyDescent="0.35">
      <c r="A5943" s="2" t="s">
        <v>39409</v>
      </c>
      <c r="B5943" s="2">
        <v>431.13446162914101</v>
      </c>
      <c r="C5943" s="2">
        <v>5.4683000000000002</v>
      </c>
      <c r="D5943" s="2" t="s">
        <v>70</v>
      </c>
      <c r="E5943" s="2" t="s">
        <v>39410</v>
      </c>
      <c r="F5943" s="2">
        <v>31583</v>
      </c>
      <c r="G5943" s="3" t="str">
        <f>HYPERLINK("http://funmeta.oebiotech.com/network/31583", "http://funmeta.oebiotech.com/network/31583")</f>
        <v>http://funmeta.oebiotech.com/network/31583</v>
      </c>
      <c r="H5943" s="2"/>
      <c r="I5943" s="2">
        <v>49916</v>
      </c>
      <c r="J5943" s="2" t="s">
        <v>39411</v>
      </c>
      <c r="K5943" s="2">
        <v>79477</v>
      </c>
      <c r="L5943" s="2" t="s">
        <v>39412</v>
      </c>
      <c r="M5943" s="2"/>
      <c r="N5943" s="2"/>
      <c r="O5943" s="2">
        <v>72815</v>
      </c>
      <c r="P5943" s="2"/>
      <c r="Q5943" s="2" t="s">
        <v>39413</v>
      </c>
      <c r="R5943" s="2" t="s">
        <v>39414</v>
      </c>
      <c r="S5943" s="2" t="s">
        <v>115</v>
      </c>
      <c r="T5943" s="2" t="s">
        <v>139</v>
      </c>
      <c r="U5943" s="2" t="s">
        <v>1552</v>
      </c>
      <c r="V5943" s="2" t="s">
        <v>59</v>
      </c>
      <c r="W5943" s="2">
        <v>38.299999999999997</v>
      </c>
      <c r="X5943" s="2">
        <v>0</v>
      </c>
      <c r="Y5943" s="2" t="s">
        <v>286</v>
      </c>
      <c r="Z5943" s="2" t="s">
        <v>39415</v>
      </c>
      <c r="AA5943" s="2">
        <v>-0.68099040768668395</v>
      </c>
      <c r="AB5943" s="2">
        <v>5.5556995954021603E-2</v>
      </c>
      <c r="AC5943" s="2">
        <v>23445.646807408801</v>
      </c>
      <c r="AD5943" s="2">
        <v>22598.665710757301</v>
      </c>
      <c r="AE5943" s="2">
        <v>25247.1221009074</v>
      </c>
      <c r="AF5943" s="2">
        <v>20942.961436563401</v>
      </c>
      <c r="AG5943" s="2">
        <v>25011.497405413498</v>
      </c>
      <c r="AH5943" s="2">
        <v>22330.148006334301</v>
      </c>
      <c r="AI5943" s="2">
        <v>23725.379074775399</v>
      </c>
      <c r="AJ5943" s="2">
        <v>23416.7728204589</v>
      </c>
      <c r="AK5943" s="2">
        <v>20265.8968879686</v>
      </c>
      <c r="AL5943" s="2">
        <v>23047.317315030301</v>
      </c>
      <c r="AM5943" s="2">
        <v>24560.195776825902</v>
      </c>
      <c r="AN5943" s="2">
        <v>23111.5343011677</v>
      </c>
      <c r="AO5943" s="2">
        <v>24639.371542967699</v>
      </c>
      <c r="AP5943" s="2">
        <v>19967.678440583699</v>
      </c>
    </row>
    <row r="5944" spans="1:42" ht="14.5" x14ac:dyDescent="0.35">
      <c r="A5944" s="2" t="s">
        <v>39416</v>
      </c>
      <c r="B5944" s="2">
        <v>599.116574283707</v>
      </c>
      <c r="C5944" s="2">
        <v>4.6304499999999997</v>
      </c>
      <c r="D5944" s="2" t="s">
        <v>70</v>
      </c>
      <c r="E5944" s="2" t="s">
        <v>39417</v>
      </c>
      <c r="F5944" s="2">
        <v>57627</v>
      </c>
      <c r="G5944" s="3" t="str">
        <f>HYPERLINK("http://funmeta.oebiotech.com/network/57627", "http://funmeta.oebiotech.com/network/57627")</f>
        <v>http://funmeta.oebiotech.com/network/57627</v>
      </c>
      <c r="H5944" s="2" t="s">
        <v>39418</v>
      </c>
      <c r="I5944" s="2">
        <v>89230</v>
      </c>
      <c r="J5944" s="2"/>
      <c r="K5944" s="2"/>
      <c r="L5944" s="2"/>
      <c r="M5944" s="2"/>
      <c r="N5944" s="2"/>
      <c r="O5944" s="2">
        <v>91394</v>
      </c>
      <c r="P5944" s="2" t="s">
        <v>39419</v>
      </c>
      <c r="Q5944" s="2" t="s">
        <v>39420</v>
      </c>
      <c r="R5944" s="2" t="s">
        <v>39421</v>
      </c>
      <c r="S5944" s="2" t="s">
        <v>115</v>
      </c>
      <c r="T5944" s="2" t="s">
        <v>4730</v>
      </c>
      <c r="U5944" s="2" t="s">
        <v>39422</v>
      </c>
      <c r="V5944" s="2" t="s">
        <v>59</v>
      </c>
      <c r="W5944" s="2">
        <v>37.9</v>
      </c>
      <c r="X5944" s="2">
        <v>0</v>
      </c>
      <c r="Y5944" s="2" t="s">
        <v>408</v>
      </c>
      <c r="Z5944" s="2" t="s">
        <v>39423</v>
      </c>
      <c r="AA5944" s="2">
        <v>0.41188574962305602</v>
      </c>
      <c r="AB5944" s="2">
        <v>5.5505630511877499E-2</v>
      </c>
      <c r="AC5944" s="2">
        <v>5526.3941890565502</v>
      </c>
      <c r="AD5944" s="2">
        <v>4656.9763325154599</v>
      </c>
      <c r="AE5944" s="2">
        <v>5881.7220347944804</v>
      </c>
      <c r="AF5944" s="2">
        <v>4363.0436582994698</v>
      </c>
      <c r="AG5944" s="2">
        <v>2985.4691834590299</v>
      </c>
      <c r="AH5944" s="2">
        <v>9505.3747190189606</v>
      </c>
      <c r="AI5944" s="2">
        <v>5120.4094655721001</v>
      </c>
      <c r="AJ5944" s="2">
        <v>5302.34607319529</v>
      </c>
      <c r="AK5944" s="2">
        <v>3491.6221406896002</v>
      </c>
      <c r="AL5944" s="2">
        <v>7762.9115804068497</v>
      </c>
      <c r="AM5944" s="2">
        <v>2456.5766409200401</v>
      </c>
      <c r="AN5944" s="2">
        <v>5079.1386071594798</v>
      </c>
      <c r="AO5944" s="2">
        <v>4238.3374179045504</v>
      </c>
      <c r="AP5944" s="2">
        <v>4913.27160801222</v>
      </c>
    </row>
    <row r="5945" spans="1:42" ht="14.5" x14ac:dyDescent="0.35">
      <c r="A5945" s="2" t="s">
        <v>39424</v>
      </c>
      <c r="B5945" s="2">
        <v>444.361938938702</v>
      </c>
      <c r="C5945" s="2">
        <v>10.0942333333333</v>
      </c>
      <c r="D5945" s="2" t="s">
        <v>34</v>
      </c>
      <c r="E5945" s="2" t="s">
        <v>39425</v>
      </c>
      <c r="F5945" s="2">
        <v>210207</v>
      </c>
      <c r="G5945" s="3" t="str">
        <f>HYPERLINK("http://funmeta.oebiotech.com/network/210207", "http://funmeta.oebiotech.com/network/210207")</f>
        <v>http://funmeta.oebiotech.com/network/210207</v>
      </c>
      <c r="H5945" s="2" t="s">
        <v>39426</v>
      </c>
      <c r="I5945" s="2">
        <v>322737</v>
      </c>
      <c r="J5945" s="2"/>
      <c r="K5945" s="2">
        <v>67272</v>
      </c>
      <c r="L5945" s="2"/>
      <c r="M5945" s="2"/>
      <c r="N5945" s="2"/>
      <c r="O5945" s="2">
        <v>148177</v>
      </c>
      <c r="P5945" s="2"/>
      <c r="Q5945" s="2" t="s">
        <v>39427</v>
      </c>
      <c r="R5945" s="2" t="s">
        <v>39428</v>
      </c>
      <c r="S5945" s="2" t="s">
        <v>89</v>
      </c>
      <c r="T5945" s="2" t="s">
        <v>894</v>
      </c>
      <c r="U5945" s="2" t="s">
        <v>895</v>
      </c>
      <c r="V5945" s="2" t="s">
        <v>59</v>
      </c>
      <c r="W5945" s="2">
        <v>37.5</v>
      </c>
      <c r="X5945" s="2">
        <v>0</v>
      </c>
      <c r="Y5945" s="2" t="s">
        <v>141</v>
      </c>
      <c r="Z5945" s="2" t="s">
        <v>39429</v>
      </c>
      <c r="AA5945" s="2">
        <v>3.9695564024717802</v>
      </c>
      <c r="AB5945" s="2">
        <v>5.5437905688429497E-2</v>
      </c>
      <c r="AC5945" s="2">
        <v>2590.1438378192502</v>
      </c>
      <c r="AD5945" s="2">
        <v>2977.0634295264499</v>
      </c>
      <c r="AE5945" s="2">
        <v>2572.8415129472801</v>
      </c>
      <c r="AF5945" s="2">
        <v>2910.7346545886599</v>
      </c>
      <c r="AG5945" s="2">
        <v>2793.53160633066</v>
      </c>
      <c r="AH5945" s="2">
        <v>2458.6796750311501</v>
      </c>
      <c r="AI5945" s="2">
        <v>2162.3288327269502</v>
      </c>
      <c r="AJ5945" s="2">
        <v>2642.7467452908199</v>
      </c>
      <c r="AK5945" s="2">
        <v>2674.8752642795898</v>
      </c>
      <c r="AL5945" s="2">
        <v>3613.7586538601599</v>
      </c>
      <c r="AM5945" s="2">
        <v>2895.50269948388</v>
      </c>
      <c r="AN5945" s="2">
        <v>2894.1584264917101</v>
      </c>
      <c r="AO5945" s="2">
        <v>3248.83842168928</v>
      </c>
      <c r="AP5945" s="2">
        <v>2535.2471113540801</v>
      </c>
    </row>
    <row r="5946" spans="1:42" ht="14.5" x14ac:dyDescent="0.35">
      <c r="A5946" s="2" t="s">
        <v>39430</v>
      </c>
      <c r="B5946" s="2">
        <v>196.98005473995201</v>
      </c>
      <c r="C5946" s="2">
        <v>1.2019166666666701</v>
      </c>
      <c r="D5946" s="2" t="s">
        <v>34</v>
      </c>
      <c r="E5946" s="2" t="s">
        <v>39431</v>
      </c>
      <c r="F5946" s="2">
        <v>210284</v>
      </c>
      <c r="G5946" s="3" t="str">
        <f>HYPERLINK("http://funmeta.oebiotech.com/network/210284", "http://funmeta.oebiotech.com/network/210284")</f>
        <v>http://funmeta.oebiotech.com/network/210284</v>
      </c>
      <c r="H5946" s="2" t="s">
        <v>39432</v>
      </c>
      <c r="I5946" s="2"/>
      <c r="J5946" s="2"/>
      <c r="K5946" s="2"/>
      <c r="L5946" s="2"/>
      <c r="M5946" s="2"/>
      <c r="N5946" s="2"/>
      <c r="O5946" s="2">
        <v>1378714</v>
      </c>
      <c r="P5946" s="2"/>
      <c r="Q5946" s="2" t="s">
        <v>39433</v>
      </c>
      <c r="R5946" s="2" t="s">
        <v>39434</v>
      </c>
      <c r="S5946" s="2" t="s">
        <v>41</v>
      </c>
      <c r="T5946" s="2" t="s">
        <v>41</v>
      </c>
      <c r="U5946" s="2" t="s">
        <v>41</v>
      </c>
      <c r="V5946" s="2" t="s">
        <v>59</v>
      </c>
      <c r="W5946" s="2">
        <v>37.200000000000003</v>
      </c>
      <c r="X5946" s="2">
        <v>0</v>
      </c>
      <c r="Y5946" s="2" t="s">
        <v>323</v>
      </c>
      <c r="Z5946" s="2" t="s">
        <v>39435</v>
      </c>
      <c r="AA5946" s="2">
        <v>2.2815411492807298</v>
      </c>
      <c r="AB5946" s="2">
        <v>5.5240261048891202E-2</v>
      </c>
      <c r="AC5946" s="2">
        <v>1235.3163080673201</v>
      </c>
      <c r="AD5946" s="2">
        <v>1551.79542554362</v>
      </c>
      <c r="AE5946" s="2">
        <v>1192.8964123302401</v>
      </c>
      <c r="AF5946" s="2">
        <v>1433.0086517581799</v>
      </c>
      <c r="AG5946" s="2">
        <v>1326.6126556258901</v>
      </c>
      <c r="AH5946" s="2">
        <v>1066.27190764334</v>
      </c>
      <c r="AI5946" s="2">
        <v>941.97168756471604</v>
      </c>
      <c r="AJ5946" s="2">
        <v>1451.13653348158</v>
      </c>
      <c r="AK5946" s="2">
        <v>1430.97184783898</v>
      </c>
      <c r="AL5946" s="2">
        <v>1758.2449323334499</v>
      </c>
      <c r="AM5946" s="2">
        <v>1367.2401735982901</v>
      </c>
      <c r="AN5946" s="2">
        <v>1571.70937852368</v>
      </c>
      <c r="AO5946" s="2">
        <v>1837.3161117413999</v>
      </c>
      <c r="AP5946" s="2">
        <v>1345.2901092259399</v>
      </c>
    </row>
    <row r="5947" spans="1:42" ht="14.5" x14ac:dyDescent="0.35">
      <c r="A5947" s="2" t="s">
        <v>39436</v>
      </c>
      <c r="B5947" s="2">
        <v>221.08138036148</v>
      </c>
      <c r="C5947" s="2">
        <v>7.5749000000000004</v>
      </c>
      <c r="D5947" s="2" t="s">
        <v>70</v>
      </c>
      <c r="E5947" s="2" t="s">
        <v>39437</v>
      </c>
      <c r="F5947" s="2">
        <v>293308</v>
      </c>
      <c r="G5947" s="3" t="str">
        <f>HYPERLINK("http://funmeta.oebiotech.com/network/293308", "http://funmeta.oebiotech.com/network/293308")</f>
        <v>http://funmeta.oebiotech.com/network/293308</v>
      </c>
      <c r="H5947" s="2"/>
      <c r="I5947" s="2">
        <v>317201</v>
      </c>
      <c r="J5947" s="2"/>
      <c r="K5947" s="2"/>
      <c r="L5947" s="2"/>
      <c r="M5947" s="2"/>
      <c r="N5947" s="2"/>
      <c r="O5947" s="2">
        <v>134976</v>
      </c>
      <c r="P5947" s="2"/>
      <c r="Q5947" s="2" t="s">
        <v>39438</v>
      </c>
      <c r="R5947" s="2" t="s">
        <v>39439</v>
      </c>
      <c r="S5947" s="2" t="s">
        <v>148</v>
      </c>
      <c r="T5947" s="2" t="s">
        <v>149</v>
      </c>
      <c r="U5947" s="2" t="s">
        <v>1593</v>
      </c>
      <c r="V5947" s="2" t="s">
        <v>59</v>
      </c>
      <c r="W5947" s="2">
        <v>42.5</v>
      </c>
      <c r="X5947" s="2">
        <v>20.7</v>
      </c>
      <c r="Y5947" s="2" t="s">
        <v>118</v>
      </c>
      <c r="Z5947" s="2" t="s">
        <v>15240</v>
      </c>
      <c r="AA5947" s="2">
        <v>-2.4860899043170099</v>
      </c>
      <c r="AB5947" s="2">
        <v>5.5231420082710703E-2</v>
      </c>
      <c r="AC5947" s="2">
        <v>4172.07085321866</v>
      </c>
      <c r="AD5947" s="2">
        <v>4569.6941731817697</v>
      </c>
      <c r="AE5947" s="2">
        <v>4461.6679042858505</v>
      </c>
      <c r="AF5947" s="2">
        <v>3844.3553476670299</v>
      </c>
      <c r="AG5947" s="2">
        <v>4926.3998735387404</v>
      </c>
      <c r="AH5947" s="2">
        <v>4058.59609700795</v>
      </c>
      <c r="AI5947" s="2">
        <v>4194.4615347880699</v>
      </c>
      <c r="AJ5947" s="2">
        <v>3546.9443620243301</v>
      </c>
      <c r="AK5947" s="2">
        <v>4877.4731930752196</v>
      </c>
      <c r="AL5947" s="2">
        <v>4682.1513098141804</v>
      </c>
      <c r="AM5947" s="2">
        <v>4370.6903327405998</v>
      </c>
      <c r="AN5947" s="2">
        <v>4619.1177929839596</v>
      </c>
      <c r="AO5947" s="2">
        <v>4524.81137838021</v>
      </c>
      <c r="AP5947" s="2">
        <v>4343.9210320964603</v>
      </c>
    </row>
    <row r="5948" spans="1:42" ht="14.5" x14ac:dyDescent="0.35">
      <c r="A5948" s="2" t="s">
        <v>39440</v>
      </c>
      <c r="B5948" s="2">
        <v>317.10213165781698</v>
      </c>
      <c r="C5948" s="2">
        <v>3.9845333333333302</v>
      </c>
      <c r="D5948" s="2" t="s">
        <v>34</v>
      </c>
      <c r="E5948" s="2" t="s">
        <v>39441</v>
      </c>
      <c r="F5948" s="2">
        <v>255486</v>
      </c>
      <c r="G5948" s="3" t="str">
        <f>HYPERLINK("http://funmeta.oebiotech.com/network/255486", "http://funmeta.oebiotech.com/network/255486")</f>
        <v>http://funmeta.oebiotech.com/network/255486</v>
      </c>
      <c r="H5948" s="2" t="s">
        <v>39442</v>
      </c>
      <c r="I5948" s="2">
        <v>71580</v>
      </c>
      <c r="J5948" s="2"/>
      <c r="K5948" s="2"/>
      <c r="L5948" s="2" t="s">
        <v>39443</v>
      </c>
      <c r="M5948" s="2"/>
      <c r="N5948" s="2"/>
      <c r="O5948" s="2">
        <v>616064</v>
      </c>
      <c r="P5948" s="2"/>
      <c r="Q5948" s="2" t="s">
        <v>39444</v>
      </c>
      <c r="R5948" s="2" t="s">
        <v>39445</v>
      </c>
      <c r="S5948" s="2" t="s">
        <v>115</v>
      </c>
      <c r="T5948" s="2" t="s">
        <v>758</v>
      </c>
      <c r="U5948" s="2" t="s">
        <v>1477</v>
      </c>
      <c r="V5948" s="2" t="s">
        <v>59</v>
      </c>
      <c r="W5948" s="2">
        <v>39</v>
      </c>
      <c r="X5948" s="2">
        <v>0</v>
      </c>
      <c r="Y5948" s="2" t="s">
        <v>266</v>
      </c>
      <c r="Z5948" s="2" t="s">
        <v>39446</v>
      </c>
      <c r="AA5948" s="2">
        <v>0.52830795025773702</v>
      </c>
      <c r="AB5948" s="2">
        <v>5.5141465711323098E-2</v>
      </c>
      <c r="AC5948" s="2">
        <v>6534.6460616370396</v>
      </c>
      <c r="AD5948" s="2">
        <v>5960.1663322757104</v>
      </c>
      <c r="AE5948" s="2">
        <v>5573.9045427825504</v>
      </c>
      <c r="AF5948" s="2">
        <v>5984.0127701346801</v>
      </c>
      <c r="AG5948" s="2">
        <v>6276.4321046355499</v>
      </c>
      <c r="AH5948" s="2">
        <v>8201.0628639390707</v>
      </c>
      <c r="AI5948" s="2">
        <v>6019.5267088008204</v>
      </c>
      <c r="AJ5948" s="2">
        <v>7152.9373795295896</v>
      </c>
      <c r="AK5948" s="2">
        <v>6347.6904500581704</v>
      </c>
      <c r="AL5948" s="2">
        <v>5039.2606692483796</v>
      </c>
      <c r="AM5948" s="2">
        <v>5292.8586147492197</v>
      </c>
      <c r="AN5948" s="2">
        <v>6845.51148506155</v>
      </c>
      <c r="AO5948" s="2">
        <v>5923.9723542585498</v>
      </c>
      <c r="AP5948" s="2">
        <v>6311.70442027838</v>
      </c>
    </row>
    <row r="5949" spans="1:42" ht="14.5" x14ac:dyDescent="0.35">
      <c r="A5949" s="2" t="s">
        <v>39447</v>
      </c>
      <c r="B5949" s="2">
        <v>207.11038345132701</v>
      </c>
      <c r="C5949" s="2">
        <v>1.7403833333333301</v>
      </c>
      <c r="D5949" s="2" t="s">
        <v>34</v>
      </c>
      <c r="E5949" s="2" t="s">
        <v>39448</v>
      </c>
      <c r="F5949" s="2">
        <v>420859</v>
      </c>
      <c r="G5949" s="3" t="str">
        <f>HYPERLINK("http://funmeta.oebiotech.com/network/420859", "http://funmeta.oebiotech.com/network/420859")</f>
        <v>http://funmeta.oebiotech.com/network/420859</v>
      </c>
      <c r="H5949" s="2"/>
      <c r="I5949" s="2">
        <v>706404</v>
      </c>
      <c r="J5949" s="2"/>
      <c r="K5949" s="2"/>
      <c r="L5949" s="2"/>
      <c r="M5949" s="2"/>
      <c r="N5949" s="2"/>
      <c r="O5949" s="2">
        <v>13879946</v>
      </c>
      <c r="P5949" s="2"/>
      <c r="Q5949" s="2" t="s">
        <v>39449</v>
      </c>
      <c r="R5949" s="2" t="s">
        <v>39450</v>
      </c>
      <c r="S5949" s="2" t="s">
        <v>89</v>
      </c>
      <c r="T5949" s="2" t="s">
        <v>90</v>
      </c>
      <c r="U5949" s="2" t="s">
        <v>99</v>
      </c>
      <c r="V5949" s="2" t="s">
        <v>59</v>
      </c>
      <c r="W5949" s="2">
        <v>37.9</v>
      </c>
      <c r="X5949" s="2">
        <v>0</v>
      </c>
      <c r="Y5949" s="2" t="s">
        <v>323</v>
      </c>
      <c r="Z5949" s="2" t="s">
        <v>39451</v>
      </c>
      <c r="AA5949" s="2">
        <v>-8.1416561967032397E-2</v>
      </c>
      <c r="AB5949" s="2">
        <v>5.5112542397638999E-2</v>
      </c>
      <c r="AC5949" s="2">
        <v>394.95048327790801</v>
      </c>
      <c r="AD5949" s="2">
        <v>159.14258631484401</v>
      </c>
      <c r="AE5949" s="2">
        <v>364.99372520878097</v>
      </c>
      <c r="AF5949" s="2">
        <v>443.54259890548798</v>
      </c>
      <c r="AG5949" s="2">
        <v>289.196581073902</v>
      </c>
      <c r="AH5949" s="2">
        <v>413.31669150808301</v>
      </c>
      <c r="AI5949" s="2">
        <v>420.35592423222198</v>
      </c>
      <c r="AJ5949" s="2">
        <v>438.297378738975</v>
      </c>
      <c r="AK5949" s="2">
        <v>38.215082260601797</v>
      </c>
      <c r="AL5949" s="2">
        <v>64.426266968606896</v>
      </c>
      <c r="AM5949" s="2">
        <v>280.79951516375201</v>
      </c>
      <c r="AN5949" s="2">
        <v>190.244720637163</v>
      </c>
      <c r="AO5949" s="2">
        <v>140.86501783457899</v>
      </c>
      <c r="AP5949" s="2">
        <v>240.304915024363</v>
      </c>
    </row>
    <row r="5950" spans="1:42" ht="14.5" x14ac:dyDescent="0.35">
      <c r="A5950" s="2" t="s">
        <v>39452</v>
      </c>
      <c r="B5950" s="2">
        <v>647.23402905940395</v>
      </c>
      <c r="C5950" s="2">
        <v>5.00538333333333</v>
      </c>
      <c r="D5950" s="2" t="s">
        <v>70</v>
      </c>
      <c r="E5950" s="2" t="s">
        <v>39453</v>
      </c>
      <c r="F5950" s="2">
        <v>34283</v>
      </c>
      <c r="G5950" s="3" t="str">
        <f>HYPERLINK("http://funmeta.oebiotech.com/network/34283", "http://funmeta.oebiotech.com/network/34283")</f>
        <v>http://funmeta.oebiotech.com/network/34283</v>
      </c>
      <c r="H5950" s="2"/>
      <c r="I5950" s="2"/>
      <c r="J5950" s="2" t="s">
        <v>39454</v>
      </c>
      <c r="K5950" s="2"/>
      <c r="L5950" s="2"/>
      <c r="M5950" s="2"/>
      <c r="N5950" s="2"/>
      <c r="O5950" s="2">
        <v>42607839</v>
      </c>
      <c r="P5950" s="2"/>
      <c r="Q5950" s="2" t="s">
        <v>39455</v>
      </c>
      <c r="R5950" s="2" t="s">
        <v>39456</v>
      </c>
      <c r="S5950" s="2" t="s">
        <v>115</v>
      </c>
      <c r="T5950" s="2" t="s">
        <v>139</v>
      </c>
      <c r="U5950" s="2" t="s">
        <v>140</v>
      </c>
      <c r="V5950" s="2" t="s">
        <v>59</v>
      </c>
      <c r="W5950" s="2">
        <v>37.799999999999997</v>
      </c>
      <c r="X5950" s="2">
        <v>0</v>
      </c>
      <c r="Y5950" s="2" t="s">
        <v>286</v>
      </c>
      <c r="Z5950" s="2" t="s">
        <v>39457</v>
      </c>
      <c r="AA5950" s="2">
        <v>-0.83100928001179897</v>
      </c>
      <c r="AB5950" s="2">
        <v>5.5061351161726897E-2</v>
      </c>
      <c r="AC5950" s="2">
        <v>16678.732696580599</v>
      </c>
      <c r="AD5950" s="2">
        <v>17416.3804252394</v>
      </c>
      <c r="AE5950" s="2">
        <v>16009.754017417599</v>
      </c>
      <c r="AF5950" s="2">
        <v>14968.927594819899</v>
      </c>
      <c r="AG5950" s="2">
        <v>18822.7713563285</v>
      </c>
      <c r="AH5950" s="2">
        <v>15377.9056289407</v>
      </c>
      <c r="AI5950" s="2">
        <v>17411.5308619563</v>
      </c>
      <c r="AJ5950" s="2">
        <v>17481.506720020599</v>
      </c>
      <c r="AK5950" s="2">
        <v>15422.7329219979</v>
      </c>
      <c r="AL5950" s="2">
        <v>16909.202618056999</v>
      </c>
      <c r="AM5950" s="2">
        <v>19899.401310949899</v>
      </c>
      <c r="AN5950" s="2">
        <v>16810.693325803801</v>
      </c>
      <c r="AO5950" s="2">
        <v>17609.991930082801</v>
      </c>
      <c r="AP5950" s="2">
        <v>17846.2604445449</v>
      </c>
    </row>
    <row r="5951" spans="1:42" ht="14.5" x14ac:dyDescent="0.35">
      <c r="A5951" s="2" t="s">
        <v>39458</v>
      </c>
      <c r="B5951" s="2">
        <v>338.98842463832199</v>
      </c>
      <c r="C5951" s="2">
        <v>9.3442666666666696</v>
      </c>
      <c r="D5951" s="2" t="s">
        <v>70</v>
      </c>
      <c r="E5951" s="2" t="s">
        <v>39459</v>
      </c>
      <c r="F5951" s="2">
        <v>198749</v>
      </c>
      <c r="G5951" s="3" t="str">
        <f>HYPERLINK("http://funmeta.oebiotech.com/network/198749", "http://funmeta.oebiotech.com/network/198749")</f>
        <v>http://funmeta.oebiotech.com/network/198749</v>
      </c>
      <c r="H5951" s="2" t="s">
        <v>39460</v>
      </c>
      <c r="I5951" s="2">
        <v>103468</v>
      </c>
      <c r="J5951" s="2"/>
      <c r="K5951" s="2"/>
      <c r="L5951" s="2"/>
      <c r="M5951" s="2"/>
      <c r="N5951" s="2"/>
      <c r="O5951" s="2">
        <v>449139</v>
      </c>
      <c r="P5951" s="2" t="s">
        <v>39461</v>
      </c>
      <c r="Q5951" s="2" t="s">
        <v>39462</v>
      </c>
      <c r="R5951" s="2" t="s">
        <v>39463</v>
      </c>
      <c r="S5951" s="2" t="s">
        <v>41</v>
      </c>
      <c r="T5951" s="2" t="s">
        <v>41</v>
      </c>
      <c r="U5951" s="2" t="s">
        <v>41</v>
      </c>
      <c r="V5951" s="2" t="s">
        <v>59</v>
      </c>
      <c r="W5951" s="2">
        <v>39.200000000000003</v>
      </c>
      <c r="X5951" s="2">
        <v>0</v>
      </c>
      <c r="Y5951" s="2" t="s">
        <v>560</v>
      </c>
      <c r="Z5951" s="2" t="s">
        <v>39464</v>
      </c>
      <c r="AA5951" s="2">
        <v>-1.02375712498967</v>
      </c>
      <c r="AB5951" s="2">
        <v>5.4998774024568001E-2</v>
      </c>
      <c r="AC5951" s="2">
        <v>3559.17903277802</v>
      </c>
      <c r="AD5951" s="2">
        <v>3901.5756537891202</v>
      </c>
      <c r="AE5951" s="2">
        <v>3439.25281534331</v>
      </c>
      <c r="AF5951" s="2">
        <v>3973.3126402440498</v>
      </c>
      <c r="AG5951" s="2">
        <v>3233.4040477805102</v>
      </c>
      <c r="AH5951" s="2">
        <v>3779.8113745790401</v>
      </c>
      <c r="AI5951" s="2">
        <v>3652.26807230346</v>
      </c>
      <c r="AJ5951" s="2">
        <v>3277.0252464177302</v>
      </c>
      <c r="AK5951" s="2">
        <v>3644.94201787678</v>
      </c>
      <c r="AL5951" s="2">
        <v>3929.8749373626001</v>
      </c>
      <c r="AM5951" s="2">
        <v>4302.1730226345499</v>
      </c>
      <c r="AN5951" s="2">
        <v>3778.9477272171298</v>
      </c>
      <c r="AO5951" s="2">
        <v>4012.8554235046399</v>
      </c>
      <c r="AP5951" s="2">
        <v>3740.6607941389998</v>
      </c>
    </row>
    <row r="5952" spans="1:42" ht="14.5" x14ac:dyDescent="0.35">
      <c r="A5952" s="2" t="s">
        <v>39465</v>
      </c>
      <c r="B5952" s="2">
        <v>202.14364714544999</v>
      </c>
      <c r="C5952" s="2">
        <v>1.0770999999999999</v>
      </c>
      <c r="D5952" s="2" t="s">
        <v>34</v>
      </c>
      <c r="E5952" s="2" t="s">
        <v>39466</v>
      </c>
      <c r="F5952" s="2">
        <v>47248</v>
      </c>
      <c r="G5952" s="3" t="str">
        <f>HYPERLINK("http://funmeta.oebiotech.com/network/47248", "http://funmeta.oebiotech.com/network/47248")</f>
        <v>http://funmeta.oebiotech.com/network/47248</v>
      </c>
      <c r="H5952" s="2" t="s">
        <v>39467</v>
      </c>
      <c r="I5952" s="2">
        <v>5795</v>
      </c>
      <c r="J5952" s="2"/>
      <c r="K5952" s="2">
        <v>74099</v>
      </c>
      <c r="L5952" s="2"/>
      <c r="M5952" s="2"/>
      <c r="N5952" s="2"/>
      <c r="O5952" s="2">
        <v>84290</v>
      </c>
      <c r="P5952" s="2" t="s">
        <v>39468</v>
      </c>
      <c r="Q5952" s="2" t="s">
        <v>39469</v>
      </c>
      <c r="R5952" s="2" t="s">
        <v>39470</v>
      </c>
      <c r="S5952" s="2" t="s">
        <v>89</v>
      </c>
      <c r="T5952" s="2" t="s">
        <v>90</v>
      </c>
      <c r="U5952" s="2" t="s">
        <v>99</v>
      </c>
      <c r="V5952" s="2" t="s">
        <v>59</v>
      </c>
      <c r="W5952" s="2">
        <v>38.1</v>
      </c>
      <c r="X5952" s="2">
        <v>0</v>
      </c>
      <c r="Y5952" s="2" t="s">
        <v>394</v>
      </c>
      <c r="Z5952" s="2" t="s">
        <v>39471</v>
      </c>
      <c r="AA5952" s="2">
        <v>-0.61032862683912203</v>
      </c>
      <c r="AB5952" s="2">
        <v>5.4992612432061098E-2</v>
      </c>
      <c r="AC5952" s="2">
        <v>3216.9045955961801</v>
      </c>
      <c r="AD5952" s="2">
        <v>3489.7973494652001</v>
      </c>
      <c r="AE5952" s="2">
        <v>3290.0223234987202</v>
      </c>
      <c r="AF5952" s="2">
        <v>3167.7342812766001</v>
      </c>
      <c r="AG5952" s="2">
        <v>3260.2276881550201</v>
      </c>
      <c r="AH5952" s="2">
        <v>2931.0867471264501</v>
      </c>
      <c r="AI5952" s="2">
        <v>3350.3433766646599</v>
      </c>
      <c r="AJ5952" s="2">
        <v>3302.0131568555998</v>
      </c>
      <c r="AK5952" s="2">
        <v>3594.2815323711102</v>
      </c>
      <c r="AL5952" s="2">
        <v>3670.6895267918499</v>
      </c>
      <c r="AM5952" s="2">
        <v>3486.3835997134502</v>
      </c>
      <c r="AN5952" s="2">
        <v>3382.90513888337</v>
      </c>
      <c r="AO5952" s="2">
        <v>3480.3049034922701</v>
      </c>
      <c r="AP5952" s="2">
        <v>3324.2193955391699</v>
      </c>
    </row>
    <row r="5953" spans="1:42" ht="14.5" x14ac:dyDescent="0.35">
      <c r="A5953" s="2" t="s">
        <v>39472</v>
      </c>
      <c r="B5953" s="2">
        <v>639.11523045231797</v>
      </c>
      <c r="C5953" s="2">
        <v>3.5017</v>
      </c>
      <c r="D5953" s="2" t="s">
        <v>70</v>
      </c>
      <c r="E5953" s="2" t="s">
        <v>39473</v>
      </c>
      <c r="F5953" s="2">
        <v>211335</v>
      </c>
      <c r="G5953" s="3" t="str">
        <f>HYPERLINK("http://funmeta.oebiotech.com/network/211335", "http://funmeta.oebiotech.com/network/211335")</f>
        <v>http://funmeta.oebiotech.com/network/211335</v>
      </c>
      <c r="H5953" s="2" t="s">
        <v>39474</v>
      </c>
      <c r="I5953" s="2"/>
      <c r="J5953" s="2"/>
      <c r="K5953" s="2"/>
      <c r="L5953" s="2"/>
      <c r="M5953" s="2"/>
      <c r="N5953" s="2"/>
      <c r="O5953" s="2">
        <v>136380052</v>
      </c>
      <c r="P5953" s="2"/>
      <c r="Q5953" s="2" t="s">
        <v>39475</v>
      </c>
      <c r="R5953" s="2" t="s">
        <v>39476</v>
      </c>
      <c r="S5953" s="2" t="s">
        <v>148</v>
      </c>
      <c r="T5953" s="2" t="s">
        <v>149</v>
      </c>
      <c r="U5953" s="2" t="s">
        <v>8963</v>
      </c>
      <c r="V5953" s="2" t="s">
        <v>59</v>
      </c>
      <c r="W5953" s="2">
        <v>38.5</v>
      </c>
      <c r="X5953" s="2">
        <v>0</v>
      </c>
      <c r="Y5953" s="2" t="s">
        <v>560</v>
      </c>
      <c r="Z5953" s="2" t="s">
        <v>39477</v>
      </c>
      <c r="AA5953" s="2">
        <v>1.8951038342214199</v>
      </c>
      <c r="AB5953" s="2">
        <v>5.49271811669323E-2</v>
      </c>
      <c r="AC5953" s="2">
        <v>5268.7098311944401</v>
      </c>
      <c r="AD5953" s="2">
        <v>4787.2343441838802</v>
      </c>
      <c r="AE5953" s="2">
        <v>5734.4124945223703</v>
      </c>
      <c r="AF5953" s="2">
        <v>4889.1649498627803</v>
      </c>
      <c r="AG5953" s="2">
        <v>5768.9168276036498</v>
      </c>
      <c r="AH5953" s="2">
        <v>5543.6778679845502</v>
      </c>
      <c r="AI5953" s="2">
        <v>4305.1921104236299</v>
      </c>
      <c r="AJ5953" s="2">
        <v>5370.8947367696901</v>
      </c>
      <c r="AK5953" s="2">
        <v>4179.8816451961302</v>
      </c>
      <c r="AL5953" s="2">
        <v>4217.2938014809797</v>
      </c>
      <c r="AM5953" s="2">
        <v>5058.6845646686397</v>
      </c>
      <c r="AN5953" s="2">
        <v>4296.6660115479899</v>
      </c>
      <c r="AO5953" s="2">
        <v>5485.2287740055599</v>
      </c>
      <c r="AP5953" s="2">
        <v>5485.6512682040102</v>
      </c>
    </row>
    <row r="5954" spans="1:42" ht="14.5" x14ac:dyDescent="0.35">
      <c r="A5954" s="2" t="s">
        <v>39478</v>
      </c>
      <c r="B5954" s="2">
        <v>333.059987765448</v>
      </c>
      <c r="C5954" s="2">
        <v>4.63378333333333</v>
      </c>
      <c r="D5954" s="2" t="s">
        <v>34</v>
      </c>
      <c r="E5954" s="2" t="s">
        <v>39479</v>
      </c>
      <c r="F5954" s="2">
        <v>33071</v>
      </c>
      <c r="G5954" s="3" t="str">
        <f>HYPERLINK("http://funmeta.oebiotech.com/network/33071", "http://funmeta.oebiotech.com/network/33071")</f>
        <v>http://funmeta.oebiotech.com/network/33071</v>
      </c>
      <c r="H5954" s="2" t="s">
        <v>39480</v>
      </c>
      <c r="I5954" s="2">
        <v>51398</v>
      </c>
      <c r="J5954" s="2" t="s">
        <v>39481</v>
      </c>
      <c r="K5954" s="2">
        <v>75164</v>
      </c>
      <c r="L5954" s="2" t="s">
        <v>39482</v>
      </c>
      <c r="M5954" s="2"/>
      <c r="N5954" s="2"/>
      <c r="O5954" s="2">
        <v>5281678</v>
      </c>
      <c r="P5954" s="2" t="s">
        <v>39483</v>
      </c>
      <c r="Q5954" s="2" t="s">
        <v>39484</v>
      </c>
      <c r="R5954" s="2" t="s">
        <v>39485</v>
      </c>
      <c r="S5954" s="2" t="s">
        <v>115</v>
      </c>
      <c r="T5954" s="2" t="s">
        <v>139</v>
      </c>
      <c r="U5954" s="2" t="s">
        <v>1806</v>
      </c>
      <c r="V5954" s="2" t="s">
        <v>59</v>
      </c>
      <c r="W5954" s="2">
        <v>36.700000000000003</v>
      </c>
      <c r="X5954" s="2">
        <v>0</v>
      </c>
      <c r="Y5954" s="2" t="s">
        <v>394</v>
      </c>
      <c r="Z5954" s="2" t="s">
        <v>39486</v>
      </c>
      <c r="AA5954" s="2">
        <v>-1.5238758301142299</v>
      </c>
      <c r="AB5954" s="2">
        <v>5.49053260316665E-2</v>
      </c>
      <c r="AC5954" s="2">
        <v>4835.5061686414601</v>
      </c>
      <c r="AD5954" s="2">
        <v>4210.0062735065103</v>
      </c>
      <c r="AE5954" s="2">
        <v>5598.9566696351603</v>
      </c>
      <c r="AF5954" s="2">
        <v>5488.0393199200998</v>
      </c>
      <c r="AG5954" s="2">
        <v>3991.6948293658802</v>
      </c>
      <c r="AH5954" s="2">
        <v>5672.2866187229101</v>
      </c>
      <c r="AI5954" s="2">
        <v>3502.44586518902</v>
      </c>
      <c r="AJ5954" s="2">
        <v>4759.6137090156999</v>
      </c>
      <c r="AK5954" s="2">
        <v>3910.50266149757</v>
      </c>
      <c r="AL5954" s="2">
        <v>4654.0536763974897</v>
      </c>
      <c r="AM5954" s="2">
        <v>4117.2217451510096</v>
      </c>
      <c r="AN5954" s="2">
        <v>4263.4393212184405</v>
      </c>
      <c r="AO5954" s="2">
        <v>5972.7613753244405</v>
      </c>
      <c r="AP5954" s="2">
        <v>2342.0588614500898</v>
      </c>
    </row>
    <row r="5955" spans="1:42" ht="14.5" x14ac:dyDescent="0.35">
      <c r="A5955" s="2" t="s">
        <v>39487</v>
      </c>
      <c r="B5955" s="2">
        <v>981.43446604324402</v>
      </c>
      <c r="C5955" s="2">
        <v>11.234683333333299</v>
      </c>
      <c r="D5955" s="2" t="s">
        <v>70</v>
      </c>
      <c r="E5955" s="2" t="s">
        <v>39488</v>
      </c>
      <c r="F5955" s="2">
        <v>231691</v>
      </c>
      <c r="G5955" s="3" t="str">
        <f>HYPERLINK("http://funmeta.oebiotech.com/network/231691", "http://funmeta.oebiotech.com/network/231691")</f>
        <v>http://funmeta.oebiotech.com/network/231691</v>
      </c>
      <c r="H5955" s="2" t="s">
        <v>39489</v>
      </c>
      <c r="I5955" s="2"/>
      <c r="J5955" s="2"/>
      <c r="K5955" s="2"/>
      <c r="L5955" s="2"/>
      <c r="M5955" s="2"/>
      <c r="N5955" s="2"/>
      <c r="O5955" s="2"/>
      <c r="P5955" s="2"/>
      <c r="Q5955" s="2" t="s">
        <v>39490</v>
      </c>
      <c r="R5955" s="2" t="s">
        <v>39491</v>
      </c>
      <c r="S5955" s="2" t="s">
        <v>41</v>
      </c>
      <c r="T5955" s="2" t="s">
        <v>41</v>
      </c>
      <c r="U5955" s="2" t="s">
        <v>41</v>
      </c>
      <c r="V5955" s="2" t="s">
        <v>59</v>
      </c>
      <c r="W5955" s="2">
        <v>41.5</v>
      </c>
      <c r="X5955" s="2">
        <v>17.600000000000001</v>
      </c>
      <c r="Y5955" s="2" t="s">
        <v>118</v>
      </c>
      <c r="Z5955" s="2" t="s">
        <v>39492</v>
      </c>
      <c r="AA5955" s="2">
        <v>-3.9299821804069399</v>
      </c>
      <c r="AB5955" s="2">
        <v>5.4877437378638802E-2</v>
      </c>
      <c r="AC5955" s="2">
        <v>60483.590871886998</v>
      </c>
      <c r="AD5955" s="2">
        <v>61738.274890126202</v>
      </c>
      <c r="AE5955" s="2">
        <v>68017.549584518303</v>
      </c>
      <c r="AF5955" s="2">
        <v>59565.193826582399</v>
      </c>
      <c r="AG5955" s="2">
        <v>52912.224391735603</v>
      </c>
      <c r="AH5955" s="2">
        <v>58337.932687671302</v>
      </c>
      <c r="AI5955" s="2">
        <v>59592.597899144203</v>
      </c>
      <c r="AJ5955" s="2">
        <v>64476.0468416699</v>
      </c>
      <c r="AK5955" s="2">
        <v>59627.880878706099</v>
      </c>
      <c r="AL5955" s="2">
        <v>59152.695793727398</v>
      </c>
      <c r="AM5955" s="2">
        <v>64976.3366129688</v>
      </c>
      <c r="AN5955" s="2">
        <v>66887.465598854105</v>
      </c>
      <c r="AO5955" s="2">
        <v>62222.400328680596</v>
      </c>
      <c r="AP5955" s="2">
        <v>57562.870127820301</v>
      </c>
    </row>
    <row r="5956" spans="1:42" ht="14.5" x14ac:dyDescent="0.35">
      <c r="A5956" s="2" t="s">
        <v>39493</v>
      </c>
      <c r="B5956" s="2">
        <v>425.21400506192902</v>
      </c>
      <c r="C5956" s="2">
        <v>11.561633333333299</v>
      </c>
      <c r="D5956" s="2" t="s">
        <v>34</v>
      </c>
      <c r="E5956" s="2" t="s">
        <v>39494</v>
      </c>
      <c r="F5956" s="2">
        <v>3608</v>
      </c>
      <c r="G5956" s="3" t="str">
        <f>HYPERLINK("http://funmeta.oebiotech.com/network/3608", "http://funmeta.oebiotech.com/network/3608")</f>
        <v>http://funmeta.oebiotech.com/network/3608</v>
      </c>
      <c r="H5956" s="2"/>
      <c r="I5956" s="2">
        <v>74966</v>
      </c>
      <c r="J5956" s="2" t="s">
        <v>39495</v>
      </c>
      <c r="K5956" s="2">
        <v>138496</v>
      </c>
      <c r="L5956" s="2"/>
      <c r="M5956" s="2"/>
      <c r="N5956" s="2"/>
      <c r="O5956" s="2">
        <v>52921873</v>
      </c>
      <c r="P5956" s="2"/>
      <c r="Q5956" s="2" t="s">
        <v>39496</v>
      </c>
      <c r="R5956" s="2" t="s">
        <v>39497</v>
      </c>
      <c r="S5956" s="2" t="s">
        <v>89</v>
      </c>
      <c r="T5956" s="2" t="s">
        <v>4218</v>
      </c>
      <c r="U5956" s="2" t="s">
        <v>5830</v>
      </c>
      <c r="V5956" s="2" t="s">
        <v>59</v>
      </c>
      <c r="W5956" s="2">
        <v>44</v>
      </c>
      <c r="X5956" s="2">
        <v>26.6</v>
      </c>
      <c r="Y5956" s="2" t="s">
        <v>67</v>
      </c>
      <c r="Z5956" s="2" t="s">
        <v>39498</v>
      </c>
      <c r="AA5956" s="2">
        <v>-1.4510893092172601</v>
      </c>
      <c r="AB5956" s="2">
        <v>5.4856412502411599E-2</v>
      </c>
      <c r="AC5956" s="2">
        <v>140639.952797312</v>
      </c>
      <c r="AD5956" s="2">
        <v>138158.337587705</v>
      </c>
      <c r="AE5956" s="2">
        <v>144648.74598359401</v>
      </c>
      <c r="AF5956" s="2">
        <v>142788.55393371201</v>
      </c>
      <c r="AG5956" s="2">
        <v>142410.532861307</v>
      </c>
      <c r="AH5956" s="2">
        <v>133617.28949894701</v>
      </c>
      <c r="AI5956" s="2">
        <v>144260.87199091201</v>
      </c>
      <c r="AJ5956" s="2">
        <v>136113.72251540201</v>
      </c>
      <c r="AK5956" s="2">
        <v>138049.70536442299</v>
      </c>
      <c r="AL5956" s="2">
        <v>152373.25531327701</v>
      </c>
      <c r="AM5956" s="2">
        <v>123945.63216532501</v>
      </c>
      <c r="AN5956" s="2">
        <v>121996.55312540301</v>
      </c>
      <c r="AO5956" s="2">
        <v>179347.53215096801</v>
      </c>
      <c r="AP5956" s="2">
        <v>113237.347406837</v>
      </c>
    </row>
    <row r="5957" spans="1:42" ht="14.5" x14ac:dyDescent="0.35">
      <c r="A5957" s="2" t="s">
        <v>39499</v>
      </c>
      <c r="B5957" s="2">
        <v>835.03894251811801</v>
      </c>
      <c r="C5957" s="2">
        <v>13.8966666666667</v>
      </c>
      <c r="D5957" s="2" t="s">
        <v>34</v>
      </c>
      <c r="E5957" s="2" t="s">
        <v>39500</v>
      </c>
      <c r="F5957" s="2">
        <v>47596</v>
      </c>
      <c r="G5957" s="3" t="str">
        <f>HYPERLINK("http://funmeta.oebiotech.com/network/47596", "http://funmeta.oebiotech.com/network/47596")</f>
        <v>http://funmeta.oebiotech.com/network/47596</v>
      </c>
      <c r="H5957" s="2" t="s">
        <v>39501</v>
      </c>
      <c r="I5957" s="2">
        <v>58047</v>
      </c>
      <c r="J5957" s="2"/>
      <c r="K5957" s="2">
        <v>52968</v>
      </c>
      <c r="L5957" s="2"/>
      <c r="M5957" s="2"/>
      <c r="N5957" s="2"/>
      <c r="O5957" s="2">
        <v>10771862</v>
      </c>
      <c r="P5957" s="2" t="s">
        <v>39502</v>
      </c>
      <c r="Q5957" s="2" t="s">
        <v>39503</v>
      </c>
      <c r="R5957" s="2" t="s">
        <v>39504</v>
      </c>
      <c r="S5957" s="2" t="s">
        <v>1444</v>
      </c>
      <c r="T5957" s="2" t="s">
        <v>8613</v>
      </c>
      <c r="U5957" s="2" t="s">
        <v>41</v>
      </c>
      <c r="V5957" s="2" t="s">
        <v>59</v>
      </c>
      <c r="W5957" s="2">
        <v>36</v>
      </c>
      <c r="X5957" s="2">
        <v>0</v>
      </c>
      <c r="Y5957" s="2" t="s">
        <v>141</v>
      </c>
      <c r="Z5957" s="2" t="s">
        <v>39505</v>
      </c>
      <c r="AA5957" s="2">
        <v>-1.11389782101714</v>
      </c>
      <c r="AB5957" s="2">
        <v>5.48424593114262E-2</v>
      </c>
      <c r="AC5957" s="2">
        <v>0.33357372662484303</v>
      </c>
      <c r="AD5957" s="2">
        <v>297.995378710762</v>
      </c>
      <c r="AE5957" s="2">
        <v>2.0013068282790401</v>
      </c>
      <c r="AF5957" s="2">
        <v>2.7106294003980101E-5</v>
      </c>
      <c r="AG5957" s="2">
        <v>2.7106294003980101E-5</v>
      </c>
      <c r="AH5957" s="2">
        <v>2.7106294003980101E-5</v>
      </c>
      <c r="AI5957" s="2">
        <v>2.7106294003980101E-5</v>
      </c>
      <c r="AJ5957" s="2">
        <v>2.7106294003980101E-5</v>
      </c>
      <c r="AK5957" s="2">
        <v>568.51549295550603</v>
      </c>
      <c r="AL5957" s="2">
        <v>170.42587677417001</v>
      </c>
      <c r="AM5957" s="2">
        <v>144.600062129853</v>
      </c>
      <c r="AN5957" s="2">
        <v>8.0384447759475393</v>
      </c>
      <c r="AO5957" s="2">
        <v>237.79328709695699</v>
      </c>
      <c r="AP5957" s="2">
        <v>658.59910853213898</v>
      </c>
    </row>
    <row r="5958" spans="1:42" ht="14.5" x14ac:dyDescent="0.35">
      <c r="A5958" s="2" t="s">
        <v>39506</v>
      </c>
      <c r="B5958" s="2">
        <v>339.08334146281101</v>
      </c>
      <c r="C5958" s="2">
        <v>4.3281833333333299</v>
      </c>
      <c r="D5958" s="2" t="s">
        <v>70</v>
      </c>
      <c r="E5958" s="2" t="s">
        <v>39507</v>
      </c>
      <c r="F5958" s="2">
        <v>54727</v>
      </c>
      <c r="G5958" s="3" t="str">
        <f>HYPERLINK("http://funmeta.oebiotech.com/network/54727", "http://funmeta.oebiotech.com/network/54727")</f>
        <v>http://funmeta.oebiotech.com/network/54727</v>
      </c>
      <c r="H5958" s="2" t="s">
        <v>39508</v>
      </c>
      <c r="I5958" s="2"/>
      <c r="J5958" s="2"/>
      <c r="K5958" s="2"/>
      <c r="L5958" s="2" t="s">
        <v>39509</v>
      </c>
      <c r="M5958" s="2"/>
      <c r="N5958" s="2"/>
      <c r="O5958" s="2"/>
      <c r="P5958" s="2" t="s">
        <v>39510</v>
      </c>
      <c r="Q5958" s="2" t="s">
        <v>39511</v>
      </c>
      <c r="R5958" s="2" t="s">
        <v>39512</v>
      </c>
      <c r="S5958" s="2" t="s">
        <v>89</v>
      </c>
      <c r="T5958" s="2" t="s">
        <v>90</v>
      </c>
      <c r="U5958" s="2" t="s">
        <v>99</v>
      </c>
      <c r="V5958" s="2" t="s">
        <v>59</v>
      </c>
      <c r="W5958" s="2">
        <v>38.6</v>
      </c>
      <c r="X5958" s="2">
        <v>0</v>
      </c>
      <c r="Y5958" s="2" t="s">
        <v>118</v>
      </c>
      <c r="Z5958" s="2" t="s">
        <v>39513</v>
      </c>
      <c r="AA5958" s="2">
        <v>-0.13991677512794801</v>
      </c>
      <c r="AB5958" s="2">
        <v>5.4827914562450702E-2</v>
      </c>
      <c r="AC5958" s="2">
        <v>3520.8226675969399</v>
      </c>
      <c r="AD5958" s="2">
        <v>3052.1199093749701</v>
      </c>
      <c r="AE5958" s="2">
        <v>3498.2537917581499</v>
      </c>
      <c r="AF5958" s="2">
        <v>2635.3423518367499</v>
      </c>
      <c r="AG5958" s="2">
        <v>3880.8213752563602</v>
      </c>
      <c r="AH5958" s="2">
        <v>3657.5159411477698</v>
      </c>
      <c r="AI5958" s="2">
        <v>4643.4062224024001</v>
      </c>
      <c r="AJ5958" s="2">
        <v>2809.5963231802298</v>
      </c>
      <c r="AK5958" s="2">
        <v>3091.7534267163001</v>
      </c>
      <c r="AL5958" s="2">
        <v>2968.4114712446899</v>
      </c>
      <c r="AM5958" s="2">
        <v>3202.16846784574</v>
      </c>
      <c r="AN5958" s="2">
        <v>2783.8523320660402</v>
      </c>
      <c r="AO5958" s="2">
        <v>3038.7775952079501</v>
      </c>
      <c r="AP5958" s="2">
        <v>3227.7561631690801</v>
      </c>
    </row>
    <row r="5959" spans="1:42" ht="14.5" x14ac:dyDescent="0.35">
      <c r="A5959" s="2" t="s">
        <v>39514</v>
      </c>
      <c r="B5959" s="2">
        <v>453.155290028472</v>
      </c>
      <c r="C5959" s="2">
        <v>5.71</v>
      </c>
      <c r="D5959" s="2" t="s">
        <v>70</v>
      </c>
      <c r="E5959" s="2" t="s">
        <v>39515</v>
      </c>
      <c r="F5959" s="2">
        <v>56384</v>
      </c>
      <c r="G5959" s="3" t="str">
        <f>HYPERLINK("http://funmeta.oebiotech.com/network/56384", "http://funmeta.oebiotech.com/network/56384")</f>
        <v>http://funmeta.oebiotech.com/network/56384</v>
      </c>
      <c r="H5959" s="2" t="s">
        <v>39516</v>
      </c>
      <c r="I5959" s="2">
        <v>88036</v>
      </c>
      <c r="J5959" s="2"/>
      <c r="K5959" s="2"/>
      <c r="L5959" s="2"/>
      <c r="M5959" s="2"/>
      <c r="N5959" s="2"/>
      <c r="O5959" s="2">
        <v>5495929</v>
      </c>
      <c r="P5959" s="2" t="s">
        <v>39517</v>
      </c>
      <c r="Q5959" s="2" t="s">
        <v>39518</v>
      </c>
      <c r="R5959" s="2" t="s">
        <v>39519</v>
      </c>
      <c r="S5959" s="2" t="s">
        <v>491</v>
      </c>
      <c r="T5959" s="2" t="s">
        <v>2251</v>
      </c>
      <c r="U5959" s="2" t="s">
        <v>2252</v>
      </c>
      <c r="V5959" s="2" t="s">
        <v>59</v>
      </c>
      <c r="W5959" s="2">
        <v>38.9</v>
      </c>
      <c r="X5959" s="2">
        <v>0</v>
      </c>
      <c r="Y5959" s="2" t="s">
        <v>408</v>
      </c>
      <c r="Z5959" s="2" t="s">
        <v>39520</v>
      </c>
      <c r="AA5959" s="2">
        <v>-0.49326221561130601</v>
      </c>
      <c r="AB5959" s="2">
        <v>5.47506337051131E-2</v>
      </c>
      <c r="AC5959" s="2">
        <v>6876.8832816393797</v>
      </c>
      <c r="AD5959" s="2">
        <v>6408.5920936214097</v>
      </c>
      <c r="AE5959" s="2">
        <v>7161.4278502801299</v>
      </c>
      <c r="AF5959" s="2">
        <v>7220.9761651823001</v>
      </c>
      <c r="AG5959" s="2">
        <v>5642.3840398634102</v>
      </c>
      <c r="AH5959" s="2">
        <v>6822.8446284805796</v>
      </c>
      <c r="AI5959" s="2">
        <v>7446.6776366048198</v>
      </c>
      <c r="AJ5959" s="2">
        <v>6966.9893694250404</v>
      </c>
      <c r="AK5959" s="2">
        <v>6296.7959497986003</v>
      </c>
      <c r="AL5959" s="2">
        <v>5901.2478672842999</v>
      </c>
      <c r="AM5959" s="2">
        <v>6871.3336826895102</v>
      </c>
      <c r="AN5959" s="2">
        <v>6283.7649988559497</v>
      </c>
      <c r="AO5959" s="2">
        <v>6169.7177229784402</v>
      </c>
      <c r="AP5959" s="2">
        <v>6928.69234012165</v>
      </c>
    </row>
    <row r="5960" spans="1:42" ht="14.5" x14ac:dyDescent="0.35">
      <c r="A5960" s="2" t="s">
        <v>39521</v>
      </c>
      <c r="B5960" s="2">
        <v>247.09633320823701</v>
      </c>
      <c r="C5960" s="2">
        <v>4.5826500000000001</v>
      </c>
      <c r="D5960" s="2" t="s">
        <v>34</v>
      </c>
      <c r="E5960" s="2" t="s">
        <v>39522</v>
      </c>
      <c r="F5960" s="2">
        <v>60249</v>
      </c>
      <c r="G5960" s="3" t="str">
        <f>HYPERLINK("http://funmeta.oebiotech.com/network/60249", "http://funmeta.oebiotech.com/network/60249")</f>
        <v>http://funmeta.oebiotech.com/network/60249</v>
      </c>
      <c r="H5960" s="2" t="s">
        <v>39523</v>
      </c>
      <c r="I5960" s="2">
        <v>68319</v>
      </c>
      <c r="J5960" s="2"/>
      <c r="K5960" s="2"/>
      <c r="L5960" s="2" t="s">
        <v>39524</v>
      </c>
      <c r="M5960" s="2"/>
      <c r="N5960" s="2"/>
      <c r="O5960" s="2">
        <v>4484222</v>
      </c>
      <c r="P5960" s="2" t="s">
        <v>39525</v>
      </c>
      <c r="Q5960" s="2" t="s">
        <v>39526</v>
      </c>
      <c r="R5960" s="2" t="s">
        <v>39527</v>
      </c>
      <c r="S5960" s="2" t="s">
        <v>148</v>
      </c>
      <c r="T5960" s="2" t="s">
        <v>24170</v>
      </c>
      <c r="U5960" s="2" t="s">
        <v>41</v>
      </c>
      <c r="V5960" s="2" t="s">
        <v>59</v>
      </c>
      <c r="W5960" s="2">
        <v>39.299999999999997</v>
      </c>
      <c r="X5960" s="2">
        <v>0</v>
      </c>
      <c r="Y5960" s="2" t="s">
        <v>141</v>
      </c>
      <c r="Z5960" s="2" t="s">
        <v>39528</v>
      </c>
      <c r="AA5960" s="2">
        <v>-0.57611818737278597</v>
      </c>
      <c r="AB5960" s="2">
        <v>5.47423610336722E-2</v>
      </c>
      <c r="AC5960" s="2">
        <v>1860.2490226791399</v>
      </c>
      <c r="AD5960" s="2">
        <v>2251.45008781559</v>
      </c>
      <c r="AE5960" s="2">
        <v>1838.53078258759</v>
      </c>
      <c r="AF5960" s="2">
        <v>2427.65336652104</v>
      </c>
      <c r="AG5960" s="2">
        <v>1810.7113585495699</v>
      </c>
      <c r="AH5960" s="2">
        <v>1695.6634922652499</v>
      </c>
      <c r="AI5960" s="2">
        <v>1875.8447371879899</v>
      </c>
      <c r="AJ5960" s="2">
        <v>1513.0903989634201</v>
      </c>
      <c r="AK5960" s="2">
        <v>2404.5295174417402</v>
      </c>
      <c r="AL5960" s="2">
        <v>2068.02237671275</v>
      </c>
      <c r="AM5960" s="2">
        <v>1710.8101494337</v>
      </c>
      <c r="AN5960" s="2">
        <v>2274.3999666930699</v>
      </c>
      <c r="AO5960" s="2">
        <v>2103.38530515403</v>
      </c>
      <c r="AP5960" s="2">
        <v>2947.5532114582802</v>
      </c>
    </row>
    <row r="5961" spans="1:42" ht="14.5" x14ac:dyDescent="0.35">
      <c r="A5961" s="2" t="s">
        <v>39529</v>
      </c>
      <c r="B5961" s="2">
        <v>351.117938147269</v>
      </c>
      <c r="C5961" s="2">
        <v>4.0355999999999996</v>
      </c>
      <c r="D5961" s="2" t="s">
        <v>34</v>
      </c>
      <c r="E5961" s="2" t="s">
        <v>39530</v>
      </c>
      <c r="F5961" s="2">
        <v>206107</v>
      </c>
      <c r="G5961" s="3" t="str">
        <f>HYPERLINK("http://funmeta.oebiotech.com/network/206107", "http://funmeta.oebiotech.com/network/206107")</f>
        <v>http://funmeta.oebiotech.com/network/206107</v>
      </c>
      <c r="H5961" s="2" t="s">
        <v>39531</v>
      </c>
      <c r="I5961" s="2">
        <v>64788</v>
      </c>
      <c r="J5961" s="2"/>
      <c r="K5961" s="2"/>
      <c r="L5961" s="2"/>
      <c r="M5961" s="2"/>
      <c r="N5961" s="2"/>
      <c r="O5961" s="2">
        <v>100658</v>
      </c>
      <c r="P5961" s="2" t="s">
        <v>39532</v>
      </c>
      <c r="Q5961" s="2" t="s">
        <v>39533</v>
      </c>
      <c r="R5961" s="2" t="s">
        <v>39534</v>
      </c>
      <c r="S5961" s="2" t="s">
        <v>89</v>
      </c>
      <c r="T5961" s="2" t="s">
        <v>90</v>
      </c>
      <c r="U5961" s="2" t="s">
        <v>22612</v>
      </c>
      <c r="V5961" s="2" t="s">
        <v>59</v>
      </c>
      <c r="W5961" s="2">
        <v>38.5</v>
      </c>
      <c r="X5961" s="2">
        <v>0</v>
      </c>
      <c r="Y5961" s="2" t="s">
        <v>141</v>
      </c>
      <c r="Z5961" s="2" t="s">
        <v>39535</v>
      </c>
      <c r="AA5961" s="2">
        <v>-2.0080578718482101</v>
      </c>
      <c r="AB5961" s="2">
        <v>5.4705048096139401E-2</v>
      </c>
      <c r="AC5961" s="2">
        <v>3452.90315861929</v>
      </c>
      <c r="AD5961" s="2">
        <v>2861.60421600053</v>
      </c>
      <c r="AE5961" s="2">
        <v>3912.0254718207402</v>
      </c>
      <c r="AF5961" s="2">
        <v>3172.6758065754698</v>
      </c>
      <c r="AG5961" s="2">
        <v>3525.7228075235798</v>
      </c>
      <c r="AH5961" s="2">
        <v>2295.3857684919099</v>
      </c>
      <c r="AI5961" s="2">
        <v>4893.3874272798703</v>
      </c>
      <c r="AJ5961" s="2">
        <v>2918.2216700241502</v>
      </c>
      <c r="AK5961" s="2">
        <v>2458.3835049552899</v>
      </c>
      <c r="AL5961" s="2">
        <v>3106.3808978096099</v>
      </c>
      <c r="AM5961" s="2">
        <v>4499.9360154244796</v>
      </c>
      <c r="AN5961" s="2">
        <v>2397.9574451772201</v>
      </c>
      <c r="AO5961" s="2">
        <v>1969.51431364428</v>
      </c>
      <c r="AP5961" s="2">
        <v>2737.45311899231</v>
      </c>
    </row>
    <row r="5962" spans="1:42" ht="14.5" x14ac:dyDescent="0.35">
      <c r="A5962" s="2" t="s">
        <v>39536</v>
      </c>
      <c r="B5962" s="2">
        <v>279.00588305214501</v>
      </c>
      <c r="C5962" s="2">
        <v>9.1761499999999998</v>
      </c>
      <c r="D5962" s="2" t="s">
        <v>70</v>
      </c>
      <c r="E5962" s="2" t="s">
        <v>39537</v>
      </c>
      <c r="F5962" s="2">
        <v>53036</v>
      </c>
      <c r="G5962" s="3" t="str">
        <f>HYPERLINK("http://funmeta.oebiotech.com/network/53036", "http://funmeta.oebiotech.com/network/53036")</f>
        <v>http://funmeta.oebiotech.com/network/53036</v>
      </c>
      <c r="H5962" s="2" t="s">
        <v>39538</v>
      </c>
      <c r="I5962" s="2">
        <v>2321</v>
      </c>
      <c r="J5962" s="2"/>
      <c r="K5962" s="2">
        <v>138898</v>
      </c>
      <c r="L5962" s="2" t="s">
        <v>39539</v>
      </c>
      <c r="M5962" s="2"/>
      <c r="N5962" s="2"/>
      <c r="O5962" s="2">
        <v>5070</v>
      </c>
      <c r="P5962" s="2" t="s">
        <v>39540</v>
      </c>
      <c r="Q5962" s="2" t="s">
        <v>39541</v>
      </c>
      <c r="R5962" s="2" t="s">
        <v>39542</v>
      </c>
      <c r="S5962" s="2" t="s">
        <v>491</v>
      </c>
      <c r="T5962" s="2" t="s">
        <v>20731</v>
      </c>
      <c r="U5962" s="2" t="s">
        <v>41</v>
      </c>
      <c r="V5962" s="2" t="s">
        <v>59</v>
      </c>
      <c r="W5962" s="2">
        <v>38</v>
      </c>
      <c r="X5962" s="2">
        <v>0</v>
      </c>
      <c r="Y5962" s="2" t="s">
        <v>408</v>
      </c>
      <c r="Z5962" s="2" t="s">
        <v>39543</v>
      </c>
      <c r="AA5962" s="2">
        <v>0.90481144382030798</v>
      </c>
      <c r="AB5962" s="2">
        <v>5.4495002985391602E-2</v>
      </c>
      <c r="AC5962" s="2">
        <v>3195.63324033559</v>
      </c>
      <c r="AD5962" s="2">
        <v>3562.2619642057198</v>
      </c>
      <c r="AE5962" s="2">
        <v>3030.3135947615401</v>
      </c>
      <c r="AF5962" s="2">
        <v>3446.2269657326301</v>
      </c>
      <c r="AG5962" s="2">
        <v>2870.4494678565602</v>
      </c>
      <c r="AH5962" s="2">
        <v>3600.2315589229802</v>
      </c>
      <c r="AI5962" s="2">
        <v>3270.7287328604498</v>
      </c>
      <c r="AJ5962" s="2">
        <v>2955.8491218793802</v>
      </c>
      <c r="AK5962" s="2">
        <v>3603.8837643845</v>
      </c>
      <c r="AL5962" s="2">
        <v>3614.8115753981401</v>
      </c>
      <c r="AM5962" s="2">
        <v>4031.3937550279002</v>
      </c>
      <c r="AN5962" s="2">
        <v>3641.68298639559</v>
      </c>
      <c r="AO5962" s="2">
        <v>3551.4607573173098</v>
      </c>
      <c r="AP5962" s="2">
        <v>2930.3389467109</v>
      </c>
    </row>
    <row r="5963" spans="1:42" ht="14.5" x14ac:dyDescent="0.35">
      <c r="A5963" s="2" t="s">
        <v>39544</v>
      </c>
      <c r="B5963" s="2">
        <v>219.07697679006901</v>
      </c>
      <c r="C5963" s="2">
        <v>1.52295</v>
      </c>
      <c r="D5963" s="2" t="s">
        <v>70</v>
      </c>
      <c r="E5963" s="2" t="s">
        <v>39545</v>
      </c>
      <c r="F5963" s="2">
        <v>47050</v>
      </c>
      <c r="G5963" s="3" t="str">
        <f>HYPERLINK("http://funmeta.oebiotech.com/network/47050", "http://funmeta.oebiotech.com/network/47050")</f>
        <v>http://funmeta.oebiotech.com/network/47050</v>
      </c>
      <c r="H5963" s="2" t="s">
        <v>39546</v>
      </c>
      <c r="I5963" s="2"/>
      <c r="J5963" s="2"/>
      <c r="K5963" s="2">
        <v>17780</v>
      </c>
      <c r="L5963" s="2" t="s">
        <v>39547</v>
      </c>
      <c r="M5963" s="2" t="s">
        <v>39548</v>
      </c>
      <c r="N5963" s="2" t="s">
        <v>39549</v>
      </c>
      <c r="O5963" s="2">
        <v>439280</v>
      </c>
      <c r="P5963" s="2" t="s">
        <v>39550</v>
      </c>
      <c r="Q5963" s="2" t="s">
        <v>39551</v>
      </c>
      <c r="R5963" s="2" t="s">
        <v>39552</v>
      </c>
      <c r="S5963" s="2" t="s">
        <v>491</v>
      </c>
      <c r="T5963" s="2" t="s">
        <v>2184</v>
      </c>
      <c r="U5963" s="2" t="s">
        <v>5421</v>
      </c>
      <c r="V5963" s="2" t="s">
        <v>42</v>
      </c>
      <c r="W5963" s="2">
        <v>48.5</v>
      </c>
      <c r="X5963" s="2">
        <v>53.4</v>
      </c>
      <c r="Y5963" s="2" t="s">
        <v>118</v>
      </c>
      <c r="Z5963" s="2" t="s">
        <v>39553</v>
      </c>
      <c r="AA5963" s="2">
        <v>-2.4491971713145202</v>
      </c>
      <c r="AB5963" s="2">
        <v>5.4382148006083701E-2</v>
      </c>
      <c r="AC5963" s="2">
        <v>2507.5078804210898</v>
      </c>
      <c r="AD5963" s="2">
        <v>2220.5817395624799</v>
      </c>
      <c r="AE5963" s="2">
        <v>2432.4057284791602</v>
      </c>
      <c r="AF5963" s="2">
        <v>2332.01613780049</v>
      </c>
      <c r="AG5963" s="2">
        <v>2242.44595960272</v>
      </c>
      <c r="AH5963" s="2">
        <v>2529.3996753634401</v>
      </c>
      <c r="AI5963" s="2">
        <v>2744.03162199996</v>
      </c>
      <c r="AJ5963" s="2">
        <v>2764.7481592807499</v>
      </c>
      <c r="AK5963" s="2">
        <v>2113.8782151103201</v>
      </c>
      <c r="AL5963" s="2">
        <v>2107.2185471451298</v>
      </c>
      <c r="AM5963" s="2">
        <v>2282.0261442137898</v>
      </c>
      <c r="AN5963" s="2">
        <v>2261.5745464851998</v>
      </c>
      <c r="AO5963" s="2">
        <v>2222.6845035593901</v>
      </c>
      <c r="AP5963" s="2">
        <v>2336.1084808610699</v>
      </c>
    </row>
    <row r="5964" spans="1:42" ht="14.5" x14ac:dyDescent="0.35">
      <c r="A5964" s="2" t="s">
        <v>39554</v>
      </c>
      <c r="B5964" s="2">
        <v>227.14275691708701</v>
      </c>
      <c r="C5964" s="2">
        <v>5.7914500000000002</v>
      </c>
      <c r="D5964" s="2" t="s">
        <v>34</v>
      </c>
      <c r="E5964" s="2" t="s">
        <v>39555</v>
      </c>
      <c r="F5964" s="2">
        <v>204236</v>
      </c>
      <c r="G5964" s="3" t="str">
        <f>HYPERLINK("http://funmeta.oebiotech.com/network/204236", "http://funmeta.oebiotech.com/network/204236")</f>
        <v>http://funmeta.oebiotech.com/network/204236</v>
      </c>
      <c r="H5964" s="2" t="s">
        <v>39556</v>
      </c>
      <c r="I5964" s="2"/>
      <c r="J5964" s="2"/>
      <c r="K5964" s="2"/>
      <c r="L5964" s="2"/>
      <c r="M5964" s="2"/>
      <c r="N5964" s="2"/>
      <c r="O5964" s="2">
        <v>111709</v>
      </c>
      <c r="P5964" s="2"/>
      <c r="Q5964" s="2" t="s">
        <v>39557</v>
      </c>
      <c r="R5964" s="2" t="s">
        <v>39558</v>
      </c>
      <c r="S5964" s="2" t="s">
        <v>148</v>
      </c>
      <c r="T5964" s="2" t="s">
        <v>149</v>
      </c>
      <c r="U5964" s="2" t="s">
        <v>41</v>
      </c>
      <c r="V5964" s="2" t="s">
        <v>59</v>
      </c>
      <c r="W5964" s="2">
        <v>38.6</v>
      </c>
      <c r="X5964" s="2">
        <v>0</v>
      </c>
      <c r="Y5964" s="2" t="s">
        <v>394</v>
      </c>
      <c r="Z5964" s="2" t="s">
        <v>39559</v>
      </c>
      <c r="AA5964" s="2">
        <v>-1.2590300918636701</v>
      </c>
      <c r="AB5964" s="2">
        <v>5.4272954806286702E-2</v>
      </c>
      <c r="AC5964" s="2">
        <v>1625.4368215807899</v>
      </c>
      <c r="AD5964" s="2">
        <v>1886.20008082496</v>
      </c>
      <c r="AE5964" s="2">
        <v>1564.08420900023</v>
      </c>
      <c r="AF5964" s="2">
        <v>1639.6179991839799</v>
      </c>
      <c r="AG5964" s="2">
        <v>1540.1966401422701</v>
      </c>
      <c r="AH5964" s="2">
        <v>1623.8621267994199</v>
      </c>
      <c r="AI5964" s="2">
        <v>1604.67162398541</v>
      </c>
      <c r="AJ5964" s="2">
        <v>1780.1883303734401</v>
      </c>
      <c r="AK5964" s="2">
        <v>1740.8328539090401</v>
      </c>
      <c r="AL5964" s="2">
        <v>2042.32356602765</v>
      </c>
      <c r="AM5964" s="2">
        <v>1907.54022993742</v>
      </c>
      <c r="AN5964" s="2">
        <v>2095.6077492569402</v>
      </c>
      <c r="AO5964" s="2">
        <v>1852.6502054774201</v>
      </c>
      <c r="AP5964" s="2">
        <v>1678.2458803412901</v>
      </c>
    </row>
    <row r="5965" spans="1:42" ht="14.5" x14ac:dyDescent="0.35">
      <c r="A5965" s="2" t="s">
        <v>39560</v>
      </c>
      <c r="B5965" s="2">
        <v>600.46673982942195</v>
      </c>
      <c r="C5965" s="2">
        <v>11.65635</v>
      </c>
      <c r="D5965" s="2" t="s">
        <v>34</v>
      </c>
      <c r="E5965" s="2" t="s">
        <v>39561</v>
      </c>
      <c r="F5965" s="2">
        <v>210487</v>
      </c>
      <c r="G5965" s="3" t="str">
        <f>HYPERLINK("http://funmeta.oebiotech.com/network/210487", "http://funmeta.oebiotech.com/network/210487")</f>
        <v>http://funmeta.oebiotech.com/network/210487</v>
      </c>
      <c r="H5965" s="2" t="s">
        <v>39562</v>
      </c>
      <c r="I5965" s="2">
        <v>69582</v>
      </c>
      <c r="J5965" s="2"/>
      <c r="K5965" s="2">
        <v>46859</v>
      </c>
      <c r="L5965" s="2" t="s">
        <v>39563</v>
      </c>
      <c r="M5965" s="2"/>
      <c r="N5965" s="2"/>
      <c r="O5965" s="2">
        <v>656641</v>
      </c>
      <c r="P5965" s="2" t="s">
        <v>39564</v>
      </c>
      <c r="Q5965" s="2" t="s">
        <v>39565</v>
      </c>
      <c r="R5965" s="2" t="s">
        <v>39566</v>
      </c>
      <c r="S5965" s="2" t="s">
        <v>79</v>
      </c>
      <c r="T5965" s="2" t="s">
        <v>80</v>
      </c>
      <c r="U5965" s="2" t="s">
        <v>249</v>
      </c>
      <c r="V5965" s="2" t="s">
        <v>42</v>
      </c>
      <c r="W5965" s="2">
        <v>47.8</v>
      </c>
      <c r="X5965" s="2">
        <v>52.4</v>
      </c>
      <c r="Y5965" s="2" t="s">
        <v>43</v>
      </c>
      <c r="Z5965" s="2" t="s">
        <v>39567</v>
      </c>
      <c r="AA5965" s="2">
        <v>-2.3760354119553302</v>
      </c>
      <c r="AB5965" s="2">
        <v>5.4244121403272602E-2</v>
      </c>
      <c r="AC5965" s="2">
        <v>4703.2584353073298</v>
      </c>
      <c r="AD5965" s="2">
        <v>3804.5064655307601</v>
      </c>
      <c r="AE5965" s="2">
        <v>5306.5233679561798</v>
      </c>
      <c r="AF5965" s="2">
        <v>4805.65073585146</v>
      </c>
      <c r="AG5965" s="2">
        <v>3961.1193049122598</v>
      </c>
      <c r="AH5965" s="2">
        <v>5592.3799891225799</v>
      </c>
      <c r="AI5965" s="2">
        <v>3958.4938112468299</v>
      </c>
      <c r="AJ5965" s="2">
        <v>4595.38340275465</v>
      </c>
      <c r="AK5965" s="2">
        <v>1581.4036025471701</v>
      </c>
      <c r="AL5965" s="2">
        <v>4289.4593769957601</v>
      </c>
      <c r="AM5965" s="2">
        <v>1680.8053706769099</v>
      </c>
      <c r="AN5965" s="2">
        <v>9439.5422512125206</v>
      </c>
      <c r="AO5965" s="2">
        <v>1598.89536603641</v>
      </c>
      <c r="AP5965" s="2">
        <v>4236.9328257157604</v>
      </c>
    </row>
    <row r="5966" spans="1:42" ht="14.5" x14ac:dyDescent="0.35">
      <c r="A5966" s="2" t="s">
        <v>39568</v>
      </c>
      <c r="B5966" s="2">
        <v>329.028464946241</v>
      </c>
      <c r="C5966" s="2">
        <v>3.6738166666666698</v>
      </c>
      <c r="D5966" s="2" t="s">
        <v>70</v>
      </c>
      <c r="E5966" s="2" t="s">
        <v>39569</v>
      </c>
      <c r="F5966" s="2">
        <v>209609</v>
      </c>
      <c r="G5966" s="3" t="str">
        <f>HYPERLINK("http://funmeta.oebiotech.com/network/209609", "http://funmeta.oebiotech.com/network/209609")</f>
        <v>http://funmeta.oebiotech.com/network/209609</v>
      </c>
      <c r="H5966" s="2" t="s">
        <v>39570</v>
      </c>
      <c r="I5966" s="2"/>
      <c r="J5966" s="2"/>
      <c r="K5966" s="2"/>
      <c r="L5966" s="2"/>
      <c r="M5966" s="2"/>
      <c r="N5966" s="2"/>
      <c r="O5966" s="2">
        <v>67041278</v>
      </c>
      <c r="P5966" s="2"/>
      <c r="Q5966" s="2" t="s">
        <v>39571</v>
      </c>
      <c r="R5966" s="2" t="s">
        <v>39572</v>
      </c>
      <c r="S5966" s="2" t="s">
        <v>41</v>
      </c>
      <c r="T5966" s="2" t="s">
        <v>41</v>
      </c>
      <c r="U5966" s="2" t="s">
        <v>41</v>
      </c>
      <c r="V5966" s="2" t="s">
        <v>59</v>
      </c>
      <c r="W5966" s="2">
        <v>39.1</v>
      </c>
      <c r="X5966" s="2">
        <v>0</v>
      </c>
      <c r="Y5966" s="2" t="s">
        <v>560</v>
      </c>
      <c r="Z5966" s="2" t="s">
        <v>39573</v>
      </c>
      <c r="AA5966" s="2">
        <v>2.60408734840082</v>
      </c>
      <c r="AB5966" s="2">
        <v>5.4243410677618002E-2</v>
      </c>
      <c r="AC5966" s="2">
        <v>437.400808359216</v>
      </c>
      <c r="AD5966" s="2">
        <v>203.19904016443201</v>
      </c>
      <c r="AE5966" s="2">
        <v>542.00279025017005</v>
      </c>
      <c r="AF5966" s="2">
        <v>468.29525641008098</v>
      </c>
      <c r="AG5966" s="2">
        <v>445.75528563881602</v>
      </c>
      <c r="AH5966" s="2">
        <v>444.61556757472499</v>
      </c>
      <c r="AI5966" s="2">
        <v>262.036767320482</v>
      </c>
      <c r="AJ5966" s="2">
        <v>461.69918296102401</v>
      </c>
      <c r="AK5966" s="2">
        <v>94.4728664239273</v>
      </c>
      <c r="AL5966" s="2">
        <v>98.496690222915703</v>
      </c>
      <c r="AM5966" s="2">
        <v>274.72874666905602</v>
      </c>
      <c r="AN5966" s="2">
        <v>229.227235677745</v>
      </c>
      <c r="AO5966" s="2">
        <v>227.210149067879</v>
      </c>
      <c r="AP5966" s="2">
        <v>295.05855292506999</v>
      </c>
    </row>
    <row r="5967" spans="1:42" ht="14.5" x14ac:dyDescent="0.35">
      <c r="A5967" s="2" t="s">
        <v>39574</v>
      </c>
      <c r="B5967" s="2">
        <v>258.02287192343698</v>
      </c>
      <c r="C5967" s="2">
        <v>1.54206666666667</v>
      </c>
      <c r="D5967" s="2" t="s">
        <v>70</v>
      </c>
      <c r="E5967" s="2" t="s">
        <v>39575</v>
      </c>
      <c r="F5967" s="2">
        <v>53240</v>
      </c>
      <c r="G5967" s="3" t="str">
        <f>HYPERLINK("http://funmeta.oebiotech.com/network/53240", "http://funmeta.oebiotech.com/network/53240")</f>
        <v>http://funmeta.oebiotech.com/network/53240</v>
      </c>
      <c r="H5967" s="2" t="s">
        <v>39576</v>
      </c>
      <c r="I5967" s="2">
        <v>721</v>
      </c>
      <c r="J5967" s="2"/>
      <c r="K5967" s="2">
        <v>2948</v>
      </c>
      <c r="L5967" s="2" t="s">
        <v>39577</v>
      </c>
      <c r="M5967" s="2" t="s">
        <v>17102</v>
      </c>
      <c r="N5967" s="2" t="s">
        <v>17103</v>
      </c>
      <c r="O5967" s="2">
        <v>2265</v>
      </c>
      <c r="P5967" s="2" t="s">
        <v>39578</v>
      </c>
      <c r="Q5967" s="2" t="s">
        <v>39579</v>
      </c>
      <c r="R5967" s="2" t="s">
        <v>39580</v>
      </c>
      <c r="S5967" s="2" t="s">
        <v>5916</v>
      </c>
      <c r="T5967" s="2" t="s">
        <v>5917</v>
      </c>
      <c r="U5967" s="2" t="s">
        <v>5918</v>
      </c>
      <c r="V5967" s="2" t="s">
        <v>59</v>
      </c>
      <c r="W5967" s="2">
        <v>36.799999999999997</v>
      </c>
      <c r="X5967" s="2">
        <v>0</v>
      </c>
      <c r="Y5967" s="2" t="s">
        <v>751</v>
      </c>
      <c r="Z5967" s="2" t="s">
        <v>39581</v>
      </c>
      <c r="AA5967" s="2">
        <v>9.0945807687135094</v>
      </c>
      <c r="AB5967" s="2">
        <v>5.4214086131114197E-2</v>
      </c>
      <c r="AC5967" s="2">
        <v>4945.0021996386004</v>
      </c>
      <c r="AD5967" s="2">
        <v>5343.7095804706196</v>
      </c>
      <c r="AE5967" s="2">
        <v>4896.0904093742201</v>
      </c>
      <c r="AF5967" s="2">
        <v>4952.9991392377697</v>
      </c>
      <c r="AG5967" s="2">
        <v>4888.4951325063003</v>
      </c>
      <c r="AH5967" s="2">
        <v>4840.8270970499198</v>
      </c>
      <c r="AI5967" s="2">
        <v>4735.05571984568</v>
      </c>
      <c r="AJ5967" s="2">
        <v>5356.5456998176896</v>
      </c>
      <c r="AK5967" s="2">
        <v>5080.3094851103597</v>
      </c>
      <c r="AL5967" s="2">
        <v>5890.42943621429</v>
      </c>
      <c r="AM5967" s="2">
        <v>4550.1093751951003</v>
      </c>
      <c r="AN5967" s="2">
        <v>5783.5918953444598</v>
      </c>
      <c r="AO5967" s="2">
        <v>5601.8318654287696</v>
      </c>
      <c r="AP5967" s="2">
        <v>5155.98542553072</v>
      </c>
    </row>
    <row r="5968" spans="1:42" ht="14.5" x14ac:dyDescent="0.35">
      <c r="A5968" s="2" t="s">
        <v>39582</v>
      </c>
      <c r="B5968" s="2">
        <v>646.62287034197902</v>
      </c>
      <c r="C5968" s="2">
        <v>0.67131666666666701</v>
      </c>
      <c r="D5968" s="2" t="s">
        <v>70</v>
      </c>
      <c r="E5968" s="2" t="s">
        <v>39583</v>
      </c>
      <c r="F5968" s="2">
        <v>2428</v>
      </c>
      <c r="G5968" s="3" t="str">
        <f>HYPERLINK("http://funmeta.oebiotech.com/network/2428", "http://funmeta.oebiotech.com/network/2428")</f>
        <v>http://funmeta.oebiotech.com/network/2428</v>
      </c>
      <c r="H5968" s="2"/>
      <c r="I5968" s="2">
        <v>96867</v>
      </c>
      <c r="J5968" s="2" t="s">
        <v>39584</v>
      </c>
      <c r="K5968" s="2"/>
      <c r="L5968" s="2"/>
      <c r="M5968" s="2"/>
      <c r="N5968" s="2"/>
      <c r="O5968" s="2">
        <v>5325139</v>
      </c>
      <c r="P5968" s="2"/>
      <c r="Q5968" s="2" t="s">
        <v>39585</v>
      </c>
      <c r="R5968" s="2" t="s">
        <v>39586</v>
      </c>
      <c r="S5968" s="2" t="s">
        <v>89</v>
      </c>
      <c r="T5968" s="2" t="s">
        <v>90</v>
      </c>
      <c r="U5968" s="2" t="s">
        <v>18044</v>
      </c>
      <c r="V5968" s="2" t="s">
        <v>59</v>
      </c>
      <c r="W5968" s="2">
        <v>38.4</v>
      </c>
      <c r="X5968" s="2">
        <v>0</v>
      </c>
      <c r="Y5968" s="2" t="s">
        <v>560</v>
      </c>
      <c r="Z5968" s="2" t="s">
        <v>39587</v>
      </c>
      <c r="AA5968" s="2">
        <v>2.0014047513117101</v>
      </c>
      <c r="AB5968" s="2">
        <v>5.4159731996674502E-2</v>
      </c>
      <c r="AC5968" s="2">
        <v>3342.3276845589598</v>
      </c>
      <c r="AD5968" s="2">
        <v>4076.2885160443402</v>
      </c>
      <c r="AE5968" s="2">
        <v>2266.2507141085398</v>
      </c>
      <c r="AF5968" s="2">
        <v>1789.8615360316301</v>
      </c>
      <c r="AG5968" s="2">
        <v>5335.5820981114102</v>
      </c>
      <c r="AH5968" s="2">
        <v>3310.0140958616598</v>
      </c>
      <c r="AI5968" s="2">
        <v>3701.9349064940502</v>
      </c>
      <c r="AJ5968" s="2">
        <v>3650.3227567464601</v>
      </c>
      <c r="AK5968" s="2">
        <v>2260.19690429922</v>
      </c>
      <c r="AL5968" s="2">
        <v>1819.44032768387</v>
      </c>
      <c r="AM5968" s="2">
        <v>4064.1406404947902</v>
      </c>
      <c r="AN5968" s="2">
        <v>6304.7979976404404</v>
      </c>
      <c r="AO5968" s="2">
        <v>4369.8011583426896</v>
      </c>
      <c r="AP5968" s="2">
        <v>5639.3540678050504</v>
      </c>
    </row>
    <row r="5969" spans="1:42" ht="14.5" x14ac:dyDescent="0.35">
      <c r="A5969" s="2" t="s">
        <v>39588</v>
      </c>
      <c r="B5969" s="2">
        <v>133.06472766156801</v>
      </c>
      <c r="C5969" s="2">
        <v>4.1233166666666703</v>
      </c>
      <c r="D5969" s="2" t="s">
        <v>34</v>
      </c>
      <c r="E5969" s="2" t="s">
        <v>39589</v>
      </c>
      <c r="F5969" s="2">
        <v>48103</v>
      </c>
      <c r="G5969" s="3" t="str">
        <f>HYPERLINK("http://funmeta.oebiotech.com/network/48103", "http://funmeta.oebiotech.com/network/48103")</f>
        <v>http://funmeta.oebiotech.com/network/48103</v>
      </c>
      <c r="H5969" s="2" t="s">
        <v>39590</v>
      </c>
      <c r="I5969" s="2">
        <v>6931</v>
      </c>
      <c r="J5969" s="2"/>
      <c r="K5969" s="2">
        <v>16731</v>
      </c>
      <c r="L5969" s="2" t="s">
        <v>39591</v>
      </c>
      <c r="M5969" s="2" t="s">
        <v>39592</v>
      </c>
      <c r="N5969" s="2" t="s">
        <v>39593</v>
      </c>
      <c r="O5969" s="2">
        <v>637511</v>
      </c>
      <c r="P5969" s="2" t="s">
        <v>39594</v>
      </c>
      <c r="Q5969" s="2" t="s">
        <v>39595</v>
      </c>
      <c r="R5969" s="2" t="s">
        <v>39596</v>
      </c>
      <c r="S5969" s="2" t="s">
        <v>115</v>
      </c>
      <c r="T5969" s="2" t="s">
        <v>38330</v>
      </c>
      <c r="U5969" s="2" t="s">
        <v>41</v>
      </c>
      <c r="V5969" s="2" t="s">
        <v>42</v>
      </c>
      <c r="W5969" s="2">
        <v>50.2</v>
      </c>
      <c r="X5969" s="2">
        <v>54</v>
      </c>
      <c r="Y5969" s="2" t="s">
        <v>394</v>
      </c>
      <c r="Z5969" s="2" t="s">
        <v>39597</v>
      </c>
      <c r="AA5969" s="2">
        <v>-0.48196084765161501</v>
      </c>
      <c r="AB5969" s="2">
        <v>5.4151551903340103E-2</v>
      </c>
      <c r="AC5969" s="2">
        <v>9637.8737008419703</v>
      </c>
      <c r="AD5969" s="2">
        <v>10201.5609379815</v>
      </c>
      <c r="AE5969" s="2">
        <v>9328.8570321787502</v>
      </c>
      <c r="AF5969" s="2">
        <v>11140.6101837181</v>
      </c>
      <c r="AG5969" s="2">
        <v>10071.663472276899</v>
      </c>
      <c r="AH5969" s="2">
        <v>8188.6400421630497</v>
      </c>
      <c r="AI5969" s="2">
        <v>9453.6725604113999</v>
      </c>
      <c r="AJ5969" s="2">
        <v>9643.7989143036502</v>
      </c>
      <c r="AK5969" s="2">
        <v>10386.6174723106</v>
      </c>
      <c r="AL5969" s="2">
        <v>10093.1988525993</v>
      </c>
      <c r="AM5969" s="2">
        <v>10154.1526847148</v>
      </c>
      <c r="AN5969" s="2">
        <v>9416.1211166174398</v>
      </c>
      <c r="AO5969" s="2">
        <v>9806.9841366440505</v>
      </c>
      <c r="AP5969" s="2">
        <v>11352.2913650028</v>
      </c>
    </row>
    <row r="5970" spans="1:42" ht="14.5" x14ac:dyDescent="0.35">
      <c r="A5970" s="2" t="s">
        <v>39598</v>
      </c>
      <c r="B5970" s="2">
        <v>512.29750663350796</v>
      </c>
      <c r="C5970" s="2">
        <v>7.8083499999999999</v>
      </c>
      <c r="D5970" s="2" t="s">
        <v>34</v>
      </c>
      <c r="E5970" s="2" t="s">
        <v>39599</v>
      </c>
      <c r="F5970" s="2">
        <v>198073</v>
      </c>
      <c r="G5970" s="3" t="str">
        <f>HYPERLINK("http://funmeta.oebiotech.com/network/198073", "http://funmeta.oebiotech.com/network/198073")</f>
        <v>http://funmeta.oebiotech.com/network/198073</v>
      </c>
      <c r="H5970" s="2" t="s">
        <v>39600</v>
      </c>
      <c r="I5970" s="2"/>
      <c r="J5970" s="2"/>
      <c r="K5970" s="2"/>
      <c r="L5970" s="2"/>
      <c r="M5970" s="2"/>
      <c r="N5970" s="2"/>
      <c r="O5970" s="2"/>
      <c r="P5970" s="2"/>
      <c r="Q5970" s="2" t="s">
        <v>39601</v>
      </c>
      <c r="R5970" s="2" t="s">
        <v>39602</v>
      </c>
      <c r="S5970" s="2" t="s">
        <v>41</v>
      </c>
      <c r="T5970" s="2" t="s">
        <v>41</v>
      </c>
      <c r="U5970" s="2" t="s">
        <v>41</v>
      </c>
      <c r="V5970" s="2" t="s">
        <v>59</v>
      </c>
      <c r="W5970" s="2">
        <v>37.9</v>
      </c>
      <c r="X5970" s="2">
        <v>0</v>
      </c>
      <c r="Y5970" s="2" t="s">
        <v>340</v>
      </c>
      <c r="Z5970" s="2" t="s">
        <v>39603</v>
      </c>
      <c r="AA5970" s="2">
        <v>-1.91047570827234</v>
      </c>
      <c r="AB5970" s="2">
        <v>5.4140300407852497E-2</v>
      </c>
      <c r="AC5970" s="2">
        <v>2786.5048491873499</v>
      </c>
      <c r="AD5970" s="2">
        <v>2195.9700129122998</v>
      </c>
      <c r="AE5970" s="2">
        <v>4121.1365928002397</v>
      </c>
      <c r="AF5970" s="2">
        <v>2709.1376478017</v>
      </c>
      <c r="AG5970" s="2">
        <v>1982.9960678541499</v>
      </c>
      <c r="AH5970" s="2">
        <v>2975.0418740007499</v>
      </c>
      <c r="AI5970" s="2">
        <v>2901.0832971059499</v>
      </c>
      <c r="AJ5970" s="2">
        <v>2029.6336155613101</v>
      </c>
      <c r="AK5970" s="2">
        <v>2726.2346305955698</v>
      </c>
      <c r="AL5970" s="2">
        <v>1659.2747940239001</v>
      </c>
      <c r="AM5970" s="2">
        <v>2315.58823868936</v>
      </c>
      <c r="AN5970" s="2">
        <v>1169.6576361682301</v>
      </c>
      <c r="AO5970" s="2">
        <v>1265.5401265344599</v>
      </c>
      <c r="AP5970" s="2">
        <v>4039.52465146231</v>
      </c>
    </row>
    <row r="5971" spans="1:42" ht="14.5" x14ac:dyDescent="0.35">
      <c r="A5971" s="2" t="s">
        <v>39604</v>
      </c>
      <c r="B5971" s="2">
        <v>151.03902898471401</v>
      </c>
      <c r="C5971" s="2">
        <v>0.54008333333333303</v>
      </c>
      <c r="D5971" s="2" t="s">
        <v>70</v>
      </c>
      <c r="E5971" s="2" t="s">
        <v>39605</v>
      </c>
      <c r="F5971" s="2">
        <v>51984</v>
      </c>
      <c r="G5971" s="3" t="str">
        <f>HYPERLINK("http://funmeta.oebiotech.com/network/51984", "http://funmeta.oebiotech.com/network/51984")</f>
        <v>http://funmeta.oebiotech.com/network/51984</v>
      </c>
      <c r="H5971" s="2" t="s">
        <v>39606</v>
      </c>
      <c r="I5971" s="2">
        <v>62927</v>
      </c>
      <c r="J5971" s="2"/>
      <c r="K5971" s="2">
        <v>18346</v>
      </c>
      <c r="L5971" s="2" t="s">
        <v>39607</v>
      </c>
      <c r="M5971" s="2" t="s">
        <v>39608</v>
      </c>
      <c r="N5971" s="2" t="s">
        <v>39609</v>
      </c>
      <c r="O5971" s="2">
        <v>1183</v>
      </c>
      <c r="P5971" s="2" t="s">
        <v>39610</v>
      </c>
      <c r="Q5971" s="2" t="s">
        <v>39611</v>
      </c>
      <c r="R5971" s="2" t="s">
        <v>39612</v>
      </c>
      <c r="S5971" s="2" t="s">
        <v>148</v>
      </c>
      <c r="T5971" s="2" t="s">
        <v>392</v>
      </c>
      <c r="U5971" s="2" t="s">
        <v>3450</v>
      </c>
      <c r="V5971" s="2" t="s">
        <v>42</v>
      </c>
      <c r="W5971" s="2">
        <v>51.8</v>
      </c>
      <c r="X5971" s="2">
        <v>71.7</v>
      </c>
      <c r="Y5971" s="2" t="s">
        <v>118</v>
      </c>
      <c r="Z5971" s="2" t="s">
        <v>26834</v>
      </c>
      <c r="AA5971" s="2">
        <v>-6.8314151245076102</v>
      </c>
      <c r="AB5971" s="2">
        <v>5.40185953877425E-2</v>
      </c>
      <c r="AC5971" s="2">
        <v>2103.6131383134798</v>
      </c>
      <c r="AD5971" s="2">
        <v>2390.09705891866</v>
      </c>
      <c r="AE5971" s="2">
        <v>1985.52060572962</v>
      </c>
      <c r="AF5971" s="2">
        <v>1984.0225368379199</v>
      </c>
      <c r="AG5971" s="2">
        <v>1896.3219809833099</v>
      </c>
      <c r="AH5971" s="2">
        <v>2227.2591464939001</v>
      </c>
      <c r="AI5971" s="2">
        <v>2177.5060739259402</v>
      </c>
      <c r="AJ5971" s="2">
        <v>2351.0484859101698</v>
      </c>
      <c r="AK5971" s="2">
        <v>2205.04342933418</v>
      </c>
      <c r="AL5971" s="2">
        <v>2241.4226395511901</v>
      </c>
      <c r="AM5971" s="2">
        <v>2365.7439055508298</v>
      </c>
      <c r="AN5971" s="2">
        <v>2386.0199652643701</v>
      </c>
      <c r="AO5971" s="2">
        <v>2427.7573230462899</v>
      </c>
      <c r="AP5971" s="2">
        <v>2714.59509076513</v>
      </c>
    </row>
    <row r="5972" spans="1:42" ht="14.5" x14ac:dyDescent="0.35">
      <c r="A5972" s="2" t="s">
        <v>39613</v>
      </c>
      <c r="B5972" s="2">
        <v>349.16426420517701</v>
      </c>
      <c r="C5972" s="2">
        <v>5.8651</v>
      </c>
      <c r="D5972" s="2" t="s">
        <v>34</v>
      </c>
      <c r="E5972" s="2" t="s">
        <v>39614</v>
      </c>
      <c r="F5972" s="2">
        <v>276304</v>
      </c>
      <c r="G5972" s="3" t="str">
        <f>HYPERLINK("http://funmeta.oebiotech.com/network/276304", "http://funmeta.oebiotech.com/network/276304")</f>
        <v>http://funmeta.oebiotech.com/network/276304</v>
      </c>
      <c r="H5972" s="2"/>
      <c r="I5972" s="2">
        <v>67772</v>
      </c>
      <c r="J5972" s="2"/>
      <c r="K5972" s="2"/>
      <c r="L5972" s="2" t="s">
        <v>39615</v>
      </c>
      <c r="M5972" s="2"/>
      <c r="N5972" s="2"/>
      <c r="O5972" s="2">
        <v>6440861</v>
      </c>
      <c r="P5972" s="2" t="s">
        <v>39616</v>
      </c>
      <c r="Q5972" s="2" t="s">
        <v>39617</v>
      </c>
      <c r="R5972" s="2" t="s">
        <v>39618</v>
      </c>
      <c r="S5972" s="2" t="s">
        <v>50</v>
      </c>
      <c r="T5972" s="2" t="s">
        <v>201</v>
      </c>
      <c r="U5972" s="2" t="s">
        <v>1217</v>
      </c>
      <c r="V5972" s="2" t="s">
        <v>59</v>
      </c>
      <c r="W5972" s="2">
        <v>38.5</v>
      </c>
      <c r="X5972" s="2">
        <v>0</v>
      </c>
      <c r="Y5972" s="2" t="s">
        <v>394</v>
      </c>
      <c r="Z5972" s="2" t="s">
        <v>6764</v>
      </c>
      <c r="AA5972" s="2">
        <v>-0.86372990788389903</v>
      </c>
      <c r="AB5972" s="2">
        <v>5.3872538322436499E-2</v>
      </c>
      <c r="AC5972" s="2">
        <v>26765.993621849699</v>
      </c>
      <c r="AD5972" s="2">
        <v>27537.346854869</v>
      </c>
      <c r="AE5972" s="2">
        <v>26409.5829364649</v>
      </c>
      <c r="AF5972" s="2">
        <v>27969.055789004298</v>
      </c>
      <c r="AG5972" s="2">
        <v>26764.157440704101</v>
      </c>
      <c r="AH5972" s="2">
        <v>27632.590654302101</v>
      </c>
      <c r="AI5972" s="2">
        <v>24425.450745750801</v>
      </c>
      <c r="AJ5972" s="2">
        <v>27395.124164872199</v>
      </c>
      <c r="AK5972" s="2">
        <v>25870.250623445201</v>
      </c>
      <c r="AL5972" s="2">
        <v>28497.281327919001</v>
      </c>
      <c r="AM5972" s="2">
        <v>30788.681942399398</v>
      </c>
      <c r="AN5972" s="2">
        <v>27027.076124740801</v>
      </c>
      <c r="AO5972" s="2">
        <v>25975.620047259501</v>
      </c>
      <c r="AP5972" s="2">
        <v>27065.171063450201</v>
      </c>
    </row>
    <row r="5973" spans="1:42" ht="14.5" x14ac:dyDescent="0.35">
      <c r="A5973" s="2" t="s">
        <v>39619</v>
      </c>
      <c r="B5973" s="2">
        <v>245.18979811370599</v>
      </c>
      <c r="C5973" s="2">
        <v>4.4964333333333304</v>
      </c>
      <c r="D5973" s="2" t="s">
        <v>34</v>
      </c>
      <c r="E5973" s="2" t="s">
        <v>39620</v>
      </c>
      <c r="F5973" s="2">
        <v>56332</v>
      </c>
      <c r="G5973" s="3" t="str">
        <f>HYPERLINK("http://funmeta.oebiotech.com/network/56332", "http://funmeta.oebiotech.com/network/56332")</f>
        <v>http://funmeta.oebiotech.com/network/56332</v>
      </c>
      <c r="H5973" s="2" t="s">
        <v>39621</v>
      </c>
      <c r="I5973" s="2">
        <v>87985</v>
      </c>
      <c r="J5973" s="2"/>
      <c r="K5973" s="2"/>
      <c r="L5973" s="2"/>
      <c r="M5973" s="2"/>
      <c r="N5973" s="2"/>
      <c r="O5973" s="2">
        <v>61585</v>
      </c>
      <c r="P5973" s="2" t="s">
        <v>39622</v>
      </c>
      <c r="Q5973" s="2" t="s">
        <v>39623</v>
      </c>
      <c r="R5973" s="2" t="s">
        <v>39624</v>
      </c>
      <c r="S5973" s="2" t="s">
        <v>148</v>
      </c>
      <c r="T5973" s="2" t="s">
        <v>5205</v>
      </c>
      <c r="U5973" s="2" t="s">
        <v>41</v>
      </c>
      <c r="V5973" s="2" t="s">
        <v>59</v>
      </c>
      <c r="W5973" s="2">
        <v>39.5</v>
      </c>
      <c r="X5973" s="2">
        <v>0</v>
      </c>
      <c r="Y5973" s="2" t="s">
        <v>394</v>
      </c>
      <c r="Z5973" s="2" t="s">
        <v>39625</v>
      </c>
      <c r="AA5973" s="2">
        <v>-0.79328929422325101</v>
      </c>
      <c r="AB5973" s="2">
        <v>5.3856977894277E-2</v>
      </c>
      <c r="AC5973" s="2">
        <v>2120.1055496490198</v>
      </c>
      <c r="AD5973" s="2">
        <v>1741.4226941961799</v>
      </c>
      <c r="AE5973" s="2">
        <v>2340.63262840982</v>
      </c>
      <c r="AF5973" s="2">
        <v>2131.4550917769602</v>
      </c>
      <c r="AG5973" s="2">
        <v>2497.8619985843102</v>
      </c>
      <c r="AH5973" s="2">
        <v>1692.2914699584801</v>
      </c>
      <c r="AI5973" s="2">
        <v>1762.36290325091</v>
      </c>
      <c r="AJ5973" s="2">
        <v>2296.02920591364</v>
      </c>
      <c r="AK5973" s="2">
        <v>2087.7123701896599</v>
      </c>
      <c r="AL5973" s="2">
        <v>1588.8723706973501</v>
      </c>
      <c r="AM5973" s="2">
        <v>2306.4436149558301</v>
      </c>
      <c r="AN5973" s="2">
        <v>1292.45554358139</v>
      </c>
      <c r="AO5973" s="2">
        <v>1365.7889796555701</v>
      </c>
      <c r="AP5973" s="2">
        <v>1807.2632860973099</v>
      </c>
    </row>
    <row r="5974" spans="1:42" ht="14.5" x14ac:dyDescent="0.35">
      <c r="A5974" s="2" t="s">
        <v>39626</v>
      </c>
      <c r="B5974" s="2">
        <v>362.03167896155401</v>
      </c>
      <c r="C5974" s="2">
        <v>4.8488333333333298</v>
      </c>
      <c r="D5974" s="2" t="s">
        <v>34</v>
      </c>
      <c r="E5974" s="2" t="s">
        <v>39627</v>
      </c>
      <c r="F5974" s="2">
        <v>82316</v>
      </c>
      <c r="G5974" s="3" t="str">
        <f>HYPERLINK("http://funmeta.oebiotech.com/network/82316", "http://funmeta.oebiotech.com/network/82316")</f>
        <v>http://funmeta.oebiotech.com/network/82316</v>
      </c>
      <c r="H5974" s="2" t="s">
        <v>39628</v>
      </c>
      <c r="I5974" s="2">
        <v>722</v>
      </c>
      <c r="J5974" s="2"/>
      <c r="K5974" s="2"/>
      <c r="L5974" s="2" t="s">
        <v>39629</v>
      </c>
      <c r="M5974" s="2" t="s">
        <v>17102</v>
      </c>
      <c r="N5974" s="2" t="s">
        <v>17103</v>
      </c>
      <c r="O5974" s="2">
        <v>3034646</v>
      </c>
      <c r="P5974" s="2" t="s">
        <v>39630</v>
      </c>
      <c r="Q5974" s="2" t="s">
        <v>39631</v>
      </c>
      <c r="R5974" s="2" t="s">
        <v>39632</v>
      </c>
      <c r="S5974" s="2" t="s">
        <v>1444</v>
      </c>
      <c r="T5974" s="2" t="s">
        <v>4937</v>
      </c>
      <c r="U5974" s="2" t="s">
        <v>5723</v>
      </c>
      <c r="V5974" s="2" t="s">
        <v>59</v>
      </c>
      <c r="W5974" s="2">
        <v>39.200000000000003</v>
      </c>
      <c r="X5974" s="2">
        <v>0</v>
      </c>
      <c r="Y5974" s="2" t="s">
        <v>141</v>
      </c>
      <c r="Z5974" s="2" t="s">
        <v>39633</v>
      </c>
      <c r="AA5974" s="2">
        <v>-0.49659864859702002</v>
      </c>
      <c r="AB5974" s="2">
        <v>5.3767106828381497E-2</v>
      </c>
      <c r="AC5974" s="2">
        <v>12137.808849623299</v>
      </c>
      <c r="AD5974" s="2">
        <v>11382.867422207601</v>
      </c>
      <c r="AE5974" s="2">
        <v>10747.9062328491</v>
      </c>
      <c r="AF5974" s="2">
        <v>11469.217002384399</v>
      </c>
      <c r="AG5974" s="2">
        <v>13617.902955129901</v>
      </c>
      <c r="AH5974" s="2">
        <v>14157.646097697099</v>
      </c>
      <c r="AI5974" s="2">
        <v>12193.7601292814</v>
      </c>
      <c r="AJ5974" s="2">
        <v>10640.4206803981</v>
      </c>
      <c r="AK5974" s="2">
        <v>11395.422468914299</v>
      </c>
      <c r="AL5974" s="2">
        <v>14051.98567907</v>
      </c>
      <c r="AM5974" s="2">
        <v>11593.614053200799</v>
      </c>
      <c r="AN5974" s="2">
        <v>11757.419771847201</v>
      </c>
      <c r="AO5974" s="2">
        <v>10810.630456049999</v>
      </c>
      <c r="AP5974" s="2">
        <v>8688.1321041631109</v>
      </c>
    </row>
    <row r="5975" spans="1:42" ht="14.5" x14ac:dyDescent="0.35">
      <c r="A5975" s="2" t="s">
        <v>39634</v>
      </c>
      <c r="B5975" s="2">
        <v>220.09655708704199</v>
      </c>
      <c r="C5975" s="2">
        <v>7.79151666666667</v>
      </c>
      <c r="D5975" s="2" t="s">
        <v>34</v>
      </c>
      <c r="E5975" s="2" t="s">
        <v>39635</v>
      </c>
      <c r="F5975" s="2">
        <v>56982</v>
      </c>
      <c r="G5975" s="3" t="str">
        <f>HYPERLINK("http://funmeta.oebiotech.com/network/56982", "http://funmeta.oebiotech.com/network/56982")</f>
        <v>http://funmeta.oebiotech.com/network/56982</v>
      </c>
      <c r="H5975" s="2" t="s">
        <v>39636</v>
      </c>
      <c r="I5975" s="2">
        <v>72523</v>
      </c>
      <c r="J5975" s="2"/>
      <c r="K5975" s="2">
        <v>50397</v>
      </c>
      <c r="L5975" s="2" t="s">
        <v>39637</v>
      </c>
      <c r="M5975" s="2"/>
      <c r="N5975" s="2"/>
      <c r="O5975" s="2">
        <v>8422</v>
      </c>
      <c r="P5975" s="2" t="s">
        <v>39638</v>
      </c>
      <c r="Q5975" s="2" t="s">
        <v>39639</v>
      </c>
      <c r="R5975" s="2" t="s">
        <v>39640</v>
      </c>
      <c r="S5975" s="2" t="s">
        <v>148</v>
      </c>
      <c r="T5975" s="2" t="s">
        <v>149</v>
      </c>
      <c r="U5975" s="2" t="s">
        <v>4966</v>
      </c>
      <c r="V5975" s="2" t="s">
        <v>59</v>
      </c>
      <c r="W5975" s="2">
        <v>38.200000000000003</v>
      </c>
      <c r="X5975" s="2">
        <v>0</v>
      </c>
      <c r="Y5975" s="2" t="s">
        <v>43</v>
      </c>
      <c r="Z5975" s="2" t="s">
        <v>39641</v>
      </c>
      <c r="AA5975" s="2">
        <v>-1.2997052672785301</v>
      </c>
      <c r="AB5975" s="2">
        <v>5.3750124483476602E-2</v>
      </c>
      <c r="AC5975" s="2">
        <v>1998.03615607663</v>
      </c>
      <c r="AD5975" s="2">
        <v>1652.68869290567</v>
      </c>
      <c r="AE5975" s="2">
        <v>2512.5707950205301</v>
      </c>
      <c r="AF5975" s="2">
        <v>1610.1889748426499</v>
      </c>
      <c r="AG5975" s="2">
        <v>1990.9294117037</v>
      </c>
      <c r="AH5975" s="2">
        <v>2113.7321413704899</v>
      </c>
      <c r="AI5975" s="2">
        <v>1735.5878955451301</v>
      </c>
      <c r="AJ5975" s="2">
        <v>2025.20771797729</v>
      </c>
      <c r="AK5975" s="2">
        <v>1431.8324326238901</v>
      </c>
      <c r="AL5975" s="2">
        <v>1819.64254703749</v>
      </c>
      <c r="AM5975" s="2">
        <v>1990.9723062906401</v>
      </c>
      <c r="AN5975" s="2">
        <v>1256.7261136432201</v>
      </c>
      <c r="AO5975" s="2">
        <v>1763.4573891080499</v>
      </c>
      <c r="AP5975" s="2">
        <v>1653.5013687307501</v>
      </c>
    </row>
    <row r="5976" spans="1:42" ht="14.5" x14ac:dyDescent="0.35">
      <c r="A5976" s="2" t="s">
        <v>39642</v>
      </c>
      <c r="B5976" s="2">
        <v>178.12265428450101</v>
      </c>
      <c r="C5976" s="2">
        <v>3.5301</v>
      </c>
      <c r="D5976" s="2" t="s">
        <v>34</v>
      </c>
      <c r="E5976" s="2" t="s">
        <v>39643</v>
      </c>
      <c r="F5976" s="2">
        <v>211236</v>
      </c>
      <c r="G5976" s="3" t="str">
        <f>HYPERLINK("http://funmeta.oebiotech.com/network/211236", "http://funmeta.oebiotech.com/network/211236")</f>
        <v>http://funmeta.oebiotech.com/network/211236</v>
      </c>
      <c r="H5976" s="2" t="s">
        <v>39644</v>
      </c>
      <c r="I5976" s="2"/>
      <c r="J5976" s="2"/>
      <c r="K5976" s="2"/>
      <c r="L5976" s="2"/>
      <c r="M5976" s="2"/>
      <c r="N5976" s="2"/>
      <c r="O5976" s="2">
        <v>54038554</v>
      </c>
      <c r="P5976" s="2"/>
      <c r="Q5976" s="2" t="s">
        <v>39645</v>
      </c>
      <c r="R5976" s="2" t="s">
        <v>39646</v>
      </c>
      <c r="S5976" s="2" t="s">
        <v>79</v>
      </c>
      <c r="T5976" s="2" t="s">
        <v>80</v>
      </c>
      <c r="U5976" s="2" t="s">
        <v>2021</v>
      </c>
      <c r="V5976" s="2" t="s">
        <v>59</v>
      </c>
      <c r="W5976" s="2">
        <v>45.5</v>
      </c>
      <c r="X5976" s="2">
        <v>29.9</v>
      </c>
      <c r="Y5976" s="2" t="s">
        <v>141</v>
      </c>
      <c r="Z5976" s="2" t="s">
        <v>29827</v>
      </c>
      <c r="AA5976" s="2">
        <v>7.0443692665933103E-2</v>
      </c>
      <c r="AB5976" s="2">
        <v>5.3739696361467797E-2</v>
      </c>
      <c r="AC5976" s="2">
        <v>74523.639461674902</v>
      </c>
      <c r="AD5976" s="2">
        <v>73302.144538578301</v>
      </c>
      <c r="AE5976" s="2">
        <v>80516.326609097407</v>
      </c>
      <c r="AF5976" s="2">
        <v>76457.764296572394</v>
      </c>
      <c r="AG5976" s="2">
        <v>74849.331221625398</v>
      </c>
      <c r="AH5976" s="2">
        <v>73937.257098352697</v>
      </c>
      <c r="AI5976" s="2">
        <v>67301.705971957301</v>
      </c>
      <c r="AJ5976" s="2">
        <v>74079.451572444494</v>
      </c>
      <c r="AK5976" s="2">
        <v>68496.579647610604</v>
      </c>
      <c r="AL5976" s="2">
        <v>75356.823709621895</v>
      </c>
      <c r="AM5976" s="2">
        <v>78536.513589436203</v>
      </c>
      <c r="AN5976" s="2">
        <v>75568.746954730901</v>
      </c>
      <c r="AO5976" s="2">
        <v>75559.102090542598</v>
      </c>
      <c r="AP5976" s="2">
        <v>66295.101239527503</v>
      </c>
    </row>
    <row r="5977" spans="1:42" ht="14.5" x14ac:dyDescent="0.35">
      <c r="A5977" s="2" t="s">
        <v>39647</v>
      </c>
      <c r="B5977" s="2">
        <v>389.21805981648703</v>
      </c>
      <c r="C5977" s="2">
        <v>4.6673166666666699</v>
      </c>
      <c r="D5977" s="2" t="s">
        <v>70</v>
      </c>
      <c r="E5977" s="2" t="s">
        <v>39648</v>
      </c>
      <c r="F5977" s="2">
        <v>267163</v>
      </c>
      <c r="G5977" s="3" t="str">
        <f>HYPERLINK("http://funmeta.oebiotech.com/network/267163", "http://funmeta.oebiotech.com/network/267163")</f>
        <v>http://funmeta.oebiotech.com/network/267163</v>
      </c>
      <c r="H5977" s="2"/>
      <c r="I5977" s="2">
        <v>44923</v>
      </c>
      <c r="J5977" s="2"/>
      <c r="K5977" s="2"/>
      <c r="L5977" s="2"/>
      <c r="M5977" s="2"/>
      <c r="N5977" s="2"/>
      <c r="O5977" s="2">
        <v>101668701</v>
      </c>
      <c r="P5977" s="2"/>
      <c r="Q5977" s="2" t="s">
        <v>39649</v>
      </c>
      <c r="R5977" s="2" t="s">
        <v>39650</v>
      </c>
      <c r="S5977" s="2" t="s">
        <v>89</v>
      </c>
      <c r="T5977" s="2" t="s">
        <v>4218</v>
      </c>
      <c r="U5977" s="2" t="s">
        <v>5830</v>
      </c>
      <c r="V5977" s="2" t="s">
        <v>59</v>
      </c>
      <c r="W5977" s="2">
        <v>38.9</v>
      </c>
      <c r="X5977" s="2">
        <v>0</v>
      </c>
      <c r="Y5977" s="2" t="s">
        <v>408</v>
      </c>
      <c r="Z5977" s="2" t="s">
        <v>18671</v>
      </c>
      <c r="AA5977" s="2">
        <v>-9.2374421800428805E-2</v>
      </c>
      <c r="AB5977" s="2">
        <v>5.3659725518059399E-2</v>
      </c>
      <c r="AC5977" s="2">
        <v>1111.30049823064</v>
      </c>
      <c r="AD5977" s="2">
        <v>1439.1875389523</v>
      </c>
      <c r="AE5977" s="2">
        <v>906.06918212491996</v>
      </c>
      <c r="AF5977" s="2">
        <v>756.16995712231403</v>
      </c>
      <c r="AG5977" s="2">
        <v>1210.7789723374999</v>
      </c>
      <c r="AH5977" s="2">
        <v>1292.76702937445</v>
      </c>
      <c r="AI5977" s="2">
        <v>1410.9715235137401</v>
      </c>
      <c r="AJ5977" s="2">
        <v>1091.04632491092</v>
      </c>
      <c r="AK5977" s="2">
        <v>1489.9099857782001</v>
      </c>
      <c r="AL5977" s="2">
        <v>1505.38843464655</v>
      </c>
      <c r="AM5977" s="2">
        <v>1237.78844820834</v>
      </c>
      <c r="AN5977" s="2">
        <v>1407.8075272881999</v>
      </c>
      <c r="AO5977" s="2">
        <v>1102.4275715270501</v>
      </c>
      <c r="AP5977" s="2">
        <v>1891.80326626548</v>
      </c>
    </row>
    <row r="5978" spans="1:42" ht="14.5" x14ac:dyDescent="0.35">
      <c r="A5978" s="2" t="s">
        <v>39651</v>
      </c>
      <c r="B5978" s="2">
        <v>375.10840196473998</v>
      </c>
      <c r="C5978" s="2">
        <v>4.6492000000000004</v>
      </c>
      <c r="D5978" s="2" t="s">
        <v>70</v>
      </c>
      <c r="E5978" s="2" t="s">
        <v>39652</v>
      </c>
      <c r="F5978" s="2">
        <v>62000</v>
      </c>
      <c r="G5978" s="3" t="str">
        <f>HYPERLINK("http://funmeta.oebiotech.com/network/62000", "http://funmeta.oebiotech.com/network/62000")</f>
        <v>http://funmeta.oebiotech.com/network/62000</v>
      </c>
      <c r="H5978" s="2" t="s">
        <v>39653</v>
      </c>
      <c r="I5978" s="2">
        <v>93294</v>
      </c>
      <c r="J5978" s="2"/>
      <c r="K5978" s="2">
        <v>169629</v>
      </c>
      <c r="L5978" s="2"/>
      <c r="M5978" s="2"/>
      <c r="N5978" s="2"/>
      <c r="O5978" s="2">
        <v>11658413</v>
      </c>
      <c r="P5978" s="2" t="s">
        <v>39654</v>
      </c>
      <c r="Q5978" s="2" t="s">
        <v>39655</v>
      </c>
      <c r="R5978" s="2" t="s">
        <v>39656</v>
      </c>
      <c r="S5978" s="2" t="s">
        <v>491</v>
      </c>
      <c r="T5978" s="2" t="s">
        <v>2184</v>
      </c>
      <c r="U5978" s="2" t="s">
        <v>13266</v>
      </c>
      <c r="V5978" s="2" t="s">
        <v>59</v>
      </c>
      <c r="W5978" s="2">
        <v>38.799999999999997</v>
      </c>
      <c r="X5978" s="2">
        <v>0</v>
      </c>
      <c r="Y5978" s="2" t="s">
        <v>560</v>
      </c>
      <c r="Z5978" s="2" t="s">
        <v>39657</v>
      </c>
      <c r="AA5978" s="2">
        <v>-3.92594116070324</v>
      </c>
      <c r="AB5978" s="2">
        <v>5.3635685925817203E-2</v>
      </c>
      <c r="AC5978" s="2">
        <v>4630.3104634348701</v>
      </c>
      <c r="AD5978" s="2">
        <v>5062.3753338632096</v>
      </c>
      <c r="AE5978" s="2">
        <v>4759.50412992371</v>
      </c>
      <c r="AF5978" s="2">
        <v>5417.9004459135704</v>
      </c>
      <c r="AG5978" s="2">
        <v>3779.7270033274799</v>
      </c>
      <c r="AH5978" s="2">
        <v>4873.5582193055598</v>
      </c>
      <c r="AI5978" s="2">
        <v>4358.9655938373699</v>
      </c>
      <c r="AJ5978" s="2">
        <v>4592.2073883015601</v>
      </c>
      <c r="AK5978" s="2">
        <v>5179.8415787399299</v>
      </c>
      <c r="AL5978" s="2">
        <v>5289.8031461459104</v>
      </c>
      <c r="AM5978" s="2">
        <v>4628.8579819955503</v>
      </c>
      <c r="AN5978" s="2">
        <v>5524.8260886881399</v>
      </c>
      <c r="AO5978" s="2">
        <v>4496.5479760899198</v>
      </c>
      <c r="AP5978" s="2">
        <v>5254.3752315197798</v>
      </c>
    </row>
    <row r="5979" spans="1:42" ht="14.5" x14ac:dyDescent="0.35">
      <c r="A5979" s="2" t="s">
        <v>39658</v>
      </c>
      <c r="B5979" s="2">
        <v>323.087146792846</v>
      </c>
      <c r="C5979" s="2">
        <v>2.1634000000000002</v>
      </c>
      <c r="D5979" s="2" t="s">
        <v>34</v>
      </c>
      <c r="E5979" s="2" t="s">
        <v>39659</v>
      </c>
      <c r="F5979" s="2">
        <v>203158</v>
      </c>
      <c r="G5979" s="3" t="str">
        <f>HYPERLINK("http://funmeta.oebiotech.com/network/203158", "http://funmeta.oebiotech.com/network/203158")</f>
        <v>http://funmeta.oebiotech.com/network/203158</v>
      </c>
      <c r="H5979" s="2" t="s">
        <v>39660</v>
      </c>
      <c r="I5979" s="2"/>
      <c r="J5979" s="2"/>
      <c r="K5979" s="2"/>
      <c r="L5979" s="2"/>
      <c r="M5979" s="2"/>
      <c r="N5979" s="2"/>
      <c r="O5979" s="2">
        <v>83999</v>
      </c>
      <c r="P5979" s="2"/>
      <c r="Q5979" s="2" t="s">
        <v>39661</v>
      </c>
      <c r="R5979" s="2" t="s">
        <v>39662</v>
      </c>
      <c r="S5979" s="2" t="s">
        <v>491</v>
      </c>
      <c r="T5979" s="2" t="s">
        <v>7431</v>
      </c>
      <c r="U5979" s="2" t="s">
        <v>7432</v>
      </c>
      <c r="V5979" s="2" t="s">
        <v>59</v>
      </c>
      <c r="W5979" s="2">
        <v>39</v>
      </c>
      <c r="X5979" s="2">
        <v>0</v>
      </c>
      <c r="Y5979" s="2" t="s">
        <v>43</v>
      </c>
      <c r="Z5979" s="2" t="s">
        <v>39663</v>
      </c>
      <c r="AA5979" s="2">
        <v>2.62743820880099</v>
      </c>
      <c r="AB5979" s="2">
        <v>5.3398467882887601E-2</v>
      </c>
      <c r="AC5979" s="2">
        <v>5029.0793676363401</v>
      </c>
      <c r="AD5979" s="2">
        <v>4745.7192918452401</v>
      </c>
      <c r="AE5979" s="2">
        <v>4895.37666081921</v>
      </c>
      <c r="AF5979" s="2">
        <v>5259.8797654103701</v>
      </c>
      <c r="AG5979" s="2">
        <v>5219.8102644853398</v>
      </c>
      <c r="AH5979" s="2">
        <v>5139.4322990004302</v>
      </c>
      <c r="AI5979" s="2">
        <v>4671.2655587459403</v>
      </c>
      <c r="AJ5979" s="2">
        <v>4988.71165735672</v>
      </c>
      <c r="AK5979" s="2">
        <v>4761.8391900861598</v>
      </c>
      <c r="AL5979" s="2">
        <v>4800.7132524393701</v>
      </c>
      <c r="AM5979" s="2">
        <v>4664.7854349334102</v>
      </c>
      <c r="AN5979" s="2">
        <v>4739.1646247495</v>
      </c>
      <c r="AO5979" s="2">
        <v>4556.8962568356301</v>
      </c>
      <c r="AP5979" s="2">
        <v>4950.9169920273698</v>
      </c>
    </row>
    <row r="5980" spans="1:42" ht="14.5" x14ac:dyDescent="0.35">
      <c r="A5980" s="2" t="s">
        <v>39664</v>
      </c>
      <c r="B5980" s="2">
        <v>310.15419305362701</v>
      </c>
      <c r="C5980" s="2">
        <v>10.6603666666667</v>
      </c>
      <c r="D5980" s="2" t="s">
        <v>34</v>
      </c>
      <c r="E5980" s="2" t="s">
        <v>39665</v>
      </c>
      <c r="F5980" s="2">
        <v>56737</v>
      </c>
      <c r="G5980" s="3" t="str">
        <f>HYPERLINK("http://funmeta.oebiotech.com/network/56737", "http://funmeta.oebiotech.com/network/56737")</f>
        <v>http://funmeta.oebiotech.com/network/56737</v>
      </c>
      <c r="H5980" s="2" t="s">
        <v>39666</v>
      </c>
      <c r="I5980" s="2">
        <v>88410</v>
      </c>
      <c r="J5980" s="2"/>
      <c r="K5980" s="2"/>
      <c r="L5980" s="2"/>
      <c r="M5980" s="2"/>
      <c r="N5980" s="2"/>
      <c r="O5980" s="2">
        <v>11221120</v>
      </c>
      <c r="P5980" s="2" t="s">
        <v>39667</v>
      </c>
      <c r="Q5980" s="2" t="s">
        <v>39668</v>
      </c>
      <c r="R5980" s="2" t="s">
        <v>39669</v>
      </c>
      <c r="S5980" s="2" t="s">
        <v>89</v>
      </c>
      <c r="T5980" s="2" t="s">
        <v>90</v>
      </c>
      <c r="U5980" s="2" t="s">
        <v>99</v>
      </c>
      <c r="V5980" s="2" t="s">
        <v>59</v>
      </c>
      <c r="W5980" s="2">
        <v>38.4</v>
      </c>
      <c r="X5980" s="2">
        <v>0</v>
      </c>
      <c r="Y5980" s="2" t="s">
        <v>141</v>
      </c>
      <c r="Z5980" s="2" t="s">
        <v>39670</v>
      </c>
      <c r="AA5980" s="2">
        <v>-2.47660824662545</v>
      </c>
      <c r="AB5980" s="2">
        <v>5.3361251386932103E-2</v>
      </c>
      <c r="AC5980" s="2">
        <v>395.78313478745702</v>
      </c>
      <c r="AD5980" s="2">
        <v>615.10624554108801</v>
      </c>
      <c r="AE5980" s="2">
        <v>410.18103594651501</v>
      </c>
      <c r="AF5980" s="2">
        <v>444.25062299583902</v>
      </c>
      <c r="AG5980" s="2">
        <v>411.02309351831099</v>
      </c>
      <c r="AH5980" s="2">
        <v>507.59497332597499</v>
      </c>
      <c r="AI5980" s="2">
        <v>291.13152179465999</v>
      </c>
      <c r="AJ5980" s="2">
        <v>310.51756114344499</v>
      </c>
      <c r="AK5980" s="2">
        <v>660.02093697576504</v>
      </c>
      <c r="AL5980" s="2">
        <v>563.36787513282104</v>
      </c>
      <c r="AM5980" s="2">
        <v>520.06716755574598</v>
      </c>
      <c r="AN5980" s="2">
        <v>625.26869693835397</v>
      </c>
      <c r="AO5980" s="2">
        <v>674.70064442010096</v>
      </c>
      <c r="AP5980" s="2">
        <v>647.21215222374406</v>
      </c>
    </row>
    <row r="5981" spans="1:42" ht="14.5" x14ac:dyDescent="0.35">
      <c r="A5981" s="2" t="s">
        <v>39671</v>
      </c>
      <c r="B5981" s="2">
        <v>141.06963304168801</v>
      </c>
      <c r="C5981" s="2">
        <v>7.6440666666666699</v>
      </c>
      <c r="D5981" s="2" t="s">
        <v>34</v>
      </c>
      <c r="E5981" s="2" t="s">
        <v>39672</v>
      </c>
      <c r="F5981" s="2">
        <v>57129</v>
      </c>
      <c r="G5981" s="3" t="str">
        <f>HYPERLINK("http://funmeta.oebiotech.com/network/57129", "http://funmeta.oebiotech.com/network/57129")</f>
        <v>http://funmeta.oebiotech.com/network/57129</v>
      </c>
      <c r="H5981" s="2" t="s">
        <v>39673</v>
      </c>
      <c r="I5981" s="2">
        <v>88779</v>
      </c>
      <c r="J5981" s="2"/>
      <c r="K5981" s="2"/>
      <c r="L5981" s="2"/>
      <c r="M5981" s="2"/>
      <c r="N5981" s="2"/>
      <c r="O5981" s="2">
        <v>7119</v>
      </c>
      <c r="P5981" s="2" t="s">
        <v>39674</v>
      </c>
      <c r="Q5981" s="2" t="s">
        <v>39675</v>
      </c>
      <c r="R5981" s="2" t="s">
        <v>39676</v>
      </c>
      <c r="S5981" s="2" t="s">
        <v>148</v>
      </c>
      <c r="T5981" s="2" t="s">
        <v>6221</v>
      </c>
      <c r="U5981" s="2" t="s">
        <v>41</v>
      </c>
      <c r="V5981" s="2" t="s">
        <v>59</v>
      </c>
      <c r="W5981" s="2">
        <v>37.299999999999997</v>
      </c>
      <c r="X5981" s="2">
        <v>0</v>
      </c>
      <c r="Y5981" s="2" t="s">
        <v>141</v>
      </c>
      <c r="Z5981" s="2" t="s">
        <v>39677</v>
      </c>
      <c r="AA5981" s="2">
        <v>-1.54136581085323</v>
      </c>
      <c r="AB5981" s="2">
        <v>5.3319657495758399E-2</v>
      </c>
      <c r="AC5981" s="2">
        <v>11245.923771129699</v>
      </c>
      <c r="AD5981" s="2">
        <v>11761.974997143499</v>
      </c>
      <c r="AE5981" s="2">
        <v>10697.2370398817</v>
      </c>
      <c r="AF5981" s="2">
        <v>11207.4161550713</v>
      </c>
      <c r="AG5981" s="2">
        <v>11570.089250847101</v>
      </c>
      <c r="AH5981" s="2">
        <v>11804.8521725472</v>
      </c>
      <c r="AI5981" s="2">
        <v>10165.868758881201</v>
      </c>
      <c r="AJ5981" s="2">
        <v>12030.079249549401</v>
      </c>
      <c r="AK5981" s="2">
        <v>11352.4121688261</v>
      </c>
      <c r="AL5981" s="2">
        <v>11654.085981480601</v>
      </c>
      <c r="AM5981" s="2">
        <v>12933.7787159656</v>
      </c>
      <c r="AN5981" s="2">
        <v>11954.7638615344</v>
      </c>
      <c r="AO5981" s="2">
        <v>11935.281011060901</v>
      </c>
      <c r="AP5981" s="2">
        <v>10741.5282439931</v>
      </c>
    </row>
    <row r="5982" spans="1:42" ht="14.5" x14ac:dyDescent="0.35">
      <c r="A5982" s="2" t="s">
        <v>39678</v>
      </c>
      <c r="B5982" s="2">
        <v>607.25718076857197</v>
      </c>
      <c r="C5982" s="2">
        <v>4.3632666666666697</v>
      </c>
      <c r="D5982" s="2" t="s">
        <v>34</v>
      </c>
      <c r="E5982" s="2" t="s">
        <v>39679</v>
      </c>
      <c r="F5982" s="2">
        <v>55762</v>
      </c>
      <c r="G5982" s="3" t="str">
        <f>HYPERLINK("http://funmeta.oebiotech.com/network/55762", "http://funmeta.oebiotech.com/network/55762")</f>
        <v>http://funmeta.oebiotech.com/network/55762</v>
      </c>
      <c r="H5982" s="2" t="s">
        <v>39680</v>
      </c>
      <c r="I5982" s="2"/>
      <c r="J5982" s="2"/>
      <c r="K5982" s="2">
        <v>38258</v>
      </c>
      <c r="L5982" s="2"/>
      <c r="M5982" s="2"/>
      <c r="N5982" s="2"/>
      <c r="O5982" s="2"/>
      <c r="P5982" s="2" t="s">
        <v>39681</v>
      </c>
      <c r="Q5982" s="2" t="s">
        <v>39682</v>
      </c>
      <c r="R5982" s="2" t="s">
        <v>39683</v>
      </c>
      <c r="S5982" s="2" t="s">
        <v>491</v>
      </c>
      <c r="T5982" s="2" t="s">
        <v>492</v>
      </c>
      <c r="U5982" s="2" t="s">
        <v>5931</v>
      </c>
      <c r="V5982" s="2" t="s">
        <v>59</v>
      </c>
      <c r="W5982" s="2">
        <v>38.1</v>
      </c>
      <c r="X5982" s="2">
        <v>0</v>
      </c>
      <c r="Y5982" s="2" t="s">
        <v>394</v>
      </c>
      <c r="Z5982" s="2" t="s">
        <v>39684</v>
      </c>
      <c r="AA5982" s="2">
        <v>3.4136363274549502</v>
      </c>
      <c r="AB5982" s="2">
        <v>5.3253235348091101E-2</v>
      </c>
      <c r="AC5982" s="2">
        <v>13353.3816332064</v>
      </c>
      <c r="AD5982" s="2">
        <v>12361.1825362538</v>
      </c>
      <c r="AE5982" s="2">
        <v>9407.9038537485594</v>
      </c>
      <c r="AF5982" s="2">
        <v>13326.021509263001</v>
      </c>
      <c r="AG5982" s="2">
        <v>17809.272629711399</v>
      </c>
      <c r="AH5982" s="2">
        <v>10368.716009472901</v>
      </c>
      <c r="AI5982" s="2">
        <v>11772.2472426355</v>
      </c>
      <c r="AJ5982" s="2">
        <v>17436.1285544073</v>
      </c>
      <c r="AK5982" s="2">
        <v>15655.612371900301</v>
      </c>
      <c r="AL5982" s="2">
        <v>12101.127065635999</v>
      </c>
      <c r="AM5982" s="2">
        <v>14148.364997106</v>
      </c>
      <c r="AN5982" s="2">
        <v>10434.858762042</v>
      </c>
      <c r="AO5982" s="2">
        <v>9797.5028651667108</v>
      </c>
      <c r="AP5982" s="2">
        <v>12029.629155671901</v>
      </c>
    </row>
    <row r="5983" spans="1:42" ht="14.5" x14ac:dyDescent="0.35">
      <c r="A5983" s="2" t="s">
        <v>39685</v>
      </c>
      <c r="B5983" s="2">
        <v>359.01343277885599</v>
      </c>
      <c r="C5983" s="2">
        <v>9.3829499999999992</v>
      </c>
      <c r="D5983" s="2" t="s">
        <v>70</v>
      </c>
      <c r="E5983" s="2" t="s">
        <v>39686</v>
      </c>
      <c r="F5983" s="2">
        <v>56158</v>
      </c>
      <c r="G5983" s="3" t="str">
        <f>HYPERLINK("http://funmeta.oebiotech.com/network/56158", "http://funmeta.oebiotech.com/network/56158")</f>
        <v>http://funmeta.oebiotech.com/network/56158</v>
      </c>
      <c r="H5983" s="2" t="s">
        <v>39687</v>
      </c>
      <c r="I5983" s="2">
        <v>87849</v>
      </c>
      <c r="J5983" s="2"/>
      <c r="K5983" s="2"/>
      <c r="L5983" s="2"/>
      <c r="M5983" s="2"/>
      <c r="N5983" s="2"/>
      <c r="O5983" s="2">
        <v>17696</v>
      </c>
      <c r="P5983" s="2" t="s">
        <v>39688</v>
      </c>
      <c r="Q5983" s="2" t="s">
        <v>39689</v>
      </c>
      <c r="R5983" s="2" t="s">
        <v>39690</v>
      </c>
      <c r="S5983" s="2" t="s">
        <v>491</v>
      </c>
      <c r="T5983" s="2" t="s">
        <v>39691</v>
      </c>
      <c r="U5983" s="2" t="s">
        <v>41</v>
      </c>
      <c r="V5983" s="2" t="s">
        <v>59</v>
      </c>
      <c r="W5983" s="2">
        <v>36.700000000000003</v>
      </c>
      <c r="X5983" s="2">
        <v>0</v>
      </c>
      <c r="Y5983" s="2" t="s">
        <v>560</v>
      </c>
      <c r="Z5983" s="2" t="s">
        <v>39692</v>
      </c>
      <c r="AA5983" s="2">
        <v>1.34003908741655</v>
      </c>
      <c r="AB5983" s="2">
        <v>5.3245871193891799E-2</v>
      </c>
      <c r="AC5983" s="2">
        <v>8807.0878693878403</v>
      </c>
      <c r="AD5983" s="2">
        <v>9215.9362573587005</v>
      </c>
      <c r="AE5983" s="2">
        <v>8453.94465423765</v>
      </c>
      <c r="AF5983" s="2">
        <v>8770.1166003640501</v>
      </c>
      <c r="AG5983" s="2">
        <v>8936.2635820051291</v>
      </c>
      <c r="AH5983" s="2">
        <v>9335.3528826194306</v>
      </c>
      <c r="AI5983" s="2">
        <v>9111.0243523364297</v>
      </c>
      <c r="AJ5983" s="2">
        <v>8235.8251447643397</v>
      </c>
      <c r="AK5983" s="2">
        <v>8903.3624584065892</v>
      </c>
      <c r="AL5983" s="2">
        <v>8996.9515275000595</v>
      </c>
      <c r="AM5983" s="2">
        <v>9692.0058945424498</v>
      </c>
      <c r="AN5983" s="2">
        <v>8913.5594141404599</v>
      </c>
      <c r="AO5983" s="2">
        <v>9959.4161609352395</v>
      </c>
      <c r="AP5983" s="2">
        <v>8830.3220886273702</v>
      </c>
    </row>
    <row r="5984" spans="1:42" ht="14.5" x14ac:dyDescent="0.35">
      <c r="A5984" s="2" t="s">
        <v>39693</v>
      </c>
      <c r="B5984" s="2">
        <v>675.09578269222197</v>
      </c>
      <c r="C5984" s="2">
        <v>0.83808333333333296</v>
      </c>
      <c r="D5984" s="2" t="s">
        <v>70</v>
      </c>
      <c r="E5984" s="2" t="s">
        <v>39694</v>
      </c>
      <c r="F5984" s="2">
        <v>48655</v>
      </c>
      <c r="G5984" s="3" t="str">
        <f>HYPERLINK("http://funmeta.oebiotech.com/network/48655", "http://funmeta.oebiotech.com/network/48655")</f>
        <v>http://funmeta.oebiotech.com/network/48655</v>
      </c>
      <c r="H5984" s="2" t="s">
        <v>39695</v>
      </c>
      <c r="I5984" s="2">
        <v>58346</v>
      </c>
      <c r="J5984" s="2"/>
      <c r="K5984" s="2">
        <v>16805</v>
      </c>
      <c r="L5984" s="2" t="s">
        <v>39696</v>
      </c>
      <c r="M5984" s="2" t="s">
        <v>15688</v>
      </c>
      <c r="N5984" s="2" t="s">
        <v>15689</v>
      </c>
      <c r="O5984" s="2">
        <v>16019958</v>
      </c>
      <c r="P5984" s="2" t="s">
        <v>39697</v>
      </c>
      <c r="Q5984" s="2" t="s">
        <v>39698</v>
      </c>
      <c r="R5984" s="2" t="s">
        <v>39699</v>
      </c>
      <c r="S5984" s="2" t="s">
        <v>79</v>
      </c>
      <c r="T5984" s="2" t="s">
        <v>80</v>
      </c>
      <c r="U5984" s="2" t="s">
        <v>81</v>
      </c>
      <c r="V5984" s="2" t="s">
        <v>59</v>
      </c>
      <c r="W5984" s="2">
        <v>39.4</v>
      </c>
      <c r="X5984" s="2">
        <v>0</v>
      </c>
      <c r="Y5984" s="2" t="s">
        <v>560</v>
      </c>
      <c r="Z5984" s="2" t="s">
        <v>39700</v>
      </c>
      <c r="AA5984" s="2">
        <v>3.8057575184667798E-2</v>
      </c>
      <c r="AB5984" s="2">
        <v>5.3190155568834802E-2</v>
      </c>
      <c r="AC5984" s="2">
        <v>13125.1755322807</v>
      </c>
      <c r="AD5984" s="2">
        <v>13934.7279142066</v>
      </c>
      <c r="AE5984" s="2">
        <v>13707.2148752055</v>
      </c>
      <c r="AF5984" s="2">
        <v>11585.5014475103</v>
      </c>
      <c r="AG5984" s="2">
        <v>10236.206448855801</v>
      </c>
      <c r="AH5984" s="2">
        <v>14962.252245727301</v>
      </c>
      <c r="AI5984" s="2">
        <v>13095.4868503955</v>
      </c>
      <c r="AJ5984" s="2">
        <v>15164.3913259898</v>
      </c>
      <c r="AK5984" s="2">
        <v>12529.7625202377</v>
      </c>
      <c r="AL5984" s="2">
        <v>14419.626511831901</v>
      </c>
      <c r="AM5984" s="2">
        <v>11925.230147653299</v>
      </c>
      <c r="AN5984" s="2">
        <v>12606.257095213599</v>
      </c>
      <c r="AO5984" s="2">
        <v>15755.253163875999</v>
      </c>
      <c r="AP5984" s="2">
        <v>16372.238046427001</v>
      </c>
    </row>
    <row r="5985" spans="1:42" ht="14.5" x14ac:dyDescent="0.35">
      <c r="A5985" s="2" t="s">
        <v>39701</v>
      </c>
      <c r="B5985" s="2">
        <v>342.98364790543502</v>
      </c>
      <c r="C5985" s="2">
        <v>0.65605000000000002</v>
      </c>
      <c r="D5985" s="2" t="s">
        <v>70</v>
      </c>
      <c r="E5985" s="2" t="s">
        <v>39702</v>
      </c>
      <c r="F5985" s="2">
        <v>211652</v>
      </c>
      <c r="G5985" s="3" t="str">
        <f>HYPERLINK("http://funmeta.oebiotech.com/network/211652", "http://funmeta.oebiotech.com/network/211652")</f>
        <v>http://funmeta.oebiotech.com/network/211652</v>
      </c>
      <c r="H5985" s="2" t="s">
        <v>39703</v>
      </c>
      <c r="I5985" s="2"/>
      <c r="J5985" s="2"/>
      <c r="K5985" s="2"/>
      <c r="L5985" s="2"/>
      <c r="M5985" s="2"/>
      <c r="N5985" s="2"/>
      <c r="O5985" s="2">
        <v>87131396</v>
      </c>
      <c r="P5985" s="2"/>
      <c r="Q5985" s="2" t="s">
        <v>39704</v>
      </c>
      <c r="R5985" s="2" t="s">
        <v>39705</v>
      </c>
      <c r="S5985" s="2" t="s">
        <v>41</v>
      </c>
      <c r="T5985" s="2" t="s">
        <v>41</v>
      </c>
      <c r="U5985" s="2" t="s">
        <v>41</v>
      </c>
      <c r="V5985" s="2" t="s">
        <v>59</v>
      </c>
      <c r="W5985" s="2">
        <v>38.700000000000003</v>
      </c>
      <c r="X5985" s="2">
        <v>0</v>
      </c>
      <c r="Y5985" s="2" t="s">
        <v>560</v>
      </c>
      <c r="Z5985" s="2" t="s">
        <v>39706</v>
      </c>
      <c r="AA5985" s="2">
        <v>-2.6409240521132502</v>
      </c>
      <c r="AB5985" s="2">
        <v>5.3176691947282299E-2</v>
      </c>
      <c r="AC5985" s="2">
        <v>2627.76426280431</v>
      </c>
      <c r="AD5985" s="2">
        <v>2212.4647788428701</v>
      </c>
      <c r="AE5985" s="2">
        <v>2825.7448346434599</v>
      </c>
      <c r="AF5985" s="2">
        <v>2919.3846747882499</v>
      </c>
      <c r="AG5985" s="2">
        <v>2904.8234196121698</v>
      </c>
      <c r="AH5985" s="2">
        <v>2625.03946855092</v>
      </c>
      <c r="AI5985" s="2">
        <v>2079.5655098421098</v>
      </c>
      <c r="AJ5985" s="2">
        <v>2412.02766938894</v>
      </c>
      <c r="AK5985" s="2">
        <v>2680.5963976016801</v>
      </c>
      <c r="AL5985" s="2">
        <v>2926.3049720827498</v>
      </c>
      <c r="AM5985" s="2">
        <v>2278.2283621029001</v>
      </c>
      <c r="AN5985" s="2">
        <v>1997.30916653539</v>
      </c>
      <c r="AO5985" s="2">
        <v>2133.1924975445399</v>
      </c>
      <c r="AP5985" s="2">
        <v>1259.15727718993</v>
      </c>
    </row>
    <row r="5986" spans="1:42" ht="14.5" x14ac:dyDescent="0.35">
      <c r="A5986" s="2" t="s">
        <v>39707</v>
      </c>
      <c r="B5986" s="2">
        <v>374.12422708674302</v>
      </c>
      <c r="C5986" s="2">
        <v>3.8073333333333301</v>
      </c>
      <c r="D5986" s="2" t="s">
        <v>34</v>
      </c>
      <c r="E5986" s="2" t="s">
        <v>39708</v>
      </c>
      <c r="F5986" s="2">
        <v>32818</v>
      </c>
      <c r="G5986" s="3" t="str">
        <f>HYPERLINK("http://funmeta.oebiotech.com/network/32818", "http://funmeta.oebiotech.com/network/32818")</f>
        <v>http://funmeta.oebiotech.com/network/32818</v>
      </c>
      <c r="H5986" s="2"/>
      <c r="I5986" s="2">
        <v>51147</v>
      </c>
      <c r="J5986" s="2" t="s">
        <v>39709</v>
      </c>
      <c r="K5986" s="2"/>
      <c r="L5986" s="2"/>
      <c r="M5986" s="2"/>
      <c r="N5986" s="2"/>
      <c r="O5986" s="2">
        <v>386324</v>
      </c>
      <c r="P5986" s="2"/>
      <c r="Q5986" s="2" t="s">
        <v>39710</v>
      </c>
      <c r="R5986" s="2" t="s">
        <v>39711</v>
      </c>
      <c r="S5986" s="2" t="s">
        <v>115</v>
      </c>
      <c r="T5986" s="2" t="s">
        <v>139</v>
      </c>
      <c r="U5986" s="2" t="s">
        <v>1552</v>
      </c>
      <c r="V5986" s="2" t="s">
        <v>59</v>
      </c>
      <c r="W5986" s="2">
        <v>43.3</v>
      </c>
      <c r="X5986" s="2">
        <v>23.5</v>
      </c>
      <c r="Y5986" s="2" t="s">
        <v>43</v>
      </c>
      <c r="Z5986" s="2" t="s">
        <v>39712</v>
      </c>
      <c r="AA5986" s="2">
        <v>2.2429936077936601</v>
      </c>
      <c r="AB5986" s="2">
        <v>5.3067403839126399E-2</v>
      </c>
      <c r="AC5986" s="2">
        <v>13641.3754125263</v>
      </c>
      <c r="AD5986" s="2">
        <v>14244.296046022901</v>
      </c>
      <c r="AE5986" s="2">
        <v>13884.837511732199</v>
      </c>
      <c r="AF5986" s="2">
        <v>14715.8692981199</v>
      </c>
      <c r="AG5986" s="2">
        <v>12239.3712524115</v>
      </c>
      <c r="AH5986" s="2">
        <v>14062.5296245765</v>
      </c>
      <c r="AI5986" s="2">
        <v>12501.6175593593</v>
      </c>
      <c r="AJ5986" s="2">
        <v>14444.027228958401</v>
      </c>
      <c r="AK5986" s="2">
        <v>13345.444708489</v>
      </c>
      <c r="AL5986" s="2">
        <v>14152.516160384301</v>
      </c>
      <c r="AM5986" s="2">
        <v>13549.229111221401</v>
      </c>
      <c r="AN5986" s="2">
        <v>13663.710648136401</v>
      </c>
      <c r="AO5986" s="2">
        <v>15877.1356620181</v>
      </c>
      <c r="AP5986" s="2">
        <v>14877.7399858882</v>
      </c>
    </row>
    <row r="5987" spans="1:42" ht="14.5" x14ac:dyDescent="0.35">
      <c r="A5987" s="2" t="s">
        <v>39713</v>
      </c>
      <c r="B5987" s="2">
        <v>327.10512846809098</v>
      </c>
      <c r="C5987" s="2">
        <v>4.1410833333333299</v>
      </c>
      <c r="D5987" s="2" t="s">
        <v>34</v>
      </c>
      <c r="E5987" s="2" t="s">
        <v>39714</v>
      </c>
      <c r="F5987" s="2">
        <v>257460</v>
      </c>
      <c r="G5987" s="3" t="str">
        <f>HYPERLINK("http://funmeta.oebiotech.com/network/257460", "http://funmeta.oebiotech.com/network/257460")</f>
        <v>http://funmeta.oebiotech.com/network/257460</v>
      </c>
      <c r="H5987" s="2" t="s">
        <v>39715</v>
      </c>
      <c r="I5987" s="2"/>
      <c r="J5987" s="2"/>
      <c r="K5987" s="2"/>
      <c r="L5987" s="2"/>
      <c r="M5987" s="2"/>
      <c r="N5987" s="2"/>
      <c r="O5987" s="2"/>
      <c r="P5987" s="2"/>
      <c r="Q5987" s="2" t="s">
        <v>39716</v>
      </c>
      <c r="R5987" s="2" t="s">
        <v>39717</v>
      </c>
      <c r="S5987" s="2" t="s">
        <v>41</v>
      </c>
      <c r="T5987" s="2" t="s">
        <v>41</v>
      </c>
      <c r="U5987" s="2" t="s">
        <v>41</v>
      </c>
      <c r="V5987" s="2" t="s">
        <v>59</v>
      </c>
      <c r="W5987" s="2">
        <v>37.1</v>
      </c>
      <c r="X5987" s="2">
        <v>0</v>
      </c>
      <c r="Y5987" s="2" t="s">
        <v>323</v>
      </c>
      <c r="Z5987" s="2" t="s">
        <v>39718</v>
      </c>
      <c r="AA5987" s="2">
        <v>-4.1011250053703696</v>
      </c>
      <c r="AB5987" s="2">
        <v>5.3066721419996202E-2</v>
      </c>
      <c r="AC5987" s="2">
        <v>4872.65968250485</v>
      </c>
      <c r="AD5987" s="2">
        <v>4330.39302948766</v>
      </c>
      <c r="AE5987" s="2">
        <v>4564.0336729651399</v>
      </c>
      <c r="AF5987" s="2">
        <v>6547.8779918871096</v>
      </c>
      <c r="AG5987" s="2">
        <v>4411.9797680640504</v>
      </c>
      <c r="AH5987" s="2">
        <v>3757.0521970403302</v>
      </c>
      <c r="AI5987" s="2">
        <v>4343.2680027678198</v>
      </c>
      <c r="AJ5987" s="2">
        <v>5611.7464623046299</v>
      </c>
      <c r="AK5987" s="2">
        <v>3641.2284683804701</v>
      </c>
      <c r="AL5987" s="2">
        <v>4086.65815373226</v>
      </c>
      <c r="AM5987" s="2">
        <v>4861.9495955951897</v>
      </c>
      <c r="AN5987" s="2">
        <v>4356.82884848499</v>
      </c>
      <c r="AO5987" s="2">
        <v>5147.3565266508303</v>
      </c>
      <c r="AP5987" s="2">
        <v>3888.3365840821898</v>
      </c>
    </row>
    <row r="5988" spans="1:42" ht="14.5" x14ac:dyDescent="0.35">
      <c r="A5988" s="2" t="s">
        <v>39719</v>
      </c>
      <c r="B5988" s="2">
        <v>461.22100711379602</v>
      </c>
      <c r="C5988" s="2">
        <v>11.2145166666667</v>
      </c>
      <c r="D5988" s="2" t="s">
        <v>34</v>
      </c>
      <c r="E5988" s="2" t="s">
        <v>39720</v>
      </c>
      <c r="F5988" s="2">
        <v>211034</v>
      </c>
      <c r="G5988" s="3" t="str">
        <f>HYPERLINK("http://funmeta.oebiotech.com/network/211034", "http://funmeta.oebiotech.com/network/211034")</f>
        <v>http://funmeta.oebiotech.com/network/211034</v>
      </c>
      <c r="H5988" s="2" t="s">
        <v>39721</v>
      </c>
      <c r="I5988" s="2"/>
      <c r="J5988" s="2"/>
      <c r="K5988" s="2"/>
      <c r="L5988" s="2"/>
      <c r="M5988" s="2"/>
      <c r="N5988" s="2"/>
      <c r="O5988" s="2">
        <v>3505088</v>
      </c>
      <c r="P5988" s="2"/>
      <c r="Q5988" s="2" t="s">
        <v>39722</v>
      </c>
      <c r="R5988" s="2" t="s">
        <v>39723</v>
      </c>
      <c r="S5988" s="2" t="s">
        <v>41</v>
      </c>
      <c r="T5988" s="2" t="s">
        <v>41</v>
      </c>
      <c r="U5988" s="2" t="s">
        <v>41</v>
      </c>
      <c r="V5988" s="2" t="s">
        <v>59</v>
      </c>
      <c r="W5988" s="2">
        <v>38</v>
      </c>
      <c r="X5988" s="2">
        <v>0</v>
      </c>
      <c r="Y5988" s="2" t="s">
        <v>323</v>
      </c>
      <c r="Z5988" s="2" t="s">
        <v>39724</v>
      </c>
      <c r="AA5988" s="2">
        <v>2.4147621516085001</v>
      </c>
      <c r="AB5988" s="2">
        <v>5.3026087038469102E-2</v>
      </c>
      <c r="AC5988" s="2">
        <v>11245.672140731</v>
      </c>
      <c r="AD5988" s="2">
        <v>11785.822573572301</v>
      </c>
      <c r="AE5988" s="2">
        <v>11200.534933324599</v>
      </c>
      <c r="AF5988" s="2">
        <v>12492.3333692737</v>
      </c>
      <c r="AG5988" s="2">
        <v>11105.082564616399</v>
      </c>
      <c r="AH5988" s="2">
        <v>10369.0713273644</v>
      </c>
      <c r="AI5988" s="2">
        <v>10811.8545379442</v>
      </c>
      <c r="AJ5988" s="2">
        <v>11495.1561118625</v>
      </c>
      <c r="AK5988" s="2">
        <v>10791.550872106</v>
      </c>
      <c r="AL5988" s="2">
        <v>10825.818487961</v>
      </c>
      <c r="AM5988" s="2">
        <v>12268.500190689199</v>
      </c>
      <c r="AN5988" s="2">
        <v>13105.9957353184</v>
      </c>
      <c r="AO5988" s="2">
        <v>11532.1644184375</v>
      </c>
      <c r="AP5988" s="2">
        <v>12190.905736922001</v>
      </c>
    </row>
    <row r="5989" spans="1:42" ht="14.5" x14ac:dyDescent="0.35">
      <c r="A5989" s="2" t="s">
        <v>39725</v>
      </c>
      <c r="B5989" s="2">
        <v>195.137964635712</v>
      </c>
      <c r="C5989" s="2">
        <v>9.9015833333333294</v>
      </c>
      <c r="D5989" s="2" t="s">
        <v>34</v>
      </c>
      <c r="E5989" s="2" t="s">
        <v>39726</v>
      </c>
      <c r="F5989" s="2">
        <v>277884</v>
      </c>
      <c r="G5989" s="3" t="str">
        <f>HYPERLINK("http://funmeta.oebiotech.com/network/277884", "http://funmeta.oebiotech.com/network/277884")</f>
        <v>http://funmeta.oebiotech.com/network/277884</v>
      </c>
      <c r="H5989" s="2"/>
      <c r="I5989" s="2">
        <v>69955</v>
      </c>
      <c r="J5989" s="2"/>
      <c r="K5989" s="2"/>
      <c r="L5989" s="2" t="s">
        <v>39727</v>
      </c>
      <c r="M5989" s="2"/>
      <c r="N5989" s="2"/>
      <c r="O5989" s="2">
        <v>29354</v>
      </c>
      <c r="P5989" s="2" t="s">
        <v>39728</v>
      </c>
      <c r="Q5989" s="2" t="s">
        <v>39729</v>
      </c>
      <c r="R5989" s="2" t="s">
        <v>39730</v>
      </c>
      <c r="S5989" s="2" t="s">
        <v>148</v>
      </c>
      <c r="T5989" s="2" t="s">
        <v>392</v>
      </c>
      <c r="U5989" s="2" t="s">
        <v>39731</v>
      </c>
      <c r="V5989" s="2" t="s">
        <v>59</v>
      </c>
      <c r="W5989" s="2">
        <v>39.4</v>
      </c>
      <c r="X5989" s="2">
        <v>0</v>
      </c>
      <c r="Y5989" s="2" t="s">
        <v>394</v>
      </c>
      <c r="Z5989" s="2" t="s">
        <v>21481</v>
      </c>
      <c r="AA5989" s="2">
        <v>4.3204569545309303E-2</v>
      </c>
      <c r="AB5989" s="2">
        <v>5.2998862093204001E-2</v>
      </c>
      <c r="AC5989" s="2">
        <v>4329.9474358922698</v>
      </c>
      <c r="AD5989" s="2">
        <v>4737.8305164257399</v>
      </c>
      <c r="AE5989" s="2">
        <v>3742.09268477047</v>
      </c>
      <c r="AF5989" s="2">
        <v>3962.6392222190102</v>
      </c>
      <c r="AG5989" s="2">
        <v>4362.8285614328897</v>
      </c>
      <c r="AH5989" s="2">
        <v>4947.5411905413002</v>
      </c>
      <c r="AI5989" s="2">
        <v>4538.59740495809</v>
      </c>
      <c r="AJ5989" s="2">
        <v>4425.9855514318597</v>
      </c>
      <c r="AK5989" s="2">
        <v>5267.14301714061</v>
      </c>
      <c r="AL5989" s="2">
        <v>4674.0883968039298</v>
      </c>
      <c r="AM5989" s="2">
        <v>4305.3250655002603</v>
      </c>
      <c r="AN5989" s="2">
        <v>4169.8185747913803</v>
      </c>
      <c r="AO5989" s="2">
        <v>4780.1086858240196</v>
      </c>
      <c r="AP5989" s="2">
        <v>5230.4993584942504</v>
      </c>
    </row>
    <row r="5990" spans="1:42" ht="14.5" x14ac:dyDescent="0.35">
      <c r="A5990" s="2" t="s">
        <v>39732</v>
      </c>
      <c r="B5990" s="2">
        <v>395.01312070479599</v>
      </c>
      <c r="C5990" s="2">
        <v>9.7717833333333299</v>
      </c>
      <c r="D5990" s="2" t="s">
        <v>70</v>
      </c>
      <c r="E5990" s="2" t="s">
        <v>39733</v>
      </c>
      <c r="F5990" s="2">
        <v>211386</v>
      </c>
      <c r="G5990" s="3" t="str">
        <f>HYPERLINK("http://funmeta.oebiotech.com/network/211386", "http://funmeta.oebiotech.com/network/211386")</f>
        <v>http://funmeta.oebiotech.com/network/211386</v>
      </c>
      <c r="H5990" s="2" t="s">
        <v>39734</v>
      </c>
      <c r="I5990" s="2"/>
      <c r="J5990" s="2"/>
      <c r="K5990" s="2"/>
      <c r="L5990" s="2"/>
      <c r="M5990" s="2"/>
      <c r="N5990" s="2"/>
      <c r="O5990" s="2">
        <v>22027528</v>
      </c>
      <c r="P5990" s="2"/>
      <c r="Q5990" s="2" t="s">
        <v>39735</v>
      </c>
      <c r="R5990" s="2" t="s">
        <v>39736</v>
      </c>
      <c r="S5990" s="2" t="s">
        <v>41</v>
      </c>
      <c r="T5990" s="2" t="s">
        <v>41</v>
      </c>
      <c r="U5990" s="2" t="s">
        <v>41</v>
      </c>
      <c r="V5990" s="2" t="s">
        <v>59</v>
      </c>
      <c r="W5990" s="2">
        <v>37.9</v>
      </c>
      <c r="X5990" s="2">
        <v>0</v>
      </c>
      <c r="Y5990" s="2" t="s">
        <v>560</v>
      </c>
      <c r="Z5990" s="2" t="s">
        <v>39737</v>
      </c>
      <c r="AA5990" s="2">
        <v>1.44188588235556</v>
      </c>
      <c r="AB5990" s="2">
        <v>5.2954633767661602E-2</v>
      </c>
      <c r="AC5990" s="2">
        <v>5376.2806124240396</v>
      </c>
      <c r="AD5990" s="2">
        <v>5970.9823043517199</v>
      </c>
      <c r="AE5990" s="2">
        <v>5764.21610484131</v>
      </c>
      <c r="AF5990" s="2">
        <v>4996.6679015377003</v>
      </c>
      <c r="AG5990" s="2">
        <v>5596.18102798578</v>
      </c>
      <c r="AH5990" s="2">
        <v>5836.4552560003103</v>
      </c>
      <c r="AI5990" s="2">
        <v>4549.2814896419304</v>
      </c>
      <c r="AJ5990" s="2">
        <v>5514.8818945372004</v>
      </c>
      <c r="AK5990" s="2">
        <v>7244.8397974928703</v>
      </c>
      <c r="AL5990" s="2">
        <v>7612.3026833637596</v>
      </c>
      <c r="AM5990" s="2">
        <v>4366.54210682337</v>
      </c>
      <c r="AN5990" s="2">
        <v>5709.1028421966103</v>
      </c>
      <c r="AO5990" s="2">
        <v>5044.0765238928298</v>
      </c>
      <c r="AP5990" s="2">
        <v>5849.0298723408596</v>
      </c>
    </row>
    <row r="5991" spans="1:42" ht="14.5" x14ac:dyDescent="0.35">
      <c r="A5991" s="2" t="s">
        <v>39738</v>
      </c>
      <c r="B5991" s="2">
        <v>592.22267673592501</v>
      </c>
      <c r="C5991" s="2">
        <v>5.0964166666666699</v>
      </c>
      <c r="D5991" s="2" t="s">
        <v>70</v>
      </c>
      <c r="E5991" s="2" t="s">
        <v>39739</v>
      </c>
      <c r="F5991" s="2">
        <v>198440</v>
      </c>
      <c r="G5991" s="3" t="str">
        <f>HYPERLINK("http://funmeta.oebiotech.com/network/198440", "http://funmeta.oebiotech.com/network/198440")</f>
        <v>http://funmeta.oebiotech.com/network/198440</v>
      </c>
      <c r="H5991" s="2" t="s">
        <v>39740</v>
      </c>
      <c r="I5991" s="2"/>
      <c r="J5991" s="2"/>
      <c r="K5991" s="2">
        <v>166739</v>
      </c>
      <c r="L5991" s="2"/>
      <c r="M5991" s="2"/>
      <c r="N5991" s="2"/>
      <c r="O5991" s="2">
        <v>145453483</v>
      </c>
      <c r="P5991" s="2"/>
      <c r="Q5991" s="2" t="s">
        <v>39741</v>
      </c>
      <c r="R5991" s="2" t="s">
        <v>39742</v>
      </c>
      <c r="S5991" s="2" t="s">
        <v>41</v>
      </c>
      <c r="T5991" s="2" t="s">
        <v>41</v>
      </c>
      <c r="U5991" s="2" t="s">
        <v>41</v>
      </c>
      <c r="V5991" s="2" t="s">
        <v>59</v>
      </c>
      <c r="W5991" s="2">
        <v>36.6</v>
      </c>
      <c r="X5991" s="2">
        <v>0</v>
      </c>
      <c r="Y5991" s="2" t="s">
        <v>118</v>
      </c>
      <c r="Z5991" s="2" t="s">
        <v>39743</v>
      </c>
      <c r="AA5991" s="2">
        <v>-4.86387687444258</v>
      </c>
      <c r="AB5991" s="2">
        <v>5.2931544562181201E-2</v>
      </c>
      <c r="AC5991" s="2">
        <v>9907.2798986692505</v>
      </c>
      <c r="AD5991" s="2">
        <v>9280.7626246207201</v>
      </c>
      <c r="AE5991" s="2">
        <v>10622.6697501086</v>
      </c>
      <c r="AF5991" s="2">
        <v>9398.6201744298905</v>
      </c>
      <c r="AG5991" s="2">
        <v>9088.5236409193203</v>
      </c>
      <c r="AH5991" s="2">
        <v>9586.4561240939693</v>
      </c>
      <c r="AI5991" s="2">
        <v>11009.5717612099</v>
      </c>
      <c r="AJ5991" s="2">
        <v>9737.8379412538306</v>
      </c>
      <c r="AK5991" s="2">
        <v>8253.3704580332305</v>
      </c>
      <c r="AL5991" s="2">
        <v>11597.810336762999</v>
      </c>
      <c r="AM5991" s="2">
        <v>9762.0427469982005</v>
      </c>
      <c r="AN5991" s="2">
        <v>7624.7800718811905</v>
      </c>
      <c r="AO5991" s="2">
        <v>9547.9373030338302</v>
      </c>
      <c r="AP5991" s="2">
        <v>8898.6348310148696</v>
      </c>
    </row>
    <row r="5992" spans="1:42" ht="14.5" x14ac:dyDescent="0.35">
      <c r="A5992" s="2" t="s">
        <v>39744</v>
      </c>
      <c r="B5992" s="2">
        <v>390.29743346676202</v>
      </c>
      <c r="C5992" s="2">
        <v>11.3656166666667</v>
      </c>
      <c r="D5992" s="2" t="s">
        <v>34</v>
      </c>
      <c r="E5992" s="2" t="s">
        <v>39745</v>
      </c>
      <c r="F5992" s="2">
        <v>8973</v>
      </c>
      <c r="G5992" s="3" t="str">
        <f>HYPERLINK("http://funmeta.oebiotech.com/network/8973", "http://funmeta.oebiotech.com/network/8973")</f>
        <v>http://funmeta.oebiotech.com/network/8973</v>
      </c>
      <c r="H5992" s="2"/>
      <c r="I5992" s="2">
        <v>45493</v>
      </c>
      <c r="J5992" s="2" t="s">
        <v>39746</v>
      </c>
      <c r="K5992" s="2"/>
      <c r="L5992" s="2"/>
      <c r="M5992" s="2"/>
      <c r="N5992" s="2"/>
      <c r="O5992" s="2">
        <v>69757690</v>
      </c>
      <c r="P5992" s="2" t="s">
        <v>39747</v>
      </c>
      <c r="Q5992" s="2" t="s">
        <v>39748</v>
      </c>
      <c r="R5992" s="2" t="s">
        <v>39749</v>
      </c>
      <c r="S5992" s="2" t="s">
        <v>89</v>
      </c>
      <c r="T5992" s="2" t="s">
        <v>90</v>
      </c>
      <c r="U5992" s="2" t="s">
        <v>99</v>
      </c>
      <c r="V5992" s="2" t="s">
        <v>59</v>
      </c>
      <c r="W5992" s="2">
        <v>37.4</v>
      </c>
      <c r="X5992" s="2">
        <v>0</v>
      </c>
      <c r="Y5992" s="2" t="s">
        <v>323</v>
      </c>
      <c r="Z5992" s="2" t="s">
        <v>39750</v>
      </c>
      <c r="AA5992" s="2">
        <v>-1.17446620057743</v>
      </c>
      <c r="AB5992" s="2">
        <v>5.2924752340733398E-2</v>
      </c>
      <c r="AC5992" s="2">
        <v>1941.85504529485</v>
      </c>
      <c r="AD5992" s="2">
        <v>1328.85214469892</v>
      </c>
      <c r="AE5992" s="2">
        <v>1602.62103506931</v>
      </c>
      <c r="AF5992" s="2">
        <v>1893.59775787066</v>
      </c>
      <c r="AG5992" s="2">
        <v>1242.49887519149</v>
      </c>
      <c r="AH5992" s="2">
        <v>2456.2768328317002</v>
      </c>
      <c r="AI5992" s="2">
        <v>1546.39367295598</v>
      </c>
      <c r="AJ5992" s="2">
        <v>2909.7420978499699</v>
      </c>
      <c r="AK5992" s="2">
        <v>313.86531218236399</v>
      </c>
      <c r="AL5992" s="2">
        <v>1141.8454857024101</v>
      </c>
      <c r="AM5992" s="2">
        <v>514.45825901719695</v>
      </c>
      <c r="AN5992" s="2">
        <v>1008.65408057001</v>
      </c>
      <c r="AO5992" s="2">
        <v>901.40452797411297</v>
      </c>
      <c r="AP5992" s="2">
        <v>4092.8852027473999</v>
      </c>
    </row>
    <row r="5993" spans="1:42" ht="14.5" x14ac:dyDescent="0.35">
      <c r="A5993" s="2" t="s">
        <v>39751</v>
      </c>
      <c r="B5993" s="2">
        <v>305.08200997894301</v>
      </c>
      <c r="C5993" s="2">
        <v>0.54008333333333303</v>
      </c>
      <c r="D5993" s="2" t="s">
        <v>70</v>
      </c>
      <c r="E5993" s="2" t="s">
        <v>39752</v>
      </c>
      <c r="F5993" s="2">
        <v>57116</v>
      </c>
      <c r="G5993" s="3" t="str">
        <f>HYPERLINK("http://funmeta.oebiotech.com/network/57116", "http://funmeta.oebiotech.com/network/57116")</f>
        <v>http://funmeta.oebiotech.com/network/57116</v>
      </c>
      <c r="H5993" s="2" t="s">
        <v>39753</v>
      </c>
      <c r="I5993" s="2">
        <v>88767</v>
      </c>
      <c r="J5993" s="2"/>
      <c r="K5993" s="2">
        <v>174926</v>
      </c>
      <c r="L5993" s="2"/>
      <c r="M5993" s="2"/>
      <c r="N5993" s="2"/>
      <c r="O5993" s="2">
        <v>73121825</v>
      </c>
      <c r="P5993" s="2"/>
      <c r="Q5993" s="2" t="s">
        <v>39754</v>
      </c>
      <c r="R5993" s="2" t="s">
        <v>39755</v>
      </c>
      <c r="S5993" s="2" t="s">
        <v>148</v>
      </c>
      <c r="T5993" s="2" t="s">
        <v>6221</v>
      </c>
      <c r="U5993" s="2" t="s">
        <v>11964</v>
      </c>
      <c r="V5993" s="2" t="s">
        <v>59</v>
      </c>
      <c r="W5993" s="2">
        <v>38.9</v>
      </c>
      <c r="X5993" s="2">
        <v>0</v>
      </c>
      <c r="Y5993" s="2" t="s">
        <v>118</v>
      </c>
      <c r="Z5993" s="2" t="s">
        <v>39756</v>
      </c>
      <c r="AA5993" s="2">
        <v>0.25314098197149398</v>
      </c>
      <c r="AB5993" s="2">
        <v>5.2842016575056501E-2</v>
      </c>
      <c r="AC5993" s="2">
        <v>1229.1992943682301</v>
      </c>
      <c r="AD5993" s="2">
        <v>1469.4213648834</v>
      </c>
      <c r="AE5993" s="2">
        <v>1274.6847817636799</v>
      </c>
      <c r="AF5993" s="2">
        <v>1090.0809596945301</v>
      </c>
      <c r="AG5993" s="2">
        <v>1252.38686359286</v>
      </c>
      <c r="AH5993" s="2">
        <v>1185.7343403704799</v>
      </c>
      <c r="AI5993" s="2">
        <v>1272.6833437759501</v>
      </c>
      <c r="AJ5993" s="2">
        <v>1299.6254770118601</v>
      </c>
      <c r="AK5993" s="2">
        <v>1505.74060512866</v>
      </c>
      <c r="AL5993" s="2">
        <v>1545.4704525525101</v>
      </c>
      <c r="AM5993" s="2">
        <v>1655.75404002801</v>
      </c>
      <c r="AN5993" s="2">
        <v>1285.0629435357</v>
      </c>
      <c r="AO5993" s="2">
        <v>1489.1223255606401</v>
      </c>
      <c r="AP5993" s="2">
        <v>1335.3778224948601</v>
      </c>
    </row>
    <row r="5994" spans="1:42" ht="14.5" x14ac:dyDescent="0.35">
      <c r="A5994" s="2" t="s">
        <v>39757</v>
      </c>
      <c r="B5994" s="2">
        <v>325.05320023420302</v>
      </c>
      <c r="C5994" s="2">
        <v>0.67131666666666701</v>
      </c>
      <c r="D5994" s="2" t="s">
        <v>70</v>
      </c>
      <c r="E5994" s="2" t="s">
        <v>39758</v>
      </c>
      <c r="F5994" s="2">
        <v>47697</v>
      </c>
      <c r="G5994" s="3" t="str">
        <f>HYPERLINK("http://funmeta.oebiotech.com/network/47697", "http://funmeta.oebiotech.com/network/47697")</f>
        <v>http://funmeta.oebiotech.com/network/47697</v>
      </c>
      <c r="H5994" s="2" t="s">
        <v>39759</v>
      </c>
      <c r="I5994" s="2">
        <v>784</v>
      </c>
      <c r="J5994" s="2"/>
      <c r="K5994" s="2">
        <v>28939</v>
      </c>
      <c r="L5994" s="2" t="s">
        <v>39760</v>
      </c>
      <c r="M5994" s="2"/>
      <c r="N5994" s="2"/>
      <c r="O5994" s="2">
        <v>12035</v>
      </c>
      <c r="P5994" s="2" t="s">
        <v>39761</v>
      </c>
      <c r="Q5994" s="2" t="s">
        <v>39762</v>
      </c>
      <c r="R5994" s="2" t="s">
        <v>39763</v>
      </c>
      <c r="S5994" s="2" t="s">
        <v>89</v>
      </c>
      <c r="T5994" s="2" t="s">
        <v>90</v>
      </c>
      <c r="U5994" s="2" t="s">
        <v>99</v>
      </c>
      <c r="V5994" s="2" t="s">
        <v>59</v>
      </c>
      <c r="W5994" s="2">
        <v>38.6</v>
      </c>
      <c r="X5994" s="2">
        <v>0</v>
      </c>
      <c r="Y5994" s="2" t="s">
        <v>560</v>
      </c>
      <c r="Z5994" s="2" t="s">
        <v>39764</v>
      </c>
      <c r="AA5994" s="2">
        <v>-0.46506080047559301</v>
      </c>
      <c r="AB5994" s="2">
        <v>5.28340728377798E-2</v>
      </c>
      <c r="AC5994" s="2">
        <v>241.17978886113301</v>
      </c>
      <c r="AD5994" s="2">
        <v>2.7106294003980101E-5</v>
      </c>
      <c r="AE5994" s="2">
        <v>2.7106294003980101E-5</v>
      </c>
      <c r="AF5994" s="2">
        <v>474.93641713089897</v>
      </c>
      <c r="AG5994" s="2">
        <v>160.53591179016499</v>
      </c>
      <c r="AH5994" s="2">
        <v>304.471436196279</v>
      </c>
      <c r="AI5994" s="2">
        <v>201.65017071446701</v>
      </c>
      <c r="AJ5994" s="2">
        <v>305.484770228694</v>
      </c>
      <c r="AK5994" s="2">
        <v>2.7106294003980101E-5</v>
      </c>
      <c r="AL5994" s="2">
        <v>2.7106294003980101E-5</v>
      </c>
      <c r="AM5994" s="2">
        <v>2.7106294003980101E-5</v>
      </c>
      <c r="AN5994" s="2">
        <v>2.7106294003980101E-5</v>
      </c>
      <c r="AO5994" s="2">
        <v>2.7106294003980101E-5</v>
      </c>
      <c r="AP5994" s="2">
        <v>2.7106294003980101E-5</v>
      </c>
    </row>
    <row r="5995" spans="1:42" ht="14.5" x14ac:dyDescent="0.35">
      <c r="A5995" s="2" t="s">
        <v>39765</v>
      </c>
      <c r="B5995" s="2">
        <v>312.09991137181601</v>
      </c>
      <c r="C5995" s="2">
        <v>4.6304499999999997</v>
      </c>
      <c r="D5995" s="2" t="s">
        <v>70</v>
      </c>
      <c r="E5995" s="2" t="s">
        <v>39766</v>
      </c>
      <c r="F5995" s="2">
        <v>201639</v>
      </c>
      <c r="G5995" s="3" t="str">
        <f>HYPERLINK("http://funmeta.oebiotech.com/network/201639", "http://funmeta.oebiotech.com/network/201639")</f>
        <v>http://funmeta.oebiotech.com/network/201639</v>
      </c>
      <c r="H5995" s="2" t="s">
        <v>39767</v>
      </c>
      <c r="I5995" s="2"/>
      <c r="J5995" s="2"/>
      <c r="K5995" s="2"/>
      <c r="L5995" s="2"/>
      <c r="M5995" s="2"/>
      <c r="N5995" s="2"/>
      <c r="O5995" s="2">
        <v>130395</v>
      </c>
      <c r="P5995" s="2"/>
      <c r="Q5995" s="2" t="s">
        <v>39768</v>
      </c>
      <c r="R5995" s="2" t="s">
        <v>39769</v>
      </c>
      <c r="S5995" s="2" t="s">
        <v>115</v>
      </c>
      <c r="T5995" s="2" t="s">
        <v>2833</v>
      </c>
      <c r="U5995" s="2" t="s">
        <v>41</v>
      </c>
      <c r="V5995" s="2" t="s">
        <v>59</v>
      </c>
      <c r="W5995" s="2">
        <v>38.299999999999997</v>
      </c>
      <c r="X5995" s="2">
        <v>0</v>
      </c>
      <c r="Y5995" s="2" t="s">
        <v>118</v>
      </c>
      <c r="Z5995" s="2" t="s">
        <v>39770</v>
      </c>
      <c r="AA5995" s="2">
        <v>2.9760827468025899</v>
      </c>
      <c r="AB5995" s="2">
        <v>5.27321400244046E-2</v>
      </c>
      <c r="AC5995" s="2">
        <v>5903.5294466942596</v>
      </c>
      <c r="AD5995" s="2">
        <v>5592.2184858324199</v>
      </c>
      <c r="AE5995" s="2">
        <v>5851.1026745839299</v>
      </c>
      <c r="AF5995" s="2">
        <v>5992.2623539866399</v>
      </c>
      <c r="AG5995" s="2">
        <v>5496.8857444016003</v>
      </c>
      <c r="AH5995" s="2">
        <v>5876.28184527349</v>
      </c>
      <c r="AI5995" s="2">
        <v>6215.9108313060196</v>
      </c>
      <c r="AJ5995" s="2">
        <v>5988.7332306138696</v>
      </c>
      <c r="AK5995" s="2">
        <v>5829.8461380940498</v>
      </c>
      <c r="AL5995" s="2">
        <v>5842.7026595708003</v>
      </c>
      <c r="AM5995" s="2">
        <v>5394.2463228880697</v>
      </c>
      <c r="AN5995" s="2">
        <v>5494.0322108039099</v>
      </c>
      <c r="AO5995" s="2">
        <v>5684.8994075652399</v>
      </c>
      <c r="AP5995" s="2">
        <v>5307.5841760724497</v>
      </c>
    </row>
    <row r="5996" spans="1:42" ht="14.5" x14ac:dyDescent="0.35">
      <c r="A5996" s="2" t="s">
        <v>39771</v>
      </c>
      <c r="B5996" s="2">
        <v>333.097909662419</v>
      </c>
      <c r="C5996" s="2">
        <v>4.7402166666666696</v>
      </c>
      <c r="D5996" s="2" t="s">
        <v>70</v>
      </c>
      <c r="E5996" s="2" t="s">
        <v>39772</v>
      </c>
      <c r="F5996" s="2">
        <v>266647</v>
      </c>
      <c r="G5996" s="3" t="str">
        <f>HYPERLINK("http://funmeta.oebiotech.com/network/266647", "http://funmeta.oebiotech.com/network/266647")</f>
        <v>http://funmeta.oebiotech.com/network/266647</v>
      </c>
      <c r="H5996" s="2"/>
      <c r="I5996" s="2">
        <v>43714</v>
      </c>
      <c r="J5996" s="2"/>
      <c r="K5996" s="2"/>
      <c r="L5996" s="2"/>
      <c r="M5996" s="2"/>
      <c r="N5996" s="2"/>
      <c r="O5996" s="2">
        <v>6728940</v>
      </c>
      <c r="P5996" s="2"/>
      <c r="Q5996" s="2" t="s">
        <v>39773</v>
      </c>
      <c r="R5996" s="2" t="s">
        <v>39774</v>
      </c>
      <c r="S5996" s="2" t="s">
        <v>148</v>
      </c>
      <c r="T5996" s="2" t="s">
        <v>149</v>
      </c>
      <c r="U5996" s="2" t="s">
        <v>25393</v>
      </c>
      <c r="V5996" s="2" t="s">
        <v>59</v>
      </c>
      <c r="W5996" s="2">
        <v>39.299999999999997</v>
      </c>
      <c r="X5996" s="2">
        <v>0</v>
      </c>
      <c r="Y5996" s="2" t="s">
        <v>408</v>
      </c>
      <c r="Z5996" s="2" t="s">
        <v>39775</v>
      </c>
      <c r="AA5996" s="2">
        <v>-0.23192833669410601</v>
      </c>
      <c r="AB5996" s="2">
        <v>5.2717605595996898E-2</v>
      </c>
      <c r="AC5996" s="2">
        <v>1427.1103708552901</v>
      </c>
      <c r="AD5996" s="2">
        <v>1780.9982295335201</v>
      </c>
      <c r="AE5996" s="2">
        <v>1509.62522657923</v>
      </c>
      <c r="AF5996" s="2">
        <v>1556.3567033858501</v>
      </c>
      <c r="AG5996" s="2">
        <v>1894.41927227881</v>
      </c>
      <c r="AH5996" s="2">
        <v>1384.78320313226</v>
      </c>
      <c r="AI5996" s="2">
        <v>833.12647110737703</v>
      </c>
      <c r="AJ5996" s="2">
        <v>1384.35134864823</v>
      </c>
      <c r="AK5996" s="2">
        <v>1565.0542112390599</v>
      </c>
      <c r="AL5996" s="2">
        <v>2142.5965370622598</v>
      </c>
      <c r="AM5996" s="2">
        <v>1545.75465186618</v>
      </c>
      <c r="AN5996" s="2">
        <v>1909.8226140265699</v>
      </c>
      <c r="AO5996" s="2">
        <v>1995.9210441724699</v>
      </c>
      <c r="AP5996" s="2">
        <v>1526.8403188345901</v>
      </c>
    </row>
    <row r="5997" spans="1:42" ht="14.5" x14ac:dyDescent="0.35">
      <c r="A5997" s="2" t="s">
        <v>39776</v>
      </c>
      <c r="B5997" s="2">
        <v>441.17457377042598</v>
      </c>
      <c r="C5997" s="2">
        <v>5.3202666666666696</v>
      </c>
      <c r="D5997" s="2" t="s">
        <v>70</v>
      </c>
      <c r="E5997" s="2" t="s">
        <v>39777</v>
      </c>
      <c r="F5997" s="2">
        <v>47020</v>
      </c>
      <c r="G5997" s="3" t="str">
        <f>HYPERLINK("http://funmeta.oebiotech.com/network/47020", "http://funmeta.oebiotech.com/network/47020")</f>
        <v>http://funmeta.oebiotech.com/network/47020</v>
      </c>
      <c r="H5997" s="2" t="s">
        <v>39778</v>
      </c>
      <c r="I5997" s="2"/>
      <c r="J5997" s="2"/>
      <c r="K5997" s="2">
        <v>166566</v>
      </c>
      <c r="L5997" s="2"/>
      <c r="M5997" s="2"/>
      <c r="N5997" s="2"/>
      <c r="O5997" s="2">
        <v>14055971</v>
      </c>
      <c r="P5997" s="2" t="s">
        <v>39779</v>
      </c>
      <c r="Q5997" s="2" t="s">
        <v>39780</v>
      </c>
      <c r="R5997" s="2" t="s">
        <v>39781</v>
      </c>
      <c r="S5997" s="2" t="s">
        <v>491</v>
      </c>
      <c r="T5997" s="2" t="s">
        <v>4914</v>
      </c>
      <c r="U5997" s="2" t="s">
        <v>4915</v>
      </c>
      <c r="V5997" s="2" t="s">
        <v>59</v>
      </c>
      <c r="W5997" s="2">
        <v>38.6</v>
      </c>
      <c r="X5997" s="2">
        <v>0</v>
      </c>
      <c r="Y5997" s="2" t="s">
        <v>560</v>
      </c>
      <c r="Z5997" s="2" t="s">
        <v>39782</v>
      </c>
      <c r="AA5997" s="2">
        <v>-1.58086146859631</v>
      </c>
      <c r="AB5997" s="2">
        <v>5.2659704284136299E-2</v>
      </c>
      <c r="AC5997" s="2">
        <v>14899.685471188001</v>
      </c>
      <c r="AD5997" s="2">
        <v>14278.6209136914</v>
      </c>
      <c r="AE5997" s="2">
        <v>13475.818273659501</v>
      </c>
      <c r="AF5997" s="2">
        <v>15103.3649551833</v>
      </c>
      <c r="AG5997" s="2">
        <v>14277.337881302399</v>
      </c>
      <c r="AH5997" s="2">
        <v>14910.954198658501</v>
      </c>
      <c r="AI5997" s="2">
        <v>14223.662533499601</v>
      </c>
      <c r="AJ5997" s="2">
        <v>17406.974984824599</v>
      </c>
      <c r="AK5997" s="2">
        <v>13868.545964569799</v>
      </c>
      <c r="AL5997" s="2">
        <v>14988.9936577063</v>
      </c>
      <c r="AM5997" s="2">
        <v>15544.4025525082</v>
      </c>
      <c r="AN5997" s="2">
        <v>14070.3771035147</v>
      </c>
      <c r="AO5997" s="2">
        <v>13414.0887496217</v>
      </c>
      <c r="AP5997" s="2">
        <v>13785.317454227499</v>
      </c>
    </row>
    <row r="5998" spans="1:42" ht="14.5" x14ac:dyDescent="0.35">
      <c r="A5998" s="2" t="s">
        <v>39783</v>
      </c>
      <c r="B5998" s="2">
        <v>232.92203838232399</v>
      </c>
      <c r="C5998" s="2">
        <v>0.65605000000000002</v>
      </c>
      <c r="D5998" s="2" t="s">
        <v>70</v>
      </c>
      <c r="E5998" s="2" t="s">
        <v>39784</v>
      </c>
      <c r="F5998" s="2">
        <v>201812</v>
      </c>
      <c r="G5998" s="3" t="str">
        <f>HYPERLINK("http://funmeta.oebiotech.com/network/201812", "http://funmeta.oebiotech.com/network/201812")</f>
        <v>http://funmeta.oebiotech.com/network/201812</v>
      </c>
      <c r="H5998" s="2" t="s">
        <v>39785</v>
      </c>
      <c r="I5998" s="2"/>
      <c r="J5998" s="2"/>
      <c r="K5998" s="2"/>
      <c r="L5998" s="2"/>
      <c r="M5998" s="2"/>
      <c r="N5998" s="2"/>
      <c r="O5998" s="2">
        <v>619777</v>
      </c>
      <c r="P5998" s="2"/>
      <c r="Q5998" s="2" t="s">
        <v>39786</v>
      </c>
      <c r="R5998" s="2" t="s">
        <v>39787</v>
      </c>
      <c r="S5998" s="2" t="s">
        <v>491</v>
      </c>
      <c r="T5998" s="2" t="s">
        <v>3519</v>
      </c>
      <c r="U5998" s="2" t="s">
        <v>7152</v>
      </c>
      <c r="V5998" s="2" t="s">
        <v>59</v>
      </c>
      <c r="W5998" s="2">
        <v>37.6</v>
      </c>
      <c r="X5998" s="2">
        <v>9.7200000000000006</v>
      </c>
      <c r="Y5998" s="2" t="s">
        <v>751</v>
      </c>
      <c r="Z5998" s="2" t="s">
        <v>39788</v>
      </c>
      <c r="AA5998" s="2">
        <v>1.2070086778673901</v>
      </c>
      <c r="AB5998" s="2">
        <v>5.2633104989543503E-2</v>
      </c>
      <c r="AC5998" s="2">
        <v>13022.3892473778</v>
      </c>
      <c r="AD5998" s="2">
        <v>12063.3651593991</v>
      </c>
      <c r="AE5998" s="2">
        <v>7783.2730093027003</v>
      </c>
      <c r="AF5998" s="2">
        <v>18145.7281075924</v>
      </c>
      <c r="AG5998" s="2">
        <v>13330.5840234393</v>
      </c>
      <c r="AH5998" s="2">
        <v>11752.206347842301</v>
      </c>
      <c r="AI5998" s="2">
        <v>15155.9169888139</v>
      </c>
      <c r="AJ5998" s="2">
        <v>11966.6270072761</v>
      </c>
      <c r="AK5998" s="2">
        <v>11523.039224214899</v>
      </c>
      <c r="AL5998" s="2">
        <v>10482.0328693298</v>
      </c>
      <c r="AM5998" s="2">
        <v>10735.4151463377</v>
      </c>
      <c r="AN5998" s="2">
        <v>12953.8502256752</v>
      </c>
      <c r="AO5998" s="2">
        <v>13346.2220990101</v>
      </c>
      <c r="AP5998" s="2">
        <v>13339.631391826601</v>
      </c>
    </row>
    <row r="5999" spans="1:42" ht="14.5" x14ac:dyDescent="0.35">
      <c r="A5999" s="2" t="s">
        <v>39789</v>
      </c>
      <c r="B5999" s="2">
        <v>485.19956082214202</v>
      </c>
      <c r="C5999" s="2">
        <v>4.3961833333333296</v>
      </c>
      <c r="D5999" s="2" t="s">
        <v>34</v>
      </c>
      <c r="E5999" s="2" t="s">
        <v>39790</v>
      </c>
      <c r="F5999" s="2">
        <v>208460</v>
      </c>
      <c r="G5999" s="3" t="str">
        <f>HYPERLINK("http://funmeta.oebiotech.com/network/208460", "http://funmeta.oebiotech.com/network/208460")</f>
        <v>http://funmeta.oebiotech.com/network/208460</v>
      </c>
      <c r="H5999" s="2" t="s">
        <v>39791</v>
      </c>
      <c r="I5999" s="2"/>
      <c r="J5999" s="2"/>
      <c r="K5999" s="2"/>
      <c r="L5999" s="2"/>
      <c r="M5999" s="2"/>
      <c r="N5999" s="2"/>
      <c r="O5999" s="2">
        <v>90860307</v>
      </c>
      <c r="P5999" s="2"/>
      <c r="Q5999" s="2" t="s">
        <v>39792</v>
      </c>
      <c r="R5999" s="2" t="s">
        <v>39793</v>
      </c>
      <c r="S5999" s="2" t="s">
        <v>41</v>
      </c>
      <c r="T5999" s="2" t="s">
        <v>41</v>
      </c>
      <c r="U5999" s="2" t="s">
        <v>41</v>
      </c>
      <c r="V5999" s="2" t="s">
        <v>59</v>
      </c>
      <c r="W5999" s="2">
        <v>37.299999999999997</v>
      </c>
      <c r="X5999" s="2">
        <v>0</v>
      </c>
      <c r="Y5999" s="2" t="s">
        <v>394</v>
      </c>
      <c r="Z5999" s="2" t="s">
        <v>39794</v>
      </c>
      <c r="AA5999" s="2">
        <v>2.8017559893494801</v>
      </c>
      <c r="AB5999" s="2">
        <v>5.2586279558615202E-2</v>
      </c>
      <c r="AC5999" s="2">
        <v>9591.5676846749902</v>
      </c>
      <c r="AD5999" s="2">
        <v>8907.04376657168</v>
      </c>
      <c r="AE5999" s="2">
        <v>11221.1398859809</v>
      </c>
      <c r="AF5999" s="2">
        <v>10140.9733223939</v>
      </c>
      <c r="AG5999" s="2">
        <v>10811.0707122077</v>
      </c>
      <c r="AH5999" s="2">
        <v>6441.1278980371399</v>
      </c>
      <c r="AI5999" s="2">
        <v>8412.6189846949001</v>
      </c>
      <c r="AJ5999" s="2">
        <v>10522.475304735401</v>
      </c>
      <c r="AK5999" s="2">
        <v>9262.4595863321501</v>
      </c>
      <c r="AL5999" s="2">
        <v>9891.1801524567309</v>
      </c>
      <c r="AM5999" s="2">
        <v>8241.6868949912296</v>
      </c>
      <c r="AN5999" s="2">
        <v>8114.7785143275996</v>
      </c>
      <c r="AO5999" s="2">
        <v>7923.3538759348703</v>
      </c>
      <c r="AP5999" s="2">
        <v>10008.803575387499</v>
      </c>
    </row>
    <row r="6000" spans="1:42" ht="14.5" x14ac:dyDescent="0.35">
      <c r="A6000" s="2" t="s">
        <v>39795</v>
      </c>
      <c r="B6000" s="2">
        <v>326.24749810345998</v>
      </c>
      <c r="C6000" s="2">
        <v>9.10178333333333</v>
      </c>
      <c r="D6000" s="2" t="s">
        <v>34</v>
      </c>
      <c r="E6000" s="2" t="s">
        <v>39796</v>
      </c>
      <c r="F6000" s="2">
        <v>199981</v>
      </c>
      <c r="G6000" s="3" t="str">
        <f>HYPERLINK("http://funmeta.oebiotech.com/network/199981", "http://funmeta.oebiotech.com/network/199981")</f>
        <v>http://funmeta.oebiotech.com/network/199981</v>
      </c>
      <c r="H6000" s="2" t="s">
        <v>39797</v>
      </c>
      <c r="I6000" s="2"/>
      <c r="J6000" s="2"/>
      <c r="K6000" s="2"/>
      <c r="L6000" s="2"/>
      <c r="M6000" s="2"/>
      <c r="N6000" s="2"/>
      <c r="O6000" s="2">
        <v>5512</v>
      </c>
      <c r="P6000" s="2"/>
      <c r="Q6000" s="2" t="s">
        <v>39798</v>
      </c>
      <c r="R6000" s="2" t="s">
        <v>39799</v>
      </c>
      <c r="S6000" s="2" t="s">
        <v>148</v>
      </c>
      <c r="T6000" s="2" t="s">
        <v>149</v>
      </c>
      <c r="U6000" s="2" t="s">
        <v>3473</v>
      </c>
      <c r="V6000" s="2" t="s">
        <v>59</v>
      </c>
      <c r="W6000" s="2">
        <v>42.9</v>
      </c>
      <c r="X6000" s="2">
        <v>23.8</v>
      </c>
      <c r="Y6000" s="2" t="s">
        <v>266</v>
      </c>
      <c r="Z6000" s="2" t="s">
        <v>39800</v>
      </c>
      <c r="AA6000" s="2">
        <v>-1.0544412568211901</v>
      </c>
      <c r="AB6000" s="2">
        <v>5.2399861382743197E-2</v>
      </c>
      <c r="AC6000" s="2">
        <v>13770.0508483588</v>
      </c>
      <c r="AD6000" s="2">
        <v>13281.872361195599</v>
      </c>
      <c r="AE6000" s="2">
        <v>14624.1874677619</v>
      </c>
      <c r="AF6000" s="2">
        <v>14417.247147618</v>
      </c>
      <c r="AG6000" s="2">
        <v>13037.592355802701</v>
      </c>
      <c r="AH6000" s="2">
        <v>13847.238183846301</v>
      </c>
      <c r="AI6000" s="2">
        <v>12379.239191933</v>
      </c>
      <c r="AJ6000" s="2">
        <v>14314.800743190701</v>
      </c>
      <c r="AK6000" s="2">
        <v>14013.5193421353</v>
      </c>
      <c r="AL6000" s="2">
        <v>12789.9752984347</v>
      </c>
      <c r="AM6000" s="2">
        <v>13235.291064241201</v>
      </c>
      <c r="AN6000" s="2">
        <v>13353.575279631201</v>
      </c>
      <c r="AO6000" s="2">
        <v>13432.0289474728</v>
      </c>
      <c r="AP6000" s="2">
        <v>12866.844235258601</v>
      </c>
    </row>
    <row r="6001" spans="1:42" ht="14.5" x14ac:dyDescent="0.35">
      <c r="A6001" s="2" t="s">
        <v>39801</v>
      </c>
      <c r="B6001" s="2">
        <v>572.32079047976094</v>
      </c>
      <c r="C6001" s="2">
        <v>6.57588333333333</v>
      </c>
      <c r="D6001" s="2" t="s">
        <v>70</v>
      </c>
      <c r="E6001" s="2" t="s">
        <v>39802</v>
      </c>
      <c r="F6001" s="2">
        <v>266710</v>
      </c>
      <c r="G6001" s="3" t="str">
        <f>HYPERLINK("http://funmeta.oebiotech.com/network/266710", "http://funmeta.oebiotech.com/network/266710")</f>
        <v>http://funmeta.oebiotech.com/network/266710</v>
      </c>
      <c r="H6001" s="2"/>
      <c r="I6001" s="2">
        <v>43815</v>
      </c>
      <c r="J6001" s="2"/>
      <c r="K6001" s="2"/>
      <c r="L6001" s="2"/>
      <c r="M6001" s="2"/>
      <c r="N6001" s="2"/>
      <c r="O6001" s="2">
        <v>5380394</v>
      </c>
      <c r="P6001" s="2" t="s">
        <v>39803</v>
      </c>
      <c r="Q6001" s="2" t="s">
        <v>39804</v>
      </c>
      <c r="R6001" s="2" t="s">
        <v>39805</v>
      </c>
      <c r="S6001" s="2" t="s">
        <v>50</v>
      </c>
      <c r="T6001" s="2" t="s">
        <v>124</v>
      </c>
      <c r="U6001" s="2" t="s">
        <v>9346</v>
      </c>
      <c r="V6001" s="2" t="s">
        <v>59</v>
      </c>
      <c r="W6001" s="2">
        <v>38.1</v>
      </c>
      <c r="X6001" s="2">
        <v>0</v>
      </c>
      <c r="Y6001" s="2" t="s">
        <v>751</v>
      </c>
      <c r="Z6001" s="2" t="s">
        <v>34273</v>
      </c>
      <c r="AA6001" s="2">
        <v>-3.5521864037761</v>
      </c>
      <c r="AB6001" s="2">
        <v>5.2392756924331998E-2</v>
      </c>
      <c r="AC6001" s="2">
        <v>6208.7342078206202</v>
      </c>
      <c r="AD6001" s="2">
        <v>5484.0853125723597</v>
      </c>
      <c r="AE6001" s="2">
        <v>8112.8241265302204</v>
      </c>
      <c r="AF6001" s="2">
        <v>5379.63284653355</v>
      </c>
      <c r="AG6001" s="2">
        <v>6926.6776075519001</v>
      </c>
      <c r="AH6001" s="2">
        <v>5396.2753270820904</v>
      </c>
      <c r="AI6001" s="2">
        <v>5688.5267693845699</v>
      </c>
      <c r="AJ6001" s="2">
        <v>5748.4685698414096</v>
      </c>
      <c r="AK6001" s="2">
        <v>4708.3107912261403</v>
      </c>
      <c r="AL6001" s="2">
        <v>7167.62547809028</v>
      </c>
      <c r="AM6001" s="2">
        <v>2350.3500603595799</v>
      </c>
      <c r="AN6001" s="2">
        <v>7616.4007133625601</v>
      </c>
      <c r="AO6001" s="2">
        <v>6275.2690709136004</v>
      </c>
      <c r="AP6001" s="2">
        <v>4786.55576148197</v>
      </c>
    </row>
    <row r="6002" spans="1:42" ht="14.5" x14ac:dyDescent="0.35">
      <c r="A6002" s="2" t="s">
        <v>39806</v>
      </c>
      <c r="B6002" s="2">
        <v>688.38948955447904</v>
      </c>
      <c r="C6002" s="2">
        <v>8.5996166666666696</v>
      </c>
      <c r="D6002" s="2" t="s">
        <v>34</v>
      </c>
      <c r="E6002" s="2" t="s">
        <v>39807</v>
      </c>
      <c r="F6002" s="2">
        <v>58692</v>
      </c>
      <c r="G6002" s="3" t="str">
        <f>HYPERLINK("http://funmeta.oebiotech.com/network/58692", "http://funmeta.oebiotech.com/network/58692")</f>
        <v>http://funmeta.oebiotech.com/network/58692</v>
      </c>
      <c r="H6002" s="2" t="s">
        <v>39808</v>
      </c>
      <c r="I6002" s="2"/>
      <c r="J6002" s="2"/>
      <c r="K6002" s="2">
        <v>38225</v>
      </c>
      <c r="L6002" s="2"/>
      <c r="M6002" s="2"/>
      <c r="N6002" s="2"/>
      <c r="O6002" s="2">
        <v>3432</v>
      </c>
      <c r="P6002" s="2" t="s">
        <v>39809</v>
      </c>
      <c r="Q6002" s="2" t="s">
        <v>39810</v>
      </c>
      <c r="R6002" s="2" t="s">
        <v>39811</v>
      </c>
      <c r="S6002" s="2" t="s">
        <v>89</v>
      </c>
      <c r="T6002" s="2" t="s">
        <v>90</v>
      </c>
      <c r="U6002" s="2" t="s">
        <v>1669</v>
      </c>
      <c r="V6002" s="2" t="s">
        <v>59</v>
      </c>
      <c r="W6002" s="2">
        <v>39</v>
      </c>
      <c r="X6002" s="2">
        <v>8.86</v>
      </c>
      <c r="Y6002" s="2" t="s">
        <v>141</v>
      </c>
      <c r="Z6002" s="2" t="s">
        <v>39812</v>
      </c>
      <c r="AA6002" s="2">
        <v>-1.10259908725162</v>
      </c>
      <c r="AB6002" s="2">
        <v>5.2317590187494101E-2</v>
      </c>
      <c r="AC6002" s="2">
        <v>65405.842002488098</v>
      </c>
      <c r="AD6002" s="2">
        <v>64203.493240390599</v>
      </c>
      <c r="AE6002" s="2">
        <v>66419.108909991599</v>
      </c>
      <c r="AF6002" s="2">
        <v>68138.065108899304</v>
      </c>
      <c r="AG6002" s="2">
        <v>59556.418925582999</v>
      </c>
      <c r="AH6002" s="2">
        <v>68175.835512115693</v>
      </c>
      <c r="AI6002" s="2">
        <v>63159.6351680058</v>
      </c>
      <c r="AJ6002" s="2">
        <v>66985.988390333398</v>
      </c>
      <c r="AK6002" s="2">
        <v>66807.987454279995</v>
      </c>
      <c r="AL6002" s="2">
        <v>60074.871686489802</v>
      </c>
      <c r="AM6002" s="2">
        <v>61602.049559554303</v>
      </c>
      <c r="AN6002" s="2">
        <v>71232.590538084405</v>
      </c>
      <c r="AO6002" s="2">
        <v>67083.584339214503</v>
      </c>
      <c r="AP6002" s="2">
        <v>58419.8758647207</v>
      </c>
    </row>
    <row r="6003" spans="1:42" ht="14.5" x14ac:dyDescent="0.35">
      <c r="A6003" s="2" t="s">
        <v>39813</v>
      </c>
      <c r="B6003" s="2">
        <v>333.024973271514</v>
      </c>
      <c r="C6003" s="2">
        <v>4.22216666666667</v>
      </c>
      <c r="D6003" s="2" t="s">
        <v>70</v>
      </c>
      <c r="E6003" s="2" t="s">
        <v>39814</v>
      </c>
      <c r="F6003" s="2">
        <v>257033</v>
      </c>
      <c r="G6003" s="3" t="str">
        <f>HYPERLINK("http://funmeta.oebiotech.com/network/257033", "http://funmeta.oebiotech.com/network/257033")</f>
        <v>http://funmeta.oebiotech.com/network/257033</v>
      </c>
      <c r="H6003" s="2" t="s">
        <v>39815</v>
      </c>
      <c r="I6003" s="2"/>
      <c r="J6003" s="2"/>
      <c r="K6003" s="2"/>
      <c r="L6003" s="2"/>
      <c r="M6003" s="2"/>
      <c r="N6003" s="2"/>
      <c r="O6003" s="2"/>
      <c r="P6003" s="2"/>
      <c r="Q6003" s="2" t="s">
        <v>39816</v>
      </c>
      <c r="R6003" s="2" t="s">
        <v>39817</v>
      </c>
      <c r="S6003" s="2" t="s">
        <v>79</v>
      </c>
      <c r="T6003" s="2" t="s">
        <v>80</v>
      </c>
      <c r="U6003" s="2" t="s">
        <v>81</v>
      </c>
      <c r="V6003" s="2" t="s">
        <v>59</v>
      </c>
      <c r="W6003" s="2">
        <v>38.9</v>
      </c>
      <c r="X6003" s="2">
        <v>0</v>
      </c>
      <c r="Y6003" s="2" t="s">
        <v>751</v>
      </c>
      <c r="Z6003" s="2" t="s">
        <v>39818</v>
      </c>
      <c r="AA6003" s="2">
        <v>2.2717440835402898</v>
      </c>
      <c r="AB6003" s="2">
        <v>5.2244787469097401E-2</v>
      </c>
      <c r="AC6003" s="2">
        <v>7853.1856169532102</v>
      </c>
      <c r="AD6003" s="2">
        <v>8373.3837794025803</v>
      </c>
      <c r="AE6003" s="2">
        <v>7532.2383474806302</v>
      </c>
      <c r="AF6003" s="2">
        <v>7323.2294536397103</v>
      </c>
      <c r="AG6003" s="2">
        <v>8218.1781339614499</v>
      </c>
      <c r="AH6003" s="2">
        <v>8055.9522673452402</v>
      </c>
      <c r="AI6003" s="2">
        <v>6643.63870961457</v>
      </c>
      <c r="AJ6003" s="2">
        <v>9345.8767896776499</v>
      </c>
      <c r="AK6003" s="2">
        <v>8616.7640790468595</v>
      </c>
      <c r="AL6003" s="2">
        <v>8567.2492811522807</v>
      </c>
      <c r="AM6003" s="2">
        <v>8069.50445145716</v>
      </c>
      <c r="AN6003" s="2">
        <v>7951.9097712361599</v>
      </c>
      <c r="AO6003" s="2">
        <v>9215.3297591605296</v>
      </c>
      <c r="AP6003" s="2">
        <v>7819.5453343624704</v>
      </c>
    </row>
    <row r="6004" spans="1:42" ht="14.5" x14ac:dyDescent="0.35">
      <c r="A6004" s="2" t="s">
        <v>39819</v>
      </c>
      <c r="B6004" s="2">
        <v>766.53029455883302</v>
      </c>
      <c r="C6004" s="2">
        <v>11.270016666666701</v>
      </c>
      <c r="D6004" s="2" t="s">
        <v>34</v>
      </c>
      <c r="E6004" s="2" t="s">
        <v>39820</v>
      </c>
      <c r="F6004" s="2">
        <v>248774</v>
      </c>
      <c r="G6004" s="3" t="str">
        <f>HYPERLINK("http://funmeta.oebiotech.com/network/248774", "http://funmeta.oebiotech.com/network/248774")</f>
        <v>http://funmeta.oebiotech.com/network/248774</v>
      </c>
      <c r="H6004" s="2" t="s">
        <v>39821</v>
      </c>
      <c r="I6004" s="2"/>
      <c r="J6004" s="2"/>
      <c r="K6004" s="2"/>
      <c r="L6004" s="2"/>
      <c r="M6004" s="2"/>
      <c r="N6004" s="2"/>
      <c r="O6004" s="2"/>
      <c r="P6004" s="2"/>
      <c r="Q6004" s="2" t="s">
        <v>39822</v>
      </c>
      <c r="R6004" s="2" t="s">
        <v>39823</v>
      </c>
      <c r="S6004" s="2" t="s">
        <v>41</v>
      </c>
      <c r="T6004" s="2" t="s">
        <v>41</v>
      </c>
      <c r="U6004" s="2" t="s">
        <v>41</v>
      </c>
      <c r="V6004" s="2" t="s">
        <v>59</v>
      </c>
      <c r="W6004" s="2">
        <v>37.200000000000003</v>
      </c>
      <c r="X6004" s="2">
        <v>0</v>
      </c>
      <c r="Y6004" s="2" t="s">
        <v>394</v>
      </c>
      <c r="Z6004" s="2" t="s">
        <v>39824</v>
      </c>
      <c r="AA6004" s="2">
        <v>2.19296343187162</v>
      </c>
      <c r="AB6004" s="2">
        <v>5.2243404602206299E-2</v>
      </c>
      <c r="AC6004" s="2">
        <v>29605.850836328598</v>
      </c>
      <c r="AD6004" s="2">
        <v>31471.797853181699</v>
      </c>
      <c r="AE6004" s="2">
        <v>19797.074820493501</v>
      </c>
      <c r="AF6004" s="2">
        <v>22917.385265260698</v>
      </c>
      <c r="AG6004" s="2">
        <v>27104.394142300102</v>
      </c>
      <c r="AH6004" s="2">
        <v>58837.8657217484</v>
      </c>
      <c r="AI6004" s="2">
        <v>25573.687155763801</v>
      </c>
      <c r="AJ6004" s="2">
        <v>23404.697912405401</v>
      </c>
      <c r="AK6004" s="2">
        <v>22727.544231107</v>
      </c>
      <c r="AL6004" s="2">
        <v>33408.993779785502</v>
      </c>
      <c r="AM6004" s="2">
        <v>29168.618888804001</v>
      </c>
      <c r="AN6004" s="2">
        <v>37577.275370233299</v>
      </c>
      <c r="AO6004" s="2">
        <v>31910.166165923001</v>
      </c>
      <c r="AP6004" s="2">
        <v>34038.188683237502</v>
      </c>
    </row>
    <row r="6005" spans="1:42" ht="14.5" x14ac:dyDescent="0.35">
      <c r="A6005" s="2" t="s">
        <v>39825</v>
      </c>
      <c r="B6005" s="2">
        <v>213.12726502182599</v>
      </c>
      <c r="C6005" s="2">
        <v>4.4964333333333304</v>
      </c>
      <c r="D6005" s="2" t="s">
        <v>34</v>
      </c>
      <c r="E6005" s="2" t="s">
        <v>39826</v>
      </c>
      <c r="F6005" s="2">
        <v>59588</v>
      </c>
      <c r="G6005" s="3" t="str">
        <f>HYPERLINK("http://funmeta.oebiotech.com/network/59588", "http://funmeta.oebiotech.com/network/59588")</f>
        <v>http://funmeta.oebiotech.com/network/59588</v>
      </c>
      <c r="H6005" s="2" t="s">
        <v>39827</v>
      </c>
      <c r="I6005" s="2">
        <v>90991</v>
      </c>
      <c r="J6005" s="2"/>
      <c r="K6005" s="2">
        <v>168837</v>
      </c>
      <c r="L6005" s="2"/>
      <c r="M6005" s="2"/>
      <c r="N6005" s="2"/>
      <c r="O6005" s="2">
        <v>11117364</v>
      </c>
      <c r="P6005" s="2" t="s">
        <v>39828</v>
      </c>
      <c r="Q6005" s="2" t="s">
        <v>39829</v>
      </c>
      <c r="R6005" s="2" t="s">
        <v>39830</v>
      </c>
      <c r="S6005" s="2" t="s">
        <v>50</v>
      </c>
      <c r="T6005" s="2" t="s">
        <v>201</v>
      </c>
      <c r="U6005" s="2" t="s">
        <v>636</v>
      </c>
      <c r="V6005" s="2" t="s">
        <v>59</v>
      </c>
      <c r="W6005" s="2">
        <v>38.9</v>
      </c>
      <c r="X6005" s="2">
        <v>0</v>
      </c>
      <c r="Y6005" s="2" t="s">
        <v>394</v>
      </c>
      <c r="Z6005" s="2" t="s">
        <v>39831</v>
      </c>
      <c r="AA6005" s="2">
        <v>-0.596562255420367</v>
      </c>
      <c r="AB6005" s="2">
        <v>5.2236480529346901E-2</v>
      </c>
      <c r="AC6005" s="2">
        <v>4462.00328829108</v>
      </c>
      <c r="AD6005" s="2">
        <v>4860.3901607887001</v>
      </c>
      <c r="AE6005" s="2">
        <v>3581.0116755695099</v>
      </c>
      <c r="AF6005" s="2">
        <v>4467.8769964081703</v>
      </c>
      <c r="AG6005" s="2">
        <v>5058.9936623571602</v>
      </c>
      <c r="AH6005" s="2">
        <v>4073.73539434449</v>
      </c>
      <c r="AI6005" s="2">
        <v>4423.3886336839696</v>
      </c>
      <c r="AJ6005" s="2">
        <v>5167.0133673831997</v>
      </c>
      <c r="AK6005" s="2">
        <v>4812.8421176049196</v>
      </c>
      <c r="AL6005" s="2">
        <v>4897.4214038827704</v>
      </c>
      <c r="AM6005" s="2">
        <v>4633.9302951751397</v>
      </c>
      <c r="AN6005" s="2">
        <v>5040.8485194412897</v>
      </c>
      <c r="AO6005" s="2">
        <v>4863.9941718524797</v>
      </c>
      <c r="AP6005" s="2">
        <v>4913.3044567755796</v>
      </c>
    </row>
    <row r="6006" spans="1:42" ht="14.5" x14ac:dyDescent="0.35">
      <c r="A6006" s="2" t="s">
        <v>39832</v>
      </c>
      <c r="B6006" s="2">
        <v>291.16007885741902</v>
      </c>
      <c r="C6006" s="2">
        <v>10.301</v>
      </c>
      <c r="D6006" s="2" t="s">
        <v>70</v>
      </c>
      <c r="E6006" s="2" t="s">
        <v>39833</v>
      </c>
      <c r="F6006" s="2">
        <v>48159</v>
      </c>
      <c r="G6006" s="3" t="str">
        <f>HYPERLINK("http://funmeta.oebiotech.com/network/48159", "http://funmeta.oebiotech.com/network/48159")</f>
        <v>http://funmeta.oebiotech.com/network/48159</v>
      </c>
      <c r="H6006" s="2" t="s">
        <v>39834</v>
      </c>
      <c r="I6006" s="2">
        <v>4161</v>
      </c>
      <c r="J6006" s="2"/>
      <c r="K6006" s="2">
        <v>15890</v>
      </c>
      <c r="L6006" s="2" t="s">
        <v>39835</v>
      </c>
      <c r="M6006" s="2" t="s">
        <v>39836</v>
      </c>
      <c r="N6006" s="2" t="s">
        <v>39837</v>
      </c>
      <c r="O6006" s="2">
        <v>675</v>
      </c>
      <c r="P6006" s="2" t="s">
        <v>39838</v>
      </c>
      <c r="Q6006" s="2" t="s">
        <v>39839</v>
      </c>
      <c r="R6006" s="2" t="s">
        <v>39840</v>
      </c>
      <c r="S6006" s="2" t="s">
        <v>491</v>
      </c>
      <c r="T6006" s="2" t="s">
        <v>15878</v>
      </c>
      <c r="U6006" s="2" t="s">
        <v>41</v>
      </c>
      <c r="V6006" s="2" t="s">
        <v>59</v>
      </c>
      <c r="W6006" s="2">
        <v>38.700000000000003</v>
      </c>
      <c r="X6006" s="2">
        <v>0</v>
      </c>
      <c r="Y6006" s="2" t="s">
        <v>560</v>
      </c>
      <c r="Z6006" s="2" t="s">
        <v>39841</v>
      </c>
      <c r="AA6006" s="2">
        <v>-4.9333508481804804</v>
      </c>
      <c r="AB6006" s="2">
        <v>5.2154937643712498E-2</v>
      </c>
      <c r="AC6006" s="2">
        <v>3931.7961735444001</v>
      </c>
      <c r="AD6006" s="2">
        <v>4358.2745921674896</v>
      </c>
      <c r="AE6006" s="2">
        <v>4154.9819729786996</v>
      </c>
      <c r="AF6006" s="2">
        <v>4586.2840546396201</v>
      </c>
      <c r="AG6006" s="2">
        <v>3704.0952967980602</v>
      </c>
      <c r="AH6006" s="2">
        <v>3158.9028886160499</v>
      </c>
      <c r="AI6006" s="2">
        <v>4315.3686574595604</v>
      </c>
      <c r="AJ6006" s="2">
        <v>3671.1441707743902</v>
      </c>
      <c r="AK6006" s="2">
        <v>3817.9504779507001</v>
      </c>
      <c r="AL6006" s="2">
        <v>4227.4030346531999</v>
      </c>
      <c r="AM6006" s="2">
        <v>4514.2412431945404</v>
      </c>
      <c r="AN6006" s="2">
        <v>5063.4209512528096</v>
      </c>
      <c r="AO6006" s="2">
        <v>4765.0698993639899</v>
      </c>
      <c r="AP6006" s="2">
        <v>3761.5619465897198</v>
      </c>
    </row>
    <row r="6007" spans="1:42" ht="14.5" x14ac:dyDescent="0.35">
      <c r="A6007" s="2" t="s">
        <v>39842</v>
      </c>
      <c r="B6007" s="2">
        <v>303.23195484238602</v>
      </c>
      <c r="C6007" s="2">
        <v>4.0355999999999996</v>
      </c>
      <c r="D6007" s="2" t="s">
        <v>34</v>
      </c>
      <c r="E6007" s="2" t="s">
        <v>39843</v>
      </c>
      <c r="F6007" s="2">
        <v>35948</v>
      </c>
      <c r="G6007" s="3" t="str">
        <f>HYPERLINK("http://funmeta.oebiotech.com/network/35948", "http://funmeta.oebiotech.com/network/35948")</f>
        <v>http://funmeta.oebiotech.com/network/35948</v>
      </c>
      <c r="H6007" s="2" t="s">
        <v>39844</v>
      </c>
      <c r="I6007" s="2">
        <v>24100</v>
      </c>
      <c r="J6007" s="2" t="s">
        <v>39845</v>
      </c>
      <c r="K6007" s="2">
        <v>6039</v>
      </c>
      <c r="L6007" s="2" t="s">
        <v>39846</v>
      </c>
      <c r="M6007" s="2" t="s">
        <v>236</v>
      </c>
      <c r="N6007" s="2" t="s">
        <v>237</v>
      </c>
      <c r="O6007" s="2">
        <v>442048</v>
      </c>
      <c r="P6007" s="2" t="s">
        <v>39847</v>
      </c>
      <c r="Q6007" s="2" t="s">
        <v>39848</v>
      </c>
      <c r="R6007" s="2" t="s">
        <v>39849</v>
      </c>
      <c r="S6007" s="2" t="s">
        <v>50</v>
      </c>
      <c r="T6007" s="2" t="s">
        <v>201</v>
      </c>
      <c r="U6007" s="2" t="s">
        <v>241</v>
      </c>
      <c r="V6007" s="2" t="s">
        <v>59</v>
      </c>
      <c r="W6007" s="2">
        <v>37.799999999999997</v>
      </c>
      <c r="X6007" s="2">
        <v>0</v>
      </c>
      <c r="Y6007" s="2" t="s">
        <v>266</v>
      </c>
      <c r="Z6007" s="2" t="s">
        <v>2855</v>
      </c>
      <c r="AA6007" s="2">
        <v>0.324954262885437</v>
      </c>
      <c r="AB6007" s="2">
        <v>5.2011221770765802E-2</v>
      </c>
      <c r="AC6007" s="2">
        <v>5400.7896410734902</v>
      </c>
      <c r="AD6007" s="2">
        <v>4857.2610422786402</v>
      </c>
      <c r="AE6007" s="2">
        <v>4579.3733046002799</v>
      </c>
      <c r="AF6007" s="2">
        <v>5494.1540287832604</v>
      </c>
      <c r="AG6007" s="2">
        <v>6426.0600300312399</v>
      </c>
      <c r="AH6007" s="2">
        <v>5062.1120137988801</v>
      </c>
      <c r="AI6007" s="2">
        <v>6248.8215287733101</v>
      </c>
      <c r="AJ6007" s="2">
        <v>4594.21694045396</v>
      </c>
      <c r="AK6007" s="2">
        <v>6344.6333700815303</v>
      </c>
      <c r="AL6007" s="2">
        <v>5414.4525301117301</v>
      </c>
      <c r="AM6007" s="2">
        <v>4855.5965906238198</v>
      </c>
      <c r="AN6007" s="2">
        <v>3758.8653020813299</v>
      </c>
      <c r="AO6007" s="2">
        <v>4590.29769808538</v>
      </c>
      <c r="AP6007" s="2">
        <v>4179.7207626880299</v>
      </c>
    </row>
    <row r="6008" spans="1:42" ht="14.5" x14ac:dyDescent="0.35">
      <c r="A6008" s="2" t="s">
        <v>39850</v>
      </c>
      <c r="B6008" s="2">
        <v>389.14531187885598</v>
      </c>
      <c r="C6008" s="2">
        <v>3.6928666666666699</v>
      </c>
      <c r="D6008" s="2" t="s">
        <v>70</v>
      </c>
      <c r="E6008" s="2" t="s">
        <v>39851</v>
      </c>
      <c r="F6008" s="2">
        <v>202481</v>
      </c>
      <c r="G6008" s="3" t="str">
        <f>HYPERLINK("http://funmeta.oebiotech.com/network/202481", "http://funmeta.oebiotech.com/network/202481")</f>
        <v>http://funmeta.oebiotech.com/network/202481</v>
      </c>
      <c r="H6008" s="2" t="s">
        <v>39852</v>
      </c>
      <c r="I6008" s="2"/>
      <c r="J6008" s="2"/>
      <c r="K6008" s="2"/>
      <c r="L6008" s="2"/>
      <c r="M6008" s="2"/>
      <c r="N6008" s="2"/>
      <c r="O6008" s="2">
        <v>105076</v>
      </c>
      <c r="P6008" s="2"/>
      <c r="Q6008" s="2" t="s">
        <v>39853</v>
      </c>
      <c r="R6008" s="2" t="s">
        <v>39854</v>
      </c>
      <c r="S6008" s="2" t="s">
        <v>41</v>
      </c>
      <c r="T6008" s="2" t="s">
        <v>41</v>
      </c>
      <c r="U6008" s="2" t="s">
        <v>41</v>
      </c>
      <c r="V6008" s="2" t="s">
        <v>59</v>
      </c>
      <c r="W6008" s="2">
        <v>37.9</v>
      </c>
      <c r="X6008" s="2">
        <v>0</v>
      </c>
      <c r="Y6008" s="2" t="s">
        <v>560</v>
      </c>
      <c r="Z6008" s="2" t="s">
        <v>39855</v>
      </c>
      <c r="AA6008" s="2">
        <v>3.43253381642463</v>
      </c>
      <c r="AB6008" s="2">
        <v>5.1956245258294002E-2</v>
      </c>
      <c r="AC6008" s="2">
        <v>1856.36803275288</v>
      </c>
      <c r="AD6008" s="2">
        <v>1569.9866426200999</v>
      </c>
      <c r="AE6008" s="2">
        <v>1611.4710859832801</v>
      </c>
      <c r="AF6008" s="2">
        <v>2050.8008062316198</v>
      </c>
      <c r="AG6008" s="2">
        <v>1848.15359098925</v>
      </c>
      <c r="AH6008" s="2">
        <v>1769.0002336186201</v>
      </c>
      <c r="AI6008" s="2">
        <v>1977.0564835489999</v>
      </c>
      <c r="AJ6008" s="2">
        <v>1881.7259961454799</v>
      </c>
      <c r="AK6008" s="2">
        <v>1660.2321400676899</v>
      </c>
      <c r="AL6008" s="2">
        <v>1297.9518404487401</v>
      </c>
      <c r="AM6008" s="2">
        <v>1584.8622193229601</v>
      </c>
      <c r="AN6008" s="2">
        <v>1286.3358205930199</v>
      </c>
      <c r="AO6008" s="2">
        <v>1850.51340072434</v>
      </c>
      <c r="AP6008" s="2">
        <v>1740.02443456387</v>
      </c>
    </row>
    <row r="6009" spans="1:42" ht="14.5" x14ac:dyDescent="0.35">
      <c r="A6009" s="2" t="s">
        <v>39856</v>
      </c>
      <c r="B6009" s="2">
        <v>921.502023105695</v>
      </c>
      <c r="C6009" s="2">
        <v>10.7167833333333</v>
      </c>
      <c r="D6009" s="2" t="s">
        <v>34</v>
      </c>
      <c r="E6009" s="2" t="s">
        <v>39857</v>
      </c>
      <c r="F6009" s="2">
        <v>214538</v>
      </c>
      <c r="G6009" s="3" t="str">
        <f>HYPERLINK("http://funmeta.oebiotech.com/network/214538", "http://funmeta.oebiotech.com/network/214538")</f>
        <v>http://funmeta.oebiotech.com/network/214538</v>
      </c>
      <c r="H6009" s="2" t="s">
        <v>39858</v>
      </c>
      <c r="I6009" s="2"/>
      <c r="J6009" s="2"/>
      <c r="K6009" s="2"/>
      <c r="L6009" s="2"/>
      <c r="M6009" s="2"/>
      <c r="N6009" s="2"/>
      <c r="O6009" s="2"/>
      <c r="P6009" s="2"/>
      <c r="Q6009" s="2" t="s">
        <v>39859</v>
      </c>
      <c r="R6009" s="2" t="s">
        <v>39860</v>
      </c>
      <c r="S6009" s="2" t="s">
        <v>41</v>
      </c>
      <c r="T6009" s="2" t="s">
        <v>41</v>
      </c>
      <c r="U6009" s="2" t="s">
        <v>41</v>
      </c>
      <c r="V6009" s="2" t="s">
        <v>42</v>
      </c>
      <c r="W6009" s="2">
        <v>46.1</v>
      </c>
      <c r="X6009" s="2">
        <v>48.1</v>
      </c>
      <c r="Y6009" s="2" t="s">
        <v>470</v>
      </c>
      <c r="Z6009" s="2" t="s">
        <v>39861</v>
      </c>
      <c r="AA6009" s="2">
        <v>-1.57656113207355</v>
      </c>
      <c r="AB6009" s="2">
        <v>5.1848064747948397E-2</v>
      </c>
      <c r="AC6009" s="2">
        <v>276844.83870948502</v>
      </c>
      <c r="AD6009" s="2">
        <v>279166.40207392402</v>
      </c>
      <c r="AE6009" s="2">
        <v>283921.09121037403</v>
      </c>
      <c r="AF6009" s="2">
        <v>277895.81408605602</v>
      </c>
      <c r="AG6009" s="2">
        <v>268451.97404075501</v>
      </c>
      <c r="AH6009" s="2">
        <v>269845.31437267299</v>
      </c>
      <c r="AI6009" s="2">
        <v>267176.27654567902</v>
      </c>
      <c r="AJ6009" s="2">
        <v>293778.562001371</v>
      </c>
      <c r="AK6009" s="2">
        <v>274005.80917480303</v>
      </c>
      <c r="AL6009" s="2">
        <v>247419.84968307801</v>
      </c>
      <c r="AM6009" s="2">
        <v>274282.33254834102</v>
      </c>
      <c r="AN6009" s="2">
        <v>273162.58664189698</v>
      </c>
      <c r="AO6009" s="2">
        <v>307353.92183291202</v>
      </c>
      <c r="AP6009" s="2">
        <v>298773.91256251303</v>
      </c>
    </row>
    <row r="6010" spans="1:42" ht="14.5" x14ac:dyDescent="0.35">
      <c r="A6010" s="2" t="s">
        <v>39862</v>
      </c>
      <c r="B6010" s="2">
        <v>229.158521659185</v>
      </c>
      <c r="C6010" s="2">
        <v>4.89903333333333</v>
      </c>
      <c r="D6010" s="2" t="s">
        <v>34</v>
      </c>
      <c r="E6010" s="2" t="s">
        <v>39863</v>
      </c>
      <c r="F6010" s="2">
        <v>59993</v>
      </c>
      <c r="G6010" s="3" t="str">
        <f>HYPERLINK("http://funmeta.oebiotech.com/network/59993", "http://funmeta.oebiotech.com/network/59993")</f>
        <v>http://funmeta.oebiotech.com/network/59993</v>
      </c>
      <c r="H6010" s="2" t="s">
        <v>39864</v>
      </c>
      <c r="I6010" s="2">
        <v>91355</v>
      </c>
      <c r="J6010" s="2"/>
      <c r="K6010" s="2">
        <v>172486</v>
      </c>
      <c r="L6010" s="2"/>
      <c r="M6010" s="2"/>
      <c r="N6010" s="2"/>
      <c r="O6010" s="2">
        <v>5371723</v>
      </c>
      <c r="P6010" s="2" t="s">
        <v>39865</v>
      </c>
      <c r="Q6010" s="2" t="s">
        <v>39866</v>
      </c>
      <c r="R6010" s="2" t="s">
        <v>39867</v>
      </c>
      <c r="S6010" s="2" t="s">
        <v>148</v>
      </c>
      <c r="T6010" s="2" t="s">
        <v>149</v>
      </c>
      <c r="U6010" s="2" t="s">
        <v>41</v>
      </c>
      <c r="V6010" s="2" t="s">
        <v>59</v>
      </c>
      <c r="W6010" s="2">
        <v>38.6</v>
      </c>
      <c r="X6010" s="2">
        <v>0</v>
      </c>
      <c r="Y6010" s="2" t="s">
        <v>141</v>
      </c>
      <c r="Z6010" s="2" t="s">
        <v>39868</v>
      </c>
      <c r="AA6010" s="2">
        <v>-0.69074629079758798</v>
      </c>
      <c r="AB6010" s="2">
        <v>5.17434126508853E-2</v>
      </c>
      <c r="AC6010" s="2">
        <v>3897.5820019340799</v>
      </c>
      <c r="AD6010" s="2">
        <v>3388.9019796242201</v>
      </c>
      <c r="AE6010" s="2">
        <v>3072.9576533043501</v>
      </c>
      <c r="AF6010" s="2">
        <v>3803.03031139732</v>
      </c>
      <c r="AG6010" s="2">
        <v>5348.3717705704603</v>
      </c>
      <c r="AH6010" s="2">
        <v>3897.5273979078202</v>
      </c>
      <c r="AI6010" s="2">
        <v>2886.83992576734</v>
      </c>
      <c r="AJ6010" s="2">
        <v>4376.7649526572104</v>
      </c>
      <c r="AK6010" s="2">
        <v>3874.69591642466</v>
      </c>
      <c r="AL6010" s="2">
        <v>3485.1030806743802</v>
      </c>
      <c r="AM6010" s="2">
        <v>3949.2276672398302</v>
      </c>
      <c r="AN6010" s="2">
        <v>3610.19433233992</v>
      </c>
      <c r="AO6010" s="2">
        <v>2178.0932938894798</v>
      </c>
      <c r="AP6010" s="2">
        <v>3236.0975871770602</v>
      </c>
    </row>
    <row r="6011" spans="1:42" ht="14.5" x14ac:dyDescent="0.35">
      <c r="A6011" s="2" t="s">
        <v>39869</v>
      </c>
      <c r="B6011" s="2">
        <v>497.21458940386799</v>
      </c>
      <c r="C6011" s="2">
        <v>9.2343499999999992</v>
      </c>
      <c r="D6011" s="2" t="s">
        <v>34</v>
      </c>
      <c r="E6011" s="2" t="s">
        <v>39870</v>
      </c>
      <c r="F6011" s="2">
        <v>59915</v>
      </c>
      <c r="G6011" s="3" t="str">
        <f>HYPERLINK("http://funmeta.oebiotech.com/network/59915", "http://funmeta.oebiotech.com/network/59915")</f>
        <v>http://funmeta.oebiotech.com/network/59915</v>
      </c>
      <c r="H6011" s="2" t="s">
        <v>39871</v>
      </c>
      <c r="I6011" s="2">
        <v>91279</v>
      </c>
      <c r="J6011" s="2"/>
      <c r="K6011" s="2">
        <v>172689</v>
      </c>
      <c r="L6011" s="2"/>
      <c r="M6011" s="2"/>
      <c r="N6011" s="2"/>
      <c r="O6011" s="2">
        <v>85182103</v>
      </c>
      <c r="P6011" s="2"/>
      <c r="Q6011" s="2" t="s">
        <v>39872</v>
      </c>
      <c r="R6011" s="2" t="s">
        <v>39873</v>
      </c>
      <c r="S6011" s="2" t="s">
        <v>79</v>
      </c>
      <c r="T6011" s="2" t="s">
        <v>80</v>
      </c>
      <c r="U6011" s="2" t="s">
        <v>81</v>
      </c>
      <c r="V6011" s="2" t="s">
        <v>59</v>
      </c>
      <c r="W6011" s="2">
        <v>39</v>
      </c>
      <c r="X6011" s="2">
        <v>0</v>
      </c>
      <c r="Y6011" s="2" t="s">
        <v>340</v>
      </c>
      <c r="Z6011" s="2" t="s">
        <v>39874</v>
      </c>
      <c r="AA6011" s="2">
        <v>-0.33054077225834699</v>
      </c>
      <c r="AB6011" s="2">
        <v>5.1691547582130799E-2</v>
      </c>
      <c r="AC6011" s="2">
        <v>2881.49796046447</v>
      </c>
      <c r="AD6011" s="2">
        <v>3209.3788876014801</v>
      </c>
      <c r="AE6011" s="2">
        <v>2584.7290589403201</v>
      </c>
      <c r="AF6011" s="2">
        <v>2665.4330865124998</v>
      </c>
      <c r="AG6011" s="2">
        <v>2976.1661371740802</v>
      </c>
      <c r="AH6011" s="2">
        <v>3406.2599766072899</v>
      </c>
      <c r="AI6011" s="2">
        <v>2727.2225805949402</v>
      </c>
      <c r="AJ6011" s="2">
        <v>2929.1769229577098</v>
      </c>
      <c r="AK6011" s="2">
        <v>3136.5649996867301</v>
      </c>
      <c r="AL6011" s="2">
        <v>3084.4801237008901</v>
      </c>
      <c r="AM6011" s="2">
        <v>3534.07378442344</v>
      </c>
      <c r="AN6011" s="2">
        <v>2799.57674228102</v>
      </c>
      <c r="AO6011" s="2">
        <v>3455.4995626631598</v>
      </c>
      <c r="AP6011" s="2">
        <v>3246.07811285362</v>
      </c>
    </row>
    <row r="6012" spans="1:42" ht="14.5" x14ac:dyDescent="0.35">
      <c r="A6012" s="2" t="s">
        <v>39875</v>
      </c>
      <c r="B6012" s="2">
        <v>373.186540398077</v>
      </c>
      <c r="C6012" s="2">
        <v>5.3202666666666696</v>
      </c>
      <c r="D6012" s="2" t="s">
        <v>70</v>
      </c>
      <c r="E6012" s="2" t="s">
        <v>39876</v>
      </c>
      <c r="F6012" s="2">
        <v>82894</v>
      </c>
      <c r="G6012" s="3" t="str">
        <f>HYPERLINK("http://funmeta.oebiotech.com/network/82894", "http://funmeta.oebiotech.com/network/82894")</f>
        <v>http://funmeta.oebiotech.com/network/82894</v>
      </c>
      <c r="H6012" s="2" t="s">
        <v>39877</v>
      </c>
      <c r="I6012" s="2"/>
      <c r="J6012" s="2"/>
      <c r="K6012" s="2"/>
      <c r="L6012" s="2"/>
      <c r="M6012" s="2"/>
      <c r="N6012" s="2"/>
      <c r="O6012" s="2">
        <v>46233635</v>
      </c>
      <c r="P6012" s="2"/>
      <c r="Q6012" s="2" t="s">
        <v>39878</v>
      </c>
      <c r="R6012" s="2" t="s">
        <v>39879</v>
      </c>
      <c r="S6012" s="2" t="s">
        <v>491</v>
      </c>
      <c r="T6012" s="2" t="s">
        <v>26640</v>
      </c>
      <c r="U6012" s="2" t="s">
        <v>26641</v>
      </c>
      <c r="V6012" s="2" t="s">
        <v>59</v>
      </c>
      <c r="W6012" s="2">
        <v>39.200000000000003</v>
      </c>
      <c r="X6012" s="2">
        <v>6.49</v>
      </c>
      <c r="Y6012" s="2" t="s">
        <v>408</v>
      </c>
      <c r="Z6012" s="2" t="s">
        <v>39880</v>
      </c>
      <c r="AA6012" s="2">
        <v>-4.8401848971074397</v>
      </c>
      <c r="AB6012" s="2">
        <v>5.1517243962295803E-2</v>
      </c>
      <c r="AC6012" s="2">
        <v>42268.906837205599</v>
      </c>
      <c r="AD6012" s="2">
        <v>43162.255510560703</v>
      </c>
      <c r="AE6012" s="2">
        <v>44270.650663382497</v>
      </c>
      <c r="AF6012" s="2">
        <v>41414.403787998803</v>
      </c>
      <c r="AG6012" s="2">
        <v>43308.177816920899</v>
      </c>
      <c r="AH6012" s="2">
        <v>39946.041307585903</v>
      </c>
      <c r="AI6012" s="2">
        <v>39841.274669845297</v>
      </c>
      <c r="AJ6012" s="2">
        <v>44832.892777500398</v>
      </c>
      <c r="AK6012" s="2">
        <v>43423.747767303699</v>
      </c>
      <c r="AL6012" s="2">
        <v>42955.275762093799</v>
      </c>
      <c r="AM6012" s="2">
        <v>45824.400446054497</v>
      </c>
      <c r="AN6012" s="2">
        <v>45789.201216101101</v>
      </c>
      <c r="AO6012" s="2">
        <v>42297.832507150597</v>
      </c>
      <c r="AP6012" s="2">
        <v>38683.075364660399</v>
      </c>
    </row>
    <row r="6013" spans="1:42" ht="14.5" x14ac:dyDescent="0.35">
      <c r="A6013" s="2" t="s">
        <v>39881</v>
      </c>
      <c r="B6013" s="2">
        <v>289.09288590481401</v>
      </c>
      <c r="C6013" s="2">
        <v>2.6653333333333298</v>
      </c>
      <c r="D6013" s="2" t="s">
        <v>70</v>
      </c>
      <c r="E6013" s="2" t="s">
        <v>39882</v>
      </c>
      <c r="F6013" s="2">
        <v>256882</v>
      </c>
      <c r="G6013" s="3" t="str">
        <f>HYPERLINK("http://funmeta.oebiotech.com/network/256882", "http://funmeta.oebiotech.com/network/256882")</f>
        <v>http://funmeta.oebiotech.com/network/256882</v>
      </c>
      <c r="H6013" s="2" t="s">
        <v>39883</v>
      </c>
      <c r="I6013" s="2"/>
      <c r="J6013" s="2"/>
      <c r="K6013" s="2"/>
      <c r="L6013" s="2"/>
      <c r="M6013" s="2"/>
      <c r="N6013" s="2"/>
      <c r="O6013" s="2">
        <v>13999771</v>
      </c>
      <c r="P6013" s="2"/>
      <c r="Q6013" s="2" t="s">
        <v>39884</v>
      </c>
      <c r="R6013" s="2" t="s">
        <v>39885</v>
      </c>
      <c r="S6013" s="2" t="s">
        <v>89</v>
      </c>
      <c r="T6013" s="2" t="s">
        <v>2718</v>
      </c>
      <c r="U6013" s="2" t="s">
        <v>25095</v>
      </c>
      <c r="V6013" s="2" t="s">
        <v>59</v>
      </c>
      <c r="W6013" s="2">
        <v>39.4</v>
      </c>
      <c r="X6013" s="2">
        <v>0</v>
      </c>
      <c r="Y6013" s="2" t="s">
        <v>560</v>
      </c>
      <c r="Z6013" s="2" t="s">
        <v>39886</v>
      </c>
      <c r="AA6013" s="2">
        <v>-1.7914246993105998E-2</v>
      </c>
      <c r="AB6013" s="2">
        <v>5.1501303814872203E-2</v>
      </c>
      <c r="AC6013" s="2">
        <v>883.02331001851303</v>
      </c>
      <c r="AD6013" s="2">
        <v>662.67325078112299</v>
      </c>
      <c r="AE6013" s="2">
        <v>939.51086968268896</v>
      </c>
      <c r="AF6013" s="2">
        <v>904.17012093893095</v>
      </c>
      <c r="AG6013" s="2">
        <v>832.70976295094499</v>
      </c>
      <c r="AH6013" s="2">
        <v>1023.7999085709801</v>
      </c>
      <c r="AI6013" s="2">
        <v>761.86437763460901</v>
      </c>
      <c r="AJ6013" s="2">
        <v>836.08482033292705</v>
      </c>
      <c r="AK6013" s="2">
        <v>772.36741987292498</v>
      </c>
      <c r="AL6013" s="2">
        <v>533.14132924586295</v>
      </c>
      <c r="AM6013" s="2">
        <v>658.79087827892499</v>
      </c>
      <c r="AN6013" s="2">
        <v>627.23249561278999</v>
      </c>
      <c r="AO6013" s="2">
        <v>779.49878804280297</v>
      </c>
      <c r="AP6013" s="2">
        <v>605.00859363343397</v>
      </c>
    </row>
    <row r="6014" spans="1:42" ht="14.5" x14ac:dyDescent="0.35">
      <c r="A6014" s="2" t="s">
        <v>39887</v>
      </c>
      <c r="B6014" s="2">
        <v>525.07785831899901</v>
      </c>
      <c r="C6014" s="2">
        <v>5.2831999999999999</v>
      </c>
      <c r="D6014" s="2" t="s">
        <v>70</v>
      </c>
      <c r="E6014" s="2" t="s">
        <v>39888</v>
      </c>
      <c r="F6014" s="2">
        <v>208811</v>
      </c>
      <c r="G6014" s="3" t="str">
        <f>HYPERLINK("http://funmeta.oebiotech.com/network/208811", "http://funmeta.oebiotech.com/network/208811")</f>
        <v>http://funmeta.oebiotech.com/network/208811</v>
      </c>
      <c r="H6014" s="2" t="s">
        <v>39889</v>
      </c>
      <c r="I6014" s="2"/>
      <c r="J6014" s="2"/>
      <c r="K6014" s="2"/>
      <c r="L6014" s="2"/>
      <c r="M6014" s="2"/>
      <c r="N6014" s="2"/>
      <c r="O6014" s="2"/>
      <c r="P6014" s="2"/>
      <c r="Q6014" s="2" t="s">
        <v>39890</v>
      </c>
      <c r="R6014" s="2" t="s">
        <v>39891</v>
      </c>
      <c r="S6014" s="2" t="s">
        <v>491</v>
      </c>
      <c r="T6014" s="2" t="s">
        <v>1516</v>
      </c>
      <c r="U6014" s="2" t="s">
        <v>2355</v>
      </c>
      <c r="V6014" s="2" t="s">
        <v>59</v>
      </c>
      <c r="W6014" s="2">
        <v>38.5</v>
      </c>
      <c r="X6014" s="2">
        <v>0</v>
      </c>
      <c r="Y6014" s="2" t="s">
        <v>560</v>
      </c>
      <c r="Z6014" s="2" t="s">
        <v>39892</v>
      </c>
      <c r="AA6014" s="2">
        <v>-1.5953106960967001</v>
      </c>
      <c r="AB6014" s="2">
        <v>5.1465240286037203E-2</v>
      </c>
      <c r="AC6014" s="2">
        <v>12795.968778279101</v>
      </c>
      <c r="AD6014" s="2">
        <v>12180.9508325239</v>
      </c>
      <c r="AE6014" s="2">
        <v>13658.080388137399</v>
      </c>
      <c r="AF6014" s="2">
        <v>11944.346506953199</v>
      </c>
      <c r="AG6014" s="2">
        <v>13637.387717891101</v>
      </c>
      <c r="AH6014" s="2">
        <v>12232.990977601899</v>
      </c>
      <c r="AI6014" s="2">
        <v>11075.021073734901</v>
      </c>
      <c r="AJ6014" s="2">
        <v>14227.986005356201</v>
      </c>
      <c r="AK6014" s="2">
        <v>11735.842198779599</v>
      </c>
      <c r="AL6014" s="2">
        <v>11721.8303157603</v>
      </c>
      <c r="AM6014" s="2">
        <v>13706.093563476101</v>
      </c>
      <c r="AN6014" s="2">
        <v>12481.4705476286</v>
      </c>
      <c r="AO6014" s="2">
        <v>12931.107644965599</v>
      </c>
      <c r="AP6014" s="2">
        <v>10509.360724533501</v>
      </c>
    </row>
    <row r="6015" spans="1:42" ht="14.5" x14ac:dyDescent="0.35">
      <c r="A6015" s="2" t="s">
        <v>39893</v>
      </c>
      <c r="B6015" s="2">
        <v>599.28446118944203</v>
      </c>
      <c r="C6015" s="2">
        <v>8.3613499999999998</v>
      </c>
      <c r="D6015" s="2" t="s">
        <v>34</v>
      </c>
      <c r="E6015" s="2" t="s">
        <v>39894</v>
      </c>
      <c r="F6015" s="2">
        <v>258383</v>
      </c>
      <c r="G6015" s="3" t="str">
        <f>HYPERLINK("http://funmeta.oebiotech.com/network/258383", "http://funmeta.oebiotech.com/network/258383")</f>
        <v>http://funmeta.oebiotech.com/network/258383</v>
      </c>
      <c r="H6015" s="2" t="s">
        <v>28575</v>
      </c>
      <c r="I6015" s="2">
        <v>5638</v>
      </c>
      <c r="J6015" s="2"/>
      <c r="K6015" s="2"/>
      <c r="L6015" s="2"/>
      <c r="M6015" s="2"/>
      <c r="N6015" s="2"/>
      <c r="O6015" s="2">
        <v>11103</v>
      </c>
      <c r="P6015" s="2" t="s">
        <v>28576</v>
      </c>
      <c r="Q6015" s="2" t="s">
        <v>39895</v>
      </c>
      <c r="R6015" s="2" t="s">
        <v>39896</v>
      </c>
      <c r="S6015" s="2" t="s">
        <v>491</v>
      </c>
      <c r="T6015" s="2" t="s">
        <v>492</v>
      </c>
      <c r="U6015" s="2" t="s">
        <v>6398</v>
      </c>
      <c r="V6015" s="2" t="s">
        <v>59</v>
      </c>
      <c r="W6015" s="2">
        <v>36.299999999999997</v>
      </c>
      <c r="X6015" s="2">
        <v>0</v>
      </c>
      <c r="Y6015" s="2" t="s">
        <v>394</v>
      </c>
      <c r="Z6015" s="2" t="s">
        <v>28579</v>
      </c>
      <c r="AA6015" s="2">
        <v>-3.25967874124877</v>
      </c>
      <c r="AB6015" s="2">
        <v>5.1430372524614298E-2</v>
      </c>
      <c r="AC6015" s="2">
        <v>23907.207327886201</v>
      </c>
      <c r="AD6015" s="2">
        <v>24763.444339924499</v>
      </c>
      <c r="AE6015" s="2">
        <v>21809.164302985799</v>
      </c>
      <c r="AF6015" s="2">
        <v>22264.2647279622</v>
      </c>
      <c r="AG6015" s="2">
        <v>26312.016127128802</v>
      </c>
      <c r="AH6015" s="2">
        <v>25327.932393244799</v>
      </c>
      <c r="AI6015" s="2">
        <v>25813.0168193994</v>
      </c>
      <c r="AJ6015" s="2">
        <v>21916.849596596301</v>
      </c>
      <c r="AK6015" s="2">
        <v>25260.125488426998</v>
      </c>
      <c r="AL6015" s="2">
        <v>26663.9067712627</v>
      </c>
      <c r="AM6015" s="2">
        <v>21885.524814041299</v>
      </c>
      <c r="AN6015" s="2">
        <v>23731.233252183702</v>
      </c>
      <c r="AO6015" s="2">
        <v>28338.413806528701</v>
      </c>
      <c r="AP6015" s="2">
        <v>22701.461907103501</v>
      </c>
    </row>
    <row r="6016" spans="1:42" ht="14.5" x14ac:dyDescent="0.35">
      <c r="A6016" s="2" t="s">
        <v>39897</v>
      </c>
      <c r="B6016" s="2">
        <v>135.080447642244</v>
      </c>
      <c r="C6016" s="2">
        <v>2.2580499999999999</v>
      </c>
      <c r="D6016" s="2" t="s">
        <v>34</v>
      </c>
      <c r="E6016" s="2" t="s">
        <v>39898</v>
      </c>
      <c r="F6016" s="2">
        <v>300515</v>
      </c>
      <c r="G6016" s="3" t="str">
        <f>HYPERLINK("http://funmeta.oebiotech.com/network/300515", "http://funmeta.oebiotech.com/network/300515")</f>
        <v>http://funmeta.oebiotech.com/network/300515</v>
      </c>
      <c r="H6016" s="2"/>
      <c r="I6016" s="2">
        <v>325755</v>
      </c>
      <c r="J6016" s="2"/>
      <c r="K6016" s="2"/>
      <c r="L6016" s="2"/>
      <c r="M6016" s="2"/>
      <c r="N6016" s="2"/>
      <c r="O6016" s="2">
        <v>15118</v>
      </c>
      <c r="P6016" s="2"/>
      <c r="Q6016" s="2" t="s">
        <v>39899</v>
      </c>
      <c r="R6016" s="2" t="s">
        <v>39900</v>
      </c>
      <c r="S6016" s="2" t="s">
        <v>148</v>
      </c>
      <c r="T6016" s="2" t="s">
        <v>5205</v>
      </c>
      <c r="U6016" s="2" t="s">
        <v>41</v>
      </c>
      <c r="V6016" s="2" t="s">
        <v>59</v>
      </c>
      <c r="W6016" s="2">
        <v>39.1</v>
      </c>
      <c r="X6016" s="2">
        <v>0</v>
      </c>
      <c r="Y6016" s="2" t="s">
        <v>394</v>
      </c>
      <c r="Z6016" s="2" t="s">
        <v>39901</v>
      </c>
      <c r="AA6016" s="2">
        <v>4.6765389435563798E-2</v>
      </c>
      <c r="AB6016" s="2">
        <v>5.1398930129951802E-2</v>
      </c>
      <c r="AC6016" s="2">
        <v>5376.9595066109796</v>
      </c>
      <c r="AD6016" s="2">
        <v>5010.0680342489304</v>
      </c>
      <c r="AE6016" s="2">
        <v>4836.4003241684904</v>
      </c>
      <c r="AF6016" s="2">
        <v>4844.9712933622905</v>
      </c>
      <c r="AG6016" s="2">
        <v>5381.6180837004704</v>
      </c>
      <c r="AH6016" s="2">
        <v>5864.7753075070696</v>
      </c>
      <c r="AI6016" s="2">
        <v>5539.5233471439096</v>
      </c>
      <c r="AJ6016" s="2">
        <v>5794.4686837836198</v>
      </c>
      <c r="AK6016" s="2">
        <v>5336.5937200759499</v>
      </c>
      <c r="AL6016" s="2">
        <v>5273.9658856872002</v>
      </c>
      <c r="AM6016" s="2">
        <v>4785.6761906775901</v>
      </c>
      <c r="AN6016" s="2">
        <v>4736.4148922131899</v>
      </c>
      <c r="AO6016" s="2">
        <v>5142.5408999164501</v>
      </c>
      <c r="AP6016" s="2">
        <v>4785.2166169232096</v>
      </c>
    </row>
    <row r="6017" spans="1:42" ht="14.5" x14ac:dyDescent="0.35">
      <c r="A6017" s="2" t="s">
        <v>39902</v>
      </c>
      <c r="B6017" s="2">
        <v>645.27386906368599</v>
      </c>
      <c r="C6017" s="2">
        <v>3.8059833333333302</v>
      </c>
      <c r="D6017" s="2" t="s">
        <v>70</v>
      </c>
      <c r="E6017" s="2" t="s">
        <v>39903</v>
      </c>
      <c r="F6017" s="2">
        <v>209001</v>
      </c>
      <c r="G6017" s="3" t="str">
        <f>HYPERLINK("http://funmeta.oebiotech.com/network/209001", "http://funmeta.oebiotech.com/network/209001")</f>
        <v>http://funmeta.oebiotech.com/network/209001</v>
      </c>
      <c r="H6017" s="2" t="s">
        <v>39904</v>
      </c>
      <c r="I6017" s="2"/>
      <c r="J6017" s="2"/>
      <c r="K6017" s="2"/>
      <c r="L6017" s="2"/>
      <c r="M6017" s="2"/>
      <c r="N6017" s="2"/>
      <c r="O6017" s="2">
        <v>119512</v>
      </c>
      <c r="P6017" s="2"/>
      <c r="Q6017" s="2" t="s">
        <v>39905</v>
      </c>
      <c r="R6017" s="2" t="s">
        <v>39906</v>
      </c>
      <c r="S6017" s="2" t="s">
        <v>41</v>
      </c>
      <c r="T6017" s="2" t="s">
        <v>41</v>
      </c>
      <c r="U6017" s="2" t="s">
        <v>41</v>
      </c>
      <c r="V6017" s="2" t="s">
        <v>59</v>
      </c>
      <c r="W6017" s="2">
        <v>38.700000000000003</v>
      </c>
      <c r="X6017" s="2">
        <v>0</v>
      </c>
      <c r="Y6017" s="2" t="s">
        <v>751</v>
      </c>
      <c r="Z6017" s="2" t="s">
        <v>39907</v>
      </c>
      <c r="AA6017" s="2">
        <v>0.24096342349462199</v>
      </c>
      <c r="AB6017" s="2">
        <v>5.1374701122951998E-2</v>
      </c>
      <c r="AC6017" s="2">
        <v>15845.8727480698</v>
      </c>
      <c r="AD6017" s="2">
        <v>15106.379922350499</v>
      </c>
      <c r="AE6017" s="2">
        <v>14228.3302501367</v>
      </c>
      <c r="AF6017" s="2">
        <v>18356.986704945099</v>
      </c>
      <c r="AG6017" s="2">
        <v>15126.507976651101</v>
      </c>
      <c r="AH6017" s="2">
        <v>14470.0839265586</v>
      </c>
      <c r="AI6017" s="2">
        <v>14914.0806836353</v>
      </c>
      <c r="AJ6017" s="2">
        <v>17979.246946492101</v>
      </c>
      <c r="AK6017" s="2">
        <v>13721.8726849501</v>
      </c>
      <c r="AL6017" s="2">
        <v>15357.7641929652</v>
      </c>
      <c r="AM6017" s="2">
        <v>16085.0301262414</v>
      </c>
      <c r="AN6017" s="2">
        <v>16645.315010262399</v>
      </c>
      <c r="AO6017" s="2">
        <v>16039.8664048561</v>
      </c>
      <c r="AP6017" s="2">
        <v>12788.431114827999</v>
      </c>
    </row>
    <row r="6018" spans="1:42" ht="14.5" x14ac:dyDescent="0.35">
      <c r="A6018" s="2" t="s">
        <v>39908</v>
      </c>
      <c r="B6018" s="2">
        <v>215.10669306375701</v>
      </c>
      <c r="C6018" s="2">
        <v>4.2251833333333302</v>
      </c>
      <c r="D6018" s="2" t="s">
        <v>34</v>
      </c>
      <c r="E6018" s="2" t="s">
        <v>39909</v>
      </c>
      <c r="F6018" s="2">
        <v>274717</v>
      </c>
      <c r="G6018" s="3" t="str">
        <f>HYPERLINK("http://funmeta.oebiotech.com/network/274717", "http://funmeta.oebiotech.com/network/274717")</f>
        <v>http://funmeta.oebiotech.com/network/274717</v>
      </c>
      <c r="H6018" s="2"/>
      <c r="I6018" s="2">
        <v>64946</v>
      </c>
      <c r="J6018" s="2"/>
      <c r="K6018" s="2"/>
      <c r="L6018" s="2"/>
      <c r="M6018" s="2"/>
      <c r="N6018" s="2"/>
      <c r="O6018" s="2">
        <v>853020</v>
      </c>
      <c r="P6018" s="2" t="s">
        <v>39910</v>
      </c>
      <c r="Q6018" s="2" t="s">
        <v>39911</v>
      </c>
      <c r="R6018" s="2" t="s">
        <v>39912</v>
      </c>
      <c r="S6018" s="2" t="s">
        <v>115</v>
      </c>
      <c r="T6018" s="2" t="s">
        <v>4730</v>
      </c>
      <c r="U6018" s="2" t="s">
        <v>41</v>
      </c>
      <c r="V6018" s="2" t="s">
        <v>59</v>
      </c>
      <c r="W6018" s="2">
        <v>39.299999999999997</v>
      </c>
      <c r="X6018" s="2">
        <v>0</v>
      </c>
      <c r="Y6018" s="2" t="s">
        <v>394</v>
      </c>
      <c r="Z6018" s="2" t="s">
        <v>39913</v>
      </c>
      <c r="AA6018" s="2">
        <v>0.17255377676254899</v>
      </c>
      <c r="AB6018" s="2">
        <v>5.1345677769852702E-2</v>
      </c>
      <c r="AC6018" s="2">
        <v>1105.4784805126801</v>
      </c>
      <c r="AD6018" s="2">
        <v>1418.3181873840799</v>
      </c>
      <c r="AE6018" s="2">
        <v>1232.89561672165</v>
      </c>
      <c r="AF6018" s="2">
        <v>1169.5949890111799</v>
      </c>
      <c r="AG6018" s="2">
        <v>1059.86897126138</v>
      </c>
      <c r="AH6018" s="2">
        <v>992.04863474729802</v>
      </c>
      <c r="AI6018" s="2">
        <v>907.23862785329402</v>
      </c>
      <c r="AJ6018" s="2">
        <v>1271.22404348126</v>
      </c>
      <c r="AK6018" s="2">
        <v>1292.87619016086</v>
      </c>
      <c r="AL6018" s="2">
        <v>1707.8101220840899</v>
      </c>
      <c r="AM6018" s="2">
        <v>1666.18289821093</v>
      </c>
      <c r="AN6018" s="2">
        <v>1740.30702556139</v>
      </c>
      <c r="AO6018" s="2">
        <v>958.02122355437496</v>
      </c>
      <c r="AP6018" s="2">
        <v>1144.7116647328501</v>
      </c>
    </row>
    <row r="6019" spans="1:42" ht="14.5" x14ac:dyDescent="0.35">
      <c r="A6019" s="2" t="s">
        <v>39914</v>
      </c>
      <c r="B6019" s="2">
        <v>199.148039689179</v>
      </c>
      <c r="C6019" s="2">
        <v>4.7541500000000001</v>
      </c>
      <c r="D6019" s="2" t="s">
        <v>34</v>
      </c>
      <c r="E6019" s="2" t="s">
        <v>39915</v>
      </c>
      <c r="F6019" s="2">
        <v>35636</v>
      </c>
      <c r="G6019" s="3" t="str">
        <f>HYPERLINK("http://funmeta.oebiotech.com/network/35636", "http://funmeta.oebiotech.com/network/35636")</f>
        <v>http://funmeta.oebiotech.com/network/35636</v>
      </c>
      <c r="H6019" s="2" t="s">
        <v>39916</v>
      </c>
      <c r="I6019" s="2">
        <v>53434</v>
      </c>
      <c r="J6019" s="2" t="s">
        <v>39917</v>
      </c>
      <c r="K6019" s="2"/>
      <c r="L6019" s="2"/>
      <c r="M6019" s="2"/>
      <c r="N6019" s="2"/>
      <c r="O6019" s="2">
        <v>10225</v>
      </c>
      <c r="P6019" s="2"/>
      <c r="Q6019" s="2" t="s">
        <v>39918</v>
      </c>
      <c r="R6019" s="2" t="s">
        <v>39919</v>
      </c>
      <c r="S6019" s="2" t="s">
        <v>50</v>
      </c>
      <c r="T6019" s="2" t="s">
        <v>201</v>
      </c>
      <c r="U6019" s="2" t="s">
        <v>636</v>
      </c>
      <c r="V6019" s="2" t="s">
        <v>59</v>
      </c>
      <c r="W6019" s="2">
        <v>38.6</v>
      </c>
      <c r="X6019" s="2">
        <v>0</v>
      </c>
      <c r="Y6019" s="2" t="s">
        <v>394</v>
      </c>
      <c r="Z6019" s="2" t="s">
        <v>39920</v>
      </c>
      <c r="AA6019" s="2">
        <v>-0.440697011160333</v>
      </c>
      <c r="AB6019" s="2">
        <v>5.1243295836137598E-2</v>
      </c>
      <c r="AC6019" s="2">
        <v>12786.860231893401</v>
      </c>
      <c r="AD6019" s="2">
        <v>12287.027797995401</v>
      </c>
      <c r="AE6019" s="2">
        <v>12761.425652514101</v>
      </c>
      <c r="AF6019" s="2">
        <v>12346.6291389242</v>
      </c>
      <c r="AG6019" s="2">
        <v>11622.906175955</v>
      </c>
      <c r="AH6019" s="2">
        <v>13028.2010040687</v>
      </c>
      <c r="AI6019" s="2">
        <v>13238.040595754799</v>
      </c>
      <c r="AJ6019" s="2">
        <v>13723.958824143399</v>
      </c>
      <c r="AK6019" s="2">
        <v>12000.817553954001</v>
      </c>
      <c r="AL6019" s="2">
        <v>12652.6347582258</v>
      </c>
      <c r="AM6019" s="2">
        <v>11171.8904951818</v>
      </c>
      <c r="AN6019" s="2">
        <v>13186.341766793699</v>
      </c>
      <c r="AO6019" s="2">
        <v>11954.2662285608</v>
      </c>
      <c r="AP6019" s="2">
        <v>12756.2159852566</v>
      </c>
    </row>
    <row r="6020" spans="1:42" ht="14.5" x14ac:dyDescent="0.35">
      <c r="A6020" s="2" t="s">
        <v>39921</v>
      </c>
      <c r="B6020" s="2">
        <v>218.11744589153801</v>
      </c>
      <c r="C6020" s="2">
        <v>8.7834500000000002</v>
      </c>
      <c r="D6020" s="2" t="s">
        <v>34</v>
      </c>
      <c r="E6020" s="2" t="s">
        <v>39922</v>
      </c>
      <c r="F6020" s="2">
        <v>266794</v>
      </c>
      <c r="G6020" s="3" t="str">
        <f>HYPERLINK("http://funmeta.oebiotech.com/network/266794", "http://funmeta.oebiotech.com/network/266794")</f>
        <v>http://funmeta.oebiotech.com/network/266794</v>
      </c>
      <c r="H6020" s="2"/>
      <c r="I6020" s="2">
        <v>43991</v>
      </c>
      <c r="J6020" s="2"/>
      <c r="K6020" s="2"/>
      <c r="L6020" s="2" t="s">
        <v>39923</v>
      </c>
      <c r="M6020" s="2"/>
      <c r="N6020" s="2"/>
      <c r="O6020" s="2">
        <v>442872</v>
      </c>
      <c r="P6020" s="2" t="s">
        <v>39924</v>
      </c>
      <c r="Q6020" s="2" t="s">
        <v>39925</v>
      </c>
      <c r="R6020" s="2" t="s">
        <v>39926</v>
      </c>
      <c r="S6020" s="2" t="s">
        <v>491</v>
      </c>
      <c r="T6020" s="2" t="s">
        <v>19967</v>
      </c>
      <c r="U6020" s="2" t="s">
        <v>41</v>
      </c>
      <c r="V6020" s="2" t="s">
        <v>59</v>
      </c>
      <c r="W6020" s="2">
        <v>37.700000000000003</v>
      </c>
      <c r="X6020" s="2">
        <v>0</v>
      </c>
      <c r="Y6020" s="2" t="s">
        <v>394</v>
      </c>
      <c r="Z6020" s="2" t="s">
        <v>39927</v>
      </c>
      <c r="AA6020" s="2">
        <v>-0.50327157405590095</v>
      </c>
      <c r="AB6020" s="2">
        <v>5.1235887163858899E-2</v>
      </c>
      <c r="AC6020" s="2">
        <v>3154.0515630702398</v>
      </c>
      <c r="AD6020" s="2">
        <v>2771.5307853106301</v>
      </c>
      <c r="AE6020" s="2">
        <v>2860.7287556474898</v>
      </c>
      <c r="AF6020" s="2">
        <v>3569.3062418976101</v>
      </c>
      <c r="AG6020" s="2">
        <v>2841.29518004185</v>
      </c>
      <c r="AH6020" s="2">
        <v>3049.3894523837698</v>
      </c>
      <c r="AI6020" s="2">
        <v>3526.2092109456898</v>
      </c>
      <c r="AJ6020" s="2">
        <v>3077.3805375050301</v>
      </c>
      <c r="AK6020" s="2">
        <v>3391.8934952631098</v>
      </c>
      <c r="AL6020" s="2">
        <v>2695.4952198718202</v>
      </c>
      <c r="AM6020" s="2">
        <v>1919.2337515695399</v>
      </c>
      <c r="AN6020" s="2">
        <v>3001.8445287548102</v>
      </c>
      <c r="AO6020" s="2">
        <v>2859.21157418741</v>
      </c>
      <c r="AP6020" s="2">
        <v>2761.5061422170802</v>
      </c>
    </row>
    <row r="6021" spans="1:42" ht="14.5" x14ac:dyDescent="0.35">
      <c r="A6021" s="2" t="s">
        <v>39928</v>
      </c>
      <c r="B6021" s="2">
        <v>784.55589837859304</v>
      </c>
      <c r="C6021" s="2">
        <v>14.4535</v>
      </c>
      <c r="D6021" s="2" t="s">
        <v>34</v>
      </c>
      <c r="E6021" s="2" t="s">
        <v>39929</v>
      </c>
      <c r="F6021" s="2">
        <v>18061</v>
      </c>
      <c r="G6021" s="3" t="str">
        <f>HYPERLINK("http://funmeta.oebiotech.com/network/18061", "http://funmeta.oebiotech.com/network/18061")</f>
        <v>http://funmeta.oebiotech.com/network/18061</v>
      </c>
      <c r="H6021" s="2"/>
      <c r="I6021" s="2"/>
      <c r="J6021" s="2" t="s">
        <v>39930</v>
      </c>
      <c r="K6021" s="2"/>
      <c r="L6021" s="2"/>
      <c r="M6021" s="2"/>
      <c r="N6021" s="2"/>
      <c r="O6021" s="2">
        <v>132609509</v>
      </c>
      <c r="P6021" s="2"/>
      <c r="Q6021" s="2" t="s">
        <v>39931</v>
      </c>
      <c r="R6021" s="2" t="s">
        <v>39932</v>
      </c>
      <c r="S6021" s="2" t="s">
        <v>50</v>
      </c>
      <c r="T6021" s="2" t="s">
        <v>229</v>
      </c>
      <c r="U6021" s="2" t="s">
        <v>230</v>
      </c>
      <c r="V6021" s="2" t="s">
        <v>59</v>
      </c>
      <c r="W6021" s="2">
        <v>37.299999999999997</v>
      </c>
      <c r="X6021" s="2">
        <v>0</v>
      </c>
      <c r="Y6021" s="2" t="s">
        <v>43</v>
      </c>
      <c r="Z6021" s="2" t="s">
        <v>39933</v>
      </c>
      <c r="AA6021" s="2">
        <v>-1.3572190174181</v>
      </c>
      <c r="AB6021" s="2">
        <v>5.12284005550993E-2</v>
      </c>
      <c r="AC6021" s="2">
        <v>3426.3243926754199</v>
      </c>
      <c r="AD6021" s="2">
        <v>2822.8100632187302</v>
      </c>
      <c r="AE6021" s="2">
        <v>2676.0368260335599</v>
      </c>
      <c r="AF6021" s="2">
        <v>2892.7737575951901</v>
      </c>
      <c r="AG6021" s="2">
        <v>3824.8265223082199</v>
      </c>
      <c r="AH6021" s="2">
        <v>3427.2721648275501</v>
      </c>
      <c r="AI6021" s="2">
        <v>3669.8784140068601</v>
      </c>
      <c r="AJ6021" s="2">
        <v>4067.15867128112</v>
      </c>
      <c r="AK6021" s="2">
        <v>5643.4150723249204</v>
      </c>
      <c r="AL6021" s="2">
        <v>3210.9246326550701</v>
      </c>
      <c r="AM6021" s="2">
        <v>2138.23545967173</v>
      </c>
      <c r="AN6021" s="2">
        <v>1412.74167173913</v>
      </c>
      <c r="AO6021" s="2">
        <v>2473.40044464722</v>
      </c>
      <c r="AP6021" s="2">
        <v>2058.14309827433</v>
      </c>
    </row>
    <row r="6022" spans="1:42" ht="14.5" x14ac:dyDescent="0.35">
      <c r="A6022" s="2" t="s">
        <v>39934</v>
      </c>
      <c r="B6022" s="2">
        <v>731.27673472205299</v>
      </c>
      <c r="C6022" s="2">
        <v>4.4359166666666701</v>
      </c>
      <c r="D6022" s="2" t="s">
        <v>70</v>
      </c>
      <c r="E6022" s="2" t="s">
        <v>39935</v>
      </c>
      <c r="F6022" s="2">
        <v>52030</v>
      </c>
      <c r="G6022" s="3" t="str">
        <f>HYPERLINK("http://funmeta.oebiotech.com/network/52030", "http://funmeta.oebiotech.com/network/52030")</f>
        <v>http://funmeta.oebiotech.com/network/52030</v>
      </c>
      <c r="H6022" s="2" t="s">
        <v>39936</v>
      </c>
      <c r="I6022" s="2">
        <v>86646</v>
      </c>
      <c r="J6022" s="2"/>
      <c r="K6022" s="2">
        <v>169367</v>
      </c>
      <c r="L6022" s="2"/>
      <c r="M6022" s="2"/>
      <c r="N6022" s="2"/>
      <c r="O6022" s="2">
        <v>21125948</v>
      </c>
      <c r="P6022" s="2" t="s">
        <v>39937</v>
      </c>
      <c r="Q6022" s="2" t="s">
        <v>39938</v>
      </c>
      <c r="R6022" s="2" t="s">
        <v>39939</v>
      </c>
      <c r="S6022" s="2" t="s">
        <v>39</v>
      </c>
      <c r="T6022" s="2" t="s">
        <v>3154</v>
      </c>
      <c r="U6022" s="2" t="s">
        <v>41</v>
      </c>
      <c r="V6022" s="2" t="s">
        <v>59</v>
      </c>
      <c r="W6022" s="2">
        <v>38.299999999999997</v>
      </c>
      <c r="X6022" s="2">
        <v>0</v>
      </c>
      <c r="Y6022" s="2" t="s">
        <v>560</v>
      </c>
      <c r="Z6022" s="2" t="s">
        <v>39940</v>
      </c>
      <c r="AA6022" s="2">
        <v>-1.8994644211017799</v>
      </c>
      <c r="AB6022" s="2">
        <v>5.12115920882684E-2</v>
      </c>
      <c r="AC6022" s="2">
        <v>18182.5985076906</v>
      </c>
      <c r="AD6022" s="2">
        <v>17116.6692488138</v>
      </c>
      <c r="AE6022" s="2">
        <v>18692.580741826001</v>
      </c>
      <c r="AF6022" s="2">
        <v>18482.884307312401</v>
      </c>
      <c r="AG6022" s="2">
        <v>18857.810308924501</v>
      </c>
      <c r="AH6022" s="2">
        <v>14129.374587672401</v>
      </c>
      <c r="AI6022" s="2">
        <v>18452.145174559799</v>
      </c>
      <c r="AJ6022" s="2">
        <v>20480.795925848699</v>
      </c>
      <c r="AK6022" s="2">
        <v>22101.836697267401</v>
      </c>
      <c r="AL6022" s="2">
        <v>15203.6269500284</v>
      </c>
      <c r="AM6022" s="2">
        <v>11391.463856730899</v>
      </c>
      <c r="AN6022" s="2">
        <v>22618.435765858401</v>
      </c>
      <c r="AO6022" s="2">
        <v>13607.1150496929</v>
      </c>
      <c r="AP6022" s="2">
        <v>17777.5371733047</v>
      </c>
    </row>
    <row r="6023" spans="1:42" ht="14.5" x14ac:dyDescent="0.35">
      <c r="A6023" s="2" t="s">
        <v>39941</v>
      </c>
      <c r="B6023" s="2">
        <v>209.03978951758199</v>
      </c>
      <c r="C6023" s="2">
        <v>1.0258499999999999</v>
      </c>
      <c r="D6023" s="2" t="s">
        <v>34</v>
      </c>
      <c r="E6023" s="2" t="s">
        <v>39942</v>
      </c>
      <c r="F6023" s="2">
        <v>210125</v>
      </c>
      <c r="G6023" s="3" t="str">
        <f>HYPERLINK("http://funmeta.oebiotech.com/network/210125", "http://funmeta.oebiotech.com/network/210125")</f>
        <v>http://funmeta.oebiotech.com/network/210125</v>
      </c>
      <c r="H6023" s="2" t="s">
        <v>39943</v>
      </c>
      <c r="I6023" s="2"/>
      <c r="J6023" s="2"/>
      <c r="K6023" s="2"/>
      <c r="L6023" s="2"/>
      <c r="M6023" s="2"/>
      <c r="N6023" s="2"/>
      <c r="O6023" s="2">
        <v>6451293</v>
      </c>
      <c r="P6023" s="2"/>
      <c r="Q6023" s="2" t="s">
        <v>39944</v>
      </c>
      <c r="R6023" s="2" t="s">
        <v>39945</v>
      </c>
      <c r="S6023" s="2" t="s">
        <v>41</v>
      </c>
      <c r="T6023" s="2" t="s">
        <v>41</v>
      </c>
      <c r="U6023" s="2" t="s">
        <v>41</v>
      </c>
      <c r="V6023" s="2" t="s">
        <v>59</v>
      </c>
      <c r="W6023" s="2">
        <v>37.799999999999997</v>
      </c>
      <c r="X6023" s="2">
        <v>0</v>
      </c>
      <c r="Y6023" s="2" t="s">
        <v>141</v>
      </c>
      <c r="Z6023" s="2" t="s">
        <v>39946</v>
      </c>
      <c r="AA6023" s="2">
        <v>-2.82033586777704</v>
      </c>
      <c r="AB6023" s="2">
        <v>5.1155534311733898E-2</v>
      </c>
      <c r="AC6023" s="2">
        <v>346.65824774433003</v>
      </c>
      <c r="AD6023" s="2">
        <v>123.93125048283601</v>
      </c>
      <c r="AE6023" s="2">
        <v>528.94402926386897</v>
      </c>
      <c r="AF6023" s="2">
        <v>467.27944297950103</v>
      </c>
      <c r="AG6023" s="2">
        <v>335.21488070949403</v>
      </c>
      <c r="AH6023" s="2">
        <v>243.39153556788901</v>
      </c>
      <c r="AI6023" s="2">
        <v>234.66596010288399</v>
      </c>
      <c r="AJ6023" s="2">
        <v>270.453637842342</v>
      </c>
      <c r="AK6023" s="2">
        <v>173.64606618210101</v>
      </c>
      <c r="AL6023" s="2">
        <v>75.536725023676397</v>
      </c>
      <c r="AM6023" s="2">
        <v>2.7106294003980101E-5</v>
      </c>
      <c r="AN6023" s="2">
        <v>178.24366690679599</v>
      </c>
      <c r="AO6023" s="2">
        <v>111.96211973034301</v>
      </c>
      <c r="AP6023" s="2">
        <v>204.19889794780801</v>
      </c>
    </row>
    <row r="6024" spans="1:42" ht="14.5" x14ac:dyDescent="0.35">
      <c r="A6024" s="2" t="s">
        <v>39947</v>
      </c>
      <c r="B6024" s="2">
        <v>447.21975966449997</v>
      </c>
      <c r="C6024" s="2">
        <v>5.6228833333333297</v>
      </c>
      <c r="D6024" s="2" t="s">
        <v>34</v>
      </c>
      <c r="E6024" s="2" t="s">
        <v>39948</v>
      </c>
      <c r="F6024" s="2">
        <v>204605</v>
      </c>
      <c r="G6024" s="3" t="str">
        <f>HYPERLINK("http://funmeta.oebiotech.com/network/204605", "http://funmeta.oebiotech.com/network/204605")</f>
        <v>http://funmeta.oebiotech.com/network/204605</v>
      </c>
      <c r="H6024" s="2" t="s">
        <v>39949</v>
      </c>
      <c r="I6024" s="2">
        <v>64797</v>
      </c>
      <c r="J6024" s="2"/>
      <c r="K6024" s="2"/>
      <c r="L6024" s="2"/>
      <c r="M6024" s="2"/>
      <c r="N6024" s="2"/>
      <c r="O6024" s="2">
        <v>24951314</v>
      </c>
      <c r="P6024" s="2" t="s">
        <v>39950</v>
      </c>
      <c r="Q6024" s="2" t="s">
        <v>39951</v>
      </c>
      <c r="R6024" s="2" t="s">
        <v>39952</v>
      </c>
      <c r="S6024" s="2" t="s">
        <v>148</v>
      </c>
      <c r="T6024" s="2" t="s">
        <v>149</v>
      </c>
      <c r="U6024" s="2" t="s">
        <v>6726</v>
      </c>
      <c r="V6024" s="2" t="s">
        <v>59</v>
      </c>
      <c r="W6024" s="2">
        <v>36.200000000000003</v>
      </c>
      <c r="X6024" s="2">
        <v>3.1199999999999999E-2</v>
      </c>
      <c r="Y6024" s="2" t="s">
        <v>1871</v>
      </c>
      <c r="Z6024" s="2" t="s">
        <v>39953</v>
      </c>
      <c r="AA6024" s="2">
        <v>-9.0795966646220805</v>
      </c>
      <c r="AB6024" s="2">
        <v>5.1064527775318599E-2</v>
      </c>
      <c r="AC6024" s="2">
        <v>118780.450453628</v>
      </c>
      <c r="AD6024" s="2">
        <v>120823.103788076</v>
      </c>
      <c r="AE6024" s="2">
        <v>105833.59710854699</v>
      </c>
      <c r="AF6024" s="2">
        <v>127042.951735706</v>
      </c>
      <c r="AG6024" s="2">
        <v>133893.17676205499</v>
      </c>
      <c r="AH6024" s="2">
        <v>115543.49770762101</v>
      </c>
      <c r="AI6024" s="2">
        <v>113924.13217971299</v>
      </c>
      <c r="AJ6024" s="2">
        <v>116445.34722812699</v>
      </c>
      <c r="AK6024" s="2">
        <v>114137.591492404</v>
      </c>
      <c r="AL6024" s="2">
        <v>146400.54722811299</v>
      </c>
      <c r="AM6024" s="2">
        <v>113401.18876467799</v>
      </c>
      <c r="AN6024" s="2">
        <v>115435.82059057899</v>
      </c>
      <c r="AO6024" s="2">
        <v>123770.661875769</v>
      </c>
      <c r="AP6024" s="2">
        <v>111792.812776912</v>
      </c>
    </row>
    <row r="6025" spans="1:42" ht="14.5" x14ac:dyDescent="0.35">
      <c r="A6025" s="2" t="s">
        <v>39954</v>
      </c>
      <c r="B6025" s="2">
        <v>387.238624738027</v>
      </c>
      <c r="C6025" s="2">
        <v>4.7402166666666696</v>
      </c>
      <c r="D6025" s="2" t="s">
        <v>70</v>
      </c>
      <c r="E6025" s="2" t="s">
        <v>39955</v>
      </c>
      <c r="F6025" s="2">
        <v>3242</v>
      </c>
      <c r="G6025" s="3" t="str">
        <f>HYPERLINK("http://funmeta.oebiotech.com/network/3242", "http://funmeta.oebiotech.com/network/3242")</f>
        <v>http://funmeta.oebiotech.com/network/3242</v>
      </c>
      <c r="H6025" s="2" t="s">
        <v>39956</v>
      </c>
      <c r="I6025" s="2">
        <v>95353</v>
      </c>
      <c r="J6025" s="2" t="s">
        <v>39957</v>
      </c>
      <c r="K6025" s="2"/>
      <c r="L6025" s="2"/>
      <c r="M6025" s="2"/>
      <c r="N6025" s="2"/>
      <c r="O6025" s="2">
        <v>6366720</v>
      </c>
      <c r="P6025" s="2" t="s">
        <v>39958</v>
      </c>
      <c r="Q6025" s="2" t="s">
        <v>39959</v>
      </c>
      <c r="R6025" s="2" t="s">
        <v>39960</v>
      </c>
      <c r="S6025" s="2" t="s">
        <v>50</v>
      </c>
      <c r="T6025" s="2" t="s">
        <v>229</v>
      </c>
      <c r="U6025" s="2" t="s">
        <v>1360</v>
      </c>
      <c r="V6025" s="2" t="s">
        <v>59</v>
      </c>
      <c r="W6025" s="2">
        <v>38.299999999999997</v>
      </c>
      <c r="X6025" s="2">
        <v>0</v>
      </c>
      <c r="Y6025" s="2" t="s">
        <v>408</v>
      </c>
      <c r="Z6025" s="2" t="s">
        <v>39961</v>
      </c>
      <c r="AA6025" s="2">
        <v>-0.59116346538792397</v>
      </c>
      <c r="AB6025" s="2">
        <v>5.103669904594E-2</v>
      </c>
      <c r="AC6025" s="2">
        <v>4141.90025344074</v>
      </c>
      <c r="AD6025" s="2">
        <v>3683.9818024666101</v>
      </c>
      <c r="AE6025" s="2">
        <v>3953.2997940333698</v>
      </c>
      <c r="AF6025" s="2">
        <v>4976.9064255184503</v>
      </c>
      <c r="AG6025" s="2">
        <v>4083.2332503717798</v>
      </c>
      <c r="AH6025" s="2">
        <v>3384.3264362547002</v>
      </c>
      <c r="AI6025" s="2">
        <v>4670.5721545452498</v>
      </c>
      <c r="AJ6025" s="2">
        <v>3783.0634599208602</v>
      </c>
      <c r="AK6025" s="2">
        <v>4028.1974185453701</v>
      </c>
      <c r="AL6025" s="2">
        <v>3328.9288646282398</v>
      </c>
      <c r="AM6025" s="2">
        <v>3519.73149662995</v>
      </c>
      <c r="AN6025" s="2">
        <v>2880.9715396327201</v>
      </c>
      <c r="AO6025" s="2">
        <v>3547.0105673811699</v>
      </c>
      <c r="AP6025" s="2">
        <v>4799.0509279822099</v>
      </c>
    </row>
    <row r="6026" spans="1:42" ht="14.5" x14ac:dyDescent="0.35">
      <c r="A6026" s="2" t="s">
        <v>39962</v>
      </c>
      <c r="B6026" s="2">
        <v>281.09924505862102</v>
      </c>
      <c r="C6026" s="2">
        <v>1.29345</v>
      </c>
      <c r="D6026" s="2" t="s">
        <v>34</v>
      </c>
      <c r="E6026" s="2" t="s">
        <v>39963</v>
      </c>
      <c r="F6026" s="2">
        <v>202650</v>
      </c>
      <c r="G6026" s="3" t="str">
        <f>HYPERLINK("http://funmeta.oebiotech.com/network/202650", "http://funmeta.oebiotech.com/network/202650")</f>
        <v>http://funmeta.oebiotech.com/network/202650</v>
      </c>
      <c r="H6026" s="2" t="s">
        <v>39964</v>
      </c>
      <c r="I6026" s="2"/>
      <c r="J6026" s="2"/>
      <c r="K6026" s="2"/>
      <c r="L6026" s="2"/>
      <c r="M6026" s="2"/>
      <c r="N6026" s="2"/>
      <c r="O6026" s="2">
        <v>259808</v>
      </c>
      <c r="P6026" s="2"/>
      <c r="Q6026" s="2" t="s">
        <v>39965</v>
      </c>
      <c r="R6026" s="2" t="s">
        <v>39966</v>
      </c>
      <c r="S6026" s="2" t="s">
        <v>41</v>
      </c>
      <c r="T6026" s="2" t="s">
        <v>41</v>
      </c>
      <c r="U6026" s="2" t="s">
        <v>41</v>
      </c>
      <c r="V6026" s="2" t="s">
        <v>59</v>
      </c>
      <c r="W6026" s="2">
        <v>39</v>
      </c>
      <c r="X6026" s="2">
        <v>0</v>
      </c>
      <c r="Y6026" s="2" t="s">
        <v>141</v>
      </c>
      <c r="Z6026" s="2" t="s">
        <v>39967</v>
      </c>
      <c r="AA6026" s="2">
        <v>-0.114950231765855</v>
      </c>
      <c r="AB6026" s="2">
        <v>5.1019432658945998E-2</v>
      </c>
      <c r="AC6026" s="2">
        <v>2351.0783205904199</v>
      </c>
      <c r="AD6026" s="2">
        <v>2775.5166760637499</v>
      </c>
      <c r="AE6026" s="2">
        <v>2421.4197549196001</v>
      </c>
      <c r="AF6026" s="2">
        <v>2441.0305911102701</v>
      </c>
      <c r="AG6026" s="2">
        <v>2362.0877853546699</v>
      </c>
      <c r="AH6026" s="2">
        <v>2203.3378350852199</v>
      </c>
      <c r="AI6026" s="2">
        <v>2642.42639278352</v>
      </c>
      <c r="AJ6026" s="2">
        <v>2036.1675642892301</v>
      </c>
      <c r="AK6026" s="2">
        <v>1602.7290709813101</v>
      </c>
      <c r="AL6026" s="2">
        <v>2987.0121845049798</v>
      </c>
      <c r="AM6026" s="2">
        <v>2224.83774060835</v>
      </c>
      <c r="AN6026" s="2">
        <v>3521.0415942527002</v>
      </c>
      <c r="AO6026" s="2">
        <v>3394.8083924173402</v>
      </c>
      <c r="AP6026" s="2">
        <v>2922.6710736178002</v>
      </c>
    </row>
    <row r="6027" spans="1:42" ht="14.5" x14ac:dyDescent="0.35">
      <c r="A6027" s="2" t="s">
        <v>39968</v>
      </c>
      <c r="B6027" s="2">
        <v>533.18672755695604</v>
      </c>
      <c r="C6027" s="2">
        <v>4.8087833333333299</v>
      </c>
      <c r="D6027" s="2" t="s">
        <v>70</v>
      </c>
      <c r="E6027" s="2" t="s">
        <v>39969</v>
      </c>
      <c r="F6027" s="2">
        <v>503401</v>
      </c>
      <c r="G6027" s="3" t="str">
        <f>HYPERLINK("http://funmeta.oebiotech.com/network/503401", "http://funmeta.oebiotech.com/network/503401")</f>
        <v>http://funmeta.oebiotech.com/network/503401</v>
      </c>
      <c r="H6027" s="2" t="s">
        <v>39970</v>
      </c>
      <c r="I6027" s="2">
        <v>95276</v>
      </c>
      <c r="J6027" s="2"/>
      <c r="K6027" s="2"/>
      <c r="L6027" s="2"/>
      <c r="M6027" s="2"/>
      <c r="N6027" s="2"/>
      <c r="O6027" s="2">
        <v>57399043</v>
      </c>
      <c r="P6027" s="2" t="s">
        <v>39971</v>
      </c>
      <c r="Q6027" s="2" t="s">
        <v>39972</v>
      </c>
      <c r="R6027" s="2" t="s">
        <v>39973</v>
      </c>
      <c r="S6027" s="2" t="s">
        <v>79</v>
      </c>
      <c r="T6027" s="2" t="s">
        <v>80</v>
      </c>
      <c r="U6027" s="2" t="s">
        <v>81</v>
      </c>
      <c r="V6027" s="2" t="s">
        <v>42</v>
      </c>
      <c r="W6027" s="2">
        <v>47</v>
      </c>
      <c r="X6027" s="2">
        <v>46.6</v>
      </c>
      <c r="Y6027" s="2" t="s">
        <v>118</v>
      </c>
      <c r="Z6027" s="2" t="s">
        <v>39974</v>
      </c>
      <c r="AA6027" s="2">
        <v>-1.5945029328121401</v>
      </c>
      <c r="AB6027" s="2">
        <v>5.0956514586649397E-2</v>
      </c>
      <c r="AC6027" s="2">
        <v>34919.092871741101</v>
      </c>
      <c r="AD6027" s="2">
        <v>35843.2114993172</v>
      </c>
      <c r="AE6027" s="2">
        <v>34430.063501751203</v>
      </c>
      <c r="AF6027" s="2">
        <v>34315.403254457196</v>
      </c>
      <c r="AG6027" s="2">
        <v>31939.927959686702</v>
      </c>
      <c r="AH6027" s="2">
        <v>34092.639371120298</v>
      </c>
      <c r="AI6027" s="2">
        <v>36781.221616547897</v>
      </c>
      <c r="AJ6027" s="2">
        <v>37955.301526883202</v>
      </c>
      <c r="AK6027" s="2">
        <v>32987.573183241002</v>
      </c>
      <c r="AL6027" s="2">
        <v>34251.326103610401</v>
      </c>
      <c r="AM6027" s="2">
        <v>41820.073803368497</v>
      </c>
      <c r="AN6027" s="2">
        <v>35923.897331089698</v>
      </c>
      <c r="AO6027" s="2">
        <v>32579.725904499901</v>
      </c>
      <c r="AP6027" s="2">
        <v>37496.672670093598</v>
      </c>
    </row>
    <row r="6028" spans="1:42" ht="14.5" x14ac:dyDescent="0.35">
      <c r="A6028" s="2" t="s">
        <v>39975</v>
      </c>
      <c r="B6028" s="2">
        <v>192.04290154706601</v>
      </c>
      <c r="C6028" s="2">
        <v>4.4793166666666702</v>
      </c>
      <c r="D6028" s="2" t="s">
        <v>34</v>
      </c>
      <c r="E6028" s="2" t="s">
        <v>39976</v>
      </c>
      <c r="F6028" s="2">
        <v>201342</v>
      </c>
      <c r="G6028" s="3" t="str">
        <f>HYPERLINK("http://funmeta.oebiotech.com/network/201342", "http://funmeta.oebiotech.com/network/201342")</f>
        <v>http://funmeta.oebiotech.com/network/201342</v>
      </c>
      <c r="H6028" s="2" t="s">
        <v>39977</v>
      </c>
      <c r="I6028" s="2"/>
      <c r="J6028" s="2"/>
      <c r="K6028" s="2"/>
      <c r="L6028" s="2"/>
      <c r="M6028" s="2"/>
      <c r="N6028" s="2"/>
      <c r="O6028" s="2">
        <v>104962</v>
      </c>
      <c r="P6028" s="2"/>
      <c r="Q6028" s="2" t="s">
        <v>39978</v>
      </c>
      <c r="R6028" s="2" t="s">
        <v>39979</v>
      </c>
      <c r="S6028" s="2" t="s">
        <v>89</v>
      </c>
      <c r="T6028" s="2" t="s">
        <v>90</v>
      </c>
      <c r="U6028" s="2" t="s">
        <v>99</v>
      </c>
      <c r="V6028" s="2" t="s">
        <v>59</v>
      </c>
      <c r="W6028" s="2">
        <v>37.700000000000003</v>
      </c>
      <c r="X6028" s="2">
        <v>0</v>
      </c>
      <c r="Y6028" s="2" t="s">
        <v>141</v>
      </c>
      <c r="Z6028" s="2" t="s">
        <v>39980</v>
      </c>
      <c r="AA6028" s="2">
        <v>4.2128648057851903</v>
      </c>
      <c r="AB6028" s="2">
        <v>5.0941737803691697E-2</v>
      </c>
      <c r="AC6028" s="2">
        <v>3435.93418543912</v>
      </c>
      <c r="AD6028" s="2">
        <v>3026.6082064419002</v>
      </c>
      <c r="AE6028" s="2">
        <v>3454.64938828303</v>
      </c>
      <c r="AF6028" s="2">
        <v>3322.77318652127</v>
      </c>
      <c r="AG6028" s="2">
        <v>4315.8483083575602</v>
      </c>
      <c r="AH6028" s="2">
        <v>3168.8122476012099</v>
      </c>
      <c r="AI6028" s="2">
        <v>3398.8712785829798</v>
      </c>
      <c r="AJ6028" s="2">
        <v>2954.6507032886402</v>
      </c>
      <c r="AK6028" s="2">
        <v>2924.9751833175501</v>
      </c>
      <c r="AL6028" s="2">
        <v>3653.8095237986799</v>
      </c>
      <c r="AM6028" s="2">
        <v>3491.5785498096002</v>
      </c>
      <c r="AN6028" s="2">
        <v>2755.5290444673401</v>
      </c>
      <c r="AO6028" s="2">
        <v>3132.63420778113</v>
      </c>
      <c r="AP6028" s="2">
        <v>2201.1227294771002</v>
      </c>
    </row>
    <row r="6029" spans="1:42" ht="14.5" x14ac:dyDescent="0.35">
      <c r="A6029" s="2" t="s">
        <v>39981</v>
      </c>
      <c r="B6029" s="2">
        <v>497.000149757087</v>
      </c>
      <c r="C6029" s="2">
        <v>1.50383333333333</v>
      </c>
      <c r="D6029" s="2" t="s">
        <v>70</v>
      </c>
      <c r="E6029" s="2" t="s">
        <v>39982</v>
      </c>
      <c r="F6029" s="2">
        <v>255802</v>
      </c>
      <c r="G6029" s="3" t="str">
        <f>HYPERLINK("http://funmeta.oebiotech.com/network/255802", "http://funmeta.oebiotech.com/network/255802")</f>
        <v>http://funmeta.oebiotech.com/network/255802</v>
      </c>
      <c r="H6029" s="2" t="s">
        <v>39983</v>
      </c>
      <c r="I6029" s="2"/>
      <c r="J6029" s="2"/>
      <c r="K6029" s="2"/>
      <c r="L6029" s="2"/>
      <c r="M6029" s="2"/>
      <c r="N6029" s="2"/>
      <c r="O6029" s="2">
        <v>15559252</v>
      </c>
      <c r="P6029" s="2"/>
      <c r="Q6029" s="2" t="s">
        <v>39984</v>
      </c>
      <c r="R6029" s="2" t="s">
        <v>39985</v>
      </c>
      <c r="S6029" s="2" t="s">
        <v>115</v>
      </c>
      <c r="T6029" s="2" t="s">
        <v>9908</v>
      </c>
      <c r="U6029" s="2" t="s">
        <v>9909</v>
      </c>
      <c r="V6029" s="2" t="s">
        <v>59</v>
      </c>
      <c r="W6029" s="2">
        <v>39.200000000000003</v>
      </c>
      <c r="X6029" s="2">
        <v>0</v>
      </c>
      <c r="Y6029" s="2" t="s">
        <v>408</v>
      </c>
      <c r="Z6029" s="2" t="s">
        <v>39986</v>
      </c>
      <c r="AA6029" s="2">
        <v>0.82122679796209197</v>
      </c>
      <c r="AB6029" s="2">
        <v>5.0917408141224703E-2</v>
      </c>
      <c r="AC6029" s="2">
        <v>1506.7333528321401</v>
      </c>
      <c r="AD6029" s="2">
        <v>1823.1506926294801</v>
      </c>
      <c r="AE6029" s="2">
        <v>1297.9414114930501</v>
      </c>
      <c r="AF6029" s="2">
        <v>1395.4138823819601</v>
      </c>
      <c r="AG6029" s="2">
        <v>1379.0344945505401</v>
      </c>
      <c r="AH6029" s="2">
        <v>1720.4097127135001</v>
      </c>
      <c r="AI6029" s="2">
        <v>1657.9832145166599</v>
      </c>
      <c r="AJ6029" s="2">
        <v>1589.6174013371201</v>
      </c>
      <c r="AK6029" s="2">
        <v>1751.19146918859</v>
      </c>
      <c r="AL6029" s="2">
        <v>1578.2798374855399</v>
      </c>
      <c r="AM6029" s="2">
        <v>1565.2939302512</v>
      </c>
      <c r="AN6029" s="2">
        <v>2041.8205447415901</v>
      </c>
      <c r="AO6029" s="2">
        <v>1568.36566212466</v>
      </c>
      <c r="AP6029" s="2">
        <v>2433.9527119853201</v>
      </c>
    </row>
    <row r="6030" spans="1:42" ht="14.5" x14ac:dyDescent="0.35">
      <c r="A6030" s="2" t="s">
        <v>39987</v>
      </c>
      <c r="B6030" s="2">
        <v>551.18222824192299</v>
      </c>
      <c r="C6030" s="2">
        <v>0.73909999999999998</v>
      </c>
      <c r="D6030" s="2" t="s">
        <v>70</v>
      </c>
      <c r="E6030" s="2" t="s">
        <v>39988</v>
      </c>
      <c r="F6030" s="2">
        <v>212131</v>
      </c>
      <c r="G6030" s="3" t="str">
        <f>HYPERLINK("http://funmeta.oebiotech.com/network/212131", "http://funmeta.oebiotech.com/network/212131")</f>
        <v>http://funmeta.oebiotech.com/network/212131</v>
      </c>
      <c r="H6030" s="2" t="s">
        <v>39989</v>
      </c>
      <c r="I6030" s="2"/>
      <c r="J6030" s="2"/>
      <c r="K6030" s="2"/>
      <c r="L6030" s="2"/>
      <c r="M6030" s="2"/>
      <c r="N6030" s="2"/>
      <c r="O6030" s="2">
        <v>3625615</v>
      </c>
      <c r="P6030" s="2"/>
      <c r="Q6030" s="2" t="s">
        <v>39990</v>
      </c>
      <c r="R6030" s="2" t="s">
        <v>39991</v>
      </c>
      <c r="S6030" s="2" t="s">
        <v>79</v>
      </c>
      <c r="T6030" s="2" t="s">
        <v>80</v>
      </c>
      <c r="U6030" s="2" t="s">
        <v>81</v>
      </c>
      <c r="V6030" s="2" t="s">
        <v>59</v>
      </c>
      <c r="W6030" s="2">
        <v>45.8</v>
      </c>
      <c r="X6030" s="2">
        <v>32.799999999999997</v>
      </c>
      <c r="Y6030" s="2" t="s">
        <v>286</v>
      </c>
      <c r="Z6030" s="2" t="s">
        <v>39992</v>
      </c>
      <c r="AA6030" s="2">
        <v>-1.30314376594977</v>
      </c>
      <c r="AB6030" s="2">
        <v>5.0898661099045998E-2</v>
      </c>
      <c r="AC6030" s="2">
        <v>2255015.37951602</v>
      </c>
      <c r="AD6030" s="2">
        <v>2259329.6467272602</v>
      </c>
      <c r="AE6030" s="2">
        <v>2159831.76318852</v>
      </c>
      <c r="AF6030" s="2">
        <v>2249255.5120490501</v>
      </c>
      <c r="AG6030" s="2">
        <v>2233108.8324540802</v>
      </c>
      <c r="AH6030" s="2">
        <v>2397530.4777965499</v>
      </c>
      <c r="AI6030" s="2">
        <v>2269151.0750574502</v>
      </c>
      <c r="AJ6030" s="2">
        <v>2221214.61655046</v>
      </c>
      <c r="AK6030" s="2">
        <v>2124374.7214247501</v>
      </c>
      <c r="AL6030" s="2">
        <v>2155947.5346358502</v>
      </c>
      <c r="AM6030" s="2">
        <v>2372092.7498866902</v>
      </c>
      <c r="AN6030" s="2">
        <v>2331949.5670000501</v>
      </c>
      <c r="AO6030" s="2">
        <v>2313055.4963468299</v>
      </c>
      <c r="AP6030" s="2">
        <v>2258557.81106938</v>
      </c>
    </row>
    <row r="6031" spans="1:42" ht="14.5" x14ac:dyDescent="0.35">
      <c r="A6031" s="2" t="s">
        <v>39993</v>
      </c>
      <c r="B6031" s="2">
        <v>437.121703388578</v>
      </c>
      <c r="C6031" s="2">
        <v>7.6666999999999996</v>
      </c>
      <c r="D6031" s="2" t="s">
        <v>70</v>
      </c>
      <c r="E6031" s="2" t="s">
        <v>39994</v>
      </c>
      <c r="F6031" s="2">
        <v>82671</v>
      </c>
      <c r="G6031" s="3" t="str">
        <f>HYPERLINK("http://funmeta.oebiotech.com/network/82671", "http://funmeta.oebiotech.com/network/82671")</f>
        <v>http://funmeta.oebiotech.com/network/82671</v>
      </c>
      <c r="H6031" s="2" t="s">
        <v>39995</v>
      </c>
      <c r="I6031" s="2"/>
      <c r="J6031" s="2"/>
      <c r="K6031" s="2"/>
      <c r="L6031" s="2"/>
      <c r="M6031" s="2"/>
      <c r="N6031" s="2"/>
      <c r="O6031" s="2">
        <v>131769960</v>
      </c>
      <c r="P6031" s="2"/>
      <c r="Q6031" s="2" t="s">
        <v>39996</v>
      </c>
      <c r="R6031" s="2" t="s">
        <v>39997</v>
      </c>
      <c r="S6031" s="2" t="s">
        <v>79</v>
      </c>
      <c r="T6031" s="2" t="s">
        <v>80</v>
      </c>
      <c r="U6031" s="2" t="s">
        <v>81</v>
      </c>
      <c r="V6031" s="2" t="s">
        <v>59</v>
      </c>
      <c r="W6031" s="2">
        <v>38.299999999999997</v>
      </c>
      <c r="X6031" s="2">
        <v>0</v>
      </c>
      <c r="Y6031" s="2" t="s">
        <v>408</v>
      </c>
      <c r="Z6031" s="2" t="s">
        <v>39998</v>
      </c>
      <c r="AA6031" s="2">
        <v>3.9143716304471399</v>
      </c>
      <c r="AB6031" s="2">
        <v>5.0878549541141398E-2</v>
      </c>
      <c r="AC6031" s="2">
        <v>3406.3587105213201</v>
      </c>
      <c r="AD6031" s="2">
        <v>2924.8149365077602</v>
      </c>
      <c r="AE6031" s="2">
        <v>2680.3783466457999</v>
      </c>
      <c r="AF6031" s="2">
        <v>1990.4431700110199</v>
      </c>
      <c r="AG6031" s="2">
        <v>3548.8789985568501</v>
      </c>
      <c r="AH6031" s="2">
        <v>4353.5778808042096</v>
      </c>
      <c r="AI6031" s="2">
        <v>4116.5023573572198</v>
      </c>
      <c r="AJ6031" s="2">
        <v>3748.3715097528402</v>
      </c>
      <c r="AK6031" s="2">
        <v>3248.0096613402502</v>
      </c>
      <c r="AL6031" s="2">
        <v>3036.5132330112901</v>
      </c>
      <c r="AM6031" s="2">
        <v>2917.0757931016201</v>
      </c>
      <c r="AN6031" s="2">
        <v>2273.6845977137</v>
      </c>
      <c r="AO6031" s="2">
        <v>3059.06916733769</v>
      </c>
      <c r="AP6031" s="2">
        <v>3014.5371665419798</v>
      </c>
    </row>
    <row r="6032" spans="1:42" ht="14.5" x14ac:dyDescent="0.35">
      <c r="A6032" s="2" t="s">
        <v>39999</v>
      </c>
      <c r="B6032" s="2">
        <v>556.32765341815298</v>
      </c>
      <c r="C6032" s="2">
        <v>7.4894166666666697</v>
      </c>
      <c r="D6032" s="2" t="s">
        <v>70</v>
      </c>
      <c r="E6032" s="2" t="s">
        <v>40000</v>
      </c>
      <c r="F6032" s="2">
        <v>39002</v>
      </c>
      <c r="G6032" s="3" t="str">
        <f>HYPERLINK("http://funmeta.oebiotech.com/network/39002", "http://funmeta.oebiotech.com/network/39002")</f>
        <v>http://funmeta.oebiotech.com/network/39002</v>
      </c>
      <c r="H6032" s="2"/>
      <c r="I6032" s="2">
        <v>53960</v>
      </c>
      <c r="J6032" s="2" t="s">
        <v>40001</v>
      </c>
      <c r="K6032" s="2"/>
      <c r="L6032" s="2"/>
      <c r="M6032" s="2"/>
      <c r="N6032" s="2"/>
      <c r="O6032" s="2">
        <v>42608377</v>
      </c>
      <c r="P6032" s="2"/>
      <c r="Q6032" s="2" t="s">
        <v>40002</v>
      </c>
      <c r="R6032" s="2" t="s">
        <v>40003</v>
      </c>
      <c r="S6032" s="2" t="s">
        <v>79</v>
      </c>
      <c r="T6032" s="2" t="s">
        <v>80</v>
      </c>
      <c r="U6032" s="2" t="s">
        <v>2820</v>
      </c>
      <c r="V6032" s="2" t="s">
        <v>59</v>
      </c>
      <c r="W6032" s="2">
        <v>39.1</v>
      </c>
      <c r="X6032" s="2">
        <v>0</v>
      </c>
      <c r="Y6032" s="2" t="s">
        <v>408</v>
      </c>
      <c r="Z6032" s="2" t="s">
        <v>40004</v>
      </c>
      <c r="AA6032" s="2">
        <v>-0.63168157544395298</v>
      </c>
      <c r="AB6032" s="2">
        <v>5.0850815544158101E-2</v>
      </c>
      <c r="AC6032" s="2">
        <v>722.29373675279601</v>
      </c>
      <c r="AD6032" s="2">
        <v>1026.51243491489</v>
      </c>
      <c r="AE6032" s="2">
        <v>986.15751972119597</v>
      </c>
      <c r="AF6032" s="2">
        <v>580.11415313915597</v>
      </c>
      <c r="AG6032" s="2">
        <v>451.80508949392799</v>
      </c>
      <c r="AH6032" s="2">
        <v>888.039996758548</v>
      </c>
      <c r="AI6032" s="2">
        <v>927.18823219675699</v>
      </c>
      <c r="AJ6032" s="2">
        <v>500.45742920719101</v>
      </c>
      <c r="AK6032" s="2">
        <v>811.34736456722999</v>
      </c>
      <c r="AL6032" s="2">
        <v>1105.04814212061</v>
      </c>
      <c r="AM6032" s="2">
        <v>1002.57648280405</v>
      </c>
      <c r="AN6032" s="2">
        <v>646.28028166701904</v>
      </c>
      <c r="AO6032" s="2">
        <v>1301.42855122742</v>
      </c>
      <c r="AP6032" s="2">
        <v>1292.39378710304</v>
      </c>
    </row>
    <row r="6033" spans="1:42" ht="14.5" x14ac:dyDescent="0.35">
      <c r="A6033" s="2" t="s">
        <v>40005</v>
      </c>
      <c r="B6033" s="2">
        <v>287.06483357436599</v>
      </c>
      <c r="C6033" s="2">
        <v>1.54206666666667</v>
      </c>
      <c r="D6033" s="2" t="s">
        <v>70</v>
      </c>
      <c r="E6033" s="2" t="s">
        <v>40006</v>
      </c>
      <c r="F6033" s="2">
        <v>81706</v>
      </c>
      <c r="G6033" s="3" t="str">
        <f>HYPERLINK("http://funmeta.oebiotech.com/network/81706", "http://funmeta.oebiotech.com/network/81706")</f>
        <v>http://funmeta.oebiotech.com/network/81706</v>
      </c>
      <c r="H6033" s="2" t="s">
        <v>40007</v>
      </c>
      <c r="I6033" s="2">
        <v>63462</v>
      </c>
      <c r="J6033" s="2"/>
      <c r="K6033" s="2">
        <v>16752</v>
      </c>
      <c r="L6033" s="2" t="s">
        <v>40008</v>
      </c>
      <c r="M6033" s="2" t="s">
        <v>11264</v>
      </c>
      <c r="N6033" s="2" t="s">
        <v>11265</v>
      </c>
      <c r="O6033" s="2">
        <v>25163995</v>
      </c>
      <c r="P6033" s="2"/>
      <c r="Q6033" s="2" t="s">
        <v>40009</v>
      </c>
      <c r="R6033" s="2" t="s">
        <v>40010</v>
      </c>
      <c r="S6033" s="2" t="s">
        <v>89</v>
      </c>
      <c r="T6033" s="2" t="s">
        <v>90</v>
      </c>
      <c r="U6033" s="2" t="s">
        <v>99</v>
      </c>
      <c r="V6033" s="2" t="s">
        <v>59</v>
      </c>
      <c r="W6033" s="2">
        <v>39.5</v>
      </c>
      <c r="X6033" s="2">
        <v>0</v>
      </c>
      <c r="Y6033" s="2" t="s">
        <v>408</v>
      </c>
      <c r="Z6033" s="2" t="s">
        <v>40011</v>
      </c>
      <c r="AA6033" s="2">
        <v>-0.58716709454003602</v>
      </c>
      <c r="AB6033" s="2">
        <v>5.0850032857526699E-2</v>
      </c>
      <c r="AC6033" s="2">
        <v>1450.3950114557499</v>
      </c>
      <c r="AD6033" s="2">
        <v>1192.1782413661099</v>
      </c>
      <c r="AE6033" s="2">
        <v>1189.1792546515701</v>
      </c>
      <c r="AF6033" s="2">
        <v>1408.2242724610601</v>
      </c>
      <c r="AG6033" s="2">
        <v>1502.6635651475799</v>
      </c>
      <c r="AH6033" s="2">
        <v>1703.65147303859</v>
      </c>
      <c r="AI6033" s="2">
        <v>1387.5022452118201</v>
      </c>
      <c r="AJ6033" s="2">
        <v>1511.14925822386</v>
      </c>
      <c r="AK6033" s="2">
        <v>1135.9968088195801</v>
      </c>
      <c r="AL6033" s="2">
        <v>1036.1360876582801</v>
      </c>
      <c r="AM6033" s="2">
        <v>1117.7478181522799</v>
      </c>
      <c r="AN6033" s="2">
        <v>1263.5927332323099</v>
      </c>
      <c r="AO6033" s="2">
        <v>1462.4233369235201</v>
      </c>
      <c r="AP6033" s="2">
        <v>1137.1726634106799</v>
      </c>
    </row>
    <row r="6034" spans="1:42" ht="14.5" x14ac:dyDescent="0.35">
      <c r="A6034" s="2" t="s">
        <v>40012</v>
      </c>
      <c r="B6034" s="2">
        <v>197.11715757617699</v>
      </c>
      <c r="C6034" s="2">
        <v>4.5663166666666699</v>
      </c>
      <c r="D6034" s="2" t="s">
        <v>34</v>
      </c>
      <c r="E6034" s="2" t="s">
        <v>40013</v>
      </c>
      <c r="F6034" s="2">
        <v>60001</v>
      </c>
      <c r="G6034" s="3" t="str">
        <f>HYPERLINK("http://funmeta.oebiotech.com/network/60001", "http://funmeta.oebiotech.com/network/60001")</f>
        <v>http://funmeta.oebiotech.com/network/60001</v>
      </c>
      <c r="H6034" s="2" t="s">
        <v>40014</v>
      </c>
      <c r="I6034" s="2">
        <v>91372</v>
      </c>
      <c r="J6034" s="2"/>
      <c r="K6034" s="2"/>
      <c r="L6034" s="2"/>
      <c r="M6034" s="2"/>
      <c r="N6034" s="2"/>
      <c r="O6034" s="2">
        <v>524975</v>
      </c>
      <c r="P6034" s="2" t="s">
        <v>40015</v>
      </c>
      <c r="Q6034" s="2" t="s">
        <v>40016</v>
      </c>
      <c r="R6034" s="2" t="s">
        <v>40017</v>
      </c>
      <c r="S6034" s="2" t="s">
        <v>148</v>
      </c>
      <c r="T6034" s="2" t="s">
        <v>392</v>
      </c>
      <c r="U6034" s="2" t="s">
        <v>3450</v>
      </c>
      <c r="V6034" s="2" t="s">
        <v>59</v>
      </c>
      <c r="W6034" s="2">
        <v>38.9</v>
      </c>
      <c r="X6034" s="2">
        <v>0</v>
      </c>
      <c r="Y6034" s="2" t="s">
        <v>394</v>
      </c>
      <c r="Z6034" s="2" t="s">
        <v>22631</v>
      </c>
      <c r="AA6034" s="2">
        <v>-0.32240906034112399</v>
      </c>
      <c r="AB6034" s="2">
        <v>5.0846133080766E-2</v>
      </c>
      <c r="AC6034" s="2">
        <v>10300.3011793933</v>
      </c>
      <c r="AD6034" s="2">
        <v>9775.7131584844101</v>
      </c>
      <c r="AE6034" s="2">
        <v>9995.1658640840997</v>
      </c>
      <c r="AF6034" s="2">
        <v>11176.677841161099</v>
      </c>
      <c r="AG6034" s="2">
        <v>10812.7357602706</v>
      </c>
      <c r="AH6034" s="2">
        <v>9337.4631077824797</v>
      </c>
      <c r="AI6034" s="2">
        <v>10864.2073194654</v>
      </c>
      <c r="AJ6034" s="2">
        <v>9615.5571835961891</v>
      </c>
      <c r="AK6034" s="2">
        <v>11435.416792821999</v>
      </c>
      <c r="AL6034" s="2">
        <v>10093.1367316578</v>
      </c>
      <c r="AM6034" s="2">
        <v>9886.3136273199198</v>
      </c>
      <c r="AN6034" s="2">
        <v>9251.7751338211201</v>
      </c>
      <c r="AO6034" s="2">
        <v>8930.9379010238499</v>
      </c>
      <c r="AP6034" s="2">
        <v>9056.6987642617496</v>
      </c>
    </row>
    <row r="6035" spans="1:42" ht="14.5" x14ac:dyDescent="0.35">
      <c r="A6035" s="2" t="s">
        <v>40018</v>
      </c>
      <c r="B6035" s="2">
        <v>579.14958258665604</v>
      </c>
      <c r="C6035" s="2">
        <v>4.4128166666666697</v>
      </c>
      <c r="D6035" s="2" t="s">
        <v>34</v>
      </c>
      <c r="E6035" s="2" t="s">
        <v>40019</v>
      </c>
      <c r="F6035" s="2">
        <v>29114</v>
      </c>
      <c r="G6035" s="3" t="str">
        <f>HYPERLINK("http://funmeta.oebiotech.com/network/29114", "http://funmeta.oebiotech.com/network/29114")</f>
        <v>http://funmeta.oebiotech.com/network/29114</v>
      </c>
      <c r="H6035" s="2" t="s">
        <v>40020</v>
      </c>
      <c r="I6035" s="2">
        <v>47502</v>
      </c>
      <c r="J6035" s="2" t="s">
        <v>40021</v>
      </c>
      <c r="K6035" s="2">
        <v>75630</v>
      </c>
      <c r="L6035" s="2" t="s">
        <v>40022</v>
      </c>
      <c r="M6035" s="2"/>
      <c r="N6035" s="2"/>
      <c r="O6035" s="2">
        <v>146798</v>
      </c>
      <c r="P6035" s="2" t="s">
        <v>40023</v>
      </c>
      <c r="Q6035" s="2" t="s">
        <v>40024</v>
      </c>
      <c r="R6035" s="2" t="s">
        <v>40025</v>
      </c>
      <c r="S6035" s="2" t="s">
        <v>115</v>
      </c>
      <c r="T6035" s="2" t="s">
        <v>139</v>
      </c>
      <c r="U6035" s="2" t="s">
        <v>957</v>
      </c>
      <c r="V6035" s="2" t="s">
        <v>42</v>
      </c>
      <c r="W6035" s="2">
        <v>56.1</v>
      </c>
      <c r="X6035" s="2">
        <v>84.7</v>
      </c>
      <c r="Y6035" s="2" t="s">
        <v>394</v>
      </c>
      <c r="Z6035" s="2" t="s">
        <v>958</v>
      </c>
      <c r="AA6035" s="2">
        <v>-0.20775829431008899</v>
      </c>
      <c r="AB6035" s="2">
        <v>5.0758473170012502E-2</v>
      </c>
      <c r="AC6035" s="2">
        <v>201799.24878376801</v>
      </c>
      <c r="AD6035" s="2">
        <v>204442.23228897</v>
      </c>
      <c r="AE6035" s="2">
        <v>181742.56922795501</v>
      </c>
      <c r="AF6035" s="2">
        <v>170250.06860768399</v>
      </c>
      <c r="AG6035" s="2">
        <v>210472.805529481</v>
      </c>
      <c r="AH6035" s="2">
        <v>255509.51212193799</v>
      </c>
      <c r="AI6035" s="2">
        <v>200664.64617601599</v>
      </c>
      <c r="AJ6035" s="2">
        <v>192155.89103953299</v>
      </c>
      <c r="AK6035" s="2">
        <v>176456.09324196901</v>
      </c>
      <c r="AL6035" s="2">
        <v>211119.84780632</v>
      </c>
      <c r="AM6035" s="2">
        <v>204099.76466832901</v>
      </c>
      <c r="AN6035" s="2">
        <v>204322.91411792301</v>
      </c>
      <c r="AO6035" s="2">
        <v>228957.219550182</v>
      </c>
      <c r="AP6035" s="2">
        <v>201697.55434909899</v>
      </c>
    </row>
    <row r="6036" spans="1:42" ht="14.5" x14ac:dyDescent="0.35">
      <c r="A6036" s="2" t="s">
        <v>40026</v>
      </c>
      <c r="B6036" s="2">
        <v>285.135332136719</v>
      </c>
      <c r="C6036" s="2">
        <v>4.0871833333333303</v>
      </c>
      <c r="D6036" s="2" t="s">
        <v>34</v>
      </c>
      <c r="E6036" s="2" t="s">
        <v>40027</v>
      </c>
      <c r="F6036" s="2">
        <v>210577</v>
      </c>
      <c r="G6036" s="3" t="str">
        <f>HYPERLINK("http://funmeta.oebiotech.com/network/210577", "http://funmeta.oebiotech.com/network/210577")</f>
        <v>http://funmeta.oebiotech.com/network/210577</v>
      </c>
      <c r="H6036" s="2" t="s">
        <v>40028</v>
      </c>
      <c r="I6036" s="2">
        <v>68722</v>
      </c>
      <c r="J6036" s="2"/>
      <c r="K6036" s="2">
        <v>8415</v>
      </c>
      <c r="L6036" s="2" t="s">
        <v>40029</v>
      </c>
      <c r="M6036" s="2"/>
      <c r="N6036" s="2"/>
      <c r="O6036" s="2">
        <v>60352</v>
      </c>
      <c r="P6036" s="2" t="s">
        <v>40030</v>
      </c>
      <c r="Q6036" s="2" t="s">
        <v>40031</v>
      </c>
      <c r="R6036" s="2" t="s">
        <v>40032</v>
      </c>
      <c r="S6036" s="2" t="s">
        <v>148</v>
      </c>
      <c r="T6036" s="2" t="s">
        <v>149</v>
      </c>
      <c r="U6036" s="2" t="s">
        <v>4630</v>
      </c>
      <c r="V6036" s="2" t="s">
        <v>59</v>
      </c>
      <c r="W6036" s="2">
        <v>36.1</v>
      </c>
      <c r="X6036" s="2">
        <v>0</v>
      </c>
      <c r="Y6036" s="2" t="s">
        <v>43</v>
      </c>
      <c r="Z6036" s="2" t="s">
        <v>40033</v>
      </c>
      <c r="AA6036" s="2">
        <v>2.7328123059633098</v>
      </c>
      <c r="AB6036" s="2">
        <v>5.0698633247866602E-2</v>
      </c>
      <c r="AC6036" s="2">
        <v>1338.3702173347499</v>
      </c>
      <c r="AD6036" s="2">
        <v>1009.23454872668</v>
      </c>
      <c r="AE6036" s="2">
        <v>956.60514530691898</v>
      </c>
      <c r="AF6036" s="2">
        <v>2037.82132866292</v>
      </c>
      <c r="AG6036" s="2">
        <v>1072.6380715371399</v>
      </c>
      <c r="AH6036" s="2">
        <v>1579.1147365117899</v>
      </c>
      <c r="AI6036" s="2">
        <v>1363.1474040568901</v>
      </c>
      <c r="AJ6036" s="2">
        <v>1020.89461793286</v>
      </c>
      <c r="AK6036" s="2">
        <v>1024.64250527322</v>
      </c>
      <c r="AL6036" s="2">
        <v>998.27958999480597</v>
      </c>
      <c r="AM6036" s="2">
        <v>825.27826172819198</v>
      </c>
      <c r="AN6036" s="2">
        <v>1023.01727552676</v>
      </c>
      <c r="AO6036" s="2">
        <v>1125.33748219224</v>
      </c>
      <c r="AP6036" s="2">
        <v>1058.8521776448799</v>
      </c>
    </row>
    <row r="6037" spans="1:42" ht="14.5" x14ac:dyDescent="0.35">
      <c r="A6037" s="2" t="s">
        <v>40034</v>
      </c>
      <c r="B6037" s="2">
        <v>463.37913110580303</v>
      </c>
      <c r="C6037" s="2">
        <v>14.232666666666701</v>
      </c>
      <c r="D6037" s="2" t="s">
        <v>70</v>
      </c>
      <c r="E6037" s="2" t="s">
        <v>40035</v>
      </c>
      <c r="F6037" s="2">
        <v>256811</v>
      </c>
      <c r="G6037" s="3" t="str">
        <f>HYPERLINK("http://funmeta.oebiotech.com/network/256811", "http://funmeta.oebiotech.com/network/256811")</f>
        <v>http://funmeta.oebiotech.com/network/256811</v>
      </c>
      <c r="H6037" s="2" t="s">
        <v>40036</v>
      </c>
      <c r="I6037" s="2"/>
      <c r="J6037" s="2"/>
      <c r="K6037" s="2"/>
      <c r="L6037" s="2"/>
      <c r="M6037" s="2"/>
      <c r="N6037" s="2"/>
      <c r="O6037" s="2">
        <v>73229506</v>
      </c>
      <c r="P6037" s="2"/>
      <c r="Q6037" s="2" t="s">
        <v>40037</v>
      </c>
      <c r="R6037" s="2" t="s">
        <v>40038</v>
      </c>
      <c r="S6037" s="2" t="s">
        <v>50</v>
      </c>
      <c r="T6037" s="2" t="s">
        <v>124</v>
      </c>
      <c r="U6037" s="2" t="s">
        <v>723</v>
      </c>
      <c r="V6037" s="2" t="s">
        <v>59</v>
      </c>
      <c r="W6037" s="2">
        <v>38.4</v>
      </c>
      <c r="X6037" s="2">
        <v>0</v>
      </c>
      <c r="Y6037" s="2" t="s">
        <v>408</v>
      </c>
      <c r="Z6037" s="2" t="s">
        <v>40039</v>
      </c>
      <c r="AA6037" s="2">
        <v>-0.36475553979405501</v>
      </c>
      <c r="AB6037" s="2">
        <v>5.0627504389554601E-2</v>
      </c>
      <c r="AC6037" s="2">
        <v>736.52217183562198</v>
      </c>
      <c r="AD6037" s="2">
        <v>526.58737056363304</v>
      </c>
      <c r="AE6037" s="2">
        <v>830.17307021800605</v>
      </c>
      <c r="AF6037" s="2">
        <v>609.66939948229196</v>
      </c>
      <c r="AG6037" s="2">
        <v>733.64480890540494</v>
      </c>
      <c r="AH6037" s="2">
        <v>719.79913636548804</v>
      </c>
      <c r="AI6037" s="2">
        <v>741.14621873157796</v>
      </c>
      <c r="AJ6037" s="2">
        <v>784.70039731096097</v>
      </c>
      <c r="AK6037" s="2">
        <v>420.330570434604</v>
      </c>
      <c r="AL6037" s="2">
        <v>458.31359496972902</v>
      </c>
      <c r="AM6037" s="2">
        <v>516.01142263783504</v>
      </c>
      <c r="AN6037" s="2">
        <v>508.44260881685102</v>
      </c>
      <c r="AO6037" s="2">
        <v>690.03002106367705</v>
      </c>
      <c r="AP6037" s="2">
        <v>566.39600545910105</v>
      </c>
    </row>
    <row r="6038" spans="1:42" ht="14.5" x14ac:dyDescent="0.35">
      <c r="A6038" s="2" t="s">
        <v>40040</v>
      </c>
      <c r="B6038" s="2">
        <v>377.19413892029098</v>
      </c>
      <c r="C6038" s="2">
        <v>8.8018000000000001</v>
      </c>
      <c r="D6038" s="2" t="s">
        <v>70</v>
      </c>
      <c r="E6038" s="2" t="s">
        <v>40041</v>
      </c>
      <c r="F6038" s="2">
        <v>289986</v>
      </c>
      <c r="G6038" s="3" t="str">
        <f>HYPERLINK("http://funmeta.oebiotech.com/network/289986", "http://funmeta.oebiotech.com/network/289986")</f>
        <v>http://funmeta.oebiotech.com/network/289986</v>
      </c>
      <c r="H6038" s="2"/>
      <c r="I6038" s="2">
        <v>103470</v>
      </c>
      <c r="J6038" s="2"/>
      <c r="K6038" s="2"/>
      <c r="L6038" s="2"/>
      <c r="M6038" s="2"/>
      <c r="N6038" s="2"/>
      <c r="O6038" s="2">
        <v>11041524</v>
      </c>
      <c r="P6038" s="2" t="s">
        <v>40042</v>
      </c>
      <c r="Q6038" s="2" t="s">
        <v>40043</v>
      </c>
      <c r="R6038" s="2" t="s">
        <v>40044</v>
      </c>
      <c r="S6038" s="2" t="s">
        <v>89</v>
      </c>
      <c r="T6038" s="2" t="s">
        <v>90</v>
      </c>
      <c r="U6038" s="2" t="s">
        <v>99</v>
      </c>
      <c r="V6038" s="2" t="s">
        <v>59</v>
      </c>
      <c r="W6038" s="2">
        <v>38.4</v>
      </c>
      <c r="X6038" s="2">
        <v>0</v>
      </c>
      <c r="Y6038" s="2" t="s">
        <v>560</v>
      </c>
      <c r="Z6038" s="2" t="s">
        <v>40045</v>
      </c>
      <c r="AA6038" s="2">
        <v>3.1713998588330998</v>
      </c>
      <c r="AB6038" s="2">
        <v>5.05276928407686E-2</v>
      </c>
      <c r="AC6038" s="2">
        <v>933.10949422040096</v>
      </c>
      <c r="AD6038" s="2">
        <v>644.26634784005796</v>
      </c>
      <c r="AE6038" s="2">
        <v>1176.47166151431</v>
      </c>
      <c r="AF6038" s="2">
        <v>805.60368756800301</v>
      </c>
      <c r="AG6038" s="2">
        <v>996.86231456757002</v>
      </c>
      <c r="AH6038" s="2">
        <v>722.68257306468297</v>
      </c>
      <c r="AI6038" s="2">
        <v>1223.7150479059501</v>
      </c>
      <c r="AJ6038" s="2">
        <v>673.32168070189095</v>
      </c>
      <c r="AK6038" s="2">
        <v>891.62274051331997</v>
      </c>
      <c r="AL6038" s="2">
        <v>911.42389779065695</v>
      </c>
      <c r="AM6038" s="2">
        <v>521.59835045366401</v>
      </c>
      <c r="AN6038" s="2">
        <v>611.274255985595</v>
      </c>
      <c r="AO6038" s="2">
        <v>452.92467354391403</v>
      </c>
      <c r="AP6038" s="2">
        <v>476.75416875319797</v>
      </c>
    </row>
    <row r="6039" spans="1:42" ht="14.5" x14ac:dyDescent="0.35">
      <c r="A6039" s="2" t="s">
        <v>40046</v>
      </c>
      <c r="B6039" s="2">
        <v>299.07673270995798</v>
      </c>
      <c r="C6039" s="2">
        <v>3.3161666666666698</v>
      </c>
      <c r="D6039" s="2" t="s">
        <v>70</v>
      </c>
      <c r="E6039" s="2" t="s">
        <v>40047</v>
      </c>
      <c r="F6039" s="2">
        <v>255914</v>
      </c>
      <c r="G6039" s="3" t="str">
        <f>HYPERLINK("http://funmeta.oebiotech.com/network/255914", "http://funmeta.oebiotech.com/network/255914")</f>
        <v>http://funmeta.oebiotech.com/network/255914</v>
      </c>
      <c r="H6039" s="2" t="s">
        <v>40048</v>
      </c>
      <c r="I6039" s="2"/>
      <c r="J6039" s="2"/>
      <c r="K6039" s="2">
        <v>145301</v>
      </c>
      <c r="L6039" s="2"/>
      <c r="M6039" s="2"/>
      <c r="N6039" s="2"/>
      <c r="O6039" s="2"/>
      <c r="P6039" s="2"/>
      <c r="Q6039" s="2" t="s">
        <v>40049</v>
      </c>
      <c r="R6039" s="2" t="s">
        <v>40050</v>
      </c>
      <c r="S6039" s="2" t="s">
        <v>79</v>
      </c>
      <c r="T6039" s="2" t="s">
        <v>80</v>
      </c>
      <c r="U6039" s="2" t="s">
        <v>81</v>
      </c>
      <c r="V6039" s="2" t="s">
        <v>42</v>
      </c>
      <c r="W6039" s="2">
        <v>53.2</v>
      </c>
      <c r="X6039" s="2">
        <v>73.400000000000006</v>
      </c>
      <c r="Y6039" s="2" t="s">
        <v>118</v>
      </c>
      <c r="Z6039" s="2" t="s">
        <v>12505</v>
      </c>
      <c r="AA6039" s="2">
        <v>-1.6939482475297301</v>
      </c>
      <c r="AB6039" s="2">
        <v>5.0420953826310198E-2</v>
      </c>
      <c r="AC6039" s="2">
        <v>43313.180632308096</v>
      </c>
      <c r="AD6039" s="2">
        <v>42406.146778029302</v>
      </c>
      <c r="AE6039" s="2">
        <v>42863.764140633102</v>
      </c>
      <c r="AF6039" s="2">
        <v>41112.333395543399</v>
      </c>
      <c r="AG6039" s="2">
        <v>44519.909744947698</v>
      </c>
      <c r="AH6039" s="2">
        <v>40421.063433207099</v>
      </c>
      <c r="AI6039" s="2">
        <v>43455.627038830899</v>
      </c>
      <c r="AJ6039" s="2">
        <v>47506.386040686601</v>
      </c>
      <c r="AK6039" s="2">
        <v>44581.806190263502</v>
      </c>
      <c r="AL6039" s="2">
        <v>37894.716062118903</v>
      </c>
      <c r="AM6039" s="2">
        <v>43342.667925272603</v>
      </c>
      <c r="AN6039" s="2">
        <v>44886.546650021402</v>
      </c>
      <c r="AO6039" s="2">
        <v>41587.774198184801</v>
      </c>
      <c r="AP6039" s="2">
        <v>42143.369642314698</v>
      </c>
    </row>
    <row r="6040" spans="1:42" ht="14.5" x14ac:dyDescent="0.35">
      <c r="A6040" s="2" t="s">
        <v>40051</v>
      </c>
      <c r="B6040" s="2">
        <v>265.14135744462499</v>
      </c>
      <c r="C6040" s="2">
        <v>9.3516666666666701</v>
      </c>
      <c r="D6040" s="2" t="s">
        <v>34</v>
      </c>
      <c r="E6040" s="2" t="s">
        <v>40052</v>
      </c>
      <c r="F6040" s="2">
        <v>55675</v>
      </c>
      <c r="G6040" s="3" t="str">
        <f>HYPERLINK("http://funmeta.oebiotech.com/network/55675", "http://funmeta.oebiotech.com/network/55675")</f>
        <v>http://funmeta.oebiotech.com/network/55675</v>
      </c>
      <c r="H6040" s="2" t="s">
        <v>40053</v>
      </c>
      <c r="I6040" s="2">
        <v>87331</v>
      </c>
      <c r="J6040" s="2"/>
      <c r="K6040" s="2">
        <v>171710</v>
      </c>
      <c r="L6040" s="2"/>
      <c r="M6040" s="2"/>
      <c r="N6040" s="2"/>
      <c r="O6040" s="2">
        <v>85931447</v>
      </c>
      <c r="P6040" s="2"/>
      <c r="Q6040" s="2" t="s">
        <v>40054</v>
      </c>
      <c r="R6040" s="2" t="s">
        <v>40055</v>
      </c>
      <c r="S6040" s="2" t="s">
        <v>491</v>
      </c>
      <c r="T6040" s="2" t="s">
        <v>5973</v>
      </c>
      <c r="U6040" s="2" t="s">
        <v>6296</v>
      </c>
      <c r="V6040" s="2" t="s">
        <v>59</v>
      </c>
      <c r="W6040" s="2">
        <v>36.9</v>
      </c>
      <c r="X6040" s="2">
        <v>0</v>
      </c>
      <c r="Y6040" s="2" t="s">
        <v>323</v>
      </c>
      <c r="Z6040" s="2" t="s">
        <v>25114</v>
      </c>
      <c r="AA6040" s="2">
        <v>1.3527912340883801</v>
      </c>
      <c r="AB6040" s="2">
        <v>5.03694930553759E-2</v>
      </c>
      <c r="AC6040" s="2">
        <v>2136.2178939925102</v>
      </c>
      <c r="AD6040" s="2">
        <v>2438.8236572124101</v>
      </c>
      <c r="AE6040" s="2">
        <v>2236.9366429851598</v>
      </c>
      <c r="AF6040" s="2">
        <v>2168.6191486950902</v>
      </c>
      <c r="AG6040" s="2">
        <v>2056.00885160287</v>
      </c>
      <c r="AH6040" s="2">
        <v>2101.6110846781698</v>
      </c>
      <c r="AI6040" s="2">
        <v>2136.3129017374699</v>
      </c>
      <c r="AJ6040" s="2">
        <v>2117.8187342563101</v>
      </c>
      <c r="AK6040" s="2">
        <v>3046.4154386539699</v>
      </c>
      <c r="AL6040" s="2">
        <v>2557.10242285407</v>
      </c>
      <c r="AM6040" s="2">
        <v>2285.93917742228</v>
      </c>
      <c r="AN6040" s="2">
        <v>2086.3374715711302</v>
      </c>
      <c r="AO6040" s="2">
        <v>2467.96841982362</v>
      </c>
      <c r="AP6040" s="2">
        <v>2189.1790129493702</v>
      </c>
    </row>
    <row r="6041" spans="1:42" ht="14.5" x14ac:dyDescent="0.35">
      <c r="A6041" s="2" t="s">
        <v>40056</v>
      </c>
      <c r="B6041" s="2">
        <v>513.303441867694</v>
      </c>
      <c r="C6041" s="2">
        <v>10.471816666666699</v>
      </c>
      <c r="D6041" s="2" t="s">
        <v>34</v>
      </c>
      <c r="E6041" s="2" t="s">
        <v>40057</v>
      </c>
      <c r="F6041" s="2">
        <v>211157</v>
      </c>
      <c r="G6041" s="3" t="str">
        <f>HYPERLINK("http://funmeta.oebiotech.com/network/211157", "http://funmeta.oebiotech.com/network/211157")</f>
        <v>http://funmeta.oebiotech.com/network/211157</v>
      </c>
      <c r="H6041" s="2" t="s">
        <v>40058</v>
      </c>
      <c r="I6041" s="2"/>
      <c r="J6041" s="2"/>
      <c r="K6041" s="2"/>
      <c r="L6041" s="2"/>
      <c r="M6041" s="2"/>
      <c r="N6041" s="2"/>
      <c r="O6041" s="2">
        <v>20802597</v>
      </c>
      <c r="P6041" s="2"/>
      <c r="Q6041" s="2" t="s">
        <v>40059</v>
      </c>
      <c r="R6041" s="2" t="s">
        <v>40060</v>
      </c>
      <c r="S6041" s="2" t="s">
        <v>1444</v>
      </c>
      <c r="T6041" s="2" t="s">
        <v>10689</v>
      </c>
      <c r="U6041" s="2" t="s">
        <v>10690</v>
      </c>
      <c r="V6041" s="2" t="s">
        <v>59</v>
      </c>
      <c r="W6041" s="2">
        <v>38.9</v>
      </c>
      <c r="X6041" s="2">
        <v>4.59</v>
      </c>
      <c r="Y6041" s="2" t="s">
        <v>323</v>
      </c>
      <c r="Z6041" s="2" t="s">
        <v>40061</v>
      </c>
      <c r="AA6041" s="2">
        <v>-2.6498778684667501</v>
      </c>
      <c r="AB6041" s="2">
        <v>5.0277234101202703E-2</v>
      </c>
      <c r="AC6041" s="2">
        <v>5840.1593627924203</v>
      </c>
      <c r="AD6041" s="2">
        <v>5431.7901654012803</v>
      </c>
      <c r="AE6041" s="2">
        <v>5403.3725478306296</v>
      </c>
      <c r="AF6041" s="2">
        <v>5597.30416608625</v>
      </c>
      <c r="AG6041" s="2">
        <v>6643.8910165118295</v>
      </c>
      <c r="AH6041" s="2">
        <v>5443.5622709398303</v>
      </c>
      <c r="AI6041" s="2">
        <v>5538.8534739660399</v>
      </c>
      <c r="AJ6041" s="2">
        <v>6413.9727014199498</v>
      </c>
      <c r="AK6041" s="2">
        <v>5149.1958345131698</v>
      </c>
      <c r="AL6041" s="2">
        <v>5041.1699378867797</v>
      </c>
      <c r="AM6041" s="2">
        <v>5648.6229642033604</v>
      </c>
      <c r="AN6041" s="2">
        <v>5996.0664414756902</v>
      </c>
      <c r="AO6041" s="2">
        <v>5845.0458514802303</v>
      </c>
      <c r="AP6041" s="2">
        <v>4910.6399628484596</v>
      </c>
    </row>
    <row r="6042" spans="1:42" ht="14.5" x14ac:dyDescent="0.35">
      <c r="A6042" s="2" t="s">
        <v>40062</v>
      </c>
      <c r="B6042" s="2">
        <v>548.28598346729905</v>
      </c>
      <c r="C6042" s="2">
        <v>5.8468499999999999</v>
      </c>
      <c r="D6042" s="2" t="s">
        <v>34</v>
      </c>
      <c r="E6042" s="2" t="s">
        <v>40063</v>
      </c>
      <c r="F6042" s="2">
        <v>44696</v>
      </c>
      <c r="G6042" s="3" t="str">
        <f>HYPERLINK("http://funmeta.oebiotech.com/network/44696", "http://funmeta.oebiotech.com/network/44696")</f>
        <v>http://funmeta.oebiotech.com/network/44696</v>
      </c>
      <c r="H6042" s="2"/>
      <c r="I6042" s="2">
        <v>67242</v>
      </c>
      <c r="J6042" s="2" t="s">
        <v>40064</v>
      </c>
      <c r="K6042" s="2">
        <v>9913</v>
      </c>
      <c r="L6042" s="2" t="s">
        <v>40065</v>
      </c>
      <c r="M6042" s="2"/>
      <c r="N6042" s="2"/>
      <c r="O6042" s="2">
        <v>441874</v>
      </c>
      <c r="P6042" s="2" t="s">
        <v>40066</v>
      </c>
      <c r="Q6042" s="2" t="s">
        <v>40067</v>
      </c>
      <c r="R6042" s="2" t="s">
        <v>40068</v>
      </c>
      <c r="S6042" s="2" t="s">
        <v>50</v>
      </c>
      <c r="T6042" s="2" t="s">
        <v>124</v>
      </c>
      <c r="U6042" s="2" t="s">
        <v>567</v>
      </c>
      <c r="V6042" s="2" t="s">
        <v>59</v>
      </c>
      <c r="W6042" s="2">
        <v>44.8</v>
      </c>
      <c r="X6042" s="2">
        <v>33.9</v>
      </c>
      <c r="Y6042" s="2" t="s">
        <v>1129</v>
      </c>
      <c r="Z6042" s="2" t="s">
        <v>16763</v>
      </c>
      <c r="AA6042" s="2">
        <v>1.08465984367907</v>
      </c>
      <c r="AB6042" s="2">
        <v>5.02556076892475E-2</v>
      </c>
      <c r="AC6042" s="2">
        <v>41365.4203433148</v>
      </c>
      <c r="AD6042" s="2">
        <v>39812.204049233304</v>
      </c>
      <c r="AE6042" s="2">
        <v>42682.100440472997</v>
      </c>
      <c r="AF6042" s="2">
        <v>42307.322347273403</v>
      </c>
      <c r="AG6042" s="2">
        <v>45158.039062859199</v>
      </c>
      <c r="AH6042" s="2">
        <v>37744.218656361802</v>
      </c>
      <c r="AI6042" s="2">
        <v>34949.180619228202</v>
      </c>
      <c r="AJ6042" s="2">
        <v>45351.660933693398</v>
      </c>
      <c r="AK6042" s="2">
        <v>36652.000838920998</v>
      </c>
      <c r="AL6042" s="2">
        <v>63364.242630696099</v>
      </c>
      <c r="AM6042" s="2">
        <v>36878.571220981401</v>
      </c>
      <c r="AN6042" s="2">
        <v>34898.868938241401</v>
      </c>
      <c r="AO6042" s="2">
        <v>39187.263358691598</v>
      </c>
      <c r="AP6042" s="2">
        <v>27892.2773078682</v>
      </c>
    </row>
    <row r="6043" spans="1:42" ht="14.5" x14ac:dyDescent="0.35">
      <c r="A6043" s="2" t="s">
        <v>40069</v>
      </c>
      <c r="B6043" s="2">
        <v>497.29579332374198</v>
      </c>
      <c r="C6043" s="2">
        <v>5.4314499999999999</v>
      </c>
      <c r="D6043" s="2" t="s">
        <v>70</v>
      </c>
      <c r="E6043" s="2" t="s">
        <v>40070</v>
      </c>
      <c r="F6043" s="2">
        <v>82422</v>
      </c>
      <c r="G6043" s="3" t="str">
        <f>HYPERLINK("http://funmeta.oebiotech.com/network/82422", "http://funmeta.oebiotech.com/network/82422")</f>
        <v>http://funmeta.oebiotech.com/network/82422</v>
      </c>
      <c r="H6043" s="2" t="s">
        <v>40071</v>
      </c>
      <c r="I6043" s="2">
        <v>1610</v>
      </c>
      <c r="J6043" s="2"/>
      <c r="K6043" s="2"/>
      <c r="L6043" s="2"/>
      <c r="M6043" s="2"/>
      <c r="N6043" s="2"/>
      <c r="O6043" s="2">
        <v>162558</v>
      </c>
      <c r="P6043" s="2" t="s">
        <v>40072</v>
      </c>
      <c r="Q6043" s="2" t="s">
        <v>40073</v>
      </c>
      <c r="R6043" s="2" t="s">
        <v>40074</v>
      </c>
      <c r="S6043" s="2" t="s">
        <v>148</v>
      </c>
      <c r="T6043" s="2" t="s">
        <v>21283</v>
      </c>
      <c r="U6043" s="2" t="s">
        <v>41</v>
      </c>
      <c r="V6043" s="2" t="s">
        <v>59</v>
      </c>
      <c r="W6043" s="2">
        <v>38.700000000000003</v>
      </c>
      <c r="X6043" s="2">
        <v>0</v>
      </c>
      <c r="Y6043" s="2" t="s">
        <v>560</v>
      </c>
      <c r="Z6043" s="2" t="s">
        <v>40075</v>
      </c>
      <c r="AA6043" s="2">
        <v>-0.86186935919977203</v>
      </c>
      <c r="AB6043" s="2">
        <v>5.0252211383740697E-2</v>
      </c>
      <c r="AC6043" s="2">
        <v>1737.22711573837</v>
      </c>
      <c r="AD6043" s="2">
        <v>1328.4984479324801</v>
      </c>
      <c r="AE6043" s="2">
        <v>2360.9322718746798</v>
      </c>
      <c r="AF6043" s="2">
        <v>1794.54158539733</v>
      </c>
      <c r="AG6043" s="2">
        <v>2278.1872342267802</v>
      </c>
      <c r="AH6043" s="2">
        <v>1185.3454383230201</v>
      </c>
      <c r="AI6043" s="2">
        <v>1390.76393261152</v>
      </c>
      <c r="AJ6043" s="2">
        <v>1413.59223199689</v>
      </c>
      <c r="AK6043" s="2">
        <v>847.34063251433497</v>
      </c>
      <c r="AL6043" s="2">
        <v>927.19055375874996</v>
      </c>
      <c r="AM6043" s="2">
        <v>1963.15362337638</v>
      </c>
      <c r="AN6043" s="2">
        <v>1352.62713220822</v>
      </c>
      <c r="AO6043" s="2">
        <v>897.39393702909297</v>
      </c>
      <c r="AP6043" s="2">
        <v>1983.28480870813</v>
      </c>
    </row>
    <row r="6044" spans="1:42" ht="14.5" x14ac:dyDescent="0.35">
      <c r="A6044" s="2" t="s">
        <v>40076</v>
      </c>
      <c r="B6044" s="2">
        <v>339.00097269876699</v>
      </c>
      <c r="C6044" s="2">
        <v>0.87980000000000003</v>
      </c>
      <c r="D6044" s="2" t="s">
        <v>34</v>
      </c>
      <c r="E6044" s="2" t="s">
        <v>40077</v>
      </c>
      <c r="F6044" s="2">
        <v>48225</v>
      </c>
      <c r="G6044" s="3" t="str">
        <f>HYPERLINK("http://funmeta.oebiotech.com/network/48225", "http://funmeta.oebiotech.com/network/48225")</f>
        <v>http://funmeta.oebiotech.com/network/48225</v>
      </c>
      <c r="H6044" s="2" t="s">
        <v>40078</v>
      </c>
      <c r="I6044" s="2">
        <v>58205</v>
      </c>
      <c r="J6044" s="2"/>
      <c r="K6044" s="2"/>
      <c r="L6044" s="2" t="s">
        <v>40079</v>
      </c>
      <c r="M6044" s="2" t="s">
        <v>17784</v>
      </c>
      <c r="N6044" s="2" t="s">
        <v>17785</v>
      </c>
      <c r="O6044" s="2">
        <v>114918</v>
      </c>
      <c r="P6044" s="2"/>
      <c r="Q6044" s="2" t="s">
        <v>40080</v>
      </c>
      <c r="R6044" s="2" t="s">
        <v>40081</v>
      </c>
      <c r="S6044" s="2" t="s">
        <v>491</v>
      </c>
      <c r="T6044" s="2" t="s">
        <v>20066</v>
      </c>
      <c r="U6044" s="2" t="s">
        <v>36991</v>
      </c>
      <c r="V6044" s="2" t="s">
        <v>59</v>
      </c>
      <c r="W6044" s="2">
        <v>37.4</v>
      </c>
      <c r="X6044" s="2">
        <v>0</v>
      </c>
      <c r="Y6044" s="2" t="s">
        <v>340</v>
      </c>
      <c r="Z6044" s="2" t="s">
        <v>40082</v>
      </c>
      <c r="AA6044" s="2">
        <v>-1.40437018464004</v>
      </c>
      <c r="AB6044" s="2">
        <v>5.0120488367659803E-2</v>
      </c>
      <c r="AC6044" s="2">
        <v>8414.0714140858909</v>
      </c>
      <c r="AD6044" s="2">
        <v>8003.8888713146898</v>
      </c>
      <c r="AE6044" s="2">
        <v>8813.1405670423592</v>
      </c>
      <c r="AF6044" s="2">
        <v>9142.3243817153198</v>
      </c>
      <c r="AG6044" s="2">
        <v>8327.3694932594299</v>
      </c>
      <c r="AH6044" s="2">
        <v>8274.4500108861794</v>
      </c>
      <c r="AI6044" s="2">
        <v>8068.9829129890804</v>
      </c>
      <c r="AJ6044" s="2">
        <v>7858.1611186229602</v>
      </c>
      <c r="AK6044" s="2">
        <v>7199.7629504405904</v>
      </c>
      <c r="AL6044" s="2">
        <v>8381.3205240375501</v>
      </c>
      <c r="AM6044" s="2">
        <v>8008.8328570705198</v>
      </c>
      <c r="AN6044" s="2">
        <v>7430.7510492144002</v>
      </c>
      <c r="AO6044" s="2">
        <v>8594.1543784224104</v>
      </c>
      <c r="AP6044" s="2">
        <v>8408.5114687026507</v>
      </c>
    </row>
    <row r="6045" spans="1:42" ht="14.5" x14ac:dyDescent="0.35">
      <c r="A6045" s="2" t="s">
        <v>40083</v>
      </c>
      <c r="B6045" s="2">
        <v>279.05071893377101</v>
      </c>
      <c r="C6045" s="2">
        <v>4.7039999999999997</v>
      </c>
      <c r="D6045" s="2" t="s">
        <v>70</v>
      </c>
      <c r="E6045" s="2" t="s">
        <v>40084</v>
      </c>
      <c r="F6045" s="2">
        <v>256608</v>
      </c>
      <c r="G6045" s="3" t="str">
        <f>HYPERLINK("http://funmeta.oebiotech.com/network/256608", "http://funmeta.oebiotech.com/network/256608")</f>
        <v>http://funmeta.oebiotech.com/network/256608</v>
      </c>
      <c r="H6045" s="2" t="s">
        <v>40085</v>
      </c>
      <c r="I6045" s="2"/>
      <c r="J6045" s="2"/>
      <c r="K6045" s="2">
        <v>139431</v>
      </c>
      <c r="L6045" s="2"/>
      <c r="M6045" s="2"/>
      <c r="N6045" s="2"/>
      <c r="O6045" s="2">
        <v>45359757</v>
      </c>
      <c r="P6045" s="2"/>
      <c r="Q6045" s="2" t="s">
        <v>40086</v>
      </c>
      <c r="R6045" s="2" t="s">
        <v>40087</v>
      </c>
      <c r="S6045" s="2" t="s">
        <v>115</v>
      </c>
      <c r="T6045" s="2" t="s">
        <v>116</v>
      </c>
      <c r="U6045" s="2" t="s">
        <v>117</v>
      </c>
      <c r="V6045" s="2" t="s">
        <v>42</v>
      </c>
      <c r="W6045" s="2">
        <v>55.4</v>
      </c>
      <c r="X6045" s="2">
        <v>80.900000000000006</v>
      </c>
      <c r="Y6045" s="2" t="s">
        <v>118</v>
      </c>
      <c r="Z6045" s="2" t="s">
        <v>40088</v>
      </c>
      <c r="AA6045" s="2">
        <v>-1.0974714403364101</v>
      </c>
      <c r="AB6045" s="2">
        <v>5.0097068482190699E-2</v>
      </c>
      <c r="AC6045" s="2">
        <v>764881.43865154195</v>
      </c>
      <c r="AD6045" s="2">
        <v>767721.087588405</v>
      </c>
      <c r="AE6045" s="2">
        <v>777765.10374852305</v>
      </c>
      <c r="AF6045" s="2">
        <v>722542.65296617395</v>
      </c>
      <c r="AG6045" s="2">
        <v>737169.46064438403</v>
      </c>
      <c r="AH6045" s="2">
        <v>766954.59338046005</v>
      </c>
      <c r="AI6045" s="2">
        <v>763972.79823856696</v>
      </c>
      <c r="AJ6045" s="2">
        <v>820884.02293114399</v>
      </c>
      <c r="AK6045" s="2">
        <v>760133.05186773103</v>
      </c>
      <c r="AL6045" s="2">
        <v>733008.95749870501</v>
      </c>
      <c r="AM6045" s="2">
        <v>814835.55808210606</v>
      </c>
      <c r="AN6045" s="2">
        <v>755316.15812915505</v>
      </c>
      <c r="AO6045" s="2">
        <v>783004.76056663203</v>
      </c>
      <c r="AP6045" s="2">
        <v>760028.03938609804</v>
      </c>
    </row>
    <row r="6046" spans="1:42" ht="14.5" x14ac:dyDescent="0.35">
      <c r="A6046" s="2" t="s">
        <v>40089</v>
      </c>
      <c r="B6046" s="2">
        <v>385.15663481568998</v>
      </c>
      <c r="C6046" s="2">
        <v>3.6251333333333302</v>
      </c>
      <c r="D6046" s="2" t="s">
        <v>34</v>
      </c>
      <c r="E6046" s="2" t="s">
        <v>40090</v>
      </c>
      <c r="F6046" s="2">
        <v>210961</v>
      </c>
      <c r="G6046" s="3" t="str">
        <f>HYPERLINK("http://funmeta.oebiotech.com/network/210961", "http://funmeta.oebiotech.com/network/210961")</f>
        <v>http://funmeta.oebiotech.com/network/210961</v>
      </c>
      <c r="H6046" s="2" t="s">
        <v>40091</v>
      </c>
      <c r="I6046" s="2">
        <v>314170</v>
      </c>
      <c r="J6046" s="2"/>
      <c r="K6046" s="2"/>
      <c r="L6046" s="2"/>
      <c r="M6046" s="2"/>
      <c r="N6046" s="2"/>
      <c r="O6046" s="2">
        <v>68909</v>
      </c>
      <c r="P6046" s="2"/>
      <c r="Q6046" s="2" t="s">
        <v>40092</v>
      </c>
      <c r="R6046" s="2" t="s">
        <v>40093</v>
      </c>
      <c r="S6046" s="2" t="s">
        <v>491</v>
      </c>
      <c r="T6046" s="2" t="s">
        <v>2238</v>
      </c>
      <c r="U6046" s="2" t="s">
        <v>2239</v>
      </c>
      <c r="V6046" s="2" t="s">
        <v>59</v>
      </c>
      <c r="W6046" s="2">
        <v>36.1</v>
      </c>
      <c r="X6046" s="2">
        <v>0</v>
      </c>
      <c r="Y6046" s="2" t="s">
        <v>43</v>
      </c>
      <c r="Z6046" s="2" t="s">
        <v>40094</v>
      </c>
      <c r="AA6046" s="2">
        <v>-0.871277820610311</v>
      </c>
      <c r="AB6046" s="2">
        <v>4.9955030282712198E-2</v>
      </c>
      <c r="AC6046" s="2">
        <v>3285.8681753422902</v>
      </c>
      <c r="AD6046" s="2">
        <v>2987.5515523286999</v>
      </c>
      <c r="AE6046" s="2">
        <v>3437.5738483437999</v>
      </c>
      <c r="AF6046" s="2">
        <v>3116.5107093343099</v>
      </c>
      <c r="AG6046" s="2">
        <v>2922.2643577141998</v>
      </c>
      <c r="AH6046" s="2">
        <v>3269.51851134356</v>
      </c>
      <c r="AI6046" s="2">
        <v>3574.68685649899</v>
      </c>
      <c r="AJ6046" s="2">
        <v>3394.6547688188898</v>
      </c>
      <c r="AK6046" s="2">
        <v>3337.6469127942601</v>
      </c>
      <c r="AL6046" s="2">
        <v>2694.30152790483</v>
      </c>
      <c r="AM6046" s="2">
        <v>2804.8532189297798</v>
      </c>
      <c r="AN6046" s="2">
        <v>2826.2751243102598</v>
      </c>
      <c r="AO6046" s="2">
        <v>3087.35607590275</v>
      </c>
      <c r="AP6046" s="2">
        <v>3174.8764541303099</v>
      </c>
    </row>
    <row r="6047" spans="1:42" ht="14.5" x14ac:dyDescent="0.35">
      <c r="A6047" s="2" t="s">
        <v>40095</v>
      </c>
      <c r="B6047" s="2">
        <v>317.11401980438399</v>
      </c>
      <c r="C6047" s="2">
        <v>4.96875</v>
      </c>
      <c r="D6047" s="2" t="s">
        <v>70</v>
      </c>
      <c r="E6047" s="2" t="s">
        <v>40096</v>
      </c>
      <c r="F6047" s="2">
        <v>59084</v>
      </c>
      <c r="G6047" s="3" t="str">
        <f>HYPERLINK("http://funmeta.oebiotech.com/network/59084", "http://funmeta.oebiotech.com/network/59084")</f>
        <v>http://funmeta.oebiotech.com/network/59084</v>
      </c>
      <c r="H6047" s="2" t="s">
        <v>40097</v>
      </c>
      <c r="I6047" s="2">
        <v>90512</v>
      </c>
      <c r="J6047" s="2"/>
      <c r="K6047" s="2">
        <v>173933</v>
      </c>
      <c r="L6047" s="2"/>
      <c r="M6047" s="2"/>
      <c r="N6047" s="2"/>
      <c r="O6047" s="2">
        <v>15394713</v>
      </c>
      <c r="P6047" s="2" t="s">
        <v>40098</v>
      </c>
      <c r="Q6047" s="2" t="s">
        <v>40099</v>
      </c>
      <c r="R6047" s="2" t="s">
        <v>40100</v>
      </c>
      <c r="S6047" s="2" t="s">
        <v>39</v>
      </c>
      <c r="T6047" s="2" t="s">
        <v>3154</v>
      </c>
      <c r="U6047" s="2" t="s">
        <v>41</v>
      </c>
      <c r="V6047" s="2" t="s">
        <v>59</v>
      </c>
      <c r="W6047" s="2">
        <v>38.6</v>
      </c>
      <c r="X6047" s="2">
        <v>0</v>
      </c>
      <c r="Y6047" s="2" t="s">
        <v>408</v>
      </c>
      <c r="Z6047" s="2" t="s">
        <v>40101</v>
      </c>
      <c r="AA6047" s="2">
        <v>-1.0122408180312401</v>
      </c>
      <c r="AB6047" s="2">
        <v>4.9947418504279202E-2</v>
      </c>
      <c r="AC6047" s="2">
        <v>2628.59306559169</v>
      </c>
      <c r="AD6047" s="2">
        <v>2324.8922551915098</v>
      </c>
      <c r="AE6047" s="2">
        <v>2449.7155536032701</v>
      </c>
      <c r="AF6047" s="2">
        <v>2909.38938967474</v>
      </c>
      <c r="AG6047" s="2">
        <v>2614.28705911006</v>
      </c>
      <c r="AH6047" s="2">
        <v>2340.29833727194</v>
      </c>
      <c r="AI6047" s="2">
        <v>2579.0049525499098</v>
      </c>
      <c r="AJ6047" s="2">
        <v>2878.8631013402101</v>
      </c>
      <c r="AK6047" s="2">
        <v>2441.9148490524899</v>
      </c>
      <c r="AL6047" s="2">
        <v>2574.6263437289299</v>
      </c>
      <c r="AM6047" s="2">
        <v>2255.8159292513901</v>
      </c>
      <c r="AN6047" s="2">
        <v>1801.3070478847601</v>
      </c>
      <c r="AO6047" s="2">
        <v>2249.4885909260802</v>
      </c>
      <c r="AP6047" s="2">
        <v>2626.2007703053901</v>
      </c>
    </row>
    <row r="6048" spans="1:42" ht="14.5" x14ac:dyDescent="0.35">
      <c r="A6048" s="2" t="s">
        <v>40102</v>
      </c>
      <c r="B6048" s="2">
        <v>333.145336312822</v>
      </c>
      <c r="C6048" s="2">
        <v>5.4314499999999999</v>
      </c>
      <c r="D6048" s="2" t="s">
        <v>70</v>
      </c>
      <c r="E6048" s="2" t="s">
        <v>40103</v>
      </c>
      <c r="F6048" s="2">
        <v>266281</v>
      </c>
      <c r="G6048" s="3" t="str">
        <f>HYPERLINK("http://funmeta.oebiotech.com/network/266281", "http://funmeta.oebiotech.com/network/266281")</f>
        <v>http://funmeta.oebiotech.com/network/266281</v>
      </c>
      <c r="H6048" s="2"/>
      <c r="I6048" s="2">
        <v>34533</v>
      </c>
      <c r="J6048" s="2"/>
      <c r="K6048" s="2"/>
      <c r="L6048" s="2"/>
      <c r="M6048" s="2"/>
      <c r="N6048" s="2"/>
      <c r="O6048" s="2">
        <v>644226</v>
      </c>
      <c r="P6048" s="2" t="s">
        <v>40104</v>
      </c>
      <c r="Q6048" s="2" t="s">
        <v>40105</v>
      </c>
      <c r="R6048" s="2" t="s">
        <v>40106</v>
      </c>
      <c r="S6048" s="2" t="s">
        <v>89</v>
      </c>
      <c r="T6048" s="2" t="s">
        <v>90</v>
      </c>
      <c r="U6048" s="2" t="s">
        <v>99</v>
      </c>
      <c r="V6048" s="2" t="s">
        <v>59</v>
      </c>
      <c r="W6048" s="2">
        <v>39.1</v>
      </c>
      <c r="X6048" s="2">
        <v>0</v>
      </c>
      <c r="Y6048" s="2" t="s">
        <v>408</v>
      </c>
      <c r="Z6048" s="2" t="s">
        <v>40107</v>
      </c>
      <c r="AA6048" s="2">
        <v>-0.89907757268908295</v>
      </c>
      <c r="AB6048" s="2">
        <v>4.9912095330284401E-2</v>
      </c>
      <c r="AC6048" s="2">
        <v>834.56290983206497</v>
      </c>
      <c r="AD6048" s="2">
        <v>595.95513712419699</v>
      </c>
      <c r="AE6048" s="2">
        <v>1012.97970309223</v>
      </c>
      <c r="AF6048" s="2">
        <v>752.153270454432</v>
      </c>
      <c r="AG6048" s="2">
        <v>808.18934299353702</v>
      </c>
      <c r="AH6048" s="2">
        <v>727.90648519641297</v>
      </c>
      <c r="AI6048" s="2">
        <v>650.59674749446799</v>
      </c>
      <c r="AJ6048" s="2">
        <v>1055.5519097613101</v>
      </c>
      <c r="AK6048" s="2">
        <v>629.87261049671895</v>
      </c>
      <c r="AL6048" s="2">
        <v>738.65457722957399</v>
      </c>
      <c r="AM6048" s="2">
        <v>475.86657921872597</v>
      </c>
      <c r="AN6048" s="2">
        <v>565.53710744645002</v>
      </c>
      <c r="AO6048" s="2">
        <v>452.29313450240602</v>
      </c>
      <c r="AP6048" s="2">
        <v>713.50681385130804</v>
      </c>
    </row>
    <row r="6049" spans="1:42" ht="14.5" x14ac:dyDescent="0.35">
      <c r="A6049" s="2" t="s">
        <v>40108</v>
      </c>
      <c r="B6049" s="2">
        <v>744.430895592615</v>
      </c>
      <c r="C6049" s="2">
        <v>14.2458166666667</v>
      </c>
      <c r="D6049" s="2" t="s">
        <v>34</v>
      </c>
      <c r="E6049" s="2" t="s">
        <v>40109</v>
      </c>
      <c r="F6049" s="2">
        <v>54336</v>
      </c>
      <c r="G6049" s="3" t="str">
        <f>HYPERLINK("http://funmeta.oebiotech.com/network/54336", "http://funmeta.oebiotech.com/network/54336")</f>
        <v>http://funmeta.oebiotech.com/network/54336</v>
      </c>
      <c r="H6049" s="2" t="s">
        <v>40110</v>
      </c>
      <c r="I6049" s="2">
        <v>86227</v>
      </c>
      <c r="J6049" s="2"/>
      <c r="K6049" s="2"/>
      <c r="L6049" s="2"/>
      <c r="M6049" s="2"/>
      <c r="N6049" s="2"/>
      <c r="O6049" s="2">
        <v>3479482</v>
      </c>
      <c r="P6049" s="2" t="s">
        <v>40111</v>
      </c>
      <c r="Q6049" s="2" t="s">
        <v>40112</v>
      </c>
      <c r="R6049" s="2" t="s">
        <v>40113</v>
      </c>
      <c r="S6049" s="2" t="s">
        <v>50</v>
      </c>
      <c r="T6049" s="2" t="s">
        <v>124</v>
      </c>
      <c r="U6049" s="2" t="s">
        <v>523</v>
      </c>
      <c r="V6049" s="2" t="s">
        <v>59</v>
      </c>
      <c r="W6049" s="2">
        <v>37.299999999999997</v>
      </c>
      <c r="X6049" s="2">
        <v>0</v>
      </c>
      <c r="Y6049" s="2" t="s">
        <v>323</v>
      </c>
      <c r="Z6049" s="2" t="s">
        <v>40114</v>
      </c>
      <c r="AA6049" s="2">
        <v>2.1666001367200498</v>
      </c>
      <c r="AB6049" s="2">
        <v>4.9752219389363597E-2</v>
      </c>
      <c r="AC6049" s="2">
        <v>4697.6899222155998</v>
      </c>
      <c r="AD6049" s="2">
        <v>5671.9961198266201</v>
      </c>
      <c r="AE6049" s="2">
        <v>2107.3829026050098</v>
      </c>
      <c r="AF6049" s="2">
        <v>4572.4628924440503</v>
      </c>
      <c r="AG6049" s="2">
        <v>4426.3406497872702</v>
      </c>
      <c r="AH6049" s="2">
        <v>6460.5208364022701</v>
      </c>
      <c r="AI6049" s="2">
        <v>6516.6954747913696</v>
      </c>
      <c r="AJ6049" s="2">
        <v>4102.7367772636499</v>
      </c>
      <c r="AK6049" s="2">
        <v>2772.62773771411</v>
      </c>
      <c r="AL6049" s="2">
        <v>13817.6694048715</v>
      </c>
      <c r="AM6049" s="2">
        <v>4878.6396188661602</v>
      </c>
      <c r="AN6049" s="2">
        <v>5620.0667023363203</v>
      </c>
      <c r="AO6049" s="2">
        <v>3191.9682404376099</v>
      </c>
      <c r="AP6049" s="2">
        <v>3751.0050147340398</v>
      </c>
    </row>
    <row r="6050" spans="1:42" ht="14.5" x14ac:dyDescent="0.35">
      <c r="A6050" s="2" t="s">
        <v>40115</v>
      </c>
      <c r="B6050" s="2">
        <v>821.30096128582602</v>
      </c>
      <c r="C6050" s="2">
        <v>5.3202666666666696</v>
      </c>
      <c r="D6050" s="2" t="s">
        <v>70</v>
      </c>
      <c r="E6050" s="2" t="s">
        <v>40116</v>
      </c>
      <c r="F6050" s="2">
        <v>211219</v>
      </c>
      <c r="G6050" s="3" t="str">
        <f>HYPERLINK("http://funmeta.oebiotech.com/network/211219", "http://funmeta.oebiotech.com/network/211219")</f>
        <v>http://funmeta.oebiotech.com/network/211219</v>
      </c>
      <c r="H6050" s="2" t="s">
        <v>40117</v>
      </c>
      <c r="I6050" s="2"/>
      <c r="J6050" s="2"/>
      <c r="K6050" s="2"/>
      <c r="L6050" s="2"/>
      <c r="M6050" s="2"/>
      <c r="N6050" s="2"/>
      <c r="O6050" s="2">
        <v>9822916</v>
      </c>
      <c r="P6050" s="2"/>
      <c r="Q6050" s="2" t="s">
        <v>40118</v>
      </c>
      <c r="R6050" s="2" t="s">
        <v>40119</v>
      </c>
      <c r="S6050" s="2" t="s">
        <v>89</v>
      </c>
      <c r="T6050" s="2" t="s">
        <v>90</v>
      </c>
      <c r="U6050" s="2" t="s">
        <v>99</v>
      </c>
      <c r="V6050" s="2" t="s">
        <v>59</v>
      </c>
      <c r="W6050" s="2">
        <v>37.4</v>
      </c>
      <c r="X6050" s="2">
        <v>0</v>
      </c>
      <c r="Y6050" s="2" t="s">
        <v>560</v>
      </c>
      <c r="Z6050" s="2" t="s">
        <v>40120</v>
      </c>
      <c r="AA6050" s="2">
        <v>0.77451757201376004</v>
      </c>
      <c r="AB6050" s="2">
        <v>4.9685488433880098E-2</v>
      </c>
      <c r="AC6050" s="2">
        <v>4827.55090631436</v>
      </c>
      <c r="AD6050" s="2">
        <v>4234.1928490372702</v>
      </c>
      <c r="AE6050" s="2">
        <v>2802.8268479896701</v>
      </c>
      <c r="AF6050" s="2">
        <v>6828.7594902575202</v>
      </c>
      <c r="AG6050" s="2">
        <v>4497.3409586768003</v>
      </c>
      <c r="AH6050" s="2">
        <v>5378.0290974425498</v>
      </c>
      <c r="AI6050" s="2">
        <v>5402.7722400419898</v>
      </c>
      <c r="AJ6050" s="2">
        <v>4055.5768034776102</v>
      </c>
      <c r="AK6050" s="2">
        <v>5056.9431667621402</v>
      </c>
      <c r="AL6050" s="2">
        <v>4204.0241204039203</v>
      </c>
      <c r="AM6050" s="2">
        <v>5171.4752298372296</v>
      </c>
      <c r="AN6050" s="2">
        <v>2817.7381901705999</v>
      </c>
      <c r="AO6050" s="2">
        <v>3956.00825716604</v>
      </c>
      <c r="AP6050" s="2">
        <v>4198.9681298837104</v>
      </c>
    </row>
    <row r="6051" spans="1:42" ht="14.5" x14ac:dyDescent="0.35">
      <c r="A6051" s="2" t="s">
        <v>40121</v>
      </c>
      <c r="B6051" s="2">
        <v>281.13814767174802</v>
      </c>
      <c r="C6051" s="2">
        <v>9.6530833333333295</v>
      </c>
      <c r="D6051" s="2" t="s">
        <v>34</v>
      </c>
      <c r="E6051" s="2" t="s">
        <v>40122</v>
      </c>
      <c r="F6051" s="2">
        <v>255302</v>
      </c>
      <c r="G6051" s="3" t="str">
        <f>HYPERLINK("http://funmeta.oebiotech.com/network/255302", "http://funmeta.oebiotech.com/network/255302")</f>
        <v>http://funmeta.oebiotech.com/network/255302</v>
      </c>
      <c r="H6051" s="2" t="s">
        <v>40123</v>
      </c>
      <c r="I6051" s="2"/>
      <c r="J6051" s="2"/>
      <c r="K6051" s="2"/>
      <c r="L6051" s="2"/>
      <c r="M6051" s="2"/>
      <c r="N6051" s="2"/>
      <c r="O6051" s="2">
        <v>98331</v>
      </c>
      <c r="P6051" s="2"/>
      <c r="Q6051" s="2" t="s">
        <v>40124</v>
      </c>
      <c r="R6051" s="2" t="s">
        <v>40125</v>
      </c>
      <c r="S6051" s="2" t="s">
        <v>50</v>
      </c>
      <c r="T6051" s="2" t="s">
        <v>201</v>
      </c>
      <c r="U6051" s="2" t="s">
        <v>1217</v>
      </c>
      <c r="V6051" s="2" t="s">
        <v>59</v>
      </c>
      <c r="W6051" s="2">
        <v>41.4</v>
      </c>
      <c r="X6051" s="2">
        <v>12.2</v>
      </c>
      <c r="Y6051" s="2" t="s">
        <v>394</v>
      </c>
      <c r="Z6051" s="2" t="s">
        <v>4802</v>
      </c>
      <c r="AA6051" s="2">
        <v>-0.72287393697702396</v>
      </c>
      <c r="AB6051" s="2">
        <v>4.9656910732039497E-2</v>
      </c>
      <c r="AC6051" s="2">
        <v>14358.7820912403</v>
      </c>
      <c r="AD6051" s="2">
        <v>15719.3228373325</v>
      </c>
      <c r="AE6051" s="2">
        <v>16548.6366273083</v>
      </c>
      <c r="AF6051" s="2">
        <v>12570.5551968818</v>
      </c>
      <c r="AG6051" s="2">
        <v>14300.540487886199</v>
      </c>
      <c r="AH6051" s="2">
        <v>12879.359230018399</v>
      </c>
      <c r="AI6051" s="2">
        <v>17209.3904175313</v>
      </c>
      <c r="AJ6051" s="2">
        <v>12644.2105878161</v>
      </c>
      <c r="AK6051" s="2">
        <v>10278.5741385037</v>
      </c>
      <c r="AL6051" s="2">
        <v>31824.611729766799</v>
      </c>
      <c r="AM6051" s="2">
        <v>14985.608055905999</v>
      </c>
      <c r="AN6051" s="2">
        <v>16614.4671240647</v>
      </c>
      <c r="AO6051" s="2">
        <v>11643.1032579409</v>
      </c>
      <c r="AP6051" s="2">
        <v>8969.5727178130091</v>
      </c>
    </row>
    <row r="6052" spans="1:42" ht="14.5" x14ac:dyDescent="0.35">
      <c r="A6052" s="2" t="s">
        <v>40126</v>
      </c>
      <c r="B6052" s="2">
        <v>661.29868110838595</v>
      </c>
      <c r="C6052" s="2">
        <v>5.8791000000000002</v>
      </c>
      <c r="D6052" s="2" t="s">
        <v>70</v>
      </c>
      <c r="E6052" s="2" t="s">
        <v>40127</v>
      </c>
      <c r="F6052" s="2">
        <v>256857</v>
      </c>
      <c r="G6052" s="3" t="str">
        <f>HYPERLINK("http://funmeta.oebiotech.com/network/256857", "http://funmeta.oebiotech.com/network/256857")</f>
        <v>http://funmeta.oebiotech.com/network/256857</v>
      </c>
      <c r="H6052" s="2" t="s">
        <v>40128</v>
      </c>
      <c r="I6052" s="2"/>
      <c r="J6052" s="2"/>
      <c r="K6052" s="2"/>
      <c r="L6052" s="2"/>
      <c r="M6052" s="2"/>
      <c r="N6052" s="2"/>
      <c r="O6052" s="2">
        <v>46173298</v>
      </c>
      <c r="P6052" s="2"/>
      <c r="Q6052" s="2" t="s">
        <v>40129</v>
      </c>
      <c r="R6052" s="2" t="s">
        <v>40130</v>
      </c>
      <c r="S6052" s="2" t="s">
        <v>50</v>
      </c>
      <c r="T6052" s="2" t="s">
        <v>201</v>
      </c>
      <c r="U6052" s="2" t="s">
        <v>241</v>
      </c>
      <c r="V6052" s="2" t="s">
        <v>59</v>
      </c>
      <c r="W6052" s="2">
        <v>37.9</v>
      </c>
      <c r="X6052" s="2">
        <v>0</v>
      </c>
      <c r="Y6052" s="2" t="s">
        <v>560</v>
      </c>
      <c r="Z6052" s="2" t="s">
        <v>40131</v>
      </c>
      <c r="AA6052" s="2">
        <v>-4.7411857174546803</v>
      </c>
      <c r="AB6052" s="2">
        <v>4.9585187457029001E-2</v>
      </c>
      <c r="AC6052" s="2">
        <v>9090.8839804858599</v>
      </c>
      <c r="AD6052" s="2">
        <v>9647.8717748959807</v>
      </c>
      <c r="AE6052" s="2">
        <v>9273.7680825202806</v>
      </c>
      <c r="AF6052" s="2">
        <v>7076.2058749518701</v>
      </c>
      <c r="AG6052" s="2">
        <v>9699.5915333627308</v>
      </c>
      <c r="AH6052" s="2">
        <v>10731.5329563409</v>
      </c>
      <c r="AI6052" s="2">
        <v>9537.9855161564901</v>
      </c>
      <c r="AJ6052" s="2">
        <v>8226.2199195829107</v>
      </c>
      <c r="AK6052" s="2">
        <v>10755.3601387709</v>
      </c>
      <c r="AL6052" s="2">
        <v>9065.7882465211005</v>
      </c>
      <c r="AM6052" s="2">
        <v>9170.9525756712701</v>
      </c>
      <c r="AN6052" s="2">
        <v>9886.7488735859006</v>
      </c>
      <c r="AO6052" s="2">
        <v>10085.7209043941</v>
      </c>
      <c r="AP6052" s="2">
        <v>8922.6599104326306</v>
      </c>
    </row>
    <row r="6053" spans="1:42" ht="14.5" x14ac:dyDescent="0.35">
      <c r="A6053" s="2" t="s">
        <v>40132</v>
      </c>
      <c r="B6053" s="2">
        <v>543.17518401426503</v>
      </c>
      <c r="C6053" s="2">
        <v>4.7765333333333304</v>
      </c>
      <c r="D6053" s="2" t="s">
        <v>70</v>
      </c>
      <c r="E6053" s="2" t="s">
        <v>40133</v>
      </c>
      <c r="F6053" s="2">
        <v>210758</v>
      </c>
      <c r="G6053" s="3" t="str">
        <f>HYPERLINK("http://funmeta.oebiotech.com/network/210758", "http://funmeta.oebiotech.com/network/210758")</f>
        <v>http://funmeta.oebiotech.com/network/210758</v>
      </c>
      <c r="H6053" s="2" t="s">
        <v>40134</v>
      </c>
      <c r="I6053" s="2"/>
      <c r="J6053" s="2"/>
      <c r="K6053" s="2"/>
      <c r="L6053" s="2"/>
      <c r="M6053" s="2"/>
      <c r="N6053" s="2"/>
      <c r="O6053" s="2"/>
      <c r="P6053" s="2"/>
      <c r="Q6053" s="2" t="s">
        <v>40135</v>
      </c>
      <c r="R6053" s="2" t="s">
        <v>40136</v>
      </c>
      <c r="S6053" s="2" t="s">
        <v>148</v>
      </c>
      <c r="T6053" s="2" t="s">
        <v>149</v>
      </c>
      <c r="U6053" s="2" t="s">
        <v>17602</v>
      </c>
      <c r="V6053" s="2" t="s">
        <v>59</v>
      </c>
      <c r="W6053" s="2">
        <v>39.1</v>
      </c>
      <c r="X6053" s="2">
        <v>0</v>
      </c>
      <c r="Y6053" s="2" t="s">
        <v>560</v>
      </c>
      <c r="Z6053" s="2" t="s">
        <v>40137</v>
      </c>
      <c r="AA6053" s="2">
        <v>1.06567463166768</v>
      </c>
      <c r="AB6053" s="2">
        <v>4.9575720287496503E-2</v>
      </c>
      <c r="AC6053" s="2">
        <v>413.39314587060898</v>
      </c>
      <c r="AD6053" s="2">
        <v>790.83735300483397</v>
      </c>
      <c r="AE6053" s="2">
        <v>510.896203411432</v>
      </c>
      <c r="AF6053" s="2">
        <v>1211.6366737932001</v>
      </c>
      <c r="AG6053" s="2">
        <v>205.59842951331601</v>
      </c>
      <c r="AH6053" s="2">
        <v>535.574965724035</v>
      </c>
      <c r="AI6053" s="2">
        <v>2.7106294003980101E-5</v>
      </c>
      <c r="AJ6053" s="2">
        <v>16.652575675374798</v>
      </c>
      <c r="AK6053" s="2">
        <v>1526.4099530563601</v>
      </c>
      <c r="AL6053" s="2">
        <v>425.97833820064398</v>
      </c>
      <c r="AM6053" s="2">
        <v>675.16318687190301</v>
      </c>
      <c r="AN6053" s="2">
        <v>582.63040713516102</v>
      </c>
      <c r="AO6053" s="2">
        <v>933.22456315109503</v>
      </c>
      <c r="AP6053" s="2">
        <v>601.61766961384205</v>
      </c>
    </row>
    <row r="6054" spans="1:42" ht="14.5" x14ac:dyDescent="0.35">
      <c r="A6054" s="2" t="s">
        <v>40138</v>
      </c>
      <c r="B6054" s="2">
        <v>195.101977991436</v>
      </c>
      <c r="C6054" s="2">
        <v>8.8504500000000004</v>
      </c>
      <c r="D6054" s="2" t="s">
        <v>70</v>
      </c>
      <c r="E6054" s="2" t="s">
        <v>40139</v>
      </c>
      <c r="F6054" s="2">
        <v>55672</v>
      </c>
      <c r="G6054" s="3" t="str">
        <f>HYPERLINK("http://funmeta.oebiotech.com/network/55672", "http://funmeta.oebiotech.com/network/55672")</f>
        <v>http://funmeta.oebiotech.com/network/55672</v>
      </c>
      <c r="H6054" s="2" t="s">
        <v>40140</v>
      </c>
      <c r="I6054" s="2">
        <v>87328</v>
      </c>
      <c r="J6054" s="2"/>
      <c r="K6054" s="2">
        <v>166552</v>
      </c>
      <c r="L6054" s="2"/>
      <c r="M6054" s="2"/>
      <c r="N6054" s="2"/>
      <c r="O6054" s="2">
        <v>10375946</v>
      </c>
      <c r="P6054" s="2"/>
      <c r="Q6054" s="2" t="s">
        <v>40141</v>
      </c>
      <c r="R6054" s="2" t="s">
        <v>40142</v>
      </c>
      <c r="S6054" s="2" t="s">
        <v>491</v>
      </c>
      <c r="T6054" s="2" t="s">
        <v>5973</v>
      </c>
      <c r="U6054" s="2" t="s">
        <v>6296</v>
      </c>
      <c r="V6054" s="2" t="s">
        <v>59</v>
      </c>
      <c r="W6054" s="2">
        <v>42.5</v>
      </c>
      <c r="X6054" s="2">
        <v>21.4</v>
      </c>
      <c r="Y6054" s="2" t="s">
        <v>751</v>
      </c>
      <c r="Z6054" s="2" t="s">
        <v>40143</v>
      </c>
      <c r="AA6054" s="2">
        <v>-3.2222231618627801</v>
      </c>
      <c r="AB6054" s="2">
        <v>4.9377826435717899E-2</v>
      </c>
      <c r="AC6054" s="2">
        <v>187.09090185108201</v>
      </c>
      <c r="AD6054" s="2">
        <v>12.8211641412897</v>
      </c>
      <c r="AE6054" s="2">
        <v>218.176934232219</v>
      </c>
      <c r="AF6054" s="2">
        <v>132.894211502632</v>
      </c>
      <c r="AG6054" s="2">
        <v>128.840773895251</v>
      </c>
      <c r="AH6054" s="2">
        <v>265.309863829704</v>
      </c>
      <c r="AI6054" s="2">
        <v>162.10538211865301</v>
      </c>
      <c r="AJ6054" s="2">
        <v>215.21824552803301</v>
      </c>
      <c r="AK6054" s="2">
        <v>2.7106294003980101E-5</v>
      </c>
      <c r="AL6054" s="2">
        <v>49.313669713679502</v>
      </c>
      <c r="AM6054" s="2">
        <v>2.7106294003980101E-5</v>
      </c>
      <c r="AN6054" s="2">
        <v>27.613206708882799</v>
      </c>
      <c r="AO6054" s="2">
        <v>2.7106294003980101E-5</v>
      </c>
      <c r="AP6054" s="2">
        <v>2.7106294003980101E-5</v>
      </c>
    </row>
    <row r="6055" spans="1:42" ht="14.5" x14ac:dyDescent="0.35">
      <c r="A6055" s="2" t="s">
        <v>40144</v>
      </c>
      <c r="B6055" s="2">
        <v>369.10704996875398</v>
      </c>
      <c r="C6055" s="2">
        <v>4.96875</v>
      </c>
      <c r="D6055" s="2" t="s">
        <v>70</v>
      </c>
      <c r="E6055" s="2" t="s">
        <v>40145</v>
      </c>
      <c r="F6055" s="2">
        <v>274658</v>
      </c>
      <c r="G6055" s="3" t="str">
        <f>HYPERLINK("http://funmeta.oebiotech.com/network/274658", "http://funmeta.oebiotech.com/network/274658")</f>
        <v>http://funmeta.oebiotech.com/network/274658</v>
      </c>
      <c r="H6055" s="2"/>
      <c r="I6055" s="2">
        <v>64819</v>
      </c>
      <c r="J6055" s="2"/>
      <c r="K6055" s="2"/>
      <c r="L6055" s="2"/>
      <c r="M6055" s="2"/>
      <c r="N6055" s="2"/>
      <c r="O6055" s="2">
        <v>24864108</v>
      </c>
      <c r="P6055" s="2" t="s">
        <v>40146</v>
      </c>
      <c r="Q6055" s="2" t="s">
        <v>40147</v>
      </c>
      <c r="R6055" s="2" t="s">
        <v>40148</v>
      </c>
      <c r="S6055" s="2" t="s">
        <v>79</v>
      </c>
      <c r="T6055" s="2" t="s">
        <v>80</v>
      </c>
      <c r="U6055" s="2" t="s">
        <v>81</v>
      </c>
      <c r="V6055" s="2" t="s">
        <v>59</v>
      </c>
      <c r="W6055" s="2">
        <v>37.799999999999997</v>
      </c>
      <c r="X6055" s="2">
        <v>0</v>
      </c>
      <c r="Y6055" s="2" t="s">
        <v>118</v>
      </c>
      <c r="Z6055" s="2" t="s">
        <v>40149</v>
      </c>
      <c r="AA6055" s="2">
        <v>5.0331939557254302</v>
      </c>
      <c r="AB6055" s="2">
        <v>4.9335832748206597E-2</v>
      </c>
      <c r="AC6055" s="2">
        <v>1543.4269548933</v>
      </c>
      <c r="AD6055" s="2">
        <v>1901.15197469393</v>
      </c>
      <c r="AE6055" s="2">
        <v>2143.29209808308</v>
      </c>
      <c r="AF6055" s="2">
        <v>1679.2776745595099</v>
      </c>
      <c r="AG6055" s="2">
        <v>1153.61519658934</v>
      </c>
      <c r="AH6055" s="2">
        <v>1333.6039944480001</v>
      </c>
      <c r="AI6055" s="2">
        <v>1760.27940128467</v>
      </c>
      <c r="AJ6055" s="2">
        <v>1190.4933643951999</v>
      </c>
      <c r="AK6055" s="2">
        <v>1801.4906468346201</v>
      </c>
      <c r="AL6055" s="2">
        <v>1941.3446806028201</v>
      </c>
      <c r="AM6055" s="2">
        <v>2375.7793564849599</v>
      </c>
      <c r="AN6055" s="2">
        <v>1190.6842840766101</v>
      </c>
      <c r="AO6055" s="2">
        <v>1977.88858933094</v>
      </c>
      <c r="AP6055" s="2">
        <v>2119.7242908336302</v>
      </c>
    </row>
    <row r="6056" spans="1:42" ht="14.5" x14ac:dyDescent="0.35">
      <c r="A6056" s="2" t="s">
        <v>40150</v>
      </c>
      <c r="B6056" s="2">
        <v>801.26101554617696</v>
      </c>
      <c r="C6056" s="2">
        <v>4.7039999999999997</v>
      </c>
      <c r="D6056" s="2" t="s">
        <v>70</v>
      </c>
      <c r="E6056" s="2" t="s">
        <v>40151</v>
      </c>
      <c r="F6056" s="2">
        <v>32114</v>
      </c>
      <c r="G6056" s="3" t="str">
        <f>HYPERLINK("http://funmeta.oebiotech.com/network/32114", "http://funmeta.oebiotech.com/network/32114")</f>
        <v>http://funmeta.oebiotech.com/network/32114</v>
      </c>
      <c r="H6056" s="2"/>
      <c r="I6056" s="2"/>
      <c r="J6056" s="2" t="s">
        <v>40152</v>
      </c>
      <c r="K6056" s="2"/>
      <c r="L6056" s="2"/>
      <c r="M6056" s="2"/>
      <c r="N6056" s="2"/>
      <c r="O6056" s="2">
        <v>44259078</v>
      </c>
      <c r="P6056" s="2"/>
      <c r="Q6056" s="2" t="s">
        <v>40153</v>
      </c>
      <c r="R6056" s="2" t="s">
        <v>40154</v>
      </c>
      <c r="S6056" s="2" t="s">
        <v>115</v>
      </c>
      <c r="T6056" s="2" t="s">
        <v>139</v>
      </c>
      <c r="U6056" s="2" t="s">
        <v>140</v>
      </c>
      <c r="V6056" s="2" t="s">
        <v>59</v>
      </c>
      <c r="W6056" s="2">
        <v>37.700000000000003</v>
      </c>
      <c r="X6056" s="2">
        <v>0</v>
      </c>
      <c r="Y6056" s="2" t="s">
        <v>118</v>
      </c>
      <c r="Z6056" s="2" t="s">
        <v>40155</v>
      </c>
      <c r="AA6056" s="2">
        <v>-0.15287791505814699</v>
      </c>
      <c r="AB6056" s="2">
        <v>4.9289523991784802E-2</v>
      </c>
      <c r="AC6056" s="2">
        <v>57468.047724178999</v>
      </c>
      <c r="AD6056" s="2">
        <v>58575.233790114398</v>
      </c>
      <c r="AE6056" s="2">
        <v>56138.347524892401</v>
      </c>
      <c r="AF6056" s="2">
        <v>55147.182408663597</v>
      </c>
      <c r="AG6056" s="2">
        <v>53162.056979879802</v>
      </c>
      <c r="AH6056" s="2">
        <v>57411.138774757201</v>
      </c>
      <c r="AI6056" s="2">
        <v>59327.459246805898</v>
      </c>
      <c r="AJ6056" s="2">
        <v>63622.1014100752</v>
      </c>
      <c r="AK6056" s="2">
        <v>66513.523984978005</v>
      </c>
      <c r="AL6056" s="2">
        <v>55457.627375988901</v>
      </c>
      <c r="AM6056" s="2">
        <v>55962.683785922804</v>
      </c>
      <c r="AN6056" s="2">
        <v>60084.317889294303</v>
      </c>
      <c r="AO6056" s="2">
        <v>52754.717649997998</v>
      </c>
      <c r="AP6056" s="2">
        <v>60678.532054504401</v>
      </c>
    </row>
    <row r="6057" spans="1:42" ht="14.5" x14ac:dyDescent="0.35">
      <c r="A6057" s="2" t="s">
        <v>40156</v>
      </c>
      <c r="B6057" s="2">
        <v>505.15562822260398</v>
      </c>
      <c r="C6057" s="2">
        <v>3.5976333333333299</v>
      </c>
      <c r="D6057" s="2" t="s">
        <v>70</v>
      </c>
      <c r="E6057" s="2" t="s">
        <v>40157</v>
      </c>
      <c r="F6057" s="2">
        <v>266455</v>
      </c>
      <c r="G6057" s="3" t="str">
        <f>HYPERLINK("http://funmeta.oebiotech.com/network/266455", "http://funmeta.oebiotech.com/network/266455")</f>
        <v>http://funmeta.oebiotech.com/network/266455</v>
      </c>
      <c r="H6057" s="2"/>
      <c r="I6057" s="2">
        <v>43211</v>
      </c>
      <c r="J6057" s="2"/>
      <c r="K6057" s="2"/>
      <c r="L6057" s="2" t="s">
        <v>40158</v>
      </c>
      <c r="M6057" s="2" t="s">
        <v>23498</v>
      </c>
      <c r="N6057" s="2" t="s">
        <v>23499</v>
      </c>
      <c r="O6057" s="2">
        <v>135398721</v>
      </c>
      <c r="P6057" s="2" t="s">
        <v>40159</v>
      </c>
      <c r="Q6057" s="2" t="s">
        <v>40160</v>
      </c>
      <c r="R6057" s="2" t="s">
        <v>40161</v>
      </c>
      <c r="S6057" s="2" t="s">
        <v>491</v>
      </c>
      <c r="T6057" s="2" t="s">
        <v>4914</v>
      </c>
      <c r="U6057" s="2" t="s">
        <v>4915</v>
      </c>
      <c r="V6057" s="2" t="s">
        <v>59</v>
      </c>
      <c r="W6057" s="2">
        <v>37.200000000000003</v>
      </c>
      <c r="X6057" s="2">
        <v>0</v>
      </c>
      <c r="Y6057" s="2" t="s">
        <v>560</v>
      </c>
      <c r="Z6057" s="2" t="s">
        <v>40162</v>
      </c>
      <c r="AA6057" s="2">
        <v>1.37691944166769</v>
      </c>
      <c r="AB6057" s="2">
        <v>4.9140449292384598E-2</v>
      </c>
      <c r="AC6057" s="2">
        <v>2118.8203498367898</v>
      </c>
      <c r="AD6057" s="2">
        <v>1798.7430945286101</v>
      </c>
      <c r="AE6057" s="2">
        <v>2047.04716618673</v>
      </c>
      <c r="AF6057" s="2">
        <v>2181.3365257195401</v>
      </c>
      <c r="AG6057" s="2">
        <v>1930.4053141269601</v>
      </c>
      <c r="AH6057" s="2">
        <v>2645.21295373874</v>
      </c>
      <c r="AI6057" s="2">
        <v>2224.3446122001901</v>
      </c>
      <c r="AJ6057" s="2">
        <v>1684.5755270485499</v>
      </c>
      <c r="AK6057" s="2">
        <v>1666.2426329592599</v>
      </c>
      <c r="AL6057" s="2">
        <v>2323.81416008016</v>
      </c>
      <c r="AM6057" s="2">
        <v>1541.6851653390199</v>
      </c>
      <c r="AN6057" s="2">
        <v>1841.1529054497701</v>
      </c>
      <c r="AO6057" s="2">
        <v>1545.9043457835701</v>
      </c>
      <c r="AP6057" s="2">
        <v>1873.6593575598799</v>
      </c>
    </row>
    <row r="6058" spans="1:42" ht="14.5" x14ac:dyDescent="0.35">
      <c r="A6058" s="2" t="s">
        <v>40163</v>
      </c>
      <c r="B6058" s="2">
        <v>413.31943163391003</v>
      </c>
      <c r="C6058" s="2">
        <v>8.7089333333333308</v>
      </c>
      <c r="D6058" s="2" t="s">
        <v>34</v>
      </c>
      <c r="E6058" s="2" t="s">
        <v>40164</v>
      </c>
      <c r="F6058" s="2">
        <v>43619</v>
      </c>
      <c r="G6058" s="3" t="str">
        <f>HYPERLINK("http://funmeta.oebiotech.com/network/43619", "http://funmeta.oebiotech.com/network/43619")</f>
        <v>http://funmeta.oebiotech.com/network/43619</v>
      </c>
      <c r="H6058" s="2"/>
      <c r="I6058" s="2">
        <v>83893</v>
      </c>
      <c r="J6058" s="2" t="s">
        <v>40165</v>
      </c>
      <c r="K6058" s="2"/>
      <c r="L6058" s="2"/>
      <c r="M6058" s="2"/>
      <c r="N6058" s="2"/>
      <c r="O6058" s="2">
        <v>11462982</v>
      </c>
      <c r="P6058" s="2"/>
      <c r="Q6058" s="2" t="s">
        <v>40166</v>
      </c>
      <c r="R6058" s="2" t="s">
        <v>40167</v>
      </c>
      <c r="S6058" s="2" t="s">
        <v>50</v>
      </c>
      <c r="T6058" s="2" t="s">
        <v>124</v>
      </c>
      <c r="U6058" s="2" t="s">
        <v>2789</v>
      </c>
      <c r="V6058" s="2" t="s">
        <v>59</v>
      </c>
      <c r="W6058" s="2">
        <v>36.4</v>
      </c>
      <c r="X6058" s="2">
        <v>0</v>
      </c>
      <c r="Y6058" s="2" t="s">
        <v>340</v>
      </c>
      <c r="Z6058" s="2" t="s">
        <v>40168</v>
      </c>
      <c r="AA6058" s="2">
        <v>3.7596923609695998</v>
      </c>
      <c r="AB6058" s="2">
        <v>4.9034209535307398E-2</v>
      </c>
      <c r="AC6058" s="2">
        <v>3776.9548918529099</v>
      </c>
      <c r="AD6058" s="2">
        <v>4255.0674511386396</v>
      </c>
      <c r="AE6058" s="2">
        <v>2767.4337850535098</v>
      </c>
      <c r="AF6058" s="2">
        <v>4597.9530550089703</v>
      </c>
      <c r="AG6058" s="2">
        <v>4378.0888215881396</v>
      </c>
      <c r="AH6058" s="2">
        <v>4160.8069537322699</v>
      </c>
      <c r="AI6058" s="2">
        <v>4117.8078689965496</v>
      </c>
      <c r="AJ6058" s="2">
        <v>2639.6388667380502</v>
      </c>
      <c r="AK6058" s="2">
        <v>4720.19668599138</v>
      </c>
      <c r="AL6058" s="2">
        <v>3493.39981399305</v>
      </c>
      <c r="AM6058" s="2">
        <v>4137.1504562463897</v>
      </c>
      <c r="AN6058" s="2">
        <v>3761.0564268273502</v>
      </c>
      <c r="AO6058" s="2">
        <v>5264.1857185559302</v>
      </c>
      <c r="AP6058" s="2">
        <v>4154.4156052177204</v>
      </c>
    </row>
    <row r="6059" spans="1:42" ht="14.5" x14ac:dyDescent="0.35">
      <c r="A6059" s="2" t="s">
        <v>40169</v>
      </c>
      <c r="B6059" s="2">
        <v>623.10156565551301</v>
      </c>
      <c r="C6059" s="2">
        <v>13.593833333333301</v>
      </c>
      <c r="D6059" s="2" t="s">
        <v>70</v>
      </c>
      <c r="E6059" s="2" t="s">
        <v>40170</v>
      </c>
      <c r="F6059" s="2">
        <v>213143</v>
      </c>
      <c r="G6059" s="3" t="str">
        <f>HYPERLINK("http://funmeta.oebiotech.com/network/213143", "http://funmeta.oebiotech.com/network/213143")</f>
        <v>http://funmeta.oebiotech.com/network/213143</v>
      </c>
      <c r="H6059" s="2" t="s">
        <v>40171</v>
      </c>
      <c r="I6059" s="2">
        <v>45564</v>
      </c>
      <c r="J6059" s="2"/>
      <c r="K6059" s="2">
        <v>62878</v>
      </c>
      <c r="L6059" s="2"/>
      <c r="M6059" s="2"/>
      <c r="N6059" s="2"/>
      <c r="O6059" s="2">
        <v>135418940</v>
      </c>
      <c r="P6059" s="2" t="s">
        <v>40172</v>
      </c>
      <c r="Q6059" s="2" t="s">
        <v>40173</v>
      </c>
      <c r="R6059" s="2" t="s">
        <v>40174</v>
      </c>
      <c r="S6059" s="2" t="s">
        <v>491</v>
      </c>
      <c r="T6059" s="2" t="s">
        <v>40175</v>
      </c>
      <c r="U6059" s="2" t="s">
        <v>41</v>
      </c>
      <c r="V6059" s="2" t="s">
        <v>59</v>
      </c>
      <c r="W6059" s="2">
        <v>37.799999999999997</v>
      </c>
      <c r="X6059" s="2">
        <v>0</v>
      </c>
      <c r="Y6059" s="2" t="s">
        <v>560</v>
      </c>
      <c r="Z6059" s="2" t="s">
        <v>40176</v>
      </c>
      <c r="AA6059" s="2">
        <v>7.6968200026282102E-3</v>
      </c>
      <c r="AB6059" s="2">
        <v>4.9001672107668801E-2</v>
      </c>
      <c r="AC6059" s="2">
        <v>1392.84922597678</v>
      </c>
      <c r="AD6059" s="2">
        <v>1933.0293387280201</v>
      </c>
      <c r="AE6059" s="2">
        <v>2652.1177242598901</v>
      </c>
      <c r="AF6059" s="2">
        <v>1541.1165191185601</v>
      </c>
      <c r="AG6059" s="2">
        <v>315.36692764914898</v>
      </c>
      <c r="AH6059" s="2">
        <v>1714.52722174367</v>
      </c>
      <c r="AI6059" s="2">
        <v>620.02594773090198</v>
      </c>
      <c r="AJ6059" s="2">
        <v>1513.94101535853</v>
      </c>
      <c r="AK6059" s="2">
        <v>2462.86342944532</v>
      </c>
      <c r="AL6059" s="2">
        <v>3552.68927003215</v>
      </c>
      <c r="AM6059" s="2">
        <v>1505.91959757418</v>
      </c>
      <c r="AN6059" s="2">
        <v>1020.90423503187</v>
      </c>
      <c r="AO6059" s="2">
        <v>2207.2082210929598</v>
      </c>
      <c r="AP6059" s="2">
        <v>848.59127919163598</v>
      </c>
    </row>
    <row r="6060" spans="1:42" ht="14.5" x14ac:dyDescent="0.35">
      <c r="A6060" s="2" t="s">
        <v>40177</v>
      </c>
      <c r="B6060" s="2">
        <v>413.02126705527002</v>
      </c>
      <c r="C6060" s="2">
        <v>9.9109999999999996</v>
      </c>
      <c r="D6060" s="2" t="s">
        <v>70</v>
      </c>
      <c r="E6060" s="2" t="s">
        <v>40178</v>
      </c>
      <c r="F6060" s="2">
        <v>201861</v>
      </c>
      <c r="G6060" s="3" t="str">
        <f>HYPERLINK("http://funmeta.oebiotech.com/network/201861", "http://funmeta.oebiotech.com/network/201861")</f>
        <v>http://funmeta.oebiotech.com/network/201861</v>
      </c>
      <c r="H6060" s="2" t="s">
        <v>40179</v>
      </c>
      <c r="I6060" s="2"/>
      <c r="J6060" s="2"/>
      <c r="K6060" s="2"/>
      <c r="L6060" s="2"/>
      <c r="M6060" s="2"/>
      <c r="N6060" s="2"/>
      <c r="O6060" s="2"/>
      <c r="P6060" s="2"/>
      <c r="Q6060" s="2" t="s">
        <v>40180</v>
      </c>
      <c r="R6060" s="2" t="s">
        <v>40181</v>
      </c>
      <c r="S6060" s="2" t="s">
        <v>148</v>
      </c>
      <c r="T6060" s="2" t="s">
        <v>392</v>
      </c>
      <c r="U6060" s="2" t="s">
        <v>1177</v>
      </c>
      <c r="V6060" s="2" t="s">
        <v>59</v>
      </c>
      <c r="W6060" s="2">
        <v>39.700000000000003</v>
      </c>
      <c r="X6060" s="2">
        <v>0</v>
      </c>
      <c r="Y6060" s="2" t="s">
        <v>560</v>
      </c>
      <c r="Z6060" s="2" t="s">
        <v>40182</v>
      </c>
      <c r="AA6060" s="2">
        <v>-0.27006886644626699</v>
      </c>
      <c r="AB6060" s="2">
        <v>4.8984780808848299E-2</v>
      </c>
      <c r="AC6060" s="2">
        <v>3585.84866228687</v>
      </c>
      <c r="AD6060" s="2">
        <v>3922.6614394001999</v>
      </c>
      <c r="AE6060" s="2">
        <v>3512.2750397817799</v>
      </c>
      <c r="AF6060" s="2">
        <v>3966.8169911843902</v>
      </c>
      <c r="AG6060" s="2">
        <v>3386.2656985690001</v>
      </c>
      <c r="AH6060" s="2">
        <v>3271.2334304331098</v>
      </c>
      <c r="AI6060" s="2">
        <v>4027.6910845207599</v>
      </c>
      <c r="AJ6060" s="2">
        <v>3350.80972923218</v>
      </c>
      <c r="AK6060" s="2">
        <v>4335.1619328162597</v>
      </c>
      <c r="AL6060" s="2">
        <v>3257.4101867991699</v>
      </c>
      <c r="AM6060" s="2">
        <v>3710.7888378266998</v>
      </c>
      <c r="AN6060" s="2">
        <v>4023.21595685793</v>
      </c>
      <c r="AO6060" s="2">
        <v>4177.7729389047299</v>
      </c>
      <c r="AP6060" s="2">
        <v>4031.6187831963898</v>
      </c>
    </row>
    <row r="6061" spans="1:42" ht="14.5" x14ac:dyDescent="0.35">
      <c r="A6061" s="2" t="s">
        <v>40183</v>
      </c>
      <c r="B6061" s="2">
        <v>167.070234615738</v>
      </c>
      <c r="C6061" s="2">
        <v>9.7467833333333296</v>
      </c>
      <c r="D6061" s="2" t="s">
        <v>34</v>
      </c>
      <c r="E6061" s="2" t="s">
        <v>40184</v>
      </c>
      <c r="F6061" s="2">
        <v>47656</v>
      </c>
      <c r="G6061" s="3" t="str">
        <f>HYPERLINK("http://funmeta.oebiotech.com/network/47656", "http://funmeta.oebiotech.com/network/47656")</f>
        <v>http://funmeta.oebiotech.com/network/47656</v>
      </c>
      <c r="H6061" s="2" t="s">
        <v>40185</v>
      </c>
      <c r="I6061" s="2">
        <v>6326</v>
      </c>
      <c r="J6061" s="2"/>
      <c r="K6061" s="2">
        <v>18132</v>
      </c>
      <c r="L6061" s="2" t="s">
        <v>40186</v>
      </c>
      <c r="M6061" s="2" t="s">
        <v>1452</v>
      </c>
      <c r="N6061" s="2" t="s">
        <v>1453</v>
      </c>
      <c r="O6061" s="2">
        <v>1014</v>
      </c>
      <c r="P6061" s="2" t="s">
        <v>40187</v>
      </c>
      <c r="Q6061" s="2" t="s">
        <v>40188</v>
      </c>
      <c r="R6061" s="2" t="s">
        <v>40189</v>
      </c>
      <c r="S6061" s="2" t="s">
        <v>1677</v>
      </c>
      <c r="T6061" s="2" t="s">
        <v>1678</v>
      </c>
      <c r="U6061" s="2" t="s">
        <v>7289</v>
      </c>
      <c r="V6061" s="2" t="s">
        <v>59</v>
      </c>
      <c r="W6061" s="2">
        <v>39.299999999999997</v>
      </c>
      <c r="X6061" s="2">
        <v>0</v>
      </c>
      <c r="Y6061" s="2" t="s">
        <v>141</v>
      </c>
      <c r="Z6061" s="2" t="s">
        <v>40190</v>
      </c>
      <c r="AA6061" s="2">
        <v>-1.88363700294224</v>
      </c>
      <c r="AB6061" s="2">
        <v>4.8876734436732898E-2</v>
      </c>
      <c r="AC6061" s="2">
        <v>4032.0207597355102</v>
      </c>
      <c r="AD6061" s="2">
        <v>4437.6969645114204</v>
      </c>
      <c r="AE6061" s="2">
        <v>4153.5967160891696</v>
      </c>
      <c r="AF6061" s="2">
        <v>4080.9094763604999</v>
      </c>
      <c r="AG6061" s="2">
        <v>4108.7779589157799</v>
      </c>
      <c r="AH6061" s="2">
        <v>4291.2682778685803</v>
      </c>
      <c r="AI6061" s="2">
        <v>3486.7244540752399</v>
      </c>
      <c r="AJ6061" s="2">
        <v>4070.8476751038202</v>
      </c>
      <c r="AK6061" s="2">
        <v>5648.0997421669099</v>
      </c>
      <c r="AL6061" s="2">
        <v>4472.5706251111596</v>
      </c>
      <c r="AM6061" s="2">
        <v>3811.0331289948399</v>
      </c>
      <c r="AN6061" s="2">
        <v>3875.6653932677</v>
      </c>
      <c r="AO6061" s="2">
        <v>4545.3406376352395</v>
      </c>
      <c r="AP6061" s="2">
        <v>4273.4722598926901</v>
      </c>
    </row>
    <row r="6062" spans="1:42" ht="14.5" x14ac:dyDescent="0.35">
      <c r="A6062" s="2" t="s">
        <v>40191</v>
      </c>
      <c r="B6062" s="2">
        <v>850.30728237572396</v>
      </c>
      <c r="C6062" s="2">
        <v>10.0877</v>
      </c>
      <c r="D6062" s="2" t="s">
        <v>70</v>
      </c>
      <c r="E6062" s="4" t="s">
        <v>40192</v>
      </c>
      <c r="F6062" s="2">
        <v>82617</v>
      </c>
      <c r="G6062" s="3" t="str">
        <f>HYPERLINK("http://funmeta.oebiotech.com/network/82617", "http://funmeta.oebiotech.com/network/82617")</f>
        <v>http://funmeta.oebiotech.com/network/82617</v>
      </c>
      <c r="H6062" s="2" t="s">
        <v>40193</v>
      </c>
      <c r="I6062" s="2">
        <v>730</v>
      </c>
      <c r="J6062" s="2"/>
      <c r="K6062" s="2"/>
      <c r="L6062" s="2"/>
      <c r="M6062" s="2"/>
      <c r="N6062" s="2"/>
      <c r="O6062" s="2">
        <v>3081785</v>
      </c>
      <c r="P6062" s="2" t="s">
        <v>40194</v>
      </c>
      <c r="Q6062" s="2" t="s">
        <v>40195</v>
      </c>
      <c r="R6062" s="2" t="s">
        <v>40196</v>
      </c>
      <c r="S6062" s="2" t="s">
        <v>50</v>
      </c>
      <c r="T6062" s="2" t="s">
        <v>201</v>
      </c>
      <c r="U6062" s="2" t="s">
        <v>241</v>
      </c>
      <c r="V6062" s="2" t="s">
        <v>59</v>
      </c>
      <c r="W6062" s="2">
        <v>36.799999999999997</v>
      </c>
      <c r="X6062" s="2">
        <v>0</v>
      </c>
      <c r="Y6062" s="2" t="s">
        <v>751</v>
      </c>
      <c r="Z6062" s="2" t="s">
        <v>9133</v>
      </c>
      <c r="AA6062" s="2">
        <v>-0.85864009231530702</v>
      </c>
      <c r="AB6062" s="2">
        <v>4.8864877793857599E-2</v>
      </c>
      <c r="AC6062" s="2">
        <v>618.88288645632599</v>
      </c>
      <c r="AD6062" s="2">
        <v>294.86870865437101</v>
      </c>
      <c r="AE6062" s="2">
        <v>831.63703775379099</v>
      </c>
      <c r="AF6062" s="2">
        <v>2.7106294003980101E-5</v>
      </c>
      <c r="AG6062" s="2">
        <v>859.72601853184005</v>
      </c>
      <c r="AH6062" s="2">
        <v>790.88226742895199</v>
      </c>
      <c r="AI6062" s="2">
        <v>650.637984851542</v>
      </c>
      <c r="AJ6062" s="2">
        <v>580.41398306553401</v>
      </c>
      <c r="AK6062" s="2">
        <v>861.77866147289501</v>
      </c>
      <c r="AL6062" s="2">
        <v>2.7106294003980101E-5</v>
      </c>
      <c r="AM6062" s="2">
        <v>326.02957997550698</v>
      </c>
      <c r="AN6062" s="2">
        <v>254.260246581746</v>
      </c>
      <c r="AO6062" s="2">
        <v>327.14370968348902</v>
      </c>
      <c r="AP6062" s="2">
        <v>2.7106294003980101E-5</v>
      </c>
    </row>
    <row r="6063" spans="1:42" ht="14.5" x14ac:dyDescent="0.35">
      <c r="A6063" s="2" t="s">
        <v>40197</v>
      </c>
      <c r="B6063" s="2">
        <v>465.20868069875502</v>
      </c>
      <c r="C6063" s="2">
        <v>7.1405000000000003</v>
      </c>
      <c r="D6063" s="2" t="s">
        <v>70</v>
      </c>
      <c r="E6063" s="2" t="s">
        <v>40198</v>
      </c>
      <c r="F6063" s="2">
        <v>82657</v>
      </c>
      <c r="G6063" s="3" t="str">
        <f>HYPERLINK("http://funmeta.oebiotech.com/network/82657", "http://funmeta.oebiotech.com/network/82657")</f>
        <v>http://funmeta.oebiotech.com/network/82657</v>
      </c>
      <c r="H6063" s="2" t="s">
        <v>40199</v>
      </c>
      <c r="I6063" s="2">
        <v>457737</v>
      </c>
      <c r="J6063" s="2"/>
      <c r="K6063" s="2"/>
      <c r="L6063" s="2"/>
      <c r="M6063" s="2"/>
      <c r="N6063" s="2"/>
      <c r="O6063" s="2">
        <v>12986413</v>
      </c>
      <c r="P6063" s="2"/>
      <c r="Q6063" s="2" t="s">
        <v>40200</v>
      </c>
      <c r="R6063" s="2" t="s">
        <v>40201</v>
      </c>
      <c r="S6063" s="2" t="s">
        <v>50</v>
      </c>
      <c r="T6063" s="2" t="s">
        <v>124</v>
      </c>
      <c r="U6063" s="2" t="s">
        <v>1136</v>
      </c>
      <c r="V6063" s="2" t="s">
        <v>59</v>
      </c>
      <c r="W6063" s="2">
        <v>36.1</v>
      </c>
      <c r="X6063" s="2">
        <v>0</v>
      </c>
      <c r="Y6063" s="2" t="s">
        <v>118</v>
      </c>
      <c r="Z6063" s="2" t="s">
        <v>40202</v>
      </c>
      <c r="AA6063" s="2">
        <v>-1.5830682451846501</v>
      </c>
      <c r="AB6063" s="2">
        <v>4.8855421524585399E-2</v>
      </c>
      <c r="AC6063" s="2">
        <v>694.32429964439302</v>
      </c>
      <c r="AD6063" s="2">
        <v>954.21402779057996</v>
      </c>
      <c r="AE6063" s="2">
        <v>906.39072475625801</v>
      </c>
      <c r="AF6063" s="2">
        <v>458.08398290976498</v>
      </c>
      <c r="AG6063" s="2">
        <v>488.20603799180299</v>
      </c>
      <c r="AH6063" s="2">
        <v>716.82225682301305</v>
      </c>
      <c r="AI6063" s="2">
        <v>814.18713036951499</v>
      </c>
      <c r="AJ6063" s="2">
        <v>782.25566501600395</v>
      </c>
      <c r="AK6063" s="2">
        <v>918.52695989189294</v>
      </c>
      <c r="AL6063" s="2">
        <v>849.99226737225501</v>
      </c>
      <c r="AM6063" s="2">
        <v>1110.00625717258</v>
      </c>
      <c r="AN6063" s="2">
        <v>701.87797176829702</v>
      </c>
      <c r="AO6063" s="2">
        <v>885.65987034823502</v>
      </c>
      <c r="AP6063" s="2">
        <v>1259.2208401902201</v>
      </c>
    </row>
    <row r="6064" spans="1:42" ht="14.5" x14ac:dyDescent="0.35">
      <c r="A6064" s="2" t="s">
        <v>40203</v>
      </c>
      <c r="B6064" s="2">
        <v>175.02380239143301</v>
      </c>
      <c r="C6064" s="2">
        <v>7.6215666666666699</v>
      </c>
      <c r="D6064" s="2" t="s">
        <v>70</v>
      </c>
      <c r="E6064" s="2" t="s">
        <v>40204</v>
      </c>
      <c r="F6064" s="2">
        <v>2096</v>
      </c>
      <c r="G6064" s="3" t="str">
        <f>HYPERLINK("http://funmeta.oebiotech.com/network/2096", "http://funmeta.oebiotech.com/network/2096")</f>
        <v>http://funmeta.oebiotech.com/network/2096</v>
      </c>
      <c r="H6064" s="2" t="s">
        <v>40205</v>
      </c>
      <c r="I6064" s="2">
        <v>117</v>
      </c>
      <c r="J6064" s="2" t="s">
        <v>40206</v>
      </c>
      <c r="K6064" s="2">
        <v>32816</v>
      </c>
      <c r="L6064" s="2" t="s">
        <v>40207</v>
      </c>
      <c r="M6064" s="2" t="s">
        <v>40208</v>
      </c>
      <c r="N6064" s="2" t="s">
        <v>40209</v>
      </c>
      <c r="O6064" s="2">
        <v>1060</v>
      </c>
      <c r="P6064" s="2" t="s">
        <v>40210</v>
      </c>
      <c r="Q6064" s="2" t="s">
        <v>40211</v>
      </c>
      <c r="R6064" s="2" t="s">
        <v>40212</v>
      </c>
      <c r="S6064" s="2" t="s">
        <v>89</v>
      </c>
      <c r="T6064" s="2" t="s">
        <v>2718</v>
      </c>
      <c r="U6064" s="2" t="s">
        <v>40213</v>
      </c>
      <c r="V6064" s="2" t="s">
        <v>59</v>
      </c>
      <c r="W6064" s="2">
        <v>38.5</v>
      </c>
      <c r="X6064" s="2">
        <v>0</v>
      </c>
      <c r="Y6064" s="2" t="s">
        <v>560</v>
      </c>
      <c r="Z6064" s="2" t="s">
        <v>40214</v>
      </c>
      <c r="AA6064" s="2">
        <v>-5.7327643970809499</v>
      </c>
      <c r="AB6064" s="2">
        <v>4.8844827236195799E-2</v>
      </c>
      <c r="AC6064" s="2">
        <v>2021.4149674780999</v>
      </c>
      <c r="AD6064" s="2">
        <v>2285.1521000632201</v>
      </c>
      <c r="AE6064" s="2">
        <v>2089.2824623034899</v>
      </c>
      <c r="AF6064" s="2">
        <v>1767.51291232722</v>
      </c>
      <c r="AG6064" s="2">
        <v>2117.0300836337601</v>
      </c>
      <c r="AH6064" s="2">
        <v>2170.93952028492</v>
      </c>
      <c r="AI6064" s="2">
        <v>2015.7247012760999</v>
      </c>
      <c r="AJ6064" s="2">
        <v>1968.0001250431201</v>
      </c>
      <c r="AK6064" s="2">
        <v>2640.8602581352602</v>
      </c>
      <c r="AL6064" s="2">
        <v>1979.5273002138099</v>
      </c>
      <c r="AM6064" s="2">
        <v>2366.2062563055301</v>
      </c>
      <c r="AN6064" s="2">
        <v>2061.4739040076702</v>
      </c>
      <c r="AO6064" s="2">
        <v>2353.4282366080502</v>
      </c>
      <c r="AP6064" s="2">
        <v>2309.41664510899</v>
      </c>
    </row>
    <row r="6065" spans="1:42" ht="14.5" x14ac:dyDescent="0.35">
      <c r="A6065" s="2" t="s">
        <v>40215</v>
      </c>
      <c r="B6065" s="2">
        <v>122.096358380807</v>
      </c>
      <c r="C6065" s="2">
        <v>4.1233166666666703</v>
      </c>
      <c r="D6065" s="2" t="s">
        <v>34</v>
      </c>
      <c r="E6065" s="2" t="s">
        <v>40216</v>
      </c>
      <c r="F6065" s="2">
        <v>54626</v>
      </c>
      <c r="G6065" s="3" t="str">
        <f>HYPERLINK("http://funmeta.oebiotech.com/network/54626", "http://funmeta.oebiotech.com/network/54626")</f>
        <v>http://funmeta.oebiotech.com/network/54626</v>
      </c>
      <c r="H6065" s="2" t="s">
        <v>40217</v>
      </c>
      <c r="I6065" s="2">
        <v>86450</v>
      </c>
      <c r="J6065" s="2"/>
      <c r="K6065" s="2">
        <v>481701</v>
      </c>
      <c r="L6065" s="2"/>
      <c r="M6065" s="2"/>
      <c r="N6065" s="2"/>
      <c r="O6065" s="2">
        <v>7728</v>
      </c>
      <c r="P6065" s="2" t="s">
        <v>40218</v>
      </c>
      <c r="Q6065" s="2" t="s">
        <v>40219</v>
      </c>
      <c r="R6065" s="2" t="s">
        <v>40220</v>
      </c>
      <c r="S6065" s="2" t="s">
        <v>491</v>
      </c>
      <c r="T6065" s="2" t="s">
        <v>2238</v>
      </c>
      <c r="U6065" s="2" t="s">
        <v>12920</v>
      </c>
      <c r="V6065" s="2" t="s">
        <v>59</v>
      </c>
      <c r="W6065" s="2">
        <v>45.2</v>
      </c>
      <c r="X6065" s="2">
        <v>30.8</v>
      </c>
      <c r="Y6065" s="2" t="s">
        <v>394</v>
      </c>
      <c r="Z6065" s="2" t="s">
        <v>40221</v>
      </c>
      <c r="AA6065" s="2">
        <v>-0.55668706334719698</v>
      </c>
      <c r="AB6065" s="2">
        <v>4.8805416365300197E-2</v>
      </c>
      <c r="AC6065" s="2">
        <v>773.71019402110699</v>
      </c>
      <c r="AD6065" s="2">
        <v>557.14216581453002</v>
      </c>
      <c r="AE6065" s="2">
        <v>769.30435941318694</v>
      </c>
      <c r="AF6065" s="2">
        <v>747.90695470497496</v>
      </c>
      <c r="AG6065" s="2">
        <v>695.29459213812197</v>
      </c>
      <c r="AH6065" s="2">
        <v>903.64923403143302</v>
      </c>
      <c r="AI6065" s="2">
        <v>726.53588801040303</v>
      </c>
      <c r="AJ6065" s="2">
        <v>799.57013582852198</v>
      </c>
      <c r="AK6065" s="2">
        <v>351.17689032730101</v>
      </c>
      <c r="AL6065" s="2">
        <v>490.508821330508</v>
      </c>
      <c r="AM6065" s="2">
        <v>514.35262368602002</v>
      </c>
      <c r="AN6065" s="2">
        <v>571.99722315719202</v>
      </c>
      <c r="AO6065" s="2">
        <v>766.77173949731605</v>
      </c>
      <c r="AP6065" s="2">
        <v>648.04569688884601</v>
      </c>
    </row>
    <row r="6066" spans="1:42" ht="14.5" x14ac:dyDescent="0.35">
      <c r="A6066" s="2" t="s">
        <v>40222</v>
      </c>
      <c r="B6066" s="2">
        <v>399.11357402514801</v>
      </c>
      <c r="C6066" s="2">
        <v>0.75453333333333295</v>
      </c>
      <c r="D6066" s="2" t="s">
        <v>70</v>
      </c>
      <c r="E6066" s="2" t="s">
        <v>40223</v>
      </c>
      <c r="F6066" s="2">
        <v>201572</v>
      </c>
      <c r="G6066" s="3" t="str">
        <f>HYPERLINK("http://funmeta.oebiotech.com/network/201572", "http://funmeta.oebiotech.com/network/201572")</f>
        <v>http://funmeta.oebiotech.com/network/201572</v>
      </c>
      <c r="H6066" s="2" t="s">
        <v>40224</v>
      </c>
      <c r="I6066" s="2">
        <v>69467</v>
      </c>
      <c r="J6066" s="2"/>
      <c r="K6066" s="2"/>
      <c r="L6066" s="2" t="s">
        <v>40225</v>
      </c>
      <c r="M6066" s="2" t="s">
        <v>17102</v>
      </c>
      <c r="N6066" s="2" t="s">
        <v>17103</v>
      </c>
      <c r="O6066" s="2">
        <v>5386</v>
      </c>
      <c r="P6066" s="2" t="s">
        <v>40226</v>
      </c>
      <c r="Q6066" s="2" t="s">
        <v>40227</v>
      </c>
      <c r="R6066" s="2" t="s">
        <v>40228</v>
      </c>
      <c r="S6066" s="2" t="s">
        <v>491</v>
      </c>
      <c r="T6066" s="2" t="s">
        <v>4517</v>
      </c>
      <c r="U6066" s="2" t="s">
        <v>4518</v>
      </c>
      <c r="V6066" s="2" t="s">
        <v>59</v>
      </c>
      <c r="W6066" s="2">
        <v>38.299999999999997</v>
      </c>
      <c r="X6066" s="2">
        <v>3.2399999999999998E-2</v>
      </c>
      <c r="Y6066" s="2" t="s">
        <v>560</v>
      </c>
      <c r="Z6066" s="2" t="s">
        <v>40229</v>
      </c>
      <c r="AA6066" s="2">
        <v>3.5232062835933902</v>
      </c>
      <c r="AB6066" s="2">
        <v>4.8799761355392102E-2</v>
      </c>
      <c r="AC6066" s="2">
        <v>121481.2041056</v>
      </c>
      <c r="AD6066" s="2">
        <v>119558.263833598</v>
      </c>
      <c r="AE6066" s="2">
        <v>137357.562698895</v>
      </c>
      <c r="AF6066" s="2">
        <v>122693.387310607</v>
      </c>
      <c r="AG6066" s="2">
        <v>125881.27932357699</v>
      </c>
      <c r="AH6066" s="2">
        <v>108457.94234019</v>
      </c>
      <c r="AI6066" s="2">
        <v>106133.105016887</v>
      </c>
      <c r="AJ6066" s="2">
        <v>128363.94794344201</v>
      </c>
      <c r="AK6066" s="2">
        <v>119762.00483340801</v>
      </c>
      <c r="AL6066" s="2">
        <v>103229.891604932</v>
      </c>
      <c r="AM6066" s="2">
        <v>148580.091319022</v>
      </c>
      <c r="AN6066" s="2">
        <v>112136.75276905</v>
      </c>
      <c r="AO6066" s="2">
        <v>111751.48882487199</v>
      </c>
      <c r="AP6066" s="2">
        <v>121889.353650302</v>
      </c>
    </row>
    <row r="6067" spans="1:42" ht="14.5" x14ac:dyDescent="0.35">
      <c r="A6067" s="2" t="s">
        <v>40230</v>
      </c>
      <c r="B6067" s="2">
        <v>165.018377449524</v>
      </c>
      <c r="C6067" s="2">
        <v>7.5277166666666702</v>
      </c>
      <c r="D6067" s="2" t="s">
        <v>70</v>
      </c>
      <c r="E6067" s="2" t="s">
        <v>40231</v>
      </c>
      <c r="F6067" s="2">
        <v>56903</v>
      </c>
      <c r="G6067" s="3" t="str">
        <f>HYPERLINK("http://funmeta.oebiotech.com/network/56903", "http://funmeta.oebiotech.com/network/56903")</f>
        <v>http://funmeta.oebiotech.com/network/56903</v>
      </c>
      <c r="H6067" s="2" t="s">
        <v>40232</v>
      </c>
      <c r="I6067" s="2">
        <v>88565</v>
      </c>
      <c r="J6067" s="2"/>
      <c r="K6067" s="2"/>
      <c r="L6067" s="2"/>
      <c r="M6067" s="2"/>
      <c r="N6067" s="2"/>
      <c r="O6067" s="2">
        <v>7196</v>
      </c>
      <c r="P6067" s="2" t="s">
        <v>40233</v>
      </c>
      <c r="Q6067" s="2" t="s">
        <v>40234</v>
      </c>
      <c r="R6067" s="2" t="s">
        <v>40235</v>
      </c>
      <c r="S6067" s="2" t="s">
        <v>491</v>
      </c>
      <c r="T6067" s="2" t="s">
        <v>2429</v>
      </c>
      <c r="U6067" s="2" t="s">
        <v>41</v>
      </c>
      <c r="V6067" s="2" t="s">
        <v>59</v>
      </c>
      <c r="W6067" s="2">
        <v>39.1</v>
      </c>
      <c r="X6067" s="2">
        <v>27.2</v>
      </c>
      <c r="Y6067" s="2" t="s">
        <v>118</v>
      </c>
      <c r="Z6067" s="2" t="s">
        <v>40236</v>
      </c>
      <c r="AA6067" s="2">
        <v>-5.75081996677521</v>
      </c>
      <c r="AB6067" s="2">
        <v>4.8773445921364601E-2</v>
      </c>
      <c r="AC6067" s="2">
        <v>6111.0557555714204</v>
      </c>
      <c r="AD6067" s="2">
        <v>6461.10477862278</v>
      </c>
      <c r="AE6067" s="2">
        <v>6581.5054020340704</v>
      </c>
      <c r="AF6067" s="2">
        <v>5664.1569725139798</v>
      </c>
      <c r="AG6067" s="2">
        <v>5915.5424593765001</v>
      </c>
      <c r="AH6067" s="2">
        <v>6159.7944325587196</v>
      </c>
      <c r="AI6067" s="2">
        <v>6230.0101580154796</v>
      </c>
      <c r="AJ6067" s="2">
        <v>6115.3251089297501</v>
      </c>
      <c r="AK6067" s="2">
        <v>7171.6544082527198</v>
      </c>
      <c r="AL6067" s="2">
        <v>6787.3037050500398</v>
      </c>
      <c r="AM6067" s="2">
        <v>6138.1655761602296</v>
      </c>
      <c r="AN6067" s="2">
        <v>6132.4700511757501</v>
      </c>
      <c r="AO6067" s="2">
        <v>6070.8320818667698</v>
      </c>
      <c r="AP6067" s="2">
        <v>6466.2028492311601</v>
      </c>
    </row>
    <row r="6068" spans="1:42" ht="14.5" x14ac:dyDescent="0.35">
      <c r="A6068" s="2" t="s">
        <v>40237</v>
      </c>
      <c r="B6068" s="2">
        <v>429.190769084301</v>
      </c>
      <c r="C6068" s="2">
        <v>10.283666666666701</v>
      </c>
      <c r="D6068" s="2" t="s">
        <v>34</v>
      </c>
      <c r="E6068" s="2" t="s">
        <v>40238</v>
      </c>
      <c r="F6068" s="2">
        <v>266957</v>
      </c>
      <c r="G6068" s="3" t="str">
        <f>HYPERLINK("http://funmeta.oebiotech.com/network/266957", "http://funmeta.oebiotech.com/network/266957")</f>
        <v>http://funmeta.oebiotech.com/network/266957</v>
      </c>
      <c r="H6068" s="2"/>
      <c r="I6068" s="2">
        <v>44391</v>
      </c>
      <c r="J6068" s="2"/>
      <c r="K6068" s="2"/>
      <c r="L6068" s="2"/>
      <c r="M6068" s="2"/>
      <c r="N6068" s="2"/>
      <c r="O6068" s="2">
        <v>4445621</v>
      </c>
      <c r="P6068" s="2" t="s">
        <v>40239</v>
      </c>
      <c r="Q6068" s="2" t="s">
        <v>40240</v>
      </c>
      <c r="R6068" s="2" t="s">
        <v>40241</v>
      </c>
      <c r="S6068" s="2" t="s">
        <v>491</v>
      </c>
      <c r="T6068" s="2" t="s">
        <v>19122</v>
      </c>
      <c r="U6068" s="2" t="s">
        <v>25186</v>
      </c>
      <c r="V6068" s="2" t="s">
        <v>59</v>
      </c>
      <c r="W6068" s="2">
        <v>38.6</v>
      </c>
      <c r="X6068" s="2">
        <v>0</v>
      </c>
      <c r="Y6068" s="2" t="s">
        <v>394</v>
      </c>
      <c r="Z6068" s="2" t="s">
        <v>40242</v>
      </c>
      <c r="AA6068" s="2">
        <v>-2.4715056373774601E-2</v>
      </c>
      <c r="AB6068" s="2">
        <v>4.87635820128242E-2</v>
      </c>
      <c r="AC6068" s="2">
        <v>523.01375286411303</v>
      </c>
      <c r="AD6068" s="2">
        <v>269.57422140259001</v>
      </c>
      <c r="AE6068" s="2">
        <v>365.16939524754599</v>
      </c>
      <c r="AF6068" s="2">
        <v>685.155257579965</v>
      </c>
      <c r="AG6068" s="2">
        <v>224.88696779828501</v>
      </c>
      <c r="AH6068" s="2">
        <v>860.233762725406</v>
      </c>
      <c r="AI6068" s="2">
        <v>571.377888096633</v>
      </c>
      <c r="AJ6068" s="2">
        <v>431.25924573684102</v>
      </c>
      <c r="AK6068" s="2">
        <v>242.15511041220299</v>
      </c>
      <c r="AL6068" s="2">
        <v>133.70538439618699</v>
      </c>
      <c r="AM6068" s="2">
        <v>216.41585878217299</v>
      </c>
      <c r="AN6068" s="2">
        <v>339.522831524298</v>
      </c>
      <c r="AO6068" s="2">
        <v>381.08283302036398</v>
      </c>
      <c r="AP6068" s="2">
        <v>304.56331028031298</v>
      </c>
    </row>
    <row r="6069" spans="1:42" ht="14.5" x14ac:dyDescent="0.35">
      <c r="A6069" s="2" t="s">
        <v>40243</v>
      </c>
      <c r="B6069" s="2">
        <v>597.21740027861097</v>
      </c>
      <c r="C6069" s="2">
        <v>4.7039999999999997</v>
      </c>
      <c r="D6069" s="2" t="s">
        <v>70</v>
      </c>
      <c r="E6069" s="2" t="s">
        <v>40244</v>
      </c>
      <c r="F6069" s="2">
        <v>208422</v>
      </c>
      <c r="G6069" s="3" t="str">
        <f>HYPERLINK("http://funmeta.oebiotech.com/network/208422", "http://funmeta.oebiotech.com/network/208422")</f>
        <v>http://funmeta.oebiotech.com/network/208422</v>
      </c>
      <c r="H6069" s="2" t="s">
        <v>40245</v>
      </c>
      <c r="I6069" s="2"/>
      <c r="J6069" s="2"/>
      <c r="K6069" s="2"/>
      <c r="L6069" s="2"/>
      <c r="M6069" s="2"/>
      <c r="N6069" s="2"/>
      <c r="O6069" s="2">
        <v>21668198</v>
      </c>
      <c r="P6069" s="2"/>
      <c r="Q6069" s="2" t="s">
        <v>40246</v>
      </c>
      <c r="R6069" s="2" t="s">
        <v>40247</v>
      </c>
      <c r="S6069" s="2" t="s">
        <v>50</v>
      </c>
      <c r="T6069" s="2" t="s">
        <v>51</v>
      </c>
      <c r="U6069" s="2" t="s">
        <v>168</v>
      </c>
      <c r="V6069" s="2" t="s">
        <v>59</v>
      </c>
      <c r="W6069" s="2">
        <v>38.5</v>
      </c>
      <c r="X6069" s="2">
        <v>0</v>
      </c>
      <c r="Y6069" s="2" t="s">
        <v>560</v>
      </c>
      <c r="Z6069" s="2" t="s">
        <v>40248</v>
      </c>
      <c r="AA6069" s="2">
        <v>-3.5114508212708202</v>
      </c>
      <c r="AB6069" s="2">
        <v>4.8701207654237202E-2</v>
      </c>
      <c r="AC6069" s="2">
        <v>12499.524336261</v>
      </c>
      <c r="AD6069" s="2">
        <v>13193.433585613</v>
      </c>
      <c r="AE6069" s="2">
        <v>12238.5466679447</v>
      </c>
      <c r="AF6069" s="2">
        <v>12196.731141064</v>
      </c>
      <c r="AG6069" s="2">
        <v>12148.631546307501</v>
      </c>
      <c r="AH6069" s="2">
        <v>12459.0105009286</v>
      </c>
      <c r="AI6069" s="2">
        <v>11883.4430081462</v>
      </c>
      <c r="AJ6069" s="2">
        <v>14070.7831531752</v>
      </c>
      <c r="AK6069" s="2">
        <v>17149.3374602117</v>
      </c>
      <c r="AL6069" s="2">
        <v>11607.291831152101</v>
      </c>
      <c r="AM6069" s="2">
        <v>14174.371893302799</v>
      </c>
      <c r="AN6069" s="2">
        <v>12850.828008893601</v>
      </c>
      <c r="AO6069" s="2">
        <v>11582.289232483399</v>
      </c>
      <c r="AP6069" s="2">
        <v>11796.4830876346</v>
      </c>
    </row>
    <row r="6070" spans="1:42" ht="14.5" x14ac:dyDescent="0.35">
      <c r="A6070" s="2" t="s">
        <v>40249</v>
      </c>
      <c r="B6070" s="2">
        <v>510.21793520081599</v>
      </c>
      <c r="C6070" s="2">
        <v>3.7334833333333299</v>
      </c>
      <c r="D6070" s="2" t="s">
        <v>34</v>
      </c>
      <c r="E6070" s="2" t="s">
        <v>40250</v>
      </c>
      <c r="F6070" s="2">
        <v>83652</v>
      </c>
      <c r="G6070" s="3" t="str">
        <f>HYPERLINK("http://funmeta.oebiotech.com/network/83652", "http://funmeta.oebiotech.com/network/83652")</f>
        <v>http://funmeta.oebiotech.com/network/83652</v>
      </c>
      <c r="H6070" s="2" t="s">
        <v>40251</v>
      </c>
      <c r="I6070" s="2">
        <v>329432</v>
      </c>
      <c r="J6070" s="2"/>
      <c r="K6070" s="2"/>
      <c r="L6070" s="2"/>
      <c r="M6070" s="2"/>
      <c r="N6070" s="2"/>
      <c r="O6070" s="2">
        <v>65938</v>
      </c>
      <c r="P6070" s="2"/>
      <c r="Q6070" s="2" t="s">
        <v>40252</v>
      </c>
      <c r="R6070" s="2" t="s">
        <v>40253</v>
      </c>
      <c r="S6070" s="2" t="s">
        <v>89</v>
      </c>
      <c r="T6070" s="2" t="s">
        <v>90</v>
      </c>
      <c r="U6070" s="2" t="s">
        <v>99</v>
      </c>
      <c r="V6070" s="2" t="s">
        <v>59</v>
      </c>
      <c r="W6070" s="2">
        <v>38.6</v>
      </c>
      <c r="X6070" s="2">
        <v>0</v>
      </c>
      <c r="Y6070" s="2" t="s">
        <v>323</v>
      </c>
      <c r="Z6070" s="2" t="s">
        <v>40254</v>
      </c>
      <c r="AA6070" s="2">
        <v>1.8202212913053799</v>
      </c>
      <c r="AB6070" s="2">
        <v>4.8629197816864797E-2</v>
      </c>
      <c r="AC6070" s="2">
        <v>5211.7051399454103</v>
      </c>
      <c r="AD6070" s="2">
        <v>4681.9494017893003</v>
      </c>
      <c r="AE6070" s="2">
        <v>4106.04413253035</v>
      </c>
      <c r="AF6070" s="2">
        <v>5689.3381770812803</v>
      </c>
      <c r="AG6070" s="2">
        <v>6843.6086034193104</v>
      </c>
      <c r="AH6070" s="2">
        <v>4359.0165189689496</v>
      </c>
      <c r="AI6070" s="2">
        <v>4977.7614983850499</v>
      </c>
      <c r="AJ6070" s="2">
        <v>5294.4619092875</v>
      </c>
      <c r="AK6070" s="2">
        <v>3771.2695756418402</v>
      </c>
      <c r="AL6070" s="2">
        <v>3600.9954332682901</v>
      </c>
      <c r="AM6070" s="2">
        <v>4339.3901434485497</v>
      </c>
      <c r="AN6070" s="2">
        <v>5675.4429240004702</v>
      </c>
      <c r="AO6070" s="2">
        <v>5288.3736443936496</v>
      </c>
      <c r="AP6070" s="2">
        <v>5416.2246899830097</v>
      </c>
    </row>
    <row r="6071" spans="1:42" ht="14.5" x14ac:dyDescent="0.35">
      <c r="A6071" s="2" t="s">
        <v>40255</v>
      </c>
      <c r="B6071" s="2">
        <v>567.16710158161698</v>
      </c>
      <c r="C6071" s="2">
        <v>5.7290666666666699</v>
      </c>
      <c r="D6071" s="2" t="s">
        <v>70</v>
      </c>
      <c r="E6071" s="2" t="s">
        <v>40256</v>
      </c>
      <c r="F6071" s="2">
        <v>54967</v>
      </c>
      <c r="G6071" s="3" t="str">
        <f>HYPERLINK("http://funmeta.oebiotech.com/network/54967", "http://funmeta.oebiotech.com/network/54967")</f>
        <v>http://funmeta.oebiotech.com/network/54967</v>
      </c>
      <c r="H6071" s="2" t="s">
        <v>40257</v>
      </c>
      <c r="I6071" s="2"/>
      <c r="J6071" s="2"/>
      <c r="K6071" s="2"/>
      <c r="L6071" s="2"/>
      <c r="M6071" s="2"/>
      <c r="N6071" s="2"/>
      <c r="O6071" s="2">
        <v>131750965</v>
      </c>
      <c r="P6071" s="2" t="s">
        <v>40258</v>
      </c>
      <c r="Q6071" s="2" t="s">
        <v>40259</v>
      </c>
      <c r="R6071" s="2" t="s">
        <v>40260</v>
      </c>
      <c r="S6071" s="2" t="s">
        <v>491</v>
      </c>
      <c r="T6071" s="2" t="s">
        <v>2251</v>
      </c>
      <c r="U6071" s="2" t="s">
        <v>2252</v>
      </c>
      <c r="V6071" s="2" t="s">
        <v>59</v>
      </c>
      <c r="W6071" s="2">
        <v>37.1</v>
      </c>
      <c r="X6071" s="2">
        <v>0</v>
      </c>
      <c r="Y6071" s="2" t="s">
        <v>118</v>
      </c>
      <c r="Z6071" s="2" t="s">
        <v>40261</v>
      </c>
      <c r="AA6071" s="2">
        <v>1.8401772093759601</v>
      </c>
      <c r="AB6071" s="2">
        <v>4.8579542344115198E-2</v>
      </c>
      <c r="AC6071" s="2">
        <v>3786.8093431184102</v>
      </c>
      <c r="AD6071" s="2">
        <v>3342.4942911416001</v>
      </c>
      <c r="AE6071" s="2">
        <v>4150.92726226782</v>
      </c>
      <c r="AF6071" s="2">
        <v>3077.6432309105298</v>
      </c>
      <c r="AG6071" s="2">
        <v>3989.7446848549298</v>
      </c>
      <c r="AH6071" s="2">
        <v>3025.55970485123</v>
      </c>
      <c r="AI6071" s="2">
        <v>4260.07050120026</v>
      </c>
      <c r="AJ6071" s="2">
        <v>4216.9106746256602</v>
      </c>
      <c r="AK6071" s="2">
        <v>3365.6101509263999</v>
      </c>
      <c r="AL6071" s="2">
        <v>2872.82567479217</v>
      </c>
      <c r="AM6071" s="2">
        <v>3959.63206950824</v>
      </c>
      <c r="AN6071" s="2">
        <v>2157.66338637938</v>
      </c>
      <c r="AO6071" s="2">
        <v>3812.6413603943101</v>
      </c>
      <c r="AP6071" s="2">
        <v>3886.5931048490902</v>
      </c>
    </row>
    <row r="6072" spans="1:42" ht="14.5" x14ac:dyDescent="0.35">
      <c r="A6072" s="2" t="s">
        <v>40262</v>
      </c>
      <c r="B6072" s="2">
        <v>369.224703441092</v>
      </c>
      <c r="C6072" s="2">
        <v>5.2829833333333296</v>
      </c>
      <c r="D6072" s="2" t="s">
        <v>34</v>
      </c>
      <c r="E6072" s="2" t="s">
        <v>40263</v>
      </c>
      <c r="F6072" s="2">
        <v>7656</v>
      </c>
      <c r="G6072" s="3" t="str">
        <f>HYPERLINK("http://funmeta.oebiotech.com/network/7656", "http://funmeta.oebiotech.com/network/7656")</f>
        <v>http://funmeta.oebiotech.com/network/7656</v>
      </c>
      <c r="H6072" s="2" t="s">
        <v>40264</v>
      </c>
      <c r="I6072" s="2">
        <v>86564</v>
      </c>
      <c r="J6072" s="2" t="s">
        <v>40265</v>
      </c>
      <c r="K6072" s="2"/>
      <c r="L6072" s="2"/>
      <c r="M6072" s="2"/>
      <c r="N6072" s="2"/>
      <c r="O6072" s="2">
        <v>347468</v>
      </c>
      <c r="P6072" s="2" t="s">
        <v>40266</v>
      </c>
      <c r="Q6072" s="2" t="s">
        <v>40267</v>
      </c>
      <c r="R6072" s="2" t="s">
        <v>40268</v>
      </c>
      <c r="S6072" s="2" t="s">
        <v>50</v>
      </c>
      <c r="T6072" s="2" t="s">
        <v>229</v>
      </c>
      <c r="U6072" s="2" t="s">
        <v>1914</v>
      </c>
      <c r="V6072" s="2" t="s">
        <v>59</v>
      </c>
      <c r="W6072" s="2">
        <v>38.200000000000003</v>
      </c>
      <c r="X6072" s="2">
        <v>0</v>
      </c>
      <c r="Y6072" s="2" t="s">
        <v>323</v>
      </c>
      <c r="Z6072" s="2" t="s">
        <v>40269</v>
      </c>
      <c r="AA6072" s="2">
        <v>-0.16187433636141901</v>
      </c>
      <c r="AB6072" s="2">
        <v>4.8555024595260399E-2</v>
      </c>
      <c r="AC6072" s="2">
        <v>2483.7818653630502</v>
      </c>
      <c r="AD6072" s="2">
        <v>1969.27865036094</v>
      </c>
      <c r="AE6072" s="2">
        <v>3374.9262127862398</v>
      </c>
      <c r="AF6072" s="2">
        <v>4333.4489676166804</v>
      </c>
      <c r="AG6072" s="2">
        <v>2419.1767178197902</v>
      </c>
      <c r="AH6072" s="2">
        <v>1458.74667439409</v>
      </c>
      <c r="AI6072" s="2">
        <v>1898.03820181474</v>
      </c>
      <c r="AJ6072" s="2">
        <v>1418.35441774678</v>
      </c>
      <c r="AK6072" s="2">
        <v>968.37386340727699</v>
      </c>
      <c r="AL6072" s="2">
        <v>2033.53001071521</v>
      </c>
      <c r="AM6072" s="2">
        <v>2002.8951124397699</v>
      </c>
      <c r="AN6072" s="2">
        <v>1765.44786489484</v>
      </c>
      <c r="AO6072" s="2">
        <v>2737.6428954509101</v>
      </c>
      <c r="AP6072" s="2">
        <v>2307.7821552576202</v>
      </c>
    </row>
    <row r="6073" spans="1:42" ht="14.5" x14ac:dyDescent="0.35">
      <c r="A6073" s="2" t="s">
        <v>40270</v>
      </c>
      <c r="B6073" s="2">
        <v>459.15066960299998</v>
      </c>
      <c r="C6073" s="2">
        <v>3.2601</v>
      </c>
      <c r="D6073" s="2" t="s">
        <v>70</v>
      </c>
      <c r="E6073" s="2" t="s">
        <v>40271</v>
      </c>
      <c r="F6073" s="2">
        <v>201394</v>
      </c>
      <c r="G6073" s="3" t="str">
        <f>HYPERLINK("http://funmeta.oebiotech.com/network/201394", "http://funmeta.oebiotech.com/network/201394")</f>
        <v>http://funmeta.oebiotech.com/network/201394</v>
      </c>
      <c r="H6073" s="2" t="s">
        <v>40272</v>
      </c>
      <c r="I6073" s="2"/>
      <c r="J6073" s="2"/>
      <c r="K6073" s="2"/>
      <c r="L6073" s="2"/>
      <c r="M6073" s="2"/>
      <c r="N6073" s="2"/>
      <c r="O6073" s="2">
        <v>99960</v>
      </c>
      <c r="P6073" s="2"/>
      <c r="Q6073" s="2" t="s">
        <v>40273</v>
      </c>
      <c r="R6073" s="2" t="s">
        <v>40274</v>
      </c>
      <c r="S6073" s="2" t="s">
        <v>89</v>
      </c>
      <c r="T6073" s="2" t="s">
        <v>90</v>
      </c>
      <c r="U6073" s="2" t="s">
        <v>22612</v>
      </c>
      <c r="V6073" s="2" t="s">
        <v>59</v>
      </c>
      <c r="W6073" s="2">
        <v>39.299999999999997</v>
      </c>
      <c r="X6073" s="2">
        <v>0</v>
      </c>
      <c r="Y6073" s="2" t="s">
        <v>560</v>
      </c>
      <c r="Z6073" s="2" t="s">
        <v>40275</v>
      </c>
      <c r="AA6073" s="2">
        <v>-0.28315852132670599</v>
      </c>
      <c r="AB6073" s="2">
        <v>4.8450731926186499E-2</v>
      </c>
      <c r="AC6073" s="2">
        <v>2202.2565977117101</v>
      </c>
      <c r="AD6073" s="2">
        <v>1837.84231687494</v>
      </c>
      <c r="AE6073" s="2">
        <v>2676.4840489437602</v>
      </c>
      <c r="AF6073" s="2">
        <v>1990.8760733808101</v>
      </c>
      <c r="AG6073" s="2">
        <v>2443.3183543882701</v>
      </c>
      <c r="AH6073" s="2">
        <v>2145.0115797061699</v>
      </c>
      <c r="AI6073" s="2">
        <v>1890.5552525138501</v>
      </c>
      <c r="AJ6073" s="2">
        <v>2067.2942773374102</v>
      </c>
      <c r="AK6073" s="2">
        <v>1173.1810351840199</v>
      </c>
      <c r="AL6073" s="2">
        <v>1950.80353502103</v>
      </c>
      <c r="AM6073" s="2">
        <v>1377.1402072502401</v>
      </c>
      <c r="AN6073" s="2">
        <v>1749.3383372471401</v>
      </c>
      <c r="AO6073" s="2">
        <v>2084.3749600143601</v>
      </c>
      <c r="AP6073" s="2">
        <v>2692.2158265328198</v>
      </c>
    </row>
    <row r="6074" spans="1:42" ht="14.5" x14ac:dyDescent="0.35">
      <c r="A6074" s="2" t="s">
        <v>40276</v>
      </c>
      <c r="B6074" s="2">
        <v>287.18628215979601</v>
      </c>
      <c r="C6074" s="2">
        <v>10.008749999999999</v>
      </c>
      <c r="D6074" s="2" t="s">
        <v>70</v>
      </c>
      <c r="E6074" s="2" t="s">
        <v>40277</v>
      </c>
      <c r="F6074" s="2">
        <v>2118</v>
      </c>
      <c r="G6074" s="3" t="str">
        <f>HYPERLINK("http://funmeta.oebiotech.com/network/2118", "http://funmeta.oebiotech.com/network/2118")</f>
        <v>http://funmeta.oebiotech.com/network/2118</v>
      </c>
      <c r="H6074" s="2" t="s">
        <v>40278</v>
      </c>
      <c r="I6074" s="2">
        <v>74737</v>
      </c>
      <c r="J6074" s="2" t="s">
        <v>40279</v>
      </c>
      <c r="K6074" s="2"/>
      <c r="L6074" s="2"/>
      <c r="M6074" s="2"/>
      <c r="N6074" s="2"/>
      <c r="O6074" s="2">
        <v>454064</v>
      </c>
      <c r="P6074" s="2"/>
      <c r="Q6074" s="2" t="s">
        <v>40280</v>
      </c>
      <c r="R6074" s="2" t="s">
        <v>40281</v>
      </c>
      <c r="S6074" s="2" t="s">
        <v>50</v>
      </c>
      <c r="T6074" s="2" t="s">
        <v>229</v>
      </c>
      <c r="U6074" s="2" t="s">
        <v>433</v>
      </c>
      <c r="V6074" s="2" t="s">
        <v>42</v>
      </c>
      <c r="W6074" s="2">
        <v>49.3</v>
      </c>
      <c r="X6074" s="2">
        <v>50.7</v>
      </c>
      <c r="Y6074" s="2" t="s">
        <v>408</v>
      </c>
      <c r="Z6074" s="2" t="s">
        <v>40282</v>
      </c>
      <c r="AA6074" s="2">
        <v>-0.47650011991348201</v>
      </c>
      <c r="AB6074" s="2">
        <v>4.84465623756608E-2</v>
      </c>
      <c r="AC6074" s="2">
        <v>7715.0602848557201</v>
      </c>
      <c r="AD6074" s="2">
        <v>7106.64133379754</v>
      </c>
      <c r="AE6074" s="2">
        <v>6510.6355697078898</v>
      </c>
      <c r="AF6074" s="2">
        <v>6699.0581197402298</v>
      </c>
      <c r="AG6074" s="2">
        <v>6773.5164177221604</v>
      </c>
      <c r="AH6074" s="2">
        <v>9251.7637151955005</v>
      </c>
      <c r="AI6074" s="2">
        <v>10314.3480898569</v>
      </c>
      <c r="AJ6074" s="2">
        <v>6741.0397969116302</v>
      </c>
      <c r="AK6074" s="2">
        <v>7737.9596431624504</v>
      </c>
      <c r="AL6074" s="2">
        <v>7005.0640991843702</v>
      </c>
      <c r="AM6074" s="2">
        <v>6780.5617008426598</v>
      </c>
      <c r="AN6074" s="2">
        <v>7173.5343295491602</v>
      </c>
      <c r="AO6074" s="2">
        <v>6979.9945289032903</v>
      </c>
      <c r="AP6074" s="2">
        <v>6962.7337011432901</v>
      </c>
    </row>
    <row r="6075" spans="1:42" ht="14.5" x14ac:dyDescent="0.35">
      <c r="A6075" s="2" t="s">
        <v>40283</v>
      </c>
      <c r="B6075" s="2">
        <v>207.10197607376199</v>
      </c>
      <c r="C6075" s="2">
        <v>7.88835</v>
      </c>
      <c r="D6075" s="2" t="s">
        <v>70</v>
      </c>
      <c r="E6075" s="2" t="s">
        <v>40284</v>
      </c>
      <c r="F6075" s="2">
        <v>255244</v>
      </c>
      <c r="G6075" s="3" t="str">
        <f>HYPERLINK("http://funmeta.oebiotech.com/network/255244", "http://funmeta.oebiotech.com/network/255244")</f>
        <v>http://funmeta.oebiotech.com/network/255244</v>
      </c>
      <c r="H6075" s="2" t="s">
        <v>40285</v>
      </c>
      <c r="I6075" s="2"/>
      <c r="J6075" s="2"/>
      <c r="K6075" s="2"/>
      <c r="L6075" s="2"/>
      <c r="M6075" s="2"/>
      <c r="N6075" s="2"/>
      <c r="O6075" s="2">
        <v>24121290</v>
      </c>
      <c r="P6075" s="2"/>
      <c r="Q6075" s="2" t="s">
        <v>40286</v>
      </c>
      <c r="R6075" s="2" t="s">
        <v>40287</v>
      </c>
      <c r="S6075" s="2" t="s">
        <v>491</v>
      </c>
      <c r="T6075" s="2" t="s">
        <v>35488</v>
      </c>
      <c r="U6075" s="2" t="s">
        <v>41</v>
      </c>
      <c r="V6075" s="2" t="s">
        <v>59</v>
      </c>
      <c r="W6075" s="2">
        <v>42.6</v>
      </c>
      <c r="X6075" s="2">
        <v>23.4</v>
      </c>
      <c r="Y6075" s="2" t="s">
        <v>751</v>
      </c>
      <c r="Z6075" s="2" t="s">
        <v>24215</v>
      </c>
      <c r="AA6075" s="2">
        <v>-3.0597036100482602</v>
      </c>
      <c r="AB6075" s="2">
        <v>4.8436919126773302E-2</v>
      </c>
      <c r="AC6075" s="2">
        <v>22800.395176480899</v>
      </c>
      <c r="AD6075" s="2">
        <v>23339.771321159202</v>
      </c>
      <c r="AE6075" s="2">
        <v>23168.7038993688</v>
      </c>
      <c r="AF6075" s="2">
        <v>22182.866003943898</v>
      </c>
      <c r="AG6075" s="2">
        <v>23499.349178359498</v>
      </c>
      <c r="AH6075" s="2">
        <v>23602.226678243998</v>
      </c>
      <c r="AI6075" s="2">
        <v>22011.213005294201</v>
      </c>
      <c r="AJ6075" s="2">
        <v>22338.012293675001</v>
      </c>
      <c r="AK6075" s="2">
        <v>25148.229766439301</v>
      </c>
      <c r="AL6075" s="2">
        <v>24045.744439286998</v>
      </c>
      <c r="AM6075" s="2">
        <v>23195.468998436401</v>
      </c>
      <c r="AN6075" s="2">
        <v>22680.700118046501</v>
      </c>
      <c r="AO6075" s="2">
        <v>23170.6551716914</v>
      </c>
      <c r="AP6075" s="2">
        <v>21797.8294330545</v>
      </c>
    </row>
    <row r="6076" spans="1:42" ht="14.5" x14ac:dyDescent="0.35">
      <c r="A6076" s="2" t="s">
        <v>40288</v>
      </c>
      <c r="B6076" s="2">
        <v>417.028483868732</v>
      </c>
      <c r="C6076" s="2">
        <v>1.1665333333333301</v>
      </c>
      <c r="D6076" s="2" t="s">
        <v>70</v>
      </c>
      <c r="E6076" s="2" t="s">
        <v>40289</v>
      </c>
      <c r="F6076" s="2">
        <v>211507</v>
      </c>
      <c r="G6076" s="3" t="str">
        <f>HYPERLINK("http://funmeta.oebiotech.com/network/211507", "http://funmeta.oebiotech.com/network/211507")</f>
        <v>http://funmeta.oebiotech.com/network/211507</v>
      </c>
      <c r="H6076" s="2" t="s">
        <v>40290</v>
      </c>
      <c r="I6076" s="2"/>
      <c r="J6076" s="2"/>
      <c r="K6076" s="2"/>
      <c r="L6076" s="2"/>
      <c r="M6076" s="2"/>
      <c r="N6076" s="2"/>
      <c r="O6076" s="2">
        <v>19067394</v>
      </c>
      <c r="P6076" s="2"/>
      <c r="Q6076" s="2" t="s">
        <v>40291</v>
      </c>
      <c r="R6076" s="2" t="s">
        <v>40292</v>
      </c>
      <c r="S6076" s="2" t="s">
        <v>41</v>
      </c>
      <c r="T6076" s="2" t="s">
        <v>41</v>
      </c>
      <c r="U6076" s="2" t="s">
        <v>41</v>
      </c>
      <c r="V6076" s="2" t="s">
        <v>59</v>
      </c>
      <c r="W6076" s="2">
        <v>37.700000000000003</v>
      </c>
      <c r="X6076" s="2">
        <v>0</v>
      </c>
      <c r="Y6076" s="2" t="s">
        <v>118</v>
      </c>
      <c r="Z6076" s="2" t="s">
        <v>40293</v>
      </c>
      <c r="AA6076" s="2">
        <v>-0.221809415750372</v>
      </c>
      <c r="AB6076" s="2">
        <v>4.8331553840532698E-2</v>
      </c>
      <c r="AC6076" s="2">
        <v>5162.1437407766398</v>
      </c>
      <c r="AD6076" s="2">
        <v>4610.9841277919004</v>
      </c>
      <c r="AE6076" s="2">
        <v>5764.0914762003104</v>
      </c>
      <c r="AF6076" s="2">
        <v>4770.6154545792697</v>
      </c>
      <c r="AG6076" s="2">
        <v>5260.5509094665404</v>
      </c>
      <c r="AH6076" s="2">
        <v>4089.5181807101599</v>
      </c>
      <c r="AI6076" s="2">
        <v>5825.17888090011</v>
      </c>
      <c r="AJ6076" s="2">
        <v>5262.9075428034303</v>
      </c>
      <c r="AK6076" s="2">
        <v>3954.9662555056502</v>
      </c>
      <c r="AL6076" s="2">
        <v>4168.8879191283404</v>
      </c>
      <c r="AM6076" s="2">
        <v>2931.75041976286</v>
      </c>
      <c r="AN6076" s="2">
        <v>5192.4033710126496</v>
      </c>
      <c r="AO6076" s="2">
        <v>4643.1331297675697</v>
      </c>
      <c r="AP6076" s="2">
        <v>6774.7636715743502</v>
      </c>
    </row>
    <row r="6077" spans="1:42" ht="14.5" x14ac:dyDescent="0.35">
      <c r="A6077" s="2" t="s">
        <v>40294</v>
      </c>
      <c r="B6077" s="2">
        <v>789.25841696169402</v>
      </c>
      <c r="C6077" s="2">
        <v>5.7854333333333301</v>
      </c>
      <c r="D6077" s="2" t="s">
        <v>70</v>
      </c>
      <c r="E6077" s="2" t="s">
        <v>40295</v>
      </c>
      <c r="F6077" s="2">
        <v>206421</v>
      </c>
      <c r="G6077" s="3" t="str">
        <f>HYPERLINK("http://funmeta.oebiotech.com/network/206421", "http://funmeta.oebiotech.com/network/206421")</f>
        <v>http://funmeta.oebiotech.com/network/206421</v>
      </c>
      <c r="H6077" s="2" t="s">
        <v>40296</v>
      </c>
      <c r="I6077" s="2"/>
      <c r="J6077" s="2"/>
      <c r="K6077" s="2"/>
      <c r="L6077" s="2"/>
      <c r="M6077" s="2"/>
      <c r="N6077" s="2"/>
      <c r="O6077" s="2">
        <v>13916058</v>
      </c>
      <c r="P6077" s="2"/>
      <c r="Q6077" s="2" t="s">
        <v>40297</v>
      </c>
      <c r="R6077" s="2" t="s">
        <v>40298</v>
      </c>
      <c r="S6077" s="2" t="s">
        <v>115</v>
      </c>
      <c r="T6077" s="2" t="s">
        <v>139</v>
      </c>
      <c r="U6077" s="2" t="s">
        <v>140</v>
      </c>
      <c r="V6077" s="2" t="s">
        <v>59</v>
      </c>
      <c r="W6077" s="2">
        <v>37.299999999999997</v>
      </c>
      <c r="X6077" s="2">
        <v>0</v>
      </c>
      <c r="Y6077" s="2" t="s">
        <v>751</v>
      </c>
      <c r="Z6077" s="2" t="s">
        <v>40299</v>
      </c>
      <c r="AA6077" s="2">
        <v>-3.3666956275751199</v>
      </c>
      <c r="AB6077" s="2">
        <v>4.82915043250867E-2</v>
      </c>
      <c r="AC6077" s="2">
        <v>4091.9050001962401</v>
      </c>
      <c r="AD6077" s="2">
        <v>3654.6170980275001</v>
      </c>
      <c r="AE6077" s="2">
        <v>5052.7655135901696</v>
      </c>
      <c r="AF6077" s="2">
        <v>3583.2422674611498</v>
      </c>
      <c r="AG6077" s="2">
        <v>4519.4694563021003</v>
      </c>
      <c r="AH6077" s="2">
        <v>4045.8229126403699</v>
      </c>
      <c r="AI6077" s="2">
        <v>2883.5628006637899</v>
      </c>
      <c r="AJ6077" s="2">
        <v>4466.5670505198505</v>
      </c>
      <c r="AK6077" s="2">
        <v>3516.9813013729699</v>
      </c>
      <c r="AL6077" s="2">
        <v>3516.7282193851402</v>
      </c>
      <c r="AM6077" s="2">
        <v>4431.1578365815203</v>
      </c>
      <c r="AN6077" s="2">
        <v>2768.2410023974799</v>
      </c>
      <c r="AO6077" s="2">
        <v>3977.5063814036798</v>
      </c>
      <c r="AP6077" s="2">
        <v>3717.0878470241801</v>
      </c>
    </row>
    <row r="6078" spans="1:42" ht="14.5" x14ac:dyDescent="0.35">
      <c r="A6078" s="2" t="s">
        <v>40300</v>
      </c>
      <c r="B6078" s="2">
        <v>571.27542567513603</v>
      </c>
      <c r="C6078" s="2">
        <v>4.5423999999999998</v>
      </c>
      <c r="D6078" s="2" t="s">
        <v>70</v>
      </c>
      <c r="E6078" s="2" t="s">
        <v>40301</v>
      </c>
      <c r="F6078" s="2">
        <v>257562</v>
      </c>
      <c r="G6078" s="3" t="str">
        <f>HYPERLINK("http://funmeta.oebiotech.com/network/257562", "http://funmeta.oebiotech.com/network/257562")</f>
        <v>http://funmeta.oebiotech.com/network/257562</v>
      </c>
      <c r="H6078" s="2" t="s">
        <v>40302</v>
      </c>
      <c r="I6078" s="2"/>
      <c r="J6078" s="2"/>
      <c r="K6078" s="2"/>
      <c r="L6078" s="2"/>
      <c r="M6078" s="2"/>
      <c r="N6078" s="2"/>
      <c r="O6078" s="2">
        <v>20052426</v>
      </c>
      <c r="P6078" s="2"/>
      <c r="Q6078" s="2" t="s">
        <v>40303</v>
      </c>
      <c r="R6078" s="2" t="s">
        <v>40304</v>
      </c>
      <c r="S6078" s="2" t="s">
        <v>89</v>
      </c>
      <c r="T6078" s="2" t="s">
        <v>90</v>
      </c>
      <c r="U6078" s="2" t="s">
        <v>99</v>
      </c>
      <c r="V6078" s="2" t="s">
        <v>42</v>
      </c>
      <c r="W6078" s="2">
        <v>46.8</v>
      </c>
      <c r="X6078" s="2">
        <v>46.6</v>
      </c>
      <c r="Y6078" s="2" t="s">
        <v>408</v>
      </c>
      <c r="Z6078" s="2" t="s">
        <v>27383</v>
      </c>
      <c r="AA6078" s="2">
        <v>-3.6333381991000602</v>
      </c>
      <c r="AB6078" s="2">
        <v>4.8281245721114502E-2</v>
      </c>
      <c r="AC6078" s="2">
        <v>39690.192465129097</v>
      </c>
      <c r="AD6078" s="2">
        <v>38908.382220343097</v>
      </c>
      <c r="AE6078" s="2">
        <v>39137.084494754301</v>
      </c>
      <c r="AF6078" s="2">
        <v>38391.167539112197</v>
      </c>
      <c r="AG6078" s="2">
        <v>38982.689050496803</v>
      </c>
      <c r="AH6078" s="2">
        <v>44040.652190035296</v>
      </c>
      <c r="AI6078" s="2">
        <v>38510.038304755901</v>
      </c>
      <c r="AJ6078" s="2">
        <v>39079.523211619897</v>
      </c>
      <c r="AK6078" s="2">
        <v>40214.572175058704</v>
      </c>
      <c r="AL6078" s="2">
        <v>38986.5726989178</v>
      </c>
      <c r="AM6078" s="2">
        <v>42444.247096705898</v>
      </c>
      <c r="AN6078" s="2">
        <v>37910.824421431003</v>
      </c>
      <c r="AO6078" s="2">
        <v>36500.188841463299</v>
      </c>
      <c r="AP6078" s="2">
        <v>37393.888088482003</v>
      </c>
    </row>
    <row r="6079" spans="1:42" ht="14.5" x14ac:dyDescent="0.35">
      <c r="A6079" s="2" t="s">
        <v>40305</v>
      </c>
      <c r="B6079" s="2">
        <v>421.11381147392001</v>
      </c>
      <c r="C6079" s="2">
        <v>4.7765333333333304</v>
      </c>
      <c r="D6079" s="2" t="s">
        <v>70</v>
      </c>
      <c r="E6079" s="2" t="s">
        <v>40306</v>
      </c>
      <c r="F6079" s="2">
        <v>4207</v>
      </c>
      <c r="G6079" s="3" t="str">
        <f>HYPERLINK("http://funmeta.oebiotech.com/network/4207", "http://funmeta.oebiotech.com/network/4207")</f>
        <v>http://funmeta.oebiotech.com/network/4207</v>
      </c>
      <c r="H6079" s="2"/>
      <c r="I6079" s="2">
        <v>46006</v>
      </c>
      <c r="J6079" s="2" t="s">
        <v>40307</v>
      </c>
      <c r="K6079" s="2"/>
      <c r="L6079" s="2"/>
      <c r="M6079" s="2"/>
      <c r="N6079" s="2"/>
      <c r="O6079" s="2">
        <v>11035626</v>
      </c>
      <c r="P6079" s="2"/>
      <c r="Q6079" s="2" t="s">
        <v>40308</v>
      </c>
      <c r="R6079" s="2" t="s">
        <v>40309</v>
      </c>
      <c r="S6079" s="2" t="s">
        <v>50</v>
      </c>
      <c r="T6079" s="2" t="s">
        <v>229</v>
      </c>
      <c r="U6079" s="2" t="s">
        <v>766</v>
      </c>
      <c r="V6079" s="2" t="s">
        <v>59</v>
      </c>
      <c r="W6079" s="2">
        <v>38.1</v>
      </c>
      <c r="X6079" s="2">
        <v>0</v>
      </c>
      <c r="Y6079" s="2" t="s">
        <v>408</v>
      </c>
      <c r="Z6079" s="2" t="s">
        <v>40310</v>
      </c>
      <c r="AA6079" s="2">
        <v>-0.55566384067587504</v>
      </c>
      <c r="AB6079" s="2">
        <v>4.8263965683311302E-2</v>
      </c>
      <c r="AC6079" s="2">
        <v>13907.2408088134</v>
      </c>
      <c r="AD6079" s="2">
        <v>14489.3403648986</v>
      </c>
      <c r="AE6079" s="2">
        <v>14478.1631753399</v>
      </c>
      <c r="AF6079" s="2">
        <v>12820.4771204015</v>
      </c>
      <c r="AG6079" s="2">
        <v>14626.9155347335</v>
      </c>
      <c r="AH6079" s="2">
        <v>14932.873749197401</v>
      </c>
      <c r="AI6079" s="2">
        <v>12993.4325057149</v>
      </c>
      <c r="AJ6079" s="2">
        <v>13591.582767493301</v>
      </c>
      <c r="AK6079" s="2">
        <v>13349.6174208468</v>
      </c>
      <c r="AL6079" s="2">
        <v>15019.674554252</v>
      </c>
      <c r="AM6079" s="2">
        <v>13461.354974407001</v>
      </c>
      <c r="AN6079" s="2">
        <v>17006.237373935001</v>
      </c>
      <c r="AO6079" s="2">
        <v>13732.138489093</v>
      </c>
      <c r="AP6079" s="2">
        <v>14367.019376857599</v>
      </c>
    </row>
    <row r="6080" spans="1:42" ht="14.5" x14ac:dyDescent="0.35">
      <c r="A6080" s="2" t="s">
        <v>40311</v>
      </c>
      <c r="B6080" s="2">
        <v>333.207170224435</v>
      </c>
      <c r="C6080" s="2">
        <v>9.4396666666666693</v>
      </c>
      <c r="D6080" s="2" t="s">
        <v>70</v>
      </c>
      <c r="E6080" s="2" t="s">
        <v>40312</v>
      </c>
      <c r="F6080" s="2">
        <v>257182</v>
      </c>
      <c r="G6080" s="3" t="str">
        <f>HYPERLINK("http://funmeta.oebiotech.com/network/257182", "http://funmeta.oebiotech.com/network/257182")</f>
        <v>http://funmeta.oebiotech.com/network/257182</v>
      </c>
      <c r="H6080" s="2" t="s">
        <v>40313</v>
      </c>
      <c r="I6080" s="2"/>
      <c r="J6080" s="2"/>
      <c r="K6080" s="2"/>
      <c r="L6080" s="2"/>
      <c r="M6080" s="2"/>
      <c r="N6080" s="2"/>
      <c r="O6080" s="2"/>
      <c r="P6080" s="2"/>
      <c r="Q6080" s="2" t="s">
        <v>40314</v>
      </c>
      <c r="R6080" s="2" t="s">
        <v>40315</v>
      </c>
      <c r="S6080" s="2" t="s">
        <v>50</v>
      </c>
      <c r="T6080" s="2" t="s">
        <v>201</v>
      </c>
      <c r="U6080" s="2" t="s">
        <v>265</v>
      </c>
      <c r="V6080" s="2" t="s">
        <v>59</v>
      </c>
      <c r="W6080" s="2">
        <v>39.6</v>
      </c>
      <c r="X6080" s="2">
        <v>0</v>
      </c>
      <c r="Y6080" s="2" t="s">
        <v>560</v>
      </c>
      <c r="Z6080" s="2" t="s">
        <v>40316</v>
      </c>
      <c r="AA6080" s="2">
        <v>0.111353950047617</v>
      </c>
      <c r="AB6080" s="2">
        <v>4.8204488665758598E-2</v>
      </c>
      <c r="AC6080" s="2">
        <v>973.03564353669901</v>
      </c>
      <c r="AD6080" s="2">
        <v>1212.17715865125</v>
      </c>
      <c r="AE6080" s="2">
        <v>1060.00083483975</v>
      </c>
      <c r="AF6080" s="2">
        <v>853.22302917580805</v>
      </c>
      <c r="AG6080" s="2">
        <v>635.68177280221801</v>
      </c>
      <c r="AH6080" s="2">
        <v>944.81878167039895</v>
      </c>
      <c r="AI6080" s="2">
        <v>1134.5409568605501</v>
      </c>
      <c r="AJ6080" s="2">
        <v>1209.94848587147</v>
      </c>
      <c r="AK6080" s="2">
        <v>1277.47550916923</v>
      </c>
      <c r="AL6080" s="2">
        <v>1134.8929082008899</v>
      </c>
      <c r="AM6080" s="2">
        <v>1227.0401022217</v>
      </c>
      <c r="AN6080" s="2">
        <v>1094.3774452775999</v>
      </c>
      <c r="AO6080" s="2">
        <v>1349.2437287555599</v>
      </c>
      <c r="AP6080" s="2">
        <v>1190.0332582824899</v>
      </c>
    </row>
    <row r="6081" spans="1:42" ht="14.5" x14ac:dyDescent="0.35">
      <c r="A6081" s="2" t="s">
        <v>40317</v>
      </c>
      <c r="B6081" s="2">
        <v>856.40978474590395</v>
      </c>
      <c r="C6081" s="2">
        <v>8.9527166666666709</v>
      </c>
      <c r="D6081" s="2" t="s">
        <v>34</v>
      </c>
      <c r="E6081" s="2" t="s">
        <v>40318</v>
      </c>
      <c r="F6081" s="2">
        <v>135745</v>
      </c>
      <c r="G6081" s="3" t="str">
        <f>HYPERLINK("http://funmeta.oebiotech.com/network/135745", "http://funmeta.oebiotech.com/network/135745")</f>
        <v>http://funmeta.oebiotech.com/network/135745</v>
      </c>
      <c r="H6081" s="2" t="s">
        <v>40319</v>
      </c>
      <c r="I6081" s="2"/>
      <c r="J6081" s="2"/>
      <c r="K6081" s="2"/>
      <c r="L6081" s="2"/>
      <c r="M6081" s="2"/>
      <c r="N6081" s="2"/>
      <c r="O6081" s="2">
        <v>131822724</v>
      </c>
      <c r="P6081" s="2"/>
      <c r="Q6081" s="2" t="s">
        <v>40320</v>
      </c>
      <c r="R6081" s="2" t="s">
        <v>40321</v>
      </c>
      <c r="S6081" s="2" t="s">
        <v>50</v>
      </c>
      <c r="T6081" s="2" t="s">
        <v>51</v>
      </c>
      <c r="U6081" s="2" t="s">
        <v>12285</v>
      </c>
      <c r="V6081" s="2" t="s">
        <v>59</v>
      </c>
      <c r="W6081" s="2">
        <v>38</v>
      </c>
      <c r="X6081" s="2">
        <v>0</v>
      </c>
      <c r="Y6081" s="2" t="s">
        <v>394</v>
      </c>
      <c r="Z6081" s="2" t="s">
        <v>40322</v>
      </c>
      <c r="AA6081" s="2">
        <v>-2.61093079908383</v>
      </c>
      <c r="AB6081" s="2">
        <v>4.81838909762516E-2</v>
      </c>
      <c r="AC6081" s="2">
        <v>11678.9023275652</v>
      </c>
      <c r="AD6081" s="2">
        <v>12462.733322353</v>
      </c>
      <c r="AE6081" s="2">
        <v>11252.2962852566</v>
      </c>
      <c r="AF6081" s="2">
        <v>10667.614249354599</v>
      </c>
      <c r="AG6081" s="2">
        <v>16481.324179692401</v>
      </c>
      <c r="AH6081" s="2">
        <v>9977.7861152197293</v>
      </c>
      <c r="AI6081" s="2">
        <v>10753.903451325799</v>
      </c>
      <c r="AJ6081" s="2">
        <v>10940.489684542001</v>
      </c>
      <c r="AK6081" s="2">
        <v>12491.289487137999</v>
      </c>
      <c r="AL6081" s="2">
        <v>12711.3363923139</v>
      </c>
      <c r="AM6081" s="2">
        <v>13843.4454164743</v>
      </c>
      <c r="AN6081" s="2">
        <v>13298.54359307</v>
      </c>
      <c r="AO6081" s="2">
        <v>9025.2413377529501</v>
      </c>
      <c r="AP6081" s="2">
        <v>13406.543707368601</v>
      </c>
    </row>
    <row r="6082" spans="1:42" ht="14.5" x14ac:dyDescent="0.35">
      <c r="A6082" s="2" t="s">
        <v>40323</v>
      </c>
      <c r="B6082" s="2">
        <v>389.09893272368498</v>
      </c>
      <c r="C6082" s="2">
        <v>4.6673166666666699</v>
      </c>
      <c r="D6082" s="2" t="s">
        <v>70</v>
      </c>
      <c r="E6082" s="2" t="s">
        <v>40324</v>
      </c>
      <c r="F6082" s="2">
        <v>82876</v>
      </c>
      <c r="G6082" s="3" t="str">
        <f>HYPERLINK("http://funmeta.oebiotech.com/network/82876", "http://funmeta.oebiotech.com/network/82876")</f>
        <v>http://funmeta.oebiotech.com/network/82876</v>
      </c>
      <c r="H6082" s="2" t="s">
        <v>40325</v>
      </c>
      <c r="I6082" s="2">
        <v>1536</v>
      </c>
      <c r="J6082" s="2"/>
      <c r="K6082" s="2"/>
      <c r="L6082" s="2"/>
      <c r="M6082" s="2"/>
      <c r="N6082" s="2"/>
      <c r="O6082" s="2">
        <v>128753</v>
      </c>
      <c r="P6082" s="2" t="s">
        <v>40326</v>
      </c>
      <c r="Q6082" s="2" t="s">
        <v>40327</v>
      </c>
      <c r="R6082" s="2" t="s">
        <v>40328</v>
      </c>
      <c r="S6082" s="2" t="s">
        <v>491</v>
      </c>
      <c r="T6082" s="2" t="s">
        <v>2238</v>
      </c>
      <c r="U6082" s="2" t="s">
        <v>6482</v>
      </c>
      <c r="V6082" s="2" t="s">
        <v>59</v>
      </c>
      <c r="W6082" s="2">
        <v>39</v>
      </c>
      <c r="X6082" s="2">
        <v>0</v>
      </c>
      <c r="Y6082" s="2" t="s">
        <v>408</v>
      </c>
      <c r="Z6082" s="2" t="s">
        <v>40329</v>
      </c>
      <c r="AA6082" s="2">
        <v>-0.30917214938586401</v>
      </c>
      <c r="AB6082" s="2">
        <v>4.8161958437772698E-2</v>
      </c>
      <c r="AC6082" s="2">
        <v>955.397516684896</v>
      </c>
      <c r="AD6082" s="2">
        <v>1211.29026451608</v>
      </c>
      <c r="AE6082" s="2">
        <v>1050.09610402147</v>
      </c>
      <c r="AF6082" s="2">
        <v>1045.43593693504</v>
      </c>
      <c r="AG6082" s="2">
        <v>605.44166260697705</v>
      </c>
      <c r="AH6082" s="2">
        <v>909.59187518850194</v>
      </c>
      <c r="AI6082" s="2">
        <v>923.61584547671498</v>
      </c>
      <c r="AJ6082" s="2">
        <v>1198.2036758806701</v>
      </c>
      <c r="AK6082" s="2">
        <v>1209.9307478051901</v>
      </c>
      <c r="AL6082" s="2">
        <v>1251.0163269178299</v>
      </c>
      <c r="AM6082" s="2">
        <v>1500.2864006590701</v>
      </c>
      <c r="AN6082" s="2">
        <v>1205.9808006707101</v>
      </c>
      <c r="AO6082" s="2">
        <v>943.68665155295503</v>
      </c>
      <c r="AP6082" s="2">
        <v>1156.8406594907201</v>
      </c>
    </row>
    <row r="6083" spans="1:42" ht="14.5" x14ac:dyDescent="0.35">
      <c r="A6083" s="2" t="s">
        <v>40330</v>
      </c>
      <c r="B6083" s="2">
        <v>196.169517423472</v>
      </c>
      <c r="C6083" s="2">
        <v>4.5663166666666699</v>
      </c>
      <c r="D6083" s="2" t="s">
        <v>34</v>
      </c>
      <c r="E6083" s="2" t="s">
        <v>40331</v>
      </c>
      <c r="F6083" s="2">
        <v>53100</v>
      </c>
      <c r="G6083" s="3" t="str">
        <f>HYPERLINK("http://funmeta.oebiotech.com/network/53100", "http://funmeta.oebiotech.com/network/53100")</f>
        <v>http://funmeta.oebiotech.com/network/53100</v>
      </c>
      <c r="H6083" s="2" t="s">
        <v>40332</v>
      </c>
      <c r="I6083" s="2">
        <v>2155</v>
      </c>
      <c r="J6083" s="2"/>
      <c r="K6083" s="2">
        <v>44915</v>
      </c>
      <c r="L6083" s="2" t="s">
        <v>40333</v>
      </c>
      <c r="M6083" s="2"/>
      <c r="N6083" s="2"/>
      <c r="O6083" s="2">
        <v>4943</v>
      </c>
      <c r="P6083" s="2" t="s">
        <v>40334</v>
      </c>
      <c r="Q6083" s="2" t="s">
        <v>40335</v>
      </c>
      <c r="R6083" s="2" t="s">
        <v>40336</v>
      </c>
      <c r="S6083" s="2" t="s">
        <v>148</v>
      </c>
      <c r="T6083" s="2" t="s">
        <v>149</v>
      </c>
      <c r="U6083" s="2" t="s">
        <v>33406</v>
      </c>
      <c r="V6083" s="2" t="s">
        <v>59</v>
      </c>
      <c r="W6083" s="2">
        <v>39.4</v>
      </c>
      <c r="X6083" s="2">
        <v>0</v>
      </c>
      <c r="Y6083" s="2" t="s">
        <v>43</v>
      </c>
      <c r="Z6083" s="2" t="s">
        <v>11303</v>
      </c>
      <c r="AA6083" s="2">
        <v>-0.41150269624580599</v>
      </c>
      <c r="AB6083" s="2">
        <v>4.8140521650210398E-2</v>
      </c>
      <c r="AC6083" s="2">
        <v>1325.8396673274899</v>
      </c>
      <c r="AD6083" s="2">
        <v>1069.3520716058699</v>
      </c>
      <c r="AE6083" s="2">
        <v>1136.3817405008499</v>
      </c>
      <c r="AF6083" s="2">
        <v>1207.01326151124</v>
      </c>
      <c r="AG6083" s="2">
        <v>1023.09806313666</v>
      </c>
      <c r="AH6083" s="2">
        <v>1675.1841005731401</v>
      </c>
      <c r="AI6083" s="2">
        <v>1425.6019678983801</v>
      </c>
      <c r="AJ6083" s="2">
        <v>1487.75887034467</v>
      </c>
      <c r="AK6083" s="2">
        <v>1216.9824591582601</v>
      </c>
      <c r="AL6083" s="2">
        <v>1098.67806637694</v>
      </c>
      <c r="AM6083" s="2">
        <v>1131.9878463042501</v>
      </c>
      <c r="AN6083" s="2">
        <v>1026.6206740652101</v>
      </c>
      <c r="AO6083" s="2">
        <v>1011.51037742722</v>
      </c>
      <c r="AP6083" s="2">
        <v>930.33300630332099</v>
      </c>
    </row>
    <row r="6084" spans="1:42" ht="14.5" x14ac:dyDescent="0.35">
      <c r="A6084" s="2" t="s">
        <v>40337</v>
      </c>
      <c r="B6084" s="2">
        <v>213.08729479111199</v>
      </c>
      <c r="C6084" s="2">
        <v>2.0493000000000001</v>
      </c>
      <c r="D6084" s="2" t="s">
        <v>70</v>
      </c>
      <c r="E6084" s="2" t="s">
        <v>40338</v>
      </c>
      <c r="F6084" s="2">
        <v>47583</v>
      </c>
      <c r="G6084" s="3" t="str">
        <f>HYPERLINK("http://funmeta.oebiotech.com/network/47583", "http://funmeta.oebiotech.com/network/47583")</f>
        <v>http://funmeta.oebiotech.com/network/47583</v>
      </c>
      <c r="H6084" s="2" t="s">
        <v>40339</v>
      </c>
      <c r="I6084" s="2">
        <v>238</v>
      </c>
      <c r="J6084" s="2"/>
      <c r="K6084" s="2">
        <v>16410</v>
      </c>
      <c r="L6084" s="2" t="s">
        <v>40340</v>
      </c>
      <c r="M6084" s="2" t="s">
        <v>40341</v>
      </c>
      <c r="N6084" s="2" t="s">
        <v>40342</v>
      </c>
      <c r="O6084" s="2">
        <v>1052</v>
      </c>
      <c r="P6084" s="2" t="s">
        <v>40343</v>
      </c>
      <c r="Q6084" s="2" t="s">
        <v>40344</v>
      </c>
      <c r="R6084" s="2" t="s">
        <v>40345</v>
      </c>
      <c r="S6084" s="2" t="s">
        <v>491</v>
      </c>
      <c r="T6084" s="2" t="s">
        <v>2238</v>
      </c>
      <c r="U6084" s="2" t="s">
        <v>40346</v>
      </c>
      <c r="V6084" s="2" t="s">
        <v>59</v>
      </c>
      <c r="W6084" s="2">
        <v>38.700000000000003</v>
      </c>
      <c r="X6084" s="2">
        <v>0</v>
      </c>
      <c r="Y6084" s="2" t="s">
        <v>408</v>
      </c>
      <c r="Z6084" s="2" t="s">
        <v>40347</v>
      </c>
      <c r="AA6084" s="2">
        <v>-4.6743590915170499</v>
      </c>
      <c r="AB6084" s="2">
        <v>4.7827859946134699E-2</v>
      </c>
      <c r="AC6084" s="2">
        <v>668.010974623018</v>
      </c>
      <c r="AD6084" s="2">
        <v>465.49553694051298</v>
      </c>
      <c r="AE6084" s="2">
        <v>588.97191868464699</v>
      </c>
      <c r="AF6084" s="2">
        <v>714.48202234373196</v>
      </c>
      <c r="AG6084" s="2">
        <v>810.31501074261996</v>
      </c>
      <c r="AH6084" s="2">
        <v>727.60269537724002</v>
      </c>
      <c r="AI6084" s="2">
        <v>569.961609699772</v>
      </c>
      <c r="AJ6084" s="2">
        <v>596.732590890099</v>
      </c>
      <c r="AK6084" s="2">
        <v>390.50957264845601</v>
      </c>
      <c r="AL6084" s="2">
        <v>619.28620750441803</v>
      </c>
      <c r="AM6084" s="2">
        <v>450.15343876307202</v>
      </c>
      <c r="AN6084" s="2">
        <v>564.12656696560998</v>
      </c>
      <c r="AO6084" s="2">
        <v>436.72415524905898</v>
      </c>
      <c r="AP6084" s="2">
        <v>332.17328051246</v>
      </c>
    </row>
    <row r="6085" spans="1:42" ht="14.5" x14ac:dyDescent="0.35">
      <c r="A6085" s="2" t="s">
        <v>40348</v>
      </c>
      <c r="B6085" s="2">
        <v>392.31275886908401</v>
      </c>
      <c r="C6085" s="2">
        <v>11.61295</v>
      </c>
      <c r="D6085" s="2" t="s">
        <v>34</v>
      </c>
      <c r="E6085" s="2" t="s">
        <v>40349</v>
      </c>
      <c r="F6085" s="2">
        <v>8683</v>
      </c>
      <c r="G6085" s="3" t="str">
        <f>HYPERLINK("http://funmeta.oebiotech.com/network/8683", "http://funmeta.oebiotech.com/network/8683")</f>
        <v>http://funmeta.oebiotech.com/network/8683</v>
      </c>
      <c r="H6085" s="2" t="s">
        <v>40350</v>
      </c>
      <c r="I6085" s="2">
        <v>75488</v>
      </c>
      <c r="J6085" s="2" t="s">
        <v>40351</v>
      </c>
      <c r="K6085" s="2"/>
      <c r="L6085" s="2"/>
      <c r="M6085" s="2"/>
      <c r="N6085" s="2"/>
      <c r="O6085" s="2">
        <v>162685</v>
      </c>
      <c r="P6085" s="2"/>
      <c r="Q6085" s="2" t="s">
        <v>40352</v>
      </c>
      <c r="R6085" s="2" t="s">
        <v>40353</v>
      </c>
      <c r="S6085" s="2" t="s">
        <v>89</v>
      </c>
      <c r="T6085" s="2" t="s">
        <v>90</v>
      </c>
      <c r="U6085" s="2" t="s">
        <v>99</v>
      </c>
      <c r="V6085" s="2" t="s">
        <v>59</v>
      </c>
      <c r="W6085" s="2">
        <v>46.4</v>
      </c>
      <c r="X6085" s="2">
        <v>40.799999999999997</v>
      </c>
      <c r="Y6085" s="2" t="s">
        <v>323</v>
      </c>
      <c r="Z6085" s="2" t="s">
        <v>33387</v>
      </c>
      <c r="AA6085" s="2">
        <v>-2.0471261114825201</v>
      </c>
      <c r="AB6085" s="2">
        <v>4.7680522208714798E-2</v>
      </c>
      <c r="AC6085" s="2">
        <v>1740.3508504148699</v>
      </c>
      <c r="AD6085" s="2">
        <v>2296.7859972607498</v>
      </c>
      <c r="AE6085" s="2">
        <v>1379.7368490534</v>
      </c>
      <c r="AF6085" s="2">
        <v>1501.0348121853999</v>
      </c>
      <c r="AG6085" s="2">
        <v>779.36344065199398</v>
      </c>
      <c r="AH6085" s="2">
        <v>2972.7352533070998</v>
      </c>
      <c r="AI6085" s="2">
        <v>958.86969305776995</v>
      </c>
      <c r="AJ6085" s="2">
        <v>2850.3650542335399</v>
      </c>
      <c r="AK6085" s="2">
        <v>2720.59917316155</v>
      </c>
      <c r="AL6085" s="2">
        <v>1161.52195371634</v>
      </c>
      <c r="AM6085" s="2">
        <v>2528.8852216926598</v>
      </c>
      <c r="AN6085" s="2">
        <v>520.601871048882</v>
      </c>
      <c r="AO6085" s="2">
        <v>3382.7467064674702</v>
      </c>
      <c r="AP6085" s="2">
        <v>3466.3610574776199</v>
      </c>
    </row>
    <row r="6086" spans="1:42" ht="14.5" x14ac:dyDescent="0.35">
      <c r="A6086" s="2" t="s">
        <v>40354</v>
      </c>
      <c r="B6086" s="2">
        <v>278.054450005945</v>
      </c>
      <c r="C6086" s="2">
        <v>1.79495</v>
      </c>
      <c r="D6086" s="2" t="s">
        <v>34</v>
      </c>
      <c r="E6086" s="2" t="s">
        <v>40355</v>
      </c>
      <c r="F6086" s="2">
        <v>274642</v>
      </c>
      <c r="G6086" s="3" t="str">
        <f>HYPERLINK("http://funmeta.oebiotech.com/network/274642", "http://funmeta.oebiotech.com/network/274642")</f>
        <v>http://funmeta.oebiotech.com/network/274642</v>
      </c>
      <c r="H6086" s="2"/>
      <c r="I6086" s="2">
        <v>64798</v>
      </c>
      <c r="J6086" s="2"/>
      <c r="K6086" s="2"/>
      <c r="L6086" s="2"/>
      <c r="M6086" s="2"/>
      <c r="N6086" s="2"/>
      <c r="O6086" s="2">
        <v>9901847</v>
      </c>
      <c r="P6086" s="2" t="s">
        <v>40356</v>
      </c>
      <c r="Q6086" s="2" t="s">
        <v>40357</v>
      </c>
      <c r="R6086" s="2" t="s">
        <v>40358</v>
      </c>
      <c r="S6086" s="2" t="s">
        <v>89</v>
      </c>
      <c r="T6086" s="2" t="s">
        <v>894</v>
      </c>
      <c r="U6086" s="2" t="s">
        <v>41</v>
      </c>
      <c r="V6086" s="2" t="s">
        <v>59</v>
      </c>
      <c r="W6086" s="2">
        <v>38.1</v>
      </c>
      <c r="X6086" s="2">
        <v>0</v>
      </c>
      <c r="Y6086" s="2" t="s">
        <v>43</v>
      </c>
      <c r="Z6086" s="2" t="s">
        <v>40359</v>
      </c>
      <c r="AA6086" s="2">
        <v>-3.2749985435036</v>
      </c>
      <c r="AB6086" s="2">
        <v>4.7655420109642403E-2</v>
      </c>
      <c r="AC6086" s="2">
        <v>4230.6554427205201</v>
      </c>
      <c r="AD6086" s="2">
        <v>3777.8362555359299</v>
      </c>
      <c r="AE6086" s="2">
        <v>3538.37693322722</v>
      </c>
      <c r="AF6086" s="2">
        <v>4131.86095360934</v>
      </c>
      <c r="AG6086" s="2">
        <v>5057.9438728565301</v>
      </c>
      <c r="AH6086" s="2">
        <v>5564.7468255225103</v>
      </c>
      <c r="AI6086" s="2">
        <v>3691.80195958779</v>
      </c>
      <c r="AJ6086" s="2">
        <v>3399.2021115197099</v>
      </c>
      <c r="AK6086" s="2">
        <v>4071.6106772593498</v>
      </c>
      <c r="AL6086" s="2">
        <v>4587.5661250723597</v>
      </c>
      <c r="AM6086" s="2">
        <v>3558.74505479148</v>
      </c>
      <c r="AN6086" s="2">
        <v>3396.3539971294299</v>
      </c>
      <c r="AO6086" s="2">
        <v>3964.0667125237101</v>
      </c>
      <c r="AP6086" s="2">
        <v>3088.6749664392501</v>
      </c>
    </row>
    <row r="6087" spans="1:42" ht="14.5" x14ac:dyDescent="0.35">
      <c r="A6087" s="2" t="s">
        <v>40360</v>
      </c>
      <c r="B6087" s="2">
        <v>275.20031127192902</v>
      </c>
      <c r="C6087" s="2">
        <v>8.7834500000000002</v>
      </c>
      <c r="D6087" s="2" t="s">
        <v>34</v>
      </c>
      <c r="E6087" s="2" t="s">
        <v>40361</v>
      </c>
      <c r="F6087" s="2">
        <v>44879</v>
      </c>
      <c r="G6087" s="3" t="str">
        <f>HYPERLINK("http://funmeta.oebiotech.com/network/44879", "http://funmeta.oebiotech.com/network/44879")</f>
        <v>http://funmeta.oebiotech.com/network/44879</v>
      </c>
      <c r="H6087" s="2" t="s">
        <v>40362</v>
      </c>
      <c r="I6087" s="2">
        <v>1434</v>
      </c>
      <c r="J6087" s="2" t="s">
        <v>40363</v>
      </c>
      <c r="K6087" s="2">
        <v>7466</v>
      </c>
      <c r="L6087" s="2" t="s">
        <v>40364</v>
      </c>
      <c r="M6087" s="2"/>
      <c r="N6087" s="2"/>
      <c r="O6087" s="2">
        <v>9904</v>
      </c>
      <c r="P6087" s="2" t="s">
        <v>40365</v>
      </c>
      <c r="Q6087" s="2" t="s">
        <v>40366</v>
      </c>
      <c r="R6087" s="2" t="s">
        <v>40367</v>
      </c>
      <c r="S6087" s="2" t="s">
        <v>50</v>
      </c>
      <c r="T6087" s="2" t="s">
        <v>124</v>
      </c>
      <c r="U6087" s="2" t="s">
        <v>2093</v>
      </c>
      <c r="V6087" s="2" t="s">
        <v>59</v>
      </c>
      <c r="W6087" s="2">
        <v>38.6</v>
      </c>
      <c r="X6087" s="2">
        <v>0</v>
      </c>
      <c r="Y6087" s="2" t="s">
        <v>394</v>
      </c>
      <c r="Z6087" s="2" t="s">
        <v>20915</v>
      </c>
      <c r="AA6087" s="2">
        <v>-0.89438009122166495</v>
      </c>
      <c r="AB6087" s="2">
        <v>4.7634692842043802E-2</v>
      </c>
      <c r="AC6087" s="2">
        <v>1580.01011389876</v>
      </c>
      <c r="AD6087" s="2">
        <v>1329.0078137018199</v>
      </c>
      <c r="AE6087" s="2">
        <v>1729.9071652780201</v>
      </c>
      <c r="AF6087" s="2">
        <v>1477.23163148347</v>
      </c>
      <c r="AG6087" s="2">
        <v>1800.8613934202599</v>
      </c>
      <c r="AH6087" s="2">
        <v>1475.5601543145301</v>
      </c>
      <c r="AI6087" s="2">
        <v>1619.4103759443101</v>
      </c>
      <c r="AJ6087" s="2">
        <v>1377.089962952</v>
      </c>
      <c r="AK6087" s="2">
        <v>1734.67530119153</v>
      </c>
      <c r="AL6087" s="2">
        <v>1308.0064959116301</v>
      </c>
      <c r="AM6087" s="2">
        <v>1178.85815870027</v>
      </c>
      <c r="AN6087" s="2">
        <v>1342.4826438477601</v>
      </c>
      <c r="AO6087" s="2">
        <v>1200.9143562752799</v>
      </c>
      <c r="AP6087" s="2">
        <v>1209.10992628448</v>
      </c>
    </row>
    <row r="6088" spans="1:42" ht="14.5" x14ac:dyDescent="0.35">
      <c r="A6088" s="2" t="s">
        <v>40368</v>
      </c>
      <c r="B6088" s="2">
        <v>389.14357428623998</v>
      </c>
      <c r="C6088" s="2">
        <v>4.4793166666666702</v>
      </c>
      <c r="D6088" s="2" t="s">
        <v>34</v>
      </c>
      <c r="E6088" s="2" t="s">
        <v>40369</v>
      </c>
      <c r="F6088" s="2">
        <v>534732</v>
      </c>
      <c r="G6088" s="3" t="str">
        <f>HYPERLINK("http://funmeta.oebiotech.com/network/534732", "http://funmeta.oebiotech.com/network/534732")</f>
        <v>http://funmeta.oebiotech.com/network/534732</v>
      </c>
      <c r="H6088" s="2"/>
      <c r="I6088" s="2">
        <v>985465</v>
      </c>
      <c r="J6088" s="2"/>
      <c r="K6088" s="2"/>
      <c r="L6088" s="2"/>
      <c r="M6088" s="2"/>
      <c r="N6088" s="2"/>
      <c r="O6088" s="2">
        <v>9978650</v>
      </c>
      <c r="P6088" s="2"/>
      <c r="Q6088" s="2" t="s">
        <v>40370</v>
      </c>
      <c r="R6088" s="2" t="s">
        <v>40371</v>
      </c>
      <c r="S6088" s="2" t="s">
        <v>50</v>
      </c>
      <c r="T6088" s="2" t="s">
        <v>201</v>
      </c>
      <c r="U6088" s="2" t="s">
        <v>202</v>
      </c>
      <c r="V6088" s="2" t="s">
        <v>59</v>
      </c>
      <c r="W6088" s="2">
        <v>37.6</v>
      </c>
      <c r="X6088" s="2">
        <v>0</v>
      </c>
      <c r="Y6088" s="2" t="s">
        <v>141</v>
      </c>
      <c r="Z6088" s="2" t="s">
        <v>8216</v>
      </c>
      <c r="AA6088" s="2">
        <v>-1.59821917312438</v>
      </c>
      <c r="AB6088" s="2">
        <v>4.7583697067109298E-2</v>
      </c>
      <c r="AC6088" s="2">
        <v>20908.602672597201</v>
      </c>
      <c r="AD6088" s="2">
        <v>20314.404347268501</v>
      </c>
      <c r="AE6088" s="2">
        <v>21824.0562908252</v>
      </c>
      <c r="AF6088" s="2">
        <v>19956.838498925401</v>
      </c>
      <c r="AG6088" s="2">
        <v>20552.396101690501</v>
      </c>
      <c r="AH6088" s="2">
        <v>18713.025511171501</v>
      </c>
      <c r="AI6088" s="2">
        <v>21996.274530550101</v>
      </c>
      <c r="AJ6088" s="2">
        <v>22409.025102420299</v>
      </c>
      <c r="AK6088" s="2">
        <v>20171.3775855698</v>
      </c>
      <c r="AL6088" s="2">
        <v>20157.784994230398</v>
      </c>
      <c r="AM6088" s="2">
        <v>19075.091343011201</v>
      </c>
      <c r="AN6088" s="2">
        <v>21806.6218226003</v>
      </c>
      <c r="AO6088" s="2">
        <v>20975.7729739239</v>
      </c>
      <c r="AP6088" s="2">
        <v>19699.777364275302</v>
      </c>
    </row>
    <row r="6089" spans="1:42" ht="14.5" x14ac:dyDescent="0.35">
      <c r="A6089" s="2" t="s">
        <v>40372</v>
      </c>
      <c r="B6089" s="2">
        <v>609.43324768979403</v>
      </c>
      <c r="C6089" s="2">
        <v>10.984450000000001</v>
      </c>
      <c r="D6089" s="2" t="s">
        <v>34</v>
      </c>
      <c r="E6089" s="2" t="s">
        <v>40373</v>
      </c>
      <c r="F6089" s="2">
        <v>247760</v>
      </c>
      <c r="G6089" s="3" t="str">
        <f>HYPERLINK("http://funmeta.oebiotech.com/network/247760", "http://funmeta.oebiotech.com/network/247760")</f>
        <v>http://funmeta.oebiotech.com/network/247760</v>
      </c>
      <c r="H6089" s="2" t="s">
        <v>40374</v>
      </c>
      <c r="I6089" s="2"/>
      <c r="J6089" s="2"/>
      <c r="K6089" s="2"/>
      <c r="L6089" s="2"/>
      <c r="M6089" s="2"/>
      <c r="N6089" s="2"/>
      <c r="O6089" s="2"/>
      <c r="P6089" s="2"/>
      <c r="Q6089" s="2" t="s">
        <v>40375</v>
      </c>
      <c r="R6089" s="2" t="s">
        <v>40376</v>
      </c>
      <c r="S6089" s="2" t="s">
        <v>41</v>
      </c>
      <c r="T6089" s="2" t="s">
        <v>41</v>
      </c>
      <c r="U6089" s="2" t="s">
        <v>41</v>
      </c>
      <c r="V6089" s="2" t="s">
        <v>59</v>
      </c>
      <c r="W6089" s="2">
        <v>36.9</v>
      </c>
      <c r="X6089" s="2">
        <v>0</v>
      </c>
      <c r="Y6089" s="2" t="s">
        <v>394</v>
      </c>
      <c r="Z6089" s="2" t="s">
        <v>40377</v>
      </c>
      <c r="AA6089" s="2">
        <v>-4.6802892914399301</v>
      </c>
      <c r="AB6089" s="2">
        <v>4.7569156005225002E-2</v>
      </c>
      <c r="AC6089" s="2">
        <v>660.70422244088695</v>
      </c>
      <c r="AD6089" s="2">
        <v>412.152936323586</v>
      </c>
      <c r="AE6089" s="2">
        <v>522.84807494384495</v>
      </c>
      <c r="AF6089" s="2">
        <v>628.72808663933097</v>
      </c>
      <c r="AG6089" s="2">
        <v>679.04812274067604</v>
      </c>
      <c r="AH6089" s="2">
        <v>825.14888426799598</v>
      </c>
      <c r="AI6089" s="2">
        <v>587.27944658756098</v>
      </c>
      <c r="AJ6089" s="2">
        <v>721.17271946591495</v>
      </c>
      <c r="AK6089" s="2">
        <v>93.797790600968</v>
      </c>
      <c r="AL6089" s="2">
        <v>627.89768675135599</v>
      </c>
      <c r="AM6089" s="2">
        <v>715.08064714091597</v>
      </c>
      <c r="AN6089" s="2">
        <v>471.725141071042</v>
      </c>
      <c r="AO6089" s="2">
        <v>284.31338048559701</v>
      </c>
      <c r="AP6089" s="2">
        <v>280.102971891636</v>
      </c>
    </row>
    <row r="6090" spans="1:42" ht="14.5" x14ac:dyDescent="0.35">
      <c r="A6090" s="2" t="s">
        <v>40378</v>
      </c>
      <c r="B6090" s="2">
        <v>105.090996229111</v>
      </c>
      <c r="C6090" s="2">
        <v>2.1257333333333301</v>
      </c>
      <c r="D6090" s="2" t="s">
        <v>34</v>
      </c>
      <c r="E6090" s="2" t="s">
        <v>40379</v>
      </c>
      <c r="F6090" s="2">
        <v>199703</v>
      </c>
      <c r="G6090" s="3" t="str">
        <f>HYPERLINK("http://funmeta.oebiotech.com/network/199703", "http://funmeta.oebiotech.com/network/199703")</f>
        <v>http://funmeta.oebiotech.com/network/199703</v>
      </c>
      <c r="H6090" s="2" t="s">
        <v>40380</v>
      </c>
      <c r="I6090" s="2"/>
      <c r="J6090" s="2"/>
      <c r="K6090" s="2"/>
      <c r="L6090" s="2"/>
      <c r="M6090" s="2"/>
      <c r="N6090" s="2"/>
      <c r="O6090" s="2"/>
      <c r="P6090" s="2"/>
      <c r="Q6090" s="2" t="s">
        <v>40381</v>
      </c>
      <c r="R6090" s="2" t="s">
        <v>40382</v>
      </c>
      <c r="S6090" s="2" t="s">
        <v>41</v>
      </c>
      <c r="T6090" s="2" t="s">
        <v>41</v>
      </c>
      <c r="U6090" s="2" t="s">
        <v>41</v>
      </c>
      <c r="V6090" s="2" t="s">
        <v>59</v>
      </c>
      <c r="W6090" s="2">
        <v>39.4</v>
      </c>
      <c r="X6090" s="2">
        <v>0</v>
      </c>
      <c r="Y6090" s="2" t="s">
        <v>394</v>
      </c>
      <c r="Z6090" s="2" t="s">
        <v>40383</v>
      </c>
      <c r="AA6090" s="2">
        <v>-9.4412925055253602E-2</v>
      </c>
      <c r="AB6090" s="2">
        <v>4.7486725710809502E-2</v>
      </c>
      <c r="AC6090" s="2">
        <v>1041.1354020817901</v>
      </c>
      <c r="AD6090" s="2">
        <v>843.47863729443395</v>
      </c>
      <c r="AE6090" s="2">
        <v>1053.86874325396</v>
      </c>
      <c r="AF6090" s="2">
        <v>993.51653282526104</v>
      </c>
      <c r="AG6090" s="2">
        <v>909.453810850222</v>
      </c>
      <c r="AH6090" s="2">
        <v>1028.0102825872</v>
      </c>
      <c r="AI6090" s="2">
        <v>1060.13259869952</v>
      </c>
      <c r="AJ6090" s="2">
        <v>1201.83044427457</v>
      </c>
      <c r="AK6090" s="2">
        <v>844.017672439173</v>
      </c>
      <c r="AL6090" s="2">
        <v>783.95387192415501</v>
      </c>
      <c r="AM6090" s="2">
        <v>751.13715560523599</v>
      </c>
      <c r="AN6090" s="2">
        <v>820.66456413985395</v>
      </c>
      <c r="AO6090" s="2">
        <v>838.92863647977697</v>
      </c>
      <c r="AP6090" s="2">
        <v>1022.16992317841</v>
      </c>
    </row>
    <row r="6091" spans="1:42" ht="14.5" x14ac:dyDescent="0.35">
      <c r="A6091" s="2" t="s">
        <v>40384</v>
      </c>
      <c r="B6091" s="2">
        <v>167.034027348938</v>
      </c>
      <c r="C6091" s="2">
        <v>2.3911333333333298</v>
      </c>
      <c r="D6091" s="2" t="s">
        <v>70</v>
      </c>
      <c r="E6091" s="2" t="s">
        <v>40385</v>
      </c>
      <c r="F6091" s="2">
        <v>47685</v>
      </c>
      <c r="G6091" s="3" t="str">
        <f>HYPERLINK("http://funmeta.oebiotech.com/network/47685", "http://funmeta.oebiotech.com/network/47685")</f>
        <v>http://funmeta.oebiotech.com/network/47685</v>
      </c>
      <c r="H6091" s="2" t="s">
        <v>40386</v>
      </c>
      <c r="I6091" s="2">
        <v>4164</v>
      </c>
      <c r="J6091" s="2"/>
      <c r="K6091" s="2">
        <v>89830</v>
      </c>
      <c r="L6091" s="2"/>
      <c r="M6091" s="2"/>
      <c r="N6091" s="2"/>
      <c r="O6091" s="2">
        <v>75787</v>
      </c>
      <c r="P6091" s="2" t="s">
        <v>40387</v>
      </c>
      <c r="Q6091" s="2" t="s">
        <v>40388</v>
      </c>
      <c r="R6091" s="2" t="s">
        <v>40389</v>
      </c>
      <c r="S6091" s="2" t="s">
        <v>148</v>
      </c>
      <c r="T6091" s="2" t="s">
        <v>149</v>
      </c>
      <c r="U6091" s="2" t="s">
        <v>1593</v>
      </c>
      <c r="V6091" s="2" t="s">
        <v>59</v>
      </c>
      <c r="W6091" s="2">
        <v>46.9</v>
      </c>
      <c r="X6091" s="2">
        <v>44.6</v>
      </c>
      <c r="Y6091" s="2" t="s">
        <v>118</v>
      </c>
      <c r="Z6091" s="2" t="s">
        <v>5671</v>
      </c>
      <c r="AA6091" s="2">
        <v>-5.6828197239193798</v>
      </c>
      <c r="AB6091" s="2">
        <v>4.7421925561144003E-2</v>
      </c>
      <c r="AC6091" s="2">
        <v>3578.1676941664</v>
      </c>
      <c r="AD6091" s="2">
        <v>3827.9947842238498</v>
      </c>
      <c r="AE6091" s="2">
        <v>3395.4411632490401</v>
      </c>
      <c r="AF6091" s="2">
        <v>3477.51885151441</v>
      </c>
      <c r="AG6091" s="2">
        <v>3631.4615417377099</v>
      </c>
      <c r="AH6091" s="2">
        <v>3784.49117901917</v>
      </c>
      <c r="AI6091" s="2">
        <v>3467.5058887021</v>
      </c>
      <c r="AJ6091" s="2">
        <v>3712.58754077598</v>
      </c>
      <c r="AK6091" s="2">
        <v>3731.1619701299001</v>
      </c>
      <c r="AL6091" s="2">
        <v>4201.4165161679603</v>
      </c>
      <c r="AM6091" s="2">
        <v>3899.8853750264302</v>
      </c>
      <c r="AN6091" s="2">
        <v>3698.3484616997198</v>
      </c>
      <c r="AO6091" s="2">
        <v>3831.5216578466102</v>
      </c>
      <c r="AP6091" s="2">
        <v>3605.6347244724502</v>
      </c>
    </row>
    <row r="6092" spans="1:42" ht="14.5" x14ac:dyDescent="0.35">
      <c r="A6092" s="2" t="s">
        <v>40390</v>
      </c>
      <c r="B6092" s="2">
        <v>949.38479861605094</v>
      </c>
      <c r="C6092" s="2">
        <v>5.26453333333333</v>
      </c>
      <c r="D6092" s="2" t="s">
        <v>70</v>
      </c>
      <c r="E6092" s="2" t="s">
        <v>40391</v>
      </c>
      <c r="F6092" s="2">
        <v>53603</v>
      </c>
      <c r="G6092" s="3" t="str">
        <f>HYPERLINK("http://funmeta.oebiotech.com/network/53603", "http://funmeta.oebiotech.com/network/53603")</f>
        <v>http://funmeta.oebiotech.com/network/53603</v>
      </c>
      <c r="H6092" s="2" t="s">
        <v>40392</v>
      </c>
      <c r="I6092" s="2">
        <v>1965</v>
      </c>
      <c r="J6092" s="2"/>
      <c r="K6092" s="2">
        <v>521177</v>
      </c>
      <c r="L6092" s="2"/>
      <c r="M6092" s="2"/>
      <c r="N6092" s="2"/>
      <c r="O6092" s="2">
        <v>62867</v>
      </c>
      <c r="P6092" s="2" t="s">
        <v>40393</v>
      </c>
      <c r="Q6092" s="2" t="s">
        <v>40394</v>
      </c>
      <c r="R6092" s="2" t="s">
        <v>40395</v>
      </c>
      <c r="S6092" s="2" t="s">
        <v>491</v>
      </c>
      <c r="T6092" s="2" t="s">
        <v>25326</v>
      </c>
      <c r="U6092" s="2" t="s">
        <v>25327</v>
      </c>
      <c r="V6092" s="2" t="s">
        <v>59</v>
      </c>
      <c r="W6092" s="2">
        <v>37.4</v>
      </c>
      <c r="X6092" s="2">
        <v>0</v>
      </c>
      <c r="Y6092" s="2" t="s">
        <v>560</v>
      </c>
      <c r="Z6092" s="2" t="s">
        <v>40396</v>
      </c>
      <c r="AA6092" s="2">
        <v>-0.62375768355642602</v>
      </c>
      <c r="AB6092" s="2">
        <v>4.7401178369214002E-2</v>
      </c>
      <c r="AC6092" s="2">
        <v>45145.368391483396</v>
      </c>
      <c r="AD6092" s="2">
        <v>46175.846648261599</v>
      </c>
      <c r="AE6092" s="2">
        <v>42597.618658222898</v>
      </c>
      <c r="AF6092" s="2">
        <v>44734.058168834403</v>
      </c>
      <c r="AG6092" s="2">
        <v>41683.261924884602</v>
      </c>
      <c r="AH6092" s="2">
        <v>43340.042200408199</v>
      </c>
      <c r="AI6092" s="2">
        <v>52047.017251568599</v>
      </c>
      <c r="AJ6092" s="2">
        <v>46470.2121449814</v>
      </c>
      <c r="AK6092" s="2">
        <v>49059.446242423001</v>
      </c>
      <c r="AL6092" s="2">
        <v>39645.2145275277</v>
      </c>
      <c r="AM6092" s="2">
        <v>43622.722381210602</v>
      </c>
      <c r="AN6092" s="2">
        <v>51275.057650788898</v>
      </c>
      <c r="AO6092" s="2">
        <v>42164.492652562898</v>
      </c>
      <c r="AP6092" s="2">
        <v>51288.146435056296</v>
      </c>
    </row>
    <row r="6093" spans="1:42" ht="14.5" x14ac:dyDescent="0.35">
      <c r="A6093" s="2" t="s">
        <v>40397</v>
      </c>
      <c r="B6093" s="2">
        <v>311.038445404789</v>
      </c>
      <c r="C6093" s="2">
        <v>1.67523333333333</v>
      </c>
      <c r="D6093" s="2" t="s">
        <v>70</v>
      </c>
      <c r="E6093" s="2" t="s">
        <v>40398</v>
      </c>
      <c r="F6093" s="2">
        <v>199539</v>
      </c>
      <c r="G6093" s="3" t="str">
        <f>HYPERLINK("http://funmeta.oebiotech.com/network/199539", "http://funmeta.oebiotech.com/network/199539")</f>
        <v>http://funmeta.oebiotech.com/network/199539</v>
      </c>
      <c r="H6093" s="2" t="s">
        <v>40399</v>
      </c>
      <c r="I6093" s="2">
        <v>417493</v>
      </c>
      <c r="J6093" s="2"/>
      <c r="K6093" s="2"/>
      <c r="L6093" s="2"/>
      <c r="M6093" s="2"/>
      <c r="N6093" s="2"/>
      <c r="O6093" s="2">
        <v>131320</v>
      </c>
      <c r="P6093" s="2"/>
      <c r="Q6093" s="2" t="s">
        <v>40400</v>
      </c>
      <c r="R6093" s="2" t="s">
        <v>40401</v>
      </c>
      <c r="S6093" s="2" t="s">
        <v>148</v>
      </c>
      <c r="T6093" s="2" t="s">
        <v>16716</v>
      </c>
      <c r="U6093" s="2" t="s">
        <v>41</v>
      </c>
      <c r="V6093" s="2" t="s">
        <v>59</v>
      </c>
      <c r="W6093" s="2">
        <v>36.700000000000003</v>
      </c>
      <c r="X6093" s="2">
        <v>0</v>
      </c>
      <c r="Y6093" s="2" t="s">
        <v>118</v>
      </c>
      <c r="Z6093" s="2" t="s">
        <v>40402</v>
      </c>
      <c r="AA6093" s="2">
        <v>0.29474442243556198</v>
      </c>
      <c r="AB6093" s="2">
        <v>4.7317994983937399E-2</v>
      </c>
      <c r="AC6093" s="2">
        <v>1102.5055173718699</v>
      </c>
      <c r="AD6093" s="2">
        <v>819.53198300817201</v>
      </c>
      <c r="AE6093" s="2">
        <v>913.96939599162101</v>
      </c>
      <c r="AF6093" s="2">
        <v>1392.4632569446701</v>
      </c>
      <c r="AG6093" s="2">
        <v>1057.7662005780801</v>
      </c>
      <c r="AH6093" s="2">
        <v>803.32728929689495</v>
      </c>
      <c r="AI6093" s="2">
        <v>992.07791003978002</v>
      </c>
      <c r="AJ6093" s="2">
        <v>1455.42905138015</v>
      </c>
      <c r="AK6093" s="2">
        <v>685.634482266752</v>
      </c>
      <c r="AL6093" s="2">
        <v>889.70492911204497</v>
      </c>
      <c r="AM6093" s="2">
        <v>611.05320440425498</v>
      </c>
      <c r="AN6093" s="2">
        <v>1267.0720917400299</v>
      </c>
      <c r="AO6093" s="2">
        <v>838.69412075448895</v>
      </c>
      <c r="AP6093" s="2">
        <v>625.03306977145905</v>
      </c>
    </row>
    <row r="6094" spans="1:42" ht="14.5" x14ac:dyDescent="0.35">
      <c r="A6094" s="2" t="s">
        <v>40403</v>
      </c>
      <c r="B6094" s="2">
        <v>665.236933670442</v>
      </c>
      <c r="C6094" s="2">
        <v>8.6645500000000002</v>
      </c>
      <c r="D6094" s="2" t="s">
        <v>70</v>
      </c>
      <c r="E6094" s="2" t="s">
        <v>40404</v>
      </c>
      <c r="F6094" s="2">
        <v>267242</v>
      </c>
      <c r="G6094" s="3" t="str">
        <f>HYPERLINK("http://funmeta.oebiotech.com/network/267242", "http://funmeta.oebiotech.com/network/267242")</f>
        <v>http://funmeta.oebiotech.com/network/267242</v>
      </c>
      <c r="H6094" s="2"/>
      <c r="I6094" s="2">
        <v>45080</v>
      </c>
      <c r="J6094" s="2"/>
      <c r="K6094" s="2"/>
      <c r="L6094" s="2"/>
      <c r="M6094" s="2"/>
      <c r="N6094" s="2"/>
      <c r="O6094" s="2">
        <v>53394543</v>
      </c>
      <c r="P6094" s="2"/>
      <c r="Q6094" s="2" t="s">
        <v>40405</v>
      </c>
      <c r="R6094" s="2" t="s">
        <v>40406</v>
      </c>
      <c r="S6094" s="2" t="s">
        <v>50</v>
      </c>
      <c r="T6094" s="2" t="s">
        <v>51</v>
      </c>
      <c r="U6094" s="2" t="s">
        <v>5754</v>
      </c>
      <c r="V6094" s="2" t="s">
        <v>59</v>
      </c>
      <c r="W6094" s="2">
        <v>37.9</v>
      </c>
      <c r="X6094" s="2">
        <v>0</v>
      </c>
      <c r="Y6094" s="2" t="s">
        <v>118</v>
      </c>
      <c r="Z6094" s="2" t="s">
        <v>40407</v>
      </c>
      <c r="AA6094" s="2">
        <v>3.6794303120094201</v>
      </c>
      <c r="AB6094" s="2">
        <v>4.7305918083601801E-2</v>
      </c>
      <c r="AC6094" s="2">
        <v>5696.4091126271696</v>
      </c>
      <c r="AD6094" s="2">
        <v>5172.82098265884</v>
      </c>
      <c r="AE6094" s="2">
        <v>6721.5356777249199</v>
      </c>
      <c r="AF6094" s="2">
        <v>4669.4747362839098</v>
      </c>
      <c r="AG6094" s="2">
        <v>5701.6070239766004</v>
      </c>
      <c r="AH6094" s="2">
        <v>5815.3110745330796</v>
      </c>
      <c r="AI6094" s="2">
        <v>5464.2569537485697</v>
      </c>
      <c r="AJ6094" s="2">
        <v>5806.2692094959302</v>
      </c>
      <c r="AK6094" s="2">
        <v>3704.3660650453498</v>
      </c>
      <c r="AL6094" s="2">
        <v>5099.2818428759701</v>
      </c>
      <c r="AM6094" s="2">
        <v>4515.0925743400003</v>
      </c>
      <c r="AN6094" s="2">
        <v>5867.0641821674299</v>
      </c>
      <c r="AO6094" s="2">
        <v>4654.5816886677803</v>
      </c>
      <c r="AP6094" s="2">
        <v>7196.5395428564998</v>
      </c>
    </row>
    <row r="6095" spans="1:42" ht="14.5" x14ac:dyDescent="0.35">
      <c r="A6095" s="2" t="s">
        <v>40408</v>
      </c>
      <c r="B6095" s="2">
        <v>243.048341386544</v>
      </c>
      <c r="C6095" s="2">
        <v>2.3119499999999999</v>
      </c>
      <c r="D6095" s="2" t="s">
        <v>70</v>
      </c>
      <c r="E6095" s="2" t="s">
        <v>40409</v>
      </c>
      <c r="F6095" s="2">
        <v>256086</v>
      </c>
      <c r="G6095" s="3" t="str">
        <f>HYPERLINK("http://funmeta.oebiotech.com/network/256086", "http://funmeta.oebiotech.com/network/256086")</f>
        <v>http://funmeta.oebiotech.com/network/256086</v>
      </c>
      <c r="H6095" s="2" t="s">
        <v>40410</v>
      </c>
      <c r="I6095" s="2"/>
      <c r="J6095" s="2"/>
      <c r="K6095" s="2">
        <v>31357</v>
      </c>
      <c r="L6095" s="2"/>
      <c r="M6095" s="2"/>
      <c r="N6095" s="2"/>
      <c r="O6095" s="2">
        <v>23706213</v>
      </c>
      <c r="P6095" s="2"/>
      <c r="Q6095" s="2" t="s">
        <v>40411</v>
      </c>
      <c r="R6095" s="2" t="s">
        <v>40412</v>
      </c>
      <c r="S6095" s="2" t="s">
        <v>79</v>
      </c>
      <c r="T6095" s="2" t="s">
        <v>80</v>
      </c>
      <c r="U6095" s="2" t="s">
        <v>81</v>
      </c>
      <c r="V6095" s="2" t="s">
        <v>59</v>
      </c>
      <c r="W6095" s="2">
        <v>38.4</v>
      </c>
      <c r="X6095" s="2">
        <v>0</v>
      </c>
      <c r="Y6095" s="2" t="s">
        <v>751</v>
      </c>
      <c r="Z6095" s="2" t="s">
        <v>40413</v>
      </c>
      <c r="AA6095" s="2">
        <v>-1.06542395665262</v>
      </c>
      <c r="AB6095" s="2">
        <v>4.7190685329649297E-2</v>
      </c>
      <c r="AC6095" s="2">
        <v>796.46458352668901</v>
      </c>
      <c r="AD6095" s="2">
        <v>616.320736183338</v>
      </c>
      <c r="AE6095" s="2">
        <v>833.88047835426903</v>
      </c>
      <c r="AF6095" s="2">
        <v>772.96471791426598</v>
      </c>
      <c r="AG6095" s="2">
        <v>757.23289955518601</v>
      </c>
      <c r="AH6095" s="2">
        <v>912.33096895837298</v>
      </c>
      <c r="AI6095" s="2">
        <v>758.21278483261904</v>
      </c>
      <c r="AJ6095" s="2">
        <v>744.165651545419</v>
      </c>
      <c r="AK6095" s="2">
        <v>560.26039236918302</v>
      </c>
      <c r="AL6095" s="2">
        <v>695.40985064801805</v>
      </c>
      <c r="AM6095" s="2">
        <v>665.53755990061597</v>
      </c>
      <c r="AN6095" s="2">
        <v>693.314569002594</v>
      </c>
      <c r="AO6095" s="2">
        <v>521.97058102731501</v>
      </c>
      <c r="AP6095" s="2">
        <v>561.43146415230399</v>
      </c>
    </row>
    <row r="6096" spans="1:42" ht="14.5" x14ac:dyDescent="0.35">
      <c r="A6096" s="2" t="s">
        <v>40414</v>
      </c>
      <c r="B6096" s="2">
        <v>223.097008650465</v>
      </c>
      <c r="C6096" s="2">
        <v>5.2831999999999999</v>
      </c>
      <c r="D6096" s="2" t="s">
        <v>70</v>
      </c>
      <c r="E6096" s="2" t="s">
        <v>40415</v>
      </c>
      <c r="F6096" s="2">
        <v>6337</v>
      </c>
      <c r="G6096" s="3" t="str">
        <f>HYPERLINK("http://funmeta.oebiotech.com/network/6337", "http://funmeta.oebiotech.com/network/6337")</f>
        <v>http://funmeta.oebiotech.com/network/6337</v>
      </c>
      <c r="H6096" s="2"/>
      <c r="I6096" s="2"/>
      <c r="J6096" s="2" t="s">
        <v>40416</v>
      </c>
      <c r="K6096" s="2">
        <v>66037</v>
      </c>
      <c r="L6096" s="2"/>
      <c r="M6096" s="2"/>
      <c r="N6096" s="2"/>
      <c r="O6096" s="2">
        <v>15316212</v>
      </c>
      <c r="P6096" s="2"/>
      <c r="Q6096" s="2" t="s">
        <v>40417</v>
      </c>
      <c r="R6096" s="2" t="s">
        <v>40418</v>
      </c>
      <c r="S6096" s="2" t="s">
        <v>50</v>
      </c>
      <c r="T6096" s="2" t="s">
        <v>229</v>
      </c>
      <c r="U6096" s="2" t="s">
        <v>1283</v>
      </c>
      <c r="V6096" s="2" t="s">
        <v>59</v>
      </c>
      <c r="W6096" s="2">
        <v>41.4</v>
      </c>
      <c r="X6096" s="2">
        <v>11.7</v>
      </c>
      <c r="Y6096" s="2" t="s">
        <v>408</v>
      </c>
      <c r="Z6096" s="2" t="s">
        <v>12201</v>
      </c>
      <c r="AA6096" s="2">
        <v>-3.2224010909991598</v>
      </c>
      <c r="AB6096" s="2">
        <v>4.71676314929005E-2</v>
      </c>
      <c r="AC6096" s="2">
        <v>204.01600896203101</v>
      </c>
      <c r="AD6096" s="2">
        <v>2.7106294003980101E-5</v>
      </c>
      <c r="AE6096" s="2">
        <v>192.30214051234799</v>
      </c>
      <c r="AF6096" s="2">
        <v>182.626926858687</v>
      </c>
      <c r="AG6096" s="2">
        <v>2.7106294003980101E-5</v>
      </c>
      <c r="AH6096" s="2">
        <v>335.29309166819098</v>
      </c>
      <c r="AI6096" s="2">
        <v>91.095013150529098</v>
      </c>
      <c r="AJ6096" s="2">
        <v>422.77885447613801</v>
      </c>
      <c r="AK6096" s="2">
        <v>2.7106294003980101E-5</v>
      </c>
      <c r="AL6096" s="2">
        <v>2.7106294003980101E-5</v>
      </c>
      <c r="AM6096" s="2">
        <v>2.7106294003980101E-5</v>
      </c>
      <c r="AN6096" s="2">
        <v>2.7106294003980101E-5</v>
      </c>
      <c r="AO6096" s="2">
        <v>2.7106294003980101E-5</v>
      </c>
      <c r="AP6096" s="2">
        <v>2.7106294003980101E-5</v>
      </c>
    </row>
    <row r="6097" spans="1:42" ht="14.5" x14ac:dyDescent="0.35">
      <c r="A6097" s="2" t="s">
        <v>40419</v>
      </c>
      <c r="B6097" s="2">
        <v>353.11306548932401</v>
      </c>
      <c r="C6097" s="2">
        <v>7.4702333333333302</v>
      </c>
      <c r="D6097" s="2" t="s">
        <v>70</v>
      </c>
      <c r="E6097" s="2" t="s">
        <v>40420</v>
      </c>
      <c r="F6097" s="2">
        <v>61061</v>
      </c>
      <c r="G6097" s="3" t="str">
        <f>HYPERLINK("http://funmeta.oebiotech.com/network/61061", "http://funmeta.oebiotech.com/network/61061")</f>
        <v>http://funmeta.oebiotech.com/network/61061</v>
      </c>
      <c r="H6097" s="2" t="s">
        <v>40421</v>
      </c>
      <c r="I6097" s="2"/>
      <c r="J6097" s="2"/>
      <c r="K6097" s="2"/>
      <c r="L6097" s="2" t="s">
        <v>40422</v>
      </c>
      <c r="M6097" s="2"/>
      <c r="N6097" s="2"/>
      <c r="O6097" s="2"/>
      <c r="P6097" s="2" t="s">
        <v>40423</v>
      </c>
      <c r="Q6097" s="2" t="s">
        <v>40424</v>
      </c>
      <c r="R6097" s="2" t="s">
        <v>40425</v>
      </c>
      <c r="S6097" s="2" t="s">
        <v>148</v>
      </c>
      <c r="T6097" s="2" t="s">
        <v>6221</v>
      </c>
      <c r="U6097" s="2" t="s">
        <v>20983</v>
      </c>
      <c r="V6097" s="2" t="s">
        <v>59</v>
      </c>
      <c r="W6097" s="2">
        <v>37.299999999999997</v>
      </c>
      <c r="X6097" s="2">
        <v>0</v>
      </c>
      <c r="Y6097" s="2" t="s">
        <v>408</v>
      </c>
      <c r="Z6097" s="2" t="s">
        <v>40426</v>
      </c>
      <c r="AA6097" s="2">
        <v>-3.9912296243075298</v>
      </c>
      <c r="AB6097" s="2">
        <v>4.7089918242540801E-2</v>
      </c>
      <c r="AC6097" s="2">
        <v>2163.1553403275502</v>
      </c>
      <c r="AD6097" s="2">
        <v>2447.60495861342</v>
      </c>
      <c r="AE6097" s="2">
        <v>2598.4788857101098</v>
      </c>
      <c r="AF6097" s="2">
        <v>1934.2925592507099</v>
      </c>
      <c r="AG6097" s="2">
        <v>2007.03436120428</v>
      </c>
      <c r="AH6097" s="2">
        <v>2248.2992385687999</v>
      </c>
      <c r="AI6097" s="2">
        <v>2059.7458038514601</v>
      </c>
      <c r="AJ6097" s="2">
        <v>2131.08119337997</v>
      </c>
      <c r="AK6097" s="2">
        <v>2200.0080726340102</v>
      </c>
      <c r="AL6097" s="2">
        <v>2480.2730192630902</v>
      </c>
      <c r="AM6097" s="2">
        <v>2230.0592158168201</v>
      </c>
      <c r="AN6097" s="2">
        <v>2826.9182955329902</v>
      </c>
      <c r="AO6097" s="2">
        <v>2750.5879731444902</v>
      </c>
      <c r="AP6097" s="2">
        <v>2197.7831752891402</v>
      </c>
    </row>
    <row r="6098" spans="1:42" ht="14.5" x14ac:dyDescent="0.35">
      <c r="A6098" s="2" t="s">
        <v>40427</v>
      </c>
      <c r="B6098" s="2">
        <v>787.25944213810601</v>
      </c>
      <c r="C6098" s="2">
        <v>4.7218999999999998</v>
      </c>
      <c r="D6098" s="2" t="s">
        <v>70</v>
      </c>
      <c r="E6098" s="2" t="s">
        <v>40428</v>
      </c>
      <c r="F6098" s="2">
        <v>82303</v>
      </c>
      <c r="G6098" s="3" t="str">
        <f>HYPERLINK("http://funmeta.oebiotech.com/network/82303", "http://funmeta.oebiotech.com/network/82303")</f>
        <v>http://funmeta.oebiotech.com/network/82303</v>
      </c>
      <c r="H6098" s="2" t="s">
        <v>40429</v>
      </c>
      <c r="I6098" s="2">
        <v>63291</v>
      </c>
      <c r="J6098" s="2"/>
      <c r="K6098" s="2">
        <v>16568</v>
      </c>
      <c r="L6098" s="2" t="s">
        <v>40430</v>
      </c>
      <c r="M6098" s="2" t="s">
        <v>40431</v>
      </c>
      <c r="N6098" s="2" t="s">
        <v>40432</v>
      </c>
      <c r="O6098" s="2">
        <v>440314</v>
      </c>
      <c r="P6098" s="2"/>
      <c r="Q6098" s="2" t="s">
        <v>40433</v>
      </c>
      <c r="R6098" s="2" t="s">
        <v>40434</v>
      </c>
      <c r="S6098" s="2" t="s">
        <v>79</v>
      </c>
      <c r="T6098" s="2" t="s">
        <v>80</v>
      </c>
      <c r="U6098" s="2" t="s">
        <v>81</v>
      </c>
      <c r="V6098" s="2" t="s">
        <v>59</v>
      </c>
      <c r="W6098" s="2">
        <v>37.200000000000003</v>
      </c>
      <c r="X6098" s="2">
        <v>0</v>
      </c>
      <c r="Y6098" s="2" t="s">
        <v>118</v>
      </c>
      <c r="Z6098" s="2" t="s">
        <v>40435</v>
      </c>
      <c r="AA6098" s="2">
        <v>4.7605372300674897</v>
      </c>
      <c r="AB6098" s="2">
        <v>4.7086091687997302E-2</v>
      </c>
      <c r="AC6098" s="2">
        <v>10781.6031047816</v>
      </c>
      <c r="AD6098" s="2">
        <v>10003.497807988901</v>
      </c>
      <c r="AE6098" s="2">
        <v>8145.0396486607697</v>
      </c>
      <c r="AF6098" s="2">
        <v>11640.803979071999</v>
      </c>
      <c r="AG6098" s="2">
        <v>9837.2858138131796</v>
      </c>
      <c r="AH6098" s="2">
        <v>12084.889214381599</v>
      </c>
      <c r="AI6098" s="2">
        <v>11676.5808039518</v>
      </c>
      <c r="AJ6098" s="2">
        <v>11305.0191688102</v>
      </c>
      <c r="AK6098" s="2">
        <v>9377.9655566137899</v>
      </c>
      <c r="AL6098" s="2">
        <v>9099.70349798387</v>
      </c>
      <c r="AM6098" s="2">
        <v>9361.8905635138999</v>
      </c>
      <c r="AN6098" s="2">
        <v>9565.4045343274393</v>
      </c>
      <c r="AO6098" s="2">
        <v>7304.1623762848803</v>
      </c>
      <c r="AP6098" s="2">
        <v>15311.8603192094</v>
      </c>
    </row>
    <row r="6099" spans="1:42" ht="14.5" x14ac:dyDescent="0.35">
      <c r="A6099" s="2" t="s">
        <v>40436</v>
      </c>
      <c r="B6099" s="2">
        <v>391.28375815197103</v>
      </c>
      <c r="C6099" s="2">
        <v>14.2458166666667</v>
      </c>
      <c r="D6099" s="2" t="s">
        <v>34</v>
      </c>
      <c r="E6099" s="2" t="s">
        <v>40437</v>
      </c>
      <c r="F6099" s="2">
        <v>204222</v>
      </c>
      <c r="G6099" s="3" t="str">
        <f>HYPERLINK("http://funmeta.oebiotech.com/network/204222", "http://funmeta.oebiotech.com/network/204222")</f>
        <v>http://funmeta.oebiotech.com/network/204222</v>
      </c>
      <c r="H6099" s="2" t="s">
        <v>40438</v>
      </c>
      <c r="I6099" s="2">
        <v>44750</v>
      </c>
      <c r="J6099" s="2"/>
      <c r="K6099" s="2">
        <v>17747</v>
      </c>
      <c r="L6099" s="2" t="s">
        <v>40439</v>
      </c>
      <c r="M6099" s="2" t="s">
        <v>22831</v>
      </c>
      <c r="N6099" s="2" t="s">
        <v>22832</v>
      </c>
      <c r="O6099" s="2">
        <v>8343</v>
      </c>
      <c r="P6099" s="2" t="s">
        <v>40440</v>
      </c>
      <c r="Q6099" s="2" t="s">
        <v>40441</v>
      </c>
      <c r="R6099" s="2" t="s">
        <v>40442</v>
      </c>
      <c r="S6099" s="2" t="s">
        <v>148</v>
      </c>
      <c r="T6099" s="2" t="s">
        <v>149</v>
      </c>
      <c r="U6099" s="2" t="s">
        <v>1593</v>
      </c>
      <c r="V6099" s="2" t="s">
        <v>42</v>
      </c>
      <c r="W6099" s="2">
        <v>51</v>
      </c>
      <c r="X6099" s="2">
        <v>60.3</v>
      </c>
      <c r="Y6099" s="2" t="s">
        <v>394</v>
      </c>
      <c r="Z6099" s="2" t="s">
        <v>40443</v>
      </c>
      <c r="AA6099" s="2">
        <v>-1.35282611152921</v>
      </c>
      <c r="AB6099" s="2">
        <v>4.6920432864106E-2</v>
      </c>
      <c r="AC6099" s="2">
        <v>23538.688435129199</v>
      </c>
      <c r="AD6099" s="2">
        <v>24328.155782373899</v>
      </c>
      <c r="AE6099" s="2">
        <v>26056.872775894</v>
      </c>
      <c r="AF6099" s="2">
        <v>19837.938127855599</v>
      </c>
      <c r="AG6099" s="2">
        <v>22039.288253875398</v>
      </c>
      <c r="AH6099" s="2">
        <v>24892.927935154199</v>
      </c>
      <c r="AI6099" s="2">
        <v>27970.200108854999</v>
      </c>
      <c r="AJ6099" s="2">
        <v>20434.903409140901</v>
      </c>
      <c r="AK6099" s="2">
        <v>25571.138464375301</v>
      </c>
      <c r="AL6099" s="2">
        <v>25592.040167834199</v>
      </c>
      <c r="AM6099" s="2">
        <v>22338.0090347964</v>
      </c>
      <c r="AN6099" s="2">
        <v>24046.615063220899</v>
      </c>
      <c r="AO6099" s="2">
        <v>23487.429931363698</v>
      </c>
      <c r="AP6099" s="2">
        <v>24933.702032652702</v>
      </c>
    </row>
    <row r="6100" spans="1:42" ht="14.5" x14ac:dyDescent="0.35">
      <c r="A6100" s="2" t="s">
        <v>40444</v>
      </c>
      <c r="B6100" s="2">
        <v>605.401754258805</v>
      </c>
      <c r="C6100" s="2">
        <v>13.586933333333301</v>
      </c>
      <c r="D6100" s="2" t="s">
        <v>34</v>
      </c>
      <c r="E6100" s="2" t="s">
        <v>40445</v>
      </c>
      <c r="F6100" s="2">
        <v>63658</v>
      </c>
      <c r="G6100" s="3" t="str">
        <f>HYPERLINK("http://funmeta.oebiotech.com/network/63658", "http://funmeta.oebiotech.com/network/63658")</f>
        <v>http://funmeta.oebiotech.com/network/63658</v>
      </c>
      <c r="H6100" s="2" t="s">
        <v>40446</v>
      </c>
      <c r="I6100" s="2">
        <v>94990</v>
      </c>
      <c r="J6100" s="2"/>
      <c r="K6100" s="2"/>
      <c r="L6100" s="2"/>
      <c r="M6100" s="2"/>
      <c r="N6100" s="2"/>
      <c r="O6100" s="2">
        <v>588518</v>
      </c>
      <c r="P6100" s="2" t="s">
        <v>40447</v>
      </c>
      <c r="Q6100" s="2" t="s">
        <v>40448</v>
      </c>
      <c r="R6100" s="2" t="s">
        <v>40449</v>
      </c>
      <c r="S6100" s="2" t="s">
        <v>50</v>
      </c>
      <c r="T6100" s="2" t="s">
        <v>201</v>
      </c>
      <c r="U6100" s="2" t="s">
        <v>202</v>
      </c>
      <c r="V6100" s="2" t="s">
        <v>59</v>
      </c>
      <c r="W6100" s="2">
        <v>36.200000000000003</v>
      </c>
      <c r="X6100" s="2">
        <v>0</v>
      </c>
      <c r="Y6100" s="2" t="s">
        <v>266</v>
      </c>
      <c r="Z6100" s="2" t="s">
        <v>40450</v>
      </c>
      <c r="AA6100" s="2">
        <v>-5.0313336845766301</v>
      </c>
      <c r="AB6100" s="2">
        <v>4.6810319864805099E-2</v>
      </c>
      <c r="AC6100" s="2">
        <v>27214.548327372198</v>
      </c>
      <c r="AD6100" s="2">
        <v>26176.637146456698</v>
      </c>
      <c r="AE6100" s="2">
        <v>25644.680627882401</v>
      </c>
      <c r="AF6100" s="2">
        <v>25725.316600355301</v>
      </c>
      <c r="AG6100" s="2">
        <v>27954.37729593</v>
      </c>
      <c r="AH6100" s="2">
        <v>29432.560550249498</v>
      </c>
      <c r="AI6100" s="2">
        <v>24891.1241305037</v>
      </c>
      <c r="AJ6100" s="2">
        <v>29639.230759312599</v>
      </c>
      <c r="AK6100" s="2">
        <v>37391.315908582401</v>
      </c>
      <c r="AL6100" s="2">
        <v>26598.235090343602</v>
      </c>
      <c r="AM6100" s="2">
        <v>24534.356227302</v>
      </c>
      <c r="AN6100" s="2">
        <v>21478.1915528709</v>
      </c>
      <c r="AO6100" s="2">
        <v>24409.344449837899</v>
      </c>
      <c r="AP6100" s="2">
        <v>22648.379649803599</v>
      </c>
    </row>
    <row r="6101" spans="1:42" ht="14.5" x14ac:dyDescent="0.35">
      <c r="A6101" s="2" t="s">
        <v>40451</v>
      </c>
      <c r="B6101" s="2">
        <v>190.97942745706101</v>
      </c>
      <c r="C6101" s="2">
        <v>0.63648333333333296</v>
      </c>
      <c r="D6101" s="2" t="s">
        <v>34</v>
      </c>
      <c r="E6101" s="2" t="s">
        <v>40452</v>
      </c>
      <c r="F6101" s="2">
        <v>53272</v>
      </c>
      <c r="G6101" s="3" t="str">
        <f>HYPERLINK("http://funmeta.oebiotech.com/network/53272", "http://funmeta.oebiotech.com/network/53272")</f>
        <v>http://funmeta.oebiotech.com/network/53272</v>
      </c>
      <c r="H6101" s="2" t="s">
        <v>40453</v>
      </c>
      <c r="I6101" s="2">
        <v>503</v>
      </c>
      <c r="J6101" s="2"/>
      <c r="K6101" s="2">
        <v>2208</v>
      </c>
      <c r="L6101" s="2" t="s">
        <v>40454</v>
      </c>
      <c r="M6101" s="2" t="s">
        <v>40455</v>
      </c>
      <c r="N6101" s="2" t="s">
        <v>40456</v>
      </c>
      <c r="O6101" s="2">
        <v>667490</v>
      </c>
      <c r="P6101" s="2" t="s">
        <v>40457</v>
      </c>
      <c r="Q6101" s="2" t="s">
        <v>40458</v>
      </c>
      <c r="R6101" s="2" t="s">
        <v>40459</v>
      </c>
      <c r="S6101" s="2" t="s">
        <v>491</v>
      </c>
      <c r="T6101" s="2" t="s">
        <v>7431</v>
      </c>
      <c r="U6101" s="2" t="s">
        <v>7432</v>
      </c>
      <c r="V6101" s="2" t="s">
        <v>59</v>
      </c>
      <c r="W6101" s="2">
        <v>36.9</v>
      </c>
      <c r="X6101" s="2">
        <v>0</v>
      </c>
      <c r="Y6101" s="2" t="s">
        <v>340</v>
      </c>
      <c r="Z6101" s="2" t="s">
        <v>40460</v>
      </c>
      <c r="AA6101" s="2">
        <v>3.96162837831712</v>
      </c>
      <c r="AB6101" s="2">
        <v>4.6777321078489302E-2</v>
      </c>
      <c r="AC6101" s="2">
        <v>2117.51788002793</v>
      </c>
      <c r="AD6101" s="2">
        <v>1746.8785597641499</v>
      </c>
      <c r="AE6101" s="2">
        <v>2901.4567130785899</v>
      </c>
      <c r="AF6101" s="2">
        <v>2821.61006085593</v>
      </c>
      <c r="AG6101" s="2">
        <v>1733.3960008128799</v>
      </c>
      <c r="AH6101" s="2">
        <v>1666.45499010955</v>
      </c>
      <c r="AI6101" s="2">
        <v>1690.60856996845</v>
      </c>
      <c r="AJ6101" s="2">
        <v>1891.58094534218</v>
      </c>
      <c r="AK6101" s="2">
        <v>1380.7312439816201</v>
      </c>
      <c r="AL6101" s="2">
        <v>2303.7820762783399</v>
      </c>
      <c r="AM6101" s="2">
        <v>1214.8794913767899</v>
      </c>
      <c r="AN6101" s="2">
        <v>1732.5737658338401</v>
      </c>
      <c r="AO6101" s="2">
        <v>1810.31767117954</v>
      </c>
      <c r="AP6101" s="2">
        <v>2038.9871099347599</v>
      </c>
    </row>
    <row r="6102" spans="1:42" ht="14.5" x14ac:dyDescent="0.35">
      <c r="A6102" s="2" t="s">
        <v>40461</v>
      </c>
      <c r="B6102" s="2">
        <v>515.29823356409599</v>
      </c>
      <c r="C6102" s="2">
        <v>10.871216666666699</v>
      </c>
      <c r="D6102" s="2" t="s">
        <v>34</v>
      </c>
      <c r="E6102" s="2" t="s">
        <v>40462</v>
      </c>
      <c r="F6102" s="2">
        <v>255881</v>
      </c>
      <c r="G6102" s="3" t="str">
        <f>HYPERLINK("http://funmeta.oebiotech.com/network/255881", "http://funmeta.oebiotech.com/network/255881")</f>
        <v>http://funmeta.oebiotech.com/network/255881</v>
      </c>
      <c r="H6102" s="2" t="s">
        <v>40463</v>
      </c>
      <c r="I6102" s="2"/>
      <c r="J6102" s="2"/>
      <c r="K6102" s="2"/>
      <c r="L6102" s="2"/>
      <c r="M6102" s="2"/>
      <c r="N6102" s="2"/>
      <c r="O6102" s="2"/>
      <c r="P6102" s="2"/>
      <c r="Q6102" s="2" t="s">
        <v>40464</v>
      </c>
      <c r="R6102" s="2" t="s">
        <v>40465</v>
      </c>
      <c r="S6102" s="2" t="s">
        <v>50</v>
      </c>
      <c r="T6102" s="2" t="s">
        <v>124</v>
      </c>
      <c r="U6102" s="2" t="s">
        <v>125</v>
      </c>
      <c r="V6102" s="2" t="s">
        <v>59</v>
      </c>
      <c r="W6102" s="2">
        <v>40.700000000000003</v>
      </c>
      <c r="X6102" s="2">
        <v>8.06</v>
      </c>
      <c r="Y6102" s="2" t="s">
        <v>470</v>
      </c>
      <c r="Z6102" s="2" t="s">
        <v>40466</v>
      </c>
      <c r="AA6102" s="2">
        <v>0.62793140366655897</v>
      </c>
      <c r="AB6102" s="2">
        <v>4.6744776954541302E-2</v>
      </c>
      <c r="AC6102" s="2">
        <v>68771.461537433497</v>
      </c>
      <c r="AD6102" s="2">
        <v>70002.375138046904</v>
      </c>
      <c r="AE6102" s="2">
        <v>67379.146256330801</v>
      </c>
      <c r="AF6102" s="2">
        <v>66318.005060667405</v>
      </c>
      <c r="AG6102" s="2">
        <v>67645.310269372203</v>
      </c>
      <c r="AH6102" s="2">
        <v>68059.592095080996</v>
      </c>
      <c r="AI6102" s="2">
        <v>64201.674367698797</v>
      </c>
      <c r="AJ6102" s="2">
        <v>79025.041175450606</v>
      </c>
      <c r="AK6102" s="2">
        <v>76532.279671307304</v>
      </c>
      <c r="AL6102" s="2">
        <v>64171.027314379498</v>
      </c>
      <c r="AM6102" s="2">
        <v>78223.808597212701</v>
      </c>
      <c r="AN6102" s="2">
        <v>68317.511511098695</v>
      </c>
      <c r="AO6102" s="2">
        <v>69317.585934595903</v>
      </c>
      <c r="AP6102" s="2">
        <v>63452.037799687503</v>
      </c>
    </row>
    <row r="6103" spans="1:42" ht="14.5" x14ac:dyDescent="0.35">
      <c r="A6103" s="2" t="s">
        <v>40467</v>
      </c>
      <c r="B6103" s="2">
        <v>743.27300333668097</v>
      </c>
      <c r="C6103" s="2">
        <v>1.4208666666666701</v>
      </c>
      <c r="D6103" s="2" t="s">
        <v>34</v>
      </c>
      <c r="E6103" s="2" t="s">
        <v>40468</v>
      </c>
      <c r="F6103" s="2">
        <v>27476</v>
      </c>
      <c r="G6103" s="3" t="str">
        <f>HYPERLINK("http://funmeta.oebiotech.com/network/27476", "http://funmeta.oebiotech.com/network/27476")</f>
        <v>http://funmeta.oebiotech.com/network/27476</v>
      </c>
      <c r="H6103" s="2"/>
      <c r="I6103" s="2"/>
      <c r="J6103" s="2" t="s">
        <v>40469</v>
      </c>
      <c r="K6103" s="2"/>
      <c r="L6103" s="2"/>
      <c r="M6103" s="2"/>
      <c r="N6103" s="2"/>
      <c r="O6103" s="2"/>
      <c r="P6103" s="2"/>
      <c r="Q6103" s="2" t="s">
        <v>40470</v>
      </c>
      <c r="R6103" s="2" t="s">
        <v>40471</v>
      </c>
      <c r="S6103" s="2" t="s">
        <v>50</v>
      </c>
      <c r="T6103" s="2" t="s">
        <v>51</v>
      </c>
      <c r="U6103" s="2" t="s">
        <v>738</v>
      </c>
      <c r="V6103" s="2" t="s">
        <v>59</v>
      </c>
      <c r="W6103" s="2">
        <v>39.5</v>
      </c>
      <c r="X6103" s="2">
        <v>0</v>
      </c>
      <c r="Y6103" s="2" t="s">
        <v>323</v>
      </c>
      <c r="Z6103" s="2" t="s">
        <v>40472</v>
      </c>
      <c r="AA6103" s="2">
        <v>0.94770006449935296</v>
      </c>
      <c r="AB6103" s="2">
        <v>4.67330571728862E-2</v>
      </c>
      <c r="AC6103" s="2">
        <v>423.81288629480201</v>
      </c>
      <c r="AD6103" s="2">
        <v>128.434464920865</v>
      </c>
      <c r="AE6103" s="2">
        <v>2.7106294003980101E-5</v>
      </c>
      <c r="AF6103" s="2">
        <v>548.76838633016496</v>
      </c>
      <c r="AG6103" s="2">
        <v>344.65992508865799</v>
      </c>
      <c r="AH6103" s="2">
        <v>1070.0131476362401</v>
      </c>
      <c r="AI6103" s="2">
        <v>288.56589301527998</v>
      </c>
      <c r="AJ6103" s="2">
        <v>290.86993859217603</v>
      </c>
      <c r="AK6103" s="2">
        <v>428.37827146700602</v>
      </c>
      <c r="AL6103" s="2">
        <v>2.7106294003980101E-5</v>
      </c>
      <c r="AM6103" s="2">
        <v>2.7106294003980101E-5</v>
      </c>
      <c r="AN6103" s="2">
        <v>2.7106294003980101E-5</v>
      </c>
      <c r="AO6103" s="2">
        <v>342.228409633007</v>
      </c>
      <c r="AP6103" s="2">
        <v>2.7106294003980101E-5</v>
      </c>
    </row>
    <row r="6104" spans="1:42" ht="14.5" x14ac:dyDescent="0.35">
      <c r="A6104" s="2" t="s">
        <v>40473</v>
      </c>
      <c r="B6104" s="2">
        <v>589.12066605193399</v>
      </c>
      <c r="C6104" s="2">
        <v>4.1925499999999998</v>
      </c>
      <c r="D6104" s="2" t="s">
        <v>34</v>
      </c>
      <c r="E6104" s="2" t="s">
        <v>40474</v>
      </c>
      <c r="F6104" s="2">
        <v>289939</v>
      </c>
      <c r="G6104" s="3" t="str">
        <f>HYPERLINK("http://funmeta.oebiotech.com/network/289939", "http://funmeta.oebiotech.com/network/289939")</f>
        <v>http://funmeta.oebiotech.com/network/289939</v>
      </c>
      <c r="H6104" s="2"/>
      <c r="I6104" s="2">
        <v>985341</v>
      </c>
      <c r="J6104" s="2"/>
      <c r="K6104" s="2"/>
      <c r="L6104" s="2"/>
      <c r="M6104" s="2"/>
      <c r="N6104" s="2"/>
      <c r="O6104" s="2">
        <v>5287736</v>
      </c>
      <c r="P6104" s="2"/>
      <c r="Q6104" s="2" t="s">
        <v>40475</v>
      </c>
      <c r="R6104" s="2" t="s">
        <v>40476</v>
      </c>
      <c r="S6104" s="2" t="s">
        <v>148</v>
      </c>
      <c r="T6104" s="2" t="s">
        <v>149</v>
      </c>
      <c r="U6104" s="2" t="s">
        <v>25393</v>
      </c>
      <c r="V6104" s="2" t="s">
        <v>59</v>
      </c>
      <c r="W6104" s="2">
        <v>36.299999999999997</v>
      </c>
      <c r="X6104" s="2">
        <v>0</v>
      </c>
      <c r="Y6104" s="2" t="s">
        <v>340</v>
      </c>
      <c r="Z6104" s="2" t="s">
        <v>40477</v>
      </c>
      <c r="AA6104" s="2">
        <v>-2.2485638853401602</v>
      </c>
      <c r="AB6104" s="2">
        <v>4.6711383982339601E-2</v>
      </c>
      <c r="AC6104" s="2">
        <v>15839.9858472782</v>
      </c>
      <c r="AD6104" s="2">
        <v>16607.260250754902</v>
      </c>
      <c r="AE6104" s="2">
        <v>14117.464298561599</v>
      </c>
      <c r="AF6104" s="2">
        <v>14257.3385998874</v>
      </c>
      <c r="AG6104" s="2">
        <v>18886.331171287598</v>
      </c>
      <c r="AH6104" s="2">
        <v>14662.8065666403</v>
      </c>
      <c r="AI6104" s="2">
        <v>15143.415077342201</v>
      </c>
      <c r="AJ6104" s="2">
        <v>17972.559369950301</v>
      </c>
      <c r="AK6104" s="2">
        <v>16925.9961522015</v>
      </c>
      <c r="AL6104" s="2">
        <v>19447.962656669599</v>
      </c>
      <c r="AM6104" s="2">
        <v>17284.857057050602</v>
      </c>
      <c r="AN6104" s="2">
        <v>16688.470366470799</v>
      </c>
      <c r="AO6104" s="2">
        <v>12651.3539529311</v>
      </c>
      <c r="AP6104" s="2">
        <v>16644.921319205801</v>
      </c>
    </row>
    <row r="6105" spans="1:42" ht="14.5" x14ac:dyDescent="0.35">
      <c r="A6105" s="2" t="s">
        <v>40478</v>
      </c>
      <c r="B6105" s="2">
        <v>257.18972362620502</v>
      </c>
      <c r="C6105" s="2">
        <v>4.1056666666666697</v>
      </c>
      <c r="D6105" s="2" t="s">
        <v>34</v>
      </c>
      <c r="E6105" s="2" t="s">
        <v>40479</v>
      </c>
      <c r="F6105" s="2">
        <v>200236</v>
      </c>
      <c r="G6105" s="3" t="str">
        <f>HYPERLINK("http://funmeta.oebiotech.com/network/200236", "http://funmeta.oebiotech.com/network/200236")</f>
        <v>http://funmeta.oebiotech.com/network/200236</v>
      </c>
      <c r="H6105" s="2" t="s">
        <v>40480</v>
      </c>
      <c r="I6105" s="2">
        <v>65771</v>
      </c>
      <c r="J6105" s="2"/>
      <c r="K6105" s="2"/>
      <c r="L6105" s="2" t="s">
        <v>40481</v>
      </c>
      <c r="M6105" s="2"/>
      <c r="N6105" s="2"/>
      <c r="O6105" s="2">
        <v>439726</v>
      </c>
      <c r="P6105" s="2"/>
      <c r="Q6105" s="2" t="s">
        <v>40482</v>
      </c>
      <c r="R6105" s="2" t="s">
        <v>40483</v>
      </c>
      <c r="S6105" s="2" t="s">
        <v>50</v>
      </c>
      <c r="T6105" s="2" t="s">
        <v>124</v>
      </c>
      <c r="U6105" s="2" t="s">
        <v>2093</v>
      </c>
      <c r="V6105" s="2" t="s">
        <v>59</v>
      </c>
      <c r="W6105" s="2">
        <v>38.299999999999997</v>
      </c>
      <c r="X6105" s="2">
        <v>0</v>
      </c>
      <c r="Y6105" s="2" t="s">
        <v>394</v>
      </c>
      <c r="Z6105" s="2" t="s">
        <v>40484</v>
      </c>
      <c r="AA6105" s="2">
        <v>-1.04688965884873</v>
      </c>
      <c r="AB6105" s="2">
        <v>4.6627062237566699E-2</v>
      </c>
      <c r="AC6105" s="2">
        <v>1701.8443014632701</v>
      </c>
      <c r="AD6105" s="2">
        <v>1998.8535860255599</v>
      </c>
      <c r="AE6105" s="2">
        <v>1402.7127537885101</v>
      </c>
      <c r="AF6105" s="2">
        <v>2177.9312534562901</v>
      </c>
      <c r="AG6105" s="2">
        <v>1742.7486212899</v>
      </c>
      <c r="AH6105" s="2">
        <v>1222.9162847796499</v>
      </c>
      <c r="AI6105" s="2">
        <v>1797.38193453137</v>
      </c>
      <c r="AJ6105" s="2">
        <v>1867.37496093389</v>
      </c>
      <c r="AK6105" s="2">
        <v>2002.8672942574401</v>
      </c>
      <c r="AL6105" s="2">
        <v>1686.04719180354</v>
      </c>
      <c r="AM6105" s="2">
        <v>1734.3220865769599</v>
      </c>
      <c r="AN6105" s="2">
        <v>2301.8121993203899</v>
      </c>
      <c r="AO6105" s="2">
        <v>2044.5826477450801</v>
      </c>
      <c r="AP6105" s="2">
        <v>2223.4900964499202</v>
      </c>
    </row>
    <row r="6106" spans="1:42" ht="14.5" x14ac:dyDescent="0.35">
      <c r="A6106" s="2" t="s">
        <v>40485</v>
      </c>
      <c r="B6106" s="2">
        <v>592.28979982414705</v>
      </c>
      <c r="C6106" s="2">
        <v>8.0464500000000001</v>
      </c>
      <c r="D6106" s="2" t="s">
        <v>34</v>
      </c>
      <c r="E6106" s="2" t="s">
        <v>40486</v>
      </c>
      <c r="F6106" s="2">
        <v>206465</v>
      </c>
      <c r="G6106" s="3" t="str">
        <f>HYPERLINK("http://funmeta.oebiotech.com/network/206465", "http://funmeta.oebiotech.com/network/206465")</f>
        <v>http://funmeta.oebiotech.com/network/206465</v>
      </c>
      <c r="H6106" s="2" t="s">
        <v>40487</v>
      </c>
      <c r="I6106" s="2"/>
      <c r="J6106" s="2"/>
      <c r="K6106" s="2"/>
      <c r="L6106" s="2"/>
      <c r="M6106" s="2"/>
      <c r="N6106" s="2"/>
      <c r="O6106" s="2">
        <v>98255</v>
      </c>
      <c r="P6106" s="2"/>
      <c r="Q6106" s="2" t="s">
        <v>40488</v>
      </c>
      <c r="R6106" s="2" t="s">
        <v>40489</v>
      </c>
      <c r="S6106" s="2" t="s">
        <v>39</v>
      </c>
      <c r="T6106" s="2" t="s">
        <v>383</v>
      </c>
      <c r="U6106" s="2" t="s">
        <v>384</v>
      </c>
      <c r="V6106" s="2" t="s">
        <v>59</v>
      </c>
      <c r="W6106" s="2">
        <v>38.6</v>
      </c>
      <c r="X6106" s="2">
        <v>8.9499999999999993</v>
      </c>
      <c r="Y6106" s="2" t="s">
        <v>266</v>
      </c>
      <c r="Z6106" s="2" t="s">
        <v>40490</v>
      </c>
      <c r="AA6106" s="2">
        <v>-3.33384975305581</v>
      </c>
      <c r="AB6106" s="2">
        <v>4.6579952671701598E-2</v>
      </c>
      <c r="AC6106" s="2">
        <v>152561.96018920999</v>
      </c>
      <c r="AD6106" s="2">
        <v>151141.155887567</v>
      </c>
      <c r="AE6106" s="2">
        <v>157388.46378765599</v>
      </c>
      <c r="AF6106" s="2">
        <v>157408.17109044999</v>
      </c>
      <c r="AG6106" s="2">
        <v>143704.86847561499</v>
      </c>
      <c r="AH6106" s="2">
        <v>162499.33635311999</v>
      </c>
      <c r="AI6106" s="2">
        <v>146907.91351989901</v>
      </c>
      <c r="AJ6106" s="2">
        <v>147463.00790852099</v>
      </c>
      <c r="AK6106" s="2">
        <v>143378.862263838</v>
      </c>
      <c r="AL6106" s="2">
        <v>158076.574997499</v>
      </c>
      <c r="AM6106" s="2">
        <v>159813.14811104399</v>
      </c>
      <c r="AN6106" s="2">
        <v>144608.94184906801</v>
      </c>
      <c r="AO6106" s="2">
        <v>159003.394828825</v>
      </c>
      <c r="AP6106" s="2">
        <v>141966.013275126</v>
      </c>
    </row>
    <row r="6107" spans="1:42" ht="14.5" x14ac:dyDescent="0.35">
      <c r="A6107" s="2" t="s">
        <v>40491</v>
      </c>
      <c r="B6107" s="2">
        <v>217.19496008480701</v>
      </c>
      <c r="C6107" s="2">
        <v>6.0057166666666699</v>
      </c>
      <c r="D6107" s="2" t="s">
        <v>34</v>
      </c>
      <c r="E6107" s="2" t="s">
        <v>40492</v>
      </c>
      <c r="F6107" s="2">
        <v>60274</v>
      </c>
      <c r="G6107" s="3" t="str">
        <f>HYPERLINK("http://funmeta.oebiotech.com/network/60274", "http://funmeta.oebiotech.com/network/60274")</f>
        <v>http://funmeta.oebiotech.com/network/60274</v>
      </c>
      <c r="H6107" s="2" t="s">
        <v>40493</v>
      </c>
      <c r="I6107" s="2"/>
      <c r="J6107" s="2"/>
      <c r="K6107" s="2"/>
      <c r="L6107" s="2" t="s">
        <v>40494</v>
      </c>
      <c r="M6107" s="2"/>
      <c r="N6107" s="2"/>
      <c r="O6107" s="2">
        <v>131752013</v>
      </c>
      <c r="P6107" s="2" t="s">
        <v>40495</v>
      </c>
      <c r="Q6107" s="2" t="s">
        <v>40496</v>
      </c>
      <c r="R6107" s="2" t="s">
        <v>40497</v>
      </c>
      <c r="S6107" s="2" t="s">
        <v>50</v>
      </c>
      <c r="T6107" s="2" t="s">
        <v>201</v>
      </c>
      <c r="U6107" s="2" t="s">
        <v>636</v>
      </c>
      <c r="V6107" s="2" t="s">
        <v>59</v>
      </c>
      <c r="W6107" s="2">
        <v>38.200000000000003</v>
      </c>
      <c r="X6107" s="2">
        <v>0</v>
      </c>
      <c r="Y6107" s="2" t="s">
        <v>394</v>
      </c>
      <c r="Z6107" s="2" t="s">
        <v>40498</v>
      </c>
      <c r="AA6107" s="2">
        <v>-0.54173673206468298</v>
      </c>
      <c r="AB6107" s="2">
        <v>4.6577684513081398E-2</v>
      </c>
      <c r="AC6107" s="2">
        <v>1945.7105083686899</v>
      </c>
      <c r="AD6107" s="2">
        <v>1592.64462399731</v>
      </c>
      <c r="AE6107" s="2">
        <v>2558.1815889403201</v>
      </c>
      <c r="AF6107" s="2">
        <v>1817.24417528135</v>
      </c>
      <c r="AG6107" s="2">
        <v>2187.0494285382201</v>
      </c>
      <c r="AH6107" s="2">
        <v>1423.8291914777301</v>
      </c>
      <c r="AI6107" s="2">
        <v>2131.80586848028</v>
      </c>
      <c r="AJ6107" s="2">
        <v>1556.1527974942101</v>
      </c>
      <c r="AK6107" s="2">
        <v>1709.97370057849</v>
      </c>
      <c r="AL6107" s="2">
        <v>1362.1745669675599</v>
      </c>
      <c r="AM6107" s="2">
        <v>2205.1782103434198</v>
      </c>
      <c r="AN6107" s="2">
        <v>1692.6426245657401</v>
      </c>
      <c r="AO6107" s="2">
        <v>867.18408447361298</v>
      </c>
      <c r="AP6107" s="2">
        <v>1718.7145570550499</v>
      </c>
    </row>
    <row r="6108" spans="1:42" ht="14.5" x14ac:dyDescent="0.35">
      <c r="A6108" s="2" t="s">
        <v>40499</v>
      </c>
      <c r="B6108" s="2">
        <v>733.41292843926101</v>
      </c>
      <c r="C6108" s="2">
        <v>11.3852666666667</v>
      </c>
      <c r="D6108" s="2" t="s">
        <v>34</v>
      </c>
      <c r="E6108" s="2" t="s">
        <v>40500</v>
      </c>
      <c r="F6108" s="2">
        <v>10241</v>
      </c>
      <c r="G6108" s="3" t="str">
        <f>HYPERLINK("http://funmeta.oebiotech.com/network/10241", "http://funmeta.oebiotech.com/network/10241")</f>
        <v>http://funmeta.oebiotech.com/network/10241</v>
      </c>
      <c r="H6108" s="2"/>
      <c r="I6108" s="2">
        <v>46609</v>
      </c>
      <c r="J6108" s="2" t="s">
        <v>40501</v>
      </c>
      <c r="K6108" s="2">
        <v>51077</v>
      </c>
      <c r="L6108" s="2"/>
      <c r="M6108" s="2"/>
      <c r="N6108" s="2"/>
      <c r="O6108" s="2">
        <v>25058168</v>
      </c>
      <c r="P6108" s="2"/>
      <c r="Q6108" s="2" t="s">
        <v>40502</v>
      </c>
      <c r="R6108" s="2" t="s">
        <v>40503</v>
      </c>
      <c r="S6108" s="2" t="s">
        <v>50</v>
      </c>
      <c r="T6108" s="2" t="s">
        <v>229</v>
      </c>
      <c r="U6108" s="2" t="s">
        <v>230</v>
      </c>
      <c r="V6108" s="2" t="s">
        <v>59</v>
      </c>
      <c r="W6108" s="2">
        <v>37.799999999999997</v>
      </c>
      <c r="X6108" s="2">
        <v>0</v>
      </c>
      <c r="Y6108" s="2" t="s">
        <v>340</v>
      </c>
      <c r="Z6108" s="2" t="s">
        <v>40504</v>
      </c>
      <c r="AA6108" s="2">
        <v>-0.82340176677181398</v>
      </c>
      <c r="AB6108" s="2">
        <v>4.65607918410628E-2</v>
      </c>
      <c r="AC6108" s="2">
        <v>12714.196470880401</v>
      </c>
      <c r="AD6108" s="2">
        <v>13485.277817645199</v>
      </c>
      <c r="AE6108" s="2">
        <v>13483.656438039599</v>
      </c>
      <c r="AF6108" s="2">
        <v>12710.485300292199</v>
      </c>
      <c r="AG6108" s="2">
        <v>13422.2318689689</v>
      </c>
      <c r="AH6108" s="2">
        <v>11874.7478383286</v>
      </c>
      <c r="AI6108" s="2">
        <v>12726.4226742385</v>
      </c>
      <c r="AJ6108" s="2">
        <v>12067.634705414701</v>
      </c>
      <c r="AK6108" s="2">
        <v>18135.663950854301</v>
      </c>
      <c r="AL6108" s="2">
        <v>10924.831614974401</v>
      </c>
      <c r="AM6108" s="2">
        <v>9284.7962531274497</v>
      </c>
      <c r="AN6108" s="2">
        <v>14401.621816578099</v>
      </c>
      <c r="AO6108" s="2">
        <v>13992.0966078812</v>
      </c>
      <c r="AP6108" s="2">
        <v>14172.6566624557</v>
      </c>
    </row>
    <row r="6109" spans="1:42" ht="14.5" x14ac:dyDescent="0.35">
      <c r="A6109" s="2" t="s">
        <v>40505</v>
      </c>
      <c r="B6109" s="2">
        <v>913.51266673940995</v>
      </c>
      <c r="C6109" s="2">
        <v>11.2503166666667</v>
      </c>
      <c r="D6109" s="2" t="s">
        <v>34</v>
      </c>
      <c r="E6109" s="2" t="s">
        <v>40506</v>
      </c>
      <c r="F6109" s="2">
        <v>63802</v>
      </c>
      <c r="G6109" s="3" t="str">
        <f>HYPERLINK("http://funmeta.oebiotech.com/network/63802", "http://funmeta.oebiotech.com/network/63802")</f>
        <v>http://funmeta.oebiotech.com/network/63802</v>
      </c>
      <c r="H6109" s="2" t="s">
        <v>40507</v>
      </c>
      <c r="I6109" s="2">
        <v>95137</v>
      </c>
      <c r="J6109" s="2"/>
      <c r="K6109" s="2"/>
      <c r="L6109" s="2"/>
      <c r="M6109" s="2"/>
      <c r="N6109" s="2"/>
      <c r="O6109" s="2">
        <v>131752893</v>
      </c>
      <c r="P6109" s="2" t="s">
        <v>40508</v>
      </c>
      <c r="Q6109" s="2" t="s">
        <v>40509</v>
      </c>
      <c r="R6109" s="2" t="s">
        <v>40510</v>
      </c>
      <c r="S6109" s="2" t="s">
        <v>50</v>
      </c>
      <c r="T6109" s="2" t="s">
        <v>201</v>
      </c>
      <c r="U6109" s="2" t="s">
        <v>210</v>
      </c>
      <c r="V6109" s="2" t="s">
        <v>59</v>
      </c>
      <c r="W6109" s="2">
        <v>37.700000000000003</v>
      </c>
      <c r="X6109" s="2">
        <v>0</v>
      </c>
      <c r="Y6109" s="2" t="s">
        <v>141</v>
      </c>
      <c r="Z6109" s="2" t="s">
        <v>40511</v>
      </c>
      <c r="AA6109" s="2">
        <v>-3.0742679044572898</v>
      </c>
      <c r="AB6109" s="2">
        <v>4.6547938146629601E-2</v>
      </c>
      <c r="AC6109" s="2">
        <v>28539.404058238099</v>
      </c>
      <c r="AD6109" s="2">
        <v>27659.476680107899</v>
      </c>
      <c r="AE6109" s="2">
        <v>28571.395193023902</v>
      </c>
      <c r="AF6109" s="2">
        <v>28126.891923341002</v>
      </c>
      <c r="AG6109" s="2">
        <v>29934.268224256299</v>
      </c>
      <c r="AH6109" s="2">
        <v>26355.642184842101</v>
      </c>
      <c r="AI6109" s="2">
        <v>25342.397333717799</v>
      </c>
      <c r="AJ6109" s="2">
        <v>32905.829490247801</v>
      </c>
      <c r="AK6109" s="2">
        <v>24426.7787292754</v>
      </c>
      <c r="AL6109" s="2">
        <v>32245.8716495392</v>
      </c>
      <c r="AM6109" s="2">
        <v>24033.8298562981</v>
      </c>
      <c r="AN6109" s="2">
        <v>30976.636241945602</v>
      </c>
      <c r="AO6109" s="2">
        <v>28673.835324395899</v>
      </c>
      <c r="AP6109" s="2">
        <v>25599.9082791935</v>
      </c>
    </row>
    <row r="6110" spans="1:42" ht="14.5" x14ac:dyDescent="0.35">
      <c r="A6110" s="2" t="s">
        <v>40512</v>
      </c>
      <c r="B6110" s="2">
        <v>577.22760650348505</v>
      </c>
      <c r="C6110" s="2">
        <v>5.5064166666666701</v>
      </c>
      <c r="D6110" s="2" t="s">
        <v>70</v>
      </c>
      <c r="E6110" s="2" t="s">
        <v>40513</v>
      </c>
      <c r="F6110" s="2">
        <v>55754</v>
      </c>
      <c r="G6110" s="3" t="str">
        <f>HYPERLINK("http://funmeta.oebiotech.com/network/55754", "http://funmeta.oebiotech.com/network/55754")</f>
        <v>http://funmeta.oebiotech.com/network/55754</v>
      </c>
      <c r="H6110" s="2" t="s">
        <v>40514</v>
      </c>
      <c r="I6110" s="2">
        <v>87439</v>
      </c>
      <c r="J6110" s="2"/>
      <c r="K6110" s="2"/>
      <c r="L6110" s="2"/>
      <c r="M6110" s="2"/>
      <c r="N6110" s="2"/>
      <c r="O6110" s="2">
        <v>13942818</v>
      </c>
      <c r="P6110" s="2" t="s">
        <v>40515</v>
      </c>
      <c r="Q6110" s="2" t="s">
        <v>40516</v>
      </c>
      <c r="R6110" s="2" t="s">
        <v>40517</v>
      </c>
      <c r="S6110" s="2" t="s">
        <v>491</v>
      </c>
      <c r="T6110" s="2" t="s">
        <v>2251</v>
      </c>
      <c r="U6110" s="2" t="s">
        <v>2252</v>
      </c>
      <c r="V6110" s="2" t="s">
        <v>59</v>
      </c>
      <c r="W6110" s="2">
        <v>38.1</v>
      </c>
      <c r="X6110" s="2">
        <v>0</v>
      </c>
      <c r="Y6110" s="2" t="s">
        <v>408</v>
      </c>
      <c r="Z6110" s="2" t="s">
        <v>2336</v>
      </c>
      <c r="AA6110" s="2">
        <v>-2.7125760233994698</v>
      </c>
      <c r="AB6110" s="2">
        <v>4.6487339596260203E-2</v>
      </c>
      <c r="AC6110" s="2">
        <v>2965.2139280358501</v>
      </c>
      <c r="AD6110" s="2">
        <v>2588.0883459719698</v>
      </c>
      <c r="AE6110" s="2">
        <v>2999.3805375552101</v>
      </c>
      <c r="AF6110" s="2">
        <v>2829.0290806900198</v>
      </c>
      <c r="AG6110" s="2">
        <v>3316.0728662903798</v>
      </c>
      <c r="AH6110" s="2">
        <v>2304.7340662808901</v>
      </c>
      <c r="AI6110" s="2">
        <v>2744.7199602348001</v>
      </c>
      <c r="AJ6110" s="2">
        <v>3597.3470571637699</v>
      </c>
      <c r="AK6110" s="2">
        <v>2652.1244397496498</v>
      </c>
      <c r="AL6110" s="2">
        <v>2731.8380329677998</v>
      </c>
      <c r="AM6110" s="2">
        <v>2576.0741430800999</v>
      </c>
      <c r="AN6110" s="2">
        <v>3445.6819423868901</v>
      </c>
      <c r="AO6110" s="2">
        <v>1688.01756854716</v>
      </c>
      <c r="AP6110" s="2">
        <v>2434.7939491002398</v>
      </c>
    </row>
    <row r="6111" spans="1:42" ht="14.5" x14ac:dyDescent="0.35">
      <c r="A6111" s="2" t="s">
        <v>40518</v>
      </c>
      <c r="B6111" s="2">
        <v>561.275119436713</v>
      </c>
      <c r="C6111" s="2">
        <v>6.4626999999999999</v>
      </c>
      <c r="D6111" s="2" t="s">
        <v>70</v>
      </c>
      <c r="E6111" s="2" t="s">
        <v>40519</v>
      </c>
      <c r="F6111" s="2">
        <v>55131</v>
      </c>
      <c r="G6111" s="3" t="str">
        <f>HYPERLINK("http://funmeta.oebiotech.com/network/55131", "http://funmeta.oebiotech.com/network/55131")</f>
        <v>http://funmeta.oebiotech.com/network/55131</v>
      </c>
      <c r="H6111" s="2" t="s">
        <v>40520</v>
      </c>
      <c r="I6111" s="2">
        <v>86881</v>
      </c>
      <c r="J6111" s="2"/>
      <c r="K6111" s="2"/>
      <c r="L6111" s="2"/>
      <c r="M6111" s="2"/>
      <c r="N6111" s="2"/>
      <c r="O6111" s="2">
        <v>5319512</v>
      </c>
      <c r="P6111" s="2" t="s">
        <v>40521</v>
      </c>
      <c r="Q6111" s="2" t="s">
        <v>40522</v>
      </c>
      <c r="R6111" s="2" t="s">
        <v>40523</v>
      </c>
      <c r="S6111" s="2" t="s">
        <v>39</v>
      </c>
      <c r="T6111" s="2" t="s">
        <v>22949</v>
      </c>
      <c r="U6111" s="2" t="s">
        <v>41</v>
      </c>
      <c r="V6111" s="2" t="s">
        <v>59</v>
      </c>
      <c r="W6111" s="2">
        <v>38.200000000000003</v>
      </c>
      <c r="X6111" s="2">
        <v>0</v>
      </c>
      <c r="Y6111" s="2" t="s">
        <v>560</v>
      </c>
      <c r="Z6111" s="2" t="s">
        <v>40524</v>
      </c>
      <c r="AA6111" s="2">
        <v>-1.3549005988170499</v>
      </c>
      <c r="AB6111" s="2">
        <v>4.6413167689126601E-2</v>
      </c>
      <c r="AC6111" s="2">
        <v>2815.9362130137802</v>
      </c>
      <c r="AD6111" s="2">
        <v>2368.2726156506801</v>
      </c>
      <c r="AE6111" s="2">
        <v>2799.1571144354598</v>
      </c>
      <c r="AF6111" s="2">
        <v>2258.0376625894701</v>
      </c>
      <c r="AG6111" s="2">
        <v>4475.8833832086702</v>
      </c>
      <c r="AH6111" s="2">
        <v>3028.9412724977601</v>
      </c>
      <c r="AI6111" s="2">
        <v>2581.2126348808101</v>
      </c>
      <c r="AJ6111" s="2">
        <v>1752.38521047052</v>
      </c>
      <c r="AK6111" s="2">
        <v>1897.0580775855201</v>
      </c>
      <c r="AL6111" s="2">
        <v>2531.4176696446498</v>
      </c>
      <c r="AM6111" s="2">
        <v>2993.9137304474302</v>
      </c>
      <c r="AN6111" s="2">
        <v>1622.40946734872</v>
      </c>
      <c r="AO6111" s="2">
        <v>2764.3545878791001</v>
      </c>
      <c r="AP6111" s="2">
        <v>2400.4821609986502</v>
      </c>
    </row>
    <row r="6112" spans="1:42" ht="14.5" x14ac:dyDescent="0.35">
      <c r="A6112" s="2" t="s">
        <v>40525</v>
      </c>
      <c r="B6112" s="2">
        <v>266.248038220078</v>
      </c>
      <c r="C6112" s="2">
        <v>11.270016666666701</v>
      </c>
      <c r="D6112" s="2" t="s">
        <v>34</v>
      </c>
      <c r="E6112" s="2" t="s">
        <v>40526</v>
      </c>
      <c r="F6112" s="2">
        <v>55645</v>
      </c>
      <c r="G6112" s="3" t="str">
        <f>HYPERLINK("http://funmeta.oebiotech.com/network/55645", "http://funmeta.oebiotech.com/network/55645")</f>
        <v>http://funmeta.oebiotech.com/network/55645</v>
      </c>
      <c r="H6112" s="2" t="s">
        <v>40527</v>
      </c>
      <c r="I6112" s="2">
        <v>87297</v>
      </c>
      <c r="J6112" s="2"/>
      <c r="K6112" s="2"/>
      <c r="L6112" s="2"/>
      <c r="M6112" s="2"/>
      <c r="N6112" s="2"/>
      <c r="O6112" s="2">
        <v>6857792</v>
      </c>
      <c r="P6112" s="2" t="s">
        <v>40528</v>
      </c>
      <c r="Q6112" s="2" t="s">
        <v>40529</v>
      </c>
      <c r="R6112" s="2" t="s">
        <v>40530</v>
      </c>
      <c r="S6112" s="2" t="s">
        <v>491</v>
      </c>
      <c r="T6112" s="2" t="s">
        <v>2621</v>
      </c>
      <c r="U6112" s="2" t="s">
        <v>41</v>
      </c>
      <c r="V6112" s="2" t="s">
        <v>59</v>
      </c>
      <c r="W6112" s="2">
        <v>38.299999999999997</v>
      </c>
      <c r="X6112" s="2">
        <v>0</v>
      </c>
      <c r="Y6112" s="2" t="s">
        <v>43</v>
      </c>
      <c r="Z6112" s="2" t="s">
        <v>40531</v>
      </c>
      <c r="AA6112" s="2">
        <v>0.79436512814930704</v>
      </c>
      <c r="AB6112" s="2">
        <v>4.63759868548035E-2</v>
      </c>
      <c r="AC6112" s="2">
        <v>768.72643979726695</v>
      </c>
      <c r="AD6112" s="2">
        <v>496.86814928756797</v>
      </c>
      <c r="AE6112" s="2">
        <v>1034.87665746738</v>
      </c>
      <c r="AF6112" s="2">
        <v>491.93855590764002</v>
      </c>
      <c r="AG6112" s="2">
        <v>693.462392418229</v>
      </c>
      <c r="AH6112" s="2">
        <v>778.39868444639603</v>
      </c>
      <c r="AI6112" s="2">
        <v>992.86384828767905</v>
      </c>
      <c r="AJ6112" s="2">
        <v>620.81850025627898</v>
      </c>
      <c r="AK6112" s="2">
        <v>283.29419166103099</v>
      </c>
      <c r="AL6112" s="2">
        <v>745.573202931428</v>
      </c>
      <c r="AM6112" s="2">
        <v>433.56677916474598</v>
      </c>
      <c r="AN6112" s="2">
        <v>883.36957184904497</v>
      </c>
      <c r="AO6112" s="2">
        <v>200.717393535121</v>
      </c>
      <c r="AP6112" s="2">
        <v>434.68775658404002</v>
      </c>
    </row>
    <row r="6113" spans="1:42" ht="14.5" x14ac:dyDescent="0.35">
      <c r="A6113" s="2" t="s">
        <v>40532</v>
      </c>
      <c r="B6113" s="2">
        <v>186.076338395926</v>
      </c>
      <c r="C6113" s="2">
        <v>1.4654833333333299</v>
      </c>
      <c r="D6113" s="2" t="s">
        <v>70</v>
      </c>
      <c r="E6113" s="2" t="s">
        <v>40533</v>
      </c>
      <c r="F6113" s="2">
        <v>199222</v>
      </c>
      <c r="G6113" s="3" t="str">
        <f>HYPERLINK("http://funmeta.oebiotech.com/network/199222", "http://funmeta.oebiotech.com/network/199222")</f>
        <v>http://funmeta.oebiotech.com/network/199222</v>
      </c>
      <c r="H6113" s="2" t="s">
        <v>40534</v>
      </c>
      <c r="I6113" s="2"/>
      <c r="J6113" s="2"/>
      <c r="K6113" s="2"/>
      <c r="L6113" s="2"/>
      <c r="M6113" s="2"/>
      <c r="N6113" s="2"/>
      <c r="O6113" s="2">
        <v>130846</v>
      </c>
      <c r="P6113" s="2"/>
      <c r="Q6113" s="2" t="s">
        <v>40535</v>
      </c>
      <c r="R6113" s="2" t="s">
        <v>40536</v>
      </c>
      <c r="S6113" s="2" t="s">
        <v>89</v>
      </c>
      <c r="T6113" s="2" t="s">
        <v>90</v>
      </c>
      <c r="U6113" s="2" t="s">
        <v>99</v>
      </c>
      <c r="V6113" s="2" t="s">
        <v>59</v>
      </c>
      <c r="W6113" s="2">
        <v>43.2</v>
      </c>
      <c r="X6113" s="2">
        <v>23.7</v>
      </c>
      <c r="Y6113" s="2" t="s">
        <v>118</v>
      </c>
      <c r="Z6113" s="2" t="s">
        <v>11269</v>
      </c>
      <c r="AA6113" s="2">
        <v>-4.5063712601964996</v>
      </c>
      <c r="AB6113" s="2">
        <v>4.6300311506840497E-2</v>
      </c>
      <c r="AC6113" s="2">
        <v>14516.4976621111</v>
      </c>
      <c r="AD6113" s="2">
        <v>15007.096723696701</v>
      </c>
      <c r="AE6113" s="2">
        <v>13806.392631287399</v>
      </c>
      <c r="AF6113" s="2">
        <v>14649.6574270661</v>
      </c>
      <c r="AG6113" s="2">
        <v>14148.708133444299</v>
      </c>
      <c r="AH6113" s="2">
        <v>14591.0000498311</v>
      </c>
      <c r="AI6113" s="2">
        <v>15113.8291120023</v>
      </c>
      <c r="AJ6113" s="2">
        <v>14789.398619035601</v>
      </c>
      <c r="AK6113" s="2">
        <v>14248.621554688199</v>
      </c>
      <c r="AL6113" s="2">
        <v>16275.518361214699</v>
      </c>
      <c r="AM6113" s="2">
        <v>13505.237499184601</v>
      </c>
      <c r="AN6113" s="2">
        <v>14572.800929931</v>
      </c>
      <c r="AO6113" s="2">
        <v>16554.553131692399</v>
      </c>
      <c r="AP6113" s="2">
        <v>14885.848865469199</v>
      </c>
    </row>
    <row r="6114" spans="1:42" ht="14.5" x14ac:dyDescent="0.35">
      <c r="A6114" s="2" t="s">
        <v>40537</v>
      </c>
      <c r="B6114" s="2">
        <v>195.06555555972599</v>
      </c>
      <c r="C6114" s="2">
        <v>1.4654833333333299</v>
      </c>
      <c r="D6114" s="2" t="s">
        <v>70</v>
      </c>
      <c r="E6114" s="2" t="s">
        <v>40538</v>
      </c>
      <c r="F6114" s="2">
        <v>52447</v>
      </c>
      <c r="G6114" s="3" t="str">
        <f>HYPERLINK("http://funmeta.oebiotech.com/network/52447", "http://funmeta.oebiotech.com/network/52447")</f>
        <v>http://funmeta.oebiotech.com/network/52447</v>
      </c>
      <c r="H6114" s="2" t="s">
        <v>40539</v>
      </c>
      <c r="I6114" s="2">
        <v>85262</v>
      </c>
      <c r="J6114" s="2"/>
      <c r="K6114" s="2">
        <v>207496</v>
      </c>
      <c r="L6114" s="2" t="s">
        <v>40540</v>
      </c>
      <c r="M6114" s="2" t="s">
        <v>9651</v>
      </c>
      <c r="N6114" s="2" t="s">
        <v>9652</v>
      </c>
      <c r="O6114" s="2">
        <v>7361</v>
      </c>
      <c r="P6114" s="2" t="s">
        <v>40541</v>
      </c>
      <c r="Q6114" s="2" t="s">
        <v>40542</v>
      </c>
      <c r="R6114" s="2" t="s">
        <v>40543</v>
      </c>
      <c r="S6114" s="2" t="s">
        <v>491</v>
      </c>
      <c r="T6114" s="2" t="s">
        <v>2621</v>
      </c>
      <c r="U6114" s="2" t="s">
        <v>41</v>
      </c>
      <c r="V6114" s="2" t="s">
        <v>59</v>
      </c>
      <c r="W6114" s="2">
        <v>38</v>
      </c>
      <c r="X6114" s="2">
        <v>0</v>
      </c>
      <c r="Y6114" s="2" t="s">
        <v>560</v>
      </c>
      <c r="Z6114" s="2" t="s">
        <v>40544</v>
      </c>
      <c r="AA6114" s="2">
        <v>-3.7071360294686002</v>
      </c>
      <c r="AB6114" s="2">
        <v>4.6256761478627097E-2</v>
      </c>
      <c r="AC6114" s="2">
        <v>1202.16391257142</v>
      </c>
      <c r="AD6114" s="2">
        <v>1004.25378701223</v>
      </c>
      <c r="AE6114" s="2">
        <v>1262.3971426747</v>
      </c>
      <c r="AF6114" s="2">
        <v>1124.94757528838</v>
      </c>
      <c r="AG6114" s="2">
        <v>1052.97630446679</v>
      </c>
      <c r="AH6114" s="2">
        <v>1160.9585028256499</v>
      </c>
      <c r="AI6114" s="2">
        <v>1333.41879346372</v>
      </c>
      <c r="AJ6114" s="2">
        <v>1278.28515670927</v>
      </c>
      <c r="AK6114" s="2">
        <v>1027.61136413754</v>
      </c>
      <c r="AL6114" s="2">
        <v>922.77670313634303</v>
      </c>
      <c r="AM6114" s="2">
        <v>961.66189878956902</v>
      </c>
      <c r="AN6114" s="2">
        <v>919.11563404550998</v>
      </c>
      <c r="AO6114" s="2">
        <v>993.51353189153599</v>
      </c>
      <c r="AP6114" s="2">
        <v>1200.84359007289</v>
      </c>
    </row>
    <row r="6115" spans="1:42" ht="14.5" x14ac:dyDescent="0.35">
      <c r="A6115" s="2" t="s">
        <v>40545</v>
      </c>
      <c r="B6115" s="2">
        <v>325.125818613577</v>
      </c>
      <c r="C6115" s="2">
        <v>3.56836666666667</v>
      </c>
      <c r="D6115" s="2" t="s">
        <v>34</v>
      </c>
      <c r="E6115" s="2" t="s">
        <v>40546</v>
      </c>
      <c r="F6115" s="2">
        <v>63628</v>
      </c>
      <c r="G6115" s="3" t="str">
        <f>HYPERLINK("http://funmeta.oebiotech.com/network/63628", "http://funmeta.oebiotech.com/network/63628")</f>
        <v>http://funmeta.oebiotech.com/network/63628</v>
      </c>
      <c r="H6115" s="2" t="s">
        <v>40547</v>
      </c>
      <c r="I6115" s="2">
        <v>94963</v>
      </c>
      <c r="J6115" s="2"/>
      <c r="K6115" s="2">
        <v>167937</v>
      </c>
      <c r="L6115" s="2"/>
      <c r="M6115" s="2"/>
      <c r="N6115" s="2"/>
      <c r="O6115" s="2">
        <v>85101044</v>
      </c>
      <c r="P6115" s="2"/>
      <c r="Q6115" s="2" t="s">
        <v>40548</v>
      </c>
      <c r="R6115" s="2" t="s">
        <v>40549</v>
      </c>
      <c r="S6115" s="2" t="s">
        <v>89</v>
      </c>
      <c r="T6115" s="2" t="s">
        <v>90</v>
      </c>
      <c r="U6115" s="2" t="s">
        <v>91</v>
      </c>
      <c r="V6115" s="2" t="s">
        <v>59</v>
      </c>
      <c r="W6115" s="2">
        <v>37.799999999999997</v>
      </c>
      <c r="X6115" s="2">
        <v>0</v>
      </c>
      <c r="Y6115" s="2" t="s">
        <v>323</v>
      </c>
      <c r="Z6115" s="2" t="s">
        <v>40550</v>
      </c>
      <c r="AA6115" s="2">
        <v>0.148578900236532</v>
      </c>
      <c r="AB6115" s="2">
        <v>4.62403673399484E-2</v>
      </c>
      <c r="AC6115" s="2">
        <v>1223.3688174203601</v>
      </c>
      <c r="AD6115" s="2">
        <v>1532.60137297096</v>
      </c>
      <c r="AE6115" s="2">
        <v>1654.7402044329999</v>
      </c>
      <c r="AF6115" s="2">
        <v>1516.9902001109899</v>
      </c>
      <c r="AG6115" s="2">
        <v>960.16146332827805</v>
      </c>
      <c r="AH6115" s="2">
        <v>1065.6114364983</v>
      </c>
      <c r="AI6115" s="2">
        <v>1060.2795912080901</v>
      </c>
      <c r="AJ6115" s="2">
        <v>1082.4300089435001</v>
      </c>
      <c r="AK6115" s="2">
        <v>1584.26491686134</v>
      </c>
      <c r="AL6115" s="2">
        <v>1864.7267636100801</v>
      </c>
      <c r="AM6115" s="2">
        <v>920.25073787563394</v>
      </c>
      <c r="AN6115" s="2">
        <v>1735.1435040163501</v>
      </c>
      <c r="AO6115" s="2">
        <v>1307.6949917009599</v>
      </c>
      <c r="AP6115" s="2">
        <v>1783.5273237613701</v>
      </c>
    </row>
    <row r="6116" spans="1:42" ht="14.5" x14ac:dyDescent="0.35">
      <c r="A6116" s="2" t="s">
        <v>40551</v>
      </c>
      <c r="B6116" s="2">
        <v>301.20184449418798</v>
      </c>
      <c r="C6116" s="2">
        <v>10.648149999999999</v>
      </c>
      <c r="D6116" s="2" t="s">
        <v>70</v>
      </c>
      <c r="E6116" s="2" t="s">
        <v>40552</v>
      </c>
      <c r="F6116" s="2">
        <v>64024</v>
      </c>
      <c r="G6116" s="3" t="str">
        <f>HYPERLINK("http://funmeta.oebiotech.com/network/64024", "http://funmeta.oebiotech.com/network/64024")</f>
        <v>http://funmeta.oebiotech.com/network/64024</v>
      </c>
      <c r="H6116" s="2" t="s">
        <v>40553</v>
      </c>
      <c r="I6116" s="2">
        <v>95356</v>
      </c>
      <c r="J6116" s="2"/>
      <c r="K6116" s="2">
        <v>172500</v>
      </c>
      <c r="L6116" s="2"/>
      <c r="M6116" s="2"/>
      <c r="N6116" s="2"/>
      <c r="O6116" s="2">
        <v>131752981</v>
      </c>
      <c r="P6116" s="2" t="s">
        <v>40554</v>
      </c>
      <c r="Q6116" s="2" t="s">
        <v>40555</v>
      </c>
      <c r="R6116" s="2" t="s">
        <v>40556</v>
      </c>
      <c r="S6116" s="2" t="s">
        <v>50</v>
      </c>
      <c r="T6116" s="2" t="s">
        <v>201</v>
      </c>
      <c r="U6116" s="2" t="s">
        <v>636</v>
      </c>
      <c r="V6116" s="2" t="s">
        <v>42</v>
      </c>
      <c r="W6116" s="2">
        <v>54.3</v>
      </c>
      <c r="X6116" s="2">
        <v>76.2</v>
      </c>
      <c r="Y6116" s="2" t="s">
        <v>408</v>
      </c>
      <c r="Z6116" s="2" t="s">
        <v>31758</v>
      </c>
      <c r="AA6116" s="2">
        <v>-0.79285481430536897</v>
      </c>
      <c r="AB6116" s="2">
        <v>4.6227437266906E-2</v>
      </c>
      <c r="AC6116" s="2">
        <v>5182.8948293276599</v>
      </c>
      <c r="AD6116" s="2">
        <v>4754.0232649194804</v>
      </c>
      <c r="AE6116" s="2">
        <v>4987.6279904399898</v>
      </c>
      <c r="AF6116" s="2">
        <v>4216.25109553319</v>
      </c>
      <c r="AG6116" s="2">
        <v>4742.0635915435296</v>
      </c>
      <c r="AH6116" s="2">
        <v>5958.7724072250403</v>
      </c>
      <c r="AI6116" s="2">
        <v>6499.3938518616596</v>
      </c>
      <c r="AJ6116" s="2">
        <v>4693.2600393625198</v>
      </c>
      <c r="AK6116" s="2">
        <v>4577.3185416814404</v>
      </c>
      <c r="AL6116" s="2">
        <v>4896.4850849239201</v>
      </c>
      <c r="AM6116" s="2">
        <v>5208.0972465740497</v>
      </c>
      <c r="AN6116" s="2">
        <v>4409.9530960029897</v>
      </c>
      <c r="AO6116" s="2">
        <v>4696.5289708841901</v>
      </c>
      <c r="AP6116" s="2">
        <v>4735.7566494502698</v>
      </c>
    </row>
    <row r="6117" spans="1:42" ht="14.5" x14ac:dyDescent="0.35">
      <c r="A6117" s="2" t="s">
        <v>40557</v>
      </c>
      <c r="B6117" s="2">
        <v>249.07553106152599</v>
      </c>
      <c r="C6117" s="2">
        <v>4.4128166666666697</v>
      </c>
      <c r="D6117" s="2" t="s">
        <v>34</v>
      </c>
      <c r="E6117" s="2" t="s">
        <v>40558</v>
      </c>
      <c r="F6117" s="2">
        <v>206622</v>
      </c>
      <c r="G6117" s="3" t="str">
        <f>HYPERLINK("http://funmeta.oebiotech.com/network/206622", "http://funmeta.oebiotech.com/network/206622")</f>
        <v>http://funmeta.oebiotech.com/network/206622</v>
      </c>
      <c r="H6117" s="2" t="s">
        <v>40559</v>
      </c>
      <c r="I6117" s="2">
        <v>345967</v>
      </c>
      <c r="J6117" s="2"/>
      <c r="K6117" s="2"/>
      <c r="L6117" s="2"/>
      <c r="M6117" s="2"/>
      <c r="N6117" s="2"/>
      <c r="O6117" s="2">
        <v>6168</v>
      </c>
      <c r="P6117" s="2"/>
      <c r="Q6117" s="2" t="s">
        <v>40560</v>
      </c>
      <c r="R6117" s="2" t="s">
        <v>40561</v>
      </c>
      <c r="S6117" s="2" t="s">
        <v>89</v>
      </c>
      <c r="T6117" s="2" t="s">
        <v>90</v>
      </c>
      <c r="U6117" s="2" t="s">
        <v>401</v>
      </c>
      <c r="V6117" s="2" t="s">
        <v>59</v>
      </c>
      <c r="W6117" s="2">
        <v>38.4</v>
      </c>
      <c r="X6117" s="2">
        <v>0</v>
      </c>
      <c r="Y6117" s="2" t="s">
        <v>340</v>
      </c>
      <c r="Z6117" s="2" t="s">
        <v>40562</v>
      </c>
      <c r="AA6117" s="2">
        <v>3.3185886686594102</v>
      </c>
      <c r="AB6117" s="2">
        <v>4.62262616433773E-2</v>
      </c>
      <c r="AC6117" s="2">
        <v>2091.3053941514299</v>
      </c>
      <c r="AD6117" s="2">
        <v>2421.7625308904699</v>
      </c>
      <c r="AE6117" s="2">
        <v>2411.74831087654</v>
      </c>
      <c r="AF6117" s="2">
        <v>1584.85600169693</v>
      </c>
      <c r="AG6117" s="2">
        <v>1651.0088642087901</v>
      </c>
      <c r="AH6117" s="2">
        <v>2194.6384295621001</v>
      </c>
      <c r="AI6117" s="2">
        <v>2846.1074708885499</v>
      </c>
      <c r="AJ6117" s="2">
        <v>1859.47328767568</v>
      </c>
      <c r="AK6117" s="2">
        <v>2293.0921148047</v>
      </c>
      <c r="AL6117" s="2">
        <v>2190.8262766581202</v>
      </c>
      <c r="AM6117" s="2">
        <v>2351.3360031697298</v>
      </c>
      <c r="AN6117" s="2">
        <v>2911.75996569887</v>
      </c>
      <c r="AO6117" s="2">
        <v>2114.6310193064401</v>
      </c>
      <c r="AP6117" s="2">
        <v>2668.92980570498</v>
      </c>
    </row>
    <row r="6118" spans="1:42" ht="14.5" x14ac:dyDescent="0.35">
      <c r="A6118" s="2" t="s">
        <v>40563</v>
      </c>
      <c r="B6118" s="2">
        <v>701.22943760008297</v>
      </c>
      <c r="C6118" s="2">
        <v>1.93716666666667</v>
      </c>
      <c r="D6118" s="2" t="s">
        <v>70</v>
      </c>
      <c r="E6118" s="2" t="s">
        <v>40564</v>
      </c>
      <c r="F6118" s="2">
        <v>28989</v>
      </c>
      <c r="G6118" s="3" t="str">
        <f>HYPERLINK("http://funmeta.oebiotech.com/network/28989", "http://funmeta.oebiotech.com/network/28989")</f>
        <v>http://funmeta.oebiotech.com/network/28989</v>
      </c>
      <c r="H6118" s="2"/>
      <c r="I6118" s="2"/>
      <c r="J6118" s="2" t="s">
        <v>40565</v>
      </c>
      <c r="K6118" s="2"/>
      <c r="L6118" s="2"/>
      <c r="M6118" s="2"/>
      <c r="N6118" s="2"/>
      <c r="O6118" s="2">
        <v>21636257</v>
      </c>
      <c r="P6118" s="2"/>
      <c r="Q6118" s="2" t="s">
        <v>40566</v>
      </c>
      <c r="R6118" s="2" t="s">
        <v>40567</v>
      </c>
      <c r="S6118" s="2" t="s">
        <v>115</v>
      </c>
      <c r="T6118" s="2" t="s">
        <v>139</v>
      </c>
      <c r="U6118" s="2" t="s">
        <v>140</v>
      </c>
      <c r="V6118" s="2" t="s">
        <v>59</v>
      </c>
      <c r="W6118" s="2">
        <v>39</v>
      </c>
      <c r="X6118" s="2">
        <v>1.96</v>
      </c>
      <c r="Y6118" s="2" t="s">
        <v>408</v>
      </c>
      <c r="Z6118" s="2" t="s">
        <v>40568</v>
      </c>
      <c r="AA6118" s="2">
        <v>-0.61025048991461806</v>
      </c>
      <c r="AB6118" s="2">
        <v>4.6204437269668497E-2</v>
      </c>
      <c r="AC6118" s="2">
        <v>48353.275275242202</v>
      </c>
      <c r="AD6118" s="2">
        <v>49524.460563787703</v>
      </c>
      <c r="AE6118" s="2">
        <v>48086.678364126899</v>
      </c>
      <c r="AF6118" s="2">
        <v>46548.361218372898</v>
      </c>
      <c r="AG6118" s="2">
        <v>48869.288791566498</v>
      </c>
      <c r="AH6118" s="2">
        <v>44656.946947573299</v>
      </c>
      <c r="AI6118" s="2">
        <v>56140.434736697702</v>
      </c>
      <c r="AJ6118" s="2">
        <v>45817.9415931158</v>
      </c>
      <c r="AK6118" s="2">
        <v>48004.690562168202</v>
      </c>
      <c r="AL6118" s="2">
        <v>42863.684145966698</v>
      </c>
      <c r="AM6118" s="2">
        <v>49420.128347591897</v>
      </c>
      <c r="AN6118" s="2">
        <v>52592.500550776502</v>
      </c>
      <c r="AO6118" s="2">
        <v>42274.006717972297</v>
      </c>
      <c r="AP6118" s="2">
        <v>61991.753058250397</v>
      </c>
    </row>
    <row r="6119" spans="1:42" ht="14.5" x14ac:dyDescent="0.35">
      <c r="A6119" s="2" t="s">
        <v>40569</v>
      </c>
      <c r="B6119" s="2">
        <v>315.08522786640901</v>
      </c>
      <c r="C6119" s="2">
        <v>1.73258333333333</v>
      </c>
      <c r="D6119" s="2" t="s">
        <v>70</v>
      </c>
      <c r="E6119" s="2" t="s">
        <v>40570</v>
      </c>
      <c r="F6119" s="2">
        <v>204465</v>
      </c>
      <c r="G6119" s="3" t="str">
        <f>HYPERLINK("http://funmeta.oebiotech.com/network/204465", "http://funmeta.oebiotech.com/network/204465")</f>
        <v>http://funmeta.oebiotech.com/network/204465</v>
      </c>
      <c r="H6119" s="2" t="s">
        <v>40571</v>
      </c>
      <c r="I6119" s="2">
        <v>72204</v>
      </c>
      <c r="J6119" s="2"/>
      <c r="K6119" s="2">
        <v>38588</v>
      </c>
      <c r="L6119" s="2" t="s">
        <v>40572</v>
      </c>
      <c r="M6119" s="2"/>
      <c r="N6119" s="2"/>
      <c r="O6119" s="2">
        <v>91752</v>
      </c>
      <c r="P6119" s="2" t="s">
        <v>40573</v>
      </c>
      <c r="Q6119" s="2" t="s">
        <v>40574</v>
      </c>
      <c r="R6119" s="2" t="s">
        <v>40575</v>
      </c>
      <c r="S6119" s="2" t="s">
        <v>27200</v>
      </c>
      <c r="T6119" s="2" t="s">
        <v>27201</v>
      </c>
      <c r="U6119" s="2" t="s">
        <v>41</v>
      </c>
      <c r="V6119" s="2" t="s">
        <v>59</v>
      </c>
      <c r="W6119" s="2">
        <v>36.6</v>
      </c>
      <c r="X6119" s="2">
        <v>0</v>
      </c>
      <c r="Y6119" s="2" t="s">
        <v>408</v>
      </c>
      <c r="Z6119" s="2" t="s">
        <v>40576</v>
      </c>
      <c r="AA6119" s="2">
        <v>-2.5310678679304699</v>
      </c>
      <c r="AB6119" s="2">
        <v>4.6149433176876697E-2</v>
      </c>
      <c r="AC6119" s="2">
        <v>1960.8428281933</v>
      </c>
      <c r="AD6119" s="2">
        <v>2278.5115922053001</v>
      </c>
      <c r="AE6119" s="2">
        <v>2188.0135781184299</v>
      </c>
      <c r="AF6119" s="2">
        <v>2139.80813750678</v>
      </c>
      <c r="AG6119" s="2">
        <v>2078.50463877625</v>
      </c>
      <c r="AH6119" s="2">
        <v>1470.1756592791801</v>
      </c>
      <c r="AI6119" s="2">
        <v>1500.54643711161</v>
      </c>
      <c r="AJ6119" s="2">
        <v>2388.0085183675601</v>
      </c>
      <c r="AK6119" s="2">
        <v>2612.3186315298199</v>
      </c>
      <c r="AL6119" s="2">
        <v>2066.7653118897401</v>
      </c>
      <c r="AM6119" s="2">
        <v>1838.9427921030299</v>
      </c>
      <c r="AN6119" s="2">
        <v>2575.1424901098198</v>
      </c>
      <c r="AO6119" s="2">
        <v>2406.1761195070299</v>
      </c>
      <c r="AP6119" s="2">
        <v>2171.7242080923602</v>
      </c>
    </row>
    <row r="6120" spans="1:42" ht="14.5" x14ac:dyDescent="0.35">
      <c r="A6120" s="2" t="s">
        <v>40577</v>
      </c>
      <c r="B6120" s="2">
        <v>259.09647847661603</v>
      </c>
      <c r="C6120" s="2">
        <v>4.6832000000000003</v>
      </c>
      <c r="D6120" s="2" t="s">
        <v>34</v>
      </c>
      <c r="E6120" s="2" t="s">
        <v>40578</v>
      </c>
      <c r="F6120" s="2">
        <v>266642</v>
      </c>
      <c r="G6120" s="3" t="str">
        <f>HYPERLINK("http://funmeta.oebiotech.com/network/266642", "http://funmeta.oebiotech.com/network/266642")</f>
        <v>http://funmeta.oebiotech.com/network/266642</v>
      </c>
      <c r="H6120" s="2"/>
      <c r="I6120" s="2">
        <v>43707</v>
      </c>
      <c r="J6120" s="2"/>
      <c r="K6120" s="2"/>
      <c r="L6120" s="2"/>
      <c r="M6120" s="2"/>
      <c r="N6120" s="2"/>
      <c r="O6120" s="2">
        <v>3646533</v>
      </c>
      <c r="P6120" s="2" t="s">
        <v>40579</v>
      </c>
      <c r="Q6120" s="2" t="s">
        <v>40580</v>
      </c>
      <c r="R6120" s="2" t="s">
        <v>40581</v>
      </c>
      <c r="S6120" s="2" t="s">
        <v>491</v>
      </c>
      <c r="T6120" s="2" t="s">
        <v>40582</v>
      </c>
      <c r="U6120" s="2" t="s">
        <v>41</v>
      </c>
      <c r="V6120" s="2" t="s">
        <v>59</v>
      </c>
      <c r="W6120" s="2">
        <v>38.299999999999997</v>
      </c>
      <c r="X6120" s="2">
        <v>0</v>
      </c>
      <c r="Y6120" s="2" t="s">
        <v>394</v>
      </c>
      <c r="Z6120" s="2" t="s">
        <v>40583</v>
      </c>
      <c r="AA6120" s="2">
        <v>-2.6667540360753202E-2</v>
      </c>
      <c r="AB6120" s="2">
        <v>4.6145769234014401E-2</v>
      </c>
      <c r="AC6120" s="2">
        <v>2005.48769257187</v>
      </c>
      <c r="AD6120" s="2">
        <v>1649.6915019850701</v>
      </c>
      <c r="AE6120" s="2">
        <v>1832.75937265519</v>
      </c>
      <c r="AF6120" s="2">
        <v>2591.6935077481398</v>
      </c>
      <c r="AG6120" s="2">
        <v>1944.9965171650499</v>
      </c>
      <c r="AH6120" s="2">
        <v>1770.2825996357999</v>
      </c>
      <c r="AI6120" s="2">
        <v>1454.46199834099</v>
      </c>
      <c r="AJ6120" s="2">
        <v>2438.7321598860699</v>
      </c>
      <c r="AK6120" s="2">
        <v>2247.0074983869999</v>
      </c>
      <c r="AL6120" s="2">
        <v>1779.2204642434799</v>
      </c>
      <c r="AM6120" s="2">
        <v>2202.5852957101501</v>
      </c>
      <c r="AN6120" s="2">
        <v>1055.3484175965</v>
      </c>
      <c r="AO6120" s="2">
        <v>1459.6225453376001</v>
      </c>
      <c r="AP6120" s="2">
        <v>1154.36479063569</v>
      </c>
    </row>
    <row r="6121" spans="1:42" ht="14.5" x14ac:dyDescent="0.35">
      <c r="A6121" s="2" t="s">
        <v>40584</v>
      </c>
      <c r="B6121" s="2">
        <v>339.19120284381302</v>
      </c>
      <c r="C6121" s="2">
        <v>4.3961833333333296</v>
      </c>
      <c r="D6121" s="2" t="s">
        <v>34</v>
      </c>
      <c r="E6121" s="2" t="s">
        <v>40585</v>
      </c>
      <c r="F6121" s="2">
        <v>207112</v>
      </c>
      <c r="G6121" s="3" t="str">
        <f>HYPERLINK("http://funmeta.oebiotech.com/network/207112", "http://funmeta.oebiotech.com/network/207112")</f>
        <v>http://funmeta.oebiotech.com/network/207112</v>
      </c>
      <c r="H6121" s="2" t="s">
        <v>40586</v>
      </c>
      <c r="I6121" s="2"/>
      <c r="J6121" s="2"/>
      <c r="K6121" s="2"/>
      <c r="L6121" s="2"/>
      <c r="M6121" s="2"/>
      <c r="N6121" s="2"/>
      <c r="O6121" s="2">
        <v>58266779</v>
      </c>
      <c r="P6121" s="2"/>
      <c r="Q6121" s="2" t="s">
        <v>40587</v>
      </c>
      <c r="R6121" s="2" t="s">
        <v>40588</v>
      </c>
      <c r="S6121" s="2" t="s">
        <v>491</v>
      </c>
      <c r="T6121" s="2" t="s">
        <v>14134</v>
      </c>
      <c r="U6121" s="2" t="s">
        <v>41</v>
      </c>
      <c r="V6121" s="2" t="s">
        <v>59</v>
      </c>
      <c r="W6121" s="2">
        <v>38.700000000000003</v>
      </c>
      <c r="X6121" s="2">
        <v>0</v>
      </c>
      <c r="Y6121" s="2" t="s">
        <v>43</v>
      </c>
      <c r="Z6121" s="2" t="s">
        <v>40589</v>
      </c>
      <c r="AA6121" s="2">
        <v>-4.9288336078007404</v>
      </c>
      <c r="AB6121" s="2">
        <v>4.6070318644777203E-2</v>
      </c>
      <c r="AC6121" s="2">
        <v>6278.4525910437997</v>
      </c>
      <c r="AD6121" s="2">
        <v>5797.2188900639703</v>
      </c>
      <c r="AE6121" s="2">
        <v>6417.3006818458598</v>
      </c>
      <c r="AF6121" s="2">
        <v>6459.91065206032</v>
      </c>
      <c r="AG6121" s="2">
        <v>7406.6059305230201</v>
      </c>
      <c r="AH6121" s="2">
        <v>4763.1782662403102</v>
      </c>
      <c r="AI6121" s="2">
        <v>4947.7493859097704</v>
      </c>
      <c r="AJ6121" s="2">
        <v>7675.9706296834902</v>
      </c>
      <c r="AK6121" s="2">
        <v>6425.20148421257</v>
      </c>
      <c r="AL6121" s="2">
        <v>5073.2736963755897</v>
      </c>
      <c r="AM6121" s="2">
        <v>5848.9773330266198</v>
      </c>
      <c r="AN6121" s="2">
        <v>5816.8443071151296</v>
      </c>
      <c r="AO6121" s="2">
        <v>5933.8334046956497</v>
      </c>
      <c r="AP6121" s="2">
        <v>5685.1831149582404</v>
      </c>
    </row>
    <row r="6122" spans="1:42" ht="14.5" x14ac:dyDescent="0.35">
      <c r="A6122" s="2" t="s">
        <v>40590</v>
      </c>
      <c r="B6122" s="2">
        <v>232.108594311611</v>
      </c>
      <c r="C6122" s="2">
        <v>3.8429333333333302</v>
      </c>
      <c r="D6122" s="2" t="s">
        <v>70</v>
      </c>
      <c r="E6122" s="2" t="s">
        <v>40591</v>
      </c>
      <c r="F6122" s="2">
        <v>201990</v>
      </c>
      <c r="G6122" s="3" t="str">
        <f>HYPERLINK("http://funmeta.oebiotech.com/network/201990", "http://funmeta.oebiotech.com/network/201990")</f>
        <v>http://funmeta.oebiotech.com/network/201990</v>
      </c>
      <c r="H6122" s="2" t="s">
        <v>40592</v>
      </c>
      <c r="I6122" s="2"/>
      <c r="J6122" s="2"/>
      <c r="K6122" s="2"/>
      <c r="L6122" s="2"/>
      <c r="M6122" s="2"/>
      <c r="N6122" s="2"/>
      <c r="O6122" s="2">
        <v>121895</v>
      </c>
      <c r="P6122" s="2"/>
      <c r="Q6122" s="2" t="s">
        <v>40593</v>
      </c>
      <c r="R6122" s="2" t="s">
        <v>40594</v>
      </c>
      <c r="S6122" s="2" t="s">
        <v>89</v>
      </c>
      <c r="T6122" s="2" t="s">
        <v>90</v>
      </c>
      <c r="U6122" s="2" t="s">
        <v>99</v>
      </c>
      <c r="V6122" s="2" t="s">
        <v>59</v>
      </c>
      <c r="W6122" s="2">
        <v>38.1</v>
      </c>
      <c r="X6122" s="2">
        <v>0</v>
      </c>
      <c r="Y6122" s="2" t="s">
        <v>751</v>
      </c>
      <c r="Z6122" s="2" t="s">
        <v>40595</v>
      </c>
      <c r="AA6122" s="2">
        <v>-2.2139661532977799</v>
      </c>
      <c r="AB6122" s="2">
        <v>4.58977816002114E-2</v>
      </c>
      <c r="AC6122" s="2">
        <v>176.29885325340501</v>
      </c>
      <c r="AD6122" s="2">
        <v>2.7106294003980101E-5</v>
      </c>
      <c r="AE6122" s="2">
        <v>2.7106294003980101E-5</v>
      </c>
      <c r="AF6122" s="2">
        <v>287.11089728764898</v>
      </c>
      <c r="AG6122" s="2">
        <v>100.688186014206</v>
      </c>
      <c r="AH6122" s="2">
        <v>255.06704875084699</v>
      </c>
      <c r="AI6122" s="2">
        <v>202.98671048032099</v>
      </c>
      <c r="AJ6122" s="2">
        <v>211.94024988111201</v>
      </c>
      <c r="AK6122" s="2">
        <v>2.7106294003980101E-5</v>
      </c>
      <c r="AL6122" s="2">
        <v>2.7106294003980101E-5</v>
      </c>
      <c r="AM6122" s="2">
        <v>2.7106294003980101E-5</v>
      </c>
      <c r="AN6122" s="2">
        <v>2.7106294003980101E-5</v>
      </c>
      <c r="AO6122" s="2">
        <v>2.7106294003980101E-5</v>
      </c>
      <c r="AP6122" s="2">
        <v>2.7106294003980101E-5</v>
      </c>
    </row>
    <row r="6123" spans="1:42" ht="14.5" x14ac:dyDescent="0.35">
      <c r="A6123" s="2" t="s">
        <v>40596</v>
      </c>
      <c r="B6123" s="2">
        <v>431.184855468595</v>
      </c>
      <c r="C6123" s="2">
        <v>9.6898833333333307</v>
      </c>
      <c r="D6123" s="2" t="s">
        <v>34</v>
      </c>
      <c r="E6123" s="2" t="s">
        <v>40597</v>
      </c>
      <c r="F6123" s="2">
        <v>274588</v>
      </c>
      <c r="G6123" s="3" t="str">
        <f>HYPERLINK("http://funmeta.oebiotech.com/network/274588", "http://funmeta.oebiotech.com/network/274588")</f>
        <v>http://funmeta.oebiotech.com/network/274588</v>
      </c>
      <c r="H6123" s="2"/>
      <c r="I6123" s="2">
        <v>64671</v>
      </c>
      <c r="J6123" s="2"/>
      <c r="K6123" s="2"/>
      <c r="L6123" s="2"/>
      <c r="M6123" s="2"/>
      <c r="N6123" s="2"/>
      <c r="O6123" s="2">
        <v>135421197</v>
      </c>
      <c r="P6123" s="2" t="s">
        <v>40598</v>
      </c>
      <c r="Q6123" s="2" t="s">
        <v>40599</v>
      </c>
      <c r="R6123" s="2" t="s">
        <v>40600</v>
      </c>
      <c r="S6123" s="2" t="s">
        <v>491</v>
      </c>
      <c r="T6123" s="2" t="s">
        <v>5190</v>
      </c>
      <c r="U6123" s="2" t="s">
        <v>5191</v>
      </c>
      <c r="V6123" s="2" t="s">
        <v>59</v>
      </c>
      <c r="W6123" s="2">
        <v>37.4</v>
      </c>
      <c r="X6123" s="2">
        <v>0</v>
      </c>
      <c r="Y6123" s="2" t="s">
        <v>340</v>
      </c>
      <c r="Z6123" s="2" t="s">
        <v>40601</v>
      </c>
      <c r="AA6123" s="2">
        <v>1.2014452140685301</v>
      </c>
      <c r="AB6123" s="2">
        <v>4.5862233377259601E-2</v>
      </c>
      <c r="AC6123" s="2">
        <v>3181.6869399268699</v>
      </c>
      <c r="AD6123" s="2">
        <v>2728.5762619360298</v>
      </c>
      <c r="AE6123" s="2">
        <v>3618.2634087188999</v>
      </c>
      <c r="AF6123" s="2">
        <v>2095.2034297867099</v>
      </c>
      <c r="AG6123" s="2">
        <v>3631.9154070865902</v>
      </c>
      <c r="AH6123" s="2">
        <v>3633.66729101904</v>
      </c>
      <c r="AI6123" s="2">
        <v>2782.4385604464401</v>
      </c>
      <c r="AJ6123" s="2">
        <v>3328.63354250353</v>
      </c>
      <c r="AK6123" s="2">
        <v>1068.2473043198099</v>
      </c>
      <c r="AL6123" s="2">
        <v>3483.82210516953</v>
      </c>
      <c r="AM6123" s="2">
        <v>2328.3929678387999</v>
      </c>
      <c r="AN6123" s="2">
        <v>3346.1089788709601</v>
      </c>
      <c r="AO6123" s="2">
        <v>3157.9537366629202</v>
      </c>
      <c r="AP6123" s="2">
        <v>2986.93247875416</v>
      </c>
    </row>
    <row r="6124" spans="1:42" ht="14.5" x14ac:dyDescent="0.35">
      <c r="A6124" s="2" t="s">
        <v>40602</v>
      </c>
      <c r="B6124" s="2">
        <v>947.48503417871405</v>
      </c>
      <c r="C6124" s="2">
        <v>10.185750000000001</v>
      </c>
      <c r="D6124" s="2" t="s">
        <v>70</v>
      </c>
      <c r="E6124" s="2" t="s">
        <v>40603</v>
      </c>
      <c r="F6124" s="2">
        <v>235701</v>
      </c>
      <c r="G6124" s="3" t="str">
        <f>HYPERLINK("http://funmeta.oebiotech.com/network/235701", "http://funmeta.oebiotech.com/network/235701")</f>
        <v>http://funmeta.oebiotech.com/network/235701</v>
      </c>
      <c r="H6124" s="2" t="s">
        <v>40604</v>
      </c>
      <c r="I6124" s="2"/>
      <c r="J6124" s="2"/>
      <c r="K6124" s="2"/>
      <c r="L6124" s="2"/>
      <c r="M6124" s="2"/>
      <c r="N6124" s="2"/>
      <c r="O6124" s="2"/>
      <c r="P6124" s="2"/>
      <c r="Q6124" s="2" t="s">
        <v>40605</v>
      </c>
      <c r="R6124" s="2" t="s">
        <v>40606</v>
      </c>
      <c r="S6124" s="2" t="s">
        <v>41</v>
      </c>
      <c r="T6124" s="2" t="s">
        <v>41</v>
      </c>
      <c r="U6124" s="2" t="s">
        <v>41</v>
      </c>
      <c r="V6124" s="2" t="s">
        <v>59</v>
      </c>
      <c r="W6124" s="2">
        <v>36</v>
      </c>
      <c r="X6124" s="2">
        <v>0</v>
      </c>
      <c r="Y6124" s="2" t="s">
        <v>751</v>
      </c>
      <c r="Z6124" s="2" t="s">
        <v>40607</v>
      </c>
      <c r="AA6124" s="2">
        <v>-1.2135786674445399</v>
      </c>
      <c r="AB6124" s="2">
        <v>4.5857650625092103E-2</v>
      </c>
      <c r="AC6124" s="2">
        <v>99704.373309727496</v>
      </c>
      <c r="AD6124" s="2">
        <v>98529.395517442899</v>
      </c>
      <c r="AE6124" s="2">
        <v>101351.46556169201</v>
      </c>
      <c r="AF6124" s="2">
        <v>93178.261031155998</v>
      </c>
      <c r="AG6124" s="2">
        <v>103841.663287317</v>
      </c>
      <c r="AH6124" s="2">
        <v>95321.924184247997</v>
      </c>
      <c r="AI6124" s="2">
        <v>104363.24811993301</v>
      </c>
      <c r="AJ6124" s="2">
        <v>100169.677674019</v>
      </c>
      <c r="AK6124" s="2">
        <v>91779.559136154596</v>
      </c>
      <c r="AL6124" s="2">
        <v>94015.125456117195</v>
      </c>
      <c r="AM6124" s="2">
        <v>102622.637599389</v>
      </c>
      <c r="AN6124" s="2">
        <v>95710.537079423404</v>
      </c>
      <c r="AO6124" s="2">
        <v>101052.209563371</v>
      </c>
      <c r="AP6124" s="2">
        <v>105996.304270202</v>
      </c>
    </row>
    <row r="6125" spans="1:42" ht="14.5" x14ac:dyDescent="0.35">
      <c r="A6125" s="2" t="s">
        <v>40608</v>
      </c>
      <c r="B6125" s="2">
        <v>341.30452542538501</v>
      </c>
      <c r="C6125" s="2">
        <v>11.599133333333301</v>
      </c>
      <c r="D6125" s="2" t="s">
        <v>34</v>
      </c>
      <c r="E6125" s="2" t="s">
        <v>40609</v>
      </c>
      <c r="F6125" s="2">
        <v>199538</v>
      </c>
      <c r="G6125" s="3" t="str">
        <f>HYPERLINK("http://funmeta.oebiotech.com/network/199538", "http://funmeta.oebiotech.com/network/199538")</f>
        <v>http://funmeta.oebiotech.com/network/199538</v>
      </c>
      <c r="H6125" s="2" t="s">
        <v>40610</v>
      </c>
      <c r="I6125" s="2"/>
      <c r="J6125" s="2"/>
      <c r="K6125" s="2">
        <v>170064</v>
      </c>
      <c r="L6125" s="2"/>
      <c r="M6125" s="2"/>
      <c r="N6125" s="2"/>
      <c r="O6125" s="2">
        <v>22035687</v>
      </c>
      <c r="P6125" s="2"/>
      <c r="Q6125" s="2" t="s">
        <v>40611</v>
      </c>
      <c r="R6125" s="2" t="s">
        <v>40612</v>
      </c>
      <c r="S6125" s="2" t="s">
        <v>41</v>
      </c>
      <c r="T6125" s="2" t="s">
        <v>41</v>
      </c>
      <c r="U6125" s="2" t="s">
        <v>41</v>
      </c>
      <c r="V6125" s="2" t="s">
        <v>59</v>
      </c>
      <c r="W6125" s="2">
        <v>42.2</v>
      </c>
      <c r="X6125" s="2">
        <v>16.7</v>
      </c>
      <c r="Y6125" s="2" t="s">
        <v>141</v>
      </c>
      <c r="Z6125" s="2" t="s">
        <v>21897</v>
      </c>
      <c r="AA6125" s="2">
        <v>-1.3847007759054799</v>
      </c>
      <c r="AB6125" s="2">
        <v>4.5832316656850003E-2</v>
      </c>
      <c r="AC6125" s="2">
        <v>45730.111522988598</v>
      </c>
      <c r="AD6125" s="2">
        <v>46359.304432016601</v>
      </c>
      <c r="AE6125" s="2">
        <v>47068.988770257703</v>
      </c>
      <c r="AF6125" s="2">
        <v>44871.4821599891</v>
      </c>
      <c r="AG6125" s="2">
        <v>45481.199331941003</v>
      </c>
      <c r="AH6125" s="2">
        <v>44020.693603329702</v>
      </c>
      <c r="AI6125" s="2">
        <v>47795.135175569798</v>
      </c>
      <c r="AJ6125" s="2">
        <v>45143.1700968445</v>
      </c>
      <c r="AK6125" s="2">
        <v>48584.560640332798</v>
      </c>
      <c r="AL6125" s="2">
        <v>46071.7525436953</v>
      </c>
      <c r="AM6125" s="2">
        <v>47699.894192826003</v>
      </c>
      <c r="AN6125" s="2">
        <v>45877.189201379399</v>
      </c>
      <c r="AO6125" s="2">
        <v>43536.7246218566</v>
      </c>
      <c r="AP6125" s="2">
        <v>46385.705392009702</v>
      </c>
    </row>
    <row r="6126" spans="1:42" ht="14.5" x14ac:dyDescent="0.35">
      <c r="A6126" s="2" t="s">
        <v>40613</v>
      </c>
      <c r="B6126" s="2">
        <v>489.150497384755</v>
      </c>
      <c r="C6126" s="2">
        <v>4.3640166666666698</v>
      </c>
      <c r="D6126" s="2" t="s">
        <v>70</v>
      </c>
      <c r="E6126" s="2" t="s">
        <v>40614</v>
      </c>
      <c r="F6126" s="2">
        <v>200144</v>
      </c>
      <c r="G6126" s="3" t="str">
        <f>HYPERLINK("http://funmeta.oebiotech.com/network/200144", "http://funmeta.oebiotech.com/network/200144")</f>
        <v>http://funmeta.oebiotech.com/network/200144</v>
      </c>
      <c r="H6126" s="2" t="s">
        <v>40615</v>
      </c>
      <c r="I6126" s="2"/>
      <c r="J6126" s="2"/>
      <c r="K6126" s="2"/>
      <c r="L6126" s="2"/>
      <c r="M6126" s="2"/>
      <c r="N6126" s="2"/>
      <c r="O6126" s="2">
        <v>123810</v>
      </c>
      <c r="P6126" s="2"/>
      <c r="Q6126" s="2" t="s">
        <v>40616</v>
      </c>
      <c r="R6126" s="2" t="s">
        <v>40617</v>
      </c>
      <c r="S6126" s="2" t="s">
        <v>41</v>
      </c>
      <c r="T6126" s="2" t="s">
        <v>41</v>
      </c>
      <c r="U6126" s="2" t="s">
        <v>41</v>
      </c>
      <c r="V6126" s="2" t="s">
        <v>59</v>
      </c>
      <c r="W6126" s="2">
        <v>38.4</v>
      </c>
      <c r="X6126" s="2">
        <v>0.47399999999999998</v>
      </c>
      <c r="Y6126" s="2" t="s">
        <v>408</v>
      </c>
      <c r="Z6126" s="2" t="s">
        <v>40618</v>
      </c>
      <c r="AA6126" s="2">
        <v>-0.52635673638619895</v>
      </c>
      <c r="AB6126" s="2">
        <v>4.5831464937597599E-2</v>
      </c>
      <c r="AC6126" s="2">
        <v>33138.702004161401</v>
      </c>
      <c r="AD6126" s="2">
        <v>33978.522554246803</v>
      </c>
      <c r="AE6126" s="2">
        <v>34685.0490283092</v>
      </c>
      <c r="AF6126" s="2">
        <v>38061.801572483397</v>
      </c>
      <c r="AG6126" s="2">
        <v>31324.191069099299</v>
      </c>
      <c r="AH6126" s="2">
        <v>32265.171622031201</v>
      </c>
      <c r="AI6126" s="2">
        <v>33835.548620802198</v>
      </c>
      <c r="AJ6126" s="2">
        <v>28660.450112243001</v>
      </c>
      <c r="AK6126" s="2">
        <v>31237.114911706802</v>
      </c>
      <c r="AL6126" s="2">
        <v>35914.3294215692</v>
      </c>
      <c r="AM6126" s="2">
        <v>36933.920619577002</v>
      </c>
      <c r="AN6126" s="2">
        <v>33814.776164823401</v>
      </c>
      <c r="AO6126" s="2">
        <v>31950.217831140701</v>
      </c>
      <c r="AP6126" s="2">
        <v>34020.776376663896</v>
      </c>
    </row>
    <row r="6127" spans="1:42" ht="14.5" x14ac:dyDescent="0.35">
      <c r="A6127" s="2" t="s">
        <v>40619</v>
      </c>
      <c r="B6127" s="2">
        <v>569.26590529797795</v>
      </c>
      <c r="C6127" s="2">
        <v>6.4626999999999999</v>
      </c>
      <c r="D6127" s="2" t="s">
        <v>70</v>
      </c>
      <c r="E6127" s="2" t="s">
        <v>40620</v>
      </c>
      <c r="F6127" s="2">
        <v>52709</v>
      </c>
      <c r="G6127" s="3" t="str">
        <f>HYPERLINK("http://funmeta.oebiotech.com/network/52709", "http://funmeta.oebiotech.com/network/52709")</f>
        <v>http://funmeta.oebiotech.com/network/52709</v>
      </c>
      <c r="H6127" s="2" t="s">
        <v>40621</v>
      </c>
      <c r="I6127" s="2">
        <v>3182</v>
      </c>
      <c r="J6127" s="2"/>
      <c r="K6127" s="2">
        <v>5790</v>
      </c>
      <c r="L6127" s="2" t="s">
        <v>40622</v>
      </c>
      <c r="M6127" s="2"/>
      <c r="N6127" s="2"/>
      <c r="O6127" s="2">
        <v>5284570</v>
      </c>
      <c r="P6127" s="2" t="s">
        <v>40623</v>
      </c>
      <c r="Q6127" s="2" t="s">
        <v>40624</v>
      </c>
      <c r="R6127" s="2" t="s">
        <v>40625</v>
      </c>
      <c r="S6127" s="2" t="s">
        <v>39</v>
      </c>
      <c r="T6127" s="2" t="s">
        <v>3915</v>
      </c>
      <c r="U6127" s="2" t="s">
        <v>41</v>
      </c>
      <c r="V6127" s="2" t="s">
        <v>59</v>
      </c>
      <c r="W6127" s="2">
        <v>36.4</v>
      </c>
      <c r="X6127" s="2">
        <v>0</v>
      </c>
      <c r="Y6127" s="2" t="s">
        <v>560</v>
      </c>
      <c r="Z6127" s="2" t="s">
        <v>40626</v>
      </c>
      <c r="AA6127" s="2">
        <v>0.34156336056245401</v>
      </c>
      <c r="AB6127" s="2">
        <v>4.5808903828899801E-2</v>
      </c>
      <c r="AC6127" s="2">
        <v>3666.6150625673399</v>
      </c>
      <c r="AD6127" s="2">
        <v>4210.2445787204397</v>
      </c>
      <c r="AE6127" s="2">
        <v>4282.6963746418696</v>
      </c>
      <c r="AF6127" s="2">
        <v>1379.0197099812401</v>
      </c>
      <c r="AG6127" s="2">
        <v>5441.2528324979603</v>
      </c>
      <c r="AH6127" s="2">
        <v>4546.7895555032501</v>
      </c>
      <c r="AI6127" s="2">
        <v>3527.7621144948298</v>
      </c>
      <c r="AJ6127" s="2">
        <v>2822.1697882848698</v>
      </c>
      <c r="AK6127" s="2">
        <v>3639.4942827105601</v>
      </c>
      <c r="AL6127" s="2">
        <v>4853.9862040545304</v>
      </c>
      <c r="AM6127" s="2">
        <v>4216.2659873278899</v>
      </c>
      <c r="AN6127" s="2">
        <v>5125.7963326420504</v>
      </c>
      <c r="AO6127" s="2">
        <v>4305.0502131666399</v>
      </c>
      <c r="AP6127" s="2">
        <v>3120.8744524209601</v>
      </c>
    </row>
    <row r="6128" spans="1:42" ht="14.5" x14ac:dyDescent="0.35">
      <c r="A6128" s="2" t="s">
        <v>40627</v>
      </c>
      <c r="B6128" s="2">
        <v>326.11039209900099</v>
      </c>
      <c r="C6128" s="2">
        <v>3.7704833333333299</v>
      </c>
      <c r="D6128" s="2" t="s">
        <v>34</v>
      </c>
      <c r="E6128" s="2" t="s">
        <v>40628</v>
      </c>
      <c r="F6128" s="2">
        <v>52225</v>
      </c>
      <c r="G6128" s="3" t="str">
        <f>HYPERLINK("http://funmeta.oebiotech.com/network/52225", "http://funmeta.oebiotech.com/network/52225")</f>
        <v>http://funmeta.oebiotech.com/network/52225</v>
      </c>
      <c r="H6128" s="2" t="s">
        <v>40629</v>
      </c>
      <c r="I6128" s="2"/>
      <c r="J6128" s="2"/>
      <c r="K6128" s="2">
        <v>70811</v>
      </c>
      <c r="L6128" s="2"/>
      <c r="M6128" s="2"/>
      <c r="N6128" s="2"/>
      <c r="O6128" s="2">
        <v>25200879</v>
      </c>
      <c r="P6128" s="2" t="s">
        <v>40630</v>
      </c>
      <c r="Q6128" s="2" t="s">
        <v>40631</v>
      </c>
      <c r="R6128" s="2" t="s">
        <v>40632</v>
      </c>
      <c r="S6128" s="2" t="s">
        <v>89</v>
      </c>
      <c r="T6128" s="2" t="s">
        <v>90</v>
      </c>
      <c r="U6128" s="2" t="s">
        <v>99</v>
      </c>
      <c r="V6128" s="2" t="s">
        <v>59</v>
      </c>
      <c r="W6128" s="2">
        <v>36.1</v>
      </c>
      <c r="X6128" s="2">
        <v>0</v>
      </c>
      <c r="Y6128" s="2" t="s">
        <v>67</v>
      </c>
      <c r="Z6128" s="2" t="s">
        <v>40633</v>
      </c>
      <c r="AA6128" s="2">
        <v>-2.4235095321541502</v>
      </c>
      <c r="AB6128" s="2">
        <v>4.57701437061903E-2</v>
      </c>
      <c r="AC6128" s="2">
        <v>1261.3661550903601</v>
      </c>
      <c r="AD6128" s="2">
        <v>1567.46814892674</v>
      </c>
      <c r="AE6128" s="2">
        <v>1166.3837451708901</v>
      </c>
      <c r="AF6128" s="2">
        <v>730.11431269368097</v>
      </c>
      <c r="AG6128" s="2">
        <v>1674.60269471736</v>
      </c>
      <c r="AH6128" s="2">
        <v>1519.44275893298</v>
      </c>
      <c r="AI6128" s="2">
        <v>949.63199777618001</v>
      </c>
      <c r="AJ6128" s="2">
        <v>1528.02142125105</v>
      </c>
      <c r="AK6128" s="2">
        <v>1796.63975931194</v>
      </c>
      <c r="AL6128" s="2">
        <v>1631.78802793301</v>
      </c>
      <c r="AM6128" s="2">
        <v>1469.8739013898</v>
      </c>
      <c r="AN6128" s="2">
        <v>1293.33624795485</v>
      </c>
      <c r="AO6128" s="2">
        <v>1946.2801071137501</v>
      </c>
      <c r="AP6128" s="2">
        <v>1266.89084985707</v>
      </c>
    </row>
    <row r="6129" spans="1:42" ht="14.5" x14ac:dyDescent="0.35">
      <c r="A6129" s="2" t="s">
        <v>40634</v>
      </c>
      <c r="B6129" s="2">
        <v>443.24736350041798</v>
      </c>
      <c r="C6129" s="2">
        <v>14.552250000000001</v>
      </c>
      <c r="D6129" s="2" t="s">
        <v>70</v>
      </c>
      <c r="E6129" s="2" t="s">
        <v>40635</v>
      </c>
      <c r="F6129" s="2">
        <v>207317</v>
      </c>
      <c r="G6129" s="3" t="str">
        <f>HYPERLINK("http://funmeta.oebiotech.com/network/207317", "http://funmeta.oebiotech.com/network/207317")</f>
        <v>http://funmeta.oebiotech.com/network/207317</v>
      </c>
      <c r="H6129" s="2" t="s">
        <v>40636</v>
      </c>
      <c r="I6129" s="2"/>
      <c r="J6129" s="2"/>
      <c r="K6129" s="2"/>
      <c r="L6129" s="2"/>
      <c r="M6129" s="2"/>
      <c r="N6129" s="2"/>
      <c r="O6129" s="2">
        <v>2832036</v>
      </c>
      <c r="P6129" s="2"/>
      <c r="Q6129" s="2" t="s">
        <v>40637</v>
      </c>
      <c r="R6129" s="2" t="s">
        <v>40638</v>
      </c>
      <c r="S6129" s="2" t="s">
        <v>41</v>
      </c>
      <c r="T6129" s="2" t="s">
        <v>41</v>
      </c>
      <c r="U6129" s="2" t="s">
        <v>41</v>
      </c>
      <c r="V6129" s="2" t="s">
        <v>59</v>
      </c>
      <c r="W6129" s="2">
        <v>38.6</v>
      </c>
      <c r="X6129" s="2">
        <v>0</v>
      </c>
      <c r="Y6129" s="2" t="s">
        <v>751</v>
      </c>
      <c r="Z6129" s="2" t="s">
        <v>40639</v>
      </c>
      <c r="AA6129" s="2">
        <v>4.5724008680569703</v>
      </c>
      <c r="AB6129" s="2">
        <v>4.5694534960805402E-2</v>
      </c>
      <c r="AC6129" s="2">
        <v>11016.917802376</v>
      </c>
      <c r="AD6129" s="2">
        <v>12026.2047077767</v>
      </c>
      <c r="AE6129" s="2">
        <v>6248.3092375021397</v>
      </c>
      <c r="AF6129" s="2">
        <v>5812.2913202057198</v>
      </c>
      <c r="AG6129" s="2">
        <v>5763.2812741896196</v>
      </c>
      <c r="AH6129" s="2">
        <v>14941.817582674499</v>
      </c>
      <c r="AI6129" s="2">
        <v>20019.253940473998</v>
      </c>
      <c r="AJ6129" s="2">
        <v>13316.553459209799</v>
      </c>
      <c r="AK6129" s="2">
        <v>13238.7912759683</v>
      </c>
      <c r="AL6129" s="2">
        <v>13626.6844011962</v>
      </c>
      <c r="AM6129" s="2">
        <v>6636.1038792804002</v>
      </c>
      <c r="AN6129" s="2">
        <v>13573.5455966191</v>
      </c>
      <c r="AO6129" s="2">
        <v>12147.139684731401</v>
      </c>
      <c r="AP6129" s="2">
        <v>12934.963408865</v>
      </c>
    </row>
    <row r="6130" spans="1:42" ht="14.5" x14ac:dyDescent="0.35">
      <c r="A6130" s="2" t="s">
        <v>40640</v>
      </c>
      <c r="B6130" s="2">
        <v>509.12708717931503</v>
      </c>
      <c r="C6130" s="2">
        <v>4.7359166666666699</v>
      </c>
      <c r="D6130" s="2" t="s">
        <v>34</v>
      </c>
      <c r="E6130" s="2" t="s">
        <v>40641</v>
      </c>
      <c r="F6130" s="2">
        <v>82929</v>
      </c>
      <c r="G6130" s="3" t="str">
        <f>HYPERLINK("http://funmeta.oebiotech.com/network/82929", "http://funmeta.oebiotech.com/network/82929")</f>
        <v>http://funmeta.oebiotech.com/network/82929</v>
      </c>
      <c r="H6130" s="2" t="s">
        <v>40642</v>
      </c>
      <c r="I6130" s="2">
        <v>739</v>
      </c>
      <c r="J6130" s="2"/>
      <c r="K6130" s="2"/>
      <c r="L6130" s="2"/>
      <c r="M6130" s="2"/>
      <c r="N6130" s="2"/>
      <c r="O6130" s="2">
        <v>5484402</v>
      </c>
      <c r="P6130" s="2" t="s">
        <v>40643</v>
      </c>
      <c r="Q6130" s="2" t="s">
        <v>40644</v>
      </c>
      <c r="R6130" s="2" t="s">
        <v>40645</v>
      </c>
      <c r="S6130" s="2" t="s">
        <v>491</v>
      </c>
      <c r="T6130" s="2" t="s">
        <v>4914</v>
      </c>
      <c r="U6130" s="2" t="s">
        <v>4915</v>
      </c>
      <c r="V6130" s="2" t="s">
        <v>59</v>
      </c>
      <c r="W6130" s="2">
        <v>37.700000000000003</v>
      </c>
      <c r="X6130" s="2">
        <v>0</v>
      </c>
      <c r="Y6130" s="2" t="s">
        <v>340</v>
      </c>
      <c r="Z6130" s="2" t="s">
        <v>40646</v>
      </c>
      <c r="AA6130" s="2">
        <v>-4.89478366592743</v>
      </c>
      <c r="AB6130" s="2">
        <v>4.5670533873787202E-2</v>
      </c>
      <c r="AC6130" s="2">
        <v>2440.0002297373899</v>
      </c>
      <c r="AD6130" s="2">
        <v>2057.1002433396402</v>
      </c>
      <c r="AE6130" s="2">
        <v>2274.6264382555501</v>
      </c>
      <c r="AF6130" s="2">
        <v>2627.2047353161602</v>
      </c>
      <c r="AG6130" s="2">
        <v>2881.13517883234</v>
      </c>
      <c r="AH6130" s="2">
        <v>3094.4752150208101</v>
      </c>
      <c r="AI6130" s="2">
        <v>1747.1064463227101</v>
      </c>
      <c r="AJ6130" s="2">
        <v>2015.45336467679</v>
      </c>
      <c r="AK6130" s="2">
        <v>2269.6807377815499</v>
      </c>
      <c r="AL6130" s="2">
        <v>1303.29830070716</v>
      </c>
      <c r="AM6130" s="2">
        <v>2087.9487536080601</v>
      </c>
      <c r="AN6130" s="2">
        <v>3033.0697975292001</v>
      </c>
      <c r="AO6130" s="2">
        <v>1931.2922842121</v>
      </c>
      <c r="AP6130" s="2">
        <v>1717.3115861997401</v>
      </c>
    </row>
    <row r="6131" spans="1:42" ht="14.5" x14ac:dyDescent="0.35">
      <c r="A6131" s="2" t="s">
        <v>40647</v>
      </c>
      <c r="B6131" s="2">
        <v>1154.3453333928801</v>
      </c>
      <c r="C6131" s="2">
        <v>7.9437333333333298</v>
      </c>
      <c r="D6131" s="2" t="s">
        <v>70</v>
      </c>
      <c r="E6131" s="2" t="s">
        <v>40648</v>
      </c>
      <c r="F6131" s="2">
        <v>256923</v>
      </c>
      <c r="G6131" s="3" t="str">
        <f>HYPERLINK("http://funmeta.oebiotech.com/network/256923", "http://funmeta.oebiotech.com/network/256923")</f>
        <v>http://funmeta.oebiotech.com/network/256923</v>
      </c>
      <c r="H6131" s="2" t="s">
        <v>40649</v>
      </c>
      <c r="I6131" s="2"/>
      <c r="J6131" s="2"/>
      <c r="K6131" s="2"/>
      <c r="L6131" s="2"/>
      <c r="M6131" s="2"/>
      <c r="N6131" s="2"/>
      <c r="O6131" s="2"/>
      <c r="P6131" s="2"/>
      <c r="Q6131" s="2" t="s">
        <v>40650</v>
      </c>
      <c r="R6131" s="2" t="s">
        <v>40651</v>
      </c>
      <c r="S6131" s="2" t="s">
        <v>50</v>
      </c>
      <c r="T6131" s="2" t="s">
        <v>229</v>
      </c>
      <c r="U6131" s="2" t="s">
        <v>10433</v>
      </c>
      <c r="V6131" s="2" t="s">
        <v>59</v>
      </c>
      <c r="W6131" s="2">
        <v>37.5</v>
      </c>
      <c r="X6131" s="2">
        <v>0</v>
      </c>
      <c r="Y6131" s="2" t="s">
        <v>751</v>
      </c>
      <c r="Z6131" s="2" t="s">
        <v>40652</v>
      </c>
      <c r="AA6131" s="2">
        <v>-2.4113765426917899</v>
      </c>
      <c r="AB6131" s="2">
        <v>4.5649046846440403E-2</v>
      </c>
      <c r="AC6131" s="2">
        <v>46365.662099274603</v>
      </c>
      <c r="AD6131" s="2">
        <v>47411.122215615702</v>
      </c>
      <c r="AE6131" s="2">
        <v>46302.01931684</v>
      </c>
      <c r="AF6131" s="2">
        <v>44398.5290899432</v>
      </c>
      <c r="AG6131" s="2">
        <v>46920.140410849199</v>
      </c>
      <c r="AH6131" s="2">
        <v>45674.925369859797</v>
      </c>
      <c r="AI6131" s="2">
        <v>46849.230809032299</v>
      </c>
      <c r="AJ6131" s="2">
        <v>48049.127599122803</v>
      </c>
      <c r="AK6131" s="2">
        <v>48201.809695677199</v>
      </c>
      <c r="AL6131" s="2">
        <v>38919.223442778697</v>
      </c>
      <c r="AM6131" s="2">
        <v>51667.5046251202</v>
      </c>
      <c r="AN6131" s="2">
        <v>55029.998393084403</v>
      </c>
      <c r="AO6131" s="2">
        <v>40133.477421857897</v>
      </c>
      <c r="AP6131" s="2">
        <v>50514.719715175801</v>
      </c>
    </row>
    <row r="6132" spans="1:42" ht="14.5" x14ac:dyDescent="0.35">
      <c r="A6132" s="2" t="s">
        <v>40653</v>
      </c>
      <c r="B6132" s="2">
        <v>183.13813180169001</v>
      </c>
      <c r="C6132" s="2">
        <v>8.9954333333333292</v>
      </c>
      <c r="D6132" s="2" t="s">
        <v>70</v>
      </c>
      <c r="E6132" s="2" t="s">
        <v>40654</v>
      </c>
      <c r="F6132" s="2">
        <v>7462</v>
      </c>
      <c r="G6132" s="3" t="str">
        <f>HYPERLINK("http://funmeta.oebiotech.com/network/7462", "http://funmeta.oebiotech.com/network/7462")</f>
        <v>http://funmeta.oebiotech.com/network/7462</v>
      </c>
      <c r="H6132" s="2" t="s">
        <v>40655</v>
      </c>
      <c r="I6132" s="2">
        <v>88466</v>
      </c>
      <c r="J6132" s="2" t="s">
        <v>40656</v>
      </c>
      <c r="K6132" s="2">
        <v>149579</v>
      </c>
      <c r="L6132" s="2"/>
      <c r="M6132" s="2"/>
      <c r="N6132" s="2"/>
      <c r="O6132" s="2">
        <v>234237</v>
      </c>
      <c r="P6132" s="2" t="s">
        <v>40657</v>
      </c>
      <c r="Q6132" s="2" t="s">
        <v>40658</v>
      </c>
      <c r="R6132" s="2" t="s">
        <v>40659</v>
      </c>
      <c r="S6132" s="2" t="s">
        <v>50</v>
      </c>
      <c r="T6132" s="2" t="s">
        <v>229</v>
      </c>
      <c r="U6132" s="2" t="s">
        <v>16559</v>
      </c>
      <c r="V6132" s="2" t="s">
        <v>59</v>
      </c>
      <c r="W6132" s="2">
        <v>38.700000000000003</v>
      </c>
      <c r="X6132" s="2">
        <v>3.18</v>
      </c>
      <c r="Y6132" s="2" t="s">
        <v>751</v>
      </c>
      <c r="Z6132" s="2" t="s">
        <v>8116</v>
      </c>
      <c r="AA6132" s="2">
        <v>-4.5590457459982696</v>
      </c>
      <c r="AB6132" s="2">
        <v>4.5472241540594503E-2</v>
      </c>
      <c r="AC6132" s="2">
        <v>2005.9023345937301</v>
      </c>
      <c r="AD6132" s="2">
        <v>1644.3061080254799</v>
      </c>
      <c r="AE6132" s="2">
        <v>1473.07596224892</v>
      </c>
      <c r="AF6132" s="2">
        <v>1780.07548921886</v>
      </c>
      <c r="AG6132" s="2">
        <v>1543.9964277033</v>
      </c>
      <c r="AH6132" s="2">
        <v>2594.1927184378201</v>
      </c>
      <c r="AI6132" s="2">
        <v>3042.6974415722202</v>
      </c>
      <c r="AJ6132" s="2">
        <v>1601.37596838123</v>
      </c>
      <c r="AK6132" s="2">
        <v>1675.4637635711099</v>
      </c>
      <c r="AL6132" s="2">
        <v>1724.0973556430999</v>
      </c>
      <c r="AM6132" s="2">
        <v>1594.85827240001</v>
      </c>
      <c r="AN6132" s="2">
        <v>1562.9817368680201</v>
      </c>
      <c r="AO6132" s="2">
        <v>1712.9353992511201</v>
      </c>
      <c r="AP6132" s="2">
        <v>1595.50012041953</v>
      </c>
    </row>
    <row r="6133" spans="1:42" ht="14.5" x14ac:dyDescent="0.35">
      <c r="A6133" s="2" t="s">
        <v>40660</v>
      </c>
      <c r="B6133" s="2">
        <v>395.24034105717902</v>
      </c>
      <c r="C6133" s="2">
        <v>4.1233166666666703</v>
      </c>
      <c r="D6133" s="2" t="s">
        <v>34</v>
      </c>
      <c r="E6133" s="2" t="s">
        <v>40661</v>
      </c>
      <c r="F6133" s="2">
        <v>3915</v>
      </c>
      <c r="G6133" s="3" t="str">
        <f>HYPERLINK("http://funmeta.oebiotech.com/network/3915", "http://funmeta.oebiotech.com/network/3915")</f>
        <v>http://funmeta.oebiotech.com/network/3915</v>
      </c>
      <c r="H6133" s="2"/>
      <c r="I6133" s="2">
        <v>36262</v>
      </c>
      <c r="J6133" s="2" t="s">
        <v>40662</v>
      </c>
      <c r="K6133" s="2"/>
      <c r="L6133" s="2"/>
      <c r="M6133" s="2"/>
      <c r="N6133" s="2"/>
      <c r="O6133" s="2">
        <v>16061114</v>
      </c>
      <c r="P6133" s="2" t="s">
        <v>40663</v>
      </c>
      <c r="Q6133" s="2" t="s">
        <v>40664</v>
      </c>
      <c r="R6133" s="2" t="s">
        <v>40665</v>
      </c>
      <c r="S6133" s="2" t="s">
        <v>50</v>
      </c>
      <c r="T6133" s="2" t="s">
        <v>229</v>
      </c>
      <c r="U6133" s="2" t="s">
        <v>766</v>
      </c>
      <c r="V6133" s="2" t="s">
        <v>59</v>
      </c>
      <c r="W6133" s="2">
        <v>37.200000000000003</v>
      </c>
      <c r="X6133" s="2">
        <v>0</v>
      </c>
      <c r="Y6133" s="2" t="s">
        <v>323</v>
      </c>
      <c r="Z6133" s="2" t="s">
        <v>20802</v>
      </c>
      <c r="AA6133" s="2">
        <v>-0.184001296245762</v>
      </c>
      <c r="AB6133" s="2">
        <v>4.5462982801735698E-2</v>
      </c>
      <c r="AC6133" s="2">
        <v>2151.71547549555</v>
      </c>
      <c r="AD6133" s="2">
        <v>1789.17497386113</v>
      </c>
      <c r="AE6133" s="2">
        <v>2627.4998513506898</v>
      </c>
      <c r="AF6133" s="2">
        <v>1725.43887123081</v>
      </c>
      <c r="AG6133" s="2">
        <v>2405.7939539280901</v>
      </c>
      <c r="AH6133" s="2">
        <v>2090.5129949985098</v>
      </c>
      <c r="AI6133" s="2">
        <v>2416.2657708864999</v>
      </c>
      <c r="AJ6133" s="2">
        <v>1644.7814105787099</v>
      </c>
      <c r="AK6133" s="2">
        <v>1641.0828732339401</v>
      </c>
      <c r="AL6133" s="2">
        <v>2300.5171071576401</v>
      </c>
      <c r="AM6133" s="2">
        <v>1044.7617290580199</v>
      </c>
      <c r="AN6133" s="2">
        <v>1304.27647148235</v>
      </c>
      <c r="AO6133" s="2">
        <v>2548.0920563075201</v>
      </c>
      <c r="AP6133" s="2">
        <v>1896.3196059273</v>
      </c>
    </row>
    <row r="6134" spans="1:42" ht="14.5" x14ac:dyDescent="0.35">
      <c r="A6134" s="2" t="s">
        <v>40666</v>
      </c>
      <c r="B6134" s="2">
        <v>395.07443414573601</v>
      </c>
      <c r="C6134" s="2">
        <v>4.6857333333333298</v>
      </c>
      <c r="D6134" s="2" t="s">
        <v>70</v>
      </c>
      <c r="E6134" s="2" t="s">
        <v>40667</v>
      </c>
      <c r="F6134" s="2">
        <v>203610</v>
      </c>
      <c r="G6134" s="3" t="str">
        <f>HYPERLINK("http://funmeta.oebiotech.com/network/203610", "http://funmeta.oebiotech.com/network/203610")</f>
        <v>http://funmeta.oebiotech.com/network/203610</v>
      </c>
      <c r="H6134" s="2" t="s">
        <v>40668</v>
      </c>
      <c r="I6134" s="2"/>
      <c r="J6134" s="2"/>
      <c r="K6134" s="2"/>
      <c r="L6134" s="2"/>
      <c r="M6134" s="2"/>
      <c r="N6134" s="2"/>
      <c r="O6134" s="2">
        <v>9888017</v>
      </c>
      <c r="P6134" s="2"/>
      <c r="Q6134" s="2" t="s">
        <v>40669</v>
      </c>
      <c r="R6134" s="2" t="s">
        <v>40670</v>
      </c>
      <c r="S6134" s="2" t="s">
        <v>148</v>
      </c>
      <c r="T6134" s="2" t="s">
        <v>149</v>
      </c>
      <c r="U6134" s="2" t="s">
        <v>4282</v>
      </c>
      <c r="V6134" s="2" t="s">
        <v>59</v>
      </c>
      <c r="W6134" s="2">
        <v>37.1</v>
      </c>
      <c r="X6134" s="2">
        <v>0</v>
      </c>
      <c r="Y6134" s="2" t="s">
        <v>751</v>
      </c>
      <c r="Z6134" s="2" t="s">
        <v>40671</v>
      </c>
      <c r="AA6134" s="2">
        <v>0.83757545651102405</v>
      </c>
      <c r="AB6134" s="2">
        <v>4.5455274675759397E-2</v>
      </c>
      <c r="AC6134" s="2">
        <v>788.31824295128104</v>
      </c>
      <c r="AD6134" s="2">
        <v>524.94200195448605</v>
      </c>
      <c r="AE6134" s="2">
        <v>799.123144886624</v>
      </c>
      <c r="AF6134" s="2">
        <v>584.14227266513706</v>
      </c>
      <c r="AG6134" s="2">
        <v>763.16683558822103</v>
      </c>
      <c r="AH6134" s="2">
        <v>873.20187326381597</v>
      </c>
      <c r="AI6134" s="2">
        <v>1065.2768539057499</v>
      </c>
      <c r="AJ6134" s="2">
        <v>644.99847739814004</v>
      </c>
      <c r="AK6134" s="2">
        <v>384.92315988978902</v>
      </c>
      <c r="AL6134" s="2">
        <v>288.95428020311999</v>
      </c>
      <c r="AM6134" s="2">
        <v>942.17821746292498</v>
      </c>
      <c r="AN6134" s="2">
        <v>306.22136337011301</v>
      </c>
      <c r="AO6134" s="2">
        <v>404.43682338121602</v>
      </c>
      <c r="AP6134" s="2">
        <v>822.93816741975502</v>
      </c>
    </row>
    <row r="6135" spans="1:42" ht="14.5" x14ac:dyDescent="0.35">
      <c r="A6135" s="2" t="s">
        <v>40672</v>
      </c>
      <c r="B6135" s="2">
        <v>327.12253635710698</v>
      </c>
      <c r="C6135" s="2">
        <v>5.31823333333333</v>
      </c>
      <c r="D6135" s="2" t="s">
        <v>34</v>
      </c>
      <c r="E6135" s="2" t="s">
        <v>40673</v>
      </c>
      <c r="F6135" s="2">
        <v>206893</v>
      </c>
      <c r="G6135" s="3" t="str">
        <f>HYPERLINK("http://funmeta.oebiotech.com/network/206893", "http://funmeta.oebiotech.com/network/206893")</f>
        <v>http://funmeta.oebiotech.com/network/206893</v>
      </c>
      <c r="H6135" s="2" t="s">
        <v>40674</v>
      </c>
      <c r="I6135" s="2">
        <v>321005</v>
      </c>
      <c r="J6135" s="2"/>
      <c r="K6135" s="2"/>
      <c r="L6135" s="2"/>
      <c r="M6135" s="2"/>
      <c r="N6135" s="2"/>
      <c r="O6135" s="2">
        <v>53276</v>
      </c>
      <c r="P6135" s="2"/>
      <c r="Q6135" s="2" t="s">
        <v>40675</v>
      </c>
      <c r="R6135" s="2" t="s">
        <v>40676</v>
      </c>
      <c r="S6135" s="2" t="s">
        <v>148</v>
      </c>
      <c r="T6135" s="2" t="s">
        <v>149</v>
      </c>
      <c r="U6135" s="2" t="s">
        <v>40677</v>
      </c>
      <c r="V6135" s="2" t="s">
        <v>59</v>
      </c>
      <c r="W6135" s="2">
        <v>38.299999999999997</v>
      </c>
      <c r="X6135" s="2">
        <v>0</v>
      </c>
      <c r="Y6135" s="2" t="s">
        <v>323</v>
      </c>
      <c r="Z6135" s="2" t="s">
        <v>40678</v>
      </c>
      <c r="AA6135" s="2">
        <v>-0.78368992733422804</v>
      </c>
      <c r="AB6135" s="2">
        <v>4.5417685361368802E-2</v>
      </c>
      <c r="AC6135" s="2">
        <v>12957.312591072599</v>
      </c>
      <c r="AD6135" s="2">
        <v>13543.2296830952</v>
      </c>
      <c r="AE6135" s="2">
        <v>13448.546464679799</v>
      </c>
      <c r="AF6135" s="2">
        <v>13947.5792481793</v>
      </c>
      <c r="AG6135" s="2">
        <v>12105.9469726063</v>
      </c>
      <c r="AH6135" s="2">
        <v>12128.6923161052</v>
      </c>
      <c r="AI6135" s="2">
        <v>13656.8509460884</v>
      </c>
      <c r="AJ6135" s="2">
        <v>12456.2595987763</v>
      </c>
      <c r="AK6135" s="2">
        <v>14479.7041764271</v>
      </c>
      <c r="AL6135" s="2">
        <v>12410.5669314242</v>
      </c>
      <c r="AM6135" s="2">
        <v>12772.0775018847</v>
      </c>
      <c r="AN6135" s="2">
        <v>16163.2709612702</v>
      </c>
      <c r="AO6135" s="2">
        <v>11134.994150079299</v>
      </c>
      <c r="AP6135" s="2">
        <v>14298.764377485901</v>
      </c>
    </row>
    <row r="6136" spans="1:42" ht="14.5" x14ac:dyDescent="0.35">
      <c r="A6136" s="2" t="s">
        <v>40679</v>
      </c>
      <c r="B6136" s="2">
        <v>199.021613689052</v>
      </c>
      <c r="C6136" s="2">
        <v>2.4628999999999999</v>
      </c>
      <c r="D6136" s="2" t="s">
        <v>70</v>
      </c>
      <c r="E6136" s="2" t="s">
        <v>40680</v>
      </c>
      <c r="F6136" s="2">
        <v>206075</v>
      </c>
      <c r="G6136" s="3" t="str">
        <f>HYPERLINK("http://funmeta.oebiotech.com/network/206075", "http://funmeta.oebiotech.com/network/206075")</f>
        <v>http://funmeta.oebiotech.com/network/206075</v>
      </c>
      <c r="H6136" s="2" t="s">
        <v>40681</v>
      </c>
      <c r="I6136" s="2"/>
      <c r="J6136" s="2"/>
      <c r="K6136" s="2">
        <v>78360</v>
      </c>
      <c r="L6136" s="2"/>
      <c r="M6136" s="2"/>
      <c r="N6136" s="2"/>
      <c r="O6136" s="2">
        <v>31386</v>
      </c>
      <c r="P6136" s="2"/>
      <c r="Q6136" s="2" t="s">
        <v>40682</v>
      </c>
      <c r="R6136" s="2" t="s">
        <v>40683</v>
      </c>
      <c r="S6136" s="2" t="s">
        <v>148</v>
      </c>
      <c r="T6136" s="2" t="s">
        <v>149</v>
      </c>
      <c r="U6136" s="2" t="s">
        <v>2102</v>
      </c>
      <c r="V6136" s="2" t="s">
        <v>59</v>
      </c>
      <c r="W6136" s="2">
        <v>37.799999999999997</v>
      </c>
      <c r="X6136" s="2">
        <v>0</v>
      </c>
      <c r="Y6136" s="2" t="s">
        <v>751</v>
      </c>
      <c r="Z6136" s="2" t="s">
        <v>40684</v>
      </c>
      <c r="AA6136" s="2">
        <v>-3.190929590199</v>
      </c>
      <c r="AB6136" s="2">
        <v>4.5361677006941603E-2</v>
      </c>
      <c r="AC6136" s="2">
        <v>546.32409799827496</v>
      </c>
      <c r="AD6136" s="2">
        <v>365.56089092690598</v>
      </c>
      <c r="AE6136" s="2">
        <v>460.26302678678701</v>
      </c>
      <c r="AF6136" s="2">
        <v>607.35908112652703</v>
      </c>
      <c r="AG6136" s="2">
        <v>523.36802696082395</v>
      </c>
      <c r="AH6136" s="2">
        <v>691.66365842258199</v>
      </c>
      <c r="AI6136" s="2">
        <v>502.90989134878703</v>
      </c>
      <c r="AJ6136" s="2">
        <v>492.38090334413999</v>
      </c>
      <c r="AK6136" s="2">
        <v>343.15271951888701</v>
      </c>
      <c r="AL6136" s="2">
        <v>534.41584703687704</v>
      </c>
      <c r="AM6136" s="2">
        <v>284.40247597614399</v>
      </c>
      <c r="AN6136" s="2">
        <v>357.80239533830002</v>
      </c>
      <c r="AO6136" s="2">
        <v>387.45419728921701</v>
      </c>
      <c r="AP6136" s="2">
        <v>286.13771040201198</v>
      </c>
    </row>
    <row r="6137" spans="1:42" ht="14.5" x14ac:dyDescent="0.35">
      <c r="A6137" s="2" t="s">
        <v>40685</v>
      </c>
      <c r="B6137" s="2">
        <v>1097.4553196157001</v>
      </c>
      <c r="C6137" s="2">
        <v>4.8018000000000001</v>
      </c>
      <c r="D6137" s="2" t="s">
        <v>34</v>
      </c>
      <c r="E6137" s="2" t="s">
        <v>40686</v>
      </c>
      <c r="F6137" s="2">
        <v>44455</v>
      </c>
      <c r="G6137" s="3" t="str">
        <f>HYPERLINK("http://funmeta.oebiotech.com/network/44455", "http://funmeta.oebiotech.com/network/44455")</f>
        <v>http://funmeta.oebiotech.com/network/44455</v>
      </c>
      <c r="H6137" s="2"/>
      <c r="I6137" s="2"/>
      <c r="J6137" s="2" t="s">
        <v>40687</v>
      </c>
      <c r="K6137" s="2"/>
      <c r="L6137" s="2"/>
      <c r="M6137" s="2"/>
      <c r="N6137" s="2"/>
      <c r="O6137" s="2"/>
      <c r="P6137" s="2"/>
      <c r="Q6137" s="2" t="s">
        <v>40688</v>
      </c>
      <c r="R6137" s="2" t="s">
        <v>40689</v>
      </c>
      <c r="S6137" s="2" t="s">
        <v>50</v>
      </c>
      <c r="T6137" s="2" t="s">
        <v>124</v>
      </c>
      <c r="U6137" s="2" t="s">
        <v>523</v>
      </c>
      <c r="V6137" s="2" t="s">
        <v>59</v>
      </c>
      <c r="W6137" s="2">
        <v>37.1</v>
      </c>
      <c r="X6137" s="2">
        <v>0</v>
      </c>
      <c r="Y6137" s="2" t="s">
        <v>340</v>
      </c>
      <c r="Z6137" s="2" t="s">
        <v>40690</v>
      </c>
      <c r="AA6137" s="2">
        <v>-1.1593984887344799</v>
      </c>
      <c r="AB6137" s="2">
        <v>4.5319401141939199E-2</v>
      </c>
      <c r="AC6137" s="2">
        <v>51030.948136141596</v>
      </c>
      <c r="AD6137" s="2">
        <v>49534.165186328901</v>
      </c>
      <c r="AE6137" s="2">
        <v>47902.933261337799</v>
      </c>
      <c r="AF6137" s="2">
        <v>42676.424163085503</v>
      </c>
      <c r="AG6137" s="2">
        <v>50624.358813313098</v>
      </c>
      <c r="AH6137" s="2">
        <v>54606.762536034897</v>
      </c>
      <c r="AI6137" s="2">
        <v>59038.7951326107</v>
      </c>
      <c r="AJ6137" s="2">
        <v>51336.414910467502</v>
      </c>
      <c r="AK6137" s="2">
        <v>49314.296660786997</v>
      </c>
      <c r="AL6137" s="2">
        <v>56681.693652758302</v>
      </c>
      <c r="AM6137" s="2">
        <v>58735.7448060635</v>
      </c>
      <c r="AN6137" s="2">
        <v>34286.154279188901</v>
      </c>
      <c r="AO6137" s="2">
        <v>59345.688970365802</v>
      </c>
      <c r="AP6137" s="2">
        <v>38841.412748809802</v>
      </c>
    </row>
    <row r="6138" spans="1:42" ht="14.5" x14ac:dyDescent="0.35">
      <c r="A6138" s="2" t="s">
        <v>40691</v>
      </c>
      <c r="B6138" s="2">
        <v>306.09984764890203</v>
      </c>
      <c r="C6138" s="2">
        <v>1.3287</v>
      </c>
      <c r="D6138" s="2" t="s">
        <v>34</v>
      </c>
      <c r="E6138" s="2" t="s">
        <v>40692</v>
      </c>
      <c r="F6138" s="2">
        <v>208418</v>
      </c>
      <c r="G6138" s="3" t="str">
        <f>HYPERLINK("http://funmeta.oebiotech.com/network/208418", "http://funmeta.oebiotech.com/network/208418")</f>
        <v>http://funmeta.oebiotech.com/network/208418</v>
      </c>
      <c r="H6138" s="2" t="s">
        <v>40693</v>
      </c>
      <c r="I6138" s="2"/>
      <c r="J6138" s="2"/>
      <c r="K6138" s="2"/>
      <c r="L6138" s="2"/>
      <c r="M6138" s="2"/>
      <c r="N6138" s="2"/>
      <c r="O6138" s="2">
        <v>10173</v>
      </c>
      <c r="P6138" s="2"/>
      <c r="Q6138" s="2" t="s">
        <v>40694</v>
      </c>
      <c r="R6138" s="2" t="s">
        <v>40695</v>
      </c>
      <c r="S6138" s="2" t="s">
        <v>39</v>
      </c>
      <c r="T6138" s="2" t="s">
        <v>383</v>
      </c>
      <c r="U6138" s="2" t="s">
        <v>384</v>
      </c>
      <c r="V6138" s="2" t="s">
        <v>59</v>
      </c>
      <c r="W6138" s="2">
        <v>38.700000000000003</v>
      </c>
      <c r="X6138" s="2">
        <v>0</v>
      </c>
      <c r="Y6138" s="2" t="s">
        <v>340</v>
      </c>
      <c r="Z6138" s="2" t="s">
        <v>40696</v>
      </c>
      <c r="AA6138" s="2">
        <v>-1.7691669846406901</v>
      </c>
      <c r="AB6138" s="2">
        <v>4.5315171558563003E-2</v>
      </c>
      <c r="AC6138" s="2">
        <v>1307.8283203610999</v>
      </c>
      <c r="AD6138" s="2">
        <v>1614.42277673632</v>
      </c>
      <c r="AE6138" s="2">
        <v>983.07773918057205</v>
      </c>
      <c r="AF6138" s="2">
        <v>957.76145891447698</v>
      </c>
      <c r="AG6138" s="2">
        <v>1232.8176202908701</v>
      </c>
      <c r="AH6138" s="2">
        <v>1411.0270515709799</v>
      </c>
      <c r="AI6138" s="2">
        <v>1728.3797460431399</v>
      </c>
      <c r="AJ6138" s="2">
        <v>1533.9063061665499</v>
      </c>
      <c r="AK6138" s="2">
        <v>1826.0947418010801</v>
      </c>
      <c r="AL6138" s="2">
        <v>1381.0961817908701</v>
      </c>
      <c r="AM6138" s="2">
        <v>1897.6264194863199</v>
      </c>
      <c r="AN6138" s="2">
        <v>1765.3470849113501</v>
      </c>
      <c r="AO6138" s="2">
        <v>908.66071234673802</v>
      </c>
      <c r="AP6138" s="2">
        <v>1907.7115200815699</v>
      </c>
    </row>
    <row r="6139" spans="1:42" ht="14.5" x14ac:dyDescent="0.35">
      <c r="A6139" s="2" t="s">
        <v>40697</v>
      </c>
      <c r="B6139" s="2">
        <v>213.112572263072</v>
      </c>
      <c r="C6139" s="2">
        <v>7.7996333333333299</v>
      </c>
      <c r="D6139" s="2" t="s">
        <v>70</v>
      </c>
      <c r="E6139" s="2" t="s">
        <v>40698</v>
      </c>
      <c r="F6139" s="2">
        <v>513468</v>
      </c>
      <c r="G6139" s="3" t="str">
        <f>HYPERLINK("http://funmeta.oebiotech.com/network/513468", "http://funmeta.oebiotech.com/network/513468")</f>
        <v>http://funmeta.oebiotech.com/network/513468</v>
      </c>
      <c r="H6139" s="2"/>
      <c r="I6139" s="2">
        <v>96295</v>
      </c>
      <c r="J6139" s="2"/>
      <c r="K6139" s="2"/>
      <c r="L6139" s="2"/>
      <c r="M6139" s="2"/>
      <c r="N6139" s="2"/>
      <c r="O6139" s="2">
        <v>220370</v>
      </c>
      <c r="P6139" s="2"/>
      <c r="Q6139" s="2" t="s">
        <v>40699</v>
      </c>
      <c r="R6139" s="2" t="s">
        <v>40700</v>
      </c>
      <c r="S6139" s="2" t="s">
        <v>89</v>
      </c>
      <c r="T6139" s="2" t="s">
        <v>90</v>
      </c>
      <c r="U6139" s="2" t="s">
        <v>22612</v>
      </c>
      <c r="V6139" s="2" t="s">
        <v>42</v>
      </c>
      <c r="W6139" s="2">
        <v>52.7</v>
      </c>
      <c r="X6139" s="2">
        <v>69.3</v>
      </c>
      <c r="Y6139" s="2" t="s">
        <v>118</v>
      </c>
      <c r="Z6139" s="2" t="s">
        <v>40143</v>
      </c>
      <c r="AA6139" s="2">
        <v>-3.0840596760205199</v>
      </c>
      <c r="AB6139" s="2">
        <v>4.52609710724894E-2</v>
      </c>
      <c r="AC6139" s="2">
        <v>13181.754221787</v>
      </c>
      <c r="AD6139" s="2">
        <v>13647.976878615</v>
      </c>
      <c r="AE6139" s="2">
        <v>12688.986141094399</v>
      </c>
      <c r="AF6139" s="2">
        <v>13382.2525886487</v>
      </c>
      <c r="AG6139" s="2">
        <v>12241.272174531799</v>
      </c>
      <c r="AH6139" s="2">
        <v>13228.5287437062</v>
      </c>
      <c r="AI6139" s="2">
        <v>15121.888719453</v>
      </c>
      <c r="AJ6139" s="2">
        <v>12427.5969632878</v>
      </c>
      <c r="AK6139" s="2">
        <v>14496.8903089502</v>
      </c>
      <c r="AL6139" s="2">
        <v>14316.1719907928</v>
      </c>
      <c r="AM6139" s="2">
        <v>13331.1713755694</v>
      </c>
      <c r="AN6139" s="2">
        <v>13960.6719800214</v>
      </c>
      <c r="AO6139" s="2">
        <v>12868.688633477899</v>
      </c>
      <c r="AP6139" s="2">
        <v>12914.2669828783</v>
      </c>
    </row>
    <row r="6140" spans="1:42" ht="14.5" x14ac:dyDescent="0.35">
      <c r="A6140" s="2" t="s">
        <v>40701</v>
      </c>
      <c r="B6140" s="2">
        <v>625.11851492573396</v>
      </c>
      <c r="C6140" s="2">
        <v>2.03033333333333</v>
      </c>
      <c r="D6140" s="2" t="s">
        <v>70</v>
      </c>
      <c r="E6140" s="2" t="s">
        <v>40702</v>
      </c>
      <c r="F6140" s="2">
        <v>212563</v>
      </c>
      <c r="G6140" s="3" t="str">
        <f>HYPERLINK("http://funmeta.oebiotech.com/network/212563", "http://funmeta.oebiotech.com/network/212563")</f>
        <v>http://funmeta.oebiotech.com/network/212563</v>
      </c>
      <c r="H6140" s="2" t="s">
        <v>40703</v>
      </c>
      <c r="I6140" s="2">
        <v>72443</v>
      </c>
      <c r="J6140" s="2"/>
      <c r="K6140" s="2">
        <v>38963</v>
      </c>
      <c r="L6140" s="2" t="s">
        <v>40704</v>
      </c>
      <c r="M6140" s="2"/>
      <c r="N6140" s="2"/>
      <c r="O6140" s="2">
        <v>32184</v>
      </c>
      <c r="P6140" s="2" t="s">
        <v>40705</v>
      </c>
      <c r="Q6140" s="2" t="s">
        <v>40706</v>
      </c>
      <c r="R6140" s="2" t="s">
        <v>40707</v>
      </c>
      <c r="S6140" s="2" t="s">
        <v>491</v>
      </c>
      <c r="T6140" s="2" t="s">
        <v>3519</v>
      </c>
      <c r="U6140" s="2" t="s">
        <v>3520</v>
      </c>
      <c r="V6140" s="2" t="s">
        <v>59</v>
      </c>
      <c r="W6140" s="2">
        <v>36.6</v>
      </c>
      <c r="X6140" s="2">
        <v>0</v>
      </c>
      <c r="Y6140" s="2" t="s">
        <v>560</v>
      </c>
      <c r="Z6140" s="2" t="s">
        <v>40708</v>
      </c>
      <c r="AA6140" s="2">
        <v>-6.7185323797896697</v>
      </c>
      <c r="AB6140" s="2">
        <v>4.5212598022169703E-2</v>
      </c>
      <c r="AC6140" s="2">
        <v>6604.2175307768703</v>
      </c>
      <c r="AD6140" s="2">
        <v>7333.7697243770299</v>
      </c>
      <c r="AE6140" s="2">
        <v>4433.02524234464</v>
      </c>
      <c r="AF6140" s="2">
        <v>7437.0444050389497</v>
      </c>
      <c r="AG6140" s="2">
        <v>8579.0299500130604</v>
      </c>
      <c r="AH6140" s="2">
        <v>4986.0244245039203</v>
      </c>
      <c r="AI6140" s="2">
        <v>5540.4450071248903</v>
      </c>
      <c r="AJ6140" s="2">
        <v>8649.7361556357591</v>
      </c>
      <c r="AK6140" s="2">
        <v>5128.8352199266701</v>
      </c>
      <c r="AL6140" s="2">
        <v>10918.3399294632</v>
      </c>
      <c r="AM6140" s="2">
        <v>6689.4119558300099</v>
      </c>
      <c r="AN6140" s="2">
        <v>7256.6723565751399</v>
      </c>
      <c r="AO6140" s="2">
        <v>8789.7598925589009</v>
      </c>
      <c r="AP6140" s="2">
        <v>5219.5989919082303</v>
      </c>
    </row>
    <row r="6141" spans="1:42" ht="14.5" x14ac:dyDescent="0.35">
      <c r="A6141" s="2" t="s">
        <v>40709</v>
      </c>
      <c r="B6141" s="2">
        <v>296.25815119449601</v>
      </c>
      <c r="C6141" s="2">
        <v>10.5277666666667</v>
      </c>
      <c r="D6141" s="2" t="s">
        <v>34</v>
      </c>
      <c r="E6141" s="2" t="s">
        <v>40710</v>
      </c>
      <c r="F6141" s="2">
        <v>2563</v>
      </c>
      <c r="G6141" s="3" t="str">
        <f>HYPERLINK("http://funmeta.oebiotech.com/network/2563", "http://funmeta.oebiotech.com/network/2563")</f>
        <v>http://funmeta.oebiotech.com/network/2563</v>
      </c>
      <c r="H6141" s="2"/>
      <c r="I6141" s="2"/>
      <c r="J6141" s="2" t="s">
        <v>40711</v>
      </c>
      <c r="K6141" s="2"/>
      <c r="L6141" s="2"/>
      <c r="M6141" s="2"/>
      <c r="N6141" s="2"/>
      <c r="O6141" s="2">
        <v>131839793</v>
      </c>
      <c r="P6141" s="2"/>
      <c r="Q6141" s="2" t="s">
        <v>40712</v>
      </c>
      <c r="R6141" s="2" t="s">
        <v>40713</v>
      </c>
      <c r="S6141" s="2" t="s">
        <v>50</v>
      </c>
      <c r="T6141" s="2" t="s">
        <v>229</v>
      </c>
      <c r="U6141" s="2" t="s">
        <v>433</v>
      </c>
      <c r="V6141" s="2" t="s">
        <v>42</v>
      </c>
      <c r="W6141" s="2">
        <v>52</v>
      </c>
      <c r="X6141" s="2">
        <v>65</v>
      </c>
      <c r="Y6141" s="2" t="s">
        <v>43</v>
      </c>
      <c r="Z6141" s="2" t="s">
        <v>8830</v>
      </c>
      <c r="AA6141" s="2">
        <v>-0.914860663390899</v>
      </c>
      <c r="AB6141" s="2">
        <v>4.5195636175776703E-2</v>
      </c>
      <c r="AC6141" s="2">
        <v>51312.775622656198</v>
      </c>
      <c r="AD6141" s="2">
        <v>49823.455195945899</v>
      </c>
      <c r="AE6141" s="2">
        <v>51972.238972676903</v>
      </c>
      <c r="AF6141" s="2">
        <v>44379.051853203098</v>
      </c>
      <c r="AG6141" s="2">
        <v>46896.948280458302</v>
      </c>
      <c r="AH6141" s="2">
        <v>55631.564019625301</v>
      </c>
      <c r="AI6141" s="2">
        <v>65625.739540423499</v>
      </c>
      <c r="AJ6141" s="2">
        <v>43371.111069550301</v>
      </c>
      <c r="AK6141" s="2">
        <v>44537.201957331701</v>
      </c>
      <c r="AL6141" s="2">
        <v>63991.534376740601</v>
      </c>
      <c r="AM6141" s="2">
        <v>49522.928830335397</v>
      </c>
      <c r="AN6141" s="2">
        <v>50908.482745738002</v>
      </c>
      <c r="AO6141" s="2">
        <v>47424.074978417797</v>
      </c>
      <c r="AP6141" s="2">
        <v>42556.508287111697</v>
      </c>
    </row>
    <row r="6142" spans="1:42" ht="14.5" x14ac:dyDescent="0.35">
      <c r="A6142" s="2" t="s">
        <v>40714</v>
      </c>
      <c r="B6142" s="2">
        <v>361.18658511980902</v>
      </c>
      <c r="C6142" s="2">
        <v>5.1890333333333301</v>
      </c>
      <c r="D6142" s="2" t="s">
        <v>70</v>
      </c>
      <c r="E6142" s="2" t="s">
        <v>40715</v>
      </c>
      <c r="F6142" s="2">
        <v>47878</v>
      </c>
      <c r="G6142" s="3" t="str">
        <f>HYPERLINK("http://funmeta.oebiotech.com/network/47878", "http://funmeta.oebiotech.com/network/47878")</f>
        <v>http://funmeta.oebiotech.com/network/47878</v>
      </c>
      <c r="H6142" s="2" t="s">
        <v>40716</v>
      </c>
      <c r="I6142" s="2">
        <v>6572</v>
      </c>
      <c r="J6142" s="2"/>
      <c r="K6142" s="2">
        <v>331648</v>
      </c>
      <c r="L6142" s="2"/>
      <c r="M6142" s="2"/>
      <c r="N6142" s="2"/>
      <c r="O6142" s="2">
        <v>3124</v>
      </c>
      <c r="P6142" s="2" t="s">
        <v>40717</v>
      </c>
      <c r="Q6142" s="2" t="s">
        <v>40718</v>
      </c>
      <c r="R6142" s="2" t="s">
        <v>40719</v>
      </c>
      <c r="S6142" s="2" t="s">
        <v>491</v>
      </c>
      <c r="T6142" s="2" t="s">
        <v>4914</v>
      </c>
      <c r="U6142" s="2" t="s">
        <v>4915</v>
      </c>
      <c r="V6142" s="2" t="s">
        <v>59</v>
      </c>
      <c r="W6142" s="2">
        <v>38.6</v>
      </c>
      <c r="X6142" s="2">
        <v>0</v>
      </c>
      <c r="Y6142" s="2" t="s">
        <v>560</v>
      </c>
      <c r="Z6142" s="2" t="s">
        <v>40720</v>
      </c>
      <c r="AA6142" s="2">
        <v>3.1518003717459</v>
      </c>
      <c r="AB6142" s="2">
        <v>4.5189479460989702E-2</v>
      </c>
      <c r="AC6142" s="2">
        <v>11473.5139146685</v>
      </c>
      <c r="AD6142" s="2">
        <v>11946.863267262401</v>
      </c>
      <c r="AE6142" s="2">
        <v>11671.3411750094</v>
      </c>
      <c r="AF6142" s="2">
        <v>12258.708670366101</v>
      </c>
      <c r="AG6142" s="2">
        <v>11739.477673272901</v>
      </c>
      <c r="AH6142" s="2">
        <v>10691.3436521771</v>
      </c>
      <c r="AI6142" s="2">
        <v>11100.154641757201</v>
      </c>
      <c r="AJ6142" s="2">
        <v>11380.057675427999</v>
      </c>
      <c r="AK6142" s="2">
        <v>11322.131025929</v>
      </c>
      <c r="AL6142" s="2">
        <v>11710.899167194801</v>
      </c>
      <c r="AM6142" s="2">
        <v>13669.383421695</v>
      </c>
      <c r="AN6142" s="2">
        <v>12883.5403693387</v>
      </c>
      <c r="AO6142" s="2">
        <v>11493.2510523398</v>
      </c>
      <c r="AP6142" s="2">
        <v>10601.974567077001</v>
      </c>
    </row>
    <row r="6143" spans="1:42" ht="14.5" x14ac:dyDescent="0.35">
      <c r="A6143" s="2" t="s">
        <v>40721</v>
      </c>
      <c r="B6143" s="2">
        <v>360.34659236001801</v>
      </c>
      <c r="C6143" s="2">
        <v>9.7086333333333297</v>
      </c>
      <c r="D6143" s="2" t="s">
        <v>34</v>
      </c>
      <c r="E6143" s="2" t="s">
        <v>40722</v>
      </c>
      <c r="F6143" s="2">
        <v>1703</v>
      </c>
      <c r="G6143" s="3" t="str">
        <f>HYPERLINK("http://funmeta.oebiotech.com/network/1703", "http://funmeta.oebiotech.com/network/1703")</f>
        <v>http://funmeta.oebiotech.com/network/1703</v>
      </c>
      <c r="H6143" s="2"/>
      <c r="I6143" s="2">
        <v>24089</v>
      </c>
      <c r="J6143" s="2" t="s">
        <v>40723</v>
      </c>
      <c r="K6143" s="2">
        <v>79195</v>
      </c>
      <c r="L6143" s="2"/>
      <c r="M6143" s="2"/>
      <c r="N6143" s="2"/>
      <c r="O6143" s="2">
        <v>5282920</v>
      </c>
      <c r="P6143" s="2"/>
      <c r="Q6143" s="2" t="s">
        <v>40724</v>
      </c>
      <c r="R6143" s="2" t="s">
        <v>40725</v>
      </c>
      <c r="S6143" s="2" t="s">
        <v>50</v>
      </c>
      <c r="T6143" s="2" t="s">
        <v>229</v>
      </c>
      <c r="U6143" s="2" t="s">
        <v>433</v>
      </c>
      <c r="V6143" s="2" t="s">
        <v>59</v>
      </c>
      <c r="W6143" s="2">
        <v>38</v>
      </c>
      <c r="X6143" s="2">
        <v>0</v>
      </c>
      <c r="Y6143" s="2" t="s">
        <v>43</v>
      </c>
      <c r="Z6143" s="2" t="s">
        <v>40726</v>
      </c>
      <c r="AA6143" s="2">
        <v>-1.8356734243823301</v>
      </c>
      <c r="AB6143" s="2">
        <v>4.51710545840283E-2</v>
      </c>
      <c r="AC6143" s="2">
        <v>3352.9561572572702</v>
      </c>
      <c r="AD6143" s="2">
        <v>3692.94241324122</v>
      </c>
      <c r="AE6143" s="2">
        <v>3515.1415053679498</v>
      </c>
      <c r="AF6143" s="2">
        <v>3349.6800965340299</v>
      </c>
      <c r="AG6143" s="2">
        <v>2748.1055177363701</v>
      </c>
      <c r="AH6143" s="2">
        <v>3120.0982347449999</v>
      </c>
      <c r="AI6143" s="2">
        <v>3453.9402086764599</v>
      </c>
      <c r="AJ6143" s="2">
        <v>3930.7713804837999</v>
      </c>
      <c r="AK6143" s="2">
        <v>3745.3700468209599</v>
      </c>
      <c r="AL6143" s="2">
        <v>4417.2736717670005</v>
      </c>
      <c r="AM6143" s="2">
        <v>3119.6546568427102</v>
      </c>
      <c r="AN6143" s="2">
        <v>3334.4390037875201</v>
      </c>
      <c r="AO6143" s="2">
        <v>3606.3261679214802</v>
      </c>
      <c r="AP6143" s="2">
        <v>3934.5909323076598</v>
      </c>
    </row>
    <row r="6144" spans="1:42" ht="14.5" x14ac:dyDescent="0.35">
      <c r="A6144" s="2" t="s">
        <v>40727</v>
      </c>
      <c r="B6144" s="2">
        <v>219.065552371987</v>
      </c>
      <c r="C6144" s="2">
        <v>6.0676500000000004</v>
      </c>
      <c r="D6144" s="2" t="s">
        <v>70</v>
      </c>
      <c r="E6144" s="2" t="s">
        <v>40728</v>
      </c>
      <c r="F6144" s="2">
        <v>56311</v>
      </c>
      <c r="G6144" s="3" t="str">
        <f>HYPERLINK("http://funmeta.oebiotech.com/network/56311", "http://funmeta.oebiotech.com/network/56311")</f>
        <v>http://funmeta.oebiotech.com/network/56311</v>
      </c>
      <c r="H6144" s="2" t="s">
        <v>40729</v>
      </c>
      <c r="I6144" s="2">
        <v>87966</v>
      </c>
      <c r="J6144" s="2"/>
      <c r="K6144" s="2"/>
      <c r="L6144" s="2"/>
      <c r="M6144" s="2"/>
      <c r="N6144" s="2"/>
      <c r="O6144" s="2">
        <v>6259976</v>
      </c>
      <c r="P6144" s="2" t="s">
        <v>40730</v>
      </c>
      <c r="Q6144" s="2" t="s">
        <v>40731</v>
      </c>
      <c r="R6144" s="2" t="s">
        <v>40732</v>
      </c>
      <c r="S6144" s="2" t="s">
        <v>491</v>
      </c>
      <c r="T6144" s="2" t="s">
        <v>12209</v>
      </c>
      <c r="U6144" s="2" t="s">
        <v>12210</v>
      </c>
      <c r="V6144" s="2" t="s">
        <v>42</v>
      </c>
      <c r="W6144" s="2">
        <v>50</v>
      </c>
      <c r="X6144" s="2">
        <v>56</v>
      </c>
      <c r="Y6144" s="2" t="s">
        <v>408</v>
      </c>
      <c r="Z6144" s="2" t="s">
        <v>14370</v>
      </c>
      <c r="AA6144" s="2">
        <v>-4.1940936851387596</v>
      </c>
      <c r="AB6144" s="2">
        <v>4.51265310307929E-2</v>
      </c>
      <c r="AC6144" s="2">
        <v>15849.6670931756</v>
      </c>
      <c r="AD6144" s="2">
        <v>15257.840054479901</v>
      </c>
      <c r="AE6144" s="2">
        <v>14608.5499482347</v>
      </c>
      <c r="AF6144" s="2">
        <v>15526.5123398384</v>
      </c>
      <c r="AG6144" s="2">
        <v>14102.4572597641</v>
      </c>
      <c r="AH6144" s="2">
        <v>15867.2940322129</v>
      </c>
      <c r="AI6144" s="2">
        <v>18933.0603465202</v>
      </c>
      <c r="AJ6144" s="2">
        <v>16060.1286324833</v>
      </c>
      <c r="AK6144" s="2">
        <v>14672.5385262167</v>
      </c>
      <c r="AL6144" s="2">
        <v>16159.8173938416</v>
      </c>
      <c r="AM6144" s="2">
        <v>15685.0134458272</v>
      </c>
      <c r="AN6144" s="2">
        <v>15283.6413988205</v>
      </c>
      <c r="AO6144" s="2">
        <v>14265.7051026545</v>
      </c>
      <c r="AP6144" s="2">
        <v>15480.324459519001</v>
      </c>
    </row>
    <row r="6145" spans="1:42" ht="14.5" x14ac:dyDescent="0.35">
      <c r="A6145" s="2" t="s">
        <v>40733</v>
      </c>
      <c r="B6145" s="2">
        <v>638.27485285890202</v>
      </c>
      <c r="C6145" s="2">
        <v>9.8244000000000007</v>
      </c>
      <c r="D6145" s="2" t="s">
        <v>34</v>
      </c>
      <c r="E6145" s="2" t="s">
        <v>40734</v>
      </c>
      <c r="F6145" s="2">
        <v>256209</v>
      </c>
      <c r="G6145" s="3" t="str">
        <f>HYPERLINK("http://funmeta.oebiotech.com/network/256209", "http://funmeta.oebiotech.com/network/256209")</f>
        <v>http://funmeta.oebiotech.com/network/256209</v>
      </c>
      <c r="H6145" s="2" t="s">
        <v>40735</v>
      </c>
      <c r="I6145" s="2"/>
      <c r="J6145" s="2"/>
      <c r="K6145" s="2"/>
      <c r="L6145" s="2"/>
      <c r="M6145" s="2"/>
      <c r="N6145" s="2"/>
      <c r="O6145" s="2"/>
      <c r="P6145" s="2"/>
      <c r="Q6145" s="2" t="s">
        <v>40736</v>
      </c>
      <c r="R6145" s="2" t="s">
        <v>40737</v>
      </c>
      <c r="S6145" s="2" t="s">
        <v>115</v>
      </c>
      <c r="T6145" s="2" t="s">
        <v>575</v>
      </c>
      <c r="U6145" s="2" t="s">
        <v>576</v>
      </c>
      <c r="V6145" s="2" t="s">
        <v>59</v>
      </c>
      <c r="W6145" s="2">
        <v>38.9</v>
      </c>
      <c r="X6145" s="2">
        <v>0</v>
      </c>
      <c r="Y6145" s="2" t="s">
        <v>43</v>
      </c>
      <c r="Z6145" s="2" t="s">
        <v>40738</v>
      </c>
      <c r="AA6145" s="2">
        <v>1.48618058743292E-2</v>
      </c>
      <c r="AB6145" s="2">
        <v>4.5049628594696502E-2</v>
      </c>
      <c r="AC6145" s="2">
        <v>4250.9394574384296</v>
      </c>
      <c r="AD6145" s="2">
        <v>3901.6778557130201</v>
      </c>
      <c r="AE6145" s="2">
        <v>4410.9049318480502</v>
      </c>
      <c r="AF6145" s="2">
        <v>3923.6761515745102</v>
      </c>
      <c r="AG6145" s="2">
        <v>3852.5852106562402</v>
      </c>
      <c r="AH6145" s="2">
        <v>4202.2719911583899</v>
      </c>
      <c r="AI6145" s="2">
        <v>4359.7996799462999</v>
      </c>
      <c r="AJ6145" s="2">
        <v>4756.3987794470904</v>
      </c>
      <c r="AK6145" s="2">
        <v>4366.4301095432602</v>
      </c>
      <c r="AL6145" s="2">
        <v>3103.0062742258001</v>
      </c>
      <c r="AM6145" s="2">
        <v>3594.2329667576</v>
      </c>
      <c r="AN6145" s="2">
        <v>3645.8744685230199</v>
      </c>
      <c r="AO6145" s="2">
        <v>4107.9351698938699</v>
      </c>
      <c r="AP6145" s="2">
        <v>4592.5881453345901</v>
      </c>
    </row>
    <row r="6146" spans="1:42" ht="14.5" x14ac:dyDescent="0.35">
      <c r="A6146" s="2" t="s">
        <v>40739</v>
      </c>
      <c r="B6146" s="2">
        <v>672.50385588030997</v>
      </c>
      <c r="C6146" s="2">
        <v>13.8966666666667</v>
      </c>
      <c r="D6146" s="2" t="s">
        <v>34</v>
      </c>
      <c r="E6146" s="2" t="s">
        <v>40740</v>
      </c>
      <c r="F6146" s="2">
        <v>248184</v>
      </c>
      <c r="G6146" s="3" t="str">
        <f>HYPERLINK("http://funmeta.oebiotech.com/network/248184", "http://funmeta.oebiotech.com/network/248184")</f>
        <v>http://funmeta.oebiotech.com/network/248184</v>
      </c>
      <c r="H6146" s="2" t="s">
        <v>40741</v>
      </c>
      <c r="I6146" s="2"/>
      <c r="J6146" s="2"/>
      <c r="K6146" s="2"/>
      <c r="L6146" s="2"/>
      <c r="M6146" s="2"/>
      <c r="N6146" s="2"/>
      <c r="O6146" s="2"/>
      <c r="P6146" s="2"/>
      <c r="Q6146" s="2" t="s">
        <v>40742</v>
      </c>
      <c r="R6146" s="2" t="s">
        <v>40743</v>
      </c>
      <c r="S6146" s="2" t="s">
        <v>41</v>
      </c>
      <c r="T6146" s="2" t="s">
        <v>41</v>
      </c>
      <c r="U6146" s="2" t="s">
        <v>41</v>
      </c>
      <c r="V6146" s="2" t="s">
        <v>59</v>
      </c>
      <c r="W6146" s="2">
        <v>39</v>
      </c>
      <c r="X6146" s="2">
        <v>0</v>
      </c>
      <c r="Y6146" s="2" t="s">
        <v>43</v>
      </c>
      <c r="Z6146" s="2" t="s">
        <v>40744</v>
      </c>
      <c r="AA6146" s="2">
        <v>-0.99827595888252796</v>
      </c>
      <c r="AB6146" s="2">
        <v>4.4994609687498403E-2</v>
      </c>
      <c r="AC6146" s="2">
        <v>38418.736006684201</v>
      </c>
      <c r="AD6146" s="2">
        <v>39372.352267981303</v>
      </c>
      <c r="AE6146" s="2">
        <v>36978.195632036397</v>
      </c>
      <c r="AF6146" s="2">
        <v>36630.156951868099</v>
      </c>
      <c r="AG6146" s="2">
        <v>39201.698959222798</v>
      </c>
      <c r="AH6146" s="2">
        <v>40319.172934214497</v>
      </c>
      <c r="AI6146" s="2">
        <v>36713.938994799202</v>
      </c>
      <c r="AJ6146" s="2">
        <v>40669.252567964199</v>
      </c>
      <c r="AK6146" s="2">
        <v>47427.959310022699</v>
      </c>
      <c r="AL6146" s="2">
        <v>39944.097070593998</v>
      </c>
      <c r="AM6146" s="2">
        <v>37360.812300563499</v>
      </c>
      <c r="AN6146" s="2">
        <v>33577.017439213501</v>
      </c>
      <c r="AO6146" s="2">
        <v>39414.0012880055</v>
      </c>
      <c r="AP6146" s="2">
        <v>38510.226199488701</v>
      </c>
    </row>
    <row r="6147" spans="1:42" ht="14.5" x14ac:dyDescent="0.35">
      <c r="A6147" s="2" t="s">
        <v>40745</v>
      </c>
      <c r="B6147" s="2">
        <v>445.030459658994</v>
      </c>
      <c r="C6147" s="2">
        <v>10.120533333333301</v>
      </c>
      <c r="D6147" s="2" t="s">
        <v>70</v>
      </c>
      <c r="E6147" s="2" t="s">
        <v>40746</v>
      </c>
      <c r="F6147" s="2">
        <v>255937</v>
      </c>
      <c r="G6147" s="3" t="str">
        <f>HYPERLINK("http://funmeta.oebiotech.com/network/255937", "http://funmeta.oebiotech.com/network/255937")</f>
        <v>http://funmeta.oebiotech.com/network/255937</v>
      </c>
      <c r="H6147" s="2" t="s">
        <v>40747</v>
      </c>
      <c r="I6147" s="2"/>
      <c r="J6147" s="2"/>
      <c r="K6147" s="2">
        <v>33323</v>
      </c>
      <c r="L6147" s="2"/>
      <c r="M6147" s="2"/>
      <c r="N6147" s="2"/>
      <c r="O6147" s="2"/>
      <c r="P6147" s="2"/>
      <c r="Q6147" s="2" t="s">
        <v>40748</v>
      </c>
      <c r="R6147" s="2" t="s">
        <v>40749</v>
      </c>
      <c r="S6147" s="2" t="s">
        <v>40750</v>
      </c>
      <c r="T6147" s="2" t="s">
        <v>40751</v>
      </c>
      <c r="U6147" s="2" t="s">
        <v>41</v>
      </c>
      <c r="V6147" s="2" t="s">
        <v>59</v>
      </c>
      <c r="W6147" s="2">
        <v>37.799999999999997</v>
      </c>
      <c r="X6147" s="2">
        <v>0</v>
      </c>
      <c r="Y6147" s="2" t="s">
        <v>560</v>
      </c>
      <c r="Z6147" s="2" t="s">
        <v>40746</v>
      </c>
      <c r="AA6147" s="2">
        <v>-3.8913798355573399</v>
      </c>
      <c r="AB6147" s="2">
        <v>4.4903822521940397E-2</v>
      </c>
      <c r="AC6147" s="2">
        <v>3524.4550740670702</v>
      </c>
      <c r="AD6147" s="2">
        <v>3880.9331897833999</v>
      </c>
      <c r="AE6147" s="2">
        <v>3735.93169256899</v>
      </c>
      <c r="AF6147" s="2">
        <v>3541.6062566365799</v>
      </c>
      <c r="AG6147" s="2">
        <v>3713.5235739397199</v>
      </c>
      <c r="AH6147" s="2">
        <v>2882.4065389970301</v>
      </c>
      <c r="AI6147" s="2">
        <v>3655.3740418944599</v>
      </c>
      <c r="AJ6147" s="2">
        <v>3617.88834036565</v>
      </c>
      <c r="AK6147" s="2">
        <v>4212.2043354095904</v>
      </c>
      <c r="AL6147" s="2">
        <v>4575.7473366156801</v>
      </c>
      <c r="AM6147" s="2">
        <v>4377.1717538001403</v>
      </c>
      <c r="AN6147" s="2">
        <v>3155.51924269753</v>
      </c>
      <c r="AO6147" s="2">
        <v>3708.2695003297999</v>
      </c>
      <c r="AP6147" s="2">
        <v>3256.6869698476598</v>
      </c>
    </row>
    <row r="6148" spans="1:42" ht="14.5" x14ac:dyDescent="0.35">
      <c r="A6148" s="2" t="s">
        <v>40752</v>
      </c>
      <c r="B6148" s="2">
        <v>199.096775186478</v>
      </c>
      <c r="C6148" s="2">
        <v>5.6176666666666701</v>
      </c>
      <c r="D6148" s="2" t="s">
        <v>70</v>
      </c>
      <c r="E6148" s="2" t="s">
        <v>40753</v>
      </c>
      <c r="F6148" s="2">
        <v>55678</v>
      </c>
      <c r="G6148" s="3" t="str">
        <f>HYPERLINK("http://funmeta.oebiotech.com/network/55678", "http://funmeta.oebiotech.com/network/55678")</f>
        <v>http://funmeta.oebiotech.com/network/55678</v>
      </c>
      <c r="H6148" s="2" t="s">
        <v>40754</v>
      </c>
      <c r="I6148" s="2">
        <v>87334</v>
      </c>
      <c r="J6148" s="2"/>
      <c r="K6148" s="2">
        <v>172085</v>
      </c>
      <c r="L6148" s="2"/>
      <c r="M6148" s="2"/>
      <c r="N6148" s="2"/>
      <c r="O6148" s="2">
        <v>131751116</v>
      </c>
      <c r="P6148" s="2"/>
      <c r="Q6148" s="2" t="s">
        <v>40755</v>
      </c>
      <c r="R6148" s="2" t="s">
        <v>40756</v>
      </c>
      <c r="S6148" s="2" t="s">
        <v>491</v>
      </c>
      <c r="T6148" s="2" t="s">
        <v>5973</v>
      </c>
      <c r="U6148" s="2" t="s">
        <v>5974</v>
      </c>
      <c r="V6148" s="2" t="s">
        <v>42</v>
      </c>
      <c r="W6148" s="2">
        <v>52.6</v>
      </c>
      <c r="X6148" s="2">
        <v>70.599999999999994</v>
      </c>
      <c r="Y6148" s="2" t="s">
        <v>118</v>
      </c>
      <c r="Z6148" s="2" t="s">
        <v>31902</v>
      </c>
      <c r="AA6148" s="2">
        <v>-4.0347490137535704</v>
      </c>
      <c r="AB6148" s="2">
        <v>4.4888434541501099E-2</v>
      </c>
      <c r="AC6148" s="2">
        <v>13269.1133834217</v>
      </c>
      <c r="AD6148" s="2">
        <v>14360.6186348213</v>
      </c>
      <c r="AE6148" s="2">
        <v>11255.8893525698</v>
      </c>
      <c r="AF6148" s="2">
        <v>13567.930231391199</v>
      </c>
      <c r="AG6148" s="2">
        <v>16444.244563126998</v>
      </c>
      <c r="AH6148" s="2">
        <v>11398.8598398493</v>
      </c>
      <c r="AI6148" s="2">
        <v>14528.648869144799</v>
      </c>
      <c r="AJ6148" s="2">
        <v>12419.1074444482</v>
      </c>
      <c r="AK6148" s="2">
        <v>15170.6071446679</v>
      </c>
      <c r="AL6148" s="2">
        <v>26366.981746668302</v>
      </c>
      <c r="AM6148" s="2">
        <v>11374.8573442834</v>
      </c>
      <c r="AN6148" s="2">
        <v>10537.7506817745</v>
      </c>
      <c r="AO6148" s="2">
        <v>12647.069066600099</v>
      </c>
      <c r="AP6148" s="2">
        <v>10066.4458249336</v>
      </c>
    </row>
    <row r="6149" spans="1:42" ht="14.5" x14ac:dyDescent="0.35">
      <c r="A6149" s="2" t="s">
        <v>40757</v>
      </c>
      <c r="B6149" s="2">
        <v>353.19563241037702</v>
      </c>
      <c r="C6149" s="2">
        <v>4.4289500000000004</v>
      </c>
      <c r="D6149" s="2" t="s">
        <v>34</v>
      </c>
      <c r="E6149" s="2" t="s">
        <v>40758</v>
      </c>
      <c r="F6149" s="2">
        <v>62433</v>
      </c>
      <c r="G6149" s="3" t="str">
        <f>HYPERLINK("http://funmeta.oebiotech.com/network/62433", "http://funmeta.oebiotech.com/network/62433")</f>
        <v>http://funmeta.oebiotech.com/network/62433</v>
      </c>
      <c r="H6149" s="2" t="s">
        <v>40759</v>
      </c>
      <c r="I6149" s="2">
        <v>93730</v>
      </c>
      <c r="J6149" s="2"/>
      <c r="K6149" s="2">
        <v>172578</v>
      </c>
      <c r="L6149" s="2"/>
      <c r="M6149" s="2"/>
      <c r="N6149" s="2"/>
      <c r="O6149" s="2">
        <v>5318274</v>
      </c>
      <c r="P6149" s="2" t="s">
        <v>40760</v>
      </c>
      <c r="Q6149" s="2" t="s">
        <v>40761</v>
      </c>
      <c r="R6149" s="2" t="s">
        <v>40762</v>
      </c>
      <c r="S6149" s="2" t="s">
        <v>148</v>
      </c>
      <c r="T6149" s="2" t="s">
        <v>392</v>
      </c>
      <c r="U6149" s="2" t="s">
        <v>3450</v>
      </c>
      <c r="V6149" s="2" t="s">
        <v>59</v>
      </c>
      <c r="W6149" s="2">
        <v>38.299999999999997</v>
      </c>
      <c r="X6149" s="2">
        <v>0</v>
      </c>
      <c r="Y6149" s="2" t="s">
        <v>394</v>
      </c>
      <c r="Z6149" s="2" t="s">
        <v>40763</v>
      </c>
      <c r="AA6149" s="2">
        <v>-0.66054651091657302</v>
      </c>
      <c r="AB6149" s="2">
        <v>4.4879707594692897E-2</v>
      </c>
      <c r="AC6149" s="2">
        <v>3449.7139800999998</v>
      </c>
      <c r="AD6149" s="2">
        <v>3033.2774405904502</v>
      </c>
      <c r="AE6149" s="2">
        <v>3617.5784030775599</v>
      </c>
      <c r="AF6149" s="2">
        <v>3422.7933521078498</v>
      </c>
      <c r="AG6149" s="2">
        <v>3546.19015147043</v>
      </c>
      <c r="AH6149" s="2">
        <v>2945.2473491441201</v>
      </c>
      <c r="AI6149" s="2">
        <v>2897.14682515392</v>
      </c>
      <c r="AJ6149" s="2">
        <v>4269.3277996461202</v>
      </c>
      <c r="AK6149" s="2">
        <v>3354.40411715146</v>
      </c>
      <c r="AL6149" s="2">
        <v>4270.1965815252597</v>
      </c>
      <c r="AM6149" s="2">
        <v>1695.9605513817301</v>
      </c>
      <c r="AN6149" s="2">
        <v>2467.6863012170202</v>
      </c>
      <c r="AO6149" s="2">
        <v>2996.74532955929</v>
      </c>
      <c r="AP6149" s="2">
        <v>3414.6717627079402</v>
      </c>
    </row>
    <row r="6150" spans="1:42" ht="14.5" x14ac:dyDescent="0.35">
      <c r="A6150" s="2" t="s">
        <v>40764</v>
      </c>
      <c r="B6150" s="2">
        <v>286.07444828355398</v>
      </c>
      <c r="C6150" s="2">
        <v>2.2769833333333298</v>
      </c>
      <c r="D6150" s="2" t="s">
        <v>34</v>
      </c>
      <c r="E6150" s="2" t="s">
        <v>40765</v>
      </c>
      <c r="F6150" s="2">
        <v>64914</v>
      </c>
      <c r="G6150" s="3" t="str">
        <f>HYPERLINK("http://funmeta.oebiotech.com/network/64914", "http://funmeta.oebiotech.com/network/64914")</f>
        <v>http://funmeta.oebiotech.com/network/64914</v>
      </c>
      <c r="H6150" s="2" t="s">
        <v>40766</v>
      </c>
      <c r="I6150" s="2">
        <v>314983</v>
      </c>
      <c r="J6150" s="2"/>
      <c r="K6150" s="2">
        <v>51257</v>
      </c>
      <c r="L6150" s="2" t="s">
        <v>40767</v>
      </c>
      <c r="M6150" s="2"/>
      <c r="N6150" s="2"/>
      <c r="O6150" s="2">
        <v>65894</v>
      </c>
      <c r="P6150" s="2" t="s">
        <v>40768</v>
      </c>
      <c r="Q6150" s="2" t="s">
        <v>40769</v>
      </c>
      <c r="R6150" s="2" t="s">
        <v>40770</v>
      </c>
      <c r="S6150" s="2" t="s">
        <v>89</v>
      </c>
      <c r="T6150" s="2" t="s">
        <v>90</v>
      </c>
      <c r="U6150" s="2" t="s">
        <v>99</v>
      </c>
      <c r="V6150" s="2" t="s">
        <v>59</v>
      </c>
      <c r="W6150" s="2">
        <v>38.299999999999997</v>
      </c>
      <c r="X6150" s="2">
        <v>0</v>
      </c>
      <c r="Y6150" s="2" t="s">
        <v>394</v>
      </c>
      <c r="Z6150" s="2" t="s">
        <v>40771</v>
      </c>
      <c r="AA6150" s="2">
        <v>0.27455958752742099</v>
      </c>
      <c r="AB6150" s="2">
        <v>4.4683282084827303E-2</v>
      </c>
      <c r="AC6150" s="2">
        <v>3164.88003718153</v>
      </c>
      <c r="AD6150" s="2">
        <v>2912.5853836666502</v>
      </c>
      <c r="AE6150" s="2">
        <v>3078.7209389844102</v>
      </c>
      <c r="AF6150" s="2">
        <v>2911.8662396852001</v>
      </c>
      <c r="AG6150" s="2">
        <v>3149.5106007618401</v>
      </c>
      <c r="AH6150" s="2">
        <v>3351.95225354688</v>
      </c>
      <c r="AI6150" s="2">
        <v>3391.8627582815102</v>
      </c>
      <c r="AJ6150" s="2">
        <v>3105.3674318293602</v>
      </c>
      <c r="AK6150" s="2">
        <v>2837.57038006538</v>
      </c>
      <c r="AL6150" s="2">
        <v>3205.0991413134002</v>
      </c>
      <c r="AM6150" s="2">
        <v>2517.4650112920399</v>
      </c>
      <c r="AN6150" s="2">
        <v>2973.0573177256401</v>
      </c>
      <c r="AO6150" s="2">
        <v>2761.20200762484</v>
      </c>
      <c r="AP6150" s="2">
        <v>3181.1184439786098</v>
      </c>
    </row>
    <row r="6151" spans="1:42" ht="14.5" x14ac:dyDescent="0.35">
      <c r="A6151" s="2" t="s">
        <v>40772</v>
      </c>
      <c r="B6151" s="2">
        <v>140.04686742181701</v>
      </c>
      <c r="C6151" s="2">
        <v>3.4190666666666698</v>
      </c>
      <c r="D6151" s="2" t="s">
        <v>34</v>
      </c>
      <c r="E6151" s="2" t="s">
        <v>40773</v>
      </c>
      <c r="F6151" s="2">
        <v>201217</v>
      </c>
      <c r="G6151" s="3" t="str">
        <f>HYPERLINK("http://funmeta.oebiotech.com/network/201217", "http://funmeta.oebiotech.com/network/201217")</f>
        <v>http://funmeta.oebiotech.com/network/201217</v>
      </c>
      <c r="H6151" s="2" t="s">
        <v>40774</v>
      </c>
      <c r="I6151" s="2">
        <v>417853</v>
      </c>
      <c r="J6151" s="2"/>
      <c r="K6151" s="2">
        <v>142993</v>
      </c>
      <c r="L6151" s="2"/>
      <c r="M6151" s="2"/>
      <c r="N6151" s="2"/>
      <c r="O6151" s="2">
        <v>97587</v>
      </c>
      <c r="P6151" s="2"/>
      <c r="Q6151" s="2" t="s">
        <v>40775</v>
      </c>
      <c r="R6151" s="2" t="s">
        <v>40776</v>
      </c>
      <c r="S6151" s="2" t="s">
        <v>89</v>
      </c>
      <c r="T6151" s="2" t="s">
        <v>6048</v>
      </c>
      <c r="U6151" s="2" t="s">
        <v>6049</v>
      </c>
      <c r="V6151" s="2" t="s">
        <v>59</v>
      </c>
      <c r="W6151" s="2">
        <v>38.700000000000003</v>
      </c>
      <c r="X6151" s="2">
        <v>0</v>
      </c>
      <c r="Y6151" s="2" t="s">
        <v>394</v>
      </c>
      <c r="Z6151" s="2" t="s">
        <v>40777</v>
      </c>
      <c r="AA6151" s="2">
        <v>-1.7176686950564499</v>
      </c>
      <c r="AB6151" s="2">
        <v>4.4682426723942403E-2</v>
      </c>
      <c r="AC6151" s="2">
        <v>8870.0798606174103</v>
      </c>
      <c r="AD6151" s="2">
        <v>8390.6197804198691</v>
      </c>
      <c r="AE6151" s="2">
        <v>8183.0465320160902</v>
      </c>
      <c r="AF6151" s="2">
        <v>8970.0741834533001</v>
      </c>
      <c r="AG6151" s="2">
        <v>9953.3594990869897</v>
      </c>
      <c r="AH6151" s="2">
        <v>10113.771466739299</v>
      </c>
      <c r="AI6151" s="2">
        <v>8478.8334767283595</v>
      </c>
      <c r="AJ6151" s="2">
        <v>7521.3940056804404</v>
      </c>
      <c r="AK6151" s="2">
        <v>9398.7520328587398</v>
      </c>
      <c r="AL6151" s="2">
        <v>9330.6649235195091</v>
      </c>
      <c r="AM6151" s="2">
        <v>7897.3604755598999</v>
      </c>
      <c r="AN6151" s="2">
        <v>7731.6671743206298</v>
      </c>
      <c r="AO6151" s="2">
        <v>7211.6006763486503</v>
      </c>
      <c r="AP6151" s="2">
        <v>8773.6733999117605</v>
      </c>
    </row>
    <row r="6152" spans="1:42" ht="14.5" x14ac:dyDescent="0.35">
      <c r="A6152" s="2" t="s">
        <v>40778</v>
      </c>
      <c r="B6152" s="2">
        <v>378.97569795743601</v>
      </c>
      <c r="C6152" s="2">
        <v>4.7039999999999997</v>
      </c>
      <c r="D6152" s="2" t="s">
        <v>70</v>
      </c>
      <c r="E6152" s="2" t="s">
        <v>40779</v>
      </c>
      <c r="F6152" s="2">
        <v>33352</v>
      </c>
      <c r="G6152" s="3" t="str">
        <f>HYPERLINK("http://funmeta.oebiotech.com/network/33352", "http://funmeta.oebiotech.com/network/33352")</f>
        <v>http://funmeta.oebiotech.com/network/33352</v>
      </c>
      <c r="H6152" s="2"/>
      <c r="I6152" s="2">
        <v>51679</v>
      </c>
      <c r="J6152" s="2" t="s">
        <v>40780</v>
      </c>
      <c r="K6152" s="2"/>
      <c r="L6152" s="2"/>
      <c r="M6152" s="2"/>
      <c r="N6152" s="2"/>
      <c r="O6152" s="2">
        <v>44260032</v>
      </c>
      <c r="P6152" s="2"/>
      <c r="Q6152" s="2" t="s">
        <v>40781</v>
      </c>
      <c r="R6152" s="2" t="s">
        <v>40782</v>
      </c>
      <c r="S6152" s="2" t="s">
        <v>115</v>
      </c>
      <c r="T6152" s="2" t="s">
        <v>139</v>
      </c>
      <c r="U6152" s="2" t="s">
        <v>1806</v>
      </c>
      <c r="V6152" s="2" t="s">
        <v>59</v>
      </c>
      <c r="W6152" s="2">
        <v>38.4</v>
      </c>
      <c r="X6152" s="2">
        <v>0</v>
      </c>
      <c r="Y6152" s="2" t="s">
        <v>751</v>
      </c>
      <c r="Z6152" s="2" t="s">
        <v>40783</v>
      </c>
      <c r="AA6152" s="2">
        <v>-2.1182671454559401</v>
      </c>
      <c r="AB6152" s="2">
        <v>4.4599944786220903E-2</v>
      </c>
      <c r="AC6152" s="2">
        <v>3587.20369278314</v>
      </c>
      <c r="AD6152" s="2">
        <v>4052.1203238989701</v>
      </c>
      <c r="AE6152" s="2">
        <v>5633.4693645159596</v>
      </c>
      <c r="AF6152" s="2">
        <v>2659.3954631585898</v>
      </c>
      <c r="AG6152" s="2">
        <v>3291.0702134579301</v>
      </c>
      <c r="AH6152" s="2">
        <v>2974.0646370081199</v>
      </c>
      <c r="AI6152" s="2">
        <v>3588.1102608260899</v>
      </c>
      <c r="AJ6152" s="2">
        <v>3377.1122177321599</v>
      </c>
      <c r="AK6152" s="2">
        <v>4991.8388332816803</v>
      </c>
      <c r="AL6152" s="2">
        <v>3631.3871768107701</v>
      </c>
      <c r="AM6152" s="2">
        <v>3875.3347629940799</v>
      </c>
      <c r="AN6152" s="2">
        <v>3678.1461515902001</v>
      </c>
      <c r="AO6152" s="2">
        <v>4677.6194530367502</v>
      </c>
      <c r="AP6152" s="2">
        <v>3458.39556568032</v>
      </c>
    </row>
    <row r="6153" spans="1:42" ht="14.5" x14ac:dyDescent="0.35">
      <c r="A6153" s="2" t="s">
        <v>40784</v>
      </c>
      <c r="B6153" s="2">
        <v>343.29524179396702</v>
      </c>
      <c r="C6153" s="2">
        <v>8.3059499999999993</v>
      </c>
      <c r="D6153" s="2" t="s">
        <v>34</v>
      </c>
      <c r="E6153" s="2" t="s">
        <v>40785</v>
      </c>
      <c r="F6153" s="2">
        <v>198564</v>
      </c>
      <c r="G6153" s="3" t="str">
        <f>HYPERLINK("http://funmeta.oebiotech.com/network/198564", "http://funmeta.oebiotech.com/network/198564")</f>
        <v>http://funmeta.oebiotech.com/network/198564</v>
      </c>
      <c r="H6153" s="2" t="s">
        <v>40786</v>
      </c>
      <c r="I6153" s="2"/>
      <c r="J6153" s="2"/>
      <c r="K6153" s="2"/>
      <c r="L6153" s="2"/>
      <c r="M6153" s="2"/>
      <c r="N6153" s="2"/>
      <c r="O6153" s="2">
        <v>10245787</v>
      </c>
      <c r="P6153" s="2"/>
      <c r="Q6153" s="2" t="s">
        <v>40787</v>
      </c>
      <c r="R6153" s="2" t="s">
        <v>40788</v>
      </c>
      <c r="S6153" s="2" t="s">
        <v>41</v>
      </c>
      <c r="T6153" s="2" t="s">
        <v>41</v>
      </c>
      <c r="U6153" s="2" t="s">
        <v>41</v>
      </c>
      <c r="V6153" s="2" t="s">
        <v>59</v>
      </c>
      <c r="W6153" s="2">
        <v>48</v>
      </c>
      <c r="X6153" s="2">
        <v>44.1</v>
      </c>
      <c r="Y6153" s="2" t="s">
        <v>43</v>
      </c>
      <c r="Z6153" s="2" t="s">
        <v>40789</v>
      </c>
      <c r="AA6153" s="2">
        <v>-0.85384159324993703</v>
      </c>
      <c r="AB6153" s="2">
        <v>4.4387010533568597E-2</v>
      </c>
      <c r="AC6153" s="2">
        <v>2543.9454190676502</v>
      </c>
      <c r="AD6153" s="2">
        <v>3004.2732475913099</v>
      </c>
      <c r="AE6153" s="2">
        <v>3768.80681635971</v>
      </c>
      <c r="AF6153" s="2">
        <v>1874.9296640436701</v>
      </c>
      <c r="AG6153" s="2">
        <v>3148.0931880522098</v>
      </c>
      <c r="AH6153" s="2">
        <v>1854.32671107803</v>
      </c>
      <c r="AI6153" s="2">
        <v>1931.3535060481699</v>
      </c>
      <c r="AJ6153" s="2">
        <v>2686.16262882411</v>
      </c>
      <c r="AK6153" s="2">
        <v>3129.2136884223601</v>
      </c>
      <c r="AL6153" s="2">
        <v>2341.7143767187299</v>
      </c>
      <c r="AM6153" s="2">
        <v>2948.2703932567701</v>
      </c>
      <c r="AN6153" s="2">
        <v>4762.6556270932897</v>
      </c>
      <c r="AO6153" s="2">
        <v>2482.0300420968802</v>
      </c>
      <c r="AP6153" s="2">
        <v>2361.7553579598198</v>
      </c>
    </row>
    <row r="6154" spans="1:42" ht="14.5" x14ac:dyDescent="0.35">
      <c r="A6154" s="2" t="s">
        <v>40790</v>
      </c>
      <c r="B6154" s="2">
        <v>461.109108732099</v>
      </c>
      <c r="C6154" s="2">
        <v>6.0486166666666703</v>
      </c>
      <c r="D6154" s="2" t="s">
        <v>70</v>
      </c>
      <c r="E6154" s="2" t="s">
        <v>40791</v>
      </c>
      <c r="F6154" s="2">
        <v>29152</v>
      </c>
      <c r="G6154" s="3" t="str">
        <f>HYPERLINK("http://funmeta.oebiotech.com/network/29152", "http://funmeta.oebiotech.com/network/29152")</f>
        <v>http://funmeta.oebiotech.com/network/29152</v>
      </c>
      <c r="H6154" s="2" t="s">
        <v>40792</v>
      </c>
      <c r="I6154" s="2">
        <v>64304</v>
      </c>
      <c r="J6154" s="2" t="s">
        <v>40793</v>
      </c>
      <c r="K6154" s="2">
        <v>42202</v>
      </c>
      <c r="L6154" s="2" t="s">
        <v>40794</v>
      </c>
      <c r="M6154" s="2" t="s">
        <v>1366</v>
      </c>
      <c r="N6154" s="2" t="s">
        <v>1367</v>
      </c>
      <c r="O6154" s="2">
        <v>107971</v>
      </c>
      <c r="P6154" s="2" t="s">
        <v>40795</v>
      </c>
      <c r="Q6154" s="2" t="s">
        <v>40796</v>
      </c>
      <c r="R6154" s="2" t="s">
        <v>40797</v>
      </c>
      <c r="S6154" s="2" t="s">
        <v>115</v>
      </c>
      <c r="T6154" s="2" t="s">
        <v>1371</v>
      </c>
      <c r="U6154" s="2" t="s">
        <v>1372</v>
      </c>
      <c r="V6154" s="2" t="s">
        <v>59</v>
      </c>
      <c r="W6154" s="2">
        <v>38</v>
      </c>
      <c r="X6154" s="2">
        <v>0</v>
      </c>
      <c r="Y6154" s="2" t="s">
        <v>408</v>
      </c>
      <c r="Z6154" s="2" t="s">
        <v>23003</v>
      </c>
      <c r="AA6154" s="2">
        <v>0.417303965166758</v>
      </c>
      <c r="AB6154" s="2">
        <v>4.4373387163543401E-2</v>
      </c>
      <c r="AC6154" s="2">
        <v>440.90298996530498</v>
      </c>
      <c r="AD6154" s="2">
        <v>720.34197898563502</v>
      </c>
      <c r="AE6154" s="2">
        <v>441.15329040136203</v>
      </c>
      <c r="AF6154" s="2">
        <v>2.7106294003980101E-5</v>
      </c>
      <c r="AG6154" s="2">
        <v>302.588115006377</v>
      </c>
      <c r="AH6154" s="2">
        <v>715.88759038982596</v>
      </c>
      <c r="AI6154" s="2">
        <v>314.11454489215402</v>
      </c>
      <c r="AJ6154" s="2">
        <v>871.67437199581605</v>
      </c>
      <c r="AK6154" s="2">
        <v>485.28084387565502</v>
      </c>
      <c r="AL6154" s="2">
        <v>359.53789778258101</v>
      </c>
      <c r="AM6154" s="2">
        <v>1013.61426528473</v>
      </c>
      <c r="AN6154" s="2">
        <v>616.42471458779698</v>
      </c>
      <c r="AO6154" s="2">
        <v>806.83888284118996</v>
      </c>
      <c r="AP6154" s="2">
        <v>1040.35526954186</v>
      </c>
    </row>
    <row r="6155" spans="1:42" ht="14.5" x14ac:dyDescent="0.35">
      <c r="A6155" s="2" t="s">
        <v>40798</v>
      </c>
      <c r="B6155" s="2">
        <v>507.06692432441503</v>
      </c>
      <c r="C6155" s="2">
        <v>5.0599499999999997</v>
      </c>
      <c r="D6155" s="2" t="s">
        <v>70</v>
      </c>
      <c r="E6155" s="2" t="s">
        <v>40799</v>
      </c>
      <c r="F6155" s="2">
        <v>82483</v>
      </c>
      <c r="G6155" s="3" t="str">
        <f>HYPERLINK("http://funmeta.oebiotech.com/network/82483", "http://funmeta.oebiotech.com/network/82483")</f>
        <v>http://funmeta.oebiotech.com/network/82483</v>
      </c>
      <c r="H6155" s="2" t="s">
        <v>40800</v>
      </c>
      <c r="I6155" s="2"/>
      <c r="J6155" s="2"/>
      <c r="K6155" s="2"/>
      <c r="L6155" s="2"/>
      <c r="M6155" s="2"/>
      <c r="N6155" s="2"/>
      <c r="O6155" s="2">
        <v>10467478</v>
      </c>
      <c r="P6155" s="2" t="s">
        <v>40801</v>
      </c>
      <c r="Q6155" s="2" t="s">
        <v>40802</v>
      </c>
      <c r="R6155" s="2" t="s">
        <v>40803</v>
      </c>
      <c r="S6155" s="2" t="s">
        <v>491</v>
      </c>
      <c r="T6155" s="2" t="s">
        <v>2306</v>
      </c>
      <c r="U6155" s="2" t="s">
        <v>41</v>
      </c>
      <c r="V6155" s="2" t="s">
        <v>59</v>
      </c>
      <c r="W6155" s="2">
        <v>37</v>
      </c>
      <c r="X6155" s="2">
        <v>0</v>
      </c>
      <c r="Y6155" s="2" t="s">
        <v>560</v>
      </c>
      <c r="Z6155" s="2" t="s">
        <v>40804</v>
      </c>
      <c r="AA6155" s="2">
        <v>3.8284698939203401</v>
      </c>
      <c r="AB6155" s="2">
        <v>4.4054810848097599E-2</v>
      </c>
      <c r="AC6155" s="2">
        <v>1526.9535067192</v>
      </c>
      <c r="AD6155" s="2">
        <v>1233.47383848851</v>
      </c>
      <c r="AE6155" s="2">
        <v>2031.72239447365</v>
      </c>
      <c r="AF6155" s="2">
        <v>1564.9517804375701</v>
      </c>
      <c r="AG6155" s="2">
        <v>1716.7101921332801</v>
      </c>
      <c r="AH6155" s="2">
        <v>1637.2933113880699</v>
      </c>
      <c r="AI6155" s="2">
        <v>1121.2146362446799</v>
      </c>
      <c r="AJ6155" s="2">
        <v>1089.8287256379199</v>
      </c>
      <c r="AK6155" s="2">
        <v>699.79958792094999</v>
      </c>
      <c r="AL6155" s="2">
        <v>1560.4829612465301</v>
      </c>
      <c r="AM6155" s="2">
        <v>1250.4557953773499</v>
      </c>
      <c r="AN6155" s="2">
        <v>1525.1629649046099</v>
      </c>
      <c r="AO6155" s="2">
        <v>1056.93190590264</v>
      </c>
      <c r="AP6155" s="2">
        <v>1308.0098155789799</v>
      </c>
    </row>
    <row r="6156" spans="1:42" ht="14.5" x14ac:dyDescent="0.35">
      <c r="A6156" s="2" t="s">
        <v>40805</v>
      </c>
      <c r="B6156" s="2">
        <v>351.030609292002</v>
      </c>
      <c r="C6156" s="2">
        <v>0.92698333333333305</v>
      </c>
      <c r="D6156" s="2" t="s">
        <v>70</v>
      </c>
      <c r="E6156" s="2" t="s">
        <v>40806</v>
      </c>
      <c r="F6156" s="2">
        <v>200722</v>
      </c>
      <c r="G6156" s="3" t="str">
        <f>HYPERLINK("http://funmeta.oebiotech.com/network/200722", "http://funmeta.oebiotech.com/network/200722")</f>
        <v>http://funmeta.oebiotech.com/network/200722</v>
      </c>
      <c r="H6156" s="2" t="s">
        <v>40807</v>
      </c>
      <c r="I6156" s="2"/>
      <c r="J6156" s="2"/>
      <c r="K6156" s="2"/>
      <c r="L6156" s="2"/>
      <c r="M6156" s="2"/>
      <c r="N6156" s="2"/>
      <c r="O6156" s="2">
        <v>93250</v>
      </c>
      <c r="P6156" s="2"/>
      <c r="Q6156" s="2" t="s">
        <v>40808</v>
      </c>
      <c r="R6156" s="2" t="s">
        <v>40809</v>
      </c>
      <c r="S6156" s="2" t="s">
        <v>491</v>
      </c>
      <c r="T6156" s="2" t="s">
        <v>2653</v>
      </c>
      <c r="U6156" s="2" t="s">
        <v>12620</v>
      </c>
      <c r="V6156" s="2" t="s">
        <v>59</v>
      </c>
      <c r="W6156" s="2">
        <v>37</v>
      </c>
      <c r="X6156" s="2">
        <v>19.2</v>
      </c>
      <c r="Y6156" s="2" t="s">
        <v>751</v>
      </c>
      <c r="Z6156" s="2" t="s">
        <v>40810</v>
      </c>
      <c r="AA6156" s="2">
        <v>-3.11620365614518</v>
      </c>
      <c r="AB6156" s="2">
        <v>4.40499790242566E-2</v>
      </c>
      <c r="AC6156" s="2">
        <v>54697.656199660203</v>
      </c>
      <c r="AD6156" s="2">
        <v>55802.801139333103</v>
      </c>
      <c r="AE6156" s="2">
        <v>53345.331261521897</v>
      </c>
      <c r="AF6156" s="2">
        <v>55120.268361720096</v>
      </c>
      <c r="AG6156" s="2">
        <v>58637.643054379601</v>
      </c>
      <c r="AH6156" s="2">
        <v>55780.525629900301</v>
      </c>
      <c r="AI6156" s="2">
        <v>55152.988120874099</v>
      </c>
      <c r="AJ6156" s="2">
        <v>50149.1807695651</v>
      </c>
      <c r="AK6156" s="2">
        <v>59045.800280975702</v>
      </c>
      <c r="AL6156" s="2">
        <v>52956.441287454298</v>
      </c>
      <c r="AM6156" s="2">
        <v>45620.429263312297</v>
      </c>
      <c r="AN6156" s="2">
        <v>52934.067576686502</v>
      </c>
      <c r="AO6156" s="2">
        <v>63975.130926767699</v>
      </c>
      <c r="AP6156" s="2">
        <v>60284.9375008024</v>
      </c>
    </row>
    <row r="6157" spans="1:42" ht="14.5" x14ac:dyDescent="0.35">
      <c r="A6157" s="2" t="s">
        <v>40811</v>
      </c>
      <c r="B6157" s="2">
        <v>104.106880210509</v>
      </c>
      <c r="C6157" s="2">
        <v>10.5845</v>
      </c>
      <c r="D6157" s="2" t="s">
        <v>34</v>
      </c>
      <c r="E6157" s="2" t="s">
        <v>40812</v>
      </c>
      <c r="F6157" s="2">
        <v>48735</v>
      </c>
      <c r="G6157" s="3" t="str">
        <f>HYPERLINK("http://funmeta.oebiotech.com/network/48735", "http://funmeta.oebiotech.com/network/48735")</f>
        <v>http://funmeta.oebiotech.com/network/48735</v>
      </c>
      <c r="H6157" s="2" t="s">
        <v>40813</v>
      </c>
      <c r="I6157" s="2">
        <v>58421</v>
      </c>
      <c r="J6157" s="2"/>
      <c r="K6157" s="2">
        <v>16638</v>
      </c>
      <c r="L6157" s="2" t="s">
        <v>40814</v>
      </c>
      <c r="M6157" s="2"/>
      <c r="N6157" s="2"/>
      <c r="O6157" s="2">
        <v>11552</v>
      </c>
      <c r="P6157" s="2" t="s">
        <v>40815</v>
      </c>
      <c r="Q6157" s="2" t="s">
        <v>40816</v>
      </c>
      <c r="R6157" s="2" t="s">
        <v>40817</v>
      </c>
      <c r="S6157" s="2" t="s">
        <v>79</v>
      </c>
      <c r="T6157" s="2" t="s">
        <v>80</v>
      </c>
      <c r="U6157" s="2" t="s">
        <v>2820</v>
      </c>
      <c r="V6157" s="2" t="s">
        <v>59</v>
      </c>
      <c r="W6157" s="2">
        <v>39.299999999999997</v>
      </c>
      <c r="X6157" s="2">
        <v>0</v>
      </c>
      <c r="Y6157" s="2" t="s">
        <v>43</v>
      </c>
      <c r="Z6157" s="2" t="s">
        <v>9089</v>
      </c>
      <c r="AA6157" s="2">
        <v>-1.2810003132719801</v>
      </c>
      <c r="AB6157" s="2">
        <v>4.4009858525094203E-2</v>
      </c>
      <c r="AC6157" s="2">
        <v>1038.35610121274</v>
      </c>
      <c r="AD6157" s="2">
        <v>1202.9496781642099</v>
      </c>
      <c r="AE6157" s="2">
        <v>1050.5380823396999</v>
      </c>
      <c r="AF6157" s="2">
        <v>1047.02010528593</v>
      </c>
      <c r="AG6157" s="2">
        <v>1075.09540537627</v>
      </c>
      <c r="AH6157" s="2">
        <v>948.05415388526501</v>
      </c>
      <c r="AI6157" s="2">
        <v>1079.2545750849099</v>
      </c>
      <c r="AJ6157" s="2">
        <v>1030.17428530439</v>
      </c>
      <c r="AK6157" s="2">
        <v>1220.01183682482</v>
      </c>
      <c r="AL6157" s="2">
        <v>1173.37642397885</v>
      </c>
      <c r="AM6157" s="2">
        <v>1105.9871572515301</v>
      </c>
      <c r="AN6157" s="2">
        <v>1144.52033146855</v>
      </c>
      <c r="AO6157" s="2">
        <v>1200.3773926546401</v>
      </c>
      <c r="AP6157" s="2">
        <v>1373.4249268068399</v>
      </c>
    </row>
    <row r="6158" spans="1:42" ht="14.5" x14ac:dyDescent="0.35">
      <c r="A6158" s="2" t="s">
        <v>40818</v>
      </c>
      <c r="B6158" s="2">
        <v>472.26163276108298</v>
      </c>
      <c r="C6158" s="2">
        <v>5.31823333333333</v>
      </c>
      <c r="D6158" s="2" t="s">
        <v>34</v>
      </c>
      <c r="E6158" s="2" t="s">
        <v>40819</v>
      </c>
      <c r="F6158" s="2">
        <v>210942</v>
      </c>
      <c r="G6158" s="3" t="str">
        <f>HYPERLINK("http://funmeta.oebiotech.com/network/210942", "http://funmeta.oebiotech.com/network/210942")</f>
        <v>http://funmeta.oebiotech.com/network/210942</v>
      </c>
      <c r="H6158" s="2" t="s">
        <v>40820</v>
      </c>
      <c r="I6158" s="2">
        <v>71793</v>
      </c>
      <c r="J6158" s="2"/>
      <c r="K6158" s="2"/>
      <c r="L6158" s="2" t="s">
        <v>40821</v>
      </c>
      <c r="M6158" s="2" t="s">
        <v>21200</v>
      </c>
      <c r="N6158" s="2" t="s">
        <v>21201</v>
      </c>
      <c r="O6158" s="2">
        <v>5066</v>
      </c>
      <c r="P6158" s="2" t="s">
        <v>40822</v>
      </c>
      <c r="Q6158" s="2" t="s">
        <v>40823</v>
      </c>
      <c r="R6158" s="2" t="s">
        <v>40824</v>
      </c>
      <c r="S6158" s="2" t="s">
        <v>79</v>
      </c>
      <c r="T6158" s="2" t="s">
        <v>80</v>
      </c>
      <c r="U6158" s="2" t="s">
        <v>81</v>
      </c>
      <c r="V6158" s="2" t="s">
        <v>59</v>
      </c>
      <c r="W6158" s="2">
        <v>39.4</v>
      </c>
      <c r="X6158" s="2">
        <v>14.1</v>
      </c>
      <c r="Y6158" s="2" t="s">
        <v>43</v>
      </c>
      <c r="Z6158" s="2" t="s">
        <v>40825</v>
      </c>
      <c r="AA6158" s="2">
        <v>0.69112043580704996</v>
      </c>
      <c r="AB6158" s="2">
        <v>4.39889870027187E-2</v>
      </c>
      <c r="AC6158" s="2">
        <v>507708.19350837998</v>
      </c>
      <c r="AD6158" s="2">
        <v>509853.83672573097</v>
      </c>
      <c r="AE6158" s="2">
        <v>504255.29508814297</v>
      </c>
      <c r="AF6158" s="2">
        <v>499755.73264865699</v>
      </c>
      <c r="AG6158" s="2">
        <v>513700.46969672298</v>
      </c>
      <c r="AH6158" s="2">
        <v>527014.48301103502</v>
      </c>
      <c r="AI6158" s="2">
        <v>540226.36738398403</v>
      </c>
      <c r="AJ6158" s="2">
        <v>461296.81322174001</v>
      </c>
      <c r="AK6158" s="2">
        <v>489306.96782429703</v>
      </c>
      <c r="AL6158" s="2">
        <v>501534.69531685603</v>
      </c>
      <c r="AM6158" s="2">
        <v>550766.12597349496</v>
      </c>
      <c r="AN6158" s="2">
        <v>522856.00487775099</v>
      </c>
      <c r="AO6158" s="2">
        <v>483314.35286715801</v>
      </c>
      <c r="AP6158" s="2">
        <v>511344.87349483097</v>
      </c>
    </row>
    <row r="6159" spans="1:42" ht="14.5" x14ac:dyDescent="0.35">
      <c r="A6159" s="2" t="s">
        <v>40826</v>
      </c>
      <c r="B6159" s="2">
        <v>441.15630754858603</v>
      </c>
      <c r="C6159" s="2">
        <v>0.811483333333333</v>
      </c>
      <c r="D6159" s="2" t="s">
        <v>34</v>
      </c>
      <c r="E6159" s="2" t="s">
        <v>40827</v>
      </c>
      <c r="F6159" s="2">
        <v>212801</v>
      </c>
      <c r="G6159" s="3" t="str">
        <f>HYPERLINK("http://funmeta.oebiotech.com/network/212801", "http://funmeta.oebiotech.com/network/212801")</f>
        <v>http://funmeta.oebiotech.com/network/212801</v>
      </c>
      <c r="H6159" s="2" t="s">
        <v>40828</v>
      </c>
      <c r="I6159" s="2"/>
      <c r="J6159" s="2"/>
      <c r="K6159" s="2"/>
      <c r="L6159" s="2"/>
      <c r="M6159" s="2"/>
      <c r="N6159" s="2"/>
      <c r="O6159" s="2">
        <v>9846797</v>
      </c>
      <c r="P6159" s="2"/>
      <c r="Q6159" s="2" t="s">
        <v>40829</v>
      </c>
      <c r="R6159" s="2" t="s">
        <v>40830</v>
      </c>
      <c r="S6159" s="2" t="s">
        <v>41</v>
      </c>
      <c r="T6159" s="2" t="s">
        <v>41</v>
      </c>
      <c r="U6159" s="2" t="s">
        <v>41</v>
      </c>
      <c r="V6159" s="2" t="s">
        <v>59</v>
      </c>
      <c r="W6159" s="2">
        <v>36.200000000000003</v>
      </c>
      <c r="X6159" s="2">
        <v>0</v>
      </c>
      <c r="Y6159" s="2" t="s">
        <v>323</v>
      </c>
      <c r="Z6159" s="2" t="s">
        <v>40831</v>
      </c>
      <c r="AA6159" s="2">
        <v>-0.93135572739877504</v>
      </c>
      <c r="AB6159" s="2">
        <v>4.3988664971527702E-2</v>
      </c>
      <c r="AC6159" s="2">
        <v>16501.702898559899</v>
      </c>
      <c r="AD6159" s="2">
        <v>17205.1604654734</v>
      </c>
      <c r="AE6159" s="2">
        <v>17435.868701227799</v>
      </c>
      <c r="AF6159" s="2">
        <v>15594.9579054642</v>
      </c>
      <c r="AG6159" s="2">
        <v>14450.0284521907</v>
      </c>
      <c r="AH6159" s="2">
        <v>18490.977996492202</v>
      </c>
      <c r="AI6159" s="2">
        <v>17555.009724589301</v>
      </c>
      <c r="AJ6159" s="2">
        <v>15483.3746113954</v>
      </c>
      <c r="AK6159" s="2">
        <v>19695.250601976099</v>
      </c>
      <c r="AL6159" s="2">
        <v>13180.323071241401</v>
      </c>
      <c r="AM6159" s="2">
        <v>17006.7032871845</v>
      </c>
      <c r="AN6159" s="2">
        <v>20028.551943468501</v>
      </c>
      <c r="AO6159" s="2">
        <v>18697.295907989701</v>
      </c>
      <c r="AP6159" s="2">
        <v>14622.837980980299</v>
      </c>
    </row>
    <row r="6160" spans="1:42" ht="14.5" x14ac:dyDescent="0.35">
      <c r="A6160" s="2" t="s">
        <v>40832</v>
      </c>
      <c r="B6160" s="2">
        <v>363.21581263098699</v>
      </c>
      <c r="C6160" s="2">
        <v>4.2938999999999998</v>
      </c>
      <c r="D6160" s="2" t="s">
        <v>34</v>
      </c>
      <c r="E6160" s="2" t="s">
        <v>40833</v>
      </c>
      <c r="F6160" s="2">
        <v>44979</v>
      </c>
      <c r="G6160" s="3" t="str">
        <f>HYPERLINK("http://funmeta.oebiotech.com/network/44979", "http://funmeta.oebiotech.com/network/44979")</f>
        <v>http://funmeta.oebiotech.com/network/44979</v>
      </c>
      <c r="H6160" s="2" t="s">
        <v>40834</v>
      </c>
      <c r="I6160" s="2">
        <v>272</v>
      </c>
      <c r="J6160" s="2" t="s">
        <v>40835</v>
      </c>
      <c r="K6160" s="2">
        <v>17650</v>
      </c>
      <c r="L6160" s="2" t="s">
        <v>40836</v>
      </c>
      <c r="M6160" s="2" t="s">
        <v>40837</v>
      </c>
      <c r="N6160" s="2" t="s">
        <v>40838</v>
      </c>
      <c r="O6160" s="2">
        <v>5754</v>
      </c>
      <c r="P6160" s="2" t="s">
        <v>40839</v>
      </c>
      <c r="Q6160" s="2" t="s">
        <v>40840</v>
      </c>
      <c r="R6160" s="2" t="s">
        <v>40841</v>
      </c>
      <c r="S6160" s="2" t="s">
        <v>50</v>
      </c>
      <c r="T6160" s="2" t="s">
        <v>124</v>
      </c>
      <c r="U6160" s="2" t="s">
        <v>1136</v>
      </c>
      <c r="V6160" s="2" t="s">
        <v>59</v>
      </c>
      <c r="W6160" s="2">
        <v>38.299999999999997</v>
      </c>
      <c r="X6160" s="2">
        <v>0</v>
      </c>
      <c r="Y6160" s="2" t="s">
        <v>266</v>
      </c>
      <c r="Z6160" s="2" t="s">
        <v>13465</v>
      </c>
      <c r="AA6160" s="2">
        <v>-2.1751535943481901</v>
      </c>
      <c r="AB6160" s="2">
        <v>4.3982913173185798E-2</v>
      </c>
      <c r="AC6160" s="2">
        <v>6043.6894496618297</v>
      </c>
      <c r="AD6160" s="2">
        <v>6606.4147429671202</v>
      </c>
      <c r="AE6160" s="2">
        <v>6792.7166820547</v>
      </c>
      <c r="AF6160" s="2">
        <v>5040.8548142081299</v>
      </c>
      <c r="AG6160" s="2">
        <v>5790.70724846967</v>
      </c>
      <c r="AH6160" s="2">
        <v>4368.5135881330698</v>
      </c>
      <c r="AI6160" s="2">
        <v>5736.8169573328196</v>
      </c>
      <c r="AJ6160" s="2">
        <v>8532.5274077726008</v>
      </c>
      <c r="AK6160" s="2">
        <v>8563.1250170386993</v>
      </c>
      <c r="AL6160" s="2">
        <v>6165.5122069539002</v>
      </c>
      <c r="AM6160" s="2">
        <v>5224.6533472834899</v>
      </c>
      <c r="AN6160" s="2">
        <v>7107.56085196805</v>
      </c>
      <c r="AO6160" s="2">
        <v>5938.4305110485902</v>
      </c>
      <c r="AP6160" s="2">
        <v>6639.2065235099699</v>
      </c>
    </row>
    <row r="6161" spans="1:42" ht="14.5" x14ac:dyDescent="0.35">
      <c r="A6161" s="2" t="s">
        <v>40842</v>
      </c>
      <c r="B6161" s="2">
        <v>431.13450262610701</v>
      </c>
      <c r="C6161" s="2">
        <v>6.3111666666666704</v>
      </c>
      <c r="D6161" s="2" t="s">
        <v>70</v>
      </c>
      <c r="E6161" s="2" t="s">
        <v>40843</v>
      </c>
      <c r="F6161" s="2">
        <v>257769</v>
      </c>
      <c r="G6161" s="3" t="str">
        <f>HYPERLINK("http://funmeta.oebiotech.com/network/257769", "http://funmeta.oebiotech.com/network/257769")</f>
        <v>http://funmeta.oebiotech.com/network/257769</v>
      </c>
      <c r="H6161" s="2"/>
      <c r="I6161" s="2">
        <v>519</v>
      </c>
      <c r="J6161" s="2"/>
      <c r="K6161" s="2"/>
      <c r="L6161" s="2"/>
      <c r="M6161" s="2"/>
      <c r="N6161" s="2"/>
      <c r="O6161" s="2">
        <v>75041</v>
      </c>
      <c r="P6161" s="2" t="s">
        <v>40844</v>
      </c>
      <c r="Q6161" s="2" t="s">
        <v>40845</v>
      </c>
      <c r="R6161" s="2" t="s">
        <v>40846</v>
      </c>
      <c r="S6161" s="2" t="s">
        <v>148</v>
      </c>
      <c r="T6161" s="2" t="s">
        <v>149</v>
      </c>
      <c r="U6161" s="2" t="s">
        <v>22605</v>
      </c>
      <c r="V6161" s="2" t="s">
        <v>59</v>
      </c>
      <c r="W6161" s="2">
        <v>38.799999999999997</v>
      </c>
      <c r="X6161" s="2">
        <v>0</v>
      </c>
      <c r="Y6161" s="2" t="s">
        <v>560</v>
      </c>
      <c r="Z6161" s="2" t="s">
        <v>40847</v>
      </c>
      <c r="AA6161" s="2">
        <v>2.2578871506314</v>
      </c>
      <c r="AB6161" s="2">
        <v>4.3937826032593899E-2</v>
      </c>
      <c r="AC6161" s="2">
        <v>5013.78503831539</v>
      </c>
      <c r="AD6161" s="2">
        <v>4626.8654959253299</v>
      </c>
      <c r="AE6161" s="2">
        <v>6609.8716826069603</v>
      </c>
      <c r="AF6161" s="2">
        <v>4557.0512842984099</v>
      </c>
      <c r="AG6161" s="2">
        <v>4651.9131072279497</v>
      </c>
      <c r="AH6161" s="2">
        <v>4758.82234618653</v>
      </c>
      <c r="AI6161" s="2">
        <v>4528.7007206157004</v>
      </c>
      <c r="AJ6161" s="2">
        <v>4976.3510889567897</v>
      </c>
      <c r="AK6161" s="2">
        <v>4385.0573708540696</v>
      </c>
      <c r="AL6161" s="2">
        <v>4578.68601739322</v>
      </c>
      <c r="AM6161" s="2">
        <v>4868.0035077273296</v>
      </c>
      <c r="AN6161" s="2">
        <v>4039.65103338985</v>
      </c>
      <c r="AO6161" s="2">
        <v>5115.1996160791596</v>
      </c>
      <c r="AP6161" s="2">
        <v>4774.5954301083802</v>
      </c>
    </row>
    <row r="6162" spans="1:42" ht="14.5" x14ac:dyDescent="0.35">
      <c r="A6162" s="2" t="s">
        <v>40848</v>
      </c>
      <c r="B6162" s="2">
        <v>449.14503519406799</v>
      </c>
      <c r="C6162" s="2">
        <v>4.7402166666666696</v>
      </c>
      <c r="D6162" s="2" t="s">
        <v>70</v>
      </c>
      <c r="E6162" s="2" t="s">
        <v>40849</v>
      </c>
      <c r="F6162" s="2">
        <v>198719</v>
      </c>
      <c r="G6162" s="3" t="str">
        <f>HYPERLINK("http://funmeta.oebiotech.com/network/198719", "http://funmeta.oebiotech.com/network/198719")</f>
        <v>http://funmeta.oebiotech.com/network/198719</v>
      </c>
      <c r="H6162" s="2" t="s">
        <v>40850</v>
      </c>
      <c r="I6162" s="2"/>
      <c r="J6162" s="2"/>
      <c r="K6162" s="2"/>
      <c r="L6162" s="2"/>
      <c r="M6162" s="2"/>
      <c r="N6162" s="2"/>
      <c r="O6162" s="2">
        <v>3122</v>
      </c>
      <c r="P6162" s="2"/>
      <c r="Q6162" s="2" t="s">
        <v>40851</v>
      </c>
      <c r="R6162" s="2" t="s">
        <v>40852</v>
      </c>
      <c r="S6162" s="2" t="s">
        <v>89</v>
      </c>
      <c r="T6162" s="2" t="s">
        <v>90</v>
      </c>
      <c r="U6162" s="2" t="s">
        <v>99</v>
      </c>
      <c r="V6162" s="2" t="s">
        <v>59</v>
      </c>
      <c r="W6162" s="2">
        <v>38.4</v>
      </c>
      <c r="X6162" s="2">
        <v>0</v>
      </c>
      <c r="Y6162" s="2" t="s">
        <v>560</v>
      </c>
      <c r="Z6162" s="2" t="s">
        <v>40853</v>
      </c>
      <c r="AA6162" s="2">
        <v>-2.0145704504420499</v>
      </c>
      <c r="AB6162" s="2">
        <v>4.3923358592700801E-2</v>
      </c>
      <c r="AC6162" s="2">
        <v>21003.975566771602</v>
      </c>
      <c r="AD6162" s="2">
        <v>20212.222187768501</v>
      </c>
      <c r="AE6162" s="2">
        <v>21576.9776733984</v>
      </c>
      <c r="AF6162" s="2">
        <v>19459.472155422602</v>
      </c>
      <c r="AG6162" s="2">
        <v>18298.719922271699</v>
      </c>
      <c r="AH6162" s="2">
        <v>24797.175656663901</v>
      </c>
      <c r="AI6162" s="2">
        <v>19249.9166695719</v>
      </c>
      <c r="AJ6162" s="2">
        <v>22641.5913233012</v>
      </c>
      <c r="AK6162" s="2">
        <v>15558.099061895</v>
      </c>
      <c r="AL6162" s="2">
        <v>20730.5738078961</v>
      </c>
      <c r="AM6162" s="2">
        <v>21693.626223736501</v>
      </c>
      <c r="AN6162" s="2">
        <v>23622.587908796701</v>
      </c>
      <c r="AO6162" s="2">
        <v>18759.321131860801</v>
      </c>
      <c r="AP6162" s="2">
        <v>20909.124992425699</v>
      </c>
    </row>
    <row r="6163" spans="1:42" ht="14.5" x14ac:dyDescent="0.35">
      <c r="A6163" s="2" t="s">
        <v>40854</v>
      </c>
      <c r="B6163" s="2">
        <v>255.158885489249</v>
      </c>
      <c r="C6163" s="2">
        <v>4.3112000000000004</v>
      </c>
      <c r="D6163" s="2" t="s">
        <v>34</v>
      </c>
      <c r="E6163" s="2" t="s">
        <v>40855</v>
      </c>
      <c r="F6163" s="2">
        <v>350619</v>
      </c>
      <c r="G6163" s="3" t="str">
        <f>HYPERLINK("http://funmeta.oebiotech.com/network/350619", "http://funmeta.oebiotech.com/network/350619")</f>
        <v>http://funmeta.oebiotech.com/network/350619</v>
      </c>
      <c r="H6163" s="2"/>
      <c r="I6163" s="2">
        <v>425698</v>
      </c>
      <c r="J6163" s="2"/>
      <c r="K6163" s="2"/>
      <c r="L6163" s="2"/>
      <c r="M6163" s="2"/>
      <c r="N6163" s="2"/>
      <c r="O6163" s="2">
        <v>6438427</v>
      </c>
      <c r="P6163" s="2"/>
      <c r="Q6163" s="2" t="s">
        <v>40856</v>
      </c>
      <c r="R6163" s="2" t="s">
        <v>40857</v>
      </c>
      <c r="S6163" s="2" t="s">
        <v>79</v>
      </c>
      <c r="T6163" s="2" t="s">
        <v>80</v>
      </c>
      <c r="U6163" s="2" t="s">
        <v>2021</v>
      </c>
      <c r="V6163" s="2" t="s">
        <v>59</v>
      </c>
      <c r="W6163" s="2">
        <v>38.700000000000003</v>
      </c>
      <c r="X6163" s="2">
        <v>0</v>
      </c>
      <c r="Y6163" s="2" t="s">
        <v>394</v>
      </c>
      <c r="Z6163" s="2" t="s">
        <v>40858</v>
      </c>
      <c r="AA6163" s="2">
        <v>-0.78742910152666801</v>
      </c>
      <c r="AB6163" s="2">
        <v>4.3677947753388298E-2</v>
      </c>
      <c r="AC6163" s="2">
        <v>15713.6938081116</v>
      </c>
      <c r="AD6163" s="2">
        <v>15198.102175989699</v>
      </c>
      <c r="AE6163" s="2">
        <v>17319.5726010248</v>
      </c>
      <c r="AF6163" s="2">
        <v>15443.494985744899</v>
      </c>
      <c r="AG6163" s="2">
        <v>16015.615172499</v>
      </c>
      <c r="AH6163" s="2">
        <v>15399.870938312901</v>
      </c>
      <c r="AI6163" s="2">
        <v>14890.716170969699</v>
      </c>
      <c r="AJ6163" s="2">
        <v>15212.8929801182</v>
      </c>
      <c r="AK6163" s="2">
        <v>17482.2107581159</v>
      </c>
      <c r="AL6163" s="2">
        <v>14520.662598876001</v>
      </c>
      <c r="AM6163" s="2">
        <v>13544.85072581</v>
      </c>
      <c r="AN6163" s="2">
        <v>16112.167207131601</v>
      </c>
      <c r="AO6163" s="2">
        <v>14459.9352810398</v>
      </c>
      <c r="AP6163" s="2">
        <v>15068.786484965</v>
      </c>
    </row>
    <row r="6164" spans="1:42" ht="14.5" x14ac:dyDescent="0.35">
      <c r="A6164" s="2" t="s">
        <v>40859</v>
      </c>
      <c r="B6164" s="2">
        <v>313.017570084412</v>
      </c>
      <c r="C6164" s="2">
        <v>1.2414499999999999</v>
      </c>
      <c r="D6164" s="2" t="s">
        <v>70</v>
      </c>
      <c r="E6164" s="2" t="s">
        <v>40860</v>
      </c>
      <c r="F6164" s="2">
        <v>209901</v>
      </c>
      <c r="G6164" s="3" t="str">
        <f>HYPERLINK("http://funmeta.oebiotech.com/network/209901", "http://funmeta.oebiotech.com/network/209901")</f>
        <v>http://funmeta.oebiotech.com/network/209901</v>
      </c>
      <c r="H6164" s="2" t="s">
        <v>40861</v>
      </c>
      <c r="I6164" s="2">
        <v>320732</v>
      </c>
      <c r="J6164" s="2"/>
      <c r="K6164" s="2">
        <v>30863</v>
      </c>
      <c r="L6164" s="2"/>
      <c r="M6164" s="2"/>
      <c r="N6164" s="2"/>
      <c r="O6164" s="2">
        <v>4604</v>
      </c>
      <c r="P6164" s="2"/>
      <c r="Q6164" s="2" t="s">
        <v>40862</v>
      </c>
      <c r="R6164" s="2" t="s">
        <v>40863</v>
      </c>
      <c r="S6164" s="2" t="s">
        <v>491</v>
      </c>
      <c r="T6164" s="2" t="s">
        <v>6511</v>
      </c>
      <c r="U6164" s="2" t="s">
        <v>39202</v>
      </c>
      <c r="V6164" s="2" t="s">
        <v>59</v>
      </c>
      <c r="W6164" s="2">
        <v>44.5</v>
      </c>
      <c r="X6164" s="2">
        <v>27.7</v>
      </c>
      <c r="Y6164" s="2" t="s">
        <v>560</v>
      </c>
      <c r="Z6164" s="2" t="s">
        <v>40864</v>
      </c>
      <c r="AA6164" s="2">
        <v>0.43098109054766398</v>
      </c>
      <c r="AB6164" s="2">
        <v>4.3676788363643297E-2</v>
      </c>
      <c r="AC6164" s="2">
        <v>29471.516896898502</v>
      </c>
      <c r="AD6164" s="2">
        <v>28708.577278766501</v>
      </c>
      <c r="AE6164" s="2">
        <v>29698.284939031899</v>
      </c>
      <c r="AF6164" s="2">
        <v>30407.8748715603</v>
      </c>
      <c r="AG6164" s="2">
        <v>30956.670179396999</v>
      </c>
      <c r="AH6164" s="2">
        <v>27142.477700085001</v>
      </c>
      <c r="AI6164" s="2">
        <v>29858.431998796801</v>
      </c>
      <c r="AJ6164" s="2">
        <v>28765.361692520299</v>
      </c>
      <c r="AK6164" s="2">
        <v>30483.736436125499</v>
      </c>
      <c r="AL6164" s="2">
        <v>27708.304271972698</v>
      </c>
      <c r="AM6164" s="2">
        <v>22699.494891674502</v>
      </c>
      <c r="AN6164" s="2">
        <v>31439.6594130218</v>
      </c>
      <c r="AO6164" s="2">
        <v>28417.501995122399</v>
      </c>
      <c r="AP6164" s="2">
        <v>31502.7666646822</v>
      </c>
    </row>
    <row r="6165" spans="1:42" ht="14.5" x14ac:dyDescent="0.35">
      <c r="A6165" s="2" t="s">
        <v>40865</v>
      </c>
      <c r="B6165" s="2">
        <v>493.20861279743798</v>
      </c>
      <c r="C6165" s="2">
        <v>4.4710000000000001</v>
      </c>
      <c r="D6165" s="2" t="s">
        <v>70</v>
      </c>
      <c r="E6165" s="2" t="s">
        <v>40866</v>
      </c>
      <c r="F6165" s="2">
        <v>211791</v>
      </c>
      <c r="G6165" s="3" t="str">
        <f>HYPERLINK("http://funmeta.oebiotech.com/network/211791", "http://funmeta.oebiotech.com/network/211791")</f>
        <v>http://funmeta.oebiotech.com/network/211791</v>
      </c>
      <c r="H6165" s="2" t="s">
        <v>40867</v>
      </c>
      <c r="I6165" s="2">
        <v>44131</v>
      </c>
      <c r="J6165" s="2"/>
      <c r="K6165" s="2">
        <v>6863</v>
      </c>
      <c r="L6165" s="2" t="s">
        <v>40868</v>
      </c>
      <c r="M6165" s="2"/>
      <c r="N6165" s="2"/>
      <c r="O6165" s="2">
        <v>5198</v>
      </c>
      <c r="P6165" s="2" t="s">
        <v>40869</v>
      </c>
      <c r="Q6165" s="2" t="s">
        <v>40870</v>
      </c>
      <c r="R6165" s="2" t="s">
        <v>40871</v>
      </c>
      <c r="S6165" s="2" t="s">
        <v>89</v>
      </c>
      <c r="T6165" s="2" t="s">
        <v>31046</v>
      </c>
      <c r="U6165" s="2" t="s">
        <v>40872</v>
      </c>
      <c r="V6165" s="2" t="s">
        <v>59</v>
      </c>
      <c r="W6165" s="2">
        <v>36.799999999999997</v>
      </c>
      <c r="X6165" s="2">
        <v>0</v>
      </c>
      <c r="Y6165" s="2" t="s">
        <v>560</v>
      </c>
      <c r="Z6165" s="2" t="s">
        <v>40873</v>
      </c>
      <c r="AA6165" s="2">
        <v>-3.2775692738266899</v>
      </c>
      <c r="AB6165" s="2">
        <v>4.3629010870871801E-2</v>
      </c>
      <c r="AC6165" s="2">
        <v>4139.03298668554</v>
      </c>
      <c r="AD6165" s="2">
        <v>4756.24951689109</v>
      </c>
      <c r="AE6165" s="2">
        <v>2085.89289717064</v>
      </c>
      <c r="AF6165" s="2">
        <v>7571.6990125350003</v>
      </c>
      <c r="AG6165" s="2">
        <v>4897.0936505713398</v>
      </c>
      <c r="AH6165" s="2">
        <v>2263.7058786365401</v>
      </c>
      <c r="AI6165" s="2">
        <v>3315.9703357686399</v>
      </c>
      <c r="AJ6165" s="2">
        <v>4699.8361454310998</v>
      </c>
      <c r="AK6165" s="2">
        <v>3313.7068556951399</v>
      </c>
      <c r="AL6165" s="2">
        <v>5776.0096564734604</v>
      </c>
      <c r="AM6165" s="2">
        <v>4536.2502378480604</v>
      </c>
      <c r="AN6165" s="2">
        <v>5459.3504796261795</v>
      </c>
      <c r="AO6165" s="2">
        <v>4438.4942554360796</v>
      </c>
      <c r="AP6165" s="2">
        <v>5013.6856162676304</v>
      </c>
    </row>
    <row r="6166" spans="1:42" ht="14.5" x14ac:dyDescent="0.35">
      <c r="A6166" s="2" t="s">
        <v>40874</v>
      </c>
      <c r="B6166" s="2">
        <v>355.24772188534098</v>
      </c>
      <c r="C6166" s="2">
        <v>4.9463833333333298</v>
      </c>
      <c r="D6166" s="2" t="s">
        <v>34</v>
      </c>
      <c r="E6166" s="2" t="s">
        <v>40875</v>
      </c>
      <c r="F6166" s="2">
        <v>3656</v>
      </c>
      <c r="G6166" s="3" t="str">
        <f>HYPERLINK("http://funmeta.oebiotech.com/network/3656", "http://funmeta.oebiotech.com/network/3656")</f>
        <v>http://funmeta.oebiotech.com/network/3656</v>
      </c>
      <c r="H6166" s="2" t="s">
        <v>40876</v>
      </c>
      <c r="I6166" s="2">
        <v>2293</v>
      </c>
      <c r="J6166" s="2" t="s">
        <v>40877</v>
      </c>
      <c r="K6166" s="2">
        <v>63976</v>
      </c>
      <c r="L6166" s="2"/>
      <c r="M6166" s="2"/>
      <c r="N6166" s="2"/>
      <c r="O6166" s="2">
        <v>5283039</v>
      </c>
      <c r="P6166" s="2" t="s">
        <v>40878</v>
      </c>
      <c r="Q6166" s="2" t="s">
        <v>40879</v>
      </c>
      <c r="R6166" s="2" t="s">
        <v>40880</v>
      </c>
      <c r="S6166" s="2" t="s">
        <v>50</v>
      </c>
      <c r="T6166" s="2" t="s">
        <v>229</v>
      </c>
      <c r="U6166" s="2" t="s">
        <v>766</v>
      </c>
      <c r="V6166" s="2" t="s">
        <v>59</v>
      </c>
      <c r="W6166" s="2">
        <v>38.6</v>
      </c>
      <c r="X6166" s="2">
        <v>0</v>
      </c>
      <c r="Y6166" s="2" t="s">
        <v>394</v>
      </c>
      <c r="Z6166" s="2" t="s">
        <v>40881</v>
      </c>
      <c r="AA6166" s="2">
        <v>-0.50455771305040897</v>
      </c>
      <c r="AB6166" s="2">
        <v>4.3518653090312498E-2</v>
      </c>
      <c r="AC6166" s="2">
        <v>8025.3391455484798</v>
      </c>
      <c r="AD6166" s="2">
        <v>8537.2521989301003</v>
      </c>
      <c r="AE6166" s="2">
        <v>6990.1488786255804</v>
      </c>
      <c r="AF6166" s="2">
        <v>9552.3027089888201</v>
      </c>
      <c r="AG6166" s="2">
        <v>7460.2058945244398</v>
      </c>
      <c r="AH6166" s="2">
        <v>7842.2542331538598</v>
      </c>
      <c r="AI6166" s="2">
        <v>8324.9970291716108</v>
      </c>
      <c r="AJ6166" s="2">
        <v>7982.1261288265796</v>
      </c>
      <c r="AK6166" s="2">
        <v>7162.0807773359502</v>
      </c>
      <c r="AL6166" s="2">
        <v>8418.2991032102891</v>
      </c>
      <c r="AM6166" s="2">
        <v>9847.3771368375492</v>
      </c>
      <c r="AN6166" s="2">
        <v>6828.7304296962602</v>
      </c>
      <c r="AO6166" s="2">
        <v>9037.5162767886995</v>
      </c>
      <c r="AP6166" s="2">
        <v>9929.5094697118693</v>
      </c>
    </row>
    <row r="6167" spans="1:42" ht="14.5" x14ac:dyDescent="0.35">
      <c r="A6167" s="2" t="s">
        <v>40882</v>
      </c>
      <c r="B6167" s="2">
        <v>306.16980120743699</v>
      </c>
      <c r="C6167" s="2">
        <v>5.0879333333333303</v>
      </c>
      <c r="D6167" s="2" t="s">
        <v>34</v>
      </c>
      <c r="E6167" s="2" t="s">
        <v>40883</v>
      </c>
      <c r="F6167" s="2">
        <v>266272</v>
      </c>
      <c r="G6167" s="3" t="str">
        <f>HYPERLINK("http://funmeta.oebiotech.com/network/266272", "http://funmeta.oebiotech.com/network/266272")</f>
        <v>http://funmeta.oebiotech.com/network/266272</v>
      </c>
      <c r="H6167" s="2"/>
      <c r="I6167" s="2">
        <v>34517</v>
      </c>
      <c r="J6167" s="2"/>
      <c r="K6167" s="2"/>
      <c r="L6167" s="2"/>
      <c r="M6167" s="2"/>
      <c r="N6167" s="2"/>
      <c r="O6167" s="2">
        <v>87583</v>
      </c>
      <c r="P6167" s="2" t="s">
        <v>40884</v>
      </c>
      <c r="Q6167" s="2" t="s">
        <v>40885</v>
      </c>
      <c r="R6167" s="2" t="s">
        <v>40886</v>
      </c>
      <c r="S6167" s="2" t="s">
        <v>115</v>
      </c>
      <c r="T6167" s="2" t="s">
        <v>758</v>
      </c>
      <c r="U6167" s="2" t="s">
        <v>41</v>
      </c>
      <c r="V6167" s="2" t="s">
        <v>59</v>
      </c>
      <c r="W6167" s="2">
        <v>39</v>
      </c>
      <c r="X6167" s="2">
        <v>0</v>
      </c>
      <c r="Y6167" s="2" t="s">
        <v>43</v>
      </c>
      <c r="Z6167" s="2" t="s">
        <v>40887</v>
      </c>
      <c r="AA6167" s="2">
        <v>-0.63665110187924501</v>
      </c>
      <c r="AB6167" s="2">
        <v>4.3467909444572697E-2</v>
      </c>
      <c r="AC6167" s="2">
        <v>19592.144021761</v>
      </c>
      <c r="AD6167" s="2">
        <v>20163.782120559699</v>
      </c>
      <c r="AE6167" s="2">
        <v>20672.4841852508</v>
      </c>
      <c r="AF6167" s="2">
        <v>18655.319084701001</v>
      </c>
      <c r="AG6167" s="2">
        <v>17012.127271109101</v>
      </c>
      <c r="AH6167" s="2">
        <v>21684.201719168701</v>
      </c>
      <c r="AI6167" s="2">
        <v>20284.939495391201</v>
      </c>
      <c r="AJ6167" s="2">
        <v>19243.792374945198</v>
      </c>
      <c r="AK6167" s="2">
        <v>21928.049415371999</v>
      </c>
      <c r="AL6167" s="2">
        <v>19626.416883113499</v>
      </c>
      <c r="AM6167" s="2">
        <v>19927.061588249901</v>
      </c>
      <c r="AN6167" s="2">
        <v>19533.097883346301</v>
      </c>
      <c r="AO6167" s="2">
        <v>21337.777881164198</v>
      </c>
      <c r="AP6167" s="2">
        <v>18630.289072112399</v>
      </c>
    </row>
    <row r="6168" spans="1:42" ht="14.5" x14ac:dyDescent="0.35">
      <c r="A6168" s="2" t="s">
        <v>40888</v>
      </c>
      <c r="B6168" s="2">
        <v>176.14321822258901</v>
      </c>
      <c r="C6168" s="2">
        <v>5.6390833333333301</v>
      </c>
      <c r="D6168" s="2" t="s">
        <v>34</v>
      </c>
      <c r="E6168" s="2" t="s">
        <v>40889</v>
      </c>
      <c r="F6168" s="2">
        <v>8767</v>
      </c>
      <c r="G6168" s="3" t="str">
        <f>HYPERLINK("http://funmeta.oebiotech.com/network/8767", "http://funmeta.oebiotech.com/network/8767")</f>
        <v>http://funmeta.oebiotech.com/network/8767</v>
      </c>
      <c r="H6168" s="2" t="s">
        <v>40890</v>
      </c>
      <c r="I6168" s="2">
        <v>88262</v>
      </c>
      <c r="J6168" s="2" t="s">
        <v>40891</v>
      </c>
      <c r="K6168" s="2"/>
      <c r="L6168" s="2"/>
      <c r="M6168" s="2"/>
      <c r="N6168" s="2"/>
      <c r="O6168" s="2">
        <v>11469606</v>
      </c>
      <c r="P6168" s="2" t="s">
        <v>40892</v>
      </c>
      <c r="Q6168" s="2" t="s">
        <v>40893</v>
      </c>
      <c r="R6168" s="2" t="s">
        <v>40894</v>
      </c>
      <c r="S6168" s="2" t="s">
        <v>50</v>
      </c>
      <c r="T6168" s="2" t="s">
        <v>229</v>
      </c>
      <c r="U6168" s="2" t="s">
        <v>645</v>
      </c>
      <c r="V6168" s="2" t="s">
        <v>59</v>
      </c>
      <c r="W6168" s="2">
        <v>38.200000000000003</v>
      </c>
      <c r="X6168" s="2">
        <v>0</v>
      </c>
      <c r="Y6168" s="2" t="s">
        <v>141</v>
      </c>
      <c r="Z6168" s="2" t="s">
        <v>40895</v>
      </c>
      <c r="AA6168" s="2">
        <v>-0.816794333128671</v>
      </c>
      <c r="AB6168" s="2">
        <v>4.3455719551865397E-2</v>
      </c>
      <c r="AC6168" s="2">
        <v>5401.6791132788003</v>
      </c>
      <c r="AD6168" s="2">
        <v>5083.5276225715197</v>
      </c>
      <c r="AE6168" s="2">
        <v>5697.4506560059499</v>
      </c>
      <c r="AF6168" s="2">
        <v>5656.4414167943996</v>
      </c>
      <c r="AG6168" s="2">
        <v>4946.8339164082399</v>
      </c>
      <c r="AH6168" s="2">
        <v>5293.9446608234903</v>
      </c>
      <c r="AI6168" s="2">
        <v>5756.1621101614701</v>
      </c>
      <c r="AJ6168" s="2">
        <v>5059.2419194792401</v>
      </c>
      <c r="AK6168" s="2">
        <v>5936.5779598429299</v>
      </c>
      <c r="AL6168" s="2">
        <v>5284.3321239209999</v>
      </c>
      <c r="AM6168" s="2">
        <v>4689.9885199699602</v>
      </c>
      <c r="AN6168" s="2">
        <v>4741.47916585445</v>
      </c>
      <c r="AO6168" s="2">
        <v>4896.6352711794798</v>
      </c>
      <c r="AP6168" s="2">
        <v>4952.1526946613203</v>
      </c>
    </row>
    <row r="6169" spans="1:42" ht="14.5" x14ac:dyDescent="0.35">
      <c r="A6169" s="2" t="s">
        <v>40896</v>
      </c>
      <c r="B6169" s="2">
        <v>485.14137227873402</v>
      </c>
      <c r="C6169" s="2">
        <v>4.7402166666666696</v>
      </c>
      <c r="D6169" s="2" t="s">
        <v>70</v>
      </c>
      <c r="E6169" s="2" t="s">
        <v>40897</v>
      </c>
      <c r="F6169" s="2">
        <v>199347</v>
      </c>
      <c r="G6169" s="3" t="str">
        <f>HYPERLINK("http://funmeta.oebiotech.com/network/199347", "http://funmeta.oebiotech.com/network/199347")</f>
        <v>http://funmeta.oebiotech.com/network/199347</v>
      </c>
      <c r="H6169" s="2" t="s">
        <v>40898</v>
      </c>
      <c r="I6169" s="2"/>
      <c r="J6169" s="2"/>
      <c r="K6169" s="2"/>
      <c r="L6169" s="2"/>
      <c r="M6169" s="2"/>
      <c r="N6169" s="2"/>
      <c r="O6169" s="2">
        <v>54676525</v>
      </c>
      <c r="P6169" s="2"/>
      <c r="Q6169" s="2" t="s">
        <v>40899</v>
      </c>
      <c r="R6169" s="2" t="s">
        <v>40900</v>
      </c>
      <c r="S6169" s="2" t="s">
        <v>79</v>
      </c>
      <c r="T6169" s="2" t="s">
        <v>80</v>
      </c>
      <c r="U6169" s="2" t="s">
        <v>81</v>
      </c>
      <c r="V6169" s="2" t="s">
        <v>59</v>
      </c>
      <c r="W6169" s="2">
        <v>38.9</v>
      </c>
      <c r="X6169" s="2">
        <v>0</v>
      </c>
      <c r="Y6169" s="2" t="s">
        <v>560</v>
      </c>
      <c r="Z6169" s="2" t="s">
        <v>40901</v>
      </c>
      <c r="AA6169" s="2">
        <v>0.15310668025285901</v>
      </c>
      <c r="AB6169" s="2">
        <v>4.3285994260857497E-2</v>
      </c>
      <c r="AC6169" s="2">
        <v>3124.47329092064</v>
      </c>
      <c r="AD6169" s="2">
        <v>3538.0757087704401</v>
      </c>
      <c r="AE6169" s="2">
        <v>2666.3517894640299</v>
      </c>
      <c r="AF6169" s="2">
        <v>2896.7489000066998</v>
      </c>
      <c r="AG6169" s="2">
        <v>3945.5027734804698</v>
      </c>
      <c r="AH6169" s="2">
        <v>1992.79697622559</v>
      </c>
      <c r="AI6169" s="2">
        <v>3649.9938758964599</v>
      </c>
      <c r="AJ6169" s="2">
        <v>3595.4454304505898</v>
      </c>
      <c r="AK6169" s="2">
        <v>3258.0569359651099</v>
      </c>
      <c r="AL6169" s="2">
        <v>3341.61875762503</v>
      </c>
      <c r="AM6169" s="2">
        <v>4336.0580973791302</v>
      </c>
      <c r="AN6169" s="2">
        <v>2948.5056663066198</v>
      </c>
      <c r="AO6169" s="2">
        <v>4579.5946963967899</v>
      </c>
      <c r="AP6169" s="2">
        <v>2764.6200989499398</v>
      </c>
    </row>
    <row r="6170" spans="1:42" ht="14.5" x14ac:dyDescent="0.35">
      <c r="A6170" s="2" t="s">
        <v>40902</v>
      </c>
      <c r="B6170" s="2">
        <v>391.24536996673601</v>
      </c>
      <c r="C6170" s="2">
        <v>10.6223333333333</v>
      </c>
      <c r="D6170" s="2" t="s">
        <v>34</v>
      </c>
      <c r="E6170" s="2" t="s">
        <v>40903</v>
      </c>
      <c r="F6170" s="2">
        <v>204388</v>
      </c>
      <c r="G6170" s="3" t="str">
        <f>HYPERLINK("http://funmeta.oebiotech.com/network/204388", "http://funmeta.oebiotech.com/network/204388")</f>
        <v>http://funmeta.oebiotech.com/network/204388</v>
      </c>
      <c r="H6170" s="2" t="s">
        <v>40904</v>
      </c>
      <c r="I6170" s="2">
        <v>1403</v>
      </c>
      <c r="J6170" s="2"/>
      <c r="K6170" s="2"/>
      <c r="L6170" s="2"/>
      <c r="M6170" s="2"/>
      <c r="N6170" s="2"/>
      <c r="O6170" s="2">
        <v>2472</v>
      </c>
      <c r="P6170" s="2" t="s">
        <v>40905</v>
      </c>
      <c r="Q6170" s="2" t="s">
        <v>40906</v>
      </c>
      <c r="R6170" s="2" t="s">
        <v>40907</v>
      </c>
      <c r="S6170" s="2" t="s">
        <v>491</v>
      </c>
      <c r="T6170" s="2" t="s">
        <v>3019</v>
      </c>
      <c r="U6170" s="2" t="s">
        <v>3020</v>
      </c>
      <c r="V6170" s="2" t="s">
        <v>59</v>
      </c>
      <c r="W6170" s="2">
        <v>39.1</v>
      </c>
      <c r="X6170" s="2">
        <v>0</v>
      </c>
      <c r="Y6170" s="2" t="s">
        <v>43</v>
      </c>
      <c r="Z6170" s="2" t="s">
        <v>40908</v>
      </c>
      <c r="AA6170" s="2">
        <v>0.41447868530137599</v>
      </c>
      <c r="AB6170" s="2">
        <v>4.3251982295828897E-2</v>
      </c>
      <c r="AC6170" s="2">
        <v>277.76951900918698</v>
      </c>
      <c r="AD6170" s="2">
        <v>77.067859995817301</v>
      </c>
      <c r="AE6170" s="2">
        <v>186.45400373062401</v>
      </c>
      <c r="AF6170" s="2">
        <v>237.93836030616799</v>
      </c>
      <c r="AG6170" s="2">
        <v>100.53736392480801</v>
      </c>
      <c r="AH6170" s="2">
        <v>496.63466679223899</v>
      </c>
      <c r="AI6170" s="2">
        <v>470.54078243834601</v>
      </c>
      <c r="AJ6170" s="2">
        <v>174.51193686293399</v>
      </c>
      <c r="AK6170" s="2">
        <v>84.515330623938596</v>
      </c>
      <c r="AL6170" s="2">
        <v>275.42953050360802</v>
      </c>
      <c r="AM6170" s="2">
        <v>102.46221752847499</v>
      </c>
      <c r="AN6170" s="2">
        <v>2.7106294003980101E-5</v>
      </c>
      <c r="AO6170" s="2">
        <v>2.7106294003980101E-5</v>
      </c>
      <c r="AP6170" s="2">
        <v>2.7106294003980101E-5</v>
      </c>
    </row>
    <row r="6171" spans="1:42" ht="14.5" x14ac:dyDescent="0.35">
      <c r="A6171" s="2" t="s">
        <v>40909</v>
      </c>
      <c r="B6171" s="2">
        <v>369.03542149082301</v>
      </c>
      <c r="C6171" s="2">
        <v>6.4248000000000003</v>
      </c>
      <c r="D6171" s="2" t="s">
        <v>70</v>
      </c>
      <c r="E6171" s="2" t="s">
        <v>40910</v>
      </c>
      <c r="F6171" s="2">
        <v>46975</v>
      </c>
      <c r="G6171" s="3" t="str">
        <f>HYPERLINK("http://funmeta.oebiotech.com/network/46975", "http://funmeta.oebiotech.com/network/46975")</f>
        <v>http://funmeta.oebiotech.com/network/46975</v>
      </c>
      <c r="H6171" s="2" t="s">
        <v>40911</v>
      </c>
      <c r="I6171" s="2"/>
      <c r="J6171" s="2"/>
      <c r="K6171" s="2">
        <v>16695</v>
      </c>
      <c r="L6171" s="2" t="s">
        <v>40912</v>
      </c>
      <c r="M6171" s="2" t="s">
        <v>15342</v>
      </c>
      <c r="N6171" s="2" t="s">
        <v>15343</v>
      </c>
      <c r="O6171" s="2">
        <v>6030</v>
      </c>
      <c r="P6171" s="2" t="s">
        <v>40913</v>
      </c>
      <c r="Q6171" s="2" t="s">
        <v>40914</v>
      </c>
      <c r="R6171" s="2" t="s">
        <v>40915</v>
      </c>
      <c r="S6171" s="2" t="s">
        <v>1444</v>
      </c>
      <c r="T6171" s="2" t="s">
        <v>4040</v>
      </c>
      <c r="U6171" s="2" t="s">
        <v>8914</v>
      </c>
      <c r="V6171" s="2" t="s">
        <v>59</v>
      </c>
      <c r="W6171" s="2">
        <v>38.4</v>
      </c>
      <c r="X6171" s="2">
        <v>0</v>
      </c>
      <c r="Y6171" s="2" t="s">
        <v>408</v>
      </c>
      <c r="Z6171" s="2" t="s">
        <v>40916</v>
      </c>
      <c r="AA6171" s="2">
        <v>4.17234143384856</v>
      </c>
      <c r="AB6171" s="2">
        <v>4.3250826305907701E-2</v>
      </c>
      <c r="AC6171" s="2">
        <v>2160.7556746989599</v>
      </c>
      <c r="AD6171" s="2">
        <v>2485.7859519906801</v>
      </c>
      <c r="AE6171" s="2">
        <v>2081.57919467284</v>
      </c>
      <c r="AF6171" s="2">
        <v>1940.57048341055</v>
      </c>
      <c r="AG6171" s="2">
        <v>2118.9621548177101</v>
      </c>
      <c r="AH6171" s="2">
        <v>2459.44448979959</v>
      </c>
      <c r="AI6171" s="2">
        <v>2373.3921124612202</v>
      </c>
      <c r="AJ6171" s="2">
        <v>1990.58561303183</v>
      </c>
      <c r="AK6171" s="2">
        <v>3476.72333475192</v>
      </c>
      <c r="AL6171" s="2">
        <v>2414.8246361555198</v>
      </c>
      <c r="AM6171" s="2">
        <v>2013.7523065197499</v>
      </c>
      <c r="AN6171" s="2">
        <v>2687.2474317864799</v>
      </c>
      <c r="AO6171" s="2">
        <v>2524.8484388531301</v>
      </c>
      <c r="AP6171" s="2">
        <v>1797.31956387728</v>
      </c>
    </row>
    <row r="6172" spans="1:42" ht="14.5" x14ac:dyDescent="0.35">
      <c r="A6172" s="2" t="s">
        <v>40917</v>
      </c>
      <c r="B6172" s="2">
        <v>635.26067345466299</v>
      </c>
      <c r="C6172" s="2">
        <v>9.3615166666666703</v>
      </c>
      <c r="D6172" s="2" t="s">
        <v>70</v>
      </c>
      <c r="E6172" s="2" t="s">
        <v>40918</v>
      </c>
      <c r="F6172" s="2">
        <v>289988</v>
      </c>
      <c r="G6172" s="3" t="str">
        <f>HYPERLINK("http://funmeta.oebiotech.com/network/289988", "http://funmeta.oebiotech.com/network/289988")</f>
        <v>http://funmeta.oebiotech.com/network/289988</v>
      </c>
      <c r="H6172" s="2"/>
      <c r="I6172" s="2">
        <v>103476</v>
      </c>
      <c r="J6172" s="2"/>
      <c r="K6172" s="2"/>
      <c r="L6172" s="2"/>
      <c r="M6172" s="2"/>
      <c r="N6172" s="2"/>
      <c r="O6172" s="2">
        <v>9839995</v>
      </c>
      <c r="P6172" s="2" t="s">
        <v>40919</v>
      </c>
      <c r="Q6172" s="2" t="s">
        <v>40920</v>
      </c>
      <c r="R6172" s="2" t="s">
        <v>40921</v>
      </c>
      <c r="S6172" s="2" t="s">
        <v>491</v>
      </c>
      <c r="T6172" s="2" t="s">
        <v>3019</v>
      </c>
      <c r="U6172" s="2" t="s">
        <v>3020</v>
      </c>
      <c r="V6172" s="2" t="s">
        <v>59</v>
      </c>
      <c r="W6172" s="2">
        <v>38.4</v>
      </c>
      <c r="X6172" s="2">
        <v>0</v>
      </c>
      <c r="Y6172" s="2" t="s">
        <v>560</v>
      </c>
      <c r="Z6172" s="2" t="s">
        <v>40922</v>
      </c>
      <c r="AA6172" s="2">
        <v>3.67729643933425</v>
      </c>
      <c r="AB6172" s="2">
        <v>4.3196152013087401E-2</v>
      </c>
      <c r="AC6172" s="2">
        <v>889.08339022431505</v>
      </c>
      <c r="AD6172" s="2">
        <v>1146.53455571831</v>
      </c>
      <c r="AE6172" s="2">
        <v>995.76001704623002</v>
      </c>
      <c r="AF6172" s="2">
        <v>906.62356192217396</v>
      </c>
      <c r="AG6172" s="2">
        <v>695.67904531872</v>
      </c>
      <c r="AH6172" s="2">
        <v>1183.8883911610001</v>
      </c>
      <c r="AI6172" s="2">
        <v>880.971148611888</v>
      </c>
      <c r="AJ6172" s="2">
        <v>671.57817728587997</v>
      </c>
      <c r="AK6172" s="2">
        <v>1695.9741260451499</v>
      </c>
      <c r="AL6172" s="2">
        <v>1021.17864853682</v>
      </c>
      <c r="AM6172" s="2">
        <v>903.69928446805</v>
      </c>
      <c r="AN6172" s="2">
        <v>932.55174545171303</v>
      </c>
      <c r="AO6172" s="2">
        <v>1345.8182030601999</v>
      </c>
      <c r="AP6172" s="2">
        <v>979.98532674794603</v>
      </c>
    </row>
    <row r="6173" spans="1:42" ht="14.5" x14ac:dyDescent="0.35">
      <c r="A6173" s="2" t="s">
        <v>40923</v>
      </c>
      <c r="B6173" s="2">
        <v>401.21819721115799</v>
      </c>
      <c r="C6173" s="2">
        <v>3.8797333333333301</v>
      </c>
      <c r="D6173" s="2" t="s">
        <v>70</v>
      </c>
      <c r="E6173" s="2" t="s">
        <v>40924</v>
      </c>
      <c r="F6173" s="2">
        <v>64154</v>
      </c>
      <c r="G6173" s="3" t="str">
        <f>HYPERLINK("http://funmeta.oebiotech.com/network/64154", "http://funmeta.oebiotech.com/network/64154")</f>
        <v>http://funmeta.oebiotech.com/network/64154</v>
      </c>
      <c r="H6173" s="2" t="s">
        <v>40925</v>
      </c>
      <c r="I6173" s="2">
        <v>95477</v>
      </c>
      <c r="J6173" s="2"/>
      <c r="K6173" s="2">
        <v>172583</v>
      </c>
      <c r="L6173" s="2"/>
      <c r="M6173" s="2"/>
      <c r="N6173" s="2"/>
      <c r="O6173" s="2">
        <v>131753017</v>
      </c>
      <c r="P6173" s="2" t="s">
        <v>40926</v>
      </c>
      <c r="Q6173" s="2" t="s">
        <v>40927</v>
      </c>
      <c r="R6173" s="2" t="s">
        <v>40928</v>
      </c>
      <c r="S6173" s="2" t="s">
        <v>50</v>
      </c>
      <c r="T6173" s="2" t="s">
        <v>229</v>
      </c>
      <c r="U6173" s="2" t="s">
        <v>230</v>
      </c>
      <c r="V6173" s="2" t="s">
        <v>59</v>
      </c>
      <c r="W6173" s="2">
        <v>37.6</v>
      </c>
      <c r="X6173" s="2">
        <v>0</v>
      </c>
      <c r="Y6173" s="2" t="s">
        <v>408</v>
      </c>
      <c r="Z6173" s="2" t="s">
        <v>40929</v>
      </c>
      <c r="AA6173" s="2">
        <v>0.29643925215471401</v>
      </c>
      <c r="AB6173" s="2">
        <v>4.3160318788051398E-2</v>
      </c>
      <c r="AC6173" s="2">
        <v>1518.03768915721</v>
      </c>
      <c r="AD6173" s="2">
        <v>1194.4828413498899</v>
      </c>
      <c r="AE6173" s="2">
        <v>1368.1165954512801</v>
      </c>
      <c r="AF6173" s="2">
        <v>1702.3118073589401</v>
      </c>
      <c r="AG6173" s="2">
        <v>1295.7707649824099</v>
      </c>
      <c r="AH6173" s="2">
        <v>1375.70753987799</v>
      </c>
      <c r="AI6173" s="2">
        <v>1423.9098587793201</v>
      </c>
      <c r="AJ6173" s="2">
        <v>1942.40956849333</v>
      </c>
      <c r="AK6173" s="2">
        <v>756.52660250770396</v>
      </c>
      <c r="AL6173" s="2">
        <v>820.46102988568396</v>
      </c>
      <c r="AM6173" s="2">
        <v>1888.8245673736101</v>
      </c>
      <c r="AN6173" s="2">
        <v>869.28922672557906</v>
      </c>
      <c r="AO6173" s="2">
        <v>895.19675994315003</v>
      </c>
      <c r="AP6173" s="2">
        <v>1936.59886166359</v>
      </c>
    </row>
    <row r="6174" spans="1:42" ht="14.5" x14ac:dyDescent="0.35">
      <c r="A6174" s="2" t="s">
        <v>40930</v>
      </c>
      <c r="B6174" s="2">
        <v>197.047666010716</v>
      </c>
      <c r="C6174" s="2">
        <v>0.78071666666666695</v>
      </c>
      <c r="D6174" s="2" t="s">
        <v>34</v>
      </c>
      <c r="E6174" s="2" t="s">
        <v>40931</v>
      </c>
      <c r="F6174" s="2">
        <v>199376</v>
      </c>
      <c r="G6174" s="3" t="str">
        <f>HYPERLINK("http://funmeta.oebiotech.com/network/199376", "http://funmeta.oebiotech.com/network/199376")</f>
        <v>http://funmeta.oebiotech.com/network/199376</v>
      </c>
      <c r="H6174" s="2" t="s">
        <v>40932</v>
      </c>
      <c r="I6174" s="2">
        <v>63058</v>
      </c>
      <c r="J6174" s="2"/>
      <c r="K6174" s="2"/>
      <c r="L6174" s="2"/>
      <c r="M6174" s="2"/>
      <c r="N6174" s="2"/>
      <c r="O6174" s="2">
        <v>77918</v>
      </c>
      <c r="P6174" s="2" t="s">
        <v>40933</v>
      </c>
      <c r="Q6174" s="2" t="s">
        <v>40934</v>
      </c>
      <c r="R6174" s="2" t="s">
        <v>40935</v>
      </c>
      <c r="S6174" s="2" t="s">
        <v>491</v>
      </c>
      <c r="T6174" s="2" t="s">
        <v>3519</v>
      </c>
      <c r="U6174" s="2" t="s">
        <v>7268</v>
      </c>
      <c r="V6174" s="2" t="s">
        <v>59</v>
      </c>
      <c r="W6174" s="2">
        <v>38.200000000000003</v>
      </c>
      <c r="X6174" s="2">
        <v>0</v>
      </c>
      <c r="Y6174" s="2" t="s">
        <v>340</v>
      </c>
      <c r="Z6174" s="2" t="s">
        <v>40936</v>
      </c>
      <c r="AA6174" s="2">
        <v>0.69330317656150497</v>
      </c>
      <c r="AB6174" s="2">
        <v>4.3072174150035301E-2</v>
      </c>
      <c r="AC6174" s="2">
        <v>14783.638722968401</v>
      </c>
      <c r="AD6174" s="2">
        <v>15264.912907194799</v>
      </c>
      <c r="AE6174" s="2">
        <v>14916.199505459401</v>
      </c>
      <c r="AF6174" s="2">
        <v>14686.747792383499</v>
      </c>
      <c r="AG6174" s="2">
        <v>14367.1035780111</v>
      </c>
      <c r="AH6174" s="2">
        <v>15006.8250108584</v>
      </c>
      <c r="AI6174" s="2">
        <v>14767.339954362</v>
      </c>
      <c r="AJ6174" s="2">
        <v>14957.6164967358</v>
      </c>
      <c r="AK6174" s="2">
        <v>15318.7096135171</v>
      </c>
      <c r="AL6174" s="2">
        <v>13251.272856985001</v>
      </c>
      <c r="AM6174" s="2">
        <v>16659.548489176599</v>
      </c>
      <c r="AN6174" s="2">
        <v>16705.7143393609</v>
      </c>
      <c r="AO6174" s="2">
        <v>13766.6550531659</v>
      </c>
      <c r="AP6174" s="2">
        <v>15887.577090963399</v>
      </c>
    </row>
    <row r="6175" spans="1:42" ht="14.5" x14ac:dyDescent="0.35">
      <c r="A6175" s="2" t="s">
        <v>40937</v>
      </c>
      <c r="B6175" s="2">
        <v>154.997449884715</v>
      </c>
      <c r="C6175" s="2">
        <v>2.6285500000000002</v>
      </c>
      <c r="D6175" s="2" t="s">
        <v>70</v>
      </c>
      <c r="E6175" s="2" t="s">
        <v>40938</v>
      </c>
      <c r="F6175" s="2">
        <v>209952</v>
      </c>
      <c r="G6175" s="3" t="str">
        <f>HYPERLINK("http://funmeta.oebiotech.com/network/209952", "http://funmeta.oebiotech.com/network/209952")</f>
        <v>http://funmeta.oebiotech.com/network/209952</v>
      </c>
      <c r="H6175" s="2" t="s">
        <v>40939</v>
      </c>
      <c r="I6175" s="2">
        <v>337324</v>
      </c>
      <c r="J6175" s="2"/>
      <c r="K6175" s="2"/>
      <c r="L6175" s="2"/>
      <c r="M6175" s="2"/>
      <c r="N6175" s="2"/>
      <c r="O6175" s="2">
        <v>9965</v>
      </c>
      <c r="P6175" s="2"/>
      <c r="Q6175" s="2" t="s">
        <v>40940</v>
      </c>
      <c r="R6175" s="2" t="s">
        <v>40941</v>
      </c>
      <c r="S6175" s="2" t="s">
        <v>148</v>
      </c>
      <c r="T6175" s="2" t="s">
        <v>149</v>
      </c>
      <c r="U6175" s="2" t="s">
        <v>21041</v>
      </c>
      <c r="V6175" s="2" t="s">
        <v>59</v>
      </c>
      <c r="W6175" s="2">
        <v>37.700000000000003</v>
      </c>
      <c r="X6175" s="2">
        <v>0</v>
      </c>
      <c r="Y6175" s="2" t="s">
        <v>751</v>
      </c>
      <c r="Z6175" s="2" t="s">
        <v>40942</v>
      </c>
      <c r="AA6175" s="2">
        <v>1.2201305019130799</v>
      </c>
      <c r="AB6175" s="2">
        <v>4.3059569511008797E-2</v>
      </c>
      <c r="AC6175" s="2">
        <v>2084.9874435715801</v>
      </c>
      <c r="AD6175" s="2">
        <v>2242.0994456749299</v>
      </c>
      <c r="AE6175" s="2">
        <v>2153.0462462177402</v>
      </c>
      <c r="AF6175" s="2">
        <v>2041.1962295258199</v>
      </c>
      <c r="AG6175" s="2">
        <v>2027.72284715722</v>
      </c>
      <c r="AH6175" s="2">
        <v>2054.3951758492199</v>
      </c>
      <c r="AI6175" s="2">
        <v>2032.9181443851401</v>
      </c>
      <c r="AJ6175" s="2">
        <v>2200.6460182943301</v>
      </c>
      <c r="AK6175" s="2">
        <v>2175.5579100987002</v>
      </c>
      <c r="AL6175" s="2">
        <v>2189.68910189899</v>
      </c>
      <c r="AM6175" s="2">
        <v>2241.39926313141</v>
      </c>
      <c r="AN6175" s="2">
        <v>2333.4028699687301</v>
      </c>
      <c r="AO6175" s="2">
        <v>2317.0250300368298</v>
      </c>
      <c r="AP6175" s="2">
        <v>2195.5224989149501</v>
      </c>
    </row>
    <row r="6176" spans="1:42" ht="14.5" x14ac:dyDescent="0.35">
      <c r="A6176" s="2" t="s">
        <v>40943</v>
      </c>
      <c r="B6176" s="2">
        <v>243.06508549031801</v>
      </c>
      <c r="C6176" s="2">
        <v>4.3112000000000004</v>
      </c>
      <c r="D6176" s="2" t="s">
        <v>34</v>
      </c>
      <c r="E6176" s="2" t="s">
        <v>40944</v>
      </c>
      <c r="F6176" s="2">
        <v>534671</v>
      </c>
      <c r="G6176" s="3" t="str">
        <f>HYPERLINK("http://funmeta.oebiotech.com/network/534671", "http://funmeta.oebiotech.com/network/534671")</f>
        <v>http://funmeta.oebiotech.com/network/534671</v>
      </c>
      <c r="H6176" s="2"/>
      <c r="I6176" s="2">
        <v>984971</v>
      </c>
      <c r="J6176" s="2"/>
      <c r="K6176" s="2"/>
      <c r="L6176" s="2"/>
      <c r="M6176" s="2"/>
      <c r="N6176" s="2"/>
      <c r="O6176" s="2">
        <v>5464639</v>
      </c>
      <c r="P6176" s="2"/>
      <c r="Q6176" s="2" t="s">
        <v>40945</v>
      </c>
      <c r="R6176" s="2" t="s">
        <v>40946</v>
      </c>
      <c r="S6176" s="2" t="s">
        <v>491</v>
      </c>
      <c r="T6176" s="2" t="s">
        <v>2251</v>
      </c>
      <c r="U6176" s="2" t="s">
        <v>2252</v>
      </c>
      <c r="V6176" s="2" t="s">
        <v>59</v>
      </c>
      <c r="W6176" s="2">
        <v>38.6</v>
      </c>
      <c r="X6176" s="2">
        <v>0</v>
      </c>
      <c r="Y6176" s="2" t="s">
        <v>394</v>
      </c>
      <c r="Z6176" s="2" t="s">
        <v>40947</v>
      </c>
      <c r="AA6176" s="2">
        <v>-0.41205273167913198</v>
      </c>
      <c r="AB6176" s="2">
        <v>4.2861094278832002E-2</v>
      </c>
      <c r="AC6176" s="2">
        <v>8352.1563799951091</v>
      </c>
      <c r="AD6176" s="2">
        <v>8754.6416690185997</v>
      </c>
      <c r="AE6176" s="2">
        <v>8442.46674886857</v>
      </c>
      <c r="AF6176" s="2">
        <v>8883.3596029201199</v>
      </c>
      <c r="AG6176" s="2">
        <v>9025.2561454050501</v>
      </c>
      <c r="AH6176" s="2">
        <v>8062.84054703737</v>
      </c>
      <c r="AI6176" s="2">
        <v>8083.0988889710698</v>
      </c>
      <c r="AJ6176" s="2">
        <v>7615.9163467684803</v>
      </c>
      <c r="AK6176" s="2">
        <v>9755.8366604256807</v>
      </c>
      <c r="AL6176" s="2">
        <v>8423.9123717884904</v>
      </c>
      <c r="AM6176" s="2">
        <v>9202.6261202803307</v>
      </c>
      <c r="AN6176" s="2">
        <v>8633.8810301925605</v>
      </c>
      <c r="AO6176" s="2">
        <v>7416.2268636477202</v>
      </c>
      <c r="AP6176" s="2">
        <v>9095.3669677768194</v>
      </c>
    </row>
    <row r="6177" spans="1:42" ht="14.5" x14ac:dyDescent="0.35">
      <c r="A6177" s="2" t="s">
        <v>40948</v>
      </c>
      <c r="B6177" s="2">
        <v>337.13902439520098</v>
      </c>
      <c r="C6177" s="2">
        <v>4.2432666666666696</v>
      </c>
      <c r="D6177" s="2" t="s">
        <v>34</v>
      </c>
      <c r="E6177" s="2" t="s">
        <v>40949</v>
      </c>
      <c r="F6177" s="2">
        <v>57369</v>
      </c>
      <c r="G6177" s="3" t="str">
        <f>HYPERLINK("http://funmeta.oebiotech.com/network/57369", "http://funmeta.oebiotech.com/network/57369")</f>
        <v>http://funmeta.oebiotech.com/network/57369</v>
      </c>
      <c r="H6177" s="2" t="s">
        <v>40950</v>
      </c>
      <c r="I6177" s="2"/>
      <c r="J6177" s="2"/>
      <c r="K6177" s="2"/>
      <c r="L6177" s="2"/>
      <c r="M6177" s="2"/>
      <c r="N6177" s="2"/>
      <c r="O6177" s="2">
        <v>131751375</v>
      </c>
      <c r="P6177" s="2"/>
      <c r="Q6177" s="2" t="s">
        <v>40951</v>
      </c>
      <c r="R6177" s="2" t="s">
        <v>40952</v>
      </c>
      <c r="S6177" s="2" t="s">
        <v>79</v>
      </c>
      <c r="T6177" s="2" t="s">
        <v>80</v>
      </c>
      <c r="U6177" s="2" t="s">
        <v>81</v>
      </c>
      <c r="V6177" s="2" t="s">
        <v>59</v>
      </c>
      <c r="W6177" s="2">
        <v>38.700000000000003</v>
      </c>
      <c r="X6177" s="2">
        <v>0</v>
      </c>
      <c r="Y6177" s="2" t="s">
        <v>394</v>
      </c>
      <c r="Z6177" s="2" t="s">
        <v>40953</v>
      </c>
      <c r="AA6177" s="2">
        <v>-1.15551331469847</v>
      </c>
      <c r="AB6177" s="2">
        <v>4.2843966428700302E-2</v>
      </c>
      <c r="AC6177" s="2">
        <v>533.35941145559502</v>
      </c>
      <c r="AD6177" s="2">
        <v>224.62650808733099</v>
      </c>
      <c r="AE6177" s="2">
        <v>426.073669377687</v>
      </c>
      <c r="AF6177" s="2">
        <v>2.7106294003980101E-5</v>
      </c>
      <c r="AG6177" s="2">
        <v>1011.6894458414801</v>
      </c>
      <c r="AH6177" s="2">
        <v>619.23135660480102</v>
      </c>
      <c r="AI6177" s="2">
        <v>1141.0000328405799</v>
      </c>
      <c r="AJ6177" s="2">
        <v>2.1619369627301199</v>
      </c>
      <c r="AK6177" s="2">
        <v>2.7106294003980101E-5</v>
      </c>
      <c r="AL6177" s="2">
        <v>404.39877178237498</v>
      </c>
      <c r="AM6177" s="2">
        <v>2.7106294003980101E-5</v>
      </c>
      <c r="AN6177" s="2">
        <v>418.18427313458898</v>
      </c>
      <c r="AO6177" s="2">
        <v>524.37362617824203</v>
      </c>
      <c r="AP6177" s="2">
        <v>0.80232321618970104</v>
      </c>
    </row>
    <row r="6178" spans="1:42" ht="14.5" x14ac:dyDescent="0.35">
      <c r="A6178" s="2" t="s">
        <v>40954</v>
      </c>
      <c r="B6178" s="2">
        <v>397.110327810618</v>
      </c>
      <c r="C6178" s="2">
        <v>4.1056666666666697</v>
      </c>
      <c r="D6178" s="2" t="s">
        <v>34</v>
      </c>
      <c r="E6178" s="2" t="s">
        <v>40955</v>
      </c>
      <c r="F6178" s="2">
        <v>199062</v>
      </c>
      <c r="G6178" s="3" t="str">
        <f>HYPERLINK("http://funmeta.oebiotech.com/network/199062", "http://funmeta.oebiotech.com/network/199062")</f>
        <v>http://funmeta.oebiotech.com/network/199062</v>
      </c>
      <c r="H6178" s="2" t="s">
        <v>40956</v>
      </c>
      <c r="I6178" s="2"/>
      <c r="J6178" s="2"/>
      <c r="K6178" s="2"/>
      <c r="L6178" s="2"/>
      <c r="M6178" s="2"/>
      <c r="N6178" s="2"/>
      <c r="O6178" s="2">
        <v>127607</v>
      </c>
      <c r="P6178" s="2"/>
      <c r="Q6178" s="2" t="s">
        <v>40957</v>
      </c>
      <c r="R6178" s="2" t="s">
        <v>40958</v>
      </c>
      <c r="S6178" s="2" t="s">
        <v>491</v>
      </c>
      <c r="T6178" s="2" t="s">
        <v>7431</v>
      </c>
      <c r="U6178" s="2" t="s">
        <v>7432</v>
      </c>
      <c r="V6178" s="2" t="s">
        <v>59</v>
      </c>
      <c r="W6178" s="2">
        <v>38.799999999999997</v>
      </c>
      <c r="X6178" s="2">
        <v>0</v>
      </c>
      <c r="Y6178" s="2" t="s">
        <v>43</v>
      </c>
      <c r="Z6178" s="2" t="s">
        <v>40959</v>
      </c>
      <c r="AA6178" s="2">
        <v>0.237111107390128</v>
      </c>
      <c r="AB6178" s="2">
        <v>4.2799262781707897E-2</v>
      </c>
      <c r="AC6178" s="2">
        <v>23983.101694437701</v>
      </c>
      <c r="AD6178" s="2">
        <v>23364.071891912401</v>
      </c>
      <c r="AE6178" s="2">
        <v>24526.501134775099</v>
      </c>
      <c r="AF6178" s="2">
        <v>25756.334410269901</v>
      </c>
      <c r="AG6178" s="2">
        <v>22379.0528010657</v>
      </c>
      <c r="AH6178" s="2">
        <v>23235.022064274501</v>
      </c>
      <c r="AI6178" s="2">
        <v>25607.490251626601</v>
      </c>
      <c r="AJ6178" s="2">
        <v>22394.2095046145</v>
      </c>
      <c r="AK6178" s="2">
        <v>26262.491241885</v>
      </c>
      <c r="AL6178" s="2">
        <v>22447.373469571401</v>
      </c>
      <c r="AM6178" s="2">
        <v>22214.6532838034</v>
      </c>
      <c r="AN6178" s="2">
        <v>23511.478633699899</v>
      </c>
      <c r="AO6178" s="2">
        <v>21220.4266460047</v>
      </c>
      <c r="AP6178" s="2">
        <v>24528.008076510301</v>
      </c>
    </row>
    <row r="6179" spans="1:42" ht="14.5" x14ac:dyDescent="0.35">
      <c r="A6179" s="2" t="s">
        <v>40960</v>
      </c>
      <c r="B6179" s="2">
        <v>623.19005322101498</v>
      </c>
      <c r="C6179" s="2">
        <v>11.60595</v>
      </c>
      <c r="D6179" s="2" t="s">
        <v>70</v>
      </c>
      <c r="E6179" s="2" t="s">
        <v>40961</v>
      </c>
      <c r="F6179" s="2">
        <v>204249</v>
      </c>
      <c r="G6179" s="3" t="str">
        <f>HYPERLINK("http://funmeta.oebiotech.com/network/204249", "http://funmeta.oebiotech.com/network/204249")</f>
        <v>http://funmeta.oebiotech.com/network/204249</v>
      </c>
      <c r="H6179" s="2" t="s">
        <v>40962</v>
      </c>
      <c r="I6179" s="2"/>
      <c r="J6179" s="2"/>
      <c r="K6179" s="2"/>
      <c r="L6179" s="2"/>
      <c r="M6179" s="2"/>
      <c r="N6179" s="2"/>
      <c r="O6179" s="2">
        <v>19378226</v>
      </c>
      <c r="P6179" s="2"/>
      <c r="Q6179" s="2" t="s">
        <v>40963</v>
      </c>
      <c r="R6179" s="2" t="s">
        <v>40964</v>
      </c>
      <c r="S6179" s="2" t="s">
        <v>41</v>
      </c>
      <c r="T6179" s="2" t="s">
        <v>41</v>
      </c>
      <c r="U6179" s="2" t="s">
        <v>41</v>
      </c>
      <c r="V6179" s="2" t="s">
        <v>59</v>
      </c>
      <c r="W6179" s="2">
        <v>38.5</v>
      </c>
      <c r="X6179" s="2">
        <v>0</v>
      </c>
      <c r="Y6179" s="2" t="s">
        <v>118</v>
      </c>
      <c r="Z6179" s="2" t="s">
        <v>40965</v>
      </c>
      <c r="AA6179" s="2">
        <v>0.74939462821077396</v>
      </c>
      <c r="AB6179" s="2">
        <v>4.2774473738305403E-2</v>
      </c>
      <c r="AC6179" s="2">
        <v>3030.5394227291099</v>
      </c>
      <c r="AD6179" s="2">
        <v>3477.4950986744002</v>
      </c>
      <c r="AE6179" s="2">
        <v>3388.7414080579902</v>
      </c>
      <c r="AF6179" s="2">
        <v>3796.4580642287501</v>
      </c>
      <c r="AG6179" s="2">
        <v>3132.2578667419002</v>
      </c>
      <c r="AH6179" s="2">
        <v>2976.0061427670498</v>
      </c>
      <c r="AI6179" s="2">
        <v>2401.5470182665699</v>
      </c>
      <c r="AJ6179" s="2">
        <v>2488.2260363124101</v>
      </c>
      <c r="AK6179" s="2">
        <v>2897.6302552768102</v>
      </c>
      <c r="AL6179" s="2">
        <v>4600.9602838964902</v>
      </c>
      <c r="AM6179" s="2">
        <v>3019.05569308646</v>
      </c>
      <c r="AN6179" s="2">
        <v>2130.7357534040598</v>
      </c>
      <c r="AO6179" s="2">
        <v>4857.2131015995101</v>
      </c>
      <c r="AP6179" s="2">
        <v>3359.37550478308</v>
      </c>
    </row>
    <row r="6180" spans="1:42" ht="14.5" x14ac:dyDescent="0.35">
      <c r="A6180" s="2" t="s">
        <v>40966</v>
      </c>
      <c r="B6180" s="2">
        <v>619.20138853483195</v>
      </c>
      <c r="C6180" s="2">
        <v>3.9481333333333302</v>
      </c>
      <c r="D6180" s="2" t="s">
        <v>34</v>
      </c>
      <c r="E6180" s="2" t="s">
        <v>40967</v>
      </c>
      <c r="F6180" s="2">
        <v>31148</v>
      </c>
      <c r="G6180" s="3" t="str">
        <f>HYPERLINK("http://funmeta.oebiotech.com/network/31148", "http://funmeta.oebiotech.com/network/31148")</f>
        <v>http://funmeta.oebiotech.com/network/31148</v>
      </c>
      <c r="H6180" s="2"/>
      <c r="I6180" s="2"/>
      <c r="J6180" s="2" t="s">
        <v>40968</v>
      </c>
      <c r="K6180" s="2"/>
      <c r="L6180" s="2"/>
      <c r="M6180" s="2"/>
      <c r="N6180" s="2"/>
      <c r="O6180" s="2">
        <v>102157774</v>
      </c>
      <c r="P6180" s="2"/>
      <c r="Q6180" s="2" t="s">
        <v>40969</v>
      </c>
      <c r="R6180" s="2" t="s">
        <v>40970</v>
      </c>
      <c r="S6180" s="2" t="s">
        <v>115</v>
      </c>
      <c r="T6180" s="2" t="s">
        <v>139</v>
      </c>
      <c r="U6180" s="2" t="s">
        <v>140</v>
      </c>
      <c r="V6180" s="2" t="s">
        <v>59</v>
      </c>
      <c r="W6180" s="2">
        <v>36.9</v>
      </c>
      <c r="X6180" s="2">
        <v>0</v>
      </c>
      <c r="Y6180" s="2" t="s">
        <v>141</v>
      </c>
      <c r="Z6180" s="2" t="s">
        <v>40971</v>
      </c>
      <c r="AA6180" s="2">
        <v>-1.1689040420238399</v>
      </c>
      <c r="AB6180" s="2">
        <v>4.2767758093955298E-2</v>
      </c>
      <c r="AC6180" s="2">
        <v>13587.322097603799</v>
      </c>
      <c r="AD6180" s="2">
        <v>14335.238581348</v>
      </c>
      <c r="AE6180" s="2">
        <v>11607.3025246617</v>
      </c>
      <c r="AF6180" s="2">
        <v>15775.546408919499</v>
      </c>
      <c r="AG6180" s="2">
        <v>13074.5189593415</v>
      </c>
      <c r="AH6180" s="2">
        <v>12281.681361361299</v>
      </c>
      <c r="AI6180" s="2">
        <v>14119.655888273201</v>
      </c>
      <c r="AJ6180" s="2">
        <v>14665.2274430658</v>
      </c>
      <c r="AK6180" s="2">
        <v>14344.673570171801</v>
      </c>
      <c r="AL6180" s="2">
        <v>16712.434509095201</v>
      </c>
      <c r="AM6180" s="2">
        <v>14398.269296815401</v>
      </c>
      <c r="AN6180" s="2">
        <v>16684.856056960602</v>
      </c>
      <c r="AO6180" s="2">
        <v>8196.2195676060001</v>
      </c>
      <c r="AP6180" s="2">
        <v>15674.978487439001</v>
      </c>
    </row>
    <row r="6181" spans="1:42" ht="14.5" x14ac:dyDescent="0.35">
      <c r="A6181" s="2" t="s">
        <v>40972</v>
      </c>
      <c r="B6181" s="2">
        <v>268.012812414574</v>
      </c>
      <c r="C6181" s="2">
        <v>2.6402666666666699</v>
      </c>
      <c r="D6181" s="2" t="s">
        <v>34</v>
      </c>
      <c r="E6181" s="2" t="s">
        <v>40973</v>
      </c>
      <c r="F6181" s="2">
        <v>210424</v>
      </c>
      <c r="G6181" s="3" t="str">
        <f>HYPERLINK("http://funmeta.oebiotech.com/network/210424", "http://funmeta.oebiotech.com/network/210424")</f>
        <v>http://funmeta.oebiotech.com/network/210424</v>
      </c>
      <c r="H6181" s="2" t="s">
        <v>40974</v>
      </c>
      <c r="I6181" s="2"/>
      <c r="J6181" s="2"/>
      <c r="K6181" s="2"/>
      <c r="L6181" s="2"/>
      <c r="M6181" s="2"/>
      <c r="N6181" s="2"/>
      <c r="O6181" s="2"/>
      <c r="P6181" s="2"/>
      <c r="Q6181" s="2" t="s">
        <v>40975</v>
      </c>
      <c r="R6181" s="2" t="s">
        <v>40976</v>
      </c>
      <c r="S6181" s="2" t="s">
        <v>41</v>
      </c>
      <c r="T6181" s="2" t="s">
        <v>41</v>
      </c>
      <c r="U6181" s="2" t="s">
        <v>41</v>
      </c>
      <c r="V6181" s="2" t="s">
        <v>59</v>
      </c>
      <c r="W6181" s="2">
        <v>39</v>
      </c>
      <c r="X6181" s="2">
        <v>0</v>
      </c>
      <c r="Y6181" s="2" t="s">
        <v>394</v>
      </c>
      <c r="Z6181" s="2" t="s">
        <v>40977</v>
      </c>
      <c r="AA6181" s="2">
        <v>-2.3383443864595801</v>
      </c>
      <c r="AB6181" s="2">
        <v>4.2641479970368497E-2</v>
      </c>
      <c r="AC6181" s="2">
        <v>6472.7819352142897</v>
      </c>
      <c r="AD6181" s="2">
        <v>6100.5178561171697</v>
      </c>
      <c r="AE6181" s="2">
        <v>6638.1788256070704</v>
      </c>
      <c r="AF6181" s="2">
        <v>6198.0065729263097</v>
      </c>
      <c r="AG6181" s="2">
        <v>6269.3439332776097</v>
      </c>
      <c r="AH6181" s="2">
        <v>7872.1214827396998</v>
      </c>
      <c r="AI6181" s="2">
        <v>6148.50657031832</v>
      </c>
      <c r="AJ6181" s="2">
        <v>5710.5342264167202</v>
      </c>
      <c r="AK6181" s="2">
        <v>6013.4407782657599</v>
      </c>
      <c r="AL6181" s="2">
        <v>5588.9861594765498</v>
      </c>
      <c r="AM6181" s="2">
        <v>6027.7172649820304</v>
      </c>
      <c r="AN6181" s="2">
        <v>5806.9194082107697</v>
      </c>
      <c r="AO6181" s="2">
        <v>6698.2172304752703</v>
      </c>
      <c r="AP6181" s="2">
        <v>6467.8262952926098</v>
      </c>
    </row>
    <row r="6182" spans="1:42" ht="14.5" x14ac:dyDescent="0.35">
      <c r="A6182" s="2" t="s">
        <v>40978</v>
      </c>
      <c r="B6182" s="2">
        <v>263.13663431609501</v>
      </c>
      <c r="C6182" s="2">
        <v>1.4208666666666701</v>
      </c>
      <c r="D6182" s="2" t="s">
        <v>34</v>
      </c>
      <c r="E6182" s="2" t="s">
        <v>40979</v>
      </c>
      <c r="F6182" s="2">
        <v>53480</v>
      </c>
      <c r="G6182" s="3" t="str">
        <f>HYPERLINK("http://funmeta.oebiotech.com/network/53480", "http://funmeta.oebiotech.com/network/53480")</f>
        <v>http://funmeta.oebiotech.com/network/53480</v>
      </c>
      <c r="H6182" s="2" t="s">
        <v>40980</v>
      </c>
      <c r="I6182" s="2">
        <v>66744</v>
      </c>
      <c r="J6182" s="2"/>
      <c r="K6182" s="2">
        <v>724172</v>
      </c>
      <c r="L6182" s="2" t="s">
        <v>40981</v>
      </c>
      <c r="M6182" s="2"/>
      <c r="N6182" s="2"/>
      <c r="O6182" s="2">
        <v>4845</v>
      </c>
      <c r="P6182" s="2" t="s">
        <v>40982</v>
      </c>
      <c r="Q6182" s="2" t="s">
        <v>40983</v>
      </c>
      <c r="R6182" s="2" t="s">
        <v>40984</v>
      </c>
      <c r="S6182" s="2" t="s">
        <v>491</v>
      </c>
      <c r="T6182" s="2" t="s">
        <v>2238</v>
      </c>
      <c r="U6182" s="2" t="s">
        <v>30690</v>
      </c>
      <c r="V6182" s="2" t="s">
        <v>59</v>
      </c>
      <c r="W6182" s="2">
        <v>37.299999999999997</v>
      </c>
      <c r="X6182" s="2">
        <v>0</v>
      </c>
      <c r="Y6182" s="2" t="s">
        <v>323</v>
      </c>
      <c r="Z6182" s="2" t="s">
        <v>40985</v>
      </c>
      <c r="AA6182" s="2">
        <v>8.7972703400190796E-2</v>
      </c>
      <c r="AB6182" s="2">
        <v>4.2628140681303203E-2</v>
      </c>
      <c r="AC6182" s="2">
        <v>6908.0506412386603</v>
      </c>
      <c r="AD6182" s="2">
        <v>7278.8022912462002</v>
      </c>
      <c r="AE6182" s="2">
        <v>6379.5681979114797</v>
      </c>
      <c r="AF6182" s="2">
        <v>7410.0336458443298</v>
      </c>
      <c r="AG6182" s="2">
        <v>6835.4597757393003</v>
      </c>
      <c r="AH6182" s="2">
        <v>6812.3250296925098</v>
      </c>
      <c r="AI6182" s="2">
        <v>6438.7567824055104</v>
      </c>
      <c r="AJ6182" s="2">
        <v>7572.16041583881</v>
      </c>
      <c r="AK6182" s="2">
        <v>7228.5369475699699</v>
      </c>
      <c r="AL6182" s="2">
        <v>8173.1765613328698</v>
      </c>
      <c r="AM6182" s="2">
        <v>6836.0507745187497</v>
      </c>
      <c r="AN6182" s="2">
        <v>7776.1462810071798</v>
      </c>
      <c r="AO6182" s="2">
        <v>7356.3321717325598</v>
      </c>
      <c r="AP6182" s="2">
        <v>6302.5710113158702</v>
      </c>
    </row>
    <row r="6183" spans="1:42" ht="14.5" x14ac:dyDescent="0.35">
      <c r="A6183" s="2" t="s">
        <v>40986</v>
      </c>
      <c r="B6183" s="2">
        <v>591.20898666365201</v>
      </c>
      <c r="C6183" s="2">
        <v>6.3868666666666698</v>
      </c>
      <c r="D6183" s="2" t="s">
        <v>70</v>
      </c>
      <c r="E6183" s="2" t="s">
        <v>40987</v>
      </c>
      <c r="F6183" s="2">
        <v>57526</v>
      </c>
      <c r="G6183" s="3" t="str">
        <f>HYPERLINK("http://funmeta.oebiotech.com/network/57526", "http://funmeta.oebiotech.com/network/57526")</f>
        <v>http://funmeta.oebiotech.com/network/57526</v>
      </c>
      <c r="H6183" s="2" t="s">
        <v>40988</v>
      </c>
      <c r="I6183" s="2">
        <v>89137</v>
      </c>
      <c r="J6183" s="2"/>
      <c r="K6183" s="2">
        <v>167988</v>
      </c>
      <c r="L6183" s="2"/>
      <c r="M6183" s="2"/>
      <c r="N6183" s="2"/>
      <c r="O6183" s="2">
        <v>73830447</v>
      </c>
      <c r="P6183" s="2"/>
      <c r="Q6183" s="2" t="s">
        <v>40989</v>
      </c>
      <c r="R6183" s="2" t="s">
        <v>40990</v>
      </c>
      <c r="S6183" s="2" t="s">
        <v>1184</v>
      </c>
      <c r="T6183" s="2" t="s">
        <v>1185</v>
      </c>
      <c r="U6183" s="2" t="s">
        <v>41</v>
      </c>
      <c r="V6183" s="2" t="s">
        <v>59</v>
      </c>
      <c r="W6183" s="2">
        <v>37.6</v>
      </c>
      <c r="X6183" s="2">
        <v>0</v>
      </c>
      <c r="Y6183" s="2" t="s">
        <v>286</v>
      </c>
      <c r="Z6183" s="2" t="s">
        <v>5314</v>
      </c>
      <c r="AA6183" s="2">
        <v>1.1345308407763599</v>
      </c>
      <c r="AB6183" s="2">
        <v>4.2553535299254298E-2</v>
      </c>
      <c r="AC6183" s="2">
        <v>5468.7181853751899</v>
      </c>
      <c r="AD6183" s="2">
        <v>5866.8024868517796</v>
      </c>
      <c r="AE6183" s="2">
        <v>5692.4935688165497</v>
      </c>
      <c r="AF6183" s="2">
        <v>4548.2222550206197</v>
      </c>
      <c r="AG6183" s="2">
        <v>5051.70565450296</v>
      </c>
      <c r="AH6183" s="2">
        <v>5569.3799896394603</v>
      </c>
      <c r="AI6183" s="2">
        <v>4975.37064884541</v>
      </c>
      <c r="AJ6183" s="2">
        <v>6975.1369954261299</v>
      </c>
      <c r="AK6183" s="2">
        <v>5612.8065202289999</v>
      </c>
      <c r="AL6183" s="2">
        <v>6119.0732297422201</v>
      </c>
      <c r="AM6183" s="2">
        <v>5694.3353820002403</v>
      </c>
      <c r="AN6183" s="2">
        <v>5206.3966579614898</v>
      </c>
      <c r="AO6183" s="2">
        <v>6592.5901628216498</v>
      </c>
      <c r="AP6183" s="2">
        <v>5975.6129683560703</v>
      </c>
    </row>
    <row r="6184" spans="1:42" ht="14.5" x14ac:dyDescent="0.35">
      <c r="A6184" s="2" t="s">
        <v>40991</v>
      </c>
      <c r="B6184" s="2">
        <v>699.55861888208699</v>
      </c>
      <c r="C6184" s="2">
        <v>15.09465</v>
      </c>
      <c r="D6184" s="2" t="s">
        <v>34</v>
      </c>
      <c r="E6184" s="2" t="s">
        <v>40992</v>
      </c>
      <c r="F6184" s="2">
        <v>256968</v>
      </c>
      <c r="G6184" s="3" t="str">
        <f>HYPERLINK("http://funmeta.oebiotech.com/network/256968", "http://funmeta.oebiotech.com/network/256968")</f>
        <v>http://funmeta.oebiotech.com/network/256968</v>
      </c>
      <c r="H6184" s="2" t="s">
        <v>40993</v>
      </c>
      <c r="I6184" s="2"/>
      <c r="J6184" s="2"/>
      <c r="K6184" s="2"/>
      <c r="L6184" s="2"/>
      <c r="M6184" s="2"/>
      <c r="N6184" s="2"/>
      <c r="O6184" s="2">
        <v>76170714</v>
      </c>
      <c r="P6184" s="2"/>
      <c r="Q6184" s="2" t="s">
        <v>40994</v>
      </c>
      <c r="R6184" s="2" t="s">
        <v>40995</v>
      </c>
      <c r="S6184" s="2" t="s">
        <v>50</v>
      </c>
      <c r="T6184" s="2" t="s">
        <v>201</v>
      </c>
      <c r="U6184" s="2" t="s">
        <v>12533</v>
      </c>
      <c r="V6184" s="2" t="s">
        <v>59</v>
      </c>
      <c r="W6184" s="2">
        <v>36.6</v>
      </c>
      <c r="X6184" s="2">
        <v>0</v>
      </c>
      <c r="Y6184" s="2" t="s">
        <v>43</v>
      </c>
      <c r="Z6184" s="2" t="s">
        <v>40996</v>
      </c>
      <c r="AA6184" s="2">
        <v>0.17942208447116301</v>
      </c>
      <c r="AB6184" s="2">
        <v>4.2546479898330401E-2</v>
      </c>
      <c r="AC6184" s="2">
        <v>5303.3265124182199</v>
      </c>
      <c r="AD6184" s="2">
        <v>5707.3864928807698</v>
      </c>
      <c r="AE6184" s="2">
        <v>4622.3059304237504</v>
      </c>
      <c r="AF6184" s="2">
        <v>4919.3088914433101</v>
      </c>
      <c r="AG6184" s="2">
        <v>4700.37536803477</v>
      </c>
      <c r="AH6184" s="2">
        <v>5478.2469100621802</v>
      </c>
      <c r="AI6184" s="2">
        <v>5360.5226190799503</v>
      </c>
      <c r="AJ6184" s="2">
        <v>6739.19935546538</v>
      </c>
      <c r="AK6184" s="2">
        <v>5997.5868821064296</v>
      </c>
      <c r="AL6184" s="2">
        <v>5083.0432448007596</v>
      </c>
      <c r="AM6184" s="2">
        <v>5552.6194051263801</v>
      </c>
      <c r="AN6184" s="2">
        <v>5155.1987419407596</v>
      </c>
      <c r="AO6184" s="2">
        <v>6921.33006070994</v>
      </c>
      <c r="AP6184" s="2">
        <v>5534.5406226003497</v>
      </c>
    </row>
    <row r="6185" spans="1:42" ht="14.5" x14ac:dyDescent="0.35">
      <c r="A6185" s="2" t="s">
        <v>40997</v>
      </c>
      <c r="B6185" s="2">
        <v>469.18647562489599</v>
      </c>
      <c r="C6185" s="2">
        <v>7.1973833333333301</v>
      </c>
      <c r="D6185" s="2" t="s">
        <v>70</v>
      </c>
      <c r="E6185" s="2" t="s">
        <v>40998</v>
      </c>
      <c r="F6185" s="2">
        <v>266567</v>
      </c>
      <c r="G6185" s="3" t="str">
        <f>HYPERLINK("http://funmeta.oebiotech.com/network/266567", "http://funmeta.oebiotech.com/network/266567")</f>
        <v>http://funmeta.oebiotech.com/network/266567</v>
      </c>
      <c r="H6185" s="2"/>
      <c r="I6185" s="2">
        <v>43601</v>
      </c>
      <c r="J6185" s="2"/>
      <c r="K6185" s="2"/>
      <c r="L6185" s="2"/>
      <c r="M6185" s="2"/>
      <c r="N6185" s="2"/>
      <c r="O6185" s="2">
        <v>3492326</v>
      </c>
      <c r="P6185" s="2"/>
      <c r="Q6185" s="2" t="s">
        <v>40999</v>
      </c>
      <c r="R6185" s="2" t="s">
        <v>41000</v>
      </c>
      <c r="S6185" s="2" t="s">
        <v>115</v>
      </c>
      <c r="T6185" s="2" t="s">
        <v>4730</v>
      </c>
      <c r="U6185" s="2" t="s">
        <v>41</v>
      </c>
      <c r="V6185" s="2" t="s">
        <v>59</v>
      </c>
      <c r="W6185" s="2">
        <v>37.9</v>
      </c>
      <c r="X6185" s="2">
        <v>0</v>
      </c>
      <c r="Y6185" s="2" t="s">
        <v>408</v>
      </c>
      <c r="Z6185" s="2" t="s">
        <v>17035</v>
      </c>
      <c r="AA6185" s="2">
        <v>-0.74462263466701095</v>
      </c>
      <c r="AB6185" s="2">
        <v>4.2502156495881703E-2</v>
      </c>
      <c r="AC6185" s="2">
        <v>200.79071416487</v>
      </c>
      <c r="AD6185" s="2">
        <v>33.295061886422197</v>
      </c>
      <c r="AE6185" s="2">
        <v>296.97725929935399</v>
      </c>
      <c r="AF6185" s="2">
        <v>126.403833272691</v>
      </c>
      <c r="AG6185" s="2">
        <v>217.37798348681801</v>
      </c>
      <c r="AH6185" s="2">
        <v>297.53209092526799</v>
      </c>
      <c r="AI6185" s="2">
        <v>266.45309089879402</v>
      </c>
      <c r="AJ6185" s="2">
        <v>2.7106294003980101E-5</v>
      </c>
      <c r="AK6185" s="2">
        <v>96.170867534691197</v>
      </c>
      <c r="AL6185" s="2">
        <v>2.7106294003980101E-5</v>
      </c>
      <c r="AM6185" s="2">
        <v>2.7106294003980101E-5</v>
      </c>
      <c r="AN6185" s="2">
        <v>2.7106294003980101E-5</v>
      </c>
      <c r="AO6185" s="2">
        <v>103.599395358666</v>
      </c>
      <c r="AP6185" s="2">
        <v>2.7106294003980101E-5</v>
      </c>
    </row>
    <row r="6186" spans="1:42" ht="14.5" x14ac:dyDescent="0.35">
      <c r="A6186" s="2" t="s">
        <v>41001</v>
      </c>
      <c r="B6186" s="2">
        <v>213.05523610411899</v>
      </c>
      <c r="C6186" s="2">
        <v>0.54008333333333303</v>
      </c>
      <c r="D6186" s="2" t="s">
        <v>70</v>
      </c>
      <c r="E6186" s="2" t="s">
        <v>41002</v>
      </c>
      <c r="F6186" s="2">
        <v>57135</v>
      </c>
      <c r="G6186" s="3" t="str">
        <f>HYPERLINK("http://funmeta.oebiotech.com/network/57135", "http://funmeta.oebiotech.com/network/57135")</f>
        <v>http://funmeta.oebiotech.com/network/57135</v>
      </c>
      <c r="H6186" s="2" t="s">
        <v>41003</v>
      </c>
      <c r="I6186" s="2">
        <v>66941</v>
      </c>
      <c r="J6186" s="2"/>
      <c r="K6186" s="2">
        <v>3369</v>
      </c>
      <c r="L6186" s="2" t="s">
        <v>41004</v>
      </c>
      <c r="M6186" s="2"/>
      <c r="N6186" s="2"/>
      <c r="O6186" s="2">
        <v>10321</v>
      </c>
      <c r="P6186" s="2" t="s">
        <v>41005</v>
      </c>
      <c r="Q6186" s="2" t="s">
        <v>41006</v>
      </c>
      <c r="R6186" s="2" t="s">
        <v>41007</v>
      </c>
      <c r="S6186" s="2" t="s">
        <v>148</v>
      </c>
      <c r="T6186" s="2" t="s">
        <v>149</v>
      </c>
      <c r="U6186" s="2" t="s">
        <v>20618</v>
      </c>
      <c r="V6186" s="2" t="s">
        <v>59</v>
      </c>
      <c r="W6186" s="2">
        <v>38.9</v>
      </c>
      <c r="X6186" s="2">
        <v>0</v>
      </c>
      <c r="Y6186" s="2" t="s">
        <v>408</v>
      </c>
      <c r="Z6186" s="2" t="s">
        <v>41008</v>
      </c>
      <c r="AA6186" s="2">
        <v>-2.8659355195145602</v>
      </c>
      <c r="AB6186" s="2">
        <v>4.2476269563967502E-2</v>
      </c>
      <c r="AC6186" s="2">
        <v>1216.0930834830699</v>
      </c>
      <c r="AD6186" s="2">
        <v>1390.5636981886701</v>
      </c>
      <c r="AE6186" s="2">
        <v>1228.1469511370899</v>
      </c>
      <c r="AF6186" s="2">
        <v>997.89472160740297</v>
      </c>
      <c r="AG6186" s="2">
        <v>1287.4882215482401</v>
      </c>
      <c r="AH6186" s="2">
        <v>1205.23797121046</v>
      </c>
      <c r="AI6186" s="2">
        <v>1215.9187324412901</v>
      </c>
      <c r="AJ6186" s="2">
        <v>1361.87190295394</v>
      </c>
      <c r="AK6186" s="2">
        <v>1471.50311865254</v>
      </c>
      <c r="AL6186" s="2">
        <v>1434.4755993262399</v>
      </c>
      <c r="AM6186" s="2">
        <v>1425.84500312719</v>
      </c>
      <c r="AN6186" s="2">
        <v>1357.6567291055301</v>
      </c>
      <c r="AO6186" s="2">
        <v>1411.7527947311701</v>
      </c>
      <c r="AP6186" s="2">
        <v>1242.14894418937</v>
      </c>
    </row>
    <row r="6187" spans="1:42" ht="14.5" x14ac:dyDescent="0.35">
      <c r="A6187" s="2" t="s">
        <v>41009</v>
      </c>
      <c r="B6187" s="2">
        <v>169.10091085076601</v>
      </c>
      <c r="C6187" s="2">
        <v>6.2166833333333296</v>
      </c>
      <c r="D6187" s="2" t="s">
        <v>34</v>
      </c>
      <c r="E6187" s="2" t="s">
        <v>41010</v>
      </c>
      <c r="F6187" s="2">
        <v>55643</v>
      </c>
      <c r="G6187" s="3" t="str">
        <f>HYPERLINK("http://funmeta.oebiotech.com/network/55643", "http://funmeta.oebiotech.com/network/55643")</f>
        <v>http://funmeta.oebiotech.com/network/55643</v>
      </c>
      <c r="H6187" s="2" t="s">
        <v>41011</v>
      </c>
      <c r="I6187" s="2">
        <v>87294</v>
      </c>
      <c r="J6187" s="2"/>
      <c r="K6187" s="2">
        <v>172103</v>
      </c>
      <c r="L6187" s="2"/>
      <c r="M6187" s="2"/>
      <c r="N6187" s="2"/>
      <c r="O6187" s="2">
        <v>101410676</v>
      </c>
      <c r="P6187" s="2"/>
      <c r="Q6187" s="2" t="s">
        <v>41012</v>
      </c>
      <c r="R6187" s="2" t="s">
        <v>41013</v>
      </c>
      <c r="S6187" s="2" t="s">
        <v>3194</v>
      </c>
      <c r="T6187" s="2" t="s">
        <v>3195</v>
      </c>
      <c r="U6187" s="2" t="s">
        <v>3196</v>
      </c>
      <c r="V6187" s="2" t="s">
        <v>59</v>
      </c>
      <c r="W6187" s="2">
        <v>37.6</v>
      </c>
      <c r="X6187" s="2">
        <v>0</v>
      </c>
      <c r="Y6187" s="2" t="s">
        <v>394</v>
      </c>
      <c r="Z6187" s="2" t="s">
        <v>41014</v>
      </c>
      <c r="AA6187" s="2">
        <v>-1.5822470241976401</v>
      </c>
      <c r="AB6187" s="2">
        <v>4.2411364547921E-2</v>
      </c>
      <c r="AC6187" s="2">
        <v>4833.90678009147</v>
      </c>
      <c r="AD6187" s="2">
        <v>4533.0532181701901</v>
      </c>
      <c r="AE6187" s="2">
        <v>4781.9950032741099</v>
      </c>
      <c r="AF6187" s="2">
        <v>4646.7946338808897</v>
      </c>
      <c r="AG6187" s="2">
        <v>5392.9215130332204</v>
      </c>
      <c r="AH6187" s="2">
        <v>4666.06057964706</v>
      </c>
      <c r="AI6187" s="2">
        <v>4535.0469172005396</v>
      </c>
      <c r="AJ6187" s="2">
        <v>4980.6220335129801</v>
      </c>
      <c r="AK6187" s="2">
        <v>3827.1919698412198</v>
      </c>
      <c r="AL6187" s="2">
        <v>5058.0277018285396</v>
      </c>
      <c r="AM6187" s="2">
        <v>4976.3209711105401</v>
      </c>
      <c r="AN6187" s="2">
        <v>4386.8662556381096</v>
      </c>
      <c r="AO6187" s="2">
        <v>4660.2375572986302</v>
      </c>
      <c r="AP6187" s="2">
        <v>4289.67485330408</v>
      </c>
    </row>
    <row r="6188" spans="1:42" ht="14.5" x14ac:dyDescent="0.35">
      <c r="A6188" s="2" t="s">
        <v>41015</v>
      </c>
      <c r="B6188" s="2">
        <v>730.34270447226697</v>
      </c>
      <c r="C6188" s="2">
        <v>5.6390833333333301</v>
      </c>
      <c r="D6188" s="2" t="s">
        <v>34</v>
      </c>
      <c r="E6188" s="2" t="s">
        <v>41016</v>
      </c>
      <c r="F6188" s="2">
        <v>38970</v>
      </c>
      <c r="G6188" s="3" t="str">
        <f>HYPERLINK("http://funmeta.oebiotech.com/network/38970", "http://funmeta.oebiotech.com/network/38970")</f>
        <v>http://funmeta.oebiotech.com/network/38970</v>
      </c>
      <c r="H6188" s="2"/>
      <c r="I6188" s="2">
        <v>53928</v>
      </c>
      <c r="J6188" s="2" t="s">
        <v>41017</v>
      </c>
      <c r="K6188" s="2"/>
      <c r="L6188" s="2"/>
      <c r="M6188" s="2"/>
      <c r="N6188" s="2"/>
      <c r="O6188" s="2">
        <v>42608362</v>
      </c>
      <c r="P6188" s="2"/>
      <c r="Q6188" s="2" t="s">
        <v>41018</v>
      </c>
      <c r="R6188" s="2" t="s">
        <v>41019</v>
      </c>
      <c r="S6188" s="2" t="s">
        <v>89</v>
      </c>
      <c r="T6188" s="2" t="s">
        <v>90</v>
      </c>
      <c r="U6188" s="2" t="s">
        <v>11598</v>
      </c>
      <c r="V6188" s="2" t="s">
        <v>59</v>
      </c>
      <c r="W6188" s="2">
        <v>37.799999999999997</v>
      </c>
      <c r="X6188" s="2">
        <v>0</v>
      </c>
      <c r="Y6188" s="2" t="s">
        <v>340</v>
      </c>
      <c r="Z6188" s="2" t="s">
        <v>41020</v>
      </c>
      <c r="AA6188" s="2">
        <v>2.3733556200096899</v>
      </c>
      <c r="AB6188" s="2">
        <v>4.22688841414499E-2</v>
      </c>
      <c r="AC6188" s="2">
        <v>60677.3859169438</v>
      </c>
      <c r="AD6188" s="2">
        <v>62108.411763395299</v>
      </c>
      <c r="AE6188" s="2">
        <v>64853.162663134703</v>
      </c>
      <c r="AF6188" s="2">
        <v>38485.686879933099</v>
      </c>
      <c r="AG6188" s="2">
        <v>45658.544482874597</v>
      </c>
      <c r="AH6188" s="2">
        <v>66339.834609312602</v>
      </c>
      <c r="AI6188" s="2">
        <v>74159.0132812386</v>
      </c>
      <c r="AJ6188" s="2">
        <v>74568.073585169303</v>
      </c>
      <c r="AK6188" s="2">
        <v>68178.723059616706</v>
      </c>
      <c r="AL6188" s="2">
        <v>56824.244497107196</v>
      </c>
      <c r="AM6188" s="2">
        <v>69214.5492113988</v>
      </c>
      <c r="AN6188" s="2">
        <v>69962.492481238805</v>
      </c>
      <c r="AO6188" s="2">
        <v>53007.341987992702</v>
      </c>
      <c r="AP6188" s="2">
        <v>55463.119343017803</v>
      </c>
    </row>
    <row r="6189" spans="1:42" ht="14.5" x14ac:dyDescent="0.35">
      <c r="A6189" s="2" t="s">
        <v>41021</v>
      </c>
      <c r="B6189" s="2">
        <v>329.28706729821801</v>
      </c>
      <c r="C6189" s="2">
        <v>13.283333333333299</v>
      </c>
      <c r="D6189" s="2" t="s">
        <v>34</v>
      </c>
      <c r="E6189" s="2" t="s">
        <v>41022</v>
      </c>
      <c r="F6189" s="2">
        <v>267184</v>
      </c>
      <c r="G6189" s="3" t="str">
        <f>HYPERLINK("http://funmeta.oebiotech.com/network/267184", "http://funmeta.oebiotech.com/network/267184")</f>
        <v>http://funmeta.oebiotech.com/network/267184</v>
      </c>
      <c r="H6189" s="2"/>
      <c r="I6189" s="2">
        <v>44959</v>
      </c>
      <c r="J6189" s="2"/>
      <c r="K6189" s="2"/>
      <c r="L6189" s="2"/>
      <c r="M6189" s="2"/>
      <c r="N6189" s="2"/>
      <c r="O6189" s="2">
        <v>137701031</v>
      </c>
      <c r="P6189" s="2"/>
      <c r="Q6189" s="2" t="s">
        <v>41023</v>
      </c>
      <c r="R6189" s="2" t="s">
        <v>41024</v>
      </c>
      <c r="S6189" s="2" t="s">
        <v>41</v>
      </c>
      <c r="T6189" s="2" t="s">
        <v>41</v>
      </c>
      <c r="U6189" s="2" t="s">
        <v>41</v>
      </c>
      <c r="V6189" s="2" t="s">
        <v>59</v>
      </c>
      <c r="W6189" s="2">
        <v>36.200000000000003</v>
      </c>
      <c r="X6189" s="2">
        <v>0</v>
      </c>
      <c r="Y6189" s="2" t="s">
        <v>141</v>
      </c>
      <c r="Z6189" s="2" t="s">
        <v>41025</v>
      </c>
      <c r="AA6189" s="2">
        <v>9.1689517177858999</v>
      </c>
      <c r="AB6189" s="2">
        <v>4.2161092181000698E-2</v>
      </c>
      <c r="AC6189" s="2">
        <v>13844.061066249</v>
      </c>
      <c r="AD6189" s="2">
        <v>12692.331457232</v>
      </c>
      <c r="AE6189" s="2">
        <v>14139.2799507789</v>
      </c>
      <c r="AF6189" s="2">
        <v>28325.575268960602</v>
      </c>
      <c r="AG6189" s="2">
        <v>18847.031083632901</v>
      </c>
      <c r="AH6189" s="2">
        <v>3635.8551369451502</v>
      </c>
      <c r="AI6189" s="2">
        <v>4637.4960439297802</v>
      </c>
      <c r="AJ6189" s="2">
        <v>13479.128913246701</v>
      </c>
      <c r="AK6189" s="2">
        <v>8450.8161765806999</v>
      </c>
      <c r="AL6189" s="2">
        <v>20892.478344233201</v>
      </c>
      <c r="AM6189" s="2">
        <v>13088.576855455</v>
      </c>
      <c r="AN6189" s="2">
        <v>13868.4952211041</v>
      </c>
      <c r="AO6189" s="2">
        <v>6189.8211780929396</v>
      </c>
      <c r="AP6189" s="2">
        <v>13663.8009679263</v>
      </c>
    </row>
    <row r="6190" spans="1:42" ht="14.5" x14ac:dyDescent="0.35">
      <c r="A6190" s="2" t="s">
        <v>41026</v>
      </c>
      <c r="B6190" s="2">
        <v>517.208560795734</v>
      </c>
      <c r="C6190" s="2">
        <v>5.6357333333333299</v>
      </c>
      <c r="D6190" s="2" t="s">
        <v>70</v>
      </c>
      <c r="E6190" s="2" t="s">
        <v>41027</v>
      </c>
      <c r="F6190" s="2">
        <v>59538</v>
      </c>
      <c r="G6190" s="3" t="str">
        <f>HYPERLINK("http://funmeta.oebiotech.com/network/59538", "http://funmeta.oebiotech.com/network/59538")</f>
        <v>http://funmeta.oebiotech.com/network/59538</v>
      </c>
      <c r="H6190" s="2" t="s">
        <v>41028</v>
      </c>
      <c r="I6190" s="2">
        <v>90947</v>
      </c>
      <c r="J6190" s="2"/>
      <c r="K6190" s="2"/>
      <c r="L6190" s="2"/>
      <c r="M6190" s="2"/>
      <c r="N6190" s="2"/>
      <c r="O6190" s="2">
        <v>13857953</v>
      </c>
      <c r="P6190" s="2" t="s">
        <v>41029</v>
      </c>
      <c r="Q6190" s="2" t="s">
        <v>41030</v>
      </c>
      <c r="R6190" s="2" t="s">
        <v>41031</v>
      </c>
      <c r="S6190" s="2" t="s">
        <v>50</v>
      </c>
      <c r="T6190" s="2" t="s">
        <v>201</v>
      </c>
      <c r="U6190" s="2" t="s">
        <v>210</v>
      </c>
      <c r="V6190" s="2" t="s">
        <v>59</v>
      </c>
      <c r="W6190" s="2">
        <v>37.299999999999997</v>
      </c>
      <c r="X6190" s="2">
        <v>0</v>
      </c>
      <c r="Y6190" s="2" t="s">
        <v>408</v>
      </c>
      <c r="Z6190" s="2" t="s">
        <v>30500</v>
      </c>
      <c r="AA6190" s="2">
        <v>1.3552093273549499</v>
      </c>
      <c r="AB6190" s="2">
        <v>4.2157142167433298E-2</v>
      </c>
      <c r="AC6190" s="2">
        <v>2375.3289438990901</v>
      </c>
      <c r="AD6190" s="2">
        <v>2097.22386812895</v>
      </c>
      <c r="AE6190" s="2">
        <v>2710.2493532067401</v>
      </c>
      <c r="AF6190" s="2">
        <v>2289.2816956162801</v>
      </c>
      <c r="AG6190" s="2">
        <v>2044.7652444674</v>
      </c>
      <c r="AH6190" s="2">
        <v>2151.8390231756798</v>
      </c>
      <c r="AI6190" s="2">
        <v>2677.7469035551098</v>
      </c>
      <c r="AJ6190" s="2">
        <v>2378.0914433733201</v>
      </c>
      <c r="AK6190" s="2">
        <v>2489.8179895707899</v>
      </c>
      <c r="AL6190" s="2">
        <v>2018.5947519178401</v>
      </c>
      <c r="AM6190" s="2">
        <v>2213.2497525751401</v>
      </c>
      <c r="AN6190" s="2">
        <v>2224.0054564331999</v>
      </c>
      <c r="AO6190" s="2">
        <v>1408.62834006719</v>
      </c>
      <c r="AP6190" s="2">
        <v>2229.0469182095298</v>
      </c>
    </row>
    <row r="6191" spans="1:42" ht="14.5" x14ac:dyDescent="0.35">
      <c r="A6191" s="2" t="s">
        <v>41032</v>
      </c>
      <c r="B6191" s="2">
        <v>401.08745464301899</v>
      </c>
      <c r="C6191" s="2">
        <v>7.0835499999999998</v>
      </c>
      <c r="D6191" s="2" t="s">
        <v>70</v>
      </c>
      <c r="E6191" s="2" t="s">
        <v>41033</v>
      </c>
      <c r="F6191" s="2">
        <v>34924</v>
      </c>
      <c r="G6191" s="3" t="str">
        <f>HYPERLINK("http://funmeta.oebiotech.com/network/34924", "http://funmeta.oebiotech.com/network/34924")</f>
        <v>http://funmeta.oebiotech.com/network/34924</v>
      </c>
      <c r="H6191" s="2"/>
      <c r="I6191" s="2">
        <v>43820</v>
      </c>
      <c r="J6191" s="2" t="s">
        <v>41034</v>
      </c>
      <c r="K6191" s="2">
        <v>114201</v>
      </c>
      <c r="L6191" s="2"/>
      <c r="M6191" s="2"/>
      <c r="N6191" s="2"/>
      <c r="O6191" s="2">
        <v>1715307</v>
      </c>
      <c r="P6191" s="2" t="s">
        <v>41035</v>
      </c>
      <c r="Q6191" s="2" t="s">
        <v>41036</v>
      </c>
      <c r="R6191" s="2" t="s">
        <v>41037</v>
      </c>
      <c r="S6191" s="2" t="s">
        <v>115</v>
      </c>
      <c r="T6191" s="2" t="s">
        <v>1371</v>
      </c>
      <c r="U6191" s="2" t="s">
        <v>23583</v>
      </c>
      <c r="V6191" s="2" t="s">
        <v>42</v>
      </c>
      <c r="W6191" s="2">
        <v>49.2</v>
      </c>
      <c r="X6191" s="2">
        <v>50.4</v>
      </c>
      <c r="Y6191" s="2" t="s">
        <v>408</v>
      </c>
      <c r="Z6191" s="2" t="s">
        <v>39712</v>
      </c>
      <c r="AA6191" s="2">
        <v>-0.98592325639270995</v>
      </c>
      <c r="AB6191" s="2">
        <v>4.2153635785078102E-2</v>
      </c>
      <c r="AC6191" s="2">
        <v>53828.958987151003</v>
      </c>
      <c r="AD6191" s="2">
        <v>54816.285824651502</v>
      </c>
      <c r="AE6191" s="2">
        <v>59536.5593892779</v>
      </c>
      <c r="AF6191" s="2">
        <v>56933.740406050398</v>
      </c>
      <c r="AG6191" s="2">
        <v>57565.391343868898</v>
      </c>
      <c r="AH6191" s="2">
        <v>47356.580504149402</v>
      </c>
      <c r="AI6191" s="2">
        <v>48620.163411875903</v>
      </c>
      <c r="AJ6191" s="2">
        <v>52961.318867683498</v>
      </c>
      <c r="AK6191" s="2">
        <v>57357.892713594199</v>
      </c>
      <c r="AL6191" s="2">
        <v>57854.521929969203</v>
      </c>
      <c r="AM6191" s="2">
        <v>55393.160918943599</v>
      </c>
      <c r="AN6191" s="2">
        <v>53687.469347550599</v>
      </c>
      <c r="AO6191" s="2">
        <v>51524.199950209601</v>
      </c>
      <c r="AP6191" s="2">
        <v>53080.470087641799</v>
      </c>
    </row>
    <row r="6192" spans="1:42" ht="14.5" x14ac:dyDescent="0.35">
      <c r="A6192" s="2" t="s">
        <v>41038</v>
      </c>
      <c r="B6192" s="2">
        <v>384.12225639014099</v>
      </c>
      <c r="C6192" s="2">
        <v>3.8783166666666702</v>
      </c>
      <c r="D6192" s="2" t="s">
        <v>34</v>
      </c>
      <c r="E6192" s="2" t="s">
        <v>41039</v>
      </c>
      <c r="F6192" s="2">
        <v>209605</v>
      </c>
      <c r="G6192" s="3" t="str">
        <f>HYPERLINK("http://funmeta.oebiotech.com/network/209605", "http://funmeta.oebiotech.com/network/209605")</f>
        <v>http://funmeta.oebiotech.com/network/209605</v>
      </c>
      <c r="H6192" s="2" t="s">
        <v>41040</v>
      </c>
      <c r="I6192" s="2"/>
      <c r="J6192" s="2"/>
      <c r="K6192" s="2">
        <v>77428</v>
      </c>
      <c r="L6192" s="2"/>
      <c r="M6192" s="2"/>
      <c r="N6192" s="2"/>
      <c r="O6192" s="2">
        <v>119387</v>
      </c>
      <c r="P6192" s="2"/>
      <c r="Q6192" s="2" t="s">
        <v>41041</v>
      </c>
      <c r="R6192" s="2" t="s">
        <v>41042</v>
      </c>
      <c r="S6192" s="2" t="s">
        <v>148</v>
      </c>
      <c r="T6192" s="2" t="s">
        <v>149</v>
      </c>
      <c r="U6192" s="2" t="s">
        <v>5292</v>
      </c>
      <c r="V6192" s="2" t="s">
        <v>59</v>
      </c>
      <c r="W6192" s="2">
        <v>37.700000000000003</v>
      </c>
      <c r="X6192" s="2">
        <v>0</v>
      </c>
      <c r="Y6192" s="2" t="s">
        <v>323</v>
      </c>
      <c r="Z6192" s="2" t="s">
        <v>41043</v>
      </c>
      <c r="AA6192" s="2">
        <v>1.3422942353419201</v>
      </c>
      <c r="AB6192" s="2">
        <v>4.2132324703082501E-2</v>
      </c>
      <c r="AC6192" s="2">
        <v>8629.7935714732594</v>
      </c>
      <c r="AD6192" s="2">
        <v>8118.0710773655801</v>
      </c>
      <c r="AE6192" s="2">
        <v>7141.1461704372596</v>
      </c>
      <c r="AF6192" s="2">
        <v>8166.71154646371</v>
      </c>
      <c r="AG6192" s="2">
        <v>10717.48573651</v>
      </c>
      <c r="AH6192" s="2">
        <v>8027.7243803020201</v>
      </c>
      <c r="AI6192" s="2">
        <v>9741.1454531806594</v>
      </c>
      <c r="AJ6192" s="2">
        <v>7984.5481419459402</v>
      </c>
      <c r="AK6192" s="2">
        <v>6843.2751420168597</v>
      </c>
      <c r="AL6192" s="2">
        <v>9869.2439320234407</v>
      </c>
      <c r="AM6192" s="2">
        <v>7459.9056881721199</v>
      </c>
      <c r="AN6192" s="2">
        <v>8090.07622137821</v>
      </c>
      <c r="AO6192" s="2">
        <v>7844.69171776042</v>
      </c>
      <c r="AP6192" s="2">
        <v>8601.2337628424502</v>
      </c>
    </row>
    <row r="6193" spans="1:42" ht="14.5" x14ac:dyDescent="0.35">
      <c r="A6193" s="2" t="s">
        <v>41044</v>
      </c>
      <c r="B6193" s="2">
        <v>561.15671436466505</v>
      </c>
      <c r="C6193" s="2">
        <v>4.7579333333333302</v>
      </c>
      <c r="D6193" s="2" t="s">
        <v>70</v>
      </c>
      <c r="E6193" s="2" t="s">
        <v>41045</v>
      </c>
      <c r="F6193" s="2">
        <v>53579</v>
      </c>
      <c r="G6193" s="3" t="str">
        <f>HYPERLINK("http://funmeta.oebiotech.com/network/53579", "http://funmeta.oebiotech.com/network/53579")</f>
        <v>http://funmeta.oebiotech.com/network/53579</v>
      </c>
      <c r="H6193" s="2" t="s">
        <v>41046</v>
      </c>
      <c r="I6193" s="2">
        <v>1559</v>
      </c>
      <c r="J6193" s="2"/>
      <c r="K6193" s="2">
        <v>7581</v>
      </c>
      <c r="L6193" s="2" t="s">
        <v>41047</v>
      </c>
      <c r="M6193" s="2"/>
      <c r="N6193" s="2"/>
      <c r="O6193" s="2">
        <v>4506</v>
      </c>
      <c r="P6193" s="2" t="s">
        <v>41048</v>
      </c>
      <c r="Q6193" s="2" t="s">
        <v>41049</v>
      </c>
      <c r="R6193" s="2" t="s">
        <v>41050</v>
      </c>
      <c r="S6193" s="2" t="s">
        <v>491</v>
      </c>
      <c r="T6193" s="2" t="s">
        <v>2653</v>
      </c>
      <c r="U6193" s="2" t="s">
        <v>12620</v>
      </c>
      <c r="V6193" s="2" t="s">
        <v>59</v>
      </c>
      <c r="W6193" s="2">
        <v>37.5</v>
      </c>
      <c r="X6193" s="2">
        <v>0</v>
      </c>
      <c r="Y6193" s="2" t="s">
        <v>560</v>
      </c>
      <c r="Z6193" s="2" t="s">
        <v>41051</v>
      </c>
      <c r="AA6193" s="2">
        <v>6.9523701286747803</v>
      </c>
      <c r="AB6193" s="2">
        <v>4.2010755932025502E-2</v>
      </c>
      <c r="AC6193" s="2">
        <v>9617.3908596379097</v>
      </c>
      <c r="AD6193" s="2">
        <v>9171.8751661056394</v>
      </c>
      <c r="AE6193" s="2">
        <v>10308.455006493499</v>
      </c>
      <c r="AF6193" s="2">
        <v>9710.1272040517906</v>
      </c>
      <c r="AG6193" s="2">
        <v>8956.5615960889609</v>
      </c>
      <c r="AH6193" s="2">
        <v>11344.3560123815</v>
      </c>
      <c r="AI6193" s="2">
        <v>8039.63893150285</v>
      </c>
      <c r="AJ6193" s="2">
        <v>9345.2064073088604</v>
      </c>
      <c r="AK6193" s="2">
        <v>9492.9966527877496</v>
      </c>
      <c r="AL6193" s="2">
        <v>9286.0031695192793</v>
      </c>
      <c r="AM6193" s="2">
        <v>9468.6722806368907</v>
      </c>
      <c r="AN6193" s="2">
        <v>9318.0904370387998</v>
      </c>
      <c r="AO6193" s="2">
        <v>7748.4900462189798</v>
      </c>
      <c r="AP6193" s="2">
        <v>9716.9984104321702</v>
      </c>
    </row>
    <row r="6194" spans="1:42" ht="14.5" x14ac:dyDescent="0.35">
      <c r="A6194" s="2" t="s">
        <v>41052</v>
      </c>
      <c r="B6194" s="2">
        <v>140.00179896896401</v>
      </c>
      <c r="C6194" s="2">
        <v>0.63648333333333296</v>
      </c>
      <c r="D6194" s="2" t="s">
        <v>34</v>
      </c>
      <c r="E6194" s="2" t="s">
        <v>41053</v>
      </c>
      <c r="F6194" s="2">
        <v>200750</v>
      </c>
      <c r="G6194" s="3" t="str">
        <f>HYPERLINK("http://funmeta.oebiotech.com/network/200750", "http://funmeta.oebiotech.com/network/200750")</f>
        <v>http://funmeta.oebiotech.com/network/200750</v>
      </c>
      <c r="H6194" s="2" t="s">
        <v>41054</v>
      </c>
      <c r="I6194" s="2"/>
      <c r="J6194" s="2"/>
      <c r="K6194" s="2"/>
      <c r="L6194" s="2"/>
      <c r="M6194" s="2"/>
      <c r="N6194" s="2"/>
      <c r="O6194" s="2">
        <v>11083961</v>
      </c>
      <c r="P6194" s="2"/>
      <c r="Q6194" s="2" t="s">
        <v>41055</v>
      </c>
      <c r="R6194" s="2" t="s">
        <v>41056</v>
      </c>
      <c r="S6194" s="2" t="s">
        <v>41</v>
      </c>
      <c r="T6194" s="2" t="s">
        <v>41</v>
      </c>
      <c r="U6194" s="2" t="s">
        <v>41</v>
      </c>
      <c r="V6194" s="2" t="s">
        <v>59</v>
      </c>
      <c r="W6194" s="2">
        <v>37.299999999999997</v>
      </c>
      <c r="X6194" s="2">
        <v>0</v>
      </c>
      <c r="Y6194" s="2" t="s">
        <v>440</v>
      </c>
      <c r="Z6194" s="2" t="s">
        <v>41057</v>
      </c>
      <c r="AA6194" s="2">
        <v>4.2728022725398498</v>
      </c>
      <c r="AB6194" s="2">
        <v>4.19497872391612E-2</v>
      </c>
      <c r="AC6194" s="2">
        <v>21374.618801959401</v>
      </c>
      <c r="AD6194" s="2">
        <v>21883.054023455301</v>
      </c>
      <c r="AE6194" s="2">
        <v>21016.569722612901</v>
      </c>
      <c r="AF6194" s="2">
        <v>23925.313881056802</v>
      </c>
      <c r="AG6194" s="2">
        <v>21425.366478164698</v>
      </c>
      <c r="AH6194" s="2">
        <v>20555.031056133699</v>
      </c>
      <c r="AI6194" s="2">
        <v>21390.6437014121</v>
      </c>
      <c r="AJ6194" s="2">
        <v>19934.7879723763</v>
      </c>
      <c r="AK6194" s="2">
        <v>21775.5475110119</v>
      </c>
      <c r="AL6194" s="2">
        <v>20618.389636523902</v>
      </c>
      <c r="AM6194" s="2">
        <v>22529.783300255502</v>
      </c>
      <c r="AN6194" s="2">
        <v>23222.508637018698</v>
      </c>
      <c r="AO6194" s="2">
        <v>22371.472681179799</v>
      </c>
      <c r="AP6194" s="2">
        <v>20780.622374741801</v>
      </c>
    </row>
    <row r="6195" spans="1:42" ht="14.5" x14ac:dyDescent="0.35">
      <c r="A6195" s="2" t="s">
        <v>41058</v>
      </c>
      <c r="B6195" s="2">
        <v>709.44856087143603</v>
      </c>
      <c r="C6195" s="2">
        <v>13.207216666666699</v>
      </c>
      <c r="D6195" s="2" t="s">
        <v>34</v>
      </c>
      <c r="E6195" s="2" t="s">
        <v>41059</v>
      </c>
      <c r="F6195" s="2">
        <v>36905</v>
      </c>
      <c r="G6195" s="3" t="str">
        <f>HYPERLINK("http://funmeta.oebiotech.com/network/36905", "http://funmeta.oebiotech.com/network/36905")</f>
        <v>http://funmeta.oebiotech.com/network/36905</v>
      </c>
      <c r="H6195" s="2"/>
      <c r="I6195" s="2"/>
      <c r="J6195" s="2" t="s">
        <v>41060</v>
      </c>
      <c r="K6195" s="2"/>
      <c r="L6195" s="2"/>
      <c r="M6195" s="2"/>
      <c r="N6195" s="2"/>
      <c r="O6195" s="2">
        <v>25137698</v>
      </c>
      <c r="P6195" s="2"/>
      <c r="Q6195" s="2" t="s">
        <v>41061</v>
      </c>
      <c r="R6195" s="2" t="s">
        <v>41062</v>
      </c>
      <c r="S6195" s="2" t="s">
        <v>50</v>
      </c>
      <c r="T6195" s="2" t="s">
        <v>201</v>
      </c>
      <c r="U6195" s="2" t="s">
        <v>1634</v>
      </c>
      <c r="V6195" s="2" t="s">
        <v>59</v>
      </c>
      <c r="W6195" s="2">
        <v>36.700000000000003</v>
      </c>
      <c r="X6195" s="2">
        <v>0</v>
      </c>
      <c r="Y6195" s="2" t="s">
        <v>141</v>
      </c>
      <c r="Z6195" s="2" t="s">
        <v>41063</v>
      </c>
      <c r="AA6195" s="2">
        <v>3.1589202062622501</v>
      </c>
      <c r="AB6195" s="2">
        <v>4.1897180816230298E-2</v>
      </c>
      <c r="AC6195" s="2">
        <v>19636.127982427901</v>
      </c>
      <c r="AD6195" s="2">
        <v>20498.762213326001</v>
      </c>
      <c r="AE6195" s="2">
        <v>16589.860115829801</v>
      </c>
      <c r="AF6195" s="2">
        <v>16143.3043581684</v>
      </c>
      <c r="AG6195" s="2">
        <v>21131.504274733299</v>
      </c>
      <c r="AH6195" s="2">
        <v>19156.993484709899</v>
      </c>
      <c r="AI6195" s="2">
        <v>21238.357066881999</v>
      </c>
      <c r="AJ6195" s="2">
        <v>23556.748594244</v>
      </c>
      <c r="AK6195" s="2">
        <v>27427.110136970699</v>
      </c>
      <c r="AL6195" s="2">
        <v>18183.584262600001</v>
      </c>
      <c r="AM6195" s="2">
        <v>19625.768052637799</v>
      </c>
      <c r="AN6195" s="2">
        <v>15809.8229748338</v>
      </c>
      <c r="AO6195" s="2">
        <v>22989.236276723001</v>
      </c>
      <c r="AP6195" s="2">
        <v>18957.051576190799</v>
      </c>
    </row>
    <row r="6196" spans="1:42" ht="14.5" x14ac:dyDescent="0.35">
      <c r="A6196" s="2" t="s">
        <v>41064</v>
      </c>
      <c r="B6196" s="2">
        <v>853.19569435926701</v>
      </c>
      <c r="C6196" s="2">
        <v>4.3453166666666698</v>
      </c>
      <c r="D6196" s="2" t="s">
        <v>34</v>
      </c>
      <c r="E6196" s="2" t="s">
        <v>41065</v>
      </c>
      <c r="F6196" s="2">
        <v>61018</v>
      </c>
      <c r="G6196" s="3" t="str">
        <f>HYPERLINK("http://funmeta.oebiotech.com/network/61018", "http://funmeta.oebiotech.com/network/61018")</f>
        <v>http://funmeta.oebiotech.com/network/61018</v>
      </c>
      <c r="H6196" s="2" t="s">
        <v>41066</v>
      </c>
      <c r="I6196" s="2">
        <v>92358</v>
      </c>
      <c r="J6196" s="2"/>
      <c r="K6196" s="2"/>
      <c r="L6196" s="2"/>
      <c r="M6196" s="2"/>
      <c r="N6196" s="2"/>
      <c r="O6196" s="2">
        <v>131752194</v>
      </c>
      <c r="P6196" s="2" t="s">
        <v>41067</v>
      </c>
      <c r="Q6196" s="2" t="s">
        <v>41068</v>
      </c>
      <c r="R6196" s="2" t="s">
        <v>41069</v>
      </c>
      <c r="S6196" s="2" t="s">
        <v>115</v>
      </c>
      <c r="T6196" s="2" t="s">
        <v>139</v>
      </c>
      <c r="U6196" s="2" t="s">
        <v>140</v>
      </c>
      <c r="V6196" s="2" t="s">
        <v>59</v>
      </c>
      <c r="W6196" s="2">
        <v>38.1</v>
      </c>
      <c r="X6196" s="2">
        <v>0</v>
      </c>
      <c r="Y6196" s="2" t="s">
        <v>340</v>
      </c>
      <c r="Z6196" s="2" t="s">
        <v>41070</v>
      </c>
      <c r="AA6196" s="2">
        <v>0.62286997997908999</v>
      </c>
      <c r="AB6196" s="2">
        <v>4.1824513983865601E-2</v>
      </c>
      <c r="AC6196" s="2">
        <v>1118.28867454686</v>
      </c>
      <c r="AD6196" s="2">
        <v>631.24049490016398</v>
      </c>
      <c r="AE6196" s="2">
        <v>1255.8290893015201</v>
      </c>
      <c r="AF6196" s="2">
        <v>813.002925299852</v>
      </c>
      <c r="AG6196" s="2">
        <v>2.7106294003980101E-5</v>
      </c>
      <c r="AH6196" s="2">
        <v>3761.7740412912599</v>
      </c>
      <c r="AI6196" s="2">
        <v>879.12593717592495</v>
      </c>
      <c r="AJ6196" s="2">
        <v>2.7106294003980101E-5</v>
      </c>
      <c r="AK6196" s="2">
        <v>2.7106294003980101E-5</v>
      </c>
      <c r="AL6196" s="2">
        <v>858.81580229845804</v>
      </c>
      <c r="AM6196" s="2">
        <v>1615.59404413485</v>
      </c>
      <c r="AN6196" s="2">
        <v>1006.70538660881</v>
      </c>
      <c r="AO6196" s="2">
        <v>2.7106294003980101E-5</v>
      </c>
      <c r="AP6196" s="2">
        <v>306.32768214627703</v>
      </c>
    </row>
    <row r="6197" spans="1:42" ht="14.5" x14ac:dyDescent="0.35">
      <c r="A6197" s="2" t="s">
        <v>41071</v>
      </c>
      <c r="B6197" s="2">
        <v>324.16091316445301</v>
      </c>
      <c r="C6197" s="2">
        <v>4.2938999999999998</v>
      </c>
      <c r="D6197" s="2" t="s">
        <v>34</v>
      </c>
      <c r="E6197" s="2" t="s">
        <v>41072</v>
      </c>
      <c r="F6197" s="2">
        <v>53006</v>
      </c>
      <c r="G6197" s="3" t="str">
        <f>HYPERLINK("http://funmeta.oebiotech.com/network/53006", "http://funmeta.oebiotech.com/network/53006")</f>
        <v>http://funmeta.oebiotech.com/network/53006</v>
      </c>
      <c r="H6197" s="2" t="s">
        <v>41073</v>
      </c>
      <c r="I6197" s="2">
        <v>1425</v>
      </c>
      <c r="J6197" s="2"/>
      <c r="K6197" s="2">
        <v>7465</v>
      </c>
      <c r="L6197" s="2" t="s">
        <v>41074</v>
      </c>
      <c r="M6197" s="2"/>
      <c r="N6197" s="2"/>
      <c r="O6197" s="2">
        <v>5360515</v>
      </c>
      <c r="P6197" s="2" t="s">
        <v>41075</v>
      </c>
      <c r="Q6197" s="2" t="s">
        <v>41076</v>
      </c>
      <c r="R6197" s="2" t="s">
        <v>41077</v>
      </c>
      <c r="S6197" s="2" t="s">
        <v>148</v>
      </c>
      <c r="T6197" s="2" t="s">
        <v>11004</v>
      </c>
      <c r="U6197" s="2" t="s">
        <v>41</v>
      </c>
      <c r="V6197" s="2" t="s">
        <v>59</v>
      </c>
      <c r="W6197" s="2">
        <v>38.200000000000003</v>
      </c>
      <c r="X6197" s="2">
        <v>0</v>
      </c>
      <c r="Y6197" s="2" t="s">
        <v>141</v>
      </c>
      <c r="Z6197" s="2" t="s">
        <v>41078</v>
      </c>
      <c r="AA6197" s="2">
        <v>4.3767790769772104</v>
      </c>
      <c r="AB6197" s="2">
        <v>4.1784246362169403E-2</v>
      </c>
      <c r="AC6197" s="2">
        <v>2287.2906809979299</v>
      </c>
      <c r="AD6197" s="2">
        <v>1936.11122926488</v>
      </c>
      <c r="AE6197" s="2">
        <v>1783.23181655793</v>
      </c>
      <c r="AF6197" s="2">
        <v>2732.2402638103899</v>
      </c>
      <c r="AG6197" s="2">
        <v>2947.6899893437999</v>
      </c>
      <c r="AH6197" s="2">
        <v>1976.1225868784099</v>
      </c>
      <c r="AI6197" s="2">
        <v>1405.9860280466301</v>
      </c>
      <c r="AJ6197" s="2">
        <v>2878.4734013504099</v>
      </c>
      <c r="AK6197" s="2">
        <v>1306.0142439378999</v>
      </c>
      <c r="AL6197" s="2">
        <v>2286.0935149901402</v>
      </c>
      <c r="AM6197" s="2">
        <v>1508.4411644300601</v>
      </c>
      <c r="AN6197" s="2">
        <v>2568.8922654164498</v>
      </c>
      <c r="AO6197" s="2">
        <v>1696.62646952405</v>
      </c>
      <c r="AP6197" s="2">
        <v>2250.59971729068</v>
      </c>
    </row>
    <row r="6198" spans="1:42" ht="14.5" x14ac:dyDescent="0.35">
      <c r="A6198" s="2" t="s">
        <v>41079</v>
      </c>
      <c r="B6198" s="2">
        <v>432.18494860409999</v>
      </c>
      <c r="C6198" s="2">
        <v>3.6928666666666699</v>
      </c>
      <c r="D6198" s="2" t="s">
        <v>70</v>
      </c>
      <c r="E6198" s="2" t="s">
        <v>41080</v>
      </c>
      <c r="F6198" s="2">
        <v>203642</v>
      </c>
      <c r="G6198" s="3" t="str">
        <f>HYPERLINK("http://funmeta.oebiotech.com/network/203642", "http://funmeta.oebiotech.com/network/203642")</f>
        <v>http://funmeta.oebiotech.com/network/203642</v>
      </c>
      <c r="H6198" s="2" t="s">
        <v>41081</v>
      </c>
      <c r="I6198" s="2"/>
      <c r="J6198" s="2"/>
      <c r="K6198" s="2"/>
      <c r="L6198" s="2"/>
      <c r="M6198" s="2"/>
      <c r="N6198" s="2"/>
      <c r="O6198" s="2">
        <v>4649132</v>
      </c>
      <c r="P6198" s="2"/>
      <c r="Q6198" s="2" t="s">
        <v>41082</v>
      </c>
      <c r="R6198" s="2" t="s">
        <v>41083</v>
      </c>
      <c r="S6198" s="2" t="s">
        <v>89</v>
      </c>
      <c r="T6198" s="2" t="s">
        <v>90</v>
      </c>
      <c r="U6198" s="2" t="s">
        <v>99</v>
      </c>
      <c r="V6198" s="2" t="s">
        <v>59</v>
      </c>
      <c r="W6198" s="2">
        <v>36.200000000000003</v>
      </c>
      <c r="X6198" s="2">
        <v>0</v>
      </c>
      <c r="Y6198" s="2" t="s">
        <v>118</v>
      </c>
      <c r="Z6198" s="2" t="s">
        <v>41084</v>
      </c>
      <c r="AA6198" s="2">
        <v>0.26357850628717999</v>
      </c>
      <c r="AB6198" s="2">
        <v>4.1754684244229297E-2</v>
      </c>
      <c r="AC6198" s="2">
        <v>1642.5019656266199</v>
      </c>
      <c r="AD6198" s="2">
        <v>1447.9561831681599</v>
      </c>
      <c r="AE6198" s="2">
        <v>1497.1876670596801</v>
      </c>
      <c r="AF6198" s="2">
        <v>1472.6388383963899</v>
      </c>
      <c r="AG6198" s="2">
        <v>1706.0399662227401</v>
      </c>
      <c r="AH6198" s="2">
        <v>1568.6851847990099</v>
      </c>
      <c r="AI6198" s="2">
        <v>1715.9596104918801</v>
      </c>
      <c r="AJ6198" s="2">
        <v>1894.5005267900401</v>
      </c>
      <c r="AK6198" s="2">
        <v>1503.2358956988501</v>
      </c>
      <c r="AL6198" s="2">
        <v>1407.6097266897</v>
      </c>
      <c r="AM6198" s="2">
        <v>1547.69017715782</v>
      </c>
      <c r="AN6198" s="2">
        <v>1593.3310570672299</v>
      </c>
      <c r="AO6198" s="2">
        <v>1250.4902249547999</v>
      </c>
      <c r="AP6198" s="2">
        <v>1385.3800174405601</v>
      </c>
    </row>
    <row r="6199" spans="1:42" ht="14.5" x14ac:dyDescent="0.35">
      <c r="A6199" s="2" t="s">
        <v>41085</v>
      </c>
      <c r="B6199" s="2">
        <v>509.04315316911499</v>
      </c>
      <c r="C6199" s="2">
        <v>9.1865500000000004</v>
      </c>
      <c r="D6199" s="2" t="s">
        <v>70</v>
      </c>
      <c r="E6199" s="2" t="s">
        <v>41086</v>
      </c>
      <c r="F6199" s="2">
        <v>207675</v>
      </c>
      <c r="G6199" s="3" t="str">
        <f>HYPERLINK("http://funmeta.oebiotech.com/network/207675", "http://funmeta.oebiotech.com/network/207675")</f>
        <v>http://funmeta.oebiotech.com/network/207675</v>
      </c>
      <c r="H6199" s="2" t="s">
        <v>41087</v>
      </c>
      <c r="I6199" s="2"/>
      <c r="J6199" s="2"/>
      <c r="K6199" s="2">
        <v>91576</v>
      </c>
      <c r="L6199" s="2"/>
      <c r="M6199" s="2"/>
      <c r="N6199" s="2"/>
      <c r="O6199" s="2">
        <v>3668</v>
      </c>
      <c r="P6199" s="2"/>
      <c r="Q6199" s="2" t="s">
        <v>41088</v>
      </c>
      <c r="R6199" s="2" t="s">
        <v>41089</v>
      </c>
      <c r="S6199" s="2" t="s">
        <v>1444</v>
      </c>
      <c r="T6199" s="2" t="s">
        <v>3595</v>
      </c>
      <c r="U6199" s="2" t="s">
        <v>41</v>
      </c>
      <c r="V6199" s="2" t="s">
        <v>59</v>
      </c>
      <c r="W6199" s="2">
        <v>36.799999999999997</v>
      </c>
      <c r="X6199" s="2">
        <v>0</v>
      </c>
      <c r="Y6199" s="2" t="s">
        <v>118</v>
      </c>
      <c r="Z6199" s="2" t="s">
        <v>41090</v>
      </c>
      <c r="AA6199" s="2">
        <v>-1.6106523672719399</v>
      </c>
      <c r="AB6199" s="2">
        <v>4.1741538480084599E-2</v>
      </c>
      <c r="AC6199" s="2">
        <v>2268.9150818602402</v>
      </c>
      <c r="AD6199" s="2">
        <v>2546.8080605821601</v>
      </c>
      <c r="AE6199" s="2">
        <v>2282.8546084629902</v>
      </c>
      <c r="AF6199" s="2">
        <v>2598.5506244122798</v>
      </c>
      <c r="AG6199" s="2">
        <v>2395.8839196232998</v>
      </c>
      <c r="AH6199" s="2">
        <v>2087.65917983485</v>
      </c>
      <c r="AI6199" s="2">
        <v>1970.54900313399</v>
      </c>
      <c r="AJ6199" s="2">
        <v>2277.9931556940601</v>
      </c>
      <c r="AK6199" s="2">
        <v>2195.3080330385101</v>
      </c>
      <c r="AL6199" s="2">
        <v>2335.17921847038</v>
      </c>
      <c r="AM6199" s="2">
        <v>2994.59752167633</v>
      </c>
      <c r="AN6199" s="2">
        <v>2981.2449735166001</v>
      </c>
      <c r="AO6199" s="2">
        <v>2762.5768556520902</v>
      </c>
      <c r="AP6199" s="2">
        <v>2011.9417611390299</v>
      </c>
    </row>
    <row r="6200" spans="1:42" ht="14.5" x14ac:dyDescent="0.35">
      <c r="A6200" s="2" t="s">
        <v>41091</v>
      </c>
      <c r="B6200" s="2">
        <v>664.11331607179</v>
      </c>
      <c r="C6200" s="2">
        <v>4.6857333333333298</v>
      </c>
      <c r="D6200" s="2" t="s">
        <v>70</v>
      </c>
      <c r="E6200" s="2" t="s">
        <v>41092</v>
      </c>
      <c r="F6200" s="2">
        <v>47608</v>
      </c>
      <c r="G6200" s="3" t="str">
        <f>HYPERLINK("http://funmeta.oebiotech.com/network/47608", "http://funmeta.oebiotech.com/network/47608")</f>
        <v>http://funmeta.oebiotech.com/network/47608</v>
      </c>
      <c r="H6200" s="2" t="s">
        <v>41093</v>
      </c>
      <c r="I6200" s="2">
        <v>3687</v>
      </c>
      <c r="J6200" s="2"/>
      <c r="K6200" s="2">
        <v>16908</v>
      </c>
      <c r="L6200" s="2" t="s">
        <v>41094</v>
      </c>
      <c r="M6200" s="2" t="s">
        <v>41095</v>
      </c>
      <c r="N6200" s="2" t="s">
        <v>41096</v>
      </c>
      <c r="O6200" s="2">
        <v>439153</v>
      </c>
      <c r="P6200" s="2" t="s">
        <v>41097</v>
      </c>
      <c r="Q6200" s="2" t="s">
        <v>41098</v>
      </c>
      <c r="R6200" s="2" t="s">
        <v>41099</v>
      </c>
      <c r="S6200" s="2" t="s">
        <v>1444</v>
      </c>
      <c r="T6200" s="2" t="s">
        <v>8613</v>
      </c>
      <c r="U6200" s="2" t="s">
        <v>41</v>
      </c>
      <c r="V6200" s="2" t="s">
        <v>59</v>
      </c>
      <c r="W6200" s="2">
        <v>37.1</v>
      </c>
      <c r="X6200" s="2">
        <v>0</v>
      </c>
      <c r="Y6200" s="2" t="s">
        <v>118</v>
      </c>
      <c r="Z6200" s="2" t="s">
        <v>41100</v>
      </c>
      <c r="AA6200" s="2">
        <v>-6.2836235491317103</v>
      </c>
      <c r="AB6200" s="2">
        <v>4.1656619031271901E-2</v>
      </c>
      <c r="AC6200" s="2">
        <v>6587.0104374047296</v>
      </c>
      <c r="AD6200" s="2">
        <v>6084.7573129025805</v>
      </c>
      <c r="AE6200" s="2">
        <v>6260.8121647518401</v>
      </c>
      <c r="AF6200" s="2">
        <v>5229.8317146510799</v>
      </c>
      <c r="AG6200" s="2">
        <v>6988.6670062575004</v>
      </c>
      <c r="AH6200" s="2">
        <v>5500.4933348873901</v>
      </c>
      <c r="AI6200" s="2">
        <v>7732.5176470705301</v>
      </c>
      <c r="AJ6200" s="2">
        <v>7809.7407568100298</v>
      </c>
      <c r="AK6200" s="2">
        <v>5927.1259225066196</v>
      </c>
      <c r="AL6200" s="2">
        <v>5728.4404695124003</v>
      </c>
      <c r="AM6200" s="2">
        <v>7274.5787181625801</v>
      </c>
      <c r="AN6200" s="2">
        <v>5455.1860505129898</v>
      </c>
      <c r="AO6200" s="2">
        <v>7583.6873123171399</v>
      </c>
      <c r="AP6200" s="2">
        <v>4539.5254044037802</v>
      </c>
    </row>
    <row r="6201" spans="1:42" ht="14.5" x14ac:dyDescent="0.35">
      <c r="A6201" s="2" t="s">
        <v>41101</v>
      </c>
      <c r="B6201" s="2">
        <v>266.11923101585501</v>
      </c>
      <c r="C6201" s="2">
        <v>3.54918333333333</v>
      </c>
      <c r="D6201" s="2" t="s">
        <v>34</v>
      </c>
      <c r="E6201" s="2" t="s">
        <v>41102</v>
      </c>
      <c r="F6201" s="2">
        <v>46948</v>
      </c>
      <c r="G6201" s="3" t="str">
        <f>HYPERLINK("http://funmeta.oebiotech.com/network/46948", "http://funmeta.oebiotech.com/network/46948")</f>
        <v>http://funmeta.oebiotech.com/network/46948</v>
      </c>
      <c r="H6201" s="2" t="s">
        <v>41103</v>
      </c>
      <c r="I6201" s="2">
        <v>229</v>
      </c>
      <c r="J6201" s="2"/>
      <c r="K6201" s="2">
        <v>18385</v>
      </c>
      <c r="L6201" s="2" t="s">
        <v>41104</v>
      </c>
      <c r="M6201" s="2" t="s">
        <v>41105</v>
      </c>
      <c r="N6201" s="2" t="s">
        <v>41106</v>
      </c>
      <c r="O6201" s="2">
        <v>1130</v>
      </c>
      <c r="P6201" s="2" t="s">
        <v>41107</v>
      </c>
      <c r="Q6201" s="2" t="s">
        <v>41108</v>
      </c>
      <c r="R6201" s="2" t="s">
        <v>41109</v>
      </c>
      <c r="S6201" s="2" t="s">
        <v>491</v>
      </c>
      <c r="T6201" s="2" t="s">
        <v>4517</v>
      </c>
      <c r="U6201" s="2" t="s">
        <v>4518</v>
      </c>
      <c r="V6201" s="2" t="s">
        <v>59</v>
      </c>
      <c r="W6201" s="2">
        <v>37.9</v>
      </c>
      <c r="X6201" s="2">
        <v>0</v>
      </c>
      <c r="Y6201" s="2" t="s">
        <v>394</v>
      </c>
      <c r="Z6201" s="2" t="s">
        <v>41110</v>
      </c>
      <c r="AA6201" s="2">
        <v>-1.3300027396018701</v>
      </c>
      <c r="AB6201" s="2">
        <v>4.1513876658403698E-2</v>
      </c>
      <c r="AC6201" s="2">
        <v>2323.4794255583101</v>
      </c>
      <c r="AD6201" s="2">
        <v>2103.88395378937</v>
      </c>
      <c r="AE6201" s="2">
        <v>2297.5861425469802</v>
      </c>
      <c r="AF6201" s="2">
        <v>2541.6961676074998</v>
      </c>
      <c r="AG6201" s="2">
        <v>2151.8939327389498</v>
      </c>
      <c r="AH6201" s="2">
        <v>2334.1678402459902</v>
      </c>
      <c r="AI6201" s="2">
        <v>2020.15584607088</v>
      </c>
      <c r="AJ6201" s="2">
        <v>2595.3766241395501</v>
      </c>
      <c r="AK6201" s="2">
        <v>2120.7016249153398</v>
      </c>
      <c r="AL6201" s="2">
        <v>2301.60564846437</v>
      </c>
      <c r="AM6201" s="2">
        <v>2020.75963373748</v>
      </c>
      <c r="AN6201" s="2">
        <v>1926.0288896724201</v>
      </c>
      <c r="AO6201" s="2">
        <v>1893.2987924305401</v>
      </c>
      <c r="AP6201" s="2">
        <v>2360.9091335160501</v>
      </c>
    </row>
    <row r="6202" spans="1:42" ht="14.5" x14ac:dyDescent="0.35">
      <c r="A6202" s="2" t="s">
        <v>41111</v>
      </c>
      <c r="B6202" s="2">
        <v>515.11713179463402</v>
      </c>
      <c r="C6202" s="2">
        <v>4.6857333333333298</v>
      </c>
      <c r="D6202" s="2" t="s">
        <v>70</v>
      </c>
      <c r="E6202" s="2" t="s">
        <v>41112</v>
      </c>
      <c r="F6202" s="2">
        <v>201109</v>
      </c>
      <c r="G6202" s="3" t="str">
        <f>HYPERLINK("http://funmeta.oebiotech.com/network/201109", "http://funmeta.oebiotech.com/network/201109")</f>
        <v>http://funmeta.oebiotech.com/network/201109</v>
      </c>
      <c r="H6202" s="2" t="s">
        <v>41113</v>
      </c>
      <c r="I6202" s="2"/>
      <c r="J6202" s="2"/>
      <c r="K6202" s="2"/>
      <c r="L6202" s="2"/>
      <c r="M6202" s="2"/>
      <c r="N6202" s="2"/>
      <c r="O6202" s="2"/>
      <c r="P6202" s="2"/>
      <c r="Q6202" s="2" t="s">
        <v>41114</v>
      </c>
      <c r="R6202" s="2" t="s">
        <v>41115</v>
      </c>
      <c r="S6202" s="2" t="s">
        <v>491</v>
      </c>
      <c r="T6202" s="2" t="s">
        <v>20731</v>
      </c>
      <c r="U6202" s="2" t="s">
        <v>41</v>
      </c>
      <c r="V6202" s="2" t="s">
        <v>59</v>
      </c>
      <c r="W6202" s="2">
        <v>38.5</v>
      </c>
      <c r="X6202" s="2">
        <v>0</v>
      </c>
      <c r="Y6202" s="2" t="s">
        <v>560</v>
      </c>
      <c r="Z6202" s="2" t="s">
        <v>41116</v>
      </c>
      <c r="AA6202" s="2">
        <v>-1.9122060557613501</v>
      </c>
      <c r="AB6202" s="2">
        <v>4.14879611338905E-2</v>
      </c>
      <c r="AC6202" s="2">
        <v>8999.3253106422508</v>
      </c>
      <c r="AD6202" s="2">
        <v>8417.9094693731095</v>
      </c>
      <c r="AE6202" s="2">
        <v>8108.1350112828204</v>
      </c>
      <c r="AF6202" s="2">
        <v>9434.0161883156798</v>
      </c>
      <c r="AG6202" s="2">
        <v>9202.4079370458403</v>
      </c>
      <c r="AH6202" s="2">
        <v>9474.0265959249991</v>
      </c>
      <c r="AI6202" s="2">
        <v>10490.698504288601</v>
      </c>
      <c r="AJ6202" s="2">
        <v>7286.6676269955897</v>
      </c>
      <c r="AK6202" s="2">
        <v>10262.7216718005</v>
      </c>
      <c r="AL6202" s="2">
        <v>6598.8247106033105</v>
      </c>
      <c r="AM6202" s="2">
        <v>11016.718257954501</v>
      </c>
      <c r="AN6202" s="2">
        <v>6437.2154198451199</v>
      </c>
      <c r="AO6202" s="2">
        <v>7940.7914181432297</v>
      </c>
      <c r="AP6202" s="2">
        <v>8251.1853378920205</v>
      </c>
    </row>
    <row r="6203" spans="1:42" ht="14.5" x14ac:dyDescent="0.35">
      <c r="A6203" s="2" t="s">
        <v>41117</v>
      </c>
      <c r="B6203" s="2">
        <v>152.99487883279201</v>
      </c>
      <c r="C6203" s="2">
        <v>1.2019166666666701</v>
      </c>
      <c r="D6203" s="2" t="s">
        <v>34</v>
      </c>
      <c r="E6203" s="2" t="s">
        <v>41118</v>
      </c>
      <c r="F6203" s="2">
        <v>56324</v>
      </c>
      <c r="G6203" s="3" t="str">
        <f>HYPERLINK("http://funmeta.oebiotech.com/network/56324", "http://funmeta.oebiotech.com/network/56324")</f>
        <v>http://funmeta.oebiotech.com/network/56324</v>
      </c>
      <c r="H6203" s="2" t="s">
        <v>41119</v>
      </c>
      <c r="I6203" s="2">
        <v>87978</v>
      </c>
      <c r="J6203" s="2"/>
      <c r="K6203" s="2">
        <v>74456</v>
      </c>
      <c r="L6203" s="2"/>
      <c r="M6203" s="2"/>
      <c r="N6203" s="2"/>
      <c r="O6203" s="2">
        <v>4564493</v>
      </c>
      <c r="P6203" s="2" t="s">
        <v>41120</v>
      </c>
      <c r="Q6203" s="2" t="s">
        <v>41121</v>
      </c>
      <c r="R6203" s="2" t="s">
        <v>41122</v>
      </c>
      <c r="S6203" s="2" t="s">
        <v>491</v>
      </c>
      <c r="T6203" s="2" t="s">
        <v>2321</v>
      </c>
      <c r="U6203" s="2" t="s">
        <v>2322</v>
      </c>
      <c r="V6203" s="2" t="s">
        <v>59</v>
      </c>
      <c r="W6203" s="2">
        <v>39.799999999999997</v>
      </c>
      <c r="X6203" s="2">
        <v>0</v>
      </c>
      <c r="Y6203" s="2" t="s">
        <v>340</v>
      </c>
      <c r="Z6203" s="2" t="s">
        <v>41123</v>
      </c>
      <c r="AA6203" s="2">
        <v>0.234160267721057</v>
      </c>
      <c r="AB6203" s="2">
        <v>4.1483183189371699E-2</v>
      </c>
      <c r="AC6203" s="2">
        <v>5528.0056301490504</v>
      </c>
      <c r="AD6203" s="2">
        <v>5838.4690921393703</v>
      </c>
      <c r="AE6203" s="2">
        <v>5313.2498565833303</v>
      </c>
      <c r="AF6203" s="2">
        <v>6115.6491623797201</v>
      </c>
      <c r="AG6203" s="2">
        <v>5723.0904247222597</v>
      </c>
      <c r="AH6203" s="2">
        <v>5507.3772060110996</v>
      </c>
      <c r="AI6203" s="2">
        <v>5264.5763914886902</v>
      </c>
      <c r="AJ6203" s="2">
        <v>5244.0907397092196</v>
      </c>
      <c r="AK6203" s="2">
        <v>6253.3439711331002</v>
      </c>
      <c r="AL6203" s="2">
        <v>6095.5287720210399</v>
      </c>
      <c r="AM6203" s="2">
        <v>5408.07118680644</v>
      </c>
      <c r="AN6203" s="2">
        <v>5851.06689299133</v>
      </c>
      <c r="AO6203" s="2">
        <v>6329.6035034039696</v>
      </c>
      <c r="AP6203" s="2">
        <v>5093.2002264803696</v>
      </c>
    </row>
    <row r="6204" spans="1:42" ht="14.5" x14ac:dyDescent="0.35">
      <c r="A6204" s="2" t="s">
        <v>41124</v>
      </c>
      <c r="B6204" s="2">
        <v>208.03914743223601</v>
      </c>
      <c r="C6204" s="2">
        <v>8.2691666666666706</v>
      </c>
      <c r="D6204" s="2" t="s">
        <v>34</v>
      </c>
      <c r="E6204" s="2" t="s">
        <v>41125</v>
      </c>
      <c r="F6204" s="2">
        <v>82941</v>
      </c>
      <c r="G6204" s="3" t="str">
        <f>HYPERLINK("http://funmeta.oebiotech.com/network/82941", "http://funmeta.oebiotech.com/network/82941")</f>
        <v>http://funmeta.oebiotech.com/network/82941</v>
      </c>
      <c r="H6204" s="2" t="s">
        <v>41126</v>
      </c>
      <c r="I6204" s="2"/>
      <c r="J6204" s="2"/>
      <c r="K6204" s="2"/>
      <c r="L6204" s="2"/>
      <c r="M6204" s="2"/>
      <c r="N6204" s="2"/>
      <c r="O6204" s="2">
        <v>92043695</v>
      </c>
      <c r="P6204" s="2"/>
      <c r="Q6204" s="2" t="s">
        <v>41127</v>
      </c>
      <c r="R6204" s="2" t="s">
        <v>41128</v>
      </c>
      <c r="S6204" s="2" t="s">
        <v>89</v>
      </c>
      <c r="T6204" s="2" t="s">
        <v>1773</v>
      </c>
      <c r="U6204" s="2" t="s">
        <v>21134</v>
      </c>
      <c r="V6204" s="2" t="s">
        <v>59</v>
      </c>
      <c r="W6204" s="2">
        <v>38.1</v>
      </c>
      <c r="X6204" s="2">
        <v>0</v>
      </c>
      <c r="Y6204" s="2" t="s">
        <v>43</v>
      </c>
      <c r="Z6204" s="2" t="s">
        <v>41129</v>
      </c>
      <c r="AA6204" s="2">
        <v>2.60110220582302</v>
      </c>
      <c r="AB6204" s="2">
        <v>4.13976358270947E-2</v>
      </c>
      <c r="AC6204" s="2">
        <v>5251.1987509046403</v>
      </c>
      <c r="AD6204" s="2">
        <v>4969.3300955422101</v>
      </c>
      <c r="AE6204" s="2">
        <v>5353.38904315942</v>
      </c>
      <c r="AF6204" s="2">
        <v>5604.6841859924098</v>
      </c>
      <c r="AG6204" s="2">
        <v>5247.2366427901698</v>
      </c>
      <c r="AH6204" s="2">
        <v>5839.6011561712003</v>
      </c>
      <c r="AI6204" s="2">
        <v>4914.4274407331004</v>
      </c>
      <c r="AJ6204" s="2">
        <v>4547.8540365815697</v>
      </c>
      <c r="AK6204" s="2">
        <v>4949.7452034501803</v>
      </c>
      <c r="AL6204" s="2">
        <v>5196.81677074245</v>
      </c>
      <c r="AM6204" s="2">
        <v>4613.6403995483197</v>
      </c>
      <c r="AN6204" s="2">
        <v>4821.90878518309</v>
      </c>
      <c r="AO6204" s="2">
        <v>5175.2070077196604</v>
      </c>
      <c r="AP6204" s="2">
        <v>5058.6624066095601</v>
      </c>
    </row>
    <row r="6205" spans="1:42" ht="14.5" x14ac:dyDescent="0.35">
      <c r="A6205" s="2" t="s">
        <v>41130</v>
      </c>
      <c r="B6205" s="2">
        <v>411.30520844525</v>
      </c>
      <c r="C6205" s="2">
        <v>7.6008500000000003</v>
      </c>
      <c r="D6205" s="2" t="s">
        <v>70</v>
      </c>
      <c r="E6205" s="2" t="s">
        <v>41131</v>
      </c>
      <c r="F6205" s="2">
        <v>59498</v>
      </c>
      <c r="G6205" s="3" t="str">
        <f>HYPERLINK("http://funmeta.oebiotech.com/network/59498", "http://funmeta.oebiotech.com/network/59498")</f>
        <v>http://funmeta.oebiotech.com/network/59498</v>
      </c>
      <c r="H6205" s="2" t="s">
        <v>41132</v>
      </c>
      <c r="I6205" s="2"/>
      <c r="J6205" s="2"/>
      <c r="K6205" s="2"/>
      <c r="L6205" s="2"/>
      <c r="M6205" s="2"/>
      <c r="N6205" s="2"/>
      <c r="O6205" s="2">
        <v>131751825</v>
      </c>
      <c r="P6205" s="2" t="s">
        <v>41133</v>
      </c>
      <c r="Q6205" s="2" t="s">
        <v>41134</v>
      </c>
      <c r="R6205" s="2" t="s">
        <v>41135</v>
      </c>
      <c r="S6205" s="2" t="s">
        <v>50</v>
      </c>
      <c r="T6205" s="2" t="s">
        <v>201</v>
      </c>
      <c r="U6205" s="2" t="s">
        <v>210</v>
      </c>
      <c r="V6205" s="2" t="s">
        <v>59</v>
      </c>
      <c r="W6205" s="2">
        <v>36.4</v>
      </c>
      <c r="X6205" s="2">
        <v>0</v>
      </c>
      <c r="Y6205" s="2" t="s">
        <v>751</v>
      </c>
      <c r="Z6205" s="2" t="s">
        <v>41136</v>
      </c>
      <c r="AA6205" s="2">
        <v>-1.2000301429128899</v>
      </c>
      <c r="AB6205" s="2">
        <v>4.13789572866438E-2</v>
      </c>
      <c r="AC6205" s="2">
        <v>761.68880438532904</v>
      </c>
      <c r="AD6205" s="2">
        <v>934.63330273777296</v>
      </c>
      <c r="AE6205" s="2">
        <v>864.83183243522103</v>
      </c>
      <c r="AF6205" s="2">
        <v>702.18700277186201</v>
      </c>
      <c r="AG6205" s="2">
        <v>836.21218124159702</v>
      </c>
      <c r="AH6205" s="2">
        <v>773.62128272484597</v>
      </c>
      <c r="AI6205" s="2">
        <v>648.38080884010003</v>
      </c>
      <c r="AJ6205" s="2">
        <v>744.89971829834599</v>
      </c>
      <c r="AK6205" s="2">
        <v>877.42760184436099</v>
      </c>
      <c r="AL6205" s="2">
        <v>832.30176507274496</v>
      </c>
      <c r="AM6205" s="2">
        <v>844.48563634488505</v>
      </c>
      <c r="AN6205" s="2">
        <v>946.70475295731501</v>
      </c>
      <c r="AO6205" s="2">
        <v>1190.0069544335399</v>
      </c>
      <c r="AP6205" s="2">
        <v>916.87310577379401</v>
      </c>
    </row>
    <row r="6206" spans="1:42" ht="14.5" x14ac:dyDescent="0.35">
      <c r="A6206" s="2" t="s">
        <v>41137</v>
      </c>
      <c r="B6206" s="2">
        <v>285.11194637614801</v>
      </c>
      <c r="C6206" s="2">
        <v>4.63378333333333</v>
      </c>
      <c r="D6206" s="2" t="s">
        <v>34</v>
      </c>
      <c r="E6206" s="2" t="s">
        <v>41138</v>
      </c>
      <c r="F6206" s="2">
        <v>33737</v>
      </c>
      <c r="G6206" s="3" t="str">
        <f>HYPERLINK("http://funmeta.oebiotech.com/network/33737", "http://funmeta.oebiotech.com/network/33737")</f>
        <v>http://funmeta.oebiotech.com/network/33737</v>
      </c>
      <c r="H6206" s="2" t="s">
        <v>41139</v>
      </c>
      <c r="I6206" s="2">
        <v>43607</v>
      </c>
      <c r="J6206" s="2" t="s">
        <v>41140</v>
      </c>
      <c r="K6206" s="2">
        <v>65899</v>
      </c>
      <c r="L6206" s="2"/>
      <c r="M6206" s="2"/>
      <c r="N6206" s="2"/>
      <c r="O6206" s="2">
        <v>5356121</v>
      </c>
      <c r="P6206" s="2" t="s">
        <v>41141</v>
      </c>
      <c r="Q6206" s="2" t="s">
        <v>41142</v>
      </c>
      <c r="R6206" s="2" t="s">
        <v>41143</v>
      </c>
      <c r="S6206" s="2" t="s">
        <v>115</v>
      </c>
      <c r="T6206" s="2" t="s">
        <v>12600</v>
      </c>
      <c r="U6206" s="2" t="s">
        <v>12601</v>
      </c>
      <c r="V6206" s="2" t="s">
        <v>59</v>
      </c>
      <c r="W6206" s="2">
        <v>38.700000000000003</v>
      </c>
      <c r="X6206" s="2">
        <v>0</v>
      </c>
      <c r="Y6206" s="2" t="s">
        <v>394</v>
      </c>
      <c r="Z6206" s="2" t="s">
        <v>41144</v>
      </c>
      <c r="AA6206" s="2">
        <v>-0.66541351147143302</v>
      </c>
      <c r="AB6206" s="2">
        <v>4.1367790068882901E-2</v>
      </c>
      <c r="AC6206" s="2">
        <v>30440.526561851999</v>
      </c>
      <c r="AD6206" s="2">
        <v>29851.619039069599</v>
      </c>
      <c r="AE6206" s="2">
        <v>30291.532794194201</v>
      </c>
      <c r="AF6206" s="2">
        <v>32659.229175496599</v>
      </c>
      <c r="AG6206" s="2">
        <v>27907.153613455401</v>
      </c>
      <c r="AH6206" s="2">
        <v>30232.392690050099</v>
      </c>
      <c r="AI6206" s="2">
        <v>30216.710196445802</v>
      </c>
      <c r="AJ6206" s="2">
        <v>31336.14090147</v>
      </c>
      <c r="AK6206" s="2">
        <v>31859.965915526402</v>
      </c>
      <c r="AL6206" s="2">
        <v>31883.126877204199</v>
      </c>
      <c r="AM6206" s="2">
        <v>27758.627553151</v>
      </c>
      <c r="AN6206" s="2">
        <v>28879.369099086201</v>
      </c>
      <c r="AO6206" s="2">
        <v>27955.964592189299</v>
      </c>
      <c r="AP6206" s="2">
        <v>30772.660197260499</v>
      </c>
    </row>
    <row r="6207" spans="1:42" ht="14.5" x14ac:dyDescent="0.35">
      <c r="A6207" s="2" t="s">
        <v>41145</v>
      </c>
      <c r="B6207" s="2">
        <v>396.04323636478398</v>
      </c>
      <c r="C6207" s="2">
        <v>6.0108166666666696</v>
      </c>
      <c r="D6207" s="2" t="s">
        <v>70</v>
      </c>
      <c r="E6207" s="2" t="s">
        <v>41146</v>
      </c>
      <c r="F6207" s="2">
        <v>204653</v>
      </c>
      <c r="G6207" s="3" t="str">
        <f>HYPERLINK("http://funmeta.oebiotech.com/network/204653", "http://funmeta.oebiotech.com/network/204653")</f>
        <v>http://funmeta.oebiotech.com/network/204653</v>
      </c>
      <c r="H6207" s="2" t="s">
        <v>41147</v>
      </c>
      <c r="I6207" s="2"/>
      <c r="J6207" s="2"/>
      <c r="K6207" s="2"/>
      <c r="L6207" s="2"/>
      <c r="M6207" s="2"/>
      <c r="N6207" s="2"/>
      <c r="O6207" s="2">
        <v>53396029</v>
      </c>
      <c r="P6207" s="2"/>
      <c r="Q6207" s="2" t="s">
        <v>41148</v>
      </c>
      <c r="R6207" s="2" t="s">
        <v>41149</v>
      </c>
      <c r="S6207" s="2" t="s">
        <v>491</v>
      </c>
      <c r="T6207" s="2" t="s">
        <v>8419</v>
      </c>
      <c r="U6207" s="2" t="s">
        <v>8420</v>
      </c>
      <c r="V6207" s="2" t="s">
        <v>59</v>
      </c>
      <c r="W6207" s="2">
        <v>37.299999999999997</v>
      </c>
      <c r="X6207" s="2">
        <v>0</v>
      </c>
      <c r="Y6207" s="2" t="s">
        <v>118</v>
      </c>
      <c r="Z6207" s="2" t="s">
        <v>41150</v>
      </c>
      <c r="AA6207" s="2">
        <v>-2.3871113945402098</v>
      </c>
      <c r="AB6207" s="2">
        <v>4.13497490127131E-2</v>
      </c>
      <c r="AC6207" s="2">
        <v>372.63836146331602</v>
      </c>
      <c r="AD6207" s="2">
        <v>598.97651285690301</v>
      </c>
      <c r="AE6207" s="2">
        <v>172.00162375392699</v>
      </c>
      <c r="AF6207" s="2">
        <v>190.280982876731</v>
      </c>
      <c r="AG6207" s="2">
        <v>639.58299140634301</v>
      </c>
      <c r="AH6207" s="2">
        <v>610.77788212337805</v>
      </c>
      <c r="AI6207" s="2">
        <v>169.56588005369599</v>
      </c>
      <c r="AJ6207" s="2">
        <v>453.62080856582298</v>
      </c>
      <c r="AK6207" s="2">
        <v>295.86288854410498</v>
      </c>
      <c r="AL6207" s="2">
        <v>575.09550507583003</v>
      </c>
      <c r="AM6207" s="2">
        <v>587.15889277758197</v>
      </c>
      <c r="AN6207" s="2">
        <v>910.092478359663</v>
      </c>
      <c r="AO6207" s="2">
        <v>741.64520592624399</v>
      </c>
      <c r="AP6207" s="2">
        <v>484.004106457994</v>
      </c>
    </row>
    <row r="6208" spans="1:42" ht="14.5" x14ac:dyDescent="0.35">
      <c r="A6208" s="2" t="s">
        <v>41151</v>
      </c>
      <c r="B6208" s="2">
        <v>231.15896671047801</v>
      </c>
      <c r="C6208" s="2">
        <v>4.5315500000000002</v>
      </c>
      <c r="D6208" s="2" t="s">
        <v>34</v>
      </c>
      <c r="E6208" s="2" t="s">
        <v>41152</v>
      </c>
      <c r="F6208" s="2">
        <v>303090</v>
      </c>
      <c r="G6208" s="3" t="str">
        <f>HYPERLINK("http://funmeta.oebiotech.com/network/303090", "http://funmeta.oebiotech.com/network/303090")</f>
        <v>http://funmeta.oebiotech.com/network/303090</v>
      </c>
      <c r="H6208" s="2"/>
      <c r="I6208" s="2">
        <v>329047</v>
      </c>
      <c r="J6208" s="2"/>
      <c r="K6208" s="2"/>
      <c r="L6208" s="2"/>
      <c r="M6208" s="2"/>
      <c r="N6208" s="2"/>
      <c r="O6208" s="2">
        <v>70214</v>
      </c>
      <c r="P6208" s="2"/>
      <c r="Q6208" s="2" t="s">
        <v>41153</v>
      </c>
      <c r="R6208" s="2" t="s">
        <v>41154</v>
      </c>
      <c r="S6208" s="2" t="s">
        <v>50</v>
      </c>
      <c r="T6208" s="2" t="s">
        <v>229</v>
      </c>
      <c r="U6208" s="2" t="s">
        <v>1914</v>
      </c>
      <c r="V6208" s="2" t="s">
        <v>59</v>
      </c>
      <c r="W6208" s="2">
        <v>38.6</v>
      </c>
      <c r="X6208" s="2">
        <v>0</v>
      </c>
      <c r="Y6208" s="2" t="s">
        <v>266</v>
      </c>
      <c r="Z6208" s="2" t="s">
        <v>41155</v>
      </c>
      <c r="AA6208" s="2">
        <v>-0.51663857406135605</v>
      </c>
      <c r="AB6208" s="2">
        <v>4.1343514160843801E-2</v>
      </c>
      <c r="AC6208" s="2">
        <v>8333.1103047972192</v>
      </c>
      <c r="AD6208" s="2">
        <v>8725.8521662035691</v>
      </c>
      <c r="AE6208" s="2">
        <v>7195.3032606607503</v>
      </c>
      <c r="AF6208" s="2">
        <v>8742.8929375850203</v>
      </c>
      <c r="AG6208" s="2">
        <v>8488.8686340020504</v>
      </c>
      <c r="AH6208" s="2">
        <v>7638.2609781260699</v>
      </c>
      <c r="AI6208" s="2">
        <v>9698.4085432744905</v>
      </c>
      <c r="AJ6208" s="2">
        <v>8234.9274751349494</v>
      </c>
      <c r="AK6208" s="2">
        <v>9542.1361165573799</v>
      </c>
      <c r="AL6208" s="2">
        <v>8716.3622789208202</v>
      </c>
      <c r="AM6208" s="2">
        <v>8073.1049511565097</v>
      </c>
      <c r="AN6208" s="2">
        <v>9142.0345708362893</v>
      </c>
      <c r="AO6208" s="2">
        <v>8006.5297795198703</v>
      </c>
      <c r="AP6208" s="2">
        <v>8874.9453002305709</v>
      </c>
    </row>
    <row r="6209" spans="1:42" ht="14.5" x14ac:dyDescent="0.35">
      <c r="A6209" s="2" t="s">
        <v>41156</v>
      </c>
      <c r="B6209" s="2">
        <v>729.16697963724596</v>
      </c>
      <c r="C6209" s="2">
        <v>4.7218999999999998</v>
      </c>
      <c r="D6209" s="2" t="s">
        <v>70</v>
      </c>
      <c r="E6209" s="2" t="s">
        <v>41157</v>
      </c>
      <c r="F6209" s="2">
        <v>266959</v>
      </c>
      <c r="G6209" s="3" t="str">
        <f>HYPERLINK("http://funmeta.oebiotech.com/network/266959", "http://funmeta.oebiotech.com/network/266959")</f>
        <v>http://funmeta.oebiotech.com/network/266959</v>
      </c>
      <c r="H6209" s="2"/>
      <c r="I6209" s="2">
        <v>44393</v>
      </c>
      <c r="J6209" s="2"/>
      <c r="K6209" s="2"/>
      <c r="L6209" s="2"/>
      <c r="M6209" s="2"/>
      <c r="N6209" s="2"/>
      <c r="O6209" s="2">
        <v>6710773</v>
      </c>
      <c r="P6209" s="2"/>
      <c r="Q6209" s="2" t="s">
        <v>41158</v>
      </c>
      <c r="R6209" s="2" t="s">
        <v>41159</v>
      </c>
      <c r="S6209" s="2" t="s">
        <v>41</v>
      </c>
      <c r="T6209" s="2" t="s">
        <v>41</v>
      </c>
      <c r="U6209" s="2" t="s">
        <v>41</v>
      </c>
      <c r="V6209" s="2" t="s">
        <v>59</v>
      </c>
      <c r="W6209" s="2">
        <v>37.4</v>
      </c>
      <c r="X6209" s="2">
        <v>0</v>
      </c>
      <c r="Y6209" s="2" t="s">
        <v>408</v>
      </c>
      <c r="Z6209" s="2" t="s">
        <v>41160</v>
      </c>
      <c r="AA6209" s="2">
        <v>-0.37735112348445898</v>
      </c>
      <c r="AB6209" s="2">
        <v>4.1342956650840201E-2</v>
      </c>
      <c r="AC6209" s="2">
        <v>5435.66252671045</v>
      </c>
      <c r="AD6209" s="2">
        <v>5920.5738357558803</v>
      </c>
      <c r="AE6209" s="2">
        <v>5298.9329822723903</v>
      </c>
      <c r="AF6209" s="2">
        <v>6287.6569092149002</v>
      </c>
      <c r="AG6209" s="2">
        <v>4740.30668847991</v>
      </c>
      <c r="AH6209" s="2">
        <v>4566.2028896345701</v>
      </c>
      <c r="AI6209" s="2">
        <v>6071.47335155168</v>
      </c>
      <c r="AJ6209" s="2">
        <v>5649.4023391092496</v>
      </c>
      <c r="AK6209" s="2">
        <v>4121.1157825058499</v>
      </c>
      <c r="AL6209" s="2">
        <v>3979.2882945340498</v>
      </c>
      <c r="AM6209" s="2">
        <v>6716.5058646545604</v>
      </c>
      <c r="AN6209" s="2">
        <v>6858.23455420968</v>
      </c>
      <c r="AO6209" s="2">
        <v>6267.2818424748903</v>
      </c>
      <c r="AP6209" s="2">
        <v>7581.0166761562796</v>
      </c>
    </row>
    <row r="6210" spans="1:42" ht="14.5" x14ac:dyDescent="0.35">
      <c r="A6210" s="2" t="s">
        <v>41161</v>
      </c>
      <c r="B6210" s="2">
        <v>291.059769720769</v>
      </c>
      <c r="C6210" s="2">
        <v>4.6673166666666699</v>
      </c>
      <c r="D6210" s="2" t="s">
        <v>70</v>
      </c>
      <c r="E6210" s="2" t="s">
        <v>41162</v>
      </c>
      <c r="F6210" s="2">
        <v>82798</v>
      </c>
      <c r="G6210" s="3" t="str">
        <f>HYPERLINK("http://funmeta.oebiotech.com/network/82798", "http://funmeta.oebiotech.com/network/82798")</f>
        <v>http://funmeta.oebiotech.com/network/82798</v>
      </c>
      <c r="H6210" s="2" t="s">
        <v>41163</v>
      </c>
      <c r="I6210" s="2">
        <v>674</v>
      </c>
      <c r="J6210" s="2"/>
      <c r="K6210" s="2"/>
      <c r="L6210" s="2" t="s">
        <v>41164</v>
      </c>
      <c r="M6210" s="2"/>
      <c r="N6210" s="2"/>
      <c r="O6210" s="2">
        <v>91649</v>
      </c>
      <c r="P6210" s="2" t="s">
        <v>41165</v>
      </c>
      <c r="Q6210" s="2" t="s">
        <v>41166</v>
      </c>
      <c r="R6210" s="2" t="s">
        <v>41167</v>
      </c>
      <c r="S6210" s="2" t="s">
        <v>148</v>
      </c>
      <c r="T6210" s="2" t="s">
        <v>149</v>
      </c>
      <c r="U6210" s="2" t="s">
        <v>10041</v>
      </c>
      <c r="V6210" s="2" t="s">
        <v>59</v>
      </c>
      <c r="W6210" s="2">
        <v>38.799999999999997</v>
      </c>
      <c r="X6210" s="2">
        <v>0</v>
      </c>
      <c r="Y6210" s="2" t="s">
        <v>118</v>
      </c>
      <c r="Z6210" s="2" t="s">
        <v>41168</v>
      </c>
      <c r="AA6210" s="2">
        <v>-0.15526515105643701</v>
      </c>
      <c r="AB6210" s="2">
        <v>4.1302840136155303E-2</v>
      </c>
      <c r="AC6210" s="2">
        <v>897.06071688215297</v>
      </c>
      <c r="AD6210" s="2">
        <v>699.58256158494203</v>
      </c>
      <c r="AE6210" s="2">
        <v>699.64873754159805</v>
      </c>
      <c r="AF6210" s="2">
        <v>1201.9043791254201</v>
      </c>
      <c r="AG6210" s="2">
        <v>940.91445541219696</v>
      </c>
      <c r="AH6210" s="2">
        <v>904.31110177149503</v>
      </c>
      <c r="AI6210" s="2">
        <v>741.686803951554</v>
      </c>
      <c r="AJ6210" s="2">
        <v>893.89882349065397</v>
      </c>
      <c r="AK6210" s="2">
        <v>445.74525667572698</v>
      </c>
      <c r="AL6210" s="2">
        <v>747.73631820774494</v>
      </c>
      <c r="AM6210" s="2">
        <v>703.75530848551205</v>
      </c>
      <c r="AN6210" s="2">
        <v>673.64768777511904</v>
      </c>
      <c r="AO6210" s="2">
        <v>760.99669466458499</v>
      </c>
      <c r="AP6210" s="2">
        <v>865.614103700962</v>
      </c>
    </row>
    <row r="6211" spans="1:42" ht="14.5" x14ac:dyDescent="0.35">
      <c r="A6211" s="2" t="s">
        <v>41169</v>
      </c>
      <c r="B6211" s="2">
        <v>247.059763219703</v>
      </c>
      <c r="C6211" s="2">
        <v>4.1410833333333299</v>
      </c>
      <c r="D6211" s="2" t="s">
        <v>34</v>
      </c>
      <c r="E6211" s="2" t="s">
        <v>41170</v>
      </c>
      <c r="F6211" s="2">
        <v>280506</v>
      </c>
      <c r="G6211" s="3" t="str">
        <f>HYPERLINK("http://funmeta.oebiotech.com/network/280506", "http://funmeta.oebiotech.com/network/280506")</f>
        <v>http://funmeta.oebiotech.com/network/280506</v>
      </c>
      <c r="H6211" s="2"/>
      <c r="I6211" s="2">
        <v>84980</v>
      </c>
      <c r="J6211" s="2"/>
      <c r="K6211" s="2"/>
      <c r="L6211" s="2"/>
      <c r="M6211" s="2"/>
      <c r="N6211" s="2"/>
      <c r="O6211" s="2">
        <v>64115</v>
      </c>
      <c r="P6211" s="2" t="s">
        <v>41171</v>
      </c>
      <c r="Q6211" s="2" t="s">
        <v>41172</v>
      </c>
      <c r="R6211" s="2" t="s">
        <v>41173</v>
      </c>
      <c r="S6211" s="2" t="s">
        <v>491</v>
      </c>
      <c r="T6211" s="2" t="s">
        <v>7431</v>
      </c>
      <c r="U6211" s="2" t="s">
        <v>7432</v>
      </c>
      <c r="V6211" s="2" t="s">
        <v>59</v>
      </c>
      <c r="W6211" s="2">
        <v>38.4</v>
      </c>
      <c r="X6211" s="2">
        <v>0</v>
      </c>
      <c r="Y6211" s="2" t="s">
        <v>340</v>
      </c>
      <c r="Z6211" s="2" t="s">
        <v>41174</v>
      </c>
      <c r="AA6211" s="2">
        <v>2.7847554564885102</v>
      </c>
      <c r="AB6211" s="2">
        <v>4.1260500185907802E-2</v>
      </c>
      <c r="AC6211" s="2">
        <v>2591.7369980774401</v>
      </c>
      <c r="AD6211" s="2">
        <v>2861.6145791365202</v>
      </c>
      <c r="AE6211" s="2">
        <v>2655.62004784788</v>
      </c>
      <c r="AF6211" s="2">
        <v>1854.78824693655</v>
      </c>
      <c r="AG6211" s="2">
        <v>2763.9613172393201</v>
      </c>
      <c r="AH6211" s="2">
        <v>2460.7466725685599</v>
      </c>
      <c r="AI6211" s="2">
        <v>2987.01770553694</v>
      </c>
      <c r="AJ6211" s="2">
        <v>2828.2879983354001</v>
      </c>
      <c r="AK6211" s="2">
        <v>3024.27354592847</v>
      </c>
      <c r="AL6211" s="2">
        <v>2869.52539563252</v>
      </c>
      <c r="AM6211" s="2">
        <v>3113.60209132604</v>
      </c>
      <c r="AN6211" s="2">
        <v>2408.60190222452</v>
      </c>
      <c r="AO6211" s="2">
        <v>2891.51751116591</v>
      </c>
      <c r="AP6211" s="2">
        <v>2862.1670285416699</v>
      </c>
    </row>
    <row r="6212" spans="1:42" ht="14.5" x14ac:dyDescent="0.35">
      <c r="A6212" s="2" t="s">
        <v>41175</v>
      </c>
      <c r="B6212" s="2">
        <v>269.02765972186501</v>
      </c>
      <c r="C6212" s="2">
        <v>1.2414499999999999</v>
      </c>
      <c r="D6212" s="2" t="s">
        <v>70</v>
      </c>
      <c r="E6212" s="2" t="s">
        <v>41176</v>
      </c>
      <c r="F6212" s="2">
        <v>53809</v>
      </c>
      <c r="G6212" s="3" t="str">
        <f>HYPERLINK("http://funmeta.oebiotech.com/network/53809", "http://funmeta.oebiotech.com/network/53809")</f>
        <v>http://funmeta.oebiotech.com/network/53809</v>
      </c>
      <c r="H6212" s="2" t="s">
        <v>41177</v>
      </c>
      <c r="I6212" s="2"/>
      <c r="J6212" s="2"/>
      <c r="K6212" s="2"/>
      <c r="L6212" s="2"/>
      <c r="M6212" s="2"/>
      <c r="N6212" s="2"/>
      <c r="O6212" s="2">
        <v>15607039</v>
      </c>
      <c r="P6212" s="2"/>
      <c r="Q6212" s="2" t="s">
        <v>41178</v>
      </c>
      <c r="R6212" s="2" t="s">
        <v>41179</v>
      </c>
      <c r="S6212" s="2" t="s">
        <v>89</v>
      </c>
      <c r="T6212" s="2" t="s">
        <v>90</v>
      </c>
      <c r="U6212" s="2" t="s">
        <v>99</v>
      </c>
      <c r="V6212" s="2" t="s">
        <v>59</v>
      </c>
      <c r="W6212" s="2">
        <v>37.4</v>
      </c>
      <c r="X6212" s="2">
        <v>0</v>
      </c>
      <c r="Y6212" s="2" t="s">
        <v>408</v>
      </c>
      <c r="Z6212" s="2" t="s">
        <v>41180</v>
      </c>
      <c r="AA6212" s="2">
        <v>2.3327287911962902</v>
      </c>
      <c r="AB6212" s="2">
        <v>4.1190898312635497E-2</v>
      </c>
      <c r="AC6212" s="2">
        <v>7139.4728551053504</v>
      </c>
      <c r="AD6212" s="2">
        <v>6785.5987754773096</v>
      </c>
      <c r="AE6212" s="2">
        <v>7131.9032792001999</v>
      </c>
      <c r="AF6212" s="2">
        <v>7247.8895750428601</v>
      </c>
      <c r="AG6212" s="2">
        <v>7488.6270677930997</v>
      </c>
      <c r="AH6212" s="2">
        <v>6768.3394121792398</v>
      </c>
      <c r="AI6212" s="2">
        <v>7140.9335036050797</v>
      </c>
      <c r="AJ6212" s="2">
        <v>7059.1442928116103</v>
      </c>
      <c r="AK6212" s="2">
        <v>7165.25172092722</v>
      </c>
      <c r="AL6212" s="2">
        <v>7012.1440323468696</v>
      </c>
      <c r="AM6212" s="2">
        <v>5361.9320425404503</v>
      </c>
      <c r="AN6212" s="2">
        <v>7565.2185156142004</v>
      </c>
      <c r="AO6212" s="2">
        <v>6353.2214921752202</v>
      </c>
      <c r="AP6212" s="2">
        <v>7255.8248492598896</v>
      </c>
    </row>
    <row r="6213" spans="1:42" ht="14.5" x14ac:dyDescent="0.35">
      <c r="A6213" s="2" t="s">
        <v>41181</v>
      </c>
      <c r="B6213" s="2">
        <v>281.11475601683202</v>
      </c>
      <c r="C6213" s="2">
        <v>3.5301</v>
      </c>
      <c r="D6213" s="2" t="s">
        <v>34</v>
      </c>
      <c r="E6213" s="2" t="s">
        <v>41182</v>
      </c>
      <c r="F6213" s="2">
        <v>206828</v>
      </c>
      <c r="G6213" s="3" t="str">
        <f>HYPERLINK("http://funmeta.oebiotech.com/network/206828", "http://funmeta.oebiotech.com/network/206828")</f>
        <v>http://funmeta.oebiotech.com/network/206828</v>
      </c>
      <c r="H6213" s="2" t="s">
        <v>41183</v>
      </c>
      <c r="I6213" s="2"/>
      <c r="J6213" s="2"/>
      <c r="K6213" s="2"/>
      <c r="L6213" s="2"/>
      <c r="M6213" s="2"/>
      <c r="N6213" s="2"/>
      <c r="O6213" s="2">
        <v>41870</v>
      </c>
      <c r="P6213" s="2"/>
      <c r="Q6213" s="2" t="s">
        <v>41184</v>
      </c>
      <c r="R6213" s="2" t="s">
        <v>41185</v>
      </c>
      <c r="S6213" s="2" t="s">
        <v>148</v>
      </c>
      <c r="T6213" s="2" t="s">
        <v>149</v>
      </c>
      <c r="U6213" s="2" t="s">
        <v>3473</v>
      </c>
      <c r="V6213" s="2" t="s">
        <v>59</v>
      </c>
      <c r="W6213" s="2">
        <v>36.6</v>
      </c>
      <c r="X6213" s="2">
        <v>0</v>
      </c>
      <c r="Y6213" s="2" t="s">
        <v>394</v>
      </c>
      <c r="Z6213" s="2" t="s">
        <v>41186</v>
      </c>
      <c r="AA6213" s="2">
        <v>-7.2028697573836398E-2</v>
      </c>
      <c r="AB6213" s="2">
        <v>4.1155570350027301E-2</v>
      </c>
      <c r="AC6213" s="2">
        <v>434.99349513687997</v>
      </c>
      <c r="AD6213" s="2">
        <v>604.890445885036</v>
      </c>
      <c r="AE6213" s="2">
        <v>373.900164289229</v>
      </c>
      <c r="AF6213" s="2">
        <v>495.988217736541</v>
      </c>
      <c r="AG6213" s="2">
        <v>256.61352862466998</v>
      </c>
      <c r="AH6213" s="2">
        <v>542.71348190073604</v>
      </c>
      <c r="AI6213" s="2">
        <v>558.02823231896105</v>
      </c>
      <c r="AJ6213" s="2">
        <v>382.717345951146</v>
      </c>
      <c r="AK6213" s="2">
        <v>742.24704987624796</v>
      </c>
      <c r="AL6213" s="2">
        <v>625.20632548295896</v>
      </c>
      <c r="AM6213" s="2">
        <v>500.21854881338999</v>
      </c>
      <c r="AN6213" s="2">
        <v>704.33551439910798</v>
      </c>
      <c r="AO6213" s="2">
        <v>536.25961582236596</v>
      </c>
      <c r="AP6213" s="2">
        <v>521.07562091614602</v>
      </c>
    </row>
    <row r="6214" spans="1:42" ht="14.5" x14ac:dyDescent="0.35">
      <c r="A6214" s="2" t="s">
        <v>41187</v>
      </c>
      <c r="B6214" s="2">
        <v>643.29659242197795</v>
      </c>
      <c r="C6214" s="2">
        <v>6.7070999999999996</v>
      </c>
      <c r="D6214" s="2" t="s">
        <v>70</v>
      </c>
      <c r="E6214" s="2" t="s">
        <v>41188</v>
      </c>
      <c r="F6214" s="2">
        <v>53304</v>
      </c>
      <c r="G6214" s="3" t="str">
        <f>HYPERLINK("http://funmeta.oebiotech.com/network/53304", "http://funmeta.oebiotech.com/network/53304")</f>
        <v>http://funmeta.oebiotech.com/network/53304</v>
      </c>
      <c r="H6214" s="2" t="s">
        <v>41189</v>
      </c>
      <c r="I6214" s="2">
        <v>69479</v>
      </c>
      <c r="J6214" s="2"/>
      <c r="K6214" s="2"/>
      <c r="L6214" s="2" t="s">
        <v>41190</v>
      </c>
      <c r="M6214" s="2"/>
      <c r="N6214" s="2"/>
      <c r="O6214" s="2">
        <v>4066</v>
      </c>
      <c r="P6214" s="2" t="s">
        <v>41191</v>
      </c>
      <c r="Q6214" s="2" t="s">
        <v>41192</v>
      </c>
      <c r="R6214" s="2" t="s">
        <v>41193</v>
      </c>
      <c r="S6214" s="2" t="s">
        <v>491</v>
      </c>
      <c r="T6214" s="2" t="s">
        <v>25326</v>
      </c>
      <c r="U6214" s="2" t="s">
        <v>25327</v>
      </c>
      <c r="V6214" s="2" t="s">
        <v>59</v>
      </c>
      <c r="W6214" s="2">
        <v>37.299999999999997</v>
      </c>
      <c r="X6214" s="2">
        <v>0</v>
      </c>
      <c r="Y6214" s="2" t="s">
        <v>560</v>
      </c>
      <c r="Z6214" s="2" t="s">
        <v>41194</v>
      </c>
      <c r="AA6214" s="2">
        <v>4.8570853747023897</v>
      </c>
      <c r="AB6214" s="2">
        <v>4.1126741590304501E-2</v>
      </c>
      <c r="AC6214" s="2">
        <v>7597.7343383542302</v>
      </c>
      <c r="AD6214" s="2">
        <v>8244.8003648110898</v>
      </c>
      <c r="AE6214" s="2">
        <v>6265.7488957394498</v>
      </c>
      <c r="AF6214" s="2">
        <v>8505.3157336528893</v>
      </c>
      <c r="AG6214" s="2">
        <v>6439.8407262336204</v>
      </c>
      <c r="AH6214" s="2">
        <v>4379.4681148810296</v>
      </c>
      <c r="AI6214" s="2">
        <v>7415.5929908808102</v>
      </c>
      <c r="AJ6214" s="2">
        <v>12580.4395687376</v>
      </c>
      <c r="AK6214" s="2">
        <v>7406.0429511761204</v>
      </c>
      <c r="AL6214" s="2">
        <v>9137.8718530362003</v>
      </c>
      <c r="AM6214" s="2">
        <v>7869.4546271017198</v>
      </c>
      <c r="AN6214" s="2">
        <v>8536.1927919168593</v>
      </c>
      <c r="AO6214" s="2">
        <v>7948.9408140296</v>
      </c>
      <c r="AP6214" s="2">
        <v>8570.2991516060301</v>
      </c>
    </row>
    <row r="6215" spans="1:42" ht="14.5" x14ac:dyDescent="0.35">
      <c r="A6215" s="2" t="s">
        <v>41195</v>
      </c>
      <c r="B6215" s="2">
        <v>349.23488385320599</v>
      </c>
      <c r="C6215" s="2">
        <v>10.871216666666699</v>
      </c>
      <c r="D6215" s="2" t="s">
        <v>34</v>
      </c>
      <c r="E6215" s="2" t="s">
        <v>41196</v>
      </c>
      <c r="F6215" s="2">
        <v>267392</v>
      </c>
      <c r="G6215" s="3" t="str">
        <f>HYPERLINK("http://funmeta.oebiotech.com/network/267392", "http://funmeta.oebiotech.com/network/267392")</f>
        <v>http://funmeta.oebiotech.com/network/267392</v>
      </c>
      <c r="H6215" s="2"/>
      <c r="I6215" s="2">
        <v>45371</v>
      </c>
      <c r="J6215" s="2"/>
      <c r="K6215" s="2"/>
      <c r="L6215" s="2"/>
      <c r="M6215" s="2"/>
      <c r="N6215" s="2"/>
      <c r="O6215" s="2">
        <v>101826833</v>
      </c>
      <c r="P6215" s="2" t="s">
        <v>41197</v>
      </c>
      <c r="Q6215" s="2" t="s">
        <v>41198</v>
      </c>
      <c r="R6215" s="2" t="s">
        <v>41199</v>
      </c>
      <c r="S6215" s="2" t="s">
        <v>50</v>
      </c>
      <c r="T6215" s="2" t="s">
        <v>229</v>
      </c>
      <c r="U6215" s="2" t="s">
        <v>766</v>
      </c>
      <c r="V6215" s="2" t="s">
        <v>59</v>
      </c>
      <c r="W6215" s="2">
        <v>41</v>
      </c>
      <c r="X6215" s="2">
        <v>15.4</v>
      </c>
      <c r="Y6215" s="2" t="s">
        <v>141</v>
      </c>
      <c r="Z6215" s="2" t="s">
        <v>25724</v>
      </c>
      <c r="AA6215" s="2">
        <v>-6.6952839532409101</v>
      </c>
      <c r="AB6215" s="2">
        <v>4.1062178421819001E-2</v>
      </c>
      <c r="AC6215" s="2">
        <v>5822.8207331376198</v>
      </c>
      <c r="AD6215" s="2">
        <v>5320.3806164693196</v>
      </c>
      <c r="AE6215" s="2">
        <v>5829.65476543762</v>
      </c>
      <c r="AF6215" s="2">
        <v>5273.0911675232001</v>
      </c>
      <c r="AG6215" s="2">
        <v>5469.4258267382502</v>
      </c>
      <c r="AH6215" s="2">
        <v>5547.93678603015</v>
      </c>
      <c r="AI6215" s="2">
        <v>6334.13501030516</v>
      </c>
      <c r="AJ6215" s="2">
        <v>6482.6808427913202</v>
      </c>
      <c r="AK6215" s="2">
        <v>3993.3791393019501</v>
      </c>
      <c r="AL6215" s="2">
        <v>4151.3688743680696</v>
      </c>
      <c r="AM6215" s="2">
        <v>5324.0137162303399</v>
      </c>
      <c r="AN6215" s="2">
        <v>5516.94814576111</v>
      </c>
      <c r="AO6215" s="2">
        <v>8276.8078351163404</v>
      </c>
      <c r="AP6215" s="2">
        <v>4659.7659880381198</v>
      </c>
    </row>
    <row r="6216" spans="1:42" ht="14.5" x14ac:dyDescent="0.35">
      <c r="A6216" s="2" t="s">
        <v>41200</v>
      </c>
      <c r="B6216" s="2">
        <v>354.10431762931501</v>
      </c>
      <c r="C6216" s="2">
        <v>2.08728333333333</v>
      </c>
      <c r="D6216" s="2" t="s">
        <v>70</v>
      </c>
      <c r="E6216" s="2" t="s">
        <v>41201</v>
      </c>
      <c r="F6216" s="2">
        <v>266255</v>
      </c>
      <c r="G6216" s="3" t="str">
        <f>HYPERLINK("http://funmeta.oebiotech.com/network/266255", "http://funmeta.oebiotech.com/network/266255")</f>
        <v>http://funmeta.oebiotech.com/network/266255</v>
      </c>
      <c r="H6216" s="2" t="s">
        <v>41202</v>
      </c>
      <c r="I6216" s="2">
        <v>24101</v>
      </c>
      <c r="J6216" s="2"/>
      <c r="K6216" s="2"/>
      <c r="L6216" s="2" t="s">
        <v>41203</v>
      </c>
      <c r="M6216" s="2" t="s">
        <v>13073</v>
      </c>
      <c r="N6216" s="2" t="s">
        <v>13074</v>
      </c>
      <c r="O6216" s="2">
        <v>439197</v>
      </c>
      <c r="P6216" s="2" t="s">
        <v>41204</v>
      </c>
      <c r="Q6216" s="2" t="s">
        <v>41205</v>
      </c>
      <c r="R6216" s="2" t="s">
        <v>41206</v>
      </c>
      <c r="S6216" s="2" t="s">
        <v>79</v>
      </c>
      <c r="T6216" s="2" t="s">
        <v>80</v>
      </c>
      <c r="U6216" s="2" t="s">
        <v>81</v>
      </c>
      <c r="V6216" s="2" t="s">
        <v>59</v>
      </c>
      <c r="W6216" s="2">
        <v>39.4</v>
      </c>
      <c r="X6216" s="2">
        <v>0</v>
      </c>
      <c r="Y6216" s="2" t="s">
        <v>408</v>
      </c>
      <c r="Z6216" s="2" t="s">
        <v>41207</v>
      </c>
      <c r="AA6216" s="2">
        <v>0.43211439666030299</v>
      </c>
      <c r="AB6216" s="2">
        <v>4.1059171110722797E-2</v>
      </c>
      <c r="AC6216" s="2">
        <v>2226.1299187162799</v>
      </c>
      <c r="AD6216" s="2">
        <v>2542.93362019193</v>
      </c>
      <c r="AE6216" s="2">
        <v>1912.07634474206</v>
      </c>
      <c r="AF6216" s="2">
        <v>2558.1002066443002</v>
      </c>
      <c r="AG6216" s="2">
        <v>2754.9548053582198</v>
      </c>
      <c r="AH6216" s="2">
        <v>1858.96211909933</v>
      </c>
      <c r="AI6216" s="2">
        <v>1730.91753156044</v>
      </c>
      <c r="AJ6216" s="2">
        <v>2541.7685048933299</v>
      </c>
      <c r="AK6216" s="2">
        <v>2092.2051117768501</v>
      </c>
      <c r="AL6216" s="2">
        <v>2725.8029917059198</v>
      </c>
      <c r="AM6216" s="2">
        <v>2085.0068994193098</v>
      </c>
      <c r="AN6216" s="2">
        <v>3306.1511126252699</v>
      </c>
      <c r="AO6216" s="2">
        <v>2340.3684416379401</v>
      </c>
      <c r="AP6216" s="2">
        <v>2708.0671639862999</v>
      </c>
    </row>
    <row r="6217" spans="1:42" ht="14.5" x14ac:dyDescent="0.35">
      <c r="A6217" s="2" t="s">
        <v>41208</v>
      </c>
      <c r="B6217" s="2">
        <v>209.04481772356101</v>
      </c>
      <c r="C6217" s="2">
        <v>4.6492000000000004</v>
      </c>
      <c r="D6217" s="2" t="s">
        <v>70</v>
      </c>
      <c r="E6217" s="2" t="s">
        <v>41209</v>
      </c>
      <c r="F6217" s="2">
        <v>59351</v>
      </c>
      <c r="G6217" s="3" t="str">
        <f>HYPERLINK("http://funmeta.oebiotech.com/network/59351", "http://funmeta.oebiotech.com/network/59351")</f>
        <v>http://funmeta.oebiotech.com/network/59351</v>
      </c>
      <c r="H6217" s="2" t="s">
        <v>41210</v>
      </c>
      <c r="I6217" s="2"/>
      <c r="J6217" s="2"/>
      <c r="K6217" s="2">
        <v>2069</v>
      </c>
      <c r="L6217" s="2" t="s">
        <v>41211</v>
      </c>
      <c r="M6217" s="2" t="s">
        <v>74</v>
      </c>
      <c r="N6217" s="2" t="s">
        <v>75</v>
      </c>
      <c r="O6217" s="2">
        <v>446834</v>
      </c>
      <c r="P6217" s="2" t="s">
        <v>41212</v>
      </c>
      <c r="Q6217" s="2" t="s">
        <v>41213</v>
      </c>
      <c r="R6217" s="2" t="s">
        <v>41214</v>
      </c>
      <c r="S6217" s="2" t="s">
        <v>115</v>
      </c>
      <c r="T6217" s="2" t="s">
        <v>116</v>
      </c>
      <c r="U6217" s="2" t="s">
        <v>117</v>
      </c>
      <c r="V6217" s="2" t="s">
        <v>59</v>
      </c>
      <c r="W6217" s="2">
        <v>46.3</v>
      </c>
      <c r="X6217" s="2">
        <v>38.6</v>
      </c>
      <c r="Y6217" s="2" t="s">
        <v>118</v>
      </c>
      <c r="Z6217" s="2" t="s">
        <v>36649</v>
      </c>
      <c r="AA6217" s="2">
        <v>-3.4718073628539399</v>
      </c>
      <c r="AB6217" s="2">
        <v>4.0835473059057499E-2</v>
      </c>
      <c r="AC6217" s="2">
        <v>37734.511710221901</v>
      </c>
      <c r="AD6217" s="2">
        <v>37249.951266192598</v>
      </c>
      <c r="AE6217" s="2">
        <v>38969.675954372397</v>
      </c>
      <c r="AF6217" s="2">
        <v>39242.452385105003</v>
      </c>
      <c r="AG6217" s="2">
        <v>36231.133801478201</v>
      </c>
      <c r="AH6217" s="2">
        <v>38577.159504529402</v>
      </c>
      <c r="AI6217" s="2">
        <v>37011.106925101602</v>
      </c>
      <c r="AJ6217" s="2">
        <v>36375.541690744503</v>
      </c>
      <c r="AK6217" s="2">
        <v>37504.011456305103</v>
      </c>
      <c r="AL6217" s="2">
        <v>38699.330942328903</v>
      </c>
      <c r="AM6217" s="2">
        <v>36688.798510329099</v>
      </c>
      <c r="AN6217" s="2">
        <v>37808.486831055401</v>
      </c>
      <c r="AO6217" s="2">
        <v>36963.035218886696</v>
      </c>
      <c r="AP6217" s="2">
        <v>35836.044638250598</v>
      </c>
    </row>
    <row r="6218" spans="1:42" ht="14.5" x14ac:dyDescent="0.35">
      <c r="A6218" s="2" t="s">
        <v>41215</v>
      </c>
      <c r="B6218" s="2">
        <v>463.03914285866603</v>
      </c>
      <c r="C6218" s="2">
        <v>9.9728333333333303</v>
      </c>
      <c r="D6218" s="2" t="s">
        <v>70</v>
      </c>
      <c r="E6218" s="2" t="s">
        <v>41216</v>
      </c>
      <c r="F6218" s="2">
        <v>205175</v>
      </c>
      <c r="G6218" s="3" t="str">
        <f>HYPERLINK("http://funmeta.oebiotech.com/network/205175", "http://funmeta.oebiotech.com/network/205175")</f>
        <v>http://funmeta.oebiotech.com/network/205175</v>
      </c>
      <c r="H6218" s="2" t="s">
        <v>41217</v>
      </c>
      <c r="I6218" s="2">
        <v>69622</v>
      </c>
      <c r="J6218" s="2"/>
      <c r="K6218" s="2"/>
      <c r="L6218" s="2" t="s">
        <v>41218</v>
      </c>
      <c r="M6218" s="2"/>
      <c r="N6218" s="2"/>
      <c r="O6218" s="2">
        <v>3721046</v>
      </c>
      <c r="P6218" s="2" t="s">
        <v>41219</v>
      </c>
      <c r="Q6218" s="2" t="s">
        <v>41220</v>
      </c>
      <c r="R6218" s="2" t="s">
        <v>41221</v>
      </c>
      <c r="S6218" s="2" t="s">
        <v>491</v>
      </c>
      <c r="T6218" s="2" t="s">
        <v>3019</v>
      </c>
      <c r="U6218" s="2" t="s">
        <v>3020</v>
      </c>
      <c r="V6218" s="2" t="s">
        <v>59</v>
      </c>
      <c r="W6218" s="2">
        <v>39.200000000000003</v>
      </c>
      <c r="X6218" s="2">
        <v>0</v>
      </c>
      <c r="Y6218" s="2" t="s">
        <v>560</v>
      </c>
      <c r="Z6218" s="2" t="s">
        <v>41222</v>
      </c>
      <c r="AA6218" s="2">
        <v>-0.19386154690410801</v>
      </c>
      <c r="AB6218" s="2">
        <v>4.0827255250342899E-2</v>
      </c>
      <c r="AC6218" s="2">
        <v>5337.2977449233204</v>
      </c>
      <c r="AD6218" s="2">
        <v>5667.9725398896098</v>
      </c>
      <c r="AE6218" s="2">
        <v>4642.3313223809701</v>
      </c>
      <c r="AF6218" s="2">
        <v>5075.8794684511304</v>
      </c>
      <c r="AG6218" s="2">
        <v>4825.8585560521697</v>
      </c>
      <c r="AH6218" s="2">
        <v>6330.0131208388602</v>
      </c>
      <c r="AI6218" s="2">
        <v>5597.5757772295801</v>
      </c>
      <c r="AJ6218" s="2">
        <v>5552.1282245871998</v>
      </c>
      <c r="AK6218" s="2">
        <v>6309.3032291283598</v>
      </c>
      <c r="AL6218" s="2">
        <v>5306.2275787714798</v>
      </c>
      <c r="AM6218" s="2">
        <v>5629.9387557719001</v>
      </c>
      <c r="AN6218" s="2">
        <v>5941.3281992816301</v>
      </c>
      <c r="AO6218" s="2">
        <v>5727.5217115588302</v>
      </c>
      <c r="AP6218" s="2">
        <v>5093.5157648254599</v>
      </c>
    </row>
    <row r="6219" spans="1:42" ht="14.5" x14ac:dyDescent="0.35">
      <c r="A6219" s="2" t="s">
        <v>41223</v>
      </c>
      <c r="B6219" s="2">
        <v>612.51854821613301</v>
      </c>
      <c r="C6219" s="2">
        <v>14.366400000000001</v>
      </c>
      <c r="D6219" s="2" t="s">
        <v>34</v>
      </c>
      <c r="E6219" s="2" t="s">
        <v>41224</v>
      </c>
      <c r="F6219" s="2">
        <v>248402</v>
      </c>
      <c r="G6219" s="3" t="str">
        <f>HYPERLINK("http://funmeta.oebiotech.com/network/248402", "http://funmeta.oebiotech.com/network/248402")</f>
        <v>http://funmeta.oebiotech.com/network/248402</v>
      </c>
      <c r="H6219" s="2" t="s">
        <v>41225</v>
      </c>
      <c r="I6219" s="2"/>
      <c r="J6219" s="2"/>
      <c r="K6219" s="2"/>
      <c r="L6219" s="2"/>
      <c r="M6219" s="2"/>
      <c r="N6219" s="2"/>
      <c r="O6219" s="2"/>
      <c r="P6219" s="2"/>
      <c r="Q6219" s="2" t="s">
        <v>41226</v>
      </c>
      <c r="R6219" s="2" t="s">
        <v>41227</v>
      </c>
      <c r="S6219" s="2" t="s">
        <v>41</v>
      </c>
      <c r="T6219" s="2" t="s">
        <v>41</v>
      </c>
      <c r="U6219" s="2" t="s">
        <v>41</v>
      </c>
      <c r="V6219" s="2" t="s">
        <v>59</v>
      </c>
      <c r="W6219" s="2">
        <v>38.5</v>
      </c>
      <c r="X6219" s="2">
        <v>0</v>
      </c>
      <c r="Y6219" s="2" t="s">
        <v>43</v>
      </c>
      <c r="Z6219" s="2" t="s">
        <v>41228</v>
      </c>
      <c r="AA6219" s="2">
        <v>-2.0473955148999998</v>
      </c>
      <c r="AB6219" s="2">
        <v>4.0749313330859897E-2</v>
      </c>
      <c r="AC6219" s="2">
        <v>9585.00292900573</v>
      </c>
      <c r="AD6219" s="2">
        <v>10179.944791854001</v>
      </c>
      <c r="AE6219" s="2">
        <v>8190.4590550808398</v>
      </c>
      <c r="AF6219" s="2">
        <v>8337.4431846512707</v>
      </c>
      <c r="AG6219" s="2">
        <v>11147.5145876405</v>
      </c>
      <c r="AH6219" s="2">
        <v>9274.5941317197394</v>
      </c>
      <c r="AI6219" s="2">
        <v>9599.1754553447099</v>
      </c>
      <c r="AJ6219" s="2">
        <v>10960.831159597299</v>
      </c>
      <c r="AK6219" s="2">
        <v>13936.5857656519</v>
      </c>
      <c r="AL6219" s="2">
        <v>7702.43765932101</v>
      </c>
      <c r="AM6219" s="2">
        <v>10508.2186489665</v>
      </c>
      <c r="AN6219" s="2">
        <v>10822.343202166299</v>
      </c>
      <c r="AO6219" s="2">
        <v>9564.9849021886694</v>
      </c>
      <c r="AP6219" s="2">
        <v>8545.0985728294509</v>
      </c>
    </row>
    <row r="6220" spans="1:42" ht="14.5" x14ac:dyDescent="0.35">
      <c r="A6220" s="2" t="s">
        <v>41229</v>
      </c>
      <c r="B6220" s="2">
        <v>267.047498301063</v>
      </c>
      <c r="C6220" s="2">
        <v>1.7029666666666701</v>
      </c>
      <c r="D6220" s="2" t="s">
        <v>34</v>
      </c>
      <c r="E6220" s="2" t="s">
        <v>41230</v>
      </c>
      <c r="F6220" s="2">
        <v>62476</v>
      </c>
      <c r="G6220" s="3" t="str">
        <f>HYPERLINK("http://funmeta.oebiotech.com/network/62476", "http://funmeta.oebiotech.com/network/62476")</f>
        <v>http://funmeta.oebiotech.com/network/62476</v>
      </c>
      <c r="H6220" s="2" t="s">
        <v>41231</v>
      </c>
      <c r="I6220" s="2">
        <v>93771</v>
      </c>
      <c r="J6220" s="2"/>
      <c r="K6220" s="2">
        <v>168599</v>
      </c>
      <c r="L6220" s="2"/>
      <c r="M6220" s="2"/>
      <c r="N6220" s="2"/>
      <c r="O6220" s="2">
        <v>5317465</v>
      </c>
      <c r="P6220" s="2" t="s">
        <v>41232</v>
      </c>
      <c r="Q6220" s="2" t="s">
        <v>41233</v>
      </c>
      <c r="R6220" s="2" t="s">
        <v>41234</v>
      </c>
      <c r="S6220" s="2" t="s">
        <v>148</v>
      </c>
      <c r="T6220" s="2" t="s">
        <v>149</v>
      </c>
      <c r="U6220" s="2" t="s">
        <v>1593</v>
      </c>
      <c r="V6220" s="2" t="s">
        <v>59</v>
      </c>
      <c r="W6220" s="2">
        <v>39.1</v>
      </c>
      <c r="X6220" s="2">
        <v>0</v>
      </c>
      <c r="Y6220" s="2" t="s">
        <v>323</v>
      </c>
      <c r="Z6220" s="2" t="s">
        <v>41235</v>
      </c>
      <c r="AA6220" s="2">
        <v>-0.10284713264159499</v>
      </c>
      <c r="AB6220" s="2">
        <v>4.0603757910009398E-2</v>
      </c>
      <c r="AC6220" s="2">
        <v>5973.1323553552002</v>
      </c>
      <c r="AD6220" s="2">
        <v>6301.6402171311202</v>
      </c>
      <c r="AE6220" s="2">
        <v>5993.1930727028703</v>
      </c>
      <c r="AF6220" s="2">
        <v>6368.4369272870099</v>
      </c>
      <c r="AG6220" s="2">
        <v>6024.0380732511703</v>
      </c>
      <c r="AH6220" s="2">
        <v>5579.2274508414403</v>
      </c>
      <c r="AI6220" s="2">
        <v>5664.3442690608999</v>
      </c>
      <c r="AJ6220" s="2">
        <v>6209.5543389878003</v>
      </c>
      <c r="AK6220" s="2">
        <v>6157.8425783755602</v>
      </c>
      <c r="AL6220" s="2">
        <v>6904.3424079176402</v>
      </c>
      <c r="AM6220" s="2">
        <v>5731.5241114503997</v>
      </c>
      <c r="AN6220" s="2">
        <v>7148.9892968735503</v>
      </c>
      <c r="AO6220" s="2">
        <v>6388.53666794333</v>
      </c>
      <c r="AP6220" s="2">
        <v>5478.6062402262196</v>
      </c>
    </row>
    <row r="6221" spans="1:42" ht="14.5" x14ac:dyDescent="0.35">
      <c r="A6221" s="2" t="s">
        <v>41236</v>
      </c>
      <c r="B6221" s="2">
        <v>255.04494322511599</v>
      </c>
      <c r="C6221" s="2">
        <v>0.84421666666666695</v>
      </c>
      <c r="D6221" s="2" t="s">
        <v>34</v>
      </c>
      <c r="E6221" s="2" t="s">
        <v>41237</v>
      </c>
      <c r="F6221" s="2">
        <v>55709</v>
      </c>
      <c r="G6221" s="3" t="str">
        <f>HYPERLINK("http://funmeta.oebiotech.com/network/55709", "http://funmeta.oebiotech.com/network/55709")</f>
        <v>http://funmeta.oebiotech.com/network/55709</v>
      </c>
      <c r="H6221" s="2" t="s">
        <v>41238</v>
      </c>
      <c r="I6221" s="2">
        <v>87387</v>
      </c>
      <c r="J6221" s="2"/>
      <c r="K6221" s="2"/>
      <c r="L6221" s="2"/>
      <c r="M6221" s="2"/>
      <c r="N6221" s="2"/>
      <c r="O6221" s="2">
        <v>131751128</v>
      </c>
      <c r="P6221" s="2" t="s">
        <v>41239</v>
      </c>
      <c r="Q6221" s="2" t="s">
        <v>41240</v>
      </c>
      <c r="R6221" s="2" t="s">
        <v>41241</v>
      </c>
      <c r="S6221" s="2" t="s">
        <v>50</v>
      </c>
      <c r="T6221" s="2" t="s">
        <v>229</v>
      </c>
      <c r="U6221" s="2" t="s">
        <v>433</v>
      </c>
      <c r="V6221" s="2" t="s">
        <v>59</v>
      </c>
      <c r="W6221" s="2">
        <v>36.299999999999997</v>
      </c>
      <c r="X6221" s="2">
        <v>0</v>
      </c>
      <c r="Y6221" s="2" t="s">
        <v>323</v>
      </c>
      <c r="Z6221" s="2" t="s">
        <v>41242</v>
      </c>
      <c r="AA6221" s="2">
        <v>-0.33646581273884901</v>
      </c>
      <c r="AB6221" s="2">
        <v>4.0570187517746999E-2</v>
      </c>
      <c r="AC6221" s="2">
        <v>2793.29944054098</v>
      </c>
      <c r="AD6221" s="2">
        <v>2498.3777210999101</v>
      </c>
      <c r="AE6221" s="2">
        <v>2620.51515908791</v>
      </c>
      <c r="AF6221" s="2">
        <v>3445.6880357680602</v>
      </c>
      <c r="AG6221" s="2">
        <v>2652.8067327189201</v>
      </c>
      <c r="AH6221" s="2">
        <v>2857.50609332569</v>
      </c>
      <c r="AI6221" s="2">
        <v>2900.1368057672098</v>
      </c>
      <c r="AJ6221" s="2">
        <v>2283.1438165780901</v>
      </c>
      <c r="AK6221" s="2">
        <v>2163.2585366911999</v>
      </c>
      <c r="AL6221" s="2">
        <v>3151.8175681299799</v>
      </c>
      <c r="AM6221" s="2">
        <v>2192.5975230410399</v>
      </c>
      <c r="AN6221" s="2">
        <v>2733.9145383531099</v>
      </c>
      <c r="AO6221" s="2">
        <v>2714.5612810662901</v>
      </c>
      <c r="AP6221" s="2">
        <v>2034.1168793178599</v>
      </c>
    </row>
    <row r="6222" spans="1:42" ht="14.5" x14ac:dyDescent="0.35">
      <c r="A6222" s="2" t="s">
        <v>41243</v>
      </c>
      <c r="B6222" s="2">
        <v>101.070843253663</v>
      </c>
      <c r="C6222" s="2">
        <v>14.130183333333299</v>
      </c>
      <c r="D6222" s="2" t="s">
        <v>34</v>
      </c>
      <c r="E6222" s="2" t="s">
        <v>41244</v>
      </c>
      <c r="F6222" s="2">
        <v>2494</v>
      </c>
      <c r="G6222" s="3" t="str">
        <f>HYPERLINK("http://funmeta.oebiotech.com/network/2494", "http://funmeta.oebiotech.com/network/2494")</f>
        <v>http://funmeta.oebiotech.com/network/2494</v>
      </c>
      <c r="H6222" s="2" t="s">
        <v>41245</v>
      </c>
      <c r="I6222" s="2">
        <v>6646</v>
      </c>
      <c r="J6222" s="2" t="s">
        <v>41246</v>
      </c>
      <c r="K6222" s="2">
        <v>64307</v>
      </c>
      <c r="L6222" s="2"/>
      <c r="M6222" s="2"/>
      <c r="N6222" s="2"/>
      <c r="O6222" s="2">
        <v>470</v>
      </c>
      <c r="P6222" s="2" t="s">
        <v>41247</v>
      </c>
      <c r="Q6222" s="2" t="s">
        <v>41248</v>
      </c>
      <c r="R6222" s="2" t="s">
        <v>41249</v>
      </c>
      <c r="S6222" s="2" t="s">
        <v>89</v>
      </c>
      <c r="T6222" s="2" t="s">
        <v>90</v>
      </c>
      <c r="U6222" s="2" t="s">
        <v>99</v>
      </c>
      <c r="V6222" s="2" t="s">
        <v>59</v>
      </c>
      <c r="W6222" s="2">
        <v>39.5</v>
      </c>
      <c r="X6222" s="2">
        <v>0</v>
      </c>
      <c r="Y6222" s="2" t="s">
        <v>141</v>
      </c>
      <c r="Z6222" s="2" t="s">
        <v>41250</v>
      </c>
      <c r="AA6222" s="2">
        <v>-0.81360478477234299</v>
      </c>
      <c r="AB6222" s="2">
        <v>4.0549165155756503E-2</v>
      </c>
      <c r="AC6222" s="2">
        <v>2906.3420575622499</v>
      </c>
      <c r="AD6222" s="2">
        <v>3080.5751960605098</v>
      </c>
      <c r="AE6222" s="2">
        <v>2818.6447208090399</v>
      </c>
      <c r="AF6222" s="2">
        <v>2982.8929845161201</v>
      </c>
      <c r="AG6222" s="2">
        <v>2867.3203017843998</v>
      </c>
      <c r="AH6222" s="2">
        <v>2923.5042439478598</v>
      </c>
      <c r="AI6222" s="2">
        <v>3014.8357979254502</v>
      </c>
      <c r="AJ6222" s="2">
        <v>2830.8542963906398</v>
      </c>
      <c r="AK6222" s="2">
        <v>3230.4866367355198</v>
      </c>
      <c r="AL6222" s="2">
        <v>3240.23984488936</v>
      </c>
      <c r="AM6222" s="2">
        <v>2838.25677525232</v>
      </c>
      <c r="AN6222" s="2">
        <v>3024.6397528564898</v>
      </c>
      <c r="AO6222" s="2">
        <v>3040.0241074230698</v>
      </c>
      <c r="AP6222" s="2">
        <v>3109.8040592062998</v>
      </c>
    </row>
    <row r="6223" spans="1:42" ht="14.5" x14ac:dyDescent="0.35">
      <c r="A6223" s="2" t="s">
        <v>41251</v>
      </c>
      <c r="B6223" s="2">
        <v>237.02803374154601</v>
      </c>
      <c r="C6223" s="2">
        <v>2.9590666666666698</v>
      </c>
      <c r="D6223" s="2" t="s">
        <v>34</v>
      </c>
      <c r="E6223" s="2" t="s">
        <v>41252</v>
      </c>
      <c r="F6223" s="2">
        <v>82208</v>
      </c>
      <c r="G6223" s="3" t="str">
        <f>HYPERLINK("http://funmeta.oebiotech.com/network/82208", "http://funmeta.oebiotech.com/network/82208")</f>
        <v>http://funmeta.oebiotech.com/network/82208</v>
      </c>
      <c r="H6223" s="2" t="s">
        <v>41253</v>
      </c>
      <c r="I6223" s="2">
        <v>6144</v>
      </c>
      <c r="J6223" s="2"/>
      <c r="K6223" s="2">
        <v>17440</v>
      </c>
      <c r="L6223" s="2" t="s">
        <v>41254</v>
      </c>
      <c r="M6223" s="2" t="s">
        <v>3346</v>
      </c>
      <c r="N6223" s="2" t="s">
        <v>3347</v>
      </c>
      <c r="O6223" s="2">
        <v>378</v>
      </c>
      <c r="P6223" s="2"/>
      <c r="Q6223" s="2" t="s">
        <v>41255</v>
      </c>
      <c r="R6223" s="2" t="s">
        <v>41256</v>
      </c>
      <c r="S6223" s="2" t="s">
        <v>89</v>
      </c>
      <c r="T6223" s="2" t="s">
        <v>894</v>
      </c>
      <c r="U6223" s="2" t="s">
        <v>895</v>
      </c>
      <c r="V6223" s="2" t="s">
        <v>59</v>
      </c>
      <c r="W6223" s="2">
        <v>38.299999999999997</v>
      </c>
      <c r="X6223" s="2">
        <v>0</v>
      </c>
      <c r="Y6223" s="2" t="s">
        <v>43</v>
      </c>
      <c r="Z6223" s="2" t="s">
        <v>41257</v>
      </c>
      <c r="AA6223" s="2">
        <v>4.2680167776952196</v>
      </c>
      <c r="AB6223" s="2">
        <v>4.0489232678006797E-2</v>
      </c>
      <c r="AC6223" s="2">
        <v>15267.257443196</v>
      </c>
      <c r="AD6223" s="2">
        <v>15867.3243428687</v>
      </c>
      <c r="AE6223" s="2">
        <v>13942.4967093007</v>
      </c>
      <c r="AF6223" s="2">
        <v>16330.969168518501</v>
      </c>
      <c r="AG6223" s="2">
        <v>14823.5902322087</v>
      </c>
      <c r="AH6223" s="2">
        <v>19345.4248049749</v>
      </c>
      <c r="AI6223" s="2">
        <v>15257.025102161901</v>
      </c>
      <c r="AJ6223" s="2">
        <v>11904.038642011101</v>
      </c>
      <c r="AK6223" s="2">
        <v>16256.781339758199</v>
      </c>
      <c r="AL6223" s="2">
        <v>15038.572474496001</v>
      </c>
      <c r="AM6223" s="2">
        <v>15964.196100834</v>
      </c>
      <c r="AN6223" s="2">
        <v>15441.688194206799</v>
      </c>
      <c r="AO6223" s="2">
        <v>15704.2512744623</v>
      </c>
      <c r="AP6223" s="2">
        <v>16798.456673454999</v>
      </c>
    </row>
    <row r="6224" spans="1:42" ht="14.5" x14ac:dyDescent="0.35">
      <c r="A6224" s="2" t="s">
        <v>41258</v>
      </c>
      <c r="B6224" s="2">
        <v>741.29685789090195</v>
      </c>
      <c r="C6224" s="2">
        <v>4.3103166666666697</v>
      </c>
      <c r="D6224" s="2" t="s">
        <v>70</v>
      </c>
      <c r="E6224" s="2" t="s">
        <v>41259</v>
      </c>
      <c r="F6224" s="2">
        <v>274702</v>
      </c>
      <c r="G6224" s="3" t="str">
        <f>HYPERLINK("http://funmeta.oebiotech.com/network/274702", "http://funmeta.oebiotech.com/network/274702")</f>
        <v>http://funmeta.oebiotech.com/network/274702</v>
      </c>
      <c r="H6224" s="2"/>
      <c r="I6224" s="2">
        <v>64911</v>
      </c>
      <c r="J6224" s="2"/>
      <c r="K6224" s="2"/>
      <c r="L6224" s="2"/>
      <c r="M6224" s="2"/>
      <c r="N6224" s="2"/>
      <c r="O6224" s="2">
        <v>53394451</v>
      </c>
      <c r="P6224" s="2"/>
      <c r="Q6224" s="2" t="s">
        <v>41260</v>
      </c>
      <c r="R6224" s="2" t="s">
        <v>41261</v>
      </c>
      <c r="S6224" s="2" t="s">
        <v>491</v>
      </c>
      <c r="T6224" s="2" t="s">
        <v>2184</v>
      </c>
      <c r="U6224" s="2" t="s">
        <v>2185</v>
      </c>
      <c r="V6224" s="2" t="s">
        <v>59</v>
      </c>
      <c r="W6224" s="2">
        <v>38.9</v>
      </c>
      <c r="X6224" s="2">
        <v>0</v>
      </c>
      <c r="Y6224" s="2" t="s">
        <v>560</v>
      </c>
      <c r="Z6224" s="2" t="s">
        <v>4368</v>
      </c>
      <c r="AA6224" s="2">
        <v>-0.205779491027549</v>
      </c>
      <c r="AB6224" s="2">
        <v>4.0483343236887299E-2</v>
      </c>
      <c r="AC6224" s="2">
        <v>37214.479715524503</v>
      </c>
      <c r="AD6224" s="2">
        <v>38041.856513641796</v>
      </c>
      <c r="AE6224" s="2">
        <v>33087.1456510633</v>
      </c>
      <c r="AF6224" s="2">
        <v>36351.346694960397</v>
      </c>
      <c r="AG6224" s="2">
        <v>37788.456803385998</v>
      </c>
      <c r="AH6224" s="2">
        <v>37521.235162989797</v>
      </c>
      <c r="AI6224" s="2">
        <v>39323.726931605299</v>
      </c>
      <c r="AJ6224" s="2">
        <v>39214.9670491422</v>
      </c>
      <c r="AK6224" s="2">
        <v>35950.927464363202</v>
      </c>
      <c r="AL6224" s="2">
        <v>32221.034342416398</v>
      </c>
      <c r="AM6224" s="2">
        <v>44324.0646476369</v>
      </c>
      <c r="AN6224" s="2">
        <v>40343.966475684298</v>
      </c>
      <c r="AO6224" s="2">
        <v>33489.369697186201</v>
      </c>
      <c r="AP6224" s="2">
        <v>41921.776454564097</v>
      </c>
    </row>
    <row r="6225" spans="1:42" ht="14.5" x14ac:dyDescent="0.35">
      <c r="A6225" s="2" t="s">
        <v>41262</v>
      </c>
      <c r="B6225" s="2">
        <v>406.35220339231699</v>
      </c>
      <c r="C6225" s="2">
        <v>8.5075833333333293</v>
      </c>
      <c r="D6225" s="2" t="s">
        <v>34</v>
      </c>
      <c r="E6225" s="2" t="s">
        <v>41263</v>
      </c>
      <c r="F6225" s="2">
        <v>203438</v>
      </c>
      <c r="G6225" s="3" t="str">
        <f>HYPERLINK("http://funmeta.oebiotech.com/network/203438", "http://funmeta.oebiotech.com/network/203438")</f>
        <v>http://funmeta.oebiotech.com/network/203438</v>
      </c>
      <c r="H6225" s="2" t="s">
        <v>41264</v>
      </c>
      <c r="I6225" s="2"/>
      <c r="J6225" s="2"/>
      <c r="K6225" s="2"/>
      <c r="L6225" s="2"/>
      <c r="M6225" s="2"/>
      <c r="N6225" s="2"/>
      <c r="O6225" s="2">
        <v>15875284</v>
      </c>
      <c r="P6225" s="2"/>
      <c r="Q6225" s="2" t="s">
        <v>41265</v>
      </c>
      <c r="R6225" s="2" t="s">
        <v>41266</v>
      </c>
      <c r="S6225" s="2" t="s">
        <v>1677</v>
      </c>
      <c r="T6225" s="2" t="s">
        <v>1678</v>
      </c>
      <c r="U6225" s="2" t="s">
        <v>1679</v>
      </c>
      <c r="V6225" s="2" t="s">
        <v>59</v>
      </c>
      <c r="W6225" s="2">
        <v>37.299999999999997</v>
      </c>
      <c r="X6225" s="2">
        <v>0</v>
      </c>
      <c r="Y6225" s="2" t="s">
        <v>394</v>
      </c>
      <c r="Z6225" s="2" t="s">
        <v>41267</v>
      </c>
      <c r="AA6225" s="2">
        <v>-1.22525022985651</v>
      </c>
      <c r="AB6225" s="2">
        <v>4.0478401093301197E-2</v>
      </c>
      <c r="AC6225" s="2">
        <v>4631.6258227631497</v>
      </c>
      <c r="AD6225" s="2">
        <v>3946.2669092906699</v>
      </c>
      <c r="AE6225" s="2">
        <v>8079.2723558324496</v>
      </c>
      <c r="AF6225" s="2">
        <v>3390.6556434897798</v>
      </c>
      <c r="AG6225" s="2">
        <v>4672.4676886602801</v>
      </c>
      <c r="AH6225" s="2">
        <v>2995.1287185000501</v>
      </c>
      <c r="AI6225" s="2">
        <v>2143.8701356517099</v>
      </c>
      <c r="AJ6225" s="2">
        <v>6508.3603944446304</v>
      </c>
      <c r="AK6225" s="2">
        <v>1342.36194856411</v>
      </c>
      <c r="AL6225" s="2">
        <v>9082.9311038154901</v>
      </c>
      <c r="AM6225" s="2">
        <v>3735.9129536997498</v>
      </c>
      <c r="AN6225" s="2">
        <v>3684.4229276381898</v>
      </c>
      <c r="AO6225" s="2">
        <v>1311.76156764597</v>
      </c>
      <c r="AP6225" s="2">
        <v>4520.21095438053</v>
      </c>
    </row>
    <row r="6226" spans="1:42" ht="14.5" x14ac:dyDescent="0.35">
      <c r="A6226" s="2" t="s">
        <v>41268</v>
      </c>
      <c r="B6226" s="2">
        <v>671.11266455812597</v>
      </c>
      <c r="C6226" s="2">
        <v>10.455550000000001</v>
      </c>
      <c r="D6226" s="2" t="s">
        <v>34</v>
      </c>
      <c r="E6226" s="2" t="s">
        <v>41269</v>
      </c>
      <c r="F6226" s="2">
        <v>207851</v>
      </c>
      <c r="G6226" s="3" t="str">
        <f>HYPERLINK("http://funmeta.oebiotech.com/network/207851", "http://funmeta.oebiotech.com/network/207851")</f>
        <v>http://funmeta.oebiotech.com/network/207851</v>
      </c>
      <c r="H6226" s="2" t="s">
        <v>41270</v>
      </c>
      <c r="I6226" s="2"/>
      <c r="J6226" s="2"/>
      <c r="K6226" s="2"/>
      <c r="L6226" s="2"/>
      <c r="M6226" s="2"/>
      <c r="N6226" s="2"/>
      <c r="O6226" s="2">
        <v>435917</v>
      </c>
      <c r="P6226" s="2"/>
      <c r="Q6226" s="2" t="s">
        <v>41271</v>
      </c>
      <c r="R6226" s="2" t="s">
        <v>41272</v>
      </c>
      <c r="S6226" s="2" t="s">
        <v>115</v>
      </c>
      <c r="T6226" s="2" t="s">
        <v>2840</v>
      </c>
      <c r="U6226" s="2" t="s">
        <v>41</v>
      </c>
      <c r="V6226" s="2" t="s">
        <v>59</v>
      </c>
      <c r="W6226" s="2">
        <v>36.799999999999997</v>
      </c>
      <c r="X6226" s="2">
        <v>0</v>
      </c>
      <c r="Y6226" s="2" t="s">
        <v>43</v>
      </c>
      <c r="Z6226" s="2" t="s">
        <v>41273</v>
      </c>
      <c r="AA6226" s="2">
        <v>4.6624446857180999</v>
      </c>
      <c r="AB6226" s="2">
        <v>4.0471908166161898E-2</v>
      </c>
      <c r="AC6226" s="2">
        <v>9613.7865106239205</v>
      </c>
      <c r="AD6226" s="2">
        <v>9140.8351415060206</v>
      </c>
      <c r="AE6226" s="2">
        <v>7987.3770156560604</v>
      </c>
      <c r="AF6226" s="2">
        <v>8024.1658787452698</v>
      </c>
      <c r="AG6226" s="2">
        <v>9718.2424928824894</v>
      </c>
      <c r="AH6226" s="2">
        <v>10483.8248787622</v>
      </c>
      <c r="AI6226" s="2">
        <v>10595.177618789499</v>
      </c>
      <c r="AJ6226" s="2">
        <v>10873.931178908</v>
      </c>
      <c r="AK6226" s="2">
        <v>8117.5687766862302</v>
      </c>
      <c r="AL6226" s="2">
        <v>10187.0686716043</v>
      </c>
      <c r="AM6226" s="2">
        <v>9575.6713380559995</v>
      </c>
      <c r="AN6226" s="2">
        <v>9201.6660786954708</v>
      </c>
      <c r="AO6226" s="2">
        <v>9250.8907367617103</v>
      </c>
      <c r="AP6226" s="2">
        <v>8512.1452472323799</v>
      </c>
    </row>
    <row r="6227" spans="1:42" ht="14.5" x14ac:dyDescent="0.35">
      <c r="A6227" s="2" t="s">
        <v>41274</v>
      </c>
      <c r="B6227" s="2">
        <v>299.30557650385703</v>
      </c>
      <c r="C6227" s="2">
        <v>9.9781666666666702</v>
      </c>
      <c r="D6227" s="2" t="s">
        <v>34</v>
      </c>
      <c r="E6227" s="2" t="s">
        <v>41275</v>
      </c>
      <c r="F6227" s="2">
        <v>8567</v>
      </c>
      <c r="G6227" s="3" t="str">
        <f>HYPERLINK("http://funmeta.oebiotech.com/network/8567", "http://funmeta.oebiotech.com/network/8567")</f>
        <v>http://funmeta.oebiotech.com/network/8567</v>
      </c>
      <c r="H6227" s="2" t="s">
        <v>41276</v>
      </c>
      <c r="I6227" s="2">
        <v>4115</v>
      </c>
      <c r="J6227" s="2" t="s">
        <v>41277</v>
      </c>
      <c r="K6227" s="2">
        <v>116314</v>
      </c>
      <c r="L6227" s="2" t="s">
        <v>41278</v>
      </c>
      <c r="M6227" s="2"/>
      <c r="N6227" s="2"/>
      <c r="O6227" s="2">
        <v>5283387</v>
      </c>
      <c r="P6227" s="2" t="s">
        <v>41279</v>
      </c>
      <c r="Q6227" s="2" t="s">
        <v>41280</v>
      </c>
      <c r="R6227" s="2" t="s">
        <v>41281</v>
      </c>
      <c r="S6227" s="2" t="s">
        <v>50</v>
      </c>
      <c r="T6227" s="2" t="s">
        <v>229</v>
      </c>
      <c r="U6227" s="2" t="s">
        <v>645</v>
      </c>
      <c r="V6227" s="2" t="s">
        <v>59</v>
      </c>
      <c r="W6227" s="2">
        <v>39</v>
      </c>
      <c r="X6227" s="2">
        <v>0</v>
      </c>
      <c r="Y6227" s="2" t="s">
        <v>43</v>
      </c>
      <c r="Z6227" s="2" t="s">
        <v>41282</v>
      </c>
      <c r="AA6227" s="2">
        <v>-0.40449460977202201</v>
      </c>
      <c r="AB6227" s="2">
        <v>4.0466768964285797E-2</v>
      </c>
      <c r="AC6227" s="2">
        <v>3835.1459806411499</v>
      </c>
      <c r="AD6227" s="2">
        <v>4049.8256650780199</v>
      </c>
      <c r="AE6227" s="2">
        <v>3936.3383947860798</v>
      </c>
      <c r="AF6227" s="2">
        <v>3852.3324995286398</v>
      </c>
      <c r="AG6227" s="2">
        <v>3868.5212609577502</v>
      </c>
      <c r="AH6227" s="2">
        <v>3925.04446279378</v>
      </c>
      <c r="AI6227" s="2">
        <v>3707.9259079240301</v>
      </c>
      <c r="AJ6227" s="2">
        <v>3720.7133578566099</v>
      </c>
      <c r="AK6227" s="2">
        <v>4422.3278363436402</v>
      </c>
      <c r="AL6227" s="2">
        <v>4034.8410957493102</v>
      </c>
      <c r="AM6227" s="2">
        <v>4008.3696239649898</v>
      </c>
      <c r="AN6227" s="2">
        <v>4125.7776180994897</v>
      </c>
      <c r="AO6227" s="2">
        <v>4111.1687862926901</v>
      </c>
      <c r="AP6227" s="2">
        <v>3596.46903001799</v>
      </c>
    </row>
    <row r="6228" spans="1:42" ht="14.5" x14ac:dyDescent="0.35">
      <c r="A6228" s="2" t="s">
        <v>41283</v>
      </c>
      <c r="B6228" s="2">
        <v>423.00785696032602</v>
      </c>
      <c r="C6228" s="2">
        <v>8.8504500000000004</v>
      </c>
      <c r="D6228" s="2" t="s">
        <v>70</v>
      </c>
      <c r="E6228" s="2" t="s">
        <v>41284</v>
      </c>
      <c r="F6228" s="2">
        <v>201439</v>
      </c>
      <c r="G6228" s="3" t="str">
        <f>HYPERLINK("http://funmeta.oebiotech.com/network/201439", "http://funmeta.oebiotech.com/network/201439")</f>
        <v>http://funmeta.oebiotech.com/network/201439</v>
      </c>
      <c r="H6228" s="2" t="s">
        <v>41285</v>
      </c>
      <c r="I6228" s="2">
        <v>334360</v>
      </c>
      <c r="J6228" s="2"/>
      <c r="K6228" s="2">
        <v>73914</v>
      </c>
      <c r="L6228" s="2"/>
      <c r="M6228" s="2"/>
      <c r="N6228" s="2"/>
      <c r="O6228" s="2">
        <v>7433</v>
      </c>
      <c r="P6228" s="2"/>
      <c r="Q6228" s="2" t="s">
        <v>41286</v>
      </c>
      <c r="R6228" s="2" t="s">
        <v>41287</v>
      </c>
      <c r="S6228" s="2" t="s">
        <v>148</v>
      </c>
      <c r="T6228" s="2" t="s">
        <v>149</v>
      </c>
      <c r="U6228" s="2" t="s">
        <v>1593</v>
      </c>
      <c r="V6228" s="2" t="s">
        <v>59</v>
      </c>
      <c r="W6228" s="2">
        <v>38.799999999999997</v>
      </c>
      <c r="X6228" s="2">
        <v>0</v>
      </c>
      <c r="Y6228" s="2" t="s">
        <v>560</v>
      </c>
      <c r="Z6228" s="2" t="s">
        <v>41288</v>
      </c>
      <c r="AA6228" s="2">
        <v>2.9755673825614202</v>
      </c>
      <c r="AB6228" s="2">
        <v>4.0442621600828697E-2</v>
      </c>
      <c r="AC6228" s="2">
        <v>19245.7075179616</v>
      </c>
      <c r="AD6228" s="2">
        <v>19735.616405485602</v>
      </c>
      <c r="AE6228" s="2">
        <v>19386.039363571999</v>
      </c>
      <c r="AF6228" s="2">
        <v>20314.584286992402</v>
      </c>
      <c r="AG6228" s="2">
        <v>19834.3005571828</v>
      </c>
      <c r="AH6228" s="2">
        <v>19737.0176539122</v>
      </c>
      <c r="AI6228" s="2">
        <v>19741.323829478999</v>
      </c>
      <c r="AJ6228" s="2">
        <v>16460.979416630998</v>
      </c>
      <c r="AK6228" s="2">
        <v>19349.564572577601</v>
      </c>
      <c r="AL6228" s="2">
        <v>20360.563467914399</v>
      </c>
      <c r="AM6228" s="2">
        <v>20340.162210934799</v>
      </c>
      <c r="AN6228" s="2">
        <v>20586.630520160601</v>
      </c>
      <c r="AO6228" s="2">
        <v>19834.652738327401</v>
      </c>
      <c r="AP6228" s="2">
        <v>17942.124922998501</v>
      </c>
    </row>
    <row r="6229" spans="1:42" ht="14.5" x14ac:dyDescent="0.35">
      <c r="A6229" s="2" t="s">
        <v>41289</v>
      </c>
      <c r="B6229" s="2">
        <v>543.088288384473</v>
      </c>
      <c r="C6229" s="2">
        <v>4.3281833333333299</v>
      </c>
      <c r="D6229" s="2" t="s">
        <v>70</v>
      </c>
      <c r="E6229" s="2" t="s">
        <v>41290</v>
      </c>
      <c r="F6229" s="2">
        <v>274494</v>
      </c>
      <c r="G6229" s="3" t="str">
        <f>HYPERLINK("http://funmeta.oebiotech.com/network/274494", "http://funmeta.oebiotech.com/network/274494")</f>
        <v>http://funmeta.oebiotech.com/network/274494</v>
      </c>
      <c r="H6229" s="2"/>
      <c r="I6229" s="2">
        <v>64538</v>
      </c>
      <c r="J6229" s="2"/>
      <c r="K6229" s="2"/>
      <c r="L6229" s="2" t="s">
        <v>41291</v>
      </c>
      <c r="M6229" s="2" t="s">
        <v>41292</v>
      </c>
      <c r="N6229" s="2" t="s">
        <v>41293</v>
      </c>
      <c r="O6229" s="2">
        <v>441328</v>
      </c>
      <c r="P6229" s="2" t="s">
        <v>41294</v>
      </c>
      <c r="Q6229" s="2" t="s">
        <v>41295</v>
      </c>
      <c r="R6229" s="2" t="s">
        <v>41296</v>
      </c>
      <c r="S6229" s="2" t="s">
        <v>89</v>
      </c>
      <c r="T6229" s="2" t="s">
        <v>90</v>
      </c>
      <c r="U6229" s="2" t="s">
        <v>99</v>
      </c>
      <c r="V6229" s="2" t="s">
        <v>59</v>
      </c>
      <c r="W6229" s="2">
        <v>36.4</v>
      </c>
      <c r="X6229" s="2">
        <v>0</v>
      </c>
      <c r="Y6229" s="2" t="s">
        <v>560</v>
      </c>
      <c r="Z6229" s="2" t="s">
        <v>41297</v>
      </c>
      <c r="AA6229" s="2">
        <v>4.0063563590729396</v>
      </c>
      <c r="AB6229" s="2">
        <v>4.0416306648768302E-2</v>
      </c>
      <c r="AC6229" s="2">
        <v>1940.48111140642</v>
      </c>
      <c r="AD6229" s="2">
        <v>2342.4250554809601</v>
      </c>
      <c r="AE6229" s="2">
        <v>1837.9326034892799</v>
      </c>
      <c r="AF6229" s="2">
        <v>1459.7646974272</v>
      </c>
      <c r="AG6229" s="2">
        <v>2349.9172368909899</v>
      </c>
      <c r="AH6229" s="2">
        <v>1761.4218092379499</v>
      </c>
      <c r="AI6229" s="2">
        <v>1028.38243944645</v>
      </c>
      <c r="AJ6229" s="2">
        <v>3205.4678819466399</v>
      </c>
      <c r="AK6229" s="2">
        <v>1684.8778188538099</v>
      </c>
      <c r="AL6229" s="2">
        <v>2164.4450353525699</v>
      </c>
      <c r="AM6229" s="2">
        <v>3780.01609398555</v>
      </c>
      <c r="AN6229" s="2">
        <v>2594.54061322094</v>
      </c>
      <c r="AO6229" s="2">
        <v>1514.49668658109</v>
      </c>
      <c r="AP6229" s="2">
        <v>2316.1740848917898</v>
      </c>
    </row>
    <row r="6230" spans="1:42" ht="14.5" x14ac:dyDescent="0.35">
      <c r="A6230" s="2" t="s">
        <v>41298</v>
      </c>
      <c r="B6230" s="2">
        <v>309.041813628331</v>
      </c>
      <c r="C6230" s="2">
        <v>1.20376666666667</v>
      </c>
      <c r="D6230" s="2" t="s">
        <v>70</v>
      </c>
      <c r="E6230" s="2" t="s">
        <v>41299</v>
      </c>
      <c r="F6230" s="2">
        <v>48773</v>
      </c>
      <c r="G6230" s="3" t="str">
        <f>HYPERLINK("http://funmeta.oebiotech.com/network/48773", "http://funmeta.oebiotech.com/network/48773")</f>
        <v>http://funmeta.oebiotech.com/network/48773</v>
      </c>
      <c r="H6230" s="2" t="s">
        <v>41300</v>
      </c>
      <c r="I6230" s="2">
        <v>58456</v>
      </c>
      <c r="J6230" s="2"/>
      <c r="K6230" s="2">
        <v>30725</v>
      </c>
      <c r="L6230" s="2" t="s">
        <v>41301</v>
      </c>
      <c r="M6230" s="2" t="s">
        <v>13581</v>
      </c>
      <c r="N6230" s="2" t="s">
        <v>13582</v>
      </c>
      <c r="O6230" s="2">
        <v>104756</v>
      </c>
      <c r="P6230" s="2" t="s">
        <v>41302</v>
      </c>
      <c r="Q6230" s="2" t="s">
        <v>41303</v>
      </c>
      <c r="R6230" s="2" t="s">
        <v>41304</v>
      </c>
      <c r="S6230" s="2" t="s">
        <v>115</v>
      </c>
      <c r="T6230" s="2" t="s">
        <v>758</v>
      </c>
      <c r="U6230" s="2" t="s">
        <v>1477</v>
      </c>
      <c r="V6230" s="2" t="s">
        <v>59</v>
      </c>
      <c r="W6230" s="2">
        <v>36.5</v>
      </c>
      <c r="X6230" s="2">
        <v>0</v>
      </c>
      <c r="Y6230" s="2" t="s">
        <v>751</v>
      </c>
      <c r="Z6230" s="2" t="s">
        <v>41305</v>
      </c>
      <c r="AA6230" s="2">
        <v>4.1212996590906998</v>
      </c>
      <c r="AB6230" s="2">
        <v>4.0398947237760503E-2</v>
      </c>
      <c r="AC6230" s="2">
        <v>6068.3631840634498</v>
      </c>
      <c r="AD6230" s="2">
        <v>5664.4194286272104</v>
      </c>
      <c r="AE6230" s="2">
        <v>5941.95936360005</v>
      </c>
      <c r="AF6230" s="2">
        <v>6622.9963750933503</v>
      </c>
      <c r="AG6230" s="2">
        <v>6619.5898676300003</v>
      </c>
      <c r="AH6230" s="2">
        <v>6001.1345453637596</v>
      </c>
      <c r="AI6230" s="2">
        <v>5609.5129430376401</v>
      </c>
      <c r="AJ6230" s="2">
        <v>5614.9860096559096</v>
      </c>
      <c r="AK6230" s="2">
        <v>5747.4640838694504</v>
      </c>
      <c r="AL6230" s="2">
        <v>6442.7931668822603</v>
      </c>
      <c r="AM6230" s="2">
        <v>3591.3362590086599</v>
      </c>
      <c r="AN6230" s="2">
        <v>5930.17596180902</v>
      </c>
      <c r="AO6230" s="2">
        <v>6659.6497467136696</v>
      </c>
      <c r="AP6230" s="2">
        <v>5615.0973534802297</v>
      </c>
    </row>
    <row r="6231" spans="1:42" ht="14.5" x14ac:dyDescent="0.35">
      <c r="A6231" s="2" t="s">
        <v>41306</v>
      </c>
      <c r="B6231" s="2">
        <v>299.15971254598998</v>
      </c>
      <c r="C6231" s="2">
        <v>1.3109999999999999</v>
      </c>
      <c r="D6231" s="2" t="s">
        <v>34</v>
      </c>
      <c r="E6231" s="2" t="s">
        <v>41307</v>
      </c>
      <c r="F6231" s="2">
        <v>209464</v>
      </c>
      <c r="G6231" s="3" t="str">
        <f>HYPERLINK("http://funmeta.oebiotech.com/network/209464", "http://funmeta.oebiotech.com/network/209464")</f>
        <v>http://funmeta.oebiotech.com/network/209464</v>
      </c>
      <c r="H6231" s="2" t="s">
        <v>41308</v>
      </c>
      <c r="I6231" s="2"/>
      <c r="J6231" s="2"/>
      <c r="K6231" s="2"/>
      <c r="L6231" s="2"/>
      <c r="M6231" s="2"/>
      <c r="N6231" s="2"/>
      <c r="O6231" s="2">
        <v>14756452</v>
      </c>
      <c r="P6231" s="2"/>
      <c r="Q6231" s="2" t="s">
        <v>41309</v>
      </c>
      <c r="R6231" s="2" t="s">
        <v>41310</v>
      </c>
      <c r="S6231" s="2" t="s">
        <v>41</v>
      </c>
      <c r="T6231" s="2" t="s">
        <v>41</v>
      </c>
      <c r="U6231" s="2" t="s">
        <v>41</v>
      </c>
      <c r="V6231" s="2" t="s">
        <v>59</v>
      </c>
      <c r="W6231" s="2">
        <v>37.299999999999997</v>
      </c>
      <c r="X6231" s="2">
        <v>0</v>
      </c>
      <c r="Y6231" s="2" t="s">
        <v>43</v>
      </c>
      <c r="Z6231" s="2" t="s">
        <v>41311</v>
      </c>
      <c r="AA6231" s="2">
        <v>-1.54982264102634</v>
      </c>
      <c r="AB6231" s="2">
        <v>4.0364434744176302E-2</v>
      </c>
      <c r="AC6231" s="2">
        <v>5740.56095231783</v>
      </c>
      <c r="AD6231" s="2">
        <v>5398.8194504066596</v>
      </c>
      <c r="AE6231" s="2">
        <v>6612.2527692528201</v>
      </c>
      <c r="AF6231" s="2">
        <v>6135.2748361555496</v>
      </c>
      <c r="AG6231" s="2">
        <v>5185.3467043010796</v>
      </c>
      <c r="AH6231" s="2">
        <v>6061.6434891333301</v>
      </c>
      <c r="AI6231" s="2">
        <v>5608.4033205001597</v>
      </c>
      <c r="AJ6231" s="2">
        <v>4840.44459456405</v>
      </c>
      <c r="AK6231" s="2">
        <v>5819.9997284185902</v>
      </c>
      <c r="AL6231" s="2">
        <v>4597.6359922402398</v>
      </c>
      <c r="AM6231" s="2">
        <v>5546.8959065628896</v>
      </c>
      <c r="AN6231" s="2">
        <v>5478.6121945783298</v>
      </c>
      <c r="AO6231" s="2">
        <v>5778.3312237475002</v>
      </c>
      <c r="AP6231" s="2">
        <v>5171.4416568924198</v>
      </c>
    </row>
    <row r="6232" spans="1:42" ht="14.5" x14ac:dyDescent="0.35">
      <c r="A6232" s="2" t="s">
        <v>41312</v>
      </c>
      <c r="B6232" s="2">
        <v>379.21207930702298</v>
      </c>
      <c r="C6232" s="2">
        <v>7.5084166666666698</v>
      </c>
      <c r="D6232" s="2" t="s">
        <v>70</v>
      </c>
      <c r="E6232" s="2" t="s">
        <v>41313</v>
      </c>
      <c r="F6232" s="2">
        <v>3648</v>
      </c>
      <c r="G6232" s="3" t="str">
        <f>HYPERLINK("http://funmeta.oebiotech.com/network/3648", "http://funmeta.oebiotech.com/network/3648")</f>
        <v>http://funmeta.oebiotech.com/network/3648</v>
      </c>
      <c r="H6232" s="2" t="s">
        <v>41314</v>
      </c>
      <c r="I6232" s="2">
        <v>3464</v>
      </c>
      <c r="J6232" s="2" t="s">
        <v>41315</v>
      </c>
      <c r="K6232" s="2">
        <v>27485</v>
      </c>
      <c r="L6232" s="2" t="s">
        <v>41316</v>
      </c>
      <c r="M6232" s="2" t="s">
        <v>41317</v>
      </c>
      <c r="N6232" s="2" t="s">
        <v>41318</v>
      </c>
      <c r="O6232" s="2">
        <v>5280884</v>
      </c>
      <c r="P6232" s="2" t="s">
        <v>41319</v>
      </c>
      <c r="Q6232" s="2" t="s">
        <v>41320</v>
      </c>
      <c r="R6232" s="2" t="s">
        <v>41321</v>
      </c>
      <c r="S6232" s="2" t="s">
        <v>50</v>
      </c>
      <c r="T6232" s="2" t="s">
        <v>229</v>
      </c>
      <c r="U6232" s="2" t="s">
        <v>766</v>
      </c>
      <c r="V6232" s="2" t="s">
        <v>59</v>
      </c>
      <c r="W6232" s="2">
        <v>38.200000000000003</v>
      </c>
      <c r="X6232" s="2">
        <v>0</v>
      </c>
      <c r="Y6232" s="2" t="s">
        <v>408</v>
      </c>
      <c r="Z6232" s="2" t="s">
        <v>4611</v>
      </c>
      <c r="AA6232" s="2">
        <v>-1.5947945452405701</v>
      </c>
      <c r="AB6232" s="2">
        <v>4.0350981394125997E-2</v>
      </c>
      <c r="AC6232" s="2">
        <v>1227.8492191952901</v>
      </c>
      <c r="AD6232" s="2">
        <v>1042.8530847903301</v>
      </c>
      <c r="AE6232" s="2">
        <v>1146.1882099955301</v>
      </c>
      <c r="AF6232" s="2">
        <v>1197.9364512910799</v>
      </c>
      <c r="AG6232" s="2">
        <v>1150.3130966762101</v>
      </c>
      <c r="AH6232" s="2">
        <v>1369.12143458684</v>
      </c>
      <c r="AI6232" s="2">
        <v>1152.2901062318299</v>
      </c>
      <c r="AJ6232" s="2">
        <v>1351.2460163902499</v>
      </c>
      <c r="AK6232" s="2">
        <v>1242.6288499468001</v>
      </c>
      <c r="AL6232" s="2">
        <v>792.07439315135798</v>
      </c>
      <c r="AM6232" s="2">
        <v>1194.65042185582</v>
      </c>
      <c r="AN6232" s="2">
        <v>1069.1458360884701</v>
      </c>
      <c r="AO6232" s="2">
        <v>1057.5985314669001</v>
      </c>
      <c r="AP6232" s="2">
        <v>901.02047623261706</v>
      </c>
    </row>
    <row r="6233" spans="1:42" ht="14.5" x14ac:dyDescent="0.35">
      <c r="A6233" s="2" t="s">
        <v>41322</v>
      </c>
      <c r="B6233" s="2">
        <v>198.03994744978101</v>
      </c>
      <c r="C6233" s="2">
        <v>1.3287</v>
      </c>
      <c r="D6233" s="2" t="s">
        <v>34</v>
      </c>
      <c r="E6233" s="2" t="s">
        <v>41323</v>
      </c>
      <c r="F6233" s="2">
        <v>48938</v>
      </c>
      <c r="G6233" s="3" t="str">
        <f>HYPERLINK("http://funmeta.oebiotech.com/network/48938", "http://funmeta.oebiotech.com/network/48938")</f>
        <v>http://funmeta.oebiotech.com/network/48938</v>
      </c>
      <c r="H6233" s="2" t="s">
        <v>41324</v>
      </c>
      <c r="I6233" s="2">
        <v>327680</v>
      </c>
      <c r="J6233" s="2"/>
      <c r="K6233" s="2">
        <v>17978</v>
      </c>
      <c r="L6233" s="2" t="s">
        <v>41325</v>
      </c>
      <c r="M6233" s="2" t="s">
        <v>34077</v>
      </c>
      <c r="N6233" s="2" t="s">
        <v>34078</v>
      </c>
      <c r="O6233" s="2">
        <v>440403</v>
      </c>
      <c r="P6233" s="2"/>
      <c r="Q6233" s="2" t="s">
        <v>41326</v>
      </c>
      <c r="R6233" s="2" t="s">
        <v>41327</v>
      </c>
      <c r="S6233" s="2" t="s">
        <v>491</v>
      </c>
      <c r="T6233" s="2" t="s">
        <v>2238</v>
      </c>
      <c r="U6233" s="2" t="s">
        <v>15117</v>
      </c>
      <c r="V6233" s="2" t="s">
        <v>59</v>
      </c>
      <c r="W6233" s="2">
        <v>37.5</v>
      </c>
      <c r="X6233" s="2">
        <v>0</v>
      </c>
      <c r="Y6233" s="2" t="s">
        <v>394</v>
      </c>
      <c r="Z6233" s="2" t="s">
        <v>41328</v>
      </c>
      <c r="AA6233" s="2">
        <v>1.2621815659948901</v>
      </c>
      <c r="AB6233" s="2">
        <v>4.0297126514948399E-2</v>
      </c>
      <c r="AC6233" s="2">
        <v>1614.6148333348001</v>
      </c>
      <c r="AD6233" s="2">
        <v>1822.4705715027501</v>
      </c>
      <c r="AE6233" s="2">
        <v>1473.19617711146</v>
      </c>
      <c r="AF6233" s="2">
        <v>1855.8035748263801</v>
      </c>
      <c r="AG6233" s="2">
        <v>1557.77696686289</v>
      </c>
      <c r="AH6233" s="2">
        <v>1567.2694425879099</v>
      </c>
      <c r="AI6233" s="2">
        <v>1862.37070318259</v>
      </c>
      <c r="AJ6233" s="2">
        <v>1371.2721354375699</v>
      </c>
      <c r="AK6233" s="2">
        <v>1727.9632490756401</v>
      </c>
      <c r="AL6233" s="2">
        <v>1518.9897244384499</v>
      </c>
      <c r="AM6233" s="2">
        <v>1771.46626370392</v>
      </c>
      <c r="AN6233" s="2">
        <v>1976.58721792353</v>
      </c>
      <c r="AO6233" s="2">
        <v>2049.4458056414601</v>
      </c>
      <c r="AP6233" s="2">
        <v>1890.3711682335199</v>
      </c>
    </row>
    <row r="6234" spans="1:42" ht="14.5" x14ac:dyDescent="0.35">
      <c r="A6234" s="2" t="s">
        <v>41329</v>
      </c>
      <c r="B6234" s="2">
        <v>338.11359144108201</v>
      </c>
      <c r="C6234" s="2">
        <v>0.811483333333333</v>
      </c>
      <c r="D6234" s="2" t="s">
        <v>34</v>
      </c>
      <c r="E6234" s="2" t="s">
        <v>41330</v>
      </c>
      <c r="F6234" s="2">
        <v>201858</v>
      </c>
      <c r="G6234" s="3" t="str">
        <f>HYPERLINK("http://funmeta.oebiotech.com/network/201858", "http://funmeta.oebiotech.com/network/201858")</f>
        <v>http://funmeta.oebiotech.com/network/201858</v>
      </c>
      <c r="H6234" s="2" t="s">
        <v>41331</v>
      </c>
      <c r="I6234" s="2"/>
      <c r="J6234" s="2"/>
      <c r="K6234" s="2"/>
      <c r="L6234" s="2"/>
      <c r="M6234" s="2"/>
      <c r="N6234" s="2"/>
      <c r="O6234" s="2"/>
      <c r="P6234" s="2"/>
      <c r="Q6234" s="2" t="s">
        <v>41332</v>
      </c>
      <c r="R6234" s="2" t="s">
        <v>41333</v>
      </c>
      <c r="S6234" s="2" t="s">
        <v>148</v>
      </c>
      <c r="T6234" s="2" t="s">
        <v>149</v>
      </c>
      <c r="U6234" s="2" t="s">
        <v>1593</v>
      </c>
      <c r="V6234" s="2" t="s">
        <v>59</v>
      </c>
      <c r="W6234" s="2">
        <v>36.1</v>
      </c>
      <c r="X6234" s="2">
        <v>0</v>
      </c>
      <c r="Y6234" s="2" t="s">
        <v>394</v>
      </c>
      <c r="Z6234" s="2" t="s">
        <v>41334</v>
      </c>
      <c r="AA6234" s="2">
        <v>0.17512398884904901</v>
      </c>
      <c r="AB6234" s="2">
        <v>4.0237649481656E-2</v>
      </c>
      <c r="AC6234" s="2">
        <v>2797.9002670052901</v>
      </c>
      <c r="AD6234" s="2">
        <v>2414.9320491220801</v>
      </c>
      <c r="AE6234" s="2">
        <v>3374.7997799659001</v>
      </c>
      <c r="AF6234" s="2">
        <v>3048.3541730632401</v>
      </c>
      <c r="AG6234" s="2">
        <v>2086.1267133624801</v>
      </c>
      <c r="AH6234" s="2">
        <v>2834.1577494969101</v>
      </c>
      <c r="AI6234" s="2">
        <v>3593.7874140536201</v>
      </c>
      <c r="AJ6234" s="2">
        <v>1850.1757720896101</v>
      </c>
      <c r="AK6234" s="2">
        <v>1260.71062332428</v>
      </c>
      <c r="AL6234" s="2">
        <v>2042.50137566388</v>
      </c>
      <c r="AM6234" s="2">
        <v>2579.4605650466801</v>
      </c>
      <c r="AN6234" s="2">
        <v>3233.96343988228</v>
      </c>
      <c r="AO6234" s="2">
        <v>2736.3583696579999</v>
      </c>
      <c r="AP6234" s="2">
        <v>2636.5979211573399</v>
      </c>
    </row>
    <row r="6235" spans="1:42" ht="14.5" x14ac:dyDescent="0.35">
      <c r="A6235" s="2" t="s">
        <v>41335</v>
      </c>
      <c r="B6235" s="2">
        <v>413.08510299938098</v>
      </c>
      <c r="C6235" s="2">
        <v>3.7303666666666699</v>
      </c>
      <c r="D6235" s="2" t="s">
        <v>70</v>
      </c>
      <c r="E6235" s="2" t="s">
        <v>41336</v>
      </c>
      <c r="F6235" s="2">
        <v>207698</v>
      </c>
      <c r="G6235" s="3" t="str">
        <f>HYPERLINK("http://funmeta.oebiotech.com/network/207698", "http://funmeta.oebiotech.com/network/207698")</f>
        <v>http://funmeta.oebiotech.com/network/207698</v>
      </c>
      <c r="H6235" s="2" t="s">
        <v>41337</v>
      </c>
      <c r="I6235" s="2"/>
      <c r="J6235" s="2"/>
      <c r="K6235" s="2"/>
      <c r="L6235" s="2"/>
      <c r="M6235" s="2"/>
      <c r="N6235" s="2"/>
      <c r="O6235" s="2">
        <v>129941</v>
      </c>
      <c r="P6235" s="2"/>
      <c r="Q6235" s="2" t="s">
        <v>41338</v>
      </c>
      <c r="R6235" s="2" t="s">
        <v>41339</v>
      </c>
      <c r="S6235" s="2" t="s">
        <v>41</v>
      </c>
      <c r="T6235" s="2" t="s">
        <v>41</v>
      </c>
      <c r="U6235" s="2" t="s">
        <v>41</v>
      </c>
      <c r="V6235" s="2" t="s">
        <v>59</v>
      </c>
      <c r="W6235" s="2">
        <v>38.4</v>
      </c>
      <c r="X6235" s="2">
        <v>0</v>
      </c>
      <c r="Y6235" s="2" t="s">
        <v>560</v>
      </c>
      <c r="Z6235" s="2" t="s">
        <v>41340</v>
      </c>
      <c r="AA6235" s="2">
        <v>-2.1406138950048699</v>
      </c>
      <c r="AB6235" s="2">
        <v>4.0201287937096E-2</v>
      </c>
      <c r="AC6235" s="2">
        <v>4154.4470000848596</v>
      </c>
      <c r="AD6235" s="2">
        <v>4472.1738550055197</v>
      </c>
      <c r="AE6235" s="2">
        <v>4280.7578366498801</v>
      </c>
      <c r="AF6235" s="2">
        <v>4543.8576103632004</v>
      </c>
      <c r="AG6235" s="2">
        <v>3671.70383473833</v>
      </c>
      <c r="AH6235" s="2">
        <v>4052.8720437760999</v>
      </c>
      <c r="AI6235" s="2">
        <v>4312.2167749721602</v>
      </c>
      <c r="AJ6235" s="2">
        <v>4065.2739000094598</v>
      </c>
      <c r="AK6235" s="2">
        <v>4708.1986463046496</v>
      </c>
      <c r="AL6235" s="2">
        <v>4009.9838880502898</v>
      </c>
      <c r="AM6235" s="2">
        <v>4270.6139971493003</v>
      </c>
      <c r="AN6235" s="2">
        <v>4375.31428550497</v>
      </c>
      <c r="AO6235" s="2">
        <v>3859.8050438524701</v>
      </c>
      <c r="AP6235" s="2">
        <v>5609.1272691714503</v>
      </c>
    </row>
    <row r="6236" spans="1:42" ht="14.5" x14ac:dyDescent="0.35">
      <c r="A6236" s="2" t="s">
        <v>41341</v>
      </c>
      <c r="B6236" s="2">
        <v>272.00730976287002</v>
      </c>
      <c r="C6236" s="2">
        <v>1.2567999999999999</v>
      </c>
      <c r="D6236" s="2" t="s">
        <v>34</v>
      </c>
      <c r="E6236" s="2" t="s">
        <v>41342</v>
      </c>
      <c r="F6236" s="2">
        <v>293032</v>
      </c>
      <c r="G6236" s="3" t="str">
        <f>HYPERLINK("http://funmeta.oebiotech.com/network/293032", "http://funmeta.oebiotech.com/network/293032")</f>
        <v>http://funmeta.oebiotech.com/network/293032</v>
      </c>
      <c r="H6236" s="2"/>
      <c r="I6236" s="2">
        <v>316843</v>
      </c>
      <c r="J6236" s="2"/>
      <c r="K6236" s="2"/>
      <c r="L6236" s="2"/>
      <c r="M6236" s="2"/>
      <c r="N6236" s="2"/>
      <c r="O6236" s="2">
        <v>35969</v>
      </c>
      <c r="P6236" s="2"/>
      <c r="Q6236" s="2" t="s">
        <v>41343</v>
      </c>
      <c r="R6236" s="2" t="s">
        <v>41344</v>
      </c>
      <c r="S6236" s="2" t="s">
        <v>491</v>
      </c>
      <c r="T6236" s="2" t="s">
        <v>39691</v>
      </c>
      <c r="U6236" s="2" t="s">
        <v>41</v>
      </c>
      <c r="V6236" s="2" t="s">
        <v>59</v>
      </c>
      <c r="W6236" s="2">
        <v>36.4</v>
      </c>
      <c r="X6236" s="2">
        <v>1.31</v>
      </c>
      <c r="Y6236" s="2" t="s">
        <v>394</v>
      </c>
      <c r="Z6236" s="2" t="s">
        <v>41345</v>
      </c>
      <c r="AA6236" s="2">
        <v>-2.3526476079313801</v>
      </c>
      <c r="AB6236" s="2">
        <v>4.0193937669275301E-2</v>
      </c>
      <c r="AC6236" s="2">
        <v>14446.6941804418</v>
      </c>
      <c r="AD6236" s="2">
        <v>15028.971358631299</v>
      </c>
      <c r="AE6236" s="2">
        <v>14094.8827107939</v>
      </c>
      <c r="AF6236" s="2">
        <v>15139.1864514756</v>
      </c>
      <c r="AG6236" s="2">
        <v>14236.5659128726</v>
      </c>
      <c r="AH6236" s="2">
        <v>17715.699897319999</v>
      </c>
      <c r="AI6236" s="2">
        <v>13480.8274866884</v>
      </c>
      <c r="AJ6236" s="2">
        <v>12013.002623500201</v>
      </c>
      <c r="AK6236" s="2">
        <v>17606.067528337499</v>
      </c>
      <c r="AL6236" s="2">
        <v>15070.364616229799</v>
      </c>
      <c r="AM6236" s="2">
        <v>14142.148498062301</v>
      </c>
      <c r="AN6236" s="2">
        <v>14468.557866261001</v>
      </c>
      <c r="AO6236" s="2">
        <v>15206.3711060562</v>
      </c>
      <c r="AP6236" s="2">
        <v>13680.3185368412</v>
      </c>
    </row>
    <row r="6237" spans="1:42" ht="14.5" x14ac:dyDescent="0.35">
      <c r="A6237" s="2" t="s">
        <v>41346</v>
      </c>
      <c r="B6237" s="2">
        <v>177.03005843980301</v>
      </c>
      <c r="C6237" s="2">
        <v>2.1257333333333301</v>
      </c>
      <c r="D6237" s="2" t="s">
        <v>34</v>
      </c>
      <c r="E6237" s="2" t="s">
        <v>41347</v>
      </c>
      <c r="F6237" s="2">
        <v>48273</v>
      </c>
      <c r="G6237" s="3" t="str">
        <f>HYPERLINK("http://funmeta.oebiotech.com/network/48273", "http://funmeta.oebiotech.com/network/48273")</f>
        <v>http://funmeta.oebiotech.com/network/48273</v>
      </c>
      <c r="H6237" s="2" t="s">
        <v>41348</v>
      </c>
      <c r="I6237" s="2">
        <v>7044</v>
      </c>
      <c r="J6237" s="2"/>
      <c r="K6237" s="2">
        <v>1879</v>
      </c>
      <c r="L6237" s="2" t="s">
        <v>41349</v>
      </c>
      <c r="M6237" s="2" t="s">
        <v>22392</v>
      </c>
      <c r="N6237" s="2" t="s">
        <v>22393</v>
      </c>
      <c r="O6237" s="2">
        <v>10393</v>
      </c>
      <c r="P6237" s="2" t="s">
        <v>41350</v>
      </c>
      <c r="Q6237" s="2" t="s">
        <v>41351</v>
      </c>
      <c r="R6237" s="2" t="s">
        <v>41352</v>
      </c>
      <c r="S6237" s="2" t="s">
        <v>148</v>
      </c>
      <c r="T6237" s="2" t="s">
        <v>392</v>
      </c>
      <c r="U6237" s="2" t="s">
        <v>14542</v>
      </c>
      <c r="V6237" s="2" t="s">
        <v>59</v>
      </c>
      <c r="W6237" s="2">
        <v>37.6</v>
      </c>
      <c r="X6237" s="2">
        <v>0</v>
      </c>
      <c r="Y6237" s="2" t="s">
        <v>340</v>
      </c>
      <c r="Z6237" s="2" t="s">
        <v>41353</v>
      </c>
      <c r="AA6237" s="2">
        <v>-8.5407142702414092</v>
      </c>
      <c r="AB6237" s="2">
        <v>4.01848744100963E-2</v>
      </c>
      <c r="AC6237" s="2">
        <v>1066.24382008108</v>
      </c>
      <c r="AD6237" s="2">
        <v>895.02187149904398</v>
      </c>
      <c r="AE6237" s="2">
        <v>1100.6062505074799</v>
      </c>
      <c r="AF6237" s="2">
        <v>1093.5169116321799</v>
      </c>
      <c r="AG6237" s="2">
        <v>952.43567885262803</v>
      </c>
      <c r="AH6237" s="2">
        <v>1068.0951693816201</v>
      </c>
      <c r="AI6237" s="2">
        <v>1087.0568710335599</v>
      </c>
      <c r="AJ6237" s="2">
        <v>1095.752039079</v>
      </c>
      <c r="AK6237" s="2">
        <v>728.71657074727204</v>
      </c>
      <c r="AL6237" s="2">
        <v>1028.2080695740899</v>
      </c>
      <c r="AM6237" s="2">
        <v>772.14445883441601</v>
      </c>
      <c r="AN6237" s="2">
        <v>1087.28947832622</v>
      </c>
      <c r="AO6237" s="2">
        <v>762.80365153893501</v>
      </c>
      <c r="AP6237" s="2">
        <v>990.96899997333196</v>
      </c>
    </row>
    <row r="6238" spans="1:42" ht="14.5" x14ac:dyDescent="0.35">
      <c r="A6238" s="2" t="s">
        <v>41354</v>
      </c>
      <c r="B6238" s="2">
        <v>619.28873639671303</v>
      </c>
      <c r="C6238" s="2">
        <v>10.141083333333301</v>
      </c>
      <c r="D6238" s="2" t="s">
        <v>70</v>
      </c>
      <c r="E6238" s="2" t="s">
        <v>41355</v>
      </c>
      <c r="F6238" s="2">
        <v>52557</v>
      </c>
      <c r="G6238" s="3" t="str">
        <f>HYPERLINK("http://funmeta.oebiotech.com/network/52557", "http://funmeta.oebiotech.com/network/52557")</f>
        <v>http://funmeta.oebiotech.com/network/52557</v>
      </c>
      <c r="H6238" s="2" t="s">
        <v>41356</v>
      </c>
      <c r="I6238" s="2">
        <v>1782</v>
      </c>
      <c r="J6238" s="2"/>
      <c r="K6238" s="2"/>
      <c r="L6238" s="2" t="s">
        <v>41357</v>
      </c>
      <c r="M6238" s="2" t="s">
        <v>11721</v>
      </c>
      <c r="N6238" s="2" t="s">
        <v>11722</v>
      </c>
      <c r="O6238" s="2">
        <v>162180</v>
      </c>
      <c r="P6238" s="2" t="s">
        <v>41358</v>
      </c>
      <c r="Q6238" s="2" t="s">
        <v>41359</v>
      </c>
      <c r="R6238" s="2" t="s">
        <v>41360</v>
      </c>
      <c r="S6238" s="2" t="s">
        <v>148</v>
      </c>
      <c r="T6238" s="2" t="s">
        <v>149</v>
      </c>
      <c r="U6238" s="2" t="s">
        <v>25346</v>
      </c>
      <c r="V6238" s="2" t="s">
        <v>59</v>
      </c>
      <c r="W6238" s="2">
        <v>39.299999999999997</v>
      </c>
      <c r="X6238" s="2">
        <v>0</v>
      </c>
      <c r="Y6238" s="2" t="s">
        <v>560</v>
      </c>
      <c r="Z6238" s="2" t="s">
        <v>41361</v>
      </c>
      <c r="AA6238" s="2">
        <v>-0.43541816084808899</v>
      </c>
      <c r="AB6238" s="2">
        <v>4.0129562817244599E-2</v>
      </c>
      <c r="AC6238" s="2">
        <v>447.047388096264</v>
      </c>
      <c r="AD6238" s="2">
        <v>246.94293437408899</v>
      </c>
      <c r="AE6238" s="2">
        <v>357.30480852836598</v>
      </c>
      <c r="AF6238" s="2">
        <v>364.41668919886899</v>
      </c>
      <c r="AG6238" s="2">
        <v>268.75737478596</v>
      </c>
      <c r="AH6238" s="2">
        <v>664.84842259416598</v>
      </c>
      <c r="AI6238" s="2">
        <v>323.16739016408701</v>
      </c>
      <c r="AJ6238" s="2">
        <v>703.78964330613496</v>
      </c>
      <c r="AK6238" s="2">
        <v>353.565510199784</v>
      </c>
      <c r="AL6238" s="2">
        <v>503.37297359368699</v>
      </c>
      <c r="AM6238" s="2">
        <v>284.33215964283801</v>
      </c>
      <c r="AN6238" s="2">
        <v>156.309373400851</v>
      </c>
      <c r="AO6238" s="2">
        <v>156.18175564411499</v>
      </c>
      <c r="AP6238" s="2">
        <v>27.8958337632595</v>
      </c>
    </row>
    <row r="6239" spans="1:42" ht="14.5" x14ac:dyDescent="0.35">
      <c r="A6239" s="2" t="s">
        <v>41362</v>
      </c>
      <c r="B6239" s="2">
        <v>585.15351969559595</v>
      </c>
      <c r="C6239" s="2">
        <v>11.1346666666667</v>
      </c>
      <c r="D6239" s="2" t="s">
        <v>70</v>
      </c>
      <c r="E6239" s="2" t="s">
        <v>41363</v>
      </c>
      <c r="F6239" s="2">
        <v>211989</v>
      </c>
      <c r="G6239" s="3" t="str">
        <f>HYPERLINK("http://funmeta.oebiotech.com/network/211989", "http://funmeta.oebiotech.com/network/211989")</f>
        <v>http://funmeta.oebiotech.com/network/211989</v>
      </c>
      <c r="H6239" s="2" t="s">
        <v>41364</v>
      </c>
      <c r="I6239" s="2"/>
      <c r="J6239" s="2"/>
      <c r="K6239" s="2">
        <v>87662</v>
      </c>
      <c r="L6239" s="2"/>
      <c r="M6239" s="2"/>
      <c r="N6239" s="2"/>
      <c r="O6239" s="2">
        <v>2726045</v>
      </c>
      <c r="P6239" s="2"/>
      <c r="Q6239" s="2" t="s">
        <v>41365</v>
      </c>
      <c r="R6239" s="2" t="s">
        <v>41366</v>
      </c>
      <c r="S6239" s="2" t="s">
        <v>491</v>
      </c>
      <c r="T6239" s="2" t="s">
        <v>2251</v>
      </c>
      <c r="U6239" s="2" t="s">
        <v>2252</v>
      </c>
      <c r="V6239" s="2" t="s">
        <v>59</v>
      </c>
      <c r="W6239" s="2">
        <v>38</v>
      </c>
      <c r="X6239" s="2">
        <v>0</v>
      </c>
      <c r="Y6239" s="2" t="s">
        <v>560</v>
      </c>
      <c r="Z6239" s="2" t="s">
        <v>41367</v>
      </c>
      <c r="AA6239" s="2">
        <v>1.2175443495993199</v>
      </c>
      <c r="AB6239" s="2">
        <v>4.0110380183543501E-2</v>
      </c>
      <c r="AC6239" s="2">
        <v>1499.88323488366</v>
      </c>
      <c r="AD6239" s="2">
        <v>1142.97566620373</v>
      </c>
      <c r="AE6239" s="2">
        <v>2318.7112397657402</v>
      </c>
      <c r="AF6239" s="2">
        <v>783.09250390490195</v>
      </c>
      <c r="AG6239" s="2">
        <v>1247.7147694257999</v>
      </c>
      <c r="AH6239" s="2">
        <v>2574.4024017296501</v>
      </c>
      <c r="AI6239" s="2">
        <v>887.247187814163</v>
      </c>
      <c r="AJ6239" s="2">
        <v>1188.1313066617299</v>
      </c>
      <c r="AK6239" s="2">
        <v>964.09651914891799</v>
      </c>
      <c r="AL6239" s="2">
        <v>885.01533079476599</v>
      </c>
      <c r="AM6239" s="2">
        <v>1030.7798004864201</v>
      </c>
      <c r="AN6239" s="2">
        <v>1000.52960629035</v>
      </c>
      <c r="AO6239" s="2">
        <v>2129.18277870676</v>
      </c>
      <c r="AP6239" s="2">
        <v>848.24996179516302</v>
      </c>
    </row>
    <row r="6240" spans="1:42" ht="14.5" x14ac:dyDescent="0.35">
      <c r="A6240" s="2" t="s">
        <v>41368</v>
      </c>
      <c r="B6240" s="2">
        <v>237.14840119328801</v>
      </c>
      <c r="C6240" s="2">
        <v>4.64978333333333</v>
      </c>
      <c r="D6240" s="2" t="s">
        <v>34</v>
      </c>
      <c r="E6240" s="2" t="s">
        <v>41369</v>
      </c>
      <c r="F6240" s="2">
        <v>58479</v>
      </c>
      <c r="G6240" s="3" t="str">
        <f>HYPERLINK("http://funmeta.oebiotech.com/network/58479", "http://funmeta.oebiotech.com/network/58479")</f>
        <v>http://funmeta.oebiotech.com/network/58479</v>
      </c>
      <c r="H6240" s="2" t="s">
        <v>41370</v>
      </c>
      <c r="I6240" s="2">
        <v>70285</v>
      </c>
      <c r="J6240" s="2"/>
      <c r="K6240" s="2">
        <v>17879</v>
      </c>
      <c r="L6240" s="2" t="s">
        <v>41371</v>
      </c>
      <c r="M6240" s="2"/>
      <c r="N6240" s="2"/>
      <c r="O6240" s="2">
        <v>14138</v>
      </c>
      <c r="P6240" s="2" t="s">
        <v>41372</v>
      </c>
      <c r="Q6240" s="2" t="s">
        <v>41373</v>
      </c>
      <c r="R6240" s="2" t="s">
        <v>41374</v>
      </c>
      <c r="S6240" s="2" t="s">
        <v>148</v>
      </c>
      <c r="T6240" s="2" t="s">
        <v>149</v>
      </c>
      <c r="U6240" s="2" t="s">
        <v>1593</v>
      </c>
      <c r="V6240" s="2" t="s">
        <v>59</v>
      </c>
      <c r="W6240" s="2">
        <v>39</v>
      </c>
      <c r="X6240" s="2">
        <v>0</v>
      </c>
      <c r="Y6240" s="2" t="s">
        <v>266</v>
      </c>
      <c r="Z6240" s="2" t="s">
        <v>38669</v>
      </c>
      <c r="AA6240" s="2">
        <v>-0.50706428757363797</v>
      </c>
      <c r="AB6240" s="2">
        <v>4.00400893549211E-2</v>
      </c>
      <c r="AC6240" s="2">
        <v>55244.034354474803</v>
      </c>
      <c r="AD6240" s="2">
        <v>55903.030861230996</v>
      </c>
      <c r="AE6240" s="2">
        <v>54754.784369114001</v>
      </c>
      <c r="AF6240" s="2">
        <v>56411.000323157998</v>
      </c>
      <c r="AG6240" s="2">
        <v>58026.279192477901</v>
      </c>
      <c r="AH6240" s="2">
        <v>51886.073415201099</v>
      </c>
      <c r="AI6240" s="2">
        <v>56141.872028926999</v>
      </c>
      <c r="AJ6240" s="2">
        <v>54244.196797971003</v>
      </c>
      <c r="AK6240" s="2">
        <v>54214.769261716101</v>
      </c>
      <c r="AL6240" s="2">
        <v>58741.769489951002</v>
      </c>
      <c r="AM6240" s="2">
        <v>56557.0310812198</v>
      </c>
      <c r="AN6240" s="2">
        <v>56357.191757979701</v>
      </c>
      <c r="AO6240" s="2">
        <v>57274.808515598103</v>
      </c>
      <c r="AP6240" s="2">
        <v>52272.615060921496</v>
      </c>
    </row>
    <row r="6241" spans="1:42" ht="14.5" x14ac:dyDescent="0.35">
      <c r="A6241" s="2" t="s">
        <v>41375</v>
      </c>
      <c r="B6241" s="2">
        <v>284.09257643524597</v>
      </c>
      <c r="C6241" s="2">
        <v>7.9437333333333298</v>
      </c>
      <c r="D6241" s="2" t="s">
        <v>70</v>
      </c>
      <c r="E6241" s="2" t="s">
        <v>41376</v>
      </c>
      <c r="F6241" s="2">
        <v>55003</v>
      </c>
      <c r="G6241" s="3" t="str">
        <f>HYPERLINK("http://funmeta.oebiotech.com/network/55003", "http://funmeta.oebiotech.com/network/55003")</f>
        <v>http://funmeta.oebiotech.com/network/55003</v>
      </c>
      <c r="H6241" s="2" t="s">
        <v>41377</v>
      </c>
      <c r="I6241" s="2">
        <v>68458</v>
      </c>
      <c r="J6241" s="2"/>
      <c r="K6241" s="2">
        <v>375808</v>
      </c>
      <c r="L6241" s="2" t="s">
        <v>41378</v>
      </c>
      <c r="M6241" s="2"/>
      <c r="N6241" s="2"/>
      <c r="O6241" s="2">
        <v>5281832</v>
      </c>
      <c r="P6241" s="2" t="s">
        <v>41379</v>
      </c>
      <c r="Q6241" s="2" t="s">
        <v>41380</v>
      </c>
      <c r="R6241" s="2" t="s">
        <v>41381</v>
      </c>
      <c r="S6241" s="2" t="s">
        <v>491</v>
      </c>
      <c r="T6241" s="2" t="s">
        <v>1516</v>
      </c>
      <c r="U6241" s="2" t="s">
        <v>5958</v>
      </c>
      <c r="V6241" s="2" t="s">
        <v>59</v>
      </c>
      <c r="W6241" s="2">
        <v>39</v>
      </c>
      <c r="X6241" s="2">
        <v>0</v>
      </c>
      <c r="Y6241" s="2" t="s">
        <v>118</v>
      </c>
      <c r="Z6241" s="2" t="s">
        <v>41382</v>
      </c>
      <c r="AA6241" s="2">
        <v>-0.89476235535592497</v>
      </c>
      <c r="AB6241" s="2">
        <v>3.9993904547886601E-2</v>
      </c>
      <c r="AC6241" s="2">
        <v>4435.4970756630601</v>
      </c>
      <c r="AD6241" s="2">
        <v>4182.9865078694602</v>
      </c>
      <c r="AE6241" s="2">
        <v>4105.4067064575001</v>
      </c>
      <c r="AF6241" s="2">
        <v>4314.0949588971998</v>
      </c>
      <c r="AG6241" s="2">
        <v>4347.6049677154597</v>
      </c>
      <c r="AH6241" s="2">
        <v>4683.6087271996603</v>
      </c>
      <c r="AI6241" s="2">
        <v>4378.9723246002004</v>
      </c>
      <c r="AJ6241" s="2">
        <v>4783.29476910834</v>
      </c>
      <c r="AK6241" s="2">
        <v>4064.5797776546801</v>
      </c>
      <c r="AL6241" s="2">
        <v>3607.09004961749</v>
      </c>
      <c r="AM6241" s="2">
        <v>4459.1864556394603</v>
      </c>
      <c r="AN6241" s="2">
        <v>4530.6982892086398</v>
      </c>
      <c r="AO6241" s="2">
        <v>4182.5776237543896</v>
      </c>
      <c r="AP6241" s="2">
        <v>4253.7868513421299</v>
      </c>
    </row>
    <row r="6242" spans="1:42" ht="14.5" x14ac:dyDescent="0.35">
      <c r="A6242" s="2" t="s">
        <v>41383</v>
      </c>
      <c r="B6242" s="2">
        <v>433.17080344379798</v>
      </c>
      <c r="C6242" s="2">
        <v>4.2764166666666696</v>
      </c>
      <c r="D6242" s="2" t="s">
        <v>70</v>
      </c>
      <c r="E6242" s="2" t="s">
        <v>41384</v>
      </c>
      <c r="F6242" s="2">
        <v>64847</v>
      </c>
      <c r="G6242" s="3" t="str">
        <f>HYPERLINK("http://funmeta.oebiotech.com/network/64847", "http://funmeta.oebiotech.com/network/64847")</f>
        <v>http://funmeta.oebiotech.com/network/64847</v>
      </c>
      <c r="H6242" s="2" t="s">
        <v>41385</v>
      </c>
      <c r="I6242" s="2">
        <v>96142</v>
      </c>
      <c r="J6242" s="2"/>
      <c r="K6242" s="2"/>
      <c r="L6242" s="2"/>
      <c r="M6242" s="2"/>
      <c r="N6242" s="2"/>
      <c r="O6242" s="2">
        <v>15352</v>
      </c>
      <c r="P6242" s="2" t="s">
        <v>41386</v>
      </c>
      <c r="Q6242" s="2" t="s">
        <v>41387</v>
      </c>
      <c r="R6242" s="2" t="s">
        <v>41388</v>
      </c>
      <c r="S6242" s="2" t="s">
        <v>148</v>
      </c>
      <c r="T6242" s="2" t="s">
        <v>16716</v>
      </c>
      <c r="U6242" s="2" t="s">
        <v>41</v>
      </c>
      <c r="V6242" s="2" t="s">
        <v>59</v>
      </c>
      <c r="W6242" s="2">
        <v>38.4</v>
      </c>
      <c r="X6242" s="2">
        <v>0</v>
      </c>
      <c r="Y6242" s="2" t="s">
        <v>560</v>
      </c>
      <c r="Z6242" s="2" t="s">
        <v>41389</v>
      </c>
      <c r="AA6242" s="2">
        <v>-0.50403104571007595</v>
      </c>
      <c r="AB6242" s="2">
        <v>3.9950334858815703E-2</v>
      </c>
      <c r="AC6242" s="2">
        <v>15292.227527355901</v>
      </c>
      <c r="AD6242" s="2">
        <v>14659.358763660701</v>
      </c>
      <c r="AE6242" s="2">
        <v>18706.137465916701</v>
      </c>
      <c r="AF6242" s="2">
        <v>13250.2562876914</v>
      </c>
      <c r="AG6242" s="2">
        <v>15669.560700842399</v>
      </c>
      <c r="AH6242" s="2">
        <v>14751.018856107499</v>
      </c>
      <c r="AI6242" s="2">
        <v>15518.631304030399</v>
      </c>
      <c r="AJ6242" s="2">
        <v>13857.7605495473</v>
      </c>
      <c r="AK6242" s="2">
        <v>18073.7840375983</v>
      </c>
      <c r="AL6242" s="2">
        <v>12985.5024353384</v>
      </c>
      <c r="AM6242" s="2">
        <v>16351.106766787099</v>
      </c>
      <c r="AN6242" s="2">
        <v>13754.879878130299</v>
      </c>
      <c r="AO6242" s="2">
        <v>14503.3791820848</v>
      </c>
      <c r="AP6242" s="2">
        <v>12287.500282025299</v>
      </c>
    </row>
    <row r="6243" spans="1:42" ht="14.5" x14ac:dyDescent="0.35">
      <c r="A6243" s="2" t="s">
        <v>41390</v>
      </c>
      <c r="B6243" s="2">
        <v>331.12920267080102</v>
      </c>
      <c r="C6243" s="2">
        <v>3.7870499999999998</v>
      </c>
      <c r="D6243" s="2" t="s">
        <v>70</v>
      </c>
      <c r="E6243" s="2" t="s">
        <v>41391</v>
      </c>
      <c r="F6243" s="2">
        <v>211748</v>
      </c>
      <c r="G6243" s="3" t="str">
        <f>HYPERLINK("http://funmeta.oebiotech.com/network/211748", "http://funmeta.oebiotech.com/network/211748")</f>
        <v>http://funmeta.oebiotech.com/network/211748</v>
      </c>
      <c r="H6243" s="2" t="s">
        <v>41392</v>
      </c>
      <c r="I6243" s="2">
        <v>72766</v>
      </c>
      <c r="J6243" s="2"/>
      <c r="K6243" s="2"/>
      <c r="L6243" s="2" t="s">
        <v>41393</v>
      </c>
      <c r="M6243" s="2"/>
      <c r="N6243" s="2"/>
      <c r="O6243" s="2">
        <v>9037</v>
      </c>
      <c r="P6243" s="2" t="s">
        <v>41394</v>
      </c>
      <c r="Q6243" s="2" t="s">
        <v>41395</v>
      </c>
      <c r="R6243" s="2" t="s">
        <v>41396</v>
      </c>
      <c r="S6243" s="2" t="s">
        <v>89</v>
      </c>
      <c r="T6243" s="2" t="s">
        <v>894</v>
      </c>
      <c r="U6243" s="2" t="s">
        <v>37419</v>
      </c>
      <c r="V6243" s="2" t="s">
        <v>59</v>
      </c>
      <c r="W6243" s="2">
        <v>38.6</v>
      </c>
      <c r="X6243" s="2">
        <v>0</v>
      </c>
      <c r="Y6243" s="2" t="s">
        <v>408</v>
      </c>
      <c r="Z6243" s="2" t="s">
        <v>41397</v>
      </c>
      <c r="AA6243" s="2">
        <v>-4.7673976488613503</v>
      </c>
      <c r="AB6243" s="2">
        <v>3.9921250192739503E-2</v>
      </c>
      <c r="AC6243" s="2">
        <v>12973.4492732624</v>
      </c>
      <c r="AD6243" s="2">
        <v>13436.599107866299</v>
      </c>
      <c r="AE6243" s="2">
        <v>13398.7356965365</v>
      </c>
      <c r="AF6243" s="2">
        <v>11539.693663325101</v>
      </c>
      <c r="AG6243" s="2">
        <v>12683.953322015301</v>
      </c>
      <c r="AH6243" s="2">
        <v>13069.758245592</v>
      </c>
      <c r="AI6243" s="2">
        <v>13032.900528615401</v>
      </c>
      <c r="AJ6243" s="2">
        <v>14115.6541834898</v>
      </c>
      <c r="AK6243" s="2">
        <v>14479.770268506199</v>
      </c>
      <c r="AL6243" s="2">
        <v>13359.2976412725</v>
      </c>
      <c r="AM6243" s="2">
        <v>12704.9119191758</v>
      </c>
      <c r="AN6243" s="2">
        <v>11651.4816595499</v>
      </c>
      <c r="AO6243" s="2">
        <v>13232.1444705223</v>
      </c>
      <c r="AP6243" s="2">
        <v>15191.988688170901</v>
      </c>
    </row>
    <row r="6244" spans="1:42" ht="14.5" x14ac:dyDescent="0.35">
      <c r="A6244" s="2" t="s">
        <v>41398</v>
      </c>
      <c r="B6244" s="2">
        <v>493.31680990434103</v>
      </c>
      <c r="C6244" s="2">
        <v>6.6124999999999998</v>
      </c>
      <c r="D6244" s="2" t="s">
        <v>70</v>
      </c>
      <c r="E6244" s="2" t="s">
        <v>41399</v>
      </c>
      <c r="F6244" s="2">
        <v>57055</v>
      </c>
      <c r="G6244" s="3" t="str">
        <f>HYPERLINK("http://funmeta.oebiotech.com/network/57055", "http://funmeta.oebiotech.com/network/57055")</f>
        <v>http://funmeta.oebiotech.com/network/57055</v>
      </c>
      <c r="H6244" s="2" t="s">
        <v>41400</v>
      </c>
      <c r="I6244" s="2"/>
      <c r="J6244" s="2"/>
      <c r="K6244" s="2"/>
      <c r="L6244" s="2"/>
      <c r="M6244" s="2"/>
      <c r="N6244" s="2"/>
      <c r="O6244" s="2">
        <v>12312669</v>
      </c>
      <c r="P6244" s="2" t="s">
        <v>41401</v>
      </c>
      <c r="Q6244" s="2" t="s">
        <v>41402</v>
      </c>
      <c r="R6244" s="2" t="s">
        <v>41403</v>
      </c>
      <c r="S6244" s="2" t="s">
        <v>50</v>
      </c>
      <c r="T6244" s="2" t="s">
        <v>201</v>
      </c>
      <c r="U6244" s="2" t="s">
        <v>210</v>
      </c>
      <c r="V6244" s="2" t="s">
        <v>59</v>
      </c>
      <c r="W6244" s="2">
        <v>38.6</v>
      </c>
      <c r="X6244" s="2">
        <v>0</v>
      </c>
      <c r="Y6244" s="2" t="s">
        <v>408</v>
      </c>
      <c r="Z6244" s="2" t="s">
        <v>3982</v>
      </c>
      <c r="AA6244" s="2">
        <v>-0.59661672546379596</v>
      </c>
      <c r="AB6244" s="2">
        <v>3.9873576277376997E-2</v>
      </c>
      <c r="AC6244" s="2">
        <v>3353.5721368894401</v>
      </c>
      <c r="AD6244" s="2">
        <v>3029.3680340133401</v>
      </c>
      <c r="AE6244" s="2">
        <v>3189.8743536597499</v>
      </c>
      <c r="AF6244" s="2">
        <v>3527.7629229522299</v>
      </c>
      <c r="AG6244" s="2">
        <v>3426.5973614306999</v>
      </c>
      <c r="AH6244" s="2">
        <v>2841.2013535609299</v>
      </c>
      <c r="AI6244" s="2">
        <v>2955.2824981589401</v>
      </c>
      <c r="AJ6244" s="2">
        <v>4180.7143315740605</v>
      </c>
      <c r="AK6244" s="2">
        <v>2872.7568670345399</v>
      </c>
      <c r="AL6244" s="2">
        <v>3679.2056881513399</v>
      </c>
      <c r="AM6244" s="2">
        <v>2139.66187640114</v>
      </c>
      <c r="AN6244" s="2">
        <v>3635.9311560214801</v>
      </c>
      <c r="AO6244" s="2">
        <v>3115.54106188179</v>
      </c>
      <c r="AP6244" s="2">
        <v>2733.1115545897201</v>
      </c>
    </row>
    <row r="6245" spans="1:42" ht="14.5" x14ac:dyDescent="0.35">
      <c r="A6245" s="2" t="s">
        <v>41404</v>
      </c>
      <c r="B6245" s="2">
        <v>257.042809122319</v>
      </c>
      <c r="C6245" s="2">
        <v>4.7931333333333299</v>
      </c>
      <c r="D6245" s="2" t="s">
        <v>70</v>
      </c>
      <c r="E6245" s="2" t="s">
        <v>41405</v>
      </c>
      <c r="F6245" s="2">
        <v>57778</v>
      </c>
      <c r="G6245" s="3" t="str">
        <f>HYPERLINK("http://funmeta.oebiotech.com/network/57778", "http://funmeta.oebiotech.com/network/57778")</f>
        <v>http://funmeta.oebiotech.com/network/57778</v>
      </c>
      <c r="H6245" s="2" t="s">
        <v>41406</v>
      </c>
      <c r="I6245" s="2">
        <v>89371</v>
      </c>
      <c r="J6245" s="2"/>
      <c r="K6245" s="2"/>
      <c r="L6245" s="2"/>
      <c r="M6245" s="2"/>
      <c r="N6245" s="2"/>
      <c r="O6245" s="2">
        <v>169110</v>
      </c>
      <c r="P6245" s="2" t="s">
        <v>41407</v>
      </c>
      <c r="Q6245" s="2" t="s">
        <v>41408</v>
      </c>
      <c r="R6245" s="2" t="s">
        <v>41409</v>
      </c>
      <c r="S6245" s="2" t="s">
        <v>491</v>
      </c>
      <c r="T6245" s="2" t="s">
        <v>15335</v>
      </c>
      <c r="U6245" s="2" t="s">
        <v>41410</v>
      </c>
      <c r="V6245" s="2" t="s">
        <v>59</v>
      </c>
      <c r="W6245" s="2">
        <v>38.4</v>
      </c>
      <c r="X6245" s="2">
        <v>0</v>
      </c>
      <c r="Y6245" s="2" t="s">
        <v>560</v>
      </c>
      <c r="Z6245" s="2" t="s">
        <v>41411</v>
      </c>
      <c r="AA6245" s="2">
        <v>1.6115371112746799</v>
      </c>
      <c r="AB6245" s="2">
        <v>3.9768629838576902E-2</v>
      </c>
      <c r="AC6245" s="2">
        <v>11356.635820514301</v>
      </c>
      <c r="AD6245" s="2">
        <v>11796.257064425799</v>
      </c>
      <c r="AE6245" s="2">
        <v>11168.2838608784</v>
      </c>
      <c r="AF6245" s="2">
        <v>10919.2530734267</v>
      </c>
      <c r="AG6245" s="2">
        <v>11246.7360995205</v>
      </c>
      <c r="AH6245" s="2">
        <v>12401.171610776901</v>
      </c>
      <c r="AI6245" s="2">
        <v>11828.9530981629</v>
      </c>
      <c r="AJ6245" s="2">
        <v>10575.417180320699</v>
      </c>
      <c r="AK6245" s="2">
        <v>12167.8248088128</v>
      </c>
      <c r="AL6245" s="2">
        <v>10248.5095355505</v>
      </c>
      <c r="AM6245" s="2">
        <v>13570.552528918</v>
      </c>
      <c r="AN6245" s="2">
        <v>10705.800645991299</v>
      </c>
      <c r="AO6245" s="2">
        <v>11241.8284119994</v>
      </c>
      <c r="AP6245" s="2">
        <v>12843.026455282799</v>
      </c>
    </row>
    <row r="6246" spans="1:42" ht="14.5" x14ac:dyDescent="0.35">
      <c r="A6246" s="2" t="s">
        <v>41412</v>
      </c>
      <c r="B6246" s="2">
        <v>461.07407385105</v>
      </c>
      <c r="C6246" s="2">
        <v>1.43973333333333</v>
      </c>
      <c r="D6246" s="2" t="s">
        <v>34</v>
      </c>
      <c r="E6246" s="2" t="s">
        <v>41413</v>
      </c>
      <c r="F6246" s="2">
        <v>203940</v>
      </c>
      <c r="G6246" s="3" t="str">
        <f>HYPERLINK("http://funmeta.oebiotech.com/network/203940", "http://funmeta.oebiotech.com/network/203940")</f>
        <v>http://funmeta.oebiotech.com/network/203940</v>
      </c>
      <c r="H6246" s="2" t="s">
        <v>41414</v>
      </c>
      <c r="I6246" s="2"/>
      <c r="J6246" s="2"/>
      <c r="K6246" s="2"/>
      <c r="L6246" s="2"/>
      <c r="M6246" s="2"/>
      <c r="N6246" s="2"/>
      <c r="O6246" s="2">
        <v>54325967</v>
      </c>
      <c r="P6246" s="2"/>
      <c r="Q6246" s="2" t="s">
        <v>41415</v>
      </c>
      <c r="R6246" s="2" t="s">
        <v>41416</v>
      </c>
      <c r="S6246" s="2" t="s">
        <v>148</v>
      </c>
      <c r="T6246" s="2" t="s">
        <v>149</v>
      </c>
      <c r="U6246" s="2" t="s">
        <v>1593</v>
      </c>
      <c r="V6246" s="2" t="s">
        <v>59</v>
      </c>
      <c r="W6246" s="2">
        <v>38.1</v>
      </c>
      <c r="X6246" s="2">
        <v>0</v>
      </c>
      <c r="Y6246" s="2" t="s">
        <v>323</v>
      </c>
      <c r="Z6246" s="2" t="s">
        <v>41417</v>
      </c>
      <c r="AA6246" s="2">
        <v>-2.8750557105006598</v>
      </c>
      <c r="AB6246" s="2">
        <v>3.9684106267465602E-2</v>
      </c>
      <c r="AC6246" s="2">
        <v>3261.5367551506001</v>
      </c>
      <c r="AD6246" s="2">
        <v>2950.60451688287</v>
      </c>
      <c r="AE6246" s="2">
        <v>2403.00242832293</v>
      </c>
      <c r="AF6246" s="2">
        <v>3976.7594719952699</v>
      </c>
      <c r="AG6246" s="2">
        <v>3246.6307677565701</v>
      </c>
      <c r="AH6246" s="2">
        <v>2808.5739302812399</v>
      </c>
      <c r="AI6246" s="2">
        <v>3901.1373483386901</v>
      </c>
      <c r="AJ6246" s="2">
        <v>3233.1165842088899</v>
      </c>
      <c r="AK6246" s="2">
        <v>2756.95743154825</v>
      </c>
      <c r="AL6246" s="2">
        <v>2946.6602373808901</v>
      </c>
      <c r="AM6246" s="2">
        <v>2593.6582535521602</v>
      </c>
      <c r="AN6246" s="2">
        <v>2950.0614375117002</v>
      </c>
      <c r="AO6246" s="2">
        <v>3364.9926990201602</v>
      </c>
      <c r="AP6246" s="2">
        <v>3091.2970422840599</v>
      </c>
    </row>
    <row r="6247" spans="1:42" ht="14.5" x14ac:dyDescent="0.35">
      <c r="A6247" s="2" t="s">
        <v>41418</v>
      </c>
      <c r="B6247" s="2">
        <v>354.09573609398501</v>
      </c>
      <c r="C6247" s="2">
        <v>1.06171666666667</v>
      </c>
      <c r="D6247" s="2" t="s">
        <v>34</v>
      </c>
      <c r="E6247" s="2" t="s">
        <v>41419</v>
      </c>
      <c r="F6247" s="2">
        <v>52659</v>
      </c>
      <c r="G6247" s="3" t="str">
        <f>HYPERLINK("http://funmeta.oebiotech.com/network/52659", "http://funmeta.oebiotech.com/network/52659")</f>
        <v>http://funmeta.oebiotech.com/network/52659</v>
      </c>
      <c r="H6247" s="2" t="s">
        <v>41420</v>
      </c>
      <c r="I6247" s="2">
        <v>43590</v>
      </c>
      <c r="J6247" s="2"/>
      <c r="K6247" s="2">
        <v>4513</v>
      </c>
      <c r="L6247" s="2" t="s">
        <v>41421</v>
      </c>
      <c r="M6247" s="2"/>
      <c r="N6247" s="2"/>
      <c r="O6247" s="2">
        <v>54676038</v>
      </c>
      <c r="P6247" s="2" t="s">
        <v>41422</v>
      </c>
      <c r="Q6247" s="2" t="s">
        <v>41423</v>
      </c>
      <c r="R6247" s="2" t="s">
        <v>41424</v>
      </c>
      <c r="S6247" s="2" t="s">
        <v>115</v>
      </c>
      <c r="T6247" s="2" t="s">
        <v>758</v>
      </c>
      <c r="U6247" s="2" t="s">
        <v>10001</v>
      </c>
      <c r="V6247" s="2" t="s">
        <v>59</v>
      </c>
      <c r="W6247" s="2">
        <v>37.6</v>
      </c>
      <c r="X6247" s="2">
        <v>0</v>
      </c>
      <c r="Y6247" s="2" t="s">
        <v>330</v>
      </c>
      <c r="Z6247" s="2" t="s">
        <v>41425</v>
      </c>
      <c r="AA6247" s="2">
        <v>-4.3966057212376901</v>
      </c>
      <c r="AB6247" s="2">
        <v>3.9553524441972299E-2</v>
      </c>
      <c r="AC6247" s="2">
        <v>6260.8410593490698</v>
      </c>
      <c r="AD6247" s="2">
        <v>6724.4269722294803</v>
      </c>
      <c r="AE6247" s="2">
        <v>6363.6188928061201</v>
      </c>
      <c r="AF6247" s="2">
        <v>6873.3149596053499</v>
      </c>
      <c r="AG6247" s="2">
        <v>5505.4834022734703</v>
      </c>
      <c r="AH6247" s="2">
        <v>6257.5612440628502</v>
      </c>
      <c r="AI6247" s="2">
        <v>4943.3356036335999</v>
      </c>
      <c r="AJ6247" s="2">
        <v>7621.7322537130303</v>
      </c>
      <c r="AK6247" s="2">
        <v>5990.0885295095104</v>
      </c>
      <c r="AL6247" s="2">
        <v>8087.9623454704797</v>
      </c>
      <c r="AM6247" s="2">
        <v>6343.7159049092097</v>
      </c>
      <c r="AN6247" s="2">
        <v>8247.1268373219791</v>
      </c>
      <c r="AO6247" s="2">
        <v>5269.2894246038004</v>
      </c>
      <c r="AP6247" s="2">
        <v>6408.3787915618796</v>
      </c>
    </row>
    <row r="6248" spans="1:42" ht="14.5" x14ac:dyDescent="0.35">
      <c r="A6248" s="2" t="s">
        <v>41426</v>
      </c>
      <c r="B6248" s="2">
        <v>353.02397412320499</v>
      </c>
      <c r="C6248" s="2">
        <v>6.6499833333333296</v>
      </c>
      <c r="D6248" s="2" t="s">
        <v>70</v>
      </c>
      <c r="E6248" s="2" t="s">
        <v>41427</v>
      </c>
      <c r="F6248" s="2">
        <v>256940</v>
      </c>
      <c r="G6248" s="3" t="str">
        <f>HYPERLINK("http://funmeta.oebiotech.com/network/256940", "http://funmeta.oebiotech.com/network/256940")</f>
        <v>http://funmeta.oebiotech.com/network/256940</v>
      </c>
      <c r="H6248" s="2" t="s">
        <v>41428</v>
      </c>
      <c r="I6248" s="2"/>
      <c r="J6248" s="2"/>
      <c r="K6248" s="2"/>
      <c r="L6248" s="2"/>
      <c r="M6248" s="2"/>
      <c r="N6248" s="2"/>
      <c r="O6248" s="2">
        <v>4479904</v>
      </c>
      <c r="P6248" s="2"/>
      <c r="Q6248" s="2" t="s">
        <v>41429</v>
      </c>
      <c r="R6248" s="2" t="s">
        <v>41430</v>
      </c>
      <c r="S6248" s="2" t="s">
        <v>79</v>
      </c>
      <c r="T6248" s="2" t="s">
        <v>80</v>
      </c>
      <c r="U6248" s="2" t="s">
        <v>81</v>
      </c>
      <c r="V6248" s="2" t="s">
        <v>59</v>
      </c>
      <c r="W6248" s="2">
        <v>37</v>
      </c>
      <c r="X6248" s="2">
        <v>0</v>
      </c>
      <c r="Y6248" s="2" t="s">
        <v>751</v>
      </c>
      <c r="Z6248" s="2" t="s">
        <v>41431</v>
      </c>
      <c r="AA6248" s="2">
        <v>-1.2980107309372699</v>
      </c>
      <c r="AB6248" s="2">
        <v>3.9550169501461299E-2</v>
      </c>
      <c r="AC6248" s="2">
        <v>4332.4975857337504</v>
      </c>
      <c r="AD6248" s="2">
        <v>4559.4166745552602</v>
      </c>
      <c r="AE6248" s="2">
        <v>4611.8842864224398</v>
      </c>
      <c r="AF6248" s="2">
        <v>4265.5884595383204</v>
      </c>
      <c r="AG6248" s="2">
        <v>4115.6533846007496</v>
      </c>
      <c r="AH6248" s="2">
        <v>4635.92695268017</v>
      </c>
      <c r="AI6248" s="2">
        <v>4185.5332198533197</v>
      </c>
      <c r="AJ6248" s="2">
        <v>4180.3992113075101</v>
      </c>
      <c r="AK6248" s="2">
        <v>4479.5391457916703</v>
      </c>
      <c r="AL6248" s="2">
        <v>4646.1565881100896</v>
      </c>
      <c r="AM6248" s="2">
        <v>4819.4291193818499</v>
      </c>
      <c r="AN6248" s="2">
        <v>4858.3888337609897</v>
      </c>
      <c r="AO6248" s="2">
        <v>4224.5848788043504</v>
      </c>
      <c r="AP6248" s="2">
        <v>4328.4014814826396</v>
      </c>
    </row>
    <row r="6249" spans="1:42" ht="14.5" x14ac:dyDescent="0.35">
      <c r="A6249" s="2" t="s">
        <v>41432</v>
      </c>
      <c r="B6249" s="2">
        <v>581.20611930930704</v>
      </c>
      <c r="C6249" s="2">
        <v>2.1595499999999999</v>
      </c>
      <c r="D6249" s="2" t="s">
        <v>70</v>
      </c>
      <c r="E6249" s="2" t="s">
        <v>41433</v>
      </c>
      <c r="F6249" s="2">
        <v>207245</v>
      </c>
      <c r="G6249" s="3" t="str">
        <f>HYPERLINK("http://funmeta.oebiotech.com/network/207245", "http://funmeta.oebiotech.com/network/207245")</f>
        <v>http://funmeta.oebiotech.com/network/207245</v>
      </c>
      <c r="H6249" s="2" t="s">
        <v>41434</v>
      </c>
      <c r="I6249" s="2"/>
      <c r="J6249" s="2"/>
      <c r="K6249" s="2"/>
      <c r="L6249" s="2"/>
      <c r="M6249" s="2"/>
      <c r="N6249" s="2"/>
      <c r="O6249" s="2"/>
      <c r="P6249" s="2"/>
      <c r="Q6249" s="2" t="s">
        <v>41435</v>
      </c>
      <c r="R6249" s="2" t="s">
        <v>41436</v>
      </c>
      <c r="S6249" s="2" t="s">
        <v>41</v>
      </c>
      <c r="T6249" s="2" t="s">
        <v>41</v>
      </c>
      <c r="U6249" s="2" t="s">
        <v>41</v>
      </c>
      <c r="V6249" s="2" t="s">
        <v>59</v>
      </c>
      <c r="W6249" s="2">
        <v>39.1</v>
      </c>
      <c r="X6249" s="2">
        <v>0</v>
      </c>
      <c r="Y6249" s="2" t="s">
        <v>560</v>
      </c>
      <c r="Z6249" s="2" t="s">
        <v>41437</v>
      </c>
      <c r="AA6249" s="2">
        <v>0.164799201701265</v>
      </c>
      <c r="AB6249" s="2">
        <v>3.9538914834452897E-2</v>
      </c>
      <c r="AC6249" s="2">
        <v>900.65514152694004</v>
      </c>
      <c r="AD6249" s="2">
        <v>693.17078406182497</v>
      </c>
      <c r="AE6249" s="2">
        <v>848.56774322102103</v>
      </c>
      <c r="AF6249" s="2">
        <v>747.16109631260099</v>
      </c>
      <c r="AG6249" s="2">
        <v>1036.5264304151301</v>
      </c>
      <c r="AH6249" s="2">
        <v>1124.5489292847501</v>
      </c>
      <c r="AI6249" s="2">
        <v>1017.89999148448</v>
      </c>
      <c r="AJ6249" s="2">
        <v>629.22665844366099</v>
      </c>
      <c r="AK6249" s="2">
        <v>338.89083427712501</v>
      </c>
      <c r="AL6249" s="2">
        <v>926.25299585359096</v>
      </c>
      <c r="AM6249" s="2">
        <v>632.57525449344996</v>
      </c>
      <c r="AN6249" s="2">
        <v>835.36437179333097</v>
      </c>
      <c r="AO6249" s="2">
        <v>751.27633427023204</v>
      </c>
      <c r="AP6249" s="2">
        <v>674.66491368322204</v>
      </c>
    </row>
    <row r="6250" spans="1:42" ht="14.5" x14ac:dyDescent="0.35">
      <c r="A6250" s="2" t="s">
        <v>41438</v>
      </c>
      <c r="B6250" s="2">
        <v>359.08504637168801</v>
      </c>
      <c r="C6250" s="2">
        <v>3.51128333333333</v>
      </c>
      <c r="D6250" s="2" t="s">
        <v>34</v>
      </c>
      <c r="E6250" s="2" t="s">
        <v>41439</v>
      </c>
      <c r="F6250" s="2">
        <v>57772</v>
      </c>
      <c r="G6250" s="3" t="str">
        <f>HYPERLINK("http://funmeta.oebiotech.com/network/57772", "http://funmeta.oebiotech.com/network/57772")</f>
        <v>http://funmeta.oebiotech.com/network/57772</v>
      </c>
      <c r="H6250" s="2" t="s">
        <v>41440</v>
      </c>
      <c r="I6250" s="2">
        <v>89365</v>
      </c>
      <c r="J6250" s="2"/>
      <c r="K6250" s="2">
        <v>175088</v>
      </c>
      <c r="L6250" s="2"/>
      <c r="M6250" s="2"/>
      <c r="N6250" s="2"/>
      <c r="O6250" s="2">
        <v>3085404</v>
      </c>
      <c r="P6250" s="2" t="s">
        <v>41441</v>
      </c>
      <c r="Q6250" s="2" t="s">
        <v>41442</v>
      </c>
      <c r="R6250" s="2" t="s">
        <v>41443</v>
      </c>
      <c r="S6250" s="2" t="s">
        <v>89</v>
      </c>
      <c r="T6250" s="2" t="s">
        <v>90</v>
      </c>
      <c r="U6250" s="2" t="s">
        <v>99</v>
      </c>
      <c r="V6250" s="2" t="s">
        <v>59</v>
      </c>
      <c r="W6250" s="2">
        <v>38.799999999999997</v>
      </c>
      <c r="X6250" s="2">
        <v>0</v>
      </c>
      <c r="Y6250" s="2" t="s">
        <v>340</v>
      </c>
      <c r="Z6250" s="2" t="s">
        <v>15180</v>
      </c>
      <c r="AA6250" s="2">
        <v>-0.24151979546361499</v>
      </c>
      <c r="AB6250" s="2">
        <v>3.9515628370199701E-2</v>
      </c>
      <c r="AC6250" s="2">
        <v>1171.5459751319599</v>
      </c>
      <c r="AD6250" s="2">
        <v>1369.6254063206</v>
      </c>
      <c r="AE6250" s="2">
        <v>1414.5749905016301</v>
      </c>
      <c r="AF6250" s="2">
        <v>1156.13028618147</v>
      </c>
      <c r="AG6250" s="2">
        <v>1185.6827820595199</v>
      </c>
      <c r="AH6250" s="2">
        <v>1204.1620074846701</v>
      </c>
      <c r="AI6250" s="2">
        <v>893.78547770204204</v>
      </c>
      <c r="AJ6250" s="2">
        <v>1174.9403068623999</v>
      </c>
      <c r="AK6250" s="2">
        <v>1342.99500203415</v>
      </c>
      <c r="AL6250" s="2">
        <v>1556.7761212359201</v>
      </c>
      <c r="AM6250" s="2">
        <v>1494.3446957659401</v>
      </c>
      <c r="AN6250" s="2">
        <v>1518.45353051593</v>
      </c>
      <c r="AO6250" s="2">
        <v>1165.9269179079299</v>
      </c>
      <c r="AP6250" s="2">
        <v>1139.2561704637101</v>
      </c>
    </row>
    <row r="6251" spans="1:42" ht="14.5" x14ac:dyDescent="0.35">
      <c r="A6251" s="2" t="s">
        <v>41444</v>
      </c>
      <c r="B6251" s="2">
        <v>325.17763329498302</v>
      </c>
      <c r="C6251" s="2">
        <v>0.66754999999999998</v>
      </c>
      <c r="D6251" s="2" t="s">
        <v>34</v>
      </c>
      <c r="E6251" s="2" t="s">
        <v>41445</v>
      </c>
      <c r="F6251" s="2">
        <v>360818</v>
      </c>
      <c r="G6251" s="3" t="str">
        <f>HYPERLINK("http://funmeta.oebiotech.com/network/360818", "http://funmeta.oebiotech.com/network/360818")</f>
        <v>http://funmeta.oebiotech.com/network/360818</v>
      </c>
      <c r="H6251" s="2"/>
      <c r="I6251" s="2">
        <v>436375</v>
      </c>
      <c r="J6251" s="2"/>
      <c r="K6251" s="2"/>
      <c r="L6251" s="2"/>
      <c r="M6251" s="2"/>
      <c r="N6251" s="2"/>
      <c r="O6251" s="2">
        <v>85278</v>
      </c>
      <c r="P6251" s="2"/>
      <c r="Q6251" s="2" t="s">
        <v>41446</v>
      </c>
      <c r="R6251" s="2" t="s">
        <v>41447</v>
      </c>
      <c r="S6251" s="2" t="s">
        <v>50</v>
      </c>
      <c r="T6251" s="2" t="s">
        <v>229</v>
      </c>
      <c r="U6251" s="2" t="s">
        <v>1914</v>
      </c>
      <c r="V6251" s="2" t="s">
        <v>59</v>
      </c>
      <c r="W6251" s="2">
        <v>38.700000000000003</v>
      </c>
      <c r="X6251" s="2">
        <v>0</v>
      </c>
      <c r="Y6251" s="2" t="s">
        <v>340</v>
      </c>
      <c r="Z6251" s="2" t="s">
        <v>41448</v>
      </c>
      <c r="AA6251" s="2">
        <v>0.22980898532635799</v>
      </c>
      <c r="AB6251" s="2">
        <v>3.9510418183648303E-2</v>
      </c>
      <c r="AC6251" s="2">
        <v>4387.5032259931404</v>
      </c>
      <c r="AD6251" s="2">
        <v>4778.4520953268002</v>
      </c>
      <c r="AE6251" s="2">
        <v>3820.4951677345298</v>
      </c>
      <c r="AF6251" s="2">
        <v>3923.4774082868098</v>
      </c>
      <c r="AG6251" s="2">
        <v>4612.2237439214496</v>
      </c>
      <c r="AH6251" s="2">
        <v>4465.3840181476098</v>
      </c>
      <c r="AI6251" s="2">
        <v>3661.7325188569698</v>
      </c>
      <c r="AJ6251" s="2">
        <v>5841.7064990114905</v>
      </c>
      <c r="AK6251" s="2">
        <v>3719.9162351260002</v>
      </c>
      <c r="AL6251" s="2">
        <v>4914.8695175795601</v>
      </c>
      <c r="AM6251" s="2">
        <v>5358.2499289293901</v>
      </c>
      <c r="AN6251" s="2">
        <v>5891.2238814909897</v>
      </c>
      <c r="AO6251" s="2">
        <v>4362.3357970338802</v>
      </c>
      <c r="AP6251" s="2">
        <v>4424.1172118009899</v>
      </c>
    </row>
    <row r="6252" spans="1:42" ht="14.5" x14ac:dyDescent="0.35">
      <c r="A6252" s="2" t="s">
        <v>41449</v>
      </c>
      <c r="B6252" s="2">
        <v>721.307819795618</v>
      </c>
      <c r="C6252" s="2">
        <v>7.9576166666666701</v>
      </c>
      <c r="D6252" s="2" t="s">
        <v>70</v>
      </c>
      <c r="E6252" s="2" t="s">
        <v>41450</v>
      </c>
      <c r="F6252" s="2">
        <v>212827</v>
      </c>
      <c r="G6252" s="3" t="str">
        <f>HYPERLINK("http://funmeta.oebiotech.com/network/212827", "http://funmeta.oebiotech.com/network/212827")</f>
        <v>http://funmeta.oebiotech.com/network/212827</v>
      </c>
      <c r="H6252" s="2" t="s">
        <v>41451</v>
      </c>
      <c r="I6252" s="2"/>
      <c r="J6252" s="2"/>
      <c r="K6252" s="2"/>
      <c r="L6252" s="2"/>
      <c r="M6252" s="2"/>
      <c r="N6252" s="2"/>
      <c r="O6252" s="2"/>
      <c r="P6252" s="2"/>
      <c r="Q6252" s="2" t="s">
        <v>41452</v>
      </c>
      <c r="R6252" s="2" t="s">
        <v>41453</v>
      </c>
      <c r="S6252" s="2" t="s">
        <v>491</v>
      </c>
      <c r="T6252" s="2" t="s">
        <v>1516</v>
      </c>
      <c r="U6252" s="2" t="s">
        <v>23753</v>
      </c>
      <c r="V6252" s="2" t="s">
        <v>59</v>
      </c>
      <c r="W6252" s="2">
        <v>38.299999999999997</v>
      </c>
      <c r="X6252" s="2">
        <v>0</v>
      </c>
      <c r="Y6252" s="2" t="s">
        <v>560</v>
      </c>
      <c r="Z6252" s="2" t="s">
        <v>41454</v>
      </c>
      <c r="AA6252" s="2">
        <v>0.83651396279548595</v>
      </c>
      <c r="AB6252" s="2">
        <v>3.9444677364219902E-2</v>
      </c>
      <c r="AC6252" s="2">
        <v>363.29483741660499</v>
      </c>
      <c r="AD6252" s="2">
        <v>686.91588473521301</v>
      </c>
      <c r="AE6252" s="2">
        <v>458.33292950613401</v>
      </c>
      <c r="AF6252" s="2">
        <v>521.16202093762899</v>
      </c>
      <c r="AG6252" s="2">
        <v>2.7106294003980101E-5</v>
      </c>
      <c r="AH6252" s="2">
        <v>305.13738876335202</v>
      </c>
      <c r="AI6252" s="2">
        <v>235.054265633455</v>
      </c>
      <c r="AJ6252" s="2">
        <v>660.08239255276703</v>
      </c>
      <c r="AK6252" s="2">
        <v>213.81805853781</v>
      </c>
      <c r="AL6252" s="2">
        <v>213.19224161758899</v>
      </c>
      <c r="AM6252" s="2">
        <v>2031.84133632526</v>
      </c>
      <c r="AN6252" s="2">
        <v>186.66893260051901</v>
      </c>
      <c r="AO6252" s="2">
        <v>509.86881359375701</v>
      </c>
      <c r="AP6252" s="2">
        <v>966.10592573634096</v>
      </c>
    </row>
    <row r="6253" spans="1:42" ht="14.5" x14ac:dyDescent="0.35">
      <c r="A6253" s="2" t="s">
        <v>41455</v>
      </c>
      <c r="B6253" s="2">
        <v>259.14324120945003</v>
      </c>
      <c r="C6253" s="2">
        <v>4.1233166666666703</v>
      </c>
      <c r="D6253" s="2" t="s">
        <v>34</v>
      </c>
      <c r="E6253" s="2" t="s">
        <v>41456</v>
      </c>
      <c r="F6253" s="2">
        <v>53070</v>
      </c>
      <c r="G6253" s="3" t="str">
        <f>HYPERLINK("http://funmeta.oebiotech.com/network/53070", "http://funmeta.oebiotech.com/network/53070")</f>
        <v>http://funmeta.oebiotech.com/network/53070</v>
      </c>
      <c r="H6253" s="2" t="s">
        <v>41457</v>
      </c>
      <c r="I6253" s="2">
        <v>1098</v>
      </c>
      <c r="J6253" s="2"/>
      <c r="K6253" s="2">
        <v>6717</v>
      </c>
      <c r="L6253" s="2" t="s">
        <v>41458</v>
      </c>
      <c r="M6253" s="2"/>
      <c r="N6253" s="2"/>
      <c r="O6253" s="2">
        <v>4044</v>
      </c>
      <c r="P6253" s="2" t="s">
        <v>41459</v>
      </c>
      <c r="Q6253" s="2" t="s">
        <v>41460</v>
      </c>
      <c r="R6253" s="2" t="s">
        <v>41461</v>
      </c>
      <c r="S6253" s="2" t="s">
        <v>148</v>
      </c>
      <c r="T6253" s="2" t="s">
        <v>149</v>
      </c>
      <c r="U6253" s="2" t="s">
        <v>1593</v>
      </c>
      <c r="V6253" s="2" t="s">
        <v>59</v>
      </c>
      <c r="W6253" s="2">
        <v>36</v>
      </c>
      <c r="X6253" s="2">
        <v>0</v>
      </c>
      <c r="Y6253" s="2" t="s">
        <v>43</v>
      </c>
      <c r="Z6253" s="2" t="s">
        <v>41462</v>
      </c>
      <c r="AA6253" s="2">
        <v>-3.5794638231154798</v>
      </c>
      <c r="AB6253" s="2">
        <v>3.9402130328660197E-2</v>
      </c>
      <c r="AC6253" s="2">
        <v>1024.9581477701499</v>
      </c>
      <c r="AD6253" s="2">
        <v>832.63725932241505</v>
      </c>
      <c r="AE6253" s="2">
        <v>1107.7088661856101</v>
      </c>
      <c r="AF6253" s="2">
        <v>1030.1487131618001</v>
      </c>
      <c r="AG6253" s="2">
        <v>1313.63974732426</v>
      </c>
      <c r="AH6253" s="2">
        <v>630.20954912095999</v>
      </c>
      <c r="AI6253" s="2">
        <v>973.63853761754694</v>
      </c>
      <c r="AJ6253" s="2">
        <v>1094.40347321075</v>
      </c>
      <c r="AK6253" s="2">
        <v>882.990985343847</v>
      </c>
      <c r="AL6253" s="2">
        <v>814.53422387737999</v>
      </c>
      <c r="AM6253" s="2">
        <v>873.71721471553201</v>
      </c>
      <c r="AN6253" s="2">
        <v>921.78939468397004</v>
      </c>
      <c r="AO6253" s="2">
        <v>827.33208460514402</v>
      </c>
      <c r="AP6253" s="2">
        <v>675.45965270861598</v>
      </c>
    </row>
    <row r="6254" spans="1:42" ht="14.5" x14ac:dyDescent="0.35">
      <c r="A6254" s="2" t="s">
        <v>41463</v>
      </c>
      <c r="B6254" s="2">
        <v>347.01372845928802</v>
      </c>
      <c r="C6254" s="2">
        <v>8.1703666666666699</v>
      </c>
      <c r="D6254" s="2" t="s">
        <v>70</v>
      </c>
      <c r="E6254" s="2" t="s">
        <v>41464</v>
      </c>
      <c r="F6254" s="2">
        <v>211352</v>
      </c>
      <c r="G6254" s="3" t="str">
        <f>HYPERLINK("http://funmeta.oebiotech.com/network/211352", "http://funmeta.oebiotech.com/network/211352")</f>
        <v>http://funmeta.oebiotech.com/network/211352</v>
      </c>
      <c r="H6254" s="2" t="s">
        <v>41465</v>
      </c>
      <c r="I6254" s="2"/>
      <c r="J6254" s="2"/>
      <c r="K6254" s="2"/>
      <c r="L6254" s="2"/>
      <c r="M6254" s="2"/>
      <c r="N6254" s="2"/>
      <c r="O6254" s="2">
        <v>57286127</v>
      </c>
      <c r="P6254" s="2"/>
      <c r="Q6254" s="2" t="s">
        <v>41466</v>
      </c>
      <c r="R6254" s="2" t="s">
        <v>41467</v>
      </c>
      <c r="S6254" s="2" t="s">
        <v>41</v>
      </c>
      <c r="T6254" s="2" t="s">
        <v>41</v>
      </c>
      <c r="U6254" s="2" t="s">
        <v>41</v>
      </c>
      <c r="V6254" s="2" t="s">
        <v>59</v>
      </c>
      <c r="W6254" s="2">
        <v>36.6</v>
      </c>
      <c r="X6254" s="2">
        <v>0</v>
      </c>
      <c r="Y6254" s="2" t="s">
        <v>408</v>
      </c>
      <c r="Z6254" s="2" t="s">
        <v>41468</v>
      </c>
      <c r="AA6254" s="2">
        <v>-0.52527580795861695</v>
      </c>
      <c r="AB6254" s="2">
        <v>3.9330397615634997E-2</v>
      </c>
      <c r="AC6254" s="2">
        <v>4908.6328855842003</v>
      </c>
      <c r="AD6254" s="2">
        <v>5181.7528436005896</v>
      </c>
      <c r="AE6254" s="2">
        <v>4651.3297475941199</v>
      </c>
      <c r="AF6254" s="2">
        <v>4949.1604369755696</v>
      </c>
      <c r="AG6254" s="2">
        <v>5800.2885252696296</v>
      </c>
      <c r="AH6254" s="2">
        <v>4563.71501860032</v>
      </c>
      <c r="AI6254" s="2">
        <v>4945.8291481468495</v>
      </c>
      <c r="AJ6254" s="2">
        <v>4541.4744369187301</v>
      </c>
      <c r="AK6254" s="2">
        <v>5587.99937865425</v>
      </c>
      <c r="AL6254" s="2">
        <v>5160.9717818642303</v>
      </c>
      <c r="AM6254" s="2">
        <v>4998.3354799115796</v>
      </c>
      <c r="AN6254" s="2">
        <v>5154.5729958236598</v>
      </c>
      <c r="AO6254" s="2">
        <v>5003.88324815737</v>
      </c>
      <c r="AP6254" s="2">
        <v>5184.7541771924198</v>
      </c>
    </row>
    <row r="6255" spans="1:42" ht="14.5" x14ac:dyDescent="0.35">
      <c r="A6255" s="2" t="s">
        <v>41469</v>
      </c>
      <c r="B6255" s="2">
        <v>640.477812765458</v>
      </c>
      <c r="C6255" s="2">
        <v>12.043850000000001</v>
      </c>
      <c r="D6255" s="2" t="s">
        <v>34</v>
      </c>
      <c r="E6255" s="2" t="s">
        <v>41470</v>
      </c>
      <c r="F6255" s="2">
        <v>207168</v>
      </c>
      <c r="G6255" s="3" t="str">
        <f>HYPERLINK("http://funmeta.oebiotech.com/network/207168", "http://funmeta.oebiotech.com/network/207168")</f>
        <v>http://funmeta.oebiotech.com/network/207168</v>
      </c>
      <c r="H6255" s="2" t="s">
        <v>41471</v>
      </c>
      <c r="I6255" s="2"/>
      <c r="J6255" s="2"/>
      <c r="K6255" s="2"/>
      <c r="L6255" s="2"/>
      <c r="M6255" s="2"/>
      <c r="N6255" s="2"/>
      <c r="O6255" s="2">
        <v>15574829</v>
      </c>
      <c r="P6255" s="2"/>
      <c r="Q6255" s="2" t="s">
        <v>41472</v>
      </c>
      <c r="R6255" s="2" t="s">
        <v>41473</v>
      </c>
      <c r="S6255" s="2" t="s">
        <v>50</v>
      </c>
      <c r="T6255" s="2" t="s">
        <v>201</v>
      </c>
      <c r="U6255" s="2" t="s">
        <v>210</v>
      </c>
      <c r="V6255" s="2" t="s">
        <v>59</v>
      </c>
      <c r="W6255" s="2">
        <v>45.2</v>
      </c>
      <c r="X6255" s="2">
        <v>30.6</v>
      </c>
      <c r="Y6255" s="2" t="s">
        <v>43</v>
      </c>
      <c r="Z6255" s="2" t="s">
        <v>41474</v>
      </c>
      <c r="AA6255" s="2">
        <v>-0.773899337296729</v>
      </c>
      <c r="AB6255" s="2">
        <v>3.9267720742789197E-2</v>
      </c>
      <c r="AC6255" s="2">
        <v>32.321808032778897</v>
      </c>
      <c r="AD6255" s="2">
        <v>272.23521743367797</v>
      </c>
      <c r="AE6255" s="2">
        <v>91.187797944194301</v>
      </c>
      <c r="AF6255" s="2">
        <v>2.7106294003980101E-5</v>
      </c>
      <c r="AG6255" s="2">
        <v>2.7106294003980101E-5</v>
      </c>
      <c r="AH6255" s="2">
        <v>102.742941827303</v>
      </c>
      <c r="AI6255" s="2">
        <v>2.7106294003980101E-5</v>
      </c>
      <c r="AJ6255" s="2">
        <v>2.7106294003980101E-5</v>
      </c>
      <c r="AK6255" s="2">
        <v>280.15813386084</v>
      </c>
      <c r="AL6255" s="2">
        <v>333.21059627515899</v>
      </c>
      <c r="AM6255" s="2">
        <v>1020.04249314719</v>
      </c>
      <c r="AN6255" s="2">
        <v>2.7106294003980101E-5</v>
      </c>
      <c r="AO6255" s="2">
        <v>2.7106294003980101E-5</v>
      </c>
      <c r="AP6255" s="2">
        <v>2.7106294003980101E-5</v>
      </c>
    </row>
    <row r="6256" spans="1:42" ht="14.5" x14ac:dyDescent="0.35">
      <c r="A6256" s="2" t="s">
        <v>41475</v>
      </c>
      <c r="B6256" s="2">
        <v>627.35276026987003</v>
      </c>
      <c r="C6256" s="2">
        <v>4.2777833333333302</v>
      </c>
      <c r="D6256" s="2" t="s">
        <v>34</v>
      </c>
      <c r="E6256" s="2" t="s">
        <v>41476</v>
      </c>
      <c r="F6256" s="2">
        <v>24886</v>
      </c>
      <c r="G6256" s="3" t="str">
        <f>HYPERLINK("http://funmeta.oebiotech.com/network/24886", "http://funmeta.oebiotech.com/network/24886")</f>
        <v>http://funmeta.oebiotech.com/network/24886</v>
      </c>
      <c r="H6256" s="2"/>
      <c r="I6256" s="2"/>
      <c r="J6256" s="2" t="s">
        <v>41477</v>
      </c>
      <c r="K6256" s="2"/>
      <c r="L6256" s="2"/>
      <c r="M6256" s="2"/>
      <c r="N6256" s="2"/>
      <c r="O6256" s="2">
        <v>52928614</v>
      </c>
      <c r="P6256" s="2"/>
      <c r="Q6256" s="2" t="s">
        <v>41478</v>
      </c>
      <c r="R6256" s="2" t="s">
        <v>41479</v>
      </c>
      <c r="S6256" s="2" t="s">
        <v>50</v>
      </c>
      <c r="T6256" s="2" t="s">
        <v>51</v>
      </c>
      <c r="U6256" s="2" t="s">
        <v>52</v>
      </c>
      <c r="V6256" s="2" t="s">
        <v>59</v>
      </c>
      <c r="W6256" s="2">
        <v>37.799999999999997</v>
      </c>
      <c r="X6256" s="2">
        <v>0</v>
      </c>
      <c r="Y6256" s="2" t="s">
        <v>394</v>
      </c>
      <c r="Z6256" s="2" t="s">
        <v>41480</v>
      </c>
      <c r="AA6256" s="2">
        <v>3.7838833820101598</v>
      </c>
      <c r="AB6256" s="2">
        <v>3.9255886088256101E-2</v>
      </c>
      <c r="AC6256" s="2">
        <v>3143.54217867636</v>
      </c>
      <c r="AD6256" s="2">
        <v>2724.3831870314498</v>
      </c>
      <c r="AE6256" s="2">
        <v>2026.25027987821</v>
      </c>
      <c r="AF6256" s="2">
        <v>4281.9913226868202</v>
      </c>
      <c r="AG6256" s="2">
        <v>3684.2156876171798</v>
      </c>
      <c r="AH6256" s="2">
        <v>2290.76494954597</v>
      </c>
      <c r="AI6256" s="2">
        <v>3083.97748632702</v>
      </c>
      <c r="AJ6256" s="2">
        <v>3494.0533460029901</v>
      </c>
      <c r="AK6256" s="2">
        <v>3548.8054234809401</v>
      </c>
      <c r="AL6256" s="2">
        <v>3325.3193310086299</v>
      </c>
      <c r="AM6256" s="2">
        <v>3916.2330923776599</v>
      </c>
      <c r="AN6256" s="2">
        <v>1392.34615038334</v>
      </c>
      <c r="AO6256" s="2">
        <v>1664.62269593827</v>
      </c>
      <c r="AP6256" s="2">
        <v>2498.9724289998799</v>
      </c>
    </row>
    <row r="6257" spans="1:42" ht="14.5" x14ac:dyDescent="0.35">
      <c r="A6257" s="2" t="s">
        <v>41481</v>
      </c>
      <c r="B6257" s="2">
        <v>291.03633925716201</v>
      </c>
      <c r="C6257" s="2">
        <v>1.29345</v>
      </c>
      <c r="D6257" s="2" t="s">
        <v>34</v>
      </c>
      <c r="E6257" s="2" t="s">
        <v>41482</v>
      </c>
      <c r="F6257" s="2">
        <v>47566</v>
      </c>
      <c r="G6257" s="3" t="str">
        <f>HYPERLINK("http://funmeta.oebiotech.com/network/47566", "http://funmeta.oebiotech.com/network/47566")</f>
        <v>http://funmeta.oebiotech.com/network/47566</v>
      </c>
      <c r="H6257" s="2" t="s">
        <v>41483</v>
      </c>
      <c r="I6257" s="2">
        <v>6225</v>
      </c>
      <c r="J6257" s="2"/>
      <c r="K6257" s="2">
        <v>17622</v>
      </c>
      <c r="L6257" s="2" t="s">
        <v>41484</v>
      </c>
      <c r="M6257" s="2" t="s">
        <v>11932</v>
      </c>
      <c r="N6257" s="2" t="s">
        <v>11933</v>
      </c>
      <c r="O6257" s="2">
        <v>65063</v>
      </c>
      <c r="P6257" s="2" t="s">
        <v>41485</v>
      </c>
      <c r="Q6257" s="2" t="s">
        <v>41486</v>
      </c>
      <c r="R6257" s="2" t="s">
        <v>41487</v>
      </c>
      <c r="S6257" s="2" t="s">
        <v>1444</v>
      </c>
      <c r="T6257" s="2" t="s">
        <v>4040</v>
      </c>
      <c r="U6257" s="2" t="s">
        <v>15347</v>
      </c>
      <c r="V6257" s="2" t="s">
        <v>59</v>
      </c>
      <c r="W6257" s="2">
        <v>37.799999999999997</v>
      </c>
      <c r="X6257" s="2">
        <v>3.57</v>
      </c>
      <c r="Y6257" s="2" t="s">
        <v>141</v>
      </c>
      <c r="Z6257" s="2" t="s">
        <v>41488</v>
      </c>
      <c r="AA6257" s="2">
        <v>-4.2997718941436496</v>
      </c>
      <c r="AB6257" s="2">
        <v>3.9234169765250397E-2</v>
      </c>
      <c r="AC6257" s="2">
        <v>5230.91007892163</v>
      </c>
      <c r="AD6257" s="2">
        <v>4831.2860988254397</v>
      </c>
      <c r="AE6257" s="2">
        <v>4845.98757865892</v>
      </c>
      <c r="AF6257" s="2">
        <v>4916.5864777036904</v>
      </c>
      <c r="AG6257" s="2">
        <v>4635.84895411056</v>
      </c>
      <c r="AH6257" s="2">
        <v>6770.4926466239003</v>
      </c>
      <c r="AI6257" s="2">
        <v>6022.39933392068</v>
      </c>
      <c r="AJ6257" s="2">
        <v>4194.14548251202</v>
      </c>
      <c r="AK6257" s="2">
        <v>3945.0312902608998</v>
      </c>
      <c r="AL6257" s="2">
        <v>4994.7411111354204</v>
      </c>
      <c r="AM6257" s="2">
        <v>5743.42021596635</v>
      </c>
      <c r="AN6257" s="2">
        <v>4870.7485798602902</v>
      </c>
      <c r="AO6257" s="2">
        <v>4582.6230943191704</v>
      </c>
      <c r="AP6257" s="2">
        <v>4851.1523014105296</v>
      </c>
    </row>
    <row r="6258" spans="1:42" ht="14.5" x14ac:dyDescent="0.35">
      <c r="A6258" s="2" t="s">
        <v>41489</v>
      </c>
      <c r="B6258" s="2">
        <v>491.21423840143598</v>
      </c>
      <c r="C6258" s="2">
        <v>11.141500000000001</v>
      </c>
      <c r="D6258" s="2" t="s">
        <v>34</v>
      </c>
      <c r="E6258" s="2" t="s">
        <v>41490</v>
      </c>
      <c r="F6258" s="2">
        <v>210821</v>
      </c>
      <c r="G6258" s="3" t="str">
        <f>HYPERLINK("http://funmeta.oebiotech.com/network/210821", "http://funmeta.oebiotech.com/network/210821")</f>
        <v>http://funmeta.oebiotech.com/network/210821</v>
      </c>
      <c r="H6258" s="2" t="s">
        <v>41491</v>
      </c>
      <c r="I6258" s="2"/>
      <c r="J6258" s="2"/>
      <c r="K6258" s="2"/>
      <c r="L6258" s="2"/>
      <c r="M6258" s="2"/>
      <c r="N6258" s="2"/>
      <c r="O6258" s="2"/>
      <c r="P6258" s="2"/>
      <c r="Q6258" s="2" t="s">
        <v>41492</v>
      </c>
      <c r="R6258" s="2" t="s">
        <v>41493</v>
      </c>
      <c r="S6258" s="2" t="s">
        <v>41</v>
      </c>
      <c r="T6258" s="2" t="s">
        <v>41</v>
      </c>
      <c r="U6258" s="2" t="s">
        <v>41</v>
      </c>
      <c r="V6258" s="2" t="s">
        <v>59</v>
      </c>
      <c r="W6258" s="2">
        <v>38.5</v>
      </c>
      <c r="X6258" s="2">
        <v>0</v>
      </c>
      <c r="Y6258" s="2" t="s">
        <v>43</v>
      </c>
      <c r="Z6258" s="2" t="s">
        <v>41494</v>
      </c>
      <c r="AA6258" s="2">
        <v>1.2638634351248299</v>
      </c>
      <c r="AB6258" s="2">
        <v>3.9217502850067802E-2</v>
      </c>
      <c r="AC6258" s="2">
        <v>4575.2536117274103</v>
      </c>
      <c r="AD6258" s="2">
        <v>5098.8699554241603</v>
      </c>
      <c r="AE6258" s="2">
        <v>5370.4036863173296</v>
      </c>
      <c r="AF6258" s="2">
        <v>4583.8531522787598</v>
      </c>
      <c r="AG6258" s="2">
        <v>4782.2852466061204</v>
      </c>
      <c r="AH6258" s="2">
        <v>4990.1559745399099</v>
      </c>
      <c r="AI6258" s="2">
        <v>3442.3020379437498</v>
      </c>
      <c r="AJ6258" s="2">
        <v>4282.52157267859</v>
      </c>
      <c r="AK6258" s="2">
        <v>2888.1841929442799</v>
      </c>
      <c r="AL6258" s="2">
        <v>4951.2451624478699</v>
      </c>
      <c r="AM6258" s="2">
        <v>5952.3427758201497</v>
      </c>
      <c r="AN6258" s="2">
        <v>5250.8862960759898</v>
      </c>
      <c r="AO6258" s="2">
        <v>8250.37949480522</v>
      </c>
      <c r="AP6258" s="2">
        <v>3300.18181045146</v>
      </c>
    </row>
    <row r="6259" spans="1:42" ht="14.5" x14ac:dyDescent="0.35">
      <c r="A6259" s="2" t="s">
        <v>41495</v>
      </c>
      <c r="B6259" s="2">
        <v>570.47285087508499</v>
      </c>
      <c r="C6259" s="2">
        <v>14.575049999999999</v>
      </c>
      <c r="D6259" s="2" t="s">
        <v>34</v>
      </c>
      <c r="E6259" s="2" t="s">
        <v>41496</v>
      </c>
      <c r="F6259" s="2">
        <v>247824</v>
      </c>
      <c r="G6259" s="3" t="str">
        <f>HYPERLINK("http://funmeta.oebiotech.com/network/247824", "http://funmeta.oebiotech.com/network/247824")</f>
        <v>http://funmeta.oebiotech.com/network/247824</v>
      </c>
      <c r="H6259" s="2" t="s">
        <v>41497</v>
      </c>
      <c r="I6259" s="2"/>
      <c r="J6259" s="2"/>
      <c r="K6259" s="2"/>
      <c r="L6259" s="2"/>
      <c r="M6259" s="2"/>
      <c r="N6259" s="2"/>
      <c r="O6259" s="2"/>
      <c r="P6259" s="2"/>
      <c r="Q6259" s="2" t="s">
        <v>41498</v>
      </c>
      <c r="R6259" s="2" t="s">
        <v>41499</v>
      </c>
      <c r="S6259" s="2" t="s">
        <v>41</v>
      </c>
      <c r="T6259" s="2" t="s">
        <v>41</v>
      </c>
      <c r="U6259" s="2" t="s">
        <v>41</v>
      </c>
      <c r="V6259" s="2" t="s">
        <v>59</v>
      </c>
      <c r="W6259" s="2">
        <v>39.299999999999997</v>
      </c>
      <c r="X6259" s="2">
        <v>0</v>
      </c>
      <c r="Y6259" s="2" t="s">
        <v>43</v>
      </c>
      <c r="Z6259" s="2" t="s">
        <v>41500</v>
      </c>
      <c r="AA6259" s="2">
        <v>6.4628901185547094E-2</v>
      </c>
      <c r="AB6259" s="2">
        <v>3.9197979441357597E-2</v>
      </c>
      <c r="AC6259" s="2">
        <v>5928.3778584737702</v>
      </c>
      <c r="AD6259" s="2">
        <v>5510.9521325612604</v>
      </c>
      <c r="AE6259" s="2">
        <v>4410.9645968771702</v>
      </c>
      <c r="AF6259" s="2">
        <v>5115.3787992490197</v>
      </c>
      <c r="AG6259" s="2">
        <v>6566.6662066701201</v>
      </c>
      <c r="AH6259" s="2">
        <v>5781.1651293250898</v>
      </c>
      <c r="AI6259" s="2">
        <v>5824.5920806288595</v>
      </c>
      <c r="AJ6259" s="2">
        <v>7871.5003380923399</v>
      </c>
      <c r="AK6259" s="2">
        <v>5724.8479575784904</v>
      </c>
      <c r="AL6259" s="2">
        <v>5753.3992489511002</v>
      </c>
      <c r="AM6259" s="2">
        <v>6053.71359826959</v>
      </c>
      <c r="AN6259" s="2">
        <v>5419.8672141282896</v>
      </c>
      <c r="AO6259" s="2">
        <v>5456.96384876096</v>
      </c>
      <c r="AP6259" s="2">
        <v>4656.9209276791498</v>
      </c>
    </row>
    <row r="6260" spans="1:42" ht="14.5" x14ac:dyDescent="0.35">
      <c r="A6260" s="2" t="s">
        <v>41501</v>
      </c>
      <c r="B6260" s="2">
        <v>353.138414897068</v>
      </c>
      <c r="C6260" s="2">
        <v>4.5315500000000002</v>
      </c>
      <c r="D6260" s="2" t="s">
        <v>34</v>
      </c>
      <c r="E6260" s="2" t="s">
        <v>41502</v>
      </c>
      <c r="F6260" s="2">
        <v>34612</v>
      </c>
      <c r="G6260" s="3" t="str">
        <f>HYPERLINK("http://funmeta.oebiotech.com/network/34612", "http://funmeta.oebiotech.com/network/34612")</f>
        <v>http://funmeta.oebiotech.com/network/34612</v>
      </c>
      <c r="H6260" s="2"/>
      <c r="I6260" s="2">
        <v>52921</v>
      </c>
      <c r="J6260" s="2" t="s">
        <v>41503</v>
      </c>
      <c r="K6260" s="2"/>
      <c r="L6260" s="2" t="s">
        <v>41504</v>
      </c>
      <c r="M6260" s="2"/>
      <c r="N6260" s="2"/>
      <c r="O6260" s="2">
        <v>442457</v>
      </c>
      <c r="P6260" s="2"/>
      <c r="Q6260" s="2" t="s">
        <v>41505</v>
      </c>
      <c r="R6260" s="2" t="s">
        <v>41506</v>
      </c>
      <c r="S6260" s="2" t="s">
        <v>115</v>
      </c>
      <c r="T6260" s="2" t="s">
        <v>139</v>
      </c>
      <c r="U6260" s="2" t="s">
        <v>1437</v>
      </c>
      <c r="V6260" s="2" t="s">
        <v>59</v>
      </c>
      <c r="W6260" s="2">
        <v>37.299999999999997</v>
      </c>
      <c r="X6260" s="2">
        <v>0</v>
      </c>
      <c r="Y6260" s="2" t="s">
        <v>141</v>
      </c>
      <c r="Z6260" s="2" t="s">
        <v>41507</v>
      </c>
      <c r="AA6260" s="2">
        <v>0.17486324467738901</v>
      </c>
      <c r="AB6260" s="2">
        <v>3.9173450368209399E-2</v>
      </c>
      <c r="AC6260" s="2">
        <v>7090.8897578554797</v>
      </c>
      <c r="AD6260" s="2">
        <v>7542.7539810938097</v>
      </c>
      <c r="AE6260" s="2">
        <v>8291.5248301987795</v>
      </c>
      <c r="AF6260" s="2">
        <v>6472.33860327193</v>
      </c>
      <c r="AG6260" s="2">
        <v>6127.2738956207204</v>
      </c>
      <c r="AH6260" s="2">
        <v>6772.7862538610398</v>
      </c>
      <c r="AI6260" s="2">
        <v>6529.2640247087102</v>
      </c>
      <c r="AJ6260" s="2">
        <v>8352.1509394717104</v>
      </c>
      <c r="AK6260" s="2">
        <v>5431.6722431001799</v>
      </c>
      <c r="AL6260" s="2">
        <v>8184.6133141433102</v>
      </c>
      <c r="AM6260" s="2">
        <v>8172.6805839989902</v>
      </c>
      <c r="AN6260" s="2">
        <v>7928.0670029361399</v>
      </c>
      <c r="AO6260" s="2">
        <v>6948.8635822289798</v>
      </c>
      <c r="AP6260" s="2">
        <v>8590.6271601552708</v>
      </c>
    </row>
    <row r="6261" spans="1:42" ht="14.5" x14ac:dyDescent="0.35">
      <c r="A6261" s="2" t="s">
        <v>41508</v>
      </c>
      <c r="B6261" s="2">
        <v>161.046547897512</v>
      </c>
      <c r="C6261" s="2">
        <v>1.5714333333333299</v>
      </c>
      <c r="D6261" s="2" t="s">
        <v>34</v>
      </c>
      <c r="E6261" s="2" t="s">
        <v>41509</v>
      </c>
      <c r="F6261" s="2">
        <v>54590</v>
      </c>
      <c r="G6261" s="3" t="str">
        <f>HYPERLINK("http://funmeta.oebiotech.com/network/54590", "http://funmeta.oebiotech.com/network/54590")</f>
        <v>http://funmeta.oebiotech.com/network/54590</v>
      </c>
      <c r="H6261" s="2" t="s">
        <v>41510</v>
      </c>
      <c r="I6261" s="2">
        <v>86423</v>
      </c>
      <c r="J6261" s="2"/>
      <c r="K6261" s="2"/>
      <c r="L6261" s="2"/>
      <c r="M6261" s="2"/>
      <c r="N6261" s="2"/>
      <c r="O6261" s="2">
        <v>176153</v>
      </c>
      <c r="P6261" s="2" t="s">
        <v>41511</v>
      </c>
      <c r="Q6261" s="2" t="s">
        <v>41512</v>
      </c>
      <c r="R6261" s="2" t="s">
        <v>41513</v>
      </c>
      <c r="S6261" s="2" t="s">
        <v>79</v>
      </c>
      <c r="T6261" s="2" t="s">
        <v>80</v>
      </c>
      <c r="U6261" s="2" t="s">
        <v>249</v>
      </c>
      <c r="V6261" s="2" t="s">
        <v>59</v>
      </c>
      <c r="W6261" s="2">
        <v>37.9</v>
      </c>
      <c r="X6261" s="2">
        <v>3.53</v>
      </c>
      <c r="Y6261" s="2" t="s">
        <v>141</v>
      </c>
      <c r="Z6261" s="2" t="s">
        <v>41514</v>
      </c>
      <c r="AA6261" s="2">
        <v>4.2723994490688897</v>
      </c>
      <c r="AB6261" s="2">
        <v>3.9153395717795601E-2</v>
      </c>
      <c r="AC6261" s="2">
        <v>1062.4311118814601</v>
      </c>
      <c r="AD6261" s="2">
        <v>1261.1358360591501</v>
      </c>
      <c r="AE6261" s="2">
        <v>848.67189969315803</v>
      </c>
      <c r="AF6261" s="2">
        <v>1273.9949246537501</v>
      </c>
      <c r="AG6261" s="2">
        <v>924.66122069382197</v>
      </c>
      <c r="AH6261" s="2">
        <v>1257.59682843162</v>
      </c>
      <c r="AI6261" s="2">
        <v>1219.7672235733701</v>
      </c>
      <c r="AJ6261" s="2">
        <v>849.89457424303703</v>
      </c>
      <c r="AK6261" s="2">
        <v>1565.4493736990801</v>
      </c>
      <c r="AL6261" s="2">
        <v>1159.76108665791</v>
      </c>
      <c r="AM6261" s="2">
        <v>1120.66195520318</v>
      </c>
      <c r="AN6261" s="2">
        <v>1329.1066448361601</v>
      </c>
      <c r="AO6261" s="2">
        <v>1178.17148621817</v>
      </c>
      <c r="AP6261" s="2">
        <v>1213.6644697404099</v>
      </c>
    </row>
    <row r="6262" spans="1:42" ht="14.5" x14ac:dyDescent="0.35">
      <c r="A6262" s="2" t="s">
        <v>41515</v>
      </c>
      <c r="B6262" s="2">
        <v>679.14437527830898</v>
      </c>
      <c r="C6262" s="2">
        <v>4.25878333333333</v>
      </c>
      <c r="D6262" s="2" t="s">
        <v>70</v>
      </c>
      <c r="E6262" s="2" t="s">
        <v>41516</v>
      </c>
      <c r="F6262" s="2">
        <v>305759</v>
      </c>
      <c r="G6262" s="3" t="str">
        <f>HYPERLINK("http://funmeta.oebiotech.com/network/305759", "http://funmeta.oebiotech.com/network/305759")</f>
        <v>http://funmeta.oebiotech.com/network/305759</v>
      </c>
      <c r="H6262" s="2"/>
      <c r="I6262" s="2">
        <v>332536</v>
      </c>
      <c r="J6262" s="2"/>
      <c r="K6262" s="2"/>
      <c r="L6262" s="2"/>
      <c r="M6262" s="2"/>
      <c r="N6262" s="2"/>
      <c r="O6262" s="2">
        <v>14178379</v>
      </c>
      <c r="P6262" s="2"/>
      <c r="Q6262" s="2" t="s">
        <v>41517</v>
      </c>
      <c r="R6262" s="2" t="s">
        <v>41518</v>
      </c>
      <c r="S6262" s="2" t="s">
        <v>148</v>
      </c>
      <c r="T6262" s="2" t="s">
        <v>149</v>
      </c>
      <c r="U6262" s="2" t="s">
        <v>2102</v>
      </c>
      <c r="V6262" s="2" t="s">
        <v>59</v>
      </c>
      <c r="W6262" s="2">
        <v>38.1</v>
      </c>
      <c r="X6262" s="2">
        <v>0</v>
      </c>
      <c r="Y6262" s="2" t="s">
        <v>560</v>
      </c>
      <c r="Z6262" s="2" t="s">
        <v>41519</v>
      </c>
      <c r="AA6262" s="2">
        <v>-3.24672480936949</v>
      </c>
      <c r="AB6262" s="2">
        <v>3.9140247973297002E-2</v>
      </c>
      <c r="AC6262" s="2">
        <v>10864.903721275999</v>
      </c>
      <c r="AD6262" s="2">
        <v>10276.702818379699</v>
      </c>
      <c r="AE6262" s="2">
        <v>10507.372163443</v>
      </c>
      <c r="AF6262" s="2">
        <v>10882.7894567167</v>
      </c>
      <c r="AG6262" s="2">
        <v>12943.2931826396</v>
      </c>
      <c r="AH6262" s="2">
        <v>9481.6682721609195</v>
      </c>
      <c r="AI6262" s="2">
        <v>10949.8437826888</v>
      </c>
      <c r="AJ6262" s="2">
        <v>10424.4554700069</v>
      </c>
      <c r="AK6262" s="2">
        <v>9525.3727981133707</v>
      </c>
      <c r="AL6262" s="2">
        <v>15144.886529711701</v>
      </c>
      <c r="AM6262" s="2">
        <v>10692.536373241801</v>
      </c>
      <c r="AN6262" s="2">
        <v>8988.5312848268495</v>
      </c>
      <c r="AO6262" s="2">
        <v>9156.8860639817394</v>
      </c>
      <c r="AP6262" s="2">
        <v>8152.0038604026504</v>
      </c>
    </row>
    <row r="6263" spans="1:42" ht="14.5" x14ac:dyDescent="0.35">
      <c r="A6263" s="2" t="s">
        <v>41520</v>
      </c>
      <c r="B6263" s="2">
        <v>605.31522981942896</v>
      </c>
      <c r="C6263" s="2">
        <v>5.37571666666667</v>
      </c>
      <c r="D6263" s="2" t="s">
        <v>70</v>
      </c>
      <c r="E6263" s="2" t="s">
        <v>41521</v>
      </c>
      <c r="F6263" s="2">
        <v>266253</v>
      </c>
      <c r="G6263" s="3" t="str">
        <f>HYPERLINK("http://funmeta.oebiotech.com/network/266253", "http://funmeta.oebiotech.com/network/266253")</f>
        <v>http://funmeta.oebiotech.com/network/266253</v>
      </c>
      <c r="H6263" s="2"/>
      <c r="I6263" s="2">
        <v>24081</v>
      </c>
      <c r="J6263" s="2"/>
      <c r="K6263" s="2"/>
      <c r="L6263" s="2"/>
      <c r="M6263" s="2"/>
      <c r="N6263" s="2"/>
      <c r="O6263" s="2">
        <v>3624962</v>
      </c>
      <c r="P6263" s="2" t="s">
        <v>41522</v>
      </c>
      <c r="Q6263" s="2" t="s">
        <v>41523</v>
      </c>
      <c r="R6263" s="2" t="s">
        <v>41524</v>
      </c>
      <c r="S6263" s="2" t="s">
        <v>148</v>
      </c>
      <c r="T6263" s="2" t="s">
        <v>149</v>
      </c>
      <c r="U6263" s="2" t="s">
        <v>41</v>
      </c>
      <c r="V6263" s="2" t="s">
        <v>59</v>
      </c>
      <c r="W6263" s="2">
        <v>38.299999999999997</v>
      </c>
      <c r="X6263" s="2">
        <v>0</v>
      </c>
      <c r="Y6263" s="2" t="s">
        <v>560</v>
      </c>
      <c r="Z6263" s="2" t="s">
        <v>41525</v>
      </c>
      <c r="AA6263" s="2">
        <v>-3.5003431009755501</v>
      </c>
      <c r="AB6263" s="2">
        <v>3.9090714689030297E-2</v>
      </c>
      <c r="AC6263" s="2">
        <v>3762.4993148793701</v>
      </c>
      <c r="AD6263" s="2">
        <v>4162.9948636916997</v>
      </c>
      <c r="AE6263" s="2">
        <v>5245.4890287834796</v>
      </c>
      <c r="AF6263" s="2">
        <v>3706.4528967623201</v>
      </c>
      <c r="AG6263" s="2">
        <v>3550.0886286226801</v>
      </c>
      <c r="AH6263" s="2">
        <v>3217.9760069035201</v>
      </c>
      <c r="AI6263" s="2">
        <v>3801.8232245638501</v>
      </c>
      <c r="AJ6263" s="2">
        <v>3053.1661036403598</v>
      </c>
      <c r="AK6263" s="2">
        <v>4803.9981377342401</v>
      </c>
      <c r="AL6263" s="2">
        <v>4228.7060649851301</v>
      </c>
      <c r="AM6263" s="2">
        <v>3386.40996550503</v>
      </c>
      <c r="AN6263" s="2">
        <v>2844.8153328093199</v>
      </c>
      <c r="AO6263" s="2">
        <v>4910.7899484127202</v>
      </c>
      <c r="AP6263" s="2">
        <v>4803.2497327037299</v>
      </c>
    </row>
    <row r="6264" spans="1:42" ht="14.5" x14ac:dyDescent="0.35">
      <c r="A6264" s="2" t="s">
        <v>41526</v>
      </c>
      <c r="B6264" s="2">
        <v>206.11766667904101</v>
      </c>
      <c r="C6264" s="2">
        <v>9.2149333333333292</v>
      </c>
      <c r="D6264" s="2" t="s">
        <v>34</v>
      </c>
      <c r="E6264" s="2" t="s">
        <v>41527</v>
      </c>
      <c r="F6264" s="2">
        <v>54443</v>
      </c>
      <c r="G6264" s="3" t="str">
        <f>HYPERLINK("http://funmeta.oebiotech.com/network/54443", "http://funmeta.oebiotech.com/network/54443")</f>
        <v>http://funmeta.oebiotech.com/network/54443</v>
      </c>
      <c r="H6264" s="2" t="s">
        <v>41528</v>
      </c>
      <c r="I6264" s="2">
        <v>86305</v>
      </c>
      <c r="J6264" s="2"/>
      <c r="K6264" s="2"/>
      <c r="L6264" s="2"/>
      <c r="M6264" s="2"/>
      <c r="N6264" s="2"/>
      <c r="O6264" s="2">
        <v>12267346</v>
      </c>
      <c r="P6264" s="2" t="s">
        <v>41529</v>
      </c>
      <c r="Q6264" s="2" t="s">
        <v>41530</v>
      </c>
      <c r="R6264" s="2" t="s">
        <v>41531</v>
      </c>
      <c r="S6264" s="2" t="s">
        <v>115</v>
      </c>
      <c r="T6264" s="2" t="s">
        <v>758</v>
      </c>
      <c r="U6264" s="2" t="s">
        <v>41</v>
      </c>
      <c r="V6264" s="2" t="s">
        <v>59</v>
      </c>
      <c r="W6264" s="2">
        <v>39.200000000000003</v>
      </c>
      <c r="X6264" s="2">
        <v>0</v>
      </c>
      <c r="Y6264" s="2" t="s">
        <v>43</v>
      </c>
      <c r="Z6264" s="2" t="s">
        <v>41532</v>
      </c>
      <c r="AA6264" s="2">
        <v>0.59295443101472201</v>
      </c>
      <c r="AB6264" s="2">
        <v>3.9082482319713799E-2</v>
      </c>
      <c r="AC6264" s="2">
        <v>813.76914617515502</v>
      </c>
      <c r="AD6264" s="2">
        <v>634.35993871983101</v>
      </c>
      <c r="AE6264" s="2">
        <v>971.22693064217196</v>
      </c>
      <c r="AF6264" s="2">
        <v>564.95266992376105</v>
      </c>
      <c r="AG6264" s="2">
        <v>863.25732571581</v>
      </c>
      <c r="AH6264" s="2">
        <v>895.68060940137104</v>
      </c>
      <c r="AI6264" s="2">
        <v>829.00066773089304</v>
      </c>
      <c r="AJ6264" s="2">
        <v>758.49667363692595</v>
      </c>
      <c r="AK6264" s="2">
        <v>697.82531742378399</v>
      </c>
      <c r="AL6264" s="2">
        <v>831.90041910169202</v>
      </c>
      <c r="AM6264" s="2">
        <v>562.40197971726695</v>
      </c>
      <c r="AN6264" s="2">
        <v>371.67095771700701</v>
      </c>
      <c r="AO6264" s="2">
        <v>667.043649281081</v>
      </c>
      <c r="AP6264" s="2">
        <v>675.31730907815199</v>
      </c>
    </row>
    <row r="6265" spans="1:42" ht="14.5" x14ac:dyDescent="0.35">
      <c r="A6265" s="2" t="s">
        <v>41533</v>
      </c>
      <c r="B6265" s="2">
        <v>281.18983664082901</v>
      </c>
      <c r="C6265" s="2">
        <v>4.3289999999999997</v>
      </c>
      <c r="D6265" s="2" t="s">
        <v>34</v>
      </c>
      <c r="E6265" s="2" t="s">
        <v>41534</v>
      </c>
      <c r="F6265" s="2">
        <v>200238</v>
      </c>
      <c r="G6265" s="3" t="str">
        <f>HYPERLINK("http://funmeta.oebiotech.com/network/200238", "http://funmeta.oebiotech.com/network/200238")</f>
        <v>http://funmeta.oebiotech.com/network/200238</v>
      </c>
      <c r="H6265" s="2" t="s">
        <v>41535</v>
      </c>
      <c r="I6265" s="2"/>
      <c r="J6265" s="2"/>
      <c r="K6265" s="2"/>
      <c r="L6265" s="2"/>
      <c r="M6265" s="2"/>
      <c r="N6265" s="2"/>
      <c r="O6265" s="2">
        <v>19843829</v>
      </c>
      <c r="P6265" s="2"/>
      <c r="Q6265" s="2" t="s">
        <v>41536</v>
      </c>
      <c r="R6265" s="2" t="s">
        <v>41537</v>
      </c>
      <c r="S6265" s="2" t="s">
        <v>50</v>
      </c>
      <c r="T6265" s="2" t="s">
        <v>124</v>
      </c>
      <c r="U6265" s="2" t="s">
        <v>2373</v>
      </c>
      <c r="V6265" s="2" t="s">
        <v>42</v>
      </c>
      <c r="W6265" s="2">
        <v>50.1</v>
      </c>
      <c r="X6265" s="2">
        <v>56.9</v>
      </c>
      <c r="Y6265" s="2" t="s">
        <v>141</v>
      </c>
      <c r="Z6265" s="2" t="s">
        <v>6977</v>
      </c>
      <c r="AA6265" s="2">
        <v>-0.52040780728445102</v>
      </c>
      <c r="AB6265" s="2">
        <v>3.9060089272883999E-2</v>
      </c>
      <c r="AC6265" s="2">
        <v>229589.77651391999</v>
      </c>
      <c r="AD6265" s="2">
        <v>228599.22834873901</v>
      </c>
      <c r="AE6265" s="2">
        <v>225798.214985725</v>
      </c>
      <c r="AF6265" s="2">
        <v>229360.62461888799</v>
      </c>
      <c r="AG6265" s="2">
        <v>231755.200626623</v>
      </c>
      <c r="AH6265" s="2">
        <v>224402.85220946599</v>
      </c>
      <c r="AI6265" s="2">
        <v>233572.64013628301</v>
      </c>
      <c r="AJ6265" s="2">
        <v>232649.126506534</v>
      </c>
      <c r="AK6265" s="2">
        <v>230303.03113729399</v>
      </c>
      <c r="AL6265" s="2">
        <v>233019.48689875501</v>
      </c>
      <c r="AM6265" s="2">
        <v>237392.146559135</v>
      </c>
      <c r="AN6265" s="2">
        <v>224245.64592202799</v>
      </c>
      <c r="AO6265" s="2">
        <v>219418.77455432501</v>
      </c>
      <c r="AP6265" s="2">
        <v>227216.285020896</v>
      </c>
    </row>
    <row r="6266" spans="1:42" ht="14.5" x14ac:dyDescent="0.35">
      <c r="A6266" s="2" t="s">
        <v>41538</v>
      </c>
      <c r="B6266" s="2">
        <v>404.08315235526601</v>
      </c>
      <c r="C6266" s="2">
        <v>1.3894500000000001</v>
      </c>
      <c r="D6266" s="2" t="s">
        <v>70</v>
      </c>
      <c r="E6266" s="2" t="s">
        <v>41539</v>
      </c>
      <c r="F6266" s="2">
        <v>55647</v>
      </c>
      <c r="G6266" s="3" t="str">
        <f>HYPERLINK("http://funmeta.oebiotech.com/network/55647", "http://funmeta.oebiotech.com/network/55647")</f>
        <v>http://funmeta.oebiotech.com/network/55647</v>
      </c>
      <c r="H6266" s="2" t="s">
        <v>41540</v>
      </c>
      <c r="I6266" s="2"/>
      <c r="J6266" s="2"/>
      <c r="K6266" s="2"/>
      <c r="L6266" s="2"/>
      <c r="M6266" s="2"/>
      <c r="N6266" s="2"/>
      <c r="O6266" s="2">
        <v>6088720</v>
      </c>
      <c r="P6266" s="2" t="s">
        <v>41541</v>
      </c>
      <c r="Q6266" s="2" t="s">
        <v>41542</v>
      </c>
      <c r="R6266" s="2" t="s">
        <v>41543</v>
      </c>
      <c r="S6266" s="2" t="s">
        <v>79</v>
      </c>
      <c r="T6266" s="2" t="s">
        <v>80</v>
      </c>
      <c r="U6266" s="2" t="s">
        <v>81</v>
      </c>
      <c r="V6266" s="2" t="s">
        <v>59</v>
      </c>
      <c r="W6266" s="2">
        <v>38.9</v>
      </c>
      <c r="X6266" s="2">
        <v>0</v>
      </c>
      <c r="Y6266" s="2" t="s">
        <v>408</v>
      </c>
      <c r="Z6266" s="2" t="s">
        <v>41544</v>
      </c>
      <c r="AA6266" s="2">
        <v>-0.82504176280869201</v>
      </c>
      <c r="AB6266" s="2">
        <v>3.8970931410521097E-2</v>
      </c>
      <c r="AC6266" s="2">
        <v>7865.24686531517</v>
      </c>
      <c r="AD6266" s="2">
        <v>8484.5590390788802</v>
      </c>
      <c r="AE6266" s="2">
        <v>8166.9717260583202</v>
      </c>
      <c r="AF6266" s="2">
        <v>7863.1440568963499</v>
      </c>
      <c r="AG6266" s="2">
        <v>11266.5467554193</v>
      </c>
      <c r="AH6266" s="2">
        <v>6810.45644620238</v>
      </c>
      <c r="AI6266" s="2">
        <v>6223.50115226453</v>
      </c>
      <c r="AJ6266" s="2">
        <v>6860.8610550501598</v>
      </c>
      <c r="AK6266" s="2">
        <v>7245.0143921262197</v>
      </c>
      <c r="AL6266" s="2">
        <v>10497.014130875301</v>
      </c>
      <c r="AM6266" s="2">
        <v>11684.6560091295</v>
      </c>
      <c r="AN6266" s="2">
        <v>7144.1419432699604</v>
      </c>
      <c r="AO6266" s="2">
        <v>7659.4738475983604</v>
      </c>
      <c r="AP6266" s="2">
        <v>6677.0539114739604</v>
      </c>
    </row>
    <row r="6267" spans="1:42" ht="14.5" x14ac:dyDescent="0.35">
      <c r="A6267" s="2" t="s">
        <v>41545</v>
      </c>
      <c r="B6267" s="2">
        <v>511.25466936499402</v>
      </c>
      <c r="C6267" s="2">
        <v>7.4702333333333302</v>
      </c>
      <c r="D6267" s="2" t="s">
        <v>70</v>
      </c>
      <c r="E6267" s="2" t="s">
        <v>41546</v>
      </c>
      <c r="F6267" s="2">
        <v>46632</v>
      </c>
      <c r="G6267" s="3" t="str">
        <f>HYPERLINK("http://funmeta.oebiotech.com/network/46632", "http://funmeta.oebiotech.com/network/46632")</f>
        <v>http://funmeta.oebiotech.com/network/46632</v>
      </c>
      <c r="H6267" s="2" t="s">
        <v>41547</v>
      </c>
      <c r="I6267" s="2">
        <v>2796</v>
      </c>
      <c r="J6267" s="2" t="s">
        <v>41548</v>
      </c>
      <c r="K6267" s="2">
        <v>28832</v>
      </c>
      <c r="L6267" s="2" t="s">
        <v>41549</v>
      </c>
      <c r="M6267" s="2" t="s">
        <v>2454</v>
      </c>
      <c r="N6267" s="2" t="s">
        <v>2455</v>
      </c>
      <c r="O6267" s="2">
        <v>114833</v>
      </c>
      <c r="P6267" s="2" t="s">
        <v>41550</v>
      </c>
      <c r="Q6267" s="2" t="s">
        <v>41551</v>
      </c>
      <c r="R6267" s="2" t="s">
        <v>41552</v>
      </c>
      <c r="S6267" s="2" t="s">
        <v>50</v>
      </c>
      <c r="T6267" s="2" t="s">
        <v>124</v>
      </c>
      <c r="U6267" s="2" t="s">
        <v>523</v>
      </c>
      <c r="V6267" s="2" t="s">
        <v>59</v>
      </c>
      <c r="W6267" s="2">
        <v>38.5</v>
      </c>
      <c r="X6267" s="2">
        <v>0</v>
      </c>
      <c r="Y6267" s="2" t="s">
        <v>408</v>
      </c>
      <c r="Z6267" s="2" t="s">
        <v>27993</v>
      </c>
      <c r="AA6267" s="2">
        <v>-0.432551767789286</v>
      </c>
      <c r="AB6267" s="2">
        <v>3.8958010168459303E-2</v>
      </c>
      <c r="AC6267" s="2">
        <v>7513.7200654656699</v>
      </c>
      <c r="AD6267" s="2">
        <v>7877.8369621014999</v>
      </c>
      <c r="AE6267" s="2">
        <v>7949.89448509877</v>
      </c>
      <c r="AF6267" s="2">
        <v>6508.2191124013698</v>
      </c>
      <c r="AG6267" s="2">
        <v>7176.9406668301799</v>
      </c>
      <c r="AH6267" s="2">
        <v>7973.7066992794398</v>
      </c>
      <c r="AI6267" s="2">
        <v>7295.9912107392902</v>
      </c>
      <c r="AJ6267" s="2">
        <v>8177.5682184449897</v>
      </c>
      <c r="AK6267" s="2">
        <v>6909.79687813685</v>
      </c>
      <c r="AL6267" s="2">
        <v>7102.6096421114598</v>
      </c>
      <c r="AM6267" s="2">
        <v>7699.9957216027296</v>
      </c>
      <c r="AN6267" s="2">
        <v>8708.1048061828205</v>
      </c>
      <c r="AO6267" s="2">
        <v>8023.5854482964596</v>
      </c>
      <c r="AP6267" s="2">
        <v>8822.9292762786499</v>
      </c>
    </row>
    <row r="6268" spans="1:42" ht="14.5" x14ac:dyDescent="0.35">
      <c r="A6268" s="2" t="s">
        <v>41553</v>
      </c>
      <c r="B6268" s="2">
        <v>445.25660822448901</v>
      </c>
      <c r="C6268" s="2">
        <v>5.2660166666666699</v>
      </c>
      <c r="D6268" s="2" t="s">
        <v>34</v>
      </c>
      <c r="E6268" s="2" t="s">
        <v>41554</v>
      </c>
      <c r="F6268" s="2">
        <v>208356</v>
      </c>
      <c r="G6268" s="3" t="str">
        <f>HYPERLINK("http://funmeta.oebiotech.com/network/208356", "http://funmeta.oebiotech.com/network/208356")</f>
        <v>http://funmeta.oebiotech.com/network/208356</v>
      </c>
      <c r="H6268" s="2" t="s">
        <v>41555</v>
      </c>
      <c r="I6268" s="2"/>
      <c r="J6268" s="2"/>
      <c r="K6268" s="2"/>
      <c r="L6268" s="2"/>
      <c r="M6268" s="2"/>
      <c r="N6268" s="2"/>
      <c r="O6268" s="2">
        <v>3565209</v>
      </c>
      <c r="P6268" s="2"/>
      <c r="Q6268" s="2" t="s">
        <v>41556</v>
      </c>
      <c r="R6268" s="2" t="s">
        <v>41557</v>
      </c>
      <c r="S6268" s="2" t="s">
        <v>89</v>
      </c>
      <c r="T6268" s="2" t="s">
        <v>4218</v>
      </c>
      <c r="U6268" s="2" t="s">
        <v>5830</v>
      </c>
      <c r="V6268" s="2" t="s">
        <v>59</v>
      </c>
      <c r="W6268" s="2">
        <v>38.700000000000003</v>
      </c>
      <c r="X6268" s="2">
        <v>0</v>
      </c>
      <c r="Y6268" s="2" t="s">
        <v>323</v>
      </c>
      <c r="Z6268" s="2" t="s">
        <v>41558</v>
      </c>
      <c r="AA6268" s="2">
        <v>1.29919855964694</v>
      </c>
      <c r="AB6268" s="2">
        <v>3.8935793966672398E-2</v>
      </c>
      <c r="AC6268" s="2">
        <v>22334.059113950399</v>
      </c>
      <c r="AD6268" s="2">
        <v>21620.454076312999</v>
      </c>
      <c r="AE6268" s="2">
        <v>18370.438580402399</v>
      </c>
      <c r="AF6268" s="2">
        <v>25219.1480652348</v>
      </c>
      <c r="AG6268" s="2">
        <v>21007.3837041804</v>
      </c>
      <c r="AH6268" s="2">
        <v>20974.278413062999</v>
      </c>
      <c r="AI6268" s="2">
        <v>26441.568761880098</v>
      </c>
      <c r="AJ6268" s="2">
        <v>21991.537158941799</v>
      </c>
      <c r="AK6268" s="2">
        <v>19908.063398924001</v>
      </c>
      <c r="AL6268" s="2">
        <v>25022.3494304618</v>
      </c>
      <c r="AM6268" s="2">
        <v>21700.197879810799</v>
      </c>
      <c r="AN6268" s="2">
        <v>23121.569599084902</v>
      </c>
      <c r="AO6268" s="2">
        <v>20311.8125124861</v>
      </c>
      <c r="AP6268" s="2">
        <v>19658.731637110399</v>
      </c>
    </row>
    <row r="6269" spans="1:42" ht="14.5" x14ac:dyDescent="0.35">
      <c r="A6269" s="2" t="s">
        <v>41559</v>
      </c>
      <c r="B6269" s="2">
        <v>735.19313158049499</v>
      </c>
      <c r="C6269" s="2">
        <v>5.0778999999999996</v>
      </c>
      <c r="D6269" s="2" t="s">
        <v>70</v>
      </c>
      <c r="E6269" s="2" t="s">
        <v>41560</v>
      </c>
      <c r="F6269" s="2">
        <v>61016</v>
      </c>
      <c r="G6269" s="3" t="str">
        <f>HYPERLINK("http://funmeta.oebiotech.com/network/61016", "http://funmeta.oebiotech.com/network/61016")</f>
        <v>http://funmeta.oebiotech.com/network/61016</v>
      </c>
      <c r="H6269" s="2" t="s">
        <v>41561</v>
      </c>
      <c r="I6269" s="2">
        <v>92356</v>
      </c>
      <c r="J6269" s="2"/>
      <c r="K6269" s="2"/>
      <c r="L6269" s="2"/>
      <c r="M6269" s="2"/>
      <c r="N6269" s="2"/>
      <c r="O6269" s="2">
        <v>131752192</v>
      </c>
      <c r="P6269" s="2" t="s">
        <v>41562</v>
      </c>
      <c r="Q6269" s="2" t="s">
        <v>41563</v>
      </c>
      <c r="R6269" s="2" t="s">
        <v>41564</v>
      </c>
      <c r="S6269" s="2" t="s">
        <v>115</v>
      </c>
      <c r="T6269" s="2" t="s">
        <v>139</v>
      </c>
      <c r="U6269" s="2" t="s">
        <v>140</v>
      </c>
      <c r="V6269" s="2" t="s">
        <v>59</v>
      </c>
      <c r="W6269" s="2">
        <v>37.299999999999997</v>
      </c>
      <c r="X6269" s="2">
        <v>0</v>
      </c>
      <c r="Y6269" s="2" t="s">
        <v>751</v>
      </c>
      <c r="Z6269" s="2" t="s">
        <v>41565</v>
      </c>
      <c r="AA6269" s="2">
        <v>9.6722700441726206E-2</v>
      </c>
      <c r="AB6269" s="2">
        <v>3.8892392482251799E-2</v>
      </c>
      <c r="AC6269" s="2">
        <v>8436.3569526512401</v>
      </c>
      <c r="AD6269" s="2">
        <v>9019.3030736199908</v>
      </c>
      <c r="AE6269" s="2">
        <v>9533.6036225807093</v>
      </c>
      <c r="AF6269" s="2">
        <v>6027.7176573376501</v>
      </c>
      <c r="AG6269" s="2">
        <v>8307.5084399040406</v>
      </c>
      <c r="AH6269" s="2">
        <v>7515.8875710558596</v>
      </c>
      <c r="AI6269" s="2">
        <v>7054.4737683445601</v>
      </c>
      <c r="AJ6269" s="2">
        <v>12178.950656684599</v>
      </c>
      <c r="AK6269" s="2">
        <v>7620.0408676549696</v>
      </c>
      <c r="AL6269" s="2">
        <v>9581.2344711187307</v>
      </c>
      <c r="AM6269" s="2">
        <v>9346.2460010087598</v>
      </c>
      <c r="AN6269" s="2">
        <v>7238.80252812667</v>
      </c>
      <c r="AO6269" s="2">
        <v>10069.15314412</v>
      </c>
      <c r="AP6269" s="2">
        <v>10260.341429690799</v>
      </c>
    </row>
    <row r="6270" spans="1:42" ht="14.5" x14ac:dyDescent="0.35">
      <c r="A6270" s="2" t="s">
        <v>41566</v>
      </c>
      <c r="B6270" s="2">
        <v>279.15990368418898</v>
      </c>
      <c r="C6270" s="2">
        <v>9.7631833333333304</v>
      </c>
      <c r="D6270" s="2" t="s">
        <v>70</v>
      </c>
      <c r="E6270" s="2" t="s">
        <v>41567</v>
      </c>
      <c r="F6270" s="2">
        <v>6919</v>
      </c>
      <c r="G6270" s="3" t="str">
        <f>HYPERLINK("http://funmeta.oebiotech.com/network/6919", "http://funmeta.oebiotech.com/network/6919")</f>
        <v>http://funmeta.oebiotech.com/network/6919</v>
      </c>
      <c r="H6270" s="2" t="s">
        <v>41568</v>
      </c>
      <c r="I6270" s="2">
        <v>46179</v>
      </c>
      <c r="J6270" s="2" t="s">
        <v>41569</v>
      </c>
      <c r="K6270" s="2"/>
      <c r="L6270" s="2"/>
      <c r="M6270" s="2"/>
      <c r="N6270" s="2"/>
      <c r="O6270" s="2">
        <v>5363491</v>
      </c>
      <c r="P6270" s="2" t="s">
        <v>41570</v>
      </c>
      <c r="Q6270" s="2" t="s">
        <v>41571</v>
      </c>
      <c r="R6270" s="2" t="s">
        <v>41572</v>
      </c>
      <c r="S6270" s="2" t="s">
        <v>89</v>
      </c>
      <c r="T6270" s="2" t="s">
        <v>90</v>
      </c>
      <c r="U6270" s="2" t="s">
        <v>401</v>
      </c>
      <c r="V6270" s="2" t="s">
        <v>59</v>
      </c>
      <c r="W6270" s="2">
        <v>39.6</v>
      </c>
      <c r="X6270" s="2">
        <v>0</v>
      </c>
      <c r="Y6270" s="2" t="s">
        <v>560</v>
      </c>
      <c r="Z6270" s="2" t="s">
        <v>7336</v>
      </c>
      <c r="AA6270" s="2">
        <v>-0.99630317994224105</v>
      </c>
      <c r="AB6270" s="2">
        <v>3.8850406388335403E-2</v>
      </c>
      <c r="AC6270" s="2">
        <v>3892.6716124787499</v>
      </c>
      <c r="AD6270" s="2">
        <v>3596.6751560552598</v>
      </c>
      <c r="AE6270" s="2">
        <v>4114.2965829650902</v>
      </c>
      <c r="AF6270" s="2">
        <v>4137.17497832756</v>
      </c>
      <c r="AG6270" s="2">
        <v>3559.9682910524798</v>
      </c>
      <c r="AH6270" s="2">
        <v>4007.9681513618202</v>
      </c>
      <c r="AI6270" s="2">
        <v>3413.36983278565</v>
      </c>
      <c r="AJ6270" s="2">
        <v>4123.2518383799097</v>
      </c>
      <c r="AK6270" s="2">
        <v>4065.6996978398802</v>
      </c>
      <c r="AL6270" s="2">
        <v>4396.0175642488302</v>
      </c>
      <c r="AM6270" s="2">
        <v>2900.1531723961498</v>
      </c>
      <c r="AN6270" s="2">
        <v>3640.8197585366102</v>
      </c>
      <c r="AO6270" s="2">
        <v>3616.2129912774799</v>
      </c>
      <c r="AP6270" s="2">
        <v>2961.1477520326298</v>
      </c>
    </row>
    <row r="6271" spans="1:42" ht="14.5" x14ac:dyDescent="0.35">
      <c r="A6271" s="2" t="s">
        <v>41573</v>
      </c>
      <c r="B6271" s="2">
        <v>764.57333629853304</v>
      </c>
      <c r="C6271" s="2">
        <v>15.4304666666667</v>
      </c>
      <c r="D6271" s="2" t="s">
        <v>34</v>
      </c>
      <c r="E6271" s="2" t="s">
        <v>41574</v>
      </c>
      <c r="F6271" s="2">
        <v>274648</v>
      </c>
      <c r="G6271" s="3" t="str">
        <f>HYPERLINK("http://funmeta.oebiotech.com/network/274648", "http://funmeta.oebiotech.com/network/274648")</f>
        <v>http://funmeta.oebiotech.com/network/274648</v>
      </c>
      <c r="H6271" s="2"/>
      <c r="I6271" s="2">
        <v>64805</v>
      </c>
      <c r="J6271" s="2"/>
      <c r="K6271" s="2"/>
      <c r="L6271" s="2"/>
      <c r="M6271" s="2"/>
      <c r="N6271" s="2"/>
      <c r="O6271" s="2">
        <v>91886110</v>
      </c>
      <c r="P6271" s="2"/>
      <c r="Q6271" s="2" t="s">
        <v>41575</v>
      </c>
      <c r="R6271" s="2" t="s">
        <v>41576</v>
      </c>
      <c r="S6271" s="2" t="s">
        <v>41</v>
      </c>
      <c r="T6271" s="2" t="s">
        <v>41</v>
      </c>
      <c r="U6271" s="2" t="s">
        <v>41</v>
      </c>
      <c r="V6271" s="2" t="s">
        <v>59</v>
      </c>
      <c r="W6271" s="2">
        <v>37.799999999999997</v>
      </c>
      <c r="X6271" s="2">
        <v>0</v>
      </c>
      <c r="Y6271" s="2" t="s">
        <v>43</v>
      </c>
      <c r="Z6271" s="2" t="s">
        <v>41577</v>
      </c>
      <c r="AA6271" s="2">
        <v>6.5494707063407303</v>
      </c>
      <c r="AB6271" s="2">
        <v>3.8837424784385101E-2</v>
      </c>
      <c r="AC6271" s="2">
        <v>20516.3521437948</v>
      </c>
      <c r="AD6271" s="2">
        <v>19809.036502585499</v>
      </c>
      <c r="AE6271" s="2">
        <v>15253.1550423276</v>
      </c>
      <c r="AF6271" s="2">
        <v>20931.2949651651</v>
      </c>
      <c r="AG6271" s="2">
        <v>22797.913725931001</v>
      </c>
      <c r="AH6271" s="2">
        <v>22299.918886181102</v>
      </c>
      <c r="AI6271" s="2">
        <v>20178.787267175001</v>
      </c>
      <c r="AJ6271" s="2">
        <v>21637.042975989199</v>
      </c>
      <c r="AK6271" s="2">
        <v>21916.024974416399</v>
      </c>
      <c r="AL6271" s="2">
        <v>24594.183005967701</v>
      </c>
      <c r="AM6271" s="2">
        <v>19470.206606969899</v>
      </c>
      <c r="AN6271" s="2">
        <v>18974.344788641902</v>
      </c>
      <c r="AO6271" s="2">
        <v>16830.748837011601</v>
      </c>
      <c r="AP6271" s="2">
        <v>17068.710802505499</v>
      </c>
    </row>
    <row r="6272" spans="1:42" ht="14.5" x14ac:dyDescent="0.35">
      <c r="A6272" s="2" t="s">
        <v>41578</v>
      </c>
      <c r="B6272" s="2">
        <v>380.05567810934099</v>
      </c>
      <c r="C6272" s="2">
        <v>4.84418333333333</v>
      </c>
      <c r="D6272" s="2" t="s">
        <v>70</v>
      </c>
      <c r="E6272" s="2" t="s">
        <v>41579</v>
      </c>
      <c r="F6272" s="2">
        <v>208018</v>
      </c>
      <c r="G6272" s="3" t="str">
        <f>HYPERLINK("http://funmeta.oebiotech.com/network/208018", "http://funmeta.oebiotech.com/network/208018")</f>
        <v>http://funmeta.oebiotech.com/network/208018</v>
      </c>
      <c r="H6272" s="2" t="s">
        <v>41580</v>
      </c>
      <c r="I6272" s="2">
        <v>44108</v>
      </c>
      <c r="J6272" s="2"/>
      <c r="K6272" s="2">
        <v>76163</v>
      </c>
      <c r="L6272" s="2"/>
      <c r="M6272" s="2"/>
      <c r="N6272" s="2"/>
      <c r="O6272" s="2">
        <v>54677972</v>
      </c>
      <c r="P6272" s="2" t="s">
        <v>41581</v>
      </c>
      <c r="Q6272" s="2" t="s">
        <v>41582</v>
      </c>
      <c r="R6272" s="2" t="s">
        <v>41583</v>
      </c>
      <c r="S6272" s="2" t="s">
        <v>491</v>
      </c>
      <c r="T6272" s="2" t="s">
        <v>25326</v>
      </c>
      <c r="U6272" s="2" t="s">
        <v>41</v>
      </c>
      <c r="V6272" s="2" t="s">
        <v>59</v>
      </c>
      <c r="W6272" s="2">
        <v>36.4</v>
      </c>
      <c r="X6272" s="2">
        <v>0</v>
      </c>
      <c r="Y6272" s="2" t="s">
        <v>408</v>
      </c>
      <c r="Z6272" s="2" t="s">
        <v>41584</v>
      </c>
      <c r="AA6272" s="2">
        <v>-0.34707397118796302</v>
      </c>
      <c r="AB6272" s="2">
        <v>3.8761837810152203E-2</v>
      </c>
      <c r="AC6272" s="2">
        <v>3240.8155665824502</v>
      </c>
      <c r="AD6272" s="2">
        <v>3517.4292646026902</v>
      </c>
      <c r="AE6272" s="2">
        <v>2720.20957103516</v>
      </c>
      <c r="AF6272" s="2">
        <v>3042.2005286038202</v>
      </c>
      <c r="AG6272" s="2">
        <v>3275.44594929707</v>
      </c>
      <c r="AH6272" s="2">
        <v>3615.44348103928</v>
      </c>
      <c r="AI6272" s="2">
        <v>3478.92067911002</v>
      </c>
      <c r="AJ6272" s="2">
        <v>3312.6731904093599</v>
      </c>
      <c r="AK6272" s="2">
        <v>3780.8185904218799</v>
      </c>
      <c r="AL6272" s="2">
        <v>2941.3944899654898</v>
      </c>
      <c r="AM6272" s="2">
        <v>3341.5035768728999</v>
      </c>
      <c r="AN6272" s="2">
        <v>3090.9188874399001</v>
      </c>
      <c r="AO6272" s="2">
        <v>4199.1861225187704</v>
      </c>
      <c r="AP6272" s="2">
        <v>3750.7539203971701</v>
      </c>
    </row>
    <row r="6273" spans="1:42" ht="14.5" x14ac:dyDescent="0.35">
      <c r="A6273" s="2" t="s">
        <v>41585</v>
      </c>
      <c r="B6273" s="2">
        <v>485.17750124519301</v>
      </c>
      <c r="C6273" s="2">
        <v>4.2044333333333297</v>
      </c>
      <c r="D6273" s="2" t="s">
        <v>70</v>
      </c>
      <c r="E6273" s="2" t="s">
        <v>41586</v>
      </c>
      <c r="F6273" s="2">
        <v>8812</v>
      </c>
      <c r="G6273" s="3" t="str">
        <f>HYPERLINK("http://funmeta.oebiotech.com/network/8812", "http://funmeta.oebiotech.com/network/8812")</f>
        <v>http://funmeta.oebiotech.com/network/8812</v>
      </c>
      <c r="H6273" s="2"/>
      <c r="I6273" s="2"/>
      <c r="J6273" s="2" t="s">
        <v>41587</v>
      </c>
      <c r="K6273" s="2"/>
      <c r="L6273" s="2"/>
      <c r="M6273" s="2"/>
      <c r="N6273" s="2"/>
      <c r="O6273" s="2"/>
      <c r="P6273" s="2"/>
      <c r="Q6273" s="2" t="s">
        <v>41588</v>
      </c>
      <c r="R6273" s="2" t="s">
        <v>41589</v>
      </c>
      <c r="S6273" s="2" t="s">
        <v>89</v>
      </c>
      <c r="T6273" s="2" t="s">
        <v>90</v>
      </c>
      <c r="U6273" s="2" t="s">
        <v>99</v>
      </c>
      <c r="V6273" s="2" t="s">
        <v>59</v>
      </c>
      <c r="W6273" s="2">
        <v>37.5</v>
      </c>
      <c r="X6273" s="2">
        <v>0</v>
      </c>
      <c r="Y6273" s="2" t="s">
        <v>560</v>
      </c>
      <c r="Z6273" s="2" t="s">
        <v>41590</v>
      </c>
      <c r="AA6273" s="2">
        <v>-2.16201313318067</v>
      </c>
      <c r="AB6273" s="2">
        <v>3.8548980041717203E-2</v>
      </c>
      <c r="AC6273" s="2">
        <v>323.127830015879</v>
      </c>
      <c r="AD6273" s="2">
        <v>2.7106294003980101E-5</v>
      </c>
      <c r="AE6273" s="2">
        <v>2.7106294003980101E-5</v>
      </c>
      <c r="AF6273" s="2">
        <v>2.7106294003980101E-5</v>
      </c>
      <c r="AG6273" s="2">
        <v>2.7106294003980101E-5</v>
      </c>
      <c r="AH6273" s="2">
        <v>1936.4939676317099</v>
      </c>
      <c r="AI6273" s="2">
        <v>2.2729040383903598</v>
      </c>
      <c r="AJ6273" s="2">
        <v>2.7106294003980101E-5</v>
      </c>
      <c r="AK6273" s="2">
        <v>2.7106294003980101E-5</v>
      </c>
      <c r="AL6273" s="2">
        <v>2.7106294003980101E-5</v>
      </c>
      <c r="AM6273" s="2">
        <v>2.7106294003980101E-5</v>
      </c>
      <c r="AN6273" s="2">
        <v>2.7106294003980101E-5</v>
      </c>
      <c r="AO6273" s="2">
        <v>2.7106294003980101E-5</v>
      </c>
      <c r="AP6273" s="2">
        <v>2.7106294003980101E-5</v>
      </c>
    </row>
    <row r="6274" spans="1:42" ht="14.5" x14ac:dyDescent="0.35">
      <c r="A6274" s="2" t="s">
        <v>41591</v>
      </c>
      <c r="B6274" s="2">
        <v>268.09671072036099</v>
      </c>
      <c r="C6274" s="2">
        <v>10.132666666666699</v>
      </c>
      <c r="D6274" s="2" t="s">
        <v>34</v>
      </c>
      <c r="E6274" s="2" t="s">
        <v>41592</v>
      </c>
      <c r="F6274" s="2">
        <v>209110</v>
      </c>
      <c r="G6274" s="3" t="str">
        <f>HYPERLINK("http://funmeta.oebiotech.com/network/209110", "http://funmeta.oebiotech.com/network/209110")</f>
        <v>http://funmeta.oebiotech.com/network/209110</v>
      </c>
      <c r="H6274" s="2" t="s">
        <v>41593</v>
      </c>
      <c r="I6274" s="2"/>
      <c r="J6274" s="2"/>
      <c r="K6274" s="2"/>
      <c r="L6274" s="2"/>
      <c r="M6274" s="2"/>
      <c r="N6274" s="2"/>
      <c r="O6274" s="2"/>
      <c r="P6274" s="2"/>
      <c r="Q6274" s="2" t="s">
        <v>41594</v>
      </c>
      <c r="R6274" s="2" t="s">
        <v>41595</v>
      </c>
      <c r="S6274" s="2" t="s">
        <v>89</v>
      </c>
      <c r="T6274" s="2" t="s">
        <v>90</v>
      </c>
      <c r="U6274" s="2" t="s">
        <v>99</v>
      </c>
      <c r="V6274" s="2" t="s">
        <v>42</v>
      </c>
      <c r="W6274" s="2">
        <v>51.4</v>
      </c>
      <c r="X6274" s="2">
        <v>60.1</v>
      </c>
      <c r="Y6274" s="2" t="s">
        <v>141</v>
      </c>
      <c r="Z6274" s="2" t="s">
        <v>41382</v>
      </c>
      <c r="AA6274" s="2">
        <v>-0.38229985007647699</v>
      </c>
      <c r="AB6274" s="2">
        <v>3.8525117033614401E-2</v>
      </c>
      <c r="AC6274" s="2">
        <v>1563.0924161504199</v>
      </c>
      <c r="AD6274" s="2">
        <v>1395.1534157190199</v>
      </c>
      <c r="AE6274" s="2">
        <v>1416.60596694232</v>
      </c>
      <c r="AF6274" s="2">
        <v>1468.8684436348599</v>
      </c>
      <c r="AG6274" s="2">
        <v>1751.81169249098</v>
      </c>
      <c r="AH6274" s="2">
        <v>1587.03929156818</v>
      </c>
      <c r="AI6274" s="2">
        <v>1581.52735725668</v>
      </c>
      <c r="AJ6274" s="2">
        <v>1572.70174500953</v>
      </c>
      <c r="AK6274" s="2">
        <v>1322.5066071640199</v>
      </c>
      <c r="AL6274" s="2">
        <v>1273.79174525594</v>
      </c>
      <c r="AM6274" s="2">
        <v>1476.5773818620501</v>
      </c>
      <c r="AN6274" s="2">
        <v>1250.72683912771</v>
      </c>
      <c r="AO6274" s="2">
        <v>1426.6966008478</v>
      </c>
      <c r="AP6274" s="2">
        <v>1620.6213200566301</v>
      </c>
    </row>
    <row r="6275" spans="1:42" ht="14.5" x14ac:dyDescent="0.35">
      <c r="A6275" s="2" t="s">
        <v>41596</v>
      </c>
      <c r="B6275" s="2">
        <v>321.11910754368898</v>
      </c>
      <c r="C6275" s="2">
        <v>2.2171833333333302</v>
      </c>
      <c r="D6275" s="2" t="s">
        <v>70</v>
      </c>
      <c r="E6275" s="2" t="s">
        <v>41597</v>
      </c>
      <c r="F6275" s="2">
        <v>58324</v>
      </c>
      <c r="G6275" s="3" t="str">
        <f>HYPERLINK("http://funmeta.oebiotech.com/network/58324", "http://funmeta.oebiotech.com/network/58324")</f>
        <v>http://funmeta.oebiotech.com/network/58324</v>
      </c>
      <c r="H6275" s="2" t="s">
        <v>41598</v>
      </c>
      <c r="I6275" s="2">
        <v>89812</v>
      </c>
      <c r="J6275" s="2"/>
      <c r="K6275" s="2"/>
      <c r="L6275" s="2"/>
      <c r="M6275" s="2"/>
      <c r="N6275" s="2"/>
      <c r="O6275" s="2">
        <v>6506</v>
      </c>
      <c r="P6275" s="2" t="s">
        <v>41599</v>
      </c>
      <c r="Q6275" s="2" t="s">
        <v>41600</v>
      </c>
      <c r="R6275" s="2" t="s">
        <v>41601</v>
      </c>
      <c r="S6275" s="2" t="s">
        <v>89</v>
      </c>
      <c r="T6275" s="2" t="s">
        <v>90</v>
      </c>
      <c r="U6275" s="2" t="s">
        <v>91</v>
      </c>
      <c r="V6275" s="2" t="s">
        <v>59</v>
      </c>
      <c r="W6275" s="2">
        <v>38.799999999999997</v>
      </c>
      <c r="X6275" s="2">
        <v>0</v>
      </c>
      <c r="Y6275" s="2" t="s">
        <v>408</v>
      </c>
      <c r="Z6275" s="2" t="s">
        <v>41602</v>
      </c>
      <c r="AA6275" s="2">
        <v>6.13995211245564E-3</v>
      </c>
      <c r="AB6275" s="2">
        <v>3.8516665702868498E-2</v>
      </c>
      <c r="AC6275" s="2">
        <v>6114.9543407109404</v>
      </c>
      <c r="AD6275" s="2">
        <v>5865.1250644399097</v>
      </c>
      <c r="AE6275" s="2">
        <v>5597.2516266227703</v>
      </c>
      <c r="AF6275" s="2">
        <v>6518.6668167628004</v>
      </c>
      <c r="AG6275" s="2">
        <v>6111.7293699154698</v>
      </c>
      <c r="AH6275" s="2">
        <v>6083.7338754029997</v>
      </c>
      <c r="AI6275" s="2">
        <v>6104.4795700370896</v>
      </c>
      <c r="AJ6275" s="2">
        <v>6273.8647855244899</v>
      </c>
      <c r="AK6275" s="2">
        <v>5363.4925082959699</v>
      </c>
      <c r="AL6275" s="2">
        <v>6339.7666471731</v>
      </c>
      <c r="AM6275" s="2">
        <v>5600.5616815117501</v>
      </c>
      <c r="AN6275" s="2">
        <v>5869.0462272093901</v>
      </c>
      <c r="AO6275" s="2">
        <v>6107.7943015337096</v>
      </c>
      <c r="AP6275" s="2">
        <v>5910.0890209155596</v>
      </c>
    </row>
    <row r="6276" spans="1:42" ht="14.5" x14ac:dyDescent="0.35">
      <c r="A6276" s="2" t="s">
        <v>41603</v>
      </c>
      <c r="B6276" s="2">
        <v>319.13943638487098</v>
      </c>
      <c r="C6276" s="2">
        <v>4.2944166666666703</v>
      </c>
      <c r="D6276" s="2" t="s">
        <v>70</v>
      </c>
      <c r="E6276" s="2" t="s">
        <v>41604</v>
      </c>
      <c r="F6276" s="2">
        <v>2864</v>
      </c>
      <c r="G6276" s="3" t="str">
        <f>HYPERLINK("http://funmeta.oebiotech.com/network/2864", "http://funmeta.oebiotech.com/network/2864")</f>
        <v>http://funmeta.oebiotech.com/network/2864</v>
      </c>
      <c r="H6276" s="2" t="s">
        <v>41605</v>
      </c>
      <c r="I6276" s="2">
        <v>3280</v>
      </c>
      <c r="J6276" s="2" t="s">
        <v>41606</v>
      </c>
      <c r="K6276" s="2">
        <v>30531</v>
      </c>
      <c r="L6276" s="2" t="s">
        <v>41607</v>
      </c>
      <c r="M6276" s="2" t="s">
        <v>36013</v>
      </c>
      <c r="N6276" s="2" t="s">
        <v>36014</v>
      </c>
      <c r="O6276" s="2">
        <v>385</v>
      </c>
      <c r="P6276" s="2" t="s">
        <v>41608</v>
      </c>
      <c r="Q6276" s="2" t="s">
        <v>41609</v>
      </c>
      <c r="R6276" s="2" t="s">
        <v>41610</v>
      </c>
      <c r="S6276" s="2" t="s">
        <v>50</v>
      </c>
      <c r="T6276" s="2" t="s">
        <v>229</v>
      </c>
      <c r="U6276" s="2" t="s">
        <v>433</v>
      </c>
      <c r="V6276" s="2" t="s">
        <v>59</v>
      </c>
      <c r="W6276" s="2">
        <v>39.299999999999997</v>
      </c>
      <c r="X6276" s="2">
        <v>0</v>
      </c>
      <c r="Y6276" s="2" t="s">
        <v>560</v>
      </c>
      <c r="Z6276" s="2" t="s">
        <v>41611</v>
      </c>
      <c r="AA6276" s="2">
        <v>-1.2647600645250201</v>
      </c>
      <c r="AB6276" s="2">
        <v>3.8428179915249903E-2</v>
      </c>
      <c r="AC6276" s="2">
        <v>14156.3877921823</v>
      </c>
      <c r="AD6276" s="2">
        <v>14627.972949188101</v>
      </c>
      <c r="AE6276" s="2">
        <v>13511.0195505512</v>
      </c>
      <c r="AF6276" s="2">
        <v>14312.748815962401</v>
      </c>
      <c r="AG6276" s="2">
        <v>14288.965040008699</v>
      </c>
      <c r="AH6276" s="2">
        <v>15820.0650456849</v>
      </c>
      <c r="AI6276" s="2">
        <v>13125.030018768</v>
      </c>
      <c r="AJ6276" s="2">
        <v>13880.4982821186</v>
      </c>
      <c r="AK6276" s="2">
        <v>13297.903523582399</v>
      </c>
      <c r="AL6276" s="2">
        <v>13903.724059952199</v>
      </c>
      <c r="AM6276" s="2">
        <v>16798.170789846299</v>
      </c>
      <c r="AN6276" s="2">
        <v>14349.174673343001</v>
      </c>
      <c r="AO6276" s="2">
        <v>13408.559500977501</v>
      </c>
      <c r="AP6276" s="2">
        <v>16010.3051474273</v>
      </c>
    </row>
    <row r="6277" spans="1:42" ht="14.5" x14ac:dyDescent="0.35">
      <c r="A6277" s="2" t="s">
        <v>41612</v>
      </c>
      <c r="B6277" s="2">
        <v>545.18404277056504</v>
      </c>
      <c r="C6277" s="2">
        <v>1.4208666666666701</v>
      </c>
      <c r="D6277" s="2" t="s">
        <v>34</v>
      </c>
      <c r="E6277" s="2" t="s">
        <v>41613</v>
      </c>
      <c r="F6277" s="2">
        <v>208999</v>
      </c>
      <c r="G6277" s="3" t="str">
        <f>HYPERLINK("http://funmeta.oebiotech.com/network/208999", "http://funmeta.oebiotech.com/network/208999")</f>
        <v>http://funmeta.oebiotech.com/network/208999</v>
      </c>
      <c r="H6277" s="2" t="s">
        <v>41614</v>
      </c>
      <c r="I6277" s="2"/>
      <c r="J6277" s="2"/>
      <c r="K6277" s="2"/>
      <c r="L6277" s="2"/>
      <c r="M6277" s="2"/>
      <c r="N6277" s="2"/>
      <c r="O6277" s="2">
        <v>54175099</v>
      </c>
      <c r="P6277" s="2"/>
      <c r="Q6277" s="2" t="s">
        <v>41615</v>
      </c>
      <c r="R6277" s="2" t="s">
        <v>41616</v>
      </c>
      <c r="S6277" s="2" t="s">
        <v>41</v>
      </c>
      <c r="T6277" s="2" t="s">
        <v>41</v>
      </c>
      <c r="U6277" s="2" t="s">
        <v>41</v>
      </c>
      <c r="V6277" s="2" t="s">
        <v>59</v>
      </c>
      <c r="W6277" s="2">
        <v>38.200000000000003</v>
      </c>
      <c r="X6277" s="2">
        <v>0</v>
      </c>
      <c r="Y6277" s="2" t="s">
        <v>340</v>
      </c>
      <c r="Z6277" s="2" t="s">
        <v>41617</v>
      </c>
      <c r="AA6277" s="2">
        <v>-3.00902162905117</v>
      </c>
      <c r="AB6277" s="2">
        <v>3.8371273769726197E-2</v>
      </c>
      <c r="AC6277" s="2">
        <v>241.76658499233201</v>
      </c>
      <c r="AD6277" s="2">
        <v>413.20341148571902</v>
      </c>
      <c r="AE6277" s="2">
        <v>362.33367698408199</v>
      </c>
      <c r="AF6277" s="2">
        <v>207.910075655257</v>
      </c>
      <c r="AG6277" s="2">
        <v>258.23094189212202</v>
      </c>
      <c r="AH6277" s="2">
        <v>255.46100171823699</v>
      </c>
      <c r="AI6277" s="2">
        <v>181.64599514680199</v>
      </c>
      <c r="AJ6277" s="2">
        <v>185.01781855749499</v>
      </c>
      <c r="AK6277" s="2">
        <v>497.51671933304402</v>
      </c>
      <c r="AL6277" s="2">
        <v>205.973760661109</v>
      </c>
      <c r="AM6277" s="2">
        <v>618.71693631602295</v>
      </c>
      <c r="AN6277" s="2">
        <v>176.66942994548401</v>
      </c>
      <c r="AO6277" s="2">
        <v>446.73723756308698</v>
      </c>
      <c r="AP6277" s="2">
        <v>533.60638509556395</v>
      </c>
    </row>
    <row r="6278" spans="1:42" ht="14.5" x14ac:dyDescent="0.35">
      <c r="A6278" s="2" t="s">
        <v>41618</v>
      </c>
      <c r="B6278" s="2">
        <v>397.163768241909</v>
      </c>
      <c r="C6278" s="2">
        <v>4.4793166666666702</v>
      </c>
      <c r="D6278" s="2" t="s">
        <v>34</v>
      </c>
      <c r="E6278" s="2" t="s">
        <v>41619</v>
      </c>
      <c r="F6278" s="2">
        <v>266574</v>
      </c>
      <c r="G6278" s="3" t="str">
        <f>HYPERLINK("http://funmeta.oebiotech.com/network/266574", "http://funmeta.oebiotech.com/network/266574")</f>
        <v>http://funmeta.oebiotech.com/network/266574</v>
      </c>
      <c r="H6278" s="2"/>
      <c r="I6278" s="2">
        <v>43612</v>
      </c>
      <c r="J6278" s="2"/>
      <c r="K6278" s="2"/>
      <c r="L6278" s="2"/>
      <c r="M6278" s="2"/>
      <c r="N6278" s="2"/>
      <c r="O6278" s="2">
        <v>73068</v>
      </c>
      <c r="P6278" s="2" t="s">
        <v>41620</v>
      </c>
      <c r="Q6278" s="2" t="s">
        <v>41621</v>
      </c>
      <c r="R6278" s="2" t="s">
        <v>41622</v>
      </c>
      <c r="S6278" s="2" t="s">
        <v>115</v>
      </c>
      <c r="T6278" s="2" t="s">
        <v>1371</v>
      </c>
      <c r="U6278" s="2" t="s">
        <v>10759</v>
      </c>
      <c r="V6278" s="2" t="s">
        <v>59</v>
      </c>
      <c r="W6278" s="2">
        <v>36.799999999999997</v>
      </c>
      <c r="X6278" s="2">
        <v>0</v>
      </c>
      <c r="Y6278" s="2" t="s">
        <v>394</v>
      </c>
      <c r="Z6278" s="2" t="s">
        <v>22593</v>
      </c>
      <c r="AA6278" s="2">
        <v>-2.0110121779174901</v>
      </c>
      <c r="AB6278" s="2">
        <v>3.8331595589061698E-2</v>
      </c>
      <c r="AC6278" s="2">
        <v>7146.5199880010096</v>
      </c>
      <c r="AD6278" s="2">
        <v>7744.9278419922302</v>
      </c>
      <c r="AE6278" s="2">
        <v>7671.2435187949104</v>
      </c>
      <c r="AF6278" s="2">
        <v>6858.63554082682</v>
      </c>
      <c r="AG6278" s="2">
        <v>7347.71194461084</v>
      </c>
      <c r="AH6278" s="2">
        <v>8164.0428722795896</v>
      </c>
      <c r="AI6278" s="2">
        <v>6981.2318614242204</v>
      </c>
      <c r="AJ6278" s="2">
        <v>5856.2541900696997</v>
      </c>
      <c r="AK6278" s="2">
        <v>9665.3851083543395</v>
      </c>
      <c r="AL6278" s="2">
        <v>7577.61628021056</v>
      </c>
      <c r="AM6278" s="2">
        <v>6443.9190792910604</v>
      </c>
      <c r="AN6278" s="2">
        <v>9565.0285913109692</v>
      </c>
      <c r="AO6278" s="2">
        <v>3087.9062429185601</v>
      </c>
      <c r="AP6278" s="2">
        <v>10129.7117498679</v>
      </c>
    </row>
    <row r="6279" spans="1:42" ht="14.5" x14ac:dyDescent="0.35">
      <c r="A6279" s="2" t="s">
        <v>41623</v>
      </c>
      <c r="B6279" s="2">
        <v>701.28181386261099</v>
      </c>
      <c r="C6279" s="2">
        <v>5.4125166666666704</v>
      </c>
      <c r="D6279" s="2" t="s">
        <v>70</v>
      </c>
      <c r="E6279" s="2" t="s">
        <v>41624</v>
      </c>
      <c r="F6279" s="2">
        <v>204807</v>
      </c>
      <c r="G6279" s="3" t="str">
        <f>HYPERLINK("http://funmeta.oebiotech.com/network/204807", "http://funmeta.oebiotech.com/network/204807")</f>
        <v>http://funmeta.oebiotech.com/network/204807</v>
      </c>
      <c r="H6279" s="2" t="s">
        <v>41625</v>
      </c>
      <c r="I6279" s="2"/>
      <c r="J6279" s="2"/>
      <c r="K6279" s="2"/>
      <c r="L6279" s="2"/>
      <c r="M6279" s="2"/>
      <c r="N6279" s="2"/>
      <c r="O6279" s="2">
        <v>21158317</v>
      </c>
      <c r="P6279" s="2"/>
      <c r="Q6279" s="2" t="s">
        <v>41626</v>
      </c>
      <c r="R6279" s="2" t="s">
        <v>41627</v>
      </c>
      <c r="S6279" s="2" t="s">
        <v>41</v>
      </c>
      <c r="T6279" s="2" t="s">
        <v>41</v>
      </c>
      <c r="U6279" s="2" t="s">
        <v>41</v>
      </c>
      <c r="V6279" s="2" t="s">
        <v>59</v>
      </c>
      <c r="W6279" s="2">
        <v>37.200000000000003</v>
      </c>
      <c r="X6279" s="2">
        <v>0</v>
      </c>
      <c r="Y6279" s="2" t="s">
        <v>286</v>
      </c>
      <c r="Z6279" s="2" t="s">
        <v>41628</v>
      </c>
      <c r="AA6279" s="2">
        <v>-0.50071111386312295</v>
      </c>
      <c r="AB6279" s="2">
        <v>3.8295943018647097E-2</v>
      </c>
      <c r="AC6279" s="2">
        <v>39605.139019278198</v>
      </c>
      <c r="AD6279" s="2">
        <v>38636.219303364502</v>
      </c>
      <c r="AE6279" s="2">
        <v>39949.1626827086</v>
      </c>
      <c r="AF6279" s="2">
        <v>49963.503699073102</v>
      </c>
      <c r="AG6279" s="2">
        <v>37490.492858131503</v>
      </c>
      <c r="AH6279" s="2">
        <v>34738.6946994311</v>
      </c>
      <c r="AI6279" s="2">
        <v>42213.864422384198</v>
      </c>
      <c r="AJ6279" s="2">
        <v>33275.115753940401</v>
      </c>
      <c r="AK6279" s="2">
        <v>42413.936645367401</v>
      </c>
      <c r="AL6279" s="2">
        <v>40473.0406596182</v>
      </c>
      <c r="AM6279" s="2">
        <v>32626.633500207899</v>
      </c>
      <c r="AN6279" s="2">
        <v>38269.589166407597</v>
      </c>
      <c r="AO6279" s="2">
        <v>32982.887155659097</v>
      </c>
      <c r="AP6279" s="2">
        <v>45051.228692926903</v>
      </c>
    </row>
    <row r="6280" spans="1:42" ht="14.5" x14ac:dyDescent="0.35">
      <c r="A6280" s="2" t="s">
        <v>41629</v>
      </c>
      <c r="B6280" s="2">
        <v>329.01235435531299</v>
      </c>
      <c r="C6280" s="2">
        <v>1.3894500000000001</v>
      </c>
      <c r="D6280" s="2" t="s">
        <v>70</v>
      </c>
      <c r="E6280" s="2" t="s">
        <v>41630</v>
      </c>
      <c r="F6280" s="2">
        <v>197173</v>
      </c>
      <c r="G6280" s="3" t="str">
        <f>HYPERLINK("http://funmeta.oebiotech.com/network/197173", "http://funmeta.oebiotech.com/network/197173")</f>
        <v>http://funmeta.oebiotech.com/network/197173</v>
      </c>
      <c r="H6280" s="2" t="s">
        <v>41631</v>
      </c>
      <c r="I6280" s="2"/>
      <c r="J6280" s="2"/>
      <c r="K6280" s="2"/>
      <c r="L6280" s="2"/>
      <c r="M6280" s="2"/>
      <c r="N6280" s="2"/>
      <c r="O6280" s="2"/>
      <c r="P6280" s="2"/>
      <c r="Q6280" s="2" t="s">
        <v>41632</v>
      </c>
      <c r="R6280" s="2" t="s">
        <v>41633</v>
      </c>
      <c r="S6280" s="2" t="s">
        <v>115</v>
      </c>
      <c r="T6280" s="2" t="s">
        <v>1371</v>
      </c>
      <c r="U6280" s="2" t="s">
        <v>6597</v>
      </c>
      <c r="V6280" s="2" t="s">
        <v>59</v>
      </c>
      <c r="W6280" s="2">
        <v>37.6</v>
      </c>
      <c r="X6280" s="2">
        <v>0</v>
      </c>
      <c r="Y6280" s="2" t="s">
        <v>751</v>
      </c>
      <c r="Z6280" s="2" t="s">
        <v>41634</v>
      </c>
      <c r="AA6280" s="2">
        <v>-0.51215773263106401</v>
      </c>
      <c r="AB6280" s="2">
        <v>3.82655677725788E-2</v>
      </c>
      <c r="AC6280" s="2">
        <v>968.93336955099096</v>
      </c>
      <c r="AD6280" s="2">
        <v>775.282346632844</v>
      </c>
      <c r="AE6280" s="2">
        <v>995.14505550704905</v>
      </c>
      <c r="AF6280" s="2">
        <v>972.01669884369005</v>
      </c>
      <c r="AG6280" s="2">
        <v>1030.1566779827001</v>
      </c>
      <c r="AH6280" s="2">
        <v>993.12136853145603</v>
      </c>
      <c r="AI6280" s="2">
        <v>696.18011632135904</v>
      </c>
      <c r="AJ6280" s="2">
        <v>1126.9803001196899</v>
      </c>
      <c r="AK6280" s="2">
        <v>618.42123373156301</v>
      </c>
      <c r="AL6280" s="2">
        <v>630.316999418406</v>
      </c>
      <c r="AM6280" s="2">
        <v>508.78488839432498</v>
      </c>
      <c r="AN6280" s="2">
        <v>846.44032683843704</v>
      </c>
      <c r="AO6280" s="2">
        <v>1087.8000018966</v>
      </c>
      <c r="AP6280" s="2">
        <v>959.93062951773595</v>
      </c>
    </row>
    <row r="6281" spans="1:42" ht="14.5" x14ac:dyDescent="0.35">
      <c r="A6281" s="2" t="s">
        <v>41635</v>
      </c>
      <c r="B6281" s="2">
        <v>607.43295479707695</v>
      </c>
      <c r="C6281" s="2">
        <v>15.1648833333333</v>
      </c>
      <c r="D6281" s="2" t="s">
        <v>34</v>
      </c>
      <c r="E6281" s="2" t="s">
        <v>41636</v>
      </c>
      <c r="F6281" s="2">
        <v>91989</v>
      </c>
      <c r="G6281" s="3" t="str">
        <f>HYPERLINK("http://funmeta.oebiotech.com/network/91989", "http://funmeta.oebiotech.com/network/91989")</f>
        <v>http://funmeta.oebiotech.com/network/91989</v>
      </c>
      <c r="H6281" s="2" t="s">
        <v>41637</v>
      </c>
      <c r="I6281" s="2"/>
      <c r="J6281" s="2"/>
      <c r="K6281" s="2"/>
      <c r="L6281" s="2"/>
      <c r="M6281" s="2"/>
      <c r="N6281" s="2"/>
      <c r="O6281" s="2">
        <v>131777972</v>
      </c>
      <c r="P6281" s="2"/>
      <c r="Q6281" s="2" t="s">
        <v>41638</v>
      </c>
      <c r="R6281" s="2" t="s">
        <v>41639</v>
      </c>
      <c r="S6281" s="2" t="s">
        <v>50</v>
      </c>
      <c r="T6281" s="2" t="s">
        <v>448</v>
      </c>
      <c r="U6281" s="2" t="s">
        <v>9987</v>
      </c>
      <c r="V6281" s="2" t="s">
        <v>59</v>
      </c>
      <c r="W6281" s="2">
        <v>38.5</v>
      </c>
      <c r="X6281" s="2">
        <v>0</v>
      </c>
      <c r="Y6281" s="2" t="s">
        <v>340</v>
      </c>
      <c r="Z6281" s="2" t="s">
        <v>41640</v>
      </c>
      <c r="AA6281" s="2">
        <v>-0.86733251005504097</v>
      </c>
      <c r="AB6281" s="2">
        <v>3.8123038047040397E-2</v>
      </c>
      <c r="AC6281" s="2">
        <v>4593.6052135599502</v>
      </c>
      <c r="AD6281" s="2">
        <v>4871.1854649895904</v>
      </c>
      <c r="AE6281" s="2">
        <v>4125.9327443309603</v>
      </c>
      <c r="AF6281" s="2">
        <v>4927.3135227803796</v>
      </c>
      <c r="AG6281" s="2">
        <v>4775.0160814344399</v>
      </c>
      <c r="AH6281" s="2">
        <v>4665.5679466510901</v>
      </c>
      <c r="AI6281" s="2">
        <v>4343.1587607522197</v>
      </c>
      <c r="AJ6281" s="2">
        <v>4724.6422254106401</v>
      </c>
      <c r="AK6281" s="2">
        <v>5781.9232052966199</v>
      </c>
      <c r="AL6281" s="2">
        <v>4786.5091479430503</v>
      </c>
      <c r="AM6281" s="2">
        <v>4701.11339287185</v>
      </c>
      <c r="AN6281" s="2">
        <v>4437.4385337691501</v>
      </c>
      <c r="AO6281" s="2">
        <v>4544.6469651249499</v>
      </c>
      <c r="AP6281" s="2">
        <v>4975.4815449319103</v>
      </c>
    </row>
    <row r="6282" spans="1:42" ht="14.5" x14ac:dyDescent="0.35">
      <c r="A6282" s="2" t="s">
        <v>41641</v>
      </c>
      <c r="B6282" s="2">
        <v>249.14842843160201</v>
      </c>
      <c r="C6282" s="2">
        <v>4.4793166666666702</v>
      </c>
      <c r="D6282" s="2" t="s">
        <v>34</v>
      </c>
      <c r="E6282" s="2" t="s">
        <v>41642</v>
      </c>
      <c r="F6282" s="2">
        <v>266369</v>
      </c>
      <c r="G6282" s="3" t="str">
        <f>HYPERLINK("http://funmeta.oebiotech.com/network/266369", "http://funmeta.oebiotech.com/network/266369")</f>
        <v>http://funmeta.oebiotech.com/network/266369</v>
      </c>
      <c r="H6282" s="2"/>
      <c r="I6282" s="2">
        <v>41188</v>
      </c>
      <c r="J6282" s="2"/>
      <c r="K6282" s="2"/>
      <c r="L6282" s="2" t="s">
        <v>41643</v>
      </c>
      <c r="M6282" s="2"/>
      <c r="N6282" s="2"/>
      <c r="O6282" s="2">
        <v>7251185</v>
      </c>
      <c r="P6282" s="2"/>
      <c r="Q6282" s="2" t="s">
        <v>41644</v>
      </c>
      <c r="R6282" s="2" t="s">
        <v>41645</v>
      </c>
      <c r="S6282" s="2" t="s">
        <v>50</v>
      </c>
      <c r="T6282" s="2" t="s">
        <v>201</v>
      </c>
      <c r="U6282" s="2" t="s">
        <v>1217</v>
      </c>
      <c r="V6282" s="2" t="s">
        <v>59</v>
      </c>
      <c r="W6282" s="2">
        <v>38.4</v>
      </c>
      <c r="X6282" s="2">
        <v>0</v>
      </c>
      <c r="Y6282" s="2" t="s">
        <v>266</v>
      </c>
      <c r="Z6282" s="2" t="s">
        <v>41646</v>
      </c>
      <c r="AA6282" s="2">
        <v>-0.37277348980763297</v>
      </c>
      <c r="AB6282" s="2">
        <v>3.80711922232728E-2</v>
      </c>
      <c r="AC6282" s="2">
        <v>8852.7710561937201</v>
      </c>
      <c r="AD6282" s="2">
        <v>9206.2342745209007</v>
      </c>
      <c r="AE6282" s="2">
        <v>9148.6481434333</v>
      </c>
      <c r="AF6282" s="2">
        <v>8988.2064325093797</v>
      </c>
      <c r="AG6282" s="2">
        <v>9290.9089599315594</v>
      </c>
      <c r="AH6282" s="2">
        <v>7186.4384772158801</v>
      </c>
      <c r="AI6282" s="2">
        <v>9451.23563154572</v>
      </c>
      <c r="AJ6282" s="2">
        <v>9051.1886925264807</v>
      </c>
      <c r="AK6282" s="2">
        <v>8456.6292269281003</v>
      </c>
      <c r="AL6282" s="2">
        <v>9864.8322064683707</v>
      </c>
      <c r="AM6282" s="2">
        <v>9448.6859316950195</v>
      </c>
      <c r="AN6282" s="2">
        <v>8726.3896918913506</v>
      </c>
      <c r="AO6282" s="2">
        <v>9359.0711876086807</v>
      </c>
      <c r="AP6282" s="2">
        <v>9381.7974025338499</v>
      </c>
    </row>
    <row r="6283" spans="1:42" ht="14.5" x14ac:dyDescent="0.35">
      <c r="A6283" s="2" t="s">
        <v>41647</v>
      </c>
      <c r="B6283" s="2">
        <v>433.25611869512898</v>
      </c>
      <c r="C6283" s="2">
        <v>10.471816666666699</v>
      </c>
      <c r="D6283" s="2" t="s">
        <v>34</v>
      </c>
      <c r="E6283" s="2" t="s">
        <v>41648</v>
      </c>
      <c r="F6283" s="2">
        <v>213594</v>
      </c>
      <c r="G6283" s="3" t="str">
        <f>HYPERLINK("http://funmeta.oebiotech.com/network/213594", "http://funmeta.oebiotech.com/network/213594")</f>
        <v>http://funmeta.oebiotech.com/network/213594</v>
      </c>
      <c r="H6283" s="2" t="s">
        <v>41649</v>
      </c>
      <c r="I6283" s="2"/>
      <c r="J6283" s="2"/>
      <c r="K6283" s="2"/>
      <c r="L6283" s="2"/>
      <c r="M6283" s="2"/>
      <c r="N6283" s="2"/>
      <c r="O6283" s="2"/>
      <c r="P6283" s="2"/>
      <c r="Q6283" s="2" t="s">
        <v>41650</v>
      </c>
      <c r="R6283" s="2" t="s">
        <v>41651</v>
      </c>
      <c r="S6283" s="2" t="s">
        <v>41</v>
      </c>
      <c r="T6283" s="2" t="s">
        <v>41</v>
      </c>
      <c r="U6283" s="2" t="s">
        <v>41</v>
      </c>
      <c r="V6283" s="2" t="s">
        <v>59</v>
      </c>
      <c r="W6283" s="2">
        <v>37.799999999999997</v>
      </c>
      <c r="X6283" s="2">
        <v>0</v>
      </c>
      <c r="Y6283" s="2" t="s">
        <v>323</v>
      </c>
      <c r="Z6283" s="2" t="s">
        <v>41652</v>
      </c>
      <c r="AA6283" s="2">
        <v>0.14400166852839899</v>
      </c>
      <c r="AB6283" s="2">
        <v>3.8011023969482E-2</v>
      </c>
      <c r="AC6283" s="2">
        <v>2977.6579743406601</v>
      </c>
      <c r="AD6283" s="2">
        <v>3290.9845203232398</v>
      </c>
      <c r="AE6283" s="2">
        <v>3305.6456919519601</v>
      </c>
      <c r="AF6283" s="2">
        <v>1913.60438775335</v>
      </c>
      <c r="AG6283" s="2">
        <v>2681.7198090030602</v>
      </c>
      <c r="AH6283" s="2">
        <v>3442.4982988832999</v>
      </c>
      <c r="AI6283" s="2">
        <v>2838.0256408446098</v>
      </c>
      <c r="AJ6283" s="2">
        <v>3684.4540176076798</v>
      </c>
      <c r="AK6283" s="2">
        <v>4022.7519271572301</v>
      </c>
      <c r="AL6283" s="2">
        <v>2986.5652691322998</v>
      </c>
      <c r="AM6283" s="2">
        <v>3136.5542782184302</v>
      </c>
      <c r="AN6283" s="2">
        <v>2846.5643248558499</v>
      </c>
      <c r="AO6283" s="2">
        <v>3419.23495261159</v>
      </c>
      <c r="AP6283" s="2">
        <v>3334.23636996406</v>
      </c>
    </row>
    <row r="6284" spans="1:42" ht="14.5" x14ac:dyDescent="0.35">
      <c r="A6284" s="2" t="s">
        <v>41653</v>
      </c>
      <c r="B6284" s="2">
        <v>403.13967988392898</v>
      </c>
      <c r="C6284" s="2">
        <v>5.3939333333333304</v>
      </c>
      <c r="D6284" s="2" t="s">
        <v>70</v>
      </c>
      <c r="E6284" s="2" t="s">
        <v>41654</v>
      </c>
      <c r="F6284" s="2">
        <v>57121</v>
      </c>
      <c r="G6284" s="3" t="str">
        <f>HYPERLINK("http://funmeta.oebiotech.com/network/57121", "http://funmeta.oebiotech.com/network/57121")</f>
        <v>http://funmeta.oebiotech.com/network/57121</v>
      </c>
      <c r="H6284" s="2" t="s">
        <v>41655</v>
      </c>
      <c r="I6284" s="2">
        <v>88772</v>
      </c>
      <c r="J6284" s="2"/>
      <c r="K6284" s="2">
        <v>169019</v>
      </c>
      <c r="L6284" s="2"/>
      <c r="M6284" s="2"/>
      <c r="N6284" s="2"/>
      <c r="O6284" s="2">
        <v>131751335</v>
      </c>
      <c r="P6284" s="2" t="s">
        <v>41656</v>
      </c>
      <c r="Q6284" s="2" t="s">
        <v>41657</v>
      </c>
      <c r="R6284" s="2" t="s">
        <v>41658</v>
      </c>
      <c r="S6284" s="2" t="s">
        <v>115</v>
      </c>
      <c r="T6284" s="2" t="s">
        <v>758</v>
      </c>
      <c r="U6284" s="2" t="s">
        <v>759</v>
      </c>
      <c r="V6284" s="2" t="s">
        <v>42</v>
      </c>
      <c r="W6284" s="2">
        <v>52.4</v>
      </c>
      <c r="X6284" s="2">
        <v>70.7</v>
      </c>
      <c r="Y6284" s="2" t="s">
        <v>751</v>
      </c>
      <c r="Z6284" s="2" t="s">
        <v>32992</v>
      </c>
      <c r="AA6284" s="2">
        <v>-0.38233564733737802</v>
      </c>
      <c r="AB6284" s="2">
        <v>3.79828675797593E-2</v>
      </c>
      <c r="AC6284" s="2">
        <v>13260.077555255501</v>
      </c>
      <c r="AD6284" s="2">
        <v>12871.0072387733</v>
      </c>
      <c r="AE6284" s="2">
        <v>14392.6120638336</v>
      </c>
      <c r="AF6284" s="2">
        <v>13402.8876347884</v>
      </c>
      <c r="AG6284" s="2">
        <v>11513.713115066001</v>
      </c>
      <c r="AH6284" s="2">
        <v>12628.015062336301</v>
      </c>
      <c r="AI6284" s="2">
        <v>13936.3249227005</v>
      </c>
      <c r="AJ6284" s="2">
        <v>13686.912532808399</v>
      </c>
      <c r="AK6284" s="2">
        <v>13717.2148007142</v>
      </c>
      <c r="AL6284" s="2">
        <v>12587.9531604126</v>
      </c>
      <c r="AM6284" s="2">
        <v>12226.273854597401</v>
      </c>
      <c r="AN6284" s="2">
        <v>13032.5295760997</v>
      </c>
      <c r="AO6284" s="2">
        <v>13121.107369736899</v>
      </c>
      <c r="AP6284" s="2">
        <v>12540.9646710791</v>
      </c>
    </row>
    <row r="6285" spans="1:42" ht="14.5" x14ac:dyDescent="0.35">
      <c r="A6285" s="2" t="s">
        <v>41659</v>
      </c>
      <c r="B6285" s="2">
        <v>243.101472807683</v>
      </c>
      <c r="C6285" s="2">
        <v>4.1584500000000002</v>
      </c>
      <c r="D6285" s="2" t="s">
        <v>34</v>
      </c>
      <c r="E6285" s="2" t="s">
        <v>41660</v>
      </c>
      <c r="F6285" s="2">
        <v>208939</v>
      </c>
      <c r="G6285" s="3" t="str">
        <f>HYPERLINK("http://funmeta.oebiotech.com/network/208939", "http://funmeta.oebiotech.com/network/208939")</f>
        <v>http://funmeta.oebiotech.com/network/208939</v>
      </c>
      <c r="H6285" s="2" t="s">
        <v>41661</v>
      </c>
      <c r="I6285" s="2"/>
      <c r="J6285" s="2"/>
      <c r="K6285" s="2"/>
      <c r="L6285" s="2"/>
      <c r="M6285" s="2"/>
      <c r="N6285" s="2"/>
      <c r="O6285" s="2">
        <v>109333</v>
      </c>
      <c r="P6285" s="2"/>
      <c r="Q6285" s="2" t="s">
        <v>41662</v>
      </c>
      <c r="R6285" s="2" t="s">
        <v>41663</v>
      </c>
      <c r="S6285" s="2" t="s">
        <v>491</v>
      </c>
      <c r="T6285" s="2" t="s">
        <v>9777</v>
      </c>
      <c r="U6285" s="2" t="s">
        <v>9778</v>
      </c>
      <c r="V6285" s="2" t="s">
        <v>59</v>
      </c>
      <c r="W6285" s="2">
        <v>38</v>
      </c>
      <c r="X6285" s="2">
        <v>0</v>
      </c>
      <c r="Y6285" s="2" t="s">
        <v>43</v>
      </c>
      <c r="Z6285" s="2" t="s">
        <v>41664</v>
      </c>
      <c r="AA6285" s="2">
        <v>2.4601287717726299</v>
      </c>
      <c r="AB6285" s="2">
        <v>3.7951056628861203E-2</v>
      </c>
      <c r="AC6285" s="2">
        <v>4121.3155504413999</v>
      </c>
      <c r="AD6285" s="2">
        <v>3778.10110482863</v>
      </c>
      <c r="AE6285" s="2">
        <v>4613.9096602241798</v>
      </c>
      <c r="AF6285" s="2">
        <v>4062.8231674972499</v>
      </c>
      <c r="AG6285" s="2">
        <v>3486.8091576625302</v>
      </c>
      <c r="AH6285" s="2">
        <v>4167.3412641178402</v>
      </c>
      <c r="AI6285" s="2">
        <v>4462.8471921938299</v>
      </c>
      <c r="AJ6285" s="2">
        <v>3934.1628609527902</v>
      </c>
      <c r="AK6285" s="2">
        <v>2319.9354468226902</v>
      </c>
      <c r="AL6285" s="2">
        <v>4435.1950909029902</v>
      </c>
      <c r="AM6285" s="2">
        <v>4050.4430206561101</v>
      </c>
      <c r="AN6285" s="2">
        <v>4085.6945608671299</v>
      </c>
      <c r="AO6285" s="2">
        <v>3345.1967236373198</v>
      </c>
      <c r="AP6285" s="2">
        <v>4432.1417860855399</v>
      </c>
    </row>
    <row r="6286" spans="1:42" ht="14.5" x14ac:dyDescent="0.35">
      <c r="A6286" s="2" t="s">
        <v>41665</v>
      </c>
      <c r="B6286" s="2">
        <v>368.11949090649802</v>
      </c>
      <c r="C6286" s="2">
        <v>4.4793166666666702</v>
      </c>
      <c r="D6286" s="2" t="s">
        <v>34</v>
      </c>
      <c r="E6286" s="2" t="s">
        <v>41666</v>
      </c>
      <c r="F6286" s="2">
        <v>62800</v>
      </c>
      <c r="G6286" s="3" t="str">
        <f>HYPERLINK("http://funmeta.oebiotech.com/network/62800", "http://funmeta.oebiotech.com/network/62800")</f>
        <v>http://funmeta.oebiotech.com/network/62800</v>
      </c>
      <c r="H6286" s="2" t="s">
        <v>41667</v>
      </c>
      <c r="I6286" s="2">
        <v>43557</v>
      </c>
      <c r="J6286" s="2"/>
      <c r="K6286" s="2"/>
      <c r="L6286" s="2"/>
      <c r="M6286" s="2"/>
      <c r="N6286" s="2"/>
      <c r="O6286" s="2">
        <v>25273230</v>
      </c>
      <c r="P6286" s="2" t="s">
        <v>41668</v>
      </c>
      <c r="Q6286" s="2" t="s">
        <v>41669</v>
      </c>
      <c r="R6286" s="2" t="s">
        <v>41670</v>
      </c>
      <c r="S6286" s="2" t="s">
        <v>491</v>
      </c>
      <c r="T6286" s="2" t="s">
        <v>1516</v>
      </c>
      <c r="U6286" s="2" t="s">
        <v>5320</v>
      </c>
      <c r="V6286" s="2" t="s">
        <v>59</v>
      </c>
      <c r="W6286" s="2">
        <v>38.5</v>
      </c>
      <c r="X6286" s="2">
        <v>0</v>
      </c>
      <c r="Y6286" s="2" t="s">
        <v>141</v>
      </c>
      <c r="Z6286" s="2" t="s">
        <v>41671</v>
      </c>
      <c r="AA6286" s="2">
        <v>-2.6451280790192699</v>
      </c>
      <c r="AB6286" s="2">
        <v>3.7947226726927102E-2</v>
      </c>
      <c r="AC6286" s="2">
        <v>3037.9702087177898</v>
      </c>
      <c r="AD6286" s="2">
        <v>2721.38005355015</v>
      </c>
      <c r="AE6286" s="2">
        <v>3393.72613470331</v>
      </c>
      <c r="AF6286" s="2">
        <v>2266.4745377117201</v>
      </c>
      <c r="AG6286" s="2">
        <v>3019.3234128539698</v>
      </c>
      <c r="AH6286" s="2">
        <v>2875.8434570764598</v>
      </c>
      <c r="AI6286" s="2">
        <v>3556.67010283634</v>
      </c>
      <c r="AJ6286" s="2">
        <v>3115.7836071249399</v>
      </c>
      <c r="AK6286" s="2">
        <v>1977.1648023149301</v>
      </c>
      <c r="AL6286" s="2">
        <v>3220.7789406673601</v>
      </c>
      <c r="AM6286" s="2">
        <v>2027.3891659768899</v>
      </c>
      <c r="AN6286" s="2">
        <v>2720.6275501588202</v>
      </c>
      <c r="AO6286" s="2">
        <v>2857.7509193389601</v>
      </c>
      <c r="AP6286" s="2">
        <v>3524.56894284396</v>
      </c>
    </row>
    <row r="6287" spans="1:42" ht="14.5" x14ac:dyDescent="0.35">
      <c r="A6287" s="2" t="s">
        <v>41672</v>
      </c>
      <c r="B6287" s="2">
        <v>203.05260516142999</v>
      </c>
      <c r="C6287" s="2">
        <v>3.49291666666667</v>
      </c>
      <c r="D6287" s="2" t="s">
        <v>34</v>
      </c>
      <c r="E6287" s="2" t="s">
        <v>41673</v>
      </c>
      <c r="F6287" s="2">
        <v>48071</v>
      </c>
      <c r="G6287" s="3" t="str">
        <f>HYPERLINK("http://funmeta.oebiotech.com/network/48071", "http://funmeta.oebiotech.com/network/48071")</f>
        <v>http://funmeta.oebiotech.com/network/48071</v>
      </c>
      <c r="H6287" s="2" t="s">
        <v>41674</v>
      </c>
      <c r="I6287" s="2">
        <v>133</v>
      </c>
      <c r="J6287" s="2"/>
      <c r="K6287" s="2">
        <v>17925</v>
      </c>
      <c r="L6287" s="2" t="s">
        <v>41675</v>
      </c>
      <c r="M6287" s="2" t="s">
        <v>41676</v>
      </c>
      <c r="N6287" s="2" t="s">
        <v>41677</v>
      </c>
      <c r="O6287" s="2">
        <v>79025</v>
      </c>
      <c r="P6287" s="2" t="s">
        <v>41678</v>
      </c>
      <c r="Q6287" s="2" t="s">
        <v>41679</v>
      </c>
      <c r="R6287" s="2" t="s">
        <v>41680</v>
      </c>
      <c r="S6287" s="2" t="s">
        <v>79</v>
      </c>
      <c r="T6287" s="2" t="s">
        <v>80</v>
      </c>
      <c r="U6287" s="2" t="s">
        <v>81</v>
      </c>
      <c r="V6287" s="2" t="s">
        <v>59</v>
      </c>
      <c r="W6287" s="2">
        <v>39.1</v>
      </c>
      <c r="X6287" s="2">
        <v>0</v>
      </c>
      <c r="Y6287" s="2" t="s">
        <v>323</v>
      </c>
      <c r="Z6287" s="2" t="s">
        <v>4663</v>
      </c>
      <c r="AA6287" s="2">
        <v>-2.01083100042228E-2</v>
      </c>
      <c r="AB6287" s="2">
        <v>3.78567669542643E-2</v>
      </c>
      <c r="AC6287" s="2">
        <v>4540.7417747684203</v>
      </c>
      <c r="AD6287" s="2">
        <v>4808.9179512487099</v>
      </c>
      <c r="AE6287" s="2">
        <v>4290.5579581435904</v>
      </c>
      <c r="AF6287" s="2">
        <v>4457.8543837567704</v>
      </c>
      <c r="AG6287" s="2">
        <v>4883.9622756382696</v>
      </c>
      <c r="AH6287" s="2">
        <v>4418.5208803170199</v>
      </c>
      <c r="AI6287" s="2">
        <v>4815.6381046767501</v>
      </c>
      <c r="AJ6287" s="2">
        <v>4377.9170460781097</v>
      </c>
      <c r="AK6287" s="2">
        <v>5033.4445450654703</v>
      </c>
      <c r="AL6287" s="2">
        <v>4445.9329544226903</v>
      </c>
      <c r="AM6287" s="2">
        <v>4590.6041161371304</v>
      </c>
      <c r="AN6287" s="2">
        <v>4462.9253471006195</v>
      </c>
      <c r="AO6287" s="2">
        <v>4590.5810419474201</v>
      </c>
      <c r="AP6287" s="2">
        <v>5730.0197028189104</v>
      </c>
    </row>
    <row r="6288" spans="1:42" ht="14.5" x14ac:dyDescent="0.35">
      <c r="A6288" s="2" t="s">
        <v>41681</v>
      </c>
      <c r="B6288" s="2">
        <v>529.24412855528305</v>
      </c>
      <c r="C6288" s="2">
        <v>7.7220166666666703</v>
      </c>
      <c r="D6288" s="2" t="s">
        <v>70</v>
      </c>
      <c r="E6288" s="2" t="s">
        <v>41682</v>
      </c>
      <c r="F6288" s="2">
        <v>205993</v>
      </c>
      <c r="G6288" s="3" t="str">
        <f>HYPERLINK("http://funmeta.oebiotech.com/network/205993", "http://funmeta.oebiotech.com/network/205993")</f>
        <v>http://funmeta.oebiotech.com/network/205993</v>
      </c>
      <c r="H6288" s="2" t="s">
        <v>41683</v>
      </c>
      <c r="I6288" s="2"/>
      <c r="J6288" s="2"/>
      <c r="K6288" s="2"/>
      <c r="L6288" s="2"/>
      <c r="M6288" s="2"/>
      <c r="N6288" s="2"/>
      <c r="O6288" s="2">
        <v>9816767</v>
      </c>
      <c r="P6288" s="2"/>
      <c r="Q6288" s="2" t="s">
        <v>41684</v>
      </c>
      <c r="R6288" s="2" t="s">
        <v>41685</v>
      </c>
      <c r="S6288" s="2" t="s">
        <v>41</v>
      </c>
      <c r="T6288" s="2" t="s">
        <v>41</v>
      </c>
      <c r="U6288" s="2" t="s">
        <v>41</v>
      </c>
      <c r="V6288" s="2" t="s">
        <v>59</v>
      </c>
      <c r="W6288" s="2">
        <v>37.700000000000003</v>
      </c>
      <c r="X6288" s="2">
        <v>0</v>
      </c>
      <c r="Y6288" s="2" t="s">
        <v>560</v>
      </c>
      <c r="Z6288" s="2" t="s">
        <v>41686</v>
      </c>
      <c r="AA6288" s="2">
        <v>3.0900545483834101</v>
      </c>
      <c r="AB6288" s="2">
        <v>3.7671789239711498E-2</v>
      </c>
      <c r="AC6288" s="2">
        <v>249.101881353398</v>
      </c>
      <c r="AD6288" s="2">
        <v>77.905913487579994</v>
      </c>
      <c r="AE6288" s="2">
        <v>152.88534086272099</v>
      </c>
      <c r="AF6288" s="2">
        <v>283.14174459241798</v>
      </c>
      <c r="AG6288" s="2">
        <v>2.7106294003980101E-5</v>
      </c>
      <c r="AH6288" s="2">
        <v>399.528237206011</v>
      </c>
      <c r="AI6288" s="2">
        <v>160.16140332635501</v>
      </c>
      <c r="AJ6288" s="2">
        <v>498.89453502658898</v>
      </c>
      <c r="AK6288" s="2">
        <v>125.69684721124599</v>
      </c>
      <c r="AL6288" s="2">
        <v>2.7106294003980101E-5</v>
      </c>
      <c r="AM6288" s="2">
        <v>210.577239478677</v>
      </c>
      <c r="AN6288" s="2">
        <v>131.161312916675</v>
      </c>
      <c r="AO6288" s="2">
        <v>2.7106294003980101E-5</v>
      </c>
      <c r="AP6288" s="2">
        <v>2.7106294003980101E-5</v>
      </c>
    </row>
    <row r="6289" spans="1:42" ht="14.5" x14ac:dyDescent="0.35">
      <c r="A6289" s="2" t="s">
        <v>41687</v>
      </c>
      <c r="B6289" s="2">
        <v>255.087023826055</v>
      </c>
      <c r="C6289" s="2">
        <v>3.9884499999999998</v>
      </c>
      <c r="D6289" s="2" t="s">
        <v>70</v>
      </c>
      <c r="E6289" s="2" t="s">
        <v>41688</v>
      </c>
      <c r="F6289" s="2">
        <v>266257</v>
      </c>
      <c r="G6289" s="3" t="str">
        <f>HYPERLINK("http://funmeta.oebiotech.com/network/266257", "http://funmeta.oebiotech.com/network/266257")</f>
        <v>http://funmeta.oebiotech.com/network/266257</v>
      </c>
      <c r="H6289" s="2"/>
      <c r="I6289" s="2">
        <v>24106</v>
      </c>
      <c r="J6289" s="2"/>
      <c r="K6289" s="2"/>
      <c r="L6289" s="2"/>
      <c r="M6289" s="2"/>
      <c r="N6289" s="2"/>
      <c r="O6289" s="2">
        <v>66343</v>
      </c>
      <c r="P6289" s="2"/>
      <c r="Q6289" s="2" t="s">
        <v>41689</v>
      </c>
      <c r="R6289" s="2" t="s">
        <v>41690</v>
      </c>
      <c r="S6289" s="2" t="s">
        <v>115</v>
      </c>
      <c r="T6289" s="2" t="s">
        <v>7439</v>
      </c>
      <c r="U6289" s="2" t="s">
        <v>41</v>
      </c>
      <c r="V6289" s="2" t="s">
        <v>59</v>
      </c>
      <c r="W6289" s="2">
        <v>39</v>
      </c>
      <c r="X6289" s="2">
        <v>0</v>
      </c>
      <c r="Y6289" s="2" t="s">
        <v>408</v>
      </c>
      <c r="Z6289" s="2" t="s">
        <v>41691</v>
      </c>
      <c r="AA6289" s="2">
        <v>-1.84669725509974</v>
      </c>
      <c r="AB6289" s="2">
        <v>3.76697486594419E-2</v>
      </c>
      <c r="AC6289" s="2">
        <v>7989.0486910705904</v>
      </c>
      <c r="AD6289" s="2">
        <v>7711.7644182919803</v>
      </c>
      <c r="AE6289" s="2">
        <v>8104.0067765007798</v>
      </c>
      <c r="AF6289" s="2">
        <v>7154.0107445992298</v>
      </c>
      <c r="AG6289" s="2">
        <v>8024.89042531615</v>
      </c>
      <c r="AH6289" s="2">
        <v>8537.4871543739901</v>
      </c>
      <c r="AI6289" s="2">
        <v>8136.0741260984096</v>
      </c>
      <c r="AJ6289" s="2">
        <v>7977.8229195350104</v>
      </c>
      <c r="AK6289" s="2">
        <v>8011.3054428821397</v>
      </c>
      <c r="AL6289" s="2">
        <v>7739.5399661618203</v>
      </c>
      <c r="AM6289" s="2">
        <v>7113.68079971507</v>
      </c>
      <c r="AN6289" s="2">
        <v>7535.3801595027699</v>
      </c>
      <c r="AO6289" s="2">
        <v>7630.9895974372002</v>
      </c>
      <c r="AP6289" s="2">
        <v>8239.6905440529099</v>
      </c>
    </row>
    <row r="6290" spans="1:42" ht="14.5" x14ac:dyDescent="0.35">
      <c r="A6290" s="2" t="s">
        <v>41692</v>
      </c>
      <c r="B6290" s="2">
        <v>556.44111673356997</v>
      </c>
      <c r="C6290" s="2">
        <v>11.670033333333301</v>
      </c>
      <c r="D6290" s="2" t="s">
        <v>34</v>
      </c>
      <c r="E6290" s="2" t="s">
        <v>41693</v>
      </c>
      <c r="F6290" s="2">
        <v>201491</v>
      </c>
      <c r="G6290" s="3" t="str">
        <f>HYPERLINK("http://funmeta.oebiotech.com/network/201491", "http://funmeta.oebiotech.com/network/201491")</f>
        <v>http://funmeta.oebiotech.com/network/201491</v>
      </c>
      <c r="H6290" s="2" t="s">
        <v>41694</v>
      </c>
      <c r="I6290" s="2"/>
      <c r="J6290" s="2"/>
      <c r="K6290" s="2">
        <v>41527</v>
      </c>
      <c r="L6290" s="2"/>
      <c r="M6290" s="2"/>
      <c r="N6290" s="2"/>
      <c r="O6290" s="2">
        <v>123921</v>
      </c>
      <c r="P6290" s="2"/>
      <c r="Q6290" s="2" t="s">
        <v>41695</v>
      </c>
      <c r="R6290" s="2" t="s">
        <v>41696</v>
      </c>
      <c r="S6290" s="2" t="s">
        <v>79</v>
      </c>
      <c r="T6290" s="2" t="s">
        <v>80</v>
      </c>
      <c r="U6290" s="2" t="s">
        <v>249</v>
      </c>
      <c r="V6290" s="2" t="s">
        <v>42</v>
      </c>
      <c r="W6290" s="2">
        <v>47.3</v>
      </c>
      <c r="X6290" s="2">
        <v>45.2</v>
      </c>
      <c r="Y6290" s="2" t="s">
        <v>43</v>
      </c>
      <c r="Z6290" s="2" t="s">
        <v>41697</v>
      </c>
      <c r="AA6290" s="2">
        <v>-1.4714350587365601</v>
      </c>
      <c r="AB6290" s="2">
        <v>3.76285347998268E-2</v>
      </c>
      <c r="AC6290" s="2">
        <v>5633.7750070297898</v>
      </c>
      <c r="AD6290" s="2">
        <v>4910.8813862588804</v>
      </c>
      <c r="AE6290" s="2">
        <v>6299.1926947359298</v>
      </c>
      <c r="AF6290" s="2">
        <v>5376.57919625057</v>
      </c>
      <c r="AG6290" s="2">
        <v>5669.9935965924196</v>
      </c>
      <c r="AH6290" s="2">
        <v>7185.45449050968</v>
      </c>
      <c r="AI6290" s="2">
        <v>5068.3752866840396</v>
      </c>
      <c r="AJ6290" s="2">
        <v>4203.0547774060897</v>
      </c>
      <c r="AK6290" s="2">
        <v>3029.6044977855099</v>
      </c>
      <c r="AL6290" s="2">
        <v>2958.9323513735499</v>
      </c>
      <c r="AM6290" s="2">
        <v>1022.53853670913</v>
      </c>
      <c r="AN6290" s="2">
        <v>12233.486815005999</v>
      </c>
      <c r="AO6290" s="2">
        <v>3464.4776739212698</v>
      </c>
      <c r="AP6290" s="2">
        <v>6756.2484427578001</v>
      </c>
    </row>
    <row r="6291" spans="1:42" ht="14.5" x14ac:dyDescent="0.35">
      <c r="A6291" s="2" t="s">
        <v>41698</v>
      </c>
      <c r="B6291" s="2">
        <v>335.08747230238703</v>
      </c>
      <c r="C6291" s="2">
        <v>3.42648333333333</v>
      </c>
      <c r="D6291" s="2" t="s">
        <v>70</v>
      </c>
      <c r="E6291" s="2" t="s">
        <v>41699</v>
      </c>
      <c r="F6291" s="2">
        <v>62031</v>
      </c>
      <c r="G6291" s="3" t="str">
        <f>HYPERLINK("http://funmeta.oebiotech.com/network/62031", "http://funmeta.oebiotech.com/network/62031")</f>
        <v>http://funmeta.oebiotech.com/network/62031</v>
      </c>
      <c r="H6291" s="2" t="s">
        <v>41700</v>
      </c>
      <c r="I6291" s="2">
        <v>93323</v>
      </c>
      <c r="J6291" s="2"/>
      <c r="K6291" s="2"/>
      <c r="L6291" s="2"/>
      <c r="M6291" s="2"/>
      <c r="N6291" s="2"/>
      <c r="O6291" s="2">
        <v>4656408</v>
      </c>
      <c r="P6291" s="2" t="s">
        <v>41701</v>
      </c>
      <c r="Q6291" s="2" t="s">
        <v>41702</v>
      </c>
      <c r="R6291" s="2" t="s">
        <v>41703</v>
      </c>
      <c r="S6291" s="2" t="s">
        <v>89</v>
      </c>
      <c r="T6291" s="2" t="s">
        <v>90</v>
      </c>
      <c r="U6291" s="2" t="s">
        <v>99</v>
      </c>
      <c r="V6291" s="2" t="s">
        <v>59</v>
      </c>
      <c r="W6291" s="2">
        <v>39.9</v>
      </c>
      <c r="X6291" s="2">
        <v>11.3</v>
      </c>
      <c r="Y6291" s="2" t="s">
        <v>408</v>
      </c>
      <c r="Z6291" s="2" t="s">
        <v>1471</v>
      </c>
      <c r="AA6291" s="2">
        <v>-3.45452464749247</v>
      </c>
      <c r="AB6291" s="2">
        <v>3.75762425141168E-2</v>
      </c>
      <c r="AC6291" s="2">
        <v>14636.3129389882</v>
      </c>
      <c r="AD6291" s="2">
        <v>14116.8719167037</v>
      </c>
      <c r="AE6291" s="2">
        <v>14025.823315985101</v>
      </c>
      <c r="AF6291" s="2">
        <v>12879.958110359599</v>
      </c>
      <c r="AG6291" s="2">
        <v>13655.6703060527</v>
      </c>
      <c r="AH6291" s="2">
        <v>16106.5103085793</v>
      </c>
      <c r="AI6291" s="2">
        <v>16390.092566826301</v>
      </c>
      <c r="AJ6291" s="2">
        <v>14759.8230261261</v>
      </c>
      <c r="AK6291" s="2">
        <v>11871.4313753512</v>
      </c>
      <c r="AL6291" s="2">
        <v>16133.3708701858</v>
      </c>
      <c r="AM6291" s="2">
        <v>13857.550000273999</v>
      </c>
      <c r="AN6291" s="2">
        <v>15379.247241454799</v>
      </c>
      <c r="AO6291" s="2">
        <v>14313.359199557101</v>
      </c>
      <c r="AP6291" s="2">
        <v>13146.272813399301</v>
      </c>
    </row>
    <row r="6292" spans="1:42" ht="14.5" x14ac:dyDescent="0.35">
      <c r="A6292" s="2" t="s">
        <v>41704</v>
      </c>
      <c r="B6292" s="2">
        <v>349.14084853244299</v>
      </c>
      <c r="C6292" s="2">
        <v>4.25878333333333</v>
      </c>
      <c r="D6292" s="2" t="s">
        <v>70</v>
      </c>
      <c r="E6292" s="2" t="s">
        <v>41705</v>
      </c>
      <c r="F6292" s="2">
        <v>200127</v>
      </c>
      <c r="G6292" s="3" t="str">
        <f>HYPERLINK("http://funmeta.oebiotech.com/network/200127", "http://funmeta.oebiotech.com/network/200127")</f>
        <v>http://funmeta.oebiotech.com/network/200127</v>
      </c>
      <c r="H6292" s="2" t="s">
        <v>41706</v>
      </c>
      <c r="I6292" s="2"/>
      <c r="J6292" s="2"/>
      <c r="K6292" s="2"/>
      <c r="L6292" s="2"/>
      <c r="M6292" s="2"/>
      <c r="N6292" s="2"/>
      <c r="O6292" s="2">
        <v>72375487</v>
      </c>
      <c r="P6292" s="2"/>
      <c r="Q6292" s="2" t="s">
        <v>41707</v>
      </c>
      <c r="R6292" s="2" t="s">
        <v>41708</v>
      </c>
      <c r="S6292" s="2" t="s">
        <v>41</v>
      </c>
      <c r="T6292" s="2" t="s">
        <v>41</v>
      </c>
      <c r="U6292" s="2" t="s">
        <v>41</v>
      </c>
      <c r="V6292" s="2" t="s">
        <v>59</v>
      </c>
      <c r="W6292" s="2">
        <v>38.5</v>
      </c>
      <c r="X6292" s="2">
        <v>0</v>
      </c>
      <c r="Y6292" s="2" t="s">
        <v>408</v>
      </c>
      <c r="Z6292" s="2" t="s">
        <v>41709</v>
      </c>
      <c r="AA6292" s="2">
        <v>1.1130750154448601</v>
      </c>
      <c r="AB6292" s="2">
        <v>3.75046697906729E-2</v>
      </c>
      <c r="AC6292" s="2">
        <v>2457.4099492284299</v>
      </c>
      <c r="AD6292" s="2">
        <v>2720.51912496048</v>
      </c>
      <c r="AE6292" s="2">
        <v>2636.5852113710998</v>
      </c>
      <c r="AF6292" s="2">
        <v>1738.81143693172</v>
      </c>
      <c r="AG6292" s="2">
        <v>2079.1137403839002</v>
      </c>
      <c r="AH6292" s="2">
        <v>2632.6607851408698</v>
      </c>
      <c r="AI6292" s="2">
        <v>2891.6943380279999</v>
      </c>
      <c r="AJ6292" s="2">
        <v>2765.5941835150102</v>
      </c>
      <c r="AK6292" s="2">
        <v>2579.5920255340202</v>
      </c>
      <c r="AL6292" s="2">
        <v>2232.2541969899899</v>
      </c>
      <c r="AM6292" s="2">
        <v>2951.6388425668501</v>
      </c>
      <c r="AN6292" s="2">
        <v>2545.3115731244702</v>
      </c>
      <c r="AO6292" s="2">
        <v>2775.4055116771501</v>
      </c>
      <c r="AP6292" s="2">
        <v>3238.9125998703998</v>
      </c>
    </row>
    <row r="6293" spans="1:42" ht="14.5" x14ac:dyDescent="0.35">
      <c r="A6293" s="2" t="s">
        <v>41710</v>
      </c>
      <c r="B6293" s="2">
        <v>208.04895083878199</v>
      </c>
      <c r="C6293" s="2">
        <v>1.4019333333333299</v>
      </c>
      <c r="D6293" s="2" t="s">
        <v>34</v>
      </c>
      <c r="E6293" s="2" t="s">
        <v>41711</v>
      </c>
      <c r="F6293" s="2">
        <v>209194</v>
      </c>
      <c r="G6293" s="3" t="str">
        <f>HYPERLINK("http://funmeta.oebiotech.com/network/209194", "http://funmeta.oebiotech.com/network/209194")</f>
        <v>http://funmeta.oebiotech.com/network/209194</v>
      </c>
      <c r="H6293" s="2" t="s">
        <v>41712</v>
      </c>
      <c r="I6293" s="2"/>
      <c r="J6293" s="2"/>
      <c r="K6293" s="2">
        <v>137683</v>
      </c>
      <c r="L6293" s="2"/>
      <c r="M6293" s="2"/>
      <c r="N6293" s="2"/>
      <c r="O6293" s="2">
        <v>5186528</v>
      </c>
      <c r="P6293" s="2"/>
      <c r="Q6293" s="2" t="s">
        <v>41713</v>
      </c>
      <c r="R6293" s="2" t="s">
        <v>41714</v>
      </c>
      <c r="S6293" s="2" t="s">
        <v>89</v>
      </c>
      <c r="T6293" s="2" t="s">
        <v>90</v>
      </c>
      <c r="U6293" s="2" t="s">
        <v>99</v>
      </c>
      <c r="V6293" s="2" t="s">
        <v>59</v>
      </c>
      <c r="W6293" s="2">
        <v>39.9</v>
      </c>
      <c r="X6293" s="2">
        <v>12.1</v>
      </c>
      <c r="Y6293" s="2" t="s">
        <v>340</v>
      </c>
      <c r="Z6293" s="2" t="s">
        <v>30651</v>
      </c>
      <c r="AA6293" s="2">
        <v>3.9397462426998202</v>
      </c>
      <c r="AB6293" s="2">
        <v>3.7478268272624099E-2</v>
      </c>
      <c r="AC6293" s="2">
        <v>499.92766799500703</v>
      </c>
      <c r="AD6293" s="2">
        <v>360.02062169555097</v>
      </c>
      <c r="AE6293" s="2">
        <v>429.112474544961</v>
      </c>
      <c r="AF6293" s="2">
        <v>534.13516940707405</v>
      </c>
      <c r="AG6293" s="2">
        <v>577.67506415870901</v>
      </c>
      <c r="AH6293" s="2">
        <v>603.278253152464</v>
      </c>
      <c r="AI6293" s="2">
        <v>534.84507594464003</v>
      </c>
      <c r="AJ6293" s="2">
        <v>320.51997076219101</v>
      </c>
      <c r="AK6293" s="2">
        <v>380.61433367525098</v>
      </c>
      <c r="AL6293" s="2">
        <v>365.957216751396</v>
      </c>
      <c r="AM6293" s="2">
        <v>252.723347191535</v>
      </c>
      <c r="AN6293" s="2">
        <v>359.82603191390899</v>
      </c>
      <c r="AO6293" s="2">
        <v>450.15702546940099</v>
      </c>
      <c r="AP6293" s="2">
        <v>350.845775171811</v>
      </c>
    </row>
    <row r="6294" spans="1:42" ht="14.5" x14ac:dyDescent="0.35">
      <c r="A6294" s="2" t="s">
        <v>41715</v>
      </c>
      <c r="B6294" s="2">
        <v>471.148512370155</v>
      </c>
      <c r="C6294" s="2">
        <v>4.3994166666666699</v>
      </c>
      <c r="D6294" s="2" t="s">
        <v>70</v>
      </c>
      <c r="E6294" s="2" t="s">
        <v>41716</v>
      </c>
      <c r="F6294" s="2">
        <v>48133</v>
      </c>
      <c r="G6294" s="3" t="str">
        <f>HYPERLINK("http://funmeta.oebiotech.com/network/48133", "http://funmeta.oebiotech.com/network/48133")</f>
        <v>http://funmeta.oebiotech.com/network/48133</v>
      </c>
      <c r="H6294" s="2" t="s">
        <v>41717</v>
      </c>
      <c r="I6294" s="2">
        <v>6953</v>
      </c>
      <c r="J6294" s="2"/>
      <c r="K6294" s="2"/>
      <c r="L6294" s="2" t="s">
        <v>31332</v>
      </c>
      <c r="M6294" s="2" t="s">
        <v>26003</v>
      </c>
      <c r="N6294" s="2" t="s">
        <v>26004</v>
      </c>
      <c r="O6294" s="2">
        <v>22833609</v>
      </c>
      <c r="P6294" s="2" t="s">
        <v>41718</v>
      </c>
      <c r="Q6294" s="2" t="s">
        <v>41719</v>
      </c>
      <c r="R6294" s="2" t="s">
        <v>41720</v>
      </c>
      <c r="S6294" s="2" t="s">
        <v>79</v>
      </c>
      <c r="T6294" s="2" t="s">
        <v>80</v>
      </c>
      <c r="U6294" s="2" t="s">
        <v>81</v>
      </c>
      <c r="V6294" s="2" t="s">
        <v>59</v>
      </c>
      <c r="W6294" s="2">
        <v>38.1</v>
      </c>
      <c r="X6294" s="2">
        <v>0</v>
      </c>
      <c r="Y6294" s="2" t="s">
        <v>408</v>
      </c>
      <c r="Z6294" s="2" t="s">
        <v>41721</v>
      </c>
      <c r="AA6294" s="2">
        <v>4.0718709853298396</v>
      </c>
      <c r="AB6294" s="2">
        <v>3.7398749078691097E-2</v>
      </c>
      <c r="AC6294" s="2">
        <v>25470.6672691645</v>
      </c>
      <c r="AD6294" s="2">
        <v>24829.5511139749</v>
      </c>
      <c r="AE6294" s="2">
        <v>28430.295614008799</v>
      </c>
      <c r="AF6294" s="2">
        <v>29306.1008745074</v>
      </c>
      <c r="AG6294" s="2">
        <v>22292.494859598501</v>
      </c>
      <c r="AH6294" s="2">
        <v>22592.624756800298</v>
      </c>
      <c r="AI6294" s="2">
        <v>23297.5055885662</v>
      </c>
      <c r="AJ6294" s="2">
        <v>26904.9819215057</v>
      </c>
      <c r="AK6294" s="2">
        <v>23034.248940751899</v>
      </c>
      <c r="AL6294" s="2">
        <v>28748.728529954798</v>
      </c>
      <c r="AM6294" s="2">
        <v>23739.452368568102</v>
      </c>
      <c r="AN6294" s="2">
        <v>24317.148469448199</v>
      </c>
      <c r="AO6294" s="2">
        <v>23630.525787142</v>
      </c>
      <c r="AP6294" s="2">
        <v>25507.202587984601</v>
      </c>
    </row>
    <row r="6295" spans="1:42" ht="14.5" x14ac:dyDescent="0.35">
      <c r="A6295" s="2" t="s">
        <v>41722</v>
      </c>
      <c r="B6295" s="2">
        <v>745.25556535498799</v>
      </c>
      <c r="C6295" s="2">
        <v>3.6738166666666698</v>
      </c>
      <c r="D6295" s="2" t="s">
        <v>70</v>
      </c>
      <c r="E6295" s="2" t="s">
        <v>41723</v>
      </c>
      <c r="F6295" s="2">
        <v>274586</v>
      </c>
      <c r="G6295" s="3" t="str">
        <f>HYPERLINK("http://funmeta.oebiotech.com/network/274586", "http://funmeta.oebiotech.com/network/274586")</f>
        <v>http://funmeta.oebiotech.com/network/274586</v>
      </c>
      <c r="H6295" s="2"/>
      <c r="I6295" s="2">
        <v>64666</v>
      </c>
      <c r="J6295" s="2"/>
      <c r="K6295" s="2"/>
      <c r="L6295" s="2"/>
      <c r="M6295" s="2"/>
      <c r="N6295" s="2"/>
      <c r="O6295" s="2">
        <v>53394628</v>
      </c>
      <c r="P6295" s="2"/>
      <c r="Q6295" s="2" t="s">
        <v>41724</v>
      </c>
      <c r="R6295" s="2" t="s">
        <v>41725</v>
      </c>
      <c r="S6295" s="2" t="s">
        <v>148</v>
      </c>
      <c r="T6295" s="2" t="s">
        <v>6221</v>
      </c>
      <c r="U6295" s="2" t="s">
        <v>41</v>
      </c>
      <c r="V6295" s="2" t="s">
        <v>59</v>
      </c>
      <c r="W6295" s="2">
        <v>38.700000000000003</v>
      </c>
      <c r="X6295" s="2">
        <v>0</v>
      </c>
      <c r="Y6295" s="2" t="s">
        <v>560</v>
      </c>
      <c r="Z6295" s="2" t="s">
        <v>41726</v>
      </c>
      <c r="AA6295" s="2">
        <v>3.4307281126369903E-2</v>
      </c>
      <c r="AB6295" s="2">
        <v>3.7347229658162499E-2</v>
      </c>
      <c r="AC6295" s="2">
        <v>1043.48968924422</v>
      </c>
      <c r="AD6295" s="2">
        <v>764.75301743812599</v>
      </c>
      <c r="AE6295" s="2">
        <v>823.48548295382602</v>
      </c>
      <c r="AF6295" s="2">
        <v>1412.5786082462801</v>
      </c>
      <c r="AG6295" s="2">
        <v>877.96241914248799</v>
      </c>
      <c r="AH6295" s="2">
        <v>482.80977674617498</v>
      </c>
      <c r="AI6295" s="2">
        <v>892.41452402132995</v>
      </c>
      <c r="AJ6295" s="2">
        <v>1771.6873243552</v>
      </c>
      <c r="AK6295" s="2">
        <v>827.82256119667795</v>
      </c>
      <c r="AL6295" s="2">
        <v>2.7106294003980101E-5</v>
      </c>
      <c r="AM6295" s="2">
        <v>670.03042170645301</v>
      </c>
      <c r="AN6295" s="2">
        <v>1064.7004495395499</v>
      </c>
      <c r="AO6295" s="2">
        <v>953.55358494125801</v>
      </c>
      <c r="AP6295" s="2">
        <v>1072.41106013852</v>
      </c>
    </row>
    <row r="6296" spans="1:42" ht="14.5" x14ac:dyDescent="0.35">
      <c r="A6296" s="2" t="s">
        <v>41727</v>
      </c>
      <c r="B6296" s="2">
        <v>740.27130154268104</v>
      </c>
      <c r="C6296" s="2">
        <v>10.0772666666667</v>
      </c>
      <c r="D6296" s="2" t="s">
        <v>70</v>
      </c>
      <c r="E6296" s="2" t="s">
        <v>41728</v>
      </c>
      <c r="F6296" s="2">
        <v>206343</v>
      </c>
      <c r="G6296" s="3" t="str">
        <f>HYPERLINK("http://funmeta.oebiotech.com/network/206343", "http://funmeta.oebiotech.com/network/206343")</f>
        <v>http://funmeta.oebiotech.com/network/206343</v>
      </c>
      <c r="H6296" s="2" t="s">
        <v>41729</v>
      </c>
      <c r="I6296" s="2"/>
      <c r="J6296" s="2"/>
      <c r="K6296" s="2"/>
      <c r="L6296" s="2"/>
      <c r="M6296" s="2"/>
      <c r="N6296" s="2"/>
      <c r="O6296" s="2">
        <v>69614487</v>
      </c>
      <c r="P6296" s="2"/>
      <c r="Q6296" s="2" t="s">
        <v>41730</v>
      </c>
      <c r="R6296" s="2" t="s">
        <v>41731</v>
      </c>
      <c r="S6296" s="2" t="s">
        <v>89</v>
      </c>
      <c r="T6296" s="2" t="s">
        <v>90</v>
      </c>
      <c r="U6296" s="2" t="s">
        <v>99</v>
      </c>
      <c r="V6296" s="2" t="s">
        <v>59</v>
      </c>
      <c r="W6296" s="2">
        <v>36.299999999999997</v>
      </c>
      <c r="X6296" s="2">
        <v>0</v>
      </c>
      <c r="Y6296" s="2" t="s">
        <v>408</v>
      </c>
      <c r="Z6296" s="2" t="s">
        <v>41732</v>
      </c>
      <c r="AA6296" s="2">
        <v>4.6109837989719198</v>
      </c>
      <c r="AB6296" s="2">
        <v>3.7319497185837103E-2</v>
      </c>
      <c r="AC6296" s="2">
        <v>932.85666964592804</v>
      </c>
      <c r="AD6296" s="2">
        <v>650.67261952264096</v>
      </c>
      <c r="AE6296" s="2">
        <v>1047.0235739411</v>
      </c>
      <c r="AF6296" s="2">
        <v>217.75231022488001</v>
      </c>
      <c r="AG6296" s="2">
        <v>753.99483364046296</v>
      </c>
      <c r="AH6296" s="2">
        <v>1030.76451974888</v>
      </c>
      <c r="AI6296" s="2">
        <v>1880.65095726101</v>
      </c>
      <c r="AJ6296" s="2">
        <v>666.95382305923397</v>
      </c>
      <c r="AK6296" s="2">
        <v>786.87339243799204</v>
      </c>
      <c r="AL6296" s="2">
        <v>805.439948718805</v>
      </c>
      <c r="AM6296" s="2">
        <v>864.26583454878005</v>
      </c>
      <c r="AN6296" s="2">
        <v>677.18191647376295</v>
      </c>
      <c r="AO6296" s="2">
        <v>542.87353071151699</v>
      </c>
      <c r="AP6296" s="2">
        <v>227.40109424499099</v>
      </c>
    </row>
    <row r="6297" spans="1:42" ht="14.5" x14ac:dyDescent="0.35">
      <c r="A6297" s="2" t="s">
        <v>41733</v>
      </c>
      <c r="B6297" s="2">
        <v>154.095003544088</v>
      </c>
      <c r="C6297" s="2">
        <v>3.7334833333333299</v>
      </c>
      <c r="D6297" s="2" t="s">
        <v>34</v>
      </c>
      <c r="E6297" s="2" t="s">
        <v>41734</v>
      </c>
      <c r="F6297" s="2">
        <v>57688</v>
      </c>
      <c r="G6297" s="3" t="str">
        <f>HYPERLINK("http://funmeta.oebiotech.com/network/57688", "http://funmeta.oebiotech.com/network/57688")</f>
        <v>http://funmeta.oebiotech.com/network/57688</v>
      </c>
      <c r="H6297" s="2" t="s">
        <v>41735</v>
      </c>
      <c r="I6297" s="2">
        <v>6041</v>
      </c>
      <c r="J6297" s="2"/>
      <c r="K6297" s="2">
        <v>17902</v>
      </c>
      <c r="L6297" s="2" t="s">
        <v>41736</v>
      </c>
      <c r="M6297" s="2" t="s">
        <v>12240</v>
      </c>
      <c r="N6297" s="2" t="s">
        <v>12241</v>
      </c>
      <c r="O6297" s="2">
        <v>502</v>
      </c>
      <c r="P6297" s="2" t="s">
        <v>41737</v>
      </c>
      <c r="Q6297" s="2" t="s">
        <v>41738</v>
      </c>
      <c r="R6297" s="2" t="s">
        <v>41739</v>
      </c>
      <c r="S6297" s="2" t="s">
        <v>89</v>
      </c>
      <c r="T6297" s="2" t="s">
        <v>17212</v>
      </c>
      <c r="U6297" s="2" t="s">
        <v>17213</v>
      </c>
      <c r="V6297" s="2" t="s">
        <v>59</v>
      </c>
      <c r="W6297" s="2">
        <v>38.5</v>
      </c>
      <c r="X6297" s="2">
        <v>0</v>
      </c>
      <c r="Y6297" s="2" t="s">
        <v>323</v>
      </c>
      <c r="Z6297" s="2" t="s">
        <v>41740</v>
      </c>
      <c r="AA6297" s="2">
        <v>-0.60399115979359497</v>
      </c>
      <c r="AB6297" s="2">
        <v>3.7231987920499303E-2</v>
      </c>
      <c r="AC6297" s="2">
        <v>1488.8658556169501</v>
      </c>
      <c r="AD6297" s="2">
        <v>1682.5038132499301</v>
      </c>
      <c r="AE6297" s="2">
        <v>1154.1391046768099</v>
      </c>
      <c r="AF6297" s="2">
        <v>1817.5905368331901</v>
      </c>
      <c r="AG6297" s="2">
        <v>1666.0590043356899</v>
      </c>
      <c r="AH6297" s="2">
        <v>1401.01117397087</v>
      </c>
      <c r="AI6297" s="2">
        <v>1551.00619939751</v>
      </c>
      <c r="AJ6297" s="2">
        <v>1343.38911448763</v>
      </c>
      <c r="AK6297" s="2">
        <v>1669.4195709559599</v>
      </c>
      <c r="AL6297" s="2">
        <v>1852.9358837601701</v>
      </c>
      <c r="AM6297" s="2">
        <v>1847.8627821658599</v>
      </c>
      <c r="AN6297" s="2">
        <v>1493.34680364061</v>
      </c>
      <c r="AO6297" s="2">
        <v>1574.4591862689001</v>
      </c>
      <c r="AP6297" s="2">
        <v>1656.99865270809</v>
      </c>
    </row>
    <row r="6298" spans="1:42" ht="14.5" x14ac:dyDescent="0.35">
      <c r="A6298" s="2" t="s">
        <v>41741</v>
      </c>
      <c r="B6298" s="2">
        <v>171.011140192037</v>
      </c>
      <c r="C6298" s="2">
        <v>3.5976333333333299</v>
      </c>
      <c r="D6298" s="2" t="s">
        <v>70</v>
      </c>
      <c r="E6298" s="2" t="s">
        <v>41742</v>
      </c>
      <c r="F6298" s="2">
        <v>81952</v>
      </c>
      <c r="G6298" s="3" t="str">
        <f>HYPERLINK("http://funmeta.oebiotech.com/network/81952", "http://funmeta.oebiotech.com/network/81952")</f>
        <v>http://funmeta.oebiotech.com/network/81952</v>
      </c>
      <c r="H6298" s="2" t="s">
        <v>41743</v>
      </c>
      <c r="I6298" s="2"/>
      <c r="J6298" s="2"/>
      <c r="K6298" s="2">
        <v>27849</v>
      </c>
      <c r="L6298" s="2" t="s">
        <v>28860</v>
      </c>
      <c r="M6298" s="2" t="s">
        <v>28861</v>
      </c>
      <c r="N6298" s="2" t="s">
        <v>28862</v>
      </c>
      <c r="O6298" s="2">
        <v>6101</v>
      </c>
      <c r="P6298" s="2" t="s">
        <v>41744</v>
      </c>
      <c r="Q6298" s="2" t="s">
        <v>41745</v>
      </c>
      <c r="R6298" s="2" t="s">
        <v>41746</v>
      </c>
      <c r="S6298" s="2" t="s">
        <v>148</v>
      </c>
      <c r="T6298" s="2" t="s">
        <v>149</v>
      </c>
      <c r="U6298" s="2" t="s">
        <v>6788</v>
      </c>
      <c r="V6298" s="2" t="s">
        <v>59</v>
      </c>
      <c r="W6298" s="2">
        <v>36.799999999999997</v>
      </c>
      <c r="X6298" s="2">
        <v>0</v>
      </c>
      <c r="Y6298" s="2" t="s">
        <v>118</v>
      </c>
      <c r="Z6298" s="2" t="s">
        <v>41747</v>
      </c>
      <c r="AA6298" s="2">
        <v>-5.8045262073258597</v>
      </c>
      <c r="AB6298" s="2">
        <v>3.72134735970776E-2</v>
      </c>
      <c r="AC6298" s="2">
        <v>580.93903343057798</v>
      </c>
      <c r="AD6298" s="2">
        <v>750.83979265229095</v>
      </c>
      <c r="AE6298" s="2">
        <v>572.04682297657405</v>
      </c>
      <c r="AF6298" s="2">
        <v>461.12279198428701</v>
      </c>
      <c r="AG6298" s="2">
        <v>501.10081409459298</v>
      </c>
      <c r="AH6298" s="2">
        <v>702.68337403394696</v>
      </c>
      <c r="AI6298" s="2">
        <v>666.20391249109298</v>
      </c>
      <c r="AJ6298" s="2">
        <v>582.476485002971</v>
      </c>
      <c r="AK6298" s="2">
        <v>591.96024886020598</v>
      </c>
      <c r="AL6298" s="2">
        <v>1064.2718864149499</v>
      </c>
      <c r="AM6298" s="2">
        <v>858.45877006196395</v>
      </c>
      <c r="AN6298" s="2">
        <v>776.06230388662198</v>
      </c>
      <c r="AO6298" s="2">
        <v>605.76150079858803</v>
      </c>
      <c r="AP6298" s="2">
        <v>608.52404589141395</v>
      </c>
    </row>
    <row r="6299" spans="1:42" ht="14.5" x14ac:dyDescent="0.35">
      <c r="A6299" s="2" t="s">
        <v>41748</v>
      </c>
      <c r="B6299" s="2">
        <v>268.96227226015202</v>
      </c>
      <c r="C6299" s="2">
        <v>2.5780666666666701</v>
      </c>
      <c r="D6299" s="2" t="s">
        <v>70</v>
      </c>
      <c r="E6299" s="2" t="s">
        <v>41749</v>
      </c>
      <c r="F6299" s="2">
        <v>206179</v>
      </c>
      <c r="G6299" s="3" t="str">
        <f>HYPERLINK("http://funmeta.oebiotech.com/network/206179", "http://funmeta.oebiotech.com/network/206179")</f>
        <v>http://funmeta.oebiotech.com/network/206179</v>
      </c>
      <c r="H6299" s="2" t="s">
        <v>41750</v>
      </c>
      <c r="I6299" s="2">
        <v>315562</v>
      </c>
      <c r="J6299" s="2"/>
      <c r="K6299" s="2">
        <v>39428</v>
      </c>
      <c r="L6299" s="2"/>
      <c r="M6299" s="2"/>
      <c r="N6299" s="2"/>
      <c r="O6299" s="2">
        <v>12675</v>
      </c>
      <c r="P6299" s="2"/>
      <c r="Q6299" s="2" t="s">
        <v>41751</v>
      </c>
      <c r="R6299" s="2" t="s">
        <v>41752</v>
      </c>
      <c r="S6299" s="2" t="s">
        <v>2811</v>
      </c>
      <c r="T6299" s="2" t="s">
        <v>17794</v>
      </c>
      <c r="U6299" s="2" t="s">
        <v>41</v>
      </c>
      <c r="V6299" s="2" t="s">
        <v>59</v>
      </c>
      <c r="W6299" s="2">
        <v>38.4</v>
      </c>
      <c r="X6299" s="2">
        <v>0</v>
      </c>
      <c r="Y6299" s="2" t="s">
        <v>751</v>
      </c>
      <c r="Z6299" s="2" t="s">
        <v>41753</v>
      </c>
      <c r="AA6299" s="2">
        <v>-2.5184309181107198</v>
      </c>
      <c r="AB6299" s="2">
        <v>3.7191079495469397E-2</v>
      </c>
      <c r="AC6299" s="2">
        <v>921.47019918829199</v>
      </c>
      <c r="AD6299" s="2">
        <v>1062.37762561879</v>
      </c>
      <c r="AE6299" s="2">
        <v>978.350733351038</v>
      </c>
      <c r="AF6299" s="2">
        <v>911.22201398092204</v>
      </c>
      <c r="AG6299" s="2">
        <v>930.83403568266101</v>
      </c>
      <c r="AH6299" s="2">
        <v>929.15701201105605</v>
      </c>
      <c r="AI6299" s="2">
        <v>839.89347456481005</v>
      </c>
      <c r="AJ6299" s="2">
        <v>939.36392553926703</v>
      </c>
      <c r="AK6299" s="2">
        <v>1254.2921497848499</v>
      </c>
      <c r="AL6299" s="2">
        <v>1051.2158169485599</v>
      </c>
      <c r="AM6299" s="2">
        <v>940.342923327329</v>
      </c>
      <c r="AN6299" s="2">
        <v>978.49996564807202</v>
      </c>
      <c r="AO6299" s="2">
        <v>1147.3567698391901</v>
      </c>
      <c r="AP6299" s="2">
        <v>1002.55812816475</v>
      </c>
    </row>
    <row r="6300" spans="1:42" ht="14.5" x14ac:dyDescent="0.35">
      <c r="A6300" s="2" t="s">
        <v>41754</v>
      </c>
      <c r="B6300" s="2">
        <v>287.20017925872901</v>
      </c>
      <c r="C6300" s="2">
        <v>3.84351666666667</v>
      </c>
      <c r="D6300" s="2" t="s">
        <v>34</v>
      </c>
      <c r="E6300" s="2" t="s">
        <v>41755</v>
      </c>
      <c r="F6300" s="2">
        <v>44895</v>
      </c>
      <c r="G6300" s="3" t="str">
        <f>HYPERLINK("http://funmeta.oebiotech.com/network/44895", "http://funmeta.oebiotech.com/network/44895")</f>
        <v>http://funmeta.oebiotech.com/network/44895</v>
      </c>
      <c r="H6300" s="2" t="s">
        <v>41756</v>
      </c>
      <c r="I6300" s="2">
        <v>2795</v>
      </c>
      <c r="J6300" s="2" t="s">
        <v>41757</v>
      </c>
      <c r="K6300" s="2">
        <v>16422</v>
      </c>
      <c r="L6300" s="2" t="s">
        <v>41758</v>
      </c>
      <c r="M6300" s="2" t="s">
        <v>41759</v>
      </c>
      <c r="N6300" s="2" t="s">
        <v>41760</v>
      </c>
      <c r="O6300" s="2">
        <v>6128</v>
      </c>
      <c r="P6300" s="2" t="s">
        <v>41761</v>
      </c>
      <c r="Q6300" s="2" t="s">
        <v>41762</v>
      </c>
      <c r="R6300" s="2" t="s">
        <v>41763</v>
      </c>
      <c r="S6300" s="2" t="s">
        <v>50</v>
      </c>
      <c r="T6300" s="2" t="s">
        <v>124</v>
      </c>
      <c r="U6300" s="2" t="s">
        <v>2373</v>
      </c>
      <c r="V6300" s="2" t="s">
        <v>59</v>
      </c>
      <c r="W6300" s="2">
        <v>38.6</v>
      </c>
      <c r="X6300" s="2">
        <v>0</v>
      </c>
      <c r="Y6300" s="2" t="s">
        <v>394</v>
      </c>
      <c r="Z6300" s="2" t="s">
        <v>41764</v>
      </c>
      <c r="AA6300" s="2">
        <v>-1.31815188320013</v>
      </c>
      <c r="AB6300" s="2">
        <v>3.7189913643831098E-2</v>
      </c>
      <c r="AC6300" s="2">
        <v>2428.9046176675802</v>
      </c>
      <c r="AD6300" s="2">
        <v>2700.9014563477899</v>
      </c>
      <c r="AE6300" s="2">
        <v>2447.7722367352399</v>
      </c>
      <c r="AF6300" s="2">
        <v>3043.62858436233</v>
      </c>
      <c r="AG6300" s="2">
        <v>2437.1697229227502</v>
      </c>
      <c r="AH6300" s="2">
        <v>2239.6968092862198</v>
      </c>
      <c r="AI6300" s="2">
        <v>2288.0881528510199</v>
      </c>
      <c r="AJ6300" s="2">
        <v>2117.0721998478998</v>
      </c>
      <c r="AK6300" s="2">
        <v>2296.0775156632899</v>
      </c>
      <c r="AL6300" s="2">
        <v>2663.84639581694</v>
      </c>
      <c r="AM6300" s="2">
        <v>3460.3627519284501</v>
      </c>
      <c r="AN6300" s="2">
        <v>3097.8471827295102</v>
      </c>
      <c r="AO6300" s="2">
        <v>2137.8289057522502</v>
      </c>
      <c r="AP6300" s="2">
        <v>2549.44598619628</v>
      </c>
    </row>
    <row r="6301" spans="1:42" ht="14.5" x14ac:dyDescent="0.35">
      <c r="A6301" s="2" t="s">
        <v>41765</v>
      </c>
      <c r="B6301" s="2">
        <v>624.89723724448095</v>
      </c>
      <c r="C6301" s="2">
        <v>1.4272166666666699</v>
      </c>
      <c r="D6301" s="2" t="s">
        <v>70</v>
      </c>
      <c r="E6301" s="2" t="s">
        <v>41766</v>
      </c>
      <c r="F6301" s="2">
        <v>267137</v>
      </c>
      <c r="G6301" s="3" t="str">
        <f>HYPERLINK("http://funmeta.oebiotech.com/network/267137", "http://funmeta.oebiotech.com/network/267137")</f>
        <v>http://funmeta.oebiotech.com/network/267137</v>
      </c>
      <c r="H6301" s="2"/>
      <c r="I6301" s="2">
        <v>44862</v>
      </c>
      <c r="J6301" s="2"/>
      <c r="K6301" s="2"/>
      <c r="L6301" s="2" t="s">
        <v>41767</v>
      </c>
      <c r="M6301" s="2" t="s">
        <v>5345</v>
      </c>
      <c r="N6301" s="2" t="s">
        <v>5346</v>
      </c>
      <c r="O6301" s="2">
        <v>71684596</v>
      </c>
      <c r="P6301" s="2"/>
      <c r="Q6301" s="2" t="s">
        <v>41768</v>
      </c>
      <c r="R6301" s="2" t="s">
        <v>41769</v>
      </c>
      <c r="S6301" s="2" t="s">
        <v>79</v>
      </c>
      <c r="T6301" s="2" t="s">
        <v>80</v>
      </c>
      <c r="U6301" s="2" t="s">
        <v>2021</v>
      </c>
      <c r="V6301" s="2" t="s">
        <v>59</v>
      </c>
      <c r="W6301" s="2">
        <v>36.200000000000003</v>
      </c>
      <c r="X6301" s="2">
        <v>0</v>
      </c>
      <c r="Y6301" s="2" t="s">
        <v>408</v>
      </c>
      <c r="Z6301" s="2" t="s">
        <v>41770</v>
      </c>
      <c r="AA6301" s="2">
        <v>6.88688167808853</v>
      </c>
      <c r="AB6301" s="2">
        <v>3.7035944596027E-2</v>
      </c>
      <c r="AC6301" s="2">
        <v>3031.6089552561698</v>
      </c>
      <c r="AD6301" s="2">
        <v>2696.68388237503</v>
      </c>
      <c r="AE6301" s="2">
        <v>2906.5992398779499</v>
      </c>
      <c r="AF6301" s="2">
        <v>3268.02593400975</v>
      </c>
      <c r="AG6301" s="2">
        <v>2502.7778881813701</v>
      </c>
      <c r="AH6301" s="2">
        <v>2937.8636096812502</v>
      </c>
      <c r="AI6301" s="2">
        <v>3104.7564143373702</v>
      </c>
      <c r="AJ6301" s="2">
        <v>3469.6306454493401</v>
      </c>
      <c r="AK6301" s="2">
        <v>2545.3747564304799</v>
      </c>
      <c r="AL6301" s="2">
        <v>3048.1095642241198</v>
      </c>
      <c r="AM6301" s="2">
        <v>1018.18719435481</v>
      </c>
      <c r="AN6301" s="2">
        <v>2901.8310818486002</v>
      </c>
      <c r="AO6301" s="2">
        <v>3374.3685449026002</v>
      </c>
      <c r="AP6301" s="2">
        <v>3292.2321524895701</v>
      </c>
    </row>
    <row r="6302" spans="1:42" ht="14.5" x14ac:dyDescent="0.35">
      <c r="A6302" s="2" t="s">
        <v>41771</v>
      </c>
      <c r="B6302" s="2">
        <v>328.10037884249101</v>
      </c>
      <c r="C6302" s="2">
        <v>1.2019166666666701</v>
      </c>
      <c r="D6302" s="2" t="s">
        <v>34</v>
      </c>
      <c r="E6302" s="2" t="s">
        <v>41772</v>
      </c>
      <c r="F6302" s="2">
        <v>53744</v>
      </c>
      <c r="G6302" s="3" t="str">
        <f>HYPERLINK("http://funmeta.oebiotech.com/network/53744", "http://funmeta.oebiotech.com/network/53744")</f>
        <v>http://funmeta.oebiotech.com/network/53744</v>
      </c>
      <c r="H6302" s="2" t="s">
        <v>41773</v>
      </c>
      <c r="I6302" s="2">
        <v>23897</v>
      </c>
      <c r="J6302" s="2"/>
      <c r="K6302" s="2">
        <v>73812</v>
      </c>
      <c r="L6302" s="2"/>
      <c r="M6302" s="2"/>
      <c r="N6302" s="2"/>
      <c r="O6302" s="2">
        <v>7009611</v>
      </c>
      <c r="P6302" s="2" t="s">
        <v>41774</v>
      </c>
      <c r="Q6302" s="2" t="s">
        <v>41775</v>
      </c>
      <c r="R6302" s="2" t="s">
        <v>41776</v>
      </c>
      <c r="S6302" s="2" t="s">
        <v>89</v>
      </c>
      <c r="T6302" s="2" t="s">
        <v>90</v>
      </c>
      <c r="U6302" s="2" t="s">
        <v>99</v>
      </c>
      <c r="V6302" s="2" t="s">
        <v>59</v>
      </c>
      <c r="W6302" s="2">
        <v>37.5</v>
      </c>
      <c r="X6302" s="2">
        <v>0</v>
      </c>
      <c r="Y6302" s="2" t="s">
        <v>340</v>
      </c>
      <c r="Z6302" s="2" t="s">
        <v>41777</v>
      </c>
      <c r="AA6302" s="2">
        <v>-4.8349426494630103</v>
      </c>
      <c r="AB6302" s="2">
        <v>3.70264845933541E-2</v>
      </c>
      <c r="AC6302" s="2">
        <v>2017.92427741342</v>
      </c>
      <c r="AD6302" s="2">
        <v>2256.4360028094502</v>
      </c>
      <c r="AE6302" s="2">
        <v>2063.35815267211</v>
      </c>
      <c r="AF6302" s="2">
        <v>1769.5094930933201</v>
      </c>
      <c r="AG6302" s="2">
        <v>1972.4946600016401</v>
      </c>
      <c r="AH6302" s="2">
        <v>1854.04895133786</v>
      </c>
      <c r="AI6302" s="2">
        <v>2101.0767290530998</v>
      </c>
      <c r="AJ6302" s="2">
        <v>2347.0576783225001</v>
      </c>
      <c r="AK6302" s="2">
        <v>2701.8364228053802</v>
      </c>
      <c r="AL6302" s="2">
        <v>2807.2867315376202</v>
      </c>
      <c r="AM6302" s="2">
        <v>1891.94699795266</v>
      </c>
      <c r="AN6302" s="2">
        <v>2070.1091802917699</v>
      </c>
      <c r="AO6302" s="2">
        <v>2141.2196992558102</v>
      </c>
      <c r="AP6302" s="2">
        <v>1926.2169850134701</v>
      </c>
    </row>
    <row r="6303" spans="1:42" ht="14.5" x14ac:dyDescent="0.35">
      <c r="A6303" s="2" t="s">
        <v>41778</v>
      </c>
      <c r="B6303" s="2">
        <v>331.153745818706</v>
      </c>
      <c r="C6303" s="2">
        <v>4.9145166666666702</v>
      </c>
      <c r="D6303" s="2" t="s">
        <v>34</v>
      </c>
      <c r="E6303" s="2" t="s">
        <v>41779</v>
      </c>
      <c r="F6303" s="2">
        <v>44922</v>
      </c>
      <c r="G6303" s="3" t="str">
        <f>HYPERLINK("http://funmeta.oebiotech.com/network/44922", "http://funmeta.oebiotech.com/network/44922")</f>
        <v>http://funmeta.oebiotech.com/network/44922</v>
      </c>
      <c r="H6303" s="2"/>
      <c r="I6303" s="2">
        <v>41858</v>
      </c>
      <c r="J6303" s="2" t="s">
        <v>41780</v>
      </c>
      <c r="K6303" s="2"/>
      <c r="L6303" s="2" t="s">
        <v>41781</v>
      </c>
      <c r="M6303" s="2" t="s">
        <v>2041</v>
      </c>
      <c r="N6303" s="2" t="s">
        <v>2042</v>
      </c>
      <c r="O6303" s="2">
        <v>5280742</v>
      </c>
      <c r="P6303" s="2"/>
      <c r="Q6303" s="2" t="s">
        <v>41782</v>
      </c>
      <c r="R6303" s="2" t="s">
        <v>41783</v>
      </c>
      <c r="S6303" s="2" t="s">
        <v>89</v>
      </c>
      <c r="T6303" s="2" t="s">
        <v>2718</v>
      </c>
      <c r="U6303" s="2" t="s">
        <v>11268</v>
      </c>
      <c r="V6303" s="2" t="s">
        <v>42</v>
      </c>
      <c r="W6303" s="2">
        <v>52.5</v>
      </c>
      <c r="X6303" s="2">
        <v>67.400000000000006</v>
      </c>
      <c r="Y6303" s="2" t="s">
        <v>266</v>
      </c>
      <c r="Z6303" s="2" t="s">
        <v>6764</v>
      </c>
      <c r="AA6303" s="2">
        <v>-0.73075688117577697</v>
      </c>
      <c r="AB6303" s="2">
        <v>3.7006739512971301E-2</v>
      </c>
      <c r="AC6303" s="2">
        <v>1912375.6411877801</v>
      </c>
      <c r="AD6303" s="2">
        <v>1908044.88073531</v>
      </c>
      <c r="AE6303" s="2">
        <v>1857669.37314113</v>
      </c>
      <c r="AF6303" s="2">
        <v>2100977.1220616898</v>
      </c>
      <c r="AG6303" s="2">
        <v>1843419.3088928</v>
      </c>
      <c r="AH6303" s="2">
        <v>1828641.8018309399</v>
      </c>
      <c r="AI6303" s="2">
        <v>1937258.50903429</v>
      </c>
      <c r="AJ6303" s="2">
        <v>1906287.73216585</v>
      </c>
      <c r="AK6303" s="2">
        <v>1971327.99586528</v>
      </c>
      <c r="AL6303" s="2">
        <v>1937846.5106989499</v>
      </c>
      <c r="AM6303" s="2">
        <v>1851305.9679666699</v>
      </c>
      <c r="AN6303" s="2">
        <v>2062576.44186306</v>
      </c>
      <c r="AO6303" s="2">
        <v>1693018.67467862</v>
      </c>
      <c r="AP6303" s="2">
        <v>1932193.6933392601</v>
      </c>
    </row>
    <row r="6304" spans="1:42" ht="14.5" x14ac:dyDescent="0.35">
      <c r="A6304" s="2" t="s">
        <v>41784</v>
      </c>
      <c r="B6304" s="2">
        <v>200.10297724854999</v>
      </c>
      <c r="C6304" s="2">
        <v>1.11073333333333</v>
      </c>
      <c r="D6304" s="2" t="s">
        <v>34</v>
      </c>
      <c r="E6304" s="2" t="s">
        <v>41785</v>
      </c>
      <c r="F6304" s="2">
        <v>201392</v>
      </c>
      <c r="G6304" s="3" t="str">
        <f>HYPERLINK("http://funmeta.oebiotech.com/network/201392", "http://funmeta.oebiotech.com/network/201392")</f>
        <v>http://funmeta.oebiotech.com/network/201392</v>
      </c>
      <c r="H6304" s="2" t="s">
        <v>41786</v>
      </c>
      <c r="I6304" s="2"/>
      <c r="J6304" s="2"/>
      <c r="K6304" s="2"/>
      <c r="L6304" s="2"/>
      <c r="M6304" s="2"/>
      <c r="N6304" s="2"/>
      <c r="O6304" s="2"/>
      <c r="P6304" s="2"/>
      <c r="Q6304" s="2" t="s">
        <v>41787</v>
      </c>
      <c r="R6304" s="2" t="s">
        <v>41788</v>
      </c>
      <c r="S6304" s="2" t="s">
        <v>41</v>
      </c>
      <c r="T6304" s="2" t="s">
        <v>41</v>
      </c>
      <c r="U6304" s="2" t="s">
        <v>41</v>
      </c>
      <c r="V6304" s="2" t="s">
        <v>59</v>
      </c>
      <c r="W6304" s="2">
        <v>38.1</v>
      </c>
      <c r="X6304" s="2">
        <v>0</v>
      </c>
      <c r="Y6304" s="2" t="s">
        <v>43</v>
      </c>
      <c r="Z6304" s="2" t="s">
        <v>41789</v>
      </c>
      <c r="AA6304" s="2">
        <v>5.23403916344704E-2</v>
      </c>
      <c r="AB6304" s="2">
        <v>3.7001291814344001E-2</v>
      </c>
      <c r="AC6304" s="2">
        <v>106.45195721809399</v>
      </c>
      <c r="AD6304" s="2">
        <v>2.7106294003980101E-5</v>
      </c>
      <c r="AE6304" s="2">
        <v>82.888382740510096</v>
      </c>
      <c r="AF6304" s="2">
        <v>82.204965278985895</v>
      </c>
      <c r="AG6304" s="2">
        <v>95.187097454151299</v>
      </c>
      <c r="AH6304" s="2">
        <v>207.67167170331501</v>
      </c>
      <c r="AI6304" s="2">
        <v>108.760937874812</v>
      </c>
      <c r="AJ6304" s="2">
        <v>61.998688256789102</v>
      </c>
      <c r="AK6304" s="2">
        <v>2.7106294003980101E-5</v>
      </c>
      <c r="AL6304" s="2">
        <v>2.7106294003980101E-5</v>
      </c>
      <c r="AM6304" s="2">
        <v>2.7106294003980101E-5</v>
      </c>
      <c r="AN6304" s="2">
        <v>2.7106294003980101E-5</v>
      </c>
      <c r="AO6304" s="2">
        <v>2.7106294003980101E-5</v>
      </c>
      <c r="AP6304" s="2">
        <v>2.7106294003980101E-5</v>
      </c>
    </row>
    <row r="6305" spans="1:42" ht="14.5" x14ac:dyDescent="0.35">
      <c r="A6305" s="2" t="s">
        <v>41790</v>
      </c>
      <c r="B6305" s="2">
        <v>245.138989047292</v>
      </c>
      <c r="C6305" s="2">
        <v>5.5805999999999996</v>
      </c>
      <c r="D6305" s="2" t="s">
        <v>70</v>
      </c>
      <c r="E6305" s="2" t="s">
        <v>41791</v>
      </c>
      <c r="F6305" s="2">
        <v>2069</v>
      </c>
      <c r="G6305" s="3" t="str">
        <f>HYPERLINK("http://funmeta.oebiotech.com/network/2069", "http://funmeta.oebiotech.com/network/2069")</f>
        <v>http://funmeta.oebiotech.com/network/2069</v>
      </c>
      <c r="H6305" s="2"/>
      <c r="I6305" s="2">
        <v>35728</v>
      </c>
      <c r="J6305" s="2" t="s">
        <v>41792</v>
      </c>
      <c r="K6305" s="2"/>
      <c r="L6305" s="2"/>
      <c r="M6305" s="2"/>
      <c r="N6305" s="2"/>
      <c r="O6305" s="2">
        <v>637257</v>
      </c>
      <c r="P6305" s="2"/>
      <c r="Q6305" s="2" t="s">
        <v>41793</v>
      </c>
      <c r="R6305" s="2" t="s">
        <v>41794</v>
      </c>
      <c r="S6305" s="2" t="s">
        <v>89</v>
      </c>
      <c r="T6305" s="2" t="s">
        <v>2718</v>
      </c>
      <c r="U6305" s="2" t="s">
        <v>11268</v>
      </c>
      <c r="V6305" s="2" t="s">
        <v>42</v>
      </c>
      <c r="W6305" s="2">
        <v>49.4</v>
      </c>
      <c r="X6305" s="2">
        <v>52.9</v>
      </c>
      <c r="Y6305" s="2" t="s">
        <v>408</v>
      </c>
      <c r="Z6305" s="2" t="s">
        <v>41795</v>
      </c>
      <c r="AA6305" s="2">
        <v>-2.2899966931245501</v>
      </c>
      <c r="AB6305" s="2">
        <v>3.7000825009491103E-2</v>
      </c>
      <c r="AC6305" s="2">
        <v>343.24447916306002</v>
      </c>
      <c r="AD6305" s="2">
        <v>509.84629760217598</v>
      </c>
      <c r="AE6305" s="2">
        <v>343.21852610492903</v>
      </c>
      <c r="AF6305" s="2">
        <v>349.99080373444502</v>
      </c>
      <c r="AG6305" s="2">
        <v>247.65845784170199</v>
      </c>
      <c r="AH6305" s="2">
        <v>419.944026350032</v>
      </c>
      <c r="AI6305" s="2">
        <v>569.25839686900702</v>
      </c>
      <c r="AJ6305" s="2">
        <v>129.39666407824399</v>
      </c>
      <c r="AK6305" s="2">
        <v>456.84749573113697</v>
      </c>
      <c r="AL6305" s="2">
        <v>713.03961006193697</v>
      </c>
      <c r="AM6305" s="2">
        <v>663.90198195241499</v>
      </c>
      <c r="AN6305" s="2">
        <v>410.47367453313097</v>
      </c>
      <c r="AO6305" s="2">
        <v>398.37204368494997</v>
      </c>
      <c r="AP6305" s="2">
        <v>416.44297964948902</v>
      </c>
    </row>
    <row r="6306" spans="1:42" ht="14.5" x14ac:dyDescent="0.35">
      <c r="A6306" s="2" t="s">
        <v>41796</v>
      </c>
      <c r="B6306" s="2">
        <v>257.093104551571</v>
      </c>
      <c r="C6306" s="2">
        <v>5.4498833333333296</v>
      </c>
      <c r="D6306" s="2" t="s">
        <v>70</v>
      </c>
      <c r="E6306" s="2" t="s">
        <v>41797</v>
      </c>
      <c r="F6306" s="2">
        <v>55130</v>
      </c>
      <c r="G6306" s="3" t="str">
        <f>HYPERLINK("http://funmeta.oebiotech.com/network/55130", "http://funmeta.oebiotech.com/network/55130")</f>
        <v>http://funmeta.oebiotech.com/network/55130</v>
      </c>
      <c r="H6306" s="2" t="s">
        <v>41798</v>
      </c>
      <c r="I6306" s="2">
        <v>43924</v>
      </c>
      <c r="J6306" s="2"/>
      <c r="K6306" s="2">
        <v>28121</v>
      </c>
      <c r="L6306" s="2" t="s">
        <v>41799</v>
      </c>
      <c r="M6306" s="2" t="s">
        <v>28385</v>
      </c>
      <c r="N6306" s="2" t="s">
        <v>28386</v>
      </c>
      <c r="O6306" s="2">
        <v>5280953</v>
      </c>
      <c r="P6306" s="2" t="s">
        <v>41800</v>
      </c>
      <c r="Q6306" s="2" t="s">
        <v>41801</v>
      </c>
      <c r="R6306" s="2" t="s">
        <v>41802</v>
      </c>
      <c r="S6306" s="2" t="s">
        <v>39</v>
      </c>
      <c r="T6306" s="2" t="s">
        <v>3154</v>
      </c>
      <c r="U6306" s="2" t="s">
        <v>41</v>
      </c>
      <c r="V6306" s="2" t="s">
        <v>59</v>
      </c>
      <c r="W6306" s="2">
        <v>39.6</v>
      </c>
      <c r="X6306" s="2">
        <v>0</v>
      </c>
      <c r="Y6306" s="2" t="s">
        <v>408</v>
      </c>
      <c r="Z6306" s="2" t="s">
        <v>41803</v>
      </c>
      <c r="AA6306" s="2">
        <v>-0.28917437782890298</v>
      </c>
      <c r="AB6306" s="2">
        <v>3.6659371754891402E-2</v>
      </c>
      <c r="AC6306" s="2">
        <v>510.75063397825301</v>
      </c>
      <c r="AD6306" s="2">
        <v>354.25725264900802</v>
      </c>
      <c r="AE6306" s="2">
        <v>414.253808269079</v>
      </c>
      <c r="AF6306" s="2">
        <v>691.60751146396797</v>
      </c>
      <c r="AG6306" s="2">
        <v>631.424199723073</v>
      </c>
      <c r="AH6306" s="2">
        <v>477.05232328902702</v>
      </c>
      <c r="AI6306" s="2">
        <v>375.77956201092502</v>
      </c>
      <c r="AJ6306" s="2">
        <v>474.38639911344501</v>
      </c>
      <c r="AK6306" s="2">
        <v>237.68502208589399</v>
      </c>
      <c r="AL6306" s="2">
        <v>466.666994648394</v>
      </c>
      <c r="AM6306" s="2">
        <v>399.570432163107</v>
      </c>
      <c r="AN6306" s="2">
        <v>146.360575474207</v>
      </c>
      <c r="AO6306" s="2">
        <v>491.2335199067</v>
      </c>
      <c r="AP6306" s="2">
        <v>384.02697161574901</v>
      </c>
    </row>
    <row r="6307" spans="1:42" ht="14.5" x14ac:dyDescent="0.35">
      <c r="A6307" s="2" t="s">
        <v>41804</v>
      </c>
      <c r="B6307" s="2">
        <v>533.10845649969804</v>
      </c>
      <c r="C6307" s="2">
        <v>5.3016333333333296</v>
      </c>
      <c r="D6307" s="2" t="s">
        <v>70</v>
      </c>
      <c r="E6307" s="2" t="s">
        <v>41805</v>
      </c>
      <c r="F6307" s="2">
        <v>58580</v>
      </c>
      <c r="G6307" s="3" t="str">
        <f>HYPERLINK("http://funmeta.oebiotech.com/network/58580", "http://funmeta.oebiotech.com/network/58580")</f>
        <v>http://funmeta.oebiotech.com/network/58580</v>
      </c>
      <c r="H6307" s="2" t="s">
        <v>41806</v>
      </c>
      <c r="I6307" s="2">
        <v>90048</v>
      </c>
      <c r="J6307" s="2"/>
      <c r="K6307" s="2">
        <v>169046</v>
      </c>
      <c r="L6307" s="2"/>
      <c r="M6307" s="2"/>
      <c r="N6307" s="2"/>
      <c r="O6307" s="2">
        <v>10347565</v>
      </c>
      <c r="P6307" s="2" t="s">
        <v>41807</v>
      </c>
      <c r="Q6307" s="2" t="s">
        <v>41808</v>
      </c>
      <c r="R6307" s="2" t="s">
        <v>41809</v>
      </c>
      <c r="S6307" s="2" t="s">
        <v>148</v>
      </c>
      <c r="T6307" s="2" t="s">
        <v>149</v>
      </c>
      <c r="U6307" s="2" t="s">
        <v>36258</v>
      </c>
      <c r="V6307" s="2" t="s">
        <v>59</v>
      </c>
      <c r="W6307" s="2">
        <v>37.299999999999997</v>
      </c>
      <c r="X6307" s="2">
        <v>0</v>
      </c>
      <c r="Y6307" s="2" t="s">
        <v>751</v>
      </c>
      <c r="Z6307" s="2" t="s">
        <v>41810</v>
      </c>
      <c r="AA6307" s="2">
        <v>-0.86680219650655999</v>
      </c>
      <c r="AB6307" s="2">
        <v>3.6630820338403897E-2</v>
      </c>
      <c r="AC6307" s="2">
        <v>2378.5484592286798</v>
      </c>
      <c r="AD6307" s="2">
        <v>2076.7997557118101</v>
      </c>
      <c r="AE6307" s="2">
        <v>2478.4490948584398</v>
      </c>
      <c r="AF6307" s="2">
        <v>2083.0098372427501</v>
      </c>
      <c r="AG6307" s="2">
        <v>1439.7984451888699</v>
      </c>
      <c r="AH6307" s="2">
        <v>3279.9852147943898</v>
      </c>
      <c r="AI6307" s="2">
        <v>2999.43401591877</v>
      </c>
      <c r="AJ6307" s="2">
        <v>1990.6141473688499</v>
      </c>
      <c r="AK6307" s="2">
        <v>2493.90485182669</v>
      </c>
      <c r="AL6307" s="2">
        <v>1749.8043312422101</v>
      </c>
      <c r="AM6307" s="2">
        <v>1848.95403904466</v>
      </c>
      <c r="AN6307" s="2">
        <v>2043.84929023106</v>
      </c>
      <c r="AO6307" s="2">
        <v>2195.31130282717</v>
      </c>
      <c r="AP6307" s="2">
        <v>2128.9747190990402</v>
      </c>
    </row>
    <row r="6308" spans="1:42" ht="14.5" x14ac:dyDescent="0.35">
      <c r="A6308" s="2" t="s">
        <v>41811</v>
      </c>
      <c r="B6308" s="2">
        <v>337.06956068556099</v>
      </c>
      <c r="C6308" s="2">
        <v>1.7515333333333301</v>
      </c>
      <c r="D6308" s="2" t="s">
        <v>70</v>
      </c>
      <c r="E6308" s="2" t="s">
        <v>41812</v>
      </c>
      <c r="F6308" s="2">
        <v>205873</v>
      </c>
      <c r="G6308" s="3" t="str">
        <f>HYPERLINK("http://funmeta.oebiotech.com/network/205873", "http://funmeta.oebiotech.com/network/205873")</f>
        <v>http://funmeta.oebiotech.com/network/205873</v>
      </c>
      <c r="H6308" s="2" t="s">
        <v>41813</v>
      </c>
      <c r="I6308" s="2">
        <v>45163</v>
      </c>
      <c r="J6308" s="2"/>
      <c r="K6308" s="2"/>
      <c r="L6308" s="2"/>
      <c r="M6308" s="2"/>
      <c r="N6308" s="2"/>
      <c r="O6308" s="2">
        <v>3045</v>
      </c>
      <c r="P6308" s="2" t="s">
        <v>41814</v>
      </c>
      <c r="Q6308" s="2" t="s">
        <v>41815</v>
      </c>
      <c r="R6308" s="2" t="s">
        <v>41816</v>
      </c>
      <c r="S6308" s="2" t="s">
        <v>148</v>
      </c>
      <c r="T6308" s="2" t="s">
        <v>149</v>
      </c>
      <c r="U6308" s="2" t="s">
        <v>1593</v>
      </c>
      <c r="V6308" s="2" t="s">
        <v>59</v>
      </c>
      <c r="W6308" s="2">
        <v>38.5</v>
      </c>
      <c r="X6308" s="2">
        <v>0</v>
      </c>
      <c r="Y6308" s="2" t="s">
        <v>560</v>
      </c>
      <c r="Z6308" s="2" t="s">
        <v>27146</v>
      </c>
      <c r="AA6308" s="2">
        <v>5.3884564596196096</v>
      </c>
      <c r="AB6308" s="2">
        <v>3.6612918798112501E-2</v>
      </c>
      <c r="AC6308" s="2">
        <v>1652.15500807639</v>
      </c>
      <c r="AD6308" s="2">
        <v>1868.5272888437801</v>
      </c>
      <c r="AE6308" s="2">
        <v>1545.90845733522</v>
      </c>
      <c r="AF6308" s="2">
        <v>1673.5210194015799</v>
      </c>
      <c r="AG6308" s="2">
        <v>1628.0292009227901</v>
      </c>
      <c r="AH6308" s="2">
        <v>2112.33958816426</v>
      </c>
      <c r="AI6308" s="2">
        <v>1475.96347187989</v>
      </c>
      <c r="AJ6308" s="2">
        <v>1477.1683107546</v>
      </c>
      <c r="AK6308" s="2">
        <v>1629.9366044147901</v>
      </c>
      <c r="AL6308" s="2">
        <v>2098.7468182748898</v>
      </c>
      <c r="AM6308" s="2">
        <v>1786.58974975914</v>
      </c>
      <c r="AN6308" s="2">
        <v>2005.1253826816601</v>
      </c>
      <c r="AO6308" s="2">
        <v>1479.9743423280499</v>
      </c>
      <c r="AP6308" s="2">
        <v>2210.7908356041298</v>
      </c>
    </row>
    <row r="6309" spans="1:42" ht="14.5" x14ac:dyDescent="0.35">
      <c r="A6309" s="2" t="s">
        <v>41817</v>
      </c>
      <c r="B6309" s="2">
        <v>583.19774455743698</v>
      </c>
      <c r="C6309" s="2">
        <v>11.60595</v>
      </c>
      <c r="D6309" s="2" t="s">
        <v>70</v>
      </c>
      <c r="E6309" s="2" t="s">
        <v>41818</v>
      </c>
      <c r="F6309" s="2">
        <v>29074</v>
      </c>
      <c r="G6309" s="3" t="str">
        <f>HYPERLINK("http://funmeta.oebiotech.com/network/29074", "http://funmeta.oebiotech.com/network/29074")</f>
        <v>http://funmeta.oebiotech.com/network/29074</v>
      </c>
      <c r="H6309" s="2"/>
      <c r="I6309" s="2">
        <v>47470</v>
      </c>
      <c r="J6309" s="2" t="s">
        <v>41819</v>
      </c>
      <c r="K6309" s="2">
        <v>140132</v>
      </c>
      <c r="L6309" s="2"/>
      <c r="M6309" s="2"/>
      <c r="N6309" s="2"/>
      <c r="O6309" s="2">
        <v>44257185</v>
      </c>
      <c r="P6309" s="2"/>
      <c r="Q6309" s="2" t="s">
        <v>41820</v>
      </c>
      <c r="R6309" s="2" t="s">
        <v>41821</v>
      </c>
      <c r="S6309" s="2" t="s">
        <v>115</v>
      </c>
      <c r="T6309" s="2" t="s">
        <v>2833</v>
      </c>
      <c r="U6309" s="2" t="s">
        <v>41</v>
      </c>
      <c r="V6309" s="2" t="s">
        <v>59</v>
      </c>
      <c r="W6309" s="2">
        <v>47.2</v>
      </c>
      <c r="X6309" s="2">
        <v>41.3</v>
      </c>
      <c r="Y6309" s="2" t="s">
        <v>408</v>
      </c>
      <c r="Z6309" s="2" t="s">
        <v>41822</v>
      </c>
      <c r="AA6309" s="2">
        <v>0.72164442288083896</v>
      </c>
      <c r="AB6309" s="2">
        <v>3.6591478842695098E-2</v>
      </c>
      <c r="AC6309" s="2">
        <v>8622.9613627136405</v>
      </c>
      <c r="AD6309" s="2">
        <v>9192.8896322902401</v>
      </c>
      <c r="AE6309" s="2">
        <v>10229.3331589194</v>
      </c>
      <c r="AF6309" s="2">
        <v>7491.0065521265997</v>
      </c>
      <c r="AG6309" s="2">
        <v>9056.3282529053104</v>
      </c>
      <c r="AH6309" s="2">
        <v>7980.5173667189301</v>
      </c>
      <c r="AI6309" s="2">
        <v>7549.7488792941704</v>
      </c>
      <c r="AJ6309" s="2">
        <v>9430.8339663174193</v>
      </c>
      <c r="AK6309" s="2">
        <v>7823.2108112719698</v>
      </c>
      <c r="AL6309" s="2">
        <v>10360.993694164599</v>
      </c>
      <c r="AM6309" s="2">
        <v>8233.7558602935005</v>
      </c>
      <c r="AN6309" s="2">
        <v>7058.9516435037203</v>
      </c>
      <c r="AO6309" s="2">
        <v>13706.0301357761</v>
      </c>
      <c r="AP6309" s="2">
        <v>7974.3956487315299</v>
      </c>
    </row>
    <row r="6310" spans="1:42" ht="14.5" x14ac:dyDescent="0.35">
      <c r="A6310" s="2" t="s">
        <v>41823</v>
      </c>
      <c r="B6310" s="2">
        <v>151.03524833125499</v>
      </c>
      <c r="C6310" s="2">
        <v>8.91496666666667</v>
      </c>
      <c r="D6310" s="2" t="s">
        <v>34</v>
      </c>
      <c r="E6310" s="2" t="s">
        <v>41824</v>
      </c>
      <c r="F6310" s="2">
        <v>61829</v>
      </c>
      <c r="G6310" s="3" t="str">
        <f>HYPERLINK("http://funmeta.oebiotech.com/network/61829", "http://funmeta.oebiotech.com/network/61829")</f>
        <v>http://funmeta.oebiotech.com/network/61829</v>
      </c>
      <c r="H6310" s="2" t="s">
        <v>41825</v>
      </c>
      <c r="I6310" s="2">
        <v>93133</v>
      </c>
      <c r="J6310" s="2"/>
      <c r="K6310" s="2"/>
      <c r="L6310" s="2"/>
      <c r="M6310" s="2"/>
      <c r="N6310" s="2"/>
      <c r="O6310" s="2">
        <v>11528349</v>
      </c>
      <c r="P6310" s="2" t="s">
        <v>41826</v>
      </c>
      <c r="Q6310" s="2" t="s">
        <v>41827</v>
      </c>
      <c r="R6310" s="2" t="s">
        <v>41828</v>
      </c>
      <c r="S6310" s="2" t="s">
        <v>5916</v>
      </c>
      <c r="T6310" s="2" t="s">
        <v>33870</v>
      </c>
      <c r="U6310" s="2" t="s">
        <v>41</v>
      </c>
      <c r="V6310" s="2" t="s">
        <v>59</v>
      </c>
      <c r="W6310" s="2">
        <v>38.700000000000003</v>
      </c>
      <c r="X6310" s="2">
        <v>0</v>
      </c>
      <c r="Y6310" s="2" t="s">
        <v>43</v>
      </c>
      <c r="Z6310" s="2" t="s">
        <v>41829</v>
      </c>
      <c r="AA6310" s="2">
        <v>-4.2738310162324096</v>
      </c>
      <c r="AB6310" s="2">
        <v>3.6371374928913701E-2</v>
      </c>
      <c r="AC6310" s="2">
        <v>2815.89177251417</v>
      </c>
      <c r="AD6310" s="2">
        <v>2993.7090426918899</v>
      </c>
      <c r="AE6310" s="2">
        <v>2692.9269057599399</v>
      </c>
      <c r="AF6310" s="2">
        <v>2766.5752164517398</v>
      </c>
      <c r="AG6310" s="2">
        <v>3018.6969379641901</v>
      </c>
      <c r="AH6310" s="2">
        <v>2933.7707814791002</v>
      </c>
      <c r="AI6310" s="2">
        <v>2844.6011177985201</v>
      </c>
      <c r="AJ6310" s="2">
        <v>2638.7796756315302</v>
      </c>
      <c r="AK6310" s="2">
        <v>3329.0567776386802</v>
      </c>
      <c r="AL6310" s="2">
        <v>2791.0771547412701</v>
      </c>
      <c r="AM6310" s="2">
        <v>2898.9683248957099</v>
      </c>
      <c r="AN6310" s="2">
        <v>2835.4416753212499</v>
      </c>
      <c r="AO6310" s="2">
        <v>3083.7994288692698</v>
      </c>
      <c r="AP6310" s="2">
        <v>3023.9108946851402</v>
      </c>
    </row>
    <row r="6311" spans="1:42" ht="14.5" x14ac:dyDescent="0.35">
      <c r="A6311" s="2" t="s">
        <v>41830</v>
      </c>
      <c r="B6311" s="2">
        <v>656.31782688558906</v>
      </c>
      <c r="C6311" s="2">
        <v>10.1084333333333</v>
      </c>
      <c r="D6311" s="2" t="s">
        <v>70</v>
      </c>
      <c r="E6311" s="2" t="s">
        <v>41831</v>
      </c>
      <c r="F6311" s="2">
        <v>27963</v>
      </c>
      <c r="G6311" s="3" t="str">
        <f>HYPERLINK("http://funmeta.oebiotech.com/network/27963", "http://funmeta.oebiotech.com/network/27963")</f>
        <v>http://funmeta.oebiotech.com/network/27963</v>
      </c>
      <c r="H6311" s="2"/>
      <c r="I6311" s="2"/>
      <c r="J6311" s="2" t="s">
        <v>41832</v>
      </c>
      <c r="K6311" s="2"/>
      <c r="L6311" s="2"/>
      <c r="M6311" s="2"/>
      <c r="N6311" s="2"/>
      <c r="O6311" s="2">
        <v>134812410</v>
      </c>
      <c r="P6311" s="2"/>
      <c r="Q6311" s="2" t="s">
        <v>41833</v>
      </c>
      <c r="R6311" s="2" t="s">
        <v>41834</v>
      </c>
      <c r="S6311" s="2" t="s">
        <v>50</v>
      </c>
      <c r="T6311" s="2" t="s">
        <v>51</v>
      </c>
      <c r="U6311" s="2" t="s">
        <v>66</v>
      </c>
      <c r="V6311" s="2" t="s">
        <v>59</v>
      </c>
      <c r="W6311" s="2">
        <v>37.1</v>
      </c>
      <c r="X6311" s="2">
        <v>0</v>
      </c>
      <c r="Y6311" s="2" t="s">
        <v>751</v>
      </c>
      <c r="Z6311" s="2" t="s">
        <v>41835</v>
      </c>
      <c r="AA6311" s="2">
        <v>-3.9902896965855899</v>
      </c>
      <c r="AB6311" s="2">
        <v>3.6357924021940297E-2</v>
      </c>
      <c r="AC6311" s="2">
        <v>296.92187676174501</v>
      </c>
      <c r="AD6311" s="2">
        <v>502.29968207593402</v>
      </c>
      <c r="AE6311" s="2">
        <v>221.47541665022499</v>
      </c>
      <c r="AF6311" s="2">
        <v>188.55352546208499</v>
      </c>
      <c r="AG6311" s="2">
        <v>404.39468548093703</v>
      </c>
      <c r="AH6311" s="2">
        <v>507.54543733924299</v>
      </c>
      <c r="AI6311" s="2">
        <v>221.27043821935999</v>
      </c>
      <c r="AJ6311" s="2">
        <v>238.291757418618</v>
      </c>
      <c r="AK6311" s="2">
        <v>379.97827611070898</v>
      </c>
      <c r="AL6311" s="2">
        <v>756.25034958559297</v>
      </c>
      <c r="AM6311" s="2">
        <v>144.34777730243201</v>
      </c>
      <c r="AN6311" s="2">
        <v>177.14586213071701</v>
      </c>
      <c r="AO6311" s="2">
        <v>714.59723157491305</v>
      </c>
      <c r="AP6311" s="2">
        <v>841.47859575123698</v>
      </c>
    </row>
    <row r="6312" spans="1:42" ht="14.5" x14ac:dyDescent="0.35">
      <c r="A6312" s="2" t="s">
        <v>41836</v>
      </c>
      <c r="B6312" s="2">
        <v>175.02383543622</v>
      </c>
      <c r="C6312" s="2">
        <v>9.1189166666666708</v>
      </c>
      <c r="D6312" s="2" t="s">
        <v>70</v>
      </c>
      <c r="E6312" s="2" t="s">
        <v>41837</v>
      </c>
      <c r="F6312" s="2">
        <v>46885</v>
      </c>
      <c r="G6312" s="3" t="str">
        <f>HYPERLINK("http://funmeta.oebiotech.com/network/46885", "http://funmeta.oebiotech.com/network/46885")</f>
        <v>http://funmeta.oebiotech.com/network/46885</v>
      </c>
      <c r="H6312" s="2" t="s">
        <v>41838</v>
      </c>
      <c r="I6312" s="2">
        <v>161</v>
      </c>
      <c r="J6312" s="2"/>
      <c r="K6312" s="2">
        <v>42717</v>
      </c>
      <c r="L6312" s="2" t="s">
        <v>41839</v>
      </c>
      <c r="M6312" s="2" t="s">
        <v>41840</v>
      </c>
      <c r="N6312" s="2" t="s">
        <v>41841</v>
      </c>
      <c r="O6312" s="2">
        <v>444791</v>
      </c>
      <c r="P6312" s="2" t="s">
        <v>41842</v>
      </c>
      <c r="Q6312" s="2" t="s">
        <v>41843</v>
      </c>
      <c r="R6312" s="2" t="s">
        <v>41844</v>
      </c>
      <c r="S6312" s="2" t="s">
        <v>79</v>
      </c>
      <c r="T6312" s="2" t="s">
        <v>80</v>
      </c>
      <c r="U6312" s="2" t="s">
        <v>81</v>
      </c>
      <c r="V6312" s="2" t="s">
        <v>59</v>
      </c>
      <c r="W6312" s="2">
        <v>38.299999999999997</v>
      </c>
      <c r="X6312" s="2">
        <v>0</v>
      </c>
      <c r="Y6312" s="2" t="s">
        <v>751</v>
      </c>
      <c r="Z6312" s="2" t="s">
        <v>33689</v>
      </c>
      <c r="AA6312" s="2">
        <v>-5.0303445480502402</v>
      </c>
      <c r="AB6312" s="2">
        <v>3.6355563943473897E-2</v>
      </c>
      <c r="AC6312" s="2">
        <v>2102.9551696836502</v>
      </c>
      <c r="AD6312" s="2">
        <v>2308.72509665498</v>
      </c>
      <c r="AE6312" s="2">
        <v>2263.9156102776201</v>
      </c>
      <c r="AF6312" s="2">
        <v>1892.0349211441401</v>
      </c>
      <c r="AG6312" s="2">
        <v>1859.0793465178799</v>
      </c>
      <c r="AH6312" s="2">
        <v>2329.2146748678501</v>
      </c>
      <c r="AI6312" s="2">
        <v>1908.0481672527001</v>
      </c>
      <c r="AJ6312" s="2">
        <v>2365.4382980417299</v>
      </c>
      <c r="AK6312" s="2">
        <v>2215.2102309904699</v>
      </c>
      <c r="AL6312" s="2">
        <v>1958.3373084990901</v>
      </c>
      <c r="AM6312" s="2">
        <v>2471.6778612437001</v>
      </c>
      <c r="AN6312" s="2">
        <v>2270.4649877901702</v>
      </c>
      <c r="AO6312" s="2">
        <v>2252.3694507933501</v>
      </c>
      <c r="AP6312" s="2">
        <v>2684.2907406131199</v>
      </c>
    </row>
    <row r="6313" spans="1:42" ht="14.5" x14ac:dyDescent="0.35">
      <c r="A6313" s="2" t="s">
        <v>41845</v>
      </c>
      <c r="B6313" s="2">
        <v>259.10849364131298</v>
      </c>
      <c r="C6313" s="2">
        <v>4.5612000000000004</v>
      </c>
      <c r="D6313" s="2" t="s">
        <v>70</v>
      </c>
      <c r="E6313" s="2" t="s">
        <v>41846</v>
      </c>
      <c r="F6313" s="2">
        <v>202788</v>
      </c>
      <c r="G6313" s="3" t="str">
        <f>HYPERLINK("http://funmeta.oebiotech.com/network/202788", "http://funmeta.oebiotech.com/network/202788")</f>
        <v>http://funmeta.oebiotech.com/network/202788</v>
      </c>
      <c r="H6313" s="2" t="s">
        <v>41847</v>
      </c>
      <c r="I6313" s="2">
        <v>2618</v>
      </c>
      <c r="J6313" s="2"/>
      <c r="K6313" s="2"/>
      <c r="L6313" s="2"/>
      <c r="M6313" s="2"/>
      <c r="N6313" s="2"/>
      <c r="O6313" s="2">
        <v>179850</v>
      </c>
      <c r="P6313" s="2" t="s">
        <v>41848</v>
      </c>
      <c r="Q6313" s="2" t="s">
        <v>41849</v>
      </c>
      <c r="R6313" s="2" t="s">
        <v>41850</v>
      </c>
      <c r="S6313" s="2" t="s">
        <v>491</v>
      </c>
      <c r="T6313" s="2" t="s">
        <v>1516</v>
      </c>
      <c r="U6313" s="2" t="s">
        <v>5958</v>
      </c>
      <c r="V6313" s="2" t="s">
        <v>59</v>
      </c>
      <c r="W6313" s="2">
        <v>38.6</v>
      </c>
      <c r="X6313" s="2">
        <v>0</v>
      </c>
      <c r="Y6313" s="2" t="s">
        <v>408</v>
      </c>
      <c r="Z6313" s="2" t="s">
        <v>41851</v>
      </c>
      <c r="AA6313" s="2">
        <v>-1.50532858918955</v>
      </c>
      <c r="AB6313" s="2">
        <v>3.6259640020862197E-2</v>
      </c>
      <c r="AC6313" s="2">
        <v>2032.906622383</v>
      </c>
      <c r="AD6313" s="2">
        <v>2280.8449096537502</v>
      </c>
      <c r="AE6313" s="2">
        <v>2947.1523684787098</v>
      </c>
      <c r="AF6313" s="2">
        <v>1611.8183964847699</v>
      </c>
      <c r="AG6313" s="2">
        <v>1820.7433563744701</v>
      </c>
      <c r="AH6313" s="2">
        <v>1928.47315078152</v>
      </c>
      <c r="AI6313" s="2">
        <v>2079.0251293383399</v>
      </c>
      <c r="AJ6313" s="2">
        <v>1810.22733284021</v>
      </c>
      <c r="AK6313" s="2">
        <v>2686.06296622834</v>
      </c>
      <c r="AL6313" s="2">
        <v>2258.0231216225302</v>
      </c>
      <c r="AM6313" s="2">
        <v>2180.1987322556101</v>
      </c>
      <c r="AN6313" s="2">
        <v>2238.1093144112501</v>
      </c>
      <c r="AO6313" s="2">
        <v>2108.1659785443298</v>
      </c>
      <c r="AP6313" s="2">
        <v>2214.5093448604198</v>
      </c>
    </row>
    <row r="6314" spans="1:42" ht="14.5" x14ac:dyDescent="0.35">
      <c r="A6314" s="2" t="s">
        <v>41852</v>
      </c>
      <c r="B6314" s="2">
        <v>311.25762174877002</v>
      </c>
      <c r="C6314" s="2">
        <v>10.509316666666701</v>
      </c>
      <c r="D6314" s="2" t="s">
        <v>34</v>
      </c>
      <c r="E6314" s="2" t="s">
        <v>41853</v>
      </c>
      <c r="F6314" s="2">
        <v>1988</v>
      </c>
      <c r="G6314" s="3" t="str">
        <f>HYPERLINK("http://funmeta.oebiotech.com/network/1988", "http://funmeta.oebiotech.com/network/1988")</f>
        <v>http://funmeta.oebiotech.com/network/1988</v>
      </c>
      <c r="H6314" s="2"/>
      <c r="I6314" s="2"/>
      <c r="J6314" s="2" t="s">
        <v>41854</v>
      </c>
      <c r="K6314" s="2"/>
      <c r="L6314" s="2"/>
      <c r="M6314" s="2"/>
      <c r="N6314" s="2"/>
      <c r="O6314" s="2">
        <v>90474977</v>
      </c>
      <c r="P6314" s="2"/>
      <c r="Q6314" s="2" t="s">
        <v>41855</v>
      </c>
      <c r="R6314" s="2" t="s">
        <v>41856</v>
      </c>
      <c r="S6314" s="2" t="s">
        <v>50</v>
      </c>
      <c r="T6314" s="2" t="s">
        <v>229</v>
      </c>
      <c r="U6314" s="2" t="s">
        <v>1360</v>
      </c>
      <c r="V6314" s="2" t="s">
        <v>59</v>
      </c>
      <c r="W6314" s="2">
        <v>45.4</v>
      </c>
      <c r="X6314" s="2">
        <v>34.700000000000003</v>
      </c>
      <c r="Y6314" s="2" t="s">
        <v>394</v>
      </c>
      <c r="Z6314" s="2" t="s">
        <v>34042</v>
      </c>
      <c r="AA6314" s="2">
        <v>-1.4492542718621699</v>
      </c>
      <c r="AB6314" s="2">
        <v>3.6232544444384701E-2</v>
      </c>
      <c r="AC6314" s="2">
        <v>2259.8620977707201</v>
      </c>
      <c r="AD6314" s="2">
        <v>2051.2297019923699</v>
      </c>
      <c r="AE6314" s="2">
        <v>2132.6645372408102</v>
      </c>
      <c r="AF6314" s="2">
        <v>2171.51378218537</v>
      </c>
      <c r="AG6314" s="2">
        <v>2506.7516042525299</v>
      </c>
      <c r="AH6314" s="2">
        <v>2308.26490959686</v>
      </c>
      <c r="AI6314" s="2">
        <v>1741.8025490303401</v>
      </c>
      <c r="AJ6314" s="2">
        <v>2698.1752043183901</v>
      </c>
      <c r="AK6314" s="2">
        <v>2243.0338069322702</v>
      </c>
      <c r="AL6314" s="2">
        <v>2113.4177338589302</v>
      </c>
      <c r="AM6314" s="2">
        <v>1883.4370139402799</v>
      </c>
      <c r="AN6314" s="2">
        <v>2148.9160826832699</v>
      </c>
      <c r="AO6314" s="2">
        <v>2107.6043922470199</v>
      </c>
      <c r="AP6314" s="2">
        <v>1810.9691822924599</v>
      </c>
    </row>
    <row r="6315" spans="1:42" ht="14.5" x14ac:dyDescent="0.35">
      <c r="A6315" s="2" t="s">
        <v>41857</v>
      </c>
      <c r="B6315" s="2">
        <v>463.19560741352001</v>
      </c>
      <c r="C6315" s="2">
        <v>4.5315500000000002</v>
      </c>
      <c r="D6315" s="2" t="s">
        <v>34</v>
      </c>
      <c r="E6315" s="2" t="s">
        <v>41858</v>
      </c>
      <c r="F6315" s="2">
        <v>61592</v>
      </c>
      <c r="G6315" s="3" t="str">
        <f>HYPERLINK("http://funmeta.oebiotech.com/network/61592", "http://funmeta.oebiotech.com/network/61592")</f>
        <v>http://funmeta.oebiotech.com/network/61592</v>
      </c>
      <c r="H6315" s="2" t="s">
        <v>41859</v>
      </c>
      <c r="I6315" s="2"/>
      <c r="J6315" s="2"/>
      <c r="K6315" s="2"/>
      <c r="L6315" s="2"/>
      <c r="M6315" s="2"/>
      <c r="N6315" s="2"/>
      <c r="O6315" s="2">
        <v>131752313</v>
      </c>
      <c r="P6315" s="2" t="s">
        <v>41860</v>
      </c>
      <c r="Q6315" s="2" t="s">
        <v>41861</v>
      </c>
      <c r="R6315" s="2" t="s">
        <v>41862</v>
      </c>
      <c r="S6315" s="2" t="s">
        <v>491</v>
      </c>
      <c r="T6315" s="2" t="s">
        <v>1341</v>
      </c>
      <c r="U6315" s="2" t="s">
        <v>41</v>
      </c>
      <c r="V6315" s="2" t="s">
        <v>59</v>
      </c>
      <c r="W6315" s="2">
        <v>47.7</v>
      </c>
      <c r="X6315" s="2">
        <v>44</v>
      </c>
      <c r="Y6315" s="2" t="s">
        <v>266</v>
      </c>
      <c r="Z6315" s="2" t="s">
        <v>18470</v>
      </c>
      <c r="AA6315" s="2">
        <v>-1.40971906523527</v>
      </c>
      <c r="AB6315" s="2">
        <v>3.6144933372531898E-2</v>
      </c>
      <c r="AC6315" s="2">
        <v>194267.01420612901</v>
      </c>
      <c r="AD6315" s="2">
        <v>195838.05634465499</v>
      </c>
      <c r="AE6315" s="2">
        <v>195418.315562576</v>
      </c>
      <c r="AF6315" s="2">
        <v>200513.62051520299</v>
      </c>
      <c r="AG6315" s="2">
        <v>191634.19946364299</v>
      </c>
      <c r="AH6315" s="2">
        <v>183223.31424031901</v>
      </c>
      <c r="AI6315" s="2">
        <v>188492.587226198</v>
      </c>
      <c r="AJ6315" s="2">
        <v>206320.04822883601</v>
      </c>
      <c r="AK6315" s="2">
        <v>204476.90977113199</v>
      </c>
      <c r="AL6315" s="2">
        <v>220223.284885648</v>
      </c>
      <c r="AM6315" s="2">
        <v>201018.39247343101</v>
      </c>
      <c r="AN6315" s="2">
        <v>189998.50341832501</v>
      </c>
      <c r="AO6315" s="2">
        <v>170505.415204091</v>
      </c>
      <c r="AP6315" s="2">
        <v>188805.832315301</v>
      </c>
    </row>
    <row r="6316" spans="1:42" ht="14.5" x14ac:dyDescent="0.35">
      <c r="A6316" s="2" t="s">
        <v>41863</v>
      </c>
      <c r="B6316" s="2">
        <v>335.11235724619098</v>
      </c>
      <c r="C6316" s="2">
        <v>4.7359166666666699</v>
      </c>
      <c r="D6316" s="2" t="s">
        <v>34</v>
      </c>
      <c r="E6316" s="2" t="s">
        <v>41864</v>
      </c>
      <c r="F6316" s="2">
        <v>276026</v>
      </c>
      <c r="G6316" s="3" t="str">
        <f>HYPERLINK("http://funmeta.oebiotech.com/network/276026", "http://funmeta.oebiotech.com/network/276026")</f>
        <v>http://funmeta.oebiotech.com/network/276026</v>
      </c>
      <c r="H6316" s="2"/>
      <c r="I6316" s="2">
        <v>67462</v>
      </c>
      <c r="J6316" s="2"/>
      <c r="K6316" s="2"/>
      <c r="L6316" s="2" t="s">
        <v>41865</v>
      </c>
      <c r="M6316" s="2"/>
      <c r="N6316" s="2"/>
      <c r="O6316" s="2">
        <v>10211</v>
      </c>
      <c r="P6316" s="2" t="s">
        <v>41866</v>
      </c>
      <c r="Q6316" s="2" t="s">
        <v>41867</v>
      </c>
      <c r="R6316" s="2" t="s">
        <v>41868</v>
      </c>
      <c r="S6316" s="2" t="s">
        <v>115</v>
      </c>
      <c r="T6316" s="2" t="s">
        <v>758</v>
      </c>
      <c r="U6316" s="2" t="s">
        <v>1477</v>
      </c>
      <c r="V6316" s="2" t="s">
        <v>59</v>
      </c>
      <c r="W6316" s="2">
        <v>38.4</v>
      </c>
      <c r="X6316" s="2">
        <v>0</v>
      </c>
      <c r="Y6316" s="2" t="s">
        <v>394</v>
      </c>
      <c r="Z6316" s="2" t="s">
        <v>41869</v>
      </c>
      <c r="AA6316" s="2">
        <v>-0.51510710428913198</v>
      </c>
      <c r="AB6316" s="2">
        <v>3.61104908395639E-2</v>
      </c>
      <c r="AC6316" s="2">
        <v>2111.9668684438402</v>
      </c>
      <c r="AD6316" s="2">
        <v>2373.1445020654601</v>
      </c>
      <c r="AE6316" s="2">
        <v>2293.24243417962</v>
      </c>
      <c r="AF6316" s="2">
        <v>1932.8185996470199</v>
      </c>
      <c r="AG6316" s="2">
        <v>2475.3659832347298</v>
      </c>
      <c r="AH6316" s="2">
        <v>1981.6353636174799</v>
      </c>
      <c r="AI6316" s="2">
        <v>1844.3678308272699</v>
      </c>
      <c r="AJ6316" s="2">
        <v>2144.3709991569099</v>
      </c>
      <c r="AK6316" s="2">
        <v>1717.99758642393</v>
      </c>
      <c r="AL6316" s="2">
        <v>2982.557994972</v>
      </c>
      <c r="AM6316" s="2">
        <v>2310.9471211057198</v>
      </c>
      <c r="AN6316" s="2">
        <v>2668.2205355161</v>
      </c>
      <c r="AO6316" s="2">
        <v>2754.3000516646398</v>
      </c>
      <c r="AP6316" s="2">
        <v>1804.84372271038</v>
      </c>
    </row>
    <row r="6317" spans="1:42" ht="14.5" x14ac:dyDescent="0.35">
      <c r="A6317" s="2" t="s">
        <v>41870</v>
      </c>
      <c r="B6317" s="2">
        <v>491.185089601426</v>
      </c>
      <c r="C6317" s="2">
        <v>7.4513499999999997</v>
      </c>
      <c r="D6317" s="2" t="s">
        <v>70</v>
      </c>
      <c r="E6317" s="2" t="s">
        <v>41871</v>
      </c>
      <c r="F6317" s="2">
        <v>53765</v>
      </c>
      <c r="G6317" s="3" t="str">
        <f>HYPERLINK("http://funmeta.oebiotech.com/network/53765", "http://funmeta.oebiotech.com/network/53765")</f>
        <v>http://funmeta.oebiotech.com/network/53765</v>
      </c>
      <c r="H6317" s="2" t="s">
        <v>41872</v>
      </c>
      <c r="I6317" s="2">
        <v>23837</v>
      </c>
      <c r="J6317" s="2"/>
      <c r="K6317" s="2">
        <v>73406</v>
      </c>
      <c r="L6317" s="2"/>
      <c r="M6317" s="2"/>
      <c r="N6317" s="2"/>
      <c r="O6317" s="2">
        <v>16122514</v>
      </c>
      <c r="P6317" s="2" t="s">
        <v>41873</v>
      </c>
      <c r="Q6317" s="2" t="s">
        <v>41874</v>
      </c>
      <c r="R6317" s="2" t="s">
        <v>41875</v>
      </c>
      <c r="S6317" s="2" t="s">
        <v>89</v>
      </c>
      <c r="T6317" s="2" t="s">
        <v>90</v>
      </c>
      <c r="U6317" s="2" t="s">
        <v>99</v>
      </c>
      <c r="V6317" s="2" t="s">
        <v>59</v>
      </c>
      <c r="W6317" s="2">
        <v>39.5</v>
      </c>
      <c r="X6317" s="2">
        <v>0</v>
      </c>
      <c r="Y6317" s="2" t="s">
        <v>560</v>
      </c>
      <c r="Z6317" s="2" t="s">
        <v>41876</v>
      </c>
      <c r="AA6317" s="2">
        <v>-0.96120564198148895</v>
      </c>
      <c r="AB6317" s="2">
        <v>3.6016260205429897E-2</v>
      </c>
      <c r="AC6317" s="2">
        <v>1167.6425767134499</v>
      </c>
      <c r="AD6317" s="2">
        <v>1002.65131317474</v>
      </c>
      <c r="AE6317" s="2">
        <v>1452.5401896405799</v>
      </c>
      <c r="AF6317" s="2">
        <v>1091.1944618111499</v>
      </c>
      <c r="AG6317" s="2">
        <v>1209.72978185028</v>
      </c>
      <c r="AH6317" s="2">
        <v>1086.82327998135</v>
      </c>
      <c r="AI6317" s="2">
        <v>923.44725296675995</v>
      </c>
      <c r="AJ6317" s="2">
        <v>1242.12049403061</v>
      </c>
      <c r="AK6317" s="2">
        <v>1225.5674619614099</v>
      </c>
      <c r="AL6317" s="2">
        <v>1063.89066701817</v>
      </c>
      <c r="AM6317" s="2">
        <v>848.50792988274702</v>
      </c>
      <c r="AN6317" s="2">
        <v>949.46340235583295</v>
      </c>
      <c r="AO6317" s="2">
        <v>971.97572258212494</v>
      </c>
      <c r="AP6317" s="2">
        <v>956.50269524813405</v>
      </c>
    </row>
    <row r="6318" spans="1:42" ht="14.5" x14ac:dyDescent="0.35">
      <c r="A6318" s="2" t="s">
        <v>41877</v>
      </c>
      <c r="B6318" s="2">
        <v>281.07684226956502</v>
      </c>
      <c r="C6318" s="2">
        <v>2.5831166666666698</v>
      </c>
      <c r="D6318" s="2" t="s">
        <v>34</v>
      </c>
      <c r="E6318" s="2" t="s">
        <v>41878</v>
      </c>
      <c r="F6318" s="2">
        <v>62002</v>
      </c>
      <c r="G6318" s="3" t="str">
        <f>HYPERLINK("http://funmeta.oebiotech.com/network/62002", "http://funmeta.oebiotech.com/network/62002")</f>
        <v>http://funmeta.oebiotech.com/network/62002</v>
      </c>
      <c r="H6318" s="2" t="s">
        <v>41879</v>
      </c>
      <c r="I6318" s="2">
        <v>93296</v>
      </c>
      <c r="J6318" s="2"/>
      <c r="K6318" s="2"/>
      <c r="L6318" s="2"/>
      <c r="M6318" s="2"/>
      <c r="N6318" s="2"/>
      <c r="O6318" s="2">
        <v>101618767</v>
      </c>
      <c r="P6318" s="2" t="s">
        <v>41880</v>
      </c>
      <c r="Q6318" s="2" t="s">
        <v>41881</v>
      </c>
      <c r="R6318" s="2" t="s">
        <v>41882</v>
      </c>
      <c r="S6318" s="2" t="s">
        <v>491</v>
      </c>
      <c r="T6318" s="2" t="s">
        <v>2184</v>
      </c>
      <c r="U6318" s="2" t="s">
        <v>3838</v>
      </c>
      <c r="V6318" s="2" t="s">
        <v>59</v>
      </c>
      <c r="W6318" s="2">
        <v>37.799999999999997</v>
      </c>
      <c r="X6318" s="2">
        <v>0</v>
      </c>
      <c r="Y6318" s="2" t="s">
        <v>394</v>
      </c>
      <c r="Z6318" s="2" t="s">
        <v>41883</v>
      </c>
      <c r="AA6318" s="2">
        <v>-2.9967633141096099</v>
      </c>
      <c r="AB6318" s="2">
        <v>3.59902422314963E-2</v>
      </c>
      <c r="AC6318" s="2">
        <v>8183.1120132571205</v>
      </c>
      <c r="AD6318" s="2">
        <v>8465.13360692899</v>
      </c>
      <c r="AE6318" s="2">
        <v>8372.1743003252504</v>
      </c>
      <c r="AF6318" s="2">
        <v>8107.1198461766999</v>
      </c>
      <c r="AG6318" s="2">
        <v>8166.16569016009</v>
      </c>
      <c r="AH6318" s="2">
        <v>8427.6247254322207</v>
      </c>
      <c r="AI6318" s="2">
        <v>7844.0967155478902</v>
      </c>
      <c r="AJ6318" s="2">
        <v>8181.4908019005497</v>
      </c>
      <c r="AK6318" s="2">
        <v>8511.8721475641996</v>
      </c>
      <c r="AL6318" s="2">
        <v>8535.2888013203992</v>
      </c>
      <c r="AM6318" s="2">
        <v>8840.2389328384706</v>
      </c>
      <c r="AN6318" s="2">
        <v>8195.7226917363205</v>
      </c>
      <c r="AO6318" s="2">
        <v>7405.0446024197599</v>
      </c>
      <c r="AP6318" s="2">
        <v>9302.6344656948004</v>
      </c>
    </row>
    <row r="6319" spans="1:42" ht="14.5" x14ac:dyDescent="0.35">
      <c r="A6319" s="2" t="s">
        <v>41884</v>
      </c>
      <c r="B6319" s="2">
        <v>385.16404685308402</v>
      </c>
      <c r="C6319" s="2">
        <v>8.6905333333333292</v>
      </c>
      <c r="D6319" s="2" t="s">
        <v>34</v>
      </c>
      <c r="E6319" s="2" t="s">
        <v>41885</v>
      </c>
      <c r="F6319" s="2">
        <v>59298</v>
      </c>
      <c r="G6319" s="3" t="str">
        <f>HYPERLINK("http://funmeta.oebiotech.com/network/59298", "http://funmeta.oebiotech.com/network/59298")</f>
        <v>http://funmeta.oebiotech.com/network/59298</v>
      </c>
      <c r="H6319" s="2" t="s">
        <v>41886</v>
      </c>
      <c r="I6319" s="2"/>
      <c r="J6319" s="2"/>
      <c r="K6319" s="2"/>
      <c r="L6319" s="2"/>
      <c r="M6319" s="2"/>
      <c r="N6319" s="2"/>
      <c r="O6319" s="2">
        <v>131751746</v>
      </c>
      <c r="P6319" s="2"/>
      <c r="Q6319" s="2" t="s">
        <v>41887</v>
      </c>
      <c r="R6319" s="2" t="s">
        <v>41888</v>
      </c>
      <c r="S6319" s="2" t="s">
        <v>115</v>
      </c>
      <c r="T6319" s="2" t="s">
        <v>139</v>
      </c>
      <c r="U6319" s="2" t="s">
        <v>1437</v>
      </c>
      <c r="V6319" s="2" t="s">
        <v>59</v>
      </c>
      <c r="W6319" s="2">
        <v>46.4</v>
      </c>
      <c r="X6319" s="2">
        <v>41</v>
      </c>
      <c r="Y6319" s="2" t="s">
        <v>266</v>
      </c>
      <c r="Z6319" s="2" t="s">
        <v>41889</v>
      </c>
      <c r="AA6319" s="2">
        <v>-1.3485777091047799</v>
      </c>
      <c r="AB6319" s="2">
        <v>3.5856950346675E-2</v>
      </c>
      <c r="AC6319" s="2">
        <v>56360.962719422401</v>
      </c>
      <c r="AD6319" s="2">
        <v>55612.280404382</v>
      </c>
      <c r="AE6319" s="2">
        <v>54933.407996283597</v>
      </c>
      <c r="AF6319" s="2">
        <v>55627.776834089302</v>
      </c>
      <c r="AG6319" s="2">
        <v>52099.512868869599</v>
      </c>
      <c r="AH6319" s="2">
        <v>57836.326519144102</v>
      </c>
      <c r="AI6319" s="2">
        <v>60107.516267799801</v>
      </c>
      <c r="AJ6319" s="2">
        <v>57561.235830348203</v>
      </c>
      <c r="AK6319" s="2">
        <v>50185.974865051103</v>
      </c>
      <c r="AL6319" s="2">
        <v>54991.294063535301</v>
      </c>
      <c r="AM6319" s="2">
        <v>57301.545385283098</v>
      </c>
      <c r="AN6319" s="2">
        <v>58698.847156495503</v>
      </c>
      <c r="AO6319" s="2">
        <v>53100.016901290299</v>
      </c>
      <c r="AP6319" s="2">
        <v>59396.004054636702</v>
      </c>
    </row>
    <row r="6320" spans="1:42" ht="14.5" x14ac:dyDescent="0.35">
      <c r="A6320" s="2" t="s">
        <v>41890</v>
      </c>
      <c r="B6320" s="2">
        <v>175.075277576487</v>
      </c>
      <c r="C6320" s="2">
        <v>4.3791333333333302</v>
      </c>
      <c r="D6320" s="2" t="s">
        <v>34</v>
      </c>
      <c r="E6320" s="2" t="s">
        <v>41891</v>
      </c>
      <c r="F6320" s="2">
        <v>63471</v>
      </c>
      <c r="G6320" s="3" t="str">
        <f>HYPERLINK("http://funmeta.oebiotech.com/network/63471", "http://funmeta.oebiotech.com/network/63471")</f>
        <v>http://funmeta.oebiotech.com/network/63471</v>
      </c>
      <c r="H6320" s="2" t="s">
        <v>41892</v>
      </c>
      <c r="I6320" s="2">
        <v>94796</v>
      </c>
      <c r="J6320" s="2"/>
      <c r="K6320" s="2"/>
      <c r="L6320" s="2"/>
      <c r="M6320" s="2"/>
      <c r="N6320" s="2"/>
      <c r="O6320" s="2">
        <v>7170</v>
      </c>
      <c r="P6320" s="2" t="s">
        <v>41893</v>
      </c>
      <c r="Q6320" s="2" t="s">
        <v>41894</v>
      </c>
      <c r="R6320" s="2" t="s">
        <v>41895</v>
      </c>
      <c r="S6320" s="2" t="s">
        <v>79</v>
      </c>
      <c r="T6320" s="2" t="s">
        <v>80</v>
      </c>
      <c r="U6320" s="2" t="s">
        <v>2820</v>
      </c>
      <c r="V6320" s="2" t="s">
        <v>59</v>
      </c>
      <c r="W6320" s="2">
        <v>39.1</v>
      </c>
      <c r="X6320" s="2">
        <v>0</v>
      </c>
      <c r="Y6320" s="2" t="s">
        <v>266</v>
      </c>
      <c r="Z6320" s="2" t="s">
        <v>23362</v>
      </c>
      <c r="AA6320" s="2">
        <v>-0.40825482434247301</v>
      </c>
      <c r="AB6320" s="2">
        <v>3.5836795650672902E-2</v>
      </c>
      <c r="AC6320" s="2">
        <v>50880.167348785297</v>
      </c>
      <c r="AD6320" s="2">
        <v>51599.822767096601</v>
      </c>
      <c r="AE6320" s="2">
        <v>47720.379690104499</v>
      </c>
      <c r="AF6320" s="2">
        <v>53602.448258459997</v>
      </c>
      <c r="AG6320" s="2">
        <v>50592.326469959196</v>
      </c>
      <c r="AH6320" s="2">
        <v>46632.191760458903</v>
      </c>
      <c r="AI6320" s="2">
        <v>55484.302277991002</v>
      </c>
      <c r="AJ6320" s="2">
        <v>51249.355635738102</v>
      </c>
      <c r="AK6320" s="2">
        <v>53568.713644424897</v>
      </c>
      <c r="AL6320" s="2">
        <v>50865.560778304003</v>
      </c>
      <c r="AM6320" s="2">
        <v>50121.153682282304</v>
      </c>
      <c r="AN6320" s="2">
        <v>53234.523522070704</v>
      </c>
      <c r="AO6320" s="2">
        <v>45467.192388005999</v>
      </c>
      <c r="AP6320" s="2">
        <v>56341.792587491502</v>
      </c>
    </row>
    <row r="6321" spans="1:42" ht="14.5" x14ac:dyDescent="0.35">
      <c r="A6321" s="2" t="s">
        <v>41896</v>
      </c>
      <c r="B6321" s="2">
        <v>220.09665968076101</v>
      </c>
      <c r="C6321" s="2">
        <v>10.283666666666701</v>
      </c>
      <c r="D6321" s="2" t="s">
        <v>34</v>
      </c>
      <c r="E6321" s="2" t="s">
        <v>41897</v>
      </c>
      <c r="F6321" s="2">
        <v>203531</v>
      </c>
      <c r="G6321" s="3" t="str">
        <f>HYPERLINK("http://funmeta.oebiotech.com/network/203531", "http://funmeta.oebiotech.com/network/203531")</f>
        <v>http://funmeta.oebiotech.com/network/203531</v>
      </c>
      <c r="H6321" s="2" t="s">
        <v>41898</v>
      </c>
      <c r="I6321" s="2">
        <v>69562</v>
      </c>
      <c r="J6321" s="2"/>
      <c r="K6321" s="2">
        <v>47943</v>
      </c>
      <c r="L6321" s="2" t="s">
        <v>41899</v>
      </c>
      <c r="M6321" s="2"/>
      <c r="N6321" s="2"/>
      <c r="O6321" s="2">
        <v>2196</v>
      </c>
      <c r="P6321" s="2" t="s">
        <v>41900</v>
      </c>
      <c r="Q6321" s="2" t="s">
        <v>41901</v>
      </c>
      <c r="R6321" s="2" t="s">
        <v>41902</v>
      </c>
      <c r="S6321" s="2" t="s">
        <v>148</v>
      </c>
      <c r="T6321" s="2" t="s">
        <v>149</v>
      </c>
      <c r="U6321" s="2" t="s">
        <v>1593</v>
      </c>
      <c r="V6321" s="2" t="s">
        <v>59</v>
      </c>
      <c r="W6321" s="2">
        <v>38.5</v>
      </c>
      <c r="X6321" s="2">
        <v>0</v>
      </c>
      <c r="Y6321" s="2" t="s">
        <v>394</v>
      </c>
      <c r="Z6321" s="2" t="s">
        <v>12560</v>
      </c>
      <c r="AA6321" s="2">
        <v>-0.73043937371230705</v>
      </c>
      <c r="AB6321" s="2">
        <v>3.5830080298234299E-2</v>
      </c>
      <c r="AC6321" s="2">
        <v>849.94182188317802</v>
      </c>
      <c r="AD6321" s="2">
        <v>720.59150087621094</v>
      </c>
      <c r="AE6321" s="2">
        <v>786.00719705156803</v>
      </c>
      <c r="AF6321" s="2">
        <v>810.07799169678401</v>
      </c>
      <c r="AG6321" s="2">
        <v>793.67177635534495</v>
      </c>
      <c r="AH6321" s="2">
        <v>868.87440750230303</v>
      </c>
      <c r="AI6321" s="2">
        <v>902.43517408977004</v>
      </c>
      <c r="AJ6321" s="2">
        <v>938.58438460329796</v>
      </c>
      <c r="AK6321" s="2">
        <v>645.56585174609097</v>
      </c>
      <c r="AL6321" s="2">
        <v>668.14166510526002</v>
      </c>
      <c r="AM6321" s="2">
        <v>857.88601089854001</v>
      </c>
      <c r="AN6321" s="2">
        <v>671.67326425987198</v>
      </c>
      <c r="AO6321" s="2">
        <v>652.51319537312497</v>
      </c>
      <c r="AP6321" s="2">
        <v>827.76901787437998</v>
      </c>
    </row>
    <row r="6322" spans="1:42" ht="14.5" x14ac:dyDescent="0.35">
      <c r="A6322" s="2" t="s">
        <v>41903</v>
      </c>
      <c r="B6322" s="2">
        <v>583.16212216577901</v>
      </c>
      <c r="C6322" s="2">
        <v>4.0071500000000002</v>
      </c>
      <c r="D6322" s="2" t="s">
        <v>70</v>
      </c>
      <c r="E6322" s="2" t="s">
        <v>41904</v>
      </c>
      <c r="F6322" s="2">
        <v>206905</v>
      </c>
      <c r="G6322" s="3" t="str">
        <f>HYPERLINK("http://funmeta.oebiotech.com/network/206905", "http://funmeta.oebiotech.com/network/206905")</f>
        <v>http://funmeta.oebiotech.com/network/206905</v>
      </c>
      <c r="H6322" s="2" t="s">
        <v>41905</v>
      </c>
      <c r="I6322" s="2"/>
      <c r="J6322" s="2"/>
      <c r="K6322" s="2"/>
      <c r="L6322" s="2"/>
      <c r="M6322" s="2"/>
      <c r="N6322" s="2"/>
      <c r="O6322" s="2">
        <v>20734893</v>
      </c>
      <c r="P6322" s="2"/>
      <c r="Q6322" s="2" t="s">
        <v>41906</v>
      </c>
      <c r="R6322" s="2" t="s">
        <v>41907</v>
      </c>
      <c r="S6322" s="2" t="s">
        <v>41</v>
      </c>
      <c r="T6322" s="2" t="s">
        <v>41</v>
      </c>
      <c r="U6322" s="2" t="s">
        <v>41</v>
      </c>
      <c r="V6322" s="2" t="s">
        <v>59</v>
      </c>
      <c r="W6322" s="2">
        <v>36.6</v>
      </c>
      <c r="X6322" s="2">
        <v>0.39300000000000002</v>
      </c>
      <c r="Y6322" s="2" t="s">
        <v>408</v>
      </c>
      <c r="Z6322" s="2" t="s">
        <v>41908</v>
      </c>
      <c r="AA6322" s="2">
        <v>0.41806682836924602</v>
      </c>
      <c r="AB6322" s="2">
        <v>3.57652433998377E-2</v>
      </c>
      <c r="AC6322" s="2">
        <v>38348.843178449097</v>
      </c>
      <c r="AD6322" s="2">
        <v>39047.981297462597</v>
      </c>
      <c r="AE6322" s="2">
        <v>36656.945975819399</v>
      </c>
      <c r="AF6322" s="2">
        <v>40591.860835907399</v>
      </c>
      <c r="AG6322" s="2">
        <v>34361.624234837102</v>
      </c>
      <c r="AH6322" s="2">
        <v>37834.499099563203</v>
      </c>
      <c r="AI6322" s="2">
        <v>41146.037044504897</v>
      </c>
      <c r="AJ6322" s="2">
        <v>39502.091880062297</v>
      </c>
      <c r="AK6322" s="2">
        <v>39145.471122500203</v>
      </c>
      <c r="AL6322" s="2">
        <v>37689.1701531695</v>
      </c>
      <c r="AM6322" s="2">
        <v>37233.046993374199</v>
      </c>
      <c r="AN6322" s="2">
        <v>34960.908069942001</v>
      </c>
      <c r="AO6322" s="2">
        <v>39042.607162107102</v>
      </c>
      <c r="AP6322" s="2">
        <v>46216.684283682698</v>
      </c>
    </row>
    <row r="6323" spans="1:42" ht="14.5" x14ac:dyDescent="0.35">
      <c r="A6323" s="2" t="s">
        <v>41909</v>
      </c>
      <c r="B6323" s="2">
        <v>541.240832072854</v>
      </c>
      <c r="C6323" s="2">
        <v>9.9973333333333301</v>
      </c>
      <c r="D6323" s="2" t="s">
        <v>34</v>
      </c>
      <c r="E6323" s="2" t="s">
        <v>41910</v>
      </c>
      <c r="F6323" s="2">
        <v>210544</v>
      </c>
      <c r="G6323" s="3" t="str">
        <f>HYPERLINK("http://funmeta.oebiotech.com/network/210544", "http://funmeta.oebiotech.com/network/210544")</f>
        <v>http://funmeta.oebiotech.com/network/210544</v>
      </c>
      <c r="H6323" s="2" t="s">
        <v>41911</v>
      </c>
      <c r="I6323" s="2"/>
      <c r="J6323" s="2"/>
      <c r="K6323" s="2"/>
      <c r="L6323" s="2"/>
      <c r="M6323" s="2"/>
      <c r="N6323" s="2"/>
      <c r="O6323" s="2">
        <v>11364450</v>
      </c>
      <c r="P6323" s="2"/>
      <c r="Q6323" s="2" t="s">
        <v>41912</v>
      </c>
      <c r="R6323" s="2" t="s">
        <v>41913</v>
      </c>
      <c r="S6323" s="2" t="s">
        <v>89</v>
      </c>
      <c r="T6323" s="2" t="s">
        <v>90</v>
      </c>
      <c r="U6323" s="2" t="s">
        <v>99</v>
      </c>
      <c r="V6323" s="2" t="s">
        <v>59</v>
      </c>
      <c r="W6323" s="2">
        <v>38.4</v>
      </c>
      <c r="X6323" s="2">
        <v>0</v>
      </c>
      <c r="Y6323" s="2" t="s">
        <v>43</v>
      </c>
      <c r="Z6323" s="2" t="s">
        <v>41914</v>
      </c>
      <c r="AA6323" s="2">
        <v>0.58915894047838102</v>
      </c>
      <c r="AB6323" s="2">
        <v>3.5554376178960102E-2</v>
      </c>
      <c r="AC6323" s="2">
        <v>4269.3962955003599</v>
      </c>
      <c r="AD6323" s="2">
        <v>4532.0757399436898</v>
      </c>
      <c r="AE6323" s="2">
        <v>4192.7613261956303</v>
      </c>
      <c r="AF6323" s="2">
        <v>3793.7849024724501</v>
      </c>
      <c r="AG6323" s="2">
        <v>4246.3450627902102</v>
      </c>
      <c r="AH6323" s="2">
        <v>4751.3936840752804</v>
      </c>
      <c r="AI6323" s="2">
        <v>4106.4420764224997</v>
      </c>
      <c r="AJ6323" s="2">
        <v>4525.6507210460704</v>
      </c>
      <c r="AK6323" s="2">
        <v>4393.59839272924</v>
      </c>
      <c r="AL6323" s="2">
        <v>4319.2926049772695</v>
      </c>
      <c r="AM6323" s="2">
        <v>4705.4266677245496</v>
      </c>
      <c r="AN6323" s="2">
        <v>3705.2638405868202</v>
      </c>
      <c r="AO6323" s="2">
        <v>5019.5679927106303</v>
      </c>
      <c r="AP6323" s="2">
        <v>5049.30494093365</v>
      </c>
    </row>
    <row r="6324" spans="1:42" ht="14.5" x14ac:dyDescent="0.35">
      <c r="A6324" s="2" t="s">
        <v>41915</v>
      </c>
      <c r="B6324" s="2">
        <v>588.23204725552898</v>
      </c>
      <c r="C6324" s="2">
        <v>6.26755</v>
      </c>
      <c r="D6324" s="2" t="s">
        <v>34</v>
      </c>
      <c r="E6324" s="2" t="s">
        <v>41916</v>
      </c>
      <c r="F6324" s="2">
        <v>47593</v>
      </c>
      <c r="G6324" s="3" t="str">
        <f>HYPERLINK("http://funmeta.oebiotech.com/network/47593", "http://funmeta.oebiotech.com/network/47593")</f>
        <v>http://funmeta.oebiotech.com/network/47593</v>
      </c>
      <c r="H6324" s="2" t="s">
        <v>41917</v>
      </c>
      <c r="I6324" s="2">
        <v>6251</v>
      </c>
      <c r="J6324" s="2"/>
      <c r="K6324" s="2"/>
      <c r="L6324" s="2" t="s">
        <v>41918</v>
      </c>
      <c r="M6324" s="2"/>
      <c r="N6324" s="2"/>
      <c r="O6324" s="2">
        <v>11953837</v>
      </c>
      <c r="P6324" s="2"/>
      <c r="Q6324" s="2" t="s">
        <v>41919</v>
      </c>
      <c r="R6324" s="2" t="s">
        <v>41920</v>
      </c>
      <c r="S6324" s="2" t="s">
        <v>79</v>
      </c>
      <c r="T6324" s="2" t="s">
        <v>80</v>
      </c>
      <c r="U6324" s="2" t="s">
        <v>81</v>
      </c>
      <c r="V6324" s="2" t="s">
        <v>59</v>
      </c>
      <c r="W6324" s="2">
        <v>37</v>
      </c>
      <c r="X6324" s="2">
        <v>0</v>
      </c>
      <c r="Y6324" s="2" t="s">
        <v>394</v>
      </c>
      <c r="Z6324" s="2" t="s">
        <v>41921</v>
      </c>
      <c r="AA6324" s="2">
        <v>-2.1767682194015898</v>
      </c>
      <c r="AB6324" s="2">
        <v>3.5520923670522501E-2</v>
      </c>
      <c r="AC6324" s="2">
        <v>5796.4472477678601</v>
      </c>
      <c r="AD6324" s="2">
        <v>5222.39895157923</v>
      </c>
      <c r="AE6324" s="2">
        <v>7302.4335163278802</v>
      </c>
      <c r="AF6324" s="2">
        <v>7391.2363458835598</v>
      </c>
      <c r="AG6324" s="2">
        <v>4661.1064160046899</v>
      </c>
      <c r="AH6324" s="2">
        <v>7428.1238086782996</v>
      </c>
      <c r="AI6324" s="2">
        <v>6646.6204733998702</v>
      </c>
      <c r="AJ6324" s="2">
        <v>1349.16292631288</v>
      </c>
      <c r="AK6324" s="2">
        <v>2179.8600669935299</v>
      </c>
      <c r="AL6324" s="2">
        <v>6687.8327005894998</v>
      </c>
      <c r="AM6324" s="2">
        <v>5549.6628337564898</v>
      </c>
      <c r="AN6324" s="2">
        <v>4521.7372416546104</v>
      </c>
      <c r="AO6324" s="2">
        <v>4913.5411546959904</v>
      </c>
      <c r="AP6324" s="2">
        <v>7481.7597117852301</v>
      </c>
    </row>
    <row r="6325" spans="1:42" ht="14.5" x14ac:dyDescent="0.35">
      <c r="A6325" s="2" t="s">
        <v>41922</v>
      </c>
      <c r="B6325" s="2">
        <v>363.09059040436898</v>
      </c>
      <c r="C6325" s="2">
        <v>0.81993333333333296</v>
      </c>
      <c r="D6325" s="2" t="s">
        <v>70</v>
      </c>
      <c r="E6325" s="2" t="s">
        <v>41923</v>
      </c>
      <c r="F6325" s="2">
        <v>208415</v>
      </c>
      <c r="G6325" s="3" t="str">
        <f>HYPERLINK("http://funmeta.oebiotech.com/network/208415", "http://funmeta.oebiotech.com/network/208415")</f>
        <v>http://funmeta.oebiotech.com/network/208415</v>
      </c>
      <c r="H6325" s="2" t="s">
        <v>41924</v>
      </c>
      <c r="I6325" s="2"/>
      <c r="J6325" s="2"/>
      <c r="K6325" s="2"/>
      <c r="L6325" s="2"/>
      <c r="M6325" s="2"/>
      <c r="N6325" s="2"/>
      <c r="O6325" s="2">
        <v>20107</v>
      </c>
      <c r="P6325" s="2"/>
      <c r="Q6325" s="2" t="s">
        <v>41925</v>
      </c>
      <c r="R6325" s="2" t="s">
        <v>41926</v>
      </c>
      <c r="S6325" s="2" t="s">
        <v>41</v>
      </c>
      <c r="T6325" s="2" t="s">
        <v>41</v>
      </c>
      <c r="U6325" s="2" t="s">
        <v>41</v>
      </c>
      <c r="V6325" s="2" t="s">
        <v>59</v>
      </c>
      <c r="W6325" s="2">
        <v>38.1</v>
      </c>
      <c r="X6325" s="2">
        <v>6.88</v>
      </c>
      <c r="Y6325" s="2" t="s">
        <v>118</v>
      </c>
      <c r="Z6325" s="2" t="s">
        <v>41927</v>
      </c>
      <c r="AA6325" s="2">
        <v>1.2609279810677501</v>
      </c>
      <c r="AB6325" s="2">
        <v>3.5496835557887997E-2</v>
      </c>
      <c r="AC6325" s="2">
        <v>17964.7719632591</v>
      </c>
      <c r="AD6325" s="2">
        <v>18417.047210989</v>
      </c>
      <c r="AE6325" s="2">
        <v>17933.534500926398</v>
      </c>
      <c r="AF6325" s="2">
        <v>17454.509661252599</v>
      </c>
      <c r="AG6325" s="2">
        <v>18575.396634285102</v>
      </c>
      <c r="AH6325" s="2">
        <v>18310.993082164601</v>
      </c>
      <c r="AI6325" s="2">
        <v>18686.1861306149</v>
      </c>
      <c r="AJ6325" s="2">
        <v>16828.011770310801</v>
      </c>
      <c r="AK6325" s="2">
        <v>16314.789932823</v>
      </c>
      <c r="AL6325" s="2">
        <v>21254.996253294201</v>
      </c>
      <c r="AM6325" s="2">
        <v>17258.672196961099</v>
      </c>
      <c r="AN6325" s="2">
        <v>17895.652711038601</v>
      </c>
      <c r="AO6325" s="2">
        <v>18605.0677665771</v>
      </c>
      <c r="AP6325" s="2">
        <v>19173.104405239799</v>
      </c>
    </row>
    <row r="6326" spans="1:42" ht="14.5" x14ac:dyDescent="0.35">
      <c r="A6326" s="2" t="s">
        <v>41928</v>
      </c>
      <c r="B6326" s="2">
        <v>681.23719770288005</v>
      </c>
      <c r="C6326" s="2">
        <v>6.2733666666666696</v>
      </c>
      <c r="D6326" s="2" t="s">
        <v>70</v>
      </c>
      <c r="E6326" s="2" t="s">
        <v>41929</v>
      </c>
      <c r="F6326" s="2">
        <v>212014</v>
      </c>
      <c r="G6326" s="3" t="str">
        <f>HYPERLINK("http://funmeta.oebiotech.com/network/212014", "http://funmeta.oebiotech.com/network/212014")</f>
        <v>http://funmeta.oebiotech.com/network/212014</v>
      </c>
      <c r="H6326" s="2" t="s">
        <v>41930</v>
      </c>
      <c r="I6326" s="2"/>
      <c r="J6326" s="2"/>
      <c r="K6326" s="2"/>
      <c r="L6326" s="2"/>
      <c r="M6326" s="2"/>
      <c r="N6326" s="2"/>
      <c r="O6326" s="2">
        <v>353480</v>
      </c>
      <c r="P6326" s="2"/>
      <c r="Q6326" s="2" t="s">
        <v>41931</v>
      </c>
      <c r="R6326" s="2" t="s">
        <v>41932</v>
      </c>
      <c r="S6326" s="2" t="s">
        <v>115</v>
      </c>
      <c r="T6326" s="2" t="s">
        <v>1095</v>
      </c>
      <c r="U6326" s="2" t="s">
        <v>41</v>
      </c>
      <c r="V6326" s="2" t="s">
        <v>59</v>
      </c>
      <c r="W6326" s="2">
        <v>41.8</v>
      </c>
      <c r="X6326" s="2">
        <v>20.3</v>
      </c>
      <c r="Y6326" s="2" t="s">
        <v>408</v>
      </c>
      <c r="Z6326" s="2" t="s">
        <v>41933</v>
      </c>
      <c r="AA6326" s="2">
        <v>-4.4183260721390196</v>
      </c>
      <c r="AB6326" s="2">
        <v>3.5478800291295499E-2</v>
      </c>
      <c r="AC6326" s="2">
        <v>151575.415789939</v>
      </c>
      <c r="AD6326" s="2">
        <v>150520.539890769</v>
      </c>
      <c r="AE6326" s="2">
        <v>156700.420284572</v>
      </c>
      <c r="AF6326" s="2">
        <v>134329.08417093201</v>
      </c>
      <c r="AG6326" s="2">
        <v>158540.07448353799</v>
      </c>
      <c r="AH6326" s="2">
        <v>153549.60112552499</v>
      </c>
      <c r="AI6326" s="2">
        <v>144907.047736876</v>
      </c>
      <c r="AJ6326" s="2">
        <v>161426.26693819399</v>
      </c>
      <c r="AK6326" s="2">
        <v>146799.018345686</v>
      </c>
      <c r="AL6326" s="2">
        <v>159199.24805083699</v>
      </c>
      <c r="AM6326" s="2">
        <v>153981.18845148</v>
      </c>
      <c r="AN6326" s="2">
        <v>148266.84482061901</v>
      </c>
      <c r="AO6326" s="2">
        <v>145800.20866586099</v>
      </c>
      <c r="AP6326" s="2">
        <v>149076.73101012901</v>
      </c>
    </row>
    <row r="6327" spans="1:42" ht="14.5" x14ac:dyDescent="0.35">
      <c r="A6327" s="2" t="s">
        <v>41934</v>
      </c>
      <c r="B6327" s="2">
        <v>956.55067192320098</v>
      </c>
      <c r="C6327" s="2">
        <v>10.132666666666699</v>
      </c>
      <c r="D6327" s="2" t="s">
        <v>34</v>
      </c>
      <c r="E6327" s="2" t="s">
        <v>41935</v>
      </c>
      <c r="F6327" s="2">
        <v>229821</v>
      </c>
      <c r="G6327" s="3" t="str">
        <f>HYPERLINK("http://funmeta.oebiotech.com/network/229821", "http://funmeta.oebiotech.com/network/229821")</f>
        <v>http://funmeta.oebiotech.com/network/229821</v>
      </c>
      <c r="H6327" s="2" t="s">
        <v>41936</v>
      </c>
      <c r="I6327" s="2"/>
      <c r="J6327" s="2"/>
      <c r="K6327" s="2"/>
      <c r="L6327" s="2"/>
      <c r="M6327" s="2"/>
      <c r="N6327" s="2"/>
      <c r="O6327" s="2"/>
      <c r="P6327" s="2"/>
      <c r="Q6327" s="2" t="s">
        <v>41937</v>
      </c>
      <c r="R6327" s="2" t="s">
        <v>41938</v>
      </c>
      <c r="S6327" s="2" t="s">
        <v>41</v>
      </c>
      <c r="T6327" s="2" t="s">
        <v>41</v>
      </c>
      <c r="U6327" s="2" t="s">
        <v>41</v>
      </c>
      <c r="V6327" s="2" t="s">
        <v>59</v>
      </c>
      <c r="W6327" s="2">
        <v>38.700000000000003</v>
      </c>
      <c r="X6327" s="2">
        <v>0</v>
      </c>
      <c r="Y6327" s="2" t="s">
        <v>43</v>
      </c>
      <c r="Z6327" s="2" t="s">
        <v>41939</v>
      </c>
      <c r="AA6327" s="2">
        <v>1.26576073713661</v>
      </c>
      <c r="AB6327" s="2">
        <v>3.5473574949746699E-2</v>
      </c>
      <c r="AC6327" s="2">
        <v>4373.9936721001104</v>
      </c>
      <c r="AD6327" s="2">
        <v>4045.17505847553</v>
      </c>
      <c r="AE6327" s="2">
        <v>3933.3682862093501</v>
      </c>
      <c r="AF6327" s="2">
        <v>4450.7177157965298</v>
      </c>
      <c r="AG6327" s="2">
        <v>4043.5569441472599</v>
      </c>
      <c r="AH6327" s="2">
        <v>5127.4220394039203</v>
      </c>
      <c r="AI6327" s="2">
        <v>4109.5948114869698</v>
      </c>
      <c r="AJ6327" s="2">
        <v>4579.30223555664</v>
      </c>
      <c r="AK6327" s="2">
        <v>4281.7085778524897</v>
      </c>
      <c r="AL6327" s="2">
        <v>5227.6633229608797</v>
      </c>
      <c r="AM6327" s="2">
        <v>4929.1429368888503</v>
      </c>
      <c r="AN6327" s="2">
        <v>2992.5793846144102</v>
      </c>
      <c r="AO6327" s="2">
        <v>3421.5237189231998</v>
      </c>
      <c r="AP6327" s="2">
        <v>3418.4324096133701</v>
      </c>
    </row>
    <row r="6328" spans="1:42" ht="14.5" x14ac:dyDescent="0.35">
      <c r="A6328" s="2" t="s">
        <v>41940</v>
      </c>
      <c r="B6328" s="2">
        <v>527.13723992538598</v>
      </c>
      <c r="C6328" s="2">
        <v>3.51128333333333</v>
      </c>
      <c r="D6328" s="2" t="s">
        <v>34</v>
      </c>
      <c r="E6328" s="2" t="s">
        <v>41941</v>
      </c>
      <c r="F6328" s="2">
        <v>47807</v>
      </c>
      <c r="G6328" s="3" t="str">
        <f>HYPERLINK("http://funmeta.oebiotech.com/network/47807", "http://funmeta.oebiotech.com/network/47807")</f>
        <v>http://funmeta.oebiotech.com/network/47807</v>
      </c>
      <c r="H6328" s="2" t="s">
        <v>41942</v>
      </c>
      <c r="I6328" s="2">
        <v>58094</v>
      </c>
      <c r="J6328" s="2"/>
      <c r="K6328" s="2"/>
      <c r="L6328" s="2"/>
      <c r="M6328" s="2"/>
      <c r="N6328" s="2"/>
      <c r="O6328" s="2">
        <v>170484</v>
      </c>
      <c r="P6328" s="2" t="s">
        <v>41943</v>
      </c>
      <c r="Q6328" s="2" t="s">
        <v>41944</v>
      </c>
      <c r="R6328" s="2" t="s">
        <v>41945</v>
      </c>
      <c r="S6328" s="2" t="s">
        <v>79</v>
      </c>
      <c r="T6328" s="2" t="s">
        <v>80</v>
      </c>
      <c r="U6328" s="2" t="s">
        <v>81</v>
      </c>
      <c r="V6328" s="2" t="s">
        <v>59</v>
      </c>
      <c r="W6328" s="2">
        <v>44.4</v>
      </c>
      <c r="X6328" s="2">
        <v>25.1</v>
      </c>
      <c r="Y6328" s="2" t="s">
        <v>340</v>
      </c>
      <c r="Z6328" s="2" t="s">
        <v>463</v>
      </c>
      <c r="AA6328" s="2">
        <v>-7.8812563876336297E-2</v>
      </c>
      <c r="AB6328" s="2">
        <v>3.54533674681798E-2</v>
      </c>
      <c r="AC6328" s="2">
        <v>29631.076971709099</v>
      </c>
      <c r="AD6328" s="2">
        <v>30143.861874425202</v>
      </c>
      <c r="AE6328" s="2">
        <v>30564.812482196801</v>
      </c>
      <c r="AF6328" s="2">
        <v>30541.510270356801</v>
      </c>
      <c r="AG6328" s="2">
        <v>30370.099699209801</v>
      </c>
      <c r="AH6328" s="2">
        <v>26913.390405320399</v>
      </c>
      <c r="AI6328" s="2">
        <v>27995.4844023884</v>
      </c>
      <c r="AJ6328" s="2">
        <v>31401.164570782199</v>
      </c>
      <c r="AK6328" s="2">
        <v>31695.323344045599</v>
      </c>
      <c r="AL6328" s="2">
        <v>30911.245138223301</v>
      </c>
      <c r="AM6328" s="2">
        <v>30259.531530566099</v>
      </c>
      <c r="AN6328" s="2">
        <v>27778.775766060899</v>
      </c>
      <c r="AO6328" s="2">
        <v>29646.625989138101</v>
      </c>
      <c r="AP6328" s="2">
        <v>30571.669478517499</v>
      </c>
    </row>
    <row r="6329" spans="1:42" ht="14.5" x14ac:dyDescent="0.35">
      <c r="A6329" s="2" t="s">
        <v>41946</v>
      </c>
      <c r="B6329" s="2">
        <v>159.08044103533999</v>
      </c>
      <c r="C6329" s="2">
        <v>1.5714333333333299</v>
      </c>
      <c r="D6329" s="2" t="s">
        <v>34</v>
      </c>
      <c r="E6329" s="2" t="s">
        <v>41947</v>
      </c>
      <c r="F6329" s="2">
        <v>82234</v>
      </c>
      <c r="G6329" s="3" t="str">
        <f>HYPERLINK("http://funmeta.oebiotech.com/network/82234", "http://funmeta.oebiotech.com/network/82234")</f>
        <v>http://funmeta.oebiotech.com/network/82234</v>
      </c>
      <c r="H6329" s="2" t="s">
        <v>41948</v>
      </c>
      <c r="I6329" s="2">
        <v>2758</v>
      </c>
      <c r="J6329" s="2"/>
      <c r="K6329" s="2">
        <v>38137</v>
      </c>
      <c r="L6329" s="2" t="s">
        <v>41949</v>
      </c>
      <c r="M6329" s="2" t="s">
        <v>23291</v>
      </c>
      <c r="N6329" s="2" t="s">
        <v>23292</v>
      </c>
      <c r="O6329" s="2">
        <v>20908</v>
      </c>
      <c r="P6329" s="2" t="s">
        <v>41950</v>
      </c>
      <c r="Q6329" s="2" t="s">
        <v>41951</v>
      </c>
      <c r="R6329" s="2" t="s">
        <v>41952</v>
      </c>
      <c r="S6329" s="2" t="s">
        <v>148</v>
      </c>
      <c r="T6329" s="2" t="s">
        <v>6221</v>
      </c>
      <c r="U6329" s="2" t="s">
        <v>41</v>
      </c>
      <c r="V6329" s="2" t="s">
        <v>59</v>
      </c>
      <c r="W6329" s="2">
        <v>39.299999999999997</v>
      </c>
      <c r="X6329" s="2">
        <v>0</v>
      </c>
      <c r="Y6329" s="2" t="s">
        <v>394</v>
      </c>
      <c r="Z6329" s="2" t="s">
        <v>39677</v>
      </c>
      <c r="AA6329" s="2">
        <v>-2.1314170543139999E-3</v>
      </c>
      <c r="AB6329" s="2">
        <v>3.5448138488146597E-2</v>
      </c>
      <c r="AC6329" s="2">
        <v>208.94895690446401</v>
      </c>
      <c r="AD6329" s="2">
        <v>88.234087020350799</v>
      </c>
      <c r="AE6329" s="2">
        <v>176.172874326</v>
      </c>
      <c r="AF6329" s="2">
        <v>187.497145675187</v>
      </c>
      <c r="AG6329" s="2">
        <v>258.42148134454601</v>
      </c>
      <c r="AH6329" s="2">
        <v>211.14214055678701</v>
      </c>
      <c r="AI6329" s="2">
        <v>221.92846869587001</v>
      </c>
      <c r="AJ6329" s="2">
        <v>198.53163082839399</v>
      </c>
      <c r="AK6329" s="2">
        <v>35.489046370568097</v>
      </c>
      <c r="AL6329" s="2">
        <v>267.07512862562999</v>
      </c>
      <c r="AM6329" s="2">
        <v>31.514449490823701</v>
      </c>
      <c r="AN6329" s="2">
        <v>2.7106294003980101E-5</v>
      </c>
      <c r="AO6329" s="2">
        <v>69.265327201538994</v>
      </c>
      <c r="AP6329" s="2">
        <v>126.06054332725</v>
      </c>
    </row>
    <row r="6330" spans="1:42" ht="14.5" x14ac:dyDescent="0.35">
      <c r="A6330" s="2" t="s">
        <v>41953</v>
      </c>
      <c r="B6330" s="2">
        <v>723.39178461655297</v>
      </c>
      <c r="C6330" s="2">
        <v>9.7086333333333297</v>
      </c>
      <c r="D6330" s="2" t="s">
        <v>34</v>
      </c>
      <c r="E6330" s="2" t="s">
        <v>41954</v>
      </c>
      <c r="F6330" s="2">
        <v>43733</v>
      </c>
      <c r="G6330" s="3" t="str">
        <f>HYPERLINK("http://funmeta.oebiotech.com/network/43733", "http://funmeta.oebiotech.com/network/43733")</f>
        <v>http://funmeta.oebiotech.com/network/43733</v>
      </c>
      <c r="H6330" s="2"/>
      <c r="I6330" s="2">
        <v>985393</v>
      </c>
      <c r="J6330" s="2" t="s">
        <v>41955</v>
      </c>
      <c r="K6330" s="2"/>
      <c r="L6330" s="2"/>
      <c r="M6330" s="2"/>
      <c r="N6330" s="2"/>
      <c r="O6330" s="2">
        <v>101306925</v>
      </c>
      <c r="P6330" s="2"/>
      <c r="Q6330" s="2" t="s">
        <v>41956</v>
      </c>
      <c r="R6330" s="2" t="s">
        <v>41957</v>
      </c>
      <c r="S6330" s="2" t="s">
        <v>50</v>
      </c>
      <c r="T6330" s="2" t="s">
        <v>124</v>
      </c>
      <c r="U6330" s="2" t="s">
        <v>523</v>
      </c>
      <c r="V6330" s="2" t="s">
        <v>59</v>
      </c>
      <c r="W6330" s="2">
        <v>36.1</v>
      </c>
      <c r="X6330" s="2">
        <v>0</v>
      </c>
      <c r="Y6330" s="2" t="s">
        <v>394</v>
      </c>
      <c r="Z6330" s="2" t="s">
        <v>41958</v>
      </c>
      <c r="AA6330" s="2">
        <v>-4.4764460945938902</v>
      </c>
      <c r="AB6330" s="2">
        <v>3.54385888087283E-2</v>
      </c>
      <c r="AC6330" s="2">
        <v>19313.383536790399</v>
      </c>
      <c r="AD6330" s="2">
        <v>18712.2555044732</v>
      </c>
      <c r="AE6330" s="2">
        <v>17967.672264019799</v>
      </c>
      <c r="AF6330" s="2">
        <v>17314.159570759199</v>
      </c>
      <c r="AG6330" s="2">
        <v>19244.6980634028</v>
      </c>
      <c r="AH6330" s="2">
        <v>21328.092760662501</v>
      </c>
      <c r="AI6330" s="2">
        <v>19425.643116158299</v>
      </c>
      <c r="AJ6330" s="2">
        <v>20600.035445739999</v>
      </c>
      <c r="AK6330" s="2">
        <v>20030.390888937502</v>
      </c>
      <c r="AL6330" s="2">
        <v>14286.7212970624</v>
      </c>
      <c r="AM6330" s="2">
        <v>16831.551713094199</v>
      </c>
      <c r="AN6330" s="2">
        <v>19189.297030769299</v>
      </c>
      <c r="AO6330" s="2">
        <v>19360.816875768101</v>
      </c>
      <c r="AP6330" s="2">
        <v>22574.755221207601</v>
      </c>
    </row>
    <row r="6331" spans="1:42" ht="14.5" x14ac:dyDescent="0.35">
      <c r="A6331" s="2" t="s">
        <v>41959</v>
      </c>
      <c r="B6331" s="2">
        <v>709.05539867285802</v>
      </c>
      <c r="C6331" s="2">
        <v>8.1823666666666703</v>
      </c>
      <c r="D6331" s="2" t="s">
        <v>70</v>
      </c>
      <c r="E6331" s="2" t="s">
        <v>41960</v>
      </c>
      <c r="F6331" s="2">
        <v>212036</v>
      </c>
      <c r="G6331" s="3" t="str">
        <f>HYPERLINK("http://funmeta.oebiotech.com/network/212036", "http://funmeta.oebiotech.com/network/212036")</f>
        <v>http://funmeta.oebiotech.com/network/212036</v>
      </c>
      <c r="H6331" s="2" t="s">
        <v>41961</v>
      </c>
      <c r="I6331" s="2">
        <v>44631</v>
      </c>
      <c r="J6331" s="2"/>
      <c r="K6331" s="2"/>
      <c r="L6331" s="2" t="s">
        <v>41962</v>
      </c>
      <c r="M6331" s="2"/>
      <c r="N6331" s="2"/>
      <c r="O6331" s="2">
        <v>5315</v>
      </c>
      <c r="P6331" s="2" t="s">
        <v>41963</v>
      </c>
      <c r="Q6331" s="2" t="s">
        <v>41964</v>
      </c>
      <c r="R6331" s="2" t="s">
        <v>41965</v>
      </c>
      <c r="S6331" s="2" t="s">
        <v>148</v>
      </c>
      <c r="T6331" s="2" t="s">
        <v>149</v>
      </c>
      <c r="U6331" s="2" t="s">
        <v>4282</v>
      </c>
      <c r="V6331" s="2" t="s">
        <v>59</v>
      </c>
      <c r="W6331" s="2">
        <v>36.5</v>
      </c>
      <c r="X6331" s="2">
        <v>0</v>
      </c>
      <c r="Y6331" s="2" t="s">
        <v>560</v>
      </c>
      <c r="Z6331" s="2" t="s">
        <v>41966</v>
      </c>
      <c r="AA6331" s="2">
        <v>4.7179813284356902</v>
      </c>
      <c r="AB6331" s="2">
        <v>3.5428047813216498E-2</v>
      </c>
      <c r="AC6331" s="2">
        <v>99.031517505403301</v>
      </c>
      <c r="AD6331" s="2">
        <v>252.63676623680001</v>
      </c>
      <c r="AE6331" s="2">
        <v>2.7106294003980101E-5</v>
      </c>
      <c r="AF6331" s="2">
        <v>2.7106294003980101E-5</v>
      </c>
      <c r="AG6331" s="2">
        <v>2.7106294003980101E-5</v>
      </c>
      <c r="AH6331" s="2">
        <v>417.87293217218303</v>
      </c>
      <c r="AI6331" s="2">
        <v>2.7106294003980101E-5</v>
      </c>
      <c r="AJ6331" s="2">
        <v>176.31606443506101</v>
      </c>
      <c r="AK6331" s="2">
        <v>189.54091197110699</v>
      </c>
      <c r="AL6331" s="2">
        <v>263.87384673075502</v>
      </c>
      <c r="AM6331" s="2">
        <v>215.500126350606</v>
      </c>
      <c r="AN6331" s="2">
        <v>208.79479150996701</v>
      </c>
      <c r="AO6331" s="2">
        <v>396.444851647988</v>
      </c>
      <c r="AP6331" s="2">
        <v>241.666069210377</v>
      </c>
    </row>
    <row r="6332" spans="1:42" ht="14.5" x14ac:dyDescent="0.35">
      <c r="A6332" s="2" t="s">
        <v>41967</v>
      </c>
      <c r="B6332" s="2">
        <v>221.07878465126799</v>
      </c>
      <c r="C6332" s="2">
        <v>5.6176666666666701</v>
      </c>
      <c r="D6332" s="2" t="s">
        <v>70</v>
      </c>
      <c r="E6332" s="2" t="s">
        <v>41968</v>
      </c>
      <c r="F6332" s="2">
        <v>47130</v>
      </c>
      <c r="G6332" s="3" t="str">
        <f>HYPERLINK("http://funmeta.oebiotech.com/network/47130", "http://funmeta.oebiotech.com/network/47130")</f>
        <v>http://funmeta.oebiotech.com/network/47130</v>
      </c>
      <c r="H6332" s="2" t="s">
        <v>41969</v>
      </c>
      <c r="I6332" s="2">
        <v>283</v>
      </c>
      <c r="J6332" s="2"/>
      <c r="K6332" s="2">
        <v>16040</v>
      </c>
      <c r="L6332" s="2" t="s">
        <v>41970</v>
      </c>
      <c r="M6332" s="2" t="s">
        <v>15342</v>
      </c>
      <c r="N6332" s="2" t="s">
        <v>15343</v>
      </c>
      <c r="O6332" s="2">
        <v>597</v>
      </c>
      <c r="P6332" s="2" t="s">
        <v>41971</v>
      </c>
      <c r="Q6332" s="2" t="s">
        <v>41972</v>
      </c>
      <c r="R6332" s="2" t="s">
        <v>41973</v>
      </c>
      <c r="S6332" s="2" t="s">
        <v>491</v>
      </c>
      <c r="T6332" s="2" t="s">
        <v>4517</v>
      </c>
      <c r="U6332" s="2" t="s">
        <v>4518</v>
      </c>
      <c r="V6332" s="2" t="s">
        <v>59</v>
      </c>
      <c r="W6332" s="2">
        <v>44.9</v>
      </c>
      <c r="X6332" s="2">
        <v>28.7</v>
      </c>
      <c r="Y6332" s="2" t="s">
        <v>560</v>
      </c>
      <c r="Z6332" s="2" t="s">
        <v>41974</v>
      </c>
      <c r="AA6332" s="2">
        <v>-2.0825457780499499</v>
      </c>
      <c r="AB6332" s="2">
        <v>3.5398335335049699E-2</v>
      </c>
      <c r="AC6332" s="2">
        <v>4737.7867653777303</v>
      </c>
      <c r="AD6332" s="2">
        <v>5317.3429335275596</v>
      </c>
      <c r="AE6332" s="2">
        <v>3925.4198828925</v>
      </c>
      <c r="AF6332" s="2">
        <v>4405.6335164129296</v>
      </c>
      <c r="AG6332" s="2">
        <v>6516.5870298446098</v>
      </c>
      <c r="AH6332" s="2">
        <v>4293.0044173623801</v>
      </c>
      <c r="AI6332" s="2">
        <v>4879.80717978342</v>
      </c>
      <c r="AJ6332" s="2">
        <v>4406.2685659705603</v>
      </c>
      <c r="AK6332" s="2">
        <v>5899.4306517209297</v>
      </c>
      <c r="AL6332" s="2">
        <v>10660.739432770801</v>
      </c>
      <c r="AM6332" s="2">
        <v>4115.3328300981702</v>
      </c>
      <c r="AN6332" s="2">
        <v>3435.56270367145</v>
      </c>
      <c r="AO6332" s="2">
        <v>4502.3253144111204</v>
      </c>
      <c r="AP6332" s="2">
        <v>3290.66666849287</v>
      </c>
    </row>
    <row r="6333" spans="1:42" ht="14.5" x14ac:dyDescent="0.35">
      <c r="A6333" s="2" t="s">
        <v>41975</v>
      </c>
      <c r="B6333" s="2">
        <v>759.24608563815298</v>
      </c>
      <c r="C6333" s="2">
        <v>11.08745</v>
      </c>
      <c r="D6333" s="2" t="s">
        <v>70</v>
      </c>
      <c r="E6333" s="2" t="s">
        <v>41976</v>
      </c>
      <c r="F6333" s="2">
        <v>34917</v>
      </c>
      <c r="G6333" s="3" t="str">
        <f>HYPERLINK("http://funmeta.oebiotech.com/network/34917", "http://funmeta.oebiotech.com/network/34917")</f>
        <v>http://funmeta.oebiotech.com/network/34917</v>
      </c>
      <c r="H6333" s="2"/>
      <c r="I6333" s="2">
        <v>44210</v>
      </c>
      <c r="J6333" s="2" t="s">
        <v>41977</v>
      </c>
      <c r="K6333" s="2">
        <v>92953</v>
      </c>
      <c r="L6333" s="2"/>
      <c r="M6333" s="2"/>
      <c r="N6333" s="2"/>
      <c r="O6333" s="2">
        <v>54677407</v>
      </c>
      <c r="P6333" s="2" t="s">
        <v>41978</v>
      </c>
      <c r="Q6333" s="2" t="s">
        <v>41979</v>
      </c>
      <c r="R6333" s="2" t="s">
        <v>41980</v>
      </c>
      <c r="S6333" s="2" t="s">
        <v>115</v>
      </c>
      <c r="T6333" s="2" t="s">
        <v>1371</v>
      </c>
      <c r="U6333" s="2" t="s">
        <v>23217</v>
      </c>
      <c r="V6333" s="2" t="s">
        <v>59</v>
      </c>
      <c r="W6333" s="2">
        <v>38.6</v>
      </c>
      <c r="X6333" s="2">
        <v>0</v>
      </c>
      <c r="Y6333" s="2" t="s">
        <v>560</v>
      </c>
      <c r="Z6333" s="2" t="s">
        <v>41981</v>
      </c>
      <c r="AA6333" s="2">
        <v>1.82222825552357</v>
      </c>
      <c r="AB6333" s="2">
        <v>3.5273232005014601E-2</v>
      </c>
      <c r="AC6333" s="2">
        <v>2.7106294003980101E-5</v>
      </c>
      <c r="AD6333" s="2">
        <v>140.208891874605</v>
      </c>
      <c r="AE6333" s="2">
        <v>2.7106294003980101E-5</v>
      </c>
      <c r="AF6333" s="2">
        <v>2.7106294003980101E-5</v>
      </c>
      <c r="AG6333" s="2">
        <v>2.7106294003980101E-5</v>
      </c>
      <c r="AH6333" s="2">
        <v>2.7106294003980101E-5</v>
      </c>
      <c r="AI6333" s="2">
        <v>2.7106294003980101E-5</v>
      </c>
      <c r="AJ6333" s="2">
        <v>2.7106294003980101E-5</v>
      </c>
      <c r="AK6333" s="2">
        <v>2.7106294003980101E-5</v>
      </c>
      <c r="AL6333" s="2">
        <v>2.7106294003980101E-5</v>
      </c>
      <c r="AM6333" s="2">
        <v>287.29134208566899</v>
      </c>
      <c r="AN6333" s="2">
        <v>260.29925853165997</v>
      </c>
      <c r="AO6333" s="2">
        <v>2.7106294003980101E-5</v>
      </c>
      <c r="AP6333" s="2">
        <v>293.66266931141899</v>
      </c>
    </row>
    <row r="6334" spans="1:42" ht="14.5" x14ac:dyDescent="0.35">
      <c r="A6334" s="2" t="s">
        <v>41982</v>
      </c>
      <c r="B6334" s="2">
        <v>1153.8287926743401</v>
      </c>
      <c r="C6334" s="2">
        <v>5.6390833333333301</v>
      </c>
      <c r="D6334" s="2" t="s">
        <v>34</v>
      </c>
      <c r="E6334" s="2" t="s">
        <v>41983</v>
      </c>
      <c r="F6334" s="2">
        <v>48364</v>
      </c>
      <c r="G6334" s="3" t="str">
        <f>HYPERLINK("http://funmeta.oebiotech.com/network/48364", "http://funmeta.oebiotech.com/network/48364")</f>
        <v>http://funmeta.oebiotech.com/network/48364</v>
      </c>
      <c r="H6334" s="2" t="s">
        <v>41984</v>
      </c>
      <c r="I6334" s="2">
        <v>7143</v>
      </c>
      <c r="J6334" s="2"/>
      <c r="K6334" s="2"/>
      <c r="L6334" s="2" t="s">
        <v>14727</v>
      </c>
      <c r="M6334" s="2" t="s">
        <v>14728</v>
      </c>
      <c r="N6334" s="2" t="s">
        <v>14729</v>
      </c>
      <c r="O6334" s="2">
        <v>14184732</v>
      </c>
      <c r="P6334" s="2"/>
      <c r="Q6334" s="2" t="s">
        <v>41985</v>
      </c>
      <c r="R6334" s="2" t="s">
        <v>41986</v>
      </c>
      <c r="S6334" s="2" t="s">
        <v>50</v>
      </c>
      <c r="T6334" s="2" t="s">
        <v>693</v>
      </c>
      <c r="U6334" s="2" t="s">
        <v>694</v>
      </c>
      <c r="V6334" s="2" t="s">
        <v>59</v>
      </c>
      <c r="W6334" s="2">
        <v>36.1</v>
      </c>
      <c r="X6334" s="2">
        <v>0</v>
      </c>
      <c r="Y6334" s="2" t="s">
        <v>43</v>
      </c>
      <c r="Z6334" s="2" t="s">
        <v>41987</v>
      </c>
      <c r="AA6334" s="2">
        <v>-0.70315145442841598</v>
      </c>
      <c r="AB6334" s="2">
        <v>3.5262894503317502E-2</v>
      </c>
      <c r="AC6334" s="2">
        <v>55523.428988306499</v>
      </c>
      <c r="AD6334" s="2">
        <v>57078.562906822102</v>
      </c>
      <c r="AE6334" s="2">
        <v>47604.716952120201</v>
      </c>
      <c r="AF6334" s="2">
        <v>66117.325208631606</v>
      </c>
      <c r="AG6334" s="2">
        <v>50064.807956245102</v>
      </c>
      <c r="AH6334" s="2">
        <v>43344.960700345502</v>
      </c>
      <c r="AI6334" s="2">
        <v>45848.780700581403</v>
      </c>
      <c r="AJ6334" s="2">
        <v>80159.982411915</v>
      </c>
      <c r="AK6334" s="2">
        <v>69112.085207488504</v>
      </c>
      <c r="AL6334" s="2">
        <v>59679.537900236297</v>
      </c>
      <c r="AM6334" s="2">
        <v>37727.518397002103</v>
      </c>
      <c r="AN6334" s="2">
        <v>62975.082434949101</v>
      </c>
      <c r="AO6334" s="2">
        <v>73424.766949374694</v>
      </c>
      <c r="AP6334" s="2">
        <v>39552.3865518819</v>
      </c>
    </row>
    <row r="6335" spans="1:42" ht="14.5" x14ac:dyDescent="0.35">
      <c r="A6335" s="2" t="s">
        <v>41988</v>
      </c>
      <c r="B6335" s="2">
        <v>165.06987580962601</v>
      </c>
      <c r="C6335" s="2">
        <v>10.792766666666701</v>
      </c>
      <c r="D6335" s="2" t="s">
        <v>34</v>
      </c>
      <c r="E6335" s="2" t="s">
        <v>41989</v>
      </c>
      <c r="F6335" s="2">
        <v>57798</v>
      </c>
      <c r="G6335" s="3" t="str">
        <f>HYPERLINK("http://funmeta.oebiotech.com/network/57798", "http://funmeta.oebiotech.com/network/57798")</f>
        <v>http://funmeta.oebiotech.com/network/57798</v>
      </c>
      <c r="H6335" s="2" t="s">
        <v>41990</v>
      </c>
      <c r="I6335" s="2">
        <v>89391</v>
      </c>
      <c r="J6335" s="2"/>
      <c r="K6335" s="2"/>
      <c r="L6335" s="2"/>
      <c r="M6335" s="2"/>
      <c r="N6335" s="2"/>
      <c r="O6335" s="2">
        <v>5352703</v>
      </c>
      <c r="P6335" s="2" t="s">
        <v>41991</v>
      </c>
      <c r="Q6335" s="2" t="s">
        <v>41992</v>
      </c>
      <c r="R6335" s="2" t="s">
        <v>41993</v>
      </c>
      <c r="S6335" s="2" t="s">
        <v>3194</v>
      </c>
      <c r="T6335" s="2" t="s">
        <v>3195</v>
      </c>
      <c r="U6335" s="2" t="s">
        <v>41994</v>
      </c>
      <c r="V6335" s="2" t="s">
        <v>59</v>
      </c>
      <c r="W6335" s="2">
        <v>38.1</v>
      </c>
      <c r="X6335" s="2">
        <v>0</v>
      </c>
      <c r="Y6335" s="2" t="s">
        <v>394</v>
      </c>
      <c r="Z6335" s="2" t="s">
        <v>41995</v>
      </c>
      <c r="AA6335" s="2">
        <v>-5.3573108228111904E-3</v>
      </c>
      <c r="AB6335" s="2">
        <v>3.52421210806452E-2</v>
      </c>
      <c r="AC6335" s="2">
        <v>859.18777289265404</v>
      </c>
      <c r="AD6335" s="2">
        <v>745.31925111351597</v>
      </c>
      <c r="AE6335" s="2">
        <v>889.89178174920903</v>
      </c>
      <c r="AF6335" s="2">
        <v>840.63180686454302</v>
      </c>
      <c r="AG6335" s="2">
        <v>816.856571358564</v>
      </c>
      <c r="AH6335" s="2">
        <v>836.44048681961704</v>
      </c>
      <c r="AI6335" s="2">
        <v>797.168841596937</v>
      </c>
      <c r="AJ6335" s="2">
        <v>974.13714896705301</v>
      </c>
      <c r="AK6335" s="2">
        <v>632.60866754362405</v>
      </c>
      <c r="AL6335" s="2">
        <v>763.05938572763705</v>
      </c>
      <c r="AM6335" s="2">
        <v>740.251787051218</v>
      </c>
      <c r="AN6335" s="2">
        <v>781.92220776263696</v>
      </c>
      <c r="AO6335" s="2">
        <v>761.39464810199604</v>
      </c>
      <c r="AP6335" s="2">
        <v>792.67881049398204</v>
      </c>
    </row>
    <row r="6336" spans="1:42" ht="14.5" x14ac:dyDescent="0.35">
      <c r="A6336" s="2" t="s">
        <v>41996</v>
      </c>
      <c r="B6336" s="2">
        <v>535.254465030034</v>
      </c>
      <c r="C6336" s="2">
        <v>6.2733666666666696</v>
      </c>
      <c r="D6336" s="2" t="s">
        <v>70</v>
      </c>
      <c r="E6336" s="2" t="s">
        <v>41997</v>
      </c>
      <c r="F6336" s="2">
        <v>59553</v>
      </c>
      <c r="G6336" s="3" t="str">
        <f>HYPERLINK("http://funmeta.oebiotech.com/network/59553", "http://funmeta.oebiotech.com/network/59553")</f>
        <v>http://funmeta.oebiotech.com/network/59553</v>
      </c>
      <c r="H6336" s="2" t="s">
        <v>41998</v>
      </c>
      <c r="I6336" s="2">
        <v>90960</v>
      </c>
      <c r="J6336" s="2"/>
      <c r="K6336" s="2"/>
      <c r="L6336" s="2"/>
      <c r="M6336" s="2"/>
      <c r="N6336" s="2"/>
      <c r="O6336" s="2">
        <v>286498</v>
      </c>
      <c r="P6336" s="2"/>
      <c r="Q6336" s="2" t="s">
        <v>41999</v>
      </c>
      <c r="R6336" s="2" t="s">
        <v>42000</v>
      </c>
      <c r="S6336" s="2" t="s">
        <v>50</v>
      </c>
      <c r="T6336" s="2" t="s">
        <v>201</v>
      </c>
      <c r="U6336" s="2" t="s">
        <v>210</v>
      </c>
      <c r="V6336" s="2" t="s">
        <v>42</v>
      </c>
      <c r="W6336" s="2">
        <v>51.3</v>
      </c>
      <c r="X6336" s="2">
        <v>64.900000000000006</v>
      </c>
      <c r="Y6336" s="2" t="s">
        <v>408</v>
      </c>
      <c r="Z6336" s="2" t="s">
        <v>36421</v>
      </c>
      <c r="AA6336" s="2">
        <v>-0.82816845176989995</v>
      </c>
      <c r="AB6336" s="2">
        <v>3.5045904420011702E-2</v>
      </c>
      <c r="AC6336" s="2">
        <v>1790.73864857801</v>
      </c>
      <c r="AD6336" s="2">
        <v>1430.50479317852</v>
      </c>
      <c r="AE6336" s="2">
        <v>2255.2922450456499</v>
      </c>
      <c r="AF6336" s="2">
        <v>848.77167739329605</v>
      </c>
      <c r="AG6336" s="2">
        <v>2159.7489047224299</v>
      </c>
      <c r="AH6336" s="2">
        <v>2429.1876650766499</v>
      </c>
      <c r="AI6336" s="2">
        <v>1492.97520032902</v>
      </c>
      <c r="AJ6336" s="2">
        <v>1558.4561989010199</v>
      </c>
      <c r="AK6336" s="2">
        <v>1129.2774592618</v>
      </c>
      <c r="AL6336" s="2">
        <v>470.54514865712599</v>
      </c>
      <c r="AM6336" s="2">
        <v>3270.2067738242499</v>
      </c>
      <c r="AN6336" s="2">
        <v>1894.5685732705599</v>
      </c>
      <c r="AO6336" s="2">
        <v>695.22024882162805</v>
      </c>
      <c r="AP6336" s="2">
        <v>1123.21055523578</v>
      </c>
    </row>
    <row r="6337" spans="1:42" ht="14.5" x14ac:dyDescent="0.35">
      <c r="A6337" s="2" t="s">
        <v>42001</v>
      </c>
      <c r="B6337" s="2">
        <v>445.25904450448297</v>
      </c>
      <c r="C6337" s="2">
        <v>10.76375</v>
      </c>
      <c r="D6337" s="2" t="s">
        <v>70</v>
      </c>
      <c r="E6337" s="2" t="s">
        <v>42002</v>
      </c>
      <c r="F6337" s="2">
        <v>52037</v>
      </c>
      <c r="G6337" s="3" t="str">
        <f>HYPERLINK("http://funmeta.oebiotech.com/network/52037", "http://funmeta.oebiotech.com/network/52037")</f>
        <v>http://funmeta.oebiotech.com/network/52037</v>
      </c>
      <c r="H6337" s="2" t="s">
        <v>42003</v>
      </c>
      <c r="I6337" s="2"/>
      <c r="J6337" s="2"/>
      <c r="K6337" s="2">
        <v>175204</v>
      </c>
      <c r="L6337" s="2"/>
      <c r="M6337" s="2"/>
      <c r="N6337" s="2"/>
      <c r="O6337" s="2">
        <v>53481454</v>
      </c>
      <c r="P6337" s="2"/>
      <c r="Q6337" s="2" t="s">
        <v>42004</v>
      </c>
      <c r="R6337" s="2" t="s">
        <v>42005</v>
      </c>
      <c r="S6337" s="2" t="s">
        <v>50</v>
      </c>
      <c r="T6337" s="2" t="s">
        <v>201</v>
      </c>
      <c r="U6337" s="2" t="s">
        <v>636</v>
      </c>
      <c r="V6337" s="2" t="s">
        <v>59</v>
      </c>
      <c r="W6337" s="2">
        <v>37.1</v>
      </c>
      <c r="X6337" s="2">
        <v>0</v>
      </c>
      <c r="Y6337" s="2" t="s">
        <v>408</v>
      </c>
      <c r="Z6337" s="2" t="s">
        <v>42006</v>
      </c>
      <c r="AA6337" s="2">
        <v>-1.2941500949260301</v>
      </c>
      <c r="AB6337" s="2">
        <v>3.5037464239529199E-2</v>
      </c>
      <c r="AC6337" s="2">
        <v>1354.0486042145701</v>
      </c>
      <c r="AD6337" s="2">
        <v>1121.1569021580401</v>
      </c>
      <c r="AE6337" s="2">
        <v>1036.2316468655099</v>
      </c>
      <c r="AF6337" s="2">
        <v>1071.5974899118401</v>
      </c>
      <c r="AG6337" s="2">
        <v>1155.8785744700899</v>
      </c>
      <c r="AH6337" s="2">
        <v>1921.0912238464</v>
      </c>
      <c r="AI6337" s="2">
        <v>1091.67275856895</v>
      </c>
      <c r="AJ6337" s="2">
        <v>1847.8199316246501</v>
      </c>
      <c r="AK6337" s="2">
        <v>974.26599448456</v>
      </c>
      <c r="AL6337" s="2">
        <v>833.52382793682</v>
      </c>
      <c r="AM6337" s="2">
        <v>1309.72294040206</v>
      </c>
      <c r="AN6337" s="2">
        <v>1443.1340473100699</v>
      </c>
      <c r="AO6337" s="2">
        <v>1252.6046255507399</v>
      </c>
      <c r="AP6337" s="2">
        <v>913.68997726396901</v>
      </c>
    </row>
    <row r="6338" spans="1:42" ht="14.5" x14ac:dyDescent="0.35">
      <c r="A6338" s="2" t="s">
        <v>42007</v>
      </c>
      <c r="B6338" s="2">
        <v>341.14505483824502</v>
      </c>
      <c r="C6338" s="2">
        <v>1.4846333333333299</v>
      </c>
      <c r="D6338" s="2" t="s">
        <v>70</v>
      </c>
      <c r="E6338" s="2" t="s">
        <v>42008</v>
      </c>
      <c r="F6338" s="2">
        <v>200955</v>
      </c>
      <c r="G6338" s="3" t="str">
        <f>HYPERLINK("http://funmeta.oebiotech.com/network/200955", "http://funmeta.oebiotech.com/network/200955")</f>
        <v>http://funmeta.oebiotech.com/network/200955</v>
      </c>
      <c r="H6338" s="2" t="s">
        <v>42009</v>
      </c>
      <c r="I6338" s="2">
        <v>350147</v>
      </c>
      <c r="J6338" s="2"/>
      <c r="K6338" s="2"/>
      <c r="L6338" s="2"/>
      <c r="M6338" s="2"/>
      <c r="N6338" s="2"/>
      <c r="O6338" s="2">
        <v>65149</v>
      </c>
      <c r="P6338" s="2"/>
      <c r="Q6338" s="2" t="s">
        <v>42010</v>
      </c>
      <c r="R6338" s="2" t="s">
        <v>42011</v>
      </c>
      <c r="S6338" s="2" t="s">
        <v>491</v>
      </c>
      <c r="T6338" s="2" t="s">
        <v>1516</v>
      </c>
      <c r="U6338" s="2" t="s">
        <v>5320</v>
      </c>
      <c r="V6338" s="2" t="s">
        <v>59</v>
      </c>
      <c r="W6338" s="2">
        <v>36.4</v>
      </c>
      <c r="X6338" s="2">
        <v>0</v>
      </c>
      <c r="Y6338" s="2" t="s">
        <v>751</v>
      </c>
      <c r="Z6338" s="2" t="s">
        <v>42012</v>
      </c>
      <c r="AA6338" s="2">
        <v>0.68665433790362396</v>
      </c>
      <c r="AB6338" s="2">
        <v>3.4947759218588698E-2</v>
      </c>
      <c r="AC6338" s="2">
        <v>8518.6518862719404</v>
      </c>
      <c r="AD6338" s="2">
        <v>8192.7763139281506</v>
      </c>
      <c r="AE6338" s="2">
        <v>8340.1334936902604</v>
      </c>
      <c r="AF6338" s="2">
        <v>8720.8698490093193</v>
      </c>
      <c r="AG6338" s="2">
        <v>7885.5923053592196</v>
      </c>
      <c r="AH6338" s="2">
        <v>8498.8368036658394</v>
      </c>
      <c r="AI6338" s="2">
        <v>9599.2995460804595</v>
      </c>
      <c r="AJ6338" s="2">
        <v>8067.1793198265595</v>
      </c>
      <c r="AK6338" s="2">
        <v>7925.4983178905004</v>
      </c>
      <c r="AL6338" s="2">
        <v>7215.7089887090797</v>
      </c>
      <c r="AM6338" s="2">
        <v>7661.6512175712896</v>
      </c>
      <c r="AN6338" s="2">
        <v>8713.32043227135</v>
      </c>
      <c r="AO6338" s="2">
        <v>8599.5972453090999</v>
      </c>
      <c r="AP6338" s="2">
        <v>9040.8816818175692</v>
      </c>
    </row>
    <row r="6339" spans="1:42" ht="14.5" x14ac:dyDescent="0.35">
      <c r="A6339" s="2" t="s">
        <v>42013</v>
      </c>
      <c r="B6339" s="2">
        <v>423.05792507660999</v>
      </c>
      <c r="C6339" s="2">
        <v>0.97008333333333296</v>
      </c>
      <c r="D6339" s="2" t="s">
        <v>34</v>
      </c>
      <c r="E6339" s="2" t="s">
        <v>42014</v>
      </c>
      <c r="F6339" s="2">
        <v>64276</v>
      </c>
      <c r="G6339" s="3" t="str">
        <f>HYPERLINK("http://funmeta.oebiotech.com/network/64276", "http://funmeta.oebiotech.com/network/64276")</f>
        <v>http://funmeta.oebiotech.com/network/64276</v>
      </c>
      <c r="H6339" s="2" t="s">
        <v>42015</v>
      </c>
      <c r="I6339" s="2">
        <v>95595</v>
      </c>
      <c r="J6339" s="2"/>
      <c r="K6339" s="2">
        <v>169044</v>
      </c>
      <c r="L6339" s="2"/>
      <c r="M6339" s="2"/>
      <c r="N6339" s="2"/>
      <c r="O6339" s="2">
        <v>131753055</v>
      </c>
      <c r="P6339" s="2"/>
      <c r="Q6339" s="2" t="s">
        <v>42016</v>
      </c>
      <c r="R6339" s="2" t="s">
        <v>42017</v>
      </c>
      <c r="S6339" s="2" t="s">
        <v>115</v>
      </c>
      <c r="T6339" s="2" t="s">
        <v>116</v>
      </c>
      <c r="U6339" s="2" t="s">
        <v>117</v>
      </c>
      <c r="V6339" s="2" t="s">
        <v>59</v>
      </c>
      <c r="W6339" s="2">
        <v>36.700000000000003</v>
      </c>
      <c r="X6339" s="2">
        <v>0</v>
      </c>
      <c r="Y6339" s="2" t="s">
        <v>394</v>
      </c>
      <c r="Z6339" s="2" t="s">
        <v>42018</v>
      </c>
      <c r="AA6339" s="2">
        <v>-2.9578527638551</v>
      </c>
      <c r="AB6339" s="2">
        <v>3.4868112067531501E-2</v>
      </c>
      <c r="AC6339" s="2">
        <v>7146.1401872941997</v>
      </c>
      <c r="AD6339" s="2">
        <v>7532.2103346436297</v>
      </c>
      <c r="AE6339" s="2">
        <v>7438.4927621223196</v>
      </c>
      <c r="AF6339" s="2">
        <v>7119.5511054378403</v>
      </c>
      <c r="AG6339" s="2">
        <v>7182.2684547794997</v>
      </c>
      <c r="AH6339" s="2">
        <v>7611.8445019710898</v>
      </c>
      <c r="AI6339" s="2">
        <v>7319.1760878428704</v>
      </c>
      <c r="AJ6339" s="2">
        <v>6205.50821161157</v>
      </c>
      <c r="AK6339" s="2">
        <v>8684.0096508683691</v>
      </c>
      <c r="AL6339" s="2">
        <v>5329.1868814306899</v>
      </c>
      <c r="AM6339" s="2">
        <v>6349.0137063740103</v>
      </c>
      <c r="AN6339" s="2">
        <v>8059.09653830566</v>
      </c>
      <c r="AO6339" s="2">
        <v>8386.3639160563307</v>
      </c>
      <c r="AP6339" s="2">
        <v>8385.59131482673</v>
      </c>
    </row>
    <row r="6340" spans="1:42" ht="14.5" x14ac:dyDescent="0.35">
      <c r="A6340" s="2" t="s">
        <v>42019</v>
      </c>
      <c r="B6340" s="2">
        <v>341.174475957521</v>
      </c>
      <c r="C6340" s="2">
        <v>6.7814333333333296</v>
      </c>
      <c r="D6340" s="2" t="s">
        <v>34</v>
      </c>
      <c r="E6340" s="2" t="s">
        <v>42020</v>
      </c>
      <c r="F6340" s="2">
        <v>53314</v>
      </c>
      <c r="G6340" s="3" t="str">
        <f>HYPERLINK("http://funmeta.oebiotech.com/network/53314", "http://funmeta.oebiotech.com/network/53314")</f>
        <v>http://funmeta.oebiotech.com/network/53314</v>
      </c>
      <c r="H6340" s="2" t="s">
        <v>42021</v>
      </c>
      <c r="I6340" s="2">
        <v>4008</v>
      </c>
      <c r="J6340" s="2"/>
      <c r="K6340" s="2">
        <v>4779</v>
      </c>
      <c r="L6340" s="2" t="s">
        <v>42022</v>
      </c>
      <c r="M6340" s="2"/>
      <c r="N6340" s="2"/>
      <c r="O6340" s="2">
        <v>3219</v>
      </c>
      <c r="P6340" s="2" t="s">
        <v>42023</v>
      </c>
      <c r="Q6340" s="2" t="s">
        <v>42024</v>
      </c>
      <c r="R6340" s="2" t="s">
        <v>42025</v>
      </c>
      <c r="S6340" s="2" t="s">
        <v>491</v>
      </c>
      <c r="T6340" s="2" t="s">
        <v>15878</v>
      </c>
      <c r="U6340" s="2" t="s">
        <v>41</v>
      </c>
      <c r="V6340" s="2" t="s">
        <v>59</v>
      </c>
      <c r="W6340" s="2">
        <v>36.299999999999997</v>
      </c>
      <c r="X6340" s="2">
        <v>0</v>
      </c>
      <c r="Y6340" s="2" t="s">
        <v>340</v>
      </c>
      <c r="Z6340" s="2" t="s">
        <v>42026</v>
      </c>
      <c r="AA6340" s="2">
        <v>2.1720111992565898</v>
      </c>
      <c r="AB6340" s="2">
        <v>3.4861629575520303E-2</v>
      </c>
      <c r="AC6340" s="2">
        <v>6942.6246519032702</v>
      </c>
      <c r="AD6340" s="2">
        <v>6425.6152814142697</v>
      </c>
      <c r="AE6340" s="2">
        <v>4994.4636745874604</v>
      </c>
      <c r="AF6340" s="2">
        <v>7472.3919199202901</v>
      </c>
      <c r="AG6340" s="2">
        <v>8622.6975111692991</v>
      </c>
      <c r="AH6340" s="2">
        <v>5313.6658570253603</v>
      </c>
      <c r="AI6340" s="2">
        <v>6885.6221886203602</v>
      </c>
      <c r="AJ6340" s="2">
        <v>8366.9067600968392</v>
      </c>
      <c r="AK6340" s="2">
        <v>9900.0589895702997</v>
      </c>
      <c r="AL6340" s="2">
        <v>3976.6363144849702</v>
      </c>
      <c r="AM6340" s="2">
        <v>5649.8217709882802</v>
      </c>
      <c r="AN6340" s="2">
        <v>7001.7748653121598</v>
      </c>
      <c r="AO6340" s="2">
        <v>6928.9909503299596</v>
      </c>
      <c r="AP6340" s="2">
        <v>5096.4087977999197</v>
      </c>
    </row>
    <row r="6341" spans="1:42" ht="14.5" x14ac:dyDescent="0.35">
      <c r="A6341" s="2" t="s">
        <v>42027</v>
      </c>
      <c r="B6341" s="2">
        <v>235.13273056819099</v>
      </c>
      <c r="C6341" s="2">
        <v>5.1837999999999997</v>
      </c>
      <c r="D6341" s="2" t="s">
        <v>34</v>
      </c>
      <c r="E6341" s="2" t="s">
        <v>42028</v>
      </c>
      <c r="F6341" s="2">
        <v>55510</v>
      </c>
      <c r="G6341" s="3" t="str">
        <f>HYPERLINK("http://funmeta.oebiotech.com/network/55510", "http://funmeta.oebiotech.com/network/55510")</f>
        <v>http://funmeta.oebiotech.com/network/55510</v>
      </c>
      <c r="H6341" s="2" t="s">
        <v>42029</v>
      </c>
      <c r="I6341" s="2">
        <v>87182</v>
      </c>
      <c r="J6341" s="2"/>
      <c r="K6341" s="2">
        <v>172475</v>
      </c>
      <c r="L6341" s="2"/>
      <c r="M6341" s="2"/>
      <c r="N6341" s="2"/>
      <c r="O6341" s="2">
        <v>5320782</v>
      </c>
      <c r="P6341" s="2" t="s">
        <v>42030</v>
      </c>
      <c r="Q6341" s="2" t="s">
        <v>42031</v>
      </c>
      <c r="R6341" s="2" t="s">
        <v>42032</v>
      </c>
      <c r="S6341" s="2" t="s">
        <v>148</v>
      </c>
      <c r="T6341" s="2" t="s">
        <v>5205</v>
      </c>
      <c r="U6341" s="2" t="s">
        <v>17551</v>
      </c>
      <c r="V6341" s="2" t="s">
        <v>59</v>
      </c>
      <c r="W6341" s="2">
        <v>38.5</v>
      </c>
      <c r="X6341" s="2">
        <v>0</v>
      </c>
      <c r="Y6341" s="2" t="s">
        <v>266</v>
      </c>
      <c r="Z6341" s="2" t="s">
        <v>9834</v>
      </c>
      <c r="AA6341" s="2">
        <v>-0.59924994421052802</v>
      </c>
      <c r="AB6341" s="2">
        <v>3.4739416873707303E-2</v>
      </c>
      <c r="AC6341" s="2">
        <v>7868.0504980761598</v>
      </c>
      <c r="AD6341" s="2">
        <v>7521.1504519544196</v>
      </c>
      <c r="AE6341" s="2">
        <v>7124.6790164815702</v>
      </c>
      <c r="AF6341" s="2">
        <v>9423.1279617898308</v>
      </c>
      <c r="AG6341" s="2">
        <v>8145.8546709894699</v>
      </c>
      <c r="AH6341" s="2">
        <v>7722.4725273650201</v>
      </c>
      <c r="AI6341" s="2">
        <v>7044.6624238688</v>
      </c>
      <c r="AJ6341" s="2">
        <v>7747.5063879622703</v>
      </c>
      <c r="AK6341" s="2">
        <v>6051.4611212666896</v>
      </c>
      <c r="AL6341" s="2">
        <v>8074.8936376803103</v>
      </c>
      <c r="AM6341" s="2">
        <v>7604.1743523657296</v>
      </c>
      <c r="AN6341" s="2">
        <v>7126.7186321569197</v>
      </c>
      <c r="AO6341" s="2">
        <v>8321.5251587352795</v>
      </c>
      <c r="AP6341" s="2">
        <v>7948.1298095215898</v>
      </c>
    </row>
    <row r="6342" spans="1:42" ht="14.5" x14ac:dyDescent="0.35">
      <c r="A6342" s="2" t="s">
        <v>42033</v>
      </c>
      <c r="B6342" s="2">
        <v>317.10273724758201</v>
      </c>
      <c r="C6342" s="2">
        <v>5.3391000000000002</v>
      </c>
      <c r="D6342" s="2" t="s">
        <v>70</v>
      </c>
      <c r="E6342" s="2" t="s">
        <v>42034</v>
      </c>
      <c r="F6342" s="2">
        <v>266704</v>
      </c>
      <c r="G6342" s="3" t="str">
        <f>HYPERLINK("http://funmeta.oebiotech.com/network/266704", "http://funmeta.oebiotech.com/network/266704")</f>
        <v>http://funmeta.oebiotech.com/network/266704</v>
      </c>
      <c r="H6342" s="2"/>
      <c r="I6342" s="2">
        <v>43804</v>
      </c>
      <c r="J6342" s="2"/>
      <c r="K6342" s="2"/>
      <c r="L6342" s="2"/>
      <c r="M6342" s="2"/>
      <c r="N6342" s="2"/>
      <c r="O6342" s="2">
        <v>821428</v>
      </c>
      <c r="P6342" s="2" t="s">
        <v>42035</v>
      </c>
      <c r="Q6342" s="2" t="s">
        <v>42036</v>
      </c>
      <c r="R6342" s="2" t="s">
        <v>42037</v>
      </c>
      <c r="S6342" s="2" t="s">
        <v>115</v>
      </c>
      <c r="T6342" s="2" t="s">
        <v>42038</v>
      </c>
      <c r="U6342" s="2" t="s">
        <v>41</v>
      </c>
      <c r="V6342" s="2" t="s">
        <v>59</v>
      </c>
      <c r="W6342" s="2">
        <v>38.6</v>
      </c>
      <c r="X6342" s="2">
        <v>0</v>
      </c>
      <c r="Y6342" s="2" t="s">
        <v>408</v>
      </c>
      <c r="Z6342" s="2" t="s">
        <v>32945</v>
      </c>
      <c r="AA6342" s="2">
        <v>-1.1929731047402701</v>
      </c>
      <c r="AB6342" s="2">
        <v>3.4729247608612603E-2</v>
      </c>
      <c r="AC6342" s="2">
        <v>31.802865825509201</v>
      </c>
      <c r="AD6342" s="2">
        <v>153.080501082322</v>
      </c>
      <c r="AE6342" s="2">
        <v>2.7106294003980101E-5</v>
      </c>
      <c r="AF6342" s="2">
        <v>2.7106294003980101E-5</v>
      </c>
      <c r="AG6342" s="2">
        <v>2.7106294003980101E-5</v>
      </c>
      <c r="AH6342" s="2">
        <v>2.7106294003980101E-5</v>
      </c>
      <c r="AI6342" s="2">
        <v>190.81705942158499</v>
      </c>
      <c r="AJ6342" s="2">
        <v>2.7106294003980101E-5</v>
      </c>
      <c r="AK6342" s="2">
        <v>161.880825754776</v>
      </c>
      <c r="AL6342" s="2">
        <v>162.50917209085699</v>
      </c>
      <c r="AM6342" s="2">
        <v>248.745301248625</v>
      </c>
      <c r="AN6342" s="2">
        <v>163.25497198736801</v>
      </c>
      <c r="AO6342" s="2">
        <v>182.09270830601201</v>
      </c>
      <c r="AP6342" s="2">
        <v>2.7106294003980101E-5</v>
      </c>
    </row>
    <row r="6343" spans="1:42" ht="14.5" x14ac:dyDescent="0.35">
      <c r="A6343" s="2" t="s">
        <v>42039</v>
      </c>
      <c r="B6343" s="2">
        <v>284.95970232275602</v>
      </c>
      <c r="C6343" s="2">
        <v>1.1853499999999999</v>
      </c>
      <c r="D6343" s="2" t="s">
        <v>70</v>
      </c>
      <c r="E6343" s="2" t="s">
        <v>42040</v>
      </c>
      <c r="F6343" s="2">
        <v>256541</v>
      </c>
      <c r="G6343" s="3" t="str">
        <f>HYPERLINK("http://funmeta.oebiotech.com/network/256541", "http://funmeta.oebiotech.com/network/256541")</f>
        <v>http://funmeta.oebiotech.com/network/256541</v>
      </c>
      <c r="H6343" s="2" t="s">
        <v>42041</v>
      </c>
      <c r="I6343" s="2"/>
      <c r="J6343" s="2"/>
      <c r="K6343" s="2"/>
      <c r="L6343" s="2"/>
      <c r="M6343" s="2"/>
      <c r="N6343" s="2"/>
      <c r="O6343" s="2">
        <v>31397</v>
      </c>
      <c r="P6343" s="2"/>
      <c r="Q6343" s="2" t="s">
        <v>42042</v>
      </c>
      <c r="R6343" s="2" t="s">
        <v>42043</v>
      </c>
      <c r="S6343" s="2" t="s">
        <v>42044</v>
      </c>
      <c r="T6343" s="2" t="s">
        <v>42045</v>
      </c>
      <c r="U6343" s="2" t="s">
        <v>42046</v>
      </c>
      <c r="V6343" s="2" t="s">
        <v>59</v>
      </c>
      <c r="W6343" s="2">
        <v>36.9</v>
      </c>
      <c r="X6343" s="2">
        <v>0</v>
      </c>
      <c r="Y6343" s="2" t="s">
        <v>560</v>
      </c>
      <c r="Z6343" s="2" t="s">
        <v>42047</v>
      </c>
      <c r="AA6343" s="2">
        <v>-3.1199360995479002</v>
      </c>
      <c r="AB6343" s="2">
        <v>3.4721961566030003E-2</v>
      </c>
      <c r="AC6343" s="2">
        <v>4600.3173289835204</v>
      </c>
      <c r="AD6343" s="2">
        <v>4306.56479372176</v>
      </c>
      <c r="AE6343" s="2">
        <v>4838.8997201027996</v>
      </c>
      <c r="AF6343" s="2">
        <v>5178.9930826628397</v>
      </c>
      <c r="AG6343" s="2">
        <v>4805.7685608402398</v>
      </c>
      <c r="AH6343" s="2">
        <v>4769.3069998766196</v>
      </c>
      <c r="AI6343" s="2">
        <v>3965.6055308732298</v>
      </c>
      <c r="AJ6343" s="2">
        <v>4043.3300795454102</v>
      </c>
      <c r="AK6343" s="2">
        <v>4697.0169533123199</v>
      </c>
      <c r="AL6343" s="2">
        <v>4404.3865985065704</v>
      </c>
      <c r="AM6343" s="2">
        <v>2963.6409448547902</v>
      </c>
      <c r="AN6343" s="2">
        <v>4309.3125443272402</v>
      </c>
      <c r="AO6343" s="2">
        <v>5025.9690356462697</v>
      </c>
      <c r="AP6343" s="2">
        <v>4439.0626856833496</v>
      </c>
    </row>
    <row r="6344" spans="1:42" ht="14.5" x14ac:dyDescent="0.35">
      <c r="A6344" s="2" t="s">
        <v>42048</v>
      </c>
      <c r="B6344" s="2">
        <v>194.96667064769699</v>
      </c>
      <c r="C6344" s="2">
        <v>0.89846666666666697</v>
      </c>
      <c r="D6344" s="2" t="s">
        <v>34</v>
      </c>
      <c r="E6344" s="2" t="s">
        <v>42049</v>
      </c>
      <c r="F6344" s="2">
        <v>209796</v>
      </c>
      <c r="G6344" s="3" t="str">
        <f>HYPERLINK("http://funmeta.oebiotech.com/network/209796", "http://funmeta.oebiotech.com/network/209796")</f>
        <v>http://funmeta.oebiotech.com/network/209796</v>
      </c>
      <c r="H6344" s="2" t="s">
        <v>42050</v>
      </c>
      <c r="I6344" s="2">
        <v>455500</v>
      </c>
      <c r="J6344" s="2"/>
      <c r="K6344" s="2"/>
      <c r="L6344" s="2"/>
      <c r="M6344" s="2"/>
      <c r="N6344" s="2"/>
      <c r="O6344" s="2">
        <v>31435</v>
      </c>
      <c r="P6344" s="2"/>
      <c r="Q6344" s="2" t="s">
        <v>42051</v>
      </c>
      <c r="R6344" s="2" t="s">
        <v>42052</v>
      </c>
      <c r="S6344" s="2" t="s">
        <v>27200</v>
      </c>
      <c r="T6344" s="2" t="s">
        <v>27201</v>
      </c>
      <c r="U6344" s="2" t="s">
        <v>41</v>
      </c>
      <c r="V6344" s="2" t="s">
        <v>59</v>
      </c>
      <c r="W6344" s="2">
        <v>37</v>
      </c>
      <c r="X6344" s="2">
        <v>0</v>
      </c>
      <c r="Y6344" s="2" t="s">
        <v>470</v>
      </c>
      <c r="Z6344" s="2" t="s">
        <v>42053</v>
      </c>
      <c r="AA6344" s="2">
        <v>-4.1179069516987301</v>
      </c>
      <c r="AB6344" s="2">
        <v>3.46411474787938E-2</v>
      </c>
      <c r="AC6344" s="2">
        <v>3600.37593084013</v>
      </c>
      <c r="AD6344" s="2">
        <v>3333.3844665001402</v>
      </c>
      <c r="AE6344" s="2">
        <v>3939.7049072437999</v>
      </c>
      <c r="AF6344" s="2">
        <v>3789.6674958459198</v>
      </c>
      <c r="AG6344" s="2">
        <v>3247.8708145511</v>
      </c>
      <c r="AH6344" s="2">
        <v>3532.41372278063</v>
      </c>
      <c r="AI6344" s="2">
        <v>3486.7238063663199</v>
      </c>
      <c r="AJ6344" s="2">
        <v>3605.8748382530398</v>
      </c>
      <c r="AK6344" s="2">
        <v>4315.2201596851501</v>
      </c>
      <c r="AL6344" s="2">
        <v>2591.4277279592102</v>
      </c>
      <c r="AM6344" s="2">
        <v>2795.3851246116701</v>
      </c>
      <c r="AN6344" s="2">
        <v>3665.9873642054299</v>
      </c>
      <c r="AO6344" s="2">
        <v>3177.8978514519699</v>
      </c>
      <c r="AP6344" s="2">
        <v>3454.3885710873901</v>
      </c>
    </row>
    <row r="6345" spans="1:42" ht="14.5" x14ac:dyDescent="0.35">
      <c r="A6345" s="2" t="s">
        <v>42054</v>
      </c>
      <c r="B6345" s="2">
        <v>505.13276439198398</v>
      </c>
      <c r="C6345" s="2">
        <v>4.5423999999999998</v>
      </c>
      <c r="D6345" s="2" t="s">
        <v>70</v>
      </c>
      <c r="E6345" s="2" t="s">
        <v>42055</v>
      </c>
      <c r="F6345" s="2">
        <v>64476</v>
      </c>
      <c r="G6345" s="3" t="str">
        <f>HYPERLINK("http://funmeta.oebiotech.com/network/64476", "http://funmeta.oebiotech.com/network/64476")</f>
        <v>http://funmeta.oebiotech.com/network/64476</v>
      </c>
      <c r="H6345" s="2" t="s">
        <v>42056</v>
      </c>
      <c r="I6345" s="2">
        <v>95787</v>
      </c>
      <c r="J6345" s="2"/>
      <c r="K6345" s="2"/>
      <c r="L6345" s="2"/>
      <c r="M6345" s="2"/>
      <c r="N6345" s="2"/>
      <c r="O6345" s="2">
        <v>131753130</v>
      </c>
      <c r="P6345" s="2" t="s">
        <v>42057</v>
      </c>
      <c r="Q6345" s="2" t="s">
        <v>42058</v>
      </c>
      <c r="R6345" s="2" t="s">
        <v>42059</v>
      </c>
      <c r="S6345" s="2" t="s">
        <v>115</v>
      </c>
      <c r="T6345" s="2" t="s">
        <v>139</v>
      </c>
      <c r="U6345" s="2" t="s">
        <v>140</v>
      </c>
      <c r="V6345" s="2" t="s">
        <v>59</v>
      </c>
      <c r="W6345" s="2">
        <v>37.9</v>
      </c>
      <c r="X6345" s="2">
        <v>0</v>
      </c>
      <c r="Y6345" s="2" t="s">
        <v>408</v>
      </c>
      <c r="Z6345" s="2" t="s">
        <v>30879</v>
      </c>
      <c r="AA6345" s="2">
        <v>-5.1842029015459303</v>
      </c>
      <c r="AB6345" s="2">
        <v>3.4618217019520503E-2</v>
      </c>
      <c r="AC6345" s="2">
        <v>2498.2028025483201</v>
      </c>
      <c r="AD6345" s="2">
        <v>2120.3535538732199</v>
      </c>
      <c r="AE6345" s="2">
        <v>3158.00583728431</v>
      </c>
      <c r="AF6345" s="2">
        <v>3134.7193024620901</v>
      </c>
      <c r="AG6345" s="2">
        <v>3637.41192047305</v>
      </c>
      <c r="AH6345" s="2">
        <v>385.682260114489</v>
      </c>
      <c r="AI6345" s="2">
        <v>1367.9776893893199</v>
      </c>
      <c r="AJ6345" s="2">
        <v>3305.4198055666898</v>
      </c>
      <c r="AK6345" s="2">
        <v>3164.9778868592198</v>
      </c>
      <c r="AL6345" s="2">
        <v>1511.75068905176</v>
      </c>
      <c r="AM6345" s="2">
        <v>2198.96131341215</v>
      </c>
      <c r="AN6345" s="2">
        <v>1532.01537496994</v>
      </c>
      <c r="AO6345" s="2">
        <v>2607.0238861461598</v>
      </c>
      <c r="AP6345" s="2">
        <v>1707.3921728000901</v>
      </c>
    </row>
    <row r="6346" spans="1:42" ht="14.5" x14ac:dyDescent="0.35">
      <c r="A6346" s="2" t="s">
        <v>42060</v>
      </c>
      <c r="B6346" s="2">
        <v>459.223611447395</v>
      </c>
      <c r="C6346" s="2">
        <v>4.09636666666667</v>
      </c>
      <c r="D6346" s="2" t="s">
        <v>70</v>
      </c>
      <c r="E6346" s="2" t="s">
        <v>42061</v>
      </c>
      <c r="F6346" s="2">
        <v>289963</v>
      </c>
      <c r="G6346" s="3" t="str">
        <f>HYPERLINK("http://funmeta.oebiotech.com/network/289963", "http://funmeta.oebiotech.com/network/289963")</f>
        <v>http://funmeta.oebiotech.com/network/289963</v>
      </c>
      <c r="H6346" s="2"/>
      <c r="I6346" s="2">
        <v>985485</v>
      </c>
      <c r="J6346" s="2"/>
      <c r="K6346" s="2"/>
      <c r="L6346" s="2"/>
      <c r="M6346" s="2"/>
      <c r="N6346" s="2"/>
      <c r="O6346" s="2">
        <v>12245839</v>
      </c>
      <c r="P6346" s="2"/>
      <c r="Q6346" s="2" t="s">
        <v>42062</v>
      </c>
      <c r="R6346" s="2" t="s">
        <v>42063</v>
      </c>
      <c r="S6346" s="2" t="s">
        <v>491</v>
      </c>
      <c r="T6346" s="2" t="s">
        <v>12134</v>
      </c>
      <c r="U6346" s="2" t="s">
        <v>14916</v>
      </c>
      <c r="V6346" s="2" t="s">
        <v>59</v>
      </c>
      <c r="W6346" s="2">
        <v>39.299999999999997</v>
      </c>
      <c r="X6346" s="2">
        <v>0</v>
      </c>
      <c r="Y6346" s="2" t="s">
        <v>560</v>
      </c>
      <c r="Z6346" s="2" t="s">
        <v>42064</v>
      </c>
      <c r="AA6346" s="2">
        <v>8.8062925384961896E-2</v>
      </c>
      <c r="AB6346" s="2">
        <v>3.4516290548899403E-2</v>
      </c>
      <c r="AC6346" s="2">
        <v>3991.1296063264999</v>
      </c>
      <c r="AD6346" s="2">
        <v>4274.9479667587502</v>
      </c>
      <c r="AE6346" s="2">
        <v>3858.9237930046902</v>
      </c>
      <c r="AF6346" s="2">
        <v>4860.2640821662098</v>
      </c>
      <c r="AG6346" s="2">
        <v>4060.55669443133</v>
      </c>
      <c r="AH6346" s="2">
        <v>4375.3330520992404</v>
      </c>
      <c r="AI6346" s="2">
        <v>3743.5282413531299</v>
      </c>
      <c r="AJ6346" s="2">
        <v>3048.1717749043901</v>
      </c>
      <c r="AK6346" s="2">
        <v>4885.9025655702399</v>
      </c>
      <c r="AL6346" s="2">
        <v>4486.3637250016</v>
      </c>
      <c r="AM6346" s="2">
        <v>4366.4050029418304</v>
      </c>
      <c r="AN6346" s="2">
        <v>4116.2960090415199</v>
      </c>
      <c r="AO6346" s="2">
        <v>3636.0319337742599</v>
      </c>
      <c r="AP6346" s="2">
        <v>4158.68856422307</v>
      </c>
    </row>
    <row r="6347" spans="1:42" ht="14.5" x14ac:dyDescent="0.35">
      <c r="A6347" s="2" t="s">
        <v>42065</v>
      </c>
      <c r="B6347" s="2">
        <v>363.18046928121998</v>
      </c>
      <c r="C6347" s="2">
        <v>4.3281833333333299</v>
      </c>
      <c r="D6347" s="2" t="s">
        <v>70</v>
      </c>
      <c r="E6347" s="2" t="s">
        <v>42066</v>
      </c>
      <c r="F6347" s="2">
        <v>44972</v>
      </c>
      <c r="G6347" s="3" t="str">
        <f>HYPERLINK("http://funmeta.oebiotech.com/network/44972", "http://funmeta.oebiotech.com/network/44972")</f>
        <v>http://funmeta.oebiotech.com/network/44972</v>
      </c>
      <c r="H6347" s="2"/>
      <c r="I6347" s="2"/>
      <c r="J6347" s="2" t="s">
        <v>42067</v>
      </c>
      <c r="K6347" s="2"/>
      <c r="L6347" s="2"/>
      <c r="M6347" s="2"/>
      <c r="N6347" s="2"/>
      <c r="O6347" s="2">
        <v>73242223</v>
      </c>
      <c r="P6347" s="2"/>
      <c r="Q6347" s="2" t="s">
        <v>42068</v>
      </c>
      <c r="R6347" s="2" t="s">
        <v>42069</v>
      </c>
      <c r="S6347" s="2" t="s">
        <v>148</v>
      </c>
      <c r="T6347" s="2" t="s">
        <v>392</v>
      </c>
      <c r="U6347" s="2" t="s">
        <v>2045</v>
      </c>
      <c r="V6347" s="2" t="s">
        <v>42</v>
      </c>
      <c r="W6347" s="2">
        <v>50.9</v>
      </c>
      <c r="X6347" s="2">
        <v>74.8</v>
      </c>
      <c r="Y6347" s="2" t="s">
        <v>408</v>
      </c>
      <c r="Z6347" s="2" t="s">
        <v>42070</v>
      </c>
      <c r="AA6347" s="2">
        <v>-2.6491061758431398</v>
      </c>
      <c r="AB6347" s="2">
        <v>3.4468431541115702E-2</v>
      </c>
      <c r="AC6347" s="2">
        <v>10922.639554282699</v>
      </c>
      <c r="AD6347" s="2">
        <v>11294.4639968711</v>
      </c>
      <c r="AE6347" s="2">
        <v>10385.4461101618</v>
      </c>
      <c r="AF6347" s="2">
        <v>10132.175382879501</v>
      </c>
      <c r="AG6347" s="2">
        <v>11110.384318451501</v>
      </c>
      <c r="AH6347" s="2">
        <v>10159.746481689201</v>
      </c>
      <c r="AI6347" s="2">
        <v>12876.531956192301</v>
      </c>
      <c r="AJ6347" s="2">
        <v>10871.553076321699</v>
      </c>
      <c r="AK6347" s="2">
        <v>10409.670920156799</v>
      </c>
      <c r="AL6347" s="2">
        <v>12126.1280521756</v>
      </c>
      <c r="AM6347" s="2">
        <v>10577.498830151801</v>
      </c>
      <c r="AN6347" s="2">
        <v>12385.593728215001</v>
      </c>
      <c r="AO6347" s="2">
        <v>12144.518972595601</v>
      </c>
      <c r="AP6347" s="2">
        <v>10123.3734779318</v>
      </c>
    </row>
    <row r="6348" spans="1:42" ht="14.5" x14ac:dyDescent="0.35">
      <c r="A6348" s="2" t="s">
        <v>42071</v>
      </c>
      <c r="B6348" s="2">
        <v>1025.4725983436899</v>
      </c>
      <c r="C6348" s="2">
        <v>9.4396666666666693</v>
      </c>
      <c r="D6348" s="2" t="s">
        <v>70</v>
      </c>
      <c r="E6348" s="2" t="s">
        <v>42072</v>
      </c>
      <c r="F6348" s="2">
        <v>267500</v>
      </c>
      <c r="G6348" s="3" t="str">
        <f>HYPERLINK("http://funmeta.oebiotech.com/network/267500", "http://funmeta.oebiotech.com/network/267500")</f>
        <v>http://funmeta.oebiotech.com/network/267500</v>
      </c>
      <c r="H6348" s="2"/>
      <c r="I6348" s="2">
        <v>45566</v>
      </c>
      <c r="J6348" s="2"/>
      <c r="K6348" s="2"/>
      <c r="L6348" s="2"/>
      <c r="M6348" s="2"/>
      <c r="N6348" s="2"/>
      <c r="O6348" s="2">
        <v>9914412</v>
      </c>
      <c r="P6348" s="2" t="s">
        <v>42073</v>
      </c>
      <c r="Q6348" s="2" t="s">
        <v>42074</v>
      </c>
      <c r="R6348" s="2" t="s">
        <v>42075</v>
      </c>
      <c r="S6348" s="2" t="s">
        <v>148</v>
      </c>
      <c r="T6348" s="2" t="s">
        <v>149</v>
      </c>
      <c r="U6348" s="2" t="s">
        <v>4630</v>
      </c>
      <c r="V6348" s="2" t="s">
        <v>59</v>
      </c>
      <c r="W6348" s="2">
        <v>37.9</v>
      </c>
      <c r="X6348" s="2">
        <v>0</v>
      </c>
      <c r="Y6348" s="2" t="s">
        <v>560</v>
      </c>
      <c r="Z6348" s="2" t="s">
        <v>42076</v>
      </c>
      <c r="AA6348" s="2">
        <v>4.5454413564906204</v>
      </c>
      <c r="AB6348" s="2">
        <v>3.4460205225392698E-2</v>
      </c>
      <c r="AC6348" s="2">
        <v>14647.5117200655</v>
      </c>
      <c r="AD6348" s="2">
        <v>15253.264586645</v>
      </c>
      <c r="AE6348" s="2">
        <v>9677.0524775539307</v>
      </c>
      <c r="AF6348" s="2">
        <v>14406.455268168</v>
      </c>
      <c r="AG6348" s="2">
        <v>16630.649329946398</v>
      </c>
      <c r="AH6348" s="2">
        <v>15823.2710157031</v>
      </c>
      <c r="AI6348" s="2">
        <v>16276.7729460235</v>
      </c>
      <c r="AJ6348" s="2">
        <v>15070.869282998099</v>
      </c>
      <c r="AK6348" s="2">
        <v>14249.324770982699</v>
      </c>
      <c r="AL6348" s="2">
        <v>17557.6648018665</v>
      </c>
      <c r="AM6348" s="2">
        <v>13763.1122956327</v>
      </c>
      <c r="AN6348" s="2">
        <v>12470.4642825468</v>
      </c>
      <c r="AO6348" s="2">
        <v>19323.7461010304</v>
      </c>
      <c r="AP6348" s="2">
        <v>14155.275267810801</v>
      </c>
    </row>
    <row r="6349" spans="1:42" ht="14.5" x14ac:dyDescent="0.35">
      <c r="A6349" s="2" t="s">
        <v>42077</v>
      </c>
      <c r="B6349" s="2">
        <v>227.054855525362</v>
      </c>
      <c r="C6349" s="2">
        <v>4.1584500000000002</v>
      </c>
      <c r="D6349" s="2" t="s">
        <v>34</v>
      </c>
      <c r="E6349" s="2" t="s">
        <v>42078</v>
      </c>
      <c r="F6349" s="2">
        <v>51899</v>
      </c>
      <c r="G6349" s="3" t="str">
        <f>HYPERLINK("http://funmeta.oebiotech.com/network/51899", "http://funmeta.oebiotech.com/network/51899")</f>
        <v>http://funmeta.oebiotech.com/network/51899</v>
      </c>
      <c r="H6349" s="2" t="s">
        <v>42079</v>
      </c>
      <c r="I6349" s="2">
        <v>368</v>
      </c>
      <c r="J6349" s="2"/>
      <c r="K6349" s="2">
        <v>17333</v>
      </c>
      <c r="L6349" s="2" t="s">
        <v>42080</v>
      </c>
      <c r="M6349" s="2" t="s">
        <v>42081</v>
      </c>
      <c r="N6349" s="2" t="s">
        <v>42082</v>
      </c>
      <c r="O6349" s="2">
        <v>12039</v>
      </c>
      <c r="P6349" s="2" t="s">
        <v>42083</v>
      </c>
      <c r="Q6349" s="2" t="s">
        <v>42084</v>
      </c>
      <c r="R6349" s="2" t="s">
        <v>42085</v>
      </c>
      <c r="S6349" s="2" t="s">
        <v>89</v>
      </c>
      <c r="T6349" s="2" t="s">
        <v>90</v>
      </c>
      <c r="U6349" s="2" t="s">
        <v>22612</v>
      </c>
      <c r="V6349" s="2" t="s">
        <v>59</v>
      </c>
      <c r="W6349" s="2">
        <v>38.799999999999997</v>
      </c>
      <c r="X6349" s="2">
        <v>0</v>
      </c>
      <c r="Y6349" s="2" t="s">
        <v>266</v>
      </c>
      <c r="Z6349" s="2" t="s">
        <v>30558</v>
      </c>
      <c r="AA6349" s="2">
        <v>-0.70314660019735897</v>
      </c>
      <c r="AB6349" s="2">
        <v>3.4267405341023502E-2</v>
      </c>
      <c r="AC6349" s="2">
        <v>7064.3865609105496</v>
      </c>
      <c r="AD6349" s="2">
        <v>6800.4527427062703</v>
      </c>
      <c r="AE6349" s="2">
        <v>6563.3578290562</v>
      </c>
      <c r="AF6349" s="2">
        <v>7616.1089655988699</v>
      </c>
      <c r="AG6349" s="2">
        <v>7098.1746420938698</v>
      </c>
      <c r="AH6349" s="2">
        <v>7054.6362893198902</v>
      </c>
      <c r="AI6349" s="2">
        <v>6929.2488798160402</v>
      </c>
      <c r="AJ6349" s="2">
        <v>7124.7927595784204</v>
      </c>
      <c r="AK6349" s="2">
        <v>6655.6654891108801</v>
      </c>
      <c r="AL6349" s="2">
        <v>6014.1166998012304</v>
      </c>
      <c r="AM6349" s="2">
        <v>6368.0468134166904</v>
      </c>
      <c r="AN6349" s="2">
        <v>7392.7111523161002</v>
      </c>
      <c r="AO6349" s="2">
        <v>7436.3129838271698</v>
      </c>
      <c r="AP6349" s="2">
        <v>6935.8633177655502</v>
      </c>
    </row>
    <row r="6350" spans="1:42" ht="14.5" x14ac:dyDescent="0.35">
      <c r="A6350" s="2" t="s">
        <v>42086</v>
      </c>
      <c r="B6350" s="2">
        <v>181.097141761047</v>
      </c>
      <c r="C6350" s="2">
        <v>4.0024166666666696</v>
      </c>
      <c r="D6350" s="2" t="s">
        <v>34</v>
      </c>
      <c r="E6350" s="2" t="s">
        <v>42087</v>
      </c>
      <c r="F6350" s="2">
        <v>258182</v>
      </c>
      <c r="G6350" s="3" t="str">
        <f>HYPERLINK("http://funmeta.oebiotech.com/network/258182", "http://funmeta.oebiotech.com/network/258182")</f>
        <v>http://funmeta.oebiotech.com/network/258182</v>
      </c>
      <c r="H6350" s="2"/>
      <c r="I6350" s="2">
        <v>2829</v>
      </c>
      <c r="J6350" s="2"/>
      <c r="K6350" s="2"/>
      <c r="L6350" s="2"/>
      <c r="M6350" s="2"/>
      <c r="N6350" s="2"/>
      <c r="O6350" s="2">
        <v>73942</v>
      </c>
      <c r="P6350" s="2" t="s">
        <v>42088</v>
      </c>
      <c r="Q6350" s="2" t="s">
        <v>42089</v>
      </c>
      <c r="R6350" s="2" t="s">
        <v>42090</v>
      </c>
      <c r="S6350" s="2" t="s">
        <v>148</v>
      </c>
      <c r="T6350" s="2" t="s">
        <v>149</v>
      </c>
      <c r="U6350" s="2" t="s">
        <v>4630</v>
      </c>
      <c r="V6350" s="2" t="s">
        <v>59</v>
      </c>
      <c r="W6350" s="2">
        <v>38</v>
      </c>
      <c r="X6350" s="2">
        <v>0</v>
      </c>
      <c r="Y6350" s="2" t="s">
        <v>43</v>
      </c>
      <c r="Z6350" s="2" t="s">
        <v>19545</v>
      </c>
      <c r="AA6350" s="2">
        <v>-7.5440031295659904E-2</v>
      </c>
      <c r="AB6350" s="2">
        <v>3.4135152903154803E-2</v>
      </c>
      <c r="AC6350" s="2">
        <v>112.839930955718</v>
      </c>
      <c r="AD6350" s="2">
        <v>228.65543608323</v>
      </c>
      <c r="AE6350" s="2">
        <v>227.33641179597799</v>
      </c>
      <c r="AF6350" s="2">
        <v>188.44660098399899</v>
      </c>
      <c r="AG6350" s="2">
        <v>119.859572886848</v>
      </c>
      <c r="AH6350" s="2">
        <v>69.0224345434859</v>
      </c>
      <c r="AI6350" s="2">
        <v>2.7106294003980101E-5</v>
      </c>
      <c r="AJ6350" s="2">
        <v>72.374538417701103</v>
      </c>
      <c r="AK6350" s="2">
        <v>200.983049217912</v>
      </c>
      <c r="AL6350" s="2">
        <v>204.59807863298201</v>
      </c>
      <c r="AM6350" s="2">
        <v>218.11053973668501</v>
      </c>
      <c r="AN6350" s="2">
        <v>165.646234885008</v>
      </c>
      <c r="AO6350" s="2">
        <v>278.555952271904</v>
      </c>
      <c r="AP6350" s="2">
        <v>304.03876175488602</v>
      </c>
    </row>
    <row r="6351" spans="1:42" ht="14.5" x14ac:dyDescent="0.35">
      <c r="A6351" s="2" t="s">
        <v>42091</v>
      </c>
      <c r="B6351" s="2">
        <v>435.23860839451999</v>
      </c>
      <c r="C6351" s="2">
        <v>10.5637333333333</v>
      </c>
      <c r="D6351" s="2" t="s">
        <v>70</v>
      </c>
      <c r="E6351" s="2" t="s">
        <v>42092</v>
      </c>
      <c r="F6351" s="2">
        <v>44650</v>
      </c>
      <c r="G6351" s="3" t="str">
        <f>HYPERLINK("http://funmeta.oebiotech.com/network/44650", "http://funmeta.oebiotech.com/network/44650")</f>
        <v>http://funmeta.oebiotech.com/network/44650</v>
      </c>
      <c r="H6351" s="2"/>
      <c r="I6351" s="2">
        <v>2061</v>
      </c>
      <c r="J6351" s="2" t="s">
        <v>42093</v>
      </c>
      <c r="K6351" s="2">
        <v>42098</v>
      </c>
      <c r="L6351" s="2"/>
      <c r="M6351" s="2"/>
      <c r="N6351" s="2"/>
      <c r="O6351" s="2">
        <v>15478</v>
      </c>
      <c r="P6351" s="2" t="s">
        <v>42094</v>
      </c>
      <c r="Q6351" s="2" t="s">
        <v>42095</v>
      </c>
      <c r="R6351" s="2" t="s">
        <v>42096</v>
      </c>
      <c r="S6351" s="2" t="s">
        <v>50</v>
      </c>
      <c r="T6351" s="2" t="s">
        <v>124</v>
      </c>
      <c r="U6351" s="2" t="s">
        <v>567</v>
      </c>
      <c r="V6351" s="2" t="s">
        <v>59</v>
      </c>
      <c r="W6351" s="2">
        <v>38</v>
      </c>
      <c r="X6351" s="2">
        <v>0</v>
      </c>
      <c r="Y6351" s="2" t="s">
        <v>408</v>
      </c>
      <c r="Z6351" s="2" t="s">
        <v>38224</v>
      </c>
      <c r="AA6351" s="2">
        <v>-0.56033033554213896</v>
      </c>
      <c r="AB6351" s="2">
        <v>3.39629492441645E-2</v>
      </c>
      <c r="AC6351" s="2">
        <v>593.56300549406001</v>
      </c>
      <c r="AD6351" s="2">
        <v>425.74875116560997</v>
      </c>
      <c r="AE6351" s="2">
        <v>673.76431240788304</v>
      </c>
      <c r="AF6351" s="2">
        <v>561.29604281797401</v>
      </c>
      <c r="AG6351" s="2">
        <v>343.219957526575</v>
      </c>
      <c r="AH6351" s="2">
        <v>538.38960982588503</v>
      </c>
      <c r="AI6351" s="2">
        <v>705.70682343662304</v>
      </c>
      <c r="AJ6351" s="2">
        <v>739.00128694941804</v>
      </c>
      <c r="AK6351" s="2">
        <v>108.35746366471599</v>
      </c>
      <c r="AL6351" s="2">
        <v>513.47676322422001</v>
      </c>
      <c r="AM6351" s="2">
        <v>459.99674924413898</v>
      </c>
      <c r="AN6351" s="2">
        <v>300.49206089479497</v>
      </c>
      <c r="AO6351" s="2">
        <v>445.77083079558702</v>
      </c>
      <c r="AP6351" s="2">
        <v>726.398639170205</v>
      </c>
    </row>
    <row r="6352" spans="1:42" ht="14.5" x14ac:dyDescent="0.35">
      <c r="A6352" s="2" t="s">
        <v>42097</v>
      </c>
      <c r="B6352" s="2">
        <v>161.04448001340501</v>
      </c>
      <c r="C6352" s="2">
        <v>1.3894500000000001</v>
      </c>
      <c r="D6352" s="2" t="s">
        <v>70</v>
      </c>
      <c r="E6352" s="2" t="s">
        <v>42098</v>
      </c>
      <c r="F6352" s="2">
        <v>47006</v>
      </c>
      <c r="G6352" s="3" t="str">
        <f>HYPERLINK("http://funmeta.oebiotech.com/network/47006", "http://funmeta.oebiotech.com/network/47006")</f>
        <v>http://funmeta.oebiotech.com/network/47006</v>
      </c>
      <c r="H6352" s="2" t="s">
        <v>42099</v>
      </c>
      <c r="I6352" s="2">
        <v>3793</v>
      </c>
      <c r="J6352" s="2"/>
      <c r="K6352" s="2">
        <v>16831</v>
      </c>
      <c r="L6352" s="2" t="s">
        <v>42100</v>
      </c>
      <c r="M6352" s="2"/>
      <c r="N6352" s="2"/>
      <c r="O6352" s="2">
        <v>1662</v>
      </c>
      <c r="P6352" s="2" t="s">
        <v>42101</v>
      </c>
      <c r="Q6352" s="2" t="s">
        <v>42102</v>
      </c>
      <c r="R6352" s="2" t="s">
        <v>42103</v>
      </c>
      <c r="S6352" s="2" t="s">
        <v>50</v>
      </c>
      <c r="T6352" s="2" t="s">
        <v>229</v>
      </c>
      <c r="U6352" s="2" t="s">
        <v>433</v>
      </c>
      <c r="V6352" s="2" t="s">
        <v>59</v>
      </c>
      <c r="W6352" s="2">
        <v>45.4</v>
      </c>
      <c r="X6352" s="2">
        <v>39.4</v>
      </c>
      <c r="Y6352" s="2" t="s">
        <v>118</v>
      </c>
      <c r="Z6352" s="2" t="s">
        <v>21805</v>
      </c>
      <c r="AA6352" s="2">
        <v>-6.5841067897283603</v>
      </c>
      <c r="AB6352" s="2">
        <v>3.3845060659173497E-2</v>
      </c>
      <c r="AC6352" s="2">
        <v>43002.6025100033</v>
      </c>
      <c r="AD6352" s="2">
        <v>42389.435152087899</v>
      </c>
      <c r="AE6352" s="2">
        <v>40606.1925516708</v>
      </c>
      <c r="AF6352" s="2">
        <v>43861.0950694563</v>
      </c>
      <c r="AG6352" s="2">
        <v>44527.559117243298</v>
      </c>
      <c r="AH6352" s="2">
        <v>41534.019222116804</v>
      </c>
      <c r="AI6352" s="2">
        <v>43045.096632304398</v>
      </c>
      <c r="AJ6352" s="2">
        <v>44441.652467228298</v>
      </c>
      <c r="AK6352" s="2">
        <v>36603.155416907299</v>
      </c>
      <c r="AL6352" s="2">
        <v>46124.032231244499</v>
      </c>
      <c r="AM6352" s="2">
        <v>40459.7407525335</v>
      </c>
      <c r="AN6352" s="2">
        <v>45135.081634938702</v>
      </c>
      <c r="AO6352" s="2">
        <v>43871.520648833</v>
      </c>
      <c r="AP6352" s="2">
        <v>42143.080228070299</v>
      </c>
    </row>
    <row r="6353" spans="1:42" ht="14.5" x14ac:dyDescent="0.35">
      <c r="A6353" s="2" t="s">
        <v>42104</v>
      </c>
      <c r="B6353" s="2">
        <v>335.04958211551201</v>
      </c>
      <c r="C6353" s="2">
        <v>4.6673166666666699</v>
      </c>
      <c r="D6353" s="2" t="s">
        <v>70</v>
      </c>
      <c r="E6353" s="2" t="s">
        <v>42105</v>
      </c>
      <c r="F6353" s="2">
        <v>46976</v>
      </c>
      <c r="G6353" s="3" t="str">
        <f>HYPERLINK("http://funmeta.oebiotech.com/network/46976", "http://funmeta.oebiotech.com/network/46976")</f>
        <v>http://funmeta.oebiotech.com/network/46976</v>
      </c>
      <c r="H6353" s="2" t="s">
        <v>42106</v>
      </c>
      <c r="I6353" s="2">
        <v>88</v>
      </c>
      <c r="J6353" s="2"/>
      <c r="K6353" s="2">
        <v>17775</v>
      </c>
      <c r="L6353" s="2" t="s">
        <v>42107</v>
      </c>
      <c r="M6353" s="2" t="s">
        <v>42108</v>
      </c>
      <c r="N6353" s="2" t="s">
        <v>42109</v>
      </c>
      <c r="O6353" s="2">
        <v>1175</v>
      </c>
      <c r="P6353" s="2" t="s">
        <v>42110</v>
      </c>
      <c r="Q6353" s="2" t="s">
        <v>42111</v>
      </c>
      <c r="R6353" s="2" t="s">
        <v>42112</v>
      </c>
      <c r="S6353" s="2" t="s">
        <v>491</v>
      </c>
      <c r="T6353" s="2" t="s">
        <v>7431</v>
      </c>
      <c r="U6353" s="2" t="s">
        <v>7432</v>
      </c>
      <c r="V6353" s="2" t="s">
        <v>59</v>
      </c>
      <c r="W6353" s="2">
        <v>39</v>
      </c>
      <c r="X6353" s="2">
        <v>0</v>
      </c>
      <c r="Y6353" s="2" t="s">
        <v>560</v>
      </c>
      <c r="Z6353" s="2" t="s">
        <v>42113</v>
      </c>
      <c r="AA6353" s="2">
        <v>0.53126511987033598</v>
      </c>
      <c r="AB6353" s="2">
        <v>3.3817651903520998E-2</v>
      </c>
      <c r="AC6353" s="2">
        <v>1852.6368403238901</v>
      </c>
      <c r="AD6353" s="2">
        <v>1658.0404094410001</v>
      </c>
      <c r="AE6353" s="2">
        <v>2223.6486974505001</v>
      </c>
      <c r="AF6353" s="2">
        <v>1709.8023888058599</v>
      </c>
      <c r="AG6353" s="2">
        <v>1589.55300985552</v>
      </c>
      <c r="AH6353" s="2">
        <v>2016.6089588050099</v>
      </c>
      <c r="AI6353" s="2">
        <v>1407.0314968278699</v>
      </c>
      <c r="AJ6353" s="2">
        <v>2169.1764901985898</v>
      </c>
      <c r="AK6353" s="2">
        <v>1424.8067267307099</v>
      </c>
      <c r="AL6353" s="2">
        <v>1706.1314519058301</v>
      </c>
      <c r="AM6353" s="2">
        <v>1811.9049192136399</v>
      </c>
      <c r="AN6353" s="2">
        <v>1833.1716812878501</v>
      </c>
      <c r="AO6353" s="2">
        <v>1620.12953321291</v>
      </c>
      <c r="AP6353" s="2">
        <v>1552.0981442950599</v>
      </c>
    </row>
    <row r="6354" spans="1:42" ht="14.5" x14ac:dyDescent="0.35">
      <c r="A6354" s="2" t="s">
        <v>42114</v>
      </c>
      <c r="B6354" s="2">
        <v>805.29046792689496</v>
      </c>
      <c r="C6354" s="2">
        <v>6.6499833333333296</v>
      </c>
      <c r="D6354" s="2" t="s">
        <v>70</v>
      </c>
      <c r="E6354" s="2" t="s">
        <v>42115</v>
      </c>
      <c r="F6354" s="2">
        <v>50900</v>
      </c>
      <c r="G6354" s="3" t="str">
        <f>HYPERLINK("http://funmeta.oebiotech.com/network/50900", "http://funmeta.oebiotech.com/network/50900")</f>
        <v>http://funmeta.oebiotech.com/network/50900</v>
      </c>
      <c r="H6354" s="2" t="s">
        <v>42116</v>
      </c>
      <c r="I6354" s="2"/>
      <c r="J6354" s="2"/>
      <c r="K6354" s="2"/>
      <c r="L6354" s="2" t="s">
        <v>1994</v>
      </c>
      <c r="M6354" s="2" t="s">
        <v>1995</v>
      </c>
      <c r="N6354" s="2" t="s">
        <v>1996</v>
      </c>
      <c r="O6354" s="2">
        <v>6438344</v>
      </c>
      <c r="P6354" s="2"/>
      <c r="Q6354" s="2" t="s">
        <v>42117</v>
      </c>
      <c r="R6354" s="2" t="s">
        <v>42118</v>
      </c>
      <c r="S6354" s="2" t="s">
        <v>491</v>
      </c>
      <c r="T6354" s="2" t="s">
        <v>492</v>
      </c>
      <c r="U6354" s="2" t="s">
        <v>11690</v>
      </c>
      <c r="V6354" s="2" t="s">
        <v>59</v>
      </c>
      <c r="W6354" s="2">
        <v>36.6</v>
      </c>
      <c r="X6354" s="2">
        <v>0</v>
      </c>
      <c r="Y6354" s="2" t="s">
        <v>408</v>
      </c>
      <c r="Z6354" s="2" t="s">
        <v>42119</v>
      </c>
      <c r="AA6354" s="2">
        <v>-4.3506870524046199</v>
      </c>
      <c r="AB6354" s="2">
        <v>3.3779916584900399E-2</v>
      </c>
      <c r="AC6354" s="2">
        <v>18377.190916899599</v>
      </c>
      <c r="AD6354" s="2">
        <v>17711.149452113299</v>
      </c>
      <c r="AE6354" s="2">
        <v>16266.199016771699</v>
      </c>
      <c r="AF6354" s="2">
        <v>20942.5315785288</v>
      </c>
      <c r="AG6354" s="2">
        <v>14620.8057980749</v>
      </c>
      <c r="AH6354" s="2">
        <v>16684.291511323499</v>
      </c>
      <c r="AI6354" s="2">
        <v>20992.710168804399</v>
      </c>
      <c r="AJ6354" s="2">
        <v>20756.6074278946</v>
      </c>
      <c r="AK6354" s="2">
        <v>15736.961873759799</v>
      </c>
      <c r="AL6354" s="2">
        <v>15975.5045577457</v>
      </c>
      <c r="AM6354" s="2">
        <v>19294.906829768599</v>
      </c>
      <c r="AN6354" s="2">
        <v>18349.157167061101</v>
      </c>
      <c r="AO6354" s="2">
        <v>14107.6163664209</v>
      </c>
      <c r="AP6354" s="2">
        <v>22802.749917923498</v>
      </c>
    </row>
    <row r="6355" spans="1:42" ht="14.5" x14ac:dyDescent="0.35">
      <c r="A6355" s="2" t="s">
        <v>42120</v>
      </c>
      <c r="B6355" s="2">
        <v>441.09999633692303</v>
      </c>
      <c r="C6355" s="2">
        <v>0.71894999999999998</v>
      </c>
      <c r="D6355" s="2" t="s">
        <v>34</v>
      </c>
      <c r="E6355" s="2" t="s">
        <v>42121</v>
      </c>
      <c r="F6355" s="2">
        <v>61810</v>
      </c>
      <c r="G6355" s="3" t="str">
        <f>HYPERLINK("http://funmeta.oebiotech.com/network/61810", "http://funmeta.oebiotech.com/network/61810")</f>
        <v>http://funmeta.oebiotech.com/network/61810</v>
      </c>
      <c r="H6355" s="2" t="s">
        <v>42122</v>
      </c>
      <c r="I6355" s="2"/>
      <c r="J6355" s="2"/>
      <c r="K6355" s="2">
        <v>5413</v>
      </c>
      <c r="L6355" s="2" t="s">
        <v>42123</v>
      </c>
      <c r="M6355" s="2" t="s">
        <v>42124</v>
      </c>
      <c r="N6355" s="2" t="s">
        <v>42125</v>
      </c>
      <c r="O6355" s="2">
        <v>15560248</v>
      </c>
      <c r="P6355" s="2" t="s">
        <v>42126</v>
      </c>
      <c r="Q6355" s="2" t="s">
        <v>42127</v>
      </c>
      <c r="R6355" s="2" t="s">
        <v>42128</v>
      </c>
      <c r="S6355" s="2" t="s">
        <v>79</v>
      </c>
      <c r="T6355" s="2" t="s">
        <v>80</v>
      </c>
      <c r="U6355" s="2" t="s">
        <v>81</v>
      </c>
      <c r="V6355" s="2" t="s">
        <v>59</v>
      </c>
      <c r="W6355" s="2">
        <v>36</v>
      </c>
      <c r="X6355" s="2">
        <v>0</v>
      </c>
      <c r="Y6355" s="2" t="s">
        <v>43</v>
      </c>
      <c r="Z6355" s="2" t="s">
        <v>42129</v>
      </c>
      <c r="AA6355" s="2">
        <v>0.939694578135434</v>
      </c>
      <c r="AB6355" s="2">
        <v>3.37754137767423E-2</v>
      </c>
      <c r="AC6355" s="2">
        <v>18375.255486661899</v>
      </c>
      <c r="AD6355" s="2">
        <v>19059.7089356781</v>
      </c>
      <c r="AE6355" s="2">
        <v>14157.016330996101</v>
      </c>
      <c r="AF6355" s="2">
        <v>16927.723519142499</v>
      </c>
      <c r="AG6355" s="2">
        <v>18783.969785454701</v>
      </c>
      <c r="AH6355" s="2">
        <v>15830.7159081889</v>
      </c>
      <c r="AI6355" s="2">
        <v>25389.829232284301</v>
      </c>
      <c r="AJ6355" s="2">
        <v>19162.278143905001</v>
      </c>
      <c r="AK6355" s="2">
        <v>16454.5195099347</v>
      </c>
      <c r="AL6355" s="2">
        <v>20522.530368019899</v>
      </c>
      <c r="AM6355" s="2">
        <v>26132.4093791868</v>
      </c>
      <c r="AN6355" s="2">
        <v>20188.874095077299</v>
      </c>
      <c r="AO6355" s="2">
        <v>15864.316884534601</v>
      </c>
      <c r="AP6355" s="2">
        <v>15195.6033773155</v>
      </c>
    </row>
    <row r="6356" spans="1:42" ht="14.5" x14ac:dyDescent="0.35">
      <c r="A6356" s="2" t="s">
        <v>42130</v>
      </c>
      <c r="B6356" s="2">
        <v>1076.3733523104599</v>
      </c>
      <c r="C6356" s="2">
        <v>8.8417166666666702</v>
      </c>
      <c r="D6356" s="2" t="s">
        <v>70</v>
      </c>
      <c r="E6356" s="2" t="s">
        <v>42131</v>
      </c>
      <c r="F6356" s="2">
        <v>8085</v>
      </c>
      <c r="G6356" s="3" t="str">
        <f>HYPERLINK("http://funmeta.oebiotech.com/network/8085", "http://funmeta.oebiotech.com/network/8085")</f>
        <v>http://funmeta.oebiotech.com/network/8085</v>
      </c>
      <c r="H6356" s="2"/>
      <c r="I6356" s="2"/>
      <c r="J6356" s="2" t="s">
        <v>42132</v>
      </c>
      <c r="K6356" s="2"/>
      <c r="L6356" s="2"/>
      <c r="M6356" s="2"/>
      <c r="N6356" s="2"/>
      <c r="O6356" s="2">
        <v>16061156</v>
      </c>
      <c r="P6356" s="2"/>
      <c r="Q6356" s="2" t="s">
        <v>42133</v>
      </c>
      <c r="R6356" s="2" t="s">
        <v>42134</v>
      </c>
      <c r="S6356" s="2" t="s">
        <v>50</v>
      </c>
      <c r="T6356" s="2" t="s">
        <v>229</v>
      </c>
      <c r="U6356" s="2" t="s">
        <v>10433</v>
      </c>
      <c r="V6356" s="2" t="s">
        <v>59</v>
      </c>
      <c r="W6356" s="2">
        <v>38.1</v>
      </c>
      <c r="X6356" s="2">
        <v>0</v>
      </c>
      <c r="Y6356" s="2" t="s">
        <v>751</v>
      </c>
      <c r="Z6356" s="2" t="s">
        <v>42135</v>
      </c>
      <c r="AA6356" s="2">
        <v>-0.57635513208447298</v>
      </c>
      <c r="AB6356" s="2">
        <v>3.3756880135457398E-2</v>
      </c>
      <c r="AC6356" s="2">
        <v>17172.7714563681</v>
      </c>
      <c r="AD6356" s="2">
        <v>16600.701914409201</v>
      </c>
      <c r="AE6356" s="2">
        <v>16714.470239157399</v>
      </c>
      <c r="AF6356" s="2">
        <v>17505.2810825415</v>
      </c>
      <c r="AG6356" s="2">
        <v>14239.345942052199</v>
      </c>
      <c r="AH6356" s="2">
        <v>18892.806739536099</v>
      </c>
      <c r="AI6356" s="2">
        <v>18333.291575089101</v>
      </c>
      <c r="AJ6356" s="2">
        <v>17351.433159832501</v>
      </c>
      <c r="AK6356" s="2">
        <v>17167.032262795801</v>
      </c>
      <c r="AL6356" s="2">
        <v>15498.008754767399</v>
      </c>
      <c r="AM6356" s="2">
        <v>13442.6626010011</v>
      </c>
      <c r="AN6356" s="2">
        <v>16834.849883053099</v>
      </c>
      <c r="AO6356" s="2">
        <v>14979.8983509315</v>
      </c>
      <c r="AP6356" s="2">
        <v>21681.7596339062</v>
      </c>
    </row>
    <row r="6357" spans="1:42" ht="14.5" x14ac:dyDescent="0.35">
      <c r="A6357" s="2" t="s">
        <v>42136</v>
      </c>
      <c r="B6357" s="2">
        <v>164.07059954802901</v>
      </c>
      <c r="C6357" s="2">
        <v>2.81171666666667</v>
      </c>
      <c r="D6357" s="2" t="s">
        <v>34</v>
      </c>
      <c r="E6357" s="2" t="s">
        <v>42137</v>
      </c>
      <c r="F6357" s="2">
        <v>47459</v>
      </c>
      <c r="G6357" s="3" t="str">
        <f>HYPERLINK("http://funmeta.oebiotech.com/network/47459", "http://funmeta.oebiotech.com/network/47459")</f>
        <v>http://funmeta.oebiotech.com/network/47459</v>
      </c>
      <c r="H6357" s="2" t="s">
        <v>42138</v>
      </c>
      <c r="I6357" s="2">
        <v>3525</v>
      </c>
      <c r="J6357" s="2"/>
      <c r="K6357" s="2">
        <v>28794</v>
      </c>
      <c r="L6357" s="2" t="s">
        <v>42139</v>
      </c>
      <c r="M6357" s="2" t="s">
        <v>74</v>
      </c>
      <c r="N6357" s="2" t="s">
        <v>75</v>
      </c>
      <c r="O6357" s="2">
        <v>323</v>
      </c>
      <c r="P6357" s="2" t="s">
        <v>42140</v>
      </c>
      <c r="Q6357" s="2" t="s">
        <v>42141</v>
      </c>
      <c r="R6357" s="2" t="s">
        <v>42142</v>
      </c>
      <c r="S6357" s="2" t="s">
        <v>115</v>
      </c>
      <c r="T6357" s="2" t="s">
        <v>758</v>
      </c>
      <c r="U6357" s="2" t="s">
        <v>41</v>
      </c>
      <c r="V6357" s="2" t="s">
        <v>59</v>
      </c>
      <c r="W6357" s="2">
        <v>38.799999999999997</v>
      </c>
      <c r="X6357" s="2">
        <v>0</v>
      </c>
      <c r="Y6357" s="2" t="s">
        <v>43</v>
      </c>
      <c r="Z6357" s="2" t="s">
        <v>42143</v>
      </c>
      <c r="AA6357" s="2">
        <v>-3.7069501741991702E-2</v>
      </c>
      <c r="AB6357" s="2">
        <v>3.3751523673221498E-2</v>
      </c>
      <c r="AC6357" s="2">
        <v>3056.60747098722</v>
      </c>
      <c r="AD6357" s="2">
        <v>3246.9346922290802</v>
      </c>
      <c r="AE6357" s="2">
        <v>2871.6209332353001</v>
      </c>
      <c r="AF6357" s="2">
        <v>3329.6241473415298</v>
      </c>
      <c r="AG6357" s="2">
        <v>3073.9309212194198</v>
      </c>
      <c r="AH6357" s="2">
        <v>2942.1851303368198</v>
      </c>
      <c r="AI6357" s="2">
        <v>3163.6320477806398</v>
      </c>
      <c r="AJ6357" s="2">
        <v>2958.65164600962</v>
      </c>
      <c r="AK6357" s="2">
        <v>2969.4295172547199</v>
      </c>
      <c r="AL6357" s="2">
        <v>3268.4302878428898</v>
      </c>
      <c r="AM6357" s="2">
        <v>2981.9238421873201</v>
      </c>
      <c r="AN6357" s="2">
        <v>3048.1463792354998</v>
      </c>
      <c r="AO6357" s="2">
        <v>3568.9537214719498</v>
      </c>
      <c r="AP6357" s="2">
        <v>3644.72440538212</v>
      </c>
    </row>
    <row r="6358" spans="1:42" ht="14.5" x14ac:dyDescent="0.35">
      <c r="A6358" s="2" t="s">
        <v>42144</v>
      </c>
      <c r="B6358" s="2">
        <v>475.28019549247199</v>
      </c>
      <c r="C6358" s="2">
        <v>8.8024666666666693</v>
      </c>
      <c r="D6358" s="2" t="s">
        <v>34</v>
      </c>
      <c r="E6358" s="2" t="s">
        <v>42145</v>
      </c>
      <c r="F6358" s="2">
        <v>26098</v>
      </c>
      <c r="G6358" s="3" t="str">
        <f>HYPERLINK("http://funmeta.oebiotech.com/network/26098", "http://funmeta.oebiotech.com/network/26098")</f>
        <v>http://funmeta.oebiotech.com/network/26098</v>
      </c>
      <c r="H6358" s="2" t="s">
        <v>42146</v>
      </c>
      <c r="I6358" s="2">
        <v>82353</v>
      </c>
      <c r="J6358" s="2" t="s">
        <v>42147</v>
      </c>
      <c r="K6358" s="2"/>
      <c r="L6358" s="2"/>
      <c r="M6358" s="2"/>
      <c r="N6358" s="2"/>
      <c r="O6358" s="2">
        <v>44575059</v>
      </c>
      <c r="P6358" s="2"/>
      <c r="Q6358" s="2" t="s">
        <v>42148</v>
      </c>
      <c r="R6358" s="2" t="s">
        <v>42149</v>
      </c>
      <c r="S6358" s="2" t="s">
        <v>50</v>
      </c>
      <c r="T6358" s="2" t="s">
        <v>51</v>
      </c>
      <c r="U6358" s="2" t="s">
        <v>273</v>
      </c>
      <c r="V6358" s="2" t="s">
        <v>59</v>
      </c>
      <c r="W6358" s="2">
        <v>38.5</v>
      </c>
      <c r="X6358" s="2">
        <v>0</v>
      </c>
      <c r="Y6358" s="2" t="s">
        <v>323</v>
      </c>
      <c r="Z6358" s="2" t="s">
        <v>42150</v>
      </c>
      <c r="AA6358" s="2">
        <v>1.51319277966167</v>
      </c>
      <c r="AB6358" s="2">
        <v>3.3718672836417302E-2</v>
      </c>
      <c r="AC6358" s="2">
        <v>2709.0585025525202</v>
      </c>
      <c r="AD6358" s="2">
        <v>2359.6676946064399</v>
      </c>
      <c r="AE6358" s="2">
        <v>3374.4054501351602</v>
      </c>
      <c r="AF6358" s="2">
        <v>1661.22078336048</v>
      </c>
      <c r="AG6358" s="2">
        <v>3187.0373473373802</v>
      </c>
      <c r="AH6358" s="2">
        <v>2556.0198500056499</v>
      </c>
      <c r="AI6358" s="2">
        <v>3272.4328512441298</v>
      </c>
      <c r="AJ6358" s="2">
        <v>2203.2347332323002</v>
      </c>
      <c r="AK6358" s="2">
        <v>1645.60269058788</v>
      </c>
      <c r="AL6358" s="2">
        <v>3945.71588828421</v>
      </c>
      <c r="AM6358" s="2">
        <v>3138.3741870820299</v>
      </c>
      <c r="AN6358" s="2">
        <v>2443.3356840645101</v>
      </c>
      <c r="AO6358" s="2">
        <v>1538.9208958216</v>
      </c>
      <c r="AP6358" s="2">
        <v>1446.0568217984301</v>
      </c>
    </row>
    <row r="6359" spans="1:42" ht="14.5" x14ac:dyDescent="0.35">
      <c r="A6359" s="2" t="s">
        <v>42151</v>
      </c>
      <c r="B6359" s="2">
        <v>299.13640883221302</v>
      </c>
      <c r="C6359" s="2">
        <v>5.1996333333333302</v>
      </c>
      <c r="D6359" s="2" t="s">
        <v>34</v>
      </c>
      <c r="E6359" s="2" t="s">
        <v>42152</v>
      </c>
      <c r="F6359" s="2">
        <v>52759</v>
      </c>
      <c r="G6359" s="3" t="str">
        <f>HYPERLINK("http://funmeta.oebiotech.com/network/52759", "http://funmeta.oebiotech.com/network/52759")</f>
        <v>http://funmeta.oebiotech.com/network/52759</v>
      </c>
      <c r="H6359" s="2" t="s">
        <v>42153</v>
      </c>
      <c r="I6359" s="2">
        <v>3947</v>
      </c>
      <c r="J6359" s="2"/>
      <c r="K6359" s="2">
        <v>3419</v>
      </c>
      <c r="L6359" s="2" t="s">
        <v>42154</v>
      </c>
      <c r="M6359" s="2"/>
      <c r="N6359" s="2"/>
      <c r="O6359" s="2">
        <v>2576</v>
      </c>
      <c r="P6359" s="2" t="s">
        <v>42155</v>
      </c>
      <c r="Q6359" s="2" t="s">
        <v>42156</v>
      </c>
      <c r="R6359" s="2" t="s">
        <v>42157</v>
      </c>
      <c r="S6359" s="2" t="s">
        <v>89</v>
      </c>
      <c r="T6359" s="2" t="s">
        <v>90</v>
      </c>
      <c r="U6359" s="2" t="s">
        <v>99</v>
      </c>
      <c r="V6359" s="2" t="s">
        <v>59</v>
      </c>
      <c r="W6359" s="2">
        <v>39.200000000000003</v>
      </c>
      <c r="X6359" s="2">
        <v>0</v>
      </c>
      <c r="Y6359" s="2" t="s">
        <v>340</v>
      </c>
      <c r="Z6359" s="2" t="s">
        <v>42158</v>
      </c>
      <c r="AA6359" s="2">
        <v>-1.3702593066281299</v>
      </c>
      <c r="AB6359" s="2">
        <v>3.3664143079476197E-2</v>
      </c>
      <c r="AC6359" s="2">
        <v>1657.17437886672</v>
      </c>
      <c r="AD6359" s="2">
        <v>1914.0722525528199</v>
      </c>
      <c r="AE6359" s="2">
        <v>1898.16893988627</v>
      </c>
      <c r="AF6359" s="2">
        <v>1692.4948872678799</v>
      </c>
      <c r="AG6359" s="2">
        <v>2253.74750988607</v>
      </c>
      <c r="AH6359" s="2">
        <v>498.54707271091098</v>
      </c>
      <c r="AI6359" s="2">
        <v>1674.7543767479301</v>
      </c>
      <c r="AJ6359" s="2">
        <v>1925.33348670125</v>
      </c>
      <c r="AK6359" s="2">
        <v>1722.91973270738</v>
      </c>
      <c r="AL6359" s="2">
        <v>2181.98125570604</v>
      </c>
      <c r="AM6359" s="2">
        <v>1809.7979003886901</v>
      </c>
      <c r="AN6359" s="2">
        <v>1703.1459930129499</v>
      </c>
      <c r="AO6359" s="2">
        <v>1892.8645609057601</v>
      </c>
      <c r="AP6359" s="2">
        <v>2173.7240725960801</v>
      </c>
    </row>
    <row r="6360" spans="1:42" ht="14.5" x14ac:dyDescent="0.35">
      <c r="A6360" s="2" t="s">
        <v>42159</v>
      </c>
      <c r="B6360" s="2">
        <v>467.19392827242399</v>
      </c>
      <c r="C6360" s="2">
        <v>9.5614333333333299</v>
      </c>
      <c r="D6360" s="2" t="s">
        <v>34</v>
      </c>
      <c r="E6360" s="2" t="s">
        <v>42160</v>
      </c>
      <c r="F6360" s="2">
        <v>209612</v>
      </c>
      <c r="G6360" s="3" t="str">
        <f>HYPERLINK("http://funmeta.oebiotech.com/network/209612", "http://funmeta.oebiotech.com/network/209612")</f>
        <v>http://funmeta.oebiotech.com/network/209612</v>
      </c>
      <c r="H6360" s="2" t="s">
        <v>42161</v>
      </c>
      <c r="I6360" s="2"/>
      <c r="J6360" s="2"/>
      <c r="K6360" s="2"/>
      <c r="L6360" s="2"/>
      <c r="M6360" s="2"/>
      <c r="N6360" s="2"/>
      <c r="O6360" s="2">
        <v>22150</v>
      </c>
      <c r="P6360" s="2"/>
      <c r="Q6360" s="2" t="s">
        <v>42162</v>
      </c>
      <c r="R6360" s="2" t="s">
        <v>42163</v>
      </c>
      <c r="S6360" s="2" t="s">
        <v>115</v>
      </c>
      <c r="T6360" s="2" t="s">
        <v>4730</v>
      </c>
      <c r="U6360" s="2" t="s">
        <v>41</v>
      </c>
      <c r="V6360" s="2" t="s">
        <v>59</v>
      </c>
      <c r="W6360" s="2">
        <v>38.799999999999997</v>
      </c>
      <c r="X6360" s="2">
        <v>0</v>
      </c>
      <c r="Y6360" s="2" t="s">
        <v>67</v>
      </c>
      <c r="Z6360" s="2" t="s">
        <v>42164</v>
      </c>
      <c r="AA6360" s="2">
        <v>-0.44977750837699099</v>
      </c>
      <c r="AB6360" s="2">
        <v>3.3496641719375601E-2</v>
      </c>
      <c r="AC6360" s="2">
        <v>115.11980153567499</v>
      </c>
      <c r="AD6360" s="2">
        <v>17.437382336371002</v>
      </c>
      <c r="AE6360" s="2">
        <v>141.89922088248699</v>
      </c>
      <c r="AF6360" s="2">
        <v>146.34017089148099</v>
      </c>
      <c r="AG6360" s="2">
        <v>161.985923368747</v>
      </c>
      <c r="AH6360" s="2">
        <v>138.48129954831199</v>
      </c>
      <c r="AI6360" s="2">
        <v>66.345155576439495</v>
      </c>
      <c r="AJ6360" s="2">
        <v>35.667038946583297</v>
      </c>
      <c r="AK6360" s="2">
        <v>2.7106294003980101E-5</v>
      </c>
      <c r="AL6360" s="2">
        <v>2.7106294003980101E-5</v>
      </c>
      <c r="AM6360" s="2">
        <v>2.7106294003980101E-5</v>
      </c>
      <c r="AN6360" s="2">
        <v>104.624158486756</v>
      </c>
      <c r="AO6360" s="2">
        <v>2.7106294003980101E-5</v>
      </c>
      <c r="AP6360" s="2">
        <v>2.7106294003980101E-5</v>
      </c>
    </row>
    <row r="6361" spans="1:42" ht="14.5" x14ac:dyDescent="0.35">
      <c r="A6361" s="2" t="s">
        <v>42165</v>
      </c>
      <c r="B6361" s="2">
        <v>277.13911785176998</v>
      </c>
      <c r="C6361" s="2">
        <v>0.78071666666666695</v>
      </c>
      <c r="D6361" s="2" t="s">
        <v>34</v>
      </c>
      <c r="E6361" s="2" t="s">
        <v>42166</v>
      </c>
      <c r="F6361" s="2">
        <v>8346</v>
      </c>
      <c r="G6361" s="3" t="str">
        <f>HYPERLINK("http://funmeta.oebiotech.com/network/8346", "http://funmeta.oebiotech.com/network/8346")</f>
        <v>http://funmeta.oebiotech.com/network/8346</v>
      </c>
      <c r="H6361" s="2" t="s">
        <v>42167</v>
      </c>
      <c r="I6361" s="2"/>
      <c r="J6361" s="2" t="s">
        <v>42168</v>
      </c>
      <c r="K6361" s="2"/>
      <c r="L6361" s="2"/>
      <c r="M6361" s="2"/>
      <c r="N6361" s="2"/>
      <c r="O6361" s="2">
        <v>53481630</v>
      </c>
      <c r="P6361" s="2"/>
      <c r="Q6361" s="2" t="s">
        <v>42169</v>
      </c>
      <c r="R6361" s="2" t="s">
        <v>42170</v>
      </c>
      <c r="S6361" s="2" t="s">
        <v>50</v>
      </c>
      <c r="T6361" s="2" t="s">
        <v>229</v>
      </c>
      <c r="U6361" s="2" t="s">
        <v>1914</v>
      </c>
      <c r="V6361" s="2" t="s">
        <v>59</v>
      </c>
      <c r="W6361" s="2">
        <v>39.299999999999997</v>
      </c>
      <c r="X6361" s="2">
        <v>0</v>
      </c>
      <c r="Y6361" s="2" t="s">
        <v>24482</v>
      </c>
      <c r="Z6361" s="2" t="s">
        <v>42171</v>
      </c>
      <c r="AA6361" s="2">
        <v>-1.1383219605763799</v>
      </c>
      <c r="AB6361" s="2">
        <v>3.3476743323068797E-2</v>
      </c>
      <c r="AC6361" s="2">
        <v>9182.8271413919192</v>
      </c>
      <c r="AD6361" s="2">
        <v>9648.4060151901194</v>
      </c>
      <c r="AE6361" s="2">
        <v>8494.1291565189294</v>
      </c>
      <c r="AF6361" s="2">
        <v>9369.7915376271103</v>
      </c>
      <c r="AG6361" s="2">
        <v>9382.58696085671</v>
      </c>
      <c r="AH6361" s="2">
        <v>8405.6602737125704</v>
      </c>
      <c r="AI6361" s="2">
        <v>9032.3159638593097</v>
      </c>
      <c r="AJ6361" s="2">
        <v>10412.4789557769</v>
      </c>
      <c r="AK6361" s="2">
        <v>12398.2997786007</v>
      </c>
      <c r="AL6361" s="2">
        <v>10111.3557210899</v>
      </c>
      <c r="AM6361" s="2">
        <v>8544.3023636136295</v>
      </c>
      <c r="AN6361" s="2">
        <v>9878.9035838323198</v>
      </c>
      <c r="AO6361" s="2">
        <v>6329.6075562943597</v>
      </c>
      <c r="AP6361" s="2">
        <v>10627.9670877098</v>
      </c>
    </row>
    <row r="6362" spans="1:42" ht="14.5" x14ac:dyDescent="0.35">
      <c r="A6362" s="2" t="s">
        <v>42172</v>
      </c>
      <c r="B6362" s="2">
        <v>565.32246740838798</v>
      </c>
      <c r="C6362" s="2">
        <v>6.95231666666667</v>
      </c>
      <c r="D6362" s="2" t="s">
        <v>70</v>
      </c>
      <c r="E6362" s="2" t="s">
        <v>42173</v>
      </c>
      <c r="F6362" s="2">
        <v>53914</v>
      </c>
      <c r="G6362" s="3" t="str">
        <f>HYPERLINK("http://funmeta.oebiotech.com/network/53914", "http://funmeta.oebiotech.com/network/53914")</f>
        <v>http://funmeta.oebiotech.com/network/53914</v>
      </c>
      <c r="H6362" s="2" t="s">
        <v>42174</v>
      </c>
      <c r="I6362" s="2">
        <v>23848</v>
      </c>
      <c r="J6362" s="2"/>
      <c r="K6362" s="2">
        <v>74052</v>
      </c>
      <c r="L6362" s="2"/>
      <c r="M6362" s="2"/>
      <c r="N6362" s="2"/>
      <c r="O6362" s="2">
        <v>148224</v>
      </c>
      <c r="P6362" s="2" t="s">
        <v>42175</v>
      </c>
      <c r="Q6362" s="2" t="s">
        <v>42176</v>
      </c>
      <c r="R6362" s="2" t="s">
        <v>42177</v>
      </c>
      <c r="S6362" s="2" t="s">
        <v>89</v>
      </c>
      <c r="T6362" s="2" t="s">
        <v>90</v>
      </c>
      <c r="U6362" s="2" t="s">
        <v>99</v>
      </c>
      <c r="V6362" s="2" t="s">
        <v>59</v>
      </c>
      <c r="W6362" s="2">
        <v>40.299999999999997</v>
      </c>
      <c r="X6362" s="2">
        <v>10.4</v>
      </c>
      <c r="Y6362" s="2" t="s">
        <v>560</v>
      </c>
      <c r="Z6362" s="2" t="s">
        <v>42178</v>
      </c>
      <c r="AA6362" s="2">
        <v>1.5269009221852501</v>
      </c>
      <c r="AB6362" s="2">
        <v>3.3329000636831502E-2</v>
      </c>
      <c r="AC6362" s="2">
        <v>1974.5691369592901</v>
      </c>
      <c r="AD6362" s="2">
        <v>2248.8914536566399</v>
      </c>
      <c r="AE6362" s="2">
        <v>2035.35888335496</v>
      </c>
      <c r="AF6362" s="2">
        <v>1761.3763359030199</v>
      </c>
      <c r="AG6362" s="2">
        <v>2159.6382172869899</v>
      </c>
      <c r="AH6362" s="2">
        <v>1421.2146727382799</v>
      </c>
      <c r="AI6362" s="2">
        <v>1451.4683720869</v>
      </c>
      <c r="AJ6362" s="2">
        <v>3018.35834038556</v>
      </c>
      <c r="AK6362" s="2">
        <v>1916.09614101084</v>
      </c>
      <c r="AL6362" s="2">
        <v>2651.0514717501801</v>
      </c>
      <c r="AM6362" s="2">
        <v>2597.3278824512799</v>
      </c>
      <c r="AN6362" s="2">
        <v>2653.66188605463</v>
      </c>
      <c r="AO6362" s="2">
        <v>2164.9291449809298</v>
      </c>
      <c r="AP6362" s="2">
        <v>1510.28219569201</v>
      </c>
    </row>
    <row r="6363" spans="1:42" ht="14.5" x14ac:dyDescent="0.35">
      <c r="A6363" s="2" t="s">
        <v>42179</v>
      </c>
      <c r="B6363" s="2">
        <v>684.53953517880495</v>
      </c>
      <c r="C6363" s="2">
        <v>14.094333333333299</v>
      </c>
      <c r="D6363" s="2" t="s">
        <v>34</v>
      </c>
      <c r="E6363" s="2" t="s">
        <v>42180</v>
      </c>
      <c r="F6363" s="2">
        <v>40161</v>
      </c>
      <c r="G6363" s="3" t="str">
        <f>HYPERLINK("http://funmeta.oebiotech.com/network/40161", "http://funmeta.oebiotech.com/network/40161")</f>
        <v>http://funmeta.oebiotech.com/network/40161</v>
      </c>
      <c r="H6363" s="2"/>
      <c r="I6363" s="2"/>
      <c r="J6363" s="2" t="s">
        <v>42181</v>
      </c>
      <c r="K6363" s="2"/>
      <c r="L6363" s="2"/>
      <c r="M6363" s="2"/>
      <c r="N6363" s="2"/>
      <c r="O6363" s="2">
        <v>70699239</v>
      </c>
      <c r="P6363" s="2"/>
      <c r="Q6363" s="2" t="s">
        <v>42182</v>
      </c>
      <c r="R6363" s="2" t="s">
        <v>42183</v>
      </c>
      <c r="S6363" s="2" t="s">
        <v>50</v>
      </c>
      <c r="T6363" s="2" t="s">
        <v>229</v>
      </c>
      <c r="U6363" s="2" t="s">
        <v>230</v>
      </c>
      <c r="V6363" s="2" t="s">
        <v>59</v>
      </c>
      <c r="W6363" s="2">
        <v>38.299999999999997</v>
      </c>
      <c r="X6363" s="2">
        <v>0</v>
      </c>
      <c r="Y6363" s="2" t="s">
        <v>394</v>
      </c>
      <c r="Z6363" s="2" t="s">
        <v>42184</v>
      </c>
      <c r="AA6363" s="2">
        <v>-1.9890105598660801</v>
      </c>
      <c r="AB6363" s="2">
        <v>3.3181638778339698E-2</v>
      </c>
      <c r="AC6363" s="2">
        <v>23566.344797842899</v>
      </c>
      <c r="AD6363" s="2">
        <v>22938.941205723899</v>
      </c>
      <c r="AE6363" s="2">
        <v>21214.958809849199</v>
      </c>
      <c r="AF6363" s="2">
        <v>20204.640960689801</v>
      </c>
      <c r="AG6363" s="2">
        <v>23800.6658580775</v>
      </c>
      <c r="AH6363" s="2">
        <v>24620.326962697702</v>
      </c>
      <c r="AI6363" s="2">
        <v>22763.367840199098</v>
      </c>
      <c r="AJ6363" s="2">
        <v>28794.108355544198</v>
      </c>
      <c r="AK6363" s="2">
        <v>28345.8345418516</v>
      </c>
      <c r="AL6363" s="2">
        <v>24872.502366718702</v>
      </c>
      <c r="AM6363" s="2">
        <v>22420.6926276261</v>
      </c>
      <c r="AN6363" s="2">
        <v>20202.089455595698</v>
      </c>
      <c r="AO6363" s="2">
        <v>21090.537981966401</v>
      </c>
      <c r="AP6363" s="2">
        <v>20701.990260584898</v>
      </c>
    </row>
    <row r="6364" spans="1:42" ht="14.5" x14ac:dyDescent="0.35">
      <c r="A6364" s="2" t="s">
        <v>42185</v>
      </c>
      <c r="B6364" s="2">
        <v>187.02398600337401</v>
      </c>
      <c r="C6364" s="2">
        <v>1.20376666666667</v>
      </c>
      <c r="D6364" s="2" t="s">
        <v>70</v>
      </c>
      <c r="E6364" s="2" t="s">
        <v>42186</v>
      </c>
      <c r="F6364" s="2">
        <v>47015</v>
      </c>
      <c r="G6364" s="3" t="str">
        <f>HYPERLINK("http://funmeta.oebiotech.com/network/47015", "http://funmeta.oebiotech.com/network/47015")</f>
        <v>http://funmeta.oebiotech.com/network/47015</v>
      </c>
      <c r="H6364" s="2" t="s">
        <v>42187</v>
      </c>
      <c r="I6364" s="2">
        <v>5368</v>
      </c>
      <c r="J6364" s="2"/>
      <c r="K6364" s="2">
        <v>30835</v>
      </c>
      <c r="L6364" s="2"/>
      <c r="M6364" s="2"/>
      <c r="N6364" s="2"/>
      <c r="O6364" s="2">
        <v>515</v>
      </c>
      <c r="P6364" s="2" t="s">
        <v>42188</v>
      </c>
      <c r="Q6364" s="2" t="s">
        <v>42189</v>
      </c>
      <c r="R6364" s="2" t="s">
        <v>42190</v>
      </c>
      <c r="S6364" s="2" t="s">
        <v>89</v>
      </c>
      <c r="T6364" s="2" t="s">
        <v>90</v>
      </c>
      <c r="U6364" s="2" t="s">
        <v>91</v>
      </c>
      <c r="V6364" s="2" t="s">
        <v>59</v>
      </c>
      <c r="W6364" s="2">
        <v>38.700000000000003</v>
      </c>
      <c r="X6364" s="2">
        <v>0</v>
      </c>
      <c r="Y6364" s="2" t="s">
        <v>751</v>
      </c>
      <c r="Z6364" s="2" t="s">
        <v>12804</v>
      </c>
      <c r="AA6364" s="2">
        <v>-4.0066182204674803</v>
      </c>
      <c r="AB6364" s="2">
        <v>3.3178345605987397E-2</v>
      </c>
      <c r="AC6364" s="2">
        <v>1538.2971695538299</v>
      </c>
      <c r="AD6364" s="2">
        <v>1687.1016479503501</v>
      </c>
      <c r="AE6364" s="2">
        <v>1503.42051358407</v>
      </c>
      <c r="AF6364" s="2">
        <v>1624.6954059669199</v>
      </c>
      <c r="AG6364" s="2">
        <v>1498.69536199083</v>
      </c>
      <c r="AH6364" s="2">
        <v>1500.20418978108</v>
      </c>
      <c r="AI6364" s="2">
        <v>1397.3479689108599</v>
      </c>
      <c r="AJ6364" s="2">
        <v>1705.41957708924</v>
      </c>
      <c r="AK6364" s="2">
        <v>1505.1712352867601</v>
      </c>
      <c r="AL6364" s="2">
        <v>1688.3386473959499</v>
      </c>
      <c r="AM6364" s="2">
        <v>1492.7674413857901</v>
      </c>
      <c r="AN6364" s="2">
        <v>1790.43903545731</v>
      </c>
      <c r="AO6364" s="2">
        <v>1698.4188760377799</v>
      </c>
      <c r="AP6364" s="2">
        <v>1947.4746521385</v>
      </c>
    </row>
    <row r="6365" spans="1:42" ht="14.5" x14ac:dyDescent="0.35">
      <c r="A6365" s="2" t="s">
        <v>42191</v>
      </c>
      <c r="B6365" s="2">
        <v>144.06547416184401</v>
      </c>
      <c r="C6365" s="2">
        <v>1.4846333333333299</v>
      </c>
      <c r="D6365" s="2" t="s">
        <v>70</v>
      </c>
      <c r="E6365" s="2" t="s">
        <v>42192</v>
      </c>
      <c r="F6365" s="2">
        <v>267372</v>
      </c>
      <c r="G6365" s="3" t="str">
        <f>HYPERLINK("http://funmeta.oebiotech.com/network/267372", "http://funmeta.oebiotech.com/network/267372")</f>
        <v>http://funmeta.oebiotech.com/network/267372</v>
      </c>
      <c r="H6365" s="2"/>
      <c r="I6365" s="2">
        <v>45343</v>
      </c>
      <c r="J6365" s="2"/>
      <c r="K6365" s="2"/>
      <c r="L6365" s="2" t="s">
        <v>42193</v>
      </c>
      <c r="M6365" s="2"/>
      <c r="N6365" s="2"/>
      <c r="O6365" s="2">
        <v>29435</v>
      </c>
      <c r="P6365" s="2" t="s">
        <v>42194</v>
      </c>
      <c r="Q6365" s="2" t="s">
        <v>42195</v>
      </c>
      <c r="R6365" s="2" t="s">
        <v>42196</v>
      </c>
      <c r="S6365" s="2" t="s">
        <v>491</v>
      </c>
      <c r="T6365" s="2" t="s">
        <v>7584</v>
      </c>
      <c r="U6365" s="2" t="s">
        <v>41</v>
      </c>
      <c r="V6365" s="2" t="s">
        <v>59</v>
      </c>
      <c r="W6365" s="2">
        <v>37.4</v>
      </c>
      <c r="X6365" s="2">
        <v>0</v>
      </c>
      <c r="Y6365" s="2" t="s">
        <v>751</v>
      </c>
      <c r="Z6365" s="2" t="s">
        <v>42197</v>
      </c>
      <c r="AA6365" s="2">
        <v>-7.0062967434143104</v>
      </c>
      <c r="AB6365" s="2">
        <v>3.3173640003407501E-2</v>
      </c>
      <c r="AC6365" s="2">
        <v>1543.9228773151001</v>
      </c>
      <c r="AD6365" s="2">
        <v>1403.8071629476599</v>
      </c>
      <c r="AE6365" s="2">
        <v>1514.7000916433999</v>
      </c>
      <c r="AF6365" s="2">
        <v>1593.9316252532601</v>
      </c>
      <c r="AG6365" s="2">
        <v>1512.74214173004</v>
      </c>
      <c r="AH6365" s="2">
        <v>1522.2973759393701</v>
      </c>
      <c r="AI6365" s="2">
        <v>1667.4528876402501</v>
      </c>
      <c r="AJ6365" s="2">
        <v>1452.4131416842499</v>
      </c>
      <c r="AK6365" s="2">
        <v>1540.1230702898099</v>
      </c>
      <c r="AL6365" s="2">
        <v>1550.95985367042</v>
      </c>
      <c r="AM6365" s="2">
        <v>1486.55433355586</v>
      </c>
      <c r="AN6365" s="2">
        <v>1150.8187267875501</v>
      </c>
      <c r="AO6365" s="2">
        <v>1440.4046053621701</v>
      </c>
      <c r="AP6365" s="2">
        <v>1253.98238802016</v>
      </c>
    </row>
    <row r="6366" spans="1:42" ht="14.5" x14ac:dyDescent="0.35">
      <c r="A6366" s="2" t="s">
        <v>42198</v>
      </c>
      <c r="B6366" s="2">
        <v>187.133118768749</v>
      </c>
      <c r="C6366" s="2">
        <v>7.8744333333333296</v>
      </c>
      <c r="D6366" s="2" t="s">
        <v>70</v>
      </c>
      <c r="E6366" s="2" t="s">
        <v>42199</v>
      </c>
      <c r="F6366" s="2">
        <v>281370</v>
      </c>
      <c r="G6366" s="3" t="str">
        <f>HYPERLINK("http://funmeta.oebiotech.com/network/281370", "http://funmeta.oebiotech.com/network/281370")</f>
        <v>http://funmeta.oebiotech.com/network/281370</v>
      </c>
      <c r="H6366" s="2"/>
      <c r="I6366" s="2">
        <v>268699</v>
      </c>
      <c r="J6366" s="2"/>
      <c r="K6366" s="2"/>
      <c r="L6366" s="2"/>
      <c r="M6366" s="2"/>
      <c r="N6366" s="2"/>
      <c r="O6366" s="2">
        <v>8923</v>
      </c>
      <c r="P6366" s="2"/>
      <c r="Q6366" s="2" t="s">
        <v>42200</v>
      </c>
      <c r="R6366" s="2" t="s">
        <v>42201</v>
      </c>
      <c r="S6366" s="2" t="s">
        <v>79</v>
      </c>
      <c r="T6366" s="2" t="s">
        <v>80</v>
      </c>
      <c r="U6366" s="2" t="s">
        <v>249</v>
      </c>
      <c r="V6366" s="2" t="s">
        <v>59</v>
      </c>
      <c r="W6366" s="2">
        <v>37.799999999999997</v>
      </c>
      <c r="X6366" s="2">
        <v>0</v>
      </c>
      <c r="Y6366" s="2" t="s">
        <v>751</v>
      </c>
      <c r="Z6366" s="2" t="s">
        <v>42202</v>
      </c>
      <c r="AA6366" s="2">
        <v>-4.1197554085184001</v>
      </c>
      <c r="AB6366" s="2">
        <v>3.3122445415820302E-2</v>
      </c>
      <c r="AC6366" s="2">
        <v>1180.4663463395</v>
      </c>
      <c r="AD6366" s="2">
        <v>1314.64059756244</v>
      </c>
      <c r="AE6366" s="2">
        <v>1170.6789963001199</v>
      </c>
      <c r="AF6366" s="2">
        <v>1290.22501474567</v>
      </c>
      <c r="AG6366" s="2">
        <v>1075.3392299458801</v>
      </c>
      <c r="AH6366" s="2">
        <v>1097.9277959435401</v>
      </c>
      <c r="AI6366" s="2">
        <v>1152.31583364157</v>
      </c>
      <c r="AJ6366" s="2">
        <v>1296.31120746024</v>
      </c>
      <c r="AK6366" s="2">
        <v>1421.5059790790899</v>
      </c>
      <c r="AL6366" s="2">
        <v>1368.22185812823</v>
      </c>
      <c r="AM6366" s="2">
        <v>1442.9322501582601</v>
      </c>
      <c r="AN6366" s="2">
        <v>1116.8054691894899</v>
      </c>
      <c r="AO6366" s="2">
        <v>1346.70386795424</v>
      </c>
      <c r="AP6366" s="2">
        <v>1191.6741608653199</v>
      </c>
    </row>
    <row r="6367" spans="1:42" ht="14.5" x14ac:dyDescent="0.35">
      <c r="A6367" s="2" t="s">
        <v>42203</v>
      </c>
      <c r="B6367" s="2">
        <v>351.12240095171597</v>
      </c>
      <c r="C6367" s="2">
        <v>5.2493499999999997</v>
      </c>
      <c r="D6367" s="2" t="s">
        <v>34</v>
      </c>
      <c r="E6367" s="2" t="s">
        <v>42204</v>
      </c>
      <c r="F6367" s="2">
        <v>210609</v>
      </c>
      <c r="G6367" s="3" t="str">
        <f>HYPERLINK("http://funmeta.oebiotech.com/network/210609", "http://funmeta.oebiotech.com/network/210609")</f>
        <v>http://funmeta.oebiotech.com/network/210609</v>
      </c>
      <c r="H6367" s="2" t="s">
        <v>42205</v>
      </c>
      <c r="I6367" s="2">
        <v>321777</v>
      </c>
      <c r="J6367" s="2"/>
      <c r="K6367" s="2">
        <v>87462</v>
      </c>
      <c r="L6367" s="2"/>
      <c r="M6367" s="2"/>
      <c r="N6367" s="2"/>
      <c r="O6367" s="2">
        <v>64949</v>
      </c>
      <c r="P6367" s="2"/>
      <c r="Q6367" s="2" t="s">
        <v>42206</v>
      </c>
      <c r="R6367" s="2" t="s">
        <v>42207</v>
      </c>
      <c r="S6367" s="2" t="s">
        <v>148</v>
      </c>
      <c r="T6367" s="2" t="s">
        <v>3772</v>
      </c>
      <c r="U6367" s="2" t="s">
        <v>41</v>
      </c>
      <c r="V6367" s="2" t="s">
        <v>59</v>
      </c>
      <c r="W6367" s="2">
        <v>38.299999999999997</v>
      </c>
      <c r="X6367" s="2">
        <v>0</v>
      </c>
      <c r="Y6367" s="2" t="s">
        <v>340</v>
      </c>
      <c r="Z6367" s="2" t="s">
        <v>42208</v>
      </c>
      <c r="AA6367" s="2">
        <v>1.9764694780722001</v>
      </c>
      <c r="AB6367" s="2">
        <v>3.3110393978885502E-2</v>
      </c>
      <c r="AC6367" s="2">
        <v>1655.82490756581</v>
      </c>
      <c r="AD6367" s="2">
        <v>1885.6040584433799</v>
      </c>
      <c r="AE6367" s="2">
        <v>1601.77965611487</v>
      </c>
      <c r="AF6367" s="2">
        <v>1480.9343128826599</v>
      </c>
      <c r="AG6367" s="2">
        <v>1981.97775111342</v>
      </c>
      <c r="AH6367" s="2">
        <v>1468.7797289059899</v>
      </c>
      <c r="AI6367" s="2">
        <v>1852.3693653943501</v>
      </c>
      <c r="AJ6367" s="2">
        <v>1549.10863098356</v>
      </c>
      <c r="AK6367" s="2">
        <v>1223.1295425840599</v>
      </c>
      <c r="AL6367" s="2">
        <v>2481.41273659122</v>
      </c>
      <c r="AM6367" s="2">
        <v>1486.3002984708701</v>
      </c>
      <c r="AN6367" s="2">
        <v>2325.0526061952801</v>
      </c>
      <c r="AO6367" s="2">
        <v>1677.8033179403601</v>
      </c>
      <c r="AP6367" s="2">
        <v>2119.9258488784999</v>
      </c>
    </row>
    <row r="6368" spans="1:42" ht="14.5" x14ac:dyDescent="0.35">
      <c r="A6368" s="2" t="s">
        <v>42209</v>
      </c>
      <c r="B6368" s="2">
        <v>315.13339413657002</v>
      </c>
      <c r="C6368" s="2">
        <v>5.48966666666667</v>
      </c>
      <c r="D6368" s="2" t="s">
        <v>34</v>
      </c>
      <c r="E6368" s="2" t="s">
        <v>42210</v>
      </c>
      <c r="F6368" s="2">
        <v>206151</v>
      </c>
      <c r="G6368" s="3" t="str">
        <f>HYPERLINK("http://funmeta.oebiotech.com/network/206151", "http://funmeta.oebiotech.com/network/206151")</f>
        <v>http://funmeta.oebiotech.com/network/206151</v>
      </c>
      <c r="H6368" s="2" t="s">
        <v>42211</v>
      </c>
      <c r="I6368" s="2"/>
      <c r="J6368" s="2"/>
      <c r="K6368" s="2"/>
      <c r="L6368" s="2"/>
      <c r="M6368" s="2"/>
      <c r="N6368" s="2"/>
      <c r="O6368" s="2"/>
      <c r="P6368" s="2"/>
      <c r="Q6368" s="2" t="s">
        <v>42212</v>
      </c>
      <c r="R6368" s="2" t="s">
        <v>42213</v>
      </c>
      <c r="S6368" s="2" t="s">
        <v>491</v>
      </c>
      <c r="T6368" s="2" t="s">
        <v>2184</v>
      </c>
      <c r="U6368" s="2" t="s">
        <v>8234</v>
      </c>
      <c r="V6368" s="2" t="s">
        <v>59</v>
      </c>
      <c r="W6368" s="2">
        <v>38.700000000000003</v>
      </c>
      <c r="X6368" s="2">
        <v>0</v>
      </c>
      <c r="Y6368" s="2" t="s">
        <v>394</v>
      </c>
      <c r="Z6368" s="2" t="s">
        <v>42214</v>
      </c>
      <c r="AA6368" s="2">
        <v>-1.71701610942702</v>
      </c>
      <c r="AB6368" s="2">
        <v>3.3041428188711801E-2</v>
      </c>
      <c r="AC6368" s="2">
        <v>1628.36699720717</v>
      </c>
      <c r="AD6368" s="2">
        <v>1918.12858827025</v>
      </c>
      <c r="AE6368" s="2">
        <v>1093.7514024490699</v>
      </c>
      <c r="AF6368" s="2">
        <v>840.07382147515295</v>
      </c>
      <c r="AG6368" s="2">
        <v>716.97964688044897</v>
      </c>
      <c r="AH6368" s="2">
        <v>2766.02004127703</v>
      </c>
      <c r="AI6368" s="2">
        <v>2156.48967141402</v>
      </c>
      <c r="AJ6368" s="2">
        <v>2196.8873997472901</v>
      </c>
      <c r="AK6368" s="2">
        <v>2297.48233949102</v>
      </c>
      <c r="AL6368" s="2">
        <v>2279.0817006121902</v>
      </c>
      <c r="AM6368" s="2">
        <v>1841.86165504922</v>
      </c>
      <c r="AN6368" s="2">
        <v>1448.8035199318799</v>
      </c>
      <c r="AO6368" s="2">
        <v>1877.52009709036</v>
      </c>
      <c r="AP6368" s="2">
        <v>1764.0222174468499</v>
      </c>
    </row>
    <row r="6369" spans="1:42" ht="14.5" x14ac:dyDescent="0.35">
      <c r="A6369" s="2" t="s">
        <v>42215</v>
      </c>
      <c r="B6369" s="2">
        <v>607.23979388471798</v>
      </c>
      <c r="C6369" s="2">
        <v>9.9973333333333301</v>
      </c>
      <c r="D6369" s="2" t="s">
        <v>34</v>
      </c>
      <c r="E6369" s="2" t="s">
        <v>42216</v>
      </c>
      <c r="F6369" s="2">
        <v>211153</v>
      </c>
      <c r="G6369" s="3" t="str">
        <f>HYPERLINK("http://funmeta.oebiotech.com/network/211153", "http://funmeta.oebiotech.com/network/211153")</f>
        <v>http://funmeta.oebiotech.com/network/211153</v>
      </c>
      <c r="H6369" s="2" t="s">
        <v>42217</v>
      </c>
      <c r="I6369" s="2"/>
      <c r="J6369" s="2"/>
      <c r="K6369" s="2"/>
      <c r="L6369" s="2"/>
      <c r="M6369" s="2"/>
      <c r="N6369" s="2"/>
      <c r="O6369" s="2">
        <v>20725583</v>
      </c>
      <c r="P6369" s="2"/>
      <c r="Q6369" s="2" t="s">
        <v>42218</v>
      </c>
      <c r="R6369" s="2" t="s">
        <v>42219</v>
      </c>
      <c r="S6369" s="2" t="s">
        <v>89</v>
      </c>
      <c r="T6369" s="2" t="s">
        <v>1600</v>
      </c>
      <c r="U6369" s="2" t="s">
        <v>3890</v>
      </c>
      <c r="V6369" s="2" t="s">
        <v>59</v>
      </c>
      <c r="W6369" s="2">
        <v>36.799999999999997</v>
      </c>
      <c r="X6369" s="2">
        <v>0</v>
      </c>
      <c r="Y6369" s="2" t="s">
        <v>323</v>
      </c>
      <c r="Z6369" s="2" t="s">
        <v>42220</v>
      </c>
      <c r="AA6369" s="2">
        <v>-1.75724520514725</v>
      </c>
      <c r="AB6369" s="2">
        <v>3.3038308992633797E-2</v>
      </c>
      <c r="AC6369" s="2">
        <v>1220.41793485468</v>
      </c>
      <c r="AD6369" s="2">
        <v>1050.71903254979</v>
      </c>
      <c r="AE6369" s="2">
        <v>1121.98071299209</v>
      </c>
      <c r="AF6369" s="2">
        <v>1356.9349774868101</v>
      </c>
      <c r="AG6369" s="2">
        <v>1200.4359084641801</v>
      </c>
      <c r="AH6369" s="2">
        <v>1083.9944349339901</v>
      </c>
      <c r="AI6369" s="2">
        <v>1191.9828101336</v>
      </c>
      <c r="AJ6369" s="2">
        <v>1367.17876511742</v>
      </c>
      <c r="AK6369" s="2">
        <v>1276.8830550002799</v>
      </c>
      <c r="AL6369" s="2">
        <v>1113.9505310662501</v>
      </c>
      <c r="AM6369" s="2">
        <v>1274.5988040607999</v>
      </c>
      <c r="AN6369" s="2">
        <v>921.61553733135702</v>
      </c>
      <c r="AO6369" s="2">
        <v>589.88159218106796</v>
      </c>
      <c r="AP6369" s="2">
        <v>1127.3846756589701</v>
      </c>
    </row>
    <row r="6370" spans="1:42" ht="14.5" x14ac:dyDescent="0.35">
      <c r="A6370" s="2" t="s">
        <v>42221</v>
      </c>
      <c r="B6370" s="2">
        <v>287.16389971619901</v>
      </c>
      <c r="C6370" s="2">
        <v>5.8468499999999999</v>
      </c>
      <c r="D6370" s="2" t="s">
        <v>34</v>
      </c>
      <c r="E6370" s="2" t="s">
        <v>42222</v>
      </c>
      <c r="F6370" s="2">
        <v>200780</v>
      </c>
      <c r="G6370" s="3" t="str">
        <f>HYPERLINK("http://funmeta.oebiotech.com/network/200780", "http://funmeta.oebiotech.com/network/200780")</f>
        <v>http://funmeta.oebiotech.com/network/200780</v>
      </c>
      <c r="H6370" s="2" t="s">
        <v>42223</v>
      </c>
      <c r="I6370" s="2"/>
      <c r="J6370" s="2"/>
      <c r="K6370" s="2"/>
      <c r="L6370" s="2"/>
      <c r="M6370" s="2"/>
      <c r="N6370" s="2"/>
      <c r="O6370" s="2">
        <v>91537</v>
      </c>
      <c r="P6370" s="2"/>
      <c r="Q6370" s="2" t="s">
        <v>42224</v>
      </c>
      <c r="R6370" s="2" t="s">
        <v>42225</v>
      </c>
      <c r="S6370" s="2" t="s">
        <v>41</v>
      </c>
      <c r="T6370" s="2" t="s">
        <v>41</v>
      </c>
      <c r="U6370" s="2" t="s">
        <v>41</v>
      </c>
      <c r="V6370" s="2" t="s">
        <v>59</v>
      </c>
      <c r="W6370" s="2">
        <v>36.299999999999997</v>
      </c>
      <c r="X6370" s="2">
        <v>0</v>
      </c>
      <c r="Y6370" s="2" t="s">
        <v>340</v>
      </c>
      <c r="Z6370" s="2" t="s">
        <v>42226</v>
      </c>
      <c r="AA6370" s="2">
        <v>2.5980945504209698</v>
      </c>
      <c r="AB6370" s="2">
        <v>3.2976221408684801E-2</v>
      </c>
      <c r="AC6370" s="2">
        <v>1218.16771234419</v>
      </c>
      <c r="AD6370" s="2">
        <v>1468.6869906710599</v>
      </c>
      <c r="AE6370" s="2">
        <v>1513.1672627180601</v>
      </c>
      <c r="AF6370" s="2">
        <v>950.07702485175298</v>
      </c>
      <c r="AG6370" s="2">
        <v>808.04884860677703</v>
      </c>
      <c r="AH6370" s="2">
        <v>1502.7140435696399</v>
      </c>
      <c r="AI6370" s="2">
        <v>1567.3097842069701</v>
      </c>
      <c r="AJ6370" s="2">
        <v>967.68931011192501</v>
      </c>
      <c r="AK6370" s="2">
        <v>1802.86608801334</v>
      </c>
      <c r="AL6370" s="2">
        <v>2309.12333769311</v>
      </c>
      <c r="AM6370" s="2">
        <v>737.53618465028899</v>
      </c>
      <c r="AN6370" s="2">
        <v>1597.1653061182201</v>
      </c>
      <c r="AO6370" s="2">
        <v>1097.4012478584</v>
      </c>
      <c r="AP6370" s="2">
        <v>1268.0297796930099</v>
      </c>
    </row>
    <row r="6371" spans="1:42" ht="14.5" x14ac:dyDescent="0.35">
      <c r="A6371" s="2" t="s">
        <v>42227</v>
      </c>
      <c r="B6371" s="2">
        <v>352.24556377363399</v>
      </c>
      <c r="C6371" s="2">
        <v>11.2503166666667</v>
      </c>
      <c r="D6371" s="2" t="s">
        <v>34</v>
      </c>
      <c r="E6371" s="2" t="s">
        <v>42228</v>
      </c>
      <c r="F6371" s="2">
        <v>8905</v>
      </c>
      <c r="G6371" s="3" t="str">
        <f>HYPERLINK("http://funmeta.oebiotech.com/network/8905", "http://funmeta.oebiotech.com/network/8905")</f>
        <v>http://funmeta.oebiotech.com/network/8905</v>
      </c>
      <c r="H6371" s="2"/>
      <c r="I6371" s="2"/>
      <c r="J6371" s="2" t="s">
        <v>42229</v>
      </c>
      <c r="K6371" s="2"/>
      <c r="L6371" s="2"/>
      <c r="M6371" s="2"/>
      <c r="N6371" s="2"/>
      <c r="O6371" s="2">
        <v>10711444</v>
      </c>
      <c r="P6371" s="2"/>
      <c r="Q6371" s="2" t="s">
        <v>42230</v>
      </c>
      <c r="R6371" s="2" t="s">
        <v>42231</v>
      </c>
      <c r="S6371" s="2" t="s">
        <v>89</v>
      </c>
      <c r="T6371" s="2" t="s">
        <v>90</v>
      </c>
      <c r="U6371" s="2" t="s">
        <v>99</v>
      </c>
      <c r="V6371" s="2" t="s">
        <v>59</v>
      </c>
      <c r="W6371" s="2">
        <v>42.4</v>
      </c>
      <c r="X6371" s="2">
        <v>16.8</v>
      </c>
      <c r="Y6371" s="2" t="s">
        <v>568</v>
      </c>
      <c r="Z6371" s="2" t="s">
        <v>42232</v>
      </c>
      <c r="AA6371" s="2">
        <v>-0.80639795636281097</v>
      </c>
      <c r="AB6371" s="2">
        <v>3.2918104504740003E-2</v>
      </c>
      <c r="AC6371" s="2">
        <v>24945.4016496068</v>
      </c>
      <c r="AD6371" s="2">
        <v>26487.362922605302</v>
      </c>
      <c r="AE6371" s="2">
        <v>25093.1888426685</v>
      </c>
      <c r="AF6371" s="2">
        <v>23557.985534675201</v>
      </c>
      <c r="AG6371" s="2">
        <v>24675.3528109373</v>
      </c>
      <c r="AH6371" s="2">
        <v>18205.437739118399</v>
      </c>
      <c r="AI6371" s="2">
        <v>42007.825644698998</v>
      </c>
      <c r="AJ6371" s="2">
        <v>16132.619325542601</v>
      </c>
      <c r="AK6371" s="2">
        <v>13138.123636181699</v>
      </c>
      <c r="AL6371" s="2">
        <v>10202.169321708199</v>
      </c>
      <c r="AM6371" s="2">
        <v>11374.895088445899</v>
      </c>
      <c r="AN6371" s="2">
        <v>18238.591921149899</v>
      </c>
      <c r="AO6371" s="2">
        <v>87449.448053750602</v>
      </c>
      <c r="AP6371" s="2">
        <v>18520.949514395401</v>
      </c>
    </row>
    <row r="6372" spans="1:42" ht="14.5" x14ac:dyDescent="0.35">
      <c r="A6372" s="2" t="s">
        <v>42233</v>
      </c>
      <c r="B6372" s="2">
        <v>152.070525575207</v>
      </c>
      <c r="C6372" s="2">
        <v>5.0231500000000002</v>
      </c>
      <c r="D6372" s="2" t="s">
        <v>70</v>
      </c>
      <c r="E6372" s="2" t="s">
        <v>42234</v>
      </c>
      <c r="F6372" s="2">
        <v>202455</v>
      </c>
      <c r="G6372" s="3" t="str">
        <f>HYPERLINK("http://funmeta.oebiotech.com/network/202455", "http://funmeta.oebiotech.com/network/202455")</f>
        <v>http://funmeta.oebiotech.com/network/202455</v>
      </c>
      <c r="H6372" s="2" t="s">
        <v>42235</v>
      </c>
      <c r="I6372" s="2">
        <v>36732</v>
      </c>
      <c r="J6372" s="2"/>
      <c r="K6372" s="2"/>
      <c r="L6372" s="2" t="s">
        <v>42236</v>
      </c>
      <c r="M6372" s="2" t="s">
        <v>42237</v>
      </c>
      <c r="N6372" s="2" t="s">
        <v>42238</v>
      </c>
      <c r="O6372" s="2">
        <v>443433</v>
      </c>
      <c r="P6372" s="2" t="s">
        <v>42239</v>
      </c>
      <c r="Q6372" s="2" t="s">
        <v>42240</v>
      </c>
      <c r="R6372" s="2" t="s">
        <v>42241</v>
      </c>
      <c r="S6372" s="2" t="s">
        <v>89</v>
      </c>
      <c r="T6372" s="2" t="s">
        <v>90</v>
      </c>
      <c r="U6372" s="2" t="s">
        <v>99</v>
      </c>
      <c r="V6372" s="2" t="s">
        <v>59</v>
      </c>
      <c r="W6372" s="2">
        <v>37.4</v>
      </c>
      <c r="X6372" s="2">
        <v>0</v>
      </c>
      <c r="Y6372" s="2" t="s">
        <v>751</v>
      </c>
      <c r="Z6372" s="2" t="s">
        <v>42242</v>
      </c>
      <c r="AA6372" s="2">
        <v>-6.8770139942048401</v>
      </c>
      <c r="AB6372" s="2">
        <v>3.2873556830329602E-2</v>
      </c>
      <c r="AC6372" s="2">
        <v>1549.94397372608</v>
      </c>
      <c r="AD6372" s="2">
        <v>1689.0974242662001</v>
      </c>
      <c r="AE6372" s="2">
        <v>1417.3610919535499</v>
      </c>
      <c r="AF6372" s="2">
        <v>1597.4806479128899</v>
      </c>
      <c r="AG6372" s="2">
        <v>1715.93739262651</v>
      </c>
      <c r="AH6372" s="2">
        <v>1457.63046086585</v>
      </c>
      <c r="AI6372" s="2">
        <v>1645.82206024842</v>
      </c>
      <c r="AJ6372" s="2">
        <v>1465.4321887492299</v>
      </c>
      <c r="AK6372" s="2">
        <v>1772.7680742857401</v>
      </c>
      <c r="AL6372" s="2">
        <v>1591.6460175930699</v>
      </c>
      <c r="AM6372" s="2">
        <v>1655.9609208562599</v>
      </c>
      <c r="AN6372" s="2">
        <v>1535.60208843038</v>
      </c>
      <c r="AO6372" s="2">
        <v>1663.16586482399</v>
      </c>
      <c r="AP6372" s="2">
        <v>1915.4415796077801</v>
      </c>
    </row>
    <row r="6373" spans="1:42" ht="14.5" x14ac:dyDescent="0.35">
      <c r="A6373" s="2" t="s">
        <v>42243</v>
      </c>
      <c r="B6373" s="2">
        <v>158.97749120893201</v>
      </c>
      <c r="C6373" s="2">
        <v>2.3119499999999999</v>
      </c>
      <c r="D6373" s="2" t="s">
        <v>70</v>
      </c>
      <c r="E6373" s="2" t="s">
        <v>42244</v>
      </c>
      <c r="F6373" s="2">
        <v>55767</v>
      </c>
      <c r="G6373" s="3" t="str">
        <f>HYPERLINK("http://funmeta.oebiotech.com/network/55767", "http://funmeta.oebiotech.com/network/55767")</f>
        <v>http://funmeta.oebiotech.com/network/55767</v>
      </c>
      <c r="H6373" s="2" t="s">
        <v>42245</v>
      </c>
      <c r="I6373" s="2">
        <v>64723</v>
      </c>
      <c r="J6373" s="2"/>
      <c r="K6373" s="2">
        <v>78492</v>
      </c>
      <c r="L6373" s="2"/>
      <c r="M6373" s="2"/>
      <c r="N6373" s="2"/>
      <c r="O6373" s="2">
        <v>16315</v>
      </c>
      <c r="P6373" s="2" t="s">
        <v>42246</v>
      </c>
      <c r="Q6373" s="2" t="s">
        <v>42247</v>
      </c>
      <c r="R6373" s="2" t="s">
        <v>42248</v>
      </c>
      <c r="S6373" s="2" t="s">
        <v>5916</v>
      </c>
      <c r="T6373" s="2" t="s">
        <v>42249</v>
      </c>
      <c r="U6373" s="2" t="s">
        <v>41</v>
      </c>
      <c r="V6373" s="2" t="s">
        <v>59</v>
      </c>
      <c r="W6373" s="2">
        <v>38.1</v>
      </c>
      <c r="X6373" s="2">
        <v>0</v>
      </c>
      <c r="Y6373" s="2" t="s">
        <v>751</v>
      </c>
      <c r="Z6373" s="2" t="s">
        <v>42250</v>
      </c>
      <c r="AA6373" s="2">
        <v>4.8822205788503101</v>
      </c>
      <c r="AB6373" s="2">
        <v>3.2822079104365201E-2</v>
      </c>
      <c r="AC6373" s="2">
        <v>10801.3049893975</v>
      </c>
      <c r="AD6373" s="2">
        <v>11086.3039159399</v>
      </c>
      <c r="AE6373" s="2">
        <v>10646.9135123783</v>
      </c>
      <c r="AF6373" s="2">
        <v>10757.5241881644</v>
      </c>
      <c r="AG6373" s="2">
        <v>11266.4567311639</v>
      </c>
      <c r="AH6373" s="2">
        <v>11242.4295662241</v>
      </c>
      <c r="AI6373" s="2">
        <v>10337.312735981899</v>
      </c>
      <c r="AJ6373" s="2">
        <v>10557.193202472299</v>
      </c>
      <c r="AK6373" s="2">
        <v>11998.4794818623</v>
      </c>
      <c r="AL6373" s="2">
        <v>11260.47083633</v>
      </c>
      <c r="AM6373" s="2">
        <v>11874.0576326148</v>
      </c>
      <c r="AN6373" s="2">
        <v>10587.2951937904</v>
      </c>
      <c r="AO6373" s="2">
        <v>10602.856915984001</v>
      </c>
      <c r="AP6373" s="2">
        <v>10194.663435057601</v>
      </c>
    </row>
    <row r="6374" spans="1:42" ht="14.5" x14ac:dyDescent="0.35">
      <c r="A6374" s="2" t="s">
        <v>42251</v>
      </c>
      <c r="B6374" s="2">
        <v>338.30278754759598</v>
      </c>
      <c r="C6374" s="2">
        <v>9.8437333333333292</v>
      </c>
      <c r="D6374" s="2" t="s">
        <v>34</v>
      </c>
      <c r="E6374" s="2" t="s">
        <v>42252</v>
      </c>
      <c r="F6374" s="2">
        <v>266282</v>
      </c>
      <c r="G6374" s="3" t="str">
        <f>HYPERLINK("http://funmeta.oebiotech.com/network/266282", "http://funmeta.oebiotech.com/network/266282")</f>
        <v>http://funmeta.oebiotech.com/network/266282</v>
      </c>
      <c r="H6374" s="2"/>
      <c r="I6374" s="2">
        <v>34538</v>
      </c>
      <c r="J6374" s="2"/>
      <c r="K6374" s="2"/>
      <c r="L6374" s="2"/>
      <c r="M6374" s="2"/>
      <c r="N6374" s="2"/>
      <c r="O6374" s="2">
        <v>66690736</v>
      </c>
      <c r="P6374" s="2" t="s">
        <v>42253</v>
      </c>
      <c r="Q6374" s="2" t="s">
        <v>42254</v>
      </c>
      <c r="R6374" s="2" t="s">
        <v>42255</v>
      </c>
      <c r="S6374" s="2" t="s">
        <v>89</v>
      </c>
      <c r="T6374" s="2" t="s">
        <v>90</v>
      </c>
      <c r="U6374" s="2" t="s">
        <v>99</v>
      </c>
      <c r="V6374" s="2" t="s">
        <v>59</v>
      </c>
      <c r="W6374" s="2">
        <v>36.700000000000003</v>
      </c>
      <c r="X6374" s="2">
        <v>0</v>
      </c>
      <c r="Y6374" s="2" t="s">
        <v>141</v>
      </c>
      <c r="Z6374" s="2" t="s">
        <v>42256</v>
      </c>
      <c r="AA6374" s="2">
        <v>-7.2285906799530704</v>
      </c>
      <c r="AB6374" s="2">
        <v>3.28102055180583E-2</v>
      </c>
      <c r="AC6374" s="2">
        <v>3487.5600957482302</v>
      </c>
      <c r="AD6374" s="2">
        <v>3762.2138068828999</v>
      </c>
      <c r="AE6374" s="2">
        <v>3494.5172441578702</v>
      </c>
      <c r="AF6374" s="2">
        <v>3116.8533246195798</v>
      </c>
      <c r="AG6374" s="2">
        <v>3161.7530966494601</v>
      </c>
      <c r="AH6374" s="2">
        <v>3188.5613793968801</v>
      </c>
      <c r="AI6374" s="2">
        <v>4360.6007304618797</v>
      </c>
      <c r="AJ6374" s="2">
        <v>3603.07479920373</v>
      </c>
      <c r="AK6374" s="2">
        <v>4562.9829494446603</v>
      </c>
      <c r="AL6374" s="2">
        <v>3991.4914129608301</v>
      </c>
      <c r="AM6374" s="2">
        <v>3222.61067440135</v>
      </c>
      <c r="AN6374" s="2">
        <v>2931.8774553445801</v>
      </c>
      <c r="AO6374" s="2">
        <v>3449.7432534703998</v>
      </c>
      <c r="AP6374" s="2">
        <v>4414.5770956755696</v>
      </c>
    </row>
    <row r="6375" spans="1:42" ht="14.5" x14ac:dyDescent="0.35">
      <c r="A6375" s="2" t="s">
        <v>42257</v>
      </c>
      <c r="B6375" s="2">
        <v>508.43605185366101</v>
      </c>
      <c r="C6375" s="2">
        <v>15.1802166666667</v>
      </c>
      <c r="D6375" s="2" t="s">
        <v>34</v>
      </c>
      <c r="E6375" s="2" t="s">
        <v>42258</v>
      </c>
      <c r="F6375" s="2">
        <v>198169</v>
      </c>
      <c r="G6375" s="3" t="str">
        <f>HYPERLINK("http://funmeta.oebiotech.com/network/198169", "http://funmeta.oebiotech.com/network/198169")</f>
        <v>http://funmeta.oebiotech.com/network/198169</v>
      </c>
      <c r="H6375" s="2" t="s">
        <v>42259</v>
      </c>
      <c r="I6375" s="2"/>
      <c r="J6375" s="2"/>
      <c r="K6375" s="2"/>
      <c r="L6375" s="2"/>
      <c r="M6375" s="2"/>
      <c r="N6375" s="2"/>
      <c r="O6375" s="2"/>
      <c r="P6375" s="2"/>
      <c r="Q6375" s="2" t="s">
        <v>42260</v>
      </c>
      <c r="R6375" s="2" t="s">
        <v>42261</v>
      </c>
      <c r="S6375" s="2" t="s">
        <v>41</v>
      </c>
      <c r="T6375" s="2" t="s">
        <v>41</v>
      </c>
      <c r="U6375" s="2" t="s">
        <v>41</v>
      </c>
      <c r="V6375" s="2" t="s">
        <v>59</v>
      </c>
      <c r="W6375" s="2">
        <v>38.6</v>
      </c>
      <c r="X6375" s="2">
        <v>0</v>
      </c>
      <c r="Y6375" s="2" t="s">
        <v>394</v>
      </c>
      <c r="Z6375" s="2" t="s">
        <v>42262</v>
      </c>
      <c r="AA6375" s="2">
        <v>3.1749542821293199E-2</v>
      </c>
      <c r="AB6375" s="2">
        <v>3.2755262051451399E-2</v>
      </c>
      <c r="AC6375" s="2">
        <v>6105.5038597598104</v>
      </c>
      <c r="AD6375" s="2">
        <v>5769.5634220481397</v>
      </c>
      <c r="AE6375" s="2">
        <v>5151.8054952682996</v>
      </c>
      <c r="AF6375" s="2">
        <v>4938.28111017627</v>
      </c>
      <c r="AG6375" s="2">
        <v>6895.92626092102</v>
      </c>
      <c r="AH6375" s="2">
        <v>6091.7234369318103</v>
      </c>
      <c r="AI6375" s="2">
        <v>5702.8860452232602</v>
      </c>
      <c r="AJ6375" s="2">
        <v>7852.4008100381898</v>
      </c>
      <c r="AK6375" s="2">
        <v>6519.6185387707201</v>
      </c>
      <c r="AL6375" s="2">
        <v>6248.9673139441402</v>
      </c>
      <c r="AM6375" s="2">
        <v>5613.2044224414303</v>
      </c>
      <c r="AN6375" s="2">
        <v>4891.2197711035296</v>
      </c>
      <c r="AO6375" s="2">
        <v>5864.9762070653496</v>
      </c>
      <c r="AP6375" s="2">
        <v>5479.3942789636703</v>
      </c>
    </row>
    <row r="6376" spans="1:42" ht="14.5" x14ac:dyDescent="0.35">
      <c r="A6376" s="2" t="s">
        <v>42263</v>
      </c>
      <c r="B6376" s="2">
        <v>178.077237709222</v>
      </c>
      <c r="C6376" s="2">
        <v>7.1875666666666698</v>
      </c>
      <c r="D6376" s="2" t="s">
        <v>34</v>
      </c>
      <c r="E6376" s="2" t="s">
        <v>42264</v>
      </c>
      <c r="F6376" s="2">
        <v>267422</v>
      </c>
      <c r="G6376" s="3" t="str">
        <f>HYPERLINK("http://funmeta.oebiotech.com/network/267422", "http://funmeta.oebiotech.com/network/267422")</f>
        <v>http://funmeta.oebiotech.com/network/267422</v>
      </c>
      <c r="H6376" s="2"/>
      <c r="I6376" s="2">
        <v>45439</v>
      </c>
      <c r="J6376" s="2"/>
      <c r="K6376" s="2"/>
      <c r="L6376" s="2"/>
      <c r="M6376" s="2"/>
      <c r="N6376" s="2"/>
      <c r="O6376" s="2">
        <v>247635</v>
      </c>
      <c r="P6376" s="2" t="s">
        <v>42265</v>
      </c>
      <c r="Q6376" s="2" t="s">
        <v>42266</v>
      </c>
      <c r="R6376" s="2" t="s">
        <v>42267</v>
      </c>
      <c r="S6376" s="2" t="s">
        <v>491</v>
      </c>
      <c r="T6376" s="2" t="s">
        <v>15878</v>
      </c>
      <c r="U6376" s="2" t="s">
        <v>41</v>
      </c>
      <c r="V6376" s="2" t="s">
        <v>59</v>
      </c>
      <c r="W6376" s="2">
        <v>36.299999999999997</v>
      </c>
      <c r="X6376" s="2">
        <v>0</v>
      </c>
      <c r="Y6376" s="2" t="s">
        <v>141</v>
      </c>
      <c r="Z6376" s="2" t="s">
        <v>42268</v>
      </c>
      <c r="AA6376" s="2">
        <v>4.5040895025992098</v>
      </c>
      <c r="AB6376" s="2">
        <v>3.2602289349221103E-2</v>
      </c>
      <c r="AC6376" s="2">
        <v>1214.45332455374</v>
      </c>
      <c r="AD6376" s="2">
        <v>1447.0576638641101</v>
      </c>
      <c r="AE6376" s="2">
        <v>1405.06730889203</v>
      </c>
      <c r="AF6376" s="2">
        <v>789.57952448432604</v>
      </c>
      <c r="AG6376" s="2">
        <v>1601.14563627347</v>
      </c>
      <c r="AH6376" s="2">
        <v>1266.8489423170899</v>
      </c>
      <c r="AI6376" s="2">
        <v>1705.0934500762501</v>
      </c>
      <c r="AJ6376" s="2">
        <v>518.98508527925901</v>
      </c>
      <c r="AK6376" s="2">
        <v>921.03999747850798</v>
      </c>
      <c r="AL6376" s="2">
        <v>1206.05393116706</v>
      </c>
      <c r="AM6376" s="2">
        <v>1880.8518085032799</v>
      </c>
      <c r="AN6376" s="2">
        <v>1800.78436831411</v>
      </c>
      <c r="AO6376" s="2">
        <v>1265.14170040101</v>
      </c>
      <c r="AP6376" s="2">
        <v>1608.4741773207199</v>
      </c>
    </row>
    <row r="6377" spans="1:42" ht="14.5" x14ac:dyDescent="0.35">
      <c r="A6377" s="2" t="s">
        <v>42269</v>
      </c>
      <c r="B6377" s="2">
        <v>434.24388050161002</v>
      </c>
      <c r="C6377" s="2">
        <v>9.6530833333333295</v>
      </c>
      <c r="D6377" s="2" t="s">
        <v>34</v>
      </c>
      <c r="E6377" s="2" t="s">
        <v>42270</v>
      </c>
      <c r="F6377" s="2">
        <v>82069</v>
      </c>
      <c r="G6377" s="3" t="str">
        <f>HYPERLINK("http://funmeta.oebiotech.com/network/82069", "http://funmeta.oebiotech.com/network/82069")</f>
        <v>http://funmeta.oebiotech.com/network/82069</v>
      </c>
      <c r="H6377" s="2" t="s">
        <v>42271</v>
      </c>
      <c r="I6377" s="2"/>
      <c r="J6377" s="2"/>
      <c r="K6377" s="2">
        <v>89522</v>
      </c>
      <c r="L6377" s="2"/>
      <c r="M6377" s="2"/>
      <c r="N6377" s="2"/>
      <c r="O6377" s="2">
        <v>124202095</v>
      </c>
      <c r="P6377" s="2"/>
      <c r="Q6377" s="2" t="s">
        <v>42272</v>
      </c>
      <c r="R6377" s="2" t="s">
        <v>42273</v>
      </c>
      <c r="S6377" s="2" t="s">
        <v>50</v>
      </c>
      <c r="T6377" s="2" t="s">
        <v>693</v>
      </c>
      <c r="U6377" s="2" t="s">
        <v>3670</v>
      </c>
      <c r="V6377" s="2" t="s">
        <v>59</v>
      </c>
      <c r="W6377" s="2">
        <v>36.1</v>
      </c>
      <c r="X6377" s="2">
        <v>0</v>
      </c>
      <c r="Y6377" s="2" t="s">
        <v>340</v>
      </c>
      <c r="Z6377" s="2" t="s">
        <v>42274</v>
      </c>
      <c r="AA6377" s="2">
        <v>1.67562732469057</v>
      </c>
      <c r="AB6377" s="2">
        <v>3.2560850078961E-2</v>
      </c>
      <c r="AC6377" s="2">
        <v>12299.232215132801</v>
      </c>
      <c r="AD6377" s="2">
        <v>13166.801885261901</v>
      </c>
      <c r="AE6377" s="2">
        <v>13925.4609045916</v>
      </c>
      <c r="AF6377" s="2">
        <v>10947.5261911531</v>
      </c>
      <c r="AG6377" s="2">
        <v>11786.860333267299</v>
      </c>
      <c r="AH6377" s="2">
        <v>11501.2672077894</v>
      </c>
      <c r="AI6377" s="2">
        <v>13268.1679299603</v>
      </c>
      <c r="AJ6377" s="2">
        <v>12366.110724034899</v>
      </c>
      <c r="AK6377" s="2">
        <v>7794.5618146800498</v>
      </c>
      <c r="AL6377" s="2">
        <v>28393.602589204202</v>
      </c>
      <c r="AM6377" s="2">
        <v>12442.997357717901</v>
      </c>
      <c r="AN6377" s="2">
        <v>13287.491513757701</v>
      </c>
      <c r="AO6377" s="2">
        <v>10066.0109386811</v>
      </c>
      <c r="AP6377" s="2">
        <v>7016.1470975306202</v>
      </c>
    </row>
    <row r="6378" spans="1:42" ht="14.5" x14ac:dyDescent="0.35">
      <c r="A6378" s="2" t="s">
        <v>42275</v>
      </c>
      <c r="B6378" s="2">
        <v>490.15661780235001</v>
      </c>
      <c r="C6378" s="2">
        <v>3.9694833333333301</v>
      </c>
      <c r="D6378" s="2" t="s">
        <v>70</v>
      </c>
      <c r="E6378" s="2" t="s">
        <v>42276</v>
      </c>
      <c r="F6378" s="2">
        <v>56178</v>
      </c>
      <c r="G6378" s="3" t="str">
        <f>HYPERLINK("http://funmeta.oebiotech.com/network/56178", "http://funmeta.oebiotech.com/network/56178")</f>
        <v>http://funmeta.oebiotech.com/network/56178</v>
      </c>
      <c r="H6378" s="2" t="s">
        <v>42277</v>
      </c>
      <c r="I6378" s="2">
        <v>87873</v>
      </c>
      <c r="J6378" s="2"/>
      <c r="K6378" s="2"/>
      <c r="L6378" s="2"/>
      <c r="M6378" s="2"/>
      <c r="N6378" s="2"/>
      <c r="O6378" s="2">
        <v>77634301</v>
      </c>
      <c r="P6378" s="2"/>
      <c r="Q6378" s="2" t="s">
        <v>42278</v>
      </c>
      <c r="R6378" s="2" t="s">
        <v>42279</v>
      </c>
      <c r="S6378" s="2" t="s">
        <v>79</v>
      </c>
      <c r="T6378" s="2" t="s">
        <v>80</v>
      </c>
      <c r="U6378" s="2" t="s">
        <v>81</v>
      </c>
      <c r="V6378" s="2" t="s">
        <v>42</v>
      </c>
      <c r="W6378" s="2">
        <v>48.4</v>
      </c>
      <c r="X6378" s="2">
        <v>46.4</v>
      </c>
      <c r="Y6378" s="2" t="s">
        <v>286</v>
      </c>
      <c r="Z6378" s="2" t="s">
        <v>42280</v>
      </c>
      <c r="AA6378" s="2">
        <v>9.5393009606689495E-3</v>
      </c>
      <c r="AB6378" s="2">
        <v>3.2492981691466603E-2</v>
      </c>
      <c r="AC6378" s="2">
        <v>15186.1615500077</v>
      </c>
      <c r="AD6378" s="2">
        <v>14766.1627078291</v>
      </c>
      <c r="AE6378" s="2">
        <v>16539.424594606699</v>
      </c>
      <c r="AF6378" s="2">
        <v>14677.762732896999</v>
      </c>
      <c r="AG6378" s="2">
        <v>13301.5758256432</v>
      </c>
      <c r="AH6378" s="2">
        <v>16714.1498378586</v>
      </c>
      <c r="AI6378" s="2">
        <v>13596.861097946699</v>
      </c>
      <c r="AJ6378" s="2">
        <v>16287.1952110942</v>
      </c>
      <c r="AK6378" s="2">
        <v>13789.566921711499</v>
      </c>
      <c r="AL6378" s="2">
        <v>13178.7863001559</v>
      </c>
      <c r="AM6378" s="2">
        <v>15129.9710467924</v>
      </c>
      <c r="AN6378" s="2">
        <v>15843.7548414706</v>
      </c>
      <c r="AO6378" s="2">
        <v>14369.647829754</v>
      </c>
      <c r="AP6378" s="2">
        <v>16285.2493070905</v>
      </c>
    </row>
    <row r="6379" spans="1:42" ht="14.5" x14ac:dyDescent="0.35">
      <c r="A6379" s="2" t="s">
        <v>42281</v>
      </c>
      <c r="B6379" s="2">
        <v>681.312163141925</v>
      </c>
      <c r="C6379" s="2">
        <v>6.4438333333333304</v>
      </c>
      <c r="D6379" s="2" t="s">
        <v>70</v>
      </c>
      <c r="E6379" s="2" t="s">
        <v>42282</v>
      </c>
      <c r="F6379" s="2">
        <v>19868</v>
      </c>
      <c r="G6379" s="3" t="str">
        <f>HYPERLINK("http://funmeta.oebiotech.com/network/19868", "http://funmeta.oebiotech.com/network/19868")</f>
        <v>http://funmeta.oebiotech.com/network/19868</v>
      </c>
      <c r="H6379" s="2"/>
      <c r="I6379" s="2">
        <v>40357</v>
      </c>
      <c r="J6379" s="2" t="s">
        <v>42283</v>
      </c>
      <c r="K6379" s="2"/>
      <c r="L6379" s="2"/>
      <c r="M6379" s="2"/>
      <c r="N6379" s="2"/>
      <c r="O6379" s="2">
        <v>24779499</v>
      </c>
      <c r="P6379" s="2"/>
      <c r="Q6379" s="2" t="s">
        <v>42284</v>
      </c>
      <c r="R6379" s="2" t="s">
        <v>42285</v>
      </c>
      <c r="S6379" s="2" t="s">
        <v>50</v>
      </c>
      <c r="T6379" s="2" t="s">
        <v>51</v>
      </c>
      <c r="U6379" s="2" t="s">
        <v>168</v>
      </c>
      <c r="V6379" s="2" t="s">
        <v>59</v>
      </c>
      <c r="W6379" s="2">
        <v>36.5</v>
      </c>
      <c r="X6379" s="2">
        <v>0</v>
      </c>
      <c r="Y6379" s="2" t="s">
        <v>560</v>
      </c>
      <c r="Z6379" s="2" t="s">
        <v>42286</v>
      </c>
      <c r="AA6379" s="2">
        <v>-1.81463859318855</v>
      </c>
      <c r="AB6379" s="2">
        <v>3.2346940506042997E-2</v>
      </c>
      <c r="AC6379" s="2">
        <v>2012.43865771472</v>
      </c>
      <c r="AD6379" s="2">
        <v>1772.0386387741801</v>
      </c>
      <c r="AE6379" s="2">
        <v>2463.8395870374102</v>
      </c>
      <c r="AF6379" s="2">
        <v>2017.35172221981</v>
      </c>
      <c r="AG6379" s="2">
        <v>1804.76293115111</v>
      </c>
      <c r="AH6379" s="2">
        <v>2128.8538350461999</v>
      </c>
      <c r="AI6379" s="2">
        <v>1516.47900102474</v>
      </c>
      <c r="AJ6379" s="2">
        <v>2143.3448698090801</v>
      </c>
      <c r="AK6379" s="2">
        <v>1313.52161318248</v>
      </c>
      <c r="AL6379" s="2">
        <v>2349.1410162877901</v>
      </c>
      <c r="AM6379" s="2">
        <v>1693.7662955918599</v>
      </c>
      <c r="AN6379" s="2">
        <v>2525.44445881504</v>
      </c>
      <c r="AO6379" s="2">
        <v>1571.6858176031401</v>
      </c>
      <c r="AP6379" s="2">
        <v>1178.6726311647401</v>
      </c>
    </row>
    <row r="6380" spans="1:42" ht="14.5" x14ac:dyDescent="0.35">
      <c r="A6380" s="2" t="s">
        <v>42287</v>
      </c>
      <c r="B6380" s="2">
        <v>741.25697918558205</v>
      </c>
      <c r="C6380" s="2">
        <v>5.26453333333333</v>
      </c>
      <c r="D6380" s="2" t="s">
        <v>70</v>
      </c>
      <c r="E6380" s="2" t="s">
        <v>42288</v>
      </c>
      <c r="F6380" s="2">
        <v>211763</v>
      </c>
      <c r="G6380" s="3" t="str">
        <f>HYPERLINK("http://funmeta.oebiotech.com/network/211763", "http://funmeta.oebiotech.com/network/211763")</f>
        <v>http://funmeta.oebiotech.com/network/211763</v>
      </c>
      <c r="H6380" s="2" t="s">
        <v>42289</v>
      </c>
      <c r="I6380" s="2"/>
      <c r="J6380" s="2"/>
      <c r="K6380" s="2"/>
      <c r="L6380" s="2"/>
      <c r="M6380" s="2"/>
      <c r="N6380" s="2"/>
      <c r="O6380" s="2"/>
      <c r="P6380" s="2"/>
      <c r="Q6380" s="2" t="s">
        <v>42290</v>
      </c>
      <c r="R6380" s="2" t="s">
        <v>42291</v>
      </c>
      <c r="S6380" s="2" t="s">
        <v>148</v>
      </c>
      <c r="T6380" s="2" t="s">
        <v>149</v>
      </c>
      <c r="U6380" s="2" t="s">
        <v>5024</v>
      </c>
      <c r="V6380" s="2" t="s">
        <v>59</v>
      </c>
      <c r="W6380" s="2">
        <v>37.700000000000003</v>
      </c>
      <c r="X6380" s="2">
        <v>0</v>
      </c>
      <c r="Y6380" s="2" t="s">
        <v>560</v>
      </c>
      <c r="Z6380" s="2" t="s">
        <v>42292</v>
      </c>
      <c r="AA6380" s="2">
        <v>-3.1581752947644501</v>
      </c>
      <c r="AB6380" s="2">
        <v>3.2344609617688903E-2</v>
      </c>
      <c r="AC6380" s="2">
        <v>36979.127852915102</v>
      </c>
      <c r="AD6380" s="2">
        <v>37517.928714204099</v>
      </c>
      <c r="AE6380" s="2">
        <v>38006.500331781703</v>
      </c>
      <c r="AF6380" s="2">
        <v>35669.823919126102</v>
      </c>
      <c r="AG6380" s="2">
        <v>32702.643502123799</v>
      </c>
      <c r="AH6380" s="2">
        <v>38191.321239307101</v>
      </c>
      <c r="AI6380" s="2">
        <v>38281.041917564798</v>
      </c>
      <c r="AJ6380" s="2">
        <v>39023.436207587103</v>
      </c>
      <c r="AK6380" s="2">
        <v>34488.862355051897</v>
      </c>
      <c r="AL6380" s="2">
        <v>35610.854270194301</v>
      </c>
      <c r="AM6380" s="2">
        <v>42149.730330413302</v>
      </c>
      <c r="AN6380" s="2">
        <v>36868.3402720835</v>
      </c>
      <c r="AO6380" s="2">
        <v>38981.858993104397</v>
      </c>
      <c r="AP6380" s="2">
        <v>37007.926064377403</v>
      </c>
    </row>
    <row r="6381" spans="1:42" ht="14.5" x14ac:dyDescent="0.35">
      <c r="A6381" s="2" t="s">
        <v>42293</v>
      </c>
      <c r="B6381" s="2">
        <v>545.05968398450898</v>
      </c>
      <c r="C6381" s="2">
        <v>3.53996666666667</v>
      </c>
      <c r="D6381" s="2" t="s">
        <v>70</v>
      </c>
      <c r="E6381" s="2" t="s">
        <v>42294</v>
      </c>
      <c r="F6381" s="2">
        <v>47562</v>
      </c>
      <c r="G6381" s="3" t="str">
        <f>HYPERLINK("http://funmeta.oebiotech.com/network/47562", "http://funmeta.oebiotech.com/network/47562")</f>
        <v>http://funmeta.oebiotech.com/network/47562</v>
      </c>
      <c r="H6381" s="2" t="s">
        <v>42295</v>
      </c>
      <c r="I6381" s="2">
        <v>63820</v>
      </c>
      <c r="J6381" s="2"/>
      <c r="K6381" s="2">
        <v>16128</v>
      </c>
      <c r="L6381" s="2" t="s">
        <v>42296</v>
      </c>
      <c r="M6381" s="2" t="s">
        <v>24568</v>
      </c>
      <c r="N6381" s="2" t="s">
        <v>24569</v>
      </c>
      <c r="O6381" s="2">
        <v>439292</v>
      </c>
      <c r="P6381" s="2" t="s">
        <v>42297</v>
      </c>
      <c r="Q6381" s="2" t="s">
        <v>42298</v>
      </c>
      <c r="R6381" s="2" t="s">
        <v>42299</v>
      </c>
      <c r="S6381" s="2" t="s">
        <v>1444</v>
      </c>
      <c r="T6381" s="2" t="s">
        <v>4040</v>
      </c>
      <c r="U6381" s="2" t="s">
        <v>4041</v>
      </c>
      <c r="V6381" s="2" t="s">
        <v>59</v>
      </c>
      <c r="W6381" s="2">
        <v>38.200000000000003</v>
      </c>
      <c r="X6381" s="2">
        <v>0</v>
      </c>
      <c r="Y6381" s="2" t="s">
        <v>118</v>
      </c>
      <c r="Z6381" s="2" t="s">
        <v>42300</v>
      </c>
      <c r="AA6381" s="2">
        <v>3.23969345962611</v>
      </c>
      <c r="AB6381" s="2">
        <v>3.2105688754464498E-2</v>
      </c>
      <c r="AC6381" s="2">
        <v>1360.6946255576599</v>
      </c>
      <c r="AD6381" s="2">
        <v>1184.03417919347</v>
      </c>
      <c r="AE6381" s="2">
        <v>1205.8276671812</v>
      </c>
      <c r="AF6381" s="2">
        <v>1359.40799869999</v>
      </c>
      <c r="AG6381" s="2">
        <v>1176.32688342646</v>
      </c>
      <c r="AH6381" s="2">
        <v>1314.7515152843</v>
      </c>
      <c r="AI6381" s="2">
        <v>1234.3556671563999</v>
      </c>
      <c r="AJ6381" s="2">
        <v>1873.49802159759</v>
      </c>
      <c r="AK6381" s="2">
        <v>875.18841593762397</v>
      </c>
      <c r="AL6381" s="2">
        <v>1134.2806072938999</v>
      </c>
      <c r="AM6381" s="2">
        <v>1114.00556034288</v>
      </c>
      <c r="AN6381" s="2">
        <v>1163.0205717753199</v>
      </c>
      <c r="AO6381" s="2">
        <v>1433.0583614453301</v>
      </c>
      <c r="AP6381" s="2">
        <v>1384.6515583657499</v>
      </c>
    </row>
    <row r="6382" spans="1:42" ht="14.5" x14ac:dyDescent="0.35">
      <c r="A6382" s="2" t="s">
        <v>42301</v>
      </c>
      <c r="B6382" s="2">
        <v>523.13309706449797</v>
      </c>
      <c r="C6382" s="2">
        <v>4.6673166666666699</v>
      </c>
      <c r="D6382" s="2" t="s">
        <v>70</v>
      </c>
      <c r="E6382" s="2" t="s">
        <v>42302</v>
      </c>
      <c r="F6382" s="2">
        <v>56234</v>
      </c>
      <c r="G6382" s="3" t="str">
        <f>HYPERLINK("http://funmeta.oebiotech.com/network/56234", "http://funmeta.oebiotech.com/network/56234")</f>
        <v>http://funmeta.oebiotech.com/network/56234</v>
      </c>
      <c r="H6382" s="2" t="s">
        <v>42303</v>
      </c>
      <c r="I6382" s="2">
        <v>44098</v>
      </c>
      <c r="J6382" s="2"/>
      <c r="K6382" s="2"/>
      <c r="L6382" s="2"/>
      <c r="M6382" s="2"/>
      <c r="N6382" s="2"/>
      <c r="O6382" s="2">
        <v>135511839</v>
      </c>
      <c r="P6382" s="2" t="s">
        <v>42304</v>
      </c>
      <c r="Q6382" s="2" t="s">
        <v>42305</v>
      </c>
      <c r="R6382" s="2" t="s">
        <v>42306</v>
      </c>
      <c r="S6382" s="2" t="s">
        <v>491</v>
      </c>
      <c r="T6382" s="2" t="s">
        <v>3019</v>
      </c>
      <c r="U6382" s="2" t="s">
        <v>3020</v>
      </c>
      <c r="V6382" s="2" t="s">
        <v>59</v>
      </c>
      <c r="W6382" s="2">
        <v>38.700000000000003</v>
      </c>
      <c r="X6382" s="2">
        <v>0</v>
      </c>
      <c r="Y6382" s="2" t="s">
        <v>560</v>
      </c>
      <c r="Z6382" s="2" t="s">
        <v>42307</v>
      </c>
      <c r="AA6382" s="2">
        <v>-6.89505730970673E-2</v>
      </c>
      <c r="AB6382" s="2">
        <v>3.2047167547089403E-2</v>
      </c>
      <c r="AC6382" s="2">
        <v>881.38404877247899</v>
      </c>
      <c r="AD6382" s="2">
        <v>600.34415418827996</v>
      </c>
      <c r="AE6382" s="2">
        <v>401.56793956395302</v>
      </c>
      <c r="AF6382" s="2">
        <v>1968.4819486133499</v>
      </c>
      <c r="AG6382" s="2">
        <v>2.7106294003980101E-5</v>
      </c>
      <c r="AH6382" s="2">
        <v>1746.80102101688</v>
      </c>
      <c r="AI6382" s="2">
        <v>524.97536494336998</v>
      </c>
      <c r="AJ6382" s="2">
        <v>646.47799139102494</v>
      </c>
      <c r="AK6382" s="2">
        <v>498.91418596761702</v>
      </c>
      <c r="AL6382" s="2">
        <v>1161.13194332744</v>
      </c>
      <c r="AM6382" s="2">
        <v>359.60124654879797</v>
      </c>
      <c r="AN6382" s="2">
        <v>490.45654594782002</v>
      </c>
      <c r="AO6382" s="2">
        <v>2.7106294003980101E-5</v>
      </c>
      <c r="AP6382" s="2">
        <v>1091.96097623171</v>
      </c>
    </row>
    <row r="6383" spans="1:42" ht="14.5" x14ac:dyDescent="0.35">
      <c r="A6383" s="2" t="s">
        <v>42308</v>
      </c>
      <c r="B6383" s="2">
        <v>293.13928721600001</v>
      </c>
      <c r="C6383" s="2">
        <v>4.5612000000000004</v>
      </c>
      <c r="D6383" s="2" t="s">
        <v>70</v>
      </c>
      <c r="E6383" s="2" t="s">
        <v>42309</v>
      </c>
      <c r="F6383" s="2">
        <v>55349</v>
      </c>
      <c r="G6383" s="3" t="str">
        <f>HYPERLINK("http://funmeta.oebiotech.com/network/55349", "http://funmeta.oebiotech.com/network/55349")</f>
        <v>http://funmeta.oebiotech.com/network/55349</v>
      </c>
      <c r="H6383" s="2" t="s">
        <v>42310</v>
      </c>
      <c r="I6383" s="2">
        <v>87057</v>
      </c>
      <c r="J6383" s="2"/>
      <c r="K6383" s="2">
        <v>172913</v>
      </c>
      <c r="L6383" s="2"/>
      <c r="M6383" s="2"/>
      <c r="N6383" s="2"/>
      <c r="O6383" s="2">
        <v>67764516</v>
      </c>
      <c r="P6383" s="2" t="s">
        <v>42311</v>
      </c>
      <c r="Q6383" s="2" t="s">
        <v>42312</v>
      </c>
      <c r="R6383" s="2" t="s">
        <v>42313</v>
      </c>
      <c r="S6383" s="2" t="s">
        <v>50</v>
      </c>
      <c r="T6383" s="2" t="s">
        <v>201</v>
      </c>
      <c r="U6383" s="2" t="s">
        <v>636</v>
      </c>
      <c r="V6383" s="2" t="s">
        <v>59</v>
      </c>
      <c r="W6383" s="2">
        <v>39.299999999999997</v>
      </c>
      <c r="X6383" s="2">
        <v>0</v>
      </c>
      <c r="Y6383" s="2" t="s">
        <v>118</v>
      </c>
      <c r="Z6383" s="2" t="s">
        <v>42314</v>
      </c>
      <c r="AA6383" s="2">
        <v>-0.54447432715936706</v>
      </c>
      <c r="AB6383" s="2">
        <v>3.1953411242960902E-2</v>
      </c>
      <c r="AC6383" s="2">
        <v>1007.05930867932</v>
      </c>
      <c r="AD6383" s="2">
        <v>1199.3108921339499</v>
      </c>
      <c r="AE6383" s="2">
        <v>1140.58903954479</v>
      </c>
      <c r="AF6383" s="2">
        <v>962.11648784063595</v>
      </c>
      <c r="AG6383" s="2">
        <v>1297.50846277598</v>
      </c>
      <c r="AH6383" s="2">
        <v>1039.76428751701</v>
      </c>
      <c r="AI6383" s="2">
        <v>894.82433749140205</v>
      </c>
      <c r="AJ6383" s="2">
        <v>707.55323690611601</v>
      </c>
      <c r="AK6383" s="2">
        <v>1589.4457925561301</v>
      </c>
      <c r="AL6383" s="2">
        <v>1157.51541247773</v>
      </c>
      <c r="AM6383" s="2">
        <v>1295.8674059138</v>
      </c>
      <c r="AN6383" s="2">
        <v>1497.28298288528</v>
      </c>
      <c r="AO6383" s="2">
        <v>672.29056964830102</v>
      </c>
      <c r="AP6383" s="2">
        <v>983.46318932246504</v>
      </c>
    </row>
    <row r="6384" spans="1:42" ht="14.5" x14ac:dyDescent="0.35">
      <c r="A6384" s="2" t="s">
        <v>42315</v>
      </c>
      <c r="B6384" s="2">
        <v>415.180774840021</v>
      </c>
      <c r="C6384" s="2">
        <v>1.5714333333333299</v>
      </c>
      <c r="D6384" s="2" t="s">
        <v>34</v>
      </c>
      <c r="E6384" s="2" t="s">
        <v>42316</v>
      </c>
      <c r="F6384" s="2">
        <v>274647</v>
      </c>
      <c r="G6384" s="3" t="str">
        <f>HYPERLINK("http://funmeta.oebiotech.com/network/274647", "http://funmeta.oebiotech.com/network/274647")</f>
        <v>http://funmeta.oebiotech.com/network/274647</v>
      </c>
      <c r="H6384" s="2"/>
      <c r="I6384" s="2">
        <v>64803</v>
      </c>
      <c r="J6384" s="2"/>
      <c r="K6384" s="2"/>
      <c r="L6384" s="2"/>
      <c r="M6384" s="2"/>
      <c r="N6384" s="2"/>
      <c r="O6384" s="2">
        <v>5311272</v>
      </c>
      <c r="P6384" s="2" t="s">
        <v>42317</v>
      </c>
      <c r="Q6384" s="2" t="s">
        <v>42318</v>
      </c>
      <c r="R6384" s="2" t="s">
        <v>42319</v>
      </c>
      <c r="S6384" s="2" t="s">
        <v>89</v>
      </c>
      <c r="T6384" s="2" t="s">
        <v>90</v>
      </c>
      <c r="U6384" s="2" t="s">
        <v>99</v>
      </c>
      <c r="V6384" s="2" t="s">
        <v>59</v>
      </c>
      <c r="W6384" s="2">
        <v>37.299999999999997</v>
      </c>
      <c r="X6384" s="2">
        <v>0</v>
      </c>
      <c r="Y6384" s="2" t="s">
        <v>4572</v>
      </c>
      <c r="Z6384" s="2" t="s">
        <v>42320</v>
      </c>
      <c r="AA6384" s="2">
        <v>-4.6291905423063104</v>
      </c>
      <c r="AB6384" s="2">
        <v>3.1886394076978603E-2</v>
      </c>
      <c r="AC6384" s="2">
        <v>12743.941207240399</v>
      </c>
      <c r="AD6384" s="2">
        <v>12329.053093893301</v>
      </c>
      <c r="AE6384" s="2">
        <v>13608.8388559174</v>
      </c>
      <c r="AF6384" s="2">
        <v>11876.8026095553</v>
      </c>
      <c r="AG6384" s="2">
        <v>12268.0652245439</v>
      </c>
      <c r="AH6384" s="2">
        <v>10830.0761233386</v>
      </c>
      <c r="AI6384" s="2">
        <v>15014.960834252601</v>
      </c>
      <c r="AJ6384" s="2">
        <v>12864.903595834799</v>
      </c>
      <c r="AK6384" s="2">
        <v>11607.752639358599</v>
      </c>
      <c r="AL6384" s="2">
        <v>13096.2138516498</v>
      </c>
      <c r="AM6384" s="2">
        <v>10789.713652112599</v>
      </c>
      <c r="AN6384" s="2">
        <v>12558.3451331911</v>
      </c>
      <c r="AO6384" s="2">
        <v>11837.3063514613</v>
      </c>
      <c r="AP6384" s="2">
        <v>14084.986935586399</v>
      </c>
    </row>
    <row r="6385" spans="1:42" ht="14.5" x14ac:dyDescent="0.35">
      <c r="A6385" s="2" t="s">
        <v>42321</v>
      </c>
      <c r="B6385" s="2">
        <v>339.15593081979</v>
      </c>
      <c r="C6385" s="2">
        <v>4.8801333333333297</v>
      </c>
      <c r="D6385" s="2" t="s">
        <v>70</v>
      </c>
      <c r="E6385" s="2" t="s">
        <v>42322</v>
      </c>
      <c r="F6385" s="2">
        <v>211322</v>
      </c>
      <c r="G6385" s="3" t="str">
        <f>HYPERLINK("http://funmeta.oebiotech.com/network/211322", "http://funmeta.oebiotech.com/network/211322")</f>
        <v>http://funmeta.oebiotech.com/network/211322</v>
      </c>
      <c r="H6385" s="2" t="s">
        <v>42323</v>
      </c>
      <c r="I6385" s="2"/>
      <c r="J6385" s="2"/>
      <c r="K6385" s="2"/>
      <c r="L6385" s="2"/>
      <c r="M6385" s="2"/>
      <c r="N6385" s="2"/>
      <c r="O6385" s="2">
        <v>22142125</v>
      </c>
      <c r="P6385" s="2"/>
      <c r="Q6385" s="2" t="s">
        <v>42324</v>
      </c>
      <c r="R6385" s="2" t="s">
        <v>42325</v>
      </c>
      <c r="S6385" s="2" t="s">
        <v>89</v>
      </c>
      <c r="T6385" s="2" t="s">
        <v>90</v>
      </c>
      <c r="U6385" s="2" t="s">
        <v>99</v>
      </c>
      <c r="V6385" s="2" t="s">
        <v>59</v>
      </c>
      <c r="W6385" s="2">
        <v>38.700000000000003</v>
      </c>
      <c r="X6385" s="2">
        <v>0</v>
      </c>
      <c r="Y6385" s="2" t="s">
        <v>118</v>
      </c>
      <c r="Z6385" s="2" t="s">
        <v>42326</v>
      </c>
      <c r="AA6385" s="2">
        <v>-0.67392560728131501</v>
      </c>
      <c r="AB6385" s="2">
        <v>3.1862812223799199E-2</v>
      </c>
      <c r="AC6385" s="2">
        <v>920.048411477983</v>
      </c>
      <c r="AD6385" s="2">
        <v>1102.02671827375</v>
      </c>
      <c r="AE6385" s="2">
        <v>1051.6718095005899</v>
      </c>
      <c r="AF6385" s="2">
        <v>632.91787729513305</v>
      </c>
      <c r="AG6385" s="2">
        <v>1290.36240740673</v>
      </c>
      <c r="AH6385" s="2">
        <v>654.47869525884403</v>
      </c>
      <c r="AI6385" s="2">
        <v>887.61325874314298</v>
      </c>
      <c r="AJ6385" s="2">
        <v>1003.24642066346</v>
      </c>
      <c r="AK6385" s="2">
        <v>780.26598741950397</v>
      </c>
      <c r="AL6385" s="2">
        <v>910.54885785234603</v>
      </c>
      <c r="AM6385" s="2">
        <v>1234.32082290841</v>
      </c>
      <c r="AN6385" s="2">
        <v>981.08092159534101</v>
      </c>
      <c r="AO6385" s="2">
        <v>1476.71293154616</v>
      </c>
      <c r="AP6385" s="2">
        <v>1229.23078832076</v>
      </c>
    </row>
    <row r="6386" spans="1:42" ht="14.5" x14ac:dyDescent="0.35">
      <c r="A6386" s="2" t="s">
        <v>42327</v>
      </c>
      <c r="B6386" s="2">
        <v>279.04841740033601</v>
      </c>
      <c r="C6386" s="2">
        <v>3.6547999999999998</v>
      </c>
      <c r="D6386" s="2" t="s">
        <v>70</v>
      </c>
      <c r="E6386" s="2" t="s">
        <v>42328</v>
      </c>
      <c r="F6386" s="2">
        <v>201768</v>
      </c>
      <c r="G6386" s="3" t="str">
        <f>HYPERLINK("http://funmeta.oebiotech.com/network/201768", "http://funmeta.oebiotech.com/network/201768")</f>
        <v>http://funmeta.oebiotech.com/network/201768</v>
      </c>
      <c r="H6386" s="2" t="s">
        <v>42329</v>
      </c>
      <c r="I6386" s="2">
        <v>337356</v>
      </c>
      <c r="J6386" s="2"/>
      <c r="K6386" s="2">
        <v>20364</v>
      </c>
      <c r="L6386" s="2" t="s">
        <v>42330</v>
      </c>
      <c r="M6386" s="2" t="s">
        <v>42331</v>
      </c>
      <c r="N6386" s="2" t="s">
        <v>42332</v>
      </c>
      <c r="O6386" s="2">
        <v>9973</v>
      </c>
      <c r="P6386" s="2"/>
      <c r="Q6386" s="2" t="s">
        <v>42333</v>
      </c>
      <c r="R6386" s="2" t="s">
        <v>42334</v>
      </c>
      <c r="S6386" s="2" t="s">
        <v>148</v>
      </c>
      <c r="T6386" s="2" t="s">
        <v>149</v>
      </c>
      <c r="U6386" s="2" t="s">
        <v>1593</v>
      </c>
      <c r="V6386" s="2" t="s">
        <v>59</v>
      </c>
      <c r="W6386" s="2">
        <v>39</v>
      </c>
      <c r="X6386" s="2">
        <v>0</v>
      </c>
      <c r="Y6386" s="2" t="s">
        <v>560</v>
      </c>
      <c r="Z6386" s="2" t="s">
        <v>42335</v>
      </c>
      <c r="AA6386" s="2">
        <v>3.4942935904669099</v>
      </c>
      <c r="AB6386" s="2">
        <v>3.1784916569555399E-2</v>
      </c>
      <c r="AC6386" s="2">
        <v>3951.4158884424601</v>
      </c>
      <c r="AD6386" s="2">
        <v>4126.0671796526904</v>
      </c>
      <c r="AE6386" s="2">
        <v>3877.2913842871399</v>
      </c>
      <c r="AF6386" s="2">
        <v>3933.1498435633198</v>
      </c>
      <c r="AG6386" s="2">
        <v>3943.6392586012398</v>
      </c>
      <c r="AH6386" s="2">
        <v>3809.9914985720502</v>
      </c>
      <c r="AI6386" s="2">
        <v>3880.5297082185698</v>
      </c>
      <c r="AJ6386" s="2">
        <v>4263.8936374124296</v>
      </c>
      <c r="AK6386" s="2">
        <v>4029.3706974974998</v>
      </c>
      <c r="AL6386" s="2">
        <v>4635.7406792656302</v>
      </c>
      <c r="AM6386" s="2">
        <v>4211.8773452042697</v>
      </c>
      <c r="AN6386" s="2">
        <v>4113.5685608576896</v>
      </c>
      <c r="AO6386" s="2">
        <v>3866.49048887871</v>
      </c>
      <c r="AP6386" s="2">
        <v>3899.3553062123501</v>
      </c>
    </row>
    <row r="6387" spans="1:42" ht="14.5" x14ac:dyDescent="0.35">
      <c r="A6387" s="2" t="s">
        <v>42336</v>
      </c>
      <c r="B6387" s="2">
        <v>407.015632460017</v>
      </c>
      <c r="C6387" s="2">
        <v>8.6008499999999994</v>
      </c>
      <c r="D6387" s="2" t="s">
        <v>70</v>
      </c>
      <c r="E6387" s="2" t="s">
        <v>42337</v>
      </c>
      <c r="F6387" s="2">
        <v>201390</v>
      </c>
      <c r="G6387" s="3" t="str">
        <f>HYPERLINK("http://funmeta.oebiotech.com/network/201390", "http://funmeta.oebiotech.com/network/201390")</f>
        <v>http://funmeta.oebiotech.com/network/201390</v>
      </c>
      <c r="H6387" s="2" t="s">
        <v>42338</v>
      </c>
      <c r="I6387" s="2"/>
      <c r="J6387" s="2"/>
      <c r="K6387" s="2"/>
      <c r="L6387" s="2"/>
      <c r="M6387" s="2"/>
      <c r="N6387" s="2"/>
      <c r="O6387" s="2">
        <v>18006160</v>
      </c>
      <c r="P6387" s="2"/>
      <c r="Q6387" s="2" t="s">
        <v>42339</v>
      </c>
      <c r="R6387" s="2" t="s">
        <v>42340</v>
      </c>
      <c r="S6387" s="2" t="s">
        <v>491</v>
      </c>
      <c r="T6387" s="2" t="s">
        <v>3519</v>
      </c>
      <c r="U6387" s="2" t="s">
        <v>7152</v>
      </c>
      <c r="V6387" s="2" t="s">
        <v>59</v>
      </c>
      <c r="W6387" s="2">
        <v>38.200000000000003</v>
      </c>
      <c r="X6387" s="2">
        <v>0</v>
      </c>
      <c r="Y6387" s="2" t="s">
        <v>560</v>
      </c>
      <c r="Z6387" s="2" t="s">
        <v>42341</v>
      </c>
      <c r="AA6387" s="2">
        <v>-3.73971589155853</v>
      </c>
      <c r="AB6387" s="2">
        <v>3.1761692912250998E-2</v>
      </c>
      <c r="AC6387" s="2">
        <v>2649.98204268167</v>
      </c>
      <c r="AD6387" s="2">
        <v>2854.3659097210698</v>
      </c>
      <c r="AE6387" s="2">
        <v>3176.2345602607702</v>
      </c>
      <c r="AF6387" s="2">
        <v>2921.3376771257499</v>
      </c>
      <c r="AG6387" s="2">
        <v>2497.5385854968399</v>
      </c>
      <c r="AH6387" s="2">
        <v>2226.5484976339299</v>
      </c>
      <c r="AI6387" s="2">
        <v>2484.0226992114499</v>
      </c>
      <c r="AJ6387" s="2">
        <v>2594.2102363612498</v>
      </c>
      <c r="AK6387" s="2">
        <v>2794.8921115754702</v>
      </c>
      <c r="AL6387" s="2">
        <v>2881.8293594202701</v>
      </c>
      <c r="AM6387" s="2">
        <v>3335.6545855039899</v>
      </c>
      <c r="AN6387" s="2">
        <v>2674.9139186857401</v>
      </c>
      <c r="AO6387" s="2">
        <v>2990.3430855878501</v>
      </c>
      <c r="AP6387" s="2">
        <v>2448.5623975530998</v>
      </c>
    </row>
    <row r="6388" spans="1:42" ht="14.5" x14ac:dyDescent="0.35">
      <c r="A6388" s="2" t="s">
        <v>42342</v>
      </c>
      <c r="B6388" s="2">
        <v>319.03826662969198</v>
      </c>
      <c r="C6388" s="2">
        <v>6.8767666666666702</v>
      </c>
      <c r="D6388" s="2" t="s">
        <v>70</v>
      </c>
      <c r="E6388" s="2" t="s">
        <v>42343</v>
      </c>
      <c r="F6388" s="2">
        <v>258324</v>
      </c>
      <c r="G6388" s="3" t="str">
        <f>HYPERLINK("http://funmeta.oebiotech.com/network/258324", "http://funmeta.oebiotech.com/network/258324")</f>
        <v>http://funmeta.oebiotech.com/network/258324</v>
      </c>
      <c r="H6388" s="2"/>
      <c r="I6388" s="2">
        <v>4009</v>
      </c>
      <c r="J6388" s="2"/>
      <c r="K6388" s="2"/>
      <c r="L6388" s="2"/>
      <c r="M6388" s="2"/>
      <c r="N6388" s="2"/>
      <c r="O6388" s="2">
        <v>33919</v>
      </c>
      <c r="P6388" s="2" t="s">
        <v>42344</v>
      </c>
      <c r="Q6388" s="2" t="s">
        <v>42345</v>
      </c>
      <c r="R6388" s="2" t="s">
        <v>42346</v>
      </c>
      <c r="S6388" s="2" t="s">
        <v>491</v>
      </c>
      <c r="T6388" s="2" t="s">
        <v>15878</v>
      </c>
      <c r="U6388" s="2" t="s">
        <v>42347</v>
      </c>
      <c r="V6388" s="2" t="s">
        <v>59</v>
      </c>
      <c r="W6388" s="2">
        <v>36.799999999999997</v>
      </c>
      <c r="X6388" s="2">
        <v>0</v>
      </c>
      <c r="Y6388" s="2" t="s">
        <v>408</v>
      </c>
      <c r="Z6388" s="2" t="s">
        <v>42348</v>
      </c>
      <c r="AA6388" s="2">
        <v>-4.1943665141289896</v>
      </c>
      <c r="AB6388" s="2">
        <v>3.1759857968581398E-2</v>
      </c>
      <c r="AC6388" s="2">
        <v>5765.9789655162103</v>
      </c>
      <c r="AD6388" s="2">
        <v>6007.3014265905704</v>
      </c>
      <c r="AE6388" s="2">
        <v>5568.4002725973696</v>
      </c>
      <c r="AF6388" s="2">
        <v>5741.0320891967804</v>
      </c>
      <c r="AG6388" s="2">
        <v>5350.1519635291697</v>
      </c>
      <c r="AH6388" s="2">
        <v>5280.9077849514797</v>
      </c>
      <c r="AI6388" s="2">
        <v>6308.3069654765004</v>
      </c>
      <c r="AJ6388" s="2">
        <v>6347.0747173459504</v>
      </c>
      <c r="AK6388" s="2">
        <v>6055.5519004196603</v>
      </c>
      <c r="AL6388" s="2">
        <v>6180.7112762476499</v>
      </c>
      <c r="AM6388" s="2">
        <v>6298.1969081330099</v>
      </c>
      <c r="AN6388" s="2">
        <v>6687.0805617235401</v>
      </c>
      <c r="AO6388" s="2">
        <v>5433.1733718940004</v>
      </c>
      <c r="AP6388" s="2">
        <v>5389.0945411255698</v>
      </c>
    </row>
    <row r="6389" spans="1:42" ht="14.5" x14ac:dyDescent="0.35">
      <c r="A6389" s="2" t="s">
        <v>42349</v>
      </c>
      <c r="B6389" s="2">
        <v>286.09193008684701</v>
      </c>
      <c r="C6389" s="2">
        <v>1.06171666666667</v>
      </c>
      <c r="D6389" s="2" t="s">
        <v>34</v>
      </c>
      <c r="E6389" s="2" t="s">
        <v>42350</v>
      </c>
      <c r="F6389" s="2">
        <v>209722</v>
      </c>
      <c r="G6389" s="3" t="str">
        <f>HYPERLINK("http://funmeta.oebiotech.com/network/209722", "http://funmeta.oebiotech.com/network/209722")</f>
        <v>http://funmeta.oebiotech.com/network/209722</v>
      </c>
      <c r="H6389" s="2" t="s">
        <v>42351</v>
      </c>
      <c r="I6389" s="2"/>
      <c r="J6389" s="2"/>
      <c r="K6389" s="2"/>
      <c r="L6389" s="2"/>
      <c r="M6389" s="2"/>
      <c r="N6389" s="2"/>
      <c r="O6389" s="2">
        <v>198055</v>
      </c>
      <c r="P6389" s="2"/>
      <c r="Q6389" s="2" t="s">
        <v>42352</v>
      </c>
      <c r="R6389" s="2" t="s">
        <v>42353</v>
      </c>
      <c r="S6389" s="2" t="s">
        <v>41</v>
      </c>
      <c r="T6389" s="2" t="s">
        <v>41</v>
      </c>
      <c r="U6389" s="2" t="s">
        <v>41</v>
      </c>
      <c r="V6389" s="2" t="s">
        <v>59</v>
      </c>
      <c r="W6389" s="2">
        <v>38.799999999999997</v>
      </c>
      <c r="X6389" s="2">
        <v>0</v>
      </c>
      <c r="Y6389" s="2" t="s">
        <v>43</v>
      </c>
      <c r="Z6389" s="2" t="s">
        <v>42354</v>
      </c>
      <c r="AA6389" s="2">
        <v>-0.73926049313292397</v>
      </c>
      <c r="AB6389" s="2">
        <v>3.1758812480440497E-2</v>
      </c>
      <c r="AC6389" s="2">
        <v>28150.8366515528</v>
      </c>
      <c r="AD6389" s="2">
        <v>28587.8721092798</v>
      </c>
      <c r="AE6389" s="2">
        <v>27866.563908121901</v>
      </c>
      <c r="AF6389" s="2">
        <v>28792.115411488201</v>
      </c>
      <c r="AG6389" s="2">
        <v>25465.612743306599</v>
      </c>
      <c r="AH6389" s="2">
        <v>27157.601463385701</v>
      </c>
      <c r="AI6389" s="2">
        <v>31058.836414698198</v>
      </c>
      <c r="AJ6389" s="2">
        <v>28564.289968316101</v>
      </c>
      <c r="AK6389" s="2">
        <v>28605.367568711099</v>
      </c>
      <c r="AL6389" s="2">
        <v>30055.493848976701</v>
      </c>
      <c r="AM6389" s="2">
        <v>27466.789617619201</v>
      </c>
      <c r="AN6389" s="2">
        <v>26848.529830668202</v>
      </c>
      <c r="AO6389" s="2">
        <v>28148.8871852757</v>
      </c>
      <c r="AP6389" s="2">
        <v>30402.164604427999</v>
      </c>
    </row>
    <row r="6390" spans="1:42" ht="14.5" x14ac:dyDescent="0.35">
      <c r="A6390" s="2" t="s">
        <v>42355</v>
      </c>
      <c r="B6390" s="2">
        <v>457.16814310500899</v>
      </c>
      <c r="C6390" s="2">
        <v>2.2961166666666699</v>
      </c>
      <c r="D6390" s="2" t="s">
        <v>34</v>
      </c>
      <c r="E6390" s="2" t="s">
        <v>42356</v>
      </c>
      <c r="F6390" s="2">
        <v>199927</v>
      </c>
      <c r="G6390" s="3" t="str">
        <f>HYPERLINK("http://funmeta.oebiotech.com/network/199927", "http://funmeta.oebiotech.com/network/199927")</f>
        <v>http://funmeta.oebiotech.com/network/199927</v>
      </c>
      <c r="H6390" s="2" t="s">
        <v>42357</v>
      </c>
      <c r="I6390" s="2"/>
      <c r="J6390" s="2"/>
      <c r="K6390" s="2"/>
      <c r="L6390" s="2"/>
      <c r="M6390" s="2"/>
      <c r="N6390" s="2"/>
      <c r="O6390" s="2">
        <v>44256416</v>
      </c>
      <c r="P6390" s="2"/>
      <c r="Q6390" s="2" t="s">
        <v>42358</v>
      </c>
      <c r="R6390" s="2" t="s">
        <v>42359</v>
      </c>
      <c r="S6390" s="2" t="s">
        <v>148</v>
      </c>
      <c r="T6390" s="2" t="s">
        <v>149</v>
      </c>
      <c r="U6390" s="2" t="s">
        <v>5024</v>
      </c>
      <c r="V6390" s="2" t="s">
        <v>59</v>
      </c>
      <c r="W6390" s="2">
        <v>37.4</v>
      </c>
      <c r="X6390" s="2">
        <v>0</v>
      </c>
      <c r="Y6390" s="2" t="s">
        <v>340</v>
      </c>
      <c r="Z6390" s="2" t="s">
        <v>42360</v>
      </c>
      <c r="AA6390" s="2">
        <v>-1.60521406296915</v>
      </c>
      <c r="AB6390" s="2">
        <v>3.17366805454306E-2</v>
      </c>
      <c r="AC6390" s="2">
        <v>5034.6721850035001</v>
      </c>
      <c r="AD6390" s="2">
        <v>4786.0684072280801</v>
      </c>
      <c r="AE6390" s="2">
        <v>5185.15603099689</v>
      </c>
      <c r="AF6390" s="2">
        <v>4573.9195423482297</v>
      </c>
      <c r="AG6390" s="2">
        <v>4582.7389953779102</v>
      </c>
      <c r="AH6390" s="2">
        <v>4609.1413091895702</v>
      </c>
      <c r="AI6390" s="2">
        <v>6082.2979638356901</v>
      </c>
      <c r="AJ6390" s="2">
        <v>5174.7792682727004</v>
      </c>
      <c r="AK6390" s="2">
        <v>4737.6960130817797</v>
      </c>
      <c r="AL6390" s="2">
        <v>4866.4191444341704</v>
      </c>
      <c r="AM6390" s="2">
        <v>4573.7064824710096</v>
      </c>
      <c r="AN6390" s="2">
        <v>4726.6345467088104</v>
      </c>
      <c r="AO6390" s="2">
        <v>4492.4912876693998</v>
      </c>
      <c r="AP6390" s="2">
        <v>5319.4629690033198</v>
      </c>
    </row>
    <row r="6391" spans="1:42" ht="14.5" x14ac:dyDescent="0.35">
      <c r="A6391" s="2" t="s">
        <v>42361</v>
      </c>
      <c r="B6391" s="2">
        <v>967.41734288786301</v>
      </c>
      <c r="C6391" s="2">
        <v>5.0964166666666699</v>
      </c>
      <c r="D6391" s="2" t="s">
        <v>70</v>
      </c>
      <c r="E6391" s="2" t="s">
        <v>42362</v>
      </c>
      <c r="F6391" s="2">
        <v>27779</v>
      </c>
      <c r="G6391" s="3" t="str">
        <f>HYPERLINK("http://funmeta.oebiotech.com/network/27779", "http://funmeta.oebiotech.com/network/27779")</f>
        <v>http://funmeta.oebiotech.com/network/27779</v>
      </c>
      <c r="H6391" s="2"/>
      <c r="I6391" s="2"/>
      <c r="J6391" s="2" t="s">
        <v>42363</v>
      </c>
      <c r="K6391" s="2"/>
      <c r="L6391" s="2"/>
      <c r="M6391" s="2"/>
      <c r="N6391" s="2"/>
      <c r="O6391" s="2">
        <v>126457669</v>
      </c>
      <c r="P6391" s="2"/>
      <c r="Q6391" s="2" t="s">
        <v>42364</v>
      </c>
      <c r="R6391" s="2" t="s">
        <v>42365</v>
      </c>
      <c r="S6391" s="2" t="s">
        <v>50</v>
      </c>
      <c r="T6391" s="2" t="s">
        <v>51</v>
      </c>
      <c r="U6391" s="2" t="s">
        <v>52</v>
      </c>
      <c r="V6391" s="2" t="s">
        <v>59</v>
      </c>
      <c r="W6391" s="2">
        <v>38.5</v>
      </c>
      <c r="X6391" s="2">
        <v>0</v>
      </c>
      <c r="Y6391" s="2" t="s">
        <v>408</v>
      </c>
      <c r="Z6391" s="2" t="s">
        <v>42366</v>
      </c>
      <c r="AA6391" s="2">
        <v>1.8207380561005899</v>
      </c>
      <c r="AB6391" s="2">
        <v>3.1725792498903498E-2</v>
      </c>
      <c r="AC6391" s="2">
        <v>7598.6407840817501</v>
      </c>
      <c r="AD6391" s="2">
        <v>8021.1672217895302</v>
      </c>
      <c r="AE6391" s="2">
        <v>8853.9714867883904</v>
      </c>
      <c r="AF6391" s="2">
        <v>5733.55044510263</v>
      </c>
      <c r="AG6391" s="2">
        <v>6682.0728196044302</v>
      </c>
      <c r="AH6391" s="2">
        <v>8112.6326320396201</v>
      </c>
      <c r="AI6391" s="2">
        <v>6447.7488731947296</v>
      </c>
      <c r="AJ6391" s="2">
        <v>9761.8684477606894</v>
      </c>
      <c r="AK6391" s="2">
        <v>6922.40164140657</v>
      </c>
      <c r="AL6391" s="2">
        <v>8407.8665966047392</v>
      </c>
      <c r="AM6391" s="2">
        <v>7289.8005606562701</v>
      </c>
      <c r="AN6391" s="2">
        <v>8028.40980195461</v>
      </c>
      <c r="AO6391" s="2">
        <v>7140.7190190376696</v>
      </c>
      <c r="AP6391" s="2">
        <v>10337.805711077301</v>
      </c>
    </row>
    <row r="6392" spans="1:42" ht="14.5" x14ac:dyDescent="0.35">
      <c r="A6392" s="2" t="s">
        <v>42367</v>
      </c>
      <c r="B6392" s="2">
        <v>787.63912830705704</v>
      </c>
      <c r="C6392" s="2">
        <v>14.8077666666667</v>
      </c>
      <c r="D6392" s="2" t="s">
        <v>34</v>
      </c>
      <c r="E6392" s="2" t="s">
        <v>42368</v>
      </c>
      <c r="F6392" s="2">
        <v>39969</v>
      </c>
      <c r="G6392" s="3" t="str">
        <f>HYPERLINK("http://funmeta.oebiotech.com/network/39969", "http://funmeta.oebiotech.com/network/39969")</f>
        <v>http://funmeta.oebiotech.com/network/39969</v>
      </c>
      <c r="H6392" s="2"/>
      <c r="I6392" s="2"/>
      <c r="J6392" s="2" t="s">
        <v>42369</v>
      </c>
      <c r="K6392" s="2"/>
      <c r="L6392" s="2"/>
      <c r="M6392" s="2"/>
      <c r="N6392" s="2"/>
      <c r="O6392" s="2">
        <v>10652772</v>
      </c>
      <c r="P6392" s="2"/>
      <c r="Q6392" s="2" t="s">
        <v>42370</v>
      </c>
      <c r="R6392" s="2" t="s">
        <v>42371</v>
      </c>
      <c r="S6392" s="2" t="s">
        <v>50</v>
      </c>
      <c r="T6392" s="2" t="s">
        <v>693</v>
      </c>
      <c r="U6392" s="2" t="s">
        <v>694</v>
      </c>
      <c r="V6392" s="2" t="s">
        <v>59</v>
      </c>
      <c r="W6392" s="2">
        <v>38.200000000000003</v>
      </c>
      <c r="X6392" s="2">
        <v>0</v>
      </c>
      <c r="Y6392" s="2" t="s">
        <v>43</v>
      </c>
      <c r="Z6392" s="2" t="s">
        <v>42372</v>
      </c>
      <c r="AA6392" s="2">
        <v>-1.9236649479591501</v>
      </c>
      <c r="AB6392" s="2">
        <v>3.1723311731815799E-2</v>
      </c>
      <c r="AC6392" s="2">
        <v>6389.0983971253399</v>
      </c>
      <c r="AD6392" s="2">
        <v>6680.7418932206901</v>
      </c>
      <c r="AE6392" s="2">
        <v>6668.9567455582501</v>
      </c>
      <c r="AF6392" s="2">
        <v>6474.6642723159302</v>
      </c>
      <c r="AG6392" s="2">
        <v>6523.4747699414002</v>
      </c>
      <c r="AH6392" s="2">
        <v>6028.16951621521</v>
      </c>
      <c r="AI6392" s="2">
        <v>5379.31777337726</v>
      </c>
      <c r="AJ6392" s="2">
        <v>7260.0073053439801</v>
      </c>
      <c r="AK6392" s="2">
        <v>7540.8484134698801</v>
      </c>
      <c r="AL6392" s="2">
        <v>7356.1853087036297</v>
      </c>
      <c r="AM6392" s="2">
        <v>6629.6186898125898</v>
      </c>
      <c r="AN6392" s="2">
        <v>5997.0304263544103</v>
      </c>
      <c r="AO6392" s="2">
        <v>6400.7395072927802</v>
      </c>
      <c r="AP6392" s="2">
        <v>6160.0290136908798</v>
      </c>
    </row>
    <row r="6393" spans="1:42" ht="14.5" x14ac:dyDescent="0.35">
      <c r="A6393" s="2" t="s">
        <v>42373</v>
      </c>
      <c r="B6393" s="2">
        <v>619.12070885641594</v>
      </c>
      <c r="C6393" s="2">
        <v>9.7324999999999999</v>
      </c>
      <c r="D6393" s="2" t="s">
        <v>70</v>
      </c>
      <c r="E6393" s="2" t="s">
        <v>42374</v>
      </c>
      <c r="F6393" s="2">
        <v>206913</v>
      </c>
      <c r="G6393" s="3" t="str">
        <f>HYPERLINK("http://funmeta.oebiotech.com/network/206913", "http://funmeta.oebiotech.com/network/206913")</f>
        <v>http://funmeta.oebiotech.com/network/206913</v>
      </c>
      <c r="H6393" s="2" t="s">
        <v>42375</v>
      </c>
      <c r="I6393" s="2"/>
      <c r="J6393" s="2"/>
      <c r="K6393" s="2"/>
      <c r="L6393" s="2"/>
      <c r="M6393" s="2"/>
      <c r="N6393" s="2"/>
      <c r="O6393" s="2">
        <v>60683</v>
      </c>
      <c r="P6393" s="2"/>
      <c r="Q6393" s="2" t="s">
        <v>42376</v>
      </c>
      <c r="R6393" s="2" t="s">
        <v>42377</v>
      </c>
      <c r="S6393" s="2" t="s">
        <v>41</v>
      </c>
      <c r="T6393" s="2" t="s">
        <v>41</v>
      </c>
      <c r="U6393" s="2" t="s">
        <v>41</v>
      </c>
      <c r="V6393" s="2" t="s">
        <v>59</v>
      </c>
      <c r="W6393" s="2">
        <v>38.299999999999997</v>
      </c>
      <c r="X6393" s="2">
        <v>0</v>
      </c>
      <c r="Y6393" s="2" t="s">
        <v>751</v>
      </c>
      <c r="Z6393" s="2" t="s">
        <v>42378</v>
      </c>
      <c r="AA6393" s="2">
        <v>-0.74435639538985299</v>
      </c>
      <c r="AB6393" s="2">
        <v>3.1520156770574202E-2</v>
      </c>
      <c r="AC6393" s="2">
        <v>256.13232474921199</v>
      </c>
      <c r="AD6393" s="2">
        <v>99.206200543132297</v>
      </c>
      <c r="AE6393" s="2">
        <v>302.75209806556398</v>
      </c>
      <c r="AF6393" s="2">
        <v>2.7106294003980101E-5</v>
      </c>
      <c r="AG6393" s="2">
        <v>2.7106294003980101E-5</v>
      </c>
      <c r="AH6393" s="2">
        <v>486.80371004224997</v>
      </c>
      <c r="AI6393" s="2">
        <v>184.96233357140801</v>
      </c>
      <c r="AJ6393" s="2">
        <v>562.27575260346396</v>
      </c>
      <c r="AK6393" s="2">
        <v>225.626256761126</v>
      </c>
      <c r="AL6393" s="2">
        <v>2.7106294003980101E-5</v>
      </c>
      <c r="AM6393" s="2">
        <v>2.7106294003980101E-5</v>
      </c>
      <c r="AN6393" s="2">
        <v>191.25281984992299</v>
      </c>
      <c r="AO6393" s="2">
        <v>178.358045328863</v>
      </c>
      <c r="AP6393" s="2">
        <v>2.7106294003980101E-5</v>
      </c>
    </row>
    <row r="6394" spans="1:42" ht="14.5" x14ac:dyDescent="0.35">
      <c r="A6394" s="2" t="s">
        <v>42379</v>
      </c>
      <c r="B6394" s="2">
        <v>535.12251822162295</v>
      </c>
      <c r="C6394" s="2">
        <v>5.2266333333333304</v>
      </c>
      <c r="D6394" s="2" t="s">
        <v>70</v>
      </c>
      <c r="E6394" s="2" t="s">
        <v>42380</v>
      </c>
      <c r="F6394" s="2">
        <v>203269</v>
      </c>
      <c r="G6394" s="3" t="str">
        <f>HYPERLINK("http://funmeta.oebiotech.com/network/203269", "http://funmeta.oebiotech.com/network/203269")</f>
        <v>http://funmeta.oebiotech.com/network/203269</v>
      </c>
      <c r="H6394" s="2" t="s">
        <v>42381</v>
      </c>
      <c r="I6394" s="2"/>
      <c r="J6394" s="2"/>
      <c r="K6394" s="2"/>
      <c r="L6394" s="2"/>
      <c r="M6394" s="2"/>
      <c r="N6394" s="2"/>
      <c r="O6394" s="2"/>
      <c r="P6394" s="2"/>
      <c r="Q6394" s="2" t="s">
        <v>42382</v>
      </c>
      <c r="R6394" s="2" t="s">
        <v>42383</v>
      </c>
      <c r="S6394" s="2" t="s">
        <v>148</v>
      </c>
      <c r="T6394" s="2" t="s">
        <v>23940</v>
      </c>
      <c r="U6394" s="2" t="s">
        <v>41</v>
      </c>
      <c r="V6394" s="2" t="s">
        <v>59</v>
      </c>
      <c r="W6394" s="2">
        <v>39</v>
      </c>
      <c r="X6394" s="2">
        <v>0</v>
      </c>
      <c r="Y6394" s="2" t="s">
        <v>560</v>
      </c>
      <c r="Z6394" s="2" t="s">
        <v>42384</v>
      </c>
      <c r="AA6394" s="2">
        <v>0.341594493386147</v>
      </c>
      <c r="AB6394" s="2">
        <v>3.1507129379688602E-2</v>
      </c>
      <c r="AC6394" s="2">
        <v>7510.1548074672401</v>
      </c>
      <c r="AD6394" s="2">
        <v>7158.8078122951001</v>
      </c>
      <c r="AE6394" s="2">
        <v>7031.0512942516398</v>
      </c>
      <c r="AF6394" s="2">
        <v>7053.5563599501702</v>
      </c>
      <c r="AG6394" s="2">
        <v>7136.0103837400602</v>
      </c>
      <c r="AH6394" s="2">
        <v>8570.3799821537104</v>
      </c>
      <c r="AI6394" s="2">
        <v>7620.25136946355</v>
      </c>
      <c r="AJ6394" s="2">
        <v>7649.6794552442798</v>
      </c>
      <c r="AK6394" s="2">
        <v>6471.0391075033003</v>
      </c>
      <c r="AL6394" s="2">
        <v>6117.0676873330403</v>
      </c>
      <c r="AM6394" s="2">
        <v>9492.2999069308007</v>
      </c>
      <c r="AN6394" s="2">
        <v>7407.47458429983</v>
      </c>
      <c r="AO6394" s="2">
        <v>6426.6510073403897</v>
      </c>
      <c r="AP6394" s="2">
        <v>7038.3145803632096</v>
      </c>
    </row>
    <row r="6395" spans="1:42" ht="14.5" x14ac:dyDescent="0.35">
      <c r="A6395" s="2" t="s">
        <v>42385</v>
      </c>
      <c r="B6395" s="2">
        <v>329.164315511604</v>
      </c>
      <c r="C6395" s="2">
        <v>3.6251333333333302</v>
      </c>
      <c r="D6395" s="2" t="s">
        <v>34</v>
      </c>
      <c r="E6395" s="2" t="s">
        <v>42386</v>
      </c>
      <c r="F6395" s="2">
        <v>53117</v>
      </c>
      <c r="G6395" s="3" t="str">
        <f>HYPERLINK("http://funmeta.oebiotech.com/network/53117", "http://funmeta.oebiotech.com/network/53117")</f>
        <v>http://funmeta.oebiotech.com/network/53117</v>
      </c>
      <c r="H6395" s="2" t="s">
        <v>42387</v>
      </c>
      <c r="I6395" s="2">
        <v>43354</v>
      </c>
      <c r="J6395" s="2"/>
      <c r="K6395" s="2">
        <v>9613</v>
      </c>
      <c r="L6395" s="2"/>
      <c r="M6395" s="2"/>
      <c r="N6395" s="2"/>
      <c r="O6395" s="2">
        <v>5503</v>
      </c>
      <c r="P6395" s="2" t="s">
        <v>42388</v>
      </c>
      <c r="Q6395" s="2" t="s">
        <v>42389</v>
      </c>
      <c r="R6395" s="2" t="s">
        <v>42390</v>
      </c>
      <c r="S6395" s="2" t="s">
        <v>148</v>
      </c>
      <c r="T6395" s="2" t="s">
        <v>149</v>
      </c>
      <c r="U6395" s="2" t="s">
        <v>4282</v>
      </c>
      <c r="V6395" s="2" t="s">
        <v>59</v>
      </c>
      <c r="W6395" s="2">
        <v>37.5</v>
      </c>
      <c r="X6395" s="2">
        <v>0</v>
      </c>
      <c r="Y6395" s="2" t="s">
        <v>43</v>
      </c>
      <c r="Z6395" s="2" t="s">
        <v>42391</v>
      </c>
      <c r="AA6395" s="2">
        <v>0.40958732690392702</v>
      </c>
      <c r="AB6395" s="2">
        <v>3.1415891878319099E-2</v>
      </c>
      <c r="AC6395" s="2">
        <v>7928.4549038105997</v>
      </c>
      <c r="AD6395" s="2">
        <v>8151.2061705756796</v>
      </c>
      <c r="AE6395" s="2">
        <v>8051.1921149441696</v>
      </c>
      <c r="AF6395" s="2">
        <v>7531.6477095207601</v>
      </c>
      <c r="AG6395" s="2">
        <v>7866.0235275126197</v>
      </c>
      <c r="AH6395" s="2">
        <v>7641.7062911593703</v>
      </c>
      <c r="AI6395" s="2">
        <v>8195.4685528562004</v>
      </c>
      <c r="AJ6395" s="2">
        <v>8284.69122687048</v>
      </c>
      <c r="AK6395" s="2">
        <v>7212.5726085787201</v>
      </c>
      <c r="AL6395" s="2">
        <v>8381.9057083894495</v>
      </c>
      <c r="AM6395" s="2">
        <v>8328.2617636962696</v>
      </c>
      <c r="AN6395" s="2">
        <v>8518.0971121952698</v>
      </c>
      <c r="AO6395" s="2">
        <v>8522.2038124732699</v>
      </c>
      <c r="AP6395" s="2">
        <v>7944.1960181210798</v>
      </c>
    </row>
    <row r="6396" spans="1:42" ht="14.5" x14ac:dyDescent="0.35">
      <c r="A6396" s="2" t="s">
        <v>42392</v>
      </c>
      <c r="B6396" s="2">
        <v>119.085486957668</v>
      </c>
      <c r="C6396" s="2">
        <v>9.6530833333333295</v>
      </c>
      <c r="D6396" s="2" t="s">
        <v>34</v>
      </c>
      <c r="E6396" s="2" t="s">
        <v>42393</v>
      </c>
      <c r="F6396" s="2">
        <v>81872</v>
      </c>
      <c r="G6396" s="3" t="str">
        <f>HYPERLINK("http://funmeta.oebiotech.com/network/81872", "http://funmeta.oebiotech.com/network/81872")</f>
        <v>http://funmeta.oebiotech.com/network/81872</v>
      </c>
      <c r="H6396" s="2" t="s">
        <v>42394</v>
      </c>
      <c r="I6396" s="2">
        <v>327009</v>
      </c>
      <c r="J6396" s="2"/>
      <c r="K6396" s="2">
        <v>37911</v>
      </c>
      <c r="L6396" s="2"/>
      <c r="M6396" s="2"/>
      <c r="N6396" s="2"/>
      <c r="O6396" s="2">
        <v>10326</v>
      </c>
      <c r="P6396" s="2"/>
      <c r="Q6396" s="2" t="s">
        <v>42395</v>
      </c>
      <c r="R6396" s="2" t="s">
        <v>42396</v>
      </c>
      <c r="S6396" s="2" t="s">
        <v>148</v>
      </c>
      <c r="T6396" s="2" t="s">
        <v>5205</v>
      </c>
      <c r="U6396" s="2" t="s">
        <v>41</v>
      </c>
      <c r="V6396" s="2" t="s">
        <v>59</v>
      </c>
      <c r="W6396" s="2">
        <v>45.5</v>
      </c>
      <c r="X6396" s="2">
        <v>30</v>
      </c>
      <c r="Y6396" s="2" t="s">
        <v>394</v>
      </c>
      <c r="Z6396" s="2" t="s">
        <v>42397</v>
      </c>
      <c r="AA6396" s="2">
        <v>-0.33702254334331899</v>
      </c>
      <c r="AB6396" s="2">
        <v>3.1329392894969298E-2</v>
      </c>
      <c r="AC6396" s="2">
        <v>7488.26096205261</v>
      </c>
      <c r="AD6396" s="2">
        <v>8042.1045128671103</v>
      </c>
      <c r="AE6396" s="2">
        <v>8263.3906775954692</v>
      </c>
      <c r="AF6396" s="2">
        <v>6763.4977877234396</v>
      </c>
      <c r="AG6396" s="2">
        <v>7229.1239117247796</v>
      </c>
      <c r="AH6396" s="2">
        <v>7199.9328517601298</v>
      </c>
      <c r="AI6396" s="2">
        <v>8200.2210263597608</v>
      </c>
      <c r="AJ6396" s="2">
        <v>7273.3995171520801</v>
      </c>
      <c r="AK6396" s="2">
        <v>5911.4543268340803</v>
      </c>
      <c r="AL6396" s="2">
        <v>14816.3895706813</v>
      </c>
      <c r="AM6396" s="2">
        <v>7865.0927742836602</v>
      </c>
      <c r="AN6396" s="2">
        <v>8197.9087394357593</v>
      </c>
      <c r="AO6396" s="2">
        <v>6142.4541781521302</v>
      </c>
      <c r="AP6396" s="2">
        <v>5319.3274878157299</v>
      </c>
    </row>
    <row r="6397" spans="1:42" ht="14.5" x14ac:dyDescent="0.35">
      <c r="A6397" s="2" t="s">
        <v>42398</v>
      </c>
      <c r="B6397" s="2">
        <v>277.15466170462599</v>
      </c>
      <c r="C6397" s="2">
        <v>3.5301</v>
      </c>
      <c r="D6397" s="2" t="s">
        <v>34</v>
      </c>
      <c r="E6397" s="2" t="s">
        <v>42399</v>
      </c>
      <c r="F6397" s="2">
        <v>203569</v>
      </c>
      <c r="G6397" s="3" t="str">
        <f>HYPERLINK("http://funmeta.oebiotech.com/network/203569", "http://funmeta.oebiotech.com/network/203569")</f>
        <v>http://funmeta.oebiotech.com/network/203569</v>
      </c>
      <c r="H6397" s="2" t="s">
        <v>42400</v>
      </c>
      <c r="I6397" s="2"/>
      <c r="J6397" s="2"/>
      <c r="K6397" s="2"/>
      <c r="L6397" s="2"/>
      <c r="M6397" s="2"/>
      <c r="N6397" s="2"/>
      <c r="O6397" s="2">
        <v>54930</v>
      </c>
      <c r="P6397" s="2"/>
      <c r="Q6397" s="2" t="s">
        <v>42401</v>
      </c>
      <c r="R6397" s="2" t="s">
        <v>42402</v>
      </c>
      <c r="S6397" s="2" t="s">
        <v>491</v>
      </c>
      <c r="T6397" s="2" t="s">
        <v>2429</v>
      </c>
      <c r="U6397" s="2" t="s">
        <v>41</v>
      </c>
      <c r="V6397" s="2" t="s">
        <v>59</v>
      </c>
      <c r="W6397" s="2">
        <v>39</v>
      </c>
      <c r="X6397" s="2">
        <v>0</v>
      </c>
      <c r="Y6397" s="2" t="s">
        <v>43</v>
      </c>
      <c r="Z6397" s="2" t="s">
        <v>42403</v>
      </c>
      <c r="AA6397" s="2">
        <v>-2.7917645450313E-2</v>
      </c>
      <c r="AB6397" s="2">
        <v>3.1317828588314299E-2</v>
      </c>
      <c r="AC6397" s="2">
        <v>2289.9329926554401</v>
      </c>
      <c r="AD6397" s="2">
        <v>2133.2601795938299</v>
      </c>
      <c r="AE6397" s="2">
        <v>2490.6077701824602</v>
      </c>
      <c r="AF6397" s="2">
        <v>2222.10217015955</v>
      </c>
      <c r="AG6397" s="2">
        <v>2325.3606919764102</v>
      </c>
      <c r="AH6397" s="2">
        <v>2246.0769494112801</v>
      </c>
      <c r="AI6397" s="2">
        <v>2328.6299091144601</v>
      </c>
      <c r="AJ6397" s="2">
        <v>2126.82046508849</v>
      </c>
      <c r="AK6397" s="2">
        <v>2109.0254963228299</v>
      </c>
      <c r="AL6397" s="2">
        <v>2300.8328704823598</v>
      </c>
      <c r="AM6397" s="2">
        <v>2309.07054790553</v>
      </c>
      <c r="AN6397" s="2">
        <v>1825.57658581446</v>
      </c>
      <c r="AO6397" s="2">
        <v>1858.6686704158899</v>
      </c>
      <c r="AP6397" s="2">
        <v>2396.3869066218899</v>
      </c>
    </row>
    <row r="6398" spans="1:42" ht="14.5" x14ac:dyDescent="0.35">
      <c r="A6398" s="2" t="s">
        <v>42404</v>
      </c>
      <c r="B6398" s="2">
        <v>467.15357091311199</v>
      </c>
      <c r="C6398" s="2">
        <v>4.5423999999999998</v>
      </c>
      <c r="D6398" s="2" t="s">
        <v>70</v>
      </c>
      <c r="E6398" s="2" t="s">
        <v>42405</v>
      </c>
      <c r="F6398" s="2">
        <v>82873</v>
      </c>
      <c r="G6398" s="3" t="str">
        <f>HYPERLINK("http://funmeta.oebiotech.com/network/82873", "http://funmeta.oebiotech.com/network/82873")</f>
        <v>http://funmeta.oebiotech.com/network/82873</v>
      </c>
      <c r="H6398" s="2" t="s">
        <v>42406</v>
      </c>
      <c r="I6398" s="2"/>
      <c r="J6398" s="2"/>
      <c r="K6398" s="2"/>
      <c r="L6398" s="2"/>
      <c r="M6398" s="2"/>
      <c r="N6398" s="2"/>
      <c r="O6398" s="2">
        <v>10466550</v>
      </c>
      <c r="P6398" s="2"/>
      <c r="Q6398" s="2" t="s">
        <v>42407</v>
      </c>
      <c r="R6398" s="2" t="s">
        <v>42408</v>
      </c>
      <c r="S6398" s="2" t="s">
        <v>148</v>
      </c>
      <c r="T6398" s="2" t="s">
        <v>149</v>
      </c>
      <c r="U6398" s="2" t="s">
        <v>3473</v>
      </c>
      <c r="V6398" s="2" t="s">
        <v>59</v>
      </c>
      <c r="W6398" s="2">
        <v>38.5</v>
      </c>
      <c r="X6398" s="2">
        <v>0</v>
      </c>
      <c r="Y6398" s="2" t="s">
        <v>560</v>
      </c>
      <c r="Z6398" s="2" t="s">
        <v>42409</v>
      </c>
      <c r="AA6398" s="2">
        <v>4.7450698733017802</v>
      </c>
      <c r="AB6398" s="2">
        <v>3.1253515679847903E-2</v>
      </c>
      <c r="AC6398" s="2">
        <v>585.729424046595</v>
      </c>
      <c r="AD6398" s="2">
        <v>343.65912780808401</v>
      </c>
      <c r="AE6398" s="2">
        <v>1132.51013397067</v>
      </c>
      <c r="AF6398" s="2">
        <v>2.7106294003980101E-5</v>
      </c>
      <c r="AG6398" s="2">
        <v>2.7106294003980101E-5</v>
      </c>
      <c r="AH6398" s="2">
        <v>974.17548474646196</v>
      </c>
      <c r="AI6398" s="2">
        <v>1018.83096933403</v>
      </c>
      <c r="AJ6398" s="2">
        <v>388.85990201582302</v>
      </c>
      <c r="AK6398" s="2">
        <v>2.7106294003980101E-5</v>
      </c>
      <c r="AL6398" s="2">
        <v>2.7106294003980101E-5</v>
      </c>
      <c r="AM6398" s="2">
        <v>619.18725036189005</v>
      </c>
      <c r="AN6398" s="2">
        <v>549.54310254731297</v>
      </c>
      <c r="AO6398" s="2">
        <v>16.924336879307599</v>
      </c>
      <c r="AP6398" s="2">
        <v>876.30002284740499</v>
      </c>
    </row>
    <row r="6399" spans="1:42" ht="14.5" x14ac:dyDescent="0.35">
      <c r="A6399" s="2" t="s">
        <v>42410</v>
      </c>
      <c r="B6399" s="2">
        <v>409.11158906241798</v>
      </c>
      <c r="C6399" s="2">
        <v>4.3281833333333299</v>
      </c>
      <c r="D6399" s="2" t="s">
        <v>70</v>
      </c>
      <c r="E6399" s="2" t="s">
        <v>42411</v>
      </c>
      <c r="F6399" s="2">
        <v>8569</v>
      </c>
      <c r="G6399" s="3" t="str">
        <f>HYPERLINK("http://funmeta.oebiotech.com/network/8569", "http://funmeta.oebiotech.com/network/8569")</f>
        <v>http://funmeta.oebiotech.com/network/8569</v>
      </c>
      <c r="H6399" s="2" t="s">
        <v>42412</v>
      </c>
      <c r="I6399" s="2">
        <v>3372</v>
      </c>
      <c r="J6399" s="2" t="s">
        <v>42413</v>
      </c>
      <c r="K6399" s="2">
        <v>17460</v>
      </c>
      <c r="L6399" s="2" t="s">
        <v>42414</v>
      </c>
      <c r="M6399" s="2"/>
      <c r="N6399" s="2"/>
      <c r="O6399" s="2">
        <v>863</v>
      </c>
      <c r="P6399" s="2" t="s">
        <v>42415</v>
      </c>
      <c r="Q6399" s="2" t="s">
        <v>42416</v>
      </c>
      <c r="R6399" s="2" t="s">
        <v>42417</v>
      </c>
      <c r="S6399" s="2" t="s">
        <v>491</v>
      </c>
      <c r="T6399" s="2" t="s">
        <v>42418</v>
      </c>
      <c r="U6399" s="2" t="s">
        <v>42419</v>
      </c>
      <c r="V6399" s="2" t="s">
        <v>59</v>
      </c>
      <c r="W6399" s="2">
        <v>37.799999999999997</v>
      </c>
      <c r="X6399" s="2">
        <v>0</v>
      </c>
      <c r="Y6399" s="2" t="s">
        <v>560</v>
      </c>
      <c r="Z6399" s="2" t="s">
        <v>42420</v>
      </c>
      <c r="AA6399" s="2">
        <v>-0.35774103918111599</v>
      </c>
      <c r="AB6399" s="2">
        <v>3.11600242920805E-2</v>
      </c>
      <c r="AC6399" s="2">
        <v>7685.5546399423201</v>
      </c>
      <c r="AD6399" s="2">
        <v>8013.7119096332799</v>
      </c>
      <c r="AE6399" s="2">
        <v>8461.4340226323602</v>
      </c>
      <c r="AF6399" s="2">
        <v>8007.8815242912196</v>
      </c>
      <c r="AG6399" s="2">
        <v>6046.5593208015298</v>
      </c>
      <c r="AH6399" s="2">
        <v>8099.1390209904703</v>
      </c>
      <c r="AI6399" s="2">
        <v>7307.01519352797</v>
      </c>
      <c r="AJ6399" s="2">
        <v>8191.29875741039</v>
      </c>
      <c r="AK6399" s="2">
        <v>7048.7192856618003</v>
      </c>
      <c r="AL6399" s="2">
        <v>8659.8726664349197</v>
      </c>
      <c r="AM6399" s="2">
        <v>6730.1823410562602</v>
      </c>
      <c r="AN6399" s="2">
        <v>8391.9186691394207</v>
      </c>
      <c r="AO6399" s="2">
        <v>8978.46241384733</v>
      </c>
      <c r="AP6399" s="2">
        <v>8273.1160816599495</v>
      </c>
    </row>
    <row r="6400" spans="1:42" ht="14.5" x14ac:dyDescent="0.35">
      <c r="A6400" s="2" t="s">
        <v>42421</v>
      </c>
      <c r="B6400" s="2">
        <v>381.02642850745599</v>
      </c>
      <c r="C6400" s="2">
        <v>4.0516166666666704</v>
      </c>
      <c r="D6400" s="2" t="s">
        <v>34</v>
      </c>
      <c r="E6400" s="2" t="s">
        <v>42422</v>
      </c>
      <c r="F6400" s="2">
        <v>257570</v>
      </c>
      <c r="G6400" s="3" t="str">
        <f>HYPERLINK("http://funmeta.oebiotech.com/network/257570", "http://funmeta.oebiotech.com/network/257570")</f>
        <v>http://funmeta.oebiotech.com/network/257570</v>
      </c>
      <c r="H6400" s="2" t="s">
        <v>42423</v>
      </c>
      <c r="I6400" s="2"/>
      <c r="J6400" s="2"/>
      <c r="K6400" s="2"/>
      <c r="L6400" s="2"/>
      <c r="M6400" s="2"/>
      <c r="N6400" s="2"/>
      <c r="O6400" s="2">
        <v>6144</v>
      </c>
      <c r="P6400" s="2"/>
      <c r="Q6400" s="2" t="s">
        <v>42424</v>
      </c>
      <c r="R6400" s="2" t="s">
        <v>42425</v>
      </c>
      <c r="S6400" s="2" t="s">
        <v>89</v>
      </c>
      <c r="T6400" s="2" t="s">
        <v>90</v>
      </c>
      <c r="U6400" s="2" t="s">
        <v>1248</v>
      </c>
      <c r="V6400" s="2" t="s">
        <v>59</v>
      </c>
      <c r="W6400" s="2">
        <v>39.299999999999997</v>
      </c>
      <c r="X6400" s="2">
        <v>0</v>
      </c>
      <c r="Y6400" s="2" t="s">
        <v>394</v>
      </c>
      <c r="Z6400" s="2" t="s">
        <v>42426</v>
      </c>
      <c r="AA6400" s="2">
        <v>1.86728025826324</v>
      </c>
      <c r="AB6400" s="2">
        <v>3.1088379864145501E-2</v>
      </c>
      <c r="AC6400" s="2">
        <v>8015.1393887545901</v>
      </c>
      <c r="AD6400" s="2">
        <v>8446.2602417172202</v>
      </c>
      <c r="AE6400" s="2">
        <v>7356.89017233512</v>
      </c>
      <c r="AF6400" s="2">
        <v>8703.3237861325706</v>
      </c>
      <c r="AG6400" s="2">
        <v>8189.3520874671804</v>
      </c>
      <c r="AH6400" s="2">
        <v>8212.4916889935303</v>
      </c>
      <c r="AI6400" s="2">
        <v>6338.0544959517501</v>
      </c>
      <c r="AJ6400" s="2">
        <v>9290.7241016473999</v>
      </c>
      <c r="AK6400" s="2">
        <v>9025.6737965858592</v>
      </c>
      <c r="AL6400" s="2">
        <v>11515.700429311701</v>
      </c>
      <c r="AM6400" s="2">
        <v>7528.6749542979296</v>
      </c>
      <c r="AN6400" s="2">
        <v>8145.5440743122799</v>
      </c>
      <c r="AO6400" s="2">
        <v>8200.3246510615609</v>
      </c>
      <c r="AP6400" s="2">
        <v>6261.64354473397</v>
      </c>
    </row>
    <row r="6401" spans="1:42" ht="14.5" x14ac:dyDescent="0.35">
      <c r="A6401" s="2" t="s">
        <v>42427</v>
      </c>
      <c r="B6401" s="2">
        <v>326.19585314022203</v>
      </c>
      <c r="C6401" s="2">
        <v>4.5991</v>
      </c>
      <c r="D6401" s="2" t="s">
        <v>34</v>
      </c>
      <c r="E6401" s="2" t="s">
        <v>42428</v>
      </c>
      <c r="F6401" s="2">
        <v>55302</v>
      </c>
      <c r="G6401" s="3" t="str">
        <f>HYPERLINK("http://funmeta.oebiotech.com/network/55302", "http://funmeta.oebiotech.com/network/55302")</f>
        <v>http://funmeta.oebiotech.com/network/55302</v>
      </c>
      <c r="H6401" s="2" t="s">
        <v>42429</v>
      </c>
      <c r="I6401" s="2">
        <v>87016</v>
      </c>
      <c r="J6401" s="2"/>
      <c r="K6401" s="2">
        <v>172535</v>
      </c>
      <c r="L6401" s="2"/>
      <c r="M6401" s="2"/>
      <c r="N6401" s="2"/>
      <c r="O6401" s="2">
        <v>131751033</v>
      </c>
      <c r="P6401" s="2" t="s">
        <v>42430</v>
      </c>
      <c r="Q6401" s="2" t="s">
        <v>42431</v>
      </c>
      <c r="R6401" s="2" t="s">
        <v>42432</v>
      </c>
      <c r="S6401" s="2" t="s">
        <v>50</v>
      </c>
      <c r="T6401" s="2" t="s">
        <v>229</v>
      </c>
      <c r="U6401" s="2" t="s">
        <v>1283</v>
      </c>
      <c r="V6401" s="2" t="s">
        <v>59</v>
      </c>
      <c r="W6401" s="2">
        <v>38.799999999999997</v>
      </c>
      <c r="X6401" s="2">
        <v>0</v>
      </c>
      <c r="Y6401" s="2" t="s">
        <v>43</v>
      </c>
      <c r="Z6401" s="2" t="s">
        <v>42433</v>
      </c>
      <c r="AA6401" s="2">
        <v>-1.12361951692977</v>
      </c>
      <c r="AB6401" s="2">
        <v>3.10836516498572E-2</v>
      </c>
      <c r="AC6401" s="2">
        <v>13791.0810693229</v>
      </c>
      <c r="AD6401" s="2">
        <v>13373.808051300401</v>
      </c>
      <c r="AE6401" s="2">
        <v>12655.648497643901</v>
      </c>
      <c r="AF6401" s="2">
        <v>12784.390901889699</v>
      </c>
      <c r="AG6401" s="2">
        <v>12712.6712756829</v>
      </c>
      <c r="AH6401" s="2">
        <v>15479.442455827801</v>
      </c>
      <c r="AI6401" s="2">
        <v>13990.905019758</v>
      </c>
      <c r="AJ6401" s="2">
        <v>15123.4282651348</v>
      </c>
      <c r="AK6401" s="2">
        <v>14196.3670937962</v>
      </c>
      <c r="AL6401" s="2">
        <v>13797.091534019801</v>
      </c>
      <c r="AM6401" s="2">
        <v>15091.2382184452</v>
      </c>
      <c r="AN6401" s="2">
        <v>12261.2804798406</v>
      </c>
      <c r="AO6401" s="2">
        <v>14159.312844423601</v>
      </c>
      <c r="AP6401" s="2">
        <v>10737.558137277299</v>
      </c>
    </row>
    <row r="6402" spans="1:42" ht="14.5" x14ac:dyDescent="0.35">
      <c r="A6402" s="2" t="s">
        <v>42434</v>
      </c>
      <c r="B6402" s="2">
        <v>199.11165728351301</v>
      </c>
      <c r="C6402" s="2">
        <v>4.5485499999999996</v>
      </c>
      <c r="D6402" s="2" t="s">
        <v>34</v>
      </c>
      <c r="E6402" s="2" t="s">
        <v>42435</v>
      </c>
      <c r="F6402" s="2">
        <v>257949</v>
      </c>
      <c r="G6402" s="3" t="str">
        <f>HYPERLINK("http://funmeta.oebiotech.com/network/257949", "http://funmeta.oebiotech.com/network/257949")</f>
        <v>http://funmeta.oebiotech.com/network/257949</v>
      </c>
      <c r="H6402" s="2"/>
      <c r="I6402" s="2">
        <v>1669</v>
      </c>
      <c r="J6402" s="2"/>
      <c r="K6402" s="2"/>
      <c r="L6402" s="2"/>
      <c r="M6402" s="2"/>
      <c r="N6402" s="2"/>
      <c r="O6402" s="2">
        <v>95659</v>
      </c>
      <c r="P6402" s="2" t="s">
        <v>42436</v>
      </c>
      <c r="Q6402" s="2" t="s">
        <v>42437</v>
      </c>
      <c r="R6402" s="2" t="s">
        <v>42438</v>
      </c>
      <c r="S6402" s="2" t="s">
        <v>148</v>
      </c>
      <c r="T6402" s="2" t="s">
        <v>149</v>
      </c>
      <c r="U6402" s="2" t="s">
        <v>3473</v>
      </c>
      <c r="V6402" s="2" t="s">
        <v>59</v>
      </c>
      <c r="W6402" s="2">
        <v>39.6</v>
      </c>
      <c r="X6402" s="2">
        <v>0</v>
      </c>
      <c r="Y6402" s="2" t="s">
        <v>394</v>
      </c>
      <c r="Z6402" s="2" t="s">
        <v>42439</v>
      </c>
      <c r="AA6402" s="2">
        <v>-0.425114227036267</v>
      </c>
      <c r="AB6402" s="2">
        <v>3.1073938507649199E-2</v>
      </c>
      <c r="AC6402" s="2">
        <v>953.50153655130998</v>
      </c>
      <c r="AD6402" s="2">
        <v>1138.8797401470699</v>
      </c>
      <c r="AE6402" s="2">
        <v>1099.8484055430199</v>
      </c>
      <c r="AF6402" s="2">
        <v>850.29551431462801</v>
      </c>
      <c r="AG6402" s="2">
        <v>783.43833370812001</v>
      </c>
      <c r="AH6402" s="2">
        <v>1257.6677972207101</v>
      </c>
      <c r="AI6402" s="2">
        <v>942.72258079945902</v>
      </c>
      <c r="AJ6402" s="2">
        <v>787.03658772192296</v>
      </c>
      <c r="AK6402" s="2">
        <v>975.56245162118296</v>
      </c>
      <c r="AL6402" s="2">
        <v>1211.86896460701</v>
      </c>
      <c r="AM6402" s="2">
        <v>744.18237804349997</v>
      </c>
      <c r="AN6402" s="2">
        <v>1442.7873347929501</v>
      </c>
      <c r="AO6402" s="2">
        <v>1629.80145369254</v>
      </c>
      <c r="AP6402" s="2">
        <v>829.07585812523303</v>
      </c>
    </row>
    <row r="6403" spans="1:42" ht="14.5" x14ac:dyDescent="0.35">
      <c r="A6403" s="2" t="s">
        <v>42440</v>
      </c>
      <c r="B6403" s="2">
        <v>252.10774591949399</v>
      </c>
      <c r="C6403" s="2">
        <v>1.06171666666667</v>
      </c>
      <c r="D6403" s="2" t="s">
        <v>34</v>
      </c>
      <c r="E6403" s="2" t="s">
        <v>42441</v>
      </c>
      <c r="F6403" s="2">
        <v>56784</v>
      </c>
      <c r="G6403" s="3" t="str">
        <f>HYPERLINK("http://funmeta.oebiotech.com/network/56784", "http://funmeta.oebiotech.com/network/56784")</f>
        <v>http://funmeta.oebiotech.com/network/56784</v>
      </c>
      <c r="H6403" s="2" t="s">
        <v>42442</v>
      </c>
      <c r="I6403" s="2">
        <v>88461</v>
      </c>
      <c r="J6403" s="2"/>
      <c r="K6403" s="2"/>
      <c r="L6403" s="2"/>
      <c r="M6403" s="2"/>
      <c r="N6403" s="2"/>
      <c r="O6403" s="2">
        <v>9816081</v>
      </c>
      <c r="P6403" s="2" t="s">
        <v>42443</v>
      </c>
      <c r="Q6403" s="2" t="s">
        <v>42444</v>
      </c>
      <c r="R6403" s="2" t="s">
        <v>42445</v>
      </c>
      <c r="S6403" s="2" t="s">
        <v>89</v>
      </c>
      <c r="T6403" s="2" t="s">
        <v>90</v>
      </c>
      <c r="U6403" s="2" t="s">
        <v>91</v>
      </c>
      <c r="V6403" s="2" t="s">
        <v>59</v>
      </c>
      <c r="W6403" s="2">
        <v>37.799999999999997</v>
      </c>
      <c r="X6403" s="2">
        <v>0</v>
      </c>
      <c r="Y6403" s="2" t="s">
        <v>43</v>
      </c>
      <c r="Z6403" s="2" t="s">
        <v>42446</v>
      </c>
      <c r="AA6403" s="2">
        <v>-0.13840244093576001</v>
      </c>
      <c r="AB6403" s="2">
        <v>3.0964397688160099E-2</v>
      </c>
      <c r="AC6403" s="2">
        <v>1239.9327902318</v>
      </c>
      <c r="AD6403" s="2">
        <v>1447.31941007459</v>
      </c>
      <c r="AE6403" s="2">
        <v>1026.9471810844</v>
      </c>
      <c r="AF6403" s="2">
        <v>1580.89787459024</v>
      </c>
      <c r="AG6403" s="2">
        <v>1212.4962346345401</v>
      </c>
      <c r="AH6403" s="2">
        <v>1177.1188555185599</v>
      </c>
      <c r="AI6403" s="2">
        <v>1249.2832678260099</v>
      </c>
      <c r="AJ6403" s="2">
        <v>1192.85332773704</v>
      </c>
      <c r="AK6403" s="2">
        <v>1483.3996456970001</v>
      </c>
      <c r="AL6403" s="2">
        <v>925.31608171509004</v>
      </c>
      <c r="AM6403" s="2">
        <v>907.00771022266599</v>
      </c>
      <c r="AN6403" s="2">
        <v>1823.97905933222</v>
      </c>
      <c r="AO6403" s="2">
        <v>1450.66862172638</v>
      </c>
      <c r="AP6403" s="2">
        <v>2093.5453417542099</v>
      </c>
    </row>
    <row r="6404" spans="1:42" ht="14.5" x14ac:dyDescent="0.35">
      <c r="A6404" s="2" t="s">
        <v>42447</v>
      </c>
      <c r="B6404" s="2">
        <v>105.067875535328</v>
      </c>
      <c r="C6404" s="2">
        <v>8.7834500000000002</v>
      </c>
      <c r="D6404" s="2" t="s">
        <v>34</v>
      </c>
      <c r="E6404" s="2" t="s">
        <v>42448</v>
      </c>
      <c r="F6404" s="2">
        <v>56063</v>
      </c>
      <c r="G6404" s="3" t="str">
        <f>HYPERLINK("http://funmeta.oebiotech.com/network/56063", "http://funmeta.oebiotech.com/network/56063")</f>
        <v>http://funmeta.oebiotech.com/network/56063</v>
      </c>
      <c r="H6404" s="2" t="s">
        <v>42449</v>
      </c>
      <c r="I6404" s="2">
        <v>87753</v>
      </c>
      <c r="J6404" s="2"/>
      <c r="K6404" s="2"/>
      <c r="L6404" s="2"/>
      <c r="M6404" s="2"/>
      <c r="N6404" s="2"/>
      <c r="O6404" s="2">
        <v>14263</v>
      </c>
      <c r="P6404" s="2" t="s">
        <v>42450</v>
      </c>
      <c r="Q6404" s="2" t="s">
        <v>42451</v>
      </c>
      <c r="R6404" s="2" t="s">
        <v>42452</v>
      </c>
      <c r="S6404" s="2" t="s">
        <v>3194</v>
      </c>
      <c r="T6404" s="2" t="s">
        <v>3195</v>
      </c>
      <c r="U6404" s="2" t="s">
        <v>12978</v>
      </c>
      <c r="V6404" s="2" t="s">
        <v>59</v>
      </c>
      <c r="W6404" s="2">
        <v>36</v>
      </c>
      <c r="X6404" s="2">
        <v>0</v>
      </c>
      <c r="Y6404" s="2" t="s">
        <v>323</v>
      </c>
      <c r="Z6404" s="2" t="s">
        <v>42453</v>
      </c>
      <c r="AA6404" s="2">
        <v>4.9286458494878502</v>
      </c>
      <c r="AB6404" s="2">
        <v>3.0849096976711201E-2</v>
      </c>
      <c r="AC6404" s="2">
        <v>669.15688879785603</v>
      </c>
      <c r="AD6404" s="2">
        <v>520.18337437056095</v>
      </c>
      <c r="AE6404" s="2">
        <v>659.34540793792405</v>
      </c>
      <c r="AF6404" s="2">
        <v>585.028442720866</v>
      </c>
      <c r="AG6404" s="2">
        <v>656.94223191002004</v>
      </c>
      <c r="AH6404" s="2">
        <v>712.26938509926401</v>
      </c>
      <c r="AI6404" s="2">
        <v>813.73353832792304</v>
      </c>
      <c r="AJ6404" s="2">
        <v>587.62232679113902</v>
      </c>
      <c r="AK6404" s="2">
        <v>355.27871765315098</v>
      </c>
      <c r="AL6404" s="2">
        <v>927.50358276816303</v>
      </c>
      <c r="AM6404" s="2">
        <v>620.16084104360698</v>
      </c>
      <c r="AN6404" s="2">
        <v>517.417130406399</v>
      </c>
      <c r="AO6404" s="2">
        <v>421.07822700420502</v>
      </c>
      <c r="AP6404" s="2">
        <v>279.661747347838</v>
      </c>
    </row>
    <row r="6405" spans="1:42" ht="14.5" x14ac:dyDescent="0.35">
      <c r="A6405" s="2" t="s">
        <v>42454</v>
      </c>
      <c r="B6405" s="2">
        <v>151.14805247245599</v>
      </c>
      <c r="C6405" s="2">
        <v>5.1048166666666699</v>
      </c>
      <c r="D6405" s="2" t="s">
        <v>34</v>
      </c>
      <c r="E6405" s="2" t="s">
        <v>42455</v>
      </c>
      <c r="F6405" s="2">
        <v>6532</v>
      </c>
      <c r="G6405" s="3" t="str">
        <f>HYPERLINK("http://funmeta.oebiotech.com/network/6532", "http://funmeta.oebiotech.com/network/6532")</f>
        <v>http://funmeta.oebiotech.com/network/6532</v>
      </c>
      <c r="H6405" s="2" t="s">
        <v>42456</v>
      </c>
      <c r="I6405" s="2">
        <v>75345</v>
      </c>
      <c r="J6405" s="2" t="s">
        <v>42457</v>
      </c>
      <c r="K6405" s="2"/>
      <c r="L6405" s="2"/>
      <c r="M6405" s="2"/>
      <c r="N6405" s="2"/>
      <c r="O6405" s="2">
        <v>8187</v>
      </c>
      <c r="P6405" s="2" t="s">
        <v>42458</v>
      </c>
      <c r="Q6405" s="2" t="s">
        <v>42459</v>
      </c>
      <c r="R6405" s="2" t="s">
        <v>42460</v>
      </c>
      <c r="S6405" s="2" t="s">
        <v>79</v>
      </c>
      <c r="T6405" s="2" t="s">
        <v>80</v>
      </c>
      <c r="U6405" s="2" t="s">
        <v>2820</v>
      </c>
      <c r="V6405" s="2" t="s">
        <v>59</v>
      </c>
      <c r="W6405" s="2">
        <v>39.700000000000003</v>
      </c>
      <c r="X6405" s="2">
        <v>0</v>
      </c>
      <c r="Y6405" s="2" t="s">
        <v>141</v>
      </c>
      <c r="Z6405" s="2" t="s">
        <v>42461</v>
      </c>
      <c r="AA6405" s="2">
        <v>-0.44328204728748</v>
      </c>
      <c r="AB6405" s="2">
        <v>3.08466072523827E-2</v>
      </c>
      <c r="AC6405" s="2">
        <v>897.51569526870003</v>
      </c>
      <c r="AD6405" s="2">
        <v>750.29565943825901</v>
      </c>
      <c r="AE6405" s="2">
        <v>782.643861159013</v>
      </c>
      <c r="AF6405" s="2">
        <v>783.51672903105998</v>
      </c>
      <c r="AG6405" s="2">
        <v>898.26772498022001</v>
      </c>
      <c r="AH6405" s="2">
        <v>914.17937576254599</v>
      </c>
      <c r="AI6405" s="2">
        <v>762.342466535732</v>
      </c>
      <c r="AJ6405" s="2">
        <v>1244.1440141436301</v>
      </c>
      <c r="AK6405" s="2">
        <v>595.56636508481699</v>
      </c>
      <c r="AL6405" s="2">
        <v>536.34500034305597</v>
      </c>
      <c r="AM6405" s="2">
        <v>765.60932505382095</v>
      </c>
      <c r="AN6405" s="2">
        <v>932.164383813521</v>
      </c>
      <c r="AO6405" s="2">
        <v>898.20594916033997</v>
      </c>
      <c r="AP6405" s="2">
        <v>773.88293317399803</v>
      </c>
    </row>
    <row r="6406" spans="1:42" ht="14.5" x14ac:dyDescent="0.35">
      <c r="A6406" s="2" t="s">
        <v>42462</v>
      </c>
      <c r="B6406" s="2">
        <v>392.10992652584099</v>
      </c>
      <c r="C6406" s="2">
        <v>8.6905333333333292</v>
      </c>
      <c r="D6406" s="2" t="s">
        <v>34</v>
      </c>
      <c r="E6406" s="2" t="s">
        <v>42463</v>
      </c>
      <c r="F6406" s="2">
        <v>212191</v>
      </c>
      <c r="G6406" s="3" t="str">
        <f>HYPERLINK("http://funmeta.oebiotech.com/network/212191", "http://funmeta.oebiotech.com/network/212191")</f>
        <v>http://funmeta.oebiotech.com/network/212191</v>
      </c>
      <c r="H6406" s="2" t="s">
        <v>42464</v>
      </c>
      <c r="I6406" s="2">
        <v>85105</v>
      </c>
      <c r="J6406" s="2"/>
      <c r="K6406" s="2"/>
      <c r="L6406" s="2"/>
      <c r="M6406" s="2"/>
      <c r="N6406" s="2"/>
      <c r="O6406" s="2">
        <v>215159</v>
      </c>
      <c r="P6406" s="2" t="s">
        <v>42465</v>
      </c>
      <c r="Q6406" s="2" t="s">
        <v>42466</v>
      </c>
      <c r="R6406" s="2" t="s">
        <v>42467</v>
      </c>
      <c r="S6406" s="2" t="s">
        <v>115</v>
      </c>
      <c r="T6406" s="2" t="s">
        <v>758</v>
      </c>
      <c r="U6406" s="2" t="s">
        <v>41</v>
      </c>
      <c r="V6406" s="2" t="s">
        <v>59</v>
      </c>
      <c r="W6406" s="2">
        <v>39</v>
      </c>
      <c r="X6406" s="2">
        <v>0</v>
      </c>
      <c r="Y6406" s="2" t="s">
        <v>323</v>
      </c>
      <c r="Z6406" s="2" t="s">
        <v>42468</v>
      </c>
      <c r="AA6406" s="2">
        <v>-1.43986743351043</v>
      </c>
      <c r="AB6406" s="2">
        <v>3.08264844083781E-2</v>
      </c>
      <c r="AC6406" s="2">
        <v>22527.287395937699</v>
      </c>
      <c r="AD6406" s="2">
        <v>23081.5498642001</v>
      </c>
      <c r="AE6406" s="2">
        <v>19824.5537122266</v>
      </c>
      <c r="AF6406" s="2">
        <v>21906.883847859001</v>
      </c>
      <c r="AG6406" s="2">
        <v>22712.600394777201</v>
      </c>
      <c r="AH6406" s="2">
        <v>23293.782788623699</v>
      </c>
      <c r="AI6406" s="2">
        <v>24462.4607096617</v>
      </c>
      <c r="AJ6406" s="2">
        <v>22963.442922478102</v>
      </c>
      <c r="AK6406" s="2">
        <v>26697.1571242383</v>
      </c>
      <c r="AL6406" s="2">
        <v>22567.732246288699</v>
      </c>
      <c r="AM6406" s="2">
        <v>18845.7519170501</v>
      </c>
      <c r="AN6406" s="2">
        <v>19860.858475358698</v>
      </c>
      <c r="AO6406" s="2">
        <v>27584.1637523176</v>
      </c>
      <c r="AP6406" s="2">
        <v>22933.635669947002</v>
      </c>
    </row>
    <row r="6407" spans="1:42" ht="14.5" x14ac:dyDescent="0.35">
      <c r="A6407" s="2" t="s">
        <v>42469</v>
      </c>
      <c r="B6407" s="2">
        <v>165.05442336411301</v>
      </c>
      <c r="C6407" s="2">
        <v>3.8797333333333301</v>
      </c>
      <c r="D6407" s="2" t="s">
        <v>70</v>
      </c>
      <c r="E6407" s="2" t="s">
        <v>42470</v>
      </c>
      <c r="F6407" s="2">
        <v>47094</v>
      </c>
      <c r="G6407" s="3" t="str">
        <f>HYPERLINK("http://funmeta.oebiotech.com/network/47094", "http://funmeta.oebiotech.com/network/47094")</f>
        <v>http://funmeta.oebiotech.com/network/47094</v>
      </c>
      <c r="H6407" s="2" t="s">
        <v>42471</v>
      </c>
      <c r="I6407" s="2">
        <v>3291</v>
      </c>
      <c r="J6407" s="2"/>
      <c r="K6407" s="2">
        <v>43065</v>
      </c>
      <c r="L6407" s="2" t="s">
        <v>42472</v>
      </c>
      <c r="M6407" s="2" t="s">
        <v>42473</v>
      </c>
      <c r="N6407" s="2" t="s">
        <v>42474</v>
      </c>
      <c r="O6407" s="2">
        <v>444718</v>
      </c>
      <c r="P6407" s="2" t="s">
        <v>42475</v>
      </c>
      <c r="Q6407" s="2" t="s">
        <v>42476</v>
      </c>
      <c r="R6407" s="2" t="s">
        <v>42477</v>
      </c>
      <c r="S6407" s="2" t="s">
        <v>115</v>
      </c>
      <c r="T6407" s="2" t="s">
        <v>7439</v>
      </c>
      <c r="U6407" s="2" t="s">
        <v>41</v>
      </c>
      <c r="V6407" s="2" t="s">
        <v>59</v>
      </c>
      <c r="W6407" s="2">
        <v>45.3</v>
      </c>
      <c r="X6407" s="2">
        <v>41.4</v>
      </c>
      <c r="Y6407" s="2" t="s">
        <v>118</v>
      </c>
      <c r="Z6407" s="2" t="s">
        <v>28172</v>
      </c>
      <c r="AA6407" s="2">
        <v>-7.7945316650594201</v>
      </c>
      <c r="AB6407" s="2">
        <v>3.0754870539928099E-2</v>
      </c>
      <c r="AC6407" s="2">
        <v>3036.4298124403899</v>
      </c>
      <c r="AD6407" s="2">
        <v>3218.4881140010698</v>
      </c>
      <c r="AE6407" s="2">
        <v>3036.6033447805698</v>
      </c>
      <c r="AF6407" s="2">
        <v>3159.02909052738</v>
      </c>
      <c r="AG6407" s="2">
        <v>2601.8498452325498</v>
      </c>
      <c r="AH6407" s="2">
        <v>2993.36283946905</v>
      </c>
      <c r="AI6407" s="2">
        <v>3252.4702423997601</v>
      </c>
      <c r="AJ6407" s="2">
        <v>3175.2635122330298</v>
      </c>
      <c r="AK6407" s="2">
        <v>3130.4785922573701</v>
      </c>
      <c r="AL6407" s="2">
        <v>3057.3978615574201</v>
      </c>
      <c r="AM6407" s="2">
        <v>3229.5227169044501</v>
      </c>
      <c r="AN6407" s="2">
        <v>3731.1414663844698</v>
      </c>
      <c r="AO6407" s="2">
        <v>3416.4671120510002</v>
      </c>
      <c r="AP6407" s="2">
        <v>2745.9209348517102</v>
      </c>
    </row>
    <row r="6408" spans="1:42" ht="14.5" x14ac:dyDescent="0.35">
      <c r="A6408" s="2" t="s">
        <v>42478</v>
      </c>
      <c r="B6408" s="2">
        <v>319.10334034618597</v>
      </c>
      <c r="C6408" s="2">
        <v>2.8180833333333299</v>
      </c>
      <c r="D6408" s="2" t="s">
        <v>70</v>
      </c>
      <c r="E6408" s="2" t="s">
        <v>42479</v>
      </c>
      <c r="F6408" s="2">
        <v>279786</v>
      </c>
      <c r="G6408" s="3" t="str">
        <f>HYPERLINK("http://funmeta.oebiotech.com/network/279786", "http://funmeta.oebiotech.com/network/279786")</f>
        <v>http://funmeta.oebiotech.com/network/279786</v>
      </c>
      <c r="H6408" s="2"/>
      <c r="I6408" s="2">
        <v>72590</v>
      </c>
      <c r="J6408" s="2"/>
      <c r="K6408" s="2"/>
      <c r="L6408" s="2" t="s">
        <v>42480</v>
      </c>
      <c r="M6408" s="2"/>
      <c r="N6408" s="2"/>
      <c r="O6408" s="2">
        <v>65420</v>
      </c>
      <c r="P6408" s="2" t="s">
        <v>42481</v>
      </c>
      <c r="Q6408" s="2" t="s">
        <v>42482</v>
      </c>
      <c r="R6408" s="2" t="s">
        <v>42483</v>
      </c>
      <c r="S6408" s="2" t="s">
        <v>79</v>
      </c>
      <c r="T6408" s="2" t="s">
        <v>80</v>
      </c>
      <c r="U6408" s="2" t="s">
        <v>249</v>
      </c>
      <c r="V6408" s="2" t="s">
        <v>59</v>
      </c>
      <c r="W6408" s="2">
        <v>39.299999999999997</v>
      </c>
      <c r="X6408" s="2">
        <v>0</v>
      </c>
      <c r="Y6408" s="2" t="s">
        <v>408</v>
      </c>
      <c r="Z6408" s="2" t="s">
        <v>16262</v>
      </c>
      <c r="AA6408" s="2">
        <v>-0.42114476986212501</v>
      </c>
      <c r="AB6408" s="2">
        <v>3.0720998555167099E-2</v>
      </c>
      <c r="AC6408" s="2">
        <v>1500.9832251355899</v>
      </c>
      <c r="AD6408" s="2">
        <v>1328.4291164030401</v>
      </c>
      <c r="AE6408" s="2">
        <v>1514.9919401690399</v>
      </c>
      <c r="AF6408" s="2">
        <v>1442.40746239908</v>
      </c>
      <c r="AG6408" s="2">
        <v>1478.1429968401301</v>
      </c>
      <c r="AH6408" s="2">
        <v>1659.1189347376201</v>
      </c>
      <c r="AI6408" s="2">
        <v>1513.75048191121</v>
      </c>
      <c r="AJ6408" s="2">
        <v>1397.48753475644</v>
      </c>
      <c r="AK6408" s="2">
        <v>1660.7923430621599</v>
      </c>
      <c r="AL6408" s="2">
        <v>1189.7063152599201</v>
      </c>
      <c r="AM6408" s="2">
        <v>1255.7814377566301</v>
      </c>
      <c r="AN6408" s="2">
        <v>1111.4656868468401</v>
      </c>
      <c r="AO6408" s="2">
        <v>934.72348959899205</v>
      </c>
      <c r="AP6408" s="2">
        <v>1818.1054258936899</v>
      </c>
    </row>
    <row r="6409" spans="1:42" ht="14.5" x14ac:dyDescent="0.35">
      <c r="A6409" s="2" t="s">
        <v>42484</v>
      </c>
      <c r="B6409" s="2">
        <v>408.308480103492</v>
      </c>
      <c r="C6409" s="2">
        <v>12.792866666666701</v>
      </c>
      <c r="D6409" s="2" t="s">
        <v>34</v>
      </c>
      <c r="E6409" s="2" t="s">
        <v>42485</v>
      </c>
      <c r="F6409" s="2">
        <v>202222</v>
      </c>
      <c r="G6409" s="3" t="str">
        <f>HYPERLINK("http://funmeta.oebiotech.com/network/202222", "http://funmeta.oebiotech.com/network/202222")</f>
        <v>http://funmeta.oebiotech.com/network/202222</v>
      </c>
      <c r="H6409" s="2" t="s">
        <v>42486</v>
      </c>
      <c r="I6409" s="2"/>
      <c r="J6409" s="2"/>
      <c r="K6409" s="2"/>
      <c r="L6409" s="2"/>
      <c r="M6409" s="2"/>
      <c r="N6409" s="2"/>
      <c r="O6409" s="2">
        <v>2724321</v>
      </c>
      <c r="P6409" s="2"/>
      <c r="Q6409" s="2" t="s">
        <v>42487</v>
      </c>
      <c r="R6409" s="2" t="s">
        <v>42488</v>
      </c>
      <c r="S6409" s="2" t="s">
        <v>50</v>
      </c>
      <c r="T6409" s="2" t="s">
        <v>229</v>
      </c>
      <c r="U6409" s="2" t="s">
        <v>433</v>
      </c>
      <c r="V6409" s="2" t="s">
        <v>59</v>
      </c>
      <c r="W6409" s="2">
        <v>45.8</v>
      </c>
      <c r="X6409" s="2">
        <v>32</v>
      </c>
      <c r="Y6409" s="2" t="s">
        <v>323</v>
      </c>
      <c r="Z6409" s="2" t="s">
        <v>42489</v>
      </c>
      <c r="AA6409" s="2">
        <v>0.13121962471092799</v>
      </c>
      <c r="AB6409" s="2">
        <v>3.0711325708488901E-2</v>
      </c>
      <c r="AC6409" s="2">
        <v>10261.915354191</v>
      </c>
      <c r="AD6409" s="2">
        <v>9469.6114561168906</v>
      </c>
      <c r="AE6409" s="2">
        <v>13330.8944165219</v>
      </c>
      <c r="AF6409" s="2">
        <v>7855.7631068773399</v>
      </c>
      <c r="AG6409" s="2">
        <v>6449.3223663097297</v>
      </c>
      <c r="AH6409" s="2">
        <v>13087.054243184901</v>
      </c>
      <c r="AI6409" s="2">
        <v>11090.0158979685</v>
      </c>
      <c r="AJ6409" s="2">
        <v>9758.4420942838406</v>
      </c>
      <c r="AK6409" s="2">
        <v>5381.2986659530097</v>
      </c>
      <c r="AL6409" s="2">
        <v>5781.0828372342103</v>
      </c>
      <c r="AM6409" s="2">
        <v>3087.3426419382199</v>
      </c>
      <c r="AN6409" s="2">
        <v>8384.0206242405293</v>
      </c>
      <c r="AO6409" s="2">
        <v>21964.8931556854</v>
      </c>
      <c r="AP6409" s="2">
        <v>12219.03081165</v>
      </c>
    </row>
    <row r="6410" spans="1:42" ht="14.5" x14ac:dyDescent="0.35">
      <c r="A6410" s="2" t="s">
        <v>42490</v>
      </c>
      <c r="B6410" s="2">
        <v>223.132845335551</v>
      </c>
      <c r="C6410" s="2">
        <v>4.0024166666666696</v>
      </c>
      <c r="D6410" s="2" t="s">
        <v>34</v>
      </c>
      <c r="E6410" s="2" t="s">
        <v>42491</v>
      </c>
      <c r="F6410" s="2">
        <v>60492</v>
      </c>
      <c r="G6410" s="3" t="str">
        <f>HYPERLINK("http://funmeta.oebiotech.com/network/60492", "http://funmeta.oebiotech.com/network/60492")</f>
        <v>http://funmeta.oebiotech.com/network/60492</v>
      </c>
      <c r="H6410" s="2" t="s">
        <v>42492</v>
      </c>
      <c r="I6410" s="2">
        <v>91833</v>
      </c>
      <c r="J6410" s="2"/>
      <c r="K6410" s="2">
        <v>18429</v>
      </c>
      <c r="L6410" s="2" t="s">
        <v>42493</v>
      </c>
      <c r="M6410" s="2"/>
      <c r="N6410" s="2"/>
      <c r="O6410" s="2">
        <v>5280662</v>
      </c>
      <c r="P6410" s="2" t="s">
        <v>42494</v>
      </c>
      <c r="Q6410" s="2" t="s">
        <v>42495</v>
      </c>
      <c r="R6410" s="2" t="s">
        <v>42496</v>
      </c>
      <c r="S6410" s="2" t="s">
        <v>50</v>
      </c>
      <c r="T6410" s="2" t="s">
        <v>201</v>
      </c>
      <c r="U6410" s="2" t="s">
        <v>636</v>
      </c>
      <c r="V6410" s="2" t="s">
        <v>42</v>
      </c>
      <c r="W6410" s="2">
        <v>51.9</v>
      </c>
      <c r="X6410" s="2">
        <v>67.099999999999994</v>
      </c>
      <c r="Y6410" s="2" t="s">
        <v>394</v>
      </c>
      <c r="Z6410" s="2" t="s">
        <v>42497</v>
      </c>
      <c r="AA6410" s="2">
        <v>-0.114945729748684</v>
      </c>
      <c r="AB6410" s="2">
        <v>3.0656804938228699E-2</v>
      </c>
      <c r="AC6410" s="2">
        <v>113113.841121623</v>
      </c>
      <c r="AD6410" s="2">
        <v>112342.799376016</v>
      </c>
      <c r="AE6410" s="2">
        <v>111150.462858707</v>
      </c>
      <c r="AF6410" s="2">
        <v>114236.167154172</v>
      </c>
      <c r="AG6410" s="2">
        <v>111089.508195028</v>
      </c>
      <c r="AH6410" s="2">
        <v>106269.807894866</v>
      </c>
      <c r="AI6410" s="2">
        <v>120912.87908256899</v>
      </c>
      <c r="AJ6410" s="2">
        <v>115024.22154439799</v>
      </c>
      <c r="AK6410" s="2">
        <v>109543.849946977</v>
      </c>
      <c r="AL6410" s="2">
        <v>112875.00961973</v>
      </c>
      <c r="AM6410" s="2">
        <v>112649.23231095901</v>
      </c>
      <c r="AN6410" s="2">
        <v>107933.318276397</v>
      </c>
      <c r="AO6410" s="2">
        <v>110018.238609655</v>
      </c>
      <c r="AP6410" s="2">
        <v>121037.147492377</v>
      </c>
    </row>
    <row r="6411" spans="1:42" ht="14.5" x14ac:dyDescent="0.35">
      <c r="A6411" s="2" t="s">
        <v>42498</v>
      </c>
      <c r="B6411" s="2">
        <v>177.127314293956</v>
      </c>
      <c r="C6411" s="2">
        <v>4.4289500000000004</v>
      </c>
      <c r="D6411" s="2" t="s">
        <v>34</v>
      </c>
      <c r="E6411" s="2" t="s">
        <v>42499</v>
      </c>
      <c r="F6411" s="2">
        <v>7778</v>
      </c>
      <c r="G6411" s="3" t="str">
        <f>HYPERLINK("http://funmeta.oebiotech.com/network/7778", "http://funmeta.oebiotech.com/network/7778")</f>
        <v>http://funmeta.oebiotech.com/network/7778</v>
      </c>
      <c r="H6411" s="2"/>
      <c r="I6411" s="2">
        <v>97394</v>
      </c>
      <c r="J6411" s="2" t="s">
        <v>42500</v>
      </c>
      <c r="K6411" s="2">
        <v>137708</v>
      </c>
      <c r="L6411" s="2"/>
      <c r="M6411" s="2"/>
      <c r="N6411" s="2"/>
      <c r="O6411" s="2">
        <v>10976366</v>
      </c>
      <c r="P6411" s="2"/>
      <c r="Q6411" s="2" t="s">
        <v>42501</v>
      </c>
      <c r="R6411" s="2" t="s">
        <v>42502</v>
      </c>
      <c r="S6411" s="2" t="s">
        <v>115</v>
      </c>
      <c r="T6411" s="2" t="s">
        <v>1384</v>
      </c>
      <c r="U6411" s="2" t="s">
        <v>41</v>
      </c>
      <c r="V6411" s="2" t="s">
        <v>42</v>
      </c>
      <c r="W6411" s="2">
        <v>48.1</v>
      </c>
      <c r="X6411" s="2">
        <v>45.7</v>
      </c>
      <c r="Y6411" s="2" t="s">
        <v>266</v>
      </c>
      <c r="Z6411" s="2" t="s">
        <v>21481</v>
      </c>
      <c r="AA6411" s="2">
        <v>-0.39804334001061198</v>
      </c>
      <c r="AB6411" s="2">
        <v>3.06102180253074E-2</v>
      </c>
      <c r="AC6411" s="2">
        <v>43981.332989923802</v>
      </c>
      <c r="AD6411" s="2">
        <v>44386.985733385998</v>
      </c>
      <c r="AE6411" s="2">
        <v>43066.0536977394</v>
      </c>
      <c r="AF6411" s="2">
        <v>43620.193965940802</v>
      </c>
      <c r="AG6411" s="2">
        <v>45565.948069666098</v>
      </c>
      <c r="AH6411" s="2">
        <v>41895.293256334</v>
      </c>
      <c r="AI6411" s="2">
        <v>44072.5857218901</v>
      </c>
      <c r="AJ6411" s="2">
        <v>45667.923227972402</v>
      </c>
      <c r="AK6411" s="2">
        <v>46145.435644430203</v>
      </c>
      <c r="AL6411" s="2">
        <v>44130.835242626599</v>
      </c>
      <c r="AM6411" s="2">
        <v>42603.220113496798</v>
      </c>
      <c r="AN6411" s="2">
        <v>43782.2179507166</v>
      </c>
      <c r="AO6411" s="2">
        <v>43879.366706387402</v>
      </c>
      <c r="AP6411" s="2">
        <v>45780.838742658299</v>
      </c>
    </row>
    <row r="6412" spans="1:42" ht="14.5" x14ac:dyDescent="0.35">
      <c r="A6412" s="2" t="s">
        <v>42503</v>
      </c>
      <c r="B6412" s="2">
        <v>433.09274381155001</v>
      </c>
      <c r="C6412" s="2">
        <v>8.1703666666666699</v>
      </c>
      <c r="D6412" s="2" t="s">
        <v>70</v>
      </c>
      <c r="E6412" s="2" t="s">
        <v>42504</v>
      </c>
      <c r="F6412" s="2">
        <v>28937</v>
      </c>
      <c r="G6412" s="3" t="str">
        <f>HYPERLINK("http://funmeta.oebiotech.com/network/28937", "http://funmeta.oebiotech.com/network/28937")</f>
        <v>http://funmeta.oebiotech.com/network/28937</v>
      </c>
      <c r="H6412" s="2" t="s">
        <v>42505</v>
      </c>
      <c r="I6412" s="2">
        <v>47333</v>
      </c>
      <c r="J6412" s="2" t="s">
        <v>42506</v>
      </c>
      <c r="K6412" s="2"/>
      <c r="L6412" s="2"/>
      <c r="M6412" s="2"/>
      <c r="N6412" s="2"/>
      <c r="O6412" s="2">
        <v>6474788</v>
      </c>
      <c r="P6412" s="2" t="s">
        <v>42507</v>
      </c>
      <c r="Q6412" s="2" t="s">
        <v>42508</v>
      </c>
      <c r="R6412" s="2" t="s">
        <v>42509</v>
      </c>
      <c r="S6412" s="2" t="s">
        <v>115</v>
      </c>
      <c r="T6412" s="2" t="s">
        <v>139</v>
      </c>
      <c r="U6412" s="2" t="s">
        <v>1437</v>
      </c>
      <c r="V6412" s="2" t="s">
        <v>59</v>
      </c>
      <c r="W6412" s="2">
        <v>38.200000000000003</v>
      </c>
      <c r="X6412" s="2">
        <v>0</v>
      </c>
      <c r="Y6412" s="2" t="s">
        <v>751</v>
      </c>
      <c r="Z6412" s="2" t="s">
        <v>42510</v>
      </c>
      <c r="AA6412" s="2">
        <v>-0.32577393036221902</v>
      </c>
      <c r="AB6412" s="2">
        <v>3.0579716115892702E-2</v>
      </c>
      <c r="AC6412" s="2">
        <v>1436.8174515809301</v>
      </c>
      <c r="AD6412" s="2">
        <v>1262.16642897357</v>
      </c>
      <c r="AE6412" s="2">
        <v>1351.4149476094799</v>
      </c>
      <c r="AF6412" s="2">
        <v>1508.0955538067401</v>
      </c>
      <c r="AG6412" s="2">
        <v>1646.65823880423</v>
      </c>
      <c r="AH6412" s="2">
        <v>1288.3064965906101</v>
      </c>
      <c r="AI6412" s="2">
        <v>1508.1542997163499</v>
      </c>
      <c r="AJ6412" s="2">
        <v>1318.2751729581501</v>
      </c>
      <c r="AK6412" s="2">
        <v>1217.3543053465801</v>
      </c>
      <c r="AL6412" s="2">
        <v>750.37262449784998</v>
      </c>
      <c r="AM6412" s="2">
        <v>1585.3909822277101</v>
      </c>
      <c r="AN6412" s="2">
        <v>1111.3897924108601</v>
      </c>
      <c r="AO6412" s="2">
        <v>1267.1015454492899</v>
      </c>
      <c r="AP6412" s="2">
        <v>1641.3893239091601</v>
      </c>
    </row>
    <row r="6413" spans="1:42" ht="14.5" x14ac:dyDescent="0.35">
      <c r="A6413" s="2" t="s">
        <v>42511</v>
      </c>
      <c r="B6413" s="2">
        <v>425.19458388178202</v>
      </c>
      <c r="C6413" s="2">
        <v>5.00538333333333</v>
      </c>
      <c r="D6413" s="2" t="s">
        <v>70</v>
      </c>
      <c r="E6413" s="2" t="s">
        <v>42512</v>
      </c>
      <c r="F6413" s="2">
        <v>266479</v>
      </c>
      <c r="G6413" s="3" t="str">
        <f>HYPERLINK("http://funmeta.oebiotech.com/network/266479", "http://funmeta.oebiotech.com/network/266479")</f>
        <v>http://funmeta.oebiotech.com/network/266479</v>
      </c>
      <c r="H6413" s="2"/>
      <c r="I6413" s="2">
        <v>43304</v>
      </c>
      <c r="J6413" s="2"/>
      <c r="K6413" s="2"/>
      <c r="L6413" s="2" t="s">
        <v>42513</v>
      </c>
      <c r="M6413" s="2"/>
      <c r="N6413" s="2"/>
      <c r="O6413" s="2">
        <v>4756</v>
      </c>
      <c r="P6413" s="2"/>
      <c r="Q6413" s="2" t="s">
        <v>42514</v>
      </c>
      <c r="R6413" s="2" t="s">
        <v>42515</v>
      </c>
      <c r="S6413" s="2" t="s">
        <v>491</v>
      </c>
      <c r="T6413" s="2" t="s">
        <v>2238</v>
      </c>
      <c r="U6413" s="2" t="s">
        <v>30997</v>
      </c>
      <c r="V6413" s="2" t="s">
        <v>59</v>
      </c>
      <c r="W6413" s="2">
        <v>39.1</v>
      </c>
      <c r="X6413" s="2">
        <v>0</v>
      </c>
      <c r="Y6413" s="2" t="s">
        <v>560</v>
      </c>
      <c r="Z6413" s="2" t="s">
        <v>42516</v>
      </c>
      <c r="AA6413" s="2">
        <v>-2.4177211855654299</v>
      </c>
      <c r="AB6413" s="2">
        <v>3.0571129221625699E-2</v>
      </c>
      <c r="AC6413" s="2">
        <v>1313.85876278146</v>
      </c>
      <c r="AD6413" s="2">
        <v>1071.9684398515899</v>
      </c>
      <c r="AE6413" s="2">
        <v>1497.72197971941</v>
      </c>
      <c r="AF6413" s="2">
        <v>1211.0448933373</v>
      </c>
      <c r="AG6413" s="2">
        <v>387.71785135773899</v>
      </c>
      <c r="AH6413" s="2">
        <v>1914.9675852190801</v>
      </c>
      <c r="AI6413" s="2">
        <v>1449.7588336710301</v>
      </c>
      <c r="AJ6413" s="2">
        <v>1421.9414333842101</v>
      </c>
      <c r="AK6413" s="2">
        <v>1364.5668193818899</v>
      </c>
      <c r="AL6413" s="2">
        <v>1572.2209372152799</v>
      </c>
      <c r="AM6413" s="2">
        <v>1448.3020631355901</v>
      </c>
      <c r="AN6413" s="2">
        <v>1067.7259741346099</v>
      </c>
      <c r="AO6413" s="2">
        <v>353.286153896271</v>
      </c>
      <c r="AP6413" s="2">
        <v>625.70869134587701</v>
      </c>
    </row>
    <row r="6414" spans="1:42" ht="14.5" x14ac:dyDescent="0.35">
      <c r="A6414" s="2" t="s">
        <v>42517</v>
      </c>
      <c r="B6414" s="2">
        <v>397.22283440628001</v>
      </c>
      <c r="C6414" s="2">
        <v>4.1337999999999999</v>
      </c>
      <c r="D6414" s="2" t="s">
        <v>70</v>
      </c>
      <c r="E6414" s="2" t="s">
        <v>42518</v>
      </c>
      <c r="F6414" s="2">
        <v>3718</v>
      </c>
      <c r="G6414" s="3" t="str">
        <f>HYPERLINK("http://funmeta.oebiotech.com/network/3718", "http://funmeta.oebiotech.com/network/3718")</f>
        <v>http://funmeta.oebiotech.com/network/3718</v>
      </c>
      <c r="H6414" s="2"/>
      <c r="I6414" s="2"/>
      <c r="J6414" s="2" t="s">
        <v>42519</v>
      </c>
      <c r="K6414" s="2"/>
      <c r="L6414" s="2"/>
      <c r="M6414" s="2"/>
      <c r="N6414" s="2"/>
      <c r="O6414" s="2">
        <v>5283093</v>
      </c>
      <c r="P6414" s="2"/>
      <c r="Q6414" s="2" t="s">
        <v>42520</v>
      </c>
      <c r="R6414" s="2" t="s">
        <v>42521</v>
      </c>
      <c r="S6414" s="2" t="s">
        <v>50</v>
      </c>
      <c r="T6414" s="2" t="s">
        <v>229</v>
      </c>
      <c r="U6414" s="2" t="s">
        <v>766</v>
      </c>
      <c r="V6414" s="2" t="s">
        <v>59</v>
      </c>
      <c r="W6414" s="2">
        <v>39.4</v>
      </c>
      <c r="X6414" s="2">
        <v>3.62</v>
      </c>
      <c r="Y6414" s="2" t="s">
        <v>408</v>
      </c>
      <c r="Z6414" s="2" t="s">
        <v>5018</v>
      </c>
      <c r="AA6414" s="2">
        <v>-0.97263903811109098</v>
      </c>
      <c r="AB6414" s="2">
        <v>3.0493570381605401E-2</v>
      </c>
      <c r="AC6414" s="2">
        <v>33527.5184816525</v>
      </c>
      <c r="AD6414" s="2">
        <v>33063.6292716635</v>
      </c>
      <c r="AE6414" s="2">
        <v>33647.397165140901</v>
      </c>
      <c r="AF6414" s="2">
        <v>29847.329858821198</v>
      </c>
      <c r="AG6414" s="2">
        <v>32969.7928297248</v>
      </c>
      <c r="AH6414" s="2">
        <v>36299.985187090599</v>
      </c>
      <c r="AI6414" s="2">
        <v>33767.187209833799</v>
      </c>
      <c r="AJ6414" s="2">
        <v>34633.418639303804</v>
      </c>
      <c r="AK6414" s="2">
        <v>31870.522177905099</v>
      </c>
      <c r="AL6414" s="2">
        <v>32467.712912086201</v>
      </c>
      <c r="AM6414" s="2">
        <v>32632.629394670799</v>
      </c>
      <c r="AN6414" s="2">
        <v>32220.525547599402</v>
      </c>
      <c r="AO6414" s="2">
        <v>35829.780062197198</v>
      </c>
      <c r="AP6414" s="2">
        <v>33360.605535522402</v>
      </c>
    </row>
    <row r="6415" spans="1:42" ht="14.5" x14ac:dyDescent="0.35">
      <c r="A6415" s="2" t="s">
        <v>42522</v>
      </c>
      <c r="B6415" s="2">
        <v>311.12754897542101</v>
      </c>
      <c r="C6415" s="2">
        <v>5.4047833333333299</v>
      </c>
      <c r="D6415" s="2" t="s">
        <v>34</v>
      </c>
      <c r="E6415" s="2" t="s">
        <v>42523</v>
      </c>
      <c r="F6415" s="2">
        <v>56220</v>
      </c>
      <c r="G6415" s="3" t="str">
        <f>HYPERLINK("http://funmeta.oebiotech.com/network/56220", "http://funmeta.oebiotech.com/network/56220")</f>
        <v>http://funmeta.oebiotech.com/network/56220</v>
      </c>
      <c r="H6415" s="2" t="s">
        <v>42524</v>
      </c>
      <c r="I6415" s="2">
        <v>87913</v>
      </c>
      <c r="J6415" s="2"/>
      <c r="K6415" s="2">
        <v>174233</v>
      </c>
      <c r="L6415" s="2"/>
      <c r="M6415" s="2"/>
      <c r="N6415" s="2"/>
      <c r="O6415" s="2">
        <v>131751188</v>
      </c>
      <c r="P6415" s="2" t="s">
        <v>42525</v>
      </c>
      <c r="Q6415" s="2" t="s">
        <v>42526</v>
      </c>
      <c r="R6415" s="2" t="s">
        <v>42527</v>
      </c>
      <c r="S6415" s="2" t="s">
        <v>115</v>
      </c>
      <c r="T6415" s="2" t="s">
        <v>4730</v>
      </c>
      <c r="U6415" s="2" t="s">
        <v>41</v>
      </c>
      <c r="V6415" s="2" t="s">
        <v>59</v>
      </c>
      <c r="W6415" s="2">
        <v>38.6</v>
      </c>
      <c r="X6415" s="2">
        <v>0</v>
      </c>
      <c r="Y6415" s="2" t="s">
        <v>394</v>
      </c>
      <c r="Z6415" s="2" t="s">
        <v>42528</v>
      </c>
      <c r="AA6415" s="2">
        <v>-0.76264572091073801</v>
      </c>
      <c r="AB6415" s="2">
        <v>3.0468712044530302E-2</v>
      </c>
      <c r="AC6415" s="2">
        <v>2900.27728074272</v>
      </c>
      <c r="AD6415" s="2">
        <v>2655.2925104402502</v>
      </c>
      <c r="AE6415" s="2">
        <v>3320.18364670958</v>
      </c>
      <c r="AF6415" s="2">
        <v>3125.5765349053299</v>
      </c>
      <c r="AG6415" s="2">
        <v>2521.8590017595502</v>
      </c>
      <c r="AH6415" s="2">
        <v>3701.4897978163899</v>
      </c>
      <c r="AI6415" s="2">
        <v>1695.78302176742</v>
      </c>
      <c r="AJ6415" s="2">
        <v>3036.7716814980699</v>
      </c>
      <c r="AK6415" s="2">
        <v>2254.5233600009201</v>
      </c>
      <c r="AL6415" s="2">
        <v>2643.84373241701</v>
      </c>
      <c r="AM6415" s="2">
        <v>2777.4747580349099</v>
      </c>
      <c r="AN6415" s="2">
        <v>3187.3677313164799</v>
      </c>
      <c r="AO6415" s="2">
        <v>2386.69058785372</v>
      </c>
      <c r="AP6415" s="2">
        <v>2681.8548930184602</v>
      </c>
    </row>
    <row r="6416" spans="1:42" ht="14.5" x14ac:dyDescent="0.35">
      <c r="A6416" s="2" t="s">
        <v>42529</v>
      </c>
      <c r="B6416" s="2">
        <v>509.15050504682199</v>
      </c>
      <c r="C6416" s="2">
        <v>3.7494000000000001</v>
      </c>
      <c r="D6416" s="2" t="s">
        <v>70</v>
      </c>
      <c r="E6416" s="2" t="s">
        <v>42530</v>
      </c>
      <c r="F6416" s="2">
        <v>203728</v>
      </c>
      <c r="G6416" s="3" t="str">
        <f>HYPERLINK("http://funmeta.oebiotech.com/network/203728", "http://funmeta.oebiotech.com/network/203728")</f>
        <v>http://funmeta.oebiotech.com/network/203728</v>
      </c>
      <c r="H6416" s="2" t="s">
        <v>42531</v>
      </c>
      <c r="I6416" s="2"/>
      <c r="J6416" s="2"/>
      <c r="K6416" s="2"/>
      <c r="L6416" s="2"/>
      <c r="M6416" s="2"/>
      <c r="N6416" s="2"/>
      <c r="O6416" s="2">
        <v>107924</v>
      </c>
      <c r="P6416" s="2"/>
      <c r="Q6416" s="2" t="s">
        <v>42532</v>
      </c>
      <c r="R6416" s="2" t="s">
        <v>42533</v>
      </c>
      <c r="S6416" s="2" t="s">
        <v>491</v>
      </c>
      <c r="T6416" s="2" t="s">
        <v>1516</v>
      </c>
      <c r="U6416" s="2" t="s">
        <v>5958</v>
      </c>
      <c r="V6416" s="2" t="s">
        <v>59</v>
      </c>
      <c r="W6416" s="2">
        <v>37.4</v>
      </c>
      <c r="X6416" s="2">
        <v>0.16200000000000001</v>
      </c>
      <c r="Y6416" s="2" t="s">
        <v>286</v>
      </c>
      <c r="Z6416" s="2" t="s">
        <v>42534</v>
      </c>
      <c r="AA6416" s="2">
        <v>1.02533195953761</v>
      </c>
      <c r="AB6416" s="2">
        <v>3.0421657462845898E-2</v>
      </c>
      <c r="AC6416" s="2">
        <v>51440.8201011575</v>
      </c>
      <c r="AD6416" s="2">
        <v>51909.957150298003</v>
      </c>
      <c r="AE6416" s="2">
        <v>53428.186801579497</v>
      </c>
      <c r="AF6416" s="2">
        <v>50887.663594547201</v>
      </c>
      <c r="AG6416" s="2">
        <v>49296.8024601207</v>
      </c>
      <c r="AH6416" s="2">
        <v>50443.752366126297</v>
      </c>
      <c r="AI6416" s="2">
        <v>53144.718752321402</v>
      </c>
      <c r="AJ6416" s="2">
        <v>51443.796632249898</v>
      </c>
      <c r="AK6416" s="2">
        <v>48674.404255598398</v>
      </c>
      <c r="AL6416" s="2">
        <v>53516.512243559897</v>
      </c>
      <c r="AM6416" s="2">
        <v>52028.737326982802</v>
      </c>
      <c r="AN6416" s="2">
        <v>53406.591946721303</v>
      </c>
      <c r="AO6416" s="2">
        <v>49175.721275437201</v>
      </c>
      <c r="AP6416" s="2">
        <v>54657.775853488303</v>
      </c>
    </row>
    <row r="6417" spans="1:42" ht="14.5" x14ac:dyDescent="0.35">
      <c r="A6417" s="2" t="s">
        <v>42535</v>
      </c>
      <c r="B6417" s="2">
        <v>429.11568562951601</v>
      </c>
      <c r="C6417" s="2">
        <v>5.2493499999999997</v>
      </c>
      <c r="D6417" s="2" t="s">
        <v>34</v>
      </c>
      <c r="E6417" s="2" t="s">
        <v>42536</v>
      </c>
      <c r="F6417" s="2">
        <v>35295</v>
      </c>
      <c r="G6417" s="3" t="str">
        <f>HYPERLINK("http://funmeta.oebiotech.com/network/35295", "http://funmeta.oebiotech.com/network/35295")</f>
        <v>http://funmeta.oebiotech.com/network/35295</v>
      </c>
      <c r="H6417" s="2"/>
      <c r="I6417" s="2">
        <v>64938</v>
      </c>
      <c r="J6417" s="2" t="s">
        <v>42537</v>
      </c>
      <c r="K6417" s="2">
        <v>15771</v>
      </c>
      <c r="L6417" s="2" t="s">
        <v>42538</v>
      </c>
      <c r="M6417" s="2" t="s">
        <v>33459</v>
      </c>
      <c r="N6417" s="2" t="s">
        <v>33460</v>
      </c>
      <c r="O6417" s="2">
        <v>87691</v>
      </c>
      <c r="P6417" s="2" t="s">
        <v>42539</v>
      </c>
      <c r="Q6417" s="2" t="s">
        <v>42540</v>
      </c>
      <c r="R6417" s="2" t="s">
        <v>42541</v>
      </c>
      <c r="S6417" s="2" t="s">
        <v>50</v>
      </c>
      <c r="T6417" s="2" t="s">
        <v>201</v>
      </c>
      <c r="U6417" s="2" t="s">
        <v>202</v>
      </c>
      <c r="V6417" s="2" t="s">
        <v>59</v>
      </c>
      <c r="W6417" s="2">
        <v>38.799999999999997</v>
      </c>
      <c r="X6417" s="2">
        <v>0</v>
      </c>
      <c r="Y6417" s="2" t="s">
        <v>340</v>
      </c>
      <c r="Z6417" s="2" t="s">
        <v>9733</v>
      </c>
      <c r="AA6417" s="2">
        <v>-0.17808391980251301</v>
      </c>
      <c r="AB6417" s="2">
        <v>3.0418967197614201E-2</v>
      </c>
      <c r="AC6417" s="2">
        <v>2506.0928466186901</v>
      </c>
      <c r="AD6417" s="2">
        <v>2888.8880576351999</v>
      </c>
      <c r="AE6417" s="2">
        <v>4229.31254580933</v>
      </c>
      <c r="AF6417" s="2">
        <v>623.17936710031802</v>
      </c>
      <c r="AG6417" s="2">
        <v>3898.0060283374301</v>
      </c>
      <c r="AH6417" s="2">
        <v>1133.4514756584399</v>
      </c>
      <c r="AI6417" s="2">
        <v>2510.2801218823602</v>
      </c>
      <c r="AJ6417" s="2">
        <v>2642.3275409242501</v>
      </c>
      <c r="AK6417" s="2">
        <v>2648.3793956662098</v>
      </c>
      <c r="AL6417" s="2">
        <v>4850.9028376783599</v>
      </c>
      <c r="AM6417" s="2">
        <v>1776.2806856432701</v>
      </c>
      <c r="AN6417" s="2">
        <v>2596.2154466274701</v>
      </c>
      <c r="AO6417" s="2">
        <v>2784.8201559588001</v>
      </c>
      <c r="AP6417" s="2">
        <v>2676.7298242370998</v>
      </c>
    </row>
    <row r="6418" spans="1:42" ht="14.5" x14ac:dyDescent="0.35">
      <c r="A6418" s="2" t="s">
        <v>42542</v>
      </c>
      <c r="B6418" s="2">
        <v>212.99761188458601</v>
      </c>
      <c r="C6418" s="2">
        <v>7.5627000000000004</v>
      </c>
      <c r="D6418" s="2" t="s">
        <v>70</v>
      </c>
      <c r="E6418" s="2" t="s">
        <v>42543</v>
      </c>
      <c r="F6418" s="2">
        <v>210132</v>
      </c>
      <c r="G6418" s="3" t="str">
        <f>HYPERLINK("http://funmeta.oebiotech.com/network/210132", "http://funmeta.oebiotech.com/network/210132")</f>
        <v>http://funmeta.oebiotech.com/network/210132</v>
      </c>
      <c r="H6418" s="2" t="s">
        <v>42544</v>
      </c>
      <c r="I6418" s="2">
        <v>336888</v>
      </c>
      <c r="J6418" s="2"/>
      <c r="K6418" s="2"/>
      <c r="L6418" s="2"/>
      <c r="M6418" s="2"/>
      <c r="N6418" s="2"/>
      <c r="O6418" s="2">
        <v>9696</v>
      </c>
      <c r="P6418" s="2"/>
      <c r="Q6418" s="2" t="s">
        <v>42545</v>
      </c>
      <c r="R6418" s="2" t="s">
        <v>42546</v>
      </c>
      <c r="S6418" s="2" t="s">
        <v>148</v>
      </c>
      <c r="T6418" s="2" t="s">
        <v>149</v>
      </c>
      <c r="U6418" s="2" t="s">
        <v>8963</v>
      </c>
      <c r="V6418" s="2" t="s">
        <v>59</v>
      </c>
      <c r="W6418" s="2">
        <v>39.1</v>
      </c>
      <c r="X6418" s="2">
        <v>0</v>
      </c>
      <c r="Y6418" s="2" t="s">
        <v>408</v>
      </c>
      <c r="Z6418" s="2" t="s">
        <v>42547</v>
      </c>
      <c r="AA6418" s="2">
        <v>-2.5721303149350501</v>
      </c>
      <c r="AB6418" s="2">
        <v>3.03869582105778E-2</v>
      </c>
      <c r="AC6418" s="2">
        <v>1033.9358954050199</v>
      </c>
      <c r="AD6418" s="2">
        <v>1169.5219539448799</v>
      </c>
      <c r="AE6418" s="2">
        <v>1249.0973835709001</v>
      </c>
      <c r="AF6418" s="2">
        <v>975.18706252569905</v>
      </c>
      <c r="AG6418" s="2">
        <v>1141.3132447092901</v>
      </c>
      <c r="AH6418" s="2">
        <v>934.73268931895097</v>
      </c>
      <c r="AI6418" s="2">
        <v>1000.81783169224</v>
      </c>
      <c r="AJ6418" s="2">
        <v>902.46716061302095</v>
      </c>
      <c r="AK6418" s="2">
        <v>1431.6580100894</v>
      </c>
      <c r="AL6418" s="2">
        <v>1106.65972575615</v>
      </c>
      <c r="AM6418" s="2">
        <v>954.02614487188498</v>
      </c>
      <c r="AN6418" s="2">
        <v>1238.2399617209301</v>
      </c>
      <c r="AO6418" s="2">
        <v>1139.50737639044</v>
      </c>
      <c r="AP6418" s="2">
        <v>1147.04050484048</v>
      </c>
    </row>
    <row r="6419" spans="1:42" ht="14.5" x14ac:dyDescent="0.35">
      <c r="A6419" s="2" t="s">
        <v>42548</v>
      </c>
      <c r="B6419" s="2">
        <v>697.34374045471395</v>
      </c>
      <c r="C6419" s="2">
        <v>10.3426666666667</v>
      </c>
      <c r="D6419" s="2" t="s">
        <v>70</v>
      </c>
      <c r="E6419" s="2" t="s">
        <v>42549</v>
      </c>
      <c r="F6419" s="2">
        <v>199232</v>
      </c>
      <c r="G6419" s="3" t="str">
        <f>HYPERLINK("http://funmeta.oebiotech.com/network/199232", "http://funmeta.oebiotech.com/network/199232")</f>
        <v>http://funmeta.oebiotech.com/network/199232</v>
      </c>
      <c r="H6419" s="2" t="s">
        <v>42550</v>
      </c>
      <c r="I6419" s="2"/>
      <c r="J6419" s="2"/>
      <c r="K6419" s="2">
        <v>108287</v>
      </c>
      <c r="L6419" s="2"/>
      <c r="M6419" s="2"/>
      <c r="N6419" s="2"/>
      <c r="O6419" s="2">
        <v>2692</v>
      </c>
      <c r="P6419" s="2"/>
      <c r="Q6419" s="2" t="s">
        <v>42551</v>
      </c>
      <c r="R6419" s="2" t="s">
        <v>42552</v>
      </c>
      <c r="S6419" s="2" t="s">
        <v>1444</v>
      </c>
      <c r="T6419" s="2" t="s">
        <v>3595</v>
      </c>
      <c r="U6419" s="2" t="s">
        <v>41</v>
      </c>
      <c r="V6419" s="2" t="s">
        <v>59</v>
      </c>
      <c r="W6419" s="2">
        <v>38.9</v>
      </c>
      <c r="X6419" s="2">
        <v>0</v>
      </c>
      <c r="Y6419" s="2" t="s">
        <v>560</v>
      </c>
      <c r="Z6419" s="2" t="s">
        <v>42553</v>
      </c>
      <c r="AA6419" s="2">
        <v>1.44398510987845</v>
      </c>
      <c r="AB6419" s="2">
        <v>3.0359068972571901E-2</v>
      </c>
      <c r="AC6419" s="2">
        <v>1670.1835755572999</v>
      </c>
      <c r="AD6419" s="2">
        <v>1464.2173777562</v>
      </c>
      <c r="AE6419" s="2">
        <v>1919.7835332879299</v>
      </c>
      <c r="AF6419" s="2">
        <v>1193.69383893131</v>
      </c>
      <c r="AG6419" s="2">
        <v>1801.1037842441301</v>
      </c>
      <c r="AH6419" s="2">
        <v>1714.2118200017901</v>
      </c>
      <c r="AI6419" s="2">
        <v>1522.4328239055001</v>
      </c>
      <c r="AJ6419" s="2">
        <v>1869.8756529731399</v>
      </c>
      <c r="AK6419" s="2">
        <v>1349.8422003764499</v>
      </c>
      <c r="AL6419" s="2">
        <v>651.907940241353</v>
      </c>
      <c r="AM6419" s="2">
        <v>1820.11997397966</v>
      </c>
      <c r="AN6419" s="2">
        <v>1640.3046900178899</v>
      </c>
      <c r="AO6419" s="2">
        <v>1722.09670920702</v>
      </c>
      <c r="AP6419" s="2">
        <v>1601.0327527148399</v>
      </c>
    </row>
    <row r="6420" spans="1:42" ht="14.5" x14ac:dyDescent="0.35">
      <c r="A6420" s="2" t="s">
        <v>42554</v>
      </c>
      <c r="B6420" s="2">
        <v>391.2109441934</v>
      </c>
      <c r="C6420" s="2">
        <v>6.4662166666666696</v>
      </c>
      <c r="D6420" s="2" t="s">
        <v>34</v>
      </c>
      <c r="E6420" s="2" t="s">
        <v>42555</v>
      </c>
      <c r="F6420" s="2">
        <v>208665</v>
      </c>
      <c r="G6420" s="3" t="str">
        <f>HYPERLINK("http://funmeta.oebiotech.com/network/208665", "http://funmeta.oebiotech.com/network/208665")</f>
        <v>http://funmeta.oebiotech.com/network/208665</v>
      </c>
      <c r="H6420" s="2" t="s">
        <v>42556</v>
      </c>
      <c r="I6420" s="2"/>
      <c r="J6420" s="2"/>
      <c r="K6420" s="2"/>
      <c r="L6420" s="2"/>
      <c r="M6420" s="2"/>
      <c r="N6420" s="2"/>
      <c r="O6420" s="2">
        <v>13456504</v>
      </c>
      <c r="P6420" s="2"/>
      <c r="Q6420" s="2" t="s">
        <v>42557</v>
      </c>
      <c r="R6420" s="2" t="s">
        <v>42558</v>
      </c>
      <c r="S6420" s="2" t="s">
        <v>50</v>
      </c>
      <c r="T6420" s="2" t="s">
        <v>124</v>
      </c>
      <c r="U6420" s="2" t="s">
        <v>929</v>
      </c>
      <c r="V6420" s="2" t="s">
        <v>42</v>
      </c>
      <c r="W6420" s="2">
        <v>49.5</v>
      </c>
      <c r="X6420" s="2">
        <v>54.7</v>
      </c>
      <c r="Y6420" s="2" t="s">
        <v>394</v>
      </c>
      <c r="Z6420" s="2" t="s">
        <v>4455</v>
      </c>
      <c r="AA6420" s="2">
        <v>-1.46312623800647</v>
      </c>
      <c r="AB6420" s="2">
        <v>3.03554163994132E-2</v>
      </c>
      <c r="AC6420" s="2">
        <v>196462.43653205299</v>
      </c>
      <c r="AD6420" s="2">
        <v>197644.98218180001</v>
      </c>
      <c r="AE6420" s="2">
        <v>204257.11635515999</v>
      </c>
      <c r="AF6420" s="2">
        <v>188126.09112966701</v>
      </c>
      <c r="AG6420" s="2">
        <v>187047.48718529599</v>
      </c>
      <c r="AH6420" s="2">
        <v>182693.303890788</v>
      </c>
      <c r="AI6420" s="2">
        <v>192597.48469000301</v>
      </c>
      <c r="AJ6420" s="2">
        <v>224053.13594140401</v>
      </c>
      <c r="AK6420" s="2">
        <v>194704.115630318</v>
      </c>
      <c r="AL6420" s="2">
        <v>202403.28249799501</v>
      </c>
      <c r="AM6420" s="2">
        <v>212994.63423518199</v>
      </c>
      <c r="AN6420" s="2">
        <v>191457.81765837001</v>
      </c>
      <c r="AO6420" s="2">
        <v>192053.645800962</v>
      </c>
      <c r="AP6420" s="2">
        <v>192256.397267972</v>
      </c>
    </row>
    <row r="6421" spans="1:42" ht="14.5" x14ac:dyDescent="0.35">
      <c r="A6421" s="2" t="s">
        <v>42559</v>
      </c>
      <c r="B6421" s="2">
        <v>579.267701696671</v>
      </c>
      <c r="C6421" s="2">
        <v>4.7218999999999998</v>
      </c>
      <c r="D6421" s="2" t="s">
        <v>70</v>
      </c>
      <c r="E6421" s="2" t="s">
        <v>42560</v>
      </c>
      <c r="F6421" s="2">
        <v>52796</v>
      </c>
      <c r="G6421" s="3" t="str">
        <f>HYPERLINK("http://funmeta.oebiotech.com/network/52796", "http://funmeta.oebiotech.com/network/52796")</f>
        <v>http://funmeta.oebiotech.com/network/52796</v>
      </c>
      <c r="H6421" s="2" t="s">
        <v>42561</v>
      </c>
      <c r="I6421" s="2">
        <v>2956</v>
      </c>
      <c r="J6421" s="2"/>
      <c r="K6421" s="2">
        <v>45924</v>
      </c>
      <c r="L6421" s="2" t="s">
        <v>42562</v>
      </c>
      <c r="M6421" s="2"/>
      <c r="N6421" s="2"/>
      <c r="O6421" s="2">
        <v>5578</v>
      </c>
      <c r="P6421" s="2" t="s">
        <v>42563</v>
      </c>
      <c r="Q6421" s="2" t="s">
        <v>42564</v>
      </c>
      <c r="R6421" s="2" t="s">
        <v>42565</v>
      </c>
      <c r="S6421" s="2" t="s">
        <v>148</v>
      </c>
      <c r="T6421" s="2" t="s">
        <v>3772</v>
      </c>
      <c r="U6421" s="2" t="s">
        <v>18665</v>
      </c>
      <c r="V6421" s="2" t="s">
        <v>59</v>
      </c>
      <c r="W6421" s="2">
        <v>39</v>
      </c>
      <c r="X6421" s="2">
        <v>0</v>
      </c>
      <c r="Y6421" s="2" t="s">
        <v>560</v>
      </c>
      <c r="Z6421" s="2" t="s">
        <v>42566</v>
      </c>
      <c r="AA6421" s="2">
        <v>-1.3834484145147701</v>
      </c>
      <c r="AB6421" s="2">
        <v>3.0353366768099101E-2</v>
      </c>
      <c r="AC6421" s="2">
        <v>1222.07968782495</v>
      </c>
      <c r="AD6421" s="2">
        <v>970.89585718685601</v>
      </c>
      <c r="AE6421" s="2">
        <v>2108.28939705125</v>
      </c>
      <c r="AF6421" s="2">
        <v>1539.67222803956</v>
      </c>
      <c r="AG6421" s="2">
        <v>958.31311321308601</v>
      </c>
      <c r="AH6421" s="2">
        <v>1059.38569879077</v>
      </c>
      <c r="AI6421" s="2">
        <v>329.90293355951201</v>
      </c>
      <c r="AJ6421" s="2">
        <v>1336.91475629553</v>
      </c>
      <c r="AK6421" s="2">
        <v>1357.7493472687499</v>
      </c>
      <c r="AL6421" s="2">
        <v>489.139362851371</v>
      </c>
      <c r="AM6421" s="2">
        <v>524.84030487380096</v>
      </c>
      <c r="AN6421" s="2">
        <v>1888.3709499854599</v>
      </c>
      <c r="AO6421" s="2">
        <v>656.69395028097404</v>
      </c>
      <c r="AP6421" s="2">
        <v>908.58122786077797</v>
      </c>
    </row>
    <row r="6422" spans="1:42" ht="14.5" x14ac:dyDescent="0.35">
      <c r="A6422" s="2" t="s">
        <v>42567</v>
      </c>
      <c r="B6422" s="2">
        <v>919.62482646057299</v>
      </c>
      <c r="C6422" s="2">
        <v>10.6795333333333</v>
      </c>
      <c r="D6422" s="2" t="s">
        <v>34</v>
      </c>
      <c r="E6422" s="2" t="s">
        <v>42568</v>
      </c>
      <c r="F6422" s="2">
        <v>224091</v>
      </c>
      <c r="G6422" s="3" t="str">
        <f>HYPERLINK("http://funmeta.oebiotech.com/network/224091", "http://funmeta.oebiotech.com/network/224091")</f>
        <v>http://funmeta.oebiotech.com/network/224091</v>
      </c>
      <c r="H6422" s="2" t="s">
        <v>42569</v>
      </c>
      <c r="I6422" s="2"/>
      <c r="J6422" s="2"/>
      <c r="K6422" s="2"/>
      <c r="L6422" s="2"/>
      <c r="M6422" s="2"/>
      <c r="N6422" s="2"/>
      <c r="O6422" s="2"/>
      <c r="P6422" s="2"/>
      <c r="Q6422" s="2" t="s">
        <v>42570</v>
      </c>
      <c r="R6422" s="2" t="s">
        <v>42571</v>
      </c>
      <c r="S6422" s="2" t="s">
        <v>41</v>
      </c>
      <c r="T6422" s="2" t="s">
        <v>41</v>
      </c>
      <c r="U6422" s="2" t="s">
        <v>41</v>
      </c>
      <c r="V6422" s="2" t="s">
        <v>59</v>
      </c>
      <c r="W6422" s="2">
        <v>36.5</v>
      </c>
      <c r="X6422" s="2">
        <v>0</v>
      </c>
      <c r="Y6422" s="2" t="s">
        <v>394</v>
      </c>
      <c r="Z6422" s="2" t="s">
        <v>42572</v>
      </c>
      <c r="AA6422" s="2">
        <v>-2.3726619472506498</v>
      </c>
      <c r="AB6422" s="2">
        <v>3.0046940872394599E-2</v>
      </c>
      <c r="AC6422" s="2">
        <v>7504.1748228159904</v>
      </c>
      <c r="AD6422" s="2">
        <v>7900.6366763064298</v>
      </c>
      <c r="AE6422" s="2">
        <v>7532.0138102835399</v>
      </c>
      <c r="AF6422" s="2">
        <v>6083.7180671368897</v>
      </c>
      <c r="AG6422" s="2">
        <v>7134.2256415635102</v>
      </c>
      <c r="AH6422" s="2">
        <v>9044.1707599861693</v>
      </c>
      <c r="AI6422" s="2">
        <v>7757.5249720939</v>
      </c>
      <c r="AJ6422" s="2">
        <v>7473.3956858319598</v>
      </c>
      <c r="AK6422" s="2">
        <v>8507.5017798585795</v>
      </c>
      <c r="AL6422" s="2">
        <v>6588.1849668753603</v>
      </c>
      <c r="AM6422" s="2">
        <v>5887.3257390115104</v>
      </c>
      <c r="AN6422" s="2">
        <v>6516.9747024206099</v>
      </c>
      <c r="AO6422" s="2">
        <v>10191.3642401815</v>
      </c>
      <c r="AP6422" s="2">
        <v>9712.4686294910207</v>
      </c>
    </row>
    <row r="6423" spans="1:42" ht="14.5" x14ac:dyDescent="0.35">
      <c r="A6423" s="2" t="s">
        <v>42573</v>
      </c>
      <c r="B6423" s="2">
        <v>336.085467836031</v>
      </c>
      <c r="C6423" s="2">
        <v>3.7870499999999998</v>
      </c>
      <c r="D6423" s="2" t="s">
        <v>70</v>
      </c>
      <c r="E6423" s="2" t="s">
        <v>42574</v>
      </c>
      <c r="F6423" s="2">
        <v>279815</v>
      </c>
      <c r="G6423" s="3" t="str">
        <f>HYPERLINK("http://funmeta.oebiotech.com/network/279815", "http://funmeta.oebiotech.com/network/279815")</f>
        <v>http://funmeta.oebiotech.com/network/279815</v>
      </c>
      <c r="H6423" s="2"/>
      <c r="I6423" s="2">
        <v>72631</v>
      </c>
      <c r="J6423" s="2"/>
      <c r="K6423" s="2"/>
      <c r="L6423" s="2" t="s">
        <v>42575</v>
      </c>
      <c r="M6423" s="2"/>
      <c r="N6423" s="2"/>
      <c r="O6423" s="2">
        <v>8594</v>
      </c>
      <c r="P6423" s="2" t="s">
        <v>42576</v>
      </c>
      <c r="Q6423" s="2" t="s">
        <v>42577</v>
      </c>
      <c r="R6423" s="2" t="s">
        <v>42578</v>
      </c>
      <c r="S6423" s="2" t="s">
        <v>148</v>
      </c>
      <c r="T6423" s="2" t="s">
        <v>6221</v>
      </c>
      <c r="U6423" s="2" t="s">
        <v>41</v>
      </c>
      <c r="V6423" s="2" t="s">
        <v>59</v>
      </c>
      <c r="W6423" s="2">
        <v>37.299999999999997</v>
      </c>
      <c r="X6423" s="2">
        <v>0</v>
      </c>
      <c r="Y6423" s="2" t="s">
        <v>408</v>
      </c>
      <c r="Z6423" s="2" t="s">
        <v>42579</v>
      </c>
      <c r="AA6423" s="2">
        <v>-7.8268505742732701</v>
      </c>
      <c r="AB6423" s="2">
        <v>3.00241740226064E-2</v>
      </c>
      <c r="AC6423" s="2">
        <v>879.685070664553</v>
      </c>
      <c r="AD6423" s="2">
        <v>1051.5344316237799</v>
      </c>
      <c r="AE6423" s="2">
        <v>768.74122049464904</v>
      </c>
      <c r="AF6423" s="2">
        <v>540.40726819784595</v>
      </c>
      <c r="AG6423" s="2">
        <v>1089.94439266879</v>
      </c>
      <c r="AH6423" s="2">
        <v>1219.7640337882599</v>
      </c>
      <c r="AI6423" s="2">
        <v>921.04960847255097</v>
      </c>
      <c r="AJ6423" s="2">
        <v>738.20390036521997</v>
      </c>
      <c r="AK6423" s="2">
        <v>1117.2943145151801</v>
      </c>
      <c r="AL6423" s="2">
        <v>688.40777944871502</v>
      </c>
      <c r="AM6423" s="2">
        <v>1392.2455088312499</v>
      </c>
      <c r="AN6423" s="2">
        <v>963.46115002492797</v>
      </c>
      <c r="AO6423" s="2">
        <v>1322.04833427425</v>
      </c>
      <c r="AP6423" s="2">
        <v>825.749502648374</v>
      </c>
    </row>
    <row r="6424" spans="1:42" ht="14.5" x14ac:dyDescent="0.35">
      <c r="A6424" s="2" t="s">
        <v>42580</v>
      </c>
      <c r="B6424" s="2">
        <v>231.02701403764601</v>
      </c>
      <c r="C6424" s="2">
        <v>4.7039999999999997</v>
      </c>
      <c r="D6424" s="2" t="s">
        <v>70</v>
      </c>
      <c r="E6424" s="2" t="s">
        <v>42581</v>
      </c>
      <c r="F6424" s="2">
        <v>204777</v>
      </c>
      <c r="G6424" s="3" t="str">
        <f>HYPERLINK("http://funmeta.oebiotech.com/network/204777", "http://funmeta.oebiotech.com/network/204777")</f>
        <v>http://funmeta.oebiotech.com/network/204777</v>
      </c>
      <c r="H6424" s="2" t="s">
        <v>42582</v>
      </c>
      <c r="I6424" s="2"/>
      <c r="J6424" s="2"/>
      <c r="K6424" s="2"/>
      <c r="L6424" s="2"/>
      <c r="M6424" s="2"/>
      <c r="N6424" s="2"/>
      <c r="O6424" s="2">
        <v>2219</v>
      </c>
      <c r="P6424" s="2"/>
      <c r="Q6424" s="2" t="s">
        <v>42583</v>
      </c>
      <c r="R6424" s="2" t="s">
        <v>42584</v>
      </c>
      <c r="S6424" s="2" t="s">
        <v>79</v>
      </c>
      <c r="T6424" s="2" t="s">
        <v>80</v>
      </c>
      <c r="U6424" s="2" t="s">
        <v>81</v>
      </c>
      <c r="V6424" s="2" t="s">
        <v>59</v>
      </c>
      <c r="W6424" s="2">
        <v>38.799999999999997</v>
      </c>
      <c r="X6424" s="2">
        <v>0</v>
      </c>
      <c r="Y6424" s="2" t="s">
        <v>118</v>
      </c>
      <c r="Z6424" s="2" t="s">
        <v>42585</v>
      </c>
      <c r="AA6424" s="2">
        <v>-2.21317550418709</v>
      </c>
      <c r="AB6424" s="2">
        <v>2.9965192683336101E-2</v>
      </c>
      <c r="AC6424" s="2">
        <v>3398.20950614392</v>
      </c>
      <c r="AD6424" s="2">
        <v>3195.6261350432401</v>
      </c>
      <c r="AE6424" s="2">
        <v>3512.9342116907701</v>
      </c>
      <c r="AF6424" s="2">
        <v>3320.5900145752998</v>
      </c>
      <c r="AG6424" s="2">
        <v>3002.12237886707</v>
      </c>
      <c r="AH6424" s="2">
        <v>3606.1458282338599</v>
      </c>
      <c r="AI6424" s="2">
        <v>3532.11147191695</v>
      </c>
      <c r="AJ6424" s="2">
        <v>3415.3531315795599</v>
      </c>
      <c r="AK6424" s="2">
        <v>3641.68903548245</v>
      </c>
      <c r="AL6424" s="2">
        <v>2847.5518535101401</v>
      </c>
      <c r="AM6424" s="2">
        <v>3812.98871121197</v>
      </c>
      <c r="AN6424" s="2">
        <v>3265.7995286672499</v>
      </c>
      <c r="AO6424" s="2">
        <v>2803.2519018788598</v>
      </c>
      <c r="AP6424" s="2">
        <v>2802.4757795087498</v>
      </c>
    </row>
    <row r="6425" spans="1:42" ht="14.5" x14ac:dyDescent="0.35">
      <c r="A6425" s="2" t="s">
        <v>42586</v>
      </c>
      <c r="B6425" s="2">
        <v>433.17144462550999</v>
      </c>
      <c r="C6425" s="2">
        <v>4.0592666666666704</v>
      </c>
      <c r="D6425" s="2" t="s">
        <v>70</v>
      </c>
      <c r="E6425" s="2" t="s">
        <v>42587</v>
      </c>
      <c r="F6425" s="2">
        <v>206999</v>
      </c>
      <c r="G6425" s="3" t="str">
        <f>HYPERLINK("http://funmeta.oebiotech.com/network/206999", "http://funmeta.oebiotech.com/network/206999")</f>
        <v>http://funmeta.oebiotech.com/network/206999</v>
      </c>
      <c r="H6425" s="2" t="s">
        <v>42588</v>
      </c>
      <c r="I6425" s="2"/>
      <c r="J6425" s="2"/>
      <c r="K6425" s="2"/>
      <c r="L6425" s="2"/>
      <c r="M6425" s="2"/>
      <c r="N6425" s="2"/>
      <c r="O6425" s="2">
        <v>72994809</v>
      </c>
      <c r="P6425" s="2"/>
      <c r="Q6425" s="2" t="s">
        <v>42589</v>
      </c>
      <c r="R6425" s="2" t="s">
        <v>42590</v>
      </c>
      <c r="S6425" s="2" t="s">
        <v>89</v>
      </c>
      <c r="T6425" s="2" t="s">
        <v>90</v>
      </c>
      <c r="U6425" s="2" t="s">
        <v>99</v>
      </c>
      <c r="V6425" s="2" t="s">
        <v>59</v>
      </c>
      <c r="W6425" s="2">
        <v>37.299999999999997</v>
      </c>
      <c r="X6425" s="2">
        <v>0</v>
      </c>
      <c r="Y6425" s="2" t="s">
        <v>792</v>
      </c>
      <c r="Z6425" s="2" t="s">
        <v>42591</v>
      </c>
      <c r="AA6425" s="2">
        <v>-3.15824294193254</v>
      </c>
      <c r="AB6425" s="2">
        <v>2.9952257347637599E-2</v>
      </c>
      <c r="AC6425" s="2">
        <v>34311.142379974997</v>
      </c>
      <c r="AD6425" s="2">
        <v>33899.191095030503</v>
      </c>
      <c r="AE6425" s="2">
        <v>35088.322724590304</v>
      </c>
      <c r="AF6425" s="2">
        <v>36359.964036877798</v>
      </c>
      <c r="AG6425" s="2">
        <v>31717.404505915802</v>
      </c>
      <c r="AH6425" s="2">
        <v>35381.185471181001</v>
      </c>
      <c r="AI6425" s="2">
        <v>31870.0347921885</v>
      </c>
      <c r="AJ6425" s="2">
        <v>35449.942749096801</v>
      </c>
      <c r="AK6425" s="2">
        <v>34184.245404908499</v>
      </c>
      <c r="AL6425" s="2">
        <v>35701.235723391597</v>
      </c>
      <c r="AM6425" s="2">
        <v>33573.096343690602</v>
      </c>
      <c r="AN6425" s="2">
        <v>34745.390279033199</v>
      </c>
      <c r="AO6425" s="2">
        <v>31699.014344655599</v>
      </c>
      <c r="AP6425" s="2">
        <v>33492.164474503399</v>
      </c>
    </row>
    <row r="6426" spans="1:42" ht="14.5" x14ac:dyDescent="0.35">
      <c r="A6426" s="2" t="s">
        <v>42592</v>
      </c>
      <c r="B6426" s="2">
        <v>346.31237111840397</v>
      </c>
      <c r="C6426" s="2">
        <v>9.48586666666667</v>
      </c>
      <c r="D6426" s="2" t="s">
        <v>34</v>
      </c>
      <c r="E6426" s="2" t="s">
        <v>42593</v>
      </c>
      <c r="F6426" s="2">
        <v>2340</v>
      </c>
      <c r="G6426" s="3" t="str">
        <f>HYPERLINK("http://funmeta.oebiotech.com/network/2340", "http://funmeta.oebiotech.com/network/2340")</f>
        <v>http://funmeta.oebiotech.com/network/2340</v>
      </c>
      <c r="H6426" s="2"/>
      <c r="I6426" s="2">
        <v>96783</v>
      </c>
      <c r="J6426" s="2" t="s">
        <v>42594</v>
      </c>
      <c r="K6426" s="2"/>
      <c r="L6426" s="2"/>
      <c r="M6426" s="2"/>
      <c r="N6426" s="2"/>
      <c r="O6426" s="2">
        <v>56935807</v>
      </c>
      <c r="P6426" s="2"/>
      <c r="Q6426" s="2" t="s">
        <v>42595</v>
      </c>
      <c r="R6426" s="2" t="s">
        <v>42596</v>
      </c>
      <c r="S6426" s="2" t="s">
        <v>50</v>
      </c>
      <c r="T6426" s="2" t="s">
        <v>229</v>
      </c>
      <c r="U6426" s="2" t="s">
        <v>433</v>
      </c>
      <c r="V6426" s="2" t="s">
        <v>59</v>
      </c>
      <c r="W6426" s="2">
        <v>36.9</v>
      </c>
      <c r="X6426" s="2">
        <v>0</v>
      </c>
      <c r="Y6426" s="2" t="s">
        <v>43</v>
      </c>
      <c r="Z6426" s="2" t="s">
        <v>42597</v>
      </c>
      <c r="AA6426" s="2">
        <v>2.3971855324507998</v>
      </c>
      <c r="AB6426" s="2">
        <v>2.99375548053992E-2</v>
      </c>
      <c r="AC6426" s="2">
        <v>1751.61156328828</v>
      </c>
      <c r="AD6426" s="2">
        <v>1973.1634829837401</v>
      </c>
      <c r="AE6426" s="2">
        <v>2038.8805733055599</v>
      </c>
      <c r="AF6426" s="2">
        <v>1195.9978754203801</v>
      </c>
      <c r="AG6426" s="2">
        <v>2065.1518772478798</v>
      </c>
      <c r="AH6426" s="2">
        <v>939.18640633995506</v>
      </c>
      <c r="AI6426" s="2">
        <v>1901.8280677453799</v>
      </c>
      <c r="AJ6426" s="2">
        <v>2368.6245796705002</v>
      </c>
      <c r="AK6426" s="2">
        <v>1717.6773196863101</v>
      </c>
      <c r="AL6426" s="2">
        <v>2428.7871744646</v>
      </c>
      <c r="AM6426" s="2">
        <v>1814.57198129228</v>
      </c>
      <c r="AN6426" s="2">
        <v>2179.34149338104</v>
      </c>
      <c r="AO6426" s="2">
        <v>1971.8048292851399</v>
      </c>
      <c r="AP6426" s="2">
        <v>1726.7980997930599</v>
      </c>
    </row>
    <row r="6427" spans="1:42" ht="14.5" x14ac:dyDescent="0.35">
      <c r="A6427" s="2" t="s">
        <v>42598</v>
      </c>
      <c r="B6427" s="2">
        <v>353.179247481662</v>
      </c>
      <c r="C6427" s="2">
        <v>9.1865500000000004</v>
      </c>
      <c r="D6427" s="2" t="s">
        <v>70</v>
      </c>
      <c r="E6427" s="2" t="s">
        <v>42599</v>
      </c>
      <c r="F6427" s="2">
        <v>203162</v>
      </c>
      <c r="G6427" s="3" t="str">
        <f>HYPERLINK("http://funmeta.oebiotech.com/network/203162", "http://funmeta.oebiotech.com/network/203162")</f>
        <v>http://funmeta.oebiotech.com/network/203162</v>
      </c>
      <c r="H6427" s="2" t="s">
        <v>42600</v>
      </c>
      <c r="I6427" s="2"/>
      <c r="J6427" s="2"/>
      <c r="K6427" s="2"/>
      <c r="L6427" s="2"/>
      <c r="M6427" s="2"/>
      <c r="N6427" s="2"/>
      <c r="O6427" s="2">
        <v>73744476</v>
      </c>
      <c r="P6427" s="2"/>
      <c r="Q6427" s="2" t="s">
        <v>42601</v>
      </c>
      <c r="R6427" s="2" t="s">
        <v>42602</v>
      </c>
      <c r="S6427" s="2" t="s">
        <v>50</v>
      </c>
      <c r="T6427" s="2" t="s">
        <v>124</v>
      </c>
      <c r="U6427" s="2" t="s">
        <v>9313</v>
      </c>
      <c r="V6427" s="2" t="s">
        <v>59</v>
      </c>
      <c r="W6427" s="2">
        <v>38</v>
      </c>
      <c r="X6427" s="2">
        <v>0</v>
      </c>
      <c r="Y6427" s="2" t="s">
        <v>751</v>
      </c>
      <c r="Z6427" s="2" t="s">
        <v>42603</v>
      </c>
      <c r="AA6427" s="2">
        <v>0.11681345183172</v>
      </c>
      <c r="AB6427" s="2">
        <v>2.9905842786568999E-2</v>
      </c>
      <c r="AC6427" s="2">
        <v>5741.9305982844699</v>
      </c>
      <c r="AD6427" s="2">
        <v>5192.2641451475001</v>
      </c>
      <c r="AE6427" s="2">
        <v>3410.5997312304298</v>
      </c>
      <c r="AF6427" s="2">
        <v>4829.7091376404996</v>
      </c>
      <c r="AG6427" s="2">
        <v>4382.01712871368</v>
      </c>
      <c r="AH6427" s="2">
        <v>13054.256686622701</v>
      </c>
      <c r="AI6427" s="2">
        <v>4565.0301912064597</v>
      </c>
      <c r="AJ6427" s="2">
        <v>4209.9707142930602</v>
      </c>
      <c r="AK6427" s="2">
        <v>2866.8830636487401</v>
      </c>
      <c r="AL6427" s="2">
        <v>4713.5573448787</v>
      </c>
      <c r="AM6427" s="2">
        <v>6067.0989970189503</v>
      </c>
      <c r="AN6427" s="2">
        <v>5549.8588654432297</v>
      </c>
      <c r="AO6427" s="2">
        <v>6730.2275128902502</v>
      </c>
      <c r="AP6427" s="2">
        <v>5225.9590870051597</v>
      </c>
    </row>
    <row r="6428" spans="1:42" ht="14.5" x14ac:dyDescent="0.35">
      <c r="A6428" s="2" t="s">
        <v>42604</v>
      </c>
      <c r="B6428" s="2">
        <v>412.17422539863298</v>
      </c>
      <c r="C6428" s="2">
        <v>9.3124666666666691</v>
      </c>
      <c r="D6428" s="2" t="s">
        <v>34</v>
      </c>
      <c r="E6428" s="2" t="s">
        <v>42605</v>
      </c>
      <c r="F6428" s="2">
        <v>55198</v>
      </c>
      <c r="G6428" s="3" t="str">
        <f>HYPERLINK("http://funmeta.oebiotech.com/network/55198", "http://funmeta.oebiotech.com/network/55198")</f>
        <v>http://funmeta.oebiotech.com/network/55198</v>
      </c>
      <c r="H6428" s="2" t="s">
        <v>42606</v>
      </c>
      <c r="I6428" s="2"/>
      <c r="J6428" s="2"/>
      <c r="K6428" s="2"/>
      <c r="L6428" s="2"/>
      <c r="M6428" s="2"/>
      <c r="N6428" s="2"/>
      <c r="O6428" s="2">
        <v>5935070</v>
      </c>
      <c r="P6428" s="2" t="s">
        <v>42607</v>
      </c>
      <c r="Q6428" s="2" t="s">
        <v>42608</v>
      </c>
      <c r="R6428" s="2" t="s">
        <v>42609</v>
      </c>
      <c r="S6428" s="2" t="s">
        <v>491</v>
      </c>
      <c r="T6428" s="2" t="s">
        <v>2184</v>
      </c>
      <c r="U6428" s="2" t="s">
        <v>20402</v>
      </c>
      <c r="V6428" s="2" t="s">
        <v>59</v>
      </c>
      <c r="W6428" s="2">
        <v>38.4</v>
      </c>
      <c r="X6428" s="2">
        <v>0</v>
      </c>
      <c r="Y6428" s="2" t="s">
        <v>323</v>
      </c>
      <c r="Z6428" s="2" t="s">
        <v>42610</v>
      </c>
      <c r="AA6428" s="2">
        <v>-0.43753490060354899</v>
      </c>
      <c r="AB6428" s="2">
        <v>2.9743806472892799E-2</v>
      </c>
      <c r="AC6428" s="2">
        <v>775.14232880424299</v>
      </c>
      <c r="AD6428" s="2">
        <v>636.74823126822298</v>
      </c>
      <c r="AE6428" s="2">
        <v>577.712207467756</v>
      </c>
      <c r="AF6428" s="2">
        <v>930.65309071786498</v>
      </c>
      <c r="AG6428" s="2">
        <v>667.38716407656204</v>
      </c>
      <c r="AH6428" s="2">
        <v>878.65149817104896</v>
      </c>
      <c r="AI6428" s="2">
        <v>941.51307382822301</v>
      </c>
      <c r="AJ6428" s="2">
        <v>654.936938564005</v>
      </c>
      <c r="AK6428" s="2">
        <v>617.33010318228503</v>
      </c>
      <c r="AL6428" s="2">
        <v>860.74977410840995</v>
      </c>
      <c r="AM6428" s="2">
        <v>733.34072844523405</v>
      </c>
      <c r="AN6428" s="2">
        <v>438.06202989978499</v>
      </c>
      <c r="AO6428" s="2">
        <v>711.91050421890998</v>
      </c>
      <c r="AP6428" s="2">
        <v>459.09624775471502</v>
      </c>
    </row>
    <row r="6429" spans="1:42" ht="14.5" x14ac:dyDescent="0.35">
      <c r="A6429" s="2" t="s">
        <v>42611</v>
      </c>
      <c r="B6429" s="2">
        <v>591.49810415217701</v>
      </c>
      <c r="C6429" s="2">
        <v>15.229566666666701</v>
      </c>
      <c r="D6429" s="2" t="s">
        <v>34</v>
      </c>
      <c r="E6429" s="2" t="s">
        <v>42612</v>
      </c>
      <c r="F6429" s="2">
        <v>10545</v>
      </c>
      <c r="G6429" s="3" t="str">
        <f>HYPERLINK("http://funmeta.oebiotech.com/network/10545", "http://funmeta.oebiotech.com/network/10545")</f>
        <v>http://funmeta.oebiotech.com/network/10545</v>
      </c>
      <c r="H6429" s="2" t="s">
        <v>42613</v>
      </c>
      <c r="I6429" s="2">
        <v>4336</v>
      </c>
      <c r="J6429" s="2" t="s">
        <v>42614</v>
      </c>
      <c r="K6429" s="2">
        <v>88449</v>
      </c>
      <c r="L6429" s="2"/>
      <c r="M6429" s="2"/>
      <c r="N6429" s="2"/>
      <c r="O6429" s="2">
        <v>9543700</v>
      </c>
      <c r="P6429" s="2"/>
      <c r="Q6429" s="2" t="s">
        <v>42615</v>
      </c>
      <c r="R6429" s="2" t="s">
        <v>42616</v>
      </c>
      <c r="S6429" s="2" t="s">
        <v>50</v>
      </c>
      <c r="T6429" s="2" t="s">
        <v>229</v>
      </c>
      <c r="U6429" s="2" t="s">
        <v>1360</v>
      </c>
      <c r="V6429" s="2" t="s">
        <v>42</v>
      </c>
      <c r="W6429" s="2">
        <v>56.1</v>
      </c>
      <c r="X6429" s="2">
        <v>82.8</v>
      </c>
      <c r="Y6429" s="2" t="s">
        <v>266</v>
      </c>
      <c r="Z6429" s="2" t="s">
        <v>36329</v>
      </c>
      <c r="AA6429" s="2">
        <v>-0.334457652500251</v>
      </c>
      <c r="AB6429" s="2">
        <v>2.9688240693182801E-2</v>
      </c>
      <c r="AC6429" s="2">
        <v>176526.96340363799</v>
      </c>
      <c r="AD6429" s="2">
        <v>177867.30324814899</v>
      </c>
      <c r="AE6429" s="2">
        <v>183951.99976981699</v>
      </c>
      <c r="AF6429" s="2">
        <v>146309.06330672899</v>
      </c>
      <c r="AG6429" s="2">
        <v>166143.43720775499</v>
      </c>
      <c r="AH6429" s="2">
        <v>200315.63601896301</v>
      </c>
      <c r="AI6429" s="2">
        <v>189933.17324405999</v>
      </c>
      <c r="AJ6429" s="2">
        <v>172508.470874505</v>
      </c>
      <c r="AK6429" s="2">
        <v>171222.31169268</v>
      </c>
      <c r="AL6429" s="2">
        <v>159227.297928649</v>
      </c>
      <c r="AM6429" s="2">
        <v>146924.054830832</v>
      </c>
      <c r="AN6429" s="2">
        <v>185349.746572023</v>
      </c>
      <c r="AO6429" s="2">
        <v>219863.00506438801</v>
      </c>
      <c r="AP6429" s="2">
        <v>184617.40340032199</v>
      </c>
    </row>
    <row r="6430" spans="1:42" ht="14.5" x14ac:dyDescent="0.35">
      <c r="A6430" s="2" t="s">
        <v>42617</v>
      </c>
      <c r="B6430" s="2">
        <v>356.11376796286902</v>
      </c>
      <c r="C6430" s="2">
        <v>5.5431833333333298</v>
      </c>
      <c r="D6430" s="2" t="s">
        <v>70</v>
      </c>
      <c r="E6430" s="2" t="s">
        <v>42618</v>
      </c>
      <c r="F6430" s="2">
        <v>55042</v>
      </c>
      <c r="G6430" s="3" t="str">
        <f>HYPERLINK("http://funmeta.oebiotech.com/network/55042", "http://funmeta.oebiotech.com/network/55042")</f>
        <v>http://funmeta.oebiotech.com/network/55042</v>
      </c>
      <c r="H6430" s="2" t="s">
        <v>42619</v>
      </c>
      <c r="I6430" s="2">
        <v>86806</v>
      </c>
      <c r="J6430" s="2"/>
      <c r="K6430" s="2"/>
      <c r="L6430" s="2"/>
      <c r="M6430" s="2"/>
      <c r="N6430" s="2"/>
      <c r="O6430" s="2">
        <v>24898872</v>
      </c>
      <c r="P6430" s="2" t="s">
        <v>42620</v>
      </c>
      <c r="Q6430" s="2" t="s">
        <v>42621</v>
      </c>
      <c r="R6430" s="2" t="s">
        <v>42622</v>
      </c>
      <c r="S6430" s="2" t="s">
        <v>39</v>
      </c>
      <c r="T6430" s="2" t="s">
        <v>22949</v>
      </c>
      <c r="U6430" s="2" t="s">
        <v>41</v>
      </c>
      <c r="V6430" s="2" t="s">
        <v>59</v>
      </c>
      <c r="W6430" s="2">
        <v>39.299999999999997</v>
      </c>
      <c r="X6430" s="2">
        <v>0</v>
      </c>
      <c r="Y6430" s="2" t="s">
        <v>408</v>
      </c>
      <c r="Z6430" s="2" t="s">
        <v>42623</v>
      </c>
      <c r="AA6430" s="2">
        <v>-0.62014011332252506</v>
      </c>
      <c r="AB6430" s="2">
        <v>2.9678229446204799E-2</v>
      </c>
      <c r="AC6430" s="2">
        <v>483.88762501616901</v>
      </c>
      <c r="AD6430" s="2">
        <v>326.00986595716103</v>
      </c>
      <c r="AE6430" s="2">
        <v>544.586257055891</v>
      </c>
      <c r="AF6430" s="2">
        <v>554.27640672699397</v>
      </c>
      <c r="AG6430" s="2">
        <v>415.753201361305</v>
      </c>
      <c r="AH6430" s="2">
        <v>245.198587781973</v>
      </c>
      <c r="AI6430" s="2">
        <v>595.65123868674402</v>
      </c>
      <c r="AJ6430" s="2">
        <v>547.86005848410605</v>
      </c>
      <c r="AK6430" s="2">
        <v>353.49083187692599</v>
      </c>
      <c r="AL6430" s="2">
        <v>391.662654864366</v>
      </c>
      <c r="AM6430" s="2">
        <v>561.66725367065601</v>
      </c>
      <c r="AN6430" s="2">
        <v>649.23840111843106</v>
      </c>
      <c r="AO6430" s="2">
        <v>2.7106294003980101E-5</v>
      </c>
      <c r="AP6430" s="2">
        <v>2.7106294003980101E-5</v>
      </c>
    </row>
    <row r="6431" spans="1:42" ht="14.5" x14ac:dyDescent="0.35">
      <c r="A6431" s="2" t="s">
        <v>42624</v>
      </c>
      <c r="B6431" s="2">
        <v>565.18873560728002</v>
      </c>
      <c r="C6431" s="2">
        <v>4.2619999999999996</v>
      </c>
      <c r="D6431" s="2" t="s">
        <v>34</v>
      </c>
      <c r="E6431" s="2" t="s">
        <v>42625</v>
      </c>
      <c r="F6431" s="2">
        <v>35312</v>
      </c>
      <c r="G6431" s="3" t="str">
        <f>HYPERLINK("http://funmeta.oebiotech.com/network/35312", "http://funmeta.oebiotech.com/network/35312")</f>
        <v>http://funmeta.oebiotech.com/network/35312</v>
      </c>
      <c r="H6431" s="2"/>
      <c r="I6431" s="2">
        <v>41164</v>
      </c>
      <c r="J6431" s="2" t="s">
        <v>42626</v>
      </c>
      <c r="K6431" s="2">
        <v>4419</v>
      </c>
      <c r="L6431" s="2" t="s">
        <v>42627</v>
      </c>
      <c r="M6431" s="2"/>
      <c r="N6431" s="2"/>
      <c r="O6431" s="2">
        <v>443329</v>
      </c>
      <c r="P6431" s="2"/>
      <c r="Q6431" s="2" t="s">
        <v>42628</v>
      </c>
      <c r="R6431" s="2" t="s">
        <v>42629</v>
      </c>
      <c r="S6431" s="2" t="s">
        <v>50</v>
      </c>
      <c r="T6431" s="2" t="s">
        <v>201</v>
      </c>
      <c r="U6431" s="2" t="s">
        <v>202</v>
      </c>
      <c r="V6431" s="2" t="s">
        <v>59</v>
      </c>
      <c r="W6431" s="2">
        <v>38.299999999999997</v>
      </c>
      <c r="X6431" s="2">
        <v>0</v>
      </c>
      <c r="Y6431" s="2" t="s">
        <v>323</v>
      </c>
      <c r="Z6431" s="2" t="s">
        <v>42630</v>
      </c>
      <c r="AA6431" s="2">
        <v>-0.78608894507518801</v>
      </c>
      <c r="AB6431" s="2">
        <v>2.9626508319759499E-2</v>
      </c>
      <c r="AC6431" s="2">
        <v>8061.6610190807096</v>
      </c>
      <c r="AD6431" s="2">
        <v>8443.5882598543594</v>
      </c>
      <c r="AE6431" s="2">
        <v>5653.1685580251296</v>
      </c>
      <c r="AF6431" s="2">
        <v>8842.1635239492407</v>
      </c>
      <c r="AG6431" s="2">
        <v>5702.9856868863499</v>
      </c>
      <c r="AH6431" s="2">
        <v>9611.4479715322304</v>
      </c>
      <c r="AI6431" s="2">
        <v>10086.243958163401</v>
      </c>
      <c r="AJ6431" s="2">
        <v>8473.9564159278907</v>
      </c>
      <c r="AK6431" s="2">
        <v>9011.5169452500195</v>
      </c>
      <c r="AL6431" s="2">
        <v>7983.1353541647504</v>
      </c>
      <c r="AM6431" s="2">
        <v>7939.2983454699897</v>
      </c>
      <c r="AN6431" s="2">
        <v>9120.5233876240509</v>
      </c>
      <c r="AO6431" s="2">
        <v>7093.4674061776896</v>
      </c>
      <c r="AP6431" s="2">
        <v>9513.5881204396701</v>
      </c>
    </row>
    <row r="6432" spans="1:42" ht="14.5" x14ac:dyDescent="0.35">
      <c r="A6432" s="2" t="s">
        <v>42631</v>
      </c>
      <c r="B6432" s="2">
        <v>256.26324518748402</v>
      </c>
      <c r="C6432" s="2">
        <v>8.8208500000000001</v>
      </c>
      <c r="D6432" s="2" t="s">
        <v>34</v>
      </c>
      <c r="E6432" s="2" t="s">
        <v>42632</v>
      </c>
      <c r="F6432" s="2">
        <v>58255</v>
      </c>
      <c r="G6432" s="3" t="str">
        <f>HYPERLINK("http://funmeta.oebiotech.com/network/58255", "http://funmeta.oebiotech.com/network/58255")</f>
        <v>http://funmeta.oebiotech.com/network/58255</v>
      </c>
      <c r="H6432" s="2" t="s">
        <v>42633</v>
      </c>
      <c r="I6432" s="2">
        <v>89760</v>
      </c>
      <c r="J6432" s="2"/>
      <c r="K6432" s="2"/>
      <c r="L6432" s="2"/>
      <c r="M6432" s="2"/>
      <c r="N6432" s="2"/>
      <c r="O6432" s="2">
        <v>10947</v>
      </c>
      <c r="P6432" s="2" t="s">
        <v>42634</v>
      </c>
      <c r="Q6432" s="2" t="s">
        <v>42635</v>
      </c>
      <c r="R6432" s="2" t="s">
        <v>42636</v>
      </c>
      <c r="S6432" s="2" t="s">
        <v>79</v>
      </c>
      <c r="T6432" s="2" t="s">
        <v>80</v>
      </c>
      <c r="U6432" s="2" t="s">
        <v>2820</v>
      </c>
      <c r="V6432" s="2" t="s">
        <v>59</v>
      </c>
      <c r="W6432" s="2">
        <v>45.7</v>
      </c>
      <c r="X6432" s="2">
        <v>32.1</v>
      </c>
      <c r="Y6432" s="2" t="s">
        <v>43</v>
      </c>
      <c r="Z6432" s="2" t="s">
        <v>26531</v>
      </c>
      <c r="AA6432" s="2">
        <v>-1.0322987086473701</v>
      </c>
      <c r="AB6432" s="2">
        <v>2.95913283410809E-2</v>
      </c>
      <c r="AC6432" s="2">
        <v>123179.649648997</v>
      </c>
      <c r="AD6432" s="2">
        <v>121999.59479925199</v>
      </c>
      <c r="AE6432" s="2">
        <v>115181.95994406901</v>
      </c>
      <c r="AF6432" s="2">
        <v>120076.233403252</v>
      </c>
      <c r="AG6432" s="2">
        <v>113412.929673206</v>
      </c>
      <c r="AH6432" s="2">
        <v>128683.75872664699</v>
      </c>
      <c r="AI6432" s="2">
        <v>146407.27921526899</v>
      </c>
      <c r="AJ6432" s="2">
        <v>115315.73693154199</v>
      </c>
      <c r="AK6432" s="2">
        <v>123925.261259336</v>
      </c>
      <c r="AL6432" s="2">
        <v>134464.850970094</v>
      </c>
      <c r="AM6432" s="2">
        <v>124522.73272200501</v>
      </c>
      <c r="AN6432" s="2">
        <v>117908.31599983299</v>
      </c>
      <c r="AO6432" s="2">
        <v>114170.111575106</v>
      </c>
      <c r="AP6432" s="2">
        <v>117006.296269136</v>
      </c>
    </row>
    <row r="6433" spans="1:42" ht="14.5" x14ac:dyDescent="0.35">
      <c r="A6433" s="2" t="s">
        <v>42637</v>
      </c>
      <c r="B6433" s="2">
        <v>496.36026453781</v>
      </c>
      <c r="C6433" s="2">
        <v>11.004099999999999</v>
      </c>
      <c r="D6433" s="2" t="s">
        <v>34</v>
      </c>
      <c r="E6433" s="2" t="s">
        <v>42638</v>
      </c>
      <c r="F6433" s="2">
        <v>18118</v>
      </c>
      <c r="G6433" s="3" t="str">
        <f>HYPERLINK("http://funmeta.oebiotech.com/network/18118", "http://funmeta.oebiotech.com/network/18118")</f>
        <v>http://funmeta.oebiotech.com/network/18118</v>
      </c>
      <c r="H6433" s="2"/>
      <c r="I6433" s="2"/>
      <c r="J6433" s="2" t="s">
        <v>42639</v>
      </c>
      <c r="K6433" s="2"/>
      <c r="L6433" s="2"/>
      <c r="M6433" s="2"/>
      <c r="N6433" s="2"/>
      <c r="O6433" s="2"/>
      <c r="P6433" s="2"/>
      <c r="Q6433" s="2" t="s">
        <v>42640</v>
      </c>
      <c r="R6433" s="2" t="s">
        <v>42641</v>
      </c>
      <c r="S6433" s="2" t="s">
        <v>89</v>
      </c>
      <c r="T6433" s="2" t="s">
        <v>90</v>
      </c>
      <c r="U6433" s="2" t="s">
        <v>99</v>
      </c>
      <c r="V6433" s="2" t="s">
        <v>59</v>
      </c>
      <c r="W6433" s="2">
        <v>36.4</v>
      </c>
      <c r="X6433" s="2">
        <v>0</v>
      </c>
      <c r="Y6433" s="2" t="s">
        <v>323</v>
      </c>
      <c r="Z6433" s="2" t="s">
        <v>42642</v>
      </c>
      <c r="AA6433" s="2">
        <v>-1.25588411338252</v>
      </c>
      <c r="AB6433" s="2">
        <v>2.95037685316255E-2</v>
      </c>
      <c r="AC6433" s="2">
        <v>1084.6324869745099</v>
      </c>
      <c r="AD6433" s="2">
        <v>1239.0962075231801</v>
      </c>
      <c r="AE6433" s="2">
        <v>1292.9834946411199</v>
      </c>
      <c r="AF6433" s="2">
        <v>1207.4610405573801</v>
      </c>
      <c r="AG6433" s="2">
        <v>1098.25760018852</v>
      </c>
      <c r="AH6433" s="2">
        <v>1049.96854588823</v>
      </c>
      <c r="AI6433" s="2">
        <v>617.11549449685197</v>
      </c>
      <c r="AJ6433" s="2">
        <v>1242.0087460749501</v>
      </c>
      <c r="AK6433" s="2">
        <v>1421.3329898725301</v>
      </c>
      <c r="AL6433" s="2">
        <v>1176.6193582376</v>
      </c>
      <c r="AM6433" s="2">
        <v>1163.1581646971099</v>
      </c>
      <c r="AN6433" s="2">
        <v>1429.8084552601799</v>
      </c>
      <c r="AO6433" s="2">
        <v>1093.1756200848699</v>
      </c>
      <c r="AP6433" s="2">
        <v>1150.4826569867901</v>
      </c>
    </row>
    <row r="6434" spans="1:42" ht="14.5" x14ac:dyDescent="0.35">
      <c r="A6434" s="2" t="s">
        <v>42643</v>
      </c>
      <c r="B6434" s="2">
        <v>313.12890797760002</v>
      </c>
      <c r="C6434" s="2">
        <v>4.84418333333333</v>
      </c>
      <c r="D6434" s="2" t="s">
        <v>70</v>
      </c>
      <c r="E6434" s="2" t="s">
        <v>42644</v>
      </c>
      <c r="F6434" s="2">
        <v>62258</v>
      </c>
      <c r="G6434" s="3" t="str">
        <f>HYPERLINK("http://funmeta.oebiotech.com/network/62258", "http://funmeta.oebiotech.com/network/62258")</f>
        <v>http://funmeta.oebiotech.com/network/62258</v>
      </c>
      <c r="H6434" s="2" t="s">
        <v>42645</v>
      </c>
      <c r="I6434" s="2">
        <v>93546</v>
      </c>
      <c r="J6434" s="2"/>
      <c r="K6434" s="2">
        <v>169469</v>
      </c>
      <c r="L6434" s="2"/>
      <c r="M6434" s="2"/>
      <c r="N6434" s="2"/>
      <c r="O6434" s="2">
        <v>85086233</v>
      </c>
      <c r="P6434" s="2" t="s">
        <v>42646</v>
      </c>
      <c r="Q6434" s="2" t="s">
        <v>42647</v>
      </c>
      <c r="R6434" s="2" t="s">
        <v>42648</v>
      </c>
      <c r="S6434" s="2" t="s">
        <v>79</v>
      </c>
      <c r="T6434" s="2" t="s">
        <v>80</v>
      </c>
      <c r="U6434" s="2" t="s">
        <v>249</v>
      </c>
      <c r="V6434" s="2" t="s">
        <v>59</v>
      </c>
      <c r="W6434" s="2">
        <v>43.1</v>
      </c>
      <c r="X6434" s="2">
        <v>22.5</v>
      </c>
      <c r="Y6434" s="2" t="s">
        <v>408</v>
      </c>
      <c r="Z6434" s="2" t="s">
        <v>42649</v>
      </c>
      <c r="AA6434" s="2">
        <v>-1.3748186473506401</v>
      </c>
      <c r="AB6434" s="2">
        <v>2.9473780274794598E-2</v>
      </c>
      <c r="AC6434" s="2">
        <v>792.88039517964603</v>
      </c>
      <c r="AD6434" s="2">
        <v>612.28016551699</v>
      </c>
      <c r="AE6434" s="2">
        <v>989.30592925219605</v>
      </c>
      <c r="AF6434" s="2">
        <v>770.01806910907601</v>
      </c>
      <c r="AG6434" s="2">
        <v>1153.96974084216</v>
      </c>
      <c r="AH6434" s="2">
        <v>285.26927236969198</v>
      </c>
      <c r="AI6434" s="2">
        <v>997.01488375594897</v>
      </c>
      <c r="AJ6434" s="2">
        <v>561.70447574880404</v>
      </c>
      <c r="AK6434" s="2">
        <v>848.434712336404</v>
      </c>
      <c r="AL6434" s="2">
        <v>821.83088345671501</v>
      </c>
      <c r="AM6434" s="2">
        <v>296.95800418570298</v>
      </c>
      <c r="AN6434" s="2">
        <v>649.23166509335397</v>
      </c>
      <c r="AO6434" s="2">
        <v>809.04938140386798</v>
      </c>
      <c r="AP6434" s="2">
        <v>248.176346625897</v>
      </c>
    </row>
    <row r="6435" spans="1:42" ht="14.5" x14ac:dyDescent="0.35">
      <c r="A6435" s="2" t="s">
        <v>42650</v>
      </c>
      <c r="B6435" s="2">
        <v>169.049609054787</v>
      </c>
      <c r="C6435" s="2">
        <v>3.5591666666666701</v>
      </c>
      <c r="D6435" s="2" t="s">
        <v>70</v>
      </c>
      <c r="E6435" s="2" t="s">
        <v>42651</v>
      </c>
      <c r="F6435" s="2">
        <v>289892</v>
      </c>
      <c r="G6435" s="3" t="str">
        <f>HYPERLINK("http://funmeta.oebiotech.com/network/289892", "http://funmeta.oebiotech.com/network/289892")</f>
        <v>http://funmeta.oebiotech.com/network/289892</v>
      </c>
      <c r="H6435" s="2"/>
      <c r="I6435" s="2">
        <v>985157</v>
      </c>
      <c r="J6435" s="2"/>
      <c r="K6435" s="2"/>
      <c r="L6435" s="2"/>
      <c r="M6435" s="2"/>
      <c r="N6435" s="2"/>
      <c r="O6435" s="2">
        <v>10773951</v>
      </c>
      <c r="P6435" s="2"/>
      <c r="Q6435" s="2" t="s">
        <v>42652</v>
      </c>
      <c r="R6435" s="2" t="s">
        <v>42653</v>
      </c>
      <c r="S6435" s="2" t="s">
        <v>79</v>
      </c>
      <c r="T6435" s="2" t="s">
        <v>80</v>
      </c>
      <c r="U6435" s="2" t="s">
        <v>2021</v>
      </c>
      <c r="V6435" s="2" t="s">
        <v>59</v>
      </c>
      <c r="W6435" s="2">
        <v>38.200000000000003</v>
      </c>
      <c r="X6435" s="2">
        <v>0</v>
      </c>
      <c r="Y6435" s="2" t="s">
        <v>751</v>
      </c>
      <c r="Z6435" s="2" t="s">
        <v>42654</v>
      </c>
      <c r="AA6435" s="2">
        <v>-5.4411450983713996</v>
      </c>
      <c r="AB6435" s="2">
        <v>2.9428272321295499E-2</v>
      </c>
      <c r="AC6435" s="2">
        <v>661.28503338743405</v>
      </c>
      <c r="AD6435" s="2">
        <v>740.75632579172202</v>
      </c>
      <c r="AE6435" s="2">
        <v>720.48969898359906</v>
      </c>
      <c r="AF6435" s="2">
        <v>624.32577910571399</v>
      </c>
      <c r="AG6435" s="2">
        <v>654.75539489870096</v>
      </c>
      <c r="AH6435" s="2">
        <v>688.79037731116796</v>
      </c>
      <c r="AI6435" s="2">
        <v>616.76986863577702</v>
      </c>
      <c r="AJ6435" s="2">
        <v>662.57908138964399</v>
      </c>
      <c r="AK6435" s="2">
        <v>799.41890152527196</v>
      </c>
      <c r="AL6435" s="2">
        <v>787.49612018173605</v>
      </c>
      <c r="AM6435" s="2">
        <v>725.94840366963501</v>
      </c>
      <c r="AN6435" s="2">
        <v>717.38408505068401</v>
      </c>
      <c r="AO6435" s="2">
        <v>728.960160887592</v>
      </c>
      <c r="AP6435" s="2">
        <v>685.33028343541105</v>
      </c>
    </row>
    <row r="6436" spans="1:42" ht="14.5" x14ac:dyDescent="0.35">
      <c r="A6436" s="2" t="s">
        <v>42655</v>
      </c>
      <c r="B6436" s="2">
        <v>344.95521085177501</v>
      </c>
      <c r="C6436" s="2">
        <v>1.22268333333333</v>
      </c>
      <c r="D6436" s="2" t="s">
        <v>70</v>
      </c>
      <c r="E6436" s="2" t="s">
        <v>42656</v>
      </c>
      <c r="F6436" s="2">
        <v>203765</v>
      </c>
      <c r="G6436" s="3" t="str">
        <f>HYPERLINK("http://funmeta.oebiotech.com/network/203765", "http://funmeta.oebiotech.com/network/203765")</f>
        <v>http://funmeta.oebiotech.com/network/203765</v>
      </c>
      <c r="H6436" s="2" t="s">
        <v>42657</v>
      </c>
      <c r="I6436" s="2">
        <v>427150</v>
      </c>
      <c r="J6436" s="2"/>
      <c r="K6436" s="2"/>
      <c r="L6436" s="2"/>
      <c r="M6436" s="2"/>
      <c r="N6436" s="2"/>
      <c r="O6436" s="2">
        <v>188920</v>
      </c>
      <c r="P6436" s="2"/>
      <c r="Q6436" s="2" t="s">
        <v>42658</v>
      </c>
      <c r="R6436" s="2" t="s">
        <v>42659</v>
      </c>
      <c r="S6436" s="2" t="s">
        <v>41</v>
      </c>
      <c r="T6436" s="2" t="s">
        <v>41</v>
      </c>
      <c r="U6436" s="2" t="s">
        <v>41</v>
      </c>
      <c r="V6436" s="2" t="s">
        <v>59</v>
      </c>
      <c r="W6436" s="2">
        <v>36.4</v>
      </c>
      <c r="X6436" s="2">
        <v>0</v>
      </c>
      <c r="Y6436" s="2" t="s">
        <v>751</v>
      </c>
      <c r="Z6436" s="2" t="s">
        <v>42660</v>
      </c>
      <c r="AA6436" s="2">
        <v>-2.9766804552750998</v>
      </c>
      <c r="AB6436" s="2">
        <v>2.9365504903660002E-2</v>
      </c>
      <c r="AC6436" s="2">
        <v>863.10580805187396</v>
      </c>
      <c r="AD6436" s="2">
        <v>714.27556228522894</v>
      </c>
      <c r="AE6436" s="2">
        <v>1037.6113331020099</v>
      </c>
      <c r="AF6436" s="2">
        <v>597.40345730800902</v>
      </c>
      <c r="AG6436" s="2">
        <v>867.11319867724399</v>
      </c>
      <c r="AH6436" s="2">
        <v>907.25187318405995</v>
      </c>
      <c r="AI6436" s="2">
        <v>1048.97595985106</v>
      </c>
      <c r="AJ6436" s="2">
        <v>720.27902618885901</v>
      </c>
      <c r="AK6436" s="2">
        <v>738.41593108124198</v>
      </c>
      <c r="AL6436" s="2">
        <v>609.85660702970301</v>
      </c>
      <c r="AM6436" s="2">
        <v>1025.97267849684</v>
      </c>
      <c r="AN6436" s="2">
        <v>511.73546737737502</v>
      </c>
      <c r="AO6436" s="2">
        <v>513.83183762911801</v>
      </c>
      <c r="AP6436" s="2">
        <v>885.84085209709497</v>
      </c>
    </row>
    <row r="6437" spans="1:42" ht="14.5" x14ac:dyDescent="0.35">
      <c r="A6437" s="2" t="s">
        <v>42661</v>
      </c>
      <c r="B6437" s="2">
        <v>357.10897746784798</v>
      </c>
      <c r="C6437" s="2">
        <v>2.64076666666667</v>
      </c>
      <c r="D6437" s="2" t="s">
        <v>70</v>
      </c>
      <c r="E6437" s="2" t="s">
        <v>42662</v>
      </c>
      <c r="F6437" s="2">
        <v>47175</v>
      </c>
      <c r="G6437" s="3" t="str">
        <f>HYPERLINK("http://funmeta.oebiotech.com/network/47175", "http://funmeta.oebiotech.com/network/47175")</f>
        <v>http://funmeta.oebiotech.com/network/47175</v>
      </c>
      <c r="H6437" s="2" t="s">
        <v>42663</v>
      </c>
      <c r="I6437" s="2">
        <v>1301</v>
      </c>
      <c r="J6437" s="2"/>
      <c r="K6437" s="2">
        <v>18089</v>
      </c>
      <c r="L6437" s="2" t="s">
        <v>42664</v>
      </c>
      <c r="M6437" s="2" t="s">
        <v>33275</v>
      </c>
      <c r="N6437" s="2" t="s">
        <v>33276</v>
      </c>
      <c r="O6437" s="2">
        <v>464</v>
      </c>
      <c r="P6437" s="2" t="s">
        <v>42665</v>
      </c>
      <c r="Q6437" s="2" t="s">
        <v>42666</v>
      </c>
      <c r="R6437" s="2" t="s">
        <v>42667</v>
      </c>
      <c r="S6437" s="2" t="s">
        <v>148</v>
      </c>
      <c r="T6437" s="2" t="s">
        <v>149</v>
      </c>
      <c r="U6437" s="2" t="s">
        <v>1593</v>
      </c>
      <c r="V6437" s="2" t="s">
        <v>59</v>
      </c>
      <c r="W6437" s="2">
        <v>37.9</v>
      </c>
      <c r="X6437" s="2">
        <v>0</v>
      </c>
      <c r="Y6437" s="2" t="s">
        <v>560</v>
      </c>
      <c r="Z6437" s="2" t="s">
        <v>42668</v>
      </c>
      <c r="AA6437" s="2">
        <v>-0.64896306453241004</v>
      </c>
      <c r="AB6437" s="2">
        <v>2.9270943986273099E-2</v>
      </c>
      <c r="AC6437" s="2">
        <v>2068.4350128453598</v>
      </c>
      <c r="AD6437" s="2">
        <v>1936.75659579239</v>
      </c>
      <c r="AE6437" s="2">
        <v>2080.1135521142</v>
      </c>
      <c r="AF6437" s="2">
        <v>1975.9363038312099</v>
      </c>
      <c r="AG6437" s="2">
        <v>2039.44491079522</v>
      </c>
      <c r="AH6437" s="2">
        <v>2045.6343096292801</v>
      </c>
      <c r="AI6437" s="2">
        <v>2059.1841840320799</v>
      </c>
      <c r="AJ6437" s="2">
        <v>2210.2968166701999</v>
      </c>
      <c r="AK6437" s="2">
        <v>1773.9582191543</v>
      </c>
      <c r="AL6437" s="2">
        <v>1617.70836176271</v>
      </c>
      <c r="AM6437" s="2">
        <v>2009.46044664841</v>
      </c>
      <c r="AN6437" s="2">
        <v>2100.8242859485299</v>
      </c>
      <c r="AO6437" s="2">
        <v>2049.7806516247301</v>
      </c>
      <c r="AP6437" s="2">
        <v>2068.8076096156801</v>
      </c>
    </row>
    <row r="6438" spans="1:42" ht="14.5" x14ac:dyDescent="0.35">
      <c r="A6438" s="2" t="s">
        <v>42669</v>
      </c>
      <c r="B6438" s="2">
        <v>711.24543673545702</v>
      </c>
      <c r="C6438" s="2">
        <v>3.9884499999999998</v>
      </c>
      <c r="D6438" s="2" t="s">
        <v>70</v>
      </c>
      <c r="E6438" s="2" t="s">
        <v>42670</v>
      </c>
      <c r="F6438" s="2">
        <v>266572</v>
      </c>
      <c r="G6438" s="3" t="str">
        <f>HYPERLINK("http://funmeta.oebiotech.com/network/266572", "http://funmeta.oebiotech.com/network/266572")</f>
        <v>http://funmeta.oebiotech.com/network/266572</v>
      </c>
      <c r="H6438" s="2"/>
      <c r="I6438" s="2">
        <v>43610</v>
      </c>
      <c r="J6438" s="2"/>
      <c r="K6438" s="2"/>
      <c r="L6438" s="2"/>
      <c r="M6438" s="2"/>
      <c r="N6438" s="2"/>
      <c r="O6438" s="2">
        <v>6708755</v>
      </c>
      <c r="P6438" s="2"/>
      <c r="Q6438" s="2" t="s">
        <v>42671</v>
      </c>
      <c r="R6438" s="2" t="s">
        <v>42672</v>
      </c>
      <c r="S6438" s="2" t="s">
        <v>115</v>
      </c>
      <c r="T6438" s="2" t="s">
        <v>17642</v>
      </c>
      <c r="U6438" s="2" t="s">
        <v>17643</v>
      </c>
      <c r="V6438" s="2" t="s">
        <v>59</v>
      </c>
      <c r="W6438" s="2">
        <v>39</v>
      </c>
      <c r="X6438" s="2">
        <v>0</v>
      </c>
      <c r="Y6438" s="2" t="s">
        <v>560</v>
      </c>
      <c r="Z6438" s="2" t="s">
        <v>1951</v>
      </c>
      <c r="AA6438" s="2">
        <v>1.0339738755949801</v>
      </c>
      <c r="AB6438" s="2">
        <v>2.9245878855705301E-2</v>
      </c>
      <c r="AC6438" s="2">
        <v>2855.9183220672699</v>
      </c>
      <c r="AD6438" s="2">
        <v>2627.6851351526602</v>
      </c>
      <c r="AE6438" s="2">
        <v>1965.92997881462</v>
      </c>
      <c r="AF6438" s="2">
        <v>3515.3251668773801</v>
      </c>
      <c r="AG6438" s="2">
        <v>3617.4550942517799</v>
      </c>
      <c r="AH6438" s="2">
        <v>2319.7160337354699</v>
      </c>
      <c r="AI6438" s="2">
        <v>3101.5652076664101</v>
      </c>
      <c r="AJ6438" s="2">
        <v>2615.5184510579602</v>
      </c>
      <c r="AK6438" s="2">
        <v>2639.3311212950298</v>
      </c>
      <c r="AL6438" s="2">
        <v>2890.8561940521699</v>
      </c>
      <c r="AM6438" s="2">
        <v>2279.6870521962801</v>
      </c>
      <c r="AN6438" s="2">
        <v>2430.2456676199099</v>
      </c>
      <c r="AO6438" s="2">
        <v>2640.6781281654899</v>
      </c>
      <c r="AP6438" s="2">
        <v>2885.3126475870799</v>
      </c>
    </row>
    <row r="6439" spans="1:42" ht="14.5" x14ac:dyDescent="0.35">
      <c r="A6439" s="2" t="s">
        <v>42673</v>
      </c>
      <c r="B6439" s="2">
        <v>775.337671028405</v>
      </c>
      <c r="C6439" s="2">
        <v>6.0297833333333299</v>
      </c>
      <c r="D6439" s="2" t="s">
        <v>70</v>
      </c>
      <c r="E6439" s="2" t="s">
        <v>42674</v>
      </c>
      <c r="F6439" s="2">
        <v>212606</v>
      </c>
      <c r="G6439" s="3" t="str">
        <f>HYPERLINK("http://funmeta.oebiotech.com/network/212606", "http://funmeta.oebiotech.com/network/212606")</f>
        <v>http://funmeta.oebiotech.com/network/212606</v>
      </c>
      <c r="H6439" s="2" t="s">
        <v>42675</v>
      </c>
      <c r="I6439" s="2"/>
      <c r="J6439" s="2"/>
      <c r="K6439" s="2"/>
      <c r="L6439" s="2"/>
      <c r="M6439" s="2"/>
      <c r="N6439" s="2"/>
      <c r="O6439" s="2"/>
      <c r="P6439" s="2"/>
      <c r="Q6439" s="2" t="s">
        <v>42676</v>
      </c>
      <c r="R6439" s="2" t="s">
        <v>42677</v>
      </c>
      <c r="S6439" s="2" t="s">
        <v>41</v>
      </c>
      <c r="T6439" s="2" t="s">
        <v>41</v>
      </c>
      <c r="U6439" s="2" t="s">
        <v>41</v>
      </c>
      <c r="V6439" s="2" t="s">
        <v>59</v>
      </c>
      <c r="W6439" s="2">
        <v>39.200000000000003</v>
      </c>
      <c r="X6439" s="2">
        <v>0</v>
      </c>
      <c r="Y6439" s="2" t="s">
        <v>560</v>
      </c>
      <c r="Z6439" s="2" t="s">
        <v>42678</v>
      </c>
      <c r="AA6439" s="2">
        <v>0.64006308683227198</v>
      </c>
      <c r="AB6439" s="2">
        <v>2.9153058276390399E-2</v>
      </c>
      <c r="AC6439" s="2">
        <v>5462.9779167532097</v>
      </c>
      <c r="AD6439" s="2">
        <v>5770.8973461490204</v>
      </c>
      <c r="AE6439" s="2">
        <v>5818.1066636127198</v>
      </c>
      <c r="AF6439" s="2">
        <v>6208.6722702909401</v>
      </c>
      <c r="AG6439" s="2">
        <v>5895.6295151696504</v>
      </c>
      <c r="AH6439" s="2">
        <v>4124.6831594489604</v>
      </c>
      <c r="AI6439" s="2">
        <v>5486.0407381897103</v>
      </c>
      <c r="AJ6439" s="2">
        <v>5244.7351538072699</v>
      </c>
      <c r="AK6439" s="2">
        <v>4964.1909721289203</v>
      </c>
      <c r="AL6439" s="2">
        <v>6130.7343098197098</v>
      </c>
      <c r="AM6439" s="2">
        <v>6546.1220927090999</v>
      </c>
      <c r="AN6439" s="2">
        <v>4749.1271922265896</v>
      </c>
      <c r="AO6439" s="2">
        <v>5017.2899308451597</v>
      </c>
      <c r="AP6439" s="2">
        <v>7217.9195791646398</v>
      </c>
    </row>
    <row r="6440" spans="1:42" ht="14.5" x14ac:dyDescent="0.35">
      <c r="A6440" s="2" t="s">
        <v>42679</v>
      </c>
      <c r="B6440" s="2">
        <v>688.232453921162</v>
      </c>
      <c r="C6440" s="2">
        <v>4.6304499999999997</v>
      </c>
      <c r="D6440" s="2" t="s">
        <v>70</v>
      </c>
      <c r="E6440" s="2" t="s">
        <v>42680</v>
      </c>
      <c r="F6440" s="2">
        <v>48765</v>
      </c>
      <c r="G6440" s="3" t="str">
        <f>HYPERLINK("http://funmeta.oebiotech.com/network/48765", "http://funmeta.oebiotech.com/network/48765")</f>
        <v>http://funmeta.oebiotech.com/network/48765</v>
      </c>
      <c r="H6440" s="2" t="s">
        <v>42681</v>
      </c>
      <c r="I6440" s="2">
        <v>58451</v>
      </c>
      <c r="J6440" s="2"/>
      <c r="K6440" s="2"/>
      <c r="L6440" s="2"/>
      <c r="M6440" s="2"/>
      <c r="N6440" s="2"/>
      <c r="O6440" s="2">
        <v>53477854</v>
      </c>
      <c r="P6440" s="2"/>
      <c r="Q6440" s="2" t="s">
        <v>42682</v>
      </c>
      <c r="R6440" s="2" t="s">
        <v>42683</v>
      </c>
      <c r="S6440" s="2" t="s">
        <v>79</v>
      </c>
      <c r="T6440" s="2" t="s">
        <v>80</v>
      </c>
      <c r="U6440" s="2" t="s">
        <v>81</v>
      </c>
      <c r="V6440" s="2" t="s">
        <v>59</v>
      </c>
      <c r="W6440" s="2">
        <v>36</v>
      </c>
      <c r="X6440" s="2">
        <v>0</v>
      </c>
      <c r="Y6440" s="2" t="s">
        <v>751</v>
      </c>
      <c r="Z6440" s="2" t="s">
        <v>42684</v>
      </c>
      <c r="AA6440" s="2">
        <v>2.6689101490728202</v>
      </c>
      <c r="AB6440" s="2">
        <v>2.9150504105475501E-2</v>
      </c>
      <c r="AC6440" s="2">
        <v>4001.83248784425</v>
      </c>
      <c r="AD6440" s="2">
        <v>4391.2045126692701</v>
      </c>
      <c r="AE6440" s="2">
        <v>3271.0952758707099</v>
      </c>
      <c r="AF6440" s="2">
        <v>3581.6105914816599</v>
      </c>
      <c r="AG6440" s="2">
        <v>2883.1240987332399</v>
      </c>
      <c r="AH6440" s="2">
        <v>3691.2850568618401</v>
      </c>
      <c r="AI6440" s="2">
        <v>3832.0365405258999</v>
      </c>
      <c r="AJ6440" s="2">
        <v>6751.8433635921701</v>
      </c>
      <c r="AK6440" s="2">
        <v>5366.3059253235397</v>
      </c>
      <c r="AL6440" s="2">
        <v>5271.4323494036098</v>
      </c>
      <c r="AM6440" s="2">
        <v>2801.0125029834398</v>
      </c>
      <c r="AN6440" s="2">
        <v>6552.82653721307</v>
      </c>
      <c r="AO6440" s="2">
        <v>2616.2580249902398</v>
      </c>
      <c r="AP6440" s="2">
        <v>3739.3917361017202</v>
      </c>
    </row>
    <row r="6441" spans="1:42" ht="14.5" x14ac:dyDescent="0.35">
      <c r="A6441" s="2" t="s">
        <v>42685</v>
      </c>
      <c r="B6441" s="2">
        <v>463.24672043548497</v>
      </c>
      <c r="C6441" s="2">
        <v>9.1675166666666694</v>
      </c>
      <c r="D6441" s="2" t="s">
        <v>70</v>
      </c>
      <c r="E6441" s="2" t="s">
        <v>42686</v>
      </c>
      <c r="F6441" s="2">
        <v>48977</v>
      </c>
      <c r="G6441" s="3" t="str">
        <f>HYPERLINK("http://funmeta.oebiotech.com/network/48977", "http://funmeta.oebiotech.com/network/48977")</f>
        <v>http://funmeta.oebiotech.com/network/48977</v>
      </c>
      <c r="H6441" s="2" t="s">
        <v>42687</v>
      </c>
      <c r="I6441" s="2">
        <v>58640</v>
      </c>
      <c r="J6441" s="2"/>
      <c r="K6441" s="2"/>
      <c r="L6441" s="2"/>
      <c r="M6441" s="2"/>
      <c r="N6441" s="2"/>
      <c r="O6441" s="2">
        <v>53477946</v>
      </c>
      <c r="P6441" s="2"/>
      <c r="Q6441" s="2" t="s">
        <v>42688</v>
      </c>
      <c r="R6441" s="2" t="s">
        <v>42689</v>
      </c>
      <c r="S6441" s="2" t="s">
        <v>50</v>
      </c>
      <c r="T6441" s="2" t="s">
        <v>51</v>
      </c>
      <c r="U6441" s="2" t="s">
        <v>273</v>
      </c>
      <c r="V6441" s="2" t="s">
        <v>59</v>
      </c>
      <c r="W6441" s="2">
        <v>37.799999999999997</v>
      </c>
      <c r="X6441" s="2">
        <v>0</v>
      </c>
      <c r="Y6441" s="2" t="s">
        <v>408</v>
      </c>
      <c r="Z6441" s="2" t="s">
        <v>42690</v>
      </c>
      <c r="AA6441" s="2">
        <v>0.21988700756544899</v>
      </c>
      <c r="AB6441" s="2">
        <v>2.9109402762486102E-2</v>
      </c>
      <c r="AC6441" s="2">
        <v>77.082639257522501</v>
      </c>
      <c r="AD6441" s="2">
        <v>1.1045371740221701</v>
      </c>
      <c r="AE6441" s="2">
        <v>7.5522130870205402</v>
      </c>
      <c r="AF6441" s="2">
        <v>10.8483201348504</v>
      </c>
      <c r="AG6441" s="2">
        <v>112.794174091825</v>
      </c>
      <c r="AH6441" s="2">
        <v>120.30669923895501</v>
      </c>
      <c r="AI6441" s="2">
        <v>118.916282250347</v>
      </c>
      <c r="AJ6441" s="2">
        <v>92.078146742137207</v>
      </c>
      <c r="AK6441" s="2">
        <v>2.7106294003980101E-5</v>
      </c>
      <c r="AL6441" s="2">
        <v>6.6270875126630102</v>
      </c>
      <c r="AM6441" s="2">
        <v>2.7106294003980101E-5</v>
      </c>
      <c r="AN6441" s="2">
        <v>2.7106294003980101E-5</v>
      </c>
      <c r="AO6441" s="2">
        <v>2.7106294003980101E-5</v>
      </c>
      <c r="AP6441" s="2">
        <v>2.7106294003980101E-5</v>
      </c>
    </row>
    <row r="6442" spans="1:42" ht="14.5" x14ac:dyDescent="0.35">
      <c r="A6442" s="2" t="s">
        <v>42691</v>
      </c>
      <c r="B6442" s="2">
        <v>401.19539218683599</v>
      </c>
      <c r="C6442" s="2">
        <v>6.2845833333333303</v>
      </c>
      <c r="D6442" s="2" t="s">
        <v>34</v>
      </c>
      <c r="E6442" s="2" t="s">
        <v>42692</v>
      </c>
      <c r="F6442" s="2">
        <v>209397</v>
      </c>
      <c r="G6442" s="3" t="str">
        <f>HYPERLINK("http://funmeta.oebiotech.com/network/209397", "http://funmeta.oebiotech.com/network/209397")</f>
        <v>http://funmeta.oebiotech.com/network/209397</v>
      </c>
      <c r="H6442" s="2" t="s">
        <v>42693</v>
      </c>
      <c r="I6442" s="2"/>
      <c r="J6442" s="2"/>
      <c r="K6442" s="2"/>
      <c r="L6442" s="2"/>
      <c r="M6442" s="2"/>
      <c r="N6442" s="2"/>
      <c r="O6442" s="2">
        <v>91256568</v>
      </c>
      <c r="P6442" s="2"/>
      <c r="Q6442" s="2" t="s">
        <v>42694</v>
      </c>
      <c r="R6442" s="2" t="s">
        <v>42695</v>
      </c>
      <c r="S6442" s="2" t="s">
        <v>41</v>
      </c>
      <c r="T6442" s="2" t="s">
        <v>41</v>
      </c>
      <c r="U6442" s="2" t="s">
        <v>41</v>
      </c>
      <c r="V6442" s="2" t="s">
        <v>59</v>
      </c>
      <c r="W6442" s="2">
        <v>37.6</v>
      </c>
      <c r="X6442" s="2">
        <v>0</v>
      </c>
      <c r="Y6442" s="2" t="s">
        <v>1115</v>
      </c>
      <c r="Z6442" s="2" t="s">
        <v>42696</v>
      </c>
      <c r="AA6442" s="2">
        <v>1.5743149594588799</v>
      </c>
      <c r="AB6442" s="2">
        <v>2.9108375592934999E-2</v>
      </c>
      <c r="AC6442" s="2">
        <v>11265.7953574644</v>
      </c>
      <c r="AD6442" s="2">
        <v>10900.3998638131</v>
      </c>
      <c r="AE6442" s="2">
        <v>10628.7304867374</v>
      </c>
      <c r="AF6442" s="2">
        <v>9957.2947191598996</v>
      </c>
      <c r="AG6442" s="2">
        <v>12252.3136268544</v>
      </c>
      <c r="AH6442" s="2">
        <v>12976.3232717968</v>
      </c>
      <c r="AI6442" s="2">
        <v>10254.0970068692</v>
      </c>
      <c r="AJ6442" s="2">
        <v>11526.013033368599</v>
      </c>
      <c r="AK6442" s="2">
        <v>9829.8229758436391</v>
      </c>
      <c r="AL6442" s="2">
        <v>9774.27242481947</v>
      </c>
      <c r="AM6442" s="2">
        <v>10252.3562753529</v>
      </c>
      <c r="AN6442" s="2">
        <v>11065.4393375659</v>
      </c>
      <c r="AO6442" s="2">
        <v>10848.199687399399</v>
      </c>
      <c r="AP6442" s="2">
        <v>13632.3084818973</v>
      </c>
    </row>
    <row r="6443" spans="1:42" ht="14.5" x14ac:dyDescent="0.35">
      <c r="A6443" s="2" t="s">
        <v>42697</v>
      </c>
      <c r="B6443" s="2">
        <v>768.27475146924598</v>
      </c>
      <c r="C6443" s="2">
        <v>5.9351500000000001</v>
      </c>
      <c r="D6443" s="2" t="s">
        <v>70</v>
      </c>
      <c r="E6443" s="2" t="s">
        <v>42698</v>
      </c>
      <c r="F6443" s="2">
        <v>59753</v>
      </c>
      <c r="G6443" s="3" t="str">
        <f>HYPERLINK("http://funmeta.oebiotech.com/network/59753", "http://funmeta.oebiotech.com/network/59753")</f>
        <v>http://funmeta.oebiotech.com/network/59753</v>
      </c>
      <c r="H6443" s="2" t="s">
        <v>42699</v>
      </c>
      <c r="I6443" s="2">
        <v>91128</v>
      </c>
      <c r="J6443" s="2"/>
      <c r="K6443" s="2"/>
      <c r="L6443" s="2"/>
      <c r="M6443" s="2"/>
      <c r="N6443" s="2"/>
      <c r="O6443" s="2">
        <v>85229371</v>
      </c>
      <c r="P6443" s="2" t="s">
        <v>42700</v>
      </c>
      <c r="Q6443" s="2" t="s">
        <v>42701</v>
      </c>
      <c r="R6443" s="2" t="s">
        <v>42702</v>
      </c>
      <c r="S6443" s="2" t="s">
        <v>79</v>
      </c>
      <c r="T6443" s="2" t="s">
        <v>80</v>
      </c>
      <c r="U6443" s="2" t="s">
        <v>81</v>
      </c>
      <c r="V6443" s="2" t="s">
        <v>59</v>
      </c>
      <c r="W6443" s="2">
        <v>36.4</v>
      </c>
      <c r="X6443" s="2">
        <v>0</v>
      </c>
      <c r="Y6443" s="2" t="s">
        <v>751</v>
      </c>
      <c r="Z6443" s="2" t="s">
        <v>42703</v>
      </c>
      <c r="AA6443" s="2">
        <v>3.4475756016238401</v>
      </c>
      <c r="AB6443" s="2">
        <v>2.9084946515154701E-2</v>
      </c>
      <c r="AC6443" s="2">
        <v>28093.074432302699</v>
      </c>
      <c r="AD6443" s="2">
        <v>27638.767876947899</v>
      </c>
      <c r="AE6443" s="2">
        <v>29918.3284383602</v>
      </c>
      <c r="AF6443" s="2">
        <v>25872.189353113001</v>
      </c>
      <c r="AG6443" s="2">
        <v>32738.261031184298</v>
      </c>
      <c r="AH6443" s="2">
        <v>29042.715050069299</v>
      </c>
      <c r="AI6443" s="2">
        <v>23666.244282363801</v>
      </c>
      <c r="AJ6443" s="2">
        <v>27320.7084387256</v>
      </c>
      <c r="AK6443" s="2">
        <v>27394.413108286</v>
      </c>
      <c r="AL6443" s="2">
        <v>27210.8545345397</v>
      </c>
      <c r="AM6443" s="2">
        <v>28519.103094602699</v>
      </c>
      <c r="AN6443" s="2">
        <v>26763.193194838499</v>
      </c>
      <c r="AO6443" s="2">
        <v>26990.152599063498</v>
      </c>
      <c r="AP6443" s="2">
        <v>28954.890730356899</v>
      </c>
    </row>
    <row r="6444" spans="1:42" ht="14.5" x14ac:dyDescent="0.35">
      <c r="A6444" s="2" t="s">
        <v>42704</v>
      </c>
      <c r="B6444" s="2">
        <v>104.03411834290701</v>
      </c>
      <c r="C6444" s="2">
        <v>4.4793166666666702</v>
      </c>
      <c r="D6444" s="2" t="s">
        <v>34</v>
      </c>
      <c r="E6444" s="2" t="s">
        <v>42705</v>
      </c>
      <c r="F6444" s="2">
        <v>211814</v>
      </c>
      <c r="G6444" s="3" t="str">
        <f>HYPERLINK("http://funmeta.oebiotech.com/network/211814", "http://funmeta.oebiotech.com/network/211814")</f>
        <v>http://funmeta.oebiotech.com/network/211814</v>
      </c>
      <c r="H6444" s="2" t="s">
        <v>42706</v>
      </c>
      <c r="I6444" s="2"/>
      <c r="J6444" s="2"/>
      <c r="K6444" s="2"/>
      <c r="L6444" s="2"/>
      <c r="M6444" s="2"/>
      <c r="N6444" s="2"/>
      <c r="O6444" s="2">
        <v>22345650</v>
      </c>
      <c r="P6444" s="2"/>
      <c r="Q6444" s="2" t="s">
        <v>42707</v>
      </c>
      <c r="R6444" s="2" t="s">
        <v>42708</v>
      </c>
      <c r="S6444" s="2" t="s">
        <v>41</v>
      </c>
      <c r="T6444" s="2" t="s">
        <v>41</v>
      </c>
      <c r="U6444" s="2" t="s">
        <v>41</v>
      </c>
      <c r="V6444" s="2" t="s">
        <v>59</v>
      </c>
      <c r="W6444" s="2">
        <v>36.1</v>
      </c>
      <c r="X6444" s="2">
        <v>0</v>
      </c>
      <c r="Y6444" s="2" t="s">
        <v>141</v>
      </c>
      <c r="Z6444" s="2" t="s">
        <v>42709</v>
      </c>
      <c r="AA6444" s="2">
        <v>-0.83539908478321601</v>
      </c>
      <c r="AB6444" s="2">
        <v>2.9038969954055301E-2</v>
      </c>
      <c r="AC6444" s="2">
        <v>251.02018688945699</v>
      </c>
      <c r="AD6444" s="2">
        <v>356.87444119093499</v>
      </c>
      <c r="AE6444" s="2">
        <v>254.39731290322601</v>
      </c>
      <c r="AF6444" s="2">
        <v>229.985925018622</v>
      </c>
      <c r="AG6444" s="2">
        <v>267.50173320317799</v>
      </c>
      <c r="AH6444" s="2">
        <v>256.15448989478801</v>
      </c>
      <c r="AI6444" s="2">
        <v>299.47701679536198</v>
      </c>
      <c r="AJ6444" s="2">
        <v>198.60464352156501</v>
      </c>
      <c r="AK6444" s="2">
        <v>464.44555845774499</v>
      </c>
      <c r="AL6444" s="2">
        <v>415.69799592897101</v>
      </c>
      <c r="AM6444" s="2">
        <v>258.59515887906701</v>
      </c>
      <c r="AN6444" s="2">
        <v>246.535052781904</v>
      </c>
      <c r="AO6444" s="2">
        <v>230.156214278904</v>
      </c>
      <c r="AP6444" s="2">
        <v>525.81666681902004</v>
      </c>
    </row>
    <row r="6445" spans="1:42" ht="14.5" x14ac:dyDescent="0.35">
      <c r="A6445" s="2" t="s">
        <v>42710</v>
      </c>
      <c r="B6445" s="2">
        <v>615.05244568543799</v>
      </c>
      <c r="C6445" s="2">
        <v>0.92698333333333305</v>
      </c>
      <c r="D6445" s="2" t="s">
        <v>70</v>
      </c>
      <c r="E6445" s="2" t="s">
        <v>42711</v>
      </c>
      <c r="F6445" s="2">
        <v>277957</v>
      </c>
      <c r="G6445" s="3" t="str">
        <f>HYPERLINK("http://funmeta.oebiotech.com/network/277957", "http://funmeta.oebiotech.com/network/277957")</f>
        <v>http://funmeta.oebiotech.com/network/277957</v>
      </c>
      <c r="H6445" s="2"/>
      <c r="I6445" s="2">
        <v>70114</v>
      </c>
      <c r="J6445" s="2"/>
      <c r="K6445" s="2"/>
      <c r="L6445" s="2" t="s">
        <v>42712</v>
      </c>
      <c r="M6445" s="2"/>
      <c r="N6445" s="2"/>
      <c r="O6445" s="2">
        <v>8292</v>
      </c>
      <c r="P6445" s="2" t="s">
        <v>42713</v>
      </c>
      <c r="Q6445" s="2" t="s">
        <v>42714</v>
      </c>
      <c r="R6445" s="2" t="s">
        <v>42715</v>
      </c>
      <c r="S6445" s="2" t="s">
        <v>89</v>
      </c>
      <c r="T6445" s="2" t="s">
        <v>15082</v>
      </c>
      <c r="U6445" s="2" t="s">
        <v>15083</v>
      </c>
      <c r="V6445" s="2" t="s">
        <v>59</v>
      </c>
      <c r="W6445" s="2">
        <v>37.200000000000003</v>
      </c>
      <c r="X6445" s="2">
        <v>0</v>
      </c>
      <c r="Y6445" s="2" t="s">
        <v>560</v>
      </c>
      <c r="Z6445" s="2" t="s">
        <v>42716</v>
      </c>
      <c r="AA6445" s="2">
        <v>-2.35883947992646</v>
      </c>
      <c r="AB6445" s="2">
        <v>2.9018364371268798E-2</v>
      </c>
      <c r="AC6445" s="2">
        <v>6459.0978666328901</v>
      </c>
      <c r="AD6445" s="2">
        <v>6848.7240385979703</v>
      </c>
      <c r="AE6445" s="2">
        <v>5742.2664791728703</v>
      </c>
      <c r="AF6445" s="2">
        <v>6388.0483388267403</v>
      </c>
      <c r="AG6445" s="2">
        <v>7364.8817036169103</v>
      </c>
      <c r="AH6445" s="2">
        <v>7415.2277642522104</v>
      </c>
      <c r="AI6445" s="2">
        <v>6645.3987611072598</v>
      </c>
      <c r="AJ6445" s="2">
        <v>5198.7641528213298</v>
      </c>
      <c r="AK6445" s="2">
        <v>7413.4972718013696</v>
      </c>
      <c r="AL6445" s="2">
        <v>5315.6084770878097</v>
      </c>
      <c r="AM6445" s="2">
        <v>4381.0224229455798</v>
      </c>
      <c r="AN6445" s="2">
        <v>6107.0577554791498</v>
      </c>
      <c r="AO6445" s="2">
        <v>8764.0618759677509</v>
      </c>
      <c r="AP6445" s="2">
        <v>9111.0964283061694</v>
      </c>
    </row>
    <row r="6446" spans="1:42" ht="14.5" x14ac:dyDescent="0.35">
      <c r="A6446" s="2" t="s">
        <v>42717</v>
      </c>
      <c r="B6446" s="2">
        <v>898.57154389593404</v>
      </c>
      <c r="C6446" s="2">
        <v>12.1619166666667</v>
      </c>
      <c r="D6446" s="2" t="s">
        <v>34</v>
      </c>
      <c r="E6446" s="2" t="s">
        <v>42718</v>
      </c>
      <c r="F6446" s="2">
        <v>19093</v>
      </c>
      <c r="G6446" s="3" t="str">
        <f>HYPERLINK("http://funmeta.oebiotech.com/network/19093", "http://funmeta.oebiotech.com/network/19093")</f>
        <v>http://funmeta.oebiotech.com/network/19093</v>
      </c>
      <c r="H6446" s="2" t="s">
        <v>42719</v>
      </c>
      <c r="I6446" s="2">
        <v>59767</v>
      </c>
      <c r="J6446" s="2" t="s">
        <v>42720</v>
      </c>
      <c r="K6446" s="2"/>
      <c r="L6446" s="2" t="s">
        <v>335</v>
      </c>
      <c r="M6446" s="2" t="s">
        <v>336</v>
      </c>
      <c r="N6446" s="2" t="s">
        <v>337</v>
      </c>
      <c r="O6446" s="2">
        <v>52923147</v>
      </c>
      <c r="P6446" s="2"/>
      <c r="Q6446" s="2" t="s">
        <v>42721</v>
      </c>
      <c r="R6446" s="2" t="s">
        <v>42722</v>
      </c>
      <c r="S6446" s="2" t="s">
        <v>50</v>
      </c>
      <c r="T6446" s="2" t="s">
        <v>51</v>
      </c>
      <c r="U6446" s="2" t="s">
        <v>168</v>
      </c>
      <c r="V6446" s="2" t="s">
        <v>59</v>
      </c>
      <c r="W6446" s="2">
        <v>36.200000000000003</v>
      </c>
      <c r="X6446" s="2">
        <v>0</v>
      </c>
      <c r="Y6446" s="2" t="s">
        <v>340</v>
      </c>
      <c r="Z6446" s="2" t="s">
        <v>42723</v>
      </c>
      <c r="AA6446" s="2">
        <v>-0.83704716579842597</v>
      </c>
      <c r="AB6446" s="2">
        <v>2.9003318097008401E-2</v>
      </c>
      <c r="AC6446" s="2">
        <v>23890.841261561902</v>
      </c>
      <c r="AD6446" s="2">
        <v>24372.948350955499</v>
      </c>
      <c r="AE6446" s="2">
        <v>22339.8866158573</v>
      </c>
      <c r="AF6446" s="2">
        <v>21433.0262107774</v>
      </c>
      <c r="AG6446" s="2">
        <v>21122.552617290501</v>
      </c>
      <c r="AH6446" s="2">
        <v>25232.470020367</v>
      </c>
      <c r="AI6446" s="2">
        <v>26103.117001956001</v>
      </c>
      <c r="AJ6446" s="2">
        <v>27113.995103123001</v>
      </c>
      <c r="AK6446" s="2">
        <v>25109.685792345099</v>
      </c>
      <c r="AL6446" s="2">
        <v>19976.432566651602</v>
      </c>
      <c r="AM6446" s="2">
        <v>26335.6651248653</v>
      </c>
      <c r="AN6446" s="2">
        <v>25162.1770313651</v>
      </c>
      <c r="AO6446" s="2">
        <v>22366.647835288099</v>
      </c>
      <c r="AP6446" s="2">
        <v>27287.081755217801</v>
      </c>
    </row>
    <row r="6447" spans="1:42" ht="14.5" x14ac:dyDescent="0.35">
      <c r="A6447" s="2" t="s">
        <v>42724</v>
      </c>
      <c r="B6447" s="2">
        <v>367.17588959302401</v>
      </c>
      <c r="C6447" s="2">
        <v>4.7402166666666696</v>
      </c>
      <c r="D6447" s="2" t="s">
        <v>70</v>
      </c>
      <c r="E6447" s="2" t="s">
        <v>42725</v>
      </c>
      <c r="F6447" s="2">
        <v>278090</v>
      </c>
      <c r="G6447" s="3" t="str">
        <f>HYPERLINK("http://funmeta.oebiotech.com/network/278090", "http://funmeta.oebiotech.com/network/278090")</f>
        <v>http://funmeta.oebiotech.com/network/278090</v>
      </c>
      <c r="H6447" s="2"/>
      <c r="I6447" s="2">
        <v>70307</v>
      </c>
      <c r="J6447" s="2"/>
      <c r="K6447" s="2"/>
      <c r="L6447" s="2" t="s">
        <v>42726</v>
      </c>
      <c r="M6447" s="2"/>
      <c r="N6447" s="2"/>
      <c r="O6447" s="2">
        <v>65434</v>
      </c>
      <c r="P6447" s="2" t="s">
        <v>42727</v>
      </c>
      <c r="Q6447" s="2" t="s">
        <v>42728</v>
      </c>
      <c r="R6447" s="2" t="s">
        <v>42729</v>
      </c>
      <c r="S6447" s="2" t="s">
        <v>115</v>
      </c>
      <c r="T6447" s="2" t="s">
        <v>1384</v>
      </c>
      <c r="U6447" s="2" t="s">
        <v>41</v>
      </c>
      <c r="V6447" s="2" t="s">
        <v>59</v>
      </c>
      <c r="W6447" s="2">
        <v>38.6</v>
      </c>
      <c r="X6447" s="2">
        <v>0</v>
      </c>
      <c r="Y6447" s="2" t="s">
        <v>408</v>
      </c>
      <c r="Z6447" s="2" t="s">
        <v>42730</v>
      </c>
      <c r="AA6447" s="2">
        <v>-1.0466530021209399</v>
      </c>
      <c r="AB6447" s="2">
        <v>2.8905595252577399E-2</v>
      </c>
      <c r="AC6447" s="2">
        <v>1793.7219053637</v>
      </c>
      <c r="AD6447" s="2">
        <v>2008.3923237971601</v>
      </c>
      <c r="AE6447" s="2">
        <v>2607.73236690263</v>
      </c>
      <c r="AF6447" s="2">
        <v>1645.60117934704</v>
      </c>
      <c r="AG6447" s="2">
        <v>1933.93566129735</v>
      </c>
      <c r="AH6447" s="2">
        <v>797.15527242893597</v>
      </c>
      <c r="AI6447" s="2">
        <v>2008.1744613677899</v>
      </c>
      <c r="AJ6447" s="2">
        <v>1769.7324908384401</v>
      </c>
      <c r="AK6447" s="2">
        <v>1695.8289940674099</v>
      </c>
      <c r="AL6447" s="2">
        <v>2089.9491380499599</v>
      </c>
      <c r="AM6447" s="2">
        <v>2081.0723495022698</v>
      </c>
      <c r="AN6447" s="2">
        <v>2167.5249943864701</v>
      </c>
      <c r="AO6447" s="2">
        <v>1767.9651520544001</v>
      </c>
      <c r="AP6447" s="2">
        <v>2248.0133147224801</v>
      </c>
    </row>
    <row r="6448" spans="1:42" ht="14.5" x14ac:dyDescent="0.35">
      <c r="A6448" s="2" t="s">
        <v>42731</v>
      </c>
      <c r="B6448" s="2">
        <v>121.076011122441</v>
      </c>
      <c r="C6448" s="2">
        <v>1.4777166666666699</v>
      </c>
      <c r="D6448" s="2" t="s">
        <v>34</v>
      </c>
      <c r="E6448" s="2" t="s">
        <v>42732</v>
      </c>
      <c r="F6448" s="2">
        <v>203998</v>
      </c>
      <c r="G6448" s="3" t="str">
        <f>HYPERLINK("http://funmeta.oebiotech.com/network/203998", "http://funmeta.oebiotech.com/network/203998")</f>
        <v>http://funmeta.oebiotech.com/network/203998</v>
      </c>
      <c r="H6448" s="2" t="s">
        <v>42733</v>
      </c>
      <c r="I6448" s="2">
        <v>65652</v>
      </c>
      <c r="J6448" s="2"/>
      <c r="K6448" s="2">
        <v>41033</v>
      </c>
      <c r="L6448" s="2" t="s">
        <v>42734</v>
      </c>
      <c r="M6448" s="2"/>
      <c r="N6448" s="2"/>
      <c r="O6448" s="2">
        <v>2332</v>
      </c>
      <c r="P6448" s="2" t="s">
        <v>42735</v>
      </c>
      <c r="Q6448" s="2" t="s">
        <v>42736</v>
      </c>
      <c r="R6448" s="2" t="s">
        <v>42737</v>
      </c>
      <c r="S6448" s="2" t="s">
        <v>148</v>
      </c>
      <c r="T6448" s="2" t="s">
        <v>149</v>
      </c>
      <c r="U6448" s="2" t="s">
        <v>41</v>
      </c>
      <c r="V6448" s="2" t="s">
        <v>59</v>
      </c>
      <c r="W6448" s="2">
        <v>38.4</v>
      </c>
      <c r="X6448" s="2">
        <v>0</v>
      </c>
      <c r="Y6448" s="2" t="s">
        <v>394</v>
      </c>
      <c r="Z6448" s="2" t="s">
        <v>42738</v>
      </c>
      <c r="AA6448" s="2">
        <v>-0.113066214675556</v>
      </c>
      <c r="AB6448" s="2">
        <v>2.8857295460787202E-2</v>
      </c>
      <c r="AC6448" s="2">
        <v>29.003022022636902</v>
      </c>
      <c r="AD6448" s="2">
        <v>89.083230097127</v>
      </c>
      <c r="AE6448" s="2">
        <v>32.8919567484688</v>
      </c>
      <c r="AF6448" s="2">
        <v>39.954577465833601</v>
      </c>
      <c r="AG6448" s="2">
        <v>37.763160807194197</v>
      </c>
      <c r="AH6448" s="2">
        <v>25.150379412271199</v>
      </c>
      <c r="AI6448" s="2">
        <v>17.327409029901201</v>
      </c>
      <c r="AJ6448" s="2">
        <v>20.9306486721525</v>
      </c>
      <c r="AK6448" s="2">
        <v>100.962933829023</v>
      </c>
      <c r="AL6448" s="2">
        <v>65.183533772126907</v>
      </c>
      <c r="AM6448" s="2">
        <v>87.659262391734103</v>
      </c>
      <c r="AN6448" s="2">
        <v>68.342575234194896</v>
      </c>
      <c r="AO6448" s="2">
        <v>108.123242861932</v>
      </c>
      <c r="AP6448" s="2">
        <v>104.227832493751</v>
      </c>
    </row>
    <row r="6449" spans="1:42" ht="14.5" x14ac:dyDescent="0.35">
      <c r="A6449" s="2" t="s">
        <v>42739</v>
      </c>
      <c r="B6449" s="2">
        <v>185.02346318023299</v>
      </c>
      <c r="C6449" s="2">
        <v>1.4019333333333299</v>
      </c>
      <c r="D6449" s="2" t="s">
        <v>34</v>
      </c>
      <c r="E6449" s="2" t="s">
        <v>42740</v>
      </c>
      <c r="F6449" s="2">
        <v>52430</v>
      </c>
      <c r="G6449" s="3" t="str">
        <f>HYPERLINK("http://funmeta.oebiotech.com/network/52430", "http://funmeta.oebiotech.com/network/52430")</f>
        <v>http://funmeta.oebiotech.com/network/52430</v>
      </c>
      <c r="H6449" s="2" t="s">
        <v>42741</v>
      </c>
      <c r="I6449" s="2">
        <v>65528</v>
      </c>
      <c r="J6449" s="2"/>
      <c r="K6449" s="2">
        <v>17377</v>
      </c>
      <c r="L6449" s="2" t="s">
        <v>42742</v>
      </c>
      <c r="M6449" s="2"/>
      <c r="N6449" s="2"/>
      <c r="O6449" s="2">
        <v>5280371</v>
      </c>
      <c r="P6449" s="2" t="s">
        <v>42743</v>
      </c>
      <c r="Q6449" s="2" t="s">
        <v>42744</v>
      </c>
      <c r="R6449" s="2" t="s">
        <v>42745</v>
      </c>
      <c r="S6449" s="2" t="s">
        <v>115</v>
      </c>
      <c r="T6449" s="2" t="s">
        <v>758</v>
      </c>
      <c r="U6449" s="2" t="s">
        <v>1477</v>
      </c>
      <c r="V6449" s="2" t="s">
        <v>59</v>
      </c>
      <c r="W6449" s="2">
        <v>38.9</v>
      </c>
      <c r="X6449" s="2">
        <v>3.7</v>
      </c>
      <c r="Y6449" s="2" t="s">
        <v>141</v>
      </c>
      <c r="Z6449" s="2" t="s">
        <v>42746</v>
      </c>
      <c r="AA6449" s="2">
        <v>0.70663747474790195</v>
      </c>
      <c r="AB6449" s="2">
        <v>2.8794763109533002E-2</v>
      </c>
      <c r="AC6449" s="2">
        <v>1092.0427017413599</v>
      </c>
      <c r="AD6449" s="2">
        <v>998.08285353791098</v>
      </c>
      <c r="AE6449" s="2">
        <v>1060.78244522564</v>
      </c>
      <c r="AF6449" s="2">
        <v>1079.65017157082</v>
      </c>
      <c r="AG6449" s="2">
        <v>1051.4544689307099</v>
      </c>
      <c r="AH6449" s="2">
        <v>1251.3546738458699</v>
      </c>
      <c r="AI6449" s="2">
        <v>1034.4247763517301</v>
      </c>
      <c r="AJ6449" s="2">
        <v>1074.5896745233699</v>
      </c>
      <c r="AK6449" s="2">
        <v>1113.0585015890199</v>
      </c>
      <c r="AL6449" s="2">
        <v>970.03872255744</v>
      </c>
      <c r="AM6449" s="2">
        <v>954.34910192323605</v>
      </c>
      <c r="AN6449" s="2">
        <v>938.83648738541399</v>
      </c>
      <c r="AO6449" s="2">
        <v>1040.5107903282401</v>
      </c>
      <c r="AP6449" s="2">
        <v>971.70351744411403</v>
      </c>
    </row>
    <row r="6450" spans="1:42" ht="14.5" x14ac:dyDescent="0.35">
      <c r="A6450" s="2" t="s">
        <v>42747</v>
      </c>
      <c r="B6450" s="2">
        <v>716.39984369893295</v>
      </c>
      <c r="C6450" s="2">
        <v>14.2458166666667</v>
      </c>
      <c r="D6450" s="2" t="s">
        <v>34</v>
      </c>
      <c r="E6450" s="2" t="s">
        <v>42748</v>
      </c>
      <c r="F6450" s="2">
        <v>266790</v>
      </c>
      <c r="G6450" s="3" t="str">
        <f>HYPERLINK("http://funmeta.oebiotech.com/network/266790", "http://funmeta.oebiotech.com/network/266790")</f>
        <v>http://funmeta.oebiotech.com/network/266790</v>
      </c>
      <c r="H6450" s="2"/>
      <c r="I6450" s="2">
        <v>43978</v>
      </c>
      <c r="J6450" s="2"/>
      <c r="K6450" s="2"/>
      <c r="L6450" s="2"/>
      <c r="M6450" s="2"/>
      <c r="N6450" s="2"/>
      <c r="O6450" s="2">
        <v>15559719</v>
      </c>
      <c r="P6450" s="2"/>
      <c r="Q6450" s="2" t="s">
        <v>42749</v>
      </c>
      <c r="R6450" s="2" t="s">
        <v>42750</v>
      </c>
      <c r="S6450" s="2" t="s">
        <v>50</v>
      </c>
      <c r="T6450" s="2" t="s">
        <v>201</v>
      </c>
      <c r="U6450" s="2" t="s">
        <v>210</v>
      </c>
      <c r="V6450" s="2" t="s">
        <v>59</v>
      </c>
      <c r="W6450" s="2">
        <v>38.6</v>
      </c>
      <c r="X6450" s="2">
        <v>0</v>
      </c>
      <c r="Y6450" s="2" t="s">
        <v>43</v>
      </c>
      <c r="Z6450" s="2" t="s">
        <v>42751</v>
      </c>
      <c r="AA6450" s="2">
        <v>-0.851097397988826</v>
      </c>
      <c r="AB6450" s="2">
        <v>2.8582750280545799E-2</v>
      </c>
      <c r="AC6450" s="2">
        <v>6486.2855177811398</v>
      </c>
      <c r="AD6450" s="2">
        <v>7172.3872534996399</v>
      </c>
      <c r="AE6450" s="2">
        <v>3085.8386813195598</v>
      </c>
      <c r="AF6450" s="2">
        <v>6128.23782503645</v>
      </c>
      <c r="AG6450" s="2">
        <v>5887.8085862390999</v>
      </c>
      <c r="AH6450" s="2">
        <v>7790.7641711000797</v>
      </c>
      <c r="AI6450" s="2">
        <v>9897.4174787433094</v>
      </c>
      <c r="AJ6450" s="2">
        <v>6127.6463642483604</v>
      </c>
      <c r="AK6450" s="2">
        <v>2587.0623532469999</v>
      </c>
      <c r="AL6450" s="2">
        <v>19781.8831809576</v>
      </c>
      <c r="AM6450" s="2">
        <v>5489.4748122564197</v>
      </c>
      <c r="AN6450" s="2">
        <v>7265.0716694268704</v>
      </c>
      <c r="AO6450" s="2">
        <v>3395.6576300043798</v>
      </c>
      <c r="AP6450" s="2">
        <v>4515.17387510555</v>
      </c>
    </row>
    <row r="6451" spans="1:42" ht="14.5" x14ac:dyDescent="0.35">
      <c r="A6451" s="2" t="s">
        <v>42752</v>
      </c>
      <c r="B6451" s="2">
        <v>393.15237797317099</v>
      </c>
      <c r="C6451" s="2">
        <v>5.0723166666666701</v>
      </c>
      <c r="D6451" s="2" t="s">
        <v>34</v>
      </c>
      <c r="E6451" s="2" t="s">
        <v>42753</v>
      </c>
      <c r="F6451" s="2">
        <v>208225</v>
      </c>
      <c r="G6451" s="3" t="str">
        <f>HYPERLINK("http://funmeta.oebiotech.com/network/208225", "http://funmeta.oebiotech.com/network/208225")</f>
        <v>http://funmeta.oebiotech.com/network/208225</v>
      </c>
      <c r="H6451" s="2" t="s">
        <v>42754</v>
      </c>
      <c r="I6451" s="2"/>
      <c r="J6451" s="2"/>
      <c r="K6451" s="2"/>
      <c r="L6451" s="2"/>
      <c r="M6451" s="2"/>
      <c r="N6451" s="2"/>
      <c r="O6451" s="2">
        <v>76469283</v>
      </c>
      <c r="P6451" s="2"/>
      <c r="Q6451" s="2" t="s">
        <v>42755</v>
      </c>
      <c r="R6451" s="2" t="s">
        <v>42756</v>
      </c>
      <c r="S6451" s="2" t="s">
        <v>1677</v>
      </c>
      <c r="T6451" s="2" t="s">
        <v>1678</v>
      </c>
      <c r="U6451" s="2" t="s">
        <v>27138</v>
      </c>
      <c r="V6451" s="2" t="s">
        <v>59</v>
      </c>
      <c r="W6451" s="2">
        <v>37.799999999999997</v>
      </c>
      <c r="X6451" s="2">
        <v>0</v>
      </c>
      <c r="Y6451" s="2" t="s">
        <v>141</v>
      </c>
      <c r="Z6451" s="2" t="s">
        <v>42757</v>
      </c>
      <c r="AA6451" s="2">
        <v>0.57023126510747002</v>
      </c>
      <c r="AB6451" s="2">
        <v>2.8555125797376402E-2</v>
      </c>
      <c r="AC6451" s="2">
        <v>3452.55079809263</v>
      </c>
      <c r="AD6451" s="2">
        <v>3767.8550686072799</v>
      </c>
      <c r="AE6451" s="2">
        <v>3517.7478274575601</v>
      </c>
      <c r="AF6451" s="2">
        <v>4051.7290834426799</v>
      </c>
      <c r="AG6451" s="2">
        <v>4217.2640665899298</v>
      </c>
      <c r="AH6451" s="2">
        <v>2347.41822375735</v>
      </c>
      <c r="AI6451" s="2">
        <v>2962.4656695722801</v>
      </c>
      <c r="AJ6451" s="2">
        <v>3618.6799177359899</v>
      </c>
      <c r="AK6451" s="2">
        <v>3863.13178922412</v>
      </c>
      <c r="AL6451" s="2">
        <v>2872.7419204951102</v>
      </c>
      <c r="AM6451" s="2">
        <v>5074.2492337945096</v>
      </c>
      <c r="AN6451" s="2">
        <v>3980.78136219209</v>
      </c>
      <c r="AO6451" s="2">
        <v>1934.2932128330001</v>
      </c>
      <c r="AP6451" s="2">
        <v>4881.9328931048403</v>
      </c>
    </row>
    <row r="6452" spans="1:42" ht="14.5" x14ac:dyDescent="0.35">
      <c r="A6452" s="2" t="s">
        <v>42758</v>
      </c>
      <c r="B6452" s="2">
        <v>341.17470037824597</v>
      </c>
      <c r="C6452" s="2">
        <v>9.6898833333333307</v>
      </c>
      <c r="D6452" s="2" t="s">
        <v>34</v>
      </c>
      <c r="E6452" s="2" t="s">
        <v>42759</v>
      </c>
      <c r="F6452" s="2">
        <v>57009</v>
      </c>
      <c r="G6452" s="3" t="str">
        <f>HYPERLINK("http://funmeta.oebiotech.com/network/57009", "http://funmeta.oebiotech.com/network/57009")</f>
        <v>http://funmeta.oebiotech.com/network/57009</v>
      </c>
      <c r="H6452" s="2" t="s">
        <v>42760</v>
      </c>
      <c r="I6452" s="2">
        <v>63073</v>
      </c>
      <c r="J6452" s="2"/>
      <c r="K6452" s="2"/>
      <c r="L6452" s="2" t="s">
        <v>42761</v>
      </c>
      <c r="M6452" s="2"/>
      <c r="N6452" s="2"/>
      <c r="O6452" s="2">
        <v>2286</v>
      </c>
      <c r="P6452" s="2" t="s">
        <v>42762</v>
      </c>
      <c r="Q6452" s="2" t="s">
        <v>42763</v>
      </c>
      <c r="R6452" s="2" t="s">
        <v>42764</v>
      </c>
      <c r="S6452" s="2" t="s">
        <v>148</v>
      </c>
      <c r="T6452" s="2" t="s">
        <v>149</v>
      </c>
      <c r="U6452" s="2" t="s">
        <v>3473</v>
      </c>
      <c r="V6452" s="2" t="s">
        <v>59</v>
      </c>
      <c r="W6452" s="2">
        <v>38.799999999999997</v>
      </c>
      <c r="X6452" s="2">
        <v>0</v>
      </c>
      <c r="Y6452" s="2" t="s">
        <v>394</v>
      </c>
      <c r="Z6452" s="2" t="s">
        <v>42765</v>
      </c>
      <c r="AA6452" s="2">
        <v>-0.10377733932955301</v>
      </c>
      <c r="AB6452" s="2">
        <v>2.84900327109321E-2</v>
      </c>
      <c r="AC6452" s="2">
        <v>1023.3812728878401</v>
      </c>
      <c r="AD6452" s="2">
        <v>850.612338863123</v>
      </c>
      <c r="AE6452" s="2">
        <v>583.42572480673505</v>
      </c>
      <c r="AF6452" s="2">
        <v>892.70909277228202</v>
      </c>
      <c r="AG6452" s="2">
        <v>803.37466210064701</v>
      </c>
      <c r="AH6452" s="2">
        <v>1242.86577267598</v>
      </c>
      <c r="AI6452" s="2">
        <v>1246.2682736218401</v>
      </c>
      <c r="AJ6452" s="2">
        <v>1371.64411134958</v>
      </c>
      <c r="AK6452" s="2">
        <v>748.87791772591697</v>
      </c>
      <c r="AL6452" s="2">
        <v>741.41692071676698</v>
      </c>
      <c r="AM6452" s="2">
        <v>502.73820811479101</v>
      </c>
      <c r="AN6452" s="2">
        <v>1186.89950886112</v>
      </c>
      <c r="AO6452" s="2">
        <v>845.215850654463</v>
      </c>
      <c r="AP6452" s="2">
        <v>1078.5256271056801</v>
      </c>
    </row>
    <row r="6453" spans="1:42" ht="14.5" x14ac:dyDescent="0.35">
      <c r="A6453" s="2" t="s">
        <v>42766</v>
      </c>
      <c r="B6453" s="2">
        <v>687.42383005207796</v>
      </c>
      <c r="C6453" s="2">
        <v>13.624599999999999</v>
      </c>
      <c r="D6453" s="2" t="s">
        <v>34</v>
      </c>
      <c r="E6453" s="2" t="s">
        <v>42767</v>
      </c>
      <c r="F6453" s="2">
        <v>215982</v>
      </c>
      <c r="G6453" s="3" t="str">
        <f>HYPERLINK("http://funmeta.oebiotech.com/network/215982", "http://funmeta.oebiotech.com/network/215982")</f>
        <v>http://funmeta.oebiotech.com/network/215982</v>
      </c>
      <c r="H6453" s="2" t="s">
        <v>42768</v>
      </c>
      <c r="I6453" s="2"/>
      <c r="J6453" s="2"/>
      <c r="K6453" s="2"/>
      <c r="L6453" s="2"/>
      <c r="M6453" s="2"/>
      <c r="N6453" s="2"/>
      <c r="O6453" s="2"/>
      <c r="P6453" s="2"/>
      <c r="Q6453" s="2" t="s">
        <v>42769</v>
      </c>
      <c r="R6453" s="2" t="s">
        <v>42770</v>
      </c>
      <c r="S6453" s="2" t="s">
        <v>41</v>
      </c>
      <c r="T6453" s="2" t="s">
        <v>41</v>
      </c>
      <c r="U6453" s="2" t="s">
        <v>41</v>
      </c>
      <c r="V6453" s="2" t="s">
        <v>59</v>
      </c>
      <c r="W6453" s="2">
        <v>36.799999999999997</v>
      </c>
      <c r="X6453" s="2">
        <v>0</v>
      </c>
      <c r="Y6453" s="2" t="s">
        <v>141</v>
      </c>
      <c r="Z6453" s="2" t="s">
        <v>42771</v>
      </c>
      <c r="AA6453" s="2">
        <v>0.94938565828346699</v>
      </c>
      <c r="AB6453" s="2">
        <v>2.8411675262430498E-2</v>
      </c>
      <c r="AC6453" s="2">
        <v>2711.2415067475099</v>
      </c>
      <c r="AD6453" s="2">
        <v>2458.6441219846902</v>
      </c>
      <c r="AE6453" s="2">
        <v>2340.0888445431001</v>
      </c>
      <c r="AF6453" s="2">
        <v>2803.8483651769602</v>
      </c>
      <c r="AG6453" s="2">
        <v>3221.7263584887401</v>
      </c>
      <c r="AH6453" s="2">
        <v>2830.6412206722798</v>
      </c>
      <c r="AI6453" s="2">
        <v>2940.7576008271699</v>
      </c>
      <c r="AJ6453" s="2">
        <v>2130.3866507768398</v>
      </c>
      <c r="AK6453" s="2">
        <v>2149.44095790751</v>
      </c>
      <c r="AL6453" s="2">
        <v>3765.5576397918699</v>
      </c>
      <c r="AM6453" s="2">
        <v>2902.8978422116202</v>
      </c>
      <c r="AN6453" s="2">
        <v>2628.3568974086002</v>
      </c>
      <c r="AO6453" s="2">
        <v>1853.56168874074</v>
      </c>
      <c r="AP6453" s="2">
        <v>1452.0497058477799</v>
      </c>
    </row>
    <row r="6454" spans="1:42" ht="14.5" x14ac:dyDescent="0.35">
      <c r="A6454" s="2" t="s">
        <v>42772</v>
      </c>
      <c r="B6454" s="2">
        <v>539.39387755555003</v>
      </c>
      <c r="C6454" s="2">
        <v>11.4614333333333</v>
      </c>
      <c r="D6454" s="2" t="s">
        <v>34</v>
      </c>
      <c r="E6454" s="2" t="s">
        <v>42773</v>
      </c>
      <c r="F6454" s="2">
        <v>250246</v>
      </c>
      <c r="G6454" s="3" t="str">
        <f>HYPERLINK("http://funmeta.oebiotech.com/network/250246", "http://funmeta.oebiotech.com/network/250246")</f>
        <v>http://funmeta.oebiotech.com/network/250246</v>
      </c>
      <c r="H6454" s="2" t="s">
        <v>42774</v>
      </c>
      <c r="I6454" s="2"/>
      <c r="J6454" s="2"/>
      <c r="K6454" s="2"/>
      <c r="L6454" s="2"/>
      <c r="M6454" s="2"/>
      <c r="N6454" s="2"/>
      <c r="O6454" s="2"/>
      <c r="P6454" s="2"/>
      <c r="Q6454" s="2" t="s">
        <v>42775</v>
      </c>
      <c r="R6454" s="2" t="s">
        <v>42776</v>
      </c>
      <c r="S6454" s="2" t="s">
        <v>41</v>
      </c>
      <c r="T6454" s="2" t="s">
        <v>41</v>
      </c>
      <c r="U6454" s="2" t="s">
        <v>41</v>
      </c>
      <c r="V6454" s="2" t="s">
        <v>59</v>
      </c>
      <c r="W6454" s="2">
        <v>38</v>
      </c>
      <c r="X6454" s="2">
        <v>0</v>
      </c>
      <c r="Y6454" s="2" t="s">
        <v>394</v>
      </c>
      <c r="Z6454" s="2" t="s">
        <v>42777</v>
      </c>
      <c r="AA6454" s="2">
        <v>-0.65556036867315504</v>
      </c>
      <c r="AB6454" s="2">
        <v>2.8369289494583502E-2</v>
      </c>
      <c r="AC6454" s="2">
        <v>6179.8261011304103</v>
      </c>
      <c r="AD6454" s="2">
        <v>6426.4285279506903</v>
      </c>
      <c r="AE6454" s="2">
        <v>6559.3045353999296</v>
      </c>
      <c r="AF6454" s="2">
        <v>6367.9990150404001</v>
      </c>
      <c r="AG6454" s="2">
        <v>5267.0312544937397</v>
      </c>
      <c r="AH6454" s="2">
        <v>6593.4089028089002</v>
      </c>
      <c r="AI6454" s="2">
        <v>6129.2491138675696</v>
      </c>
      <c r="AJ6454" s="2">
        <v>6161.9637851719499</v>
      </c>
      <c r="AK6454" s="2">
        <v>6607.4276385102503</v>
      </c>
      <c r="AL6454" s="2">
        <v>6230.6366975925503</v>
      </c>
      <c r="AM6454" s="2">
        <v>5209.5640848987996</v>
      </c>
      <c r="AN6454" s="2">
        <v>7440.7864920089796</v>
      </c>
      <c r="AO6454" s="2">
        <v>6804.6014082410902</v>
      </c>
      <c r="AP6454" s="2">
        <v>6265.55484645246</v>
      </c>
    </row>
    <row r="6455" spans="1:42" ht="14.5" x14ac:dyDescent="0.35">
      <c r="A6455" s="2" t="s">
        <v>42778</v>
      </c>
      <c r="B6455" s="2">
        <v>345.069293862731</v>
      </c>
      <c r="C6455" s="2">
        <v>2.1634000000000002</v>
      </c>
      <c r="D6455" s="2" t="s">
        <v>34</v>
      </c>
      <c r="E6455" s="2" t="s">
        <v>42779</v>
      </c>
      <c r="F6455" s="2">
        <v>202005</v>
      </c>
      <c r="G6455" s="3" t="str">
        <f>HYPERLINK("http://funmeta.oebiotech.com/network/202005", "http://funmeta.oebiotech.com/network/202005")</f>
        <v>http://funmeta.oebiotech.com/network/202005</v>
      </c>
      <c r="H6455" s="2" t="s">
        <v>42780</v>
      </c>
      <c r="I6455" s="2"/>
      <c r="J6455" s="2"/>
      <c r="K6455" s="2"/>
      <c r="L6455" s="2"/>
      <c r="M6455" s="2"/>
      <c r="N6455" s="2"/>
      <c r="O6455" s="2">
        <v>20442</v>
      </c>
      <c r="P6455" s="2"/>
      <c r="Q6455" s="2" t="s">
        <v>42781</v>
      </c>
      <c r="R6455" s="2" t="s">
        <v>42782</v>
      </c>
      <c r="S6455" s="2" t="s">
        <v>89</v>
      </c>
      <c r="T6455" s="2" t="s">
        <v>90</v>
      </c>
      <c r="U6455" s="2" t="s">
        <v>1248</v>
      </c>
      <c r="V6455" s="2" t="s">
        <v>59</v>
      </c>
      <c r="W6455" s="2">
        <v>39.299999999999997</v>
      </c>
      <c r="X6455" s="2">
        <v>0</v>
      </c>
      <c r="Y6455" s="2" t="s">
        <v>340</v>
      </c>
      <c r="Z6455" s="2" t="s">
        <v>42783</v>
      </c>
      <c r="AA6455" s="2">
        <v>-0.587248938181408</v>
      </c>
      <c r="AB6455" s="2">
        <v>2.8349288300038699E-2</v>
      </c>
      <c r="AC6455" s="2">
        <v>7865.7557285268003</v>
      </c>
      <c r="AD6455" s="2">
        <v>7653.9648706689104</v>
      </c>
      <c r="AE6455" s="2">
        <v>8388.9290907362101</v>
      </c>
      <c r="AF6455" s="2">
        <v>8269.2538097467495</v>
      </c>
      <c r="AG6455" s="2">
        <v>7803.4707913889797</v>
      </c>
      <c r="AH6455" s="2">
        <v>7031.39943869531</v>
      </c>
      <c r="AI6455" s="2">
        <v>7835.9746649818298</v>
      </c>
      <c r="AJ6455" s="2">
        <v>7865.5065756117301</v>
      </c>
      <c r="AK6455" s="2">
        <v>7683.66811534724</v>
      </c>
      <c r="AL6455" s="2">
        <v>7537.3756776591499</v>
      </c>
      <c r="AM6455" s="2">
        <v>7149.2284061372202</v>
      </c>
      <c r="AN6455" s="2">
        <v>7260.5758879896503</v>
      </c>
      <c r="AO6455" s="2">
        <v>7902.9072113032298</v>
      </c>
      <c r="AP6455" s="2">
        <v>8390.0339255769595</v>
      </c>
    </row>
    <row r="6456" spans="1:42" ht="14.5" x14ac:dyDescent="0.35">
      <c r="A6456" s="2" t="s">
        <v>42784</v>
      </c>
      <c r="B6456" s="2">
        <v>285.24233749149101</v>
      </c>
      <c r="C6456" s="2">
        <v>9.9588999999999999</v>
      </c>
      <c r="D6456" s="2" t="s">
        <v>34</v>
      </c>
      <c r="E6456" s="2" t="s">
        <v>42785</v>
      </c>
      <c r="F6456" s="2">
        <v>51353</v>
      </c>
      <c r="G6456" s="3" t="str">
        <f>HYPERLINK("http://funmeta.oebiotech.com/network/51353", "http://funmeta.oebiotech.com/network/51353")</f>
        <v>http://funmeta.oebiotech.com/network/51353</v>
      </c>
      <c r="H6456" s="2" t="s">
        <v>42786</v>
      </c>
      <c r="I6456" s="2">
        <v>62314</v>
      </c>
      <c r="J6456" s="2"/>
      <c r="K6456" s="2">
        <v>75454</v>
      </c>
      <c r="L6456" s="2"/>
      <c r="M6456" s="2"/>
      <c r="N6456" s="2"/>
      <c r="O6456" s="2">
        <v>137938</v>
      </c>
      <c r="P6456" s="2"/>
      <c r="Q6456" s="2" t="s">
        <v>42787</v>
      </c>
      <c r="R6456" s="2" t="s">
        <v>42788</v>
      </c>
      <c r="S6456" s="2" t="s">
        <v>50</v>
      </c>
      <c r="T6456" s="2" t="s">
        <v>448</v>
      </c>
      <c r="U6456" s="2" t="s">
        <v>7051</v>
      </c>
      <c r="V6456" s="2" t="s">
        <v>59</v>
      </c>
      <c r="W6456" s="2">
        <v>36.4</v>
      </c>
      <c r="X6456" s="2">
        <v>0</v>
      </c>
      <c r="Y6456" s="2" t="s">
        <v>141</v>
      </c>
      <c r="Z6456" s="2" t="s">
        <v>30261</v>
      </c>
      <c r="AA6456" s="2">
        <v>-0.277347623961685</v>
      </c>
      <c r="AB6456" s="2">
        <v>2.8303648328445001E-2</v>
      </c>
      <c r="AC6456" s="2">
        <v>934.96154669517205</v>
      </c>
      <c r="AD6456" s="2">
        <v>1051.50118737919</v>
      </c>
      <c r="AE6456" s="2">
        <v>870.35529510127697</v>
      </c>
      <c r="AF6456" s="2">
        <v>948.17884622294105</v>
      </c>
      <c r="AG6456" s="2">
        <v>987.72071250413103</v>
      </c>
      <c r="AH6456" s="2">
        <v>829.69658050379996</v>
      </c>
      <c r="AI6456" s="2">
        <v>824.18654934881204</v>
      </c>
      <c r="AJ6456" s="2">
        <v>1149.6312964900701</v>
      </c>
      <c r="AK6456" s="2">
        <v>1208.3297881236899</v>
      </c>
      <c r="AL6456" s="2">
        <v>1053.8417042359099</v>
      </c>
      <c r="AM6456" s="2">
        <v>890.21861444723299</v>
      </c>
      <c r="AN6456" s="2">
        <v>1020.20506567427</v>
      </c>
      <c r="AO6456" s="2">
        <v>962.85615413453604</v>
      </c>
      <c r="AP6456" s="2">
        <v>1173.5557976595101</v>
      </c>
    </row>
    <row r="6457" spans="1:42" ht="14.5" x14ac:dyDescent="0.35">
      <c r="A6457" s="2" t="s">
        <v>42789</v>
      </c>
      <c r="B6457" s="2">
        <v>787.84479650188996</v>
      </c>
      <c r="C6457" s="2">
        <v>7.6301833333333304</v>
      </c>
      <c r="D6457" s="2" t="s">
        <v>70</v>
      </c>
      <c r="E6457" s="2" t="s">
        <v>42790</v>
      </c>
      <c r="F6457" s="2">
        <v>53567</v>
      </c>
      <c r="G6457" s="3" t="str">
        <f>HYPERLINK("http://funmeta.oebiotech.com/network/53567", "http://funmeta.oebiotech.com/network/53567")</f>
        <v>http://funmeta.oebiotech.com/network/53567</v>
      </c>
      <c r="H6457" s="2" t="s">
        <v>42791</v>
      </c>
      <c r="I6457" s="2">
        <v>85522</v>
      </c>
      <c r="J6457" s="2"/>
      <c r="K6457" s="2"/>
      <c r="L6457" s="2"/>
      <c r="M6457" s="2"/>
      <c r="N6457" s="2"/>
      <c r="O6457" s="2">
        <v>443944</v>
      </c>
      <c r="P6457" s="2" t="s">
        <v>42792</v>
      </c>
      <c r="Q6457" s="2" t="s">
        <v>42793</v>
      </c>
      <c r="R6457" s="2" t="s">
        <v>42794</v>
      </c>
      <c r="S6457" s="2" t="s">
        <v>79</v>
      </c>
      <c r="T6457" s="2" t="s">
        <v>80</v>
      </c>
      <c r="U6457" s="2" t="s">
        <v>81</v>
      </c>
      <c r="V6457" s="2" t="s">
        <v>59</v>
      </c>
      <c r="W6457" s="2">
        <v>38.5</v>
      </c>
      <c r="X6457" s="2">
        <v>0</v>
      </c>
      <c r="Y6457" s="2" t="s">
        <v>118</v>
      </c>
      <c r="Z6457" s="2" t="s">
        <v>42795</v>
      </c>
      <c r="AA6457" s="2">
        <v>-2.5806324734216401</v>
      </c>
      <c r="AB6457" s="2">
        <v>2.8184078509564399E-2</v>
      </c>
      <c r="AC6457" s="2">
        <v>5834.1817489864497</v>
      </c>
      <c r="AD6457" s="2">
        <v>6174.8315439662701</v>
      </c>
      <c r="AE6457" s="2">
        <v>6043.9802840505099</v>
      </c>
      <c r="AF6457" s="2">
        <v>3864.6626663362199</v>
      </c>
      <c r="AG6457" s="2">
        <v>7895.4660425403499</v>
      </c>
      <c r="AH6457" s="2">
        <v>6653.4736240566299</v>
      </c>
      <c r="AI6457" s="2">
        <v>6614.4619779626501</v>
      </c>
      <c r="AJ6457" s="2">
        <v>3933.0458989723202</v>
      </c>
      <c r="AK6457" s="2">
        <v>5947.2774749422497</v>
      </c>
      <c r="AL6457" s="2">
        <v>6869.3771998335797</v>
      </c>
      <c r="AM6457" s="2">
        <v>6867.4871602058402</v>
      </c>
      <c r="AN6457" s="2">
        <v>5925.7032419018997</v>
      </c>
      <c r="AO6457" s="2">
        <v>5251.5707898376604</v>
      </c>
      <c r="AP6457" s="2">
        <v>6187.5733970764104</v>
      </c>
    </row>
    <row r="6458" spans="1:42" ht="14.5" x14ac:dyDescent="0.35">
      <c r="A6458" s="2" t="s">
        <v>42796</v>
      </c>
      <c r="B6458" s="2">
        <v>446.42005523643599</v>
      </c>
      <c r="C6458" s="2">
        <v>10.6795333333333</v>
      </c>
      <c r="D6458" s="2" t="s">
        <v>34</v>
      </c>
      <c r="E6458" s="2" t="s">
        <v>42797</v>
      </c>
      <c r="F6458" s="2">
        <v>10479</v>
      </c>
      <c r="G6458" s="3" t="str">
        <f>HYPERLINK("http://funmeta.oebiotech.com/network/10479", "http://funmeta.oebiotech.com/network/10479")</f>
        <v>http://funmeta.oebiotech.com/network/10479</v>
      </c>
      <c r="H6458" s="2"/>
      <c r="I6458" s="2"/>
      <c r="J6458" s="2" t="s">
        <v>42798</v>
      </c>
      <c r="K6458" s="2"/>
      <c r="L6458" s="2"/>
      <c r="M6458" s="2"/>
      <c r="N6458" s="2"/>
      <c r="O6458" s="2">
        <v>137323852</v>
      </c>
      <c r="P6458" s="2"/>
      <c r="Q6458" s="2" t="s">
        <v>42799</v>
      </c>
      <c r="R6458" s="2" t="s">
        <v>42800</v>
      </c>
      <c r="S6458" s="2" t="s">
        <v>50</v>
      </c>
      <c r="T6458" s="2" t="s">
        <v>448</v>
      </c>
      <c r="U6458" s="2" t="s">
        <v>7051</v>
      </c>
      <c r="V6458" s="2" t="s">
        <v>59</v>
      </c>
      <c r="W6458" s="2">
        <v>38.700000000000003</v>
      </c>
      <c r="X6458" s="2">
        <v>0</v>
      </c>
      <c r="Y6458" s="2" t="s">
        <v>43</v>
      </c>
      <c r="Z6458" s="2" t="s">
        <v>42801</v>
      </c>
      <c r="AA6458" s="2">
        <v>-0.77135810153624496</v>
      </c>
      <c r="AB6458" s="2">
        <v>2.8177494220775302E-2</v>
      </c>
      <c r="AC6458" s="2">
        <v>206.85900258525101</v>
      </c>
      <c r="AD6458" s="2">
        <v>408.710982559201</v>
      </c>
      <c r="AE6458" s="2">
        <v>91.391243452287796</v>
      </c>
      <c r="AF6458" s="2">
        <v>90.534807036980197</v>
      </c>
      <c r="AG6458" s="2">
        <v>309.39152813764798</v>
      </c>
      <c r="AH6458" s="2">
        <v>2.7106294003980101E-5</v>
      </c>
      <c r="AI6458" s="2">
        <v>114.81536842217</v>
      </c>
      <c r="AJ6458" s="2">
        <v>635.02104135612399</v>
      </c>
      <c r="AK6458" s="2">
        <v>355.02831382453797</v>
      </c>
      <c r="AL6458" s="2">
        <v>1399.74370174672</v>
      </c>
      <c r="AM6458" s="2">
        <v>98.364644371883003</v>
      </c>
      <c r="AN6458" s="2">
        <v>169.978930632741</v>
      </c>
      <c r="AO6458" s="2">
        <v>2.7106294003980101E-5</v>
      </c>
      <c r="AP6458" s="2">
        <v>429.15027767303201</v>
      </c>
    </row>
    <row r="6459" spans="1:42" ht="14.5" x14ac:dyDescent="0.35">
      <c r="A6459" s="2" t="s">
        <v>42802</v>
      </c>
      <c r="B6459" s="2">
        <v>829.319048396683</v>
      </c>
      <c r="C6459" s="2">
        <v>9.1276333333333302</v>
      </c>
      <c r="D6459" s="2" t="s">
        <v>70</v>
      </c>
      <c r="E6459" s="2" t="s">
        <v>42803</v>
      </c>
      <c r="F6459" s="2">
        <v>55865</v>
      </c>
      <c r="G6459" s="3" t="str">
        <f>HYPERLINK("http://funmeta.oebiotech.com/network/55865", "http://funmeta.oebiotech.com/network/55865")</f>
        <v>http://funmeta.oebiotech.com/network/55865</v>
      </c>
      <c r="H6459" s="2" t="s">
        <v>42804</v>
      </c>
      <c r="I6459" s="2">
        <v>87549</v>
      </c>
      <c r="J6459" s="2"/>
      <c r="K6459" s="2"/>
      <c r="L6459" s="2"/>
      <c r="M6459" s="2"/>
      <c r="N6459" s="2"/>
      <c r="O6459" s="2">
        <v>102003359</v>
      </c>
      <c r="P6459" s="2" t="s">
        <v>42805</v>
      </c>
      <c r="Q6459" s="2" t="s">
        <v>42806</v>
      </c>
      <c r="R6459" s="2" t="s">
        <v>42807</v>
      </c>
      <c r="S6459" s="2" t="s">
        <v>491</v>
      </c>
      <c r="T6459" s="2" t="s">
        <v>1516</v>
      </c>
      <c r="U6459" s="2" t="s">
        <v>5958</v>
      </c>
      <c r="V6459" s="2" t="s">
        <v>59</v>
      </c>
      <c r="W6459" s="2">
        <v>37.200000000000003</v>
      </c>
      <c r="X6459" s="2">
        <v>0</v>
      </c>
      <c r="Y6459" s="2" t="s">
        <v>560</v>
      </c>
      <c r="Z6459" s="2" t="s">
        <v>42808</v>
      </c>
      <c r="AA6459" s="2">
        <v>0.14517395918317999</v>
      </c>
      <c r="AB6459" s="2">
        <v>2.8109502204450101E-2</v>
      </c>
      <c r="AC6459" s="2">
        <v>1644.2557543841899</v>
      </c>
      <c r="AD6459" s="2">
        <v>1873.4977536946301</v>
      </c>
      <c r="AE6459" s="2">
        <v>2163.1728911711202</v>
      </c>
      <c r="AF6459" s="2">
        <v>1593.9618015708099</v>
      </c>
      <c r="AG6459" s="2">
        <v>1691.21715981374</v>
      </c>
      <c r="AH6459" s="2">
        <v>1301.68392887859</v>
      </c>
      <c r="AI6459" s="2">
        <v>1209.2440976354501</v>
      </c>
      <c r="AJ6459" s="2">
        <v>1906.25464723545</v>
      </c>
      <c r="AK6459" s="2">
        <v>954.27822323559201</v>
      </c>
      <c r="AL6459" s="2">
        <v>1502.8712260273701</v>
      </c>
      <c r="AM6459" s="2">
        <v>1755.4215702128299</v>
      </c>
      <c r="AN6459" s="2">
        <v>2113.4987615241098</v>
      </c>
      <c r="AO6459" s="2">
        <v>1985.66136719423</v>
      </c>
      <c r="AP6459" s="2">
        <v>2929.25537397367</v>
      </c>
    </row>
    <row r="6460" spans="1:42" ht="14.5" x14ac:dyDescent="0.35">
      <c r="A6460" s="2" t="s">
        <v>42809</v>
      </c>
      <c r="B6460" s="2">
        <v>397.11053138904202</v>
      </c>
      <c r="C6460" s="2">
        <v>3.54918333333333</v>
      </c>
      <c r="D6460" s="2" t="s">
        <v>34</v>
      </c>
      <c r="E6460" s="2" t="s">
        <v>42810</v>
      </c>
      <c r="F6460" s="2">
        <v>58870</v>
      </c>
      <c r="G6460" s="3" t="str">
        <f>HYPERLINK("http://funmeta.oebiotech.com/network/58870", "http://funmeta.oebiotech.com/network/58870")</f>
        <v>http://funmeta.oebiotech.com/network/58870</v>
      </c>
      <c r="H6460" s="2" t="s">
        <v>42811</v>
      </c>
      <c r="I6460" s="2"/>
      <c r="J6460" s="2"/>
      <c r="K6460" s="2"/>
      <c r="L6460" s="2" t="s">
        <v>42812</v>
      </c>
      <c r="M6460" s="2" t="s">
        <v>33459</v>
      </c>
      <c r="N6460" s="2" t="s">
        <v>33460</v>
      </c>
      <c r="O6460" s="2">
        <v>323273</v>
      </c>
      <c r="P6460" s="2" t="s">
        <v>42813</v>
      </c>
      <c r="Q6460" s="2" t="s">
        <v>42814</v>
      </c>
      <c r="R6460" s="2" t="s">
        <v>42815</v>
      </c>
      <c r="S6460" s="2" t="s">
        <v>50</v>
      </c>
      <c r="T6460" s="2" t="s">
        <v>201</v>
      </c>
      <c r="U6460" s="2" t="s">
        <v>202</v>
      </c>
      <c r="V6460" s="2" t="s">
        <v>59</v>
      </c>
      <c r="W6460" s="2">
        <v>44.2</v>
      </c>
      <c r="X6460" s="2">
        <v>26</v>
      </c>
      <c r="Y6460" s="2" t="s">
        <v>323</v>
      </c>
      <c r="Z6460" s="2" t="s">
        <v>1156</v>
      </c>
      <c r="AA6460" s="2">
        <v>3.6907555169491402E-2</v>
      </c>
      <c r="AB6460" s="2">
        <v>2.80966124053568E-2</v>
      </c>
      <c r="AC6460" s="2">
        <v>68181.664130907404</v>
      </c>
      <c r="AD6460" s="2">
        <v>68682.542427202003</v>
      </c>
      <c r="AE6460" s="2">
        <v>69131.919403215798</v>
      </c>
      <c r="AF6460" s="2">
        <v>69630.887592619401</v>
      </c>
      <c r="AG6460" s="2">
        <v>65505.083826509202</v>
      </c>
      <c r="AH6460" s="2">
        <v>62240.886459512898</v>
      </c>
      <c r="AI6460" s="2">
        <v>70584.359695402702</v>
      </c>
      <c r="AJ6460" s="2">
        <v>71996.847808184597</v>
      </c>
      <c r="AK6460" s="2">
        <v>68152.172093319605</v>
      </c>
      <c r="AL6460" s="2">
        <v>66984.268577606897</v>
      </c>
      <c r="AM6460" s="2">
        <v>68228.3660347728</v>
      </c>
      <c r="AN6460" s="2">
        <v>71942.072090303001</v>
      </c>
      <c r="AO6460" s="2">
        <v>66997.694510654794</v>
      </c>
      <c r="AP6460" s="2">
        <v>69790.681256555195</v>
      </c>
    </row>
    <row r="6461" spans="1:42" ht="14.5" x14ac:dyDescent="0.35">
      <c r="A6461" s="2" t="s">
        <v>42816</v>
      </c>
      <c r="B6461" s="2">
        <v>226.107276663503</v>
      </c>
      <c r="C6461" s="2">
        <v>3.2723666666666702</v>
      </c>
      <c r="D6461" s="2" t="s">
        <v>34</v>
      </c>
      <c r="E6461" s="2" t="s">
        <v>42817</v>
      </c>
      <c r="F6461" s="2">
        <v>62525</v>
      </c>
      <c r="G6461" s="3" t="str">
        <f>HYPERLINK("http://funmeta.oebiotech.com/network/62525", "http://funmeta.oebiotech.com/network/62525")</f>
        <v>http://funmeta.oebiotech.com/network/62525</v>
      </c>
      <c r="H6461" s="2" t="s">
        <v>42818</v>
      </c>
      <c r="I6461" s="2">
        <v>68947</v>
      </c>
      <c r="J6461" s="2"/>
      <c r="K6461" s="2">
        <v>29022</v>
      </c>
      <c r="L6461" s="2" t="s">
        <v>42819</v>
      </c>
      <c r="M6461" s="2"/>
      <c r="N6461" s="2"/>
      <c r="O6461" s="2">
        <v>62389</v>
      </c>
      <c r="P6461" s="2" t="s">
        <v>42820</v>
      </c>
      <c r="Q6461" s="2" t="s">
        <v>42821</v>
      </c>
      <c r="R6461" s="2" t="s">
        <v>42822</v>
      </c>
      <c r="S6461" s="2" t="s">
        <v>491</v>
      </c>
      <c r="T6461" s="2" t="s">
        <v>7431</v>
      </c>
      <c r="U6461" s="2" t="s">
        <v>7432</v>
      </c>
      <c r="V6461" s="2" t="s">
        <v>59</v>
      </c>
      <c r="W6461" s="2">
        <v>43.4</v>
      </c>
      <c r="X6461" s="2">
        <v>30.6</v>
      </c>
      <c r="Y6461" s="2" t="s">
        <v>394</v>
      </c>
      <c r="Z6461" s="2" t="s">
        <v>42823</v>
      </c>
      <c r="AA6461" s="2">
        <v>-6.4199732909355296</v>
      </c>
      <c r="AB6461" s="2">
        <v>2.80831593287749E-2</v>
      </c>
      <c r="AC6461" s="2">
        <v>18709.198825279</v>
      </c>
      <c r="AD6461" s="2">
        <v>18211.858808737099</v>
      </c>
      <c r="AE6461" s="2">
        <v>20657.954582445502</v>
      </c>
      <c r="AF6461" s="2">
        <v>18858.819500008402</v>
      </c>
      <c r="AG6461" s="2">
        <v>16974.397690907401</v>
      </c>
      <c r="AH6461" s="2">
        <v>20479.3237511033</v>
      </c>
      <c r="AI6461" s="2">
        <v>18540.941813148798</v>
      </c>
      <c r="AJ6461" s="2">
        <v>16743.755614060301</v>
      </c>
      <c r="AK6461" s="2">
        <v>20088.607847216001</v>
      </c>
      <c r="AL6461" s="2">
        <v>19736.715292895198</v>
      </c>
      <c r="AM6461" s="2">
        <v>17349.971097737998</v>
      </c>
      <c r="AN6461" s="2">
        <v>21888.794205486702</v>
      </c>
      <c r="AO6461" s="2">
        <v>17547.254290255802</v>
      </c>
      <c r="AP6461" s="2">
        <v>12659.810118831199</v>
      </c>
    </row>
    <row r="6462" spans="1:42" ht="14.5" x14ac:dyDescent="0.35">
      <c r="A6462" s="2" t="s">
        <v>42824</v>
      </c>
      <c r="B6462" s="2">
        <v>495.11157865800197</v>
      </c>
      <c r="C6462" s="2">
        <v>3.8614999999999999</v>
      </c>
      <c r="D6462" s="2" t="s">
        <v>70</v>
      </c>
      <c r="E6462" s="2" t="s">
        <v>42825</v>
      </c>
      <c r="F6462" s="2">
        <v>207809</v>
      </c>
      <c r="G6462" s="3" t="str">
        <f>HYPERLINK("http://funmeta.oebiotech.com/network/207809", "http://funmeta.oebiotech.com/network/207809")</f>
        <v>http://funmeta.oebiotech.com/network/207809</v>
      </c>
      <c r="H6462" s="2" t="s">
        <v>42826</v>
      </c>
      <c r="I6462" s="2">
        <v>68542</v>
      </c>
      <c r="J6462" s="2"/>
      <c r="K6462" s="2"/>
      <c r="L6462" s="2" t="s">
        <v>42827</v>
      </c>
      <c r="M6462" s="2"/>
      <c r="N6462" s="2"/>
      <c r="O6462" s="2">
        <v>73549</v>
      </c>
      <c r="P6462" s="2" t="s">
        <v>42828</v>
      </c>
      <c r="Q6462" s="2" t="s">
        <v>42829</v>
      </c>
      <c r="R6462" s="2" t="s">
        <v>42830</v>
      </c>
      <c r="S6462" s="2" t="s">
        <v>491</v>
      </c>
      <c r="T6462" s="2" t="s">
        <v>3019</v>
      </c>
      <c r="U6462" s="2" t="s">
        <v>3020</v>
      </c>
      <c r="V6462" s="2" t="s">
        <v>59</v>
      </c>
      <c r="W6462" s="2">
        <v>38.5</v>
      </c>
      <c r="X6462" s="2">
        <v>0</v>
      </c>
      <c r="Y6462" s="2" t="s">
        <v>560</v>
      </c>
      <c r="Z6462" s="2" t="s">
        <v>42831</v>
      </c>
      <c r="AA6462" s="2">
        <v>3.4267701179154502</v>
      </c>
      <c r="AB6462" s="2">
        <v>2.80722013832009E-2</v>
      </c>
      <c r="AC6462" s="2">
        <v>1525.85656112377</v>
      </c>
      <c r="AD6462" s="2">
        <v>1759.1495945664899</v>
      </c>
      <c r="AE6462" s="2">
        <v>2127.72463252647</v>
      </c>
      <c r="AF6462" s="2">
        <v>1130.3455056499699</v>
      </c>
      <c r="AG6462" s="2">
        <v>1632.1274289988201</v>
      </c>
      <c r="AH6462" s="2">
        <v>2233.2374320061099</v>
      </c>
      <c r="AI6462" s="2">
        <v>1152.1007722181901</v>
      </c>
      <c r="AJ6462" s="2">
        <v>879.60359534304996</v>
      </c>
      <c r="AK6462" s="2">
        <v>1353.7970558259699</v>
      </c>
      <c r="AL6462" s="2">
        <v>1077.4517317268601</v>
      </c>
      <c r="AM6462" s="2">
        <v>2627.5046502709502</v>
      </c>
      <c r="AN6462" s="2">
        <v>1664.89986773543</v>
      </c>
      <c r="AO6462" s="2">
        <v>2212.8378194909801</v>
      </c>
      <c r="AP6462" s="2">
        <v>1618.40644234873</v>
      </c>
    </row>
    <row r="6463" spans="1:42" ht="14.5" x14ac:dyDescent="0.35">
      <c r="A6463" s="2" t="s">
        <v>42832</v>
      </c>
      <c r="B6463" s="2">
        <v>229.12217535480201</v>
      </c>
      <c r="C6463" s="2">
        <v>4.7541500000000001</v>
      </c>
      <c r="D6463" s="2" t="s">
        <v>34</v>
      </c>
      <c r="E6463" s="2" t="s">
        <v>42833</v>
      </c>
      <c r="F6463" s="2">
        <v>60237</v>
      </c>
      <c r="G6463" s="3" t="str">
        <f>HYPERLINK("http://funmeta.oebiotech.com/network/60237", "http://funmeta.oebiotech.com/network/60237")</f>
        <v>http://funmeta.oebiotech.com/network/60237</v>
      </c>
      <c r="H6463" s="2" t="s">
        <v>42834</v>
      </c>
      <c r="I6463" s="2">
        <v>91612</v>
      </c>
      <c r="J6463" s="2"/>
      <c r="K6463" s="2"/>
      <c r="L6463" s="2"/>
      <c r="M6463" s="2"/>
      <c r="N6463" s="2"/>
      <c r="O6463" s="2">
        <v>73814575</v>
      </c>
      <c r="P6463" s="2" t="s">
        <v>42835</v>
      </c>
      <c r="Q6463" s="2" t="s">
        <v>42836</v>
      </c>
      <c r="R6463" s="2" t="s">
        <v>42837</v>
      </c>
      <c r="S6463" s="2" t="s">
        <v>50</v>
      </c>
      <c r="T6463" s="2" t="s">
        <v>201</v>
      </c>
      <c r="U6463" s="2" t="s">
        <v>1217</v>
      </c>
      <c r="V6463" s="2" t="s">
        <v>42</v>
      </c>
      <c r="W6463" s="2">
        <v>53.2</v>
      </c>
      <c r="X6463" s="2">
        <v>71</v>
      </c>
      <c r="Y6463" s="2" t="s">
        <v>141</v>
      </c>
      <c r="Z6463" s="2" t="s">
        <v>27734</v>
      </c>
      <c r="AA6463" s="2">
        <v>-0.53156250518317305</v>
      </c>
      <c r="AB6463" s="2">
        <v>2.8018574578032002E-2</v>
      </c>
      <c r="AC6463" s="2">
        <v>23812.444153848101</v>
      </c>
      <c r="AD6463" s="2">
        <v>23520.8760559568</v>
      </c>
      <c r="AE6463" s="2">
        <v>24752.977467685301</v>
      </c>
      <c r="AF6463" s="2">
        <v>23356.683769757201</v>
      </c>
      <c r="AG6463" s="2">
        <v>24985.529422069601</v>
      </c>
      <c r="AH6463" s="2">
        <v>23505.255446373299</v>
      </c>
      <c r="AI6463" s="2">
        <v>22431.236705445801</v>
      </c>
      <c r="AJ6463" s="2">
        <v>23842.982111757599</v>
      </c>
      <c r="AK6463" s="2">
        <v>24444.269860602901</v>
      </c>
      <c r="AL6463" s="2">
        <v>23124.892442365599</v>
      </c>
      <c r="AM6463" s="2">
        <v>23761.369216872499</v>
      </c>
      <c r="AN6463" s="2">
        <v>21642.225255297999</v>
      </c>
      <c r="AO6463" s="2">
        <v>24135.538038187198</v>
      </c>
      <c r="AP6463" s="2">
        <v>24016.9615224148</v>
      </c>
    </row>
    <row r="6464" spans="1:42" ht="14.5" x14ac:dyDescent="0.35">
      <c r="A6464" s="2" t="s">
        <v>42838</v>
      </c>
      <c r="B6464" s="2">
        <v>229.08161102260701</v>
      </c>
      <c r="C6464" s="2">
        <v>0.76544999999999996</v>
      </c>
      <c r="D6464" s="2" t="s">
        <v>34</v>
      </c>
      <c r="E6464" s="2" t="s">
        <v>42839</v>
      </c>
      <c r="F6464" s="2">
        <v>46825</v>
      </c>
      <c r="G6464" s="3" t="str">
        <f>HYPERLINK("http://funmeta.oebiotech.com/network/46825", "http://funmeta.oebiotech.com/network/46825")</f>
        <v>http://funmeta.oebiotech.com/network/46825</v>
      </c>
      <c r="H6464" s="2" t="s">
        <v>42840</v>
      </c>
      <c r="I6464" s="2">
        <v>91</v>
      </c>
      <c r="J6464" s="2"/>
      <c r="K6464" s="2">
        <v>16450</v>
      </c>
      <c r="L6464" s="2" t="s">
        <v>42841</v>
      </c>
      <c r="M6464" s="2" t="s">
        <v>42842</v>
      </c>
      <c r="N6464" s="2" t="s">
        <v>42843</v>
      </c>
      <c r="O6464" s="2">
        <v>13712</v>
      </c>
      <c r="P6464" s="2" t="s">
        <v>42844</v>
      </c>
      <c r="Q6464" s="2" t="s">
        <v>42845</v>
      </c>
      <c r="R6464" s="2" t="s">
        <v>42846</v>
      </c>
      <c r="S6464" s="2" t="s">
        <v>1444</v>
      </c>
      <c r="T6464" s="2" t="s">
        <v>10689</v>
      </c>
      <c r="U6464" s="2" t="s">
        <v>10690</v>
      </c>
      <c r="V6464" s="2" t="s">
        <v>59</v>
      </c>
      <c r="W6464" s="2">
        <v>38.700000000000003</v>
      </c>
      <c r="X6464" s="2">
        <v>0</v>
      </c>
      <c r="Y6464" s="2" t="s">
        <v>394</v>
      </c>
      <c r="Z6464" s="2" t="s">
        <v>42847</v>
      </c>
      <c r="AA6464" s="2">
        <v>-1.25792879014702</v>
      </c>
      <c r="AB6464" s="2">
        <v>2.7991842297837501E-2</v>
      </c>
      <c r="AC6464" s="2">
        <v>8625.1944371665995</v>
      </c>
      <c r="AD6464" s="2">
        <v>8302.4351277001806</v>
      </c>
      <c r="AE6464" s="2">
        <v>8967.0709165421504</v>
      </c>
      <c r="AF6464" s="2">
        <v>9290.6583632033107</v>
      </c>
      <c r="AG6464" s="2">
        <v>8735.5445841411092</v>
      </c>
      <c r="AH6464" s="2">
        <v>9258.6996512148908</v>
      </c>
      <c r="AI6464" s="2">
        <v>8594.2122566298895</v>
      </c>
      <c r="AJ6464" s="2">
        <v>6904.9808512682803</v>
      </c>
      <c r="AK6464" s="2">
        <v>5996.6420301559201</v>
      </c>
      <c r="AL6464" s="2">
        <v>8918.2104055246691</v>
      </c>
      <c r="AM6464" s="2">
        <v>8019.2575277504102</v>
      </c>
      <c r="AN6464" s="2">
        <v>8060.95204883726</v>
      </c>
      <c r="AO6464" s="2">
        <v>9180.4718353965109</v>
      </c>
      <c r="AP6464" s="2">
        <v>9639.0769185363006</v>
      </c>
    </row>
    <row r="6465" spans="1:42" ht="14.5" x14ac:dyDescent="0.35">
      <c r="A6465" s="2" t="s">
        <v>42848</v>
      </c>
      <c r="B6465" s="2">
        <v>509.004432834954</v>
      </c>
      <c r="C6465" s="2">
        <v>10.0394666666667</v>
      </c>
      <c r="D6465" s="2" t="s">
        <v>70</v>
      </c>
      <c r="E6465" s="2" t="s">
        <v>42849</v>
      </c>
      <c r="F6465" s="2">
        <v>202458</v>
      </c>
      <c r="G6465" s="3" t="str">
        <f>HYPERLINK("http://funmeta.oebiotech.com/network/202458", "http://funmeta.oebiotech.com/network/202458")</f>
        <v>http://funmeta.oebiotech.com/network/202458</v>
      </c>
      <c r="H6465" s="2" t="s">
        <v>42850</v>
      </c>
      <c r="I6465" s="2"/>
      <c r="J6465" s="2"/>
      <c r="K6465" s="2">
        <v>63919</v>
      </c>
      <c r="L6465" s="2"/>
      <c r="M6465" s="2"/>
      <c r="N6465" s="2"/>
      <c r="O6465" s="2"/>
      <c r="P6465" s="2"/>
      <c r="Q6465" s="2" t="s">
        <v>42851</v>
      </c>
      <c r="R6465" s="2" t="s">
        <v>42852</v>
      </c>
      <c r="S6465" s="2" t="s">
        <v>2811</v>
      </c>
      <c r="T6465" s="2" t="s">
        <v>2812</v>
      </c>
      <c r="U6465" s="2" t="s">
        <v>2813</v>
      </c>
      <c r="V6465" s="2" t="s">
        <v>59</v>
      </c>
      <c r="W6465" s="2">
        <v>39</v>
      </c>
      <c r="X6465" s="2">
        <v>0</v>
      </c>
      <c r="Y6465" s="2" t="s">
        <v>408</v>
      </c>
      <c r="Z6465" s="2" t="s">
        <v>42853</v>
      </c>
      <c r="AA6465" s="2">
        <v>-1.4322092276348</v>
      </c>
      <c r="AB6465" s="2">
        <v>2.7943130331358899E-2</v>
      </c>
      <c r="AC6465" s="2">
        <v>5550.0393793564699</v>
      </c>
      <c r="AD6465" s="2">
        <v>5334.16322327751</v>
      </c>
      <c r="AE6465" s="2">
        <v>6296.7135331828204</v>
      </c>
      <c r="AF6465" s="2">
        <v>5679.9350399105997</v>
      </c>
      <c r="AG6465" s="2">
        <v>6216.7407888029302</v>
      </c>
      <c r="AH6465" s="2">
        <v>5243.4876607477399</v>
      </c>
      <c r="AI6465" s="2">
        <v>5145.73268631265</v>
      </c>
      <c r="AJ6465" s="2">
        <v>4717.6265671820602</v>
      </c>
      <c r="AK6465" s="2">
        <v>5781.7331020460697</v>
      </c>
      <c r="AL6465" s="2">
        <v>5756.7569225756397</v>
      </c>
      <c r="AM6465" s="2">
        <v>4893.6206043374796</v>
      </c>
      <c r="AN6465" s="2">
        <v>5077.7603445882996</v>
      </c>
      <c r="AO6465" s="2">
        <v>5425.89056944394</v>
      </c>
      <c r="AP6465" s="2">
        <v>5069.2177966736099</v>
      </c>
    </row>
    <row r="6466" spans="1:42" ht="14.5" x14ac:dyDescent="0.35">
      <c r="A6466" s="2" t="s">
        <v>42854</v>
      </c>
      <c r="B6466" s="2">
        <v>249.159456320347</v>
      </c>
      <c r="C6466" s="2">
        <v>4.4289500000000004</v>
      </c>
      <c r="D6466" s="2" t="s">
        <v>34</v>
      </c>
      <c r="E6466" s="2" t="s">
        <v>42855</v>
      </c>
      <c r="F6466" s="2">
        <v>62186</v>
      </c>
      <c r="G6466" s="3" t="str">
        <f>HYPERLINK("http://funmeta.oebiotech.com/network/62186", "http://funmeta.oebiotech.com/network/62186")</f>
        <v>http://funmeta.oebiotech.com/network/62186</v>
      </c>
      <c r="H6466" s="2" t="s">
        <v>42856</v>
      </c>
      <c r="I6466" s="2">
        <v>93474</v>
      </c>
      <c r="J6466" s="2"/>
      <c r="K6466" s="2">
        <v>157735</v>
      </c>
      <c r="L6466" s="2"/>
      <c r="M6466" s="2"/>
      <c r="N6466" s="2"/>
      <c r="O6466" s="2">
        <v>5373710</v>
      </c>
      <c r="P6466" s="2" t="s">
        <v>42857</v>
      </c>
      <c r="Q6466" s="2" t="s">
        <v>42858</v>
      </c>
      <c r="R6466" s="2" t="s">
        <v>42859</v>
      </c>
      <c r="S6466" s="2" t="s">
        <v>115</v>
      </c>
      <c r="T6466" s="2" t="s">
        <v>116</v>
      </c>
      <c r="U6466" s="2" t="s">
        <v>117</v>
      </c>
      <c r="V6466" s="2" t="s">
        <v>59</v>
      </c>
      <c r="W6466" s="2">
        <v>39</v>
      </c>
      <c r="X6466" s="2">
        <v>0</v>
      </c>
      <c r="Y6466" s="2" t="s">
        <v>43</v>
      </c>
      <c r="Z6466" s="2" t="s">
        <v>42860</v>
      </c>
      <c r="AA6466" s="2">
        <v>-1.28933505696849</v>
      </c>
      <c r="AB6466" s="2">
        <v>2.7919089729933101E-2</v>
      </c>
      <c r="AC6466" s="2">
        <v>2278.3301134672301</v>
      </c>
      <c r="AD6466" s="2">
        <v>2476.9202380260599</v>
      </c>
      <c r="AE6466" s="2">
        <v>2215.3934808685099</v>
      </c>
      <c r="AF6466" s="2">
        <v>3105.88756589389</v>
      </c>
      <c r="AG6466" s="2">
        <v>2213.7792587640201</v>
      </c>
      <c r="AH6466" s="2">
        <v>2098.8664511704701</v>
      </c>
      <c r="AI6466" s="2">
        <v>1956.7407011867899</v>
      </c>
      <c r="AJ6466" s="2">
        <v>2079.3132229196899</v>
      </c>
      <c r="AK6466" s="2">
        <v>2148.9511069680598</v>
      </c>
      <c r="AL6466" s="2">
        <v>2499.9895418686801</v>
      </c>
      <c r="AM6466" s="2">
        <v>3082.3689629626701</v>
      </c>
      <c r="AN6466" s="2">
        <v>2181.06305523745</v>
      </c>
      <c r="AO6466" s="2">
        <v>2227.2455754071002</v>
      </c>
      <c r="AP6466" s="2">
        <v>2721.90318571241</v>
      </c>
    </row>
    <row r="6467" spans="1:42" ht="14.5" x14ac:dyDescent="0.35">
      <c r="A6467" s="2" t="s">
        <v>42861</v>
      </c>
      <c r="B6467" s="2">
        <v>551.30673660474702</v>
      </c>
      <c r="C6467" s="2">
        <v>4.8984333333333296</v>
      </c>
      <c r="D6467" s="2" t="s">
        <v>70</v>
      </c>
      <c r="E6467" s="2" t="s">
        <v>42862</v>
      </c>
      <c r="F6467" s="2">
        <v>205568</v>
      </c>
      <c r="G6467" s="3" t="str">
        <f>HYPERLINK("http://funmeta.oebiotech.com/network/205568", "http://funmeta.oebiotech.com/network/205568")</f>
        <v>http://funmeta.oebiotech.com/network/205568</v>
      </c>
      <c r="H6467" s="2" t="s">
        <v>42863</v>
      </c>
      <c r="I6467" s="2"/>
      <c r="J6467" s="2"/>
      <c r="K6467" s="2"/>
      <c r="L6467" s="2"/>
      <c r="M6467" s="2"/>
      <c r="N6467" s="2"/>
      <c r="O6467" s="2">
        <v>10265467</v>
      </c>
      <c r="P6467" s="2"/>
      <c r="Q6467" s="2" t="s">
        <v>42864</v>
      </c>
      <c r="R6467" s="2" t="s">
        <v>42865</v>
      </c>
      <c r="S6467" s="2" t="s">
        <v>79</v>
      </c>
      <c r="T6467" s="2" t="s">
        <v>80</v>
      </c>
      <c r="U6467" s="2" t="s">
        <v>81</v>
      </c>
      <c r="V6467" s="2" t="s">
        <v>59</v>
      </c>
      <c r="W6467" s="2">
        <v>38.9</v>
      </c>
      <c r="X6467" s="2">
        <v>0</v>
      </c>
      <c r="Y6467" s="2" t="s">
        <v>560</v>
      </c>
      <c r="Z6467" s="2" t="s">
        <v>42866</v>
      </c>
      <c r="AA6467" s="2">
        <v>-1.0210437243488599</v>
      </c>
      <c r="AB6467" s="2">
        <v>2.7915608728218601E-2</v>
      </c>
      <c r="AC6467" s="2">
        <v>21570.564548943701</v>
      </c>
      <c r="AD6467" s="2">
        <v>21083.3961753523</v>
      </c>
      <c r="AE6467" s="2">
        <v>22910.8655293745</v>
      </c>
      <c r="AF6467" s="2">
        <v>18670.785058997299</v>
      </c>
      <c r="AG6467" s="2">
        <v>18886.726466468801</v>
      </c>
      <c r="AH6467" s="2">
        <v>20918.039789464699</v>
      </c>
      <c r="AI6467" s="2">
        <v>25904.672106910999</v>
      </c>
      <c r="AJ6467" s="2">
        <v>22132.298342445902</v>
      </c>
      <c r="AK6467" s="2">
        <v>19840.731495542299</v>
      </c>
      <c r="AL6467" s="2">
        <v>20112.098843833501</v>
      </c>
      <c r="AM6467" s="2">
        <v>21413.8785896109</v>
      </c>
      <c r="AN6467" s="2">
        <v>22309.0384562693</v>
      </c>
      <c r="AO6467" s="2">
        <v>19969.727780084901</v>
      </c>
      <c r="AP6467" s="2">
        <v>22854.901886773099</v>
      </c>
    </row>
    <row r="6468" spans="1:42" ht="14.5" x14ac:dyDescent="0.35">
      <c r="A6468" s="2" t="s">
        <v>42867</v>
      </c>
      <c r="B6468" s="2">
        <v>781.50528375834597</v>
      </c>
      <c r="C6468" s="2">
        <v>9.48586666666667</v>
      </c>
      <c r="D6468" s="2" t="s">
        <v>34</v>
      </c>
      <c r="E6468" s="2" t="s">
        <v>42868</v>
      </c>
      <c r="F6468" s="2">
        <v>82856</v>
      </c>
      <c r="G6468" s="3" t="str">
        <f>HYPERLINK("http://funmeta.oebiotech.com/network/82856", "http://funmeta.oebiotech.com/network/82856")</f>
        <v>http://funmeta.oebiotech.com/network/82856</v>
      </c>
      <c r="H6468" s="2" t="s">
        <v>42869</v>
      </c>
      <c r="I6468" s="2"/>
      <c r="J6468" s="2"/>
      <c r="K6468" s="2"/>
      <c r="L6468" s="2"/>
      <c r="M6468" s="2"/>
      <c r="N6468" s="2"/>
      <c r="O6468" s="2">
        <v>84020</v>
      </c>
      <c r="P6468" s="2"/>
      <c r="Q6468" s="2" t="s">
        <v>42870</v>
      </c>
      <c r="R6468" s="2" t="s">
        <v>42871</v>
      </c>
      <c r="S6468" s="2" t="s">
        <v>79</v>
      </c>
      <c r="T6468" s="2" t="s">
        <v>80</v>
      </c>
      <c r="U6468" s="2" t="s">
        <v>81</v>
      </c>
      <c r="V6468" s="2" t="s">
        <v>59</v>
      </c>
      <c r="W6468" s="2">
        <v>43</v>
      </c>
      <c r="X6468" s="2">
        <v>25.1</v>
      </c>
      <c r="Y6468" s="2" t="s">
        <v>43</v>
      </c>
      <c r="Z6468" s="2" t="s">
        <v>42872</v>
      </c>
      <c r="AA6468" s="2">
        <v>-0.455371267403272</v>
      </c>
      <c r="AB6468" s="2">
        <v>2.7912857378359399E-2</v>
      </c>
      <c r="AC6468" s="2">
        <v>0.15126252390263001</v>
      </c>
      <c r="AD6468" s="2">
        <v>63.453630014328802</v>
      </c>
      <c r="AE6468" s="2">
        <v>2.7106294003980101E-5</v>
      </c>
      <c r="AF6468" s="2">
        <v>0.90743961194575895</v>
      </c>
      <c r="AG6468" s="2">
        <v>2.7106294003980101E-5</v>
      </c>
      <c r="AH6468" s="2">
        <v>2.7106294003980101E-5</v>
      </c>
      <c r="AI6468" s="2">
        <v>2.7106294003980101E-5</v>
      </c>
      <c r="AJ6468" s="2">
        <v>2.7106294003980101E-5</v>
      </c>
      <c r="AK6468" s="2">
        <v>68.383743710292904</v>
      </c>
      <c r="AL6468" s="2">
        <v>75.484548735764093</v>
      </c>
      <c r="AM6468" s="2">
        <v>54.556285308517502</v>
      </c>
      <c r="AN6468" s="2">
        <v>73.210394596665097</v>
      </c>
      <c r="AO6468" s="2">
        <v>109.086780628439</v>
      </c>
      <c r="AP6468" s="2">
        <v>2.7106294003980101E-5</v>
      </c>
    </row>
    <row r="6469" spans="1:42" ht="14.5" x14ac:dyDescent="0.35">
      <c r="A6469" s="2" t="s">
        <v>42873</v>
      </c>
      <c r="B6469" s="2">
        <v>189.16370436708101</v>
      </c>
      <c r="C6469" s="2">
        <v>4.9463833333333298</v>
      </c>
      <c r="D6469" s="2" t="s">
        <v>34</v>
      </c>
      <c r="E6469" s="2" t="s">
        <v>42874</v>
      </c>
      <c r="F6469" s="2">
        <v>205783</v>
      </c>
      <c r="G6469" s="3" t="str">
        <f>HYPERLINK("http://funmeta.oebiotech.com/network/205783", "http://funmeta.oebiotech.com/network/205783")</f>
        <v>http://funmeta.oebiotech.com/network/205783</v>
      </c>
      <c r="H6469" s="2" t="s">
        <v>42875</v>
      </c>
      <c r="I6469" s="2">
        <v>456111</v>
      </c>
      <c r="J6469" s="2"/>
      <c r="K6469" s="2">
        <v>38223</v>
      </c>
      <c r="L6469" s="2"/>
      <c r="M6469" s="2"/>
      <c r="N6469" s="2"/>
      <c r="O6469" s="2">
        <v>123154</v>
      </c>
      <c r="P6469" s="2"/>
      <c r="Q6469" s="2" t="s">
        <v>42876</v>
      </c>
      <c r="R6469" s="2" t="s">
        <v>42877</v>
      </c>
      <c r="S6469" s="2" t="s">
        <v>3194</v>
      </c>
      <c r="T6469" s="2" t="s">
        <v>42878</v>
      </c>
      <c r="U6469" s="2" t="s">
        <v>41</v>
      </c>
      <c r="V6469" s="2" t="s">
        <v>59</v>
      </c>
      <c r="W6469" s="2">
        <v>39.6</v>
      </c>
      <c r="X6469" s="2">
        <v>0</v>
      </c>
      <c r="Y6469" s="2" t="s">
        <v>394</v>
      </c>
      <c r="Z6469" s="2" t="s">
        <v>42879</v>
      </c>
      <c r="AA6469" s="2">
        <v>-0.38641407056085703</v>
      </c>
      <c r="AB6469" s="2">
        <v>2.7887122441159599E-2</v>
      </c>
      <c r="AC6469" s="2">
        <v>1776.7511031525401</v>
      </c>
      <c r="AD6469" s="2">
        <v>1618.65937760575</v>
      </c>
      <c r="AE6469" s="2">
        <v>1617.3378466602101</v>
      </c>
      <c r="AF6469" s="2">
        <v>1966.96620907176</v>
      </c>
      <c r="AG6469" s="2">
        <v>2116.3509135203199</v>
      </c>
      <c r="AH6469" s="2">
        <v>2107.5622223241799</v>
      </c>
      <c r="AI6469" s="2">
        <v>1345.78434385223</v>
      </c>
      <c r="AJ6469" s="2">
        <v>1506.5050834865201</v>
      </c>
      <c r="AK6469" s="2">
        <v>1541.4763132989599</v>
      </c>
      <c r="AL6469" s="2">
        <v>1572.10563142609</v>
      </c>
      <c r="AM6469" s="2">
        <v>1890.85760060706</v>
      </c>
      <c r="AN6469" s="2">
        <v>1756.2903797466199</v>
      </c>
      <c r="AO6469" s="2">
        <v>1515.2696455447699</v>
      </c>
      <c r="AP6469" s="2">
        <v>1435.956695011</v>
      </c>
    </row>
    <row r="6470" spans="1:42" ht="14.5" x14ac:dyDescent="0.35">
      <c r="A6470" s="2" t="s">
        <v>42880</v>
      </c>
      <c r="B6470" s="2">
        <v>937.49241355298602</v>
      </c>
      <c r="C6470" s="2">
        <v>10.509316666666701</v>
      </c>
      <c r="D6470" s="2" t="s">
        <v>34</v>
      </c>
      <c r="E6470" s="2" t="s">
        <v>42881</v>
      </c>
      <c r="F6470" s="2">
        <v>58045</v>
      </c>
      <c r="G6470" s="3" t="str">
        <f>HYPERLINK("http://funmeta.oebiotech.com/network/58045", "http://funmeta.oebiotech.com/network/58045")</f>
        <v>http://funmeta.oebiotech.com/network/58045</v>
      </c>
      <c r="H6470" s="2" t="s">
        <v>42882</v>
      </c>
      <c r="I6470" s="2">
        <v>89593</v>
      </c>
      <c r="J6470" s="2"/>
      <c r="K6470" s="2"/>
      <c r="L6470" s="2"/>
      <c r="M6470" s="2"/>
      <c r="N6470" s="2"/>
      <c r="O6470" s="2">
        <v>131751503</v>
      </c>
      <c r="P6470" s="2"/>
      <c r="Q6470" s="2" t="s">
        <v>42883</v>
      </c>
      <c r="R6470" s="2" t="s">
        <v>42884</v>
      </c>
      <c r="S6470" s="2" t="s">
        <v>50</v>
      </c>
      <c r="T6470" s="2" t="s">
        <v>124</v>
      </c>
      <c r="U6470" s="2" t="s">
        <v>5761</v>
      </c>
      <c r="V6470" s="2" t="s">
        <v>59</v>
      </c>
      <c r="W6470" s="2">
        <v>37.799999999999997</v>
      </c>
      <c r="X6470" s="2">
        <v>0</v>
      </c>
      <c r="Y6470" s="2" t="s">
        <v>340</v>
      </c>
      <c r="Z6470" s="2" t="s">
        <v>42885</v>
      </c>
      <c r="AA6470" s="2">
        <v>0.29944339096604999</v>
      </c>
      <c r="AB6470" s="2">
        <v>2.7886699483254701E-2</v>
      </c>
      <c r="AC6470" s="2">
        <v>6070.2389668624601</v>
      </c>
      <c r="AD6470" s="2">
        <v>6426.4387724643802</v>
      </c>
      <c r="AE6470" s="2">
        <v>4578.4090080851201</v>
      </c>
      <c r="AF6470" s="2">
        <v>4424.8026261245004</v>
      </c>
      <c r="AG6470" s="2">
        <v>5751.5615452372604</v>
      </c>
      <c r="AH6470" s="2">
        <v>8302.2497502747592</v>
      </c>
      <c r="AI6470" s="2">
        <v>8678.1256732381007</v>
      </c>
      <c r="AJ6470" s="2">
        <v>4686.2851982150396</v>
      </c>
      <c r="AK6470" s="2">
        <v>7880.7685358539802</v>
      </c>
      <c r="AL6470" s="2">
        <v>5647.8099910250603</v>
      </c>
      <c r="AM6470" s="2">
        <v>5693.6373579958899</v>
      </c>
      <c r="AN6470" s="2">
        <v>5800.7351966054002</v>
      </c>
      <c r="AO6470" s="2">
        <v>6654.4398031535102</v>
      </c>
      <c r="AP6470" s="2">
        <v>6881.2417501524696</v>
      </c>
    </row>
    <row r="6471" spans="1:42" ht="14.5" x14ac:dyDescent="0.35">
      <c r="A6471" s="2" t="s">
        <v>42886</v>
      </c>
      <c r="B6471" s="2">
        <v>955.20349522376</v>
      </c>
      <c r="C6471" s="2">
        <v>8.7225666666666708</v>
      </c>
      <c r="D6471" s="2" t="s">
        <v>70</v>
      </c>
      <c r="E6471" s="2" t="s">
        <v>42887</v>
      </c>
      <c r="F6471" s="2">
        <v>7981</v>
      </c>
      <c r="G6471" s="3" t="str">
        <f>HYPERLINK("http://funmeta.oebiotech.com/network/7981", "http://funmeta.oebiotech.com/network/7981")</f>
        <v>http://funmeta.oebiotech.com/network/7981</v>
      </c>
      <c r="H6471" s="2"/>
      <c r="I6471" s="2"/>
      <c r="J6471" s="2" t="s">
        <v>42888</v>
      </c>
      <c r="K6471" s="2">
        <v>41482</v>
      </c>
      <c r="L6471" s="2"/>
      <c r="M6471" s="2"/>
      <c r="N6471" s="2"/>
      <c r="O6471" s="2">
        <v>5287894</v>
      </c>
      <c r="P6471" s="2"/>
      <c r="Q6471" s="2" t="s">
        <v>42889</v>
      </c>
      <c r="R6471" s="2" t="s">
        <v>42890</v>
      </c>
      <c r="S6471" s="2" t="s">
        <v>50</v>
      </c>
      <c r="T6471" s="2" t="s">
        <v>229</v>
      </c>
      <c r="U6471" s="2" t="s">
        <v>10433</v>
      </c>
      <c r="V6471" s="2" t="s">
        <v>59</v>
      </c>
      <c r="W6471" s="2">
        <v>36.1</v>
      </c>
      <c r="X6471" s="2">
        <v>0</v>
      </c>
      <c r="Y6471" s="2" t="s">
        <v>408</v>
      </c>
      <c r="Z6471" s="2" t="s">
        <v>42891</v>
      </c>
      <c r="AA6471" s="2">
        <v>-4.9936816343103896</v>
      </c>
      <c r="AB6471" s="2">
        <v>2.7762999196055699E-2</v>
      </c>
      <c r="AC6471" s="2">
        <v>44219.608108941902</v>
      </c>
      <c r="AD6471" s="2">
        <v>44733.947232567698</v>
      </c>
      <c r="AE6471" s="2">
        <v>45866.826330259901</v>
      </c>
      <c r="AF6471" s="2">
        <v>39789.222619427303</v>
      </c>
      <c r="AG6471" s="2">
        <v>45405.838476597397</v>
      </c>
      <c r="AH6471" s="2">
        <v>40876.311980357801</v>
      </c>
      <c r="AI6471" s="2">
        <v>46571.833093353896</v>
      </c>
      <c r="AJ6471" s="2">
        <v>46807.616153655203</v>
      </c>
      <c r="AK6471" s="2">
        <v>42791.925953530001</v>
      </c>
      <c r="AL6471" s="2">
        <v>49905.482826083098</v>
      </c>
      <c r="AM6471" s="2">
        <v>44891.896897942497</v>
      </c>
      <c r="AN6471" s="2">
        <v>44328.020641507603</v>
      </c>
      <c r="AO6471" s="2">
        <v>44641.119912877199</v>
      </c>
      <c r="AP6471" s="2">
        <v>41845.237163465703</v>
      </c>
    </row>
    <row r="6472" spans="1:42" ht="14.5" x14ac:dyDescent="0.35">
      <c r="A6472" s="2" t="s">
        <v>42892</v>
      </c>
      <c r="B6472" s="2">
        <v>725.17187409119799</v>
      </c>
      <c r="C6472" s="2">
        <v>3.9315333333333302</v>
      </c>
      <c r="D6472" s="2" t="s">
        <v>34</v>
      </c>
      <c r="E6472" s="2" t="s">
        <v>42893</v>
      </c>
      <c r="F6472" s="2">
        <v>30664</v>
      </c>
      <c r="G6472" s="3" t="str">
        <f>HYPERLINK("http://funmeta.oebiotech.com/network/30664", "http://funmeta.oebiotech.com/network/30664")</f>
        <v>http://funmeta.oebiotech.com/network/30664</v>
      </c>
      <c r="H6472" s="2"/>
      <c r="I6472" s="2"/>
      <c r="J6472" s="2" t="s">
        <v>42894</v>
      </c>
      <c r="K6472" s="2"/>
      <c r="L6472" s="2"/>
      <c r="M6472" s="2"/>
      <c r="N6472" s="2"/>
      <c r="O6472" s="2">
        <v>25080062</v>
      </c>
      <c r="P6472" s="2"/>
      <c r="Q6472" s="2" t="s">
        <v>42895</v>
      </c>
      <c r="R6472" s="2" t="s">
        <v>42896</v>
      </c>
      <c r="S6472" s="2" t="s">
        <v>115</v>
      </c>
      <c r="T6472" s="2" t="s">
        <v>139</v>
      </c>
      <c r="U6472" s="2" t="s">
        <v>140</v>
      </c>
      <c r="V6472" s="2" t="s">
        <v>59</v>
      </c>
      <c r="W6472" s="2">
        <v>36.799999999999997</v>
      </c>
      <c r="X6472" s="2">
        <v>0</v>
      </c>
      <c r="Y6472" s="2" t="s">
        <v>141</v>
      </c>
      <c r="Z6472" s="2" t="s">
        <v>42897</v>
      </c>
      <c r="AA6472" s="2">
        <v>0.87324305223889198</v>
      </c>
      <c r="AB6472" s="2">
        <v>2.77372246756094E-2</v>
      </c>
      <c r="AC6472" s="2">
        <v>39337.8330246728</v>
      </c>
      <c r="AD6472" s="2">
        <v>38711.065313814302</v>
      </c>
      <c r="AE6472" s="2">
        <v>39772.791064065503</v>
      </c>
      <c r="AF6472" s="2">
        <v>39014.059378067301</v>
      </c>
      <c r="AG6472" s="2">
        <v>46184.374183387903</v>
      </c>
      <c r="AH6472" s="2">
        <v>42054.0118555261</v>
      </c>
      <c r="AI6472" s="2">
        <v>29139.2224311957</v>
      </c>
      <c r="AJ6472" s="2">
        <v>39862.539235794102</v>
      </c>
      <c r="AK6472" s="2">
        <v>35067.237673209303</v>
      </c>
      <c r="AL6472" s="2">
        <v>42572.090314664398</v>
      </c>
      <c r="AM6472" s="2">
        <v>35535.560424858697</v>
      </c>
      <c r="AN6472" s="2">
        <v>33539.999300722098</v>
      </c>
      <c r="AO6472" s="2">
        <v>47790.891740596999</v>
      </c>
      <c r="AP6472" s="2">
        <v>37760.612428834298</v>
      </c>
    </row>
    <row r="6473" spans="1:42" ht="14.5" x14ac:dyDescent="0.35">
      <c r="A6473" s="2" t="s">
        <v>42898</v>
      </c>
      <c r="B6473" s="2">
        <v>619.24732251656201</v>
      </c>
      <c r="C6473" s="2">
        <v>11.5637666666667</v>
      </c>
      <c r="D6473" s="2" t="s">
        <v>70</v>
      </c>
      <c r="E6473" s="2" t="s">
        <v>42899</v>
      </c>
      <c r="F6473" s="2">
        <v>82851</v>
      </c>
      <c r="G6473" s="3" t="str">
        <f>HYPERLINK("http://funmeta.oebiotech.com/network/82851", "http://funmeta.oebiotech.com/network/82851")</f>
        <v>http://funmeta.oebiotech.com/network/82851</v>
      </c>
      <c r="H6473" s="2" t="s">
        <v>42900</v>
      </c>
      <c r="I6473" s="2"/>
      <c r="J6473" s="2"/>
      <c r="K6473" s="2">
        <v>168285</v>
      </c>
      <c r="L6473" s="2"/>
      <c r="M6473" s="2"/>
      <c r="N6473" s="2"/>
      <c r="O6473" s="2">
        <v>3364535</v>
      </c>
      <c r="P6473" s="2"/>
      <c r="Q6473" s="2" t="s">
        <v>42901</v>
      </c>
      <c r="R6473" s="2" t="s">
        <v>42902</v>
      </c>
      <c r="S6473" s="2" t="s">
        <v>491</v>
      </c>
      <c r="T6473" s="2" t="s">
        <v>12893</v>
      </c>
      <c r="U6473" s="2" t="s">
        <v>12894</v>
      </c>
      <c r="V6473" s="2" t="s">
        <v>59</v>
      </c>
      <c r="W6473" s="2">
        <v>37</v>
      </c>
      <c r="X6473" s="2">
        <v>0</v>
      </c>
      <c r="Y6473" s="2" t="s">
        <v>408</v>
      </c>
      <c r="Z6473" s="2" t="s">
        <v>42903</v>
      </c>
      <c r="AA6473" s="2">
        <v>2.09766047171731</v>
      </c>
      <c r="AB6473" s="2">
        <v>2.77236684344268E-2</v>
      </c>
      <c r="AC6473" s="2">
        <v>2676.71835897953</v>
      </c>
      <c r="AD6473" s="2">
        <v>3001.1377432550598</v>
      </c>
      <c r="AE6473" s="2">
        <v>3464.3040422240101</v>
      </c>
      <c r="AF6473" s="2">
        <v>2838.3744031914998</v>
      </c>
      <c r="AG6473" s="2">
        <v>2999.7393919319102</v>
      </c>
      <c r="AH6473" s="2">
        <v>2115.9738281453701</v>
      </c>
      <c r="AI6473" s="2">
        <v>2333.3004540939901</v>
      </c>
      <c r="AJ6473" s="2">
        <v>2308.6180342903899</v>
      </c>
      <c r="AK6473" s="2">
        <v>1080.85033425457</v>
      </c>
      <c r="AL6473" s="2">
        <v>2790.1485273079502</v>
      </c>
      <c r="AM6473" s="2">
        <v>3714.5060250786701</v>
      </c>
      <c r="AN6473" s="2">
        <v>2060.6632936859</v>
      </c>
      <c r="AO6473" s="2">
        <v>5458.7845811873603</v>
      </c>
      <c r="AP6473" s="2">
        <v>2901.8736980159101</v>
      </c>
    </row>
    <row r="6474" spans="1:42" ht="14.5" x14ac:dyDescent="0.35">
      <c r="A6474" s="2" t="s">
        <v>42904</v>
      </c>
      <c r="B6474" s="2">
        <v>291.26792879762502</v>
      </c>
      <c r="C6474" s="2">
        <v>7.4977999999999998</v>
      </c>
      <c r="D6474" s="2" t="s">
        <v>34</v>
      </c>
      <c r="E6474" s="2" t="s">
        <v>42905</v>
      </c>
      <c r="F6474" s="2">
        <v>35832</v>
      </c>
      <c r="G6474" s="3" t="str">
        <f>HYPERLINK("http://funmeta.oebiotech.com/network/35832", "http://funmeta.oebiotech.com/network/35832")</f>
        <v>http://funmeta.oebiotech.com/network/35832</v>
      </c>
      <c r="H6474" s="2"/>
      <c r="I6474" s="2">
        <v>53578</v>
      </c>
      <c r="J6474" s="2" t="s">
        <v>42906</v>
      </c>
      <c r="K6474" s="2">
        <v>46762</v>
      </c>
      <c r="L6474" s="2" t="s">
        <v>42907</v>
      </c>
      <c r="M6474" s="2" t="s">
        <v>236</v>
      </c>
      <c r="N6474" s="2" t="s">
        <v>237</v>
      </c>
      <c r="O6474" s="2">
        <v>5281365</v>
      </c>
      <c r="P6474" s="2" t="s">
        <v>42908</v>
      </c>
      <c r="Q6474" s="2" t="s">
        <v>42909</v>
      </c>
      <c r="R6474" s="2" t="s">
        <v>42910</v>
      </c>
      <c r="S6474" s="2" t="s">
        <v>50</v>
      </c>
      <c r="T6474" s="2" t="s">
        <v>201</v>
      </c>
      <c r="U6474" s="2" t="s">
        <v>241</v>
      </c>
      <c r="V6474" s="2" t="s">
        <v>59</v>
      </c>
      <c r="W6474" s="2">
        <v>38.200000000000003</v>
      </c>
      <c r="X6474" s="2">
        <v>0</v>
      </c>
      <c r="Y6474" s="2" t="s">
        <v>266</v>
      </c>
      <c r="Z6474" s="2" t="s">
        <v>30872</v>
      </c>
      <c r="AA6474" s="2">
        <v>-1.07952619309195</v>
      </c>
      <c r="AB6474" s="2">
        <v>2.7715228788539999E-2</v>
      </c>
      <c r="AC6474" s="2">
        <v>116.28131979867101</v>
      </c>
      <c r="AD6474" s="2">
        <v>2.7106294003980101E-5</v>
      </c>
      <c r="AE6474" s="2">
        <v>2.7106294003980101E-5</v>
      </c>
      <c r="AF6474" s="2">
        <v>406.318837454353</v>
      </c>
      <c r="AG6474" s="2">
        <v>2.7106294003980101E-5</v>
      </c>
      <c r="AH6474" s="2">
        <v>2.7106294003980101E-5</v>
      </c>
      <c r="AI6474" s="2">
        <v>291.368972912495</v>
      </c>
      <c r="AJ6474" s="2">
        <v>2.7106294003980101E-5</v>
      </c>
      <c r="AK6474" s="2">
        <v>2.7106294003980101E-5</v>
      </c>
      <c r="AL6474" s="2">
        <v>2.7106294003980101E-5</v>
      </c>
      <c r="AM6474" s="2">
        <v>2.7106294003980101E-5</v>
      </c>
      <c r="AN6474" s="2">
        <v>2.7106294003980101E-5</v>
      </c>
      <c r="AO6474" s="2">
        <v>2.7106294003980101E-5</v>
      </c>
      <c r="AP6474" s="2">
        <v>2.7106294003980101E-5</v>
      </c>
    </row>
    <row r="6475" spans="1:42" ht="14.5" x14ac:dyDescent="0.35">
      <c r="A6475" s="2" t="s">
        <v>42911</v>
      </c>
      <c r="B6475" s="2">
        <v>650.36766469274301</v>
      </c>
      <c r="C6475" s="2">
        <v>9.4084666666666692</v>
      </c>
      <c r="D6475" s="2" t="s">
        <v>70</v>
      </c>
      <c r="E6475" s="2" t="s">
        <v>42912</v>
      </c>
      <c r="F6475" s="2">
        <v>27842</v>
      </c>
      <c r="G6475" s="3" t="str">
        <f>HYPERLINK("http://funmeta.oebiotech.com/network/27842", "http://funmeta.oebiotech.com/network/27842")</f>
        <v>http://funmeta.oebiotech.com/network/27842</v>
      </c>
      <c r="H6475" s="2"/>
      <c r="I6475" s="2"/>
      <c r="J6475" s="2" t="s">
        <v>42913</v>
      </c>
      <c r="K6475" s="2"/>
      <c r="L6475" s="2"/>
      <c r="M6475" s="2"/>
      <c r="N6475" s="2"/>
      <c r="O6475" s="2">
        <v>134812295</v>
      </c>
      <c r="P6475" s="2"/>
      <c r="Q6475" s="2" t="s">
        <v>42914</v>
      </c>
      <c r="R6475" s="2" t="s">
        <v>42915</v>
      </c>
      <c r="S6475" s="2" t="s">
        <v>50</v>
      </c>
      <c r="T6475" s="2" t="s">
        <v>51</v>
      </c>
      <c r="U6475" s="2" t="s">
        <v>168</v>
      </c>
      <c r="V6475" s="2" t="s">
        <v>59</v>
      </c>
      <c r="W6475" s="2">
        <v>37</v>
      </c>
      <c r="X6475" s="2">
        <v>0</v>
      </c>
      <c r="Y6475" s="2" t="s">
        <v>408</v>
      </c>
      <c r="Z6475" s="2" t="s">
        <v>42916</v>
      </c>
      <c r="AA6475" s="2">
        <v>0.31850969742257301</v>
      </c>
      <c r="AB6475" s="2">
        <v>2.76878817906955E-2</v>
      </c>
      <c r="AC6475" s="2">
        <v>938.84434025450696</v>
      </c>
      <c r="AD6475" s="2">
        <v>1123.72917553104</v>
      </c>
      <c r="AE6475" s="2">
        <v>1103.07196699001</v>
      </c>
      <c r="AF6475" s="2">
        <v>1589.93498695361</v>
      </c>
      <c r="AG6475" s="2">
        <v>680.72064102828301</v>
      </c>
      <c r="AH6475" s="2">
        <v>504.565741589872</v>
      </c>
      <c r="AI6475" s="2">
        <v>1169.42182139387</v>
      </c>
      <c r="AJ6475" s="2">
        <v>585.35088357139705</v>
      </c>
      <c r="AK6475" s="2">
        <v>1050.4635245198899</v>
      </c>
      <c r="AL6475" s="2">
        <v>820.63490597650002</v>
      </c>
      <c r="AM6475" s="2">
        <v>1032.5483342176401</v>
      </c>
      <c r="AN6475" s="2">
        <v>902.41831338411998</v>
      </c>
      <c r="AO6475" s="2">
        <v>1589.10149136519</v>
      </c>
      <c r="AP6475" s="2">
        <v>1347.2084837229099</v>
      </c>
    </row>
    <row r="6476" spans="1:42" ht="14.5" x14ac:dyDescent="0.35">
      <c r="A6476" s="2" t="s">
        <v>42917</v>
      </c>
      <c r="B6476" s="2">
        <v>406.14960439525498</v>
      </c>
      <c r="C6476" s="2">
        <v>3.7521499999999999</v>
      </c>
      <c r="D6476" s="2" t="s">
        <v>34</v>
      </c>
      <c r="E6476" s="2" t="s">
        <v>42918</v>
      </c>
      <c r="F6476" s="2">
        <v>282343</v>
      </c>
      <c r="G6476" s="3" t="str">
        <f>HYPERLINK("http://funmeta.oebiotech.com/network/282343", "http://funmeta.oebiotech.com/network/282343")</f>
        <v>http://funmeta.oebiotech.com/network/282343</v>
      </c>
      <c r="H6476" s="2"/>
      <c r="I6476" s="2">
        <v>358832</v>
      </c>
      <c r="J6476" s="2"/>
      <c r="K6476" s="2"/>
      <c r="L6476" s="2"/>
      <c r="M6476" s="2"/>
      <c r="N6476" s="2"/>
      <c r="O6476" s="2">
        <v>53438700</v>
      </c>
      <c r="P6476" s="2"/>
      <c r="Q6476" s="2" t="s">
        <v>42919</v>
      </c>
      <c r="R6476" s="2" t="s">
        <v>42920</v>
      </c>
      <c r="S6476" s="2" t="s">
        <v>41</v>
      </c>
      <c r="T6476" s="2" t="s">
        <v>41</v>
      </c>
      <c r="U6476" s="2" t="s">
        <v>41</v>
      </c>
      <c r="V6476" s="2" t="s">
        <v>59</v>
      </c>
      <c r="W6476" s="2">
        <v>38.299999999999997</v>
      </c>
      <c r="X6476" s="2">
        <v>0</v>
      </c>
      <c r="Y6476" s="2" t="s">
        <v>43</v>
      </c>
      <c r="Z6476" s="2" t="s">
        <v>42921</v>
      </c>
      <c r="AA6476" s="2">
        <v>-9.9796564948770594E-2</v>
      </c>
      <c r="AB6476" s="2">
        <v>2.7648679475213399E-2</v>
      </c>
      <c r="AC6476" s="2">
        <v>570.59331598629501</v>
      </c>
      <c r="AD6476" s="2">
        <v>418.30186542855699</v>
      </c>
      <c r="AE6476" s="2">
        <v>769.60750147570195</v>
      </c>
      <c r="AF6476" s="2">
        <v>835.98237258819597</v>
      </c>
      <c r="AG6476" s="2">
        <v>495.69029550205403</v>
      </c>
      <c r="AH6476" s="2">
        <v>581.52342383886401</v>
      </c>
      <c r="AI6476" s="2">
        <v>2.7106294003980101E-5</v>
      </c>
      <c r="AJ6476" s="2">
        <v>740.75627540665903</v>
      </c>
      <c r="AK6476" s="2">
        <v>314.863526216173</v>
      </c>
      <c r="AL6476" s="2">
        <v>594.50117935966796</v>
      </c>
      <c r="AM6476" s="2">
        <v>239.66447701693301</v>
      </c>
      <c r="AN6476" s="2">
        <v>536.25245495873196</v>
      </c>
      <c r="AO6476" s="2">
        <v>196.45428583587901</v>
      </c>
      <c r="AP6476" s="2">
        <v>628.07526918395604</v>
      </c>
    </row>
    <row r="6477" spans="1:42" ht="14.5" x14ac:dyDescent="0.35">
      <c r="A6477" s="2" t="s">
        <v>42922</v>
      </c>
      <c r="B6477" s="2">
        <v>144.080849354766</v>
      </c>
      <c r="C6477" s="2">
        <v>4.5826500000000001</v>
      </c>
      <c r="D6477" s="2" t="s">
        <v>34</v>
      </c>
      <c r="E6477" s="2" t="s">
        <v>42923</v>
      </c>
      <c r="F6477" s="2">
        <v>64854</v>
      </c>
      <c r="G6477" s="3" t="str">
        <f>HYPERLINK("http://funmeta.oebiotech.com/network/64854", "http://funmeta.oebiotech.com/network/64854")</f>
        <v>http://funmeta.oebiotech.com/network/64854</v>
      </c>
      <c r="H6477" s="2" t="s">
        <v>42924</v>
      </c>
      <c r="I6477" s="2">
        <v>65732</v>
      </c>
      <c r="J6477" s="2"/>
      <c r="K6477" s="2">
        <v>27878</v>
      </c>
      <c r="L6477" s="2" t="s">
        <v>42925</v>
      </c>
      <c r="M6477" s="2"/>
      <c r="N6477" s="2"/>
      <c r="O6477" s="2">
        <v>7057</v>
      </c>
      <c r="P6477" s="2" t="s">
        <v>42926</v>
      </c>
      <c r="Q6477" s="2" t="s">
        <v>42927</v>
      </c>
      <c r="R6477" s="2" t="s">
        <v>42928</v>
      </c>
      <c r="S6477" s="2" t="s">
        <v>148</v>
      </c>
      <c r="T6477" s="2" t="s">
        <v>6221</v>
      </c>
      <c r="U6477" s="2" t="s">
        <v>41</v>
      </c>
      <c r="V6477" s="2" t="s">
        <v>59</v>
      </c>
      <c r="W6477" s="2">
        <v>38.9</v>
      </c>
      <c r="X6477" s="2">
        <v>0</v>
      </c>
      <c r="Y6477" s="2" t="s">
        <v>394</v>
      </c>
      <c r="Z6477" s="2" t="s">
        <v>42929</v>
      </c>
      <c r="AA6477" s="2">
        <v>0.51462595384111998</v>
      </c>
      <c r="AB6477" s="2">
        <v>2.7629228101141198E-2</v>
      </c>
      <c r="AC6477" s="2">
        <v>2409.54573269818</v>
      </c>
      <c r="AD6477" s="2">
        <v>2256.9627947578301</v>
      </c>
      <c r="AE6477" s="2">
        <v>2091.3128370332602</v>
      </c>
      <c r="AF6477" s="2">
        <v>2565.15160799148</v>
      </c>
      <c r="AG6477" s="2">
        <v>2440.1207025201502</v>
      </c>
      <c r="AH6477" s="2">
        <v>2321.0654957962201</v>
      </c>
      <c r="AI6477" s="2">
        <v>2597.7236094397499</v>
      </c>
      <c r="AJ6477" s="2">
        <v>2441.9001434082302</v>
      </c>
      <c r="AK6477" s="2">
        <v>2076.84774618143</v>
      </c>
      <c r="AL6477" s="2">
        <v>2337.4557673526801</v>
      </c>
      <c r="AM6477" s="2">
        <v>1877.44819544763</v>
      </c>
      <c r="AN6477" s="2">
        <v>2699.50006187585</v>
      </c>
      <c r="AO6477" s="2">
        <v>2267.2319027571698</v>
      </c>
      <c r="AP6477" s="2">
        <v>2283.2930949321899</v>
      </c>
    </row>
    <row r="6478" spans="1:42" ht="14.5" x14ac:dyDescent="0.35">
      <c r="A6478" s="2" t="s">
        <v>42930</v>
      </c>
      <c r="B6478" s="2">
        <v>219.076898205871</v>
      </c>
      <c r="C6478" s="2">
        <v>1.20376666666667</v>
      </c>
      <c r="D6478" s="2" t="s">
        <v>70</v>
      </c>
      <c r="E6478" s="2" t="s">
        <v>42931</v>
      </c>
      <c r="F6478" s="2">
        <v>54636</v>
      </c>
      <c r="G6478" s="3" t="str">
        <f>HYPERLINK("http://funmeta.oebiotech.com/network/54636", "http://funmeta.oebiotech.com/network/54636")</f>
        <v>http://funmeta.oebiotech.com/network/54636</v>
      </c>
      <c r="H6478" s="2" t="s">
        <v>42932</v>
      </c>
      <c r="I6478" s="2">
        <v>3302</v>
      </c>
      <c r="J6478" s="2"/>
      <c r="K6478" s="2">
        <v>16031</v>
      </c>
      <c r="L6478" s="2" t="s">
        <v>42933</v>
      </c>
      <c r="M6478" s="2" t="s">
        <v>17784</v>
      </c>
      <c r="N6478" s="2" t="s">
        <v>17785</v>
      </c>
      <c r="O6478" s="2">
        <v>397</v>
      </c>
      <c r="P6478" s="2" t="s">
        <v>42934</v>
      </c>
      <c r="Q6478" s="2" t="s">
        <v>42935</v>
      </c>
      <c r="R6478" s="2" t="s">
        <v>42936</v>
      </c>
      <c r="S6478" s="2" t="s">
        <v>491</v>
      </c>
      <c r="T6478" s="2" t="s">
        <v>2184</v>
      </c>
      <c r="U6478" s="2" t="s">
        <v>3838</v>
      </c>
      <c r="V6478" s="2" t="s">
        <v>59</v>
      </c>
      <c r="W6478" s="2">
        <v>38.5</v>
      </c>
      <c r="X6478" s="2">
        <v>0</v>
      </c>
      <c r="Y6478" s="2" t="s">
        <v>408</v>
      </c>
      <c r="Z6478" s="2" t="s">
        <v>42937</v>
      </c>
      <c r="AA6478" s="2">
        <v>-3.5478884821246202</v>
      </c>
      <c r="AB6478" s="2">
        <v>2.75745234822155E-2</v>
      </c>
      <c r="AC6478" s="2">
        <v>456.73852718235599</v>
      </c>
      <c r="AD6478" s="2">
        <v>350.50471551815099</v>
      </c>
      <c r="AE6478" s="2">
        <v>393.61930559874497</v>
      </c>
      <c r="AF6478" s="2">
        <v>328.56228902404501</v>
      </c>
      <c r="AG6478" s="2">
        <v>359.00007265348501</v>
      </c>
      <c r="AH6478" s="2">
        <v>512.42234890370298</v>
      </c>
      <c r="AI6478" s="2">
        <v>593.94267567332599</v>
      </c>
      <c r="AJ6478" s="2">
        <v>552.88447124083302</v>
      </c>
      <c r="AK6478" s="2">
        <v>303.57006378276998</v>
      </c>
      <c r="AL6478" s="2">
        <v>263.71589980857402</v>
      </c>
      <c r="AM6478" s="2">
        <v>358.86494983524699</v>
      </c>
      <c r="AN6478" s="2">
        <v>242.37327384225699</v>
      </c>
      <c r="AO6478" s="2">
        <v>432.929429399497</v>
      </c>
      <c r="AP6478" s="2">
        <v>501.57467644056101</v>
      </c>
    </row>
    <row r="6479" spans="1:42" ht="14.5" x14ac:dyDescent="0.35">
      <c r="A6479" s="2" t="s">
        <v>42938</v>
      </c>
      <c r="B6479" s="2">
        <v>144.08084933259499</v>
      </c>
      <c r="C6479" s="2">
        <v>4.7541500000000001</v>
      </c>
      <c r="D6479" s="2" t="s">
        <v>34</v>
      </c>
      <c r="E6479" s="2" t="s">
        <v>42939</v>
      </c>
      <c r="F6479" s="2">
        <v>48105</v>
      </c>
      <c r="G6479" s="3" t="str">
        <f>HYPERLINK("http://funmeta.oebiotech.com/network/48105", "http://funmeta.oebiotech.com/network/48105")</f>
        <v>http://funmeta.oebiotech.com/network/48105</v>
      </c>
      <c r="H6479" s="2" t="s">
        <v>42940</v>
      </c>
      <c r="I6479" s="2">
        <v>6932</v>
      </c>
      <c r="J6479" s="2"/>
      <c r="K6479" s="2">
        <v>17890</v>
      </c>
      <c r="L6479" s="2" t="s">
        <v>42941</v>
      </c>
      <c r="M6479" s="2" t="s">
        <v>17784</v>
      </c>
      <c r="N6479" s="2" t="s">
        <v>17785</v>
      </c>
      <c r="O6479" s="2">
        <v>10685</v>
      </c>
      <c r="P6479" s="2" t="s">
        <v>42942</v>
      </c>
      <c r="Q6479" s="2" t="s">
        <v>42943</v>
      </c>
      <c r="R6479" s="2" t="s">
        <v>42944</v>
      </c>
      <c r="S6479" s="2" t="s">
        <v>491</v>
      </c>
      <c r="T6479" s="2" t="s">
        <v>2184</v>
      </c>
      <c r="U6479" s="2" t="s">
        <v>3838</v>
      </c>
      <c r="V6479" s="2" t="s">
        <v>59</v>
      </c>
      <c r="W6479" s="2">
        <v>38.6</v>
      </c>
      <c r="X6479" s="2">
        <v>0</v>
      </c>
      <c r="Y6479" s="2" t="s">
        <v>266</v>
      </c>
      <c r="Z6479" s="2" t="s">
        <v>42945</v>
      </c>
      <c r="AA6479" s="2">
        <v>0.456938215825474</v>
      </c>
      <c r="AB6479" s="2">
        <v>2.7485808828697101E-2</v>
      </c>
      <c r="AC6479" s="2">
        <v>2967.1217488750399</v>
      </c>
      <c r="AD6479" s="2">
        <v>2771.3233741179902</v>
      </c>
      <c r="AE6479" s="2">
        <v>2464.1461152811198</v>
      </c>
      <c r="AF6479" s="2">
        <v>3260.7465607588301</v>
      </c>
      <c r="AG6479" s="2">
        <v>2754.3527329518201</v>
      </c>
      <c r="AH6479" s="2">
        <v>3446.8731110990402</v>
      </c>
      <c r="AI6479" s="2">
        <v>3355.7229569902902</v>
      </c>
      <c r="AJ6479" s="2">
        <v>2520.8890161691202</v>
      </c>
      <c r="AK6479" s="2">
        <v>2444.9458127666699</v>
      </c>
      <c r="AL6479" s="2">
        <v>2351.5747514862801</v>
      </c>
      <c r="AM6479" s="2">
        <v>2896.3864366379598</v>
      </c>
      <c r="AN6479" s="2">
        <v>2757.5111967067401</v>
      </c>
      <c r="AO6479" s="2">
        <v>3252.34606425742</v>
      </c>
      <c r="AP6479" s="2">
        <v>2925.1759828528502</v>
      </c>
    </row>
    <row r="6480" spans="1:42" ht="14.5" x14ac:dyDescent="0.35">
      <c r="A6480" s="2" t="s">
        <v>42946</v>
      </c>
      <c r="B6480" s="2">
        <v>432.03720093469002</v>
      </c>
      <c r="C6480" s="2">
        <v>4.0355999999999996</v>
      </c>
      <c r="D6480" s="2" t="s">
        <v>34</v>
      </c>
      <c r="E6480" s="2" t="s">
        <v>42947</v>
      </c>
      <c r="F6480" s="2">
        <v>274483</v>
      </c>
      <c r="G6480" s="3" t="str">
        <f>HYPERLINK("http://funmeta.oebiotech.com/network/274483", "http://funmeta.oebiotech.com/network/274483")</f>
        <v>http://funmeta.oebiotech.com/network/274483</v>
      </c>
      <c r="H6480" s="2"/>
      <c r="I6480" s="2">
        <v>64523</v>
      </c>
      <c r="J6480" s="2"/>
      <c r="K6480" s="2"/>
      <c r="L6480" s="2" t="s">
        <v>42948</v>
      </c>
      <c r="M6480" s="2" t="s">
        <v>42124</v>
      </c>
      <c r="N6480" s="2" t="s">
        <v>42125</v>
      </c>
      <c r="O6480" s="2">
        <v>656498</v>
      </c>
      <c r="P6480" s="2" t="s">
        <v>42949</v>
      </c>
      <c r="Q6480" s="2" t="s">
        <v>42950</v>
      </c>
      <c r="R6480" s="2" t="s">
        <v>42951</v>
      </c>
      <c r="S6480" s="2" t="s">
        <v>79</v>
      </c>
      <c r="T6480" s="2" t="s">
        <v>80</v>
      </c>
      <c r="U6480" s="2" t="s">
        <v>81</v>
      </c>
      <c r="V6480" s="2" t="s">
        <v>59</v>
      </c>
      <c r="W6480" s="2">
        <v>36.200000000000003</v>
      </c>
      <c r="X6480" s="2">
        <v>0</v>
      </c>
      <c r="Y6480" s="2" t="s">
        <v>323</v>
      </c>
      <c r="Z6480" s="2" t="s">
        <v>42952</v>
      </c>
      <c r="AA6480" s="2">
        <v>-5.2388090312015603</v>
      </c>
      <c r="AB6480" s="2">
        <v>2.7471394333945499E-2</v>
      </c>
      <c r="AC6480" s="2">
        <v>12295.331692833101</v>
      </c>
      <c r="AD6480" s="2">
        <v>11943.632788369199</v>
      </c>
      <c r="AE6480" s="2">
        <v>11521.206297762699</v>
      </c>
      <c r="AF6480" s="2">
        <v>13076.5964926095</v>
      </c>
      <c r="AG6480" s="2">
        <v>13601.447727008701</v>
      </c>
      <c r="AH6480" s="2">
        <v>14175.690386221</v>
      </c>
      <c r="AI6480" s="2">
        <v>11807.661123198301</v>
      </c>
      <c r="AJ6480" s="2">
        <v>9589.3881301985894</v>
      </c>
      <c r="AK6480" s="2">
        <v>11143.2529751192</v>
      </c>
      <c r="AL6480" s="2">
        <v>14011.7324682372</v>
      </c>
      <c r="AM6480" s="2">
        <v>10734.230040112499</v>
      </c>
      <c r="AN6480" s="2">
        <v>12014.603914519001</v>
      </c>
      <c r="AO6480" s="2">
        <v>12187.2873638166</v>
      </c>
      <c r="AP6480" s="2">
        <v>11570.689968410699</v>
      </c>
    </row>
    <row r="6481" spans="1:42" ht="14.5" x14ac:dyDescent="0.35">
      <c r="A6481" s="2" t="s">
        <v>42953</v>
      </c>
      <c r="B6481" s="2">
        <v>270.20770730197501</v>
      </c>
      <c r="C6481" s="2">
        <v>10.41225</v>
      </c>
      <c r="D6481" s="2" t="s">
        <v>70</v>
      </c>
      <c r="E6481" s="2" t="s">
        <v>42954</v>
      </c>
      <c r="F6481" s="2">
        <v>39021</v>
      </c>
      <c r="G6481" s="3" t="str">
        <f>HYPERLINK("http://funmeta.oebiotech.com/network/39021", "http://funmeta.oebiotech.com/network/39021")</f>
        <v>http://funmeta.oebiotech.com/network/39021</v>
      </c>
      <c r="H6481" s="2"/>
      <c r="I6481" s="2"/>
      <c r="J6481" s="2" t="s">
        <v>42955</v>
      </c>
      <c r="K6481" s="2"/>
      <c r="L6481" s="2"/>
      <c r="M6481" s="2"/>
      <c r="N6481" s="2"/>
      <c r="O6481" s="2">
        <v>14756406</v>
      </c>
      <c r="P6481" s="2"/>
      <c r="Q6481" s="2" t="s">
        <v>42956</v>
      </c>
      <c r="R6481" s="2" t="s">
        <v>42957</v>
      </c>
      <c r="S6481" s="2" t="s">
        <v>1677</v>
      </c>
      <c r="T6481" s="2" t="s">
        <v>1678</v>
      </c>
      <c r="U6481" s="2" t="s">
        <v>1679</v>
      </c>
      <c r="V6481" s="2" t="s">
        <v>59</v>
      </c>
      <c r="W6481" s="2">
        <v>37.6</v>
      </c>
      <c r="X6481" s="2">
        <v>0</v>
      </c>
      <c r="Y6481" s="2" t="s">
        <v>408</v>
      </c>
      <c r="Z6481" s="2" t="s">
        <v>42958</v>
      </c>
      <c r="AA6481" s="2">
        <v>1.06541676184906</v>
      </c>
      <c r="AB6481" s="2">
        <v>2.7451484084601602E-2</v>
      </c>
      <c r="AC6481" s="2">
        <v>586.005525407611</v>
      </c>
      <c r="AD6481" s="2">
        <v>377.43945574587298</v>
      </c>
      <c r="AE6481" s="2">
        <v>437.69676590644701</v>
      </c>
      <c r="AF6481" s="2">
        <v>193.44694658953401</v>
      </c>
      <c r="AG6481" s="2">
        <v>167.39575657468399</v>
      </c>
      <c r="AH6481" s="2">
        <v>628.186832904021</v>
      </c>
      <c r="AI6481" s="2">
        <v>295.59111581675899</v>
      </c>
      <c r="AJ6481" s="2">
        <v>1793.7157346542199</v>
      </c>
      <c r="AK6481" s="2">
        <v>806.15126242923805</v>
      </c>
      <c r="AL6481" s="2">
        <v>260.87398780508897</v>
      </c>
      <c r="AM6481" s="2">
        <v>188.44939313227201</v>
      </c>
      <c r="AN6481" s="2">
        <v>285.25922604228901</v>
      </c>
      <c r="AO6481" s="2">
        <v>144.31008824849999</v>
      </c>
      <c r="AP6481" s="2">
        <v>579.59277681785102</v>
      </c>
    </row>
    <row r="6482" spans="1:42" ht="14.5" x14ac:dyDescent="0.35">
      <c r="A6482" s="2" t="s">
        <v>42959</v>
      </c>
      <c r="B6482" s="2">
        <v>415.16076894969899</v>
      </c>
      <c r="C6482" s="2">
        <v>3.7494000000000001</v>
      </c>
      <c r="D6482" s="2" t="s">
        <v>70</v>
      </c>
      <c r="E6482" s="2" t="s">
        <v>42960</v>
      </c>
      <c r="F6482" s="2">
        <v>205488</v>
      </c>
      <c r="G6482" s="3" t="str">
        <f>HYPERLINK("http://funmeta.oebiotech.com/network/205488", "http://funmeta.oebiotech.com/network/205488")</f>
        <v>http://funmeta.oebiotech.com/network/205488</v>
      </c>
      <c r="H6482" s="2" t="s">
        <v>42961</v>
      </c>
      <c r="I6482" s="2">
        <v>72</v>
      </c>
      <c r="J6482" s="2"/>
      <c r="K6482" s="2">
        <v>28683</v>
      </c>
      <c r="L6482" s="2" t="s">
        <v>42962</v>
      </c>
      <c r="M6482" s="2"/>
      <c r="N6482" s="2"/>
      <c r="O6482" s="2">
        <v>846</v>
      </c>
      <c r="P6482" s="2" t="s">
        <v>42963</v>
      </c>
      <c r="Q6482" s="2" t="s">
        <v>42964</v>
      </c>
      <c r="R6482" s="2" t="s">
        <v>42965</v>
      </c>
      <c r="S6482" s="2" t="s">
        <v>79</v>
      </c>
      <c r="T6482" s="2" t="s">
        <v>80</v>
      </c>
      <c r="U6482" s="2" t="s">
        <v>2820</v>
      </c>
      <c r="V6482" s="2" t="s">
        <v>59</v>
      </c>
      <c r="W6482" s="2">
        <v>38.799999999999997</v>
      </c>
      <c r="X6482" s="2">
        <v>0</v>
      </c>
      <c r="Y6482" s="2" t="s">
        <v>560</v>
      </c>
      <c r="Z6482" s="2" t="s">
        <v>42966</v>
      </c>
      <c r="AA6482" s="2">
        <v>-3.6983109739637601</v>
      </c>
      <c r="AB6482" s="2">
        <v>2.7313846010869999E-2</v>
      </c>
      <c r="AC6482" s="2">
        <v>7313.8537459614399</v>
      </c>
      <c r="AD6482" s="2">
        <v>7562.3865307415599</v>
      </c>
      <c r="AE6482" s="2">
        <v>7647.0524944685203</v>
      </c>
      <c r="AF6482" s="2">
        <v>7043.1859074065696</v>
      </c>
      <c r="AG6482" s="2">
        <v>6281.11578678567</v>
      </c>
      <c r="AH6482" s="2">
        <v>6922.8173270317202</v>
      </c>
      <c r="AI6482" s="2">
        <v>8603.3220028088308</v>
      </c>
      <c r="AJ6482" s="2">
        <v>7385.6289572673004</v>
      </c>
      <c r="AK6482" s="2">
        <v>7699.6155541415601</v>
      </c>
      <c r="AL6482" s="2">
        <v>7830.5711340445996</v>
      </c>
      <c r="AM6482" s="2">
        <v>6913.5329274936103</v>
      </c>
      <c r="AN6482" s="2">
        <v>7456.4785383738299</v>
      </c>
      <c r="AO6482" s="2">
        <v>6871.1277480581703</v>
      </c>
      <c r="AP6482" s="2">
        <v>8602.9932823376002</v>
      </c>
    </row>
    <row r="6483" spans="1:42" ht="14.5" x14ac:dyDescent="0.35">
      <c r="A6483" s="2" t="s">
        <v>42967</v>
      </c>
      <c r="B6483" s="2">
        <v>391.15225114086599</v>
      </c>
      <c r="C6483" s="2">
        <v>6.1981666666666699</v>
      </c>
      <c r="D6483" s="2" t="s">
        <v>70</v>
      </c>
      <c r="E6483" s="2" t="s">
        <v>42968</v>
      </c>
      <c r="F6483" s="2">
        <v>274719</v>
      </c>
      <c r="G6483" s="3" t="str">
        <f>HYPERLINK("http://funmeta.oebiotech.com/network/274719", "http://funmeta.oebiotech.com/network/274719")</f>
        <v>http://funmeta.oebiotech.com/network/274719</v>
      </c>
      <c r="H6483" s="2"/>
      <c r="I6483" s="2">
        <v>64949</v>
      </c>
      <c r="J6483" s="2"/>
      <c r="K6483" s="2"/>
      <c r="L6483" s="2"/>
      <c r="M6483" s="2"/>
      <c r="N6483" s="2"/>
      <c r="O6483" s="2">
        <v>53393956</v>
      </c>
      <c r="P6483" s="2"/>
      <c r="Q6483" s="2" t="s">
        <v>42969</v>
      </c>
      <c r="R6483" s="2" t="s">
        <v>42970</v>
      </c>
      <c r="S6483" s="2" t="s">
        <v>115</v>
      </c>
      <c r="T6483" s="2" t="s">
        <v>758</v>
      </c>
      <c r="U6483" s="2" t="s">
        <v>41</v>
      </c>
      <c r="V6483" s="2" t="s">
        <v>59</v>
      </c>
      <c r="W6483" s="2">
        <v>38</v>
      </c>
      <c r="X6483" s="2">
        <v>0</v>
      </c>
      <c r="Y6483" s="2" t="s">
        <v>408</v>
      </c>
      <c r="Z6483" s="2" t="s">
        <v>42971</v>
      </c>
      <c r="AA6483" s="2">
        <v>3.3986657973307501</v>
      </c>
      <c r="AB6483" s="2">
        <v>2.7282799222600101E-2</v>
      </c>
      <c r="AC6483" s="2">
        <v>107.94047193003399</v>
      </c>
      <c r="AD6483" s="2">
        <v>2.7106294003980101E-5</v>
      </c>
      <c r="AE6483" s="2">
        <v>2.7106294003980101E-5</v>
      </c>
      <c r="AF6483" s="2">
        <v>330.51472747287397</v>
      </c>
      <c r="AG6483" s="2">
        <v>2.7106294003980101E-5</v>
      </c>
      <c r="AH6483" s="2">
        <v>317.12799568215303</v>
      </c>
      <c r="AI6483" s="2">
        <v>2.7106294003980101E-5</v>
      </c>
      <c r="AJ6483" s="2">
        <v>2.7106294003980101E-5</v>
      </c>
      <c r="AK6483" s="2">
        <v>2.7106294003980101E-5</v>
      </c>
      <c r="AL6483" s="2">
        <v>2.7106294003980101E-5</v>
      </c>
      <c r="AM6483" s="2">
        <v>2.7106294003980101E-5</v>
      </c>
      <c r="AN6483" s="2">
        <v>2.7106294003980101E-5</v>
      </c>
      <c r="AO6483" s="2">
        <v>2.7106294003980101E-5</v>
      </c>
      <c r="AP6483" s="2">
        <v>2.7106294003980101E-5</v>
      </c>
    </row>
    <row r="6484" spans="1:42" ht="14.5" x14ac:dyDescent="0.35">
      <c r="A6484" s="2" t="s">
        <v>42972</v>
      </c>
      <c r="B6484" s="2">
        <v>223.06315833541399</v>
      </c>
      <c r="C6484" s="2">
        <v>13.981783333333301</v>
      </c>
      <c r="D6484" s="2" t="s">
        <v>34</v>
      </c>
      <c r="E6484" s="2" t="s">
        <v>42973</v>
      </c>
      <c r="F6484" s="2">
        <v>467795</v>
      </c>
      <c r="G6484" s="3" t="str">
        <f>HYPERLINK("http://funmeta.oebiotech.com/network/467795", "http://funmeta.oebiotech.com/network/467795")</f>
        <v>http://funmeta.oebiotech.com/network/467795</v>
      </c>
      <c r="H6484" s="2"/>
      <c r="I6484" s="2">
        <v>85156</v>
      </c>
      <c r="J6484" s="2"/>
      <c r="K6484" s="2"/>
      <c r="L6484" s="2"/>
      <c r="M6484" s="2"/>
      <c r="N6484" s="2"/>
      <c r="O6484" s="2">
        <v>31222</v>
      </c>
      <c r="P6484" s="2" t="s">
        <v>42974</v>
      </c>
      <c r="Q6484" s="2" t="s">
        <v>42975</v>
      </c>
      <c r="R6484" s="2" t="s">
        <v>42976</v>
      </c>
      <c r="S6484" s="2" t="s">
        <v>148</v>
      </c>
      <c r="T6484" s="2" t="s">
        <v>149</v>
      </c>
      <c r="U6484" s="2" t="s">
        <v>30432</v>
      </c>
      <c r="V6484" s="2" t="s">
        <v>59</v>
      </c>
      <c r="W6484" s="2">
        <v>37.4</v>
      </c>
      <c r="X6484" s="2">
        <v>0</v>
      </c>
      <c r="Y6484" s="2" t="s">
        <v>340</v>
      </c>
      <c r="Z6484" s="2" t="s">
        <v>42977</v>
      </c>
      <c r="AA6484" s="2">
        <v>-0.26148296071576499</v>
      </c>
      <c r="AB6484" s="2">
        <v>2.7269692583519599E-2</v>
      </c>
      <c r="AC6484" s="2">
        <v>436.72597096951603</v>
      </c>
      <c r="AD6484" s="2">
        <v>349.25806573271097</v>
      </c>
      <c r="AE6484" s="2">
        <v>388.88350872542202</v>
      </c>
      <c r="AF6484" s="2">
        <v>399.817715013297</v>
      </c>
      <c r="AG6484" s="2">
        <v>444.71944710231298</v>
      </c>
      <c r="AH6484" s="2">
        <v>409.977127525801</v>
      </c>
      <c r="AI6484" s="2">
        <v>596.591219144256</v>
      </c>
      <c r="AJ6484" s="2">
        <v>380.36680830600801</v>
      </c>
      <c r="AK6484" s="2">
        <v>428.43790365780802</v>
      </c>
      <c r="AL6484" s="2">
        <v>344.09806442795599</v>
      </c>
      <c r="AM6484" s="2">
        <v>388.84680412583998</v>
      </c>
      <c r="AN6484" s="2">
        <v>288.86481174371602</v>
      </c>
      <c r="AO6484" s="2">
        <v>292.95126275665899</v>
      </c>
      <c r="AP6484" s="2">
        <v>352.34954768428901</v>
      </c>
    </row>
    <row r="6485" spans="1:42" ht="14.5" x14ac:dyDescent="0.35">
      <c r="A6485" s="2" t="s">
        <v>42978</v>
      </c>
      <c r="B6485" s="2">
        <v>583.12157895800703</v>
      </c>
      <c r="C6485" s="2">
        <v>4.3994166666666699</v>
      </c>
      <c r="D6485" s="2" t="s">
        <v>70</v>
      </c>
      <c r="E6485" s="2" t="s">
        <v>42979</v>
      </c>
      <c r="F6485" s="2">
        <v>56254</v>
      </c>
      <c r="G6485" s="3" t="str">
        <f>HYPERLINK("http://funmeta.oebiotech.com/network/56254", "http://funmeta.oebiotech.com/network/56254")</f>
        <v>http://funmeta.oebiotech.com/network/56254</v>
      </c>
      <c r="H6485" s="2" t="s">
        <v>42980</v>
      </c>
      <c r="I6485" s="2">
        <v>72744</v>
      </c>
      <c r="J6485" s="2"/>
      <c r="K6485" s="2"/>
      <c r="L6485" s="2" t="s">
        <v>42981</v>
      </c>
      <c r="M6485" s="2"/>
      <c r="N6485" s="2"/>
      <c r="O6485" s="2">
        <v>37995</v>
      </c>
      <c r="P6485" s="2" t="s">
        <v>42982</v>
      </c>
      <c r="Q6485" s="2" t="s">
        <v>42983</v>
      </c>
      <c r="R6485" s="2" t="s">
        <v>42984</v>
      </c>
      <c r="S6485" s="2" t="s">
        <v>89</v>
      </c>
      <c r="T6485" s="2" t="s">
        <v>15082</v>
      </c>
      <c r="U6485" s="2" t="s">
        <v>15083</v>
      </c>
      <c r="V6485" s="2" t="s">
        <v>59</v>
      </c>
      <c r="W6485" s="2">
        <v>37.799999999999997</v>
      </c>
      <c r="X6485" s="2">
        <v>0</v>
      </c>
      <c r="Y6485" s="2" t="s">
        <v>560</v>
      </c>
      <c r="Z6485" s="2" t="s">
        <v>42985</v>
      </c>
      <c r="AA6485" s="2">
        <v>-0.81135466015401603</v>
      </c>
      <c r="AB6485" s="2">
        <v>2.7139810871178598E-2</v>
      </c>
      <c r="AC6485" s="2">
        <v>10526.518729925099</v>
      </c>
      <c r="AD6485" s="2">
        <v>10897.1067921458</v>
      </c>
      <c r="AE6485" s="2">
        <v>11278.3660403789</v>
      </c>
      <c r="AF6485" s="2">
        <v>10028.563142388801</v>
      </c>
      <c r="AG6485" s="2">
        <v>8317.3480608939499</v>
      </c>
      <c r="AH6485" s="2">
        <v>11724.6219749909</v>
      </c>
      <c r="AI6485" s="2">
        <v>11711.4823433367</v>
      </c>
      <c r="AJ6485" s="2">
        <v>10098.7308175616</v>
      </c>
      <c r="AK6485" s="2">
        <v>9137.2036805391799</v>
      </c>
      <c r="AL6485" s="2">
        <v>13337.425637750401</v>
      </c>
      <c r="AM6485" s="2">
        <v>9152.1045074589001</v>
      </c>
      <c r="AN6485" s="2">
        <v>12312.603001948701</v>
      </c>
      <c r="AO6485" s="2">
        <v>9508.8114130808408</v>
      </c>
      <c r="AP6485" s="2">
        <v>11934.4925120967</v>
      </c>
    </row>
    <row r="6486" spans="1:42" ht="14.5" x14ac:dyDescent="0.35">
      <c r="A6486" s="2" t="s">
        <v>42986</v>
      </c>
      <c r="B6486" s="2">
        <v>576.41128453208705</v>
      </c>
      <c r="C6486" s="2">
        <v>10.871216666666699</v>
      </c>
      <c r="D6486" s="2" t="s">
        <v>34</v>
      </c>
      <c r="E6486" s="2" t="s">
        <v>42987</v>
      </c>
      <c r="F6486" s="2">
        <v>10261</v>
      </c>
      <c r="G6486" s="3" t="str">
        <f>HYPERLINK("http://funmeta.oebiotech.com/network/10261", "http://funmeta.oebiotech.com/network/10261")</f>
        <v>http://funmeta.oebiotech.com/network/10261</v>
      </c>
      <c r="H6486" s="2"/>
      <c r="I6486" s="2"/>
      <c r="J6486" s="2" t="s">
        <v>42988</v>
      </c>
      <c r="K6486" s="2"/>
      <c r="L6486" s="2"/>
      <c r="M6486" s="2"/>
      <c r="N6486" s="2"/>
      <c r="O6486" s="2"/>
      <c r="P6486" s="2"/>
      <c r="Q6486" s="2" t="s">
        <v>42989</v>
      </c>
      <c r="R6486" s="2" t="s">
        <v>42990</v>
      </c>
      <c r="S6486" s="2" t="s">
        <v>50</v>
      </c>
      <c r="T6486" s="2" t="s">
        <v>229</v>
      </c>
      <c r="U6486" s="2" t="s">
        <v>230</v>
      </c>
      <c r="V6486" s="2" t="s">
        <v>59</v>
      </c>
      <c r="W6486" s="2">
        <v>36.1</v>
      </c>
      <c r="X6486" s="2">
        <v>0</v>
      </c>
      <c r="Y6486" s="2" t="s">
        <v>43</v>
      </c>
      <c r="Z6486" s="2" t="s">
        <v>42991</v>
      </c>
      <c r="AA6486" s="2">
        <v>1.2101045151702701</v>
      </c>
      <c r="AB6486" s="2">
        <v>2.7131666169794001E-2</v>
      </c>
      <c r="AC6486" s="2">
        <v>5708.8582572232199</v>
      </c>
      <c r="AD6486" s="2">
        <v>6025.7546887506296</v>
      </c>
      <c r="AE6486" s="2">
        <v>5680.1709880309099</v>
      </c>
      <c r="AF6486" s="2">
        <v>5118.5648385819804</v>
      </c>
      <c r="AG6486" s="2">
        <v>6274.7103448113403</v>
      </c>
      <c r="AH6486" s="2">
        <v>6030.1040974335501</v>
      </c>
      <c r="AI6486" s="2">
        <v>5808.5333942204097</v>
      </c>
      <c r="AJ6486" s="2">
        <v>5341.0658802611297</v>
      </c>
      <c r="AK6486" s="2">
        <v>5068.8728760608801</v>
      </c>
      <c r="AL6486" s="2">
        <v>7247.6368894089801</v>
      </c>
      <c r="AM6486" s="2">
        <v>7743.0714052603898</v>
      </c>
      <c r="AN6486" s="2">
        <v>7269.3076518658499</v>
      </c>
      <c r="AO6486" s="2">
        <v>4794.9300906891403</v>
      </c>
      <c r="AP6486" s="2">
        <v>4030.7092192185501</v>
      </c>
    </row>
    <row r="6487" spans="1:42" ht="14.5" x14ac:dyDescent="0.35">
      <c r="A6487" s="2" t="s">
        <v>42992</v>
      </c>
      <c r="B6487" s="2">
        <v>332.31564331054699</v>
      </c>
      <c r="C6487" s="2">
        <v>9.9015833333333294</v>
      </c>
      <c r="D6487" s="2" t="s">
        <v>34</v>
      </c>
      <c r="E6487" s="2" t="s">
        <v>42993</v>
      </c>
      <c r="F6487" s="2">
        <v>83250</v>
      </c>
      <c r="G6487" s="3" t="str">
        <f>HYPERLINK("http://funmeta.oebiotech.com/network/83250", "http://funmeta.oebiotech.com/network/83250")</f>
        <v>http://funmeta.oebiotech.com/network/83250</v>
      </c>
      <c r="H6487" s="2" t="s">
        <v>42994</v>
      </c>
      <c r="I6487" s="2"/>
      <c r="J6487" s="2"/>
      <c r="K6487" s="2"/>
      <c r="L6487" s="2"/>
      <c r="M6487" s="2"/>
      <c r="N6487" s="2"/>
      <c r="O6487" s="2">
        <v>71346921</v>
      </c>
      <c r="P6487" s="2"/>
      <c r="Q6487" s="2" t="s">
        <v>42995</v>
      </c>
      <c r="R6487" s="2" t="s">
        <v>42996</v>
      </c>
      <c r="S6487" s="2" t="s">
        <v>50</v>
      </c>
      <c r="T6487" s="2" t="s">
        <v>201</v>
      </c>
      <c r="U6487" s="2" t="s">
        <v>241</v>
      </c>
      <c r="V6487" s="2" t="s">
        <v>59</v>
      </c>
      <c r="W6487" s="2">
        <v>38.799999999999997</v>
      </c>
      <c r="X6487" s="2">
        <v>0</v>
      </c>
      <c r="Y6487" s="2" t="s">
        <v>43</v>
      </c>
      <c r="Z6487" s="2" t="s">
        <v>42997</v>
      </c>
      <c r="AA6487" s="2">
        <v>-0.88231813875257803</v>
      </c>
      <c r="AB6487" s="2">
        <v>2.7128323328737498E-2</v>
      </c>
      <c r="AC6487" s="2">
        <v>433.69598388104401</v>
      </c>
      <c r="AD6487" s="2">
        <v>521.29284930368897</v>
      </c>
      <c r="AE6487" s="2">
        <v>439.06696884529998</v>
      </c>
      <c r="AF6487" s="2">
        <v>479.52155302566803</v>
      </c>
      <c r="AG6487" s="2">
        <v>342.11472807508602</v>
      </c>
      <c r="AH6487" s="2">
        <v>491.88301654739001</v>
      </c>
      <c r="AI6487" s="2">
        <v>386.51479196994001</v>
      </c>
      <c r="AJ6487" s="2">
        <v>463.07484482287703</v>
      </c>
      <c r="AK6487" s="2">
        <v>513.29816378192902</v>
      </c>
      <c r="AL6487" s="2">
        <v>580.52175934770298</v>
      </c>
      <c r="AM6487" s="2">
        <v>393.67932739908701</v>
      </c>
      <c r="AN6487" s="2">
        <v>552.89548514566502</v>
      </c>
      <c r="AO6487" s="2">
        <v>623.79877449288597</v>
      </c>
      <c r="AP6487" s="2">
        <v>463.563585654863</v>
      </c>
    </row>
    <row r="6488" spans="1:42" ht="14.5" x14ac:dyDescent="0.35">
      <c r="A6488" s="2" t="s">
        <v>42998</v>
      </c>
      <c r="B6488" s="2">
        <v>903.55786736225696</v>
      </c>
      <c r="C6488" s="2">
        <v>8.7125000000000004</v>
      </c>
      <c r="D6488" s="2" t="s">
        <v>70</v>
      </c>
      <c r="E6488" s="2" t="s">
        <v>42999</v>
      </c>
      <c r="F6488" s="2">
        <v>229540</v>
      </c>
      <c r="G6488" s="3" t="str">
        <f>HYPERLINK("http://funmeta.oebiotech.com/network/229540", "http://funmeta.oebiotech.com/network/229540")</f>
        <v>http://funmeta.oebiotech.com/network/229540</v>
      </c>
      <c r="H6488" s="2" t="s">
        <v>43000</v>
      </c>
      <c r="I6488" s="2"/>
      <c r="J6488" s="2"/>
      <c r="K6488" s="2"/>
      <c r="L6488" s="2"/>
      <c r="M6488" s="2"/>
      <c r="N6488" s="2"/>
      <c r="O6488" s="2"/>
      <c r="P6488" s="2"/>
      <c r="Q6488" s="2" t="s">
        <v>43001</v>
      </c>
      <c r="R6488" s="2" t="s">
        <v>43002</v>
      </c>
      <c r="S6488" s="2" t="s">
        <v>41</v>
      </c>
      <c r="T6488" s="2" t="s">
        <v>41</v>
      </c>
      <c r="U6488" s="2" t="s">
        <v>41</v>
      </c>
      <c r="V6488" s="2" t="s">
        <v>59</v>
      </c>
      <c r="W6488" s="2">
        <v>37.4</v>
      </c>
      <c r="X6488" s="2">
        <v>0</v>
      </c>
      <c r="Y6488" s="2" t="s">
        <v>118</v>
      </c>
      <c r="Z6488" s="2" t="s">
        <v>43003</v>
      </c>
      <c r="AA6488" s="2">
        <v>-2.81928654889116</v>
      </c>
      <c r="AB6488" s="2">
        <v>2.70538473383162E-2</v>
      </c>
      <c r="AC6488" s="2">
        <v>31348.961757372101</v>
      </c>
      <c r="AD6488" s="2">
        <v>30762.9917575748</v>
      </c>
      <c r="AE6488" s="2">
        <v>34541.895610724503</v>
      </c>
      <c r="AF6488" s="2">
        <v>31622.2824832199</v>
      </c>
      <c r="AG6488" s="2">
        <v>29887.394669583398</v>
      </c>
      <c r="AH6488" s="2">
        <v>29008.040165655999</v>
      </c>
      <c r="AI6488" s="2">
        <v>31424.338663528401</v>
      </c>
      <c r="AJ6488" s="2">
        <v>31609.818951520501</v>
      </c>
      <c r="AK6488" s="2">
        <v>36311.518714632097</v>
      </c>
      <c r="AL6488" s="2">
        <v>29315.561805234502</v>
      </c>
      <c r="AM6488" s="2">
        <v>37418.1259993536</v>
      </c>
      <c r="AN6488" s="2">
        <v>24167.028966662499</v>
      </c>
      <c r="AO6488" s="2">
        <v>31246.644806780401</v>
      </c>
      <c r="AP6488" s="2">
        <v>26119.070252785499</v>
      </c>
    </row>
    <row r="6489" spans="1:42" ht="14.5" x14ac:dyDescent="0.35">
      <c r="A6489" s="2" t="s">
        <v>43004</v>
      </c>
      <c r="B6489" s="2">
        <v>453.23386961549699</v>
      </c>
      <c r="C6489" s="2">
        <v>4.4886999999999997</v>
      </c>
      <c r="D6489" s="2" t="s">
        <v>70</v>
      </c>
      <c r="E6489" s="2" t="s">
        <v>43005</v>
      </c>
      <c r="F6489" s="2">
        <v>203398</v>
      </c>
      <c r="G6489" s="3" t="str">
        <f>HYPERLINK("http://funmeta.oebiotech.com/network/203398", "http://funmeta.oebiotech.com/network/203398")</f>
        <v>http://funmeta.oebiotech.com/network/203398</v>
      </c>
      <c r="H6489" s="2" t="s">
        <v>43006</v>
      </c>
      <c r="I6489" s="2">
        <v>72478</v>
      </c>
      <c r="J6489" s="2"/>
      <c r="K6489" s="2">
        <v>22472</v>
      </c>
      <c r="L6489" s="2" t="s">
        <v>43007</v>
      </c>
      <c r="M6489" s="2"/>
      <c r="N6489" s="2"/>
      <c r="O6489" s="2">
        <v>13263</v>
      </c>
      <c r="P6489" s="2" t="s">
        <v>43008</v>
      </c>
      <c r="Q6489" s="2" t="s">
        <v>43009</v>
      </c>
      <c r="R6489" s="2" t="s">
        <v>43010</v>
      </c>
      <c r="S6489" s="2" t="s">
        <v>491</v>
      </c>
      <c r="T6489" s="2" t="s">
        <v>6511</v>
      </c>
      <c r="U6489" s="2" t="s">
        <v>13259</v>
      </c>
      <c r="V6489" s="2" t="s">
        <v>59</v>
      </c>
      <c r="W6489" s="2">
        <v>38.700000000000003</v>
      </c>
      <c r="X6489" s="2">
        <v>0</v>
      </c>
      <c r="Y6489" s="2" t="s">
        <v>560</v>
      </c>
      <c r="Z6489" s="2" t="s">
        <v>43011</v>
      </c>
      <c r="AA6489" s="2">
        <v>0.46871407167921803</v>
      </c>
      <c r="AB6489" s="2">
        <v>2.7040822204924299E-2</v>
      </c>
      <c r="AC6489" s="2">
        <v>10303.397916940299</v>
      </c>
      <c r="AD6489" s="2">
        <v>10038.228628496599</v>
      </c>
      <c r="AE6489" s="2">
        <v>9022.4162381785409</v>
      </c>
      <c r="AF6489" s="2">
        <v>9569.6903182651695</v>
      </c>
      <c r="AG6489" s="2">
        <v>10342.9666647007</v>
      </c>
      <c r="AH6489" s="2">
        <v>11019.2751111258</v>
      </c>
      <c r="AI6489" s="2">
        <v>10543.244179870801</v>
      </c>
      <c r="AJ6489" s="2">
        <v>11322.7949895006</v>
      </c>
      <c r="AK6489" s="2">
        <v>9645.8385718920999</v>
      </c>
      <c r="AL6489" s="2">
        <v>10065.828371473999</v>
      </c>
      <c r="AM6489" s="2">
        <v>9391.7223529155708</v>
      </c>
      <c r="AN6489" s="2">
        <v>11083.306769684799</v>
      </c>
      <c r="AO6489" s="2">
        <v>10309.890544313501</v>
      </c>
      <c r="AP6489" s="2">
        <v>9732.7851606995991</v>
      </c>
    </row>
    <row r="6490" spans="1:42" ht="14.5" x14ac:dyDescent="0.35">
      <c r="A6490" s="2" t="s">
        <v>43012</v>
      </c>
      <c r="B6490" s="2">
        <v>135.080150983799</v>
      </c>
      <c r="C6490" s="2">
        <v>9.6530833333333295</v>
      </c>
      <c r="D6490" s="2" t="s">
        <v>34</v>
      </c>
      <c r="E6490" s="2" t="s">
        <v>43013</v>
      </c>
      <c r="F6490" s="2">
        <v>267459</v>
      </c>
      <c r="G6490" s="3" t="str">
        <f>HYPERLINK("http://funmeta.oebiotech.com/network/267459", "http://funmeta.oebiotech.com/network/267459")</f>
        <v>http://funmeta.oebiotech.com/network/267459</v>
      </c>
      <c r="H6490" s="2"/>
      <c r="I6490" s="2">
        <v>45510</v>
      </c>
      <c r="J6490" s="2"/>
      <c r="K6490" s="2"/>
      <c r="L6490" s="2"/>
      <c r="M6490" s="2"/>
      <c r="N6490" s="2"/>
      <c r="O6490" s="2">
        <v>53393935</v>
      </c>
      <c r="P6490" s="2" t="s">
        <v>43014</v>
      </c>
      <c r="Q6490" s="2" t="s">
        <v>43015</v>
      </c>
      <c r="R6490" s="2" t="s">
        <v>43016</v>
      </c>
      <c r="S6490" s="2" t="s">
        <v>50</v>
      </c>
      <c r="T6490" s="2" t="s">
        <v>229</v>
      </c>
      <c r="U6490" s="2" t="s">
        <v>1283</v>
      </c>
      <c r="V6490" s="2" t="s">
        <v>59</v>
      </c>
      <c r="W6490" s="2">
        <v>38.6</v>
      </c>
      <c r="X6490" s="2">
        <v>0</v>
      </c>
      <c r="Y6490" s="2" t="s">
        <v>141</v>
      </c>
      <c r="Z6490" s="2" t="s">
        <v>43017</v>
      </c>
      <c r="AA6490" s="2">
        <v>-1.9094097835864501</v>
      </c>
      <c r="AB6490" s="2">
        <v>2.7007705982148598E-2</v>
      </c>
      <c r="AC6490" s="2">
        <v>4056.8953929341901</v>
      </c>
      <c r="AD6490" s="2">
        <v>4397.1856752684498</v>
      </c>
      <c r="AE6490" s="2">
        <v>4397.0632760611797</v>
      </c>
      <c r="AF6490" s="2">
        <v>3582.6211224180902</v>
      </c>
      <c r="AG6490" s="2">
        <v>3917.1210229407202</v>
      </c>
      <c r="AH6490" s="2">
        <v>3961.3369901954302</v>
      </c>
      <c r="AI6490" s="2">
        <v>4570.0777130660799</v>
      </c>
      <c r="AJ6490" s="2">
        <v>3913.15223292366</v>
      </c>
      <c r="AK6490" s="2">
        <v>3419.2721096415398</v>
      </c>
      <c r="AL6490" s="2">
        <v>7872.0158941889104</v>
      </c>
      <c r="AM6490" s="2">
        <v>4337.1127051366002</v>
      </c>
      <c r="AN6490" s="2">
        <v>4234.2262887177603</v>
      </c>
      <c r="AO6490" s="2">
        <v>3603.8315515656</v>
      </c>
      <c r="AP6490" s="2">
        <v>2916.65550236026</v>
      </c>
    </row>
    <row r="6491" spans="1:42" ht="14.5" x14ac:dyDescent="0.35">
      <c r="A6491" s="2" t="s">
        <v>43018</v>
      </c>
      <c r="B6491" s="2">
        <v>171.112709310057</v>
      </c>
      <c r="C6491" s="2">
        <v>1.06171666666667</v>
      </c>
      <c r="D6491" s="2" t="s">
        <v>34</v>
      </c>
      <c r="E6491" s="2" t="s">
        <v>43019</v>
      </c>
      <c r="F6491" s="2">
        <v>46857</v>
      </c>
      <c r="G6491" s="3" t="str">
        <f>HYPERLINK("http://funmeta.oebiotech.com/network/46857", "http://funmeta.oebiotech.com/network/46857")</f>
        <v>http://funmeta.oebiotech.com/network/46857</v>
      </c>
      <c r="H6491" s="2" t="s">
        <v>43020</v>
      </c>
      <c r="I6491" s="2">
        <v>64</v>
      </c>
      <c r="J6491" s="2"/>
      <c r="K6491" s="2">
        <v>18243</v>
      </c>
      <c r="L6491" s="2" t="s">
        <v>43021</v>
      </c>
      <c r="M6491" s="2" t="s">
        <v>43022</v>
      </c>
      <c r="N6491" s="2" t="s">
        <v>43023</v>
      </c>
      <c r="O6491" s="2">
        <v>681</v>
      </c>
      <c r="P6491" s="2" t="s">
        <v>43024</v>
      </c>
      <c r="Q6491" s="2" t="s">
        <v>43025</v>
      </c>
      <c r="R6491" s="2" t="s">
        <v>43026</v>
      </c>
      <c r="S6491" s="2" t="s">
        <v>148</v>
      </c>
      <c r="T6491" s="2" t="s">
        <v>392</v>
      </c>
      <c r="U6491" s="2" t="s">
        <v>2045</v>
      </c>
      <c r="V6491" s="2" t="s">
        <v>59</v>
      </c>
      <c r="W6491" s="2">
        <v>39</v>
      </c>
      <c r="X6491" s="2">
        <v>0</v>
      </c>
      <c r="Y6491" s="2" t="s">
        <v>43</v>
      </c>
      <c r="Z6491" s="2" t="s">
        <v>43027</v>
      </c>
      <c r="AA6491" s="2">
        <v>-0.61939682391629403</v>
      </c>
      <c r="AB6491" s="2">
        <v>2.6966150573700099E-2</v>
      </c>
      <c r="AC6491" s="2">
        <v>4232.8939674040003</v>
      </c>
      <c r="AD6491" s="2">
        <v>4385.0070147018396</v>
      </c>
      <c r="AE6491" s="2">
        <v>4301.8651551586299</v>
      </c>
      <c r="AF6491" s="2">
        <v>4404.4240438916004</v>
      </c>
      <c r="AG6491" s="2">
        <v>4163.5071976262898</v>
      </c>
      <c r="AH6491" s="2">
        <v>4345.5022804512701</v>
      </c>
      <c r="AI6491" s="2">
        <v>4458.1748547651196</v>
      </c>
      <c r="AJ6491" s="2">
        <v>3723.89027253109</v>
      </c>
      <c r="AK6491" s="2">
        <v>4748.2979249786204</v>
      </c>
      <c r="AL6491" s="2">
        <v>4271.1329983531195</v>
      </c>
      <c r="AM6491" s="2">
        <v>4563.2876731374799</v>
      </c>
      <c r="AN6491" s="2">
        <v>4370.2086786457903</v>
      </c>
      <c r="AO6491" s="2">
        <v>4317.8152718022902</v>
      </c>
      <c r="AP6491" s="2">
        <v>4039.2995412937398</v>
      </c>
    </row>
    <row r="6492" spans="1:42" ht="14.5" x14ac:dyDescent="0.35">
      <c r="A6492" s="2" t="s">
        <v>43028</v>
      </c>
      <c r="B6492" s="2">
        <v>503.17669243131098</v>
      </c>
      <c r="C6492" s="2">
        <v>4.09636666666667</v>
      </c>
      <c r="D6492" s="2" t="s">
        <v>70</v>
      </c>
      <c r="E6492" s="2" t="s">
        <v>43029</v>
      </c>
      <c r="F6492" s="2">
        <v>54780</v>
      </c>
      <c r="G6492" s="3" t="str">
        <f>HYPERLINK("http://funmeta.oebiotech.com/network/54780", "http://funmeta.oebiotech.com/network/54780")</f>
        <v>http://funmeta.oebiotech.com/network/54780</v>
      </c>
      <c r="H6492" s="2" t="s">
        <v>43030</v>
      </c>
      <c r="I6492" s="2"/>
      <c r="J6492" s="2"/>
      <c r="K6492" s="2">
        <v>168209</v>
      </c>
      <c r="L6492" s="2" t="s">
        <v>43031</v>
      </c>
      <c r="M6492" s="2"/>
      <c r="N6492" s="2"/>
      <c r="O6492" s="2">
        <v>12310056</v>
      </c>
      <c r="P6492" s="2" t="s">
        <v>43032</v>
      </c>
      <c r="Q6492" s="2" t="s">
        <v>43033</v>
      </c>
      <c r="R6492" s="2" t="s">
        <v>43034</v>
      </c>
      <c r="S6492" s="2" t="s">
        <v>79</v>
      </c>
      <c r="T6492" s="2" t="s">
        <v>80</v>
      </c>
      <c r="U6492" s="2" t="s">
        <v>81</v>
      </c>
      <c r="V6492" s="2" t="s">
        <v>59</v>
      </c>
      <c r="W6492" s="2">
        <v>37.799999999999997</v>
      </c>
      <c r="X6492" s="2">
        <v>0</v>
      </c>
      <c r="Y6492" s="2" t="s">
        <v>408</v>
      </c>
      <c r="Z6492" s="2" t="s">
        <v>5012</v>
      </c>
      <c r="AA6492" s="2">
        <v>-0.70325370909960805</v>
      </c>
      <c r="AB6492" s="2">
        <v>2.6863077019898301E-2</v>
      </c>
      <c r="AC6492" s="2">
        <v>8259.3586376842504</v>
      </c>
      <c r="AD6492" s="2">
        <v>7928.0171584569298</v>
      </c>
      <c r="AE6492" s="2">
        <v>8220.7441296631696</v>
      </c>
      <c r="AF6492" s="2">
        <v>9857.9829440650592</v>
      </c>
      <c r="AG6492" s="2">
        <v>7487.4521454647702</v>
      </c>
      <c r="AH6492" s="2">
        <v>7595.5470419144103</v>
      </c>
      <c r="AI6492" s="2">
        <v>6936.67957628364</v>
      </c>
      <c r="AJ6492" s="2">
        <v>9457.7459887144596</v>
      </c>
      <c r="AK6492" s="2">
        <v>9728.0263850676292</v>
      </c>
      <c r="AL6492" s="2">
        <v>6686.1916343706698</v>
      </c>
      <c r="AM6492" s="2">
        <v>6895.1296226119803</v>
      </c>
      <c r="AN6492" s="2">
        <v>7074.43114746628</v>
      </c>
      <c r="AO6492" s="2">
        <v>7135.1120993130098</v>
      </c>
      <c r="AP6492" s="2">
        <v>10049.212061912</v>
      </c>
    </row>
    <row r="6493" spans="1:42" ht="14.5" x14ac:dyDescent="0.35">
      <c r="A6493" s="2" t="s">
        <v>43035</v>
      </c>
      <c r="B6493" s="2">
        <v>665.20854492604701</v>
      </c>
      <c r="C6493" s="2">
        <v>3.6547999999999998</v>
      </c>
      <c r="D6493" s="2" t="s">
        <v>70</v>
      </c>
      <c r="E6493" s="2" t="s">
        <v>43036</v>
      </c>
      <c r="F6493" s="2">
        <v>62619</v>
      </c>
      <c r="G6493" s="3" t="str">
        <f>HYPERLINK("http://funmeta.oebiotech.com/network/62619", "http://funmeta.oebiotech.com/network/62619")</f>
        <v>http://funmeta.oebiotech.com/network/62619</v>
      </c>
      <c r="H6493" s="2" t="s">
        <v>43037</v>
      </c>
      <c r="I6493" s="2">
        <v>93919</v>
      </c>
      <c r="J6493" s="2"/>
      <c r="K6493" s="2"/>
      <c r="L6493" s="2"/>
      <c r="M6493" s="2"/>
      <c r="N6493" s="2"/>
      <c r="O6493" s="2">
        <v>74978435</v>
      </c>
      <c r="P6493" s="2" t="s">
        <v>43038</v>
      </c>
      <c r="Q6493" s="2" t="s">
        <v>43039</v>
      </c>
      <c r="R6493" s="2" t="s">
        <v>43040</v>
      </c>
      <c r="S6493" s="2" t="s">
        <v>115</v>
      </c>
      <c r="T6493" s="2" t="s">
        <v>139</v>
      </c>
      <c r="U6493" s="2" t="s">
        <v>140</v>
      </c>
      <c r="V6493" s="2" t="s">
        <v>42</v>
      </c>
      <c r="W6493" s="2">
        <v>52.8</v>
      </c>
      <c r="X6493" s="2">
        <v>68</v>
      </c>
      <c r="Y6493" s="2" t="s">
        <v>118</v>
      </c>
      <c r="Z6493" s="2" t="s">
        <v>1510</v>
      </c>
      <c r="AA6493" s="2">
        <v>-0.24582654241430599</v>
      </c>
      <c r="AB6493" s="2">
        <v>2.6831559125017199E-2</v>
      </c>
      <c r="AC6493" s="2">
        <v>424859.074139509</v>
      </c>
      <c r="AD6493" s="2">
        <v>426083.35661976901</v>
      </c>
      <c r="AE6493" s="2">
        <v>428887.02613398101</v>
      </c>
      <c r="AF6493" s="2">
        <v>407218.75383111299</v>
      </c>
      <c r="AG6493" s="2">
        <v>423562.99167173798</v>
      </c>
      <c r="AH6493" s="2">
        <v>404646.80215233198</v>
      </c>
      <c r="AI6493" s="2">
        <v>430078.93908902799</v>
      </c>
      <c r="AJ6493" s="2">
        <v>454759.93195886101</v>
      </c>
      <c r="AK6493" s="2">
        <v>396886.10213612299</v>
      </c>
      <c r="AL6493" s="2">
        <v>402170.48198655999</v>
      </c>
      <c r="AM6493" s="2">
        <v>453790.06902328198</v>
      </c>
      <c r="AN6493" s="2">
        <v>443162.53888849902</v>
      </c>
      <c r="AO6493" s="2">
        <v>407445.53992150602</v>
      </c>
      <c r="AP6493" s="2">
        <v>453045.40776264702</v>
      </c>
    </row>
    <row r="6494" spans="1:42" ht="14.5" x14ac:dyDescent="0.35">
      <c r="A6494" s="2" t="s">
        <v>43041</v>
      </c>
      <c r="B6494" s="2">
        <v>527.21335214481496</v>
      </c>
      <c r="C6494" s="2">
        <v>5.0599499999999997</v>
      </c>
      <c r="D6494" s="2" t="s">
        <v>70</v>
      </c>
      <c r="E6494" s="2" t="s">
        <v>43042</v>
      </c>
      <c r="F6494" s="2">
        <v>53349</v>
      </c>
      <c r="G6494" s="3" t="str">
        <f>HYPERLINK("http://funmeta.oebiotech.com/network/53349", "http://funmeta.oebiotech.com/network/53349")</f>
        <v>http://funmeta.oebiotech.com/network/53349</v>
      </c>
      <c r="H6494" s="2" t="s">
        <v>43043</v>
      </c>
      <c r="I6494" s="2">
        <v>85470</v>
      </c>
      <c r="J6494" s="2"/>
      <c r="K6494" s="2">
        <v>521033</v>
      </c>
      <c r="L6494" s="2"/>
      <c r="M6494" s="2"/>
      <c r="N6494" s="2"/>
      <c r="O6494" s="2">
        <v>6918296</v>
      </c>
      <c r="P6494" s="2" t="s">
        <v>43044</v>
      </c>
      <c r="Q6494" s="2" t="s">
        <v>43045</v>
      </c>
      <c r="R6494" s="2" t="s">
        <v>43046</v>
      </c>
      <c r="S6494" s="2" t="s">
        <v>50</v>
      </c>
      <c r="T6494" s="2" t="s">
        <v>124</v>
      </c>
      <c r="U6494" s="2" t="s">
        <v>2373</v>
      </c>
      <c r="V6494" s="2" t="s">
        <v>59</v>
      </c>
      <c r="W6494" s="2">
        <v>38.9</v>
      </c>
      <c r="X6494" s="2">
        <v>0</v>
      </c>
      <c r="Y6494" s="2" t="s">
        <v>118</v>
      </c>
      <c r="Z6494" s="2" t="s">
        <v>43047</v>
      </c>
      <c r="AA6494" s="2">
        <v>-0.98245594222681598</v>
      </c>
      <c r="AB6494" s="2">
        <v>2.6776791225388601E-2</v>
      </c>
      <c r="AC6494" s="2">
        <v>36290.193678463198</v>
      </c>
      <c r="AD6494" s="2">
        <v>36833.949791940002</v>
      </c>
      <c r="AE6494" s="2">
        <v>40736.6339992469</v>
      </c>
      <c r="AF6494" s="2">
        <v>35715.0112375725</v>
      </c>
      <c r="AG6494" s="2">
        <v>35561.741286947203</v>
      </c>
      <c r="AH6494" s="2">
        <v>31071.2621542204</v>
      </c>
      <c r="AI6494" s="2">
        <v>34128.134710181701</v>
      </c>
      <c r="AJ6494" s="2">
        <v>40528.378682610797</v>
      </c>
      <c r="AK6494" s="2">
        <v>38186.314769773002</v>
      </c>
      <c r="AL6494" s="2">
        <v>32700.4879478</v>
      </c>
      <c r="AM6494" s="2">
        <v>39362.413583359099</v>
      </c>
      <c r="AN6494" s="2">
        <v>39425.311042250098</v>
      </c>
      <c r="AO6494" s="2">
        <v>33478.457444172498</v>
      </c>
      <c r="AP6494" s="2">
        <v>37850.713964285402</v>
      </c>
    </row>
    <row r="6495" spans="1:42" ht="14.5" x14ac:dyDescent="0.35">
      <c r="A6495" s="2" t="s">
        <v>43048</v>
      </c>
      <c r="B6495" s="2">
        <v>189.09103885921999</v>
      </c>
      <c r="C6495" s="2">
        <v>9.8048666666666708</v>
      </c>
      <c r="D6495" s="2" t="s">
        <v>34</v>
      </c>
      <c r="E6495" s="2" t="s">
        <v>43049</v>
      </c>
      <c r="F6495" s="2">
        <v>57809</v>
      </c>
      <c r="G6495" s="3" t="str">
        <f>HYPERLINK("http://funmeta.oebiotech.com/network/57809", "http://funmeta.oebiotech.com/network/57809")</f>
        <v>http://funmeta.oebiotech.com/network/57809</v>
      </c>
      <c r="H6495" s="2" t="s">
        <v>43050</v>
      </c>
      <c r="I6495" s="2">
        <v>89397</v>
      </c>
      <c r="J6495" s="2"/>
      <c r="K6495" s="2"/>
      <c r="L6495" s="2"/>
      <c r="M6495" s="2"/>
      <c r="N6495" s="2"/>
      <c r="O6495" s="2">
        <v>19137</v>
      </c>
      <c r="P6495" s="2" t="s">
        <v>43051</v>
      </c>
      <c r="Q6495" s="2" t="s">
        <v>43052</v>
      </c>
      <c r="R6495" s="2" t="s">
        <v>43053</v>
      </c>
      <c r="S6495" s="2" t="s">
        <v>148</v>
      </c>
      <c r="T6495" s="2" t="s">
        <v>24170</v>
      </c>
      <c r="U6495" s="2" t="s">
        <v>41</v>
      </c>
      <c r="V6495" s="2" t="s">
        <v>59</v>
      </c>
      <c r="W6495" s="2">
        <v>39.6</v>
      </c>
      <c r="X6495" s="2">
        <v>0</v>
      </c>
      <c r="Y6495" s="2" t="s">
        <v>141</v>
      </c>
      <c r="Z6495" s="2" t="s">
        <v>30817</v>
      </c>
      <c r="AA6495" s="2">
        <v>0.159158019498607</v>
      </c>
      <c r="AB6495" s="2">
        <v>2.67401742067701E-2</v>
      </c>
      <c r="AC6495" s="2">
        <v>391.89834081224302</v>
      </c>
      <c r="AD6495" s="2">
        <v>320.784941905332</v>
      </c>
      <c r="AE6495" s="2">
        <v>347.263111116537</v>
      </c>
      <c r="AF6495" s="2">
        <v>447.78153926441502</v>
      </c>
      <c r="AG6495" s="2">
        <v>415.84885679015099</v>
      </c>
      <c r="AH6495" s="2">
        <v>348.953420943146</v>
      </c>
      <c r="AI6495" s="2">
        <v>447.825783818812</v>
      </c>
      <c r="AJ6495" s="2">
        <v>343.71733294039399</v>
      </c>
      <c r="AK6495" s="2">
        <v>340.64429280581601</v>
      </c>
      <c r="AL6495" s="2">
        <v>322.05659147656098</v>
      </c>
      <c r="AM6495" s="2">
        <v>290.08169762608799</v>
      </c>
      <c r="AN6495" s="2">
        <v>375.44762720893402</v>
      </c>
      <c r="AO6495" s="2">
        <v>278.10424534494001</v>
      </c>
      <c r="AP6495" s="2">
        <v>318.37519696965097</v>
      </c>
    </row>
    <row r="6496" spans="1:42" ht="14.5" x14ac:dyDescent="0.35">
      <c r="A6496" s="2" t="s">
        <v>43054</v>
      </c>
      <c r="B6496" s="2">
        <v>228.19573581171699</v>
      </c>
      <c r="C6496" s="2">
        <v>8.91496666666667</v>
      </c>
      <c r="D6496" s="2" t="s">
        <v>34</v>
      </c>
      <c r="E6496" s="2" t="s">
        <v>43055</v>
      </c>
      <c r="F6496" s="2">
        <v>55240</v>
      </c>
      <c r="G6496" s="3" t="str">
        <f>HYPERLINK("http://funmeta.oebiotech.com/network/55240", "http://funmeta.oebiotech.com/network/55240")</f>
        <v>http://funmeta.oebiotech.com/network/55240</v>
      </c>
      <c r="H6496" s="2" t="s">
        <v>43056</v>
      </c>
      <c r="I6496" s="2">
        <v>86966</v>
      </c>
      <c r="J6496" s="2"/>
      <c r="K6496" s="2"/>
      <c r="L6496" s="2"/>
      <c r="M6496" s="2"/>
      <c r="N6496" s="2"/>
      <c r="O6496" s="2">
        <v>61098</v>
      </c>
      <c r="P6496" s="2" t="s">
        <v>43057</v>
      </c>
      <c r="Q6496" s="2" t="s">
        <v>43058</v>
      </c>
      <c r="R6496" s="2" t="s">
        <v>43059</v>
      </c>
      <c r="S6496" s="2" t="s">
        <v>50</v>
      </c>
      <c r="T6496" s="2" t="s">
        <v>201</v>
      </c>
      <c r="U6496" s="2" t="s">
        <v>265</v>
      </c>
      <c r="V6496" s="2" t="s">
        <v>59</v>
      </c>
      <c r="W6496" s="2">
        <v>39.700000000000003</v>
      </c>
      <c r="X6496" s="2">
        <v>0</v>
      </c>
      <c r="Y6496" s="2" t="s">
        <v>43</v>
      </c>
      <c r="Z6496" s="2" t="s">
        <v>29533</v>
      </c>
      <c r="AA6496" s="2">
        <v>-0.33147262213204598</v>
      </c>
      <c r="AB6496" s="2">
        <v>2.6737657357356101E-2</v>
      </c>
      <c r="AC6496" s="2">
        <v>1878.27489458793</v>
      </c>
      <c r="AD6496" s="2">
        <v>1998.46599339673</v>
      </c>
      <c r="AE6496" s="2">
        <v>1901.60601236451</v>
      </c>
      <c r="AF6496" s="2">
        <v>1917.6014873049301</v>
      </c>
      <c r="AG6496" s="2">
        <v>1771.94413890084</v>
      </c>
      <c r="AH6496" s="2">
        <v>1935.1167688327901</v>
      </c>
      <c r="AI6496" s="2">
        <v>1737.95772358104</v>
      </c>
      <c r="AJ6496" s="2">
        <v>2005.42323654347</v>
      </c>
      <c r="AK6496" s="2">
        <v>2101.4792092109101</v>
      </c>
      <c r="AL6496" s="2">
        <v>2160.8963154788198</v>
      </c>
      <c r="AM6496" s="2">
        <v>2221.3464675173</v>
      </c>
      <c r="AN6496" s="2">
        <v>1765.12953518115</v>
      </c>
      <c r="AO6496" s="2">
        <v>1846.1030488707299</v>
      </c>
      <c r="AP6496" s="2">
        <v>1895.8413841214399</v>
      </c>
    </row>
    <row r="6497" spans="1:42" ht="14.5" x14ac:dyDescent="0.35">
      <c r="A6497" s="2" t="s">
        <v>43060</v>
      </c>
      <c r="B6497" s="2">
        <v>303.19546812565602</v>
      </c>
      <c r="C6497" s="2">
        <v>10.890933333333299</v>
      </c>
      <c r="D6497" s="2" t="s">
        <v>34</v>
      </c>
      <c r="E6497" s="2" t="s">
        <v>43061</v>
      </c>
      <c r="F6497" s="2">
        <v>44870</v>
      </c>
      <c r="G6497" s="3" t="str">
        <f>HYPERLINK("http://funmeta.oebiotech.com/network/44870", "http://funmeta.oebiotech.com/network/44870")</f>
        <v>http://funmeta.oebiotech.com/network/44870</v>
      </c>
      <c r="H6497" s="2" t="s">
        <v>43062</v>
      </c>
      <c r="I6497" s="2">
        <v>5394</v>
      </c>
      <c r="J6497" s="2" t="s">
        <v>43063</v>
      </c>
      <c r="K6497" s="2">
        <v>28955</v>
      </c>
      <c r="L6497" s="2" t="s">
        <v>43064</v>
      </c>
      <c r="M6497" s="2" t="s">
        <v>2454</v>
      </c>
      <c r="N6497" s="2" t="s">
        <v>2455</v>
      </c>
      <c r="O6497" s="2">
        <v>66414</v>
      </c>
      <c r="P6497" s="2" t="s">
        <v>43065</v>
      </c>
      <c r="Q6497" s="2" t="s">
        <v>43066</v>
      </c>
      <c r="R6497" s="2" t="s">
        <v>43067</v>
      </c>
      <c r="S6497" s="2" t="s">
        <v>50</v>
      </c>
      <c r="T6497" s="2" t="s">
        <v>124</v>
      </c>
      <c r="U6497" s="2" t="s">
        <v>2093</v>
      </c>
      <c r="V6497" s="2" t="s">
        <v>59</v>
      </c>
      <c r="W6497" s="2">
        <v>38.700000000000003</v>
      </c>
      <c r="X6497" s="2">
        <v>0</v>
      </c>
      <c r="Y6497" s="2" t="s">
        <v>394</v>
      </c>
      <c r="Z6497" s="2" t="s">
        <v>6229</v>
      </c>
      <c r="AA6497" s="2">
        <v>-9.9237622447086501E-3</v>
      </c>
      <c r="AB6497" s="2">
        <v>2.6734629510441799E-2</v>
      </c>
      <c r="AC6497" s="2">
        <v>437.30007905370701</v>
      </c>
      <c r="AD6497" s="2">
        <v>343.60173146145303</v>
      </c>
      <c r="AE6497" s="2">
        <v>408.61423152691702</v>
      </c>
      <c r="AF6497" s="2">
        <v>338.01614822677197</v>
      </c>
      <c r="AG6497" s="2">
        <v>486.196914435</v>
      </c>
      <c r="AH6497" s="2">
        <v>513.50295801309005</v>
      </c>
      <c r="AI6497" s="2">
        <v>370.08061165268498</v>
      </c>
      <c r="AJ6497" s="2">
        <v>507.389610467777</v>
      </c>
      <c r="AK6497" s="2">
        <v>218.20402378043099</v>
      </c>
      <c r="AL6497" s="2">
        <v>259.132518705704</v>
      </c>
      <c r="AM6497" s="2">
        <v>418.00808578243999</v>
      </c>
      <c r="AN6497" s="2">
        <v>474.485043342653</v>
      </c>
      <c r="AO6497" s="2">
        <v>305.18915037464097</v>
      </c>
      <c r="AP6497" s="2">
        <v>386.59156678284802</v>
      </c>
    </row>
    <row r="6498" spans="1:42" ht="14.5" x14ac:dyDescent="0.35">
      <c r="A6498" s="2" t="s">
        <v>43068</v>
      </c>
      <c r="B6498" s="2">
        <v>367.02551829866701</v>
      </c>
      <c r="C6498" s="2">
        <v>0.98194999999999999</v>
      </c>
      <c r="D6498" s="2" t="s">
        <v>70</v>
      </c>
      <c r="E6498" s="2" t="s">
        <v>43069</v>
      </c>
      <c r="F6498" s="2">
        <v>212104</v>
      </c>
      <c r="G6498" s="3" t="str">
        <f>HYPERLINK("http://funmeta.oebiotech.com/network/212104", "http://funmeta.oebiotech.com/network/212104")</f>
        <v>http://funmeta.oebiotech.com/network/212104</v>
      </c>
      <c r="H6498" s="2" t="s">
        <v>43070</v>
      </c>
      <c r="I6498" s="2">
        <v>72767</v>
      </c>
      <c r="J6498" s="2"/>
      <c r="K6498" s="2">
        <v>38949</v>
      </c>
      <c r="L6498" s="2" t="s">
        <v>43071</v>
      </c>
      <c r="M6498" s="2"/>
      <c r="N6498" s="2"/>
      <c r="O6498" s="2">
        <v>37125</v>
      </c>
      <c r="P6498" s="2" t="s">
        <v>43072</v>
      </c>
      <c r="Q6498" s="2" t="s">
        <v>43073</v>
      </c>
      <c r="R6498" s="2" t="s">
        <v>43074</v>
      </c>
      <c r="S6498" s="2" t="s">
        <v>148</v>
      </c>
      <c r="T6498" s="2" t="s">
        <v>149</v>
      </c>
      <c r="U6498" s="2" t="s">
        <v>7575</v>
      </c>
      <c r="V6498" s="2" t="s">
        <v>59</v>
      </c>
      <c r="W6498" s="2">
        <v>38.700000000000003</v>
      </c>
      <c r="X6498" s="2">
        <v>15.7</v>
      </c>
      <c r="Y6498" s="2" t="s">
        <v>408</v>
      </c>
      <c r="Z6498" s="2" t="s">
        <v>43075</v>
      </c>
      <c r="AA6498" s="2">
        <v>-3.6147417293228998</v>
      </c>
      <c r="AB6498" s="2">
        <v>2.6705998639408202E-2</v>
      </c>
      <c r="AC6498" s="2">
        <v>28103.799378071999</v>
      </c>
      <c r="AD6498" s="2">
        <v>28688.470318639</v>
      </c>
      <c r="AE6498" s="2">
        <v>28082.6092489363</v>
      </c>
      <c r="AF6498" s="2">
        <v>31986.470342185101</v>
      </c>
      <c r="AG6498" s="2">
        <v>29772.978592744199</v>
      </c>
      <c r="AH6498" s="2">
        <v>27027.9588792699</v>
      </c>
      <c r="AI6498" s="2">
        <v>27342.6969222195</v>
      </c>
      <c r="AJ6498" s="2">
        <v>24410.0822830773</v>
      </c>
      <c r="AK6498" s="2">
        <v>31625.611175378901</v>
      </c>
      <c r="AL6498" s="2">
        <v>25081.058153378501</v>
      </c>
      <c r="AM6498" s="2">
        <v>22163.680795980701</v>
      </c>
      <c r="AN6498" s="2">
        <v>27118.0301728472</v>
      </c>
      <c r="AO6498" s="2">
        <v>33388.174054623101</v>
      </c>
      <c r="AP6498" s="2">
        <v>32754.267559625401</v>
      </c>
    </row>
    <row r="6499" spans="1:42" ht="14.5" x14ac:dyDescent="0.35">
      <c r="A6499" s="2" t="s">
        <v>43076</v>
      </c>
      <c r="B6499" s="2">
        <v>175.11177903528099</v>
      </c>
      <c r="C6499" s="2">
        <v>9.4668666666666699</v>
      </c>
      <c r="D6499" s="2" t="s">
        <v>34</v>
      </c>
      <c r="E6499" s="2" t="s">
        <v>43077</v>
      </c>
      <c r="F6499" s="2">
        <v>949</v>
      </c>
      <c r="G6499" s="3" t="str">
        <f>HYPERLINK("http://funmeta.oebiotech.com/network/949", "http://funmeta.oebiotech.com/network/949")</f>
        <v>http://funmeta.oebiotech.com/network/949</v>
      </c>
      <c r="H6499" s="2"/>
      <c r="I6499" s="2">
        <v>74121</v>
      </c>
      <c r="J6499" s="2" t="s">
        <v>43078</v>
      </c>
      <c r="K6499" s="2">
        <v>137710</v>
      </c>
      <c r="L6499" s="2"/>
      <c r="M6499" s="2"/>
      <c r="N6499" s="2"/>
      <c r="O6499" s="2">
        <v>5312604</v>
      </c>
      <c r="P6499" s="2"/>
      <c r="Q6499" s="2" t="s">
        <v>43079</v>
      </c>
      <c r="R6499" s="2" t="s">
        <v>43080</v>
      </c>
      <c r="S6499" s="2" t="s">
        <v>50</v>
      </c>
      <c r="T6499" s="2" t="s">
        <v>229</v>
      </c>
      <c r="U6499" s="2" t="s">
        <v>433</v>
      </c>
      <c r="V6499" s="2" t="s">
        <v>59</v>
      </c>
      <c r="W6499" s="2">
        <v>44.7</v>
      </c>
      <c r="X6499" s="2">
        <v>26.6</v>
      </c>
      <c r="Y6499" s="2" t="s">
        <v>141</v>
      </c>
      <c r="Z6499" s="2" t="s">
        <v>43081</v>
      </c>
      <c r="AA6499" s="2">
        <v>0.19536754359269701</v>
      </c>
      <c r="AB6499" s="2">
        <v>2.66922642553345E-2</v>
      </c>
      <c r="AC6499" s="2">
        <v>3942.7326107272302</v>
      </c>
      <c r="AD6499" s="2">
        <v>4089.28962869719</v>
      </c>
      <c r="AE6499" s="2">
        <v>3681.94929045348</v>
      </c>
      <c r="AF6499" s="2">
        <v>4029.4848435603599</v>
      </c>
      <c r="AG6499" s="2">
        <v>4182.5931590709097</v>
      </c>
      <c r="AH6499" s="2">
        <v>3963.3742100395698</v>
      </c>
      <c r="AI6499" s="2">
        <v>3843.1441236931</v>
      </c>
      <c r="AJ6499" s="2">
        <v>3955.8500375459798</v>
      </c>
      <c r="AK6499" s="2">
        <v>4386.5544592507003</v>
      </c>
      <c r="AL6499" s="2">
        <v>4263.7443365632398</v>
      </c>
      <c r="AM6499" s="2">
        <v>3975.3886869541402</v>
      </c>
      <c r="AN6499" s="2">
        <v>3833.13949212435</v>
      </c>
      <c r="AO6499" s="2">
        <v>4346.7963307957898</v>
      </c>
      <c r="AP6499" s="2">
        <v>3730.1144664949102</v>
      </c>
    </row>
    <row r="6500" spans="1:42" ht="14.5" x14ac:dyDescent="0.35">
      <c r="A6500" s="2" t="s">
        <v>43082</v>
      </c>
      <c r="B6500" s="2">
        <v>640.34781184693304</v>
      </c>
      <c r="C6500" s="2">
        <v>7.60825</v>
      </c>
      <c r="D6500" s="2" t="s">
        <v>34</v>
      </c>
      <c r="E6500" s="2" t="s">
        <v>43083</v>
      </c>
      <c r="F6500" s="2">
        <v>28120</v>
      </c>
      <c r="G6500" s="3" t="str">
        <f>HYPERLINK("http://funmeta.oebiotech.com/network/28120", "http://funmeta.oebiotech.com/network/28120")</f>
        <v>http://funmeta.oebiotech.com/network/28120</v>
      </c>
      <c r="H6500" s="2"/>
      <c r="I6500" s="2"/>
      <c r="J6500" s="2" t="s">
        <v>43084</v>
      </c>
      <c r="K6500" s="2"/>
      <c r="L6500" s="2"/>
      <c r="M6500" s="2"/>
      <c r="N6500" s="2"/>
      <c r="O6500" s="2"/>
      <c r="P6500" s="2"/>
      <c r="Q6500" s="2" t="s">
        <v>43085</v>
      </c>
      <c r="R6500" s="2" t="s">
        <v>43086</v>
      </c>
      <c r="S6500" s="2" t="s">
        <v>79</v>
      </c>
      <c r="T6500" s="2" t="s">
        <v>80</v>
      </c>
      <c r="U6500" s="2" t="s">
        <v>81</v>
      </c>
      <c r="V6500" s="2" t="s">
        <v>42</v>
      </c>
      <c r="W6500" s="2">
        <v>52.5</v>
      </c>
      <c r="X6500" s="2">
        <v>72.3</v>
      </c>
      <c r="Y6500" s="2" t="s">
        <v>394</v>
      </c>
      <c r="Z6500" s="2" t="s">
        <v>43087</v>
      </c>
      <c r="AA6500" s="2">
        <v>3.39822191041132</v>
      </c>
      <c r="AB6500" s="2">
        <v>2.65938151321337E-2</v>
      </c>
      <c r="AC6500" s="2">
        <v>549137.25688609597</v>
      </c>
      <c r="AD6500" s="2">
        <v>548013.82316523395</v>
      </c>
      <c r="AE6500" s="2">
        <v>555112.21213822695</v>
      </c>
      <c r="AF6500" s="2">
        <v>558972.07073491404</v>
      </c>
      <c r="AG6500" s="2">
        <v>545459.96941540495</v>
      </c>
      <c r="AH6500" s="2">
        <v>516909.088315295</v>
      </c>
      <c r="AI6500" s="2">
        <v>531356.18522075703</v>
      </c>
      <c r="AJ6500" s="2">
        <v>587014.01549197803</v>
      </c>
      <c r="AK6500" s="2">
        <v>546895.94934599299</v>
      </c>
      <c r="AL6500" s="2">
        <v>540474.53609441302</v>
      </c>
      <c r="AM6500" s="2">
        <v>551687.33602499496</v>
      </c>
      <c r="AN6500" s="2">
        <v>539628.43789970502</v>
      </c>
      <c r="AO6500" s="2">
        <v>539414.03210961097</v>
      </c>
      <c r="AP6500" s="2">
        <v>569982.64751668903</v>
      </c>
    </row>
    <row r="6501" spans="1:42" ht="14.5" x14ac:dyDescent="0.35">
      <c r="A6501" s="2" t="s">
        <v>43088</v>
      </c>
      <c r="B6501" s="2">
        <v>553.208521157159</v>
      </c>
      <c r="C6501" s="2">
        <v>5.5617999999999999</v>
      </c>
      <c r="D6501" s="2" t="s">
        <v>70</v>
      </c>
      <c r="E6501" s="2" t="s">
        <v>43089</v>
      </c>
      <c r="F6501" s="2">
        <v>54538</v>
      </c>
      <c r="G6501" s="3" t="str">
        <f>HYPERLINK("http://funmeta.oebiotech.com/network/54538", "http://funmeta.oebiotech.com/network/54538")</f>
        <v>http://funmeta.oebiotech.com/network/54538</v>
      </c>
      <c r="H6501" s="2" t="s">
        <v>43090</v>
      </c>
      <c r="I6501" s="2">
        <v>86386</v>
      </c>
      <c r="J6501" s="2"/>
      <c r="K6501" s="2"/>
      <c r="L6501" s="2"/>
      <c r="M6501" s="2"/>
      <c r="N6501" s="2"/>
      <c r="O6501" s="2">
        <v>131750889</v>
      </c>
      <c r="P6501" s="2"/>
      <c r="Q6501" s="2" t="s">
        <v>43091</v>
      </c>
      <c r="R6501" s="2" t="s">
        <v>43092</v>
      </c>
      <c r="S6501" s="2" t="s">
        <v>50</v>
      </c>
      <c r="T6501" s="2" t="s">
        <v>124</v>
      </c>
      <c r="U6501" s="2" t="s">
        <v>7796</v>
      </c>
      <c r="V6501" s="2" t="s">
        <v>59</v>
      </c>
      <c r="W6501" s="2">
        <v>38.4</v>
      </c>
      <c r="X6501" s="2">
        <v>0</v>
      </c>
      <c r="Y6501" s="2" t="s">
        <v>751</v>
      </c>
      <c r="Z6501" s="2" t="s">
        <v>43093</v>
      </c>
      <c r="AA6501" s="2">
        <v>1.04907454187896</v>
      </c>
      <c r="AB6501" s="2">
        <v>2.65717942715883E-2</v>
      </c>
      <c r="AC6501" s="2">
        <v>7410.0055969587802</v>
      </c>
      <c r="AD6501" s="2">
        <v>7157.8350163620898</v>
      </c>
      <c r="AE6501" s="2">
        <v>7670.17752441009</v>
      </c>
      <c r="AF6501" s="2">
        <v>7990.89026918328</v>
      </c>
      <c r="AG6501" s="2">
        <v>7256.3248762123503</v>
      </c>
      <c r="AH6501" s="2">
        <v>7287.06844691684</v>
      </c>
      <c r="AI6501" s="2">
        <v>7852.6121101156996</v>
      </c>
      <c r="AJ6501" s="2">
        <v>6402.9603549144203</v>
      </c>
      <c r="AK6501" s="2">
        <v>7512.6985498767799</v>
      </c>
      <c r="AL6501" s="2">
        <v>6998.6306437957201</v>
      </c>
      <c r="AM6501" s="2">
        <v>6743.2028843325297</v>
      </c>
      <c r="AN6501" s="2">
        <v>5784.0106970490797</v>
      </c>
      <c r="AO6501" s="2">
        <v>7432.5343475248901</v>
      </c>
      <c r="AP6501" s="2">
        <v>8475.9329755935596</v>
      </c>
    </row>
    <row r="6502" spans="1:42" ht="14.5" x14ac:dyDescent="0.35">
      <c r="A6502" s="2" t="s">
        <v>43094</v>
      </c>
      <c r="B6502" s="2">
        <v>263.112473537531</v>
      </c>
      <c r="C6502" s="2">
        <v>1.1287499999999999</v>
      </c>
      <c r="D6502" s="2" t="s">
        <v>34</v>
      </c>
      <c r="E6502" s="2" t="s">
        <v>43095</v>
      </c>
      <c r="F6502" s="2">
        <v>274674</v>
      </c>
      <c r="G6502" s="3" t="str">
        <f>HYPERLINK("http://funmeta.oebiotech.com/network/274674", "http://funmeta.oebiotech.com/network/274674")</f>
        <v>http://funmeta.oebiotech.com/network/274674</v>
      </c>
      <c r="H6502" s="2"/>
      <c r="I6502" s="2">
        <v>64841</v>
      </c>
      <c r="J6502" s="2"/>
      <c r="K6502" s="2"/>
      <c r="L6502" s="2"/>
      <c r="M6502" s="2"/>
      <c r="N6502" s="2"/>
      <c r="O6502" s="2">
        <v>73087</v>
      </c>
      <c r="P6502" s="2" t="s">
        <v>43096</v>
      </c>
      <c r="Q6502" s="2" t="s">
        <v>43097</v>
      </c>
      <c r="R6502" s="2" t="s">
        <v>43098</v>
      </c>
      <c r="S6502" s="2" t="s">
        <v>491</v>
      </c>
      <c r="T6502" s="2" t="s">
        <v>22996</v>
      </c>
      <c r="U6502" s="2" t="s">
        <v>43099</v>
      </c>
      <c r="V6502" s="2" t="s">
        <v>59</v>
      </c>
      <c r="W6502" s="2">
        <v>37.1</v>
      </c>
      <c r="X6502" s="2">
        <v>0</v>
      </c>
      <c r="Y6502" s="2" t="s">
        <v>394</v>
      </c>
      <c r="Z6502" s="2" t="s">
        <v>43100</v>
      </c>
      <c r="AA6502" s="2">
        <v>-5.3154761460789999</v>
      </c>
      <c r="AB6502" s="2">
        <v>2.6469433840813902E-2</v>
      </c>
      <c r="AC6502" s="2">
        <v>634.11189587081799</v>
      </c>
      <c r="AD6502" s="2">
        <v>775.24383061814501</v>
      </c>
      <c r="AE6502" s="2">
        <v>639.968183483948</v>
      </c>
      <c r="AF6502" s="2">
        <v>861.557453423271</v>
      </c>
      <c r="AG6502" s="2">
        <v>565.54455600639005</v>
      </c>
      <c r="AH6502" s="2">
        <v>439.86350124547999</v>
      </c>
      <c r="AI6502" s="2">
        <v>820.46918351836803</v>
      </c>
      <c r="AJ6502" s="2">
        <v>477.26849754744802</v>
      </c>
      <c r="AK6502" s="2">
        <v>1200.9464955660001</v>
      </c>
      <c r="AL6502" s="2">
        <v>409.271211418603</v>
      </c>
      <c r="AM6502" s="2">
        <v>673.645639406501</v>
      </c>
      <c r="AN6502" s="2">
        <v>864.03609373292204</v>
      </c>
      <c r="AO6502" s="2">
        <v>620.59965969260099</v>
      </c>
      <c r="AP6502" s="2">
        <v>882.96388389224603</v>
      </c>
    </row>
    <row r="6503" spans="1:42" ht="14.5" x14ac:dyDescent="0.35">
      <c r="A6503" s="2" t="s">
        <v>43101</v>
      </c>
      <c r="B6503" s="2">
        <v>255.15997724264599</v>
      </c>
      <c r="C6503" s="2">
        <v>8.8894000000000002</v>
      </c>
      <c r="D6503" s="2" t="s">
        <v>70</v>
      </c>
      <c r="E6503" s="2" t="s">
        <v>43102</v>
      </c>
      <c r="F6503" s="2">
        <v>54165</v>
      </c>
      <c r="G6503" s="3" t="str">
        <f>HYPERLINK("http://funmeta.oebiotech.com/network/54165", "http://funmeta.oebiotech.com/network/54165")</f>
        <v>http://funmeta.oebiotech.com/network/54165</v>
      </c>
      <c r="H6503" s="2" t="s">
        <v>43103</v>
      </c>
      <c r="I6503" s="2">
        <v>86057</v>
      </c>
      <c r="J6503" s="2"/>
      <c r="K6503" s="2"/>
      <c r="L6503" s="2"/>
      <c r="M6503" s="2"/>
      <c r="N6503" s="2"/>
      <c r="O6503" s="2">
        <v>100532</v>
      </c>
      <c r="P6503" s="2"/>
      <c r="Q6503" s="2" t="s">
        <v>43104</v>
      </c>
      <c r="R6503" s="2" t="s">
        <v>43105</v>
      </c>
      <c r="S6503" s="2" t="s">
        <v>79</v>
      </c>
      <c r="T6503" s="2" t="s">
        <v>80</v>
      </c>
      <c r="U6503" s="2" t="s">
        <v>2820</v>
      </c>
      <c r="V6503" s="2" t="s">
        <v>59</v>
      </c>
      <c r="W6503" s="2">
        <v>39.5</v>
      </c>
      <c r="X6503" s="2">
        <v>0</v>
      </c>
      <c r="Y6503" s="2" t="s">
        <v>560</v>
      </c>
      <c r="Z6503" s="2" t="s">
        <v>43106</v>
      </c>
      <c r="AA6503" s="2">
        <v>-0.80249565958106805</v>
      </c>
      <c r="AB6503" s="2">
        <v>2.63465023845681E-2</v>
      </c>
      <c r="AC6503" s="2">
        <v>1440.78491745053</v>
      </c>
      <c r="AD6503" s="2">
        <v>1566.45545228933</v>
      </c>
      <c r="AE6503" s="2">
        <v>1358.15298486407</v>
      </c>
      <c r="AF6503" s="2">
        <v>1588.13365241618</v>
      </c>
      <c r="AG6503" s="2">
        <v>1560.31863895126</v>
      </c>
      <c r="AH6503" s="2">
        <v>1361.94622944771</v>
      </c>
      <c r="AI6503" s="2">
        <v>1298.3548648681999</v>
      </c>
      <c r="AJ6503" s="2">
        <v>1477.8031341557801</v>
      </c>
      <c r="AK6503" s="2">
        <v>1597.9506042456001</v>
      </c>
      <c r="AL6503" s="2">
        <v>1955.80039260032</v>
      </c>
      <c r="AM6503" s="2">
        <v>1495.1026425560899</v>
      </c>
      <c r="AN6503" s="2">
        <v>1354.3643485904099</v>
      </c>
      <c r="AO6503" s="2">
        <v>1492.81113967787</v>
      </c>
      <c r="AP6503" s="2">
        <v>1502.7035860656999</v>
      </c>
    </row>
    <row r="6504" spans="1:42" ht="14.5" x14ac:dyDescent="0.35">
      <c r="A6504" s="2" t="s">
        <v>43107</v>
      </c>
      <c r="B6504" s="2">
        <v>427.10222508645899</v>
      </c>
      <c r="C6504" s="2">
        <v>4.1410833333333299</v>
      </c>
      <c r="D6504" s="2" t="s">
        <v>34</v>
      </c>
      <c r="E6504" s="2" t="s">
        <v>43108</v>
      </c>
      <c r="F6504" s="2">
        <v>204852</v>
      </c>
      <c r="G6504" s="3" t="str">
        <f>HYPERLINK("http://funmeta.oebiotech.com/network/204852", "http://funmeta.oebiotech.com/network/204852")</f>
        <v>http://funmeta.oebiotech.com/network/204852</v>
      </c>
      <c r="H6504" s="2" t="s">
        <v>43109</v>
      </c>
      <c r="I6504" s="2"/>
      <c r="J6504" s="2"/>
      <c r="K6504" s="2"/>
      <c r="L6504" s="2"/>
      <c r="M6504" s="2"/>
      <c r="N6504" s="2"/>
      <c r="O6504" s="2">
        <v>6918099</v>
      </c>
      <c r="P6504" s="2"/>
      <c r="Q6504" s="2" t="s">
        <v>43110</v>
      </c>
      <c r="R6504" s="2" t="s">
        <v>43111</v>
      </c>
      <c r="S6504" s="2" t="s">
        <v>148</v>
      </c>
      <c r="T6504" s="2" t="s">
        <v>3772</v>
      </c>
      <c r="U6504" s="2" t="s">
        <v>18665</v>
      </c>
      <c r="V6504" s="2" t="s">
        <v>59</v>
      </c>
      <c r="W6504" s="2">
        <v>38.700000000000003</v>
      </c>
      <c r="X6504" s="2">
        <v>0</v>
      </c>
      <c r="Y6504" s="2" t="s">
        <v>340</v>
      </c>
      <c r="Z6504" s="2" t="s">
        <v>43112</v>
      </c>
      <c r="AA6504" s="2">
        <v>2.0163651225267301</v>
      </c>
      <c r="AB6504" s="2">
        <v>2.6321205065814E-2</v>
      </c>
      <c r="AC6504" s="2">
        <v>30069.2536372371</v>
      </c>
      <c r="AD6504" s="2">
        <v>30415.877586770999</v>
      </c>
      <c r="AE6504" s="2">
        <v>28238.364801078002</v>
      </c>
      <c r="AF6504" s="2">
        <v>29813.489008546501</v>
      </c>
      <c r="AG6504" s="2">
        <v>31905.591802631599</v>
      </c>
      <c r="AH6504" s="2">
        <v>30736.2367485012</v>
      </c>
      <c r="AI6504" s="2">
        <v>31289.548102014302</v>
      </c>
      <c r="AJ6504" s="2">
        <v>28432.291360651201</v>
      </c>
      <c r="AK6504" s="2">
        <v>28559.3851269113</v>
      </c>
      <c r="AL6504" s="2">
        <v>28545.836429952</v>
      </c>
      <c r="AM6504" s="2">
        <v>31520.575208517701</v>
      </c>
      <c r="AN6504" s="2">
        <v>31207.703683283798</v>
      </c>
      <c r="AO6504" s="2">
        <v>30216.395443936701</v>
      </c>
      <c r="AP6504" s="2">
        <v>32445.3696280244</v>
      </c>
    </row>
    <row r="6505" spans="1:42" ht="14.5" x14ac:dyDescent="0.35">
      <c r="A6505" s="2" t="s">
        <v>43113</v>
      </c>
      <c r="B6505" s="2">
        <v>266.10310452104397</v>
      </c>
      <c r="C6505" s="2">
        <v>9.7324999999999999</v>
      </c>
      <c r="D6505" s="2" t="s">
        <v>70</v>
      </c>
      <c r="E6505" s="2" t="s">
        <v>43114</v>
      </c>
      <c r="F6505" s="2">
        <v>57902</v>
      </c>
      <c r="G6505" s="3" t="str">
        <f>HYPERLINK("http://funmeta.oebiotech.com/network/57902", "http://funmeta.oebiotech.com/network/57902")</f>
        <v>http://funmeta.oebiotech.com/network/57902</v>
      </c>
      <c r="H6505" s="2" t="s">
        <v>43115</v>
      </c>
      <c r="I6505" s="2">
        <v>43460</v>
      </c>
      <c r="J6505" s="2"/>
      <c r="K6505" s="2"/>
      <c r="L6505" s="2" t="s">
        <v>43116</v>
      </c>
      <c r="M6505" s="2"/>
      <c r="N6505" s="2"/>
      <c r="O6505" s="2">
        <v>3646</v>
      </c>
      <c r="P6505" s="2" t="s">
        <v>43117</v>
      </c>
      <c r="Q6505" s="2" t="s">
        <v>43118</v>
      </c>
      <c r="R6505" s="2" t="s">
        <v>43119</v>
      </c>
      <c r="S6505" s="2" t="s">
        <v>491</v>
      </c>
      <c r="T6505" s="2" t="s">
        <v>12559</v>
      </c>
      <c r="U6505" s="2" t="s">
        <v>41</v>
      </c>
      <c r="V6505" s="2" t="s">
        <v>59</v>
      </c>
      <c r="W6505" s="2">
        <v>42.6</v>
      </c>
      <c r="X6505" s="2">
        <v>16.899999999999999</v>
      </c>
      <c r="Y6505" s="2" t="s">
        <v>408</v>
      </c>
      <c r="Z6505" s="2" t="s">
        <v>43120</v>
      </c>
      <c r="AA6505" s="2">
        <v>-1.3192520803852601</v>
      </c>
      <c r="AB6505" s="2">
        <v>2.6292029833889199E-2</v>
      </c>
      <c r="AC6505" s="2">
        <v>13223.9785987983</v>
      </c>
      <c r="AD6505" s="2">
        <v>12889.324155473099</v>
      </c>
      <c r="AE6505" s="2">
        <v>13336.278138043301</v>
      </c>
      <c r="AF6505" s="2">
        <v>13420.4354552531</v>
      </c>
      <c r="AG6505" s="2">
        <v>12503.1513612608</v>
      </c>
      <c r="AH6505" s="2">
        <v>13173.3404606636</v>
      </c>
      <c r="AI6505" s="2">
        <v>11418.3538217109</v>
      </c>
      <c r="AJ6505" s="2">
        <v>15492.312355858099</v>
      </c>
      <c r="AK6505" s="2">
        <v>14530.9755302143</v>
      </c>
      <c r="AL6505" s="2">
        <v>14324.0016398352</v>
      </c>
      <c r="AM6505" s="2">
        <v>11245.511963164299</v>
      </c>
      <c r="AN6505" s="2">
        <v>13651.032497906401</v>
      </c>
      <c r="AO6505" s="2">
        <v>12746.058835411901</v>
      </c>
      <c r="AP6505" s="2">
        <v>10838.364466306301</v>
      </c>
    </row>
    <row r="6506" spans="1:42" ht="14.5" x14ac:dyDescent="0.35">
      <c r="A6506" s="2" t="s">
        <v>43121</v>
      </c>
      <c r="B6506" s="2">
        <v>241.07381448690001</v>
      </c>
      <c r="C6506" s="2">
        <v>3.7334833333333299</v>
      </c>
      <c r="D6506" s="2" t="s">
        <v>34</v>
      </c>
      <c r="E6506" s="2" t="s">
        <v>43122</v>
      </c>
      <c r="F6506" s="2">
        <v>54721</v>
      </c>
      <c r="G6506" s="3" t="str">
        <f>HYPERLINK("http://funmeta.oebiotech.com/network/54721", "http://funmeta.oebiotech.com/network/54721")</f>
        <v>http://funmeta.oebiotech.com/network/54721</v>
      </c>
      <c r="H6506" s="2" t="s">
        <v>43123</v>
      </c>
      <c r="I6506" s="2">
        <v>86539</v>
      </c>
      <c r="J6506" s="2"/>
      <c r="K6506" s="2">
        <v>114202</v>
      </c>
      <c r="L6506" s="2"/>
      <c r="M6506" s="2"/>
      <c r="N6506" s="2"/>
      <c r="O6506" s="2">
        <v>368982</v>
      </c>
      <c r="P6506" s="2" t="s">
        <v>43124</v>
      </c>
      <c r="Q6506" s="2" t="s">
        <v>43125</v>
      </c>
      <c r="R6506" s="2" t="s">
        <v>43126</v>
      </c>
      <c r="S6506" s="2" t="s">
        <v>39</v>
      </c>
      <c r="T6506" s="2" t="s">
        <v>3154</v>
      </c>
      <c r="U6506" s="2" t="s">
        <v>41</v>
      </c>
      <c r="V6506" s="2" t="s">
        <v>59</v>
      </c>
      <c r="W6506" s="2">
        <v>39.1</v>
      </c>
      <c r="X6506" s="2">
        <v>0</v>
      </c>
      <c r="Y6506" s="2" t="s">
        <v>340</v>
      </c>
      <c r="Z6506" s="2" t="s">
        <v>43127</v>
      </c>
      <c r="AA6506" s="2">
        <v>0.21438141929173701</v>
      </c>
      <c r="AB6506" s="2">
        <v>2.6097583612147899E-2</v>
      </c>
      <c r="AC6506" s="2">
        <v>2940.9147761169102</v>
      </c>
      <c r="AD6506" s="2">
        <v>2764.9862015643998</v>
      </c>
      <c r="AE6506" s="2">
        <v>3601.5553354827798</v>
      </c>
      <c r="AF6506" s="2">
        <v>3144.5731058070601</v>
      </c>
      <c r="AG6506" s="2">
        <v>2698.5657348914201</v>
      </c>
      <c r="AH6506" s="2">
        <v>2994.9158217549498</v>
      </c>
      <c r="AI6506" s="2">
        <v>2531.0989444604702</v>
      </c>
      <c r="AJ6506" s="2">
        <v>2674.7797143048001</v>
      </c>
      <c r="AK6506" s="2">
        <v>2313.9432198202098</v>
      </c>
      <c r="AL6506" s="2">
        <v>2794.7700061647301</v>
      </c>
      <c r="AM6506" s="2">
        <v>3387.13896387764</v>
      </c>
      <c r="AN6506" s="2">
        <v>2810.8919862840498</v>
      </c>
      <c r="AO6506" s="2">
        <v>2701.6854132885901</v>
      </c>
      <c r="AP6506" s="2">
        <v>2581.48761995119</v>
      </c>
    </row>
    <row r="6507" spans="1:42" ht="14.5" x14ac:dyDescent="0.35">
      <c r="A6507" s="2" t="s">
        <v>43128</v>
      </c>
      <c r="B6507" s="2">
        <v>343.10331732432599</v>
      </c>
      <c r="C6507" s="2">
        <v>3.8429333333333302</v>
      </c>
      <c r="D6507" s="2" t="s">
        <v>70</v>
      </c>
      <c r="E6507" s="2" t="s">
        <v>43129</v>
      </c>
      <c r="F6507" s="2">
        <v>54557</v>
      </c>
      <c r="G6507" s="3" t="str">
        <f>HYPERLINK("http://funmeta.oebiotech.com/network/54557", "http://funmeta.oebiotech.com/network/54557")</f>
        <v>http://funmeta.oebiotech.com/network/54557</v>
      </c>
      <c r="H6507" s="2" t="s">
        <v>43130</v>
      </c>
      <c r="I6507" s="2">
        <v>86396</v>
      </c>
      <c r="J6507" s="2"/>
      <c r="K6507" s="2">
        <v>168004</v>
      </c>
      <c r="L6507" s="2"/>
      <c r="M6507" s="2"/>
      <c r="N6507" s="2"/>
      <c r="O6507" s="2">
        <v>75072039</v>
      </c>
      <c r="P6507" s="2" t="s">
        <v>43131</v>
      </c>
      <c r="Q6507" s="2" t="s">
        <v>43132</v>
      </c>
      <c r="R6507" s="2" t="s">
        <v>43133</v>
      </c>
      <c r="S6507" s="2" t="s">
        <v>79</v>
      </c>
      <c r="T6507" s="2" t="s">
        <v>80</v>
      </c>
      <c r="U6507" s="2" t="s">
        <v>81</v>
      </c>
      <c r="V6507" s="2" t="s">
        <v>42</v>
      </c>
      <c r="W6507" s="2">
        <v>53.3</v>
      </c>
      <c r="X6507" s="2">
        <v>73.2</v>
      </c>
      <c r="Y6507" s="2" t="s">
        <v>118</v>
      </c>
      <c r="Z6507" s="2" t="s">
        <v>43134</v>
      </c>
      <c r="AA6507" s="2">
        <v>-0.40237371747509199</v>
      </c>
      <c r="AB6507" s="2">
        <v>2.5985645627081499E-2</v>
      </c>
      <c r="AC6507" s="2">
        <v>26101.7777448452</v>
      </c>
      <c r="AD6507" s="2">
        <v>25803.429948757199</v>
      </c>
      <c r="AE6507" s="2">
        <v>25638.2272426532</v>
      </c>
      <c r="AF6507" s="2">
        <v>26808.4743608268</v>
      </c>
      <c r="AG6507" s="2">
        <v>25045.622595581499</v>
      </c>
      <c r="AH6507" s="2">
        <v>24478.537704541101</v>
      </c>
      <c r="AI6507" s="2">
        <v>27873.565799428801</v>
      </c>
      <c r="AJ6507" s="2">
        <v>26766.238766039602</v>
      </c>
      <c r="AK6507" s="2">
        <v>25066.409320604402</v>
      </c>
      <c r="AL6507" s="2">
        <v>25373.9146862081</v>
      </c>
      <c r="AM6507" s="2">
        <v>26387.245600538401</v>
      </c>
      <c r="AN6507" s="2">
        <v>26385.422020629401</v>
      </c>
      <c r="AO6507" s="2">
        <v>25531.139331486698</v>
      </c>
      <c r="AP6507" s="2">
        <v>26076.448733076199</v>
      </c>
    </row>
    <row r="6508" spans="1:42" ht="14.5" x14ac:dyDescent="0.35">
      <c r="A6508" s="2" t="s">
        <v>43135</v>
      </c>
      <c r="B6508" s="2">
        <v>185.12852435679099</v>
      </c>
      <c r="C6508" s="2">
        <v>1.6840333333333299</v>
      </c>
      <c r="D6508" s="2" t="s">
        <v>34</v>
      </c>
      <c r="E6508" s="2" t="s">
        <v>43136</v>
      </c>
      <c r="F6508" s="2">
        <v>48321</v>
      </c>
      <c r="G6508" s="3" t="str">
        <f>HYPERLINK("http://funmeta.oebiotech.com/network/48321", "http://funmeta.oebiotech.com/network/48321")</f>
        <v>http://funmeta.oebiotech.com/network/48321</v>
      </c>
      <c r="H6508" s="2" t="s">
        <v>43137</v>
      </c>
      <c r="I6508" s="2">
        <v>24111</v>
      </c>
      <c r="J6508" s="2"/>
      <c r="K6508" s="2">
        <v>29081</v>
      </c>
      <c r="L6508" s="2" t="s">
        <v>43138</v>
      </c>
      <c r="M6508" s="2"/>
      <c r="N6508" s="2"/>
      <c r="O6508" s="2">
        <v>7172</v>
      </c>
      <c r="P6508" s="2" t="s">
        <v>43139</v>
      </c>
      <c r="Q6508" s="2" t="s">
        <v>43140</v>
      </c>
      <c r="R6508" s="2" t="s">
        <v>43141</v>
      </c>
      <c r="S6508" s="2" t="s">
        <v>148</v>
      </c>
      <c r="T6508" s="2" t="s">
        <v>392</v>
      </c>
      <c r="U6508" s="2" t="s">
        <v>393</v>
      </c>
      <c r="V6508" s="2" t="s">
        <v>59</v>
      </c>
      <c r="W6508" s="2">
        <v>37.9</v>
      </c>
      <c r="X6508" s="2">
        <v>0</v>
      </c>
      <c r="Y6508" s="2" t="s">
        <v>43</v>
      </c>
      <c r="Z6508" s="2" t="s">
        <v>43142</v>
      </c>
      <c r="AA6508" s="2">
        <v>0.41991751463654198</v>
      </c>
      <c r="AB6508" s="2">
        <v>2.59707882374514E-2</v>
      </c>
      <c r="AC6508" s="2">
        <v>117.833445452332</v>
      </c>
      <c r="AD6508" s="2">
        <v>41.1491047665154</v>
      </c>
      <c r="AE6508" s="2">
        <v>203.65601572566001</v>
      </c>
      <c r="AF6508" s="2">
        <v>87.050975041941697</v>
      </c>
      <c r="AG6508" s="2">
        <v>78.764799484460895</v>
      </c>
      <c r="AH6508" s="2">
        <v>57.064439188421098</v>
      </c>
      <c r="AI6508" s="2">
        <v>66.686497038077306</v>
      </c>
      <c r="AJ6508" s="2">
        <v>213.777946235429</v>
      </c>
      <c r="AK6508" s="2">
        <v>75.533101374675397</v>
      </c>
      <c r="AL6508" s="2">
        <v>2.7106294003980101E-5</v>
      </c>
      <c r="AM6508" s="2">
        <v>86.934460327683496</v>
      </c>
      <c r="AN6508" s="2">
        <v>84.426985577851298</v>
      </c>
      <c r="AO6508" s="2">
        <v>2.7106294003980101E-5</v>
      </c>
      <c r="AP6508" s="2">
        <v>2.7106294003980101E-5</v>
      </c>
    </row>
    <row r="6509" spans="1:42" ht="14.5" x14ac:dyDescent="0.35">
      <c r="A6509" s="2" t="s">
        <v>43143</v>
      </c>
      <c r="B6509" s="2">
        <v>696.28011639552506</v>
      </c>
      <c r="C6509" s="2">
        <v>10.036016666666701</v>
      </c>
      <c r="D6509" s="2" t="s">
        <v>34</v>
      </c>
      <c r="E6509" s="2" t="s">
        <v>43144</v>
      </c>
      <c r="F6509" s="2">
        <v>54946</v>
      </c>
      <c r="G6509" s="3" t="str">
        <f>HYPERLINK("http://funmeta.oebiotech.com/network/54946", "http://funmeta.oebiotech.com/network/54946")</f>
        <v>http://funmeta.oebiotech.com/network/54946</v>
      </c>
      <c r="H6509" s="2" t="s">
        <v>43145</v>
      </c>
      <c r="I6509" s="2">
        <v>86728</v>
      </c>
      <c r="J6509" s="2"/>
      <c r="K6509" s="2"/>
      <c r="L6509" s="2"/>
      <c r="M6509" s="2"/>
      <c r="N6509" s="2"/>
      <c r="O6509" s="2">
        <v>10394786</v>
      </c>
      <c r="P6509" s="2" t="s">
        <v>43146</v>
      </c>
      <c r="Q6509" s="2" t="s">
        <v>43147</v>
      </c>
      <c r="R6509" s="2" t="s">
        <v>43148</v>
      </c>
      <c r="S6509" s="2" t="s">
        <v>115</v>
      </c>
      <c r="T6509" s="2" t="s">
        <v>575</v>
      </c>
      <c r="U6509" s="2" t="s">
        <v>576</v>
      </c>
      <c r="V6509" s="2" t="s">
        <v>59</v>
      </c>
      <c r="W6509" s="2">
        <v>37.700000000000003</v>
      </c>
      <c r="X6509" s="2">
        <v>0</v>
      </c>
      <c r="Y6509" s="2" t="s">
        <v>43</v>
      </c>
      <c r="Z6509" s="2" t="s">
        <v>43149</v>
      </c>
      <c r="AA6509" s="2">
        <v>-0.30453343428617802</v>
      </c>
      <c r="AB6509" s="2">
        <v>2.5933842244463198E-2</v>
      </c>
      <c r="AC6509" s="2">
        <v>825.42973482420996</v>
      </c>
      <c r="AD6509" s="2">
        <v>667.95865897696694</v>
      </c>
      <c r="AE6509" s="2">
        <v>1026.4645690678899</v>
      </c>
      <c r="AF6509" s="2">
        <v>879.42711649272303</v>
      </c>
      <c r="AG6509" s="2">
        <v>696.303410511518</v>
      </c>
      <c r="AH6509" s="2">
        <v>926.45255983720699</v>
      </c>
      <c r="AI6509" s="2">
        <v>877.087607264084</v>
      </c>
      <c r="AJ6509" s="2">
        <v>546.84314577183898</v>
      </c>
      <c r="AK6509" s="2">
        <v>380.89853082923003</v>
      </c>
      <c r="AL6509" s="2">
        <v>321.12109544169101</v>
      </c>
      <c r="AM6509" s="2">
        <v>503.493948915158</v>
      </c>
      <c r="AN6509" s="2">
        <v>546.17405052379002</v>
      </c>
      <c r="AO6509" s="2">
        <v>991.67381481974496</v>
      </c>
      <c r="AP6509" s="2">
        <v>1264.39051333219</v>
      </c>
    </row>
    <row r="6510" spans="1:42" ht="14.5" x14ac:dyDescent="0.35">
      <c r="A6510" s="2" t="s">
        <v>43150</v>
      </c>
      <c r="B6510" s="2">
        <v>172.13307197472901</v>
      </c>
      <c r="C6510" s="2">
        <v>11.2503166666667</v>
      </c>
      <c r="D6510" s="2" t="s">
        <v>34</v>
      </c>
      <c r="E6510" s="2" t="s">
        <v>43151</v>
      </c>
      <c r="F6510" s="2">
        <v>994</v>
      </c>
      <c r="G6510" s="3" t="str">
        <f>HYPERLINK("http://funmeta.oebiotech.com/network/994", "http://funmeta.oebiotech.com/network/994")</f>
        <v>http://funmeta.oebiotech.com/network/994</v>
      </c>
      <c r="H6510" s="2"/>
      <c r="I6510" s="2">
        <v>74166</v>
      </c>
      <c r="J6510" s="2" t="s">
        <v>43152</v>
      </c>
      <c r="K6510" s="2">
        <v>137768</v>
      </c>
      <c r="L6510" s="2"/>
      <c r="M6510" s="2"/>
      <c r="N6510" s="2"/>
      <c r="O6510" s="2">
        <v>35698</v>
      </c>
      <c r="P6510" s="2"/>
      <c r="Q6510" s="2" t="s">
        <v>43153</v>
      </c>
      <c r="R6510" s="2" t="s">
        <v>43154</v>
      </c>
      <c r="S6510" s="2" t="s">
        <v>50</v>
      </c>
      <c r="T6510" s="2" t="s">
        <v>229</v>
      </c>
      <c r="U6510" s="2" t="s">
        <v>433</v>
      </c>
      <c r="V6510" s="2" t="s">
        <v>59</v>
      </c>
      <c r="W6510" s="2">
        <v>48.1</v>
      </c>
      <c r="X6510" s="2">
        <v>44.4</v>
      </c>
      <c r="Y6510" s="2" t="s">
        <v>43</v>
      </c>
      <c r="Z6510" s="2" t="s">
        <v>43155</v>
      </c>
      <c r="AA6510" s="2">
        <v>-0.86465870807094702</v>
      </c>
      <c r="AB6510" s="2">
        <v>2.5825096795230901E-2</v>
      </c>
      <c r="AC6510" s="2">
        <v>4575.3790133004504</v>
      </c>
      <c r="AD6510" s="2">
        <v>5077.2932061815</v>
      </c>
      <c r="AE6510" s="2">
        <v>4641.8203593502103</v>
      </c>
      <c r="AF6510" s="2">
        <v>4363.8409375481797</v>
      </c>
      <c r="AG6510" s="2">
        <v>4244.7336802435302</v>
      </c>
      <c r="AH6510" s="2">
        <v>3598.7956728957101</v>
      </c>
      <c r="AI6510" s="2">
        <v>6820.46342273765</v>
      </c>
      <c r="AJ6510" s="2">
        <v>3782.6200070274199</v>
      </c>
      <c r="AK6510" s="2">
        <v>2579.47180886143</v>
      </c>
      <c r="AL6510" s="2">
        <v>2183.95458153242</v>
      </c>
      <c r="AM6510" s="2">
        <v>2924.4905001337702</v>
      </c>
      <c r="AN6510" s="2">
        <v>4034.3728939222801</v>
      </c>
      <c r="AO6510" s="2">
        <v>14631.522821882299</v>
      </c>
      <c r="AP6510" s="2">
        <v>4109.94663075683</v>
      </c>
    </row>
    <row r="6511" spans="1:42" ht="14.5" x14ac:dyDescent="0.35">
      <c r="A6511" s="2" t="s">
        <v>43156</v>
      </c>
      <c r="B6511" s="2">
        <v>181.085783851803</v>
      </c>
      <c r="C6511" s="2">
        <v>3.1794166666666701</v>
      </c>
      <c r="D6511" s="2" t="s">
        <v>34</v>
      </c>
      <c r="E6511" s="2" t="s">
        <v>43157</v>
      </c>
      <c r="F6511" s="2">
        <v>48441</v>
      </c>
      <c r="G6511" s="3" t="str">
        <f>HYPERLINK("http://funmeta.oebiotech.com/network/48441", "http://funmeta.oebiotech.com/network/48441")</f>
        <v>http://funmeta.oebiotech.com/network/48441</v>
      </c>
      <c r="H6511" s="2" t="s">
        <v>43158</v>
      </c>
      <c r="I6511" s="2">
        <v>4057</v>
      </c>
      <c r="J6511" s="2"/>
      <c r="K6511" s="2">
        <v>200157</v>
      </c>
      <c r="L6511" s="2"/>
      <c r="M6511" s="2"/>
      <c r="N6511" s="2"/>
      <c r="O6511" s="2">
        <v>3516</v>
      </c>
      <c r="P6511" s="2" t="s">
        <v>43159</v>
      </c>
      <c r="Q6511" s="2" t="s">
        <v>43160</v>
      </c>
      <c r="R6511" s="2" t="s">
        <v>43161</v>
      </c>
      <c r="S6511" s="2" t="s">
        <v>148</v>
      </c>
      <c r="T6511" s="2" t="s">
        <v>3772</v>
      </c>
      <c r="U6511" s="2" t="s">
        <v>18665</v>
      </c>
      <c r="V6511" s="2" t="s">
        <v>59</v>
      </c>
      <c r="W6511" s="2">
        <v>38.1</v>
      </c>
      <c r="X6511" s="2">
        <v>0</v>
      </c>
      <c r="Y6511" s="2" t="s">
        <v>1115</v>
      </c>
      <c r="Z6511" s="2" t="s">
        <v>38983</v>
      </c>
      <c r="AA6511" s="2">
        <v>-0.69072625222284401</v>
      </c>
      <c r="AB6511" s="2">
        <v>2.57312170338686E-2</v>
      </c>
      <c r="AC6511" s="2">
        <v>2555.5847624964499</v>
      </c>
      <c r="AD6511" s="2">
        <v>2683.6204532340798</v>
      </c>
      <c r="AE6511" s="2">
        <v>2559.6119290363999</v>
      </c>
      <c r="AF6511" s="2">
        <v>2804.6541444266099</v>
      </c>
      <c r="AG6511" s="2">
        <v>2351.5671386184599</v>
      </c>
      <c r="AH6511" s="2">
        <v>2646.17603789136</v>
      </c>
      <c r="AI6511" s="2">
        <v>2509.3929920518499</v>
      </c>
      <c r="AJ6511" s="2">
        <v>2462.1063329540402</v>
      </c>
      <c r="AK6511" s="2">
        <v>2653.6360894706299</v>
      </c>
      <c r="AL6511" s="2">
        <v>2953.6666776838001</v>
      </c>
      <c r="AM6511" s="2">
        <v>2737.3182143294998</v>
      </c>
      <c r="AN6511" s="2">
        <v>2661.7466017757602</v>
      </c>
      <c r="AO6511" s="2">
        <v>2805.6435841504299</v>
      </c>
      <c r="AP6511" s="2">
        <v>2289.71155199435</v>
      </c>
    </row>
    <row r="6512" spans="1:42" ht="14.5" x14ac:dyDescent="0.35">
      <c r="A6512" s="2" t="s">
        <v>43162</v>
      </c>
      <c r="B6512" s="2">
        <v>437.12906135356798</v>
      </c>
      <c r="C6512" s="2">
        <v>1.38313333333333</v>
      </c>
      <c r="D6512" s="2" t="s">
        <v>34</v>
      </c>
      <c r="E6512" s="2" t="s">
        <v>43163</v>
      </c>
      <c r="F6512" s="2">
        <v>53410</v>
      </c>
      <c r="G6512" s="3" t="str">
        <f>HYPERLINK("http://funmeta.oebiotech.com/network/53410", "http://funmeta.oebiotech.com/network/53410")</f>
        <v>http://funmeta.oebiotech.com/network/53410</v>
      </c>
      <c r="H6512" s="2" t="s">
        <v>43164</v>
      </c>
      <c r="I6512" s="2">
        <v>2701</v>
      </c>
      <c r="J6512" s="2"/>
      <c r="K6512" s="2">
        <v>75984</v>
      </c>
      <c r="L6512" s="2" t="s">
        <v>43165</v>
      </c>
      <c r="M6512" s="2"/>
      <c r="N6512" s="2"/>
      <c r="O6512" s="2">
        <v>3356</v>
      </c>
      <c r="P6512" s="2" t="s">
        <v>43166</v>
      </c>
      <c r="Q6512" s="2" t="s">
        <v>43167</v>
      </c>
      <c r="R6512" s="2" t="s">
        <v>43168</v>
      </c>
      <c r="S6512" s="2" t="s">
        <v>148</v>
      </c>
      <c r="T6512" s="2" t="s">
        <v>149</v>
      </c>
      <c r="U6512" s="2" t="s">
        <v>1593</v>
      </c>
      <c r="V6512" s="2" t="s">
        <v>59</v>
      </c>
      <c r="W6512" s="2">
        <v>37.799999999999997</v>
      </c>
      <c r="X6512" s="2">
        <v>0</v>
      </c>
      <c r="Y6512" s="2" t="s">
        <v>323</v>
      </c>
      <c r="Z6512" s="2" t="s">
        <v>43169</v>
      </c>
      <c r="AA6512" s="2">
        <v>4.89895834257874</v>
      </c>
      <c r="AB6512" s="2">
        <v>2.56966111516954E-2</v>
      </c>
      <c r="AC6512" s="2">
        <v>7553.4211929082403</v>
      </c>
      <c r="AD6512" s="2">
        <v>7270.8432736764798</v>
      </c>
      <c r="AE6512" s="2">
        <v>8411.3112233791107</v>
      </c>
      <c r="AF6512" s="2">
        <v>6310.5567154502696</v>
      </c>
      <c r="AG6512" s="2">
        <v>8350.4077495841393</v>
      </c>
      <c r="AH6512" s="2">
        <v>6637.2917976869203</v>
      </c>
      <c r="AI6512" s="2">
        <v>6997.580918961</v>
      </c>
      <c r="AJ6512" s="2">
        <v>8613.3787523880092</v>
      </c>
      <c r="AK6512" s="2">
        <v>6603.37022278114</v>
      </c>
      <c r="AL6512" s="2">
        <v>6211.4090538376404</v>
      </c>
      <c r="AM6512" s="2">
        <v>8799.6410514310992</v>
      </c>
      <c r="AN6512" s="2">
        <v>7175.8559465258504</v>
      </c>
      <c r="AO6512" s="2">
        <v>6776.8169879858397</v>
      </c>
      <c r="AP6512" s="2">
        <v>8057.9663794972903</v>
      </c>
    </row>
    <row r="6513" spans="1:42" ht="14.5" x14ac:dyDescent="0.35">
      <c r="A6513" s="2" t="s">
        <v>43170</v>
      </c>
      <c r="B6513" s="2">
        <v>315.14468984687102</v>
      </c>
      <c r="C6513" s="2">
        <v>4.4359166666666701</v>
      </c>
      <c r="D6513" s="2" t="s">
        <v>70</v>
      </c>
      <c r="E6513" s="2" t="s">
        <v>43171</v>
      </c>
      <c r="F6513" s="2">
        <v>56718</v>
      </c>
      <c r="G6513" s="3" t="str">
        <f>HYPERLINK("http://funmeta.oebiotech.com/network/56718", "http://funmeta.oebiotech.com/network/56718")</f>
        <v>http://funmeta.oebiotech.com/network/56718</v>
      </c>
      <c r="H6513" s="2" t="s">
        <v>43172</v>
      </c>
      <c r="I6513" s="2">
        <v>88389</v>
      </c>
      <c r="J6513" s="2"/>
      <c r="K6513" s="2">
        <v>152031</v>
      </c>
      <c r="L6513" s="2"/>
      <c r="M6513" s="2"/>
      <c r="N6513" s="2"/>
      <c r="O6513" s="2">
        <v>118658</v>
      </c>
      <c r="P6513" s="2" t="s">
        <v>43173</v>
      </c>
      <c r="Q6513" s="2" t="s">
        <v>43174</v>
      </c>
      <c r="R6513" s="2" t="s">
        <v>43175</v>
      </c>
      <c r="S6513" s="2" t="s">
        <v>50</v>
      </c>
      <c r="T6513" s="2" t="s">
        <v>229</v>
      </c>
      <c r="U6513" s="2" t="s">
        <v>10433</v>
      </c>
      <c r="V6513" s="2" t="s">
        <v>59</v>
      </c>
      <c r="W6513" s="2">
        <v>38.200000000000003</v>
      </c>
      <c r="X6513" s="2">
        <v>0</v>
      </c>
      <c r="Y6513" s="2" t="s">
        <v>560</v>
      </c>
      <c r="Z6513" s="2" t="s">
        <v>43176</v>
      </c>
      <c r="AA6513" s="2">
        <v>-3.4978569131020301</v>
      </c>
      <c r="AB6513" s="2">
        <v>2.5522894704835999E-2</v>
      </c>
      <c r="AC6513" s="2">
        <v>4014.7580712906602</v>
      </c>
      <c r="AD6513" s="2">
        <v>3817.0672085671099</v>
      </c>
      <c r="AE6513" s="2">
        <v>3230.42565118417</v>
      </c>
      <c r="AF6513" s="2">
        <v>4526.86288540854</v>
      </c>
      <c r="AG6513" s="2">
        <v>4401.3099046130401</v>
      </c>
      <c r="AH6513" s="2">
        <v>3479.7619748110701</v>
      </c>
      <c r="AI6513" s="2">
        <v>4645.6364287587803</v>
      </c>
      <c r="AJ6513" s="2">
        <v>3804.55158296834</v>
      </c>
      <c r="AK6513" s="2">
        <v>3473.7894716718401</v>
      </c>
      <c r="AL6513" s="2">
        <v>3776.4588993349698</v>
      </c>
      <c r="AM6513" s="2">
        <v>3789.0722480375798</v>
      </c>
      <c r="AN6513" s="2">
        <v>3698.9597612809098</v>
      </c>
      <c r="AO6513" s="2">
        <v>3747.12643184832</v>
      </c>
      <c r="AP6513" s="2">
        <v>4416.9964392290703</v>
      </c>
    </row>
    <row r="6514" spans="1:42" ht="14.5" x14ac:dyDescent="0.35">
      <c r="A6514" s="2" t="s">
        <v>43177</v>
      </c>
      <c r="B6514" s="2">
        <v>527.30639061049999</v>
      </c>
      <c r="C6514" s="2">
        <v>4.2251833333333302</v>
      </c>
      <c r="D6514" s="2" t="s">
        <v>34</v>
      </c>
      <c r="E6514" s="2" t="s">
        <v>43178</v>
      </c>
      <c r="F6514" s="2">
        <v>53226</v>
      </c>
      <c r="G6514" s="3" t="str">
        <f>HYPERLINK("http://funmeta.oebiotech.com/network/53226", "http://funmeta.oebiotech.com/network/53226")</f>
        <v>http://funmeta.oebiotech.com/network/53226</v>
      </c>
      <c r="H6514" s="2" t="s">
        <v>43179</v>
      </c>
      <c r="I6514" s="2">
        <v>2341</v>
      </c>
      <c r="J6514" s="2"/>
      <c r="K6514" s="2">
        <v>4653</v>
      </c>
      <c r="L6514" s="2" t="s">
        <v>43180</v>
      </c>
      <c r="M6514" s="2"/>
      <c r="N6514" s="2"/>
      <c r="O6514" s="2">
        <v>3108</v>
      </c>
      <c r="P6514" s="2" t="s">
        <v>43181</v>
      </c>
      <c r="Q6514" s="2" t="s">
        <v>43182</v>
      </c>
      <c r="R6514" s="2" t="s">
        <v>43183</v>
      </c>
      <c r="S6514" s="2" t="s">
        <v>1677</v>
      </c>
      <c r="T6514" s="2" t="s">
        <v>1678</v>
      </c>
      <c r="U6514" s="2" t="s">
        <v>1679</v>
      </c>
      <c r="V6514" s="2" t="s">
        <v>59</v>
      </c>
      <c r="W6514" s="2">
        <v>37.799999999999997</v>
      </c>
      <c r="X6514" s="2">
        <v>0</v>
      </c>
      <c r="Y6514" s="2" t="s">
        <v>323</v>
      </c>
      <c r="Z6514" s="2" t="s">
        <v>43184</v>
      </c>
      <c r="AA6514" s="2">
        <v>-0.162336188647732</v>
      </c>
      <c r="AB6514" s="2">
        <v>2.55202434590748E-2</v>
      </c>
      <c r="AC6514" s="2">
        <v>3459.5014772086902</v>
      </c>
      <c r="AD6514" s="2">
        <v>3760.0512211904402</v>
      </c>
      <c r="AE6514" s="2">
        <v>4799.07960521105</v>
      </c>
      <c r="AF6514" s="2">
        <v>2011.5083692498099</v>
      </c>
      <c r="AG6514" s="2">
        <v>4914.8300351263597</v>
      </c>
      <c r="AH6514" s="2">
        <v>3665.46474083771</v>
      </c>
      <c r="AI6514" s="2">
        <v>2852.0339679992899</v>
      </c>
      <c r="AJ6514" s="2">
        <v>2514.09214482792</v>
      </c>
      <c r="AK6514" s="2">
        <v>1995.53472801615</v>
      </c>
      <c r="AL6514" s="2">
        <v>3486.3044549582</v>
      </c>
      <c r="AM6514" s="2">
        <v>3618.2384236235898</v>
      </c>
      <c r="AN6514" s="2">
        <v>4819.0432474197496</v>
      </c>
      <c r="AO6514" s="2">
        <v>3779.3412609352099</v>
      </c>
      <c r="AP6514" s="2">
        <v>4861.8452121897499</v>
      </c>
    </row>
    <row r="6515" spans="1:42" ht="14.5" x14ac:dyDescent="0.35">
      <c r="A6515" s="2" t="s">
        <v>43185</v>
      </c>
      <c r="B6515" s="2">
        <v>384.23735832524602</v>
      </c>
      <c r="C6515" s="2">
        <v>13.8293</v>
      </c>
      <c r="D6515" s="2" t="s">
        <v>34</v>
      </c>
      <c r="E6515" s="2" t="s">
        <v>43186</v>
      </c>
      <c r="F6515" s="2">
        <v>3853</v>
      </c>
      <c r="G6515" s="3" t="str">
        <f>HYPERLINK("http://funmeta.oebiotech.com/network/3853", "http://funmeta.oebiotech.com/network/3853")</f>
        <v>http://funmeta.oebiotech.com/network/3853</v>
      </c>
      <c r="H6515" s="2" t="s">
        <v>43187</v>
      </c>
      <c r="I6515" s="2">
        <v>7033</v>
      </c>
      <c r="J6515" s="2" t="s">
        <v>43188</v>
      </c>
      <c r="K6515" s="2">
        <v>27562</v>
      </c>
      <c r="L6515" s="2" t="s">
        <v>43189</v>
      </c>
      <c r="M6515" s="2" t="s">
        <v>9009</v>
      </c>
      <c r="N6515" s="2" t="s">
        <v>9010</v>
      </c>
      <c r="O6515" s="2">
        <v>5280877</v>
      </c>
      <c r="P6515" s="2" t="s">
        <v>43190</v>
      </c>
      <c r="Q6515" s="2" t="s">
        <v>43191</v>
      </c>
      <c r="R6515" s="2" t="s">
        <v>43192</v>
      </c>
      <c r="S6515" s="2" t="s">
        <v>50</v>
      </c>
      <c r="T6515" s="2" t="s">
        <v>229</v>
      </c>
      <c r="U6515" s="2" t="s">
        <v>433</v>
      </c>
      <c r="V6515" s="2" t="s">
        <v>59</v>
      </c>
      <c r="W6515" s="2">
        <v>38.9</v>
      </c>
      <c r="X6515" s="2">
        <v>0</v>
      </c>
      <c r="Y6515" s="2" t="s">
        <v>43</v>
      </c>
      <c r="Z6515" s="2" t="s">
        <v>6006</v>
      </c>
      <c r="AA6515" s="2">
        <v>-1.92756975257684</v>
      </c>
      <c r="AB6515" s="2">
        <v>2.5512799456966599E-2</v>
      </c>
      <c r="AC6515" s="2">
        <v>9301.2009207660303</v>
      </c>
      <c r="AD6515" s="2">
        <v>9561.0178510100395</v>
      </c>
      <c r="AE6515" s="2">
        <v>8369.3145023907491</v>
      </c>
      <c r="AF6515" s="2">
        <v>9247.2723808300198</v>
      </c>
      <c r="AG6515" s="2">
        <v>9794.5493931193905</v>
      </c>
      <c r="AH6515" s="2">
        <v>9357.7907707876293</v>
      </c>
      <c r="AI6515" s="2">
        <v>9439.9146061382708</v>
      </c>
      <c r="AJ6515" s="2">
        <v>9598.3638713301007</v>
      </c>
      <c r="AK6515" s="2">
        <v>10627.0953686956</v>
      </c>
      <c r="AL6515" s="2">
        <v>10999.56888345</v>
      </c>
      <c r="AM6515" s="2">
        <v>9103.9508561082494</v>
      </c>
      <c r="AN6515" s="2">
        <v>9245.7237347147693</v>
      </c>
      <c r="AO6515" s="2">
        <v>9254.1273876049909</v>
      </c>
      <c r="AP6515" s="2">
        <v>8135.6408754866497</v>
      </c>
    </row>
    <row r="6516" spans="1:42" ht="14.5" x14ac:dyDescent="0.35">
      <c r="A6516" s="2" t="s">
        <v>43193</v>
      </c>
      <c r="B6516" s="2">
        <v>148.015443519824</v>
      </c>
      <c r="C6516" s="2">
        <v>1.34713333333333</v>
      </c>
      <c r="D6516" s="2" t="s">
        <v>34</v>
      </c>
      <c r="E6516" s="2" t="s">
        <v>43194</v>
      </c>
      <c r="F6516" s="2">
        <v>204527</v>
      </c>
      <c r="G6516" s="3" t="str">
        <f>HYPERLINK("http://funmeta.oebiotech.com/network/204527", "http://funmeta.oebiotech.com/network/204527")</f>
        <v>http://funmeta.oebiotech.com/network/204527</v>
      </c>
      <c r="H6516" s="2" t="s">
        <v>43195</v>
      </c>
      <c r="I6516" s="2">
        <v>689852</v>
      </c>
      <c r="J6516" s="2"/>
      <c r="K6516" s="2"/>
      <c r="L6516" s="2"/>
      <c r="M6516" s="2"/>
      <c r="N6516" s="2"/>
      <c r="O6516" s="2">
        <v>13293130</v>
      </c>
      <c r="P6516" s="2"/>
      <c r="Q6516" s="2" t="s">
        <v>43196</v>
      </c>
      <c r="R6516" s="2" t="s">
        <v>43197</v>
      </c>
      <c r="S6516" s="2" t="s">
        <v>491</v>
      </c>
      <c r="T6516" s="2" t="s">
        <v>8419</v>
      </c>
      <c r="U6516" s="2" t="s">
        <v>8420</v>
      </c>
      <c r="V6516" s="2" t="s">
        <v>59</v>
      </c>
      <c r="W6516" s="2">
        <v>38.299999999999997</v>
      </c>
      <c r="X6516" s="2">
        <v>3.7</v>
      </c>
      <c r="Y6516" s="2" t="s">
        <v>340</v>
      </c>
      <c r="Z6516" s="2" t="s">
        <v>43198</v>
      </c>
      <c r="AA6516" s="2">
        <v>-4.3869500337234397</v>
      </c>
      <c r="AB6516" s="2">
        <v>2.5465970347828801E-2</v>
      </c>
      <c r="AC6516" s="2">
        <v>4645.0320199656599</v>
      </c>
      <c r="AD6516" s="2">
        <v>4848.1221869382198</v>
      </c>
      <c r="AE6516" s="2">
        <v>4612.3406609266904</v>
      </c>
      <c r="AF6516" s="2">
        <v>4586.8682444105798</v>
      </c>
      <c r="AG6516" s="2">
        <v>4471.3273057983397</v>
      </c>
      <c r="AH6516" s="2">
        <v>5628.3604222227596</v>
      </c>
      <c r="AI6516" s="2">
        <v>4749.08032309183</v>
      </c>
      <c r="AJ6516" s="2">
        <v>3822.2151633437502</v>
      </c>
      <c r="AK6516" s="2">
        <v>5624.9397969022302</v>
      </c>
      <c r="AL6516" s="2">
        <v>5073.2498626786901</v>
      </c>
      <c r="AM6516" s="2">
        <v>4547.9132785258198</v>
      </c>
      <c r="AN6516" s="2">
        <v>4749.3650741403198</v>
      </c>
      <c r="AO6516" s="2">
        <v>4715.6676431906199</v>
      </c>
      <c r="AP6516" s="2">
        <v>4377.5974661916298</v>
      </c>
    </row>
    <row r="6517" spans="1:42" ht="14.5" x14ac:dyDescent="0.35">
      <c r="A6517" s="2" t="s">
        <v>43199</v>
      </c>
      <c r="B6517" s="2">
        <v>653.11555342788699</v>
      </c>
      <c r="C6517" s="2">
        <v>0.81993333333333296</v>
      </c>
      <c r="D6517" s="2" t="s">
        <v>70</v>
      </c>
      <c r="E6517" s="2" t="s">
        <v>43200</v>
      </c>
      <c r="F6517" s="2">
        <v>60099</v>
      </c>
      <c r="G6517" s="3" t="str">
        <f>HYPERLINK("http://funmeta.oebiotech.com/network/60099", "http://funmeta.oebiotech.com/network/60099")</f>
        <v>http://funmeta.oebiotech.com/network/60099</v>
      </c>
      <c r="H6517" s="2" t="s">
        <v>43201</v>
      </c>
      <c r="I6517" s="2">
        <v>91480</v>
      </c>
      <c r="J6517" s="2"/>
      <c r="K6517" s="2"/>
      <c r="L6517" s="2"/>
      <c r="M6517" s="2"/>
      <c r="N6517" s="2"/>
      <c r="O6517" s="2">
        <v>14521015</v>
      </c>
      <c r="P6517" s="2"/>
      <c r="Q6517" s="2" t="s">
        <v>43202</v>
      </c>
      <c r="R6517" s="2" t="s">
        <v>43203</v>
      </c>
      <c r="S6517" s="2" t="s">
        <v>115</v>
      </c>
      <c r="T6517" s="2" t="s">
        <v>139</v>
      </c>
      <c r="U6517" s="2" t="s">
        <v>957</v>
      </c>
      <c r="V6517" s="2" t="s">
        <v>59</v>
      </c>
      <c r="W6517" s="2">
        <v>36</v>
      </c>
      <c r="X6517" s="2">
        <v>0</v>
      </c>
      <c r="Y6517" s="2" t="s">
        <v>408</v>
      </c>
      <c r="Z6517" s="2" t="s">
        <v>43204</v>
      </c>
      <c r="AA6517" s="2">
        <v>1.22528206062623</v>
      </c>
      <c r="AB6517" s="2">
        <v>2.5459249188924098E-2</v>
      </c>
      <c r="AC6517" s="2">
        <v>26176.518667426899</v>
      </c>
      <c r="AD6517" s="2">
        <v>25680.351129388699</v>
      </c>
      <c r="AE6517" s="2">
        <v>23726.1001077603</v>
      </c>
      <c r="AF6517" s="2">
        <v>25945.413778154401</v>
      </c>
      <c r="AG6517" s="2">
        <v>23628.8535182466</v>
      </c>
      <c r="AH6517" s="2">
        <v>28243.959252683399</v>
      </c>
      <c r="AI6517" s="2">
        <v>26531.044258825899</v>
      </c>
      <c r="AJ6517" s="2">
        <v>28983.741088890802</v>
      </c>
      <c r="AK6517" s="2">
        <v>27331.868453258401</v>
      </c>
      <c r="AL6517" s="2">
        <v>24395.139373955699</v>
      </c>
      <c r="AM6517" s="2">
        <v>19920.766307551901</v>
      </c>
      <c r="AN6517" s="2">
        <v>25433.686682434502</v>
      </c>
      <c r="AO6517" s="2">
        <v>31246.1210656927</v>
      </c>
      <c r="AP6517" s="2">
        <v>25754.524893439098</v>
      </c>
    </row>
    <row r="6518" spans="1:42" ht="14.5" x14ac:dyDescent="0.35">
      <c r="A6518" s="2" t="s">
        <v>43205</v>
      </c>
      <c r="B6518" s="2">
        <v>187.126212059191</v>
      </c>
      <c r="C6518" s="2">
        <v>14.5377666666667</v>
      </c>
      <c r="D6518" s="2" t="s">
        <v>34</v>
      </c>
      <c r="E6518" s="2" t="s">
        <v>43206</v>
      </c>
      <c r="F6518" s="2">
        <v>63298</v>
      </c>
      <c r="G6518" s="3" t="str">
        <f>HYPERLINK("http://funmeta.oebiotech.com/network/63298", "http://funmeta.oebiotech.com/network/63298")</f>
        <v>http://funmeta.oebiotech.com/network/63298</v>
      </c>
      <c r="H6518" s="2" t="s">
        <v>43207</v>
      </c>
      <c r="I6518" s="2">
        <v>94606</v>
      </c>
      <c r="J6518" s="2"/>
      <c r="K6518" s="2"/>
      <c r="L6518" s="2"/>
      <c r="M6518" s="2"/>
      <c r="N6518" s="2"/>
      <c r="O6518" s="2">
        <v>55296252</v>
      </c>
      <c r="P6518" s="2" t="s">
        <v>43208</v>
      </c>
      <c r="Q6518" s="2" t="s">
        <v>43209</v>
      </c>
      <c r="R6518" s="2" t="s">
        <v>43210</v>
      </c>
      <c r="S6518" s="2" t="s">
        <v>491</v>
      </c>
      <c r="T6518" s="2" t="s">
        <v>3519</v>
      </c>
      <c r="U6518" s="2" t="s">
        <v>19069</v>
      </c>
      <c r="V6518" s="2" t="s">
        <v>59</v>
      </c>
      <c r="W6518" s="2">
        <v>37.799999999999997</v>
      </c>
      <c r="X6518" s="2">
        <v>0</v>
      </c>
      <c r="Y6518" s="2" t="s">
        <v>43</v>
      </c>
      <c r="Z6518" s="2" t="s">
        <v>43211</v>
      </c>
      <c r="AA6518" s="2">
        <v>-0.79220925382945595</v>
      </c>
      <c r="AB6518" s="2">
        <v>2.54537720933522E-2</v>
      </c>
      <c r="AC6518" s="2">
        <v>2325.80745418897</v>
      </c>
      <c r="AD6518" s="2">
        <v>2431.6982597021502</v>
      </c>
      <c r="AE6518" s="2">
        <v>2293.5820867601401</v>
      </c>
      <c r="AF6518" s="2">
        <v>2334.4430287107598</v>
      </c>
      <c r="AG6518" s="2">
        <v>2548.4591863983201</v>
      </c>
      <c r="AH6518" s="2">
        <v>2370.7671729833601</v>
      </c>
      <c r="AI6518" s="2">
        <v>2290.91894386797</v>
      </c>
      <c r="AJ6518" s="2">
        <v>2116.6743064132702</v>
      </c>
      <c r="AK6518" s="2">
        <v>2613.50323667456</v>
      </c>
      <c r="AL6518" s="2">
        <v>2514.2522246274798</v>
      </c>
      <c r="AM6518" s="2">
        <v>2337.21456975925</v>
      </c>
      <c r="AN6518" s="2">
        <v>2356.8582776149501</v>
      </c>
      <c r="AO6518" s="2">
        <v>2453.5522663306701</v>
      </c>
      <c r="AP6518" s="2">
        <v>2314.80898320599</v>
      </c>
    </row>
    <row r="6519" spans="1:42" ht="14.5" x14ac:dyDescent="0.35">
      <c r="A6519" s="2" t="s">
        <v>43212</v>
      </c>
      <c r="B6519" s="2">
        <v>238.891378066339</v>
      </c>
      <c r="C6519" s="2">
        <v>0.55721666666666703</v>
      </c>
      <c r="D6519" s="2" t="s">
        <v>70</v>
      </c>
      <c r="E6519" s="2" t="s">
        <v>43213</v>
      </c>
      <c r="F6519" s="2">
        <v>48085</v>
      </c>
      <c r="G6519" s="3" t="str">
        <f>HYPERLINK("http://funmeta.oebiotech.com/network/48085", "http://funmeta.oebiotech.com/network/48085")</f>
        <v>http://funmeta.oebiotech.com/network/48085</v>
      </c>
      <c r="H6519" s="2" t="s">
        <v>43214</v>
      </c>
      <c r="I6519" s="2">
        <v>62912</v>
      </c>
      <c r="J6519" s="2"/>
      <c r="K6519" s="2">
        <v>39949</v>
      </c>
      <c r="L6519" s="2" t="s">
        <v>43215</v>
      </c>
      <c r="M6519" s="2"/>
      <c r="N6519" s="2"/>
      <c r="O6519" s="2">
        <v>983</v>
      </c>
      <c r="P6519" s="2" t="s">
        <v>43216</v>
      </c>
      <c r="Q6519" s="2" t="s">
        <v>43217</v>
      </c>
      <c r="R6519" s="2" t="s">
        <v>43218</v>
      </c>
      <c r="S6519" s="2" t="s">
        <v>36153</v>
      </c>
      <c r="T6519" s="2" t="s">
        <v>36154</v>
      </c>
      <c r="U6519" s="2" t="s">
        <v>43219</v>
      </c>
      <c r="V6519" s="2" t="s">
        <v>59</v>
      </c>
      <c r="W6519" s="2">
        <v>39.200000000000003</v>
      </c>
      <c r="X6519" s="2">
        <v>0</v>
      </c>
      <c r="Y6519" s="2" t="s">
        <v>751</v>
      </c>
      <c r="Z6519" s="2" t="s">
        <v>43220</v>
      </c>
      <c r="AA6519" s="2">
        <v>-1.3068907427501699</v>
      </c>
      <c r="AB6519" s="2">
        <v>2.5401775377114098E-2</v>
      </c>
      <c r="AC6519" s="2">
        <v>1297.6463181373499</v>
      </c>
      <c r="AD6519" s="2">
        <v>1425.6791284031799</v>
      </c>
      <c r="AE6519" s="2">
        <v>1188.7120037325101</v>
      </c>
      <c r="AF6519" s="2">
        <v>855.85090382957299</v>
      </c>
      <c r="AG6519" s="2">
        <v>1501.4741389336</v>
      </c>
      <c r="AH6519" s="2">
        <v>1518.2144565046001</v>
      </c>
      <c r="AI6519" s="2">
        <v>1351.85091495445</v>
      </c>
      <c r="AJ6519" s="2">
        <v>1369.7754908693901</v>
      </c>
      <c r="AK6519" s="2">
        <v>1534.2331701881001</v>
      </c>
      <c r="AL6519" s="2">
        <v>1395.4940447731301</v>
      </c>
      <c r="AM6519" s="2">
        <v>1362.05903024281</v>
      </c>
      <c r="AN6519" s="2">
        <v>1195.83219705392</v>
      </c>
      <c r="AO6519" s="2">
        <v>1479.55615094307</v>
      </c>
      <c r="AP6519" s="2">
        <v>1586.90017721806</v>
      </c>
    </row>
    <row r="6520" spans="1:42" ht="14.5" x14ac:dyDescent="0.35">
      <c r="A6520" s="2" t="s">
        <v>43221</v>
      </c>
      <c r="B6520" s="2">
        <v>571.18538732921797</v>
      </c>
      <c r="C6520" s="2">
        <v>2.28386666666667</v>
      </c>
      <c r="D6520" s="2" t="s">
        <v>70</v>
      </c>
      <c r="E6520" s="2" t="s">
        <v>43222</v>
      </c>
      <c r="F6520" s="2">
        <v>52504</v>
      </c>
      <c r="G6520" s="3" t="str">
        <f>HYPERLINK("http://funmeta.oebiotech.com/network/52504", "http://funmeta.oebiotech.com/network/52504")</f>
        <v>http://funmeta.oebiotech.com/network/52504</v>
      </c>
      <c r="H6520" s="2" t="s">
        <v>43223</v>
      </c>
      <c r="I6520" s="2">
        <v>85300</v>
      </c>
      <c r="J6520" s="2"/>
      <c r="K6520" s="2"/>
      <c r="L6520" s="2"/>
      <c r="M6520" s="2"/>
      <c r="N6520" s="2"/>
      <c r="O6520" s="2">
        <v>131750719</v>
      </c>
      <c r="P6520" s="2"/>
      <c r="Q6520" s="2" t="s">
        <v>43224</v>
      </c>
      <c r="R6520" s="2" t="s">
        <v>43225</v>
      </c>
      <c r="S6520" s="2" t="s">
        <v>491</v>
      </c>
      <c r="T6520" s="2" t="s">
        <v>3479</v>
      </c>
      <c r="U6520" s="2" t="s">
        <v>13711</v>
      </c>
      <c r="V6520" s="2" t="s">
        <v>59</v>
      </c>
      <c r="W6520" s="2">
        <v>38.4</v>
      </c>
      <c r="X6520" s="2">
        <v>0</v>
      </c>
      <c r="Y6520" s="2" t="s">
        <v>560</v>
      </c>
      <c r="Z6520" s="2" t="s">
        <v>43226</v>
      </c>
      <c r="AA6520" s="2">
        <v>3.4077581661182301</v>
      </c>
      <c r="AB6520" s="2">
        <v>2.5323121159177901E-2</v>
      </c>
      <c r="AC6520" s="2">
        <v>12050.138915431</v>
      </c>
      <c r="AD6520" s="2">
        <v>11811.680832611601</v>
      </c>
      <c r="AE6520" s="2">
        <v>12423.283103969099</v>
      </c>
      <c r="AF6520" s="2">
        <v>11691.525417938899</v>
      </c>
      <c r="AG6520" s="2">
        <v>12160.4790402538</v>
      </c>
      <c r="AH6520" s="2">
        <v>11651.9953099709</v>
      </c>
      <c r="AI6520" s="2">
        <v>12633.6820955566</v>
      </c>
      <c r="AJ6520" s="2">
        <v>11739.868524896699</v>
      </c>
      <c r="AK6520" s="2">
        <v>11132.6890032705</v>
      </c>
      <c r="AL6520" s="2">
        <v>12111.287954465301</v>
      </c>
      <c r="AM6520" s="2">
        <v>10428.915315327</v>
      </c>
      <c r="AN6520" s="2">
        <v>12105.867797249801</v>
      </c>
      <c r="AO6520" s="2">
        <v>11978.742317935001</v>
      </c>
      <c r="AP6520" s="2">
        <v>13112.5826074222</v>
      </c>
    </row>
    <row r="6521" spans="1:42" ht="14.5" x14ac:dyDescent="0.35">
      <c r="A6521" s="2" t="s">
        <v>43227</v>
      </c>
      <c r="B6521" s="2">
        <v>197.000624664409</v>
      </c>
      <c r="C6521" s="2">
        <v>8.0105166666666694</v>
      </c>
      <c r="D6521" s="2" t="s">
        <v>34</v>
      </c>
      <c r="E6521" s="2" t="s">
        <v>43228</v>
      </c>
      <c r="F6521" s="2">
        <v>199626</v>
      </c>
      <c r="G6521" s="3" t="str">
        <f>HYPERLINK("http://funmeta.oebiotech.com/network/199626", "http://funmeta.oebiotech.com/network/199626")</f>
        <v>http://funmeta.oebiotech.com/network/199626</v>
      </c>
      <c r="H6521" s="2" t="s">
        <v>43229</v>
      </c>
      <c r="I6521" s="2">
        <v>70317</v>
      </c>
      <c r="J6521" s="2"/>
      <c r="K6521" s="2">
        <v>34055</v>
      </c>
      <c r="L6521" s="2" t="s">
        <v>43230</v>
      </c>
      <c r="M6521" s="2" t="s">
        <v>13581</v>
      </c>
      <c r="N6521" s="2" t="s">
        <v>13582</v>
      </c>
      <c r="O6521" s="2">
        <v>10667</v>
      </c>
      <c r="P6521" s="2" t="s">
        <v>43231</v>
      </c>
      <c r="Q6521" s="2" t="s">
        <v>43232</v>
      </c>
      <c r="R6521" s="2" t="s">
        <v>43233</v>
      </c>
      <c r="S6521" s="2" t="s">
        <v>148</v>
      </c>
      <c r="T6521" s="2" t="s">
        <v>6221</v>
      </c>
      <c r="U6521" s="2" t="s">
        <v>17614</v>
      </c>
      <c r="V6521" s="2" t="s">
        <v>59</v>
      </c>
      <c r="W6521" s="2">
        <v>38.1</v>
      </c>
      <c r="X6521" s="2">
        <v>4.25</v>
      </c>
      <c r="Y6521" s="2" t="s">
        <v>340</v>
      </c>
      <c r="Z6521" s="2" t="s">
        <v>43234</v>
      </c>
      <c r="AA6521" s="2">
        <v>4.3480566472557403</v>
      </c>
      <c r="AB6521" s="2">
        <v>2.5177263726431899E-2</v>
      </c>
      <c r="AC6521" s="2">
        <v>1307.3921354059901</v>
      </c>
      <c r="AD6521" s="2">
        <v>1153.95820769637</v>
      </c>
      <c r="AE6521" s="2">
        <v>1461.3969595523999</v>
      </c>
      <c r="AF6521" s="2">
        <v>1283.9232410065899</v>
      </c>
      <c r="AG6521" s="2">
        <v>1382.2113589948101</v>
      </c>
      <c r="AH6521" s="2">
        <v>1456.8304211590901</v>
      </c>
      <c r="AI6521" s="2">
        <v>1433.42914012864</v>
      </c>
      <c r="AJ6521" s="2">
        <v>826.56169159438195</v>
      </c>
      <c r="AK6521" s="2">
        <v>1714.54089222416</v>
      </c>
      <c r="AL6521" s="2">
        <v>1093.6723341483601</v>
      </c>
      <c r="AM6521" s="2">
        <v>1071.49273074296</v>
      </c>
      <c r="AN6521" s="2">
        <v>703.07003708908906</v>
      </c>
      <c r="AO6521" s="2">
        <v>1371.1065031462599</v>
      </c>
      <c r="AP6521" s="2">
        <v>969.86674882741602</v>
      </c>
    </row>
    <row r="6522" spans="1:42" ht="14.5" x14ac:dyDescent="0.35">
      <c r="A6522" s="2" t="s">
        <v>43235</v>
      </c>
      <c r="B6522" s="2">
        <v>450.14823848683602</v>
      </c>
      <c r="C6522" s="2">
        <v>10.641500000000001</v>
      </c>
      <c r="D6522" s="2" t="s">
        <v>34</v>
      </c>
      <c r="E6522" s="2" t="s">
        <v>43236</v>
      </c>
      <c r="F6522" s="2">
        <v>53321</v>
      </c>
      <c r="G6522" s="3" t="str">
        <f>HYPERLINK("http://funmeta.oebiotech.com/network/53321", "http://funmeta.oebiotech.com/network/53321")</f>
        <v>http://funmeta.oebiotech.com/network/53321</v>
      </c>
      <c r="H6522" s="2" t="s">
        <v>43237</v>
      </c>
      <c r="I6522" s="2"/>
      <c r="J6522" s="2"/>
      <c r="K6522" s="2">
        <v>5136</v>
      </c>
      <c r="L6522" s="2" t="s">
        <v>43238</v>
      </c>
      <c r="M6522" s="2" t="s">
        <v>4185</v>
      </c>
      <c r="N6522" s="2" t="s">
        <v>4186</v>
      </c>
      <c r="O6522" s="2">
        <v>1548972</v>
      </c>
      <c r="P6522" s="2" t="s">
        <v>43239</v>
      </c>
      <c r="Q6522" s="2" t="s">
        <v>43240</v>
      </c>
      <c r="R6522" s="2" t="s">
        <v>43241</v>
      </c>
      <c r="S6522" s="2" t="s">
        <v>491</v>
      </c>
      <c r="T6522" s="2" t="s">
        <v>12893</v>
      </c>
      <c r="U6522" s="2" t="s">
        <v>12894</v>
      </c>
      <c r="V6522" s="2" t="s">
        <v>59</v>
      </c>
      <c r="W6522" s="2">
        <v>38</v>
      </c>
      <c r="X6522" s="2">
        <v>0</v>
      </c>
      <c r="Y6522" s="2" t="s">
        <v>340</v>
      </c>
      <c r="Z6522" s="2" t="s">
        <v>43242</v>
      </c>
      <c r="AA6522" s="2">
        <v>1.20109068279561</v>
      </c>
      <c r="AB6522" s="2">
        <v>2.51432340421179E-2</v>
      </c>
      <c r="AC6522" s="2">
        <v>1058.9097817101299</v>
      </c>
      <c r="AD6522" s="2">
        <v>889.04943633316998</v>
      </c>
      <c r="AE6522" s="2">
        <v>792.04362244811796</v>
      </c>
      <c r="AF6522" s="2">
        <v>692.084532199048</v>
      </c>
      <c r="AG6522" s="2">
        <v>1014.27628887327</v>
      </c>
      <c r="AH6522" s="2">
        <v>1339.5685825103801</v>
      </c>
      <c r="AI6522" s="2">
        <v>1473.09059670993</v>
      </c>
      <c r="AJ6522" s="2">
        <v>1042.3950675200499</v>
      </c>
      <c r="AK6522" s="2">
        <v>347.46610912552097</v>
      </c>
      <c r="AL6522" s="2">
        <v>919.48092313133895</v>
      </c>
      <c r="AM6522" s="2">
        <v>480.50028346248899</v>
      </c>
      <c r="AN6522" s="2">
        <v>1297.0660148198799</v>
      </c>
      <c r="AO6522" s="2">
        <v>1119.1177116791</v>
      </c>
      <c r="AP6522" s="2">
        <v>1170.66557578069</v>
      </c>
    </row>
    <row r="6523" spans="1:42" ht="14.5" x14ac:dyDescent="0.35">
      <c r="A6523" s="2" t="s">
        <v>43243</v>
      </c>
      <c r="B6523" s="2">
        <v>298.99155634467297</v>
      </c>
      <c r="C6523" s="2">
        <v>0.96353333333333302</v>
      </c>
      <c r="D6523" s="2" t="s">
        <v>70</v>
      </c>
      <c r="E6523" s="2" t="s">
        <v>43244</v>
      </c>
      <c r="F6523" s="2">
        <v>65005</v>
      </c>
      <c r="G6523" s="3" t="str">
        <f>HYPERLINK("http://funmeta.oebiotech.com/network/65005", "http://funmeta.oebiotech.com/network/65005")</f>
        <v>http://funmeta.oebiotech.com/network/65005</v>
      </c>
      <c r="H6523" s="2" t="s">
        <v>43245</v>
      </c>
      <c r="I6523" s="2">
        <v>70376</v>
      </c>
      <c r="J6523" s="2"/>
      <c r="K6523" s="2">
        <v>35012</v>
      </c>
      <c r="L6523" s="2" t="s">
        <v>43246</v>
      </c>
      <c r="M6523" s="2" t="s">
        <v>13958</v>
      </c>
      <c r="N6523" s="2" t="s">
        <v>13959</v>
      </c>
      <c r="O6523" s="2">
        <v>31277</v>
      </c>
      <c r="P6523" s="2" t="s">
        <v>43247</v>
      </c>
      <c r="Q6523" s="2" t="s">
        <v>43248</v>
      </c>
      <c r="R6523" s="2" t="s">
        <v>43249</v>
      </c>
      <c r="S6523" s="2" t="s">
        <v>89</v>
      </c>
      <c r="T6523" s="2" t="s">
        <v>90</v>
      </c>
      <c r="U6523" s="2" t="s">
        <v>22612</v>
      </c>
      <c r="V6523" s="2" t="s">
        <v>59</v>
      </c>
      <c r="W6523" s="2">
        <v>38.299999999999997</v>
      </c>
      <c r="X6523" s="2">
        <v>0</v>
      </c>
      <c r="Y6523" s="2" t="s">
        <v>560</v>
      </c>
      <c r="Z6523" s="2" t="s">
        <v>43250</v>
      </c>
      <c r="AA6523" s="2">
        <v>4.9114944090945896</v>
      </c>
      <c r="AB6523" s="2">
        <v>2.5124846419026601E-2</v>
      </c>
      <c r="AC6523" s="2">
        <v>10522.8107979168</v>
      </c>
      <c r="AD6523" s="2">
        <v>10949.226964199899</v>
      </c>
      <c r="AE6523" s="2">
        <v>9085.9939799324202</v>
      </c>
      <c r="AF6523" s="2">
        <v>13000.1397964682</v>
      </c>
      <c r="AG6523" s="2">
        <v>10920.208637584199</v>
      </c>
      <c r="AH6523" s="2">
        <v>11787.4566578701</v>
      </c>
      <c r="AI6523" s="2">
        <v>10531.2461256366</v>
      </c>
      <c r="AJ6523" s="2">
        <v>7811.8195900090996</v>
      </c>
      <c r="AK6523" s="2">
        <v>12915.4727767598</v>
      </c>
      <c r="AL6523" s="2">
        <v>7504.4890850993997</v>
      </c>
      <c r="AM6523" s="2">
        <v>8269.3897866507796</v>
      </c>
      <c r="AN6523" s="2">
        <v>9755.5032418507199</v>
      </c>
      <c r="AO6523" s="2">
        <v>13764.7916096188</v>
      </c>
      <c r="AP6523" s="2">
        <v>13485.7152852201</v>
      </c>
    </row>
    <row r="6524" spans="1:42" ht="14.5" x14ac:dyDescent="0.35">
      <c r="A6524" s="2" t="s">
        <v>43251</v>
      </c>
      <c r="B6524" s="2">
        <v>385.23699663022398</v>
      </c>
      <c r="C6524" s="2">
        <v>7.5153999999999996</v>
      </c>
      <c r="D6524" s="2" t="s">
        <v>34</v>
      </c>
      <c r="E6524" s="2" t="s">
        <v>43252</v>
      </c>
      <c r="F6524" s="2">
        <v>44995</v>
      </c>
      <c r="G6524" s="3" t="str">
        <f>HYPERLINK("http://funmeta.oebiotech.com/network/44995", "http://funmeta.oebiotech.com/network/44995")</f>
        <v>http://funmeta.oebiotech.com/network/44995</v>
      </c>
      <c r="H6524" s="2"/>
      <c r="I6524" s="2">
        <v>1120</v>
      </c>
      <c r="J6524" s="2" t="s">
        <v>43253</v>
      </c>
      <c r="K6524" s="2"/>
      <c r="L6524" s="2" t="s">
        <v>43254</v>
      </c>
      <c r="M6524" s="2"/>
      <c r="N6524" s="2"/>
      <c r="O6524" s="2">
        <v>11683</v>
      </c>
      <c r="P6524" s="2" t="s">
        <v>43255</v>
      </c>
      <c r="Q6524" s="2" t="s">
        <v>43256</v>
      </c>
      <c r="R6524" s="2" t="s">
        <v>43257</v>
      </c>
      <c r="S6524" s="2" t="s">
        <v>50</v>
      </c>
      <c r="T6524" s="2" t="s">
        <v>124</v>
      </c>
      <c r="U6524" s="2" t="s">
        <v>929</v>
      </c>
      <c r="V6524" s="2" t="s">
        <v>59</v>
      </c>
      <c r="W6524" s="2">
        <v>37.799999999999997</v>
      </c>
      <c r="X6524" s="2">
        <v>0</v>
      </c>
      <c r="Y6524" s="2" t="s">
        <v>394</v>
      </c>
      <c r="Z6524" s="2" t="s">
        <v>43258</v>
      </c>
      <c r="AA6524" s="2">
        <v>-0.88308097558460097</v>
      </c>
      <c r="AB6524" s="2">
        <v>2.51131213110606E-2</v>
      </c>
      <c r="AC6524" s="2">
        <v>3742.5273630686102</v>
      </c>
      <c r="AD6524" s="2">
        <v>4017.90193263014</v>
      </c>
      <c r="AE6524" s="2">
        <v>3790.69768302083</v>
      </c>
      <c r="AF6524" s="2">
        <v>4246.2432265240304</v>
      </c>
      <c r="AG6524" s="2">
        <v>3955.3123931930099</v>
      </c>
      <c r="AH6524" s="2">
        <v>3887.0200391251901</v>
      </c>
      <c r="AI6524" s="2">
        <v>3743.9182489278001</v>
      </c>
      <c r="AJ6524" s="2">
        <v>2831.9725876207999</v>
      </c>
      <c r="AK6524" s="2">
        <v>5754.7551709837398</v>
      </c>
      <c r="AL6524" s="2">
        <v>4734.6031409167399</v>
      </c>
      <c r="AM6524" s="2">
        <v>2239.5062452280099</v>
      </c>
      <c r="AN6524" s="2">
        <v>3191.53805872872</v>
      </c>
      <c r="AO6524" s="2">
        <v>3865.6273036122502</v>
      </c>
      <c r="AP6524" s="2">
        <v>4321.38167631141</v>
      </c>
    </row>
    <row r="6525" spans="1:42" ht="14.5" x14ac:dyDescent="0.35">
      <c r="A6525" s="2" t="s">
        <v>43259</v>
      </c>
      <c r="B6525" s="2">
        <v>227.16417091823601</v>
      </c>
      <c r="C6525" s="2">
        <v>3.6063166666666699</v>
      </c>
      <c r="D6525" s="2" t="s">
        <v>34</v>
      </c>
      <c r="E6525" s="2" t="s">
        <v>43260</v>
      </c>
      <c r="F6525" s="2">
        <v>266757</v>
      </c>
      <c r="G6525" s="3" t="str">
        <f>HYPERLINK("http://funmeta.oebiotech.com/network/266757", "http://funmeta.oebiotech.com/network/266757")</f>
        <v>http://funmeta.oebiotech.com/network/266757</v>
      </c>
      <c r="H6525" s="2"/>
      <c r="I6525" s="2">
        <v>43916</v>
      </c>
      <c r="J6525" s="2"/>
      <c r="K6525" s="2"/>
      <c r="L6525" s="2"/>
      <c r="M6525" s="2"/>
      <c r="N6525" s="2"/>
      <c r="O6525" s="2">
        <v>102861</v>
      </c>
      <c r="P6525" s="2" t="s">
        <v>43261</v>
      </c>
      <c r="Q6525" s="2" t="s">
        <v>43262</v>
      </c>
      <c r="R6525" s="2" t="s">
        <v>43263</v>
      </c>
      <c r="S6525" s="2" t="s">
        <v>50</v>
      </c>
      <c r="T6525" s="2" t="s">
        <v>229</v>
      </c>
      <c r="U6525" s="2" t="s">
        <v>1360</v>
      </c>
      <c r="V6525" s="2" t="s">
        <v>59</v>
      </c>
      <c r="W6525" s="2">
        <v>38.700000000000003</v>
      </c>
      <c r="X6525" s="2">
        <v>0</v>
      </c>
      <c r="Y6525" s="2" t="s">
        <v>394</v>
      </c>
      <c r="Z6525" s="2" t="s">
        <v>6208</v>
      </c>
      <c r="AA6525" s="2">
        <v>-3.44821045653572E-4</v>
      </c>
      <c r="AB6525" s="2">
        <v>2.5059386399473201E-2</v>
      </c>
      <c r="AC6525" s="2">
        <v>2179.8258352364601</v>
      </c>
      <c r="AD6525" s="2">
        <v>2049.6967428236599</v>
      </c>
      <c r="AE6525" s="2">
        <v>2191.25409755185</v>
      </c>
      <c r="AF6525" s="2">
        <v>2102.0621270473598</v>
      </c>
      <c r="AG6525" s="2">
        <v>2004.3887104477801</v>
      </c>
      <c r="AH6525" s="2">
        <v>2175.0102233889402</v>
      </c>
      <c r="AI6525" s="2">
        <v>2272.1869419342402</v>
      </c>
      <c r="AJ6525" s="2">
        <v>2334.0529110486</v>
      </c>
      <c r="AK6525" s="2">
        <v>1896.0053376369599</v>
      </c>
      <c r="AL6525" s="2">
        <v>1673.98418775092</v>
      </c>
      <c r="AM6525" s="2">
        <v>2186.5201588070399</v>
      </c>
      <c r="AN6525" s="2">
        <v>2169.1997000799602</v>
      </c>
      <c r="AO6525" s="2">
        <v>1942.6398596955901</v>
      </c>
      <c r="AP6525" s="2">
        <v>2429.83121297151</v>
      </c>
    </row>
    <row r="6526" spans="1:42" ht="14.5" x14ac:dyDescent="0.35">
      <c r="A6526" s="2" t="s">
        <v>43264</v>
      </c>
      <c r="B6526" s="2">
        <v>535.21807427098599</v>
      </c>
      <c r="C6526" s="2">
        <v>10.3798166666667</v>
      </c>
      <c r="D6526" s="2" t="s">
        <v>34</v>
      </c>
      <c r="E6526" s="2" t="s">
        <v>43265</v>
      </c>
      <c r="F6526" s="2">
        <v>203316</v>
      </c>
      <c r="G6526" s="3" t="str">
        <f>HYPERLINK("http://funmeta.oebiotech.com/network/203316", "http://funmeta.oebiotech.com/network/203316")</f>
        <v>http://funmeta.oebiotech.com/network/203316</v>
      </c>
      <c r="H6526" s="2" t="s">
        <v>43266</v>
      </c>
      <c r="I6526" s="2"/>
      <c r="J6526" s="2"/>
      <c r="K6526" s="2"/>
      <c r="L6526" s="2"/>
      <c r="M6526" s="2"/>
      <c r="N6526" s="2"/>
      <c r="O6526" s="2">
        <v>11627655</v>
      </c>
      <c r="P6526" s="2"/>
      <c r="Q6526" s="2" t="s">
        <v>43267</v>
      </c>
      <c r="R6526" s="2" t="s">
        <v>43268</v>
      </c>
      <c r="S6526" s="2" t="s">
        <v>491</v>
      </c>
      <c r="T6526" s="2" t="s">
        <v>13817</v>
      </c>
      <c r="U6526" s="2" t="s">
        <v>23989</v>
      </c>
      <c r="V6526" s="2" t="s">
        <v>59</v>
      </c>
      <c r="W6526" s="2">
        <v>37.5</v>
      </c>
      <c r="X6526" s="2">
        <v>0</v>
      </c>
      <c r="Y6526" s="2" t="s">
        <v>323</v>
      </c>
      <c r="Z6526" s="2" t="s">
        <v>43269</v>
      </c>
      <c r="AA6526" s="2">
        <v>0.34373033645318801</v>
      </c>
      <c r="AB6526" s="2">
        <v>2.4934758932742801E-2</v>
      </c>
      <c r="AC6526" s="2">
        <v>22505.362354494599</v>
      </c>
      <c r="AD6526" s="2">
        <v>22773.189357385701</v>
      </c>
      <c r="AE6526" s="2">
        <v>22322.015530692999</v>
      </c>
      <c r="AF6526" s="2">
        <v>22985.224485065901</v>
      </c>
      <c r="AG6526" s="2">
        <v>22450.338710559899</v>
      </c>
      <c r="AH6526" s="2">
        <v>21641.021485400801</v>
      </c>
      <c r="AI6526" s="2">
        <v>23351.1208407987</v>
      </c>
      <c r="AJ6526" s="2">
        <v>22282.453074449499</v>
      </c>
      <c r="AK6526" s="2">
        <v>22204.683507430102</v>
      </c>
      <c r="AL6526" s="2">
        <v>20671.564264985798</v>
      </c>
      <c r="AM6526" s="2">
        <v>22227.8270256508</v>
      </c>
      <c r="AN6526" s="2">
        <v>23643.375135644201</v>
      </c>
      <c r="AO6526" s="2">
        <v>24412.975769787201</v>
      </c>
      <c r="AP6526" s="2">
        <v>23478.710440815899</v>
      </c>
    </row>
    <row r="6527" spans="1:42" ht="14.5" x14ac:dyDescent="0.35">
      <c r="A6527" s="2" t="s">
        <v>43270</v>
      </c>
      <c r="B6527" s="2">
        <v>504.30927591600903</v>
      </c>
      <c r="C6527" s="2">
        <v>10.936349999999999</v>
      </c>
      <c r="D6527" s="2" t="s">
        <v>70</v>
      </c>
      <c r="E6527" s="2" t="s">
        <v>43271</v>
      </c>
      <c r="F6527" s="2">
        <v>21208</v>
      </c>
      <c r="G6527" s="3" t="str">
        <f>HYPERLINK("http://funmeta.oebiotech.com/network/21208", "http://funmeta.oebiotech.com/network/21208")</f>
        <v>http://funmeta.oebiotech.com/network/21208</v>
      </c>
      <c r="H6527" s="2" t="s">
        <v>43272</v>
      </c>
      <c r="I6527" s="2">
        <v>62271</v>
      </c>
      <c r="J6527" s="2" t="s">
        <v>43273</v>
      </c>
      <c r="K6527" s="2">
        <v>131692</v>
      </c>
      <c r="L6527" s="2"/>
      <c r="M6527" s="2"/>
      <c r="N6527" s="2"/>
      <c r="O6527" s="2">
        <v>53480932</v>
      </c>
      <c r="P6527" s="2"/>
      <c r="Q6527" s="2" t="s">
        <v>43274</v>
      </c>
      <c r="R6527" s="2" t="s">
        <v>43275</v>
      </c>
      <c r="S6527" s="2" t="s">
        <v>50</v>
      </c>
      <c r="T6527" s="2" t="s">
        <v>51</v>
      </c>
      <c r="U6527" s="2" t="s">
        <v>257</v>
      </c>
      <c r="V6527" s="2" t="s">
        <v>59</v>
      </c>
      <c r="W6527" s="2">
        <v>38.5</v>
      </c>
      <c r="X6527" s="2">
        <v>0</v>
      </c>
      <c r="Y6527" s="2" t="s">
        <v>118</v>
      </c>
      <c r="Z6527" s="2" t="s">
        <v>43276</v>
      </c>
      <c r="AA6527" s="2">
        <v>-0.56828320151017897</v>
      </c>
      <c r="AB6527" s="2">
        <v>2.4922454129028299E-2</v>
      </c>
      <c r="AC6527" s="2">
        <v>145.683360953939</v>
      </c>
      <c r="AD6527" s="2">
        <v>285.76997728307703</v>
      </c>
      <c r="AE6527" s="2">
        <v>711.87560275598003</v>
      </c>
      <c r="AF6527" s="2">
        <v>2.7106294003980101E-5</v>
      </c>
      <c r="AG6527" s="2">
        <v>162.22445454247901</v>
      </c>
      <c r="AH6527" s="2">
        <v>2.7106294003980101E-5</v>
      </c>
      <c r="AI6527" s="2">
        <v>2.7106294003980101E-5</v>
      </c>
      <c r="AJ6527" s="2">
        <v>2.7106294003980101E-5</v>
      </c>
      <c r="AK6527" s="2">
        <v>311.17382075134799</v>
      </c>
      <c r="AL6527" s="2">
        <v>164.40107351596399</v>
      </c>
      <c r="AM6527" s="2">
        <v>2.7106294003980101E-5</v>
      </c>
      <c r="AN6527" s="2">
        <v>344.54750396916597</v>
      </c>
      <c r="AO6527" s="2">
        <v>614.83483277253504</v>
      </c>
      <c r="AP6527" s="2">
        <v>279.66260558315201</v>
      </c>
    </row>
    <row r="6528" spans="1:42" ht="14.5" x14ac:dyDescent="0.35">
      <c r="A6528" s="2" t="s">
        <v>43277</v>
      </c>
      <c r="B6528" s="2">
        <v>471.14198914780701</v>
      </c>
      <c r="C6528" s="2">
        <v>5.4498833333333296</v>
      </c>
      <c r="D6528" s="2" t="s">
        <v>70</v>
      </c>
      <c r="E6528" s="2" t="s">
        <v>43278</v>
      </c>
      <c r="F6528" s="2">
        <v>274590</v>
      </c>
      <c r="G6528" s="3" t="str">
        <f>HYPERLINK("http://funmeta.oebiotech.com/network/274590", "http://funmeta.oebiotech.com/network/274590")</f>
        <v>http://funmeta.oebiotech.com/network/274590</v>
      </c>
      <c r="H6528" s="2"/>
      <c r="I6528" s="2">
        <v>64673</v>
      </c>
      <c r="J6528" s="2"/>
      <c r="K6528" s="2"/>
      <c r="L6528" s="2"/>
      <c r="M6528" s="2"/>
      <c r="N6528" s="2"/>
      <c r="O6528" s="2">
        <v>54675758</v>
      </c>
      <c r="P6528" s="2" t="s">
        <v>43279</v>
      </c>
      <c r="Q6528" s="2" t="s">
        <v>43280</v>
      </c>
      <c r="R6528" s="2" t="s">
        <v>43281</v>
      </c>
      <c r="S6528" s="2" t="s">
        <v>115</v>
      </c>
      <c r="T6528" s="2" t="s">
        <v>10885</v>
      </c>
      <c r="U6528" s="2" t="s">
        <v>41</v>
      </c>
      <c r="V6528" s="2" t="s">
        <v>59</v>
      </c>
      <c r="W6528" s="2">
        <v>36.700000000000003</v>
      </c>
      <c r="X6528" s="2">
        <v>0</v>
      </c>
      <c r="Y6528" s="2" t="s">
        <v>408</v>
      </c>
      <c r="Z6528" s="2" t="s">
        <v>43282</v>
      </c>
      <c r="AA6528" s="2">
        <v>2.5466252131983098</v>
      </c>
      <c r="AB6528" s="2">
        <v>2.4920811243875799E-2</v>
      </c>
      <c r="AC6528" s="2">
        <v>1297.79504555528</v>
      </c>
      <c r="AD6528" s="2">
        <v>1480.16463942933</v>
      </c>
      <c r="AE6528" s="2">
        <v>1819.6305752922201</v>
      </c>
      <c r="AF6528" s="2">
        <v>1529.82369150624</v>
      </c>
      <c r="AG6528" s="2">
        <v>1628.4455459667299</v>
      </c>
      <c r="AH6528" s="2">
        <v>412.60569515499799</v>
      </c>
      <c r="AI6528" s="2">
        <v>1330.20417464614</v>
      </c>
      <c r="AJ6528" s="2">
        <v>1066.0605907653801</v>
      </c>
      <c r="AK6528" s="2">
        <v>1719.7788660638</v>
      </c>
      <c r="AL6528" s="2">
        <v>1263.7029248214801</v>
      </c>
      <c r="AM6528" s="2">
        <v>1753.0270715081699</v>
      </c>
      <c r="AN6528" s="2">
        <v>1244.0915832160799</v>
      </c>
      <c r="AO6528" s="2">
        <v>1062.76906488287</v>
      </c>
      <c r="AP6528" s="2">
        <v>1837.6183260835801</v>
      </c>
    </row>
    <row r="6529" spans="1:42" ht="14.5" x14ac:dyDescent="0.35">
      <c r="A6529" s="2" t="s">
        <v>43283</v>
      </c>
      <c r="B6529" s="2">
        <v>429.22325667042497</v>
      </c>
      <c r="C6529" s="2">
        <v>1.4964</v>
      </c>
      <c r="D6529" s="2" t="s">
        <v>34</v>
      </c>
      <c r="E6529" s="2" t="s">
        <v>43284</v>
      </c>
      <c r="F6529" s="2">
        <v>23673</v>
      </c>
      <c r="G6529" s="3" t="str">
        <f>HYPERLINK("http://funmeta.oebiotech.com/network/23673", "http://funmeta.oebiotech.com/network/23673")</f>
        <v>http://funmeta.oebiotech.com/network/23673</v>
      </c>
      <c r="H6529" s="2"/>
      <c r="I6529" s="2">
        <v>79999</v>
      </c>
      <c r="J6529" s="2" t="s">
        <v>43285</v>
      </c>
      <c r="K6529" s="2"/>
      <c r="L6529" s="2"/>
      <c r="M6529" s="2"/>
      <c r="N6529" s="2"/>
      <c r="O6529" s="2">
        <v>52927434</v>
      </c>
      <c r="P6529" s="2"/>
      <c r="Q6529" s="2" t="s">
        <v>43286</v>
      </c>
      <c r="R6529" s="2" t="s">
        <v>43287</v>
      </c>
      <c r="S6529" s="2" t="s">
        <v>50</v>
      </c>
      <c r="T6529" s="2" t="s">
        <v>51</v>
      </c>
      <c r="U6529" s="2" t="s">
        <v>738</v>
      </c>
      <c r="V6529" s="2" t="s">
        <v>59</v>
      </c>
      <c r="W6529" s="2">
        <v>38.4</v>
      </c>
      <c r="X6529" s="2">
        <v>0</v>
      </c>
      <c r="Y6529" s="2" t="s">
        <v>394</v>
      </c>
      <c r="Z6529" s="2" t="s">
        <v>43288</v>
      </c>
      <c r="AA6529" s="2">
        <v>-3.5943279660104599</v>
      </c>
      <c r="AB6529" s="2">
        <v>2.49144945935331E-2</v>
      </c>
      <c r="AC6529" s="2">
        <v>11991.844155565101</v>
      </c>
      <c r="AD6529" s="2">
        <v>12231.736006797701</v>
      </c>
      <c r="AE6529" s="2">
        <v>12759.168676298401</v>
      </c>
      <c r="AF6529" s="2">
        <v>11143.817142505401</v>
      </c>
      <c r="AG6529" s="2">
        <v>13119.545484919699</v>
      </c>
      <c r="AH6529" s="2">
        <v>11867.2892167344</v>
      </c>
      <c r="AI6529" s="2">
        <v>11568.2157756547</v>
      </c>
      <c r="AJ6529" s="2">
        <v>11493.028637278199</v>
      </c>
      <c r="AK6529" s="2">
        <v>11952.174434316499</v>
      </c>
      <c r="AL6529" s="2">
        <v>12157.445130828301</v>
      </c>
      <c r="AM6529" s="2">
        <v>13167.765289393001</v>
      </c>
      <c r="AN6529" s="2">
        <v>11367.066813559501</v>
      </c>
      <c r="AO6529" s="2">
        <v>11847.5933070431</v>
      </c>
      <c r="AP6529" s="2">
        <v>12898.371065645701</v>
      </c>
    </row>
    <row r="6530" spans="1:42" ht="14.5" x14ac:dyDescent="0.35">
      <c r="A6530" s="2" t="s">
        <v>43289</v>
      </c>
      <c r="B6530" s="2">
        <v>341.12393961879098</v>
      </c>
      <c r="C6530" s="2">
        <v>5.26453333333333</v>
      </c>
      <c r="D6530" s="2" t="s">
        <v>70</v>
      </c>
      <c r="E6530" s="2" t="s">
        <v>43290</v>
      </c>
      <c r="F6530" s="2">
        <v>64689</v>
      </c>
      <c r="G6530" s="3" t="str">
        <f>HYPERLINK("http://funmeta.oebiotech.com/network/64689", "http://funmeta.oebiotech.com/network/64689")</f>
        <v>http://funmeta.oebiotech.com/network/64689</v>
      </c>
      <c r="H6530" s="2" t="s">
        <v>43291</v>
      </c>
      <c r="I6530" s="2">
        <v>95989</v>
      </c>
      <c r="J6530" s="2"/>
      <c r="K6530" s="2">
        <v>174822</v>
      </c>
      <c r="L6530" s="2"/>
      <c r="M6530" s="2"/>
      <c r="N6530" s="2"/>
      <c r="O6530" s="2">
        <v>44338426</v>
      </c>
      <c r="P6530" s="2" t="s">
        <v>43292</v>
      </c>
      <c r="Q6530" s="2" t="s">
        <v>43293</v>
      </c>
      <c r="R6530" s="2" t="s">
        <v>43294</v>
      </c>
      <c r="S6530" s="2" t="s">
        <v>79</v>
      </c>
      <c r="T6530" s="2" t="s">
        <v>80</v>
      </c>
      <c r="U6530" s="2" t="s">
        <v>81</v>
      </c>
      <c r="V6530" s="2" t="s">
        <v>59</v>
      </c>
      <c r="W6530" s="2">
        <v>42.7</v>
      </c>
      <c r="X6530" s="2">
        <v>17.399999999999999</v>
      </c>
      <c r="Y6530" s="2" t="s">
        <v>408</v>
      </c>
      <c r="Z6530" s="2" t="s">
        <v>43295</v>
      </c>
      <c r="AA6530" s="2">
        <v>-0.84967202923821405</v>
      </c>
      <c r="AB6530" s="2">
        <v>2.4888884022822199E-2</v>
      </c>
      <c r="AC6530" s="2">
        <v>132.37046315260599</v>
      </c>
      <c r="AD6530" s="2">
        <v>32.427872586650501</v>
      </c>
      <c r="AE6530" s="2">
        <v>212.12749676504299</v>
      </c>
      <c r="AF6530" s="2">
        <v>2.7106294003980101E-5</v>
      </c>
      <c r="AG6530" s="2">
        <v>397.42324809289602</v>
      </c>
      <c r="AH6530" s="2">
        <v>2.7106294003980101E-5</v>
      </c>
      <c r="AI6530" s="2">
        <v>2.7106294003980101E-5</v>
      </c>
      <c r="AJ6530" s="2">
        <v>184.671952738817</v>
      </c>
      <c r="AK6530" s="2">
        <v>2.7106294003980101E-5</v>
      </c>
      <c r="AL6530" s="2">
        <v>194.567099988433</v>
      </c>
      <c r="AM6530" s="2">
        <v>2.7106294003980101E-5</v>
      </c>
      <c r="AN6530" s="2">
        <v>2.7106294003980101E-5</v>
      </c>
      <c r="AO6530" s="2">
        <v>2.7106294003980101E-5</v>
      </c>
      <c r="AP6530" s="2">
        <v>2.7106294003980101E-5</v>
      </c>
    </row>
    <row r="6531" spans="1:42" ht="14.5" x14ac:dyDescent="0.35">
      <c r="A6531" s="2" t="s">
        <v>43296</v>
      </c>
      <c r="B6531" s="2">
        <v>696.24921617404505</v>
      </c>
      <c r="C6531" s="2">
        <v>1.1643666666666701</v>
      </c>
      <c r="D6531" s="2" t="s">
        <v>34</v>
      </c>
      <c r="E6531" s="2" t="s">
        <v>43297</v>
      </c>
      <c r="F6531" s="2">
        <v>31149</v>
      </c>
      <c r="G6531" s="3" t="str">
        <f>HYPERLINK("http://funmeta.oebiotech.com/network/31149", "http://funmeta.oebiotech.com/network/31149")</f>
        <v>http://funmeta.oebiotech.com/network/31149</v>
      </c>
      <c r="H6531" s="2"/>
      <c r="I6531" s="2"/>
      <c r="J6531" s="2" t="s">
        <v>43298</v>
      </c>
      <c r="K6531" s="2"/>
      <c r="L6531" s="2"/>
      <c r="M6531" s="2"/>
      <c r="N6531" s="2"/>
      <c r="O6531" s="2">
        <v>102276650</v>
      </c>
      <c r="P6531" s="2"/>
      <c r="Q6531" s="2" t="s">
        <v>43299</v>
      </c>
      <c r="R6531" s="2" t="s">
        <v>43300</v>
      </c>
      <c r="S6531" s="2" t="s">
        <v>115</v>
      </c>
      <c r="T6531" s="2" t="s">
        <v>139</v>
      </c>
      <c r="U6531" s="2" t="s">
        <v>140</v>
      </c>
      <c r="V6531" s="2" t="s">
        <v>59</v>
      </c>
      <c r="W6531" s="2">
        <v>38.1</v>
      </c>
      <c r="X6531" s="2">
        <v>0</v>
      </c>
      <c r="Y6531" s="2" t="s">
        <v>43</v>
      </c>
      <c r="Z6531" s="2" t="s">
        <v>43301</v>
      </c>
      <c r="AA6531" s="2">
        <v>-0.87654609674500406</v>
      </c>
      <c r="AB6531" s="2">
        <v>2.4870242609495202E-2</v>
      </c>
      <c r="AC6531" s="2">
        <v>10381.227302261301</v>
      </c>
      <c r="AD6531" s="2">
        <v>10090.393666622</v>
      </c>
      <c r="AE6531" s="2">
        <v>11316.1810759083</v>
      </c>
      <c r="AF6531" s="2">
        <v>9460.8937337314292</v>
      </c>
      <c r="AG6531" s="2">
        <v>9624.5293739434692</v>
      </c>
      <c r="AH6531" s="2">
        <v>9990.4361643909706</v>
      </c>
      <c r="AI6531" s="2">
        <v>10917.9145516834</v>
      </c>
      <c r="AJ6531" s="2">
        <v>10977.4089139102</v>
      </c>
      <c r="AK6531" s="2">
        <v>9428.3621237676107</v>
      </c>
      <c r="AL6531" s="2">
        <v>9224.6077427196906</v>
      </c>
      <c r="AM6531" s="2">
        <v>11240.485429562899</v>
      </c>
      <c r="AN6531" s="2">
        <v>8303.3497926724795</v>
      </c>
      <c r="AO6531" s="2">
        <v>10508.2898085243</v>
      </c>
      <c r="AP6531" s="2">
        <v>11837.267102485001</v>
      </c>
    </row>
    <row r="6532" spans="1:42" ht="14.5" x14ac:dyDescent="0.35">
      <c r="A6532" s="2" t="s">
        <v>43302</v>
      </c>
      <c r="B6532" s="2">
        <v>303.08718516791998</v>
      </c>
      <c r="C6532" s="2">
        <v>5.04155</v>
      </c>
      <c r="D6532" s="2" t="s">
        <v>70</v>
      </c>
      <c r="E6532" s="2" t="s">
        <v>43303</v>
      </c>
      <c r="F6532" s="2">
        <v>46828</v>
      </c>
      <c r="G6532" s="3" t="str">
        <f>HYPERLINK("http://funmeta.oebiotech.com/network/46828", "http://funmeta.oebiotech.com/network/46828")</f>
        <v>http://funmeta.oebiotech.com/network/46828</v>
      </c>
      <c r="H6532" s="2" t="s">
        <v>43304</v>
      </c>
      <c r="I6532" s="2">
        <v>130</v>
      </c>
      <c r="J6532" s="2"/>
      <c r="K6532" s="2">
        <v>18101</v>
      </c>
      <c r="L6532" s="2" t="s">
        <v>43305</v>
      </c>
      <c r="M6532" s="2" t="s">
        <v>43306</v>
      </c>
      <c r="N6532" s="2" t="s">
        <v>43307</v>
      </c>
      <c r="O6532" s="2">
        <v>127</v>
      </c>
      <c r="P6532" s="2" t="s">
        <v>43308</v>
      </c>
      <c r="Q6532" s="2" t="s">
        <v>43309</v>
      </c>
      <c r="R6532" s="2" t="s">
        <v>43310</v>
      </c>
      <c r="S6532" s="2" t="s">
        <v>148</v>
      </c>
      <c r="T6532" s="2" t="s">
        <v>392</v>
      </c>
      <c r="U6532" s="2" t="s">
        <v>393</v>
      </c>
      <c r="V6532" s="2" t="s">
        <v>59</v>
      </c>
      <c r="W6532" s="2">
        <v>39.299999999999997</v>
      </c>
      <c r="X6532" s="2">
        <v>0</v>
      </c>
      <c r="Y6532" s="2" t="s">
        <v>560</v>
      </c>
      <c r="Z6532" s="2" t="s">
        <v>26834</v>
      </c>
      <c r="AA6532" s="2">
        <v>-0.74526313351118001</v>
      </c>
      <c r="AB6532" s="2">
        <v>2.48524738749962E-2</v>
      </c>
      <c r="AC6532" s="2">
        <v>455.524054078728</v>
      </c>
      <c r="AD6532" s="2">
        <v>263.89780711149501</v>
      </c>
      <c r="AE6532" s="2">
        <v>244.61756157360301</v>
      </c>
      <c r="AF6532" s="2">
        <v>368.81719008131898</v>
      </c>
      <c r="AG6532" s="2">
        <v>605.98328403948005</v>
      </c>
      <c r="AH6532" s="2">
        <v>469.60506566369003</v>
      </c>
      <c r="AI6532" s="2">
        <v>197.228721320841</v>
      </c>
      <c r="AJ6532" s="2">
        <v>846.89250179343696</v>
      </c>
      <c r="AK6532" s="2">
        <v>2.7106294003980101E-5</v>
      </c>
      <c r="AL6532" s="2">
        <v>2.7106294003980101E-5</v>
      </c>
      <c r="AM6532" s="2">
        <v>2.7106294003980101E-5</v>
      </c>
      <c r="AN6532" s="2">
        <v>2.7106294003980101E-5</v>
      </c>
      <c r="AO6532" s="2">
        <v>1583.3867071375</v>
      </c>
      <c r="AP6532" s="2">
        <v>2.7106294003980101E-5</v>
      </c>
    </row>
    <row r="6533" spans="1:42" ht="14.5" x14ac:dyDescent="0.35">
      <c r="A6533" s="2" t="s">
        <v>43311</v>
      </c>
      <c r="B6533" s="2">
        <v>379.19710998220302</v>
      </c>
      <c r="C6533" s="2">
        <v>5.2831999999999999</v>
      </c>
      <c r="D6533" s="2" t="s">
        <v>70</v>
      </c>
      <c r="E6533" s="2" t="s">
        <v>43312</v>
      </c>
      <c r="F6533" s="2">
        <v>7429</v>
      </c>
      <c r="G6533" s="3" t="str">
        <f>HYPERLINK("http://funmeta.oebiotech.com/network/7429", "http://funmeta.oebiotech.com/network/7429")</f>
        <v>http://funmeta.oebiotech.com/network/7429</v>
      </c>
      <c r="H6533" s="2" t="s">
        <v>43313</v>
      </c>
      <c r="I6533" s="2">
        <v>88381</v>
      </c>
      <c r="J6533" s="2" t="s">
        <v>43314</v>
      </c>
      <c r="K6533" s="2"/>
      <c r="L6533" s="2"/>
      <c r="M6533" s="2"/>
      <c r="N6533" s="2"/>
      <c r="O6533" s="2">
        <v>54281757</v>
      </c>
      <c r="P6533" s="2" t="s">
        <v>43315</v>
      </c>
      <c r="Q6533" s="2" t="s">
        <v>43316</v>
      </c>
      <c r="R6533" s="2" t="s">
        <v>43317</v>
      </c>
      <c r="S6533" s="2" t="s">
        <v>50</v>
      </c>
      <c r="T6533" s="2" t="s">
        <v>229</v>
      </c>
      <c r="U6533" s="2" t="s">
        <v>1914</v>
      </c>
      <c r="V6533" s="2" t="s">
        <v>59</v>
      </c>
      <c r="W6533" s="2">
        <v>38.200000000000003</v>
      </c>
      <c r="X6533" s="2">
        <v>0</v>
      </c>
      <c r="Y6533" s="2" t="s">
        <v>560</v>
      </c>
      <c r="Z6533" s="2" t="s">
        <v>43318</v>
      </c>
      <c r="AA6533" s="2">
        <v>-2.9331994203524601</v>
      </c>
      <c r="AB6533" s="2">
        <v>2.4851905080251199E-2</v>
      </c>
      <c r="AC6533" s="2">
        <v>3032.04900361717</v>
      </c>
      <c r="AD6533" s="2">
        <v>3223.9667532032799</v>
      </c>
      <c r="AE6533" s="2">
        <v>3300.75150004439</v>
      </c>
      <c r="AF6533" s="2">
        <v>3263.9824558106002</v>
      </c>
      <c r="AG6533" s="2">
        <v>3215.0418389342499</v>
      </c>
      <c r="AH6533" s="2">
        <v>3020.3702030685099</v>
      </c>
      <c r="AI6533" s="2">
        <v>1971.68168157892</v>
      </c>
      <c r="AJ6533" s="2">
        <v>3420.4663422663698</v>
      </c>
      <c r="AK6533" s="2">
        <v>3429.86010813147</v>
      </c>
      <c r="AL6533" s="2">
        <v>3189.85709669055</v>
      </c>
      <c r="AM6533" s="2">
        <v>2630.8796813736499</v>
      </c>
      <c r="AN6533" s="2">
        <v>3343.0233871161499</v>
      </c>
      <c r="AO6533" s="2">
        <v>3177.4528709266001</v>
      </c>
      <c r="AP6533" s="2">
        <v>3572.7273749812798</v>
      </c>
    </row>
    <row r="6534" spans="1:42" ht="14.5" x14ac:dyDescent="0.35">
      <c r="A6534" s="2" t="s">
        <v>43319</v>
      </c>
      <c r="B6534" s="2">
        <v>391.11230191074702</v>
      </c>
      <c r="C6534" s="2">
        <v>4.3459666666666701</v>
      </c>
      <c r="D6534" s="2" t="s">
        <v>70</v>
      </c>
      <c r="E6534" s="2" t="s">
        <v>43320</v>
      </c>
      <c r="F6534" s="2">
        <v>82690</v>
      </c>
      <c r="G6534" s="3" t="str">
        <f>HYPERLINK("http://funmeta.oebiotech.com/network/82690", "http://funmeta.oebiotech.com/network/82690")</f>
        <v>http://funmeta.oebiotech.com/network/82690</v>
      </c>
      <c r="H6534" s="2" t="s">
        <v>43321</v>
      </c>
      <c r="I6534" s="2">
        <v>2703</v>
      </c>
      <c r="J6534" s="2"/>
      <c r="K6534" s="2"/>
      <c r="L6534" s="2"/>
      <c r="M6534" s="2"/>
      <c r="N6534" s="2"/>
      <c r="O6534" s="2">
        <v>10472784</v>
      </c>
      <c r="P6534" s="2" t="s">
        <v>43322</v>
      </c>
      <c r="Q6534" s="2" t="s">
        <v>43323</v>
      </c>
      <c r="R6534" s="2" t="s">
        <v>43324</v>
      </c>
      <c r="S6534" s="2" t="s">
        <v>148</v>
      </c>
      <c r="T6534" s="2" t="s">
        <v>149</v>
      </c>
      <c r="U6534" s="2" t="s">
        <v>1593</v>
      </c>
      <c r="V6534" s="2" t="s">
        <v>59</v>
      </c>
      <c r="W6534" s="2">
        <v>39.1</v>
      </c>
      <c r="X6534" s="2">
        <v>0</v>
      </c>
      <c r="Y6534" s="2" t="s">
        <v>408</v>
      </c>
      <c r="Z6534" s="2" t="s">
        <v>43325</v>
      </c>
      <c r="AA6534" s="2">
        <v>0.165690236147363</v>
      </c>
      <c r="AB6534" s="2">
        <v>2.4834229960566299E-2</v>
      </c>
      <c r="AC6534" s="2">
        <v>2222.4144406189998</v>
      </c>
      <c r="AD6534" s="2">
        <v>2048.4633358973401</v>
      </c>
      <c r="AE6534" s="2">
        <v>2771.5899029755401</v>
      </c>
      <c r="AF6534" s="2">
        <v>1549.5267650661799</v>
      </c>
      <c r="AG6534" s="2">
        <v>1808.93362448677</v>
      </c>
      <c r="AH6534" s="2">
        <v>2546.9209585799799</v>
      </c>
      <c r="AI6534" s="2">
        <v>2352.5983927390598</v>
      </c>
      <c r="AJ6534" s="2">
        <v>2304.9169998664602</v>
      </c>
      <c r="AK6534" s="2">
        <v>2035.50792776972</v>
      </c>
      <c r="AL6534" s="2">
        <v>2193.6001210189702</v>
      </c>
      <c r="AM6534" s="2">
        <v>2067.1327829381898</v>
      </c>
      <c r="AN6534" s="2">
        <v>2290.2649817066699</v>
      </c>
      <c r="AO6534" s="2">
        <v>1464.84560331235</v>
      </c>
      <c r="AP6534" s="2">
        <v>2239.4285986381301</v>
      </c>
    </row>
    <row r="6535" spans="1:42" ht="14.5" x14ac:dyDescent="0.35">
      <c r="A6535" s="2" t="s">
        <v>43326</v>
      </c>
      <c r="B6535" s="2">
        <v>491.11939127091102</v>
      </c>
      <c r="C6535" s="2">
        <v>5.0778999999999996</v>
      </c>
      <c r="D6535" s="2" t="s">
        <v>70</v>
      </c>
      <c r="E6535" s="2" t="s">
        <v>43327</v>
      </c>
      <c r="F6535" s="2">
        <v>268625</v>
      </c>
      <c r="G6535" s="3" t="str">
        <f>HYPERLINK("http://funmeta.oebiotech.com/network/268625", "http://funmeta.oebiotech.com/network/268625")</f>
        <v>http://funmeta.oebiotech.com/network/268625</v>
      </c>
      <c r="H6535" s="2"/>
      <c r="I6535" s="2">
        <v>49627</v>
      </c>
      <c r="J6535" s="2"/>
      <c r="K6535" s="2"/>
      <c r="L6535" s="2"/>
      <c r="M6535" s="2"/>
      <c r="N6535" s="2"/>
      <c r="O6535" s="2">
        <v>44258501</v>
      </c>
      <c r="P6535" s="2"/>
      <c r="Q6535" s="2" t="s">
        <v>43328</v>
      </c>
      <c r="R6535" s="2" t="s">
        <v>43329</v>
      </c>
      <c r="S6535" s="2" t="s">
        <v>115</v>
      </c>
      <c r="T6535" s="2" t="s">
        <v>139</v>
      </c>
      <c r="U6535" s="2" t="s">
        <v>140</v>
      </c>
      <c r="V6535" s="2" t="s">
        <v>42</v>
      </c>
      <c r="W6535" s="2">
        <v>48.2</v>
      </c>
      <c r="X6535" s="2">
        <v>48.5</v>
      </c>
      <c r="Y6535" s="2" t="s">
        <v>118</v>
      </c>
      <c r="Z6535" s="2" t="s">
        <v>43330</v>
      </c>
      <c r="AA6535" s="2">
        <v>-0.22047467193730499</v>
      </c>
      <c r="AB6535" s="2">
        <v>2.47643481708303E-2</v>
      </c>
      <c r="AC6535" s="2">
        <v>22705.376239414702</v>
      </c>
      <c r="AD6535" s="2">
        <v>22224.594958515499</v>
      </c>
      <c r="AE6535" s="2">
        <v>22998.0803282202</v>
      </c>
      <c r="AF6535" s="2">
        <v>22969.4639561574</v>
      </c>
      <c r="AG6535" s="2">
        <v>23393.619225331298</v>
      </c>
      <c r="AH6535" s="2">
        <v>19701.9978762354</v>
      </c>
      <c r="AI6535" s="2">
        <v>17815.346172699999</v>
      </c>
      <c r="AJ6535" s="2">
        <v>29353.749877843999</v>
      </c>
      <c r="AK6535" s="2">
        <v>18670.430260849898</v>
      </c>
      <c r="AL6535" s="2">
        <v>22577.590709857501</v>
      </c>
      <c r="AM6535" s="2">
        <v>22778.676030325401</v>
      </c>
      <c r="AN6535" s="2">
        <v>22194.197043646502</v>
      </c>
      <c r="AO6535" s="2">
        <v>27219.2325646346</v>
      </c>
      <c r="AP6535" s="2">
        <v>19907.4431417792</v>
      </c>
    </row>
    <row r="6536" spans="1:42" ht="14.5" x14ac:dyDescent="0.35">
      <c r="A6536" s="2" t="s">
        <v>43331</v>
      </c>
      <c r="B6536" s="2">
        <v>555.12908305526696</v>
      </c>
      <c r="C6536" s="2">
        <v>8.3517666666666699</v>
      </c>
      <c r="D6536" s="2" t="s">
        <v>70</v>
      </c>
      <c r="E6536" s="2" t="s">
        <v>43332</v>
      </c>
      <c r="F6536" s="2">
        <v>64302</v>
      </c>
      <c r="G6536" s="3" t="str">
        <f>HYPERLINK("http://funmeta.oebiotech.com/network/64302", "http://funmeta.oebiotech.com/network/64302")</f>
        <v>http://funmeta.oebiotech.com/network/64302</v>
      </c>
      <c r="H6536" s="2" t="s">
        <v>43333</v>
      </c>
      <c r="I6536" s="2">
        <v>95621</v>
      </c>
      <c r="J6536" s="2"/>
      <c r="K6536" s="2"/>
      <c r="L6536" s="2"/>
      <c r="M6536" s="2"/>
      <c r="N6536" s="2"/>
      <c r="O6536" s="2">
        <v>5488120</v>
      </c>
      <c r="P6536" s="2" t="s">
        <v>43334</v>
      </c>
      <c r="Q6536" s="2" t="s">
        <v>43335</v>
      </c>
      <c r="R6536" s="2" t="s">
        <v>43336</v>
      </c>
      <c r="S6536" s="2" t="s">
        <v>39</v>
      </c>
      <c r="T6536" s="2" t="s">
        <v>3154</v>
      </c>
      <c r="U6536" s="2" t="s">
        <v>41</v>
      </c>
      <c r="V6536" s="2" t="s">
        <v>59</v>
      </c>
      <c r="W6536" s="2">
        <v>38.1</v>
      </c>
      <c r="X6536" s="2">
        <v>0</v>
      </c>
      <c r="Y6536" s="2" t="s">
        <v>560</v>
      </c>
      <c r="Z6536" s="2" t="s">
        <v>43337</v>
      </c>
      <c r="AA6536" s="2">
        <v>-3.46117278251476</v>
      </c>
      <c r="AB6536" s="2">
        <v>2.46657543432857E-2</v>
      </c>
      <c r="AC6536" s="2">
        <v>104.245032721824</v>
      </c>
      <c r="AD6536" s="2">
        <v>7.19529037988017</v>
      </c>
      <c r="AE6536" s="2">
        <v>2.7106294003980101E-5</v>
      </c>
      <c r="AF6536" s="2">
        <v>2.7106294003980101E-5</v>
      </c>
      <c r="AG6536" s="2">
        <v>2.7106294003980101E-5</v>
      </c>
      <c r="AH6536" s="2">
        <v>372.01777440201101</v>
      </c>
      <c r="AI6536" s="2">
        <v>2.7106294003980101E-5</v>
      </c>
      <c r="AJ6536" s="2">
        <v>253.45231350375801</v>
      </c>
      <c r="AK6536" s="2">
        <v>2.7106294003980101E-5</v>
      </c>
      <c r="AL6536" s="2">
        <v>2.7106294003980101E-5</v>
      </c>
      <c r="AM6536" s="2">
        <v>2.7106294003980101E-5</v>
      </c>
      <c r="AN6536" s="2">
        <v>2.7106294003980101E-5</v>
      </c>
      <c r="AO6536" s="2">
        <v>43.171606747810998</v>
      </c>
      <c r="AP6536" s="2">
        <v>2.7106294003980101E-5</v>
      </c>
    </row>
    <row r="6537" spans="1:42" ht="14.5" x14ac:dyDescent="0.35">
      <c r="A6537" s="2" t="s">
        <v>43338</v>
      </c>
      <c r="B6537" s="2">
        <v>331.092944847117</v>
      </c>
      <c r="C6537" s="2">
        <v>3.8614999999999999</v>
      </c>
      <c r="D6537" s="2" t="s">
        <v>70</v>
      </c>
      <c r="E6537" s="2" t="s">
        <v>43339</v>
      </c>
      <c r="F6537" s="2">
        <v>47694</v>
      </c>
      <c r="G6537" s="3" t="str">
        <f>HYPERLINK("http://funmeta.oebiotech.com/network/47694", "http://funmeta.oebiotech.com/network/47694")</f>
        <v>http://funmeta.oebiotech.com/network/47694</v>
      </c>
      <c r="H6537" s="2" t="s">
        <v>43340</v>
      </c>
      <c r="I6537" s="2">
        <v>2820</v>
      </c>
      <c r="J6537" s="2"/>
      <c r="K6537" s="2">
        <v>62207</v>
      </c>
      <c r="L6537" s="2" t="s">
        <v>43341</v>
      </c>
      <c r="M6537" s="2" t="s">
        <v>37158</v>
      </c>
      <c r="N6537" s="2" t="s">
        <v>37159</v>
      </c>
      <c r="O6537" s="2">
        <v>70639</v>
      </c>
      <c r="P6537" s="2" t="s">
        <v>43342</v>
      </c>
      <c r="Q6537" s="2" t="s">
        <v>43343</v>
      </c>
      <c r="R6537" s="2" t="s">
        <v>43344</v>
      </c>
      <c r="S6537" s="2" t="s">
        <v>491</v>
      </c>
      <c r="T6537" s="2" t="s">
        <v>7431</v>
      </c>
      <c r="U6537" s="2" t="s">
        <v>7432</v>
      </c>
      <c r="V6537" s="2" t="s">
        <v>59</v>
      </c>
      <c r="W6537" s="2">
        <v>37.5</v>
      </c>
      <c r="X6537" s="2">
        <v>0</v>
      </c>
      <c r="Y6537" s="2" t="s">
        <v>560</v>
      </c>
      <c r="Z6537" s="2" t="s">
        <v>43345</v>
      </c>
      <c r="AA6537" s="2">
        <v>6.23423416031053</v>
      </c>
      <c r="AB6537" s="2">
        <v>2.4616727682679501E-2</v>
      </c>
      <c r="AC6537" s="2">
        <v>3634.4122001208302</v>
      </c>
      <c r="AD6537" s="2">
        <v>3482.8954129097001</v>
      </c>
      <c r="AE6537" s="2">
        <v>3791.4612653239801</v>
      </c>
      <c r="AF6537" s="2">
        <v>3366.4055962902899</v>
      </c>
      <c r="AG6537" s="2">
        <v>3268.11662564877</v>
      </c>
      <c r="AH6537" s="2">
        <v>3771.8639585383999</v>
      </c>
      <c r="AI6537" s="2">
        <v>3642.8134852190501</v>
      </c>
      <c r="AJ6537" s="2">
        <v>3965.8122697045001</v>
      </c>
      <c r="AK6537" s="2">
        <v>3035.5624300479899</v>
      </c>
      <c r="AL6537" s="2">
        <v>3474.7766112730001</v>
      </c>
      <c r="AM6537" s="2">
        <v>3914.90894910627</v>
      </c>
      <c r="AN6537" s="2">
        <v>3630.4383743179301</v>
      </c>
      <c r="AO6537" s="2">
        <v>3633.1398755708901</v>
      </c>
      <c r="AP6537" s="2">
        <v>3208.5462371421099</v>
      </c>
    </row>
    <row r="6538" spans="1:42" ht="14.5" x14ac:dyDescent="0.35">
      <c r="A6538" s="2" t="s">
        <v>43346</v>
      </c>
      <c r="B6538" s="2">
        <v>322.10590572297502</v>
      </c>
      <c r="C6538" s="2">
        <v>1.2019166666666701</v>
      </c>
      <c r="D6538" s="2" t="s">
        <v>34</v>
      </c>
      <c r="E6538" s="2" t="s">
        <v>43347</v>
      </c>
      <c r="F6538" s="2">
        <v>54353</v>
      </c>
      <c r="G6538" s="3" t="str">
        <f>HYPERLINK("http://funmeta.oebiotech.com/network/54353", "http://funmeta.oebiotech.com/network/54353")</f>
        <v>http://funmeta.oebiotech.com/network/54353</v>
      </c>
      <c r="H6538" s="2" t="s">
        <v>43348</v>
      </c>
      <c r="I6538" s="2">
        <v>86240</v>
      </c>
      <c r="J6538" s="2"/>
      <c r="K6538" s="2"/>
      <c r="L6538" s="2"/>
      <c r="M6538" s="2"/>
      <c r="N6538" s="2"/>
      <c r="O6538" s="2">
        <v>3375152</v>
      </c>
      <c r="P6538" s="2" t="s">
        <v>43349</v>
      </c>
      <c r="Q6538" s="2" t="s">
        <v>43350</v>
      </c>
      <c r="R6538" s="2" t="s">
        <v>43351</v>
      </c>
      <c r="S6538" s="2" t="s">
        <v>89</v>
      </c>
      <c r="T6538" s="2" t="s">
        <v>1600</v>
      </c>
      <c r="U6538" s="2" t="s">
        <v>3890</v>
      </c>
      <c r="V6538" s="2" t="s">
        <v>59</v>
      </c>
      <c r="W6538" s="2">
        <v>36.5</v>
      </c>
      <c r="X6538" s="2">
        <v>0</v>
      </c>
      <c r="Y6538" s="2" t="s">
        <v>394</v>
      </c>
      <c r="Z6538" s="2" t="s">
        <v>43352</v>
      </c>
      <c r="AA6538" s="2">
        <v>-2.5756820777674001</v>
      </c>
      <c r="AB6538" s="2">
        <v>2.4581257491619601E-2</v>
      </c>
      <c r="AC6538" s="2">
        <v>2042.0771541864599</v>
      </c>
      <c r="AD6538" s="2">
        <v>1900.1906470332401</v>
      </c>
      <c r="AE6538" s="2">
        <v>2137.5029956756998</v>
      </c>
      <c r="AF6538" s="2">
        <v>1945.7838536509801</v>
      </c>
      <c r="AG6538" s="2">
        <v>2261.6099298418198</v>
      </c>
      <c r="AH6538" s="2">
        <v>2174.46845469151</v>
      </c>
      <c r="AI6538" s="2">
        <v>1991.85832674689</v>
      </c>
      <c r="AJ6538" s="2">
        <v>1741.23936451186</v>
      </c>
      <c r="AK6538" s="2">
        <v>1813.70957427094</v>
      </c>
      <c r="AL6538" s="2">
        <v>1812.2091907032</v>
      </c>
      <c r="AM6538" s="2">
        <v>1897.6223122265001</v>
      </c>
      <c r="AN6538" s="2">
        <v>1717.4867034489901</v>
      </c>
      <c r="AO6538" s="2">
        <v>1605.49948946367</v>
      </c>
      <c r="AP6538" s="2">
        <v>2554.6166120861499</v>
      </c>
    </row>
    <row r="6539" spans="1:42" ht="14.5" x14ac:dyDescent="0.35">
      <c r="A6539" s="2" t="s">
        <v>43353</v>
      </c>
      <c r="B6539" s="2">
        <v>431.09223904955797</v>
      </c>
      <c r="C6539" s="2">
        <v>4.4450666666666701</v>
      </c>
      <c r="D6539" s="2" t="s">
        <v>34</v>
      </c>
      <c r="E6539" s="2" t="s">
        <v>43354</v>
      </c>
      <c r="F6539" s="2">
        <v>199988</v>
      </c>
      <c r="G6539" s="3" t="str">
        <f>HYPERLINK("http://funmeta.oebiotech.com/network/199988", "http://funmeta.oebiotech.com/network/199988")</f>
        <v>http://funmeta.oebiotech.com/network/199988</v>
      </c>
      <c r="H6539" s="2" t="s">
        <v>43355</v>
      </c>
      <c r="I6539" s="2"/>
      <c r="J6539" s="2"/>
      <c r="K6539" s="2">
        <v>73370</v>
      </c>
      <c r="L6539" s="2"/>
      <c r="M6539" s="2"/>
      <c r="N6539" s="2"/>
      <c r="O6539" s="2">
        <v>187238</v>
      </c>
      <c r="P6539" s="2"/>
      <c r="Q6539" s="2" t="s">
        <v>43356</v>
      </c>
      <c r="R6539" s="2" t="s">
        <v>43357</v>
      </c>
      <c r="S6539" s="2" t="s">
        <v>491</v>
      </c>
      <c r="T6539" s="2" t="s">
        <v>2184</v>
      </c>
      <c r="U6539" s="2" t="s">
        <v>3838</v>
      </c>
      <c r="V6539" s="2" t="s">
        <v>59</v>
      </c>
      <c r="W6539" s="2">
        <v>37.9</v>
      </c>
      <c r="X6539" s="2">
        <v>0</v>
      </c>
      <c r="Y6539" s="2" t="s">
        <v>43</v>
      </c>
      <c r="Z6539" s="2" t="s">
        <v>43358</v>
      </c>
      <c r="AA6539" s="2">
        <v>-3.9010682839187099</v>
      </c>
      <c r="AB6539" s="2">
        <v>2.4572399366255999E-2</v>
      </c>
      <c r="AC6539" s="2">
        <v>3187.1791757310798</v>
      </c>
      <c r="AD6539" s="2">
        <v>2938.1120260115999</v>
      </c>
      <c r="AE6539" s="2">
        <v>2617.8239170137299</v>
      </c>
      <c r="AF6539" s="2">
        <v>3289.1933877700499</v>
      </c>
      <c r="AG6539" s="2">
        <v>4005.9762604440298</v>
      </c>
      <c r="AH6539" s="2">
        <v>2874.8714741007102</v>
      </c>
      <c r="AI6539" s="2">
        <v>2071.0206634088499</v>
      </c>
      <c r="AJ6539" s="2">
        <v>4264.18935164912</v>
      </c>
      <c r="AK6539" s="2">
        <v>3736.0342891353398</v>
      </c>
      <c r="AL6539" s="2">
        <v>3300.76913316738</v>
      </c>
      <c r="AM6539" s="2">
        <v>2979.8777927343699</v>
      </c>
      <c r="AN6539" s="2">
        <v>2647.9173694523902</v>
      </c>
      <c r="AO6539" s="2">
        <v>3798.0622491355002</v>
      </c>
      <c r="AP6539" s="2">
        <v>1166.01132244465</v>
      </c>
    </row>
    <row r="6540" spans="1:42" ht="14.5" x14ac:dyDescent="0.35">
      <c r="A6540" s="2" t="s">
        <v>43359</v>
      </c>
      <c r="B6540" s="2">
        <v>111.116775290744</v>
      </c>
      <c r="C6540" s="2">
        <v>9.8244000000000007</v>
      </c>
      <c r="D6540" s="2" t="s">
        <v>34</v>
      </c>
      <c r="E6540" s="2" t="s">
        <v>43360</v>
      </c>
      <c r="F6540" s="2">
        <v>54500</v>
      </c>
      <c r="G6540" s="3" t="str">
        <f>HYPERLINK("http://funmeta.oebiotech.com/network/54500", "http://funmeta.oebiotech.com/network/54500")</f>
        <v>http://funmeta.oebiotech.com/network/54500</v>
      </c>
      <c r="H6540" s="2" t="s">
        <v>43361</v>
      </c>
      <c r="I6540" s="2">
        <v>86355</v>
      </c>
      <c r="J6540" s="2"/>
      <c r="K6540" s="2"/>
      <c r="L6540" s="2"/>
      <c r="M6540" s="2"/>
      <c r="N6540" s="2"/>
      <c r="O6540" s="2">
        <v>62913</v>
      </c>
      <c r="P6540" s="2" t="s">
        <v>43362</v>
      </c>
      <c r="Q6540" s="2" t="s">
        <v>43363</v>
      </c>
      <c r="R6540" s="2" t="s">
        <v>43364</v>
      </c>
      <c r="S6540" s="2" t="s">
        <v>491</v>
      </c>
      <c r="T6540" s="2" t="s">
        <v>6207</v>
      </c>
      <c r="U6540" s="2" t="s">
        <v>41</v>
      </c>
      <c r="V6540" s="2" t="s">
        <v>59</v>
      </c>
      <c r="W6540" s="2">
        <v>40.5</v>
      </c>
      <c r="X6540" s="2">
        <v>6.68</v>
      </c>
      <c r="Y6540" s="2" t="s">
        <v>141</v>
      </c>
      <c r="Z6540" s="2" t="s">
        <v>43365</v>
      </c>
      <c r="AA6540" s="2">
        <v>-0.402684120765127</v>
      </c>
      <c r="AB6540" s="2">
        <v>2.4558189286798902E-2</v>
      </c>
      <c r="AC6540" s="2">
        <v>2262.6308458407898</v>
      </c>
      <c r="AD6540" s="2">
        <v>2380.4186365604601</v>
      </c>
      <c r="AE6540" s="2">
        <v>1998.6566692479</v>
      </c>
      <c r="AF6540" s="2">
        <v>2211.5627767805099</v>
      </c>
      <c r="AG6540" s="2">
        <v>2287.2575179197902</v>
      </c>
      <c r="AH6540" s="2">
        <v>2519.5138339865298</v>
      </c>
      <c r="AI6540" s="2">
        <v>2470.34586309216</v>
      </c>
      <c r="AJ6540" s="2">
        <v>2088.4484140178802</v>
      </c>
      <c r="AK6540" s="2">
        <v>2300.0867728604699</v>
      </c>
      <c r="AL6540" s="2">
        <v>2502.9008378394801</v>
      </c>
      <c r="AM6540" s="2">
        <v>2493.65860913084</v>
      </c>
      <c r="AN6540" s="2">
        <v>2172.1378530178899</v>
      </c>
      <c r="AO6540" s="2">
        <v>2569.1987047921398</v>
      </c>
      <c r="AP6540" s="2">
        <v>2244.5290417219198</v>
      </c>
    </row>
    <row r="6541" spans="1:42" ht="14.5" x14ac:dyDescent="0.35">
      <c r="A6541" s="2" t="s">
        <v>43366</v>
      </c>
      <c r="B6541" s="2">
        <v>374.36251275192802</v>
      </c>
      <c r="C6541" s="2">
        <v>10.6985333333333</v>
      </c>
      <c r="D6541" s="2" t="s">
        <v>34</v>
      </c>
      <c r="E6541" s="2" t="s">
        <v>43367</v>
      </c>
      <c r="F6541" s="2">
        <v>1704</v>
      </c>
      <c r="G6541" s="3" t="str">
        <f>HYPERLINK("http://funmeta.oebiotech.com/network/1704", "http://funmeta.oebiotech.com/network/1704")</f>
        <v>http://funmeta.oebiotech.com/network/1704</v>
      </c>
      <c r="H6541" s="2" t="s">
        <v>43368</v>
      </c>
      <c r="I6541" s="2">
        <v>35454</v>
      </c>
      <c r="J6541" s="2" t="s">
        <v>43369</v>
      </c>
      <c r="K6541" s="2">
        <v>76980</v>
      </c>
      <c r="L6541" s="2"/>
      <c r="M6541" s="2"/>
      <c r="N6541" s="2"/>
      <c r="O6541" s="2">
        <v>193484</v>
      </c>
      <c r="P6541" s="2"/>
      <c r="Q6541" s="2" t="s">
        <v>43370</v>
      </c>
      <c r="R6541" s="2" t="s">
        <v>43371</v>
      </c>
      <c r="S6541" s="2" t="s">
        <v>50</v>
      </c>
      <c r="T6541" s="2" t="s">
        <v>229</v>
      </c>
      <c r="U6541" s="2" t="s">
        <v>433</v>
      </c>
      <c r="V6541" s="2" t="s">
        <v>59</v>
      </c>
      <c r="W6541" s="2">
        <v>38.9</v>
      </c>
      <c r="X6541" s="2">
        <v>0</v>
      </c>
      <c r="Y6541" s="2" t="s">
        <v>43</v>
      </c>
      <c r="Z6541" s="2" t="s">
        <v>43372</v>
      </c>
      <c r="AA6541" s="2">
        <v>-1.0048235937063901</v>
      </c>
      <c r="AB6541" s="2">
        <v>2.4526189630662599E-2</v>
      </c>
      <c r="AC6541" s="2">
        <v>574.03695328558194</v>
      </c>
      <c r="AD6541" s="2">
        <v>722.81561221383299</v>
      </c>
      <c r="AE6541" s="2">
        <v>712.22071374718598</v>
      </c>
      <c r="AF6541" s="2">
        <v>444.989136364469</v>
      </c>
      <c r="AG6541" s="2">
        <v>408.56245962742702</v>
      </c>
      <c r="AH6541" s="2">
        <v>542.92700559170703</v>
      </c>
      <c r="AI6541" s="2">
        <v>727.00719943982494</v>
      </c>
      <c r="AJ6541" s="2">
        <v>608.51520494287695</v>
      </c>
      <c r="AK6541" s="2">
        <v>238.083227142841</v>
      </c>
      <c r="AL6541" s="2">
        <v>657.83423386119796</v>
      </c>
      <c r="AM6541" s="2">
        <v>407.23312888415398</v>
      </c>
      <c r="AN6541" s="2">
        <v>992.00046733087095</v>
      </c>
      <c r="AO6541" s="2">
        <v>671.42282883442294</v>
      </c>
      <c r="AP6541" s="2">
        <v>1370.31978722951</v>
      </c>
    </row>
    <row r="6542" spans="1:42" ht="14.5" x14ac:dyDescent="0.35">
      <c r="A6542" s="2" t="s">
        <v>43373</v>
      </c>
      <c r="B6542" s="2">
        <v>617.26015222910905</v>
      </c>
      <c r="C6542" s="2">
        <v>7.9733000000000001</v>
      </c>
      <c r="D6542" s="2" t="s">
        <v>70</v>
      </c>
      <c r="E6542" s="2" t="s">
        <v>43374</v>
      </c>
      <c r="F6542" s="2">
        <v>199972</v>
      </c>
      <c r="G6542" s="3" t="str">
        <f>HYPERLINK("http://funmeta.oebiotech.com/network/199972", "http://funmeta.oebiotech.com/network/199972")</f>
        <v>http://funmeta.oebiotech.com/network/199972</v>
      </c>
      <c r="H6542" s="2" t="s">
        <v>43375</v>
      </c>
      <c r="I6542" s="2"/>
      <c r="J6542" s="2"/>
      <c r="K6542" s="2"/>
      <c r="L6542" s="2"/>
      <c r="M6542" s="2"/>
      <c r="N6542" s="2"/>
      <c r="O6542" s="2">
        <v>45375953</v>
      </c>
      <c r="P6542" s="2"/>
      <c r="Q6542" s="2" t="s">
        <v>43376</v>
      </c>
      <c r="R6542" s="2" t="s">
        <v>43377</v>
      </c>
      <c r="S6542" s="2" t="s">
        <v>491</v>
      </c>
      <c r="T6542" s="2" t="s">
        <v>43378</v>
      </c>
      <c r="U6542" s="2" t="s">
        <v>41</v>
      </c>
      <c r="V6542" s="2" t="s">
        <v>59</v>
      </c>
      <c r="W6542" s="2">
        <v>38.299999999999997</v>
      </c>
      <c r="X6542" s="2">
        <v>0</v>
      </c>
      <c r="Y6542" s="2" t="s">
        <v>560</v>
      </c>
      <c r="Z6542" s="2" t="s">
        <v>43379</v>
      </c>
      <c r="AA6542" s="2">
        <v>-0.30344030039400399</v>
      </c>
      <c r="AB6542" s="2">
        <v>2.44863310466218E-2</v>
      </c>
      <c r="AC6542" s="2">
        <v>10883.948945300201</v>
      </c>
      <c r="AD6542" s="2">
        <v>10593.9977828421</v>
      </c>
      <c r="AE6542" s="2">
        <v>10817.5858050557</v>
      </c>
      <c r="AF6542" s="2">
        <v>10010.3283747121</v>
      </c>
      <c r="AG6542" s="2">
        <v>11430.237326562599</v>
      </c>
      <c r="AH6542" s="2">
        <v>9121.2759338052492</v>
      </c>
      <c r="AI6542" s="2">
        <v>12248.436821458299</v>
      </c>
      <c r="AJ6542" s="2">
        <v>11675.829410207099</v>
      </c>
      <c r="AK6542" s="2">
        <v>9395.7573087671808</v>
      </c>
      <c r="AL6542" s="2">
        <v>11610.113628324299</v>
      </c>
      <c r="AM6542" s="2">
        <v>11756.198141077901</v>
      </c>
      <c r="AN6542" s="2">
        <v>11053.932843177699</v>
      </c>
      <c r="AO6542" s="2">
        <v>9722.1197424131697</v>
      </c>
      <c r="AP6542" s="2">
        <v>10025.865033292101</v>
      </c>
    </row>
    <row r="6543" spans="1:42" ht="14.5" x14ac:dyDescent="0.35">
      <c r="A6543" s="2" t="s">
        <v>43380</v>
      </c>
      <c r="B6543" s="2">
        <v>825.16417877075799</v>
      </c>
      <c r="C6543" s="2">
        <v>7.6856999999999998</v>
      </c>
      <c r="D6543" s="2" t="s">
        <v>70</v>
      </c>
      <c r="E6543" s="2" t="s">
        <v>43381</v>
      </c>
      <c r="F6543" s="2">
        <v>211050</v>
      </c>
      <c r="G6543" s="3" t="str">
        <f>HYPERLINK("http://funmeta.oebiotech.com/network/211050", "http://funmeta.oebiotech.com/network/211050")</f>
        <v>http://funmeta.oebiotech.com/network/211050</v>
      </c>
      <c r="H6543" s="2" t="s">
        <v>43382</v>
      </c>
      <c r="I6543" s="2"/>
      <c r="J6543" s="2"/>
      <c r="K6543" s="2"/>
      <c r="L6543" s="2"/>
      <c r="M6543" s="2"/>
      <c r="N6543" s="2"/>
      <c r="O6543" s="2">
        <v>22896847</v>
      </c>
      <c r="P6543" s="2"/>
      <c r="Q6543" s="2" t="s">
        <v>43383</v>
      </c>
      <c r="R6543" s="2" t="s">
        <v>43384</v>
      </c>
      <c r="S6543" s="2" t="s">
        <v>39</v>
      </c>
      <c r="T6543" s="2" t="s">
        <v>26067</v>
      </c>
      <c r="U6543" s="2" t="s">
        <v>43385</v>
      </c>
      <c r="V6543" s="2" t="s">
        <v>59</v>
      </c>
      <c r="W6543" s="2">
        <v>39</v>
      </c>
      <c r="X6543" s="2">
        <v>0</v>
      </c>
      <c r="Y6543" s="2" t="s">
        <v>560</v>
      </c>
      <c r="Z6543" s="2" t="s">
        <v>43386</v>
      </c>
      <c r="AA6543" s="2">
        <v>1.33286743125463</v>
      </c>
      <c r="AB6543" s="2">
        <v>2.4387186187613399E-2</v>
      </c>
      <c r="AC6543" s="2">
        <v>2167.7030951299698</v>
      </c>
      <c r="AD6543" s="2">
        <v>1977.84195908588</v>
      </c>
      <c r="AE6543" s="2">
        <v>2293.0867898800102</v>
      </c>
      <c r="AF6543" s="2">
        <v>1709.4136335422299</v>
      </c>
      <c r="AG6543" s="2">
        <v>2364.8719392143898</v>
      </c>
      <c r="AH6543" s="2">
        <v>1881.17092482302</v>
      </c>
      <c r="AI6543" s="2">
        <v>1826.1267920447301</v>
      </c>
      <c r="AJ6543" s="2">
        <v>2931.54849127545</v>
      </c>
      <c r="AK6543" s="2">
        <v>1571.43734041158</v>
      </c>
      <c r="AL6543" s="2">
        <v>2937.9671455656098</v>
      </c>
      <c r="AM6543" s="2">
        <v>1897.79416183949</v>
      </c>
      <c r="AN6543" s="2">
        <v>1246.7477459194499</v>
      </c>
      <c r="AO6543" s="2">
        <v>1935.12434444876</v>
      </c>
      <c r="AP6543" s="2">
        <v>2277.98101633039</v>
      </c>
    </row>
    <row r="6544" spans="1:42" ht="14.5" x14ac:dyDescent="0.35">
      <c r="A6544" s="2" t="s">
        <v>43387</v>
      </c>
      <c r="B6544" s="2">
        <v>609.30756755712298</v>
      </c>
      <c r="C6544" s="2">
        <v>6.0486166666666703</v>
      </c>
      <c r="D6544" s="2" t="s">
        <v>70</v>
      </c>
      <c r="E6544" s="2" t="s">
        <v>43388</v>
      </c>
      <c r="F6544" s="2">
        <v>36083</v>
      </c>
      <c r="G6544" s="3" t="str">
        <f>HYPERLINK("http://funmeta.oebiotech.com/network/36083", "http://funmeta.oebiotech.com/network/36083")</f>
        <v>http://funmeta.oebiotech.com/network/36083</v>
      </c>
      <c r="H6544" s="2"/>
      <c r="I6544" s="2"/>
      <c r="J6544" s="2" t="s">
        <v>43389</v>
      </c>
      <c r="K6544" s="2"/>
      <c r="L6544" s="2"/>
      <c r="M6544" s="2"/>
      <c r="N6544" s="2"/>
      <c r="O6544" s="2"/>
      <c r="P6544" s="2"/>
      <c r="Q6544" s="2" t="s">
        <v>43390</v>
      </c>
      <c r="R6544" s="2" t="s">
        <v>43391</v>
      </c>
      <c r="S6544" s="2" t="s">
        <v>50</v>
      </c>
      <c r="T6544" s="2" t="s">
        <v>201</v>
      </c>
      <c r="U6544" s="2" t="s">
        <v>241</v>
      </c>
      <c r="V6544" s="2" t="s">
        <v>59</v>
      </c>
      <c r="W6544" s="2">
        <v>38.6</v>
      </c>
      <c r="X6544" s="2">
        <v>0</v>
      </c>
      <c r="Y6544" s="2" t="s">
        <v>118</v>
      </c>
      <c r="Z6544" s="2" t="s">
        <v>43392</v>
      </c>
      <c r="AA6544" s="2">
        <v>1.08294691824975</v>
      </c>
      <c r="AB6544" s="2">
        <v>2.4373027184734299E-2</v>
      </c>
      <c r="AC6544" s="2">
        <v>5362.3185825393602</v>
      </c>
      <c r="AD6544" s="2">
        <v>5663.8652590705096</v>
      </c>
      <c r="AE6544" s="2">
        <v>6762.6249886253399</v>
      </c>
      <c r="AF6544" s="2">
        <v>4144.0167843671798</v>
      </c>
      <c r="AG6544" s="2">
        <v>5052.2391462171199</v>
      </c>
      <c r="AH6544" s="2">
        <v>5054.5824106125901</v>
      </c>
      <c r="AI6544" s="2">
        <v>5760.9514461088502</v>
      </c>
      <c r="AJ6544" s="2">
        <v>5399.4967193050898</v>
      </c>
      <c r="AK6544" s="2">
        <v>5031.7007914142196</v>
      </c>
      <c r="AL6544" s="2">
        <v>7590.9063094947796</v>
      </c>
      <c r="AM6544" s="2">
        <v>7612.7498938405597</v>
      </c>
      <c r="AN6544" s="2">
        <v>4454.4835722976504</v>
      </c>
      <c r="AO6544" s="2">
        <v>4143.7933212247399</v>
      </c>
      <c r="AP6544" s="2">
        <v>5149.5576661511304</v>
      </c>
    </row>
    <row r="6545" spans="1:42" ht="14.5" x14ac:dyDescent="0.35">
      <c r="A6545" s="2" t="s">
        <v>43393</v>
      </c>
      <c r="B6545" s="2">
        <v>399.23871129106402</v>
      </c>
      <c r="C6545" s="2">
        <v>4.4179500000000003</v>
      </c>
      <c r="D6545" s="2" t="s">
        <v>70</v>
      </c>
      <c r="E6545" s="2" t="s">
        <v>43394</v>
      </c>
      <c r="F6545" s="2">
        <v>3700</v>
      </c>
      <c r="G6545" s="3" t="str">
        <f>HYPERLINK("http://funmeta.oebiotech.com/network/3700", "http://funmeta.oebiotech.com/network/3700")</f>
        <v>http://funmeta.oebiotech.com/network/3700</v>
      </c>
      <c r="H6545" s="2" t="s">
        <v>43395</v>
      </c>
      <c r="I6545" s="2">
        <v>6032</v>
      </c>
      <c r="J6545" s="2" t="s">
        <v>43396</v>
      </c>
      <c r="K6545" s="2">
        <v>15553</v>
      </c>
      <c r="L6545" s="2" t="s">
        <v>43397</v>
      </c>
      <c r="M6545" s="2" t="s">
        <v>43398</v>
      </c>
      <c r="N6545" s="2" t="s">
        <v>43399</v>
      </c>
      <c r="O6545" s="2">
        <v>5283078</v>
      </c>
      <c r="P6545" s="2" t="s">
        <v>43400</v>
      </c>
      <c r="Q6545" s="2" t="s">
        <v>43401</v>
      </c>
      <c r="R6545" s="2" t="s">
        <v>43402</v>
      </c>
      <c r="S6545" s="2" t="s">
        <v>50</v>
      </c>
      <c r="T6545" s="2" t="s">
        <v>229</v>
      </c>
      <c r="U6545" s="2" t="s">
        <v>766</v>
      </c>
      <c r="V6545" s="2" t="s">
        <v>59</v>
      </c>
      <c r="W6545" s="2">
        <v>41.4</v>
      </c>
      <c r="X6545" s="2">
        <v>11.4</v>
      </c>
      <c r="Y6545" s="2" t="s">
        <v>408</v>
      </c>
      <c r="Z6545" s="2" t="s">
        <v>40881</v>
      </c>
      <c r="AA6545" s="2">
        <v>-0.326803614770659</v>
      </c>
      <c r="AB6545" s="2">
        <v>2.4305450730499199E-2</v>
      </c>
      <c r="AC6545" s="2">
        <v>32258.774744270198</v>
      </c>
      <c r="AD6545" s="2">
        <v>31912.554602306402</v>
      </c>
      <c r="AE6545" s="2">
        <v>32128.4920706017</v>
      </c>
      <c r="AF6545" s="2">
        <v>33966.725959905998</v>
      </c>
      <c r="AG6545" s="2">
        <v>31088.380306105901</v>
      </c>
      <c r="AH6545" s="2">
        <v>34020.377377796998</v>
      </c>
      <c r="AI6545" s="2">
        <v>30443.276359409301</v>
      </c>
      <c r="AJ6545" s="2">
        <v>31905.3963918013</v>
      </c>
      <c r="AK6545" s="2">
        <v>32874.738565189196</v>
      </c>
      <c r="AL6545" s="2">
        <v>35725.1520527498</v>
      </c>
      <c r="AM6545" s="2">
        <v>31798.1993793326</v>
      </c>
      <c r="AN6545" s="2">
        <v>31553.924669629199</v>
      </c>
      <c r="AO6545" s="2">
        <v>29125.624500058901</v>
      </c>
      <c r="AP6545" s="2">
        <v>30397.688446878699</v>
      </c>
    </row>
    <row r="6546" spans="1:42" ht="14.5" x14ac:dyDescent="0.35">
      <c r="A6546" s="2" t="s">
        <v>43403</v>
      </c>
      <c r="B6546" s="2">
        <v>298.18748148796698</v>
      </c>
      <c r="C6546" s="2">
        <v>0.66754999999999998</v>
      </c>
      <c r="D6546" s="2" t="s">
        <v>34</v>
      </c>
      <c r="E6546" s="2" t="s">
        <v>43404</v>
      </c>
      <c r="F6546" s="2">
        <v>57070</v>
      </c>
      <c r="G6546" s="3" t="str">
        <f>HYPERLINK("http://funmeta.oebiotech.com/network/57070", "http://funmeta.oebiotech.com/network/57070")</f>
        <v>http://funmeta.oebiotech.com/network/57070</v>
      </c>
      <c r="H6546" s="2" t="s">
        <v>43405</v>
      </c>
      <c r="I6546" s="2">
        <v>88722</v>
      </c>
      <c r="J6546" s="2"/>
      <c r="K6546" s="2">
        <v>168277</v>
      </c>
      <c r="L6546" s="2"/>
      <c r="M6546" s="2"/>
      <c r="N6546" s="2"/>
      <c r="O6546" s="2">
        <v>54470093</v>
      </c>
      <c r="P6546" s="2" t="s">
        <v>43406</v>
      </c>
      <c r="Q6546" s="2" t="s">
        <v>43407</v>
      </c>
      <c r="R6546" s="2" t="s">
        <v>43408</v>
      </c>
      <c r="S6546" s="2" t="s">
        <v>115</v>
      </c>
      <c r="T6546" s="2" t="s">
        <v>116</v>
      </c>
      <c r="U6546" s="2" t="s">
        <v>117</v>
      </c>
      <c r="V6546" s="2" t="s">
        <v>59</v>
      </c>
      <c r="W6546" s="2">
        <v>41.5</v>
      </c>
      <c r="X6546" s="2">
        <v>20.100000000000001</v>
      </c>
      <c r="Y6546" s="2" t="s">
        <v>43</v>
      </c>
      <c r="Z6546" s="2" t="s">
        <v>43409</v>
      </c>
      <c r="AA6546" s="2">
        <v>-4.3805433575679604</v>
      </c>
      <c r="AB6546" s="2">
        <v>2.42802357870671E-2</v>
      </c>
      <c r="AC6546" s="2">
        <v>1002.1526613481</v>
      </c>
      <c r="AD6546" s="2">
        <v>1165.2253762554501</v>
      </c>
      <c r="AE6546" s="2">
        <v>893.69150140500403</v>
      </c>
      <c r="AF6546" s="2">
        <v>906.043347740988</v>
      </c>
      <c r="AG6546" s="2">
        <v>1175.51790461583</v>
      </c>
      <c r="AH6546" s="2">
        <v>1173.7312241519201</v>
      </c>
      <c r="AI6546" s="2">
        <v>1092.0763203613801</v>
      </c>
      <c r="AJ6546" s="2">
        <v>771.855669813448</v>
      </c>
      <c r="AK6546" s="2">
        <v>682.64290984521801</v>
      </c>
      <c r="AL6546" s="2">
        <v>796.12041503858097</v>
      </c>
      <c r="AM6546" s="2">
        <v>1666.13444323154</v>
      </c>
      <c r="AN6546" s="2">
        <v>1956.6497327525301</v>
      </c>
      <c r="AO6546" s="2">
        <v>999.39685028241604</v>
      </c>
      <c r="AP6546" s="2">
        <v>890.40790638238605</v>
      </c>
    </row>
    <row r="6547" spans="1:42" ht="14.5" x14ac:dyDescent="0.35">
      <c r="A6547" s="2" t="s">
        <v>43410</v>
      </c>
      <c r="B6547" s="2">
        <v>541.15290924402802</v>
      </c>
      <c r="C6547" s="2">
        <v>3.56836666666667</v>
      </c>
      <c r="D6547" s="2" t="s">
        <v>34</v>
      </c>
      <c r="E6547" s="2" t="s">
        <v>43411</v>
      </c>
      <c r="F6547" s="2">
        <v>48800</v>
      </c>
      <c r="G6547" s="3" t="str">
        <f>HYPERLINK("http://funmeta.oebiotech.com/network/48800", "http://funmeta.oebiotech.com/network/48800")</f>
        <v>http://funmeta.oebiotech.com/network/48800</v>
      </c>
      <c r="H6547" s="2" t="s">
        <v>43412</v>
      </c>
      <c r="I6547" s="2">
        <v>58481</v>
      </c>
      <c r="J6547" s="2"/>
      <c r="K6547" s="2">
        <v>165246</v>
      </c>
      <c r="L6547" s="2"/>
      <c r="M6547" s="2"/>
      <c r="N6547" s="2"/>
      <c r="O6547" s="2">
        <v>53477863</v>
      </c>
      <c r="P6547" s="2" t="s">
        <v>43413</v>
      </c>
      <c r="Q6547" s="2" t="s">
        <v>43414</v>
      </c>
      <c r="R6547" s="2" t="s">
        <v>43415</v>
      </c>
      <c r="S6547" s="2" t="s">
        <v>50</v>
      </c>
      <c r="T6547" s="2" t="s">
        <v>229</v>
      </c>
      <c r="U6547" s="2" t="s">
        <v>230</v>
      </c>
      <c r="V6547" s="2" t="s">
        <v>59</v>
      </c>
      <c r="W6547" s="2">
        <v>39</v>
      </c>
      <c r="X6547" s="2">
        <v>0</v>
      </c>
      <c r="Y6547" s="2" t="s">
        <v>340</v>
      </c>
      <c r="Z6547" s="2" t="s">
        <v>43416</v>
      </c>
      <c r="AA6547" s="2">
        <v>-3.8271891270420903E-2</v>
      </c>
      <c r="AB6547" s="2">
        <v>2.4252817623240198E-2</v>
      </c>
      <c r="AC6547" s="2">
        <v>1765.3338967367599</v>
      </c>
      <c r="AD6547" s="2">
        <v>1603.67109501235</v>
      </c>
      <c r="AE6547" s="2">
        <v>2200.6027203291901</v>
      </c>
      <c r="AF6547" s="2">
        <v>1315.9099877153201</v>
      </c>
      <c r="AG6547" s="2">
        <v>1656.8888541935</v>
      </c>
      <c r="AH6547" s="2">
        <v>1482.9000547435801</v>
      </c>
      <c r="AI6547" s="2">
        <v>1588.6832742244201</v>
      </c>
      <c r="AJ6547" s="2">
        <v>2347.0184892145398</v>
      </c>
      <c r="AK6547" s="2">
        <v>1974.8134318663199</v>
      </c>
      <c r="AL6547" s="2">
        <v>1890.9488271631701</v>
      </c>
      <c r="AM6547" s="2">
        <v>1751.82831880858</v>
      </c>
      <c r="AN6547" s="2">
        <v>1497.8679653433201</v>
      </c>
      <c r="AO6547" s="2">
        <v>1184.93166673261</v>
      </c>
      <c r="AP6547" s="2">
        <v>1321.6363601601199</v>
      </c>
    </row>
    <row r="6548" spans="1:42" ht="14.5" x14ac:dyDescent="0.35">
      <c r="A6548" s="2" t="s">
        <v>43417</v>
      </c>
      <c r="B6548" s="2">
        <v>365.245930409197</v>
      </c>
      <c r="C6548" s="2">
        <v>12.388916666666701</v>
      </c>
      <c r="D6548" s="2" t="s">
        <v>70</v>
      </c>
      <c r="E6548" s="2" t="s">
        <v>43418</v>
      </c>
      <c r="F6548" s="2">
        <v>53332</v>
      </c>
      <c r="G6548" s="3" t="str">
        <f>HYPERLINK("http://funmeta.oebiotech.com/network/53332", "http://funmeta.oebiotech.com/network/53332")</f>
        <v>http://funmeta.oebiotech.com/network/53332</v>
      </c>
      <c r="H6548" s="2" t="s">
        <v>43419</v>
      </c>
      <c r="I6548" s="2">
        <v>85468</v>
      </c>
      <c r="J6548" s="2"/>
      <c r="K6548" s="2"/>
      <c r="L6548" s="2"/>
      <c r="M6548" s="2"/>
      <c r="N6548" s="2"/>
      <c r="O6548" s="2">
        <v>4162</v>
      </c>
      <c r="P6548" s="2" t="s">
        <v>43420</v>
      </c>
      <c r="Q6548" s="2" t="s">
        <v>43421</v>
      </c>
      <c r="R6548" s="2" t="s">
        <v>43422</v>
      </c>
      <c r="S6548" s="2" t="s">
        <v>491</v>
      </c>
      <c r="T6548" s="2" t="s">
        <v>7584</v>
      </c>
      <c r="U6548" s="2" t="s">
        <v>21330</v>
      </c>
      <c r="V6548" s="2" t="s">
        <v>59</v>
      </c>
      <c r="W6548" s="2">
        <v>38.799999999999997</v>
      </c>
      <c r="X6548" s="2">
        <v>0</v>
      </c>
      <c r="Y6548" s="2" t="s">
        <v>560</v>
      </c>
      <c r="Z6548" s="2" t="s">
        <v>43423</v>
      </c>
      <c r="AA6548" s="2">
        <v>3.6839757920207901</v>
      </c>
      <c r="AB6548" s="2">
        <v>2.4190490045407999E-2</v>
      </c>
      <c r="AC6548" s="2">
        <v>596.63017391905498</v>
      </c>
      <c r="AD6548" s="2">
        <v>760.09024458346005</v>
      </c>
      <c r="AE6548" s="2">
        <v>696.80767323570501</v>
      </c>
      <c r="AF6548" s="2">
        <v>388.64770258437602</v>
      </c>
      <c r="AG6548" s="2">
        <v>521.88332953981501</v>
      </c>
      <c r="AH6548" s="2">
        <v>423.83744537531902</v>
      </c>
      <c r="AI6548" s="2">
        <v>920.02005094420895</v>
      </c>
      <c r="AJ6548" s="2">
        <v>628.58484183490395</v>
      </c>
      <c r="AK6548" s="2">
        <v>437.37437245850498</v>
      </c>
      <c r="AL6548" s="2">
        <v>1430.4630001477001</v>
      </c>
      <c r="AM6548" s="2">
        <v>980.77809308305996</v>
      </c>
      <c r="AN6548" s="2">
        <v>1146.68201051542</v>
      </c>
      <c r="AO6548" s="2">
        <v>449.08413667818797</v>
      </c>
      <c r="AP6548" s="2">
        <v>116.15985461788701</v>
      </c>
    </row>
    <row r="6549" spans="1:42" ht="14.5" x14ac:dyDescent="0.35">
      <c r="A6549" s="2" t="s">
        <v>43424</v>
      </c>
      <c r="B6549" s="2">
        <v>265.092694389629</v>
      </c>
      <c r="C6549" s="2">
        <v>1.50383333333333</v>
      </c>
      <c r="D6549" s="2" t="s">
        <v>70</v>
      </c>
      <c r="E6549" s="2" t="s">
        <v>43425</v>
      </c>
      <c r="F6549" s="2">
        <v>199101</v>
      </c>
      <c r="G6549" s="3" t="str">
        <f>HYPERLINK("http://funmeta.oebiotech.com/network/199101", "http://funmeta.oebiotech.com/network/199101")</f>
        <v>http://funmeta.oebiotech.com/network/199101</v>
      </c>
      <c r="H6549" s="2" t="s">
        <v>43426</v>
      </c>
      <c r="I6549" s="2"/>
      <c r="J6549" s="2"/>
      <c r="K6549" s="2"/>
      <c r="L6549" s="2"/>
      <c r="M6549" s="2"/>
      <c r="N6549" s="2"/>
      <c r="O6549" s="2">
        <v>219905</v>
      </c>
      <c r="P6549" s="2"/>
      <c r="Q6549" s="2" t="s">
        <v>43427</v>
      </c>
      <c r="R6549" s="2" t="s">
        <v>43428</v>
      </c>
      <c r="S6549" s="2" t="s">
        <v>79</v>
      </c>
      <c r="T6549" s="2" t="s">
        <v>80</v>
      </c>
      <c r="U6549" s="2" t="s">
        <v>249</v>
      </c>
      <c r="V6549" s="2" t="s">
        <v>59</v>
      </c>
      <c r="W6549" s="2">
        <v>39.1</v>
      </c>
      <c r="X6549" s="2">
        <v>0</v>
      </c>
      <c r="Y6549" s="2" t="s">
        <v>408</v>
      </c>
      <c r="Z6549" s="2" t="s">
        <v>8741</v>
      </c>
      <c r="AA6549" s="2">
        <v>-0.893755560491727</v>
      </c>
      <c r="AB6549" s="2">
        <v>2.4143510630179402E-2</v>
      </c>
      <c r="AC6549" s="2">
        <v>7430.5649700579897</v>
      </c>
      <c r="AD6549" s="2">
        <v>7224.5259874819403</v>
      </c>
      <c r="AE6549" s="2">
        <v>7254.3314198521603</v>
      </c>
      <c r="AF6549" s="2">
        <v>7438.6876800385598</v>
      </c>
      <c r="AG6549" s="2">
        <v>7502.6486072286098</v>
      </c>
      <c r="AH6549" s="2">
        <v>7370.7723335569799</v>
      </c>
      <c r="AI6549" s="2">
        <v>7494.8804753866498</v>
      </c>
      <c r="AJ6549" s="2">
        <v>7522.0693042849598</v>
      </c>
      <c r="AK6549" s="2">
        <v>6932.2064417741203</v>
      </c>
      <c r="AL6549" s="2">
        <v>6148.5719213412003</v>
      </c>
      <c r="AM6549" s="2">
        <v>6619.6297776799902</v>
      </c>
      <c r="AN6549" s="2">
        <v>7863.4575850299798</v>
      </c>
      <c r="AO6549" s="2">
        <v>8284.5613691501294</v>
      </c>
      <c r="AP6549" s="2">
        <v>7498.7288299162201</v>
      </c>
    </row>
    <row r="6550" spans="1:42" ht="14.5" x14ac:dyDescent="0.35">
      <c r="A6550" s="2" t="s">
        <v>43429</v>
      </c>
      <c r="B6550" s="2">
        <v>697.22839886049996</v>
      </c>
      <c r="C6550" s="2">
        <v>11.10285</v>
      </c>
      <c r="D6550" s="2" t="s">
        <v>70</v>
      </c>
      <c r="E6550" s="2" t="s">
        <v>43430</v>
      </c>
      <c r="F6550" s="2">
        <v>52911</v>
      </c>
      <c r="G6550" s="3" t="str">
        <f>HYPERLINK("http://funmeta.oebiotech.com/network/52911", "http://funmeta.oebiotech.com/network/52911")</f>
        <v>http://funmeta.oebiotech.com/network/52911</v>
      </c>
      <c r="H6550" s="2" t="s">
        <v>43431</v>
      </c>
      <c r="I6550" s="2">
        <v>66700</v>
      </c>
      <c r="J6550" s="2"/>
      <c r="K6550" s="2">
        <v>10023</v>
      </c>
      <c r="L6550" s="2" t="s">
        <v>43432</v>
      </c>
      <c r="M6550" s="2"/>
      <c r="N6550" s="2"/>
      <c r="O6550" s="2">
        <v>71616</v>
      </c>
      <c r="P6550" s="2" t="s">
        <v>43433</v>
      </c>
      <c r="Q6550" s="2" t="s">
        <v>43434</v>
      </c>
      <c r="R6550" s="2" t="s">
        <v>43435</v>
      </c>
      <c r="S6550" s="2" t="s">
        <v>148</v>
      </c>
      <c r="T6550" s="2" t="s">
        <v>149</v>
      </c>
      <c r="U6550" s="2" t="s">
        <v>15271</v>
      </c>
      <c r="V6550" s="2" t="s">
        <v>59</v>
      </c>
      <c r="W6550" s="2">
        <v>36</v>
      </c>
      <c r="X6550" s="2">
        <v>0</v>
      </c>
      <c r="Y6550" s="2" t="s">
        <v>560</v>
      </c>
      <c r="Z6550" s="2" t="s">
        <v>43436</v>
      </c>
      <c r="AA6550" s="2">
        <v>7.9999236701933896</v>
      </c>
      <c r="AB6550" s="2">
        <v>2.4055850999114801E-2</v>
      </c>
      <c r="AC6550" s="2">
        <v>352.59370671413302</v>
      </c>
      <c r="AD6550" s="2">
        <v>225.48953632720199</v>
      </c>
      <c r="AE6550" s="2">
        <v>379.83763056447702</v>
      </c>
      <c r="AF6550" s="2">
        <v>598.51909743037504</v>
      </c>
      <c r="AG6550" s="2">
        <v>2.7106294003980101E-5</v>
      </c>
      <c r="AH6550" s="2">
        <v>549.30486008538196</v>
      </c>
      <c r="AI6550" s="2">
        <v>423.70196261963798</v>
      </c>
      <c r="AJ6550" s="2">
        <v>164.19866247863499</v>
      </c>
      <c r="AK6550" s="2">
        <v>2.7106294003980101E-5</v>
      </c>
      <c r="AL6550" s="2">
        <v>481.20140396941702</v>
      </c>
      <c r="AM6550" s="2">
        <v>186.87626820606201</v>
      </c>
      <c r="AN6550" s="2">
        <v>231.07110373641601</v>
      </c>
      <c r="AO6550" s="2">
        <v>453.78838783873101</v>
      </c>
      <c r="AP6550" s="2">
        <v>2.7106294003980101E-5</v>
      </c>
    </row>
    <row r="6551" spans="1:42" ht="14.5" x14ac:dyDescent="0.35">
      <c r="A6551" s="2" t="s">
        <v>43437</v>
      </c>
      <c r="B6551" s="2">
        <v>335.27891886831901</v>
      </c>
      <c r="C6551" s="2">
        <v>4.7359166666666699</v>
      </c>
      <c r="D6551" s="2" t="s">
        <v>34</v>
      </c>
      <c r="E6551" s="2" t="s">
        <v>43438</v>
      </c>
      <c r="F6551" s="2">
        <v>513</v>
      </c>
      <c r="G6551" s="3" t="str">
        <f>HYPERLINK("http://funmeta.oebiotech.com/network/513", "http://funmeta.oebiotech.com/network/513")</f>
        <v>http://funmeta.oebiotech.com/network/513</v>
      </c>
      <c r="H6551" s="2" t="s">
        <v>43439</v>
      </c>
      <c r="I6551" s="2">
        <v>3805</v>
      </c>
      <c r="J6551" s="2" t="s">
        <v>43440</v>
      </c>
      <c r="K6551" s="2">
        <v>15843</v>
      </c>
      <c r="L6551" s="2" t="s">
        <v>15640</v>
      </c>
      <c r="M6551" s="2" t="s">
        <v>15641</v>
      </c>
      <c r="N6551" s="2" t="s">
        <v>15642</v>
      </c>
      <c r="O6551" s="2">
        <v>3246804</v>
      </c>
      <c r="P6551" s="2" t="s">
        <v>43441</v>
      </c>
      <c r="Q6551" s="2" t="s">
        <v>43442</v>
      </c>
      <c r="R6551" s="2" t="s">
        <v>43443</v>
      </c>
      <c r="S6551" s="2" t="s">
        <v>50</v>
      </c>
      <c r="T6551" s="2" t="s">
        <v>229</v>
      </c>
      <c r="U6551" s="2" t="s">
        <v>433</v>
      </c>
      <c r="V6551" s="2" t="s">
        <v>59</v>
      </c>
      <c r="W6551" s="2">
        <v>37.799999999999997</v>
      </c>
      <c r="X6551" s="2">
        <v>0</v>
      </c>
      <c r="Y6551" s="2" t="s">
        <v>323</v>
      </c>
      <c r="Z6551" s="2" t="s">
        <v>43444</v>
      </c>
      <c r="AA6551" s="2">
        <v>-2.3889391920630199</v>
      </c>
      <c r="AB6551" s="2">
        <v>2.40229274423455E-2</v>
      </c>
      <c r="AC6551" s="2">
        <v>6659.95067865295</v>
      </c>
      <c r="AD6551" s="2">
        <v>6448.9824386066502</v>
      </c>
      <c r="AE6551" s="2">
        <v>6474.5599585671798</v>
      </c>
      <c r="AF6551" s="2">
        <v>6315.7375712449402</v>
      </c>
      <c r="AG6551" s="2">
        <v>6579.3914634698604</v>
      </c>
      <c r="AH6551" s="2">
        <v>7687.29668027769</v>
      </c>
      <c r="AI6551" s="2">
        <v>5653.5371959777403</v>
      </c>
      <c r="AJ6551" s="2">
        <v>7249.1812023803104</v>
      </c>
      <c r="AK6551" s="2">
        <v>6535.5213131812698</v>
      </c>
      <c r="AL6551" s="2">
        <v>6963.9959457524301</v>
      </c>
      <c r="AM6551" s="2">
        <v>7225.0173349555198</v>
      </c>
      <c r="AN6551" s="2">
        <v>6438.6295426143497</v>
      </c>
      <c r="AO6551" s="2">
        <v>5575.4909597887199</v>
      </c>
      <c r="AP6551" s="2">
        <v>5955.2395353475904</v>
      </c>
    </row>
    <row r="6552" spans="1:42" ht="14.5" x14ac:dyDescent="0.35">
      <c r="A6552" s="2" t="s">
        <v>43445</v>
      </c>
      <c r="B6552" s="2">
        <v>313.27329839374897</v>
      </c>
      <c r="C6552" s="2">
        <v>11.599133333333301</v>
      </c>
      <c r="D6552" s="2" t="s">
        <v>34</v>
      </c>
      <c r="E6552" s="2" t="s">
        <v>43446</v>
      </c>
      <c r="F6552" s="2">
        <v>2130</v>
      </c>
      <c r="G6552" s="3" t="str">
        <f>HYPERLINK("http://funmeta.oebiotech.com/network/2130", "http://funmeta.oebiotech.com/network/2130")</f>
        <v>http://funmeta.oebiotech.com/network/2130</v>
      </c>
      <c r="H6552" s="2"/>
      <c r="I6552" s="2">
        <v>74767</v>
      </c>
      <c r="J6552" s="2" t="s">
        <v>43447</v>
      </c>
      <c r="K6552" s="2"/>
      <c r="L6552" s="2"/>
      <c r="M6552" s="2"/>
      <c r="N6552" s="2"/>
      <c r="O6552" s="2">
        <v>5312917</v>
      </c>
      <c r="P6552" s="2"/>
      <c r="Q6552" s="2" t="s">
        <v>43448</v>
      </c>
      <c r="R6552" s="2" t="s">
        <v>43449</v>
      </c>
      <c r="S6552" s="2" t="s">
        <v>50</v>
      </c>
      <c r="T6552" s="2" t="s">
        <v>229</v>
      </c>
      <c r="U6552" s="2" t="s">
        <v>433</v>
      </c>
      <c r="V6552" s="2" t="s">
        <v>59</v>
      </c>
      <c r="W6552" s="2">
        <v>43.1</v>
      </c>
      <c r="X6552" s="2">
        <v>21.9</v>
      </c>
      <c r="Y6552" s="2" t="s">
        <v>394</v>
      </c>
      <c r="Z6552" s="2" t="s">
        <v>28904</v>
      </c>
      <c r="AA6552" s="2">
        <v>-1.3547771701115101</v>
      </c>
      <c r="AB6552" s="2">
        <v>2.40188485795968E-2</v>
      </c>
      <c r="AC6552" s="2">
        <v>100991.184594017</v>
      </c>
      <c r="AD6552" s="2">
        <v>101742.05973288399</v>
      </c>
      <c r="AE6552" s="2">
        <v>113434.698954005</v>
      </c>
      <c r="AF6552" s="2">
        <v>102439.77980090999</v>
      </c>
      <c r="AG6552" s="2">
        <v>98639.601777439006</v>
      </c>
      <c r="AH6552" s="2">
        <v>96416.1041240958</v>
      </c>
      <c r="AI6552" s="2">
        <v>94519.318657527401</v>
      </c>
      <c r="AJ6552" s="2">
        <v>100497.60425012599</v>
      </c>
      <c r="AK6552" s="2">
        <v>102841.580311768</v>
      </c>
      <c r="AL6552" s="2">
        <v>105154.269398333</v>
      </c>
      <c r="AM6552" s="2">
        <v>95162.290574631901</v>
      </c>
      <c r="AN6552" s="2">
        <v>95862.9972887724</v>
      </c>
      <c r="AO6552" s="2">
        <v>112294.170523761</v>
      </c>
      <c r="AP6552" s="2">
        <v>99137.050300037707</v>
      </c>
    </row>
    <row r="6553" spans="1:42" ht="14.5" x14ac:dyDescent="0.35">
      <c r="A6553" s="2" t="s">
        <v>43450</v>
      </c>
      <c r="B6553" s="2">
        <v>286.27403232715301</v>
      </c>
      <c r="C6553" s="2">
        <v>9.2149333333333292</v>
      </c>
      <c r="D6553" s="2" t="s">
        <v>34</v>
      </c>
      <c r="E6553" s="2" t="s">
        <v>43451</v>
      </c>
      <c r="F6553" s="2">
        <v>7235</v>
      </c>
      <c r="G6553" s="3" t="str">
        <f>HYPERLINK("http://funmeta.oebiotech.com/network/7235", "http://funmeta.oebiotech.com/network/7235")</f>
        <v>http://funmeta.oebiotech.com/network/7235</v>
      </c>
      <c r="H6553" s="2" t="s">
        <v>43452</v>
      </c>
      <c r="I6553" s="2">
        <v>44957</v>
      </c>
      <c r="J6553" s="2" t="s">
        <v>43453</v>
      </c>
      <c r="K6553" s="2"/>
      <c r="L6553" s="2"/>
      <c r="M6553" s="2"/>
      <c r="N6553" s="2"/>
      <c r="O6553" s="2">
        <v>14029831</v>
      </c>
      <c r="P6553" s="2" t="s">
        <v>43454</v>
      </c>
      <c r="Q6553" s="2" t="s">
        <v>43455</v>
      </c>
      <c r="R6553" s="2" t="s">
        <v>43456</v>
      </c>
      <c r="S6553" s="2" t="s">
        <v>50</v>
      </c>
      <c r="T6553" s="2" t="s">
        <v>229</v>
      </c>
      <c r="U6553" s="2" t="s">
        <v>1914</v>
      </c>
      <c r="V6553" s="2" t="s">
        <v>59</v>
      </c>
      <c r="W6553" s="2">
        <v>39.200000000000003</v>
      </c>
      <c r="X6553" s="2">
        <v>0</v>
      </c>
      <c r="Y6553" s="2" t="s">
        <v>43</v>
      </c>
      <c r="Z6553" s="2" t="s">
        <v>2981</v>
      </c>
      <c r="AA6553" s="2">
        <v>-8.7489513072166805E-2</v>
      </c>
      <c r="AB6553" s="2">
        <v>2.3921738586143802E-2</v>
      </c>
      <c r="AC6553" s="2">
        <v>1268.31165749606</v>
      </c>
      <c r="AD6553" s="2">
        <v>1164.6176813631901</v>
      </c>
      <c r="AE6553" s="2">
        <v>1150.87555363507</v>
      </c>
      <c r="AF6553" s="2">
        <v>1212.7557350214799</v>
      </c>
      <c r="AG6553" s="2">
        <v>1301.75855206398</v>
      </c>
      <c r="AH6553" s="2">
        <v>1191.8282428165801</v>
      </c>
      <c r="AI6553" s="2">
        <v>1424.20853032791</v>
      </c>
      <c r="AJ6553" s="2">
        <v>1328.4433311113601</v>
      </c>
      <c r="AK6553" s="2">
        <v>1379.2471840307201</v>
      </c>
      <c r="AL6553" s="2">
        <v>1344.9683949128901</v>
      </c>
      <c r="AM6553" s="2">
        <v>937.80400533532202</v>
      </c>
      <c r="AN6553" s="2">
        <v>989.72600222545998</v>
      </c>
      <c r="AO6553" s="2">
        <v>1127.34049331965</v>
      </c>
      <c r="AP6553" s="2">
        <v>1208.62000835508</v>
      </c>
    </row>
    <row r="6554" spans="1:42" ht="14.5" x14ac:dyDescent="0.35">
      <c r="A6554" s="2" t="s">
        <v>43457</v>
      </c>
      <c r="B6554" s="2">
        <v>523.39895130606499</v>
      </c>
      <c r="C6554" s="2">
        <v>10.792766666666701</v>
      </c>
      <c r="D6554" s="2" t="s">
        <v>34</v>
      </c>
      <c r="E6554" s="2" t="s">
        <v>43458</v>
      </c>
      <c r="F6554" s="2">
        <v>247684</v>
      </c>
      <c r="G6554" s="3" t="str">
        <f>HYPERLINK("http://funmeta.oebiotech.com/network/247684", "http://funmeta.oebiotech.com/network/247684")</f>
        <v>http://funmeta.oebiotech.com/network/247684</v>
      </c>
      <c r="H6554" s="2" t="s">
        <v>43459</v>
      </c>
      <c r="I6554" s="2"/>
      <c r="J6554" s="2"/>
      <c r="K6554" s="2"/>
      <c r="L6554" s="2"/>
      <c r="M6554" s="2"/>
      <c r="N6554" s="2"/>
      <c r="O6554" s="2"/>
      <c r="P6554" s="2"/>
      <c r="Q6554" s="2" t="s">
        <v>43460</v>
      </c>
      <c r="R6554" s="2" t="s">
        <v>43461</v>
      </c>
      <c r="S6554" s="2" t="s">
        <v>41</v>
      </c>
      <c r="T6554" s="2" t="s">
        <v>41</v>
      </c>
      <c r="U6554" s="2" t="s">
        <v>41</v>
      </c>
      <c r="V6554" s="2" t="s">
        <v>59</v>
      </c>
      <c r="W6554" s="2">
        <v>40.6</v>
      </c>
      <c r="X6554" s="2">
        <v>9.08</v>
      </c>
      <c r="Y6554" s="2" t="s">
        <v>394</v>
      </c>
      <c r="Z6554" s="2" t="s">
        <v>4709</v>
      </c>
      <c r="AA6554" s="2">
        <v>-0.69789554096725104</v>
      </c>
      <c r="AB6554" s="2">
        <v>2.3911270699905399E-2</v>
      </c>
      <c r="AC6554" s="2">
        <v>13021.424467949801</v>
      </c>
      <c r="AD6554" s="2">
        <v>13295.0167489092</v>
      </c>
      <c r="AE6554" s="2">
        <v>14019.835586290101</v>
      </c>
      <c r="AF6554" s="2">
        <v>12502.6391611908</v>
      </c>
      <c r="AG6554" s="2">
        <v>13575.012065733001</v>
      </c>
      <c r="AH6554" s="2">
        <v>12416.7290849647</v>
      </c>
      <c r="AI6554" s="2">
        <v>12284.0140115105</v>
      </c>
      <c r="AJ6554" s="2">
        <v>13330.3168980096</v>
      </c>
      <c r="AK6554" s="2">
        <v>12074.718116943701</v>
      </c>
      <c r="AL6554" s="2">
        <v>11905.1298499108</v>
      </c>
      <c r="AM6554" s="2">
        <v>12898.094913159999</v>
      </c>
      <c r="AN6554" s="2">
        <v>13448.5428097437</v>
      </c>
      <c r="AO6554" s="2">
        <v>15533.855773355799</v>
      </c>
      <c r="AP6554" s="2">
        <v>13909.7590303415</v>
      </c>
    </row>
    <row r="6555" spans="1:42" ht="14.5" x14ac:dyDescent="0.35">
      <c r="A6555" s="2" t="s">
        <v>43462</v>
      </c>
      <c r="B6555" s="2">
        <v>699.26602770505201</v>
      </c>
      <c r="C6555" s="2">
        <v>5.1527500000000002</v>
      </c>
      <c r="D6555" s="2" t="s">
        <v>70</v>
      </c>
      <c r="E6555" s="2" t="s">
        <v>43463</v>
      </c>
      <c r="F6555" s="2">
        <v>204278</v>
      </c>
      <c r="G6555" s="3" t="str">
        <f>HYPERLINK("http://funmeta.oebiotech.com/network/204278", "http://funmeta.oebiotech.com/network/204278")</f>
        <v>http://funmeta.oebiotech.com/network/204278</v>
      </c>
      <c r="H6555" s="2" t="s">
        <v>43464</v>
      </c>
      <c r="I6555" s="2"/>
      <c r="J6555" s="2"/>
      <c r="K6555" s="2"/>
      <c r="L6555" s="2"/>
      <c r="M6555" s="2"/>
      <c r="N6555" s="2"/>
      <c r="O6555" s="2"/>
      <c r="P6555" s="2"/>
      <c r="Q6555" s="2" t="s">
        <v>43465</v>
      </c>
      <c r="R6555" s="2" t="s">
        <v>43466</v>
      </c>
      <c r="S6555" s="2" t="s">
        <v>491</v>
      </c>
      <c r="T6555" s="2" t="s">
        <v>4517</v>
      </c>
      <c r="U6555" s="2" t="s">
        <v>4518</v>
      </c>
      <c r="V6555" s="2" t="s">
        <v>59</v>
      </c>
      <c r="W6555" s="2">
        <v>38.4</v>
      </c>
      <c r="X6555" s="2">
        <v>0</v>
      </c>
      <c r="Y6555" s="2" t="s">
        <v>560</v>
      </c>
      <c r="Z6555" s="2" t="s">
        <v>43467</v>
      </c>
      <c r="AA6555" s="2">
        <v>-3.5368540444662102</v>
      </c>
      <c r="AB6555" s="2">
        <v>2.3813214061916801E-2</v>
      </c>
      <c r="AC6555" s="2">
        <v>7381.84123612447</v>
      </c>
      <c r="AD6555" s="2">
        <v>7693.0723837756796</v>
      </c>
      <c r="AE6555" s="2">
        <v>5997.0369447635203</v>
      </c>
      <c r="AF6555" s="2">
        <v>5842.0920614023598</v>
      </c>
      <c r="AG6555" s="2">
        <v>5338.29032373667</v>
      </c>
      <c r="AH6555" s="2">
        <v>7811.4789902069497</v>
      </c>
      <c r="AI6555" s="2">
        <v>10098.706850929701</v>
      </c>
      <c r="AJ6555" s="2">
        <v>9203.4422457075907</v>
      </c>
      <c r="AK6555" s="2">
        <v>7690.5602220721903</v>
      </c>
      <c r="AL6555" s="2">
        <v>9370.1318253194804</v>
      </c>
      <c r="AM6555" s="2">
        <v>6478.6234858794196</v>
      </c>
      <c r="AN6555" s="2">
        <v>8425.1412860217606</v>
      </c>
      <c r="AO6555" s="2">
        <v>6392.7954492689096</v>
      </c>
      <c r="AP6555" s="2">
        <v>7801.1820340923096</v>
      </c>
    </row>
    <row r="6556" spans="1:42" ht="14.5" x14ac:dyDescent="0.35">
      <c r="A6556" s="2" t="s">
        <v>43468</v>
      </c>
      <c r="B6556" s="2">
        <v>711.23537648445904</v>
      </c>
      <c r="C6556" s="2">
        <v>5.97258333333333</v>
      </c>
      <c r="D6556" s="2" t="s">
        <v>70</v>
      </c>
      <c r="E6556" s="2" t="s">
        <v>43469</v>
      </c>
      <c r="F6556" s="2">
        <v>53354</v>
      </c>
      <c r="G6556" s="3" t="str">
        <f>HYPERLINK("http://funmeta.oebiotech.com/network/53354", "http://funmeta.oebiotech.com/network/53354")</f>
        <v>http://funmeta.oebiotech.com/network/53354</v>
      </c>
      <c r="H6556" s="2" t="s">
        <v>43470</v>
      </c>
      <c r="I6556" s="2">
        <v>44421</v>
      </c>
      <c r="J6556" s="2"/>
      <c r="K6556" s="2">
        <v>8228</v>
      </c>
      <c r="L6556" s="2" t="s">
        <v>43471</v>
      </c>
      <c r="M6556" s="2"/>
      <c r="N6556" s="2"/>
      <c r="O6556" s="2">
        <v>4829</v>
      </c>
      <c r="P6556" s="2" t="s">
        <v>43472</v>
      </c>
      <c r="Q6556" s="2" t="s">
        <v>43473</v>
      </c>
      <c r="R6556" s="2" t="s">
        <v>43474</v>
      </c>
      <c r="S6556" s="2" t="s">
        <v>148</v>
      </c>
      <c r="T6556" s="2" t="s">
        <v>3772</v>
      </c>
      <c r="U6556" s="2" t="s">
        <v>41</v>
      </c>
      <c r="V6556" s="2" t="s">
        <v>59</v>
      </c>
      <c r="W6556" s="2">
        <v>37.4</v>
      </c>
      <c r="X6556" s="2">
        <v>0</v>
      </c>
      <c r="Y6556" s="2" t="s">
        <v>560</v>
      </c>
      <c r="Z6556" s="2" t="s">
        <v>43475</v>
      </c>
      <c r="AA6556" s="2">
        <v>5.2312460861075296</v>
      </c>
      <c r="AB6556" s="2">
        <v>2.37457819347341E-2</v>
      </c>
      <c r="AC6556" s="2">
        <v>679.92435122463996</v>
      </c>
      <c r="AD6556" s="2">
        <v>490.78754161551399</v>
      </c>
      <c r="AE6556" s="2">
        <v>609.20736506136495</v>
      </c>
      <c r="AF6556" s="2">
        <v>2.7106294003980101E-5</v>
      </c>
      <c r="AG6556" s="2">
        <v>421.04624593630598</v>
      </c>
      <c r="AH6556" s="2">
        <v>768.661814301449</v>
      </c>
      <c r="AI6556" s="2">
        <v>876.89911355947595</v>
      </c>
      <c r="AJ6556" s="2">
        <v>1403.7315413829499</v>
      </c>
      <c r="AK6556" s="2">
        <v>1507.8731240884899</v>
      </c>
      <c r="AL6556" s="2">
        <v>333.66247452552898</v>
      </c>
      <c r="AM6556" s="2">
        <v>2.7106294003980101E-5</v>
      </c>
      <c r="AN6556" s="2">
        <v>2.7106294003980101E-5</v>
      </c>
      <c r="AO6556" s="2">
        <v>504.66112704481299</v>
      </c>
      <c r="AP6556" s="2">
        <v>598.52846982166204</v>
      </c>
    </row>
    <row r="6557" spans="1:42" ht="14.5" x14ac:dyDescent="0.35">
      <c r="A6557" s="2" t="s">
        <v>43476</v>
      </c>
      <c r="B6557" s="2">
        <v>555.27741511380998</v>
      </c>
      <c r="C6557" s="2">
        <v>3.8251333333333299</v>
      </c>
      <c r="D6557" s="2" t="s">
        <v>34</v>
      </c>
      <c r="E6557" s="2" t="s">
        <v>43477</v>
      </c>
      <c r="F6557" s="2">
        <v>46721</v>
      </c>
      <c r="G6557" s="3" t="str">
        <f>HYPERLINK("http://funmeta.oebiotech.com/network/46721", "http://funmeta.oebiotech.com/network/46721")</f>
        <v>http://funmeta.oebiotech.com/network/46721</v>
      </c>
      <c r="H6557" s="2"/>
      <c r="I6557" s="2"/>
      <c r="J6557" s="2" t="s">
        <v>43478</v>
      </c>
      <c r="K6557" s="2"/>
      <c r="L6557" s="2"/>
      <c r="M6557" s="2"/>
      <c r="N6557" s="2"/>
      <c r="O6557" s="2"/>
      <c r="P6557" s="2"/>
      <c r="Q6557" s="2" t="s">
        <v>43479</v>
      </c>
      <c r="R6557" s="2" t="s">
        <v>43480</v>
      </c>
      <c r="S6557" s="2" t="s">
        <v>50</v>
      </c>
      <c r="T6557" s="2" t="s">
        <v>124</v>
      </c>
      <c r="U6557" s="2" t="s">
        <v>125</v>
      </c>
      <c r="V6557" s="2" t="s">
        <v>59</v>
      </c>
      <c r="W6557" s="2">
        <v>43.5</v>
      </c>
      <c r="X6557" s="2">
        <v>36.200000000000003</v>
      </c>
      <c r="Y6557" s="2" t="s">
        <v>340</v>
      </c>
      <c r="Z6557" s="2" t="s">
        <v>43481</v>
      </c>
      <c r="AA6557" s="2">
        <v>4.22643133199026</v>
      </c>
      <c r="AB6557" s="2">
        <v>2.3676523257549001E-2</v>
      </c>
      <c r="AC6557" s="2">
        <v>55015.905806426897</v>
      </c>
      <c r="AD6557" s="2">
        <v>55449.650877160399</v>
      </c>
      <c r="AE6557" s="2">
        <v>58698.009025594503</v>
      </c>
      <c r="AF6557" s="2">
        <v>52363.4718714095</v>
      </c>
      <c r="AG6557" s="2">
        <v>55299.475274639102</v>
      </c>
      <c r="AH6557" s="2">
        <v>56784.742900781901</v>
      </c>
      <c r="AI6557" s="2">
        <v>54429.963787846697</v>
      </c>
      <c r="AJ6557" s="2">
        <v>52519.7719782899</v>
      </c>
      <c r="AK6557" s="2">
        <v>52476.711191489499</v>
      </c>
      <c r="AL6557" s="2">
        <v>60258.813404316097</v>
      </c>
      <c r="AM6557" s="2">
        <v>56610.409668469103</v>
      </c>
      <c r="AN6557" s="2">
        <v>53535.593789409999</v>
      </c>
      <c r="AO6557" s="2">
        <v>55364.641193079202</v>
      </c>
      <c r="AP6557" s="2">
        <v>54451.736016198804</v>
      </c>
    </row>
    <row r="6558" spans="1:42" ht="14.5" x14ac:dyDescent="0.35">
      <c r="A6558" s="2" t="s">
        <v>43482</v>
      </c>
      <c r="B6558" s="2">
        <v>1064.3735408072</v>
      </c>
      <c r="C6558" s="2">
        <v>7.6666999999999996</v>
      </c>
      <c r="D6558" s="2" t="s">
        <v>70</v>
      </c>
      <c r="E6558" s="2" t="s">
        <v>43483</v>
      </c>
      <c r="F6558" s="2">
        <v>82177</v>
      </c>
      <c r="G6558" s="3" t="str">
        <f>HYPERLINK("http://funmeta.oebiotech.com/network/82177", "http://funmeta.oebiotech.com/network/82177")</f>
        <v>http://funmeta.oebiotech.com/network/82177</v>
      </c>
      <c r="H6558" s="2" t="s">
        <v>43484</v>
      </c>
      <c r="I6558" s="2"/>
      <c r="J6558" s="2"/>
      <c r="K6558" s="2"/>
      <c r="L6558" s="2"/>
      <c r="M6558" s="2"/>
      <c r="N6558" s="2"/>
      <c r="O6558" s="2">
        <v>131769889</v>
      </c>
      <c r="P6558" s="2"/>
      <c r="Q6558" s="2" t="s">
        <v>43485</v>
      </c>
      <c r="R6558" s="2" t="s">
        <v>43486</v>
      </c>
      <c r="S6558" s="2" t="s">
        <v>50</v>
      </c>
      <c r="T6558" s="2" t="s">
        <v>229</v>
      </c>
      <c r="U6558" s="2" t="s">
        <v>10433</v>
      </c>
      <c r="V6558" s="2" t="s">
        <v>59</v>
      </c>
      <c r="W6558" s="2">
        <v>37.700000000000003</v>
      </c>
      <c r="X6558" s="2">
        <v>0</v>
      </c>
      <c r="Y6558" s="2" t="s">
        <v>751</v>
      </c>
      <c r="Z6558" s="2" t="s">
        <v>43487</v>
      </c>
      <c r="AA6558" s="2">
        <v>-0.40875142989326801</v>
      </c>
      <c r="AB6558" s="2">
        <v>2.36650823666208E-2</v>
      </c>
      <c r="AC6558" s="2">
        <v>6919.3463817147804</v>
      </c>
      <c r="AD6558" s="2">
        <v>7197.5042358438204</v>
      </c>
      <c r="AE6558" s="2">
        <v>6127.3848264623603</v>
      </c>
      <c r="AF6558" s="2">
        <v>7209.2482301141999</v>
      </c>
      <c r="AG6558" s="2">
        <v>5150.9898220371397</v>
      </c>
      <c r="AH6558" s="2">
        <v>8562.7362793726898</v>
      </c>
      <c r="AI6558" s="2">
        <v>7276.4180309227904</v>
      </c>
      <c r="AJ6558" s="2">
        <v>7189.3011013795103</v>
      </c>
      <c r="AK6558" s="2">
        <v>7482.2903850497496</v>
      </c>
      <c r="AL6558" s="2">
        <v>7057.3115518609202</v>
      </c>
      <c r="AM6558" s="2">
        <v>7371.1775670245497</v>
      </c>
      <c r="AN6558" s="2">
        <v>6066.2620369369597</v>
      </c>
      <c r="AO6558" s="2">
        <v>6015.0546489640301</v>
      </c>
      <c r="AP6558" s="2">
        <v>9192.9292252267096</v>
      </c>
    </row>
    <row r="6559" spans="1:42" ht="14.5" x14ac:dyDescent="0.35">
      <c r="A6559" s="2" t="s">
        <v>43488</v>
      </c>
      <c r="B6559" s="2">
        <v>520.08614171319903</v>
      </c>
      <c r="C6559" s="2">
        <v>5.7854333333333301</v>
      </c>
      <c r="D6559" s="2" t="s">
        <v>70</v>
      </c>
      <c r="E6559" s="2" t="s">
        <v>43489</v>
      </c>
      <c r="F6559" s="2">
        <v>28505</v>
      </c>
      <c r="G6559" s="3" t="str">
        <f>HYPERLINK("http://funmeta.oebiotech.com/network/28505", "http://funmeta.oebiotech.com/network/28505")</f>
        <v>http://funmeta.oebiotech.com/network/28505</v>
      </c>
      <c r="H6559" s="2"/>
      <c r="I6559" s="2"/>
      <c r="J6559" s="2" t="s">
        <v>43490</v>
      </c>
      <c r="K6559" s="2"/>
      <c r="L6559" s="2"/>
      <c r="M6559" s="2"/>
      <c r="N6559" s="2"/>
      <c r="O6559" s="2">
        <v>101365915</v>
      </c>
      <c r="P6559" s="2"/>
      <c r="Q6559" s="2" t="s">
        <v>43491</v>
      </c>
      <c r="R6559" s="2" t="s">
        <v>43492</v>
      </c>
      <c r="S6559" s="2" t="s">
        <v>41</v>
      </c>
      <c r="T6559" s="2" t="s">
        <v>41</v>
      </c>
      <c r="U6559" s="2" t="s">
        <v>41</v>
      </c>
      <c r="V6559" s="2" t="s">
        <v>59</v>
      </c>
      <c r="W6559" s="2">
        <v>38.5</v>
      </c>
      <c r="X6559" s="2">
        <v>0</v>
      </c>
      <c r="Y6559" s="2" t="s">
        <v>118</v>
      </c>
      <c r="Z6559" s="2" t="s">
        <v>43493</v>
      </c>
      <c r="AA6559" s="2">
        <v>0.55229645590354803</v>
      </c>
      <c r="AB6559" s="2">
        <v>2.36337507745224E-2</v>
      </c>
      <c r="AC6559" s="2">
        <v>1555.14127447743</v>
      </c>
      <c r="AD6559" s="2">
        <v>1763.46518484987</v>
      </c>
      <c r="AE6559" s="2">
        <v>1505.02312519311</v>
      </c>
      <c r="AF6559" s="2">
        <v>1832.9531352256099</v>
      </c>
      <c r="AG6559" s="2">
        <v>1233.9869905303101</v>
      </c>
      <c r="AH6559" s="2">
        <v>1961.3435083969</v>
      </c>
      <c r="AI6559" s="2">
        <v>1388.51556413204</v>
      </c>
      <c r="AJ6559" s="2">
        <v>1409.0253233866299</v>
      </c>
      <c r="AK6559" s="2">
        <v>784.09955433802804</v>
      </c>
      <c r="AL6559" s="2">
        <v>2537.4020702564699</v>
      </c>
      <c r="AM6559" s="2">
        <v>2445.2109896069801</v>
      </c>
      <c r="AN6559" s="2">
        <v>781.777701335438</v>
      </c>
      <c r="AO6559" s="2">
        <v>2445.8586630682798</v>
      </c>
      <c r="AP6559" s="2">
        <v>1586.4421304939999</v>
      </c>
    </row>
    <row r="6560" spans="1:42" ht="14.5" x14ac:dyDescent="0.35">
      <c r="A6560" s="2" t="s">
        <v>43494</v>
      </c>
      <c r="B6560" s="2">
        <v>971.54411485735102</v>
      </c>
      <c r="C6560" s="2">
        <v>8.7125000000000004</v>
      </c>
      <c r="D6560" s="2" t="s">
        <v>70</v>
      </c>
      <c r="E6560" s="2" t="s">
        <v>43495</v>
      </c>
      <c r="F6560" s="2">
        <v>215162</v>
      </c>
      <c r="G6560" s="3" t="str">
        <f>HYPERLINK("http://funmeta.oebiotech.com/network/215162", "http://funmeta.oebiotech.com/network/215162")</f>
        <v>http://funmeta.oebiotech.com/network/215162</v>
      </c>
      <c r="H6560" s="2" t="s">
        <v>43496</v>
      </c>
      <c r="I6560" s="2"/>
      <c r="J6560" s="2"/>
      <c r="K6560" s="2"/>
      <c r="L6560" s="2"/>
      <c r="M6560" s="2"/>
      <c r="N6560" s="2"/>
      <c r="O6560" s="2"/>
      <c r="P6560" s="2"/>
      <c r="Q6560" s="2" t="s">
        <v>43497</v>
      </c>
      <c r="R6560" s="2" t="s">
        <v>43498</v>
      </c>
      <c r="S6560" s="2" t="s">
        <v>41</v>
      </c>
      <c r="T6560" s="2" t="s">
        <v>41</v>
      </c>
      <c r="U6560" s="2" t="s">
        <v>41</v>
      </c>
      <c r="V6560" s="2" t="s">
        <v>59</v>
      </c>
      <c r="W6560" s="2">
        <v>38.1</v>
      </c>
      <c r="X6560" s="2">
        <v>0</v>
      </c>
      <c r="Y6560" s="2" t="s">
        <v>408</v>
      </c>
      <c r="Z6560" s="2" t="s">
        <v>43499</v>
      </c>
      <c r="AA6560" s="2">
        <v>0.42401670924292101</v>
      </c>
      <c r="AB6560" s="2">
        <v>2.36136155267542E-2</v>
      </c>
      <c r="AC6560" s="2">
        <v>9519.0539274182192</v>
      </c>
      <c r="AD6560" s="2">
        <v>9108.6440846638707</v>
      </c>
      <c r="AE6560" s="2">
        <v>13538.990946181</v>
      </c>
      <c r="AF6560" s="2">
        <v>8579.9959618893408</v>
      </c>
      <c r="AG6560" s="2">
        <v>10146.9300307911</v>
      </c>
      <c r="AH6560" s="2">
        <v>6359.3498262390203</v>
      </c>
      <c r="AI6560" s="2">
        <v>10496.0515102588</v>
      </c>
      <c r="AJ6560" s="2">
        <v>7993.00528915007</v>
      </c>
      <c r="AK6560" s="2">
        <v>5344.9347284656496</v>
      </c>
      <c r="AL6560" s="2">
        <v>10511.0879579581</v>
      </c>
      <c r="AM6560" s="2">
        <v>12429.0858733512</v>
      </c>
      <c r="AN6560" s="2">
        <v>9455.3364283309293</v>
      </c>
      <c r="AO6560" s="2">
        <v>7630.6177460868803</v>
      </c>
      <c r="AP6560" s="2">
        <v>9280.8017737904793</v>
      </c>
    </row>
    <row r="6561" spans="1:42" ht="14.5" x14ac:dyDescent="0.35">
      <c r="A6561" s="2" t="s">
        <v>43500</v>
      </c>
      <c r="B6561" s="2">
        <v>140.042405425645</v>
      </c>
      <c r="C6561" s="2">
        <v>0.98883333333333301</v>
      </c>
      <c r="D6561" s="2" t="s">
        <v>34</v>
      </c>
      <c r="E6561" s="2" t="s">
        <v>43501</v>
      </c>
      <c r="F6561" s="2">
        <v>46886</v>
      </c>
      <c r="G6561" s="3" t="str">
        <f>HYPERLINK("http://funmeta.oebiotech.com/network/46886", "http://funmeta.oebiotech.com/network/46886")</f>
        <v>http://funmeta.oebiotech.com/network/46886</v>
      </c>
      <c r="H6561" s="2" t="s">
        <v>43502</v>
      </c>
      <c r="I6561" s="2">
        <v>9</v>
      </c>
      <c r="J6561" s="2"/>
      <c r="K6561" s="2">
        <v>16344</v>
      </c>
      <c r="L6561" s="2" t="s">
        <v>43503</v>
      </c>
      <c r="M6561" s="2" t="s">
        <v>43504</v>
      </c>
      <c r="N6561" s="2" t="s">
        <v>43505</v>
      </c>
      <c r="O6561" s="2">
        <v>763</v>
      </c>
      <c r="P6561" s="2" t="s">
        <v>43506</v>
      </c>
      <c r="Q6561" s="2" t="s">
        <v>43507</v>
      </c>
      <c r="R6561" s="2" t="s">
        <v>43508</v>
      </c>
      <c r="S6561" s="2" t="s">
        <v>89</v>
      </c>
      <c r="T6561" s="2" t="s">
        <v>90</v>
      </c>
      <c r="U6561" s="2" t="s">
        <v>99</v>
      </c>
      <c r="V6561" s="2" t="s">
        <v>59</v>
      </c>
      <c r="W6561" s="2">
        <v>37.799999999999997</v>
      </c>
      <c r="X6561" s="2">
        <v>0</v>
      </c>
      <c r="Y6561" s="2" t="s">
        <v>323</v>
      </c>
      <c r="Z6561" s="2" t="s">
        <v>43509</v>
      </c>
      <c r="AA6561" s="2">
        <v>-5.4823698112185602</v>
      </c>
      <c r="AB6561" s="2">
        <v>2.3593944050668201E-2</v>
      </c>
      <c r="AC6561" s="2">
        <v>325.25462594889302</v>
      </c>
      <c r="AD6561" s="2">
        <v>405.129685593538</v>
      </c>
      <c r="AE6561" s="2">
        <v>249.543358142984</v>
      </c>
      <c r="AF6561" s="2">
        <v>343.23400412037103</v>
      </c>
      <c r="AG6561" s="2">
        <v>275.77910474480302</v>
      </c>
      <c r="AH6561" s="2">
        <v>239.14674444504001</v>
      </c>
      <c r="AI6561" s="2">
        <v>392.33390571840101</v>
      </c>
      <c r="AJ6561" s="2">
        <v>451.490638521758</v>
      </c>
      <c r="AK6561" s="2">
        <v>507.74087816861902</v>
      </c>
      <c r="AL6561" s="2">
        <v>427.891576463761</v>
      </c>
      <c r="AM6561" s="2">
        <v>374.96914314913602</v>
      </c>
      <c r="AN6561" s="2">
        <v>413.34333123984999</v>
      </c>
      <c r="AO6561" s="2">
        <v>253.841037478316</v>
      </c>
      <c r="AP6561" s="2">
        <v>452.99214706154601</v>
      </c>
    </row>
    <row r="6562" spans="1:42" ht="14.5" x14ac:dyDescent="0.35">
      <c r="A6562" s="2" t="s">
        <v>43510</v>
      </c>
      <c r="B6562" s="2">
        <v>166.07233250671001</v>
      </c>
      <c r="C6562" s="2">
        <v>1.06171666666667</v>
      </c>
      <c r="D6562" s="2" t="s">
        <v>34</v>
      </c>
      <c r="E6562" s="2" t="s">
        <v>43511</v>
      </c>
      <c r="F6562" s="2">
        <v>48050</v>
      </c>
      <c r="G6562" s="3" t="str">
        <f>HYPERLINK("http://funmeta.oebiotech.com/network/48050", "http://funmeta.oebiotech.com/network/48050")</f>
        <v>http://funmeta.oebiotech.com/network/48050</v>
      </c>
      <c r="H6562" s="2" t="s">
        <v>43512</v>
      </c>
      <c r="I6562" s="2">
        <v>3778</v>
      </c>
      <c r="J6562" s="2"/>
      <c r="K6562" s="2">
        <v>21803</v>
      </c>
      <c r="L6562" s="2" t="s">
        <v>43513</v>
      </c>
      <c r="M6562" s="2"/>
      <c r="N6562" s="2"/>
      <c r="O6562" s="2">
        <v>70315</v>
      </c>
      <c r="P6562" s="2" t="s">
        <v>43514</v>
      </c>
      <c r="Q6562" s="2" t="s">
        <v>43515</v>
      </c>
      <c r="R6562" s="2" t="s">
        <v>43516</v>
      </c>
      <c r="S6562" s="2" t="s">
        <v>491</v>
      </c>
      <c r="T6562" s="2" t="s">
        <v>7431</v>
      </c>
      <c r="U6562" s="2" t="s">
        <v>7432</v>
      </c>
      <c r="V6562" s="2" t="s">
        <v>59</v>
      </c>
      <c r="W6562" s="2">
        <v>38.4</v>
      </c>
      <c r="X6562" s="2">
        <v>0</v>
      </c>
      <c r="Y6562" s="2" t="s">
        <v>394</v>
      </c>
      <c r="Z6562" s="2" t="s">
        <v>43517</v>
      </c>
      <c r="AA6562" s="2">
        <v>-2.2980880045359298E-2</v>
      </c>
      <c r="AB6562" s="2">
        <v>2.34577752541043E-2</v>
      </c>
      <c r="AC6562" s="2">
        <v>1680.06912502976</v>
      </c>
      <c r="AD6562" s="2">
        <v>1553.6672693189701</v>
      </c>
      <c r="AE6562" s="2">
        <v>1700.9786409164201</v>
      </c>
      <c r="AF6562" s="2">
        <v>1439.83570330719</v>
      </c>
      <c r="AG6562" s="2">
        <v>1394.5233849020899</v>
      </c>
      <c r="AH6562" s="2">
        <v>2020.89613588367</v>
      </c>
      <c r="AI6562" s="2">
        <v>1733.0281554630801</v>
      </c>
      <c r="AJ6562" s="2">
        <v>1791.1527297061</v>
      </c>
      <c r="AK6562" s="2">
        <v>1652.7446226249599</v>
      </c>
      <c r="AL6562" s="2">
        <v>1274.9245391391</v>
      </c>
      <c r="AM6562" s="2">
        <v>1276.4540425851701</v>
      </c>
      <c r="AN6562" s="2">
        <v>1680.29865055351</v>
      </c>
      <c r="AO6562" s="2">
        <v>1715.40474237905</v>
      </c>
      <c r="AP6562" s="2">
        <v>1722.177018632</v>
      </c>
    </row>
    <row r="6563" spans="1:42" ht="14.5" x14ac:dyDescent="0.35">
      <c r="A6563" s="2" t="s">
        <v>43518</v>
      </c>
      <c r="B6563" s="2">
        <v>265.157223106115</v>
      </c>
      <c r="C6563" s="2">
        <v>9.7462666666666706</v>
      </c>
      <c r="D6563" s="2" t="s">
        <v>70</v>
      </c>
      <c r="E6563" s="2" t="s">
        <v>43519</v>
      </c>
      <c r="F6563" s="2">
        <v>267075</v>
      </c>
      <c r="G6563" s="3" t="str">
        <f>HYPERLINK("http://funmeta.oebiotech.com/network/267075", "http://funmeta.oebiotech.com/network/267075")</f>
        <v>http://funmeta.oebiotech.com/network/267075</v>
      </c>
      <c r="H6563" s="2"/>
      <c r="I6563" s="2">
        <v>44683</v>
      </c>
      <c r="J6563" s="2"/>
      <c r="K6563" s="2"/>
      <c r="L6563" s="2" t="s">
        <v>43520</v>
      </c>
      <c r="M6563" s="2"/>
      <c r="N6563" s="2"/>
      <c r="O6563" s="2">
        <v>443371</v>
      </c>
      <c r="P6563" s="2" t="s">
        <v>43521</v>
      </c>
      <c r="Q6563" s="2" t="s">
        <v>43522</v>
      </c>
      <c r="R6563" s="2" t="s">
        <v>43523</v>
      </c>
      <c r="S6563" s="2" t="s">
        <v>148</v>
      </c>
      <c r="T6563" s="2" t="s">
        <v>149</v>
      </c>
      <c r="U6563" s="2" t="s">
        <v>4630</v>
      </c>
      <c r="V6563" s="2" t="s">
        <v>59</v>
      </c>
      <c r="W6563" s="2">
        <v>39.1</v>
      </c>
      <c r="X6563" s="2">
        <v>7.97</v>
      </c>
      <c r="Y6563" s="2" t="s">
        <v>118</v>
      </c>
      <c r="Z6563" s="2" t="s">
        <v>43524</v>
      </c>
      <c r="AA6563" s="2">
        <v>5.4739541624564296</v>
      </c>
      <c r="AB6563" s="2">
        <v>2.3434157587475999E-2</v>
      </c>
      <c r="AC6563" s="2">
        <v>18965.250967695301</v>
      </c>
      <c r="AD6563" s="2">
        <v>19543.325621071701</v>
      </c>
      <c r="AE6563" s="2">
        <v>22074.435178423999</v>
      </c>
      <c r="AF6563" s="2">
        <v>23578.178346617002</v>
      </c>
      <c r="AG6563" s="2">
        <v>21115.5622560751</v>
      </c>
      <c r="AH6563" s="2">
        <v>12508.0049511301</v>
      </c>
      <c r="AI6563" s="2">
        <v>12604.8883165024</v>
      </c>
      <c r="AJ6563" s="2">
        <v>21910.4367574233</v>
      </c>
      <c r="AK6563" s="2">
        <v>19818.0011855103</v>
      </c>
      <c r="AL6563" s="2">
        <v>23636.286895844602</v>
      </c>
      <c r="AM6563" s="2">
        <v>16498.2446521278</v>
      </c>
      <c r="AN6563" s="2">
        <v>19616.5032335943</v>
      </c>
      <c r="AO6563" s="2">
        <v>19804.993463430601</v>
      </c>
      <c r="AP6563" s="2">
        <v>17885.924295922399</v>
      </c>
    </row>
    <row r="6564" spans="1:42" ht="14.5" x14ac:dyDescent="0.35">
      <c r="A6564" s="2" t="s">
        <v>43525</v>
      </c>
      <c r="B6564" s="2">
        <v>649.234614817021</v>
      </c>
      <c r="C6564" s="2">
        <v>3.7303666666666699</v>
      </c>
      <c r="D6564" s="2" t="s">
        <v>70</v>
      </c>
      <c r="E6564" s="2" t="s">
        <v>43526</v>
      </c>
      <c r="F6564" s="2">
        <v>274579</v>
      </c>
      <c r="G6564" s="3" t="str">
        <f>HYPERLINK("http://funmeta.oebiotech.com/network/274579", "http://funmeta.oebiotech.com/network/274579")</f>
        <v>http://funmeta.oebiotech.com/network/274579</v>
      </c>
      <c r="H6564" s="2"/>
      <c r="I6564" s="2">
        <v>64654</v>
      </c>
      <c r="J6564" s="2"/>
      <c r="K6564" s="2"/>
      <c r="L6564" s="2"/>
      <c r="M6564" s="2"/>
      <c r="N6564" s="2"/>
      <c r="O6564" s="2">
        <v>9797370</v>
      </c>
      <c r="P6564" s="2" t="s">
        <v>43527</v>
      </c>
      <c r="Q6564" s="2" t="s">
        <v>43528</v>
      </c>
      <c r="R6564" s="2" t="s">
        <v>43529</v>
      </c>
      <c r="S6564" s="2" t="s">
        <v>148</v>
      </c>
      <c r="T6564" s="2" t="s">
        <v>3772</v>
      </c>
      <c r="U6564" s="2" t="s">
        <v>18665</v>
      </c>
      <c r="V6564" s="2" t="s">
        <v>59</v>
      </c>
      <c r="W6564" s="2">
        <v>37.9</v>
      </c>
      <c r="X6564" s="2">
        <v>0</v>
      </c>
      <c r="Y6564" s="2" t="s">
        <v>560</v>
      </c>
      <c r="Z6564" s="2" t="s">
        <v>43530</v>
      </c>
      <c r="AA6564" s="2">
        <v>-5.2575915686822396</v>
      </c>
      <c r="AB6564" s="2">
        <v>2.3375693760324001E-2</v>
      </c>
      <c r="AC6564" s="2">
        <v>715.00417828024695</v>
      </c>
      <c r="AD6564" s="2">
        <v>532.76818197749799</v>
      </c>
      <c r="AE6564" s="2">
        <v>369.515948492093</v>
      </c>
      <c r="AF6564" s="2">
        <v>352.26484552032599</v>
      </c>
      <c r="AG6564" s="2">
        <v>1555.19273607726</v>
      </c>
      <c r="AH6564" s="2">
        <v>2.7106294003980101E-5</v>
      </c>
      <c r="AI6564" s="2">
        <v>1042.79897443916</v>
      </c>
      <c r="AJ6564" s="2">
        <v>970.25253804634701</v>
      </c>
      <c r="AK6564" s="2">
        <v>1.27209809274621</v>
      </c>
      <c r="AL6564" s="2">
        <v>516.80932979920203</v>
      </c>
      <c r="AM6564" s="2">
        <v>453.79203500211099</v>
      </c>
      <c r="AN6564" s="2">
        <v>754.85036997371003</v>
      </c>
      <c r="AO6564" s="2">
        <v>336.97546752650902</v>
      </c>
      <c r="AP6564" s="2">
        <v>1132.9097914707099</v>
      </c>
    </row>
    <row r="6565" spans="1:42" ht="14.5" x14ac:dyDescent="0.35">
      <c r="A6565" s="2" t="s">
        <v>43531</v>
      </c>
      <c r="B6565" s="2">
        <v>1089.5900209793399</v>
      </c>
      <c r="C6565" s="2">
        <v>4.96875</v>
      </c>
      <c r="D6565" s="2" t="s">
        <v>70</v>
      </c>
      <c r="E6565" s="2" t="s">
        <v>43532</v>
      </c>
      <c r="F6565" s="2">
        <v>59713</v>
      </c>
      <c r="G6565" s="3" t="str">
        <f>HYPERLINK("http://funmeta.oebiotech.com/network/59713", "http://funmeta.oebiotech.com/network/59713")</f>
        <v>http://funmeta.oebiotech.com/network/59713</v>
      </c>
      <c r="H6565" s="2" t="s">
        <v>43533</v>
      </c>
      <c r="I6565" s="2">
        <v>91096</v>
      </c>
      <c r="J6565" s="2"/>
      <c r="K6565" s="2"/>
      <c r="L6565" s="2"/>
      <c r="M6565" s="2"/>
      <c r="N6565" s="2"/>
      <c r="O6565" s="2">
        <v>432524</v>
      </c>
      <c r="P6565" s="2" t="s">
        <v>43534</v>
      </c>
      <c r="Q6565" s="2" t="s">
        <v>43535</v>
      </c>
      <c r="R6565" s="2" t="s">
        <v>43536</v>
      </c>
      <c r="S6565" s="2" t="s">
        <v>50</v>
      </c>
      <c r="T6565" s="2" t="s">
        <v>201</v>
      </c>
      <c r="U6565" s="2" t="s">
        <v>210</v>
      </c>
      <c r="V6565" s="2" t="s">
        <v>42</v>
      </c>
      <c r="W6565" s="2">
        <v>45.7</v>
      </c>
      <c r="X6565" s="2">
        <v>46.2</v>
      </c>
      <c r="Y6565" s="2" t="s">
        <v>751</v>
      </c>
      <c r="Z6565" s="2" t="s">
        <v>43537</v>
      </c>
      <c r="AA6565" s="2">
        <v>4.4406331993585297</v>
      </c>
      <c r="AB6565" s="2">
        <v>2.3284015624861199E-2</v>
      </c>
      <c r="AC6565" s="2">
        <v>202659.80367191401</v>
      </c>
      <c r="AD6565" s="2">
        <v>203542.64974426199</v>
      </c>
      <c r="AE6565" s="2">
        <v>209194.91526445001</v>
      </c>
      <c r="AF6565" s="2">
        <v>203406.290834994</v>
      </c>
      <c r="AG6565" s="2">
        <v>201569.63075942101</v>
      </c>
      <c r="AH6565" s="2">
        <v>217825.771005872</v>
      </c>
      <c r="AI6565" s="2">
        <v>208577.891552644</v>
      </c>
      <c r="AJ6565" s="2">
        <v>175384.32261410001</v>
      </c>
      <c r="AK6565" s="2">
        <v>187764.28936042899</v>
      </c>
      <c r="AL6565" s="2">
        <v>201282.41299495901</v>
      </c>
      <c r="AM6565" s="2">
        <v>230339.758248358</v>
      </c>
      <c r="AN6565" s="2">
        <v>205544.037931553</v>
      </c>
      <c r="AO6565" s="2">
        <v>196362.385999669</v>
      </c>
      <c r="AP6565" s="2">
        <v>199963.013930602</v>
      </c>
    </row>
    <row r="6566" spans="1:42" ht="14.5" x14ac:dyDescent="0.35">
      <c r="A6566" s="2" t="s">
        <v>43538</v>
      </c>
      <c r="B6566" s="2">
        <v>483.165222864322</v>
      </c>
      <c r="C6566" s="2">
        <v>4.8801333333333297</v>
      </c>
      <c r="D6566" s="2" t="s">
        <v>70</v>
      </c>
      <c r="E6566" s="2" t="s">
        <v>43539</v>
      </c>
      <c r="F6566" s="2">
        <v>54776</v>
      </c>
      <c r="G6566" s="3" t="str">
        <f>HYPERLINK("http://funmeta.oebiotech.com/network/54776", "http://funmeta.oebiotech.com/network/54776")</f>
        <v>http://funmeta.oebiotech.com/network/54776</v>
      </c>
      <c r="H6566" s="2" t="s">
        <v>43540</v>
      </c>
      <c r="I6566" s="2">
        <v>86579</v>
      </c>
      <c r="J6566" s="2"/>
      <c r="K6566" s="2">
        <v>171677</v>
      </c>
      <c r="L6566" s="2"/>
      <c r="M6566" s="2"/>
      <c r="N6566" s="2"/>
      <c r="O6566" s="2">
        <v>101999902</v>
      </c>
      <c r="P6566" s="2" t="s">
        <v>43541</v>
      </c>
      <c r="Q6566" s="2" t="s">
        <v>43542</v>
      </c>
      <c r="R6566" s="2" t="s">
        <v>43543</v>
      </c>
      <c r="S6566" s="2" t="s">
        <v>115</v>
      </c>
      <c r="T6566" s="2" t="s">
        <v>1371</v>
      </c>
      <c r="U6566" s="2" t="s">
        <v>3261</v>
      </c>
      <c r="V6566" s="2" t="s">
        <v>59</v>
      </c>
      <c r="W6566" s="2">
        <v>36.1</v>
      </c>
      <c r="X6566" s="2">
        <v>0</v>
      </c>
      <c r="Y6566" s="2" t="s">
        <v>408</v>
      </c>
      <c r="Z6566" s="2" t="s">
        <v>43544</v>
      </c>
      <c r="AA6566" s="2">
        <v>-1.9015005587792</v>
      </c>
      <c r="AB6566" s="2">
        <v>2.3138909535753802E-2</v>
      </c>
      <c r="AC6566" s="2">
        <v>10078.387065594199</v>
      </c>
      <c r="AD6566" s="2">
        <v>9781.2734937243295</v>
      </c>
      <c r="AE6566" s="2">
        <v>8666.1340572402805</v>
      </c>
      <c r="AF6566" s="2">
        <v>10353.844720154801</v>
      </c>
      <c r="AG6566" s="2">
        <v>12557.713196716801</v>
      </c>
      <c r="AH6566" s="2">
        <v>9349.0757122689101</v>
      </c>
      <c r="AI6566" s="2">
        <v>8970.4815332707294</v>
      </c>
      <c r="AJ6566" s="2">
        <v>10573.073173913799</v>
      </c>
      <c r="AK6566" s="2">
        <v>8831.9673964167305</v>
      </c>
      <c r="AL6566" s="2">
        <v>9294.4129785769601</v>
      </c>
      <c r="AM6566" s="2">
        <v>11719.189141918199</v>
      </c>
      <c r="AN6566" s="2">
        <v>10108.586737235501</v>
      </c>
      <c r="AO6566" s="2">
        <v>7783.9625993265599</v>
      </c>
      <c r="AP6566" s="2">
        <v>10949.522108872001</v>
      </c>
    </row>
    <row r="6567" spans="1:42" ht="14.5" x14ac:dyDescent="0.35">
      <c r="A6567" s="2" t="s">
        <v>43545</v>
      </c>
      <c r="B6567" s="2">
        <v>348.129744021872</v>
      </c>
      <c r="C6567" s="2">
        <v>2.06823333333333</v>
      </c>
      <c r="D6567" s="2" t="s">
        <v>70</v>
      </c>
      <c r="E6567" s="2" t="s">
        <v>43546</v>
      </c>
      <c r="F6567" s="2">
        <v>198192</v>
      </c>
      <c r="G6567" s="3" t="str">
        <f>HYPERLINK("http://funmeta.oebiotech.com/network/198192", "http://funmeta.oebiotech.com/network/198192")</f>
        <v>http://funmeta.oebiotech.com/network/198192</v>
      </c>
      <c r="H6567" s="2" t="s">
        <v>43547</v>
      </c>
      <c r="I6567" s="2"/>
      <c r="J6567" s="2"/>
      <c r="K6567" s="2"/>
      <c r="L6567" s="2"/>
      <c r="M6567" s="2"/>
      <c r="N6567" s="2"/>
      <c r="O6567" s="2"/>
      <c r="P6567" s="2"/>
      <c r="Q6567" s="2" t="s">
        <v>43548</v>
      </c>
      <c r="R6567" s="2" t="s">
        <v>43549</v>
      </c>
      <c r="S6567" s="2" t="s">
        <v>41</v>
      </c>
      <c r="T6567" s="2" t="s">
        <v>41</v>
      </c>
      <c r="U6567" s="2" t="s">
        <v>41</v>
      </c>
      <c r="V6567" s="2" t="s">
        <v>59</v>
      </c>
      <c r="W6567" s="2">
        <v>38.6</v>
      </c>
      <c r="X6567" s="2">
        <v>0</v>
      </c>
      <c r="Y6567" s="2" t="s">
        <v>408</v>
      </c>
      <c r="Z6567" s="2" t="s">
        <v>43550</v>
      </c>
      <c r="AA6567" s="2">
        <v>-0.86056070664502504</v>
      </c>
      <c r="AB6567" s="2">
        <v>2.31248154177346E-2</v>
      </c>
      <c r="AC6567" s="2">
        <v>6695.3343351413296</v>
      </c>
      <c r="AD6567" s="2">
        <v>6505.58154373247</v>
      </c>
      <c r="AE6567" s="2">
        <v>5932.6819796642803</v>
      </c>
      <c r="AF6567" s="2">
        <v>6710.9475298802599</v>
      </c>
      <c r="AG6567" s="2">
        <v>7156.2513774789304</v>
      </c>
      <c r="AH6567" s="2">
        <v>7086.0243525496599</v>
      </c>
      <c r="AI6567" s="2">
        <v>5951.31208088732</v>
      </c>
      <c r="AJ6567" s="2">
        <v>7334.7886903875296</v>
      </c>
      <c r="AK6567" s="2">
        <v>5970.5697953960798</v>
      </c>
      <c r="AL6567" s="2">
        <v>6831.2229820033899</v>
      </c>
      <c r="AM6567" s="2">
        <v>5903.0539827842304</v>
      </c>
      <c r="AN6567" s="2">
        <v>7143.11418828759</v>
      </c>
      <c r="AO6567" s="2">
        <v>6916.6991401511405</v>
      </c>
      <c r="AP6567" s="2">
        <v>6268.8291737723903</v>
      </c>
    </row>
    <row r="6568" spans="1:42" ht="14.5" x14ac:dyDescent="0.35">
      <c r="A6568" s="2" t="s">
        <v>43551</v>
      </c>
      <c r="B6568" s="2">
        <v>361.00657385932402</v>
      </c>
      <c r="C6568" s="2">
        <v>1.20376666666667</v>
      </c>
      <c r="D6568" s="2" t="s">
        <v>70</v>
      </c>
      <c r="E6568" s="2" t="s">
        <v>43552</v>
      </c>
      <c r="F6568" s="2">
        <v>203709</v>
      </c>
      <c r="G6568" s="3" t="str">
        <f>HYPERLINK("http://funmeta.oebiotech.com/network/203709", "http://funmeta.oebiotech.com/network/203709")</f>
        <v>http://funmeta.oebiotech.com/network/203709</v>
      </c>
      <c r="H6568" s="2" t="s">
        <v>43553</v>
      </c>
      <c r="I6568" s="2"/>
      <c r="J6568" s="2"/>
      <c r="K6568" s="2"/>
      <c r="L6568" s="2"/>
      <c r="M6568" s="2"/>
      <c r="N6568" s="2"/>
      <c r="O6568" s="2"/>
      <c r="P6568" s="2"/>
      <c r="Q6568" s="2" t="s">
        <v>43554</v>
      </c>
      <c r="R6568" s="2" t="s">
        <v>43555</v>
      </c>
      <c r="S6568" s="2" t="s">
        <v>41</v>
      </c>
      <c r="T6568" s="2" t="s">
        <v>41</v>
      </c>
      <c r="U6568" s="2" t="s">
        <v>41</v>
      </c>
      <c r="V6568" s="2" t="s">
        <v>42</v>
      </c>
      <c r="W6568" s="2">
        <v>49</v>
      </c>
      <c r="X6568" s="2">
        <v>55.5</v>
      </c>
      <c r="Y6568" s="2" t="s">
        <v>118</v>
      </c>
      <c r="Z6568" s="2" t="s">
        <v>43556</v>
      </c>
      <c r="AA6568" s="2">
        <v>4.7233674045105802</v>
      </c>
      <c r="AB6568" s="2">
        <v>2.3090793798447602E-2</v>
      </c>
      <c r="AC6568" s="2">
        <v>32762.1891295561</v>
      </c>
      <c r="AD6568" s="2">
        <v>32232.901304792202</v>
      </c>
      <c r="AE6568" s="2">
        <v>33558.633712765703</v>
      </c>
      <c r="AF6568" s="2">
        <v>33765.227558521503</v>
      </c>
      <c r="AG6568" s="2">
        <v>33172.988836407501</v>
      </c>
      <c r="AH6568" s="2">
        <v>32234.258797506602</v>
      </c>
      <c r="AI6568" s="2">
        <v>31758.824444017398</v>
      </c>
      <c r="AJ6568" s="2">
        <v>32083.201428118002</v>
      </c>
      <c r="AK6568" s="2">
        <v>35770.191265297202</v>
      </c>
      <c r="AL6568" s="2">
        <v>32586.133550571802</v>
      </c>
      <c r="AM6568" s="2">
        <v>18998.851888091602</v>
      </c>
      <c r="AN6568" s="2">
        <v>34043.835469689402</v>
      </c>
      <c r="AO6568" s="2">
        <v>37525.3446772979</v>
      </c>
      <c r="AP6568" s="2">
        <v>34473.050977805098</v>
      </c>
    </row>
    <row r="6569" spans="1:42" ht="14.5" x14ac:dyDescent="0.35">
      <c r="A6569" s="2" t="s">
        <v>43557</v>
      </c>
      <c r="B6569" s="2">
        <v>300.10751045017503</v>
      </c>
      <c r="C6569" s="2">
        <v>1.06171666666667</v>
      </c>
      <c r="D6569" s="2" t="s">
        <v>34</v>
      </c>
      <c r="E6569" s="2" t="s">
        <v>43558</v>
      </c>
      <c r="F6569" s="2">
        <v>53757</v>
      </c>
      <c r="G6569" s="3" t="str">
        <f>HYPERLINK("http://funmeta.oebiotech.com/network/53757", "http://funmeta.oebiotech.com/network/53757")</f>
        <v>http://funmeta.oebiotech.com/network/53757</v>
      </c>
      <c r="H6569" s="2" t="s">
        <v>43559</v>
      </c>
      <c r="I6569" s="2">
        <v>85633</v>
      </c>
      <c r="J6569" s="2"/>
      <c r="K6569" s="2">
        <v>73819</v>
      </c>
      <c r="L6569" s="2"/>
      <c r="M6569" s="2"/>
      <c r="N6569" s="2"/>
      <c r="O6569" s="2">
        <v>7021454</v>
      </c>
      <c r="P6569" s="2" t="s">
        <v>43560</v>
      </c>
      <c r="Q6569" s="2" t="s">
        <v>43561</v>
      </c>
      <c r="R6569" s="2" t="s">
        <v>43562</v>
      </c>
      <c r="S6569" s="2" t="s">
        <v>89</v>
      </c>
      <c r="T6569" s="2" t="s">
        <v>90</v>
      </c>
      <c r="U6569" s="2" t="s">
        <v>99</v>
      </c>
      <c r="V6569" s="2" t="s">
        <v>59</v>
      </c>
      <c r="W6569" s="2">
        <v>38.799999999999997</v>
      </c>
      <c r="X6569" s="2">
        <v>0</v>
      </c>
      <c r="Y6569" s="2" t="s">
        <v>340</v>
      </c>
      <c r="Z6569" s="2" t="s">
        <v>43563</v>
      </c>
      <c r="AA6569" s="2">
        <v>2.4823826664618598</v>
      </c>
      <c r="AB6569" s="2">
        <v>2.30092559519573E-2</v>
      </c>
      <c r="AC6569" s="2">
        <v>15699.0507934423</v>
      </c>
      <c r="AD6569" s="2">
        <v>15965.441949342799</v>
      </c>
      <c r="AE6569" s="2">
        <v>17368.987302107202</v>
      </c>
      <c r="AF6569" s="2">
        <v>14378.567811409201</v>
      </c>
      <c r="AG6569" s="2">
        <v>14717.382420022501</v>
      </c>
      <c r="AH6569" s="2">
        <v>14836.4090491891</v>
      </c>
      <c r="AI6569" s="2">
        <v>16278.930326936201</v>
      </c>
      <c r="AJ6569" s="2">
        <v>16614.0278509897</v>
      </c>
      <c r="AK6569" s="2">
        <v>17476.938569374699</v>
      </c>
      <c r="AL6569" s="2">
        <v>14804.231225710701</v>
      </c>
      <c r="AM6569" s="2">
        <v>16739.723187261301</v>
      </c>
      <c r="AN6569" s="2">
        <v>15144.863787349999</v>
      </c>
      <c r="AO6569" s="2">
        <v>16597.0112248804</v>
      </c>
      <c r="AP6569" s="2">
        <v>15029.883701479799</v>
      </c>
    </row>
    <row r="6570" spans="1:42" ht="14.5" x14ac:dyDescent="0.35">
      <c r="A6570" s="2" t="s">
        <v>43564</v>
      </c>
      <c r="B6570" s="2">
        <v>697.37957701750497</v>
      </c>
      <c r="C6570" s="2">
        <v>6.4058333333333302</v>
      </c>
      <c r="D6570" s="2" t="s">
        <v>70</v>
      </c>
      <c r="E6570" s="2" t="s">
        <v>43565</v>
      </c>
      <c r="F6570" s="2">
        <v>293965</v>
      </c>
      <c r="G6570" s="3" t="str">
        <f>HYPERLINK("http://funmeta.oebiotech.com/network/293965", "http://funmeta.oebiotech.com/network/293965")</f>
        <v>http://funmeta.oebiotech.com/network/293965</v>
      </c>
      <c r="H6570" s="2"/>
      <c r="I6570" s="2">
        <v>317936</v>
      </c>
      <c r="J6570" s="2"/>
      <c r="K6570" s="2"/>
      <c r="L6570" s="2"/>
      <c r="M6570" s="2"/>
      <c r="N6570" s="2"/>
      <c r="O6570" s="2">
        <v>418258</v>
      </c>
      <c r="P6570" s="2"/>
      <c r="Q6570" s="2" t="s">
        <v>43566</v>
      </c>
      <c r="R6570" s="2" t="s">
        <v>43567</v>
      </c>
      <c r="S6570" s="2" t="s">
        <v>39</v>
      </c>
      <c r="T6570" s="2" t="s">
        <v>36614</v>
      </c>
      <c r="U6570" s="2" t="s">
        <v>41</v>
      </c>
      <c r="V6570" s="2" t="s">
        <v>59</v>
      </c>
      <c r="W6570" s="2">
        <v>37.799999999999997</v>
      </c>
      <c r="X6570" s="2">
        <v>0</v>
      </c>
      <c r="Y6570" s="2" t="s">
        <v>560</v>
      </c>
      <c r="Z6570" s="2" t="s">
        <v>43568</v>
      </c>
      <c r="AA6570" s="2">
        <v>5.2225605266257498</v>
      </c>
      <c r="AB6570" s="2">
        <v>2.2987139296385101E-2</v>
      </c>
      <c r="AC6570" s="2">
        <v>2947.08031373419</v>
      </c>
      <c r="AD6570" s="2">
        <v>2728.0225084098602</v>
      </c>
      <c r="AE6570" s="2">
        <v>2803.5650612665299</v>
      </c>
      <c r="AF6570" s="2">
        <v>3842.2718708948901</v>
      </c>
      <c r="AG6570" s="2">
        <v>2343.3099817939601</v>
      </c>
      <c r="AH6570" s="2">
        <v>2890.48112332235</v>
      </c>
      <c r="AI6570" s="2">
        <v>3051.33294630917</v>
      </c>
      <c r="AJ6570" s="2">
        <v>2751.5208988182599</v>
      </c>
      <c r="AK6570" s="2">
        <v>1744.03998674779</v>
      </c>
      <c r="AL6570" s="2">
        <v>2252.44545472654</v>
      </c>
      <c r="AM6570" s="2">
        <v>3976.1189277101898</v>
      </c>
      <c r="AN6570" s="2">
        <v>1856.3978363705201</v>
      </c>
      <c r="AO6570" s="2">
        <v>3053.9423047591199</v>
      </c>
      <c r="AP6570" s="2">
        <v>3485.1905401450199</v>
      </c>
    </row>
    <row r="6571" spans="1:42" ht="14.5" x14ac:dyDescent="0.35">
      <c r="A6571" s="2" t="s">
        <v>43569</v>
      </c>
      <c r="B6571" s="2">
        <v>507.11422356510599</v>
      </c>
      <c r="C6571" s="2">
        <v>5.1341999999999999</v>
      </c>
      <c r="D6571" s="2" t="s">
        <v>70</v>
      </c>
      <c r="E6571" s="2" t="s">
        <v>43570</v>
      </c>
      <c r="F6571" s="2">
        <v>269405</v>
      </c>
      <c r="G6571" s="3" t="str">
        <f>HYPERLINK("http://funmeta.oebiotech.com/network/269405", "http://funmeta.oebiotech.com/network/269405")</f>
        <v>http://funmeta.oebiotech.com/network/269405</v>
      </c>
      <c r="H6571" s="2"/>
      <c r="I6571" s="2">
        <v>50904</v>
      </c>
      <c r="J6571" s="2"/>
      <c r="K6571" s="2"/>
      <c r="L6571" s="2"/>
      <c r="M6571" s="2"/>
      <c r="N6571" s="2"/>
      <c r="O6571" s="2">
        <v>44259492</v>
      </c>
      <c r="P6571" s="2"/>
      <c r="Q6571" s="2" t="s">
        <v>43571</v>
      </c>
      <c r="R6571" s="2" t="s">
        <v>43572</v>
      </c>
      <c r="S6571" s="2" t="s">
        <v>115</v>
      </c>
      <c r="T6571" s="2" t="s">
        <v>139</v>
      </c>
      <c r="U6571" s="2" t="s">
        <v>140</v>
      </c>
      <c r="V6571" s="2" t="s">
        <v>59</v>
      </c>
      <c r="W6571" s="2">
        <v>38</v>
      </c>
      <c r="X6571" s="2">
        <v>0</v>
      </c>
      <c r="Y6571" s="2" t="s">
        <v>118</v>
      </c>
      <c r="Z6571" s="2" t="s">
        <v>8222</v>
      </c>
      <c r="AA6571" s="2">
        <v>-0.37555345022453102</v>
      </c>
      <c r="AB6571" s="2">
        <v>2.2900311649242399E-2</v>
      </c>
      <c r="AC6571" s="2">
        <v>2736.4506371688099</v>
      </c>
      <c r="AD6571" s="2">
        <v>2540.6644819071798</v>
      </c>
      <c r="AE6571" s="2">
        <v>3014.1225507030799</v>
      </c>
      <c r="AF6571" s="2">
        <v>2896.4069356182799</v>
      </c>
      <c r="AG6571" s="2">
        <v>2124.0260707870102</v>
      </c>
      <c r="AH6571" s="2">
        <v>3259.0768822887198</v>
      </c>
      <c r="AI6571" s="2">
        <v>3298.9081238459398</v>
      </c>
      <c r="AJ6571" s="2">
        <v>1826.1632597698599</v>
      </c>
      <c r="AK6571" s="2">
        <v>2612.6288827107501</v>
      </c>
      <c r="AL6571" s="2">
        <v>1636.52437146546</v>
      </c>
      <c r="AM6571" s="2">
        <v>2871.3200629519702</v>
      </c>
      <c r="AN6571" s="2">
        <v>3027.4551730538401</v>
      </c>
      <c r="AO6571" s="2">
        <v>2517.1147528647198</v>
      </c>
      <c r="AP6571" s="2">
        <v>2578.94364839632</v>
      </c>
    </row>
    <row r="6572" spans="1:42" ht="14.5" x14ac:dyDescent="0.35">
      <c r="A6572" s="2" t="s">
        <v>43573</v>
      </c>
      <c r="B6572" s="2">
        <v>499.14345635401997</v>
      </c>
      <c r="C6572" s="2">
        <v>3.53996666666667</v>
      </c>
      <c r="D6572" s="2" t="s">
        <v>70</v>
      </c>
      <c r="E6572" s="2" t="s">
        <v>43574</v>
      </c>
      <c r="F6572" s="2">
        <v>198979</v>
      </c>
      <c r="G6572" s="3" t="str">
        <f>HYPERLINK("http://funmeta.oebiotech.com/network/198979", "http://funmeta.oebiotech.com/network/198979")</f>
        <v>http://funmeta.oebiotech.com/network/198979</v>
      </c>
      <c r="H6572" s="2" t="s">
        <v>43575</v>
      </c>
      <c r="I6572" s="2"/>
      <c r="J6572" s="2"/>
      <c r="K6572" s="2"/>
      <c r="L6572" s="2"/>
      <c r="M6572" s="2"/>
      <c r="N6572" s="2"/>
      <c r="O6572" s="2">
        <v>115090</v>
      </c>
      <c r="P6572" s="2"/>
      <c r="Q6572" s="2" t="s">
        <v>43576</v>
      </c>
      <c r="R6572" s="2" t="s">
        <v>43577</v>
      </c>
      <c r="S6572" s="2" t="s">
        <v>41</v>
      </c>
      <c r="T6572" s="2" t="s">
        <v>41</v>
      </c>
      <c r="U6572" s="2" t="s">
        <v>41</v>
      </c>
      <c r="V6572" s="2" t="s">
        <v>59</v>
      </c>
      <c r="W6572" s="2">
        <v>39.1</v>
      </c>
      <c r="X6572" s="2">
        <v>0</v>
      </c>
      <c r="Y6572" s="2" t="s">
        <v>560</v>
      </c>
      <c r="Z6572" s="2" t="s">
        <v>43578</v>
      </c>
      <c r="AA6572" s="2">
        <v>-1.61872799905152E-2</v>
      </c>
      <c r="AB6572" s="2">
        <v>2.2895311603982001E-2</v>
      </c>
      <c r="AC6572" s="2">
        <v>10247.6130263838</v>
      </c>
      <c r="AD6572" s="2">
        <v>10494.6260268348</v>
      </c>
      <c r="AE6572" s="2">
        <v>9768.5431609738407</v>
      </c>
      <c r="AF6572" s="2">
        <v>11496.433337377501</v>
      </c>
      <c r="AG6572" s="2">
        <v>9817.8285321234398</v>
      </c>
      <c r="AH6572" s="2">
        <v>9407.7780970370004</v>
      </c>
      <c r="AI6572" s="2">
        <v>10323.607781622701</v>
      </c>
      <c r="AJ6572" s="2">
        <v>10671.4872491683</v>
      </c>
      <c r="AK6572" s="2">
        <v>9840.1414445871796</v>
      </c>
      <c r="AL6572" s="2">
        <v>11450.095214183701</v>
      </c>
      <c r="AM6572" s="2">
        <v>11670.609979709299</v>
      </c>
      <c r="AN6572" s="2">
        <v>10882.516639018801</v>
      </c>
      <c r="AO6572" s="2">
        <v>8658.9404165527703</v>
      </c>
      <c r="AP6572" s="2">
        <v>10465.4524669573</v>
      </c>
    </row>
    <row r="6573" spans="1:42" ht="14.5" x14ac:dyDescent="0.35">
      <c r="A6573" s="2" t="s">
        <v>43579</v>
      </c>
      <c r="B6573" s="2">
        <v>564.98737815528204</v>
      </c>
      <c r="C6573" s="2">
        <v>1.52295</v>
      </c>
      <c r="D6573" s="2" t="s">
        <v>70</v>
      </c>
      <c r="E6573" s="2" t="s">
        <v>43580</v>
      </c>
      <c r="F6573" s="2">
        <v>202044</v>
      </c>
      <c r="G6573" s="3" t="str">
        <f>HYPERLINK("http://funmeta.oebiotech.com/network/202044", "http://funmeta.oebiotech.com/network/202044")</f>
        <v>http://funmeta.oebiotech.com/network/202044</v>
      </c>
      <c r="H6573" s="2" t="s">
        <v>43581</v>
      </c>
      <c r="I6573" s="2">
        <v>406400</v>
      </c>
      <c r="J6573" s="2"/>
      <c r="K6573" s="2"/>
      <c r="L6573" s="2"/>
      <c r="M6573" s="2"/>
      <c r="N6573" s="2"/>
      <c r="O6573" s="2">
        <v>163949</v>
      </c>
      <c r="P6573" s="2"/>
      <c r="Q6573" s="2" t="s">
        <v>43582</v>
      </c>
      <c r="R6573" s="2" t="s">
        <v>43583</v>
      </c>
      <c r="S6573" s="2" t="s">
        <v>41</v>
      </c>
      <c r="T6573" s="2" t="s">
        <v>41</v>
      </c>
      <c r="U6573" s="2" t="s">
        <v>41</v>
      </c>
      <c r="V6573" s="2" t="s">
        <v>59</v>
      </c>
      <c r="W6573" s="2">
        <v>37.4</v>
      </c>
      <c r="X6573" s="2">
        <v>0</v>
      </c>
      <c r="Y6573" s="2" t="s">
        <v>560</v>
      </c>
      <c r="Z6573" s="2" t="s">
        <v>43584</v>
      </c>
      <c r="AA6573" s="2">
        <v>9.7251709414611295E-2</v>
      </c>
      <c r="AB6573" s="2">
        <v>2.2851665377735898E-2</v>
      </c>
      <c r="AC6573" s="2">
        <v>1299.50019024218</v>
      </c>
      <c r="AD6573" s="2">
        <v>1171.7369126205699</v>
      </c>
      <c r="AE6573" s="2">
        <v>1344.2495729167899</v>
      </c>
      <c r="AF6573" s="2">
        <v>1639.94007708967</v>
      </c>
      <c r="AG6573" s="2">
        <v>1187.9590972057099</v>
      </c>
      <c r="AH6573" s="2">
        <v>1414.6785067790399</v>
      </c>
      <c r="AI6573" s="2">
        <v>1137.5363483057299</v>
      </c>
      <c r="AJ6573" s="2">
        <v>1072.6375391561201</v>
      </c>
      <c r="AK6573" s="2">
        <v>999.66150231801703</v>
      </c>
      <c r="AL6573" s="2">
        <v>698.07295991371404</v>
      </c>
      <c r="AM6573" s="2">
        <v>1154.82341713699</v>
      </c>
      <c r="AN6573" s="2">
        <v>1370.3380326981501</v>
      </c>
      <c r="AO6573" s="2">
        <v>1438.01227398779</v>
      </c>
      <c r="AP6573" s="2">
        <v>1369.5132896687601</v>
      </c>
    </row>
    <row r="6574" spans="1:42" ht="14.5" x14ac:dyDescent="0.35">
      <c r="A6574" s="2" t="s">
        <v>43585</v>
      </c>
      <c r="B6574" s="2">
        <v>248.164335320161</v>
      </c>
      <c r="C6574" s="2">
        <v>5.2829833333333296</v>
      </c>
      <c r="D6574" s="2" t="s">
        <v>34</v>
      </c>
      <c r="E6574" s="2" t="s">
        <v>43586</v>
      </c>
      <c r="F6574" s="2">
        <v>53569</v>
      </c>
      <c r="G6574" s="3" t="str">
        <f>HYPERLINK("http://funmeta.oebiotech.com/network/53569", "http://funmeta.oebiotech.com/network/53569")</f>
        <v>http://funmeta.oebiotech.com/network/53569</v>
      </c>
      <c r="H6574" s="2" t="s">
        <v>43587</v>
      </c>
      <c r="I6574" s="2">
        <v>1681</v>
      </c>
      <c r="J6574" s="2"/>
      <c r="K6574" s="2">
        <v>113756</v>
      </c>
      <c r="L6574" s="2" t="s">
        <v>43588</v>
      </c>
      <c r="M6574" s="2"/>
      <c r="N6574" s="2"/>
      <c r="O6574" s="2">
        <v>4631</v>
      </c>
      <c r="P6574" s="2" t="s">
        <v>43589</v>
      </c>
      <c r="Q6574" s="2" t="s">
        <v>43590</v>
      </c>
      <c r="R6574" s="2" t="s">
        <v>43591</v>
      </c>
      <c r="S6574" s="2" t="s">
        <v>148</v>
      </c>
      <c r="T6574" s="2" t="s">
        <v>3772</v>
      </c>
      <c r="U6574" s="2" t="s">
        <v>41</v>
      </c>
      <c r="V6574" s="2" t="s">
        <v>59</v>
      </c>
      <c r="W6574" s="2">
        <v>38.1</v>
      </c>
      <c r="X6574" s="2">
        <v>0</v>
      </c>
      <c r="Y6574" s="2" t="s">
        <v>141</v>
      </c>
      <c r="Z6574" s="2" t="s">
        <v>43592</v>
      </c>
      <c r="AA6574" s="2">
        <v>-0.64122013887940199</v>
      </c>
      <c r="AB6574" s="2">
        <v>2.28397888040981E-2</v>
      </c>
      <c r="AC6574" s="2">
        <v>2450.5303926257002</v>
      </c>
      <c r="AD6574" s="2">
        <v>2270.3846384440399</v>
      </c>
      <c r="AE6574" s="2">
        <v>2328.2795678493599</v>
      </c>
      <c r="AF6574" s="2">
        <v>2048.1867053757501</v>
      </c>
      <c r="AG6574" s="2">
        <v>2566.9623972865602</v>
      </c>
      <c r="AH6574" s="2">
        <v>3290.2485788418198</v>
      </c>
      <c r="AI6574" s="2">
        <v>2353.2011300967602</v>
      </c>
      <c r="AJ6574" s="2">
        <v>2116.3039763039301</v>
      </c>
      <c r="AK6574" s="2">
        <v>2210.6090695360099</v>
      </c>
      <c r="AL6574" s="2">
        <v>3090.5338748714598</v>
      </c>
      <c r="AM6574" s="2">
        <v>2678.4684116809699</v>
      </c>
      <c r="AN6574" s="2">
        <v>1766.88411737046</v>
      </c>
      <c r="AO6574" s="2">
        <v>2367.24658433881</v>
      </c>
      <c r="AP6574" s="2">
        <v>1508.5657728665601</v>
      </c>
    </row>
    <row r="6575" spans="1:42" ht="14.5" x14ac:dyDescent="0.35">
      <c r="A6575" s="2" t="s">
        <v>43593</v>
      </c>
      <c r="B6575" s="2">
        <v>515.17672331556105</v>
      </c>
      <c r="C6575" s="2">
        <v>5.2831999999999999</v>
      </c>
      <c r="D6575" s="2" t="s">
        <v>70</v>
      </c>
      <c r="E6575" s="2" t="s">
        <v>43594</v>
      </c>
      <c r="F6575" s="2">
        <v>63061</v>
      </c>
      <c r="G6575" s="3" t="str">
        <f>HYPERLINK("http://funmeta.oebiotech.com/network/63061", "http://funmeta.oebiotech.com/network/63061")</f>
        <v>http://funmeta.oebiotech.com/network/63061</v>
      </c>
      <c r="H6575" s="2" t="s">
        <v>43595</v>
      </c>
      <c r="I6575" s="2"/>
      <c r="J6575" s="2"/>
      <c r="K6575" s="2"/>
      <c r="L6575" s="2"/>
      <c r="M6575" s="2"/>
      <c r="N6575" s="2"/>
      <c r="O6575" s="2">
        <v>85315209</v>
      </c>
      <c r="P6575" s="2"/>
      <c r="Q6575" s="2" t="s">
        <v>43596</v>
      </c>
      <c r="R6575" s="2" t="s">
        <v>43597</v>
      </c>
      <c r="S6575" s="2" t="s">
        <v>79</v>
      </c>
      <c r="T6575" s="2" t="s">
        <v>80</v>
      </c>
      <c r="U6575" s="2" t="s">
        <v>81</v>
      </c>
      <c r="V6575" s="2" t="s">
        <v>59</v>
      </c>
      <c r="W6575" s="2">
        <v>43</v>
      </c>
      <c r="X6575" s="2">
        <v>25.9</v>
      </c>
      <c r="Y6575" s="2" t="s">
        <v>118</v>
      </c>
      <c r="Z6575" s="2" t="s">
        <v>43598</v>
      </c>
      <c r="AA6575" s="2">
        <v>-0.56439718084394896</v>
      </c>
      <c r="AB6575" s="2">
        <v>2.2747393392933801E-2</v>
      </c>
      <c r="AC6575" s="2">
        <v>13105.723217158</v>
      </c>
      <c r="AD6575" s="2">
        <v>13342.830805453999</v>
      </c>
      <c r="AE6575" s="2">
        <v>13276.3943095379</v>
      </c>
      <c r="AF6575" s="2">
        <v>12663.7730902969</v>
      </c>
      <c r="AG6575" s="2">
        <v>12559.0575856101</v>
      </c>
      <c r="AH6575" s="2">
        <v>13082.375076893901</v>
      </c>
      <c r="AI6575" s="2">
        <v>13683.1859351165</v>
      </c>
      <c r="AJ6575" s="2">
        <v>13369.5533054926</v>
      </c>
      <c r="AK6575" s="2">
        <v>13816.908701418</v>
      </c>
      <c r="AL6575" s="2">
        <v>12578.2757252341</v>
      </c>
      <c r="AM6575" s="2">
        <v>14969.9951539624</v>
      </c>
      <c r="AN6575" s="2">
        <v>12112.9700383053</v>
      </c>
      <c r="AO6575" s="2">
        <v>12114.4302188907</v>
      </c>
      <c r="AP6575" s="2">
        <v>14464.4049949132</v>
      </c>
    </row>
    <row r="6576" spans="1:42" ht="14.5" x14ac:dyDescent="0.35">
      <c r="A6576" s="2" t="s">
        <v>43599</v>
      </c>
      <c r="B6576" s="2">
        <v>154.086131330732</v>
      </c>
      <c r="C6576" s="2">
        <v>5.0258500000000002</v>
      </c>
      <c r="D6576" s="2" t="s">
        <v>34</v>
      </c>
      <c r="E6576" s="2" t="s">
        <v>43600</v>
      </c>
      <c r="F6576" s="2">
        <v>46930</v>
      </c>
      <c r="G6576" s="3" t="str">
        <f>HYPERLINK("http://funmeta.oebiotech.com/network/46930", "http://funmeta.oebiotech.com/network/46930")</f>
        <v>http://funmeta.oebiotech.com/network/46930</v>
      </c>
      <c r="H6576" s="2" t="s">
        <v>43601</v>
      </c>
      <c r="I6576" s="2">
        <v>129</v>
      </c>
      <c r="J6576" s="2"/>
      <c r="K6576" s="2">
        <v>30745</v>
      </c>
      <c r="L6576" s="2" t="s">
        <v>43602</v>
      </c>
      <c r="M6576" s="2" t="s">
        <v>10308</v>
      </c>
      <c r="N6576" s="2" t="s">
        <v>10309</v>
      </c>
      <c r="O6576" s="2">
        <v>999</v>
      </c>
      <c r="P6576" s="2" t="s">
        <v>43603</v>
      </c>
      <c r="Q6576" s="2" t="s">
        <v>43604</v>
      </c>
      <c r="R6576" s="2" t="s">
        <v>43605</v>
      </c>
      <c r="S6576" s="2" t="s">
        <v>148</v>
      </c>
      <c r="T6576" s="2" t="s">
        <v>149</v>
      </c>
      <c r="U6576" s="2" t="s">
        <v>41</v>
      </c>
      <c r="V6576" s="2" t="s">
        <v>59</v>
      </c>
      <c r="W6576" s="2">
        <v>39.5</v>
      </c>
      <c r="X6576" s="2">
        <v>0</v>
      </c>
      <c r="Y6576" s="2" t="s">
        <v>43</v>
      </c>
      <c r="Z6576" s="2" t="s">
        <v>8258</v>
      </c>
      <c r="AA6576" s="2">
        <v>-0.90917117848712703</v>
      </c>
      <c r="AB6576" s="2">
        <v>2.2719850939731299E-2</v>
      </c>
      <c r="AC6576" s="2">
        <v>7306.3040465981103</v>
      </c>
      <c r="AD6576" s="2">
        <v>7139.8368634181397</v>
      </c>
      <c r="AE6576" s="2">
        <v>7181.1125720546597</v>
      </c>
      <c r="AF6576" s="2">
        <v>7785.1977707421202</v>
      </c>
      <c r="AG6576" s="2">
        <v>7185.0835036839298</v>
      </c>
      <c r="AH6576" s="2">
        <v>7218.31407983796</v>
      </c>
      <c r="AI6576" s="2">
        <v>7217.6026819298504</v>
      </c>
      <c r="AJ6576" s="2">
        <v>7250.5136713401198</v>
      </c>
      <c r="AK6576" s="2">
        <v>6943.1286028745099</v>
      </c>
      <c r="AL6576" s="2">
        <v>6673.4140942596596</v>
      </c>
      <c r="AM6576" s="2">
        <v>7485.7864374672799</v>
      </c>
      <c r="AN6576" s="2">
        <v>7424.9895735796699</v>
      </c>
      <c r="AO6576" s="2">
        <v>6391.3532500293004</v>
      </c>
      <c r="AP6576" s="2">
        <v>7920.3492222984196</v>
      </c>
    </row>
    <row r="6577" spans="1:42" ht="14.5" x14ac:dyDescent="0.35">
      <c r="A6577" s="2" t="s">
        <v>43606</v>
      </c>
      <c r="B6577" s="2">
        <v>777.31217419002803</v>
      </c>
      <c r="C6577" s="2">
        <v>0.62090000000000001</v>
      </c>
      <c r="D6577" s="2" t="s">
        <v>70</v>
      </c>
      <c r="E6577" s="2" t="s">
        <v>43607</v>
      </c>
      <c r="F6577" s="2">
        <v>204054</v>
      </c>
      <c r="G6577" s="3" t="str">
        <f>HYPERLINK("http://funmeta.oebiotech.com/network/204054", "http://funmeta.oebiotech.com/network/204054")</f>
        <v>http://funmeta.oebiotech.com/network/204054</v>
      </c>
      <c r="H6577" s="2" t="s">
        <v>43608</v>
      </c>
      <c r="I6577" s="2"/>
      <c r="J6577" s="2"/>
      <c r="K6577" s="2"/>
      <c r="L6577" s="2"/>
      <c r="M6577" s="2"/>
      <c r="N6577" s="2"/>
      <c r="O6577" s="2"/>
      <c r="P6577" s="2"/>
      <c r="Q6577" s="2" t="s">
        <v>43609</v>
      </c>
      <c r="R6577" s="2" t="s">
        <v>43610</v>
      </c>
      <c r="S6577" s="2" t="s">
        <v>41</v>
      </c>
      <c r="T6577" s="2" t="s">
        <v>41</v>
      </c>
      <c r="U6577" s="2" t="s">
        <v>41</v>
      </c>
      <c r="V6577" s="2" t="s">
        <v>59</v>
      </c>
      <c r="W6577" s="2">
        <v>37.799999999999997</v>
      </c>
      <c r="X6577" s="2">
        <v>0</v>
      </c>
      <c r="Y6577" s="2" t="s">
        <v>408</v>
      </c>
      <c r="Z6577" s="2" t="s">
        <v>43611</v>
      </c>
      <c r="AA6577" s="2">
        <v>-2.6533176378358898</v>
      </c>
      <c r="AB6577" s="2">
        <v>2.2699223478692999E-2</v>
      </c>
      <c r="AC6577" s="2">
        <v>11270.829686693</v>
      </c>
      <c r="AD6577" s="2">
        <v>11721.175285528099</v>
      </c>
      <c r="AE6577" s="2">
        <v>12107.828922758499</v>
      </c>
      <c r="AF6577" s="2">
        <v>12043.3307362094</v>
      </c>
      <c r="AG6577" s="2">
        <v>15100.514859442401</v>
      </c>
      <c r="AH6577" s="2">
        <v>6183.4800978558796</v>
      </c>
      <c r="AI6577" s="2">
        <v>9609.8855421705903</v>
      </c>
      <c r="AJ6577" s="2">
        <v>12579.9379617211</v>
      </c>
      <c r="AK6577" s="2">
        <v>15930.2557915793</v>
      </c>
      <c r="AL6577" s="2">
        <v>6391.4102596993098</v>
      </c>
      <c r="AM6577" s="2">
        <v>13368.5204539438</v>
      </c>
      <c r="AN6577" s="2">
        <v>12226.419808548801</v>
      </c>
      <c r="AO6577" s="2">
        <v>10343.745286564599</v>
      </c>
      <c r="AP6577" s="2">
        <v>12066.700112832999</v>
      </c>
    </row>
    <row r="6578" spans="1:42" ht="14.5" x14ac:dyDescent="0.35">
      <c r="A6578" s="2" t="s">
        <v>43612</v>
      </c>
      <c r="B6578" s="2">
        <v>209.01285993250099</v>
      </c>
      <c r="C6578" s="2">
        <v>10.641500000000001</v>
      </c>
      <c r="D6578" s="2" t="s">
        <v>34</v>
      </c>
      <c r="E6578" s="2" t="s">
        <v>43613</v>
      </c>
      <c r="F6578" s="2">
        <v>52885</v>
      </c>
      <c r="G6578" s="3" t="str">
        <f>HYPERLINK("http://funmeta.oebiotech.com/network/52885", "http://funmeta.oebiotech.com/network/52885")</f>
        <v>http://funmeta.oebiotech.com/network/52885</v>
      </c>
      <c r="H6578" s="2" t="s">
        <v>43614</v>
      </c>
      <c r="I6578" s="2">
        <v>2177</v>
      </c>
      <c r="J6578" s="2"/>
      <c r="K6578" s="2">
        <v>8502</v>
      </c>
      <c r="L6578" s="2" t="s">
        <v>43615</v>
      </c>
      <c r="M6578" s="2"/>
      <c r="N6578" s="2"/>
      <c r="O6578" s="2">
        <v>657298</v>
      </c>
      <c r="P6578" s="2" t="s">
        <v>43616</v>
      </c>
      <c r="Q6578" s="2" t="s">
        <v>43617</v>
      </c>
      <c r="R6578" s="2" t="s">
        <v>43618</v>
      </c>
      <c r="S6578" s="2" t="s">
        <v>491</v>
      </c>
      <c r="T6578" s="2" t="s">
        <v>4517</v>
      </c>
      <c r="U6578" s="2" t="s">
        <v>4518</v>
      </c>
      <c r="V6578" s="2" t="s">
        <v>59</v>
      </c>
      <c r="W6578" s="2">
        <v>36</v>
      </c>
      <c r="X6578" s="2">
        <v>0</v>
      </c>
      <c r="Y6578" s="2" t="s">
        <v>340</v>
      </c>
      <c r="Z6578" s="2" t="s">
        <v>43619</v>
      </c>
      <c r="AA6578" s="2">
        <v>-9.8917004972749503</v>
      </c>
      <c r="AB6578" s="2">
        <v>2.2603502369119E-2</v>
      </c>
      <c r="AC6578" s="2">
        <v>6292.3537889894797</v>
      </c>
      <c r="AD6578" s="2">
        <v>6506.6111216632598</v>
      </c>
      <c r="AE6578" s="2">
        <v>6340.7644401947</v>
      </c>
      <c r="AF6578" s="2">
        <v>6851.6359108523602</v>
      </c>
      <c r="AG6578" s="2">
        <v>6414.7545168388297</v>
      </c>
      <c r="AH6578" s="2">
        <v>6185.9157829043297</v>
      </c>
      <c r="AI6578" s="2">
        <v>5732.8566335205796</v>
      </c>
      <c r="AJ6578" s="2">
        <v>6228.1954496260696</v>
      </c>
      <c r="AK6578" s="2">
        <v>6590.9916274945199</v>
      </c>
      <c r="AL6578" s="2">
        <v>6376.82736915025</v>
      </c>
      <c r="AM6578" s="2">
        <v>5068.3737954786802</v>
      </c>
      <c r="AN6578" s="2">
        <v>6219.0112661010298</v>
      </c>
      <c r="AO6578" s="2">
        <v>7872.4844273304798</v>
      </c>
      <c r="AP6578" s="2">
        <v>6911.9782444245802</v>
      </c>
    </row>
    <row r="6579" spans="1:42" ht="14.5" x14ac:dyDescent="0.35">
      <c r="A6579" s="2" t="s">
        <v>43620</v>
      </c>
      <c r="B6579" s="2">
        <v>274.097721798382</v>
      </c>
      <c r="C6579" s="2">
        <v>1.51528333333333</v>
      </c>
      <c r="D6579" s="2" t="s">
        <v>34</v>
      </c>
      <c r="E6579" s="2" t="s">
        <v>43621</v>
      </c>
      <c r="F6579" s="2">
        <v>202637</v>
      </c>
      <c r="G6579" s="3" t="str">
        <f>HYPERLINK("http://funmeta.oebiotech.com/network/202637", "http://funmeta.oebiotech.com/network/202637")</f>
        <v>http://funmeta.oebiotech.com/network/202637</v>
      </c>
      <c r="H6579" s="2" t="s">
        <v>43622</v>
      </c>
      <c r="I6579" s="2"/>
      <c r="J6579" s="2"/>
      <c r="K6579" s="2"/>
      <c r="L6579" s="2"/>
      <c r="M6579" s="2"/>
      <c r="N6579" s="2"/>
      <c r="O6579" s="2">
        <v>4491</v>
      </c>
      <c r="P6579" s="2"/>
      <c r="Q6579" s="2" t="s">
        <v>43623</v>
      </c>
      <c r="R6579" s="2" t="s">
        <v>43624</v>
      </c>
      <c r="S6579" s="2" t="s">
        <v>41</v>
      </c>
      <c r="T6579" s="2" t="s">
        <v>41</v>
      </c>
      <c r="U6579" s="2" t="s">
        <v>41</v>
      </c>
      <c r="V6579" s="2" t="s">
        <v>59</v>
      </c>
      <c r="W6579" s="2">
        <v>36.6</v>
      </c>
      <c r="X6579" s="2">
        <v>0</v>
      </c>
      <c r="Y6579" s="2" t="s">
        <v>141</v>
      </c>
      <c r="Z6579" s="2" t="s">
        <v>43625</v>
      </c>
      <c r="AA6579" s="2">
        <v>0.80170844798669305</v>
      </c>
      <c r="AB6579" s="2">
        <v>2.2568499062122702E-2</v>
      </c>
      <c r="AC6579" s="2">
        <v>2267.7713890130499</v>
      </c>
      <c r="AD6579" s="2">
        <v>2386.4789975521799</v>
      </c>
      <c r="AE6579" s="2">
        <v>2339.3830383726399</v>
      </c>
      <c r="AF6579" s="2">
        <v>1941.1645353839299</v>
      </c>
      <c r="AG6579" s="2">
        <v>2253.4338927611002</v>
      </c>
      <c r="AH6579" s="2">
        <v>2224.21077170328</v>
      </c>
      <c r="AI6579" s="2">
        <v>2642.5774503697999</v>
      </c>
      <c r="AJ6579" s="2">
        <v>2205.8586454875599</v>
      </c>
      <c r="AK6579" s="2">
        <v>2830.4782510443702</v>
      </c>
      <c r="AL6579" s="2">
        <v>2243.2020972473601</v>
      </c>
      <c r="AM6579" s="2">
        <v>2242.0129381430602</v>
      </c>
      <c r="AN6579" s="2">
        <v>2212.2969934687499</v>
      </c>
      <c r="AO6579" s="2">
        <v>2360.1348074992602</v>
      </c>
      <c r="AP6579" s="2">
        <v>2430.74889791025</v>
      </c>
    </row>
    <row r="6580" spans="1:42" ht="14.5" x14ac:dyDescent="0.35">
      <c r="A6580" s="2" t="s">
        <v>43626</v>
      </c>
      <c r="B6580" s="2">
        <v>559.29113222227204</v>
      </c>
      <c r="C6580" s="2">
        <v>7.7650499999999996</v>
      </c>
      <c r="D6580" s="2" t="s">
        <v>70</v>
      </c>
      <c r="E6580" s="2" t="s">
        <v>43627</v>
      </c>
      <c r="F6580" s="2">
        <v>36071</v>
      </c>
      <c r="G6580" s="3" t="str">
        <f>HYPERLINK("http://funmeta.oebiotech.com/network/36071", "http://funmeta.oebiotech.com/network/36071")</f>
        <v>http://funmeta.oebiotech.com/network/36071</v>
      </c>
      <c r="H6580" s="2"/>
      <c r="I6580" s="2">
        <v>53678</v>
      </c>
      <c r="J6580" s="2" t="s">
        <v>43628</v>
      </c>
      <c r="K6580" s="2"/>
      <c r="L6580" s="2"/>
      <c r="M6580" s="2"/>
      <c r="N6580" s="2"/>
      <c r="O6580" s="2">
        <v>42608242</v>
      </c>
      <c r="P6580" s="2"/>
      <c r="Q6580" s="2" t="s">
        <v>43629</v>
      </c>
      <c r="R6580" s="2" t="s">
        <v>43630</v>
      </c>
      <c r="S6580" s="2" t="s">
        <v>50</v>
      </c>
      <c r="T6580" s="2" t="s">
        <v>201</v>
      </c>
      <c r="U6580" s="2" t="s">
        <v>241</v>
      </c>
      <c r="V6580" s="2" t="s">
        <v>59</v>
      </c>
      <c r="W6580" s="2">
        <v>46.5</v>
      </c>
      <c r="X6580" s="2">
        <v>39.299999999999997</v>
      </c>
      <c r="Y6580" s="2" t="s">
        <v>408</v>
      </c>
      <c r="Z6580" s="2" t="s">
        <v>43631</v>
      </c>
      <c r="AA6580" s="2">
        <v>-0.241752416235506</v>
      </c>
      <c r="AB6580" s="2">
        <v>2.25305385352997E-2</v>
      </c>
      <c r="AC6580" s="2">
        <v>41983.935150916201</v>
      </c>
      <c r="AD6580" s="2">
        <v>41445.693638053301</v>
      </c>
      <c r="AE6580" s="2">
        <v>39264.325890518099</v>
      </c>
      <c r="AF6580" s="2">
        <v>38675.266915318898</v>
      </c>
      <c r="AG6580" s="2">
        <v>48750.765641989601</v>
      </c>
      <c r="AH6580" s="2">
        <v>44108.266035916102</v>
      </c>
      <c r="AI6580" s="2">
        <v>40695.298528750398</v>
      </c>
      <c r="AJ6580" s="2">
        <v>40409.687893004302</v>
      </c>
      <c r="AK6580" s="2">
        <v>39874.052045415498</v>
      </c>
      <c r="AL6580" s="2">
        <v>45783.071755265402</v>
      </c>
      <c r="AM6580" s="2">
        <v>39365.782925707703</v>
      </c>
      <c r="AN6580" s="2">
        <v>49084.884165118099</v>
      </c>
      <c r="AO6580" s="2">
        <v>41483.457323178598</v>
      </c>
      <c r="AP6580" s="2">
        <v>33082.913613634497</v>
      </c>
    </row>
    <row r="6581" spans="1:42" ht="14.5" x14ac:dyDescent="0.35">
      <c r="A6581" s="2" t="s">
        <v>43632</v>
      </c>
      <c r="B6581" s="2">
        <v>477.14953302516</v>
      </c>
      <c r="C6581" s="2">
        <v>8.8024666666666693</v>
      </c>
      <c r="D6581" s="2" t="s">
        <v>34</v>
      </c>
      <c r="E6581" s="2" t="s">
        <v>43633</v>
      </c>
      <c r="F6581" s="2">
        <v>203896</v>
      </c>
      <c r="G6581" s="3" t="str">
        <f>HYPERLINK("http://funmeta.oebiotech.com/network/203896", "http://funmeta.oebiotech.com/network/203896")</f>
        <v>http://funmeta.oebiotech.com/network/203896</v>
      </c>
      <c r="H6581" s="2" t="s">
        <v>43634</v>
      </c>
      <c r="I6581" s="2"/>
      <c r="J6581" s="2"/>
      <c r="K6581" s="2">
        <v>60888</v>
      </c>
      <c r="L6581" s="2"/>
      <c r="M6581" s="2"/>
      <c r="N6581" s="2"/>
      <c r="O6581" s="2">
        <v>104751</v>
      </c>
      <c r="P6581" s="2"/>
      <c r="Q6581" s="2" t="s">
        <v>43635</v>
      </c>
      <c r="R6581" s="2" t="s">
        <v>43636</v>
      </c>
      <c r="S6581" s="2" t="s">
        <v>89</v>
      </c>
      <c r="T6581" s="2" t="s">
        <v>90</v>
      </c>
      <c r="U6581" s="2" t="s">
        <v>1248</v>
      </c>
      <c r="V6581" s="2" t="s">
        <v>59</v>
      </c>
      <c r="W6581" s="2">
        <v>38</v>
      </c>
      <c r="X6581" s="2">
        <v>0</v>
      </c>
      <c r="Y6581" s="2" t="s">
        <v>394</v>
      </c>
      <c r="Z6581" s="2" t="s">
        <v>43637</v>
      </c>
      <c r="AA6581" s="2">
        <v>-1.7607768102088901</v>
      </c>
      <c r="AB6581" s="2">
        <v>2.24601971266402E-2</v>
      </c>
      <c r="AC6581" s="2">
        <v>7830.5576211444604</v>
      </c>
      <c r="AD6581" s="2">
        <v>8311.4601495413408</v>
      </c>
      <c r="AE6581" s="2">
        <v>9008.1576337469305</v>
      </c>
      <c r="AF6581" s="2">
        <v>6844.4851499547904</v>
      </c>
      <c r="AG6581" s="2">
        <v>7855.4991602341497</v>
      </c>
      <c r="AH6581" s="2">
        <v>6955.0046387695002</v>
      </c>
      <c r="AI6581" s="2">
        <v>8715.5526688308801</v>
      </c>
      <c r="AJ6581" s="2">
        <v>7604.6464753305199</v>
      </c>
      <c r="AK6581" s="2">
        <v>4777.1640568956</v>
      </c>
      <c r="AL6581" s="2">
        <v>17856.899584105198</v>
      </c>
      <c r="AM6581" s="2">
        <v>8692.1083909690205</v>
      </c>
      <c r="AN6581" s="2">
        <v>8237.4453509895393</v>
      </c>
      <c r="AO6581" s="2">
        <v>6720.5062763774404</v>
      </c>
      <c r="AP6581" s="2">
        <v>3584.6372379112599</v>
      </c>
    </row>
    <row r="6582" spans="1:42" ht="14.5" x14ac:dyDescent="0.35">
      <c r="A6582" s="2" t="s">
        <v>43638</v>
      </c>
      <c r="B6582" s="2">
        <v>269.165133481037</v>
      </c>
      <c r="C6582" s="2">
        <v>9.7661333333333307</v>
      </c>
      <c r="D6582" s="2" t="s">
        <v>34</v>
      </c>
      <c r="E6582" s="2" t="s">
        <v>43639</v>
      </c>
      <c r="F6582" s="2">
        <v>82674</v>
      </c>
      <c r="G6582" s="3" t="str">
        <f>HYPERLINK("http://funmeta.oebiotech.com/network/82674", "http://funmeta.oebiotech.com/network/82674")</f>
        <v>http://funmeta.oebiotech.com/network/82674</v>
      </c>
      <c r="H6582" s="2" t="s">
        <v>43640</v>
      </c>
      <c r="I6582" s="2"/>
      <c r="J6582" s="2"/>
      <c r="K6582" s="2"/>
      <c r="L6582" s="2"/>
      <c r="M6582" s="2"/>
      <c r="N6582" s="2"/>
      <c r="O6582" s="2">
        <v>131769960</v>
      </c>
      <c r="P6582" s="2"/>
      <c r="Q6582" s="2" t="s">
        <v>43641</v>
      </c>
      <c r="R6582" s="2" t="s">
        <v>43642</v>
      </c>
      <c r="S6582" s="2" t="s">
        <v>491</v>
      </c>
      <c r="T6582" s="2" t="s">
        <v>40582</v>
      </c>
      <c r="U6582" s="2" t="s">
        <v>43643</v>
      </c>
      <c r="V6582" s="2" t="s">
        <v>59</v>
      </c>
      <c r="W6582" s="2">
        <v>38.5</v>
      </c>
      <c r="X6582" s="2">
        <v>0</v>
      </c>
      <c r="Y6582" s="2" t="s">
        <v>43</v>
      </c>
      <c r="Z6582" s="2" t="s">
        <v>43644</v>
      </c>
      <c r="AA6582" s="2">
        <v>1.1698335544208001</v>
      </c>
      <c r="AB6582" s="2">
        <v>2.24445988580169E-2</v>
      </c>
      <c r="AC6582" s="2">
        <v>473.99804484061201</v>
      </c>
      <c r="AD6582" s="2">
        <v>563.17274202464</v>
      </c>
      <c r="AE6582" s="2">
        <v>671.67285862525796</v>
      </c>
      <c r="AF6582" s="2">
        <v>391.89963489825902</v>
      </c>
      <c r="AG6582" s="2">
        <v>371.317531953676</v>
      </c>
      <c r="AH6582" s="2">
        <v>377.36383274813898</v>
      </c>
      <c r="AI6582" s="2">
        <v>524.83465271512205</v>
      </c>
      <c r="AJ6582" s="2">
        <v>506.89975810321801</v>
      </c>
      <c r="AK6582" s="2">
        <v>723.03637357428397</v>
      </c>
      <c r="AL6582" s="2">
        <v>336.81924476241301</v>
      </c>
      <c r="AM6582" s="2">
        <v>620.25728944043999</v>
      </c>
      <c r="AN6582" s="2">
        <v>517.21689321112103</v>
      </c>
      <c r="AO6582" s="2">
        <v>627.34064394162294</v>
      </c>
      <c r="AP6582" s="2">
        <v>554.36600721796106</v>
      </c>
    </row>
    <row r="6583" spans="1:42" ht="14.5" x14ac:dyDescent="0.35">
      <c r="A6583" s="2" t="s">
        <v>43645</v>
      </c>
      <c r="B6583" s="2">
        <v>373.12363502225003</v>
      </c>
      <c r="C6583" s="2">
        <v>7.1697499999999996</v>
      </c>
      <c r="D6583" s="2" t="s">
        <v>34</v>
      </c>
      <c r="E6583" s="2" t="s">
        <v>43646</v>
      </c>
      <c r="F6583" s="2">
        <v>256869</v>
      </c>
      <c r="G6583" s="3" t="str">
        <f>HYPERLINK("http://funmeta.oebiotech.com/network/256869", "http://funmeta.oebiotech.com/network/256869")</f>
        <v>http://funmeta.oebiotech.com/network/256869</v>
      </c>
      <c r="H6583" s="2" t="s">
        <v>43647</v>
      </c>
      <c r="I6583" s="2">
        <v>72671</v>
      </c>
      <c r="J6583" s="2"/>
      <c r="K6583" s="2">
        <v>52402</v>
      </c>
      <c r="L6583" s="2" t="s">
        <v>43648</v>
      </c>
      <c r="M6583" s="2" t="s">
        <v>43649</v>
      </c>
      <c r="N6583" s="2" t="s">
        <v>43650</v>
      </c>
      <c r="O6583" s="2">
        <v>25271619</v>
      </c>
      <c r="P6583" s="2"/>
      <c r="Q6583" s="2" t="s">
        <v>43651</v>
      </c>
      <c r="R6583" s="2" t="s">
        <v>43652</v>
      </c>
      <c r="S6583" s="2" t="s">
        <v>79</v>
      </c>
      <c r="T6583" s="2" t="s">
        <v>80</v>
      </c>
      <c r="U6583" s="2" t="s">
        <v>81</v>
      </c>
      <c r="V6583" s="2" t="s">
        <v>59</v>
      </c>
      <c r="W6583" s="2">
        <v>38.5</v>
      </c>
      <c r="X6583" s="2">
        <v>0</v>
      </c>
      <c r="Y6583" s="2" t="s">
        <v>43</v>
      </c>
      <c r="Z6583" s="2" t="s">
        <v>43653</v>
      </c>
      <c r="AA6583" s="2">
        <v>1.4371159890937699</v>
      </c>
      <c r="AB6583" s="2">
        <v>2.23785609652578E-2</v>
      </c>
      <c r="AC6583" s="2">
        <v>18277.087659816501</v>
      </c>
      <c r="AD6583" s="2">
        <v>18719.537396073301</v>
      </c>
      <c r="AE6583" s="2">
        <v>18104.148451494399</v>
      </c>
      <c r="AF6583" s="2">
        <v>21982.215225056902</v>
      </c>
      <c r="AG6583" s="2">
        <v>17468.711075311701</v>
      </c>
      <c r="AH6583" s="2">
        <v>23074.808594878101</v>
      </c>
      <c r="AI6583" s="2">
        <v>14347.676871421099</v>
      </c>
      <c r="AJ6583" s="2">
        <v>14684.965740736799</v>
      </c>
      <c r="AK6583" s="2">
        <v>18016.983863883801</v>
      </c>
      <c r="AL6583" s="2">
        <v>14222.6900397103</v>
      </c>
      <c r="AM6583" s="2">
        <v>21470.97507258</v>
      </c>
      <c r="AN6583" s="2">
        <v>19941.236086807199</v>
      </c>
      <c r="AO6583" s="2">
        <v>19845.6894228692</v>
      </c>
      <c r="AP6583" s="2">
        <v>18819.6498905892</v>
      </c>
    </row>
    <row r="6584" spans="1:42" ht="14.5" x14ac:dyDescent="0.35">
      <c r="A6584" s="2" t="s">
        <v>43654</v>
      </c>
      <c r="B6584" s="2">
        <v>261.14837024772299</v>
      </c>
      <c r="C6584" s="2">
        <v>4.9617833333333303</v>
      </c>
      <c r="D6584" s="2" t="s">
        <v>34</v>
      </c>
      <c r="E6584" s="2" t="s">
        <v>43655</v>
      </c>
      <c r="F6584" s="2">
        <v>60210</v>
      </c>
      <c r="G6584" s="3" t="str">
        <f>HYPERLINK("http://funmeta.oebiotech.com/network/60210", "http://funmeta.oebiotech.com/network/60210")</f>
        <v>http://funmeta.oebiotech.com/network/60210</v>
      </c>
      <c r="H6584" s="2" t="s">
        <v>43656</v>
      </c>
      <c r="I6584" s="2"/>
      <c r="J6584" s="2"/>
      <c r="K6584" s="2">
        <v>172504</v>
      </c>
      <c r="L6584" s="2" t="s">
        <v>43657</v>
      </c>
      <c r="M6584" s="2"/>
      <c r="N6584" s="2"/>
      <c r="O6584" s="2">
        <v>3504625</v>
      </c>
      <c r="P6584" s="2" t="s">
        <v>43658</v>
      </c>
      <c r="Q6584" s="2" t="s">
        <v>43659</v>
      </c>
      <c r="R6584" s="2" t="s">
        <v>43660</v>
      </c>
      <c r="S6584" s="2" t="s">
        <v>50</v>
      </c>
      <c r="T6584" s="2" t="s">
        <v>201</v>
      </c>
      <c r="U6584" s="2" t="s">
        <v>636</v>
      </c>
      <c r="V6584" s="2" t="s">
        <v>42</v>
      </c>
      <c r="W6584" s="2">
        <v>51</v>
      </c>
      <c r="X6584" s="2">
        <v>59.1</v>
      </c>
      <c r="Y6584" s="2" t="s">
        <v>266</v>
      </c>
      <c r="Z6584" s="2" t="s">
        <v>43661</v>
      </c>
      <c r="AA6584" s="2">
        <v>-0.57924054959344196</v>
      </c>
      <c r="AB6584" s="2">
        <v>2.2210006868909699E-2</v>
      </c>
      <c r="AC6584" s="2">
        <v>95646.590880731106</v>
      </c>
      <c r="AD6584" s="2">
        <v>96327.067215522897</v>
      </c>
      <c r="AE6584" s="2">
        <v>102804.430475286</v>
      </c>
      <c r="AF6584" s="2">
        <v>95299.748332988805</v>
      </c>
      <c r="AG6584" s="2">
        <v>89991.836217666103</v>
      </c>
      <c r="AH6584" s="2">
        <v>98881.543271765098</v>
      </c>
      <c r="AI6584" s="2">
        <v>90773.545688814804</v>
      </c>
      <c r="AJ6584" s="2">
        <v>96128.441297866098</v>
      </c>
      <c r="AK6584" s="2">
        <v>112011.970474185</v>
      </c>
      <c r="AL6584" s="2">
        <v>92544.793433336206</v>
      </c>
      <c r="AM6584" s="2">
        <v>100834.65110052899</v>
      </c>
      <c r="AN6584" s="2">
        <v>91291.8653215995</v>
      </c>
      <c r="AO6584" s="2">
        <v>91721.262131995405</v>
      </c>
      <c r="AP6584" s="2">
        <v>89557.8608314921</v>
      </c>
    </row>
    <row r="6585" spans="1:42" ht="14.5" x14ac:dyDescent="0.35">
      <c r="A6585" s="2" t="s">
        <v>43662</v>
      </c>
      <c r="B6585" s="2">
        <v>335.04227822712301</v>
      </c>
      <c r="C6585" s="2">
        <v>2.1257333333333301</v>
      </c>
      <c r="D6585" s="2" t="s">
        <v>34</v>
      </c>
      <c r="E6585" s="2" t="s">
        <v>43663</v>
      </c>
      <c r="F6585" s="2">
        <v>82043</v>
      </c>
      <c r="G6585" s="3" t="str">
        <f>HYPERLINK("http://funmeta.oebiotech.com/network/82043", "http://funmeta.oebiotech.com/network/82043")</f>
        <v>http://funmeta.oebiotech.com/network/82043</v>
      </c>
      <c r="H6585" s="2" t="s">
        <v>43664</v>
      </c>
      <c r="I6585" s="2"/>
      <c r="J6585" s="2"/>
      <c r="K6585" s="2">
        <v>89551</v>
      </c>
      <c r="L6585" s="2"/>
      <c r="M6585" s="2"/>
      <c r="N6585" s="2"/>
      <c r="O6585" s="2">
        <v>124202100</v>
      </c>
      <c r="P6585" s="2"/>
      <c r="Q6585" s="2" t="s">
        <v>43665</v>
      </c>
      <c r="R6585" s="2" t="s">
        <v>43666</v>
      </c>
      <c r="S6585" s="2" t="s">
        <v>148</v>
      </c>
      <c r="T6585" s="2" t="s">
        <v>392</v>
      </c>
      <c r="U6585" s="2" t="s">
        <v>2045</v>
      </c>
      <c r="V6585" s="2" t="s">
        <v>42</v>
      </c>
      <c r="W6585" s="2">
        <v>48.4</v>
      </c>
      <c r="X6585" s="2">
        <v>48.1</v>
      </c>
      <c r="Y6585" s="2" t="s">
        <v>394</v>
      </c>
      <c r="Z6585" s="2" t="s">
        <v>43667</v>
      </c>
      <c r="AA6585" s="2">
        <v>-2.5483189574717802</v>
      </c>
      <c r="AB6585" s="2">
        <v>2.20575088961944E-2</v>
      </c>
      <c r="AC6585" s="2">
        <v>37746.007255348399</v>
      </c>
      <c r="AD6585" s="2">
        <v>38043.392127143503</v>
      </c>
      <c r="AE6585" s="2">
        <v>38704.281240892102</v>
      </c>
      <c r="AF6585" s="2">
        <v>36369.498229123798</v>
      </c>
      <c r="AG6585" s="2">
        <v>38569.287802763502</v>
      </c>
      <c r="AH6585" s="2">
        <v>36521.383541567302</v>
      </c>
      <c r="AI6585" s="2">
        <v>37060.2954917057</v>
      </c>
      <c r="AJ6585" s="2">
        <v>39251.297226037997</v>
      </c>
      <c r="AK6585" s="2">
        <v>35349.847222773002</v>
      </c>
      <c r="AL6585" s="2">
        <v>37654.669796507304</v>
      </c>
      <c r="AM6585" s="2">
        <v>37486.066390767002</v>
      </c>
      <c r="AN6585" s="2">
        <v>39826.514089583601</v>
      </c>
      <c r="AO6585" s="2">
        <v>37831.957575735199</v>
      </c>
      <c r="AP6585" s="2">
        <v>40111.2976874948</v>
      </c>
    </row>
    <row r="6586" spans="1:42" ht="14.5" x14ac:dyDescent="0.35">
      <c r="A6586" s="2" t="s">
        <v>43668</v>
      </c>
      <c r="B6586" s="2">
        <v>533.18541104600899</v>
      </c>
      <c r="C6586" s="2">
        <v>3.9694833333333301</v>
      </c>
      <c r="D6586" s="2" t="s">
        <v>70</v>
      </c>
      <c r="E6586" s="2" t="s">
        <v>43669</v>
      </c>
      <c r="F6586" s="2">
        <v>52842</v>
      </c>
      <c r="G6586" s="3" t="str">
        <f>HYPERLINK("http://funmeta.oebiotech.com/network/52842", "http://funmeta.oebiotech.com/network/52842")</f>
        <v>http://funmeta.oebiotech.com/network/52842</v>
      </c>
      <c r="H6586" s="2" t="s">
        <v>43670</v>
      </c>
      <c r="I6586" s="2">
        <v>3066</v>
      </c>
      <c r="J6586" s="2"/>
      <c r="K6586" s="2">
        <v>10110</v>
      </c>
      <c r="L6586" s="2" t="s">
        <v>43671</v>
      </c>
      <c r="M6586" s="2" t="s">
        <v>4185</v>
      </c>
      <c r="N6586" s="2" t="s">
        <v>4186</v>
      </c>
      <c r="O6586" s="2">
        <v>35370</v>
      </c>
      <c r="P6586" s="2" t="s">
        <v>43672</v>
      </c>
      <c r="Q6586" s="2" t="s">
        <v>43673</v>
      </c>
      <c r="R6586" s="2" t="s">
        <v>43674</v>
      </c>
      <c r="S6586" s="2" t="s">
        <v>1444</v>
      </c>
      <c r="T6586" s="2" t="s">
        <v>10689</v>
      </c>
      <c r="U6586" s="2" t="s">
        <v>21141</v>
      </c>
      <c r="V6586" s="2" t="s">
        <v>59</v>
      </c>
      <c r="W6586" s="2">
        <v>39.200000000000003</v>
      </c>
      <c r="X6586" s="2">
        <v>0</v>
      </c>
      <c r="Y6586" s="2" t="s">
        <v>560</v>
      </c>
      <c r="Z6586" s="2" t="s">
        <v>3596</v>
      </c>
      <c r="AA6586" s="2">
        <v>-1.5356987290847</v>
      </c>
      <c r="AB6586" s="2">
        <v>2.1959103033701102E-2</v>
      </c>
      <c r="AC6586" s="2">
        <v>3226.7919477146502</v>
      </c>
      <c r="AD6586" s="2">
        <v>3015.2420904978198</v>
      </c>
      <c r="AE6586" s="2">
        <v>2732.09938790962</v>
      </c>
      <c r="AF6586" s="2">
        <v>4056.8916032638399</v>
      </c>
      <c r="AG6586" s="2">
        <v>4293.9779093400603</v>
      </c>
      <c r="AH6586" s="2">
        <v>2770.0078183672799</v>
      </c>
      <c r="AI6586" s="2">
        <v>2712.2722838752502</v>
      </c>
      <c r="AJ6586" s="2">
        <v>2795.5026835318399</v>
      </c>
      <c r="AK6586" s="2">
        <v>1805.5293043868701</v>
      </c>
      <c r="AL6586" s="2">
        <v>3829.6152014342201</v>
      </c>
      <c r="AM6586" s="2">
        <v>2434.0991120116701</v>
      </c>
      <c r="AN6586" s="2">
        <v>3242.4650781498399</v>
      </c>
      <c r="AO6586" s="2">
        <v>2588.7810120630302</v>
      </c>
      <c r="AP6586" s="2">
        <v>4190.9628349412696</v>
      </c>
    </row>
    <row r="6587" spans="1:42" ht="14.5" x14ac:dyDescent="0.35">
      <c r="A6587" s="2" t="s">
        <v>43675</v>
      </c>
      <c r="B6587" s="2">
        <v>598.30071429073803</v>
      </c>
      <c r="C6587" s="2">
        <v>5.4400500000000003</v>
      </c>
      <c r="D6587" s="2" t="s">
        <v>34</v>
      </c>
      <c r="E6587" s="2" t="s">
        <v>43676</v>
      </c>
      <c r="F6587" s="2">
        <v>27952</v>
      </c>
      <c r="G6587" s="3" t="str">
        <f>HYPERLINK("http://funmeta.oebiotech.com/network/27952", "http://funmeta.oebiotech.com/network/27952")</f>
        <v>http://funmeta.oebiotech.com/network/27952</v>
      </c>
      <c r="H6587" s="2"/>
      <c r="I6587" s="2"/>
      <c r="J6587" s="2" t="s">
        <v>43677</v>
      </c>
      <c r="K6587" s="2"/>
      <c r="L6587" s="2"/>
      <c r="M6587" s="2"/>
      <c r="N6587" s="2"/>
      <c r="O6587" s="2">
        <v>134812399</v>
      </c>
      <c r="P6587" s="2"/>
      <c r="Q6587" s="2" t="s">
        <v>43678</v>
      </c>
      <c r="R6587" s="2" t="s">
        <v>43679</v>
      </c>
      <c r="S6587" s="2" t="s">
        <v>50</v>
      </c>
      <c r="T6587" s="2" t="s">
        <v>51</v>
      </c>
      <c r="U6587" s="2" t="s">
        <v>66</v>
      </c>
      <c r="V6587" s="2" t="s">
        <v>59</v>
      </c>
      <c r="W6587" s="2">
        <v>37.9</v>
      </c>
      <c r="X6587" s="2">
        <v>0</v>
      </c>
      <c r="Y6587" s="2" t="s">
        <v>394</v>
      </c>
      <c r="Z6587" s="2" t="s">
        <v>43680</v>
      </c>
      <c r="AA6587" s="2">
        <v>3.3907232129662002</v>
      </c>
      <c r="AB6587" s="2">
        <v>2.1886113272879499E-2</v>
      </c>
      <c r="AC6587" s="2">
        <v>53321.958154981898</v>
      </c>
      <c r="AD6587" s="2">
        <v>52851.488752078301</v>
      </c>
      <c r="AE6587" s="2">
        <v>55451.4399301679</v>
      </c>
      <c r="AF6587" s="2">
        <v>55093.179286183702</v>
      </c>
      <c r="AG6587" s="2">
        <v>59130.423196616197</v>
      </c>
      <c r="AH6587" s="2">
        <v>50264.980551769499</v>
      </c>
      <c r="AI6587" s="2">
        <v>48433.049274123099</v>
      </c>
      <c r="AJ6587" s="2">
        <v>51558.676691031003</v>
      </c>
      <c r="AK6587" s="2">
        <v>50465.542137282297</v>
      </c>
      <c r="AL6587" s="2">
        <v>47221.745396497798</v>
      </c>
      <c r="AM6587" s="2">
        <v>50564.139070851103</v>
      </c>
      <c r="AN6587" s="2">
        <v>50886.1871342659</v>
      </c>
      <c r="AO6587" s="2">
        <v>60008.776946536098</v>
      </c>
      <c r="AP6587" s="2">
        <v>57962.541827036803</v>
      </c>
    </row>
    <row r="6588" spans="1:42" ht="14.5" x14ac:dyDescent="0.35">
      <c r="A6588" s="2" t="s">
        <v>43681</v>
      </c>
      <c r="B6588" s="2">
        <v>565.22127275879404</v>
      </c>
      <c r="C6588" s="2">
        <v>6.4438333333333304</v>
      </c>
      <c r="D6588" s="2" t="s">
        <v>70</v>
      </c>
      <c r="E6588" s="2" t="s">
        <v>43682</v>
      </c>
      <c r="F6588" s="2">
        <v>212921</v>
      </c>
      <c r="G6588" s="3" t="str">
        <f>HYPERLINK("http://funmeta.oebiotech.com/network/212921", "http://funmeta.oebiotech.com/network/212921")</f>
        <v>http://funmeta.oebiotech.com/network/212921</v>
      </c>
      <c r="H6588" s="2" t="s">
        <v>43683</v>
      </c>
      <c r="I6588" s="2"/>
      <c r="J6588" s="2"/>
      <c r="K6588" s="2"/>
      <c r="L6588" s="2"/>
      <c r="M6588" s="2"/>
      <c r="N6588" s="2"/>
      <c r="O6588" s="2">
        <v>10446567</v>
      </c>
      <c r="P6588" s="2"/>
      <c r="Q6588" s="2" t="s">
        <v>43684</v>
      </c>
      <c r="R6588" s="2" t="s">
        <v>43685</v>
      </c>
      <c r="S6588" s="2" t="s">
        <v>5916</v>
      </c>
      <c r="T6588" s="2" t="s">
        <v>5917</v>
      </c>
      <c r="U6588" s="2" t="s">
        <v>5918</v>
      </c>
      <c r="V6588" s="2" t="s">
        <v>59</v>
      </c>
      <c r="W6588" s="2">
        <v>37</v>
      </c>
      <c r="X6588" s="2">
        <v>0</v>
      </c>
      <c r="Y6588" s="2" t="s">
        <v>560</v>
      </c>
      <c r="Z6588" s="2" t="s">
        <v>43686</v>
      </c>
      <c r="AA6588" s="2">
        <v>-0.15528777670511301</v>
      </c>
      <c r="AB6588" s="2">
        <v>2.18324559987308E-2</v>
      </c>
      <c r="AC6588" s="2">
        <v>17162.505434502498</v>
      </c>
      <c r="AD6588" s="2">
        <v>17533.440566745001</v>
      </c>
      <c r="AE6588" s="2">
        <v>19624.849754988401</v>
      </c>
      <c r="AF6588" s="2">
        <v>14607.3385233887</v>
      </c>
      <c r="AG6588" s="2">
        <v>16192.9955590063</v>
      </c>
      <c r="AH6588" s="2">
        <v>15831.6669052752</v>
      </c>
      <c r="AI6588" s="2">
        <v>15449.148796986799</v>
      </c>
      <c r="AJ6588" s="2">
        <v>21269.033067369601</v>
      </c>
      <c r="AK6588" s="2">
        <v>18902.777387124701</v>
      </c>
      <c r="AL6588" s="2">
        <v>17089.985689476202</v>
      </c>
      <c r="AM6588" s="2">
        <v>20746.980096848401</v>
      </c>
      <c r="AN6588" s="2">
        <v>17126.824233989599</v>
      </c>
      <c r="AO6588" s="2">
        <v>15825.478321452299</v>
      </c>
      <c r="AP6588" s="2">
        <v>15508.5976715788</v>
      </c>
    </row>
    <row r="6589" spans="1:42" ht="14.5" x14ac:dyDescent="0.35">
      <c r="A6589" s="2" t="s">
        <v>43687</v>
      </c>
      <c r="B6589" s="2">
        <v>589.22896110277304</v>
      </c>
      <c r="C6589" s="2">
        <v>4.2944166666666703</v>
      </c>
      <c r="D6589" s="2" t="s">
        <v>70</v>
      </c>
      <c r="E6589" s="2" t="s">
        <v>43688</v>
      </c>
      <c r="F6589" s="2">
        <v>202459</v>
      </c>
      <c r="G6589" s="3" t="str">
        <f>HYPERLINK("http://funmeta.oebiotech.com/network/202459", "http://funmeta.oebiotech.com/network/202459")</f>
        <v>http://funmeta.oebiotech.com/network/202459</v>
      </c>
      <c r="H6589" s="2" t="s">
        <v>43689</v>
      </c>
      <c r="I6589" s="2"/>
      <c r="J6589" s="2"/>
      <c r="K6589" s="2"/>
      <c r="L6589" s="2"/>
      <c r="M6589" s="2"/>
      <c r="N6589" s="2"/>
      <c r="O6589" s="2">
        <v>128934</v>
      </c>
      <c r="P6589" s="2"/>
      <c r="Q6589" s="2" t="s">
        <v>43690</v>
      </c>
      <c r="R6589" s="2" t="s">
        <v>43691</v>
      </c>
      <c r="S6589" s="2" t="s">
        <v>41</v>
      </c>
      <c r="T6589" s="2" t="s">
        <v>41</v>
      </c>
      <c r="U6589" s="2" t="s">
        <v>41</v>
      </c>
      <c r="V6589" s="2" t="s">
        <v>59</v>
      </c>
      <c r="W6589" s="2">
        <v>39</v>
      </c>
      <c r="X6589" s="2">
        <v>0</v>
      </c>
      <c r="Y6589" s="2" t="s">
        <v>560</v>
      </c>
      <c r="Z6589" s="2" t="s">
        <v>43692</v>
      </c>
      <c r="AA6589" s="2">
        <v>-1.2038904532891901</v>
      </c>
      <c r="AB6589" s="2">
        <v>2.1783466315259601E-2</v>
      </c>
      <c r="AC6589" s="2">
        <v>8748.36420685747</v>
      </c>
      <c r="AD6589" s="2">
        <v>9132.29370309351</v>
      </c>
      <c r="AE6589" s="2">
        <v>7280.4427623240499</v>
      </c>
      <c r="AF6589" s="2">
        <v>9689.1726298697704</v>
      </c>
      <c r="AG6589" s="2">
        <v>7829.7976250511902</v>
      </c>
      <c r="AH6589" s="2">
        <v>5236.7315314514999</v>
      </c>
      <c r="AI6589" s="2">
        <v>14583.592105097299</v>
      </c>
      <c r="AJ6589" s="2">
        <v>7870.4485873509902</v>
      </c>
      <c r="AK6589" s="2">
        <v>8076.7802192179797</v>
      </c>
      <c r="AL6589" s="2">
        <v>7486.0582367070101</v>
      </c>
      <c r="AM6589" s="2">
        <v>7846.4305478059096</v>
      </c>
      <c r="AN6589" s="2">
        <v>15707.0844904934</v>
      </c>
      <c r="AO6589" s="2">
        <v>5851.5386617820996</v>
      </c>
      <c r="AP6589" s="2">
        <v>9825.8700625546408</v>
      </c>
    </row>
    <row r="6590" spans="1:42" ht="14.5" x14ac:dyDescent="0.35">
      <c r="A6590" s="2" t="s">
        <v>43693</v>
      </c>
      <c r="B6590" s="2">
        <v>231.02009050171199</v>
      </c>
      <c r="C6590" s="2">
        <v>14.192683333333299</v>
      </c>
      <c r="D6590" s="2" t="s">
        <v>70</v>
      </c>
      <c r="E6590" s="2" t="s">
        <v>43694</v>
      </c>
      <c r="F6590" s="2">
        <v>206071</v>
      </c>
      <c r="G6590" s="3" t="str">
        <f>HYPERLINK("http://funmeta.oebiotech.com/network/206071", "http://funmeta.oebiotech.com/network/206071")</f>
        <v>http://funmeta.oebiotech.com/network/206071</v>
      </c>
      <c r="H6590" s="2" t="s">
        <v>43695</v>
      </c>
      <c r="I6590" s="2">
        <v>320267</v>
      </c>
      <c r="J6590" s="2"/>
      <c r="K6590" s="2"/>
      <c r="L6590" s="2"/>
      <c r="M6590" s="2"/>
      <c r="N6590" s="2"/>
      <c r="O6590" s="2">
        <v>13282</v>
      </c>
      <c r="P6590" s="2"/>
      <c r="Q6590" s="2" t="s">
        <v>43696</v>
      </c>
      <c r="R6590" s="2" t="s">
        <v>43697</v>
      </c>
      <c r="S6590" s="2" t="s">
        <v>89</v>
      </c>
      <c r="T6590" s="2" t="s">
        <v>894</v>
      </c>
      <c r="U6590" s="2" t="s">
        <v>895</v>
      </c>
      <c r="V6590" s="2" t="s">
        <v>59</v>
      </c>
      <c r="W6590" s="2">
        <v>36.6</v>
      </c>
      <c r="X6590" s="2">
        <v>0</v>
      </c>
      <c r="Y6590" s="2" t="s">
        <v>751</v>
      </c>
      <c r="Z6590" s="2" t="s">
        <v>43698</v>
      </c>
      <c r="AA6590" s="2">
        <v>-6.2543691163739901</v>
      </c>
      <c r="AB6590" s="2">
        <v>2.1688451742679801E-2</v>
      </c>
      <c r="AC6590" s="2">
        <v>432.42070824965299</v>
      </c>
      <c r="AD6590" s="2">
        <v>527.82854663517696</v>
      </c>
      <c r="AE6590" s="2">
        <v>452.152801618686</v>
      </c>
      <c r="AF6590" s="2">
        <v>292.81998567128699</v>
      </c>
      <c r="AG6590" s="2">
        <v>379.14585585636797</v>
      </c>
      <c r="AH6590" s="2">
        <v>465.27891837478501</v>
      </c>
      <c r="AI6590" s="2">
        <v>289.05809930097502</v>
      </c>
      <c r="AJ6590" s="2">
        <v>716.06858867581695</v>
      </c>
      <c r="AK6590" s="2">
        <v>675.02715259047898</v>
      </c>
      <c r="AL6590" s="2">
        <v>484.02252635812698</v>
      </c>
      <c r="AM6590" s="2">
        <v>410.239085969835</v>
      </c>
      <c r="AN6590" s="2">
        <v>363.57143192877402</v>
      </c>
      <c r="AO6590" s="2">
        <v>711.90975817874801</v>
      </c>
      <c r="AP6590" s="2">
        <v>522.201324785098</v>
      </c>
    </row>
    <row r="6591" spans="1:42" ht="14.5" x14ac:dyDescent="0.35">
      <c r="A6591" s="2" t="s">
        <v>43699</v>
      </c>
      <c r="B6591" s="2">
        <v>290.85388993298398</v>
      </c>
      <c r="C6591" s="2">
        <v>0.53434999999999999</v>
      </c>
      <c r="D6591" s="2" t="s">
        <v>70</v>
      </c>
      <c r="E6591" s="2" t="s">
        <v>43700</v>
      </c>
      <c r="F6591" s="2">
        <v>199736</v>
      </c>
      <c r="G6591" s="3" t="str">
        <f>HYPERLINK("http://funmeta.oebiotech.com/network/199736", "http://funmeta.oebiotech.com/network/199736")</f>
        <v>http://funmeta.oebiotech.com/network/199736</v>
      </c>
      <c r="H6591" s="2" t="s">
        <v>43701</v>
      </c>
      <c r="I6591" s="2">
        <v>340306</v>
      </c>
      <c r="J6591" s="2"/>
      <c r="K6591" s="2"/>
      <c r="L6591" s="2"/>
      <c r="M6591" s="2"/>
      <c r="N6591" s="2"/>
      <c r="O6591" s="2">
        <v>12337</v>
      </c>
      <c r="P6591" s="2"/>
      <c r="Q6591" s="2" t="s">
        <v>43702</v>
      </c>
      <c r="R6591" s="2" t="s">
        <v>43703</v>
      </c>
      <c r="S6591" s="2" t="s">
        <v>2811</v>
      </c>
      <c r="T6591" s="2" t="s">
        <v>4889</v>
      </c>
      <c r="U6591" s="2" t="s">
        <v>41</v>
      </c>
      <c r="V6591" s="2" t="s">
        <v>59</v>
      </c>
      <c r="W6591" s="2">
        <v>39.200000000000003</v>
      </c>
      <c r="X6591" s="2">
        <v>0</v>
      </c>
      <c r="Y6591" s="2" t="s">
        <v>751</v>
      </c>
      <c r="Z6591" s="2" t="s">
        <v>43704</v>
      </c>
      <c r="AA6591" s="2">
        <v>0.59636461139053398</v>
      </c>
      <c r="AB6591" s="2">
        <v>2.16714697580054E-2</v>
      </c>
      <c r="AC6591" s="2">
        <v>923.52425003713699</v>
      </c>
      <c r="AD6591" s="2">
        <v>1002.28826182515</v>
      </c>
      <c r="AE6591" s="2">
        <v>1040.36626646951</v>
      </c>
      <c r="AF6591" s="2">
        <v>758.43712895707597</v>
      </c>
      <c r="AG6591" s="2">
        <v>991.52781136519002</v>
      </c>
      <c r="AH6591" s="2">
        <v>975.05618688155096</v>
      </c>
      <c r="AI6591" s="2">
        <v>952.03547953395901</v>
      </c>
      <c r="AJ6591" s="2">
        <v>823.72262701553495</v>
      </c>
      <c r="AK6591" s="2">
        <v>924.94371992747699</v>
      </c>
      <c r="AL6591" s="2">
        <v>1157.1815221858801</v>
      </c>
      <c r="AM6591" s="2">
        <v>963.37296238793397</v>
      </c>
      <c r="AN6591" s="2">
        <v>916.74533833080295</v>
      </c>
      <c r="AO6591" s="2">
        <v>993.92086079138801</v>
      </c>
      <c r="AP6591" s="2">
        <v>1057.5651673274001</v>
      </c>
    </row>
    <row r="6592" spans="1:42" ht="14.5" x14ac:dyDescent="0.35">
      <c r="A6592" s="2" t="s">
        <v>43705</v>
      </c>
      <c r="B6592" s="2">
        <v>277.21585651438301</v>
      </c>
      <c r="C6592" s="2">
        <v>9.0639666666666692</v>
      </c>
      <c r="D6592" s="2" t="s">
        <v>34</v>
      </c>
      <c r="E6592" s="2" t="s">
        <v>43706</v>
      </c>
      <c r="F6592" s="2">
        <v>1025</v>
      </c>
      <c r="G6592" s="3" t="str">
        <f>HYPERLINK("http://funmeta.oebiotech.com/network/1025", "http://funmeta.oebiotech.com/network/1025")</f>
        <v>http://funmeta.oebiotech.com/network/1025</v>
      </c>
      <c r="H6592" s="2" t="s">
        <v>43707</v>
      </c>
      <c r="I6592" s="2">
        <v>35194</v>
      </c>
      <c r="J6592" s="2" t="s">
        <v>43708</v>
      </c>
      <c r="K6592" s="2">
        <v>142250</v>
      </c>
      <c r="L6592" s="2"/>
      <c r="M6592" s="2"/>
      <c r="N6592" s="2"/>
      <c r="O6592" s="2">
        <v>1931</v>
      </c>
      <c r="P6592" s="2" t="s">
        <v>43709</v>
      </c>
      <c r="Q6592" s="2" t="s">
        <v>43710</v>
      </c>
      <c r="R6592" s="2" t="s">
        <v>43711</v>
      </c>
      <c r="S6592" s="2" t="s">
        <v>50</v>
      </c>
      <c r="T6592" s="2" t="s">
        <v>229</v>
      </c>
      <c r="U6592" s="2" t="s">
        <v>433</v>
      </c>
      <c r="V6592" s="2" t="s">
        <v>59</v>
      </c>
      <c r="W6592" s="2">
        <v>38.4</v>
      </c>
      <c r="X6592" s="2">
        <v>0</v>
      </c>
      <c r="Y6592" s="2" t="s">
        <v>394</v>
      </c>
      <c r="Z6592" s="2" t="s">
        <v>28422</v>
      </c>
      <c r="AA6592" s="2">
        <v>-1.2673547405097401</v>
      </c>
      <c r="AB6592" s="2">
        <v>2.1662613480868901E-2</v>
      </c>
      <c r="AC6592" s="2">
        <v>5602.1104555965303</v>
      </c>
      <c r="AD6592" s="2">
        <v>5757.0583147552697</v>
      </c>
      <c r="AE6592" s="2">
        <v>5627.9546305261301</v>
      </c>
      <c r="AF6592" s="2">
        <v>6288.3030353567701</v>
      </c>
      <c r="AG6592" s="2">
        <v>5420.4503761166297</v>
      </c>
      <c r="AH6592" s="2">
        <v>5556.1583360369696</v>
      </c>
      <c r="AI6592" s="2">
        <v>5635.0108424100899</v>
      </c>
      <c r="AJ6592" s="2">
        <v>5084.7855131326196</v>
      </c>
      <c r="AK6592" s="2">
        <v>5063.35927954818</v>
      </c>
      <c r="AL6592" s="2">
        <v>5398.2471081947997</v>
      </c>
      <c r="AM6592" s="2">
        <v>6274.0545348553896</v>
      </c>
      <c r="AN6592" s="2">
        <v>5942.5135425388598</v>
      </c>
      <c r="AO6592" s="2">
        <v>6157.0378938080003</v>
      </c>
      <c r="AP6592" s="2">
        <v>5707.13752958638</v>
      </c>
    </row>
    <row r="6593" spans="1:42" ht="14.5" x14ac:dyDescent="0.35">
      <c r="A6593" s="2" t="s">
        <v>43712</v>
      </c>
      <c r="B6593" s="2">
        <v>835.335854982397</v>
      </c>
      <c r="C6593" s="2">
        <v>9.8611333333333295</v>
      </c>
      <c r="D6593" s="2" t="s">
        <v>70</v>
      </c>
      <c r="E6593" s="2" t="s">
        <v>43713</v>
      </c>
      <c r="F6593" s="2">
        <v>203208</v>
      </c>
      <c r="G6593" s="3" t="str">
        <f>HYPERLINK("http://funmeta.oebiotech.com/network/203208", "http://funmeta.oebiotech.com/network/203208")</f>
        <v>http://funmeta.oebiotech.com/network/203208</v>
      </c>
      <c r="H6593" s="2" t="s">
        <v>43714</v>
      </c>
      <c r="I6593" s="2"/>
      <c r="J6593" s="2"/>
      <c r="K6593" s="2"/>
      <c r="L6593" s="2"/>
      <c r="M6593" s="2"/>
      <c r="N6593" s="2"/>
      <c r="O6593" s="2"/>
      <c r="P6593" s="2"/>
      <c r="Q6593" s="2" t="s">
        <v>43715</v>
      </c>
      <c r="R6593" s="2" t="s">
        <v>43716</v>
      </c>
      <c r="S6593" s="2" t="s">
        <v>491</v>
      </c>
      <c r="T6593" s="2" t="s">
        <v>15878</v>
      </c>
      <c r="U6593" s="2" t="s">
        <v>41</v>
      </c>
      <c r="V6593" s="2" t="s">
        <v>59</v>
      </c>
      <c r="W6593" s="2">
        <v>39.700000000000003</v>
      </c>
      <c r="X6593" s="2">
        <v>0</v>
      </c>
      <c r="Y6593" s="2" t="s">
        <v>560</v>
      </c>
      <c r="Z6593" s="2" t="s">
        <v>43717</v>
      </c>
      <c r="AA6593" s="2">
        <v>-0.44336567643369301</v>
      </c>
      <c r="AB6593" s="2">
        <v>2.1660674880176398E-2</v>
      </c>
      <c r="AC6593" s="2">
        <v>12685.818955115899</v>
      </c>
      <c r="AD6593" s="2">
        <v>12404.5111426364</v>
      </c>
      <c r="AE6593" s="2">
        <v>11896.0062670029</v>
      </c>
      <c r="AF6593" s="2">
        <v>11857.509069307</v>
      </c>
      <c r="AG6593" s="2">
        <v>12670.225946562699</v>
      </c>
      <c r="AH6593" s="2">
        <v>13522.578735987199</v>
      </c>
      <c r="AI6593" s="2">
        <v>12660.022708917701</v>
      </c>
      <c r="AJ6593" s="2">
        <v>13508.571002917701</v>
      </c>
      <c r="AK6593" s="2">
        <v>10691.9543495731</v>
      </c>
      <c r="AL6593" s="2">
        <v>12065.3341152758</v>
      </c>
      <c r="AM6593" s="2">
        <v>12748.4689116189</v>
      </c>
      <c r="AN6593" s="2">
        <v>11016.8334291884</v>
      </c>
      <c r="AO6593" s="2">
        <v>12085.118893663799</v>
      </c>
      <c r="AP6593" s="2">
        <v>15819.357156498299</v>
      </c>
    </row>
    <row r="6594" spans="1:42" ht="14.5" x14ac:dyDescent="0.35">
      <c r="A6594" s="2" t="s">
        <v>43718</v>
      </c>
      <c r="B6594" s="2">
        <v>221.11731479249599</v>
      </c>
      <c r="C6594" s="2">
        <v>3.8783166666666702</v>
      </c>
      <c r="D6594" s="2" t="s">
        <v>34</v>
      </c>
      <c r="E6594" s="2" t="s">
        <v>43719</v>
      </c>
      <c r="F6594" s="2">
        <v>211389</v>
      </c>
      <c r="G6594" s="3" t="str">
        <f>HYPERLINK("http://funmeta.oebiotech.com/network/211389", "http://funmeta.oebiotech.com/network/211389")</f>
        <v>http://funmeta.oebiotech.com/network/211389</v>
      </c>
      <c r="H6594" s="2" t="s">
        <v>43720</v>
      </c>
      <c r="I6594" s="2"/>
      <c r="J6594" s="2"/>
      <c r="K6594" s="2"/>
      <c r="L6594" s="2"/>
      <c r="M6594" s="2"/>
      <c r="N6594" s="2"/>
      <c r="O6594" s="2"/>
      <c r="P6594" s="2"/>
      <c r="Q6594" s="2" t="s">
        <v>43721</v>
      </c>
      <c r="R6594" s="2" t="s">
        <v>43722</v>
      </c>
      <c r="S6594" s="2" t="s">
        <v>41</v>
      </c>
      <c r="T6594" s="2" t="s">
        <v>41</v>
      </c>
      <c r="U6594" s="2" t="s">
        <v>41</v>
      </c>
      <c r="V6594" s="2" t="s">
        <v>59</v>
      </c>
      <c r="W6594" s="2">
        <v>45.6</v>
      </c>
      <c r="X6594" s="2">
        <v>36.700000000000003</v>
      </c>
      <c r="Y6594" s="2" t="s">
        <v>141</v>
      </c>
      <c r="Z6594" s="2" t="s">
        <v>21934</v>
      </c>
      <c r="AA6594" s="2">
        <v>0.39470348790687398</v>
      </c>
      <c r="AB6594" s="2">
        <v>2.1641622197474002E-2</v>
      </c>
      <c r="AC6594" s="2">
        <v>12209.286281316199</v>
      </c>
      <c r="AD6594" s="2">
        <v>11939.211378891299</v>
      </c>
      <c r="AE6594" s="2">
        <v>12533.1291633131</v>
      </c>
      <c r="AF6594" s="2">
        <v>12792.5078982373</v>
      </c>
      <c r="AG6594" s="2">
        <v>11231.994275372799</v>
      </c>
      <c r="AH6594" s="2">
        <v>10830.1736361781</v>
      </c>
      <c r="AI6594" s="2">
        <v>13103.483432269501</v>
      </c>
      <c r="AJ6594" s="2">
        <v>12764.4292825261</v>
      </c>
      <c r="AK6594" s="2">
        <v>12608.657419213599</v>
      </c>
      <c r="AL6594" s="2">
        <v>10712.417283962801</v>
      </c>
      <c r="AM6594" s="2">
        <v>11481.1157900834</v>
      </c>
      <c r="AN6594" s="2">
        <v>12004.887580181299</v>
      </c>
      <c r="AO6594" s="2">
        <v>10360.064320077199</v>
      </c>
      <c r="AP6594" s="2">
        <v>14468.1258798296</v>
      </c>
    </row>
    <row r="6595" spans="1:42" ht="14.5" x14ac:dyDescent="0.35">
      <c r="A6595" s="2" t="s">
        <v>43723</v>
      </c>
      <c r="B6595" s="2">
        <v>377.23312372371902</v>
      </c>
      <c r="C6595" s="2">
        <v>9.5820000000000007</v>
      </c>
      <c r="D6595" s="2" t="s">
        <v>70</v>
      </c>
      <c r="E6595" s="2" t="s">
        <v>43724</v>
      </c>
      <c r="F6595" s="2">
        <v>45052</v>
      </c>
      <c r="G6595" s="3" t="str">
        <f>HYPERLINK("http://funmeta.oebiotech.com/network/45052", "http://funmeta.oebiotech.com/network/45052")</f>
        <v>http://funmeta.oebiotech.com/network/45052</v>
      </c>
      <c r="H6595" s="2" t="s">
        <v>43725</v>
      </c>
      <c r="I6595" s="2">
        <v>57873</v>
      </c>
      <c r="J6595" s="2" t="s">
        <v>43726</v>
      </c>
      <c r="K6595" s="2">
        <v>16418</v>
      </c>
      <c r="L6595" s="2" t="s">
        <v>43727</v>
      </c>
      <c r="M6595" s="2" t="s">
        <v>2454</v>
      </c>
      <c r="N6595" s="2" t="s">
        <v>2455</v>
      </c>
      <c r="O6595" s="2">
        <v>440368</v>
      </c>
      <c r="P6595" s="2" t="s">
        <v>43728</v>
      </c>
      <c r="Q6595" s="2" t="s">
        <v>43729</v>
      </c>
      <c r="R6595" s="2" t="s">
        <v>43730</v>
      </c>
      <c r="S6595" s="2" t="s">
        <v>50</v>
      </c>
      <c r="T6595" s="2" t="s">
        <v>124</v>
      </c>
      <c r="U6595" s="2" t="s">
        <v>929</v>
      </c>
      <c r="V6595" s="2" t="s">
        <v>59</v>
      </c>
      <c r="W6595" s="2">
        <v>44.9</v>
      </c>
      <c r="X6595" s="2">
        <v>28.4</v>
      </c>
      <c r="Y6595" s="2" t="s">
        <v>408</v>
      </c>
      <c r="Z6595" s="2" t="s">
        <v>43731</v>
      </c>
      <c r="AA6595" s="2">
        <v>-0.67431517880423997</v>
      </c>
      <c r="AB6595" s="2">
        <v>2.16169990025704E-2</v>
      </c>
      <c r="AC6595" s="2">
        <v>12.5031671197872</v>
      </c>
      <c r="AD6595" s="2">
        <v>69.421452642293701</v>
      </c>
      <c r="AE6595" s="2">
        <v>2.7106294003980101E-5</v>
      </c>
      <c r="AF6595" s="2">
        <v>2.7106294003980101E-5</v>
      </c>
      <c r="AG6595" s="2">
        <v>2.7106294003980101E-5</v>
      </c>
      <c r="AH6595" s="2">
        <v>2.7106294003980101E-5</v>
      </c>
      <c r="AI6595" s="2">
        <v>75.018867187252894</v>
      </c>
      <c r="AJ6595" s="2">
        <v>2.7106294003980101E-5</v>
      </c>
      <c r="AK6595" s="2">
        <v>2.7106294003980101E-5</v>
      </c>
      <c r="AL6595" s="2">
        <v>163.64508915020599</v>
      </c>
      <c r="AM6595" s="2">
        <v>100.981506125537</v>
      </c>
      <c r="AN6595" s="2">
        <v>68.027832905593101</v>
      </c>
      <c r="AO6595" s="2">
        <v>2.7106294003980101E-5</v>
      </c>
      <c r="AP6595" s="2">
        <v>83.874233459837896</v>
      </c>
    </row>
    <row r="6596" spans="1:42" ht="14.5" x14ac:dyDescent="0.35">
      <c r="A6596" s="2" t="s">
        <v>43732</v>
      </c>
      <c r="B6596" s="2">
        <v>425.08742976125802</v>
      </c>
      <c r="C6596" s="2">
        <v>5.6357333333333299</v>
      </c>
      <c r="D6596" s="2" t="s">
        <v>70</v>
      </c>
      <c r="E6596" s="2" t="s">
        <v>43733</v>
      </c>
      <c r="F6596" s="2">
        <v>29963</v>
      </c>
      <c r="G6596" s="3" t="str">
        <f>HYPERLINK("http://funmeta.oebiotech.com/network/29963", "http://funmeta.oebiotech.com/network/29963")</f>
        <v>http://funmeta.oebiotech.com/network/29963</v>
      </c>
      <c r="H6596" s="2"/>
      <c r="I6596" s="2">
        <v>48317</v>
      </c>
      <c r="J6596" s="2" t="s">
        <v>43734</v>
      </c>
      <c r="K6596" s="2"/>
      <c r="L6596" s="2"/>
      <c r="M6596" s="2"/>
      <c r="N6596" s="2"/>
      <c r="O6596" s="2">
        <v>25243040</v>
      </c>
      <c r="P6596" s="2"/>
      <c r="Q6596" s="2" t="s">
        <v>43735</v>
      </c>
      <c r="R6596" s="2" t="s">
        <v>43736</v>
      </c>
      <c r="S6596" s="2" t="s">
        <v>115</v>
      </c>
      <c r="T6596" s="2" t="s">
        <v>1371</v>
      </c>
      <c r="U6596" s="2" t="s">
        <v>19037</v>
      </c>
      <c r="V6596" s="2" t="s">
        <v>59</v>
      </c>
      <c r="W6596" s="2">
        <v>38.6</v>
      </c>
      <c r="X6596" s="2">
        <v>0</v>
      </c>
      <c r="Y6596" s="2" t="s">
        <v>408</v>
      </c>
      <c r="Z6596" s="2" t="s">
        <v>43737</v>
      </c>
      <c r="AA6596" s="2">
        <v>-0.98913198161470295</v>
      </c>
      <c r="AB6596" s="2">
        <v>2.1596721724040899E-2</v>
      </c>
      <c r="AC6596" s="2">
        <v>114.36803296409001</v>
      </c>
      <c r="AD6596" s="2">
        <v>34.992914461039</v>
      </c>
      <c r="AE6596" s="2">
        <v>221.87746618629001</v>
      </c>
      <c r="AF6596" s="2">
        <v>2.7106294003980101E-5</v>
      </c>
      <c r="AG6596" s="2">
        <v>232.722809853797</v>
      </c>
      <c r="AH6596" s="2">
        <v>2.7106294003980101E-5</v>
      </c>
      <c r="AI6596" s="2">
        <v>2.7106294003980101E-5</v>
      </c>
      <c r="AJ6596" s="2">
        <v>231.60784042557199</v>
      </c>
      <c r="AK6596" s="2">
        <v>209.95735123476399</v>
      </c>
      <c r="AL6596" s="2">
        <v>2.7106294003980101E-5</v>
      </c>
      <c r="AM6596" s="2">
        <v>2.7106294003980101E-5</v>
      </c>
      <c r="AN6596" s="2">
        <v>2.7106294003980101E-5</v>
      </c>
      <c r="AO6596" s="2">
        <v>2.7106294003980101E-5</v>
      </c>
      <c r="AP6596" s="2">
        <v>2.7106294003980101E-5</v>
      </c>
    </row>
    <row r="6597" spans="1:42" ht="14.5" x14ac:dyDescent="0.35">
      <c r="A6597" s="2" t="s">
        <v>43738</v>
      </c>
      <c r="B6597" s="2">
        <v>319.11854106444099</v>
      </c>
      <c r="C6597" s="2">
        <v>3.6357833333333298</v>
      </c>
      <c r="D6597" s="2" t="s">
        <v>70</v>
      </c>
      <c r="E6597" s="2" t="s">
        <v>43739</v>
      </c>
      <c r="F6597" s="2">
        <v>274636</v>
      </c>
      <c r="G6597" s="3" t="str">
        <f>HYPERLINK("http://funmeta.oebiotech.com/network/274636", "http://funmeta.oebiotech.com/network/274636")</f>
        <v>http://funmeta.oebiotech.com/network/274636</v>
      </c>
      <c r="H6597" s="2"/>
      <c r="I6597" s="2">
        <v>64787</v>
      </c>
      <c r="J6597" s="2"/>
      <c r="K6597" s="2"/>
      <c r="L6597" s="2"/>
      <c r="M6597" s="2"/>
      <c r="N6597" s="2"/>
      <c r="O6597" s="2">
        <v>26384</v>
      </c>
      <c r="P6597" s="2" t="s">
        <v>43740</v>
      </c>
      <c r="Q6597" s="2" t="s">
        <v>43741</v>
      </c>
      <c r="R6597" s="2" t="s">
        <v>43742</v>
      </c>
      <c r="S6597" s="2" t="s">
        <v>491</v>
      </c>
      <c r="T6597" s="2" t="s">
        <v>3019</v>
      </c>
      <c r="U6597" s="2" t="s">
        <v>3020</v>
      </c>
      <c r="V6597" s="2" t="s">
        <v>59</v>
      </c>
      <c r="W6597" s="2">
        <v>38.799999999999997</v>
      </c>
      <c r="X6597" s="2">
        <v>0</v>
      </c>
      <c r="Y6597" s="2" t="s">
        <v>560</v>
      </c>
      <c r="Z6597" s="2" t="s">
        <v>43743</v>
      </c>
      <c r="AA6597" s="2">
        <v>-4.7114847046477601</v>
      </c>
      <c r="AB6597" s="2">
        <v>2.1510156789977801E-2</v>
      </c>
      <c r="AC6597" s="2">
        <v>883.018312345401</v>
      </c>
      <c r="AD6597" s="2">
        <v>973.34173074862497</v>
      </c>
      <c r="AE6597" s="2">
        <v>991.22910150631196</v>
      </c>
      <c r="AF6597" s="2">
        <v>984.12998064675901</v>
      </c>
      <c r="AG6597" s="2">
        <v>714.294100022154</v>
      </c>
      <c r="AH6597" s="2">
        <v>859.28026756911299</v>
      </c>
      <c r="AI6597" s="2">
        <v>987.23846617260006</v>
      </c>
      <c r="AJ6597" s="2">
        <v>761.93795815546696</v>
      </c>
      <c r="AK6597" s="2">
        <v>1031.6946777822</v>
      </c>
      <c r="AL6597" s="2">
        <v>1091.26550620698</v>
      </c>
      <c r="AM6597" s="2">
        <v>932.14467334391304</v>
      </c>
      <c r="AN6597" s="2">
        <v>1007.46247448166</v>
      </c>
      <c r="AO6597" s="2">
        <v>685.86154618062403</v>
      </c>
      <c r="AP6597" s="2">
        <v>1091.6215064963701</v>
      </c>
    </row>
    <row r="6598" spans="1:42" ht="14.5" x14ac:dyDescent="0.35">
      <c r="A6598" s="2" t="s">
        <v>43744</v>
      </c>
      <c r="B6598" s="2">
        <v>267.12246710734399</v>
      </c>
      <c r="C6598" s="2">
        <v>8.8024666666666693</v>
      </c>
      <c r="D6598" s="2" t="s">
        <v>34</v>
      </c>
      <c r="E6598" s="2" t="s">
        <v>43745</v>
      </c>
      <c r="F6598" s="2">
        <v>54706</v>
      </c>
      <c r="G6598" s="3" t="str">
        <f>HYPERLINK("http://funmeta.oebiotech.com/network/54706", "http://funmeta.oebiotech.com/network/54706")</f>
        <v>http://funmeta.oebiotech.com/network/54706</v>
      </c>
      <c r="H6598" s="2" t="s">
        <v>43746</v>
      </c>
      <c r="I6598" s="2">
        <v>86524</v>
      </c>
      <c r="J6598" s="2"/>
      <c r="K6598" s="2">
        <v>174715</v>
      </c>
      <c r="L6598" s="2"/>
      <c r="M6598" s="2"/>
      <c r="N6598" s="2"/>
      <c r="O6598" s="2">
        <v>468284</v>
      </c>
      <c r="P6598" s="2" t="s">
        <v>43747</v>
      </c>
      <c r="Q6598" s="2" t="s">
        <v>43748</v>
      </c>
      <c r="R6598" s="2" t="s">
        <v>43749</v>
      </c>
      <c r="S6598" s="2" t="s">
        <v>79</v>
      </c>
      <c r="T6598" s="2" t="s">
        <v>80</v>
      </c>
      <c r="U6598" s="2" t="s">
        <v>81</v>
      </c>
      <c r="V6598" s="2" t="s">
        <v>59</v>
      </c>
      <c r="W6598" s="2">
        <v>46.8</v>
      </c>
      <c r="X6598" s="2">
        <v>39</v>
      </c>
      <c r="Y6598" s="2" t="s">
        <v>141</v>
      </c>
      <c r="Z6598" s="2" t="s">
        <v>8800</v>
      </c>
      <c r="AA6598" s="2">
        <v>-0.82006372227542601</v>
      </c>
      <c r="AB6598" s="2">
        <v>2.1463165563621E-2</v>
      </c>
      <c r="AC6598" s="2">
        <v>22394.038196290901</v>
      </c>
      <c r="AD6598" s="2">
        <v>23172.051444033201</v>
      </c>
      <c r="AE6598" s="2">
        <v>26792.190453329898</v>
      </c>
      <c r="AF6598" s="2">
        <v>20166.789874396</v>
      </c>
      <c r="AG6598" s="2">
        <v>20984.9422287774</v>
      </c>
      <c r="AH6598" s="2">
        <v>20780.413139709199</v>
      </c>
      <c r="AI6598" s="2">
        <v>24466.1506207657</v>
      </c>
      <c r="AJ6598" s="2">
        <v>21173.742860767401</v>
      </c>
      <c r="AK6598" s="2">
        <v>15417.404543119699</v>
      </c>
      <c r="AL6598" s="2">
        <v>49583.214198153997</v>
      </c>
      <c r="AM6598" s="2">
        <v>24056.856982393299</v>
      </c>
      <c r="AN6598" s="2">
        <v>21247.124513452702</v>
      </c>
      <c r="AO6598" s="2">
        <v>17846.6603737037</v>
      </c>
      <c r="AP6598" s="2">
        <v>10881.0480533758</v>
      </c>
    </row>
    <row r="6599" spans="1:42" ht="14.5" x14ac:dyDescent="0.35">
      <c r="A6599" s="2" t="s">
        <v>43750</v>
      </c>
      <c r="B6599" s="2">
        <v>603.13514880725404</v>
      </c>
      <c r="C6599" s="2">
        <v>3.8059833333333302</v>
      </c>
      <c r="D6599" s="2" t="s">
        <v>70</v>
      </c>
      <c r="E6599" s="2" t="s">
        <v>43751</v>
      </c>
      <c r="F6599" s="2">
        <v>63987</v>
      </c>
      <c r="G6599" s="3" t="str">
        <f>HYPERLINK("http://funmeta.oebiotech.com/network/63987", "http://funmeta.oebiotech.com/network/63987")</f>
        <v>http://funmeta.oebiotech.com/network/63987</v>
      </c>
      <c r="H6599" s="2" t="s">
        <v>43752</v>
      </c>
      <c r="I6599" s="2">
        <v>95318</v>
      </c>
      <c r="J6599" s="2"/>
      <c r="K6599" s="2">
        <v>176048</v>
      </c>
      <c r="L6599" s="2"/>
      <c r="M6599" s="2"/>
      <c r="N6599" s="2"/>
      <c r="O6599" s="2">
        <v>131752958</v>
      </c>
      <c r="P6599" s="2" t="s">
        <v>43753</v>
      </c>
      <c r="Q6599" s="2" t="s">
        <v>43754</v>
      </c>
      <c r="R6599" s="2" t="s">
        <v>43755</v>
      </c>
      <c r="S6599" s="2" t="s">
        <v>115</v>
      </c>
      <c r="T6599" s="2" t="s">
        <v>4730</v>
      </c>
      <c r="U6599" s="2" t="s">
        <v>4731</v>
      </c>
      <c r="V6599" s="2" t="s">
        <v>59</v>
      </c>
      <c r="W6599" s="2">
        <v>37.5</v>
      </c>
      <c r="X6599" s="2">
        <v>0</v>
      </c>
      <c r="Y6599" s="2" t="s">
        <v>408</v>
      </c>
      <c r="Z6599" s="2" t="s">
        <v>43756</v>
      </c>
      <c r="AA6599" s="2">
        <v>-0.707623046818878</v>
      </c>
      <c r="AB6599" s="2">
        <v>2.1331759973875999E-2</v>
      </c>
      <c r="AC6599" s="2">
        <v>3722.5677782499502</v>
      </c>
      <c r="AD6599" s="2">
        <v>3936.3946926190001</v>
      </c>
      <c r="AE6599" s="2">
        <v>2729.3565563653301</v>
      </c>
      <c r="AF6599" s="2">
        <v>3317.7477512226001</v>
      </c>
      <c r="AG6599" s="2">
        <v>3450.0144127052499</v>
      </c>
      <c r="AH6599" s="2">
        <v>4305.8162279686503</v>
      </c>
      <c r="AI6599" s="2">
        <v>5035.14610109353</v>
      </c>
      <c r="AJ6599" s="2">
        <v>3497.3256201443601</v>
      </c>
      <c r="AK6599" s="2">
        <v>4037.8180544032598</v>
      </c>
      <c r="AL6599" s="2">
        <v>3711.0674629229102</v>
      </c>
      <c r="AM6599" s="2">
        <v>3016.2888855183701</v>
      </c>
      <c r="AN6599" s="2">
        <v>5488.9567188850697</v>
      </c>
      <c r="AO6599" s="2">
        <v>4733.8550241920102</v>
      </c>
      <c r="AP6599" s="2">
        <v>2630.3820097923599</v>
      </c>
    </row>
    <row r="6600" spans="1:42" ht="14.5" x14ac:dyDescent="0.35">
      <c r="A6600" s="2" t="s">
        <v>43757</v>
      </c>
      <c r="B6600" s="2">
        <v>703.35360455437001</v>
      </c>
      <c r="C6600" s="2">
        <v>8.9322333333333308</v>
      </c>
      <c r="D6600" s="2" t="s">
        <v>70</v>
      </c>
      <c r="E6600" s="2" t="s">
        <v>43758</v>
      </c>
      <c r="F6600" s="2">
        <v>274343</v>
      </c>
      <c r="G6600" s="3" t="str">
        <f>HYPERLINK("http://funmeta.oebiotech.com/network/274343", "http://funmeta.oebiotech.com/network/274343")</f>
        <v>http://funmeta.oebiotech.com/network/274343</v>
      </c>
      <c r="H6600" s="2"/>
      <c r="I6600" s="2">
        <v>64327</v>
      </c>
      <c r="J6600" s="2"/>
      <c r="K6600" s="2"/>
      <c r="L6600" s="2" t="s">
        <v>43759</v>
      </c>
      <c r="M6600" s="2" t="s">
        <v>28385</v>
      </c>
      <c r="N6600" s="2" t="s">
        <v>28386</v>
      </c>
      <c r="O6600" s="2">
        <v>441975</v>
      </c>
      <c r="P6600" s="2" t="s">
        <v>43760</v>
      </c>
      <c r="Q6600" s="2" t="s">
        <v>43761</v>
      </c>
      <c r="R6600" s="2" t="s">
        <v>43762</v>
      </c>
      <c r="S6600" s="2" t="s">
        <v>39</v>
      </c>
      <c r="T6600" s="2" t="s">
        <v>43763</v>
      </c>
      <c r="U6600" s="2" t="s">
        <v>41</v>
      </c>
      <c r="V6600" s="2" t="s">
        <v>59</v>
      </c>
      <c r="W6600" s="2">
        <v>38</v>
      </c>
      <c r="X6600" s="2">
        <v>0</v>
      </c>
      <c r="Y6600" s="2" t="s">
        <v>560</v>
      </c>
      <c r="Z6600" s="2" t="s">
        <v>43764</v>
      </c>
      <c r="AA6600" s="2">
        <v>4.9629783443160598</v>
      </c>
      <c r="AB6600" s="2">
        <v>2.1319504704879699E-2</v>
      </c>
      <c r="AC6600" s="2">
        <v>10158.9184497555</v>
      </c>
      <c r="AD6600" s="2">
        <v>10372.720902757899</v>
      </c>
      <c r="AE6600" s="2">
        <v>9120.5116796277198</v>
      </c>
      <c r="AF6600" s="2">
        <v>9506.5161468148308</v>
      </c>
      <c r="AG6600" s="2">
        <v>10484.4025487136</v>
      </c>
      <c r="AH6600" s="2">
        <v>10256.333422126099</v>
      </c>
      <c r="AI6600" s="2">
        <v>10575.0282774848</v>
      </c>
      <c r="AJ6600" s="2">
        <v>11010.718623765801</v>
      </c>
      <c r="AK6600" s="2">
        <v>8968.0531325974207</v>
      </c>
      <c r="AL6600" s="2">
        <v>10103.2955191031</v>
      </c>
      <c r="AM6600" s="2">
        <v>11257.486763687601</v>
      </c>
      <c r="AN6600" s="2">
        <v>10834.623161207401</v>
      </c>
      <c r="AO6600" s="2">
        <v>9469.9648200583797</v>
      </c>
      <c r="AP6600" s="2">
        <v>11602.9020198936</v>
      </c>
    </row>
    <row r="6601" spans="1:42" ht="14.5" x14ac:dyDescent="0.35">
      <c r="A6601" s="2" t="s">
        <v>43765</v>
      </c>
      <c r="B6601" s="2">
        <v>250.05909439792001</v>
      </c>
      <c r="C6601" s="2">
        <v>1.4587666666666701</v>
      </c>
      <c r="D6601" s="2" t="s">
        <v>34</v>
      </c>
      <c r="E6601" s="2" t="s">
        <v>43766</v>
      </c>
      <c r="F6601" s="2">
        <v>53199</v>
      </c>
      <c r="G6601" s="3" t="str">
        <f>HYPERLINK("http://funmeta.oebiotech.com/network/53199", "http://funmeta.oebiotech.com/network/53199")</f>
        <v>http://funmeta.oebiotech.com/network/53199</v>
      </c>
      <c r="H6601" s="2" t="s">
        <v>43767</v>
      </c>
      <c r="I6601" s="2">
        <v>3061</v>
      </c>
      <c r="J6601" s="2"/>
      <c r="K6601" s="2">
        <v>10101</v>
      </c>
      <c r="L6601" s="2" t="s">
        <v>43768</v>
      </c>
      <c r="M6601" s="2" t="s">
        <v>4185</v>
      </c>
      <c r="N6601" s="2" t="s">
        <v>4186</v>
      </c>
      <c r="O6601" s="2">
        <v>24066</v>
      </c>
      <c r="P6601" s="2" t="s">
        <v>43769</v>
      </c>
      <c r="Q6601" s="2" t="s">
        <v>43770</v>
      </c>
      <c r="R6601" s="2" t="s">
        <v>43771</v>
      </c>
      <c r="S6601" s="2" t="s">
        <v>1444</v>
      </c>
      <c r="T6601" s="2" t="s">
        <v>10689</v>
      </c>
      <c r="U6601" s="2" t="s">
        <v>21141</v>
      </c>
      <c r="V6601" s="2" t="s">
        <v>59</v>
      </c>
      <c r="W6601" s="2">
        <v>38.5</v>
      </c>
      <c r="X6601" s="2">
        <v>0</v>
      </c>
      <c r="Y6601" s="2" t="s">
        <v>340</v>
      </c>
      <c r="Z6601" s="2" t="s">
        <v>43772</v>
      </c>
      <c r="AA6601" s="2">
        <v>1.1607433965638201</v>
      </c>
      <c r="AB6601" s="2">
        <v>2.1190952949511899E-2</v>
      </c>
      <c r="AC6601" s="2">
        <v>4095.8906899640301</v>
      </c>
      <c r="AD6601" s="2">
        <v>3961.6841600702201</v>
      </c>
      <c r="AE6601" s="2">
        <v>4014.9003914388099</v>
      </c>
      <c r="AF6601" s="2">
        <v>4165.1376278801399</v>
      </c>
      <c r="AG6601" s="2">
        <v>4030.76872789561</v>
      </c>
      <c r="AH6601" s="2">
        <v>3687.8115336102401</v>
      </c>
      <c r="AI6601" s="2">
        <v>4225.1528100742598</v>
      </c>
      <c r="AJ6601" s="2">
        <v>4451.5730488851204</v>
      </c>
      <c r="AK6601" s="2">
        <v>3611.3674037486799</v>
      </c>
      <c r="AL6601" s="2">
        <v>4451.8536714544798</v>
      </c>
      <c r="AM6601" s="2">
        <v>3447.88644693878</v>
      </c>
      <c r="AN6601" s="2">
        <v>3854.9848326940701</v>
      </c>
      <c r="AO6601" s="2">
        <v>4284.6114948003797</v>
      </c>
      <c r="AP6601" s="2">
        <v>4119.4011107849301</v>
      </c>
    </row>
    <row r="6602" spans="1:42" ht="14.5" x14ac:dyDescent="0.35">
      <c r="A6602" s="2" t="s">
        <v>43773</v>
      </c>
      <c r="B6602" s="2">
        <v>876.34510642386203</v>
      </c>
      <c r="C6602" s="2">
        <v>10.04975</v>
      </c>
      <c r="D6602" s="2" t="s">
        <v>70</v>
      </c>
      <c r="E6602" s="2" t="s">
        <v>43774</v>
      </c>
      <c r="F6602" s="2">
        <v>204693</v>
      </c>
      <c r="G6602" s="3" t="str">
        <f>HYPERLINK("http://funmeta.oebiotech.com/network/204693", "http://funmeta.oebiotech.com/network/204693")</f>
        <v>http://funmeta.oebiotech.com/network/204693</v>
      </c>
      <c r="H6602" s="2" t="s">
        <v>43775</v>
      </c>
      <c r="I6602" s="2"/>
      <c r="J6602" s="2"/>
      <c r="K6602" s="2"/>
      <c r="L6602" s="2"/>
      <c r="M6602" s="2"/>
      <c r="N6602" s="2"/>
      <c r="O6602" s="2">
        <v>4597078</v>
      </c>
      <c r="P6602" s="2"/>
      <c r="Q6602" s="2" t="s">
        <v>43776</v>
      </c>
      <c r="R6602" s="2" t="s">
        <v>43777</v>
      </c>
      <c r="S6602" s="2" t="s">
        <v>50</v>
      </c>
      <c r="T6602" s="2" t="s">
        <v>201</v>
      </c>
      <c r="U6602" s="2" t="s">
        <v>241</v>
      </c>
      <c r="V6602" s="2" t="s">
        <v>42</v>
      </c>
      <c r="W6602" s="2">
        <v>53.1</v>
      </c>
      <c r="X6602" s="2">
        <v>72.8</v>
      </c>
      <c r="Y6602" s="2" t="s">
        <v>408</v>
      </c>
      <c r="Z6602" s="2" t="s">
        <v>1250</v>
      </c>
      <c r="AA6602" s="2">
        <v>0.35866570069611498</v>
      </c>
      <c r="AB6602" s="2">
        <v>2.1165818806022401E-2</v>
      </c>
      <c r="AC6602" s="2">
        <v>8537.9501974655996</v>
      </c>
      <c r="AD6602" s="2">
        <v>8254.1675643902108</v>
      </c>
      <c r="AE6602" s="2">
        <v>8208.0094508205493</v>
      </c>
      <c r="AF6602" s="2">
        <v>7768.4875407209402</v>
      </c>
      <c r="AG6602" s="2">
        <v>8043.5046134252898</v>
      </c>
      <c r="AH6602" s="2">
        <v>9091.38361293251</v>
      </c>
      <c r="AI6602" s="2">
        <v>7784.05502493111</v>
      </c>
      <c r="AJ6602" s="2">
        <v>10332.260941963201</v>
      </c>
      <c r="AK6602" s="2">
        <v>10550.551898064899</v>
      </c>
      <c r="AL6602" s="2">
        <v>5851.7720091359397</v>
      </c>
      <c r="AM6602" s="2">
        <v>6815.7274364016603</v>
      </c>
      <c r="AN6602" s="2">
        <v>7513.2170121576701</v>
      </c>
      <c r="AO6602" s="2">
        <v>8434.3137868521208</v>
      </c>
      <c r="AP6602" s="2">
        <v>10359.423243728999</v>
      </c>
    </row>
    <row r="6603" spans="1:42" ht="14.5" x14ac:dyDescent="0.35">
      <c r="A6603" s="2" t="s">
        <v>43778</v>
      </c>
      <c r="B6603" s="2">
        <v>587.02182549871804</v>
      </c>
      <c r="C6603" s="2">
        <v>2.5012833333333302</v>
      </c>
      <c r="D6603" s="2" t="s">
        <v>70</v>
      </c>
      <c r="E6603" s="2" t="s">
        <v>43779</v>
      </c>
      <c r="F6603" s="2">
        <v>257319</v>
      </c>
      <c r="G6603" s="3" t="str">
        <f>HYPERLINK("http://funmeta.oebiotech.com/network/257319", "http://funmeta.oebiotech.com/network/257319")</f>
        <v>http://funmeta.oebiotech.com/network/257319</v>
      </c>
      <c r="H6603" s="2" t="s">
        <v>43780</v>
      </c>
      <c r="I6603" s="2"/>
      <c r="J6603" s="2"/>
      <c r="K6603" s="2"/>
      <c r="L6603" s="2"/>
      <c r="M6603" s="2"/>
      <c r="N6603" s="2"/>
      <c r="O6603" s="2">
        <v>74413726</v>
      </c>
      <c r="P6603" s="2"/>
      <c r="Q6603" s="2" t="s">
        <v>43781</v>
      </c>
      <c r="R6603" s="2" t="s">
        <v>43782</v>
      </c>
      <c r="S6603" s="2" t="s">
        <v>1444</v>
      </c>
      <c r="T6603" s="2" t="s">
        <v>4937</v>
      </c>
      <c r="U6603" s="2" t="s">
        <v>5723</v>
      </c>
      <c r="V6603" s="2" t="s">
        <v>59</v>
      </c>
      <c r="W6603" s="2">
        <v>37.9</v>
      </c>
      <c r="X6603" s="2">
        <v>0</v>
      </c>
      <c r="Y6603" s="2" t="s">
        <v>118</v>
      </c>
      <c r="Z6603" s="2" t="s">
        <v>43783</v>
      </c>
      <c r="AA6603" s="2">
        <v>-1.1620679923194801</v>
      </c>
      <c r="AB6603" s="2">
        <v>2.11137229390332E-2</v>
      </c>
      <c r="AC6603" s="2">
        <v>2648.2280878583001</v>
      </c>
      <c r="AD6603" s="2">
        <v>2769.9864179255501</v>
      </c>
      <c r="AE6603" s="2">
        <v>2799.78666936017</v>
      </c>
      <c r="AF6603" s="2">
        <v>2783.82610117693</v>
      </c>
      <c r="AG6603" s="2">
        <v>2732.6577557799101</v>
      </c>
      <c r="AH6603" s="2">
        <v>2704.1297122288502</v>
      </c>
      <c r="AI6603" s="2">
        <v>2919.7238743103098</v>
      </c>
      <c r="AJ6603" s="2">
        <v>1949.2444142936399</v>
      </c>
      <c r="AK6603" s="2">
        <v>2863.0294872433201</v>
      </c>
      <c r="AL6603" s="2">
        <v>2769.8442171327501</v>
      </c>
      <c r="AM6603" s="2">
        <v>2949.9086543605799</v>
      </c>
      <c r="AN6603" s="2">
        <v>2918.8482219440798</v>
      </c>
      <c r="AO6603" s="2">
        <v>2577.0492910990802</v>
      </c>
      <c r="AP6603" s="2">
        <v>2541.2386357734999</v>
      </c>
    </row>
    <row r="6604" spans="1:42" ht="14.5" x14ac:dyDescent="0.35">
      <c r="A6604" s="2" t="s">
        <v>43784</v>
      </c>
      <c r="B6604" s="2">
        <v>201.05092785428999</v>
      </c>
      <c r="C6604" s="2">
        <v>3.30925</v>
      </c>
      <c r="D6604" s="2" t="s">
        <v>34</v>
      </c>
      <c r="E6604" s="2" t="s">
        <v>43785</v>
      </c>
      <c r="F6604" s="2">
        <v>197327</v>
      </c>
      <c r="G6604" s="3" t="str">
        <f>HYPERLINK("http://funmeta.oebiotech.com/network/197327", "http://funmeta.oebiotech.com/network/197327")</f>
        <v>http://funmeta.oebiotech.com/network/197327</v>
      </c>
      <c r="H6604" s="2" t="s">
        <v>43786</v>
      </c>
      <c r="I6604" s="2"/>
      <c r="J6604" s="2"/>
      <c r="K6604" s="2"/>
      <c r="L6604" s="2"/>
      <c r="M6604" s="2"/>
      <c r="N6604" s="2"/>
      <c r="O6604" s="2">
        <v>15909779</v>
      </c>
      <c r="P6604" s="2"/>
      <c r="Q6604" s="2" t="s">
        <v>43787</v>
      </c>
      <c r="R6604" s="2" t="s">
        <v>43788</v>
      </c>
      <c r="S6604" s="2" t="s">
        <v>41</v>
      </c>
      <c r="T6604" s="2" t="s">
        <v>41</v>
      </c>
      <c r="U6604" s="2" t="s">
        <v>41</v>
      </c>
      <c r="V6604" s="2" t="s">
        <v>59</v>
      </c>
      <c r="W6604" s="2">
        <v>37.799999999999997</v>
      </c>
      <c r="X6604" s="2">
        <v>0</v>
      </c>
      <c r="Y6604" s="2" t="s">
        <v>141</v>
      </c>
      <c r="Z6604" s="2" t="s">
        <v>43789</v>
      </c>
      <c r="AA6604" s="2">
        <v>1.5136470899877901</v>
      </c>
      <c r="AB6604" s="2">
        <v>2.1087206996389999E-2</v>
      </c>
      <c r="AC6604" s="2">
        <v>4530.4232757506797</v>
      </c>
      <c r="AD6604" s="2">
        <v>4771.7850436060298</v>
      </c>
      <c r="AE6604" s="2">
        <v>5320.1340943286696</v>
      </c>
      <c r="AF6604" s="2">
        <v>4815.8509681715104</v>
      </c>
      <c r="AG6604" s="2">
        <v>3883.5529417459302</v>
      </c>
      <c r="AH6604" s="2">
        <v>6529.4627200321802</v>
      </c>
      <c r="AI6604" s="2">
        <v>3323.3242754912499</v>
      </c>
      <c r="AJ6604" s="2">
        <v>3310.2146547345501</v>
      </c>
      <c r="AK6604" s="2">
        <v>5747.5254476738201</v>
      </c>
      <c r="AL6604" s="2">
        <v>4496.1751827111602</v>
      </c>
      <c r="AM6604" s="2">
        <v>4879.10016707872</v>
      </c>
      <c r="AN6604" s="2">
        <v>4373.9044523879302</v>
      </c>
      <c r="AO6604" s="2">
        <v>5302.0717715497904</v>
      </c>
      <c r="AP6604" s="2">
        <v>3831.93324023478</v>
      </c>
    </row>
    <row r="6605" spans="1:42" ht="14.5" x14ac:dyDescent="0.35">
      <c r="A6605" s="2" t="s">
        <v>43790</v>
      </c>
      <c r="B6605" s="2">
        <v>348.97969001590502</v>
      </c>
      <c r="C6605" s="2">
        <v>1.20376666666667</v>
      </c>
      <c r="D6605" s="2" t="s">
        <v>70</v>
      </c>
      <c r="E6605" s="2" t="s">
        <v>43791</v>
      </c>
      <c r="F6605" s="2">
        <v>197268</v>
      </c>
      <c r="G6605" s="3" t="str">
        <f>HYPERLINK("http://funmeta.oebiotech.com/network/197268", "http://funmeta.oebiotech.com/network/197268")</f>
        <v>http://funmeta.oebiotech.com/network/197268</v>
      </c>
      <c r="H6605" s="2" t="s">
        <v>43792</v>
      </c>
      <c r="I6605" s="2"/>
      <c r="J6605" s="2"/>
      <c r="K6605" s="2">
        <v>133559</v>
      </c>
      <c r="L6605" s="2"/>
      <c r="M6605" s="2"/>
      <c r="N6605" s="2"/>
      <c r="O6605" s="2">
        <v>22642043</v>
      </c>
      <c r="P6605" s="2" t="s">
        <v>43793</v>
      </c>
      <c r="Q6605" s="2" t="s">
        <v>43794</v>
      </c>
      <c r="R6605" s="2" t="s">
        <v>43795</v>
      </c>
      <c r="S6605" s="2" t="s">
        <v>89</v>
      </c>
      <c r="T6605" s="2" t="s">
        <v>1773</v>
      </c>
      <c r="U6605" s="2" t="s">
        <v>21134</v>
      </c>
      <c r="V6605" s="2" t="s">
        <v>59</v>
      </c>
      <c r="W6605" s="2">
        <v>38.200000000000003</v>
      </c>
      <c r="X6605" s="2">
        <v>0</v>
      </c>
      <c r="Y6605" s="2" t="s">
        <v>560</v>
      </c>
      <c r="Z6605" s="2" t="s">
        <v>43796</v>
      </c>
      <c r="AA6605" s="2">
        <v>-2.54534223668117</v>
      </c>
      <c r="AB6605" s="2">
        <v>2.1086584318734301E-2</v>
      </c>
      <c r="AC6605" s="2">
        <v>2868.49010087127</v>
      </c>
      <c r="AD6605" s="2">
        <v>2992.70327983382</v>
      </c>
      <c r="AE6605" s="2">
        <v>2683.6809190027702</v>
      </c>
      <c r="AF6605" s="2">
        <v>2782.3021468105298</v>
      </c>
      <c r="AG6605" s="2">
        <v>2757.3108485472098</v>
      </c>
      <c r="AH6605" s="2">
        <v>2996.6179846367399</v>
      </c>
      <c r="AI6605" s="2">
        <v>2837.0741443547199</v>
      </c>
      <c r="AJ6605" s="2">
        <v>3153.9545618756802</v>
      </c>
      <c r="AK6605" s="2">
        <v>3272.9997936822001</v>
      </c>
      <c r="AL6605" s="2">
        <v>3069.16384280889</v>
      </c>
      <c r="AM6605" s="2">
        <v>2352.18306886153</v>
      </c>
      <c r="AN6605" s="2">
        <v>2843.06569648306</v>
      </c>
      <c r="AO6605" s="2">
        <v>3222.2067301501502</v>
      </c>
      <c r="AP6605" s="2">
        <v>3196.6005470171099</v>
      </c>
    </row>
    <row r="6606" spans="1:42" ht="14.5" x14ac:dyDescent="0.35">
      <c r="A6606" s="2" t="s">
        <v>43797</v>
      </c>
      <c r="B6606" s="2">
        <v>313.06943680334899</v>
      </c>
      <c r="C6606" s="2">
        <v>1.40848333333333</v>
      </c>
      <c r="D6606" s="2" t="s">
        <v>70</v>
      </c>
      <c r="E6606" s="2" t="s">
        <v>43798</v>
      </c>
      <c r="F6606" s="2">
        <v>51462</v>
      </c>
      <c r="G6606" s="3" t="str">
        <f>HYPERLINK("http://funmeta.oebiotech.com/network/51462", "http://funmeta.oebiotech.com/network/51462")</f>
        <v>http://funmeta.oebiotech.com/network/51462</v>
      </c>
      <c r="H6606" s="2" t="s">
        <v>43799</v>
      </c>
      <c r="I6606" s="2">
        <v>62418</v>
      </c>
      <c r="J6606" s="2"/>
      <c r="K6606" s="2">
        <v>169919</v>
      </c>
      <c r="L6606" s="2"/>
      <c r="M6606" s="2"/>
      <c r="N6606" s="2"/>
      <c r="O6606" s="2">
        <v>53481026</v>
      </c>
      <c r="P6606" s="2"/>
      <c r="Q6606" s="2" t="s">
        <v>43800</v>
      </c>
      <c r="R6606" s="2" t="s">
        <v>43801</v>
      </c>
      <c r="S6606" s="2" t="s">
        <v>79</v>
      </c>
      <c r="T6606" s="2" t="s">
        <v>80</v>
      </c>
      <c r="U6606" s="2" t="s">
        <v>2820</v>
      </c>
      <c r="V6606" s="2" t="s">
        <v>59</v>
      </c>
      <c r="W6606" s="2">
        <v>38.6</v>
      </c>
      <c r="X6606" s="2">
        <v>0</v>
      </c>
      <c r="Y6606" s="2" t="s">
        <v>408</v>
      </c>
      <c r="Z6606" s="2" t="s">
        <v>43802</v>
      </c>
      <c r="AA6606" s="2">
        <v>0.16570687363810499</v>
      </c>
      <c r="AB6606" s="2">
        <v>2.1052053629912901E-2</v>
      </c>
      <c r="AC6606" s="2">
        <v>1212.4387147191701</v>
      </c>
      <c r="AD6606" s="2">
        <v>1313.6532294199901</v>
      </c>
      <c r="AE6606" s="2">
        <v>1356.24686498152</v>
      </c>
      <c r="AF6606" s="2">
        <v>1229.9935800979599</v>
      </c>
      <c r="AG6606" s="2">
        <v>925.58176526824798</v>
      </c>
      <c r="AH6606" s="2">
        <v>1319.88205723497</v>
      </c>
      <c r="AI6606" s="2">
        <v>1153.7549491482</v>
      </c>
      <c r="AJ6606" s="2">
        <v>1289.1730715841099</v>
      </c>
      <c r="AK6606" s="2">
        <v>1432.8212544734499</v>
      </c>
      <c r="AL6606" s="2">
        <v>1299.1956520214301</v>
      </c>
      <c r="AM6606" s="2">
        <v>1358.9041099440101</v>
      </c>
      <c r="AN6606" s="2">
        <v>1138.62739240056</v>
      </c>
      <c r="AO6606" s="2">
        <v>1043.66489621153</v>
      </c>
      <c r="AP6606" s="2">
        <v>1608.7060714689801</v>
      </c>
    </row>
    <row r="6607" spans="1:42" ht="14.5" x14ac:dyDescent="0.35">
      <c r="A6607" s="2" t="s">
        <v>43803</v>
      </c>
      <c r="B6607" s="2">
        <v>144.99062397400601</v>
      </c>
      <c r="C6607" s="2">
        <v>14.202916666666701</v>
      </c>
      <c r="D6607" s="2" t="s">
        <v>70</v>
      </c>
      <c r="E6607" s="2" t="s">
        <v>43804</v>
      </c>
      <c r="F6607" s="2">
        <v>58209</v>
      </c>
      <c r="G6607" s="3" t="str">
        <f>HYPERLINK("http://funmeta.oebiotech.com/network/58209", "http://funmeta.oebiotech.com/network/58209")</f>
        <v>http://funmeta.oebiotech.com/network/58209</v>
      </c>
      <c r="H6607" s="2" t="s">
        <v>43805</v>
      </c>
      <c r="I6607" s="2">
        <v>72388</v>
      </c>
      <c r="J6607" s="2"/>
      <c r="K6607" s="2">
        <v>78337</v>
      </c>
      <c r="L6607" s="2" t="s">
        <v>43806</v>
      </c>
      <c r="M6607" s="2"/>
      <c r="N6607" s="2"/>
      <c r="O6607" s="2">
        <v>11167</v>
      </c>
      <c r="P6607" s="2" t="s">
        <v>43807</v>
      </c>
      <c r="Q6607" s="2" t="s">
        <v>43808</v>
      </c>
      <c r="R6607" s="2" t="s">
        <v>43809</v>
      </c>
      <c r="S6607" s="2" t="s">
        <v>5916</v>
      </c>
      <c r="T6607" s="2" t="s">
        <v>33870</v>
      </c>
      <c r="U6607" s="2" t="s">
        <v>41</v>
      </c>
      <c r="V6607" s="2" t="s">
        <v>59</v>
      </c>
      <c r="W6607" s="2">
        <v>38</v>
      </c>
      <c r="X6607" s="2">
        <v>0</v>
      </c>
      <c r="Y6607" s="2" t="s">
        <v>560</v>
      </c>
      <c r="Z6607" s="2" t="s">
        <v>43810</v>
      </c>
      <c r="AA6607" s="2">
        <v>4.5220305871346298</v>
      </c>
      <c r="AB6607" s="2">
        <v>2.1016398779467201E-2</v>
      </c>
      <c r="AC6607" s="2">
        <v>601.67159492563098</v>
      </c>
      <c r="AD6607" s="2">
        <v>685.74443038137997</v>
      </c>
      <c r="AE6607" s="2">
        <v>793.68527194443504</v>
      </c>
      <c r="AF6607" s="2">
        <v>461.116966555516</v>
      </c>
      <c r="AG6607" s="2">
        <v>459.67117344803501</v>
      </c>
      <c r="AH6607" s="2">
        <v>711.60602516272297</v>
      </c>
      <c r="AI6607" s="2">
        <v>555.39920492131102</v>
      </c>
      <c r="AJ6607" s="2">
        <v>628.55092752176495</v>
      </c>
      <c r="AK6607" s="2">
        <v>869.92430655164105</v>
      </c>
      <c r="AL6607" s="2">
        <v>728.00000288541298</v>
      </c>
      <c r="AM6607" s="2">
        <v>699.72934597194501</v>
      </c>
      <c r="AN6607" s="2">
        <v>581.94687536171898</v>
      </c>
      <c r="AO6607" s="2">
        <v>673.23084151116404</v>
      </c>
      <c r="AP6607" s="2">
        <v>561.63521000639798</v>
      </c>
    </row>
    <row r="6608" spans="1:42" ht="14.5" x14ac:dyDescent="0.35">
      <c r="A6608" s="2" t="s">
        <v>43811</v>
      </c>
      <c r="B6608" s="2">
        <v>170.11745820100799</v>
      </c>
      <c r="C6608" s="2">
        <v>11.270016666666701</v>
      </c>
      <c r="D6608" s="2" t="s">
        <v>34</v>
      </c>
      <c r="E6608" s="2" t="s">
        <v>43812</v>
      </c>
      <c r="F6608" s="2">
        <v>2503</v>
      </c>
      <c r="G6608" s="3" t="str">
        <f>HYPERLINK("http://funmeta.oebiotech.com/network/2503", "http://funmeta.oebiotech.com/network/2503")</f>
        <v>http://funmeta.oebiotech.com/network/2503</v>
      </c>
      <c r="H6608" s="2" t="s">
        <v>43813</v>
      </c>
      <c r="I6608" s="2">
        <v>3322</v>
      </c>
      <c r="J6608" s="2" t="s">
        <v>43814</v>
      </c>
      <c r="K6608" s="2">
        <v>149468</v>
      </c>
      <c r="L6608" s="2" t="s">
        <v>43815</v>
      </c>
      <c r="M6608" s="2" t="s">
        <v>36013</v>
      </c>
      <c r="N6608" s="2" t="s">
        <v>36014</v>
      </c>
      <c r="O6608" s="2">
        <v>448124</v>
      </c>
      <c r="P6608" s="2" t="s">
        <v>43816</v>
      </c>
      <c r="Q6608" s="2" t="s">
        <v>43817</v>
      </c>
      <c r="R6608" s="2" t="s">
        <v>43818</v>
      </c>
      <c r="S6608" s="2" t="s">
        <v>50</v>
      </c>
      <c r="T6608" s="2" t="s">
        <v>229</v>
      </c>
      <c r="U6608" s="2" t="s">
        <v>433</v>
      </c>
      <c r="V6608" s="2" t="s">
        <v>42</v>
      </c>
      <c r="W6608" s="2">
        <v>51.4</v>
      </c>
      <c r="X6608" s="2">
        <v>64.900000000000006</v>
      </c>
      <c r="Y6608" s="2" t="s">
        <v>141</v>
      </c>
      <c r="Z6608" s="2" t="s">
        <v>43819</v>
      </c>
      <c r="AA6608" s="2">
        <v>-0.51815532976317902</v>
      </c>
      <c r="AB6608" s="2">
        <v>2.10134843840813E-2</v>
      </c>
      <c r="AC6608" s="2">
        <v>1318.31977936268</v>
      </c>
      <c r="AD6608" s="2">
        <v>1559.65878509296</v>
      </c>
      <c r="AE6608" s="2">
        <v>1398.28864628578</v>
      </c>
      <c r="AF6608" s="2">
        <v>1368.53077853492</v>
      </c>
      <c r="AG6608" s="2">
        <v>1180.9243862726801</v>
      </c>
      <c r="AH6608" s="2">
        <v>1101.8064464692</v>
      </c>
      <c r="AI6608" s="2">
        <v>1973.42760468336</v>
      </c>
      <c r="AJ6608" s="2">
        <v>886.94081393012698</v>
      </c>
      <c r="AK6608" s="2">
        <v>773.97429490275101</v>
      </c>
      <c r="AL6608" s="2">
        <v>741.39998584683894</v>
      </c>
      <c r="AM6608" s="2">
        <v>742.69254072532397</v>
      </c>
      <c r="AN6608" s="2">
        <v>1136.8122097220701</v>
      </c>
      <c r="AO6608" s="2">
        <v>4783.18494978737</v>
      </c>
      <c r="AP6608" s="2">
        <v>1179.88872957341</v>
      </c>
    </row>
    <row r="6609" spans="1:42" ht="14.5" x14ac:dyDescent="0.35">
      <c r="A6609" s="2" t="s">
        <v>43820</v>
      </c>
      <c r="B6609" s="2">
        <v>579.20659445863896</v>
      </c>
      <c r="C6609" s="2">
        <v>5.6176666666666701</v>
      </c>
      <c r="D6609" s="2" t="s">
        <v>70</v>
      </c>
      <c r="E6609" s="2" t="s">
        <v>43821</v>
      </c>
      <c r="F6609" s="2">
        <v>200159</v>
      </c>
      <c r="G6609" s="3" t="str">
        <f>HYPERLINK("http://funmeta.oebiotech.com/network/200159", "http://funmeta.oebiotech.com/network/200159")</f>
        <v>http://funmeta.oebiotech.com/network/200159</v>
      </c>
      <c r="H6609" s="2" t="s">
        <v>43822</v>
      </c>
      <c r="I6609" s="2"/>
      <c r="J6609" s="2"/>
      <c r="K6609" s="2"/>
      <c r="L6609" s="2"/>
      <c r="M6609" s="2"/>
      <c r="N6609" s="2"/>
      <c r="O6609" s="2">
        <v>99759</v>
      </c>
      <c r="P6609" s="2"/>
      <c r="Q6609" s="2" t="s">
        <v>43823</v>
      </c>
      <c r="R6609" s="2" t="s">
        <v>43824</v>
      </c>
      <c r="S6609" s="2" t="s">
        <v>41</v>
      </c>
      <c r="T6609" s="2" t="s">
        <v>41</v>
      </c>
      <c r="U6609" s="2" t="s">
        <v>41</v>
      </c>
      <c r="V6609" s="2" t="s">
        <v>59</v>
      </c>
      <c r="W6609" s="2">
        <v>38.200000000000003</v>
      </c>
      <c r="X6609" s="2">
        <v>0</v>
      </c>
      <c r="Y6609" s="2" t="s">
        <v>560</v>
      </c>
      <c r="Z6609" s="2" t="s">
        <v>43825</v>
      </c>
      <c r="AA6609" s="2">
        <v>4.8525363535186203</v>
      </c>
      <c r="AB6609" s="2">
        <v>2.0949196587917999E-2</v>
      </c>
      <c r="AC6609" s="2">
        <v>6563.6210196704196</v>
      </c>
      <c r="AD6609" s="2">
        <v>6285.85140628516</v>
      </c>
      <c r="AE6609" s="2">
        <v>6859.6293189165999</v>
      </c>
      <c r="AF6609" s="2">
        <v>8134.1170312881404</v>
      </c>
      <c r="AG6609" s="2">
        <v>7288.2393801892003</v>
      </c>
      <c r="AH6609" s="2">
        <v>4941.9345156732597</v>
      </c>
      <c r="AI6609" s="2">
        <v>5025.1154116993002</v>
      </c>
      <c r="AJ6609" s="2">
        <v>7132.6904602559998</v>
      </c>
      <c r="AK6609" s="2">
        <v>6312.0351569592904</v>
      </c>
      <c r="AL6609" s="2">
        <v>4370.5816277563799</v>
      </c>
      <c r="AM6609" s="2">
        <v>4458.2564468381497</v>
      </c>
      <c r="AN6609" s="2">
        <v>6524.2422625463896</v>
      </c>
      <c r="AO6609" s="2">
        <v>6590.3431148048903</v>
      </c>
      <c r="AP6609" s="2">
        <v>9459.6498288058701</v>
      </c>
    </row>
    <row r="6610" spans="1:42" ht="14.5" x14ac:dyDescent="0.35">
      <c r="A6610" s="2" t="s">
        <v>43826</v>
      </c>
      <c r="B6610" s="2">
        <v>224.03359541024901</v>
      </c>
      <c r="C6610" s="2">
        <v>3.84351666666667</v>
      </c>
      <c r="D6610" s="2" t="s">
        <v>34</v>
      </c>
      <c r="E6610" s="2" t="s">
        <v>43827</v>
      </c>
      <c r="F6610" s="2">
        <v>201104</v>
      </c>
      <c r="G6610" s="3" t="str">
        <f>HYPERLINK("http://funmeta.oebiotech.com/network/201104", "http://funmeta.oebiotech.com/network/201104")</f>
        <v>http://funmeta.oebiotech.com/network/201104</v>
      </c>
      <c r="H6610" s="2" t="s">
        <v>43828</v>
      </c>
      <c r="I6610" s="2">
        <v>460024</v>
      </c>
      <c r="J6610" s="2"/>
      <c r="K6610" s="2"/>
      <c r="L6610" s="2"/>
      <c r="M6610" s="2"/>
      <c r="N6610" s="2"/>
      <c r="O6610" s="2">
        <v>2776576</v>
      </c>
      <c r="P6610" s="2"/>
      <c r="Q6610" s="2" t="s">
        <v>43829</v>
      </c>
      <c r="R6610" s="2" t="s">
        <v>43830</v>
      </c>
      <c r="S6610" s="2" t="s">
        <v>41</v>
      </c>
      <c r="T6610" s="2" t="s">
        <v>41</v>
      </c>
      <c r="U6610" s="2" t="s">
        <v>41</v>
      </c>
      <c r="V6610" s="2" t="s">
        <v>59</v>
      </c>
      <c r="W6610" s="2">
        <v>38.799999999999997</v>
      </c>
      <c r="X6610" s="2">
        <v>0</v>
      </c>
      <c r="Y6610" s="2" t="s">
        <v>394</v>
      </c>
      <c r="Z6610" s="2" t="s">
        <v>43831</v>
      </c>
      <c r="AA6610" s="2">
        <v>3.0386370581817101</v>
      </c>
      <c r="AB6610" s="2">
        <v>2.0939291101969099E-2</v>
      </c>
      <c r="AC6610" s="2">
        <v>15600.8741234639</v>
      </c>
      <c r="AD6610" s="2">
        <v>15900.939575905501</v>
      </c>
      <c r="AE6610" s="2">
        <v>13579.825964564499</v>
      </c>
      <c r="AF6610" s="2">
        <v>14567.4944158731</v>
      </c>
      <c r="AG6610" s="2">
        <v>16337.4315833164</v>
      </c>
      <c r="AH6610" s="2">
        <v>16316.443480894101</v>
      </c>
      <c r="AI6610" s="2">
        <v>16833.753649445302</v>
      </c>
      <c r="AJ6610" s="2">
        <v>15970.29564669</v>
      </c>
      <c r="AK6610" s="2">
        <v>11781.8390057492</v>
      </c>
      <c r="AL6610" s="2">
        <v>15145.8822593024</v>
      </c>
      <c r="AM6610" s="2">
        <v>18301.864610530502</v>
      </c>
      <c r="AN6610" s="2">
        <v>18837.9960364088</v>
      </c>
      <c r="AO6610" s="2">
        <v>15330.279768344901</v>
      </c>
      <c r="AP6610" s="2">
        <v>16007.7757750971</v>
      </c>
    </row>
    <row r="6611" spans="1:42" ht="14.5" x14ac:dyDescent="0.35">
      <c r="A6611" s="2" t="s">
        <v>43832</v>
      </c>
      <c r="B6611" s="2">
        <v>102.94737576046199</v>
      </c>
      <c r="C6611" s="2">
        <v>0.54574999999999996</v>
      </c>
      <c r="D6611" s="2" t="s">
        <v>70</v>
      </c>
      <c r="E6611" s="2" t="s">
        <v>43833</v>
      </c>
      <c r="F6611" s="2">
        <v>256414</v>
      </c>
      <c r="G6611" s="3" t="str">
        <f>HYPERLINK("http://funmeta.oebiotech.com/network/256414", "http://funmeta.oebiotech.com/network/256414")</f>
        <v>http://funmeta.oebiotech.com/network/256414</v>
      </c>
      <c r="H6611" s="2" t="s">
        <v>43834</v>
      </c>
      <c r="I6611" s="2"/>
      <c r="J6611" s="2"/>
      <c r="K6611" s="2">
        <v>26709</v>
      </c>
      <c r="L6611" s="2"/>
      <c r="M6611" s="2"/>
      <c r="N6611" s="2"/>
      <c r="O6611" s="2"/>
      <c r="P6611" s="2"/>
      <c r="Q6611" s="2" t="s">
        <v>43835</v>
      </c>
      <c r="R6611" s="2" t="s">
        <v>43836</v>
      </c>
      <c r="S6611" s="2" t="s">
        <v>7696</v>
      </c>
      <c r="T6611" s="2" t="s">
        <v>7697</v>
      </c>
      <c r="U6611" s="2" t="s">
        <v>43837</v>
      </c>
      <c r="V6611" s="2" t="s">
        <v>59</v>
      </c>
      <c r="W6611" s="2">
        <v>38.4</v>
      </c>
      <c r="X6611" s="2">
        <v>0</v>
      </c>
      <c r="Y6611" s="2" t="s">
        <v>118</v>
      </c>
      <c r="Z6611" s="2" t="s">
        <v>43838</v>
      </c>
      <c r="AA6611" s="2">
        <v>2.3377633877017301</v>
      </c>
      <c r="AB6611" s="2">
        <v>2.08577136538051E-2</v>
      </c>
      <c r="AC6611" s="2">
        <v>2544.66173778344</v>
      </c>
      <c r="AD6611" s="2">
        <v>2656.14850504684</v>
      </c>
      <c r="AE6611" s="2">
        <v>2614.4804304987201</v>
      </c>
      <c r="AF6611" s="2">
        <v>2117.0677054574098</v>
      </c>
      <c r="AG6611" s="2">
        <v>2668.1173432127898</v>
      </c>
      <c r="AH6611" s="2">
        <v>2489.6666993426302</v>
      </c>
      <c r="AI6611" s="2">
        <v>2807.7968432704902</v>
      </c>
      <c r="AJ6611" s="2">
        <v>2570.8414049186099</v>
      </c>
      <c r="AK6611" s="2">
        <v>2726.9122200576899</v>
      </c>
      <c r="AL6611" s="2">
        <v>2465.50704495425</v>
      </c>
      <c r="AM6611" s="2">
        <v>2272.0142790658101</v>
      </c>
      <c r="AN6611" s="2">
        <v>2768.56053955471</v>
      </c>
      <c r="AO6611" s="2">
        <v>2965.8900870775401</v>
      </c>
      <c r="AP6611" s="2">
        <v>2738.00685957102</v>
      </c>
    </row>
    <row r="6612" spans="1:42" ht="14.5" x14ac:dyDescent="0.35">
      <c r="A6612" s="2" t="s">
        <v>43839</v>
      </c>
      <c r="B6612" s="2">
        <v>305.08162826714198</v>
      </c>
      <c r="C6612" s="2">
        <v>7.8170500000000001</v>
      </c>
      <c r="D6612" s="2" t="s">
        <v>70</v>
      </c>
      <c r="E6612" s="2" t="s">
        <v>43840</v>
      </c>
      <c r="F6612" s="2">
        <v>204208</v>
      </c>
      <c r="G6612" s="3" t="str">
        <f>HYPERLINK("http://funmeta.oebiotech.com/network/204208", "http://funmeta.oebiotech.com/network/204208")</f>
        <v>http://funmeta.oebiotech.com/network/204208</v>
      </c>
      <c r="H6612" s="2" t="s">
        <v>43841</v>
      </c>
      <c r="I6612" s="2"/>
      <c r="J6612" s="2"/>
      <c r="K6612" s="2"/>
      <c r="L6612" s="2"/>
      <c r="M6612" s="2"/>
      <c r="N6612" s="2"/>
      <c r="O6612" s="2">
        <v>566344</v>
      </c>
      <c r="P6612" s="2"/>
      <c r="Q6612" s="2" t="s">
        <v>43842</v>
      </c>
      <c r="R6612" s="2" t="s">
        <v>43843</v>
      </c>
      <c r="S6612" s="2" t="s">
        <v>491</v>
      </c>
      <c r="T6612" s="2" t="s">
        <v>34666</v>
      </c>
      <c r="U6612" s="2" t="s">
        <v>41</v>
      </c>
      <c r="V6612" s="2" t="s">
        <v>59</v>
      </c>
      <c r="W6612" s="2">
        <v>38.5</v>
      </c>
      <c r="X6612" s="2">
        <v>0</v>
      </c>
      <c r="Y6612" s="2" t="s">
        <v>408</v>
      </c>
      <c r="Z6612" s="2" t="s">
        <v>43844</v>
      </c>
      <c r="AA6612" s="2">
        <v>1.33571235861686</v>
      </c>
      <c r="AB6612" s="2">
        <v>2.0836112096468198E-2</v>
      </c>
      <c r="AC6612" s="2">
        <v>1286.84359900915</v>
      </c>
      <c r="AD6612" s="2">
        <v>1206.64382823246</v>
      </c>
      <c r="AE6612" s="2">
        <v>1317.95234330991</v>
      </c>
      <c r="AF6612" s="2">
        <v>1203.02718195181</v>
      </c>
      <c r="AG6612" s="2">
        <v>1301.4895386957801</v>
      </c>
      <c r="AH6612" s="2">
        <v>1235.0363302221101</v>
      </c>
      <c r="AI6612" s="2">
        <v>1284.48021801035</v>
      </c>
      <c r="AJ6612" s="2">
        <v>1379.0759818649201</v>
      </c>
      <c r="AK6612" s="2">
        <v>1080.8271803653399</v>
      </c>
      <c r="AL6612" s="2">
        <v>1298.5810269680601</v>
      </c>
      <c r="AM6612" s="2">
        <v>992.819280991808</v>
      </c>
      <c r="AN6612" s="2">
        <v>1337.0627377553001</v>
      </c>
      <c r="AO6612" s="2">
        <v>1364.1094630345799</v>
      </c>
      <c r="AP6612" s="2">
        <v>1166.46328027966</v>
      </c>
    </row>
    <row r="6613" spans="1:42" ht="14.5" x14ac:dyDescent="0.35">
      <c r="A6613" s="2" t="s">
        <v>43845</v>
      </c>
      <c r="B6613" s="2">
        <v>419.11025996900298</v>
      </c>
      <c r="C6613" s="2">
        <v>4.6857333333333298</v>
      </c>
      <c r="D6613" s="2" t="s">
        <v>70</v>
      </c>
      <c r="E6613" s="2" t="s">
        <v>43846</v>
      </c>
      <c r="F6613" s="2">
        <v>51966</v>
      </c>
      <c r="G6613" s="3" t="str">
        <f>HYPERLINK("http://funmeta.oebiotech.com/network/51966", "http://funmeta.oebiotech.com/network/51966")</f>
        <v>http://funmeta.oebiotech.com/network/51966</v>
      </c>
      <c r="H6613" s="2" t="s">
        <v>43847</v>
      </c>
      <c r="I6613" s="2"/>
      <c r="J6613" s="2"/>
      <c r="K6613" s="2"/>
      <c r="L6613" s="2"/>
      <c r="M6613" s="2"/>
      <c r="N6613" s="2"/>
      <c r="O6613" s="2"/>
      <c r="P6613" s="2"/>
      <c r="Q6613" s="2" t="s">
        <v>43848</v>
      </c>
      <c r="R6613" s="2" t="s">
        <v>43849</v>
      </c>
      <c r="S6613" s="2" t="s">
        <v>89</v>
      </c>
      <c r="T6613" s="2" t="s">
        <v>90</v>
      </c>
      <c r="U6613" s="2" t="s">
        <v>99</v>
      </c>
      <c r="V6613" s="2" t="s">
        <v>59</v>
      </c>
      <c r="W6613" s="2">
        <v>37.799999999999997</v>
      </c>
      <c r="X6613" s="2">
        <v>0</v>
      </c>
      <c r="Y6613" s="2" t="s">
        <v>408</v>
      </c>
      <c r="Z6613" s="2" t="s">
        <v>43850</v>
      </c>
      <c r="AA6613" s="2">
        <v>1.7539567660331401</v>
      </c>
      <c r="AB6613" s="2">
        <v>2.0780648858758299E-2</v>
      </c>
      <c r="AC6613" s="2">
        <v>1006.7099632355</v>
      </c>
      <c r="AD6613" s="2">
        <v>1141.38487227682</v>
      </c>
      <c r="AE6613" s="2">
        <v>1671.47065095424</v>
      </c>
      <c r="AF6613" s="2">
        <v>371.80726863569402</v>
      </c>
      <c r="AG6613" s="2">
        <v>1110.84397011331</v>
      </c>
      <c r="AH6613" s="2">
        <v>669.27957383278999</v>
      </c>
      <c r="AI6613" s="2">
        <v>1125.4145634670499</v>
      </c>
      <c r="AJ6613" s="2">
        <v>1091.4437524099101</v>
      </c>
      <c r="AK6613" s="2">
        <v>1374.1403404509199</v>
      </c>
      <c r="AL6613" s="2">
        <v>1018.02387456688</v>
      </c>
      <c r="AM6613" s="2">
        <v>930.58432068697596</v>
      </c>
      <c r="AN6613" s="2">
        <v>1415.9915428977399</v>
      </c>
      <c r="AO6613" s="2">
        <v>957.974244319582</v>
      </c>
      <c r="AP6613" s="2">
        <v>1151.5949107388001</v>
      </c>
    </row>
    <row r="6614" spans="1:42" ht="14.5" x14ac:dyDescent="0.35">
      <c r="A6614" s="2" t="s">
        <v>43851</v>
      </c>
      <c r="B6614" s="2">
        <v>261.03752562474102</v>
      </c>
      <c r="C6614" s="2">
        <v>4.84418333333333</v>
      </c>
      <c r="D6614" s="2" t="s">
        <v>70</v>
      </c>
      <c r="E6614" s="2" t="s">
        <v>43852</v>
      </c>
      <c r="F6614" s="2">
        <v>256576</v>
      </c>
      <c r="G6614" s="3" t="str">
        <f>HYPERLINK("http://funmeta.oebiotech.com/network/256576", "http://funmeta.oebiotech.com/network/256576")</f>
        <v>http://funmeta.oebiotech.com/network/256576</v>
      </c>
      <c r="H6614" s="2" t="s">
        <v>43853</v>
      </c>
      <c r="I6614" s="2"/>
      <c r="J6614" s="2"/>
      <c r="K6614" s="2"/>
      <c r="L6614" s="2"/>
      <c r="M6614" s="2"/>
      <c r="N6614" s="2"/>
      <c r="O6614" s="2">
        <v>23690535</v>
      </c>
      <c r="P6614" s="2"/>
      <c r="Q6614" s="2" t="s">
        <v>43854</v>
      </c>
      <c r="R6614" s="2" t="s">
        <v>43855</v>
      </c>
      <c r="S6614" s="2" t="s">
        <v>115</v>
      </c>
      <c r="T6614" s="2" t="s">
        <v>116</v>
      </c>
      <c r="U6614" s="2" t="s">
        <v>117</v>
      </c>
      <c r="V6614" s="2" t="s">
        <v>59</v>
      </c>
      <c r="W6614" s="2">
        <v>38.9</v>
      </c>
      <c r="X6614" s="2">
        <v>0</v>
      </c>
      <c r="Y6614" s="2" t="s">
        <v>408</v>
      </c>
      <c r="Z6614" s="2" t="s">
        <v>43856</v>
      </c>
      <c r="AA6614" s="2">
        <v>-2.4546074342490098</v>
      </c>
      <c r="AB6614" s="2">
        <v>2.0731809760000199E-2</v>
      </c>
      <c r="AC6614" s="2">
        <v>4148.7438572951896</v>
      </c>
      <c r="AD6614" s="2">
        <v>4001.8062312779898</v>
      </c>
      <c r="AE6614" s="2">
        <v>4601.0161847426598</v>
      </c>
      <c r="AF6614" s="2">
        <v>4035.1609373041701</v>
      </c>
      <c r="AG6614" s="2">
        <v>3914.3542177312902</v>
      </c>
      <c r="AH6614" s="2">
        <v>4346.1412635664201</v>
      </c>
      <c r="AI6614" s="2">
        <v>3972.9263354279301</v>
      </c>
      <c r="AJ6614" s="2">
        <v>4022.8642049986502</v>
      </c>
      <c r="AK6614" s="2">
        <v>4092.7353585432202</v>
      </c>
      <c r="AL6614" s="2">
        <v>3494.3564827055702</v>
      </c>
      <c r="AM6614" s="2">
        <v>4365.8297851104699</v>
      </c>
      <c r="AN6614" s="2">
        <v>4585.4166530710099</v>
      </c>
      <c r="AO6614" s="2">
        <v>4152.5819508584</v>
      </c>
      <c r="AP6614" s="2">
        <v>3319.9171573792701</v>
      </c>
    </row>
    <row r="6615" spans="1:42" ht="14.5" x14ac:dyDescent="0.35">
      <c r="A6615" s="2" t="s">
        <v>43857</v>
      </c>
      <c r="B6615" s="2">
        <v>507.33043133485899</v>
      </c>
      <c r="C6615" s="2">
        <v>5.3519166666666704</v>
      </c>
      <c r="D6615" s="2" t="s">
        <v>34</v>
      </c>
      <c r="E6615" s="2" t="s">
        <v>43858</v>
      </c>
      <c r="F6615" s="2">
        <v>198514</v>
      </c>
      <c r="G6615" s="3" t="str">
        <f>HYPERLINK("http://funmeta.oebiotech.com/network/198514", "http://funmeta.oebiotech.com/network/198514")</f>
        <v>http://funmeta.oebiotech.com/network/198514</v>
      </c>
      <c r="H6615" s="2" t="s">
        <v>43859</v>
      </c>
      <c r="I6615" s="2"/>
      <c r="J6615" s="2"/>
      <c r="K6615" s="2"/>
      <c r="L6615" s="2"/>
      <c r="M6615" s="2"/>
      <c r="N6615" s="2"/>
      <c r="O6615" s="2"/>
      <c r="P6615" s="2"/>
      <c r="Q6615" s="2" t="s">
        <v>43860</v>
      </c>
      <c r="R6615" s="2" t="s">
        <v>43861</v>
      </c>
      <c r="S6615" s="2" t="s">
        <v>41</v>
      </c>
      <c r="T6615" s="2" t="s">
        <v>41</v>
      </c>
      <c r="U6615" s="2" t="s">
        <v>41</v>
      </c>
      <c r="V6615" s="2" t="s">
        <v>59</v>
      </c>
      <c r="W6615" s="2">
        <v>37.700000000000003</v>
      </c>
      <c r="X6615" s="2">
        <v>0</v>
      </c>
      <c r="Y6615" s="2" t="s">
        <v>323</v>
      </c>
      <c r="Z6615" s="2" t="s">
        <v>43862</v>
      </c>
      <c r="AA6615" s="2">
        <v>-0.26971494995814499</v>
      </c>
      <c r="AB6615" s="2">
        <v>2.06989311893085E-2</v>
      </c>
      <c r="AC6615" s="2">
        <v>28679.779609834801</v>
      </c>
      <c r="AD6615" s="2">
        <v>28313.740470254699</v>
      </c>
      <c r="AE6615" s="2">
        <v>27097.655503973099</v>
      </c>
      <c r="AF6615" s="2">
        <v>30207.875673443199</v>
      </c>
      <c r="AG6615" s="2">
        <v>31245.426142312801</v>
      </c>
      <c r="AH6615" s="2">
        <v>25719.444212796399</v>
      </c>
      <c r="AI6615" s="2">
        <v>28834.503226777601</v>
      </c>
      <c r="AJ6615" s="2">
        <v>28973.7728997058</v>
      </c>
      <c r="AK6615" s="2">
        <v>26340.269060480401</v>
      </c>
      <c r="AL6615" s="2">
        <v>27088.763768915898</v>
      </c>
      <c r="AM6615" s="2">
        <v>30083.504022797999</v>
      </c>
      <c r="AN6615" s="2">
        <v>30778.133548959398</v>
      </c>
      <c r="AO6615" s="2">
        <v>23882.077333765701</v>
      </c>
      <c r="AP6615" s="2">
        <v>31709.695086608899</v>
      </c>
    </row>
    <row r="6616" spans="1:42" ht="14.5" x14ac:dyDescent="0.35">
      <c r="A6616" s="2" t="s">
        <v>43863</v>
      </c>
      <c r="B6616" s="2">
        <v>337.11404307775598</v>
      </c>
      <c r="C6616" s="2">
        <v>3.6357833333333298</v>
      </c>
      <c r="D6616" s="2" t="s">
        <v>70</v>
      </c>
      <c r="E6616" s="2" t="s">
        <v>43864</v>
      </c>
      <c r="F6616" s="2">
        <v>256872</v>
      </c>
      <c r="G6616" s="3" t="str">
        <f>HYPERLINK("http://funmeta.oebiotech.com/network/256872", "http://funmeta.oebiotech.com/network/256872")</f>
        <v>http://funmeta.oebiotech.com/network/256872</v>
      </c>
      <c r="H6616" s="2" t="s">
        <v>43865</v>
      </c>
      <c r="I6616" s="2"/>
      <c r="J6616" s="2"/>
      <c r="K6616" s="2"/>
      <c r="L6616" s="2"/>
      <c r="M6616" s="2"/>
      <c r="N6616" s="2"/>
      <c r="O6616" s="2"/>
      <c r="P6616" s="2"/>
      <c r="Q6616" s="2" t="s">
        <v>43866</v>
      </c>
      <c r="R6616" s="2" t="s">
        <v>43867</v>
      </c>
      <c r="S6616" s="2" t="s">
        <v>1677</v>
      </c>
      <c r="T6616" s="2" t="s">
        <v>1678</v>
      </c>
      <c r="U6616" s="2" t="s">
        <v>27138</v>
      </c>
      <c r="V6616" s="2" t="s">
        <v>59</v>
      </c>
      <c r="W6616" s="2">
        <v>37.6</v>
      </c>
      <c r="X6616" s="2">
        <v>0</v>
      </c>
      <c r="Y6616" s="2" t="s">
        <v>560</v>
      </c>
      <c r="Z6616" s="2" t="s">
        <v>43868</v>
      </c>
      <c r="AA6616" s="2">
        <v>4.05339744195342</v>
      </c>
      <c r="AB6616" s="2">
        <v>2.06055674556017E-2</v>
      </c>
      <c r="AC6616" s="2">
        <v>1153.1133122204899</v>
      </c>
      <c r="AD6616" s="2">
        <v>1061.87380963535</v>
      </c>
      <c r="AE6616" s="2">
        <v>1156.1949866275399</v>
      </c>
      <c r="AF6616" s="2">
        <v>1201.2338807999899</v>
      </c>
      <c r="AG6616" s="2">
        <v>1264.0690053041899</v>
      </c>
      <c r="AH6616" s="2">
        <v>953.29780775608197</v>
      </c>
      <c r="AI6616" s="2">
        <v>1281.0690490146301</v>
      </c>
      <c r="AJ6616" s="2">
        <v>1062.8151438205</v>
      </c>
      <c r="AK6616" s="2">
        <v>1076.74721355222</v>
      </c>
      <c r="AL6616" s="2">
        <v>1078.29307681656</v>
      </c>
      <c r="AM6616" s="2">
        <v>1233.02797824452</v>
      </c>
      <c r="AN6616" s="2">
        <v>1246.5182600751</v>
      </c>
      <c r="AO6616" s="2">
        <v>948.10424667711504</v>
      </c>
      <c r="AP6616" s="2">
        <v>788.55208244656296</v>
      </c>
    </row>
    <row r="6617" spans="1:42" ht="14.5" x14ac:dyDescent="0.35">
      <c r="A6617" s="2" t="s">
        <v>43869</v>
      </c>
      <c r="B6617" s="2">
        <v>138.091408108986</v>
      </c>
      <c r="C6617" s="2">
        <v>2.2769833333333298</v>
      </c>
      <c r="D6617" s="2" t="s">
        <v>34</v>
      </c>
      <c r="E6617" s="2" t="s">
        <v>43870</v>
      </c>
      <c r="F6617" s="2">
        <v>58063</v>
      </c>
      <c r="G6617" s="3" t="str">
        <f>HYPERLINK("http://funmeta.oebiotech.com/network/58063", "http://funmeta.oebiotech.com/network/58063")</f>
        <v>http://funmeta.oebiotech.com/network/58063</v>
      </c>
      <c r="H6617" s="2" t="s">
        <v>43871</v>
      </c>
      <c r="I6617" s="2">
        <v>44734</v>
      </c>
      <c r="J6617" s="2"/>
      <c r="K6617" s="2">
        <v>27632</v>
      </c>
      <c r="L6617" s="2" t="s">
        <v>43872</v>
      </c>
      <c r="M6617" s="2" t="s">
        <v>32778</v>
      </c>
      <c r="N6617" s="2" t="s">
        <v>32779</v>
      </c>
      <c r="O6617" s="2">
        <v>7410</v>
      </c>
      <c r="P6617" s="2" t="s">
        <v>43873</v>
      </c>
      <c r="Q6617" s="2" t="s">
        <v>43874</v>
      </c>
      <c r="R6617" s="2" t="s">
        <v>43875</v>
      </c>
      <c r="S6617" s="2" t="s">
        <v>79</v>
      </c>
      <c r="T6617" s="2" t="s">
        <v>80</v>
      </c>
      <c r="U6617" s="2" t="s">
        <v>2820</v>
      </c>
      <c r="V6617" s="2" t="s">
        <v>59</v>
      </c>
      <c r="W6617" s="2">
        <v>39.5</v>
      </c>
      <c r="X6617" s="2">
        <v>0</v>
      </c>
      <c r="Y6617" s="2" t="s">
        <v>43</v>
      </c>
      <c r="Z6617" s="2" t="s">
        <v>43876</v>
      </c>
      <c r="AA6617" s="2">
        <v>0.56392027141602397</v>
      </c>
      <c r="AB6617" s="2">
        <v>2.0594314471396199E-2</v>
      </c>
      <c r="AC6617" s="2">
        <v>1919.27775509751</v>
      </c>
      <c r="AD6617" s="2">
        <v>2009.0792060014201</v>
      </c>
      <c r="AE6617" s="2">
        <v>1769.19924336904</v>
      </c>
      <c r="AF6617" s="2">
        <v>1979.5015799589601</v>
      </c>
      <c r="AG6617" s="2">
        <v>1967.7788855194101</v>
      </c>
      <c r="AH6617" s="2">
        <v>1940.2988385385499</v>
      </c>
      <c r="AI6617" s="2">
        <v>2001.22966411881</v>
      </c>
      <c r="AJ6617" s="2">
        <v>1857.6583190802801</v>
      </c>
      <c r="AK6617" s="2">
        <v>2081.83559417476</v>
      </c>
      <c r="AL6617" s="2">
        <v>2276.2759829866</v>
      </c>
      <c r="AM6617" s="2">
        <v>1778.5368622836099</v>
      </c>
      <c r="AN6617" s="2">
        <v>1949.8190652558001</v>
      </c>
      <c r="AO6617" s="2">
        <v>2140.5454630562699</v>
      </c>
      <c r="AP6617" s="2">
        <v>1827.46226825145</v>
      </c>
    </row>
    <row r="6618" spans="1:42" ht="14.5" x14ac:dyDescent="0.35">
      <c r="A6618" s="2" t="s">
        <v>43877</v>
      </c>
      <c r="B6618" s="2">
        <v>231.09716221767499</v>
      </c>
      <c r="C6618" s="2">
        <v>0.78071666666666695</v>
      </c>
      <c r="D6618" s="2" t="s">
        <v>34</v>
      </c>
      <c r="E6618" s="2" t="s">
        <v>43878</v>
      </c>
      <c r="F6618" s="2">
        <v>53658</v>
      </c>
      <c r="G6618" s="3" t="str">
        <f>HYPERLINK("http://funmeta.oebiotech.com/network/53658", "http://funmeta.oebiotech.com/network/53658")</f>
        <v>http://funmeta.oebiotech.com/network/53658</v>
      </c>
      <c r="H6618" s="2" t="s">
        <v>43879</v>
      </c>
      <c r="I6618" s="2">
        <v>85558</v>
      </c>
      <c r="J6618" s="2"/>
      <c r="K6618" s="2"/>
      <c r="L6618" s="2"/>
      <c r="M6618" s="2"/>
      <c r="N6618" s="2"/>
      <c r="O6618" s="2">
        <v>443940</v>
      </c>
      <c r="P6618" s="2" t="s">
        <v>43880</v>
      </c>
      <c r="Q6618" s="2" t="s">
        <v>43881</v>
      </c>
      <c r="R6618" s="2" t="s">
        <v>43882</v>
      </c>
      <c r="S6618" s="2" t="s">
        <v>89</v>
      </c>
      <c r="T6618" s="2" t="s">
        <v>90</v>
      </c>
      <c r="U6618" s="2" t="s">
        <v>99</v>
      </c>
      <c r="V6618" s="2" t="s">
        <v>59</v>
      </c>
      <c r="W6618" s="2">
        <v>38.200000000000003</v>
      </c>
      <c r="X6618" s="2">
        <v>0</v>
      </c>
      <c r="Y6618" s="2" t="s">
        <v>43</v>
      </c>
      <c r="Z6618" s="2" t="s">
        <v>43883</v>
      </c>
      <c r="AA6618" s="2">
        <v>-1.81057427724547</v>
      </c>
      <c r="AB6618" s="2">
        <v>2.0566953058075502E-2</v>
      </c>
      <c r="AC6618" s="2">
        <v>19707.6895345423</v>
      </c>
      <c r="AD6618" s="2">
        <v>20057.156572721498</v>
      </c>
      <c r="AE6618" s="2">
        <v>19118.592257742199</v>
      </c>
      <c r="AF6618" s="2">
        <v>18539.690271560099</v>
      </c>
      <c r="AG6618" s="2">
        <v>21996.233993365298</v>
      </c>
      <c r="AH6618" s="2">
        <v>16982.9407412371</v>
      </c>
      <c r="AI6618" s="2">
        <v>19727.6677771428</v>
      </c>
      <c r="AJ6618" s="2">
        <v>21881.012166206099</v>
      </c>
      <c r="AK6618" s="2">
        <v>19214.675406652499</v>
      </c>
      <c r="AL6618" s="2">
        <v>23956.345073028901</v>
      </c>
      <c r="AM6618" s="2">
        <v>20797.756120730501</v>
      </c>
      <c r="AN6618" s="2">
        <v>16968.8807989776</v>
      </c>
      <c r="AO6618" s="2">
        <v>20934.568233077302</v>
      </c>
      <c r="AP6618" s="2">
        <v>18470.713803862502</v>
      </c>
    </row>
    <row r="6619" spans="1:42" ht="14.5" x14ac:dyDescent="0.35">
      <c r="A6619" s="2" t="s">
        <v>43884</v>
      </c>
      <c r="B6619" s="2">
        <v>437.14507858886799</v>
      </c>
      <c r="C6619" s="2">
        <v>4.5236333333333301</v>
      </c>
      <c r="D6619" s="2" t="s">
        <v>70</v>
      </c>
      <c r="E6619" s="2" t="s">
        <v>43885</v>
      </c>
      <c r="F6619" s="2">
        <v>255047</v>
      </c>
      <c r="G6619" s="3" t="str">
        <f>HYPERLINK("http://funmeta.oebiotech.com/network/255047", "http://funmeta.oebiotech.com/network/255047")</f>
        <v>http://funmeta.oebiotech.com/network/255047</v>
      </c>
      <c r="H6619" s="2" t="s">
        <v>43886</v>
      </c>
      <c r="I6619" s="2"/>
      <c r="J6619" s="2"/>
      <c r="K6619" s="2"/>
      <c r="L6619" s="2"/>
      <c r="M6619" s="2"/>
      <c r="N6619" s="2"/>
      <c r="O6619" s="2"/>
      <c r="P6619" s="2"/>
      <c r="Q6619" s="2" t="s">
        <v>43887</v>
      </c>
      <c r="R6619" s="2" t="s">
        <v>43888</v>
      </c>
      <c r="S6619" s="2" t="s">
        <v>79</v>
      </c>
      <c r="T6619" s="2" t="s">
        <v>80</v>
      </c>
      <c r="U6619" s="2" t="s">
        <v>81</v>
      </c>
      <c r="V6619" s="2" t="s">
        <v>42</v>
      </c>
      <c r="W6619" s="2">
        <v>49</v>
      </c>
      <c r="X6619" s="2">
        <v>52.1</v>
      </c>
      <c r="Y6619" s="2" t="s">
        <v>792</v>
      </c>
      <c r="Z6619" s="2" t="s">
        <v>5810</v>
      </c>
      <c r="AA6619" s="2">
        <v>-0.55233850862401102</v>
      </c>
      <c r="AB6619" s="2">
        <v>2.05145709158547E-2</v>
      </c>
      <c r="AC6619" s="2">
        <v>109652.959682651</v>
      </c>
      <c r="AD6619" s="2">
        <v>109261.64706996101</v>
      </c>
      <c r="AE6619" s="2">
        <v>112004.329429327</v>
      </c>
      <c r="AF6619" s="2">
        <v>109260.207864386</v>
      </c>
      <c r="AG6619" s="2">
        <v>106162.238117359</v>
      </c>
      <c r="AH6619" s="2">
        <v>109398.506798089</v>
      </c>
      <c r="AI6619" s="2">
        <v>107834.765036015</v>
      </c>
      <c r="AJ6619" s="2">
        <v>113257.71085073199</v>
      </c>
      <c r="AK6619" s="2">
        <v>109638.49464871601</v>
      </c>
      <c r="AL6619" s="2">
        <v>103681.19762116999</v>
      </c>
      <c r="AM6619" s="2">
        <v>112962.058583626</v>
      </c>
      <c r="AN6619" s="2">
        <v>108875.782860869</v>
      </c>
      <c r="AO6619" s="2">
        <v>111079.35334339101</v>
      </c>
      <c r="AP6619" s="2">
        <v>109332.995361996</v>
      </c>
    </row>
    <row r="6620" spans="1:42" ht="14.5" x14ac:dyDescent="0.35">
      <c r="A6620" s="2" t="s">
        <v>43889</v>
      </c>
      <c r="B6620" s="2">
        <v>223.14146904418601</v>
      </c>
      <c r="C6620" s="2">
        <v>4.4128166666666697</v>
      </c>
      <c r="D6620" s="2" t="s">
        <v>34</v>
      </c>
      <c r="E6620" s="2" t="s">
        <v>43890</v>
      </c>
      <c r="F6620" s="2">
        <v>52175</v>
      </c>
      <c r="G6620" s="3" t="str">
        <f>HYPERLINK("http://funmeta.oebiotech.com/network/52175", "http://funmeta.oebiotech.com/network/52175")</f>
        <v>http://funmeta.oebiotech.com/network/52175</v>
      </c>
      <c r="H6620" s="2" t="s">
        <v>43891</v>
      </c>
      <c r="I6620" s="2">
        <v>461811</v>
      </c>
      <c r="J6620" s="2"/>
      <c r="K6620" s="2"/>
      <c r="L6620" s="2"/>
      <c r="M6620" s="2"/>
      <c r="N6620" s="2"/>
      <c r="O6620" s="2">
        <v>217390</v>
      </c>
      <c r="P6620" s="2" t="s">
        <v>43892</v>
      </c>
      <c r="Q6620" s="2" t="s">
        <v>43893</v>
      </c>
      <c r="R6620" s="2" t="s">
        <v>43894</v>
      </c>
      <c r="S6620" s="2" t="s">
        <v>79</v>
      </c>
      <c r="T6620" s="2" t="s">
        <v>80</v>
      </c>
      <c r="U6620" s="2" t="s">
        <v>2820</v>
      </c>
      <c r="V6620" s="2" t="s">
        <v>59</v>
      </c>
      <c r="W6620" s="2">
        <v>38.5</v>
      </c>
      <c r="X6620" s="2">
        <v>0</v>
      </c>
      <c r="Y6620" s="2" t="s">
        <v>323</v>
      </c>
      <c r="Z6620" s="2" t="s">
        <v>43895</v>
      </c>
      <c r="AA6620" s="2">
        <v>-1.14675539750308</v>
      </c>
      <c r="AB6620" s="2">
        <v>2.0488822328485898E-2</v>
      </c>
      <c r="AC6620" s="2">
        <v>3721.8398745014601</v>
      </c>
      <c r="AD6620" s="2">
        <v>3463.33733475287</v>
      </c>
      <c r="AE6620" s="2">
        <v>3875.0611260893202</v>
      </c>
      <c r="AF6620" s="2">
        <v>3591.3115216628298</v>
      </c>
      <c r="AG6620" s="2">
        <v>3772.9770618667999</v>
      </c>
      <c r="AH6620" s="2">
        <v>5055.9701111463801</v>
      </c>
      <c r="AI6620" s="2">
        <v>3885.2556873265498</v>
      </c>
      <c r="AJ6620" s="2">
        <v>2150.4637389168902</v>
      </c>
      <c r="AK6620" s="2">
        <v>2525.45590222686</v>
      </c>
      <c r="AL6620" s="2">
        <v>5263.6943498991805</v>
      </c>
      <c r="AM6620" s="2">
        <v>3824.97357434588</v>
      </c>
      <c r="AN6620" s="2">
        <v>5289.23227418431</v>
      </c>
      <c r="AO6620" s="2">
        <v>1524.6881853438299</v>
      </c>
      <c r="AP6620" s="2">
        <v>2351.9797225171901</v>
      </c>
    </row>
    <row r="6621" spans="1:42" ht="14.5" x14ac:dyDescent="0.35">
      <c r="A6621" s="2" t="s">
        <v>43896</v>
      </c>
      <c r="B6621" s="2">
        <v>829.30646755654595</v>
      </c>
      <c r="C6621" s="2">
        <v>5.3202666666666696</v>
      </c>
      <c r="D6621" s="2" t="s">
        <v>70</v>
      </c>
      <c r="E6621" s="2" t="s">
        <v>43897</v>
      </c>
      <c r="F6621" s="2">
        <v>207717</v>
      </c>
      <c r="G6621" s="3" t="str">
        <f>HYPERLINK("http://funmeta.oebiotech.com/network/207717", "http://funmeta.oebiotech.com/network/207717")</f>
        <v>http://funmeta.oebiotech.com/network/207717</v>
      </c>
      <c r="H6621" s="2" t="s">
        <v>43898</v>
      </c>
      <c r="I6621" s="2"/>
      <c r="J6621" s="2"/>
      <c r="K6621" s="2"/>
      <c r="L6621" s="2"/>
      <c r="M6621" s="2"/>
      <c r="N6621" s="2"/>
      <c r="O6621" s="2">
        <v>11654566</v>
      </c>
      <c r="P6621" s="2"/>
      <c r="Q6621" s="2" t="s">
        <v>43899</v>
      </c>
      <c r="R6621" s="2" t="s">
        <v>43900</v>
      </c>
      <c r="S6621" s="2" t="s">
        <v>491</v>
      </c>
      <c r="T6621" s="2" t="s">
        <v>7431</v>
      </c>
      <c r="U6621" s="2" t="s">
        <v>7432</v>
      </c>
      <c r="V6621" s="2" t="s">
        <v>59</v>
      </c>
      <c r="W6621" s="2">
        <v>37.799999999999997</v>
      </c>
      <c r="X6621" s="2">
        <v>0</v>
      </c>
      <c r="Y6621" s="2" t="s">
        <v>560</v>
      </c>
      <c r="Z6621" s="2" t="s">
        <v>43901</v>
      </c>
      <c r="AA6621" s="2">
        <v>2.8556608805290198</v>
      </c>
      <c r="AB6621" s="2">
        <v>2.04784556068013E-2</v>
      </c>
      <c r="AC6621" s="2">
        <v>5827.2021219997096</v>
      </c>
      <c r="AD6621" s="2">
        <v>5580.1317791449701</v>
      </c>
      <c r="AE6621" s="2">
        <v>4529.1171035533698</v>
      </c>
      <c r="AF6621" s="2">
        <v>7208.8003517322104</v>
      </c>
      <c r="AG6621" s="2">
        <v>5552.9326524390499</v>
      </c>
      <c r="AH6621" s="2">
        <v>4903.6336706227103</v>
      </c>
      <c r="AI6621" s="2">
        <v>4516.2275548745401</v>
      </c>
      <c r="AJ6621" s="2">
        <v>8252.5013987763905</v>
      </c>
      <c r="AK6621" s="2">
        <v>5927.0813555560399</v>
      </c>
      <c r="AL6621" s="2">
        <v>6075.8079461683001</v>
      </c>
      <c r="AM6621" s="2">
        <v>5828.9664262661099</v>
      </c>
      <c r="AN6621" s="2">
        <v>3634.3580529129799</v>
      </c>
      <c r="AO6621" s="2">
        <v>5049.32235084287</v>
      </c>
      <c r="AP6621" s="2">
        <v>6965.2545431235103</v>
      </c>
    </row>
    <row r="6622" spans="1:42" ht="14.5" x14ac:dyDescent="0.35">
      <c r="A6622" s="2" t="s">
        <v>43902</v>
      </c>
      <c r="B6622" s="2">
        <v>172.169485862458</v>
      </c>
      <c r="C6622" s="2">
        <v>4.6168333333333296</v>
      </c>
      <c r="D6622" s="2" t="s">
        <v>34</v>
      </c>
      <c r="E6622" s="2" t="s">
        <v>43903</v>
      </c>
      <c r="F6622" s="2">
        <v>35365</v>
      </c>
      <c r="G6622" s="3" t="str">
        <f>HYPERLINK("http://funmeta.oebiotech.com/network/35365", "http://funmeta.oebiotech.com/network/35365")</f>
        <v>http://funmeta.oebiotech.com/network/35365</v>
      </c>
      <c r="H6622" s="2" t="s">
        <v>43904</v>
      </c>
      <c r="I6622" s="2">
        <v>4020</v>
      </c>
      <c r="J6622" s="2" t="s">
        <v>43905</v>
      </c>
      <c r="K6622" s="2">
        <v>27961</v>
      </c>
      <c r="L6622" s="2" t="s">
        <v>43906</v>
      </c>
      <c r="M6622" s="2" t="s">
        <v>21487</v>
      </c>
      <c r="N6622" s="2" t="s">
        <v>21488</v>
      </c>
      <c r="O6622" s="2">
        <v>2758</v>
      </c>
      <c r="P6622" s="2" t="s">
        <v>43907</v>
      </c>
      <c r="Q6622" s="2" t="s">
        <v>43908</v>
      </c>
      <c r="R6622" s="2" t="s">
        <v>43909</v>
      </c>
      <c r="S6622" s="2" t="s">
        <v>491</v>
      </c>
      <c r="T6622" s="2" t="s">
        <v>27803</v>
      </c>
      <c r="U6622" s="2" t="s">
        <v>41</v>
      </c>
      <c r="V6622" s="2" t="s">
        <v>59</v>
      </c>
      <c r="W6622" s="2">
        <v>39.1</v>
      </c>
      <c r="X6622" s="2">
        <v>0</v>
      </c>
      <c r="Y6622" s="2" t="s">
        <v>43</v>
      </c>
      <c r="Z6622" s="2" t="s">
        <v>23920</v>
      </c>
      <c r="AA6622" s="2">
        <v>-0.68033763589222096</v>
      </c>
      <c r="AB6622" s="2">
        <v>2.0417580600006899E-2</v>
      </c>
      <c r="AC6622" s="2">
        <v>524.79927748567695</v>
      </c>
      <c r="AD6622" s="2">
        <v>433.68943600229397</v>
      </c>
      <c r="AE6622" s="2">
        <v>451.17388908055102</v>
      </c>
      <c r="AF6622" s="2">
        <v>712.82324424117905</v>
      </c>
      <c r="AG6622" s="2">
        <v>416.07053222175801</v>
      </c>
      <c r="AH6622" s="2">
        <v>416.846870469181</v>
      </c>
      <c r="AI6622" s="2">
        <v>563.83101542733903</v>
      </c>
      <c r="AJ6622" s="2">
        <v>588.05011347405298</v>
      </c>
      <c r="AK6622" s="2">
        <v>535.38852838713296</v>
      </c>
      <c r="AL6622" s="2">
        <v>569.92415566913803</v>
      </c>
      <c r="AM6622" s="2">
        <v>239.24323749378101</v>
      </c>
      <c r="AN6622" s="2">
        <v>282.400185277258</v>
      </c>
      <c r="AO6622" s="2">
        <v>703.20923359253197</v>
      </c>
      <c r="AP6622" s="2">
        <v>271.97127559392197</v>
      </c>
    </row>
    <row r="6623" spans="1:42" ht="14.5" x14ac:dyDescent="0.35">
      <c r="A6623" s="2" t="s">
        <v>43910</v>
      </c>
      <c r="B6623" s="2">
        <v>290.96486825733302</v>
      </c>
      <c r="C6623" s="2">
        <v>6.6499833333333296</v>
      </c>
      <c r="D6623" s="2" t="s">
        <v>70</v>
      </c>
      <c r="E6623" s="2" t="s">
        <v>43911</v>
      </c>
      <c r="F6623" s="2">
        <v>63075</v>
      </c>
      <c r="G6623" s="3" t="str">
        <f>HYPERLINK("http://funmeta.oebiotech.com/network/63075", "http://funmeta.oebiotech.com/network/63075")</f>
        <v>http://funmeta.oebiotech.com/network/63075</v>
      </c>
      <c r="H6623" s="2" t="s">
        <v>43912</v>
      </c>
      <c r="I6623" s="2">
        <v>94376</v>
      </c>
      <c r="J6623" s="2"/>
      <c r="K6623" s="2"/>
      <c r="L6623" s="2"/>
      <c r="M6623" s="2"/>
      <c r="N6623" s="2"/>
      <c r="O6623" s="2">
        <v>22572175</v>
      </c>
      <c r="P6623" s="2" t="s">
        <v>43913</v>
      </c>
      <c r="Q6623" s="2" t="s">
        <v>43914</v>
      </c>
      <c r="R6623" s="2" t="s">
        <v>43915</v>
      </c>
      <c r="S6623" s="2" t="s">
        <v>89</v>
      </c>
      <c r="T6623" s="2" t="s">
        <v>43916</v>
      </c>
      <c r="U6623" s="2" t="s">
        <v>41</v>
      </c>
      <c r="V6623" s="2" t="s">
        <v>59</v>
      </c>
      <c r="W6623" s="2">
        <v>37.5</v>
      </c>
      <c r="X6623" s="2">
        <v>0</v>
      </c>
      <c r="Y6623" s="2" t="s">
        <v>560</v>
      </c>
      <c r="Z6623" s="2" t="s">
        <v>43917</v>
      </c>
      <c r="AA6623" s="2">
        <v>0.44889704075085901</v>
      </c>
      <c r="AB6623" s="2">
        <v>2.04159309804198E-2</v>
      </c>
      <c r="AC6623" s="2">
        <v>2024.06659846096</v>
      </c>
      <c r="AD6623" s="2">
        <v>2141.6663702250598</v>
      </c>
      <c r="AE6623" s="2">
        <v>1858.2466926222901</v>
      </c>
      <c r="AF6623" s="2">
        <v>1967.28180108063</v>
      </c>
      <c r="AG6623" s="2">
        <v>2525.6592479117699</v>
      </c>
      <c r="AH6623" s="2">
        <v>1447.8134117975001</v>
      </c>
      <c r="AI6623" s="2">
        <v>2103.0336602770499</v>
      </c>
      <c r="AJ6623" s="2">
        <v>2242.3647770765201</v>
      </c>
      <c r="AK6623" s="2">
        <v>2145.05994999103</v>
      </c>
      <c r="AL6623" s="2">
        <v>2105.3106644146601</v>
      </c>
      <c r="AM6623" s="2">
        <v>2264.1362290826</v>
      </c>
      <c r="AN6623" s="2">
        <v>2195.0268566841301</v>
      </c>
      <c r="AO6623" s="2">
        <v>2195.9302144664898</v>
      </c>
      <c r="AP6623" s="2">
        <v>1944.53430671145</v>
      </c>
    </row>
    <row r="6624" spans="1:42" ht="14.5" x14ac:dyDescent="0.35">
      <c r="A6624" s="2" t="s">
        <v>43918</v>
      </c>
      <c r="B6624" s="2">
        <v>399.16561729626397</v>
      </c>
      <c r="C6624" s="2">
        <v>4.3640166666666698</v>
      </c>
      <c r="D6624" s="2" t="s">
        <v>70</v>
      </c>
      <c r="E6624" s="2" t="s">
        <v>43919</v>
      </c>
      <c r="F6624" s="2">
        <v>82782</v>
      </c>
      <c r="G6624" s="3" t="str">
        <f>HYPERLINK("http://funmeta.oebiotech.com/network/82782", "http://funmeta.oebiotech.com/network/82782")</f>
        <v>http://funmeta.oebiotech.com/network/82782</v>
      </c>
      <c r="H6624" s="2" t="s">
        <v>43920</v>
      </c>
      <c r="I6624" s="2">
        <v>2159</v>
      </c>
      <c r="J6624" s="2"/>
      <c r="K6624" s="2"/>
      <c r="L6624" s="2"/>
      <c r="M6624" s="2"/>
      <c r="N6624" s="2"/>
      <c r="O6624" s="2">
        <v>71751823</v>
      </c>
      <c r="P6624" s="2" t="s">
        <v>43921</v>
      </c>
      <c r="Q6624" s="2" t="s">
        <v>43922</v>
      </c>
      <c r="R6624" s="2" t="s">
        <v>43923</v>
      </c>
      <c r="S6624" s="2" t="s">
        <v>79</v>
      </c>
      <c r="T6624" s="2" t="s">
        <v>80</v>
      </c>
      <c r="U6624" s="2" t="s">
        <v>81</v>
      </c>
      <c r="V6624" s="2" t="s">
        <v>59</v>
      </c>
      <c r="W6624" s="2">
        <v>39.799999999999997</v>
      </c>
      <c r="X6624" s="2">
        <v>6.22</v>
      </c>
      <c r="Y6624" s="2" t="s">
        <v>408</v>
      </c>
      <c r="Z6624" s="2" t="s">
        <v>43924</v>
      </c>
      <c r="AA6624" s="2">
        <v>-1.2388037813199799</v>
      </c>
      <c r="AB6624" s="2">
        <v>2.0374133201587898E-2</v>
      </c>
      <c r="AC6624" s="2">
        <v>416.318819888836</v>
      </c>
      <c r="AD6624" s="2">
        <v>605.27770101482201</v>
      </c>
      <c r="AE6624" s="2">
        <v>2.7106294003980101E-5</v>
      </c>
      <c r="AF6624" s="2">
        <v>300.34058734285298</v>
      </c>
      <c r="AG6624" s="2">
        <v>1818.91841467939</v>
      </c>
      <c r="AH6624" s="2">
        <v>2.7106294003980101E-5</v>
      </c>
      <c r="AI6624" s="2">
        <v>378.65383599188903</v>
      </c>
      <c r="AJ6624" s="2">
        <v>2.7106294003980101E-5</v>
      </c>
      <c r="AK6624" s="2">
        <v>496.88363501146102</v>
      </c>
      <c r="AL6624" s="2">
        <v>1491.06000839584</v>
      </c>
      <c r="AM6624" s="2">
        <v>2.7106294003980101E-5</v>
      </c>
      <c r="AN6624" s="2">
        <v>359.76626333324299</v>
      </c>
      <c r="AO6624" s="2">
        <v>1283.9562451357999</v>
      </c>
      <c r="AP6624" s="2">
        <v>2.7106294003980101E-5</v>
      </c>
    </row>
    <row r="6625" spans="1:42" ht="14.5" x14ac:dyDescent="0.35">
      <c r="A6625" s="2" t="s">
        <v>43925</v>
      </c>
      <c r="B6625" s="2">
        <v>327.10843126345299</v>
      </c>
      <c r="C6625" s="2">
        <v>4.3459666666666701</v>
      </c>
      <c r="D6625" s="2" t="s">
        <v>70</v>
      </c>
      <c r="E6625" s="2" t="s">
        <v>43926</v>
      </c>
      <c r="F6625" s="2">
        <v>204225</v>
      </c>
      <c r="G6625" s="3" t="str">
        <f>HYPERLINK("http://funmeta.oebiotech.com/network/204225", "http://funmeta.oebiotech.com/network/204225")</f>
        <v>http://funmeta.oebiotech.com/network/204225</v>
      </c>
      <c r="H6625" s="2" t="s">
        <v>43927</v>
      </c>
      <c r="I6625" s="2"/>
      <c r="J6625" s="2"/>
      <c r="K6625" s="2"/>
      <c r="L6625" s="2"/>
      <c r="M6625" s="2"/>
      <c r="N6625" s="2"/>
      <c r="O6625" s="2"/>
      <c r="P6625" s="2"/>
      <c r="Q6625" s="2" t="s">
        <v>43928</v>
      </c>
      <c r="R6625" s="2" t="s">
        <v>43929</v>
      </c>
      <c r="S6625" s="2" t="s">
        <v>148</v>
      </c>
      <c r="T6625" s="2" t="s">
        <v>149</v>
      </c>
      <c r="U6625" s="2" t="s">
        <v>1593</v>
      </c>
      <c r="V6625" s="2" t="s">
        <v>59</v>
      </c>
      <c r="W6625" s="2">
        <v>38.700000000000003</v>
      </c>
      <c r="X6625" s="2">
        <v>0</v>
      </c>
      <c r="Y6625" s="2" t="s">
        <v>408</v>
      </c>
      <c r="Z6625" s="2" t="s">
        <v>43930</v>
      </c>
      <c r="AA6625" s="2">
        <v>-0.38956802257832601</v>
      </c>
      <c r="AB6625" s="2">
        <v>2.0337827128966798E-2</v>
      </c>
      <c r="AC6625" s="2">
        <v>4293.0687782348396</v>
      </c>
      <c r="AD6625" s="2">
        <v>4103.9840097680399</v>
      </c>
      <c r="AE6625" s="2">
        <v>3978.7130739068102</v>
      </c>
      <c r="AF6625" s="2">
        <v>4435.6984705207997</v>
      </c>
      <c r="AG6625" s="2">
        <v>3253.26999650057</v>
      </c>
      <c r="AH6625" s="2">
        <v>4683.7831773494399</v>
      </c>
      <c r="AI6625" s="2">
        <v>3384.33134058016</v>
      </c>
      <c r="AJ6625" s="2">
        <v>6022.6166105512402</v>
      </c>
      <c r="AK6625" s="2">
        <v>3943.2048257877</v>
      </c>
      <c r="AL6625" s="2">
        <v>4138.1259654864298</v>
      </c>
      <c r="AM6625" s="2">
        <v>4092.3446152635702</v>
      </c>
      <c r="AN6625" s="2">
        <v>4314.91546386345</v>
      </c>
      <c r="AO6625" s="2">
        <v>3738.22052677994</v>
      </c>
      <c r="AP6625" s="2">
        <v>4397.0926614271702</v>
      </c>
    </row>
    <row r="6626" spans="1:42" ht="14.5" x14ac:dyDescent="0.35">
      <c r="A6626" s="2" t="s">
        <v>43931</v>
      </c>
      <c r="B6626" s="2">
        <v>127.11168745337601</v>
      </c>
      <c r="C6626" s="2">
        <v>3.9845333333333302</v>
      </c>
      <c r="D6626" s="2" t="s">
        <v>34</v>
      </c>
      <c r="E6626" s="2" t="s">
        <v>43932</v>
      </c>
      <c r="F6626" s="2">
        <v>52455</v>
      </c>
      <c r="G6626" s="3" t="str">
        <f>HYPERLINK("http://funmeta.oebiotech.com/network/52455", "http://funmeta.oebiotech.com/network/52455")</f>
        <v>http://funmeta.oebiotech.com/network/52455</v>
      </c>
      <c r="H6626" s="2" t="s">
        <v>43933</v>
      </c>
      <c r="I6626" s="2"/>
      <c r="J6626" s="2"/>
      <c r="K6626" s="2">
        <v>61725</v>
      </c>
      <c r="L6626" s="2"/>
      <c r="M6626" s="2"/>
      <c r="N6626" s="2"/>
      <c r="O6626" s="2">
        <v>16900</v>
      </c>
      <c r="P6626" s="2" t="s">
        <v>43934</v>
      </c>
      <c r="Q6626" s="2" t="s">
        <v>43935</v>
      </c>
      <c r="R6626" s="2" t="s">
        <v>43936</v>
      </c>
      <c r="S6626" s="2" t="s">
        <v>79</v>
      </c>
      <c r="T6626" s="2" t="s">
        <v>80</v>
      </c>
      <c r="U6626" s="2" t="s">
        <v>2820</v>
      </c>
      <c r="V6626" s="2" t="s">
        <v>59</v>
      </c>
      <c r="W6626" s="2">
        <v>38.700000000000003</v>
      </c>
      <c r="X6626" s="2">
        <v>0</v>
      </c>
      <c r="Y6626" s="2" t="s">
        <v>266</v>
      </c>
      <c r="Z6626" s="2" t="s">
        <v>43937</v>
      </c>
      <c r="AA6626" s="2">
        <v>-0.42859040929616199</v>
      </c>
      <c r="AB6626" s="2">
        <v>2.0326994511846799E-2</v>
      </c>
      <c r="AC6626" s="2">
        <v>5594.7815101798797</v>
      </c>
      <c r="AD6626" s="2">
        <v>5374.5857865385597</v>
      </c>
      <c r="AE6626" s="2">
        <v>4622.03423967246</v>
      </c>
      <c r="AF6626" s="2">
        <v>5147.3269898035596</v>
      </c>
      <c r="AG6626" s="2">
        <v>5039.0792256999202</v>
      </c>
      <c r="AH6626" s="2">
        <v>5378.4188637759999</v>
      </c>
      <c r="AI6626" s="2">
        <v>5086.9492099311801</v>
      </c>
      <c r="AJ6626" s="2">
        <v>8294.88053219617</v>
      </c>
      <c r="AK6626" s="2">
        <v>5232.41231022387</v>
      </c>
      <c r="AL6626" s="2">
        <v>5142.4706283354699</v>
      </c>
      <c r="AM6626" s="2">
        <v>5298.4829110660203</v>
      </c>
      <c r="AN6626" s="2">
        <v>5663.1632175862696</v>
      </c>
      <c r="AO6626" s="2">
        <v>5580.0580387854598</v>
      </c>
      <c r="AP6626" s="2">
        <v>5330.9276132342702</v>
      </c>
    </row>
    <row r="6627" spans="1:42" ht="14.5" x14ac:dyDescent="0.35">
      <c r="A6627" s="2" t="s">
        <v>43938</v>
      </c>
      <c r="B6627" s="2">
        <v>376.13483830261799</v>
      </c>
      <c r="C6627" s="2">
        <v>8.6905333333333292</v>
      </c>
      <c r="D6627" s="2" t="s">
        <v>34</v>
      </c>
      <c r="E6627" s="2" t="s">
        <v>43939</v>
      </c>
      <c r="F6627" s="2">
        <v>210156</v>
      </c>
      <c r="G6627" s="3" t="str">
        <f>HYPERLINK("http://funmeta.oebiotech.com/network/210156", "http://funmeta.oebiotech.com/network/210156")</f>
        <v>http://funmeta.oebiotech.com/network/210156</v>
      </c>
      <c r="H6627" s="2" t="s">
        <v>43940</v>
      </c>
      <c r="I6627" s="2">
        <v>43302</v>
      </c>
      <c r="J6627" s="2"/>
      <c r="K6627" s="2">
        <v>35739</v>
      </c>
      <c r="L6627" s="2"/>
      <c r="M6627" s="2"/>
      <c r="N6627" s="2"/>
      <c r="O6627" s="2">
        <v>3053</v>
      </c>
      <c r="P6627" s="2"/>
      <c r="Q6627" s="2" t="s">
        <v>43941</v>
      </c>
      <c r="R6627" s="2" t="s">
        <v>43942</v>
      </c>
      <c r="S6627" s="2" t="s">
        <v>89</v>
      </c>
      <c r="T6627" s="2" t="s">
        <v>90</v>
      </c>
      <c r="U6627" s="2" t="s">
        <v>469</v>
      </c>
      <c r="V6627" s="2" t="s">
        <v>59</v>
      </c>
      <c r="W6627" s="2">
        <v>36.4</v>
      </c>
      <c r="X6627" s="2">
        <v>0</v>
      </c>
      <c r="Y6627" s="2" t="s">
        <v>141</v>
      </c>
      <c r="Z6627" s="2" t="s">
        <v>43943</v>
      </c>
      <c r="AA6627" s="2">
        <v>-0.55297326103755295</v>
      </c>
      <c r="AB6627" s="2">
        <v>2.0304427113594301E-2</v>
      </c>
      <c r="AC6627" s="2">
        <v>3916.6107481435902</v>
      </c>
      <c r="AD6627" s="2">
        <v>3659.80652979455</v>
      </c>
      <c r="AE6627" s="2">
        <v>3700.35611329828</v>
      </c>
      <c r="AF6627" s="2">
        <v>4882.5652155506295</v>
      </c>
      <c r="AG6627" s="2">
        <v>3721.52161508685</v>
      </c>
      <c r="AH6627" s="2">
        <v>4298.0695622705198</v>
      </c>
      <c r="AI6627" s="2">
        <v>3621.4899158796502</v>
      </c>
      <c r="AJ6627" s="2">
        <v>3275.6620667756301</v>
      </c>
      <c r="AK6627" s="2">
        <v>2740.2993714812901</v>
      </c>
      <c r="AL6627" s="2">
        <v>956.86330238505604</v>
      </c>
      <c r="AM6627" s="2">
        <v>5314.6109649793098</v>
      </c>
      <c r="AN6627" s="2">
        <v>3035.7190862334101</v>
      </c>
      <c r="AO6627" s="2">
        <v>4761.7561244731496</v>
      </c>
      <c r="AP6627" s="2">
        <v>5149.5903292150697</v>
      </c>
    </row>
    <row r="6628" spans="1:42" ht="14.5" x14ac:dyDescent="0.35">
      <c r="A6628" s="2" t="s">
        <v>43944</v>
      </c>
      <c r="B6628" s="2">
        <v>115.011471096869</v>
      </c>
      <c r="C6628" s="2">
        <v>0.63648333333333296</v>
      </c>
      <c r="D6628" s="2" t="s">
        <v>34</v>
      </c>
      <c r="E6628" s="2" t="s">
        <v>43945</v>
      </c>
      <c r="F6628" s="2">
        <v>213464</v>
      </c>
      <c r="G6628" s="3" t="str">
        <f>HYPERLINK("http://funmeta.oebiotech.com/network/213464", "http://funmeta.oebiotech.com/network/213464")</f>
        <v>http://funmeta.oebiotech.com/network/213464</v>
      </c>
      <c r="H6628" s="2" t="s">
        <v>43946</v>
      </c>
      <c r="I6628" s="2"/>
      <c r="J6628" s="2"/>
      <c r="K6628" s="2"/>
      <c r="L6628" s="2"/>
      <c r="M6628" s="2"/>
      <c r="N6628" s="2"/>
      <c r="O6628" s="2">
        <v>13828328</v>
      </c>
      <c r="P6628" s="2"/>
      <c r="Q6628" s="2" t="s">
        <v>43947</v>
      </c>
      <c r="R6628" s="2" t="s">
        <v>43948</v>
      </c>
      <c r="S6628" s="2" t="s">
        <v>1677</v>
      </c>
      <c r="T6628" s="2" t="s">
        <v>1678</v>
      </c>
      <c r="U6628" s="2" t="s">
        <v>41</v>
      </c>
      <c r="V6628" s="2" t="s">
        <v>59</v>
      </c>
      <c r="W6628" s="2">
        <v>39.299999999999997</v>
      </c>
      <c r="X6628" s="2">
        <v>0</v>
      </c>
      <c r="Y6628" s="2" t="s">
        <v>323</v>
      </c>
      <c r="Z6628" s="2" t="s">
        <v>43949</v>
      </c>
      <c r="AA6628" s="2">
        <v>0.63485021921045004</v>
      </c>
      <c r="AB6628" s="2">
        <v>2.0235217620073999E-2</v>
      </c>
      <c r="AC6628" s="2">
        <v>2266.3451757559501</v>
      </c>
      <c r="AD6628" s="2">
        <v>2128.2567132877698</v>
      </c>
      <c r="AE6628" s="2">
        <v>2248.7722938934799</v>
      </c>
      <c r="AF6628" s="2">
        <v>2394.9548648437699</v>
      </c>
      <c r="AG6628" s="2">
        <v>2445.2440520482</v>
      </c>
      <c r="AH6628" s="2">
        <v>2039.1242590863401</v>
      </c>
      <c r="AI6628" s="2">
        <v>2065.5372560156502</v>
      </c>
      <c r="AJ6628" s="2">
        <v>2404.4383286482598</v>
      </c>
      <c r="AK6628" s="2">
        <v>2719.6368650364702</v>
      </c>
      <c r="AL6628" s="2">
        <v>1462.55971909253</v>
      </c>
      <c r="AM6628" s="2">
        <v>2236.8846106446899</v>
      </c>
      <c r="AN6628" s="2">
        <v>2115.9240940753102</v>
      </c>
      <c r="AO6628" s="2">
        <v>1593.8526222129899</v>
      </c>
      <c r="AP6628" s="2">
        <v>2640.6823686646198</v>
      </c>
    </row>
    <row r="6629" spans="1:42" ht="14.5" x14ac:dyDescent="0.35">
      <c r="A6629" s="2" t="s">
        <v>43950</v>
      </c>
      <c r="B6629" s="2">
        <v>226.08375080743599</v>
      </c>
      <c r="C6629" s="2">
        <v>1.3287</v>
      </c>
      <c r="D6629" s="2" t="s">
        <v>34</v>
      </c>
      <c r="E6629" s="2" t="s">
        <v>43951</v>
      </c>
      <c r="F6629" s="2">
        <v>62914</v>
      </c>
      <c r="G6629" s="3" t="str">
        <f>HYPERLINK("http://funmeta.oebiotech.com/network/62914", "http://funmeta.oebiotech.com/network/62914")</f>
        <v>http://funmeta.oebiotech.com/network/62914</v>
      </c>
      <c r="H6629" s="2" t="s">
        <v>43952</v>
      </c>
      <c r="I6629" s="2">
        <v>94211</v>
      </c>
      <c r="J6629" s="2"/>
      <c r="K6629" s="2"/>
      <c r="L6629" s="2"/>
      <c r="M6629" s="2"/>
      <c r="N6629" s="2"/>
      <c r="O6629" s="2">
        <v>85576667</v>
      </c>
      <c r="P6629" s="2" t="s">
        <v>43953</v>
      </c>
      <c r="Q6629" s="2" t="s">
        <v>43954</v>
      </c>
      <c r="R6629" s="2" t="s">
        <v>43955</v>
      </c>
      <c r="S6629" s="2" t="s">
        <v>491</v>
      </c>
      <c r="T6629" s="2" t="s">
        <v>2238</v>
      </c>
      <c r="U6629" s="2" t="s">
        <v>2239</v>
      </c>
      <c r="V6629" s="2" t="s">
        <v>59</v>
      </c>
      <c r="W6629" s="2">
        <v>39.4</v>
      </c>
      <c r="X6629" s="2">
        <v>5.88</v>
      </c>
      <c r="Y6629" s="2" t="s">
        <v>323</v>
      </c>
      <c r="Z6629" s="2" t="s">
        <v>43956</v>
      </c>
      <c r="AA6629" s="2">
        <v>-0.48516002079840298</v>
      </c>
      <c r="AB6629" s="2">
        <v>2.0200394799998401E-2</v>
      </c>
      <c r="AC6629" s="2">
        <v>75124.473696875095</v>
      </c>
      <c r="AD6629" s="2">
        <v>75560.303721908203</v>
      </c>
      <c r="AE6629" s="2">
        <v>72868.359389790901</v>
      </c>
      <c r="AF6629" s="2">
        <v>75833.5340825413</v>
      </c>
      <c r="AG6629" s="2">
        <v>72446.602779362103</v>
      </c>
      <c r="AH6629" s="2">
        <v>77432.906842059499</v>
      </c>
      <c r="AI6629" s="2">
        <v>80040.486829784699</v>
      </c>
      <c r="AJ6629" s="2">
        <v>72124.952257711804</v>
      </c>
      <c r="AK6629" s="2">
        <v>66621.394865748807</v>
      </c>
      <c r="AL6629" s="2">
        <v>81915.129364413195</v>
      </c>
      <c r="AM6629" s="2">
        <v>73256.077883235397</v>
      </c>
      <c r="AN6629" s="2">
        <v>75608.602818461106</v>
      </c>
      <c r="AO6629" s="2">
        <v>76803.812743331699</v>
      </c>
      <c r="AP6629" s="2">
        <v>79156.804656259104</v>
      </c>
    </row>
    <row r="6630" spans="1:42" ht="14.5" x14ac:dyDescent="0.35">
      <c r="A6630" s="2" t="s">
        <v>43957</v>
      </c>
      <c r="B6630" s="2">
        <v>228.15937126676201</v>
      </c>
      <c r="C6630" s="2">
        <v>5.8651</v>
      </c>
      <c r="D6630" s="2" t="s">
        <v>34</v>
      </c>
      <c r="E6630" s="2" t="s">
        <v>43958</v>
      </c>
      <c r="F6630" s="2">
        <v>57138</v>
      </c>
      <c r="G6630" s="3" t="str">
        <f>HYPERLINK("http://funmeta.oebiotech.com/network/57138", "http://funmeta.oebiotech.com/network/57138")</f>
        <v>http://funmeta.oebiotech.com/network/57138</v>
      </c>
      <c r="H6630" s="2" t="s">
        <v>43959</v>
      </c>
      <c r="I6630" s="2">
        <v>88787</v>
      </c>
      <c r="J6630" s="2"/>
      <c r="K6630" s="2">
        <v>142275</v>
      </c>
      <c r="L6630" s="2"/>
      <c r="M6630" s="2"/>
      <c r="N6630" s="2"/>
      <c r="O6630" s="2">
        <v>12367058</v>
      </c>
      <c r="P6630" s="2" t="s">
        <v>43960</v>
      </c>
      <c r="Q6630" s="2" t="s">
        <v>43961</v>
      </c>
      <c r="R6630" s="2" t="s">
        <v>43962</v>
      </c>
      <c r="S6630" s="2" t="s">
        <v>89</v>
      </c>
      <c r="T6630" s="2" t="s">
        <v>2718</v>
      </c>
      <c r="U6630" s="2" t="s">
        <v>6030</v>
      </c>
      <c r="V6630" s="2" t="s">
        <v>59</v>
      </c>
      <c r="W6630" s="2">
        <v>39.4</v>
      </c>
      <c r="X6630" s="2">
        <v>0</v>
      </c>
      <c r="Y6630" s="2" t="s">
        <v>43</v>
      </c>
      <c r="Z6630" s="2" t="s">
        <v>32091</v>
      </c>
      <c r="AA6630" s="2">
        <v>-0.23176223906291499</v>
      </c>
      <c r="AB6630" s="2">
        <v>2.0105146236697201E-2</v>
      </c>
      <c r="AC6630" s="2">
        <v>457.68043745590398</v>
      </c>
      <c r="AD6630" s="2">
        <v>570.254071009315</v>
      </c>
      <c r="AE6630" s="2">
        <v>535.25530668702402</v>
      </c>
      <c r="AF6630" s="2">
        <v>2.7106294003980101E-5</v>
      </c>
      <c r="AG6630" s="2">
        <v>344.56746957463002</v>
      </c>
      <c r="AH6630" s="2">
        <v>534.61975438625097</v>
      </c>
      <c r="AI6630" s="2">
        <v>676.87709919769804</v>
      </c>
      <c r="AJ6630" s="2">
        <v>654.76296778353003</v>
      </c>
      <c r="AK6630" s="2">
        <v>754.80822823255505</v>
      </c>
      <c r="AL6630" s="2">
        <v>617.932572849606</v>
      </c>
      <c r="AM6630" s="2">
        <v>293.51077272317502</v>
      </c>
      <c r="AN6630" s="2">
        <v>620.56862345802801</v>
      </c>
      <c r="AO6630" s="2">
        <v>217.60361915623099</v>
      </c>
      <c r="AP6630" s="2">
        <v>917.10060963629701</v>
      </c>
    </row>
    <row r="6631" spans="1:42" ht="14.5" x14ac:dyDescent="0.35">
      <c r="A6631" s="2" t="s">
        <v>43963</v>
      </c>
      <c r="B6631" s="2">
        <v>923.44496908844201</v>
      </c>
      <c r="C6631" s="2">
        <v>12.5376666666667</v>
      </c>
      <c r="D6631" s="2" t="s">
        <v>70</v>
      </c>
      <c r="E6631" s="2" t="s">
        <v>43964</v>
      </c>
      <c r="F6631" s="2">
        <v>211293</v>
      </c>
      <c r="G6631" s="3" t="str">
        <f>HYPERLINK("http://funmeta.oebiotech.com/network/211293", "http://funmeta.oebiotech.com/network/211293")</f>
        <v>http://funmeta.oebiotech.com/network/211293</v>
      </c>
      <c r="H6631" s="2" t="s">
        <v>43965</v>
      </c>
      <c r="I6631" s="2"/>
      <c r="J6631" s="2"/>
      <c r="K6631" s="2"/>
      <c r="L6631" s="2"/>
      <c r="M6631" s="2"/>
      <c r="N6631" s="2"/>
      <c r="O6631" s="2">
        <v>23533297</v>
      </c>
      <c r="P6631" s="2"/>
      <c r="Q6631" s="2" t="s">
        <v>43966</v>
      </c>
      <c r="R6631" s="2" t="s">
        <v>43967</v>
      </c>
      <c r="S6631" s="2" t="s">
        <v>148</v>
      </c>
      <c r="T6631" s="2" t="s">
        <v>149</v>
      </c>
      <c r="U6631" s="2" t="s">
        <v>4630</v>
      </c>
      <c r="V6631" s="2" t="s">
        <v>59</v>
      </c>
      <c r="W6631" s="2">
        <v>36.700000000000003</v>
      </c>
      <c r="X6631" s="2">
        <v>0</v>
      </c>
      <c r="Y6631" s="2" t="s">
        <v>560</v>
      </c>
      <c r="Z6631" s="2" t="s">
        <v>43968</v>
      </c>
      <c r="AA6631" s="2">
        <v>-1.2606353382426101</v>
      </c>
      <c r="AB6631" s="2">
        <v>2.0099204699427799E-2</v>
      </c>
      <c r="AC6631" s="2">
        <v>23101.214554916402</v>
      </c>
      <c r="AD6631" s="2">
        <v>22643.408004773501</v>
      </c>
      <c r="AE6631" s="2">
        <v>17598.2404951504</v>
      </c>
      <c r="AF6631" s="2">
        <v>20878.1426153375</v>
      </c>
      <c r="AG6631" s="2">
        <v>22805.6367145248</v>
      </c>
      <c r="AH6631" s="2">
        <v>25464.141983988899</v>
      </c>
      <c r="AI6631" s="2">
        <v>23639.473528585298</v>
      </c>
      <c r="AJ6631" s="2">
        <v>28221.6519919112</v>
      </c>
      <c r="AK6631" s="2">
        <v>19731.640434814701</v>
      </c>
      <c r="AL6631" s="2">
        <v>18702.994674183999</v>
      </c>
      <c r="AM6631" s="2">
        <v>22825.963464243399</v>
      </c>
      <c r="AN6631" s="2">
        <v>19513.596036836901</v>
      </c>
      <c r="AO6631" s="2">
        <v>25205.895678936002</v>
      </c>
      <c r="AP6631" s="2">
        <v>29880.357739625801</v>
      </c>
    </row>
    <row r="6632" spans="1:42" ht="14.5" x14ac:dyDescent="0.35">
      <c r="A6632" s="2" t="s">
        <v>43969</v>
      </c>
      <c r="B6632" s="2">
        <v>613.11180049917903</v>
      </c>
      <c r="C6632" s="2">
        <v>4.4179500000000003</v>
      </c>
      <c r="D6632" s="2" t="s">
        <v>70</v>
      </c>
      <c r="E6632" s="2" t="s">
        <v>43970</v>
      </c>
      <c r="F6632" s="2">
        <v>53687</v>
      </c>
      <c r="G6632" s="3" t="str">
        <f>HYPERLINK("http://funmeta.oebiotech.com/network/53687", "http://funmeta.oebiotech.com/network/53687")</f>
        <v>http://funmeta.oebiotech.com/network/53687</v>
      </c>
      <c r="H6632" s="2" t="s">
        <v>43971</v>
      </c>
      <c r="I6632" s="2">
        <v>85576</v>
      </c>
      <c r="J6632" s="2"/>
      <c r="K6632" s="2">
        <v>64321</v>
      </c>
      <c r="L6632" s="2"/>
      <c r="M6632" s="2"/>
      <c r="N6632" s="2"/>
      <c r="O6632" s="2">
        <v>219090</v>
      </c>
      <c r="P6632" s="2" t="s">
        <v>43972</v>
      </c>
      <c r="Q6632" s="2" t="s">
        <v>43973</v>
      </c>
      <c r="R6632" s="2" t="s">
        <v>43974</v>
      </c>
      <c r="S6632" s="2" t="s">
        <v>491</v>
      </c>
      <c r="T6632" s="2" t="s">
        <v>9777</v>
      </c>
      <c r="U6632" s="2" t="s">
        <v>9778</v>
      </c>
      <c r="V6632" s="2" t="s">
        <v>59</v>
      </c>
      <c r="W6632" s="2">
        <v>37.5</v>
      </c>
      <c r="X6632" s="2">
        <v>0</v>
      </c>
      <c r="Y6632" s="2" t="s">
        <v>118</v>
      </c>
      <c r="Z6632" s="2" t="s">
        <v>43975</v>
      </c>
      <c r="AA6632" s="2">
        <v>4.1658528977501899</v>
      </c>
      <c r="AB6632" s="2">
        <v>2.0093378019104501E-2</v>
      </c>
      <c r="AC6632" s="2">
        <v>1509.1808853545999</v>
      </c>
      <c r="AD6632" s="2">
        <v>1332.6646739611699</v>
      </c>
      <c r="AE6632" s="2">
        <v>1111.4014366823601</v>
      </c>
      <c r="AF6632" s="2">
        <v>2084.42559836281</v>
      </c>
      <c r="AG6632" s="2">
        <v>2532.3981687872601</v>
      </c>
      <c r="AH6632" s="2">
        <v>1199.14628830472</v>
      </c>
      <c r="AI6632" s="2">
        <v>1643.01411082857</v>
      </c>
      <c r="AJ6632" s="2">
        <v>484.69970916188697</v>
      </c>
      <c r="AK6632" s="2">
        <v>1699.7509075268799</v>
      </c>
      <c r="AL6632" s="2">
        <v>546.87071844986497</v>
      </c>
      <c r="AM6632" s="2">
        <v>1663.3172654402799</v>
      </c>
      <c r="AN6632" s="2">
        <v>1319.99106719663</v>
      </c>
      <c r="AO6632" s="2">
        <v>1847.3878732784401</v>
      </c>
      <c r="AP6632" s="2">
        <v>918.67021187492799</v>
      </c>
    </row>
    <row r="6633" spans="1:42" ht="14.5" x14ac:dyDescent="0.35">
      <c r="A6633" s="2" t="s">
        <v>43976</v>
      </c>
      <c r="B6633" s="2">
        <v>107.070200648384</v>
      </c>
      <c r="C6633" s="2">
        <v>1.06171666666667</v>
      </c>
      <c r="D6633" s="2" t="s">
        <v>34</v>
      </c>
      <c r="E6633" s="2" t="s">
        <v>43977</v>
      </c>
      <c r="F6633" s="2">
        <v>205888</v>
      </c>
      <c r="G6633" s="3" t="str">
        <f>HYPERLINK("http://funmeta.oebiotech.com/network/205888", "http://funmeta.oebiotech.com/network/205888")</f>
        <v>http://funmeta.oebiotech.com/network/205888</v>
      </c>
      <c r="H6633" s="2" t="s">
        <v>43978</v>
      </c>
      <c r="I6633" s="2">
        <v>70263</v>
      </c>
      <c r="J6633" s="2"/>
      <c r="K6633" s="2">
        <v>46807</v>
      </c>
      <c r="L6633" s="2" t="s">
        <v>43979</v>
      </c>
      <c r="M6633" s="2"/>
      <c r="N6633" s="2"/>
      <c r="O6633" s="2">
        <v>8117</v>
      </c>
      <c r="P6633" s="2" t="s">
        <v>43980</v>
      </c>
      <c r="Q6633" s="2" t="s">
        <v>43981</v>
      </c>
      <c r="R6633" s="2" t="s">
        <v>43982</v>
      </c>
      <c r="S6633" s="2" t="s">
        <v>79</v>
      </c>
      <c r="T6633" s="2" t="s">
        <v>80</v>
      </c>
      <c r="U6633" s="2" t="s">
        <v>249</v>
      </c>
      <c r="V6633" s="2" t="s">
        <v>59</v>
      </c>
      <c r="W6633" s="2">
        <v>38.799999999999997</v>
      </c>
      <c r="X6633" s="2">
        <v>0</v>
      </c>
      <c r="Y6633" s="2" t="s">
        <v>394</v>
      </c>
      <c r="Z6633" s="2" t="s">
        <v>43983</v>
      </c>
      <c r="AA6633" s="2">
        <v>-0.65963625476575505</v>
      </c>
      <c r="AB6633" s="2">
        <v>2.00618759976511E-2</v>
      </c>
      <c r="AC6633" s="2">
        <v>416.71244908909199</v>
      </c>
      <c r="AD6633" s="2">
        <v>486.76788525858302</v>
      </c>
      <c r="AE6633" s="2">
        <v>462.53898721321701</v>
      </c>
      <c r="AF6633" s="2">
        <v>564.01189979456797</v>
      </c>
      <c r="AG6633" s="2">
        <v>358.60955292215601</v>
      </c>
      <c r="AH6633" s="2">
        <v>381.13744080375898</v>
      </c>
      <c r="AI6633" s="2">
        <v>332.495344913959</v>
      </c>
      <c r="AJ6633" s="2">
        <v>401.48146888689098</v>
      </c>
      <c r="AK6633" s="2">
        <v>496.46898155915801</v>
      </c>
      <c r="AL6633" s="2">
        <v>580.84183714711605</v>
      </c>
      <c r="AM6633" s="2">
        <v>314.65515598410798</v>
      </c>
      <c r="AN6633" s="2">
        <v>452.454821726445</v>
      </c>
      <c r="AO6633" s="2">
        <v>516.31614904560797</v>
      </c>
      <c r="AP6633" s="2">
        <v>559.87036608905998</v>
      </c>
    </row>
    <row r="6634" spans="1:42" ht="14.5" x14ac:dyDescent="0.35">
      <c r="A6634" s="2" t="s">
        <v>43984</v>
      </c>
      <c r="B6634" s="2">
        <v>554.24157462849598</v>
      </c>
      <c r="C6634" s="2">
        <v>8.6936</v>
      </c>
      <c r="D6634" s="2" t="s">
        <v>70</v>
      </c>
      <c r="E6634" s="2" t="s">
        <v>43985</v>
      </c>
      <c r="F6634" s="2">
        <v>212200</v>
      </c>
      <c r="G6634" s="3" t="str">
        <f>HYPERLINK("http://funmeta.oebiotech.com/network/212200", "http://funmeta.oebiotech.com/network/212200")</f>
        <v>http://funmeta.oebiotech.com/network/212200</v>
      </c>
      <c r="H6634" s="2" t="s">
        <v>43986</v>
      </c>
      <c r="I6634" s="2"/>
      <c r="J6634" s="2"/>
      <c r="K6634" s="2"/>
      <c r="L6634" s="2"/>
      <c r="M6634" s="2"/>
      <c r="N6634" s="2"/>
      <c r="O6634" s="2">
        <v>12443257</v>
      </c>
      <c r="P6634" s="2"/>
      <c r="Q6634" s="2" t="s">
        <v>43987</v>
      </c>
      <c r="R6634" s="2" t="s">
        <v>43988</v>
      </c>
      <c r="S6634" s="2" t="s">
        <v>50</v>
      </c>
      <c r="T6634" s="2" t="s">
        <v>124</v>
      </c>
      <c r="U6634" s="2" t="s">
        <v>125</v>
      </c>
      <c r="V6634" s="2" t="s">
        <v>59</v>
      </c>
      <c r="W6634" s="2">
        <v>36.5</v>
      </c>
      <c r="X6634" s="2">
        <v>0</v>
      </c>
      <c r="Y6634" s="2" t="s">
        <v>408</v>
      </c>
      <c r="Z6634" s="2" t="s">
        <v>43989</v>
      </c>
      <c r="AA6634" s="2">
        <v>-2.6545860786814299</v>
      </c>
      <c r="AB6634" s="2">
        <v>2.0060827069611001E-2</v>
      </c>
      <c r="AC6634" s="2">
        <v>14811.674024023599</v>
      </c>
      <c r="AD6634" s="2">
        <v>14531.335435225799</v>
      </c>
      <c r="AE6634" s="2">
        <v>16443.219536765599</v>
      </c>
      <c r="AF6634" s="2">
        <v>13249.713959966401</v>
      </c>
      <c r="AG6634" s="2">
        <v>13479.822996844599</v>
      </c>
      <c r="AH6634" s="2">
        <v>14237.2341421642</v>
      </c>
      <c r="AI6634" s="2">
        <v>15967.290791940701</v>
      </c>
      <c r="AJ6634" s="2">
        <v>15492.7627164603</v>
      </c>
      <c r="AK6634" s="2">
        <v>15410.2459789779</v>
      </c>
      <c r="AL6634" s="2">
        <v>16813.9481646442</v>
      </c>
      <c r="AM6634" s="2">
        <v>15811.7063024419</v>
      </c>
      <c r="AN6634" s="2">
        <v>11918.4469505671</v>
      </c>
      <c r="AO6634" s="2">
        <v>14322.5780443888</v>
      </c>
      <c r="AP6634" s="2">
        <v>12911.087170335</v>
      </c>
    </row>
    <row r="6635" spans="1:42" ht="14.5" x14ac:dyDescent="0.35">
      <c r="A6635" s="2" t="s">
        <v>43990</v>
      </c>
      <c r="B6635" s="2">
        <v>461.00549456162099</v>
      </c>
      <c r="C6635" s="2">
        <v>10.04975</v>
      </c>
      <c r="D6635" s="2" t="s">
        <v>70</v>
      </c>
      <c r="E6635" s="2" t="s">
        <v>43991</v>
      </c>
      <c r="F6635" s="2">
        <v>208870</v>
      </c>
      <c r="G6635" s="3" t="str">
        <f>HYPERLINK("http://funmeta.oebiotech.com/network/208870", "http://funmeta.oebiotech.com/network/208870")</f>
        <v>http://funmeta.oebiotech.com/network/208870</v>
      </c>
      <c r="H6635" s="2" t="s">
        <v>43992</v>
      </c>
      <c r="I6635" s="2"/>
      <c r="J6635" s="2"/>
      <c r="K6635" s="2">
        <v>78761</v>
      </c>
      <c r="L6635" s="2"/>
      <c r="M6635" s="2"/>
      <c r="N6635" s="2"/>
      <c r="O6635" s="2"/>
      <c r="P6635" s="2"/>
      <c r="Q6635" s="2" t="s">
        <v>43993</v>
      </c>
      <c r="R6635" s="2" t="s">
        <v>43994</v>
      </c>
      <c r="S6635" s="2" t="s">
        <v>148</v>
      </c>
      <c r="T6635" s="2" t="s">
        <v>6221</v>
      </c>
      <c r="U6635" s="2" t="s">
        <v>7016</v>
      </c>
      <c r="V6635" s="2" t="s">
        <v>59</v>
      </c>
      <c r="W6635" s="2">
        <v>36.4</v>
      </c>
      <c r="X6635" s="2">
        <v>0</v>
      </c>
      <c r="Y6635" s="2" t="s">
        <v>408</v>
      </c>
      <c r="Z6635" s="2" t="s">
        <v>43995</v>
      </c>
      <c r="AA6635" s="2">
        <v>4.1944097243701099</v>
      </c>
      <c r="AB6635" s="2">
        <v>2.00566498601485E-2</v>
      </c>
      <c r="AC6635" s="2">
        <v>2688.8273476710301</v>
      </c>
      <c r="AD6635" s="2">
        <v>2809.8056876542801</v>
      </c>
      <c r="AE6635" s="2">
        <v>3196.4000693747598</v>
      </c>
      <c r="AF6635" s="2">
        <v>2443.3857664341299</v>
      </c>
      <c r="AG6635" s="2">
        <v>2603.7323029486502</v>
      </c>
      <c r="AH6635" s="2">
        <v>2728.7933566389102</v>
      </c>
      <c r="AI6635" s="2">
        <v>2302.54389732252</v>
      </c>
      <c r="AJ6635" s="2">
        <v>2858.1086933072302</v>
      </c>
      <c r="AK6635" s="2">
        <v>3033.2752893465699</v>
      </c>
      <c r="AL6635" s="2">
        <v>2585.2282140328198</v>
      </c>
      <c r="AM6635" s="2">
        <v>2573.8517412359001</v>
      </c>
      <c r="AN6635" s="2">
        <v>3153.2121840759401</v>
      </c>
      <c r="AO6635" s="2">
        <v>2919.1403527144298</v>
      </c>
      <c r="AP6635" s="2">
        <v>2594.1263445200102</v>
      </c>
    </row>
    <row r="6636" spans="1:42" ht="14.5" x14ac:dyDescent="0.35">
      <c r="A6636" s="2" t="s">
        <v>43996</v>
      </c>
      <c r="B6636" s="2">
        <v>192.06562167119199</v>
      </c>
      <c r="C6636" s="2">
        <v>3.6063166666666699</v>
      </c>
      <c r="D6636" s="2" t="s">
        <v>34</v>
      </c>
      <c r="E6636" s="2" t="s">
        <v>43997</v>
      </c>
      <c r="F6636" s="2">
        <v>55520</v>
      </c>
      <c r="G6636" s="3" t="str">
        <f>HYPERLINK("http://funmeta.oebiotech.com/network/55520", "http://funmeta.oebiotech.com/network/55520")</f>
        <v>http://funmeta.oebiotech.com/network/55520</v>
      </c>
      <c r="H6636" s="2" t="s">
        <v>43998</v>
      </c>
      <c r="I6636" s="2">
        <v>44061</v>
      </c>
      <c r="J6636" s="2"/>
      <c r="K6636" s="2">
        <v>15794</v>
      </c>
      <c r="L6636" s="2" t="s">
        <v>43999</v>
      </c>
      <c r="M6636" s="2"/>
      <c r="N6636" s="2"/>
      <c r="O6636" s="2">
        <v>3806</v>
      </c>
      <c r="P6636" s="2" t="s">
        <v>44000</v>
      </c>
      <c r="Q6636" s="2" t="s">
        <v>44001</v>
      </c>
      <c r="R6636" s="2" t="s">
        <v>44002</v>
      </c>
      <c r="S6636" s="2" t="s">
        <v>148</v>
      </c>
      <c r="T6636" s="2" t="s">
        <v>6221</v>
      </c>
      <c r="U6636" s="2" t="s">
        <v>17614</v>
      </c>
      <c r="V6636" s="2" t="s">
        <v>59</v>
      </c>
      <c r="W6636" s="2">
        <v>37.700000000000003</v>
      </c>
      <c r="X6636" s="2">
        <v>0</v>
      </c>
      <c r="Y6636" s="2" t="s">
        <v>43</v>
      </c>
      <c r="Z6636" s="2" t="s">
        <v>44003</v>
      </c>
      <c r="AA6636" s="2">
        <v>0.58661781561967297</v>
      </c>
      <c r="AB6636" s="2">
        <v>1.9885797825592501E-2</v>
      </c>
      <c r="AC6636" s="2">
        <v>406.447812991197</v>
      </c>
      <c r="AD6636" s="2">
        <v>488.70197633522298</v>
      </c>
      <c r="AE6636" s="2">
        <v>666.48855111824003</v>
      </c>
      <c r="AF6636" s="2">
        <v>254.915613125465</v>
      </c>
      <c r="AG6636" s="2">
        <v>331.65441265239502</v>
      </c>
      <c r="AH6636" s="2">
        <v>418.79223911232401</v>
      </c>
      <c r="AI6636" s="2">
        <v>328.18566836295599</v>
      </c>
      <c r="AJ6636" s="2">
        <v>438.65039357580298</v>
      </c>
      <c r="AK6636" s="2">
        <v>313.628926890103</v>
      </c>
      <c r="AL6636" s="2">
        <v>642.42807167982096</v>
      </c>
      <c r="AM6636" s="2">
        <v>513.33925525418999</v>
      </c>
      <c r="AN6636" s="2">
        <v>404.595633686214</v>
      </c>
      <c r="AO6636" s="2">
        <v>468.873936635039</v>
      </c>
      <c r="AP6636" s="2">
        <v>589.34603386596996</v>
      </c>
    </row>
    <row r="6637" spans="1:42" ht="14.5" x14ac:dyDescent="0.35">
      <c r="A6637" s="2" t="s">
        <v>44004</v>
      </c>
      <c r="B6637" s="2">
        <v>158.09629087105901</v>
      </c>
      <c r="C6637" s="2">
        <v>14.1398666666667</v>
      </c>
      <c r="D6637" s="2" t="s">
        <v>34</v>
      </c>
      <c r="E6637" s="2" t="s">
        <v>44005</v>
      </c>
      <c r="F6637" s="2">
        <v>280525</v>
      </c>
      <c r="G6637" s="3" t="str">
        <f>HYPERLINK("http://funmeta.oebiotech.com/network/280525", "http://funmeta.oebiotech.com/network/280525")</f>
        <v>http://funmeta.oebiotech.com/network/280525</v>
      </c>
      <c r="H6637" s="2"/>
      <c r="I6637" s="2">
        <v>85013</v>
      </c>
      <c r="J6637" s="2"/>
      <c r="K6637" s="2"/>
      <c r="L6637" s="2"/>
      <c r="M6637" s="2"/>
      <c r="N6637" s="2"/>
      <c r="O6637" s="2">
        <v>5284506</v>
      </c>
      <c r="P6637" s="2" t="s">
        <v>44006</v>
      </c>
      <c r="Q6637" s="2" t="s">
        <v>44007</v>
      </c>
      <c r="R6637" s="2" t="s">
        <v>44008</v>
      </c>
      <c r="S6637" s="2" t="s">
        <v>115</v>
      </c>
      <c r="T6637" s="2" t="s">
        <v>38330</v>
      </c>
      <c r="U6637" s="2" t="s">
        <v>41</v>
      </c>
      <c r="V6637" s="2" t="s">
        <v>59</v>
      </c>
      <c r="W6637" s="2">
        <v>38.799999999999997</v>
      </c>
      <c r="X6637" s="2">
        <v>0</v>
      </c>
      <c r="Y6637" s="2" t="s">
        <v>141</v>
      </c>
      <c r="Z6637" s="2" t="s">
        <v>44009</v>
      </c>
      <c r="AA6637" s="2">
        <v>-0.77053359023309798</v>
      </c>
      <c r="AB6637" s="2">
        <v>1.9839825033632699E-2</v>
      </c>
      <c r="AC6637" s="2">
        <v>6644.8239211328801</v>
      </c>
      <c r="AD6637" s="2">
        <v>6793.7525166409496</v>
      </c>
      <c r="AE6637" s="2">
        <v>6508.0027565172004</v>
      </c>
      <c r="AF6637" s="2">
        <v>6748.8970640832904</v>
      </c>
      <c r="AG6637" s="2">
        <v>6693.9021525082899</v>
      </c>
      <c r="AH6637" s="2">
        <v>6089.7397260145999</v>
      </c>
      <c r="AI6637" s="2">
        <v>6743.4983837977898</v>
      </c>
      <c r="AJ6637" s="2">
        <v>7084.90344387612</v>
      </c>
      <c r="AK6637" s="2">
        <v>7278.7112860481902</v>
      </c>
      <c r="AL6637" s="2">
        <v>7110.91185859085</v>
      </c>
      <c r="AM6637" s="2">
        <v>7374.0553426693796</v>
      </c>
      <c r="AN6637" s="2">
        <v>6238.5177999040197</v>
      </c>
      <c r="AO6637" s="2">
        <v>6709.9190629286504</v>
      </c>
      <c r="AP6637" s="2">
        <v>6050.3997497046003</v>
      </c>
    </row>
    <row r="6638" spans="1:42" ht="14.5" x14ac:dyDescent="0.35">
      <c r="A6638" s="2" t="s">
        <v>44010</v>
      </c>
      <c r="B6638" s="2">
        <v>218.11745212381399</v>
      </c>
      <c r="C6638" s="2">
        <v>9.5614333333333299</v>
      </c>
      <c r="D6638" s="2" t="s">
        <v>34</v>
      </c>
      <c r="E6638" s="2" t="s">
        <v>44011</v>
      </c>
      <c r="F6638" s="2">
        <v>197309</v>
      </c>
      <c r="G6638" s="3" t="str">
        <f>HYPERLINK("http://funmeta.oebiotech.com/network/197309", "http://funmeta.oebiotech.com/network/197309")</f>
        <v>http://funmeta.oebiotech.com/network/197309</v>
      </c>
      <c r="H6638" s="2" t="s">
        <v>44012</v>
      </c>
      <c r="I6638" s="2">
        <v>69949</v>
      </c>
      <c r="J6638" s="2"/>
      <c r="K6638" s="2">
        <v>34575</v>
      </c>
      <c r="L6638" s="2" t="s">
        <v>44013</v>
      </c>
      <c r="M6638" s="2" t="s">
        <v>44014</v>
      </c>
      <c r="N6638" s="2" t="s">
        <v>44015</v>
      </c>
      <c r="O6638" s="2">
        <v>12111</v>
      </c>
      <c r="P6638" s="2" t="s">
        <v>44016</v>
      </c>
      <c r="Q6638" s="2" t="s">
        <v>44017</v>
      </c>
      <c r="R6638" s="2" t="s">
        <v>44018</v>
      </c>
      <c r="S6638" s="2" t="s">
        <v>148</v>
      </c>
      <c r="T6638" s="2" t="s">
        <v>149</v>
      </c>
      <c r="U6638" s="2" t="s">
        <v>3473</v>
      </c>
      <c r="V6638" s="2" t="s">
        <v>59</v>
      </c>
      <c r="W6638" s="2">
        <v>39.4</v>
      </c>
      <c r="X6638" s="2">
        <v>0</v>
      </c>
      <c r="Y6638" s="2" t="s">
        <v>43</v>
      </c>
      <c r="Z6638" s="2" t="s">
        <v>44019</v>
      </c>
      <c r="AA6638" s="2">
        <v>-0.51493515333345596</v>
      </c>
      <c r="AB6638" s="2">
        <v>1.97631752013026E-2</v>
      </c>
      <c r="AC6638" s="2">
        <v>2648.7725205434099</v>
      </c>
      <c r="AD6638" s="2">
        <v>2738.8190390438499</v>
      </c>
      <c r="AE6638" s="2">
        <v>2528.4629276369201</v>
      </c>
      <c r="AF6638" s="2">
        <v>2726.43675820826</v>
      </c>
      <c r="AG6638" s="2">
        <v>2870.8217230046998</v>
      </c>
      <c r="AH6638" s="2">
        <v>2265.0171850822098</v>
      </c>
      <c r="AI6638" s="2">
        <v>2748.7345246755899</v>
      </c>
      <c r="AJ6638" s="2">
        <v>2753.1620046527801</v>
      </c>
      <c r="AK6638" s="2">
        <v>2620.21373354668</v>
      </c>
      <c r="AL6638" s="2">
        <v>2691.3656385435502</v>
      </c>
      <c r="AM6638" s="2">
        <v>2799.8320761894201</v>
      </c>
      <c r="AN6638" s="2">
        <v>2900.1252224611899</v>
      </c>
      <c r="AO6638" s="2">
        <v>2724.53719351276</v>
      </c>
      <c r="AP6638" s="2">
        <v>2696.84037000952</v>
      </c>
    </row>
    <row r="6639" spans="1:42" ht="14.5" x14ac:dyDescent="0.35">
      <c r="A6639" s="2" t="s">
        <v>44020</v>
      </c>
      <c r="B6639" s="2">
        <v>571.21963035429599</v>
      </c>
      <c r="C6639" s="2">
        <v>4.6857333333333298</v>
      </c>
      <c r="D6639" s="2" t="s">
        <v>70</v>
      </c>
      <c r="E6639" s="2" t="s">
        <v>44021</v>
      </c>
      <c r="F6639" s="2">
        <v>204433</v>
      </c>
      <c r="G6639" s="3" t="str">
        <f>HYPERLINK("http://funmeta.oebiotech.com/network/204433", "http://funmeta.oebiotech.com/network/204433")</f>
        <v>http://funmeta.oebiotech.com/network/204433</v>
      </c>
      <c r="H6639" s="2" t="s">
        <v>44022</v>
      </c>
      <c r="I6639" s="2"/>
      <c r="J6639" s="2"/>
      <c r="K6639" s="2">
        <v>91556</v>
      </c>
      <c r="L6639" s="2"/>
      <c r="M6639" s="2"/>
      <c r="N6639" s="2"/>
      <c r="O6639" s="2">
        <v>4284720</v>
      </c>
      <c r="P6639" s="2"/>
      <c r="Q6639" s="2" t="s">
        <v>44023</v>
      </c>
      <c r="R6639" s="2" t="s">
        <v>44024</v>
      </c>
      <c r="S6639" s="2" t="s">
        <v>491</v>
      </c>
      <c r="T6639" s="2" t="s">
        <v>2184</v>
      </c>
      <c r="U6639" s="2" t="s">
        <v>5421</v>
      </c>
      <c r="V6639" s="2" t="s">
        <v>59</v>
      </c>
      <c r="W6639" s="2">
        <v>37.799999999999997</v>
      </c>
      <c r="X6639" s="2">
        <v>0</v>
      </c>
      <c r="Y6639" s="2" t="s">
        <v>560</v>
      </c>
      <c r="Z6639" s="2" t="s">
        <v>44025</v>
      </c>
      <c r="AA6639" s="2">
        <v>-1.85525105834909</v>
      </c>
      <c r="AB6639" s="2">
        <v>1.9746344007947999E-2</v>
      </c>
      <c r="AC6639" s="2">
        <v>37433.192580983799</v>
      </c>
      <c r="AD6639" s="2">
        <v>37071.325327603503</v>
      </c>
      <c r="AE6639" s="2">
        <v>36694.657404453799</v>
      </c>
      <c r="AF6639" s="2">
        <v>41230.572386914799</v>
      </c>
      <c r="AG6639" s="2">
        <v>33565.244728453603</v>
      </c>
      <c r="AH6639" s="2">
        <v>38583.393224470601</v>
      </c>
      <c r="AI6639" s="2">
        <v>36558.348463901901</v>
      </c>
      <c r="AJ6639" s="2">
        <v>37966.939277708203</v>
      </c>
      <c r="AK6639" s="2">
        <v>33990.104813098696</v>
      </c>
      <c r="AL6639" s="2">
        <v>35568.7668778726</v>
      </c>
      <c r="AM6639" s="2">
        <v>34731.421134065597</v>
      </c>
      <c r="AN6639" s="2">
        <v>39672.645703514303</v>
      </c>
      <c r="AO6639" s="2">
        <v>37042.335029313399</v>
      </c>
      <c r="AP6639" s="2">
        <v>41422.678407756197</v>
      </c>
    </row>
    <row r="6640" spans="1:42" ht="14.5" x14ac:dyDescent="0.35">
      <c r="A6640" s="2" t="s">
        <v>44026</v>
      </c>
      <c r="B6640" s="2">
        <v>188.034347926089</v>
      </c>
      <c r="C6640" s="2">
        <v>3.8797333333333301</v>
      </c>
      <c r="D6640" s="2" t="s">
        <v>70</v>
      </c>
      <c r="E6640" s="2" t="s">
        <v>44027</v>
      </c>
      <c r="F6640" s="2">
        <v>47176</v>
      </c>
      <c r="G6640" s="3" t="str">
        <f>HYPERLINK("http://funmeta.oebiotech.com/network/47176", "http://funmeta.oebiotech.com/network/47176")</f>
        <v>http://funmeta.oebiotech.com/network/47176</v>
      </c>
      <c r="H6640" s="2" t="s">
        <v>44028</v>
      </c>
      <c r="I6640" s="2">
        <v>5683</v>
      </c>
      <c r="J6640" s="2"/>
      <c r="K6640" s="2">
        <v>18344</v>
      </c>
      <c r="L6640" s="2" t="s">
        <v>44029</v>
      </c>
      <c r="M6640" s="2" t="s">
        <v>17784</v>
      </c>
      <c r="N6640" s="2" t="s">
        <v>17785</v>
      </c>
      <c r="O6640" s="2">
        <v>3845</v>
      </c>
      <c r="P6640" s="2" t="s">
        <v>44030</v>
      </c>
      <c r="Q6640" s="2" t="s">
        <v>44031</v>
      </c>
      <c r="R6640" s="2" t="s">
        <v>44032</v>
      </c>
      <c r="S6640" s="2" t="s">
        <v>491</v>
      </c>
      <c r="T6640" s="2" t="s">
        <v>1516</v>
      </c>
      <c r="U6640" s="2" t="s">
        <v>2355</v>
      </c>
      <c r="V6640" s="2" t="s">
        <v>42</v>
      </c>
      <c r="W6640" s="2">
        <v>55.1</v>
      </c>
      <c r="X6640" s="2">
        <v>85.3</v>
      </c>
      <c r="Y6640" s="2" t="s">
        <v>118</v>
      </c>
      <c r="Z6640" s="2" t="s">
        <v>36477</v>
      </c>
      <c r="AA6640" s="2">
        <v>-5.1244000907721601</v>
      </c>
      <c r="AB6640" s="2">
        <v>1.9695399006501899E-2</v>
      </c>
      <c r="AC6640" s="2">
        <v>4503.5860475290101</v>
      </c>
      <c r="AD6640" s="2">
        <v>4352.3087571325595</v>
      </c>
      <c r="AE6640" s="2">
        <v>3973.9406281699098</v>
      </c>
      <c r="AF6640" s="2">
        <v>5278.7689040347204</v>
      </c>
      <c r="AG6640" s="2">
        <v>4396.5406533589703</v>
      </c>
      <c r="AH6640" s="2">
        <v>3809.7800340153299</v>
      </c>
      <c r="AI6640" s="2">
        <v>5062.3211047606801</v>
      </c>
      <c r="AJ6640" s="2">
        <v>4500.1649608344396</v>
      </c>
      <c r="AK6640" s="2">
        <v>3978.17224550327</v>
      </c>
      <c r="AL6640" s="2">
        <v>4248.5931324549501</v>
      </c>
      <c r="AM6640" s="2">
        <v>4879.2707948406196</v>
      </c>
      <c r="AN6640" s="2">
        <v>4236.9759688869799</v>
      </c>
      <c r="AO6640" s="2">
        <v>4326.9238504670602</v>
      </c>
      <c r="AP6640" s="2">
        <v>4443.9165506424797</v>
      </c>
    </row>
    <row r="6641" spans="1:42" ht="14.5" x14ac:dyDescent="0.35">
      <c r="A6641" s="2" t="s">
        <v>44033</v>
      </c>
      <c r="B6641" s="2">
        <v>151.038973309054</v>
      </c>
      <c r="C6641" s="2">
        <v>3.51128333333333</v>
      </c>
      <c r="D6641" s="2" t="s">
        <v>34</v>
      </c>
      <c r="E6641" s="2" t="s">
        <v>44034</v>
      </c>
      <c r="F6641" s="2">
        <v>56902</v>
      </c>
      <c r="G6641" s="3" t="str">
        <f>HYPERLINK("http://funmeta.oebiotech.com/network/56902", "http://funmeta.oebiotech.com/network/56902")</f>
        <v>http://funmeta.oebiotech.com/network/56902</v>
      </c>
      <c r="H6641" s="2" t="s">
        <v>44035</v>
      </c>
      <c r="I6641" s="2">
        <v>68600</v>
      </c>
      <c r="J6641" s="2"/>
      <c r="K6641" s="2">
        <v>8240</v>
      </c>
      <c r="L6641" s="2" t="s">
        <v>44036</v>
      </c>
      <c r="M6641" s="2"/>
      <c r="N6641" s="2"/>
      <c r="O6641" s="2">
        <v>8438</v>
      </c>
      <c r="P6641" s="2" t="s">
        <v>44037</v>
      </c>
      <c r="Q6641" s="2" t="s">
        <v>44038</v>
      </c>
      <c r="R6641" s="2" t="s">
        <v>44039</v>
      </c>
      <c r="S6641" s="2" t="s">
        <v>491</v>
      </c>
      <c r="T6641" s="2" t="s">
        <v>2429</v>
      </c>
      <c r="U6641" s="2" t="s">
        <v>41</v>
      </c>
      <c r="V6641" s="2" t="s">
        <v>59</v>
      </c>
      <c r="W6641" s="2">
        <v>42.4</v>
      </c>
      <c r="X6641" s="2">
        <v>14.6</v>
      </c>
      <c r="Y6641" s="2" t="s">
        <v>394</v>
      </c>
      <c r="Z6641" s="2" t="s">
        <v>44040</v>
      </c>
      <c r="AA6641" s="2">
        <v>1.8835710616720298E-2</v>
      </c>
      <c r="AB6641" s="2">
        <v>1.9666977927288099E-2</v>
      </c>
      <c r="AC6641" s="2">
        <v>6366.9063769675304</v>
      </c>
      <c r="AD6641" s="2">
        <v>6246.1893535908002</v>
      </c>
      <c r="AE6641" s="2">
        <v>6431.1806028499996</v>
      </c>
      <c r="AF6641" s="2">
        <v>6237.8849898531798</v>
      </c>
      <c r="AG6641" s="2">
        <v>6188.5643393343198</v>
      </c>
      <c r="AH6641" s="2">
        <v>6191.8947643966103</v>
      </c>
      <c r="AI6641" s="2">
        <v>6341.3062170258099</v>
      </c>
      <c r="AJ6641" s="2">
        <v>6810.6073483452801</v>
      </c>
      <c r="AK6641" s="2">
        <v>6796.1175715142399</v>
      </c>
      <c r="AL6641" s="2">
        <v>5956.5257801125999</v>
      </c>
      <c r="AM6641" s="2">
        <v>6151.8560316208604</v>
      </c>
      <c r="AN6641" s="2">
        <v>5903.4399647706796</v>
      </c>
      <c r="AO6641" s="2">
        <v>6050.6552267624102</v>
      </c>
      <c r="AP6641" s="2">
        <v>6618.5415467640396</v>
      </c>
    </row>
    <row r="6642" spans="1:42" ht="14.5" x14ac:dyDescent="0.35">
      <c r="A6642" s="2" t="s">
        <v>44041</v>
      </c>
      <c r="B6642" s="2">
        <v>203.13898255881699</v>
      </c>
      <c r="C6642" s="2">
        <v>0.78071666666666695</v>
      </c>
      <c r="D6642" s="2" t="s">
        <v>34</v>
      </c>
      <c r="E6642" s="2" t="s">
        <v>44042</v>
      </c>
      <c r="F6642" s="2">
        <v>274678</v>
      </c>
      <c r="G6642" s="3" t="str">
        <f>HYPERLINK("http://funmeta.oebiotech.com/network/274678", "http://funmeta.oebiotech.com/network/274678")</f>
        <v>http://funmeta.oebiotech.com/network/274678</v>
      </c>
      <c r="H6642" s="2"/>
      <c r="I6642" s="2">
        <v>64852</v>
      </c>
      <c r="J6642" s="2"/>
      <c r="K6642" s="2"/>
      <c r="L6642" s="2"/>
      <c r="M6642" s="2"/>
      <c r="N6642" s="2"/>
      <c r="O6642" s="2">
        <v>322968</v>
      </c>
      <c r="P6642" s="2" t="s">
        <v>44043</v>
      </c>
      <c r="Q6642" s="2" t="s">
        <v>44044</v>
      </c>
      <c r="R6642" s="2" t="s">
        <v>44045</v>
      </c>
      <c r="S6642" s="2" t="s">
        <v>491</v>
      </c>
      <c r="T6642" s="2" t="s">
        <v>44046</v>
      </c>
      <c r="U6642" s="2" t="s">
        <v>44047</v>
      </c>
      <c r="V6642" s="2" t="s">
        <v>59</v>
      </c>
      <c r="W6642" s="2">
        <v>37.9</v>
      </c>
      <c r="X6642" s="2">
        <v>0</v>
      </c>
      <c r="Y6642" s="2" t="s">
        <v>43</v>
      </c>
      <c r="Z6642" s="2" t="s">
        <v>44048</v>
      </c>
      <c r="AA6642" s="2">
        <v>-0.19618959348596801</v>
      </c>
      <c r="AB6642" s="2">
        <v>1.9592709582553599E-2</v>
      </c>
      <c r="AC6642" s="2">
        <v>81.579550269070495</v>
      </c>
      <c r="AD6642" s="2">
        <v>2.7106294003980101E-5</v>
      </c>
      <c r="AE6642" s="2">
        <v>2.7106294003980101E-5</v>
      </c>
      <c r="AF6642" s="2">
        <v>489.47716608295298</v>
      </c>
      <c r="AG6642" s="2">
        <v>2.7106294003980101E-5</v>
      </c>
      <c r="AH6642" s="2">
        <v>2.7106294003980101E-5</v>
      </c>
      <c r="AI6642" s="2">
        <v>2.7106294003980101E-5</v>
      </c>
      <c r="AJ6642" s="2">
        <v>2.7106294003980101E-5</v>
      </c>
      <c r="AK6642" s="2">
        <v>2.7106294003980101E-5</v>
      </c>
      <c r="AL6642" s="2">
        <v>2.7106294003980101E-5</v>
      </c>
      <c r="AM6642" s="2">
        <v>2.7106294003980101E-5</v>
      </c>
      <c r="AN6642" s="2">
        <v>2.7106294003980101E-5</v>
      </c>
      <c r="AO6642" s="2">
        <v>2.7106294003980101E-5</v>
      </c>
      <c r="AP6642" s="2">
        <v>2.7106294003980101E-5</v>
      </c>
    </row>
    <row r="6643" spans="1:42" ht="14.5" x14ac:dyDescent="0.35">
      <c r="A6643" s="2" t="s">
        <v>44049</v>
      </c>
      <c r="B6643" s="2">
        <v>309.24189970965</v>
      </c>
      <c r="C6643" s="2">
        <v>10.7167833333333</v>
      </c>
      <c r="D6643" s="2" t="s">
        <v>34</v>
      </c>
      <c r="E6643" s="2" t="s">
        <v>44050</v>
      </c>
      <c r="F6643" s="2">
        <v>55662</v>
      </c>
      <c r="G6643" s="3" t="str">
        <f>HYPERLINK("http://funmeta.oebiotech.com/network/55662", "http://funmeta.oebiotech.com/network/55662")</f>
        <v>http://funmeta.oebiotech.com/network/55662</v>
      </c>
      <c r="H6643" s="2" t="s">
        <v>44051</v>
      </c>
      <c r="I6643" s="2">
        <v>87317</v>
      </c>
      <c r="J6643" s="2"/>
      <c r="K6643" s="2"/>
      <c r="L6643" s="2"/>
      <c r="M6643" s="2"/>
      <c r="N6643" s="2"/>
      <c r="O6643" s="2">
        <v>10448019</v>
      </c>
      <c r="P6643" s="2" t="s">
        <v>44052</v>
      </c>
      <c r="Q6643" s="2" t="s">
        <v>44053</v>
      </c>
      <c r="R6643" s="2" t="s">
        <v>44054</v>
      </c>
      <c r="S6643" s="2" t="s">
        <v>491</v>
      </c>
      <c r="T6643" s="2" t="s">
        <v>6207</v>
      </c>
      <c r="U6643" s="2" t="s">
        <v>41</v>
      </c>
      <c r="V6643" s="2" t="s">
        <v>59</v>
      </c>
      <c r="W6643" s="2">
        <v>38.200000000000003</v>
      </c>
      <c r="X6643" s="2">
        <v>0</v>
      </c>
      <c r="Y6643" s="2" t="s">
        <v>394</v>
      </c>
      <c r="Z6643" s="2" t="s">
        <v>8191</v>
      </c>
      <c r="AA6643" s="2">
        <v>-1.6922381469346199</v>
      </c>
      <c r="AB6643" s="2">
        <v>1.9571493341759699E-2</v>
      </c>
      <c r="AC6643" s="2">
        <v>315.772674478233</v>
      </c>
      <c r="AD6643" s="2">
        <v>398.838548003867</v>
      </c>
      <c r="AE6643" s="2">
        <v>304.729893908007</v>
      </c>
      <c r="AF6643" s="2">
        <v>203.848836285489</v>
      </c>
      <c r="AG6643" s="2">
        <v>275.04559265286099</v>
      </c>
      <c r="AH6643" s="2">
        <v>379.08563060442901</v>
      </c>
      <c r="AI6643" s="2">
        <v>259.33047316194097</v>
      </c>
      <c r="AJ6643" s="2">
        <v>472.59562025667202</v>
      </c>
      <c r="AK6643" s="2">
        <v>63.7636095921223</v>
      </c>
      <c r="AL6643" s="2">
        <v>432.61464363033502</v>
      </c>
      <c r="AM6643" s="2">
        <v>362.39071342558299</v>
      </c>
      <c r="AN6643" s="2">
        <v>434.29533689469997</v>
      </c>
      <c r="AO6643" s="2">
        <v>545.36477640182204</v>
      </c>
      <c r="AP6643" s="2">
        <v>554.602208078638</v>
      </c>
    </row>
    <row r="6644" spans="1:42" ht="14.5" x14ac:dyDescent="0.35">
      <c r="A6644" s="2" t="s">
        <v>44055</v>
      </c>
      <c r="B6644" s="2">
        <v>739.31644763044903</v>
      </c>
      <c r="C6644" s="2">
        <v>6.3302166666666704</v>
      </c>
      <c r="D6644" s="2" t="s">
        <v>70</v>
      </c>
      <c r="E6644" s="2" t="s">
        <v>44056</v>
      </c>
      <c r="F6644" s="2">
        <v>44672</v>
      </c>
      <c r="G6644" s="3" t="str">
        <f>HYPERLINK("http://funmeta.oebiotech.com/network/44672", "http://funmeta.oebiotech.com/network/44672")</f>
        <v>http://funmeta.oebiotech.com/network/44672</v>
      </c>
      <c r="H6644" s="2"/>
      <c r="I6644" s="2"/>
      <c r="J6644" s="2" t="s">
        <v>44057</v>
      </c>
      <c r="K6644" s="2"/>
      <c r="L6644" s="2"/>
      <c r="M6644" s="2"/>
      <c r="N6644" s="2"/>
      <c r="O6644" s="2">
        <v>16086565</v>
      </c>
      <c r="P6644" s="2"/>
      <c r="Q6644" s="2" t="s">
        <v>44058</v>
      </c>
      <c r="R6644" s="2" t="s">
        <v>44059</v>
      </c>
      <c r="S6644" s="2" t="s">
        <v>50</v>
      </c>
      <c r="T6644" s="2" t="s">
        <v>124</v>
      </c>
      <c r="U6644" s="2" t="s">
        <v>567</v>
      </c>
      <c r="V6644" s="2" t="s">
        <v>59</v>
      </c>
      <c r="W6644" s="2">
        <v>37.5</v>
      </c>
      <c r="X6644" s="2">
        <v>0</v>
      </c>
      <c r="Y6644" s="2" t="s">
        <v>408</v>
      </c>
      <c r="Z6644" s="2" t="s">
        <v>44060</v>
      </c>
      <c r="AA6644" s="2">
        <v>-2.6090516529175498</v>
      </c>
      <c r="AB6644" s="2">
        <v>1.9518553555504799E-2</v>
      </c>
      <c r="AC6644" s="2">
        <v>3449.1558806765702</v>
      </c>
      <c r="AD6644" s="2">
        <v>3251.7022095791299</v>
      </c>
      <c r="AE6644" s="2">
        <v>4124.1221611675901</v>
      </c>
      <c r="AF6644" s="2">
        <v>2253.20485173714</v>
      </c>
      <c r="AG6644" s="2">
        <v>4343.5577671759802</v>
      </c>
      <c r="AH6644" s="2">
        <v>2969.3934997210999</v>
      </c>
      <c r="AI6644" s="2">
        <v>3586.69224198455</v>
      </c>
      <c r="AJ6644" s="2">
        <v>3417.9647622730299</v>
      </c>
      <c r="AK6644" s="2">
        <v>4335.6325032971399</v>
      </c>
      <c r="AL6644" s="2">
        <v>2591.5260941219699</v>
      </c>
      <c r="AM6644" s="2">
        <v>1932.63731606392</v>
      </c>
      <c r="AN6644" s="2">
        <v>3764.5859621291602</v>
      </c>
      <c r="AO6644" s="2">
        <v>3902.1652202908499</v>
      </c>
      <c r="AP6644" s="2">
        <v>2983.6661615717699</v>
      </c>
    </row>
    <row r="6645" spans="1:42" ht="14.5" x14ac:dyDescent="0.35">
      <c r="A6645" s="2" t="s">
        <v>44061</v>
      </c>
      <c r="B6645" s="2">
        <v>387.04550494824599</v>
      </c>
      <c r="C6645" s="2">
        <v>1.50383333333333</v>
      </c>
      <c r="D6645" s="2" t="s">
        <v>70</v>
      </c>
      <c r="E6645" s="2" t="s">
        <v>44062</v>
      </c>
      <c r="F6645" s="2">
        <v>57305</v>
      </c>
      <c r="G6645" s="3" t="str">
        <f>HYPERLINK("http://funmeta.oebiotech.com/network/57305", "http://funmeta.oebiotech.com/network/57305")</f>
        <v>http://funmeta.oebiotech.com/network/57305</v>
      </c>
      <c r="H6645" s="2" t="s">
        <v>44063</v>
      </c>
      <c r="I6645" s="2">
        <v>88935</v>
      </c>
      <c r="J6645" s="2"/>
      <c r="K6645" s="2">
        <v>173934</v>
      </c>
      <c r="L6645" s="2"/>
      <c r="M6645" s="2"/>
      <c r="N6645" s="2"/>
      <c r="O6645" s="2">
        <v>5352728</v>
      </c>
      <c r="P6645" s="2" t="s">
        <v>44064</v>
      </c>
      <c r="Q6645" s="2" t="s">
        <v>44065</v>
      </c>
      <c r="R6645" s="2" t="s">
        <v>44066</v>
      </c>
      <c r="S6645" s="2" t="s">
        <v>5916</v>
      </c>
      <c r="T6645" s="2" t="s">
        <v>44067</v>
      </c>
      <c r="U6645" s="2" t="s">
        <v>44068</v>
      </c>
      <c r="V6645" s="2" t="s">
        <v>59</v>
      </c>
      <c r="W6645" s="2">
        <v>36.4</v>
      </c>
      <c r="X6645" s="2">
        <v>0</v>
      </c>
      <c r="Y6645" s="2" t="s">
        <v>560</v>
      </c>
      <c r="Z6645" s="2" t="s">
        <v>44069</v>
      </c>
      <c r="AA6645" s="2">
        <v>3.2327724527747201</v>
      </c>
      <c r="AB6645" s="2">
        <v>1.9468602288470999E-2</v>
      </c>
      <c r="AC6645" s="2">
        <v>1320.6204981077301</v>
      </c>
      <c r="AD6645" s="2">
        <v>1405.3844930549899</v>
      </c>
      <c r="AE6645" s="2">
        <v>1463.1891066861899</v>
      </c>
      <c r="AF6645" s="2">
        <v>1412.08804661868</v>
      </c>
      <c r="AG6645" s="2">
        <v>1025.3376523704001</v>
      </c>
      <c r="AH6645" s="2">
        <v>1304.50079482612</v>
      </c>
      <c r="AI6645" s="2">
        <v>1371.95525207592</v>
      </c>
      <c r="AJ6645" s="2">
        <v>1346.6521360690699</v>
      </c>
      <c r="AK6645" s="2">
        <v>1593.0585670079499</v>
      </c>
      <c r="AL6645" s="2">
        <v>1243.22181682373</v>
      </c>
      <c r="AM6645" s="2">
        <v>1310.1410950024599</v>
      </c>
      <c r="AN6645" s="2">
        <v>1582.3618252608001</v>
      </c>
      <c r="AO6645" s="2">
        <v>1272.0147573606801</v>
      </c>
      <c r="AP6645" s="2">
        <v>1431.5088968743401</v>
      </c>
    </row>
    <row r="6646" spans="1:42" ht="14.5" x14ac:dyDescent="0.35">
      <c r="A6646" s="2" t="s">
        <v>44070</v>
      </c>
      <c r="B6646" s="2">
        <v>495.237832619926</v>
      </c>
      <c r="C6646" s="2">
        <v>5.9690166666666702</v>
      </c>
      <c r="D6646" s="2" t="s">
        <v>34</v>
      </c>
      <c r="E6646" s="2" t="s">
        <v>44071</v>
      </c>
      <c r="F6646" s="2">
        <v>266776</v>
      </c>
      <c r="G6646" s="3" t="str">
        <f>HYPERLINK("http://funmeta.oebiotech.com/network/266776", "http://funmeta.oebiotech.com/network/266776")</f>
        <v>http://funmeta.oebiotech.com/network/266776</v>
      </c>
      <c r="H6646" s="2"/>
      <c r="I6646" s="2">
        <v>43955</v>
      </c>
      <c r="J6646" s="2"/>
      <c r="K6646" s="2"/>
      <c r="L6646" s="2"/>
      <c r="M6646" s="2"/>
      <c r="N6646" s="2"/>
      <c r="O6646" s="2">
        <v>6451333</v>
      </c>
      <c r="P6646" s="2" t="s">
        <v>44072</v>
      </c>
      <c r="Q6646" s="2" t="s">
        <v>44073</v>
      </c>
      <c r="R6646" s="2" t="s">
        <v>44074</v>
      </c>
      <c r="S6646" s="2" t="s">
        <v>50</v>
      </c>
      <c r="T6646" s="2" t="s">
        <v>201</v>
      </c>
      <c r="U6646" s="2" t="s">
        <v>210</v>
      </c>
      <c r="V6646" s="2" t="s">
        <v>59</v>
      </c>
      <c r="W6646" s="2">
        <v>36.700000000000003</v>
      </c>
      <c r="X6646" s="2">
        <v>0</v>
      </c>
      <c r="Y6646" s="2" t="s">
        <v>141</v>
      </c>
      <c r="Z6646" s="2" t="s">
        <v>3474</v>
      </c>
      <c r="AA6646" s="2">
        <v>0.20060659388428601</v>
      </c>
      <c r="AB6646" s="2">
        <v>1.9466741721403499E-2</v>
      </c>
      <c r="AC6646" s="2">
        <v>17644.046304005598</v>
      </c>
      <c r="AD6646" s="2">
        <v>17975.1139851197</v>
      </c>
      <c r="AE6646" s="2">
        <v>15725.6294825519</v>
      </c>
      <c r="AF6646" s="2">
        <v>16728.569481914601</v>
      </c>
      <c r="AG6646" s="2">
        <v>16036.273658607999</v>
      </c>
      <c r="AH6646" s="2">
        <v>16439.600076709001</v>
      </c>
      <c r="AI6646" s="2">
        <v>17468.692266035301</v>
      </c>
      <c r="AJ6646" s="2">
        <v>23465.512858214999</v>
      </c>
      <c r="AK6646" s="2">
        <v>15087.979216240101</v>
      </c>
      <c r="AL6646" s="2">
        <v>17339.419004626601</v>
      </c>
      <c r="AM6646" s="2">
        <v>18130.855066295699</v>
      </c>
      <c r="AN6646" s="2">
        <v>22259.031183935698</v>
      </c>
      <c r="AO6646" s="2">
        <v>18899.874488914302</v>
      </c>
      <c r="AP6646" s="2">
        <v>16133.524950706</v>
      </c>
    </row>
    <row r="6647" spans="1:42" ht="14.5" x14ac:dyDescent="0.35">
      <c r="A6647" s="2" t="s">
        <v>44075</v>
      </c>
      <c r="B6647" s="2">
        <v>491.28620524628099</v>
      </c>
      <c r="C6647" s="2">
        <v>5.4125166666666704</v>
      </c>
      <c r="D6647" s="2" t="s">
        <v>70</v>
      </c>
      <c r="E6647" s="2" t="s">
        <v>44076</v>
      </c>
      <c r="F6647" s="2">
        <v>202468</v>
      </c>
      <c r="G6647" s="3" t="str">
        <f>HYPERLINK("http://funmeta.oebiotech.com/network/202468", "http://funmeta.oebiotech.com/network/202468")</f>
        <v>http://funmeta.oebiotech.com/network/202468</v>
      </c>
      <c r="H6647" s="2" t="s">
        <v>44077</v>
      </c>
      <c r="I6647" s="2"/>
      <c r="J6647" s="2"/>
      <c r="K6647" s="2"/>
      <c r="L6647" s="2"/>
      <c r="M6647" s="2"/>
      <c r="N6647" s="2"/>
      <c r="O6647" s="2">
        <v>3481630</v>
      </c>
      <c r="P6647" s="2"/>
      <c r="Q6647" s="2" t="s">
        <v>44078</v>
      </c>
      <c r="R6647" s="2" t="s">
        <v>44079</v>
      </c>
      <c r="S6647" s="2" t="s">
        <v>50</v>
      </c>
      <c r="T6647" s="2" t="s">
        <v>229</v>
      </c>
      <c r="U6647" s="2" t="s">
        <v>230</v>
      </c>
      <c r="V6647" s="2" t="s">
        <v>59</v>
      </c>
      <c r="W6647" s="2">
        <v>38.5</v>
      </c>
      <c r="X6647" s="2">
        <v>0</v>
      </c>
      <c r="Y6647" s="2" t="s">
        <v>751</v>
      </c>
      <c r="Z6647" s="2" t="s">
        <v>44080</v>
      </c>
      <c r="AA6647" s="2">
        <v>6.6775686775532694E-2</v>
      </c>
      <c r="AB6647" s="2">
        <v>1.9466409187437701E-2</v>
      </c>
      <c r="AC6647" s="2">
        <v>385.160743161315</v>
      </c>
      <c r="AD6647" s="2">
        <v>268.72194700034999</v>
      </c>
      <c r="AE6647" s="2">
        <v>249.69909731535699</v>
      </c>
      <c r="AF6647" s="2">
        <v>351.20356613589303</v>
      </c>
      <c r="AG6647" s="2">
        <v>2.7106294003980101E-5</v>
      </c>
      <c r="AH6647" s="2">
        <v>637.74679717272795</v>
      </c>
      <c r="AI6647" s="2">
        <v>545.45665139143603</v>
      </c>
      <c r="AJ6647" s="2">
        <v>526.85831984618403</v>
      </c>
      <c r="AK6647" s="2">
        <v>818.989298247173</v>
      </c>
      <c r="AL6647" s="2">
        <v>401.24640534056903</v>
      </c>
      <c r="AM6647" s="2">
        <v>392.09589709547902</v>
      </c>
      <c r="AN6647" s="2">
        <v>2.7106294003980101E-5</v>
      </c>
      <c r="AO6647" s="2">
        <v>2.7106294003980101E-5</v>
      </c>
      <c r="AP6647" s="2">
        <v>2.7106294003980101E-5</v>
      </c>
    </row>
    <row r="6648" spans="1:42" ht="14.5" x14ac:dyDescent="0.35">
      <c r="A6648" s="2" t="s">
        <v>44081</v>
      </c>
      <c r="B6648" s="2">
        <v>301.035146392667</v>
      </c>
      <c r="C6648" s="2">
        <v>5.3016333333333296</v>
      </c>
      <c r="D6648" s="2" t="s">
        <v>70</v>
      </c>
      <c r="E6648" s="2" t="s">
        <v>44082</v>
      </c>
      <c r="F6648" s="2">
        <v>256561</v>
      </c>
      <c r="G6648" s="3" t="str">
        <f>HYPERLINK("http://funmeta.oebiotech.com/network/256561", "http://funmeta.oebiotech.com/network/256561")</f>
        <v>http://funmeta.oebiotech.com/network/256561</v>
      </c>
      <c r="H6648" s="2" t="s">
        <v>44083</v>
      </c>
      <c r="I6648" s="2"/>
      <c r="J6648" s="2"/>
      <c r="K6648" s="2"/>
      <c r="L6648" s="2"/>
      <c r="M6648" s="2"/>
      <c r="N6648" s="2"/>
      <c r="O6648" s="2">
        <v>5487248</v>
      </c>
      <c r="P6648" s="2"/>
      <c r="Q6648" s="2" t="s">
        <v>44084</v>
      </c>
      <c r="R6648" s="2" t="s">
        <v>44085</v>
      </c>
      <c r="S6648" s="2" t="s">
        <v>115</v>
      </c>
      <c r="T6648" s="2" t="s">
        <v>34617</v>
      </c>
      <c r="U6648" s="2" t="s">
        <v>41</v>
      </c>
      <c r="V6648" s="2" t="s">
        <v>59</v>
      </c>
      <c r="W6648" s="2">
        <v>45.3</v>
      </c>
      <c r="X6648" s="2">
        <v>31.4</v>
      </c>
      <c r="Y6648" s="2" t="s">
        <v>751</v>
      </c>
      <c r="Z6648" s="2" t="s">
        <v>24347</v>
      </c>
      <c r="AA6648" s="2">
        <v>-0.71809511716894003</v>
      </c>
      <c r="AB6648" s="2">
        <v>1.9454029801327499E-2</v>
      </c>
      <c r="AC6648" s="2">
        <v>100.61087915489701</v>
      </c>
      <c r="AD6648" s="2">
        <v>145.887073795785</v>
      </c>
      <c r="AE6648" s="2">
        <v>141.85714026975899</v>
      </c>
      <c r="AF6648" s="2">
        <v>105.372735868761</v>
      </c>
      <c r="AG6648" s="2">
        <v>115.28784578178799</v>
      </c>
      <c r="AH6648" s="2">
        <v>107.401214375338</v>
      </c>
      <c r="AI6648" s="2">
        <v>76.180640475191495</v>
      </c>
      <c r="AJ6648" s="2">
        <v>57.565698158545999</v>
      </c>
      <c r="AK6648" s="2">
        <v>196.46075629575799</v>
      </c>
      <c r="AL6648" s="2">
        <v>161.95858762523</v>
      </c>
      <c r="AM6648" s="2">
        <v>110.452772217366</v>
      </c>
      <c r="AN6648" s="2">
        <v>190.463527888926</v>
      </c>
      <c r="AO6648" s="2">
        <v>123.77365537884801</v>
      </c>
      <c r="AP6648" s="2">
        <v>92.213143368582294</v>
      </c>
    </row>
    <row r="6649" spans="1:42" ht="14.5" x14ac:dyDescent="0.35">
      <c r="A6649" s="2" t="s">
        <v>44086</v>
      </c>
      <c r="B6649" s="2">
        <v>777.40573602069298</v>
      </c>
      <c r="C6649" s="2">
        <v>5.1704666666666697</v>
      </c>
      <c r="D6649" s="2" t="s">
        <v>70</v>
      </c>
      <c r="E6649" s="2" t="s">
        <v>44087</v>
      </c>
      <c r="F6649" s="2">
        <v>62854</v>
      </c>
      <c r="G6649" s="3" t="str">
        <f>HYPERLINK("http://funmeta.oebiotech.com/network/62854", "http://funmeta.oebiotech.com/network/62854")</f>
        <v>http://funmeta.oebiotech.com/network/62854</v>
      </c>
      <c r="H6649" s="2" t="s">
        <v>44088</v>
      </c>
      <c r="I6649" s="2">
        <v>94149</v>
      </c>
      <c r="J6649" s="2"/>
      <c r="K6649" s="2"/>
      <c r="L6649" s="2"/>
      <c r="M6649" s="2"/>
      <c r="N6649" s="2"/>
      <c r="O6649" s="2">
        <v>192588</v>
      </c>
      <c r="P6649" s="2"/>
      <c r="Q6649" s="2" t="s">
        <v>44089</v>
      </c>
      <c r="R6649" s="2" t="s">
        <v>44090</v>
      </c>
      <c r="S6649" s="2" t="s">
        <v>50</v>
      </c>
      <c r="T6649" s="2" t="s">
        <v>201</v>
      </c>
      <c r="U6649" s="2" t="s">
        <v>202</v>
      </c>
      <c r="V6649" s="2" t="s">
        <v>59</v>
      </c>
      <c r="W6649" s="2">
        <v>37.299999999999997</v>
      </c>
      <c r="X6649" s="2">
        <v>0</v>
      </c>
      <c r="Y6649" s="2" t="s">
        <v>792</v>
      </c>
      <c r="Z6649" s="2" t="s">
        <v>44091</v>
      </c>
      <c r="AA6649" s="2">
        <v>-1.2129914664038499</v>
      </c>
      <c r="AB6649" s="2">
        <v>1.9445942143441999E-2</v>
      </c>
      <c r="AC6649" s="2">
        <v>25330.838624821401</v>
      </c>
      <c r="AD6649" s="2">
        <v>24907.646959179099</v>
      </c>
      <c r="AE6649" s="2">
        <v>26233.352664638802</v>
      </c>
      <c r="AF6649" s="2">
        <v>20655.457095562801</v>
      </c>
      <c r="AG6649" s="2">
        <v>27808.0688337883</v>
      </c>
      <c r="AH6649" s="2">
        <v>25601.346457844898</v>
      </c>
      <c r="AI6649" s="2">
        <v>27787.896330968299</v>
      </c>
      <c r="AJ6649" s="2">
        <v>23898.910366125099</v>
      </c>
      <c r="AK6649" s="2">
        <v>23475.186310720299</v>
      </c>
      <c r="AL6649" s="2">
        <v>26522.183235804201</v>
      </c>
      <c r="AM6649" s="2">
        <v>32322.711038191199</v>
      </c>
      <c r="AN6649" s="2">
        <v>20722.4511797345</v>
      </c>
      <c r="AO6649" s="2">
        <v>20011.5592373523</v>
      </c>
      <c r="AP6649" s="2">
        <v>26391.790753271998</v>
      </c>
    </row>
    <row r="6650" spans="1:42" ht="14.5" x14ac:dyDescent="0.35">
      <c r="A6650" s="2" t="s">
        <v>44092</v>
      </c>
      <c r="B6650" s="2">
        <v>411.16255411774603</v>
      </c>
      <c r="C6650" s="2">
        <v>4.0691166666666696</v>
      </c>
      <c r="D6650" s="2" t="s">
        <v>34</v>
      </c>
      <c r="E6650" s="2" t="s">
        <v>44093</v>
      </c>
      <c r="F6650" s="2">
        <v>63198</v>
      </c>
      <c r="G6650" s="3" t="str">
        <f>HYPERLINK("http://funmeta.oebiotech.com/network/63198", "http://funmeta.oebiotech.com/network/63198")</f>
        <v>http://funmeta.oebiotech.com/network/63198</v>
      </c>
      <c r="H6650" s="2" t="s">
        <v>44094</v>
      </c>
      <c r="I6650" s="2">
        <v>94506</v>
      </c>
      <c r="J6650" s="2"/>
      <c r="K6650" s="2">
        <v>169743</v>
      </c>
      <c r="L6650" s="2"/>
      <c r="M6650" s="2"/>
      <c r="N6650" s="2"/>
      <c r="O6650" s="2">
        <v>131752770</v>
      </c>
      <c r="P6650" s="2"/>
      <c r="Q6650" s="2" t="s">
        <v>44095</v>
      </c>
      <c r="R6650" s="2" t="s">
        <v>44096</v>
      </c>
      <c r="S6650" s="2" t="s">
        <v>50</v>
      </c>
      <c r="T6650" s="2" t="s">
        <v>229</v>
      </c>
      <c r="U6650" s="2" t="s">
        <v>230</v>
      </c>
      <c r="V6650" s="2" t="s">
        <v>59</v>
      </c>
      <c r="W6650" s="2">
        <v>42</v>
      </c>
      <c r="X6650" s="2">
        <v>18.399999999999999</v>
      </c>
      <c r="Y6650" s="2" t="s">
        <v>323</v>
      </c>
      <c r="Z6650" s="2" t="s">
        <v>44097</v>
      </c>
      <c r="AA6650" s="2">
        <v>2.48277099860807E-3</v>
      </c>
      <c r="AB6650" s="2">
        <v>1.9415218179768001E-2</v>
      </c>
      <c r="AC6650" s="2">
        <v>55427.519180393203</v>
      </c>
      <c r="AD6650" s="2">
        <v>55022.844579012599</v>
      </c>
      <c r="AE6650" s="2">
        <v>55284.283889757302</v>
      </c>
      <c r="AF6650" s="2">
        <v>57851.0105581315</v>
      </c>
      <c r="AG6650" s="2">
        <v>52885.500355777302</v>
      </c>
      <c r="AH6650" s="2">
        <v>54888.210919785597</v>
      </c>
      <c r="AI6650" s="2">
        <v>57303.719508536902</v>
      </c>
      <c r="AJ6650" s="2">
        <v>54352.389850370499</v>
      </c>
      <c r="AK6650" s="2">
        <v>53665.052393544604</v>
      </c>
      <c r="AL6650" s="2">
        <v>58526.453103927197</v>
      </c>
      <c r="AM6650" s="2">
        <v>58238.7774002148</v>
      </c>
      <c r="AN6650" s="2">
        <v>59393.422127689701</v>
      </c>
      <c r="AO6650" s="2">
        <v>49299.8823712948</v>
      </c>
      <c r="AP6650" s="2">
        <v>51013.480077404703</v>
      </c>
    </row>
    <row r="6651" spans="1:42" ht="14.5" x14ac:dyDescent="0.35">
      <c r="A6651" s="2" t="s">
        <v>44098</v>
      </c>
      <c r="B6651" s="2">
        <v>261.07660045850901</v>
      </c>
      <c r="C6651" s="2">
        <v>7.9924333333333299</v>
      </c>
      <c r="D6651" s="2" t="s">
        <v>70</v>
      </c>
      <c r="E6651" s="2" t="s">
        <v>44099</v>
      </c>
      <c r="F6651" s="2">
        <v>55422</v>
      </c>
      <c r="G6651" s="3" t="str">
        <f>HYPERLINK("http://funmeta.oebiotech.com/network/55422", "http://funmeta.oebiotech.com/network/55422")</f>
        <v>http://funmeta.oebiotech.com/network/55422</v>
      </c>
      <c r="H6651" s="2" t="s">
        <v>44100</v>
      </c>
      <c r="I6651" s="2"/>
      <c r="J6651" s="2"/>
      <c r="K6651" s="2"/>
      <c r="L6651" s="2"/>
      <c r="M6651" s="2"/>
      <c r="N6651" s="2"/>
      <c r="O6651" s="2">
        <v>131751065</v>
      </c>
      <c r="P6651" s="2" t="s">
        <v>44101</v>
      </c>
      <c r="Q6651" s="2" t="s">
        <v>44102</v>
      </c>
      <c r="R6651" s="2" t="s">
        <v>44103</v>
      </c>
      <c r="S6651" s="2" t="s">
        <v>115</v>
      </c>
      <c r="T6651" s="2" t="s">
        <v>34617</v>
      </c>
      <c r="U6651" s="2" t="s">
        <v>41</v>
      </c>
      <c r="V6651" s="2" t="s">
        <v>59</v>
      </c>
      <c r="W6651" s="2">
        <v>45.6</v>
      </c>
      <c r="X6651" s="2">
        <v>30.7</v>
      </c>
      <c r="Y6651" s="2" t="s">
        <v>408</v>
      </c>
      <c r="Z6651" s="2" t="s">
        <v>26569</v>
      </c>
      <c r="AA6651" s="2">
        <v>-1.14150573339036</v>
      </c>
      <c r="AB6651" s="2">
        <v>1.9329697447573301E-2</v>
      </c>
      <c r="AC6651" s="2">
        <v>159.72366965969599</v>
      </c>
      <c r="AD6651" s="2">
        <v>110.78937894795899</v>
      </c>
      <c r="AE6651" s="2">
        <v>138.46828679468399</v>
      </c>
      <c r="AF6651" s="2">
        <v>139.63106386461999</v>
      </c>
      <c r="AG6651" s="2">
        <v>141.68877137354301</v>
      </c>
      <c r="AH6651" s="2">
        <v>181.56246549304501</v>
      </c>
      <c r="AI6651" s="2">
        <v>245.473535286208</v>
      </c>
      <c r="AJ6651" s="2">
        <v>111.517895146079</v>
      </c>
      <c r="AK6651" s="2">
        <v>83.782366840879803</v>
      </c>
      <c r="AL6651" s="2">
        <v>135.92233535275</v>
      </c>
      <c r="AM6651" s="2">
        <v>142.99639727373099</v>
      </c>
      <c r="AN6651" s="2">
        <v>162.313097558653</v>
      </c>
      <c r="AO6651" s="2">
        <v>71.438385806632397</v>
      </c>
      <c r="AP6651" s="2">
        <v>68.283690855107594</v>
      </c>
    </row>
    <row r="6652" spans="1:42" ht="14.5" x14ac:dyDescent="0.35">
      <c r="A6652" s="2" t="s">
        <v>44104</v>
      </c>
      <c r="B6652" s="2">
        <v>208.14118261923699</v>
      </c>
      <c r="C6652" s="2">
        <v>3.6251333333333302</v>
      </c>
      <c r="D6652" s="2" t="s">
        <v>34</v>
      </c>
      <c r="E6652" s="2" t="s">
        <v>44105</v>
      </c>
      <c r="F6652" s="2">
        <v>48261</v>
      </c>
      <c r="G6652" s="3" t="str">
        <f>HYPERLINK("http://funmeta.oebiotech.com/network/48261", "http://funmeta.oebiotech.com/network/48261")</f>
        <v>http://funmeta.oebiotech.com/network/48261</v>
      </c>
      <c r="H6652" s="2" t="s">
        <v>44106</v>
      </c>
      <c r="I6652" s="2"/>
      <c r="J6652" s="2"/>
      <c r="K6652" s="2">
        <v>43088</v>
      </c>
      <c r="L6652" s="2" t="s">
        <v>44107</v>
      </c>
      <c r="M6652" s="2" t="s">
        <v>44108</v>
      </c>
      <c r="N6652" s="2" t="s">
        <v>44109</v>
      </c>
      <c r="O6652" s="2">
        <v>43088</v>
      </c>
      <c r="P6652" s="2" t="s">
        <v>44110</v>
      </c>
      <c r="Q6652" s="2" t="s">
        <v>44111</v>
      </c>
      <c r="R6652" s="2" t="s">
        <v>44112</v>
      </c>
      <c r="S6652" s="2" t="s">
        <v>89</v>
      </c>
      <c r="T6652" s="2" t="s">
        <v>90</v>
      </c>
      <c r="U6652" s="2" t="s">
        <v>99</v>
      </c>
      <c r="V6652" s="2" t="s">
        <v>59</v>
      </c>
      <c r="W6652" s="2">
        <v>37.4</v>
      </c>
      <c r="X6652" s="2">
        <v>0</v>
      </c>
      <c r="Y6652" s="2" t="s">
        <v>43</v>
      </c>
      <c r="Z6652" s="2" t="s">
        <v>44113</v>
      </c>
      <c r="AA6652" s="2">
        <v>4.03332875396117</v>
      </c>
      <c r="AB6652" s="2">
        <v>1.93134473135331E-2</v>
      </c>
      <c r="AC6652" s="2">
        <v>163.17915254357999</v>
      </c>
      <c r="AD6652" s="2">
        <v>221.36176573479199</v>
      </c>
      <c r="AE6652" s="2">
        <v>189.33035431907101</v>
      </c>
      <c r="AF6652" s="2">
        <v>106.411877816445</v>
      </c>
      <c r="AG6652" s="2">
        <v>140.11892799032401</v>
      </c>
      <c r="AH6652" s="2">
        <v>223.37424858921301</v>
      </c>
      <c r="AI6652" s="2">
        <v>80.783946839969204</v>
      </c>
      <c r="AJ6652" s="2">
        <v>239.055559706455</v>
      </c>
      <c r="AK6652" s="2">
        <v>125.829952287061</v>
      </c>
      <c r="AL6652" s="2">
        <v>131.66737614009199</v>
      </c>
      <c r="AM6652" s="2">
        <v>245.951328199561</v>
      </c>
      <c r="AN6652" s="2">
        <v>288.38660085650901</v>
      </c>
      <c r="AO6652" s="2">
        <v>282.67685296968199</v>
      </c>
      <c r="AP6652" s="2">
        <v>253.658483955847</v>
      </c>
    </row>
    <row r="6653" spans="1:42" ht="14.5" x14ac:dyDescent="0.35">
      <c r="A6653" s="2" t="s">
        <v>44114</v>
      </c>
      <c r="B6653" s="2">
        <v>605.16901685899597</v>
      </c>
      <c r="C6653" s="2">
        <v>3.7303666666666699</v>
      </c>
      <c r="D6653" s="2" t="s">
        <v>70</v>
      </c>
      <c r="E6653" s="2" t="s">
        <v>44115</v>
      </c>
      <c r="F6653" s="2">
        <v>210907</v>
      </c>
      <c r="G6653" s="3" t="str">
        <f>HYPERLINK("http://funmeta.oebiotech.com/network/210907", "http://funmeta.oebiotech.com/network/210907")</f>
        <v>http://funmeta.oebiotech.com/network/210907</v>
      </c>
      <c r="H6653" s="2" t="s">
        <v>44116</v>
      </c>
      <c r="I6653" s="2"/>
      <c r="J6653" s="2"/>
      <c r="K6653" s="2"/>
      <c r="L6653" s="2"/>
      <c r="M6653" s="2"/>
      <c r="N6653" s="2"/>
      <c r="O6653" s="2"/>
      <c r="P6653" s="2"/>
      <c r="Q6653" s="2" t="s">
        <v>44117</v>
      </c>
      <c r="R6653" s="2" t="s">
        <v>44118</v>
      </c>
      <c r="S6653" s="2" t="s">
        <v>491</v>
      </c>
      <c r="T6653" s="2" t="s">
        <v>20066</v>
      </c>
      <c r="U6653" s="2" t="s">
        <v>36991</v>
      </c>
      <c r="V6653" s="2" t="s">
        <v>59</v>
      </c>
      <c r="W6653" s="2">
        <v>37.5</v>
      </c>
      <c r="X6653" s="2">
        <v>0</v>
      </c>
      <c r="Y6653" s="2" t="s">
        <v>560</v>
      </c>
      <c r="Z6653" s="2" t="s">
        <v>44119</v>
      </c>
      <c r="AA6653" s="2">
        <v>-4.6079943144878399</v>
      </c>
      <c r="AB6653" s="2">
        <v>1.9310134693534601E-2</v>
      </c>
      <c r="AC6653" s="2">
        <v>1320.7982949167999</v>
      </c>
      <c r="AD6653" s="2">
        <v>1193.11092176739</v>
      </c>
      <c r="AE6653" s="2">
        <v>1518.17172602651</v>
      </c>
      <c r="AF6653" s="2">
        <v>1469.3095683489501</v>
      </c>
      <c r="AG6653" s="2">
        <v>1178.4437318305299</v>
      </c>
      <c r="AH6653" s="2">
        <v>1240.4900854519201</v>
      </c>
      <c r="AI6653" s="2">
        <v>1688.1436145533301</v>
      </c>
      <c r="AJ6653" s="2">
        <v>830.23104328955696</v>
      </c>
      <c r="AK6653" s="2">
        <v>971.54193690686498</v>
      </c>
      <c r="AL6653" s="2">
        <v>1104.6946047449201</v>
      </c>
      <c r="AM6653" s="2">
        <v>1367.2849527961901</v>
      </c>
      <c r="AN6653" s="2">
        <v>644.54205362372204</v>
      </c>
      <c r="AO6653" s="2">
        <v>1789.0826096595299</v>
      </c>
      <c r="AP6653" s="2">
        <v>1281.5193728731001</v>
      </c>
    </row>
    <row r="6654" spans="1:42" ht="14.5" x14ac:dyDescent="0.35">
      <c r="A6654" s="2" t="s">
        <v>44120</v>
      </c>
      <c r="B6654" s="2">
        <v>263.13858924052101</v>
      </c>
      <c r="C6654" s="2">
        <v>4.0024166666666696</v>
      </c>
      <c r="D6654" s="2" t="s">
        <v>34</v>
      </c>
      <c r="E6654" s="2" t="s">
        <v>44121</v>
      </c>
      <c r="F6654" s="2">
        <v>81823</v>
      </c>
      <c r="G6654" s="3" t="str">
        <f>HYPERLINK("http://funmeta.oebiotech.com/network/81823", "http://funmeta.oebiotech.com/network/81823")</f>
        <v>http://funmeta.oebiotech.com/network/81823</v>
      </c>
      <c r="H6654" s="2" t="s">
        <v>44122</v>
      </c>
      <c r="I6654" s="2"/>
      <c r="J6654" s="2"/>
      <c r="K6654" s="2">
        <v>89848</v>
      </c>
      <c r="L6654" s="2"/>
      <c r="M6654" s="2"/>
      <c r="N6654" s="2"/>
      <c r="O6654" s="2">
        <v>124202114</v>
      </c>
      <c r="P6654" s="2"/>
      <c r="Q6654" s="2" t="s">
        <v>44123</v>
      </c>
      <c r="R6654" s="2" t="s">
        <v>44124</v>
      </c>
      <c r="S6654" s="2" t="s">
        <v>148</v>
      </c>
      <c r="T6654" s="2" t="s">
        <v>149</v>
      </c>
      <c r="U6654" s="2" t="s">
        <v>3684</v>
      </c>
      <c r="V6654" s="2" t="s">
        <v>59</v>
      </c>
      <c r="W6654" s="2">
        <v>38.1</v>
      </c>
      <c r="X6654" s="2">
        <v>0</v>
      </c>
      <c r="Y6654" s="2" t="s">
        <v>43</v>
      </c>
      <c r="Z6654" s="2" t="s">
        <v>44125</v>
      </c>
      <c r="AA6654" s="2">
        <v>-1.7528555911871999</v>
      </c>
      <c r="AB6654" s="2">
        <v>1.9307995121535301E-2</v>
      </c>
      <c r="AC6654" s="2">
        <v>2467.2554144354999</v>
      </c>
      <c r="AD6654" s="2">
        <v>2630.1852170781999</v>
      </c>
      <c r="AE6654" s="2">
        <v>2655.0635627451302</v>
      </c>
      <c r="AF6654" s="2">
        <v>3380.9870176798199</v>
      </c>
      <c r="AG6654" s="2">
        <v>2583.5749653209</v>
      </c>
      <c r="AH6654" s="2">
        <v>1893.5392922097899</v>
      </c>
      <c r="AI6654" s="2">
        <v>1963.3290056072401</v>
      </c>
      <c r="AJ6654" s="2">
        <v>2327.0386430501499</v>
      </c>
      <c r="AK6654" s="2">
        <v>1721.7419177132599</v>
      </c>
      <c r="AL6654" s="2">
        <v>2644.4188467468498</v>
      </c>
      <c r="AM6654" s="2">
        <v>3221.4277680678501</v>
      </c>
      <c r="AN6654" s="2">
        <v>2229.28668435285</v>
      </c>
      <c r="AO6654" s="2">
        <v>2995.34152752103</v>
      </c>
      <c r="AP6654" s="2">
        <v>2968.8945580673499</v>
      </c>
    </row>
    <row r="6655" spans="1:42" ht="14.5" x14ac:dyDescent="0.35">
      <c r="A6655" s="2" t="s">
        <v>44126</v>
      </c>
      <c r="B6655" s="2">
        <v>355.17258816171898</v>
      </c>
      <c r="C6655" s="2">
        <v>4.1056666666666697</v>
      </c>
      <c r="D6655" s="2" t="s">
        <v>34</v>
      </c>
      <c r="E6655" s="2" t="s">
        <v>44127</v>
      </c>
      <c r="F6655" s="2">
        <v>82925</v>
      </c>
      <c r="G6655" s="3" t="str">
        <f>HYPERLINK("http://funmeta.oebiotech.com/network/82925", "http://funmeta.oebiotech.com/network/82925")</f>
        <v>http://funmeta.oebiotech.com/network/82925</v>
      </c>
      <c r="H6655" s="2" t="s">
        <v>44128</v>
      </c>
      <c r="I6655" s="2"/>
      <c r="J6655" s="2"/>
      <c r="K6655" s="2"/>
      <c r="L6655" s="2"/>
      <c r="M6655" s="2"/>
      <c r="N6655" s="2"/>
      <c r="O6655" s="2">
        <v>11724611</v>
      </c>
      <c r="P6655" s="2"/>
      <c r="Q6655" s="2" t="s">
        <v>44129</v>
      </c>
      <c r="R6655" s="2" t="s">
        <v>44130</v>
      </c>
      <c r="S6655" s="2" t="s">
        <v>491</v>
      </c>
      <c r="T6655" s="2" t="s">
        <v>7431</v>
      </c>
      <c r="U6655" s="2" t="s">
        <v>7432</v>
      </c>
      <c r="V6655" s="2" t="s">
        <v>59</v>
      </c>
      <c r="W6655" s="2">
        <v>38.1</v>
      </c>
      <c r="X6655" s="2">
        <v>0</v>
      </c>
      <c r="Y6655" s="2" t="s">
        <v>43</v>
      </c>
      <c r="Z6655" s="2" t="s">
        <v>25120</v>
      </c>
      <c r="AA6655" s="2">
        <v>0.42682914657260002</v>
      </c>
      <c r="AB6655" s="2">
        <v>1.92496897211605E-2</v>
      </c>
      <c r="AC6655" s="2">
        <v>1897.3985862811801</v>
      </c>
      <c r="AD6655" s="2">
        <v>2008.94444845576</v>
      </c>
      <c r="AE6655" s="2">
        <v>2159.3851728278</v>
      </c>
      <c r="AF6655" s="2">
        <v>1851.0929731466499</v>
      </c>
      <c r="AG6655" s="2">
        <v>1575.6571131688099</v>
      </c>
      <c r="AH6655" s="2">
        <v>2376.3196863978601</v>
      </c>
      <c r="AI6655" s="2">
        <v>1752.8870328180301</v>
      </c>
      <c r="AJ6655" s="2">
        <v>1669.04953932795</v>
      </c>
      <c r="AK6655" s="2">
        <v>1818.39411976111</v>
      </c>
      <c r="AL6655" s="2">
        <v>1662.8154979348001</v>
      </c>
      <c r="AM6655" s="2">
        <v>2220.8022794052099</v>
      </c>
      <c r="AN6655" s="2">
        <v>2107.9414988810199</v>
      </c>
      <c r="AO6655" s="2">
        <v>2311.5414857309202</v>
      </c>
      <c r="AP6655" s="2">
        <v>1932.1718090215099</v>
      </c>
    </row>
    <row r="6656" spans="1:42" ht="14.5" x14ac:dyDescent="0.35">
      <c r="A6656" s="2" t="s">
        <v>44131</v>
      </c>
      <c r="B6656" s="2">
        <v>154.989252965644</v>
      </c>
      <c r="C6656" s="2">
        <v>8.5837666666666692</v>
      </c>
      <c r="D6656" s="2" t="s">
        <v>70</v>
      </c>
      <c r="E6656" s="2" t="s">
        <v>44132</v>
      </c>
      <c r="F6656" s="2">
        <v>202113</v>
      </c>
      <c r="G6656" s="3" t="str">
        <f>HYPERLINK("http://funmeta.oebiotech.com/network/202113", "http://funmeta.oebiotech.com/network/202113")</f>
        <v>http://funmeta.oebiotech.com/network/202113</v>
      </c>
      <c r="H6656" s="2" t="s">
        <v>44133</v>
      </c>
      <c r="I6656" s="2"/>
      <c r="J6656" s="2"/>
      <c r="K6656" s="2"/>
      <c r="L6656" s="2"/>
      <c r="M6656" s="2"/>
      <c r="N6656" s="2"/>
      <c r="O6656" s="2">
        <v>69711</v>
      </c>
      <c r="P6656" s="2"/>
      <c r="Q6656" s="2" t="s">
        <v>44134</v>
      </c>
      <c r="R6656" s="2" t="s">
        <v>44135</v>
      </c>
      <c r="S6656" s="2" t="s">
        <v>491</v>
      </c>
      <c r="T6656" s="2" t="s">
        <v>4517</v>
      </c>
      <c r="U6656" s="2" t="s">
        <v>4518</v>
      </c>
      <c r="V6656" s="2" t="s">
        <v>59</v>
      </c>
      <c r="W6656" s="2">
        <v>38.799999999999997</v>
      </c>
      <c r="X6656" s="2">
        <v>0</v>
      </c>
      <c r="Y6656" s="2" t="s">
        <v>792</v>
      </c>
      <c r="Z6656" s="2" t="s">
        <v>44136</v>
      </c>
      <c r="AA6656" s="2">
        <v>-3.39478343742456</v>
      </c>
      <c r="AB6656" s="2">
        <v>1.9199260924959501E-2</v>
      </c>
      <c r="AC6656" s="2">
        <v>1165.9954861292799</v>
      </c>
      <c r="AD6656" s="2">
        <v>1240.45229688372</v>
      </c>
      <c r="AE6656" s="2">
        <v>1008.13345583365</v>
      </c>
      <c r="AF6656" s="2">
        <v>1289.4953300940499</v>
      </c>
      <c r="AG6656" s="2">
        <v>1212.7121654474499</v>
      </c>
      <c r="AH6656" s="2">
        <v>1167.52218983014</v>
      </c>
      <c r="AI6656" s="2">
        <v>1184.01975323391</v>
      </c>
      <c r="AJ6656" s="2">
        <v>1134.0900223364599</v>
      </c>
      <c r="AK6656" s="2">
        <v>1326.3352832932501</v>
      </c>
      <c r="AL6656" s="2">
        <v>1101.47751232155</v>
      </c>
      <c r="AM6656" s="2">
        <v>1069.77585428321</v>
      </c>
      <c r="AN6656" s="2">
        <v>1368.90581399706</v>
      </c>
      <c r="AO6656" s="2">
        <v>1398.03960095711</v>
      </c>
      <c r="AP6656" s="2">
        <v>1178.1797164501299</v>
      </c>
    </row>
    <row r="6657" spans="1:42" ht="14.5" x14ac:dyDescent="0.35">
      <c r="A6657" s="2" t="s">
        <v>44137</v>
      </c>
      <c r="B6657" s="2">
        <v>472.348762558261</v>
      </c>
      <c r="C6657" s="2">
        <v>13.4866333333333</v>
      </c>
      <c r="D6657" s="2" t="s">
        <v>34</v>
      </c>
      <c r="E6657" s="2" t="s">
        <v>44138</v>
      </c>
      <c r="F6657" s="2">
        <v>257551</v>
      </c>
      <c r="G6657" s="3" t="str">
        <f>HYPERLINK("http://funmeta.oebiotech.com/network/257551", "http://funmeta.oebiotech.com/network/257551")</f>
        <v>http://funmeta.oebiotech.com/network/257551</v>
      </c>
      <c r="H6657" s="2" t="s">
        <v>44139</v>
      </c>
      <c r="I6657" s="2">
        <v>162431</v>
      </c>
      <c r="J6657" s="2"/>
      <c r="K6657" s="2"/>
      <c r="L6657" s="2"/>
      <c r="M6657" s="2"/>
      <c r="N6657" s="2"/>
      <c r="O6657" s="2">
        <v>18295197</v>
      </c>
      <c r="P6657" s="2"/>
      <c r="Q6657" s="2" t="s">
        <v>44140</v>
      </c>
      <c r="R6657" s="2" t="s">
        <v>44141</v>
      </c>
      <c r="S6657" s="2" t="s">
        <v>89</v>
      </c>
      <c r="T6657" s="2" t="s">
        <v>90</v>
      </c>
      <c r="U6657" s="2" t="s">
        <v>99</v>
      </c>
      <c r="V6657" s="2" t="s">
        <v>59</v>
      </c>
      <c r="W6657" s="2">
        <v>36</v>
      </c>
      <c r="X6657" s="2">
        <v>0</v>
      </c>
      <c r="Y6657" s="2" t="s">
        <v>43</v>
      </c>
      <c r="Z6657" s="2" t="s">
        <v>44142</v>
      </c>
      <c r="AA6657" s="2">
        <v>-1.28420811725601</v>
      </c>
      <c r="AB6657" s="2">
        <v>1.9196791869006101E-2</v>
      </c>
      <c r="AC6657" s="2">
        <v>1130.5789361140501</v>
      </c>
      <c r="AD6657" s="2">
        <v>1030.18184901309</v>
      </c>
      <c r="AE6657" s="2">
        <v>1170.43019625135</v>
      </c>
      <c r="AF6657" s="2">
        <v>1038.9460853216699</v>
      </c>
      <c r="AG6657" s="2">
        <v>1587.39881668982</v>
      </c>
      <c r="AH6657" s="2">
        <v>1279.7027238550299</v>
      </c>
      <c r="AI6657" s="2">
        <v>877.86270102991205</v>
      </c>
      <c r="AJ6657" s="2">
        <v>829.13309353651096</v>
      </c>
      <c r="AK6657" s="2">
        <v>1180.91675575249</v>
      </c>
      <c r="AL6657" s="2">
        <v>891.03190862633198</v>
      </c>
      <c r="AM6657" s="2">
        <v>990.98806895696305</v>
      </c>
      <c r="AN6657" s="2">
        <v>853.23046621616402</v>
      </c>
      <c r="AO6657" s="2">
        <v>1289.09943726298</v>
      </c>
      <c r="AP6657" s="2">
        <v>975.82445726360504</v>
      </c>
    </row>
    <row r="6658" spans="1:42" ht="14.5" x14ac:dyDescent="0.35">
      <c r="A6658" s="2" t="s">
        <v>44143</v>
      </c>
      <c r="B6658" s="2">
        <v>881.57552700849499</v>
      </c>
      <c r="C6658" s="2">
        <v>8.7125000000000004</v>
      </c>
      <c r="D6658" s="2" t="s">
        <v>70</v>
      </c>
      <c r="E6658" s="2" t="s">
        <v>44144</v>
      </c>
      <c r="F6658" s="2">
        <v>225036</v>
      </c>
      <c r="G6658" s="3" t="str">
        <f>HYPERLINK("http://funmeta.oebiotech.com/network/225036", "http://funmeta.oebiotech.com/network/225036")</f>
        <v>http://funmeta.oebiotech.com/network/225036</v>
      </c>
      <c r="H6658" s="2" t="s">
        <v>44145</v>
      </c>
      <c r="I6658" s="2"/>
      <c r="J6658" s="2"/>
      <c r="K6658" s="2"/>
      <c r="L6658" s="2"/>
      <c r="M6658" s="2"/>
      <c r="N6658" s="2"/>
      <c r="O6658" s="2"/>
      <c r="P6658" s="2"/>
      <c r="Q6658" s="2" t="s">
        <v>44146</v>
      </c>
      <c r="R6658" s="2" t="s">
        <v>44147</v>
      </c>
      <c r="S6658" s="2" t="s">
        <v>41</v>
      </c>
      <c r="T6658" s="2" t="s">
        <v>41</v>
      </c>
      <c r="U6658" s="2" t="s">
        <v>41</v>
      </c>
      <c r="V6658" s="2" t="s">
        <v>59</v>
      </c>
      <c r="W6658" s="2">
        <v>36</v>
      </c>
      <c r="X6658" s="2">
        <v>0</v>
      </c>
      <c r="Y6658" s="2" t="s">
        <v>408</v>
      </c>
      <c r="Z6658" s="2" t="s">
        <v>44148</v>
      </c>
      <c r="AA6658" s="2">
        <v>-0.64626641209736302</v>
      </c>
      <c r="AB6658" s="2">
        <v>1.90931246735342E-2</v>
      </c>
      <c r="AC6658" s="2">
        <v>6405.1857078768999</v>
      </c>
      <c r="AD6658" s="2">
        <v>6596.0510157436102</v>
      </c>
      <c r="AE6658" s="2">
        <v>7981.7391024996496</v>
      </c>
      <c r="AF6658" s="2">
        <v>5309.7849099618697</v>
      </c>
      <c r="AG6658" s="2">
        <v>5293.78681986228</v>
      </c>
      <c r="AH6658" s="2">
        <v>6265.6225809091702</v>
      </c>
      <c r="AI6658" s="2">
        <v>7580.6954223110297</v>
      </c>
      <c r="AJ6658" s="2">
        <v>5999.4854117174</v>
      </c>
      <c r="AK6658" s="2">
        <v>7608.9451597417701</v>
      </c>
      <c r="AL6658" s="2">
        <v>6166.9125950389298</v>
      </c>
      <c r="AM6658" s="2">
        <v>5905.65586871921</v>
      </c>
      <c r="AN6658" s="2">
        <v>6876.2352358527196</v>
      </c>
      <c r="AO6658" s="2">
        <v>6611.77573798092</v>
      </c>
      <c r="AP6658" s="2">
        <v>6406.7814971281095</v>
      </c>
    </row>
    <row r="6659" spans="1:42" ht="14.5" x14ac:dyDescent="0.35">
      <c r="A6659" s="2" t="s">
        <v>44149</v>
      </c>
      <c r="B6659" s="2">
        <v>117.090977755312</v>
      </c>
      <c r="C6659" s="2">
        <v>3.56836666666667</v>
      </c>
      <c r="D6659" s="2" t="s">
        <v>34</v>
      </c>
      <c r="E6659" s="2" t="s">
        <v>44150</v>
      </c>
      <c r="F6659" s="2">
        <v>171</v>
      </c>
      <c r="G6659" s="3" t="str">
        <f>HYPERLINK("http://funmeta.oebiotech.com/network/171", "http://funmeta.oebiotech.com/network/171")</f>
        <v>http://funmeta.oebiotech.com/network/171</v>
      </c>
      <c r="H6659" s="2" t="s">
        <v>44151</v>
      </c>
      <c r="I6659" s="2">
        <v>4191</v>
      </c>
      <c r="J6659" s="2" t="s">
        <v>44152</v>
      </c>
      <c r="K6659" s="2">
        <v>74903</v>
      </c>
      <c r="L6659" s="2"/>
      <c r="M6659" s="2"/>
      <c r="N6659" s="2"/>
      <c r="O6659" s="2">
        <v>12587</v>
      </c>
      <c r="P6659" s="2" t="s">
        <v>44153</v>
      </c>
      <c r="Q6659" s="2" t="s">
        <v>44154</v>
      </c>
      <c r="R6659" s="2" t="s">
        <v>44155</v>
      </c>
      <c r="S6659" s="2" t="s">
        <v>50</v>
      </c>
      <c r="T6659" s="2" t="s">
        <v>229</v>
      </c>
      <c r="U6659" s="2" t="s">
        <v>433</v>
      </c>
      <c r="V6659" s="2" t="s">
        <v>59</v>
      </c>
      <c r="W6659" s="2">
        <v>38.6</v>
      </c>
      <c r="X6659" s="2">
        <v>0</v>
      </c>
      <c r="Y6659" s="2" t="s">
        <v>394</v>
      </c>
      <c r="Z6659" s="2" t="s">
        <v>44156</v>
      </c>
      <c r="AA6659" s="2">
        <v>-0.24379512853385699</v>
      </c>
      <c r="AB6659" s="2">
        <v>1.90079456855539E-2</v>
      </c>
      <c r="AC6659" s="2">
        <v>256.86837645298999</v>
      </c>
      <c r="AD6659" s="2">
        <v>297.344513462583</v>
      </c>
      <c r="AE6659" s="2">
        <v>237.66005597664901</v>
      </c>
      <c r="AF6659" s="2">
        <v>299.54967497559699</v>
      </c>
      <c r="AG6659" s="2">
        <v>263.995907762775</v>
      </c>
      <c r="AH6659" s="2">
        <v>218.181101792036</v>
      </c>
      <c r="AI6659" s="2">
        <v>245.831388375541</v>
      </c>
      <c r="AJ6659" s="2">
        <v>275.99212983533999</v>
      </c>
      <c r="AK6659" s="2">
        <v>252.60478862374501</v>
      </c>
      <c r="AL6659" s="2">
        <v>335.40470633105599</v>
      </c>
      <c r="AM6659" s="2">
        <v>315.78984660535798</v>
      </c>
      <c r="AN6659" s="2">
        <v>273.77476484498601</v>
      </c>
      <c r="AO6659" s="2">
        <v>288.41543310184102</v>
      </c>
      <c r="AP6659" s="2">
        <v>318.07754126851398</v>
      </c>
    </row>
    <row r="6660" spans="1:42" ht="14.5" x14ac:dyDescent="0.35">
      <c r="A6660" s="2" t="s">
        <v>44157</v>
      </c>
      <c r="B6660" s="2">
        <v>408.001812424268</v>
      </c>
      <c r="C6660" s="2">
        <v>1.14778333333333</v>
      </c>
      <c r="D6660" s="2" t="s">
        <v>70</v>
      </c>
      <c r="E6660" s="2" t="s">
        <v>44158</v>
      </c>
      <c r="F6660" s="2">
        <v>47338</v>
      </c>
      <c r="G6660" s="3" t="str">
        <f>HYPERLINK("http://funmeta.oebiotech.com/network/47338", "http://funmeta.oebiotech.com/network/47338")</f>
        <v>http://funmeta.oebiotech.com/network/47338</v>
      </c>
      <c r="H6660" s="2" t="s">
        <v>44159</v>
      </c>
      <c r="I6660" s="2">
        <v>4165</v>
      </c>
      <c r="J6660" s="2"/>
      <c r="K6660" s="2">
        <v>17709</v>
      </c>
      <c r="L6660" s="2" t="s">
        <v>44160</v>
      </c>
      <c r="M6660" s="2" t="s">
        <v>44161</v>
      </c>
      <c r="N6660" s="2" t="s">
        <v>44162</v>
      </c>
      <c r="O6660" s="2">
        <v>10238</v>
      </c>
      <c r="P6660" s="2" t="s">
        <v>44163</v>
      </c>
      <c r="Q6660" s="2" t="s">
        <v>44164</v>
      </c>
      <c r="R6660" s="2" t="s">
        <v>44165</v>
      </c>
      <c r="S6660" s="2" t="s">
        <v>1444</v>
      </c>
      <c r="T6660" s="2" t="s">
        <v>4937</v>
      </c>
      <c r="U6660" s="2" t="s">
        <v>5723</v>
      </c>
      <c r="V6660" s="2" t="s">
        <v>59</v>
      </c>
      <c r="W6660" s="2">
        <v>36.200000000000003</v>
      </c>
      <c r="X6660" s="2">
        <v>0</v>
      </c>
      <c r="Y6660" s="2" t="s">
        <v>751</v>
      </c>
      <c r="Z6660" s="2" t="s">
        <v>44166</v>
      </c>
      <c r="AA6660" s="2">
        <v>-0.57551020993272695</v>
      </c>
      <c r="AB6660" s="2">
        <v>1.9007219172712302E-2</v>
      </c>
      <c r="AC6660" s="2">
        <v>2549.6743446147302</v>
      </c>
      <c r="AD6660" s="2">
        <v>2666.8409700049001</v>
      </c>
      <c r="AE6660" s="2">
        <v>2379.6143135372899</v>
      </c>
      <c r="AF6660" s="2">
        <v>2664.7155140657301</v>
      </c>
      <c r="AG6660" s="2">
        <v>2772.3157458474702</v>
      </c>
      <c r="AH6660" s="2">
        <v>2400.8216054766699</v>
      </c>
      <c r="AI6660" s="2">
        <v>2728.0133050969998</v>
      </c>
      <c r="AJ6660" s="2">
        <v>2352.56558366423</v>
      </c>
      <c r="AK6660" s="2">
        <v>2846.4116253881598</v>
      </c>
      <c r="AL6660" s="2">
        <v>2720.3292818085301</v>
      </c>
      <c r="AM6660" s="2">
        <v>1907.8758898280901</v>
      </c>
      <c r="AN6660" s="2">
        <v>2998.3167196457698</v>
      </c>
      <c r="AO6660" s="2">
        <v>2927.3876243005998</v>
      </c>
      <c r="AP6660" s="2">
        <v>2600.7246790582399</v>
      </c>
    </row>
    <row r="6661" spans="1:42" ht="14.5" x14ac:dyDescent="0.35">
      <c r="A6661" s="2" t="s">
        <v>44167</v>
      </c>
      <c r="B6661" s="2">
        <v>214.07146042064801</v>
      </c>
      <c r="C6661" s="2">
        <v>1.4463666666666699</v>
      </c>
      <c r="D6661" s="2" t="s">
        <v>70</v>
      </c>
      <c r="E6661" s="2" t="s">
        <v>44168</v>
      </c>
      <c r="F6661" s="2">
        <v>46937</v>
      </c>
      <c r="G6661" s="3" t="str">
        <f>HYPERLINK("http://funmeta.oebiotech.com/network/46937", "http://funmeta.oebiotech.com/network/46937")</f>
        <v>http://funmeta.oebiotech.com/network/46937</v>
      </c>
      <c r="H6661" s="2" t="s">
        <v>44169</v>
      </c>
      <c r="I6661" s="2">
        <v>5226</v>
      </c>
      <c r="J6661" s="2"/>
      <c r="K6661" s="2">
        <v>18357</v>
      </c>
      <c r="L6661" s="2" t="s">
        <v>44170</v>
      </c>
      <c r="M6661" s="2" t="s">
        <v>44171</v>
      </c>
      <c r="N6661" s="2" t="s">
        <v>44172</v>
      </c>
      <c r="O6661" s="2">
        <v>439260</v>
      </c>
      <c r="P6661" s="2" t="s">
        <v>44173</v>
      </c>
      <c r="Q6661" s="2" t="s">
        <v>44174</v>
      </c>
      <c r="R6661" s="2" t="s">
        <v>44175</v>
      </c>
      <c r="S6661" s="2" t="s">
        <v>148</v>
      </c>
      <c r="T6661" s="2" t="s">
        <v>392</v>
      </c>
      <c r="U6661" s="2" t="s">
        <v>2045</v>
      </c>
      <c r="V6661" s="2" t="s">
        <v>59</v>
      </c>
      <c r="W6661" s="2">
        <v>38.1</v>
      </c>
      <c r="X6661" s="2">
        <v>0</v>
      </c>
      <c r="Y6661" s="2" t="s">
        <v>408</v>
      </c>
      <c r="Z6661" s="2" t="s">
        <v>44176</v>
      </c>
      <c r="AA6661" s="2">
        <v>-3.7596910414221698</v>
      </c>
      <c r="AB6661" s="2">
        <v>1.8954722008009899E-2</v>
      </c>
      <c r="AC6661" s="2">
        <v>583.22571254325703</v>
      </c>
      <c r="AD6661" s="2">
        <v>518.17951383907803</v>
      </c>
      <c r="AE6661" s="2">
        <v>549.36327651714998</v>
      </c>
      <c r="AF6661" s="2">
        <v>604.19067028705001</v>
      </c>
      <c r="AG6661" s="2">
        <v>607.683450696053</v>
      </c>
      <c r="AH6661" s="2">
        <v>630.74116864853295</v>
      </c>
      <c r="AI6661" s="2">
        <v>562.03042711358705</v>
      </c>
      <c r="AJ6661" s="2">
        <v>545.34528199716999</v>
      </c>
      <c r="AK6661" s="2">
        <v>520.90223867155999</v>
      </c>
      <c r="AL6661" s="2">
        <v>454.71943292364301</v>
      </c>
      <c r="AM6661" s="2">
        <v>361.83863164776898</v>
      </c>
      <c r="AN6661" s="2">
        <v>729.18276493461497</v>
      </c>
      <c r="AO6661" s="2">
        <v>558.34814704164501</v>
      </c>
      <c r="AP6661" s="2">
        <v>484.085867815239</v>
      </c>
    </row>
    <row r="6662" spans="1:42" ht="14.5" x14ac:dyDescent="0.35">
      <c r="A6662" s="2" t="s">
        <v>44177</v>
      </c>
      <c r="B6662" s="2">
        <v>511.22947925103199</v>
      </c>
      <c r="C6662" s="2">
        <v>8.7125000000000004</v>
      </c>
      <c r="D6662" s="2" t="s">
        <v>70</v>
      </c>
      <c r="E6662" s="2" t="s">
        <v>44178</v>
      </c>
      <c r="F6662" s="2">
        <v>47367</v>
      </c>
      <c r="G6662" s="3" t="str">
        <f>HYPERLINK("http://funmeta.oebiotech.com/network/47367", "http://funmeta.oebiotech.com/network/47367")</f>
        <v>http://funmeta.oebiotech.com/network/47367</v>
      </c>
      <c r="H6662" s="2" t="s">
        <v>44179</v>
      </c>
      <c r="I6662" s="2">
        <v>5969</v>
      </c>
      <c r="J6662" s="2"/>
      <c r="K6662" s="2">
        <v>15812</v>
      </c>
      <c r="L6662" s="2" t="s">
        <v>44180</v>
      </c>
      <c r="M6662" s="2" t="s">
        <v>44181</v>
      </c>
      <c r="N6662" s="2" t="s">
        <v>44182</v>
      </c>
      <c r="O6662" s="2">
        <v>22833557</v>
      </c>
      <c r="P6662" s="2" t="s">
        <v>44183</v>
      </c>
      <c r="Q6662" s="2" t="s">
        <v>44184</v>
      </c>
      <c r="R6662" s="2" t="s">
        <v>44185</v>
      </c>
      <c r="S6662" s="2" t="s">
        <v>50</v>
      </c>
      <c r="T6662" s="2" t="s">
        <v>201</v>
      </c>
      <c r="U6662" s="2" t="s">
        <v>636</v>
      </c>
      <c r="V6662" s="2" t="s">
        <v>59</v>
      </c>
      <c r="W6662" s="2">
        <v>38.200000000000003</v>
      </c>
      <c r="X6662" s="2">
        <v>0</v>
      </c>
      <c r="Y6662" s="2" t="s">
        <v>408</v>
      </c>
      <c r="Z6662" s="2" t="s">
        <v>44186</v>
      </c>
      <c r="AA6662" s="2">
        <v>-4.0603626295939197</v>
      </c>
      <c r="AB6662" s="2">
        <v>1.89524502930324E-2</v>
      </c>
      <c r="AC6662" s="2">
        <v>3808.5501733606602</v>
      </c>
      <c r="AD6662" s="2">
        <v>4008.2428609646199</v>
      </c>
      <c r="AE6662" s="2">
        <v>3159.04352691537</v>
      </c>
      <c r="AF6662" s="2">
        <v>3760.0979328462299</v>
      </c>
      <c r="AG6662" s="2">
        <v>4374.8162329113902</v>
      </c>
      <c r="AH6662" s="2">
        <v>4332.9134733412502</v>
      </c>
      <c r="AI6662" s="2">
        <v>3364.8307258268201</v>
      </c>
      <c r="AJ6662" s="2">
        <v>3859.59914832292</v>
      </c>
      <c r="AK6662" s="2">
        <v>2326.97478052318</v>
      </c>
      <c r="AL6662" s="2">
        <v>5498.8223378808998</v>
      </c>
      <c r="AM6662" s="2">
        <v>4353.6389430847303</v>
      </c>
      <c r="AN6662" s="2">
        <v>4859.8766740299798</v>
      </c>
      <c r="AO6662" s="2">
        <v>4030.1601868892699</v>
      </c>
      <c r="AP6662" s="2">
        <v>2979.9842433796498</v>
      </c>
    </row>
    <row r="6663" spans="1:42" ht="14.5" x14ac:dyDescent="0.35">
      <c r="A6663" s="2" t="s">
        <v>44187</v>
      </c>
      <c r="B6663" s="2">
        <v>397.03576342267399</v>
      </c>
      <c r="C6663" s="2">
        <v>0.92698333333333305</v>
      </c>
      <c r="D6663" s="2" t="s">
        <v>70</v>
      </c>
      <c r="E6663" s="2" t="s">
        <v>44188</v>
      </c>
      <c r="F6663" s="2">
        <v>256558</v>
      </c>
      <c r="G6663" s="3" t="str">
        <f>HYPERLINK("http://funmeta.oebiotech.com/network/256558", "http://funmeta.oebiotech.com/network/256558")</f>
        <v>http://funmeta.oebiotech.com/network/256558</v>
      </c>
      <c r="H6663" s="2" t="s">
        <v>44189</v>
      </c>
      <c r="I6663" s="2"/>
      <c r="J6663" s="2"/>
      <c r="K6663" s="2"/>
      <c r="L6663" s="2"/>
      <c r="M6663" s="2"/>
      <c r="N6663" s="2"/>
      <c r="O6663" s="2">
        <v>76171925</v>
      </c>
      <c r="P6663" s="2"/>
      <c r="Q6663" s="2" t="s">
        <v>44190</v>
      </c>
      <c r="R6663" s="2" t="s">
        <v>44191</v>
      </c>
      <c r="S6663" s="2" t="s">
        <v>491</v>
      </c>
      <c r="T6663" s="2" t="s">
        <v>2321</v>
      </c>
      <c r="U6663" s="2" t="s">
        <v>2322</v>
      </c>
      <c r="V6663" s="2" t="s">
        <v>59</v>
      </c>
      <c r="W6663" s="2">
        <v>39.1</v>
      </c>
      <c r="X6663" s="2">
        <v>0</v>
      </c>
      <c r="Y6663" s="2" t="s">
        <v>560</v>
      </c>
      <c r="Z6663" s="2" t="s">
        <v>44192</v>
      </c>
      <c r="AA6663" s="2">
        <v>-1.6949268160391</v>
      </c>
      <c r="AB6663" s="2">
        <v>1.89114195212166E-2</v>
      </c>
      <c r="AC6663" s="2">
        <v>10648.814464994301</v>
      </c>
      <c r="AD6663" s="2">
        <v>10866.8482168468</v>
      </c>
      <c r="AE6663" s="2">
        <v>9807.2297578539492</v>
      </c>
      <c r="AF6663" s="2">
        <v>10787.960902114601</v>
      </c>
      <c r="AG6663" s="2">
        <v>10870.5243744283</v>
      </c>
      <c r="AH6663" s="2">
        <v>10486.9340411389</v>
      </c>
      <c r="AI6663" s="2">
        <v>11286.0101137324</v>
      </c>
      <c r="AJ6663" s="2">
        <v>10654.227600697801</v>
      </c>
      <c r="AK6663" s="2">
        <v>11864.917684174599</v>
      </c>
      <c r="AL6663" s="2">
        <v>9786.1423263744091</v>
      </c>
      <c r="AM6663" s="2">
        <v>8456.4382595997195</v>
      </c>
      <c r="AN6663" s="2">
        <v>10706.805579256699</v>
      </c>
      <c r="AO6663" s="2">
        <v>12405.402191855101</v>
      </c>
      <c r="AP6663" s="2">
        <v>11981.383259820401</v>
      </c>
    </row>
    <row r="6664" spans="1:42" ht="14.5" x14ac:dyDescent="0.35">
      <c r="A6664" s="2" t="s">
        <v>44193</v>
      </c>
      <c r="B6664" s="2">
        <v>553.11359659218294</v>
      </c>
      <c r="C6664" s="2">
        <v>8.4361166666666705</v>
      </c>
      <c r="D6664" s="2" t="s">
        <v>70</v>
      </c>
      <c r="E6664" s="2" t="s">
        <v>44194</v>
      </c>
      <c r="F6664" s="2">
        <v>61886</v>
      </c>
      <c r="G6664" s="3" t="str">
        <f>HYPERLINK("http://funmeta.oebiotech.com/network/61886", "http://funmeta.oebiotech.com/network/61886")</f>
        <v>http://funmeta.oebiotech.com/network/61886</v>
      </c>
      <c r="H6664" s="2" t="s">
        <v>44195</v>
      </c>
      <c r="I6664" s="2">
        <v>93187</v>
      </c>
      <c r="J6664" s="2"/>
      <c r="K6664" s="2"/>
      <c r="L6664" s="2"/>
      <c r="M6664" s="2"/>
      <c r="N6664" s="2"/>
      <c r="O6664" s="2">
        <v>5320958</v>
      </c>
      <c r="P6664" s="2"/>
      <c r="Q6664" s="2" t="s">
        <v>44196</v>
      </c>
      <c r="R6664" s="2" t="s">
        <v>44197</v>
      </c>
      <c r="S6664" s="2" t="s">
        <v>148</v>
      </c>
      <c r="T6664" s="2" t="s">
        <v>6068</v>
      </c>
      <c r="U6664" s="2" t="s">
        <v>44198</v>
      </c>
      <c r="V6664" s="2" t="s">
        <v>59</v>
      </c>
      <c r="W6664" s="2">
        <v>44.2</v>
      </c>
      <c r="X6664" s="2">
        <v>25.9</v>
      </c>
      <c r="Y6664" s="2" t="s">
        <v>408</v>
      </c>
      <c r="Z6664" s="2" t="s">
        <v>44199</v>
      </c>
      <c r="AA6664" s="2">
        <v>-0.83421078921034397</v>
      </c>
      <c r="AB6664" s="2">
        <v>1.8867051470142199E-2</v>
      </c>
      <c r="AC6664" s="2">
        <v>224.380498600013</v>
      </c>
      <c r="AD6664" s="2">
        <v>103.47982884239001</v>
      </c>
      <c r="AE6664" s="2">
        <v>2.7106294003980101E-5</v>
      </c>
      <c r="AF6664" s="2">
        <v>2.7106294003980101E-5</v>
      </c>
      <c r="AG6664" s="2">
        <v>2.7106294003980101E-5</v>
      </c>
      <c r="AH6664" s="2">
        <v>1084.3818407774299</v>
      </c>
      <c r="AI6664" s="2">
        <v>261.90104239747097</v>
      </c>
      <c r="AJ6664" s="2">
        <v>2.7106294003980101E-5</v>
      </c>
      <c r="AK6664" s="2">
        <v>2.7106294003980101E-5</v>
      </c>
      <c r="AL6664" s="2">
        <v>2.7106294003980101E-5</v>
      </c>
      <c r="AM6664" s="2">
        <v>2.7106294003980101E-5</v>
      </c>
      <c r="AN6664" s="2">
        <v>2.7106294003980101E-5</v>
      </c>
      <c r="AO6664" s="2">
        <v>327.82362463802599</v>
      </c>
      <c r="AP6664" s="2">
        <v>293.05523999113598</v>
      </c>
    </row>
    <row r="6665" spans="1:42" ht="14.5" x14ac:dyDescent="0.35">
      <c r="A6665" s="2" t="s">
        <v>44200</v>
      </c>
      <c r="B6665" s="2">
        <v>233.10257464236699</v>
      </c>
      <c r="C6665" s="2">
        <v>1.6181333333333301</v>
      </c>
      <c r="D6665" s="2" t="s">
        <v>70</v>
      </c>
      <c r="E6665" s="2" t="s">
        <v>44201</v>
      </c>
      <c r="F6665" s="2">
        <v>266878</v>
      </c>
      <c r="G6665" s="3" t="str">
        <f>HYPERLINK("http://funmeta.oebiotech.com/network/266878", "http://funmeta.oebiotech.com/network/266878")</f>
        <v>http://funmeta.oebiotech.com/network/266878</v>
      </c>
      <c r="H6665" s="2"/>
      <c r="I6665" s="2">
        <v>44183</v>
      </c>
      <c r="J6665" s="2"/>
      <c r="K6665" s="2"/>
      <c r="L6665" s="2"/>
      <c r="M6665" s="2"/>
      <c r="N6665" s="2"/>
      <c r="O6665" s="2">
        <v>6708681</v>
      </c>
      <c r="P6665" s="2"/>
      <c r="Q6665" s="2" t="s">
        <v>44202</v>
      </c>
      <c r="R6665" s="2" t="s">
        <v>44203</v>
      </c>
      <c r="S6665" s="2" t="s">
        <v>50</v>
      </c>
      <c r="T6665" s="2" t="s">
        <v>229</v>
      </c>
      <c r="U6665" s="2" t="s">
        <v>433</v>
      </c>
      <c r="V6665" s="2" t="s">
        <v>59</v>
      </c>
      <c r="W6665" s="2">
        <v>38.700000000000003</v>
      </c>
      <c r="X6665" s="2">
        <v>0</v>
      </c>
      <c r="Y6665" s="2" t="s">
        <v>408</v>
      </c>
      <c r="Z6665" s="2" t="s">
        <v>31458</v>
      </c>
      <c r="AA6665" s="2">
        <v>-2.5901457050605901</v>
      </c>
      <c r="AB6665" s="2">
        <v>1.8854037151723201E-2</v>
      </c>
      <c r="AC6665" s="2">
        <v>1606.6616103322699</v>
      </c>
      <c r="AD6665" s="2">
        <v>1700.9098261879501</v>
      </c>
      <c r="AE6665" s="2">
        <v>1441.81304484202</v>
      </c>
      <c r="AF6665" s="2">
        <v>1657.6453485367199</v>
      </c>
      <c r="AG6665" s="2">
        <v>1693.9860141029201</v>
      </c>
      <c r="AH6665" s="2">
        <v>1675.98627718801</v>
      </c>
      <c r="AI6665" s="2">
        <v>1451.90799555474</v>
      </c>
      <c r="AJ6665" s="2">
        <v>1718.6309817692099</v>
      </c>
      <c r="AK6665" s="2">
        <v>1551.53735761915</v>
      </c>
      <c r="AL6665" s="2">
        <v>1776.5068775913301</v>
      </c>
      <c r="AM6665" s="2">
        <v>1393.8404779955399</v>
      </c>
      <c r="AN6665" s="2">
        <v>2023.27422875511</v>
      </c>
      <c r="AO6665" s="2">
        <v>1947.08181213747</v>
      </c>
      <c r="AP6665" s="2">
        <v>1513.2182030290901</v>
      </c>
    </row>
    <row r="6666" spans="1:42" ht="14.5" x14ac:dyDescent="0.35">
      <c r="A6666" s="2" t="s">
        <v>44204</v>
      </c>
      <c r="B6666" s="2">
        <v>391.16077924473899</v>
      </c>
      <c r="C6666" s="2">
        <v>4.6130500000000003</v>
      </c>
      <c r="D6666" s="2" t="s">
        <v>70</v>
      </c>
      <c r="E6666" s="2" t="s">
        <v>44205</v>
      </c>
      <c r="F6666" s="2">
        <v>59654</v>
      </c>
      <c r="G6666" s="3" t="str">
        <f>HYPERLINK("http://funmeta.oebiotech.com/network/59654", "http://funmeta.oebiotech.com/network/59654")</f>
        <v>http://funmeta.oebiotech.com/network/59654</v>
      </c>
      <c r="H6666" s="2" t="s">
        <v>44206</v>
      </c>
      <c r="I6666" s="2">
        <v>91049</v>
      </c>
      <c r="J6666" s="2"/>
      <c r="K6666" s="2">
        <v>168640</v>
      </c>
      <c r="L6666" s="2"/>
      <c r="M6666" s="2"/>
      <c r="N6666" s="2"/>
      <c r="O6666" s="2">
        <v>131751869</v>
      </c>
      <c r="P6666" s="2" t="s">
        <v>44207</v>
      </c>
      <c r="Q6666" s="2" t="s">
        <v>44208</v>
      </c>
      <c r="R6666" s="2" t="s">
        <v>44209</v>
      </c>
      <c r="S6666" s="2" t="s">
        <v>79</v>
      </c>
      <c r="T6666" s="2" t="s">
        <v>80</v>
      </c>
      <c r="U6666" s="2" t="s">
        <v>81</v>
      </c>
      <c r="V6666" s="2" t="s">
        <v>59</v>
      </c>
      <c r="W6666" s="2">
        <v>43.4</v>
      </c>
      <c r="X6666" s="2">
        <v>21.4</v>
      </c>
      <c r="Y6666" s="2" t="s">
        <v>408</v>
      </c>
      <c r="Z6666" s="2" t="s">
        <v>5489</v>
      </c>
      <c r="AA6666" s="2">
        <v>-0.55296403562966301</v>
      </c>
      <c r="AB6666" s="2">
        <v>1.8835616078363902E-2</v>
      </c>
      <c r="AC6666" s="2">
        <v>95811.964783783493</v>
      </c>
      <c r="AD6666" s="2">
        <v>95420.966537640503</v>
      </c>
      <c r="AE6666" s="2">
        <v>93859.569587902995</v>
      </c>
      <c r="AF6666" s="2">
        <v>96683.850086995793</v>
      </c>
      <c r="AG6666" s="2">
        <v>97882.551794297804</v>
      </c>
      <c r="AH6666" s="2">
        <v>91982.645204059794</v>
      </c>
      <c r="AI6666" s="2">
        <v>99262.262821798693</v>
      </c>
      <c r="AJ6666" s="2">
        <v>95200.909207645993</v>
      </c>
      <c r="AK6666" s="2">
        <v>96491.857098586595</v>
      </c>
      <c r="AL6666" s="2">
        <v>89536.742461268004</v>
      </c>
      <c r="AM6666" s="2">
        <v>98136.587593108197</v>
      </c>
      <c r="AN6666" s="2">
        <v>97633.921688195696</v>
      </c>
      <c r="AO6666" s="2">
        <v>93954.165371240597</v>
      </c>
      <c r="AP6666" s="2">
        <v>96772.525013444101</v>
      </c>
    </row>
    <row r="6667" spans="1:42" ht="14.5" x14ac:dyDescent="0.35">
      <c r="A6667" s="2" t="s">
        <v>44210</v>
      </c>
      <c r="B6667" s="2">
        <v>353.17034727103402</v>
      </c>
      <c r="C6667" s="2">
        <v>4.1056666666666697</v>
      </c>
      <c r="D6667" s="2" t="s">
        <v>34</v>
      </c>
      <c r="E6667" s="2" t="s">
        <v>44211</v>
      </c>
      <c r="F6667" s="2">
        <v>47817</v>
      </c>
      <c r="G6667" s="3" t="str">
        <f>HYPERLINK("http://funmeta.oebiotech.com/network/47817", "http://funmeta.oebiotech.com/network/47817")</f>
        <v>http://funmeta.oebiotech.com/network/47817</v>
      </c>
      <c r="H6667" s="2" t="s">
        <v>44212</v>
      </c>
      <c r="I6667" s="2">
        <v>44853</v>
      </c>
      <c r="J6667" s="2"/>
      <c r="K6667" s="2">
        <v>468005</v>
      </c>
      <c r="L6667" s="2" t="s">
        <v>44213</v>
      </c>
      <c r="M6667" s="2"/>
      <c r="N6667" s="2"/>
      <c r="O6667" s="2">
        <v>442009</v>
      </c>
      <c r="P6667" s="2" t="s">
        <v>44214</v>
      </c>
      <c r="Q6667" s="2" t="s">
        <v>44215</v>
      </c>
      <c r="R6667" s="2" t="s">
        <v>44216</v>
      </c>
      <c r="S6667" s="2" t="s">
        <v>50</v>
      </c>
      <c r="T6667" s="2" t="s">
        <v>201</v>
      </c>
      <c r="U6667" s="2" t="s">
        <v>1217</v>
      </c>
      <c r="V6667" s="2" t="s">
        <v>59</v>
      </c>
      <c r="W6667" s="2">
        <v>37.1</v>
      </c>
      <c r="X6667" s="2">
        <v>0</v>
      </c>
      <c r="Y6667" s="2" t="s">
        <v>323</v>
      </c>
      <c r="Z6667" s="2" t="s">
        <v>3879</v>
      </c>
      <c r="AA6667" s="2">
        <v>-6.0049135462594698</v>
      </c>
      <c r="AB6667" s="2">
        <v>1.87436470365656E-2</v>
      </c>
      <c r="AC6667" s="2">
        <v>1880.80131959151</v>
      </c>
      <c r="AD6667" s="2">
        <v>1724.7086087103601</v>
      </c>
      <c r="AE6667" s="2">
        <v>1461.6504481002501</v>
      </c>
      <c r="AF6667" s="2">
        <v>1657.1238613513799</v>
      </c>
      <c r="AG6667" s="2">
        <v>2217.0919456545098</v>
      </c>
      <c r="AH6667" s="2">
        <v>2035.8420431056099</v>
      </c>
      <c r="AI6667" s="2">
        <v>2076.7623373509</v>
      </c>
      <c r="AJ6667" s="2">
        <v>1836.3372819864201</v>
      </c>
      <c r="AK6667" s="2">
        <v>2162.3407215383199</v>
      </c>
      <c r="AL6667" s="2">
        <v>1218.6315505632001</v>
      </c>
      <c r="AM6667" s="2">
        <v>851.37551931814903</v>
      </c>
      <c r="AN6667" s="2">
        <v>2877.9916813363702</v>
      </c>
      <c r="AO6667" s="2">
        <v>1623.47482053105</v>
      </c>
      <c r="AP6667" s="2">
        <v>1614.4373589750701</v>
      </c>
    </row>
    <row r="6668" spans="1:42" ht="14.5" x14ac:dyDescent="0.35">
      <c r="A6668" s="2" t="s">
        <v>44217</v>
      </c>
      <c r="B6668" s="2">
        <v>382.11388608260398</v>
      </c>
      <c r="C6668" s="2">
        <v>3.9323666666666699</v>
      </c>
      <c r="D6668" s="2" t="s">
        <v>70</v>
      </c>
      <c r="E6668" s="2" t="s">
        <v>44218</v>
      </c>
      <c r="F6668" s="2">
        <v>55792</v>
      </c>
      <c r="G6668" s="3" t="str">
        <f>HYPERLINK("http://funmeta.oebiotech.com/network/55792", "http://funmeta.oebiotech.com/network/55792")</f>
        <v>http://funmeta.oebiotech.com/network/55792</v>
      </c>
      <c r="H6668" s="2" t="s">
        <v>44219</v>
      </c>
      <c r="I6668" s="2"/>
      <c r="J6668" s="2"/>
      <c r="K6668" s="2">
        <v>15711</v>
      </c>
      <c r="L6668" s="2" t="s">
        <v>44220</v>
      </c>
      <c r="M6668" s="2"/>
      <c r="N6668" s="2"/>
      <c r="O6668" s="2"/>
      <c r="P6668" s="2" t="s">
        <v>44221</v>
      </c>
      <c r="Q6668" s="2" t="s">
        <v>44222</v>
      </c>
      <c r="R6668" s="2" t="s">
        <v>44223</v>
      </c>
      <c r="S6668" s="2" t="s">
        <v>491</v>
      </c>
      <c r="T6668" s="2" t="s">
        <v>2184</v>
      </c>
      <c r="U6668" s="2" t="s">
        <v>8858</v>
      </c>
      <c r="V6668" s="2" t="s">
        <v>59</v>
      </c>
      <c r="W6668" s="2">
        <v>37.700000000000003</v>
      </c>
      <c r="X6668" s="2">
        <v>0</v>
      </c>
      <c r="Y6668" s="2" t="s">
        <v>408</v>
      </c>
      <c r="Z6668" s="2" t="s">
        <v>30838</v>
      </c>
      <c r="AA6668" s="2">
        <v>-1.3904360373433</v>
      </c>
      <c r="AB6668" s="2">
        <v>1.87009478436891E-2</v>
      </c>
      <c r="AC6668" s="2">
        <v>8813.9453336341594</v>
      </c>
      <c r="AD6668" s="2">
        <v>8987.9871036837303</v>
      </c>
      <c r="AE6668" s="2">
        <v>9036.3674058787401</v>
      </c>
      <c r="AF6668" s="2">
        <v>7948.72399933835</v>
      </c>
      <c r="AG6668" s="2">
        <v>7661.8315953801903</v>
      </c>
      <c r="AH6668" s="2">
        <v>9759.2614399550093</v>
      </c>
      <c r="AI6668" s="2">
        <v>9193.4532238407101</v>
      </c>
      <c r="AJ6668" s="2">
        <v>9284.0343374119493</v>
      </c>
      <c r="AK6668" s="2">
        <v>8273.0635011311697</v>
      </c>
      <c r="AL6668" s="2">
        <v>10033.801219057101</v>
      </c>
      <c r="AM6668" s="2">
        <v>8933.6205332797199</v>
      </c>
      <c r="AN6668" s="2">
        <v>8555.2840675507705</v>
      </c>
      <c r="AO6668" s="2">
        <v>8686.0808812690593</v>
      </c>
      <c r="AP6668" s="2">
        <v>9446.0724198145599</v>
      </c>
    </row>
    <row r="6669" spans="1:42" ht="14.5" x14ac:dyDescent="0.35">
      <c r="A6669" s="2" t="s">
        <v>44224</v>
      </c>
      <c r="B6669" s="2">
        <v>335.05876211018</v>
      </c>
      <c r="C6669" s="2">
        <v>1.43973333333333</v>
      </c>
      <c r="D6669" s="2" t="s">
        <v>34</v>
      </c>
      <c r="E6669" s="2" t="s">
        <v>44225</v>
      </c>
      <c r="F6669" s="2">
        <v>54173</v>
      </c>
      <c r="G6669" s="3" t="str">
        <f>HYPERLINK("http://funmeta.oebiotech.com/network/54173", "http://funmeta.oebiotech.com/network/54173")</f>
        <v>http://funmeta.oebiotech.com/network/54173</v>
      </c>
      <c r="H6669" s="2" t="s">
        <v>44226</v>
      </c>
      <c r="I6669" s="2"/>
      <c r="J6669" s="2"/>
      <c r="K6669" s="2">
        <v>145963</v>
      </c>
      <c r="L6669" s="2"/>
      <c r="M6669" s="2"/>
      <c r="N6669" s="2"/>
      <c r="O6669" s="2">
        <v>131834117</v>
      </c>
      <c r="P6669" s="2"/>
      <c r="Q6669" s="2" t="s">
        <v>44227</v>
      </c>
      <c r="R6669" s="2" t="s">
        <v>44228</v>
      </c>
      <c r="S6669" s="2" t="s">
        <v>115</v>
      </c>
      <c r="T6669" s="2" t="s">
        <v>139</v>
      </c>
      <c r="U6669" s="2" t="s">
        <v>1552</v>
      </c>
      <c r="V6669" s="2" t="s">
        <v>59</v>
      </c>
      <c r="W6669" s="2">
        <v>37.4</v>
      </c>
      <c r="X6669" s="2">
        <v>0</v>
      </c>
      <c r="Y6669" s="2" t="s">
        <v>141</v>
      </c>
      <c r="Z6669" s="2" t="s">
        <v>44229</v>
      </c>
      <c r="AA6669" s="2">
        <v>1.0694437018020799</v>
      </c>
      <c r="AB6669" s="2">
        <v>1.86288147965704E-2</v>
      </c>
      <c r="AC6669" s="2">
        <v>488.74621831354898</v>
      </c>
      <c r="AD6669" s="2">
        <v>380.35540402843702</v>
      </c>
      <c r="AE6669" s="2">
        <v>533.32589271071299</v>
      </c>
      <c r="AF6669" s="2">
        <v>837.42159536973497</v>
      </c>
      <c r="AG6669" s="2">
        <v>206.24228345748901</v>
      </c>
      <c r="AH6669" s="2">
        <v>211.23299154767801</v>
      </c>
      <c r="AI6669" s="2">
        <v>816.0675461587</v>
      </c>
      <c r="AJ6669" s="2">
        <v>328.18700063697599</v>
      </c>
      <c r="AK6669" s="2">
        <v>282.04917829729499</v>
      </c>
      <c r="AL6669" s="2">
        <v>117.688589290473</v>
      </c>
      <c r="AM6669" s="2">
        <v>348.53451983607198</v>
      </c>
      <c r="AN6669" s="2">
        <v>730.23910258432397</v>
      </c>
      <c r="AO6669" s="2">
        <v>563.02870735144995</v>
      </c>
      <c r="AP6669" s="2">
        <v>240.59232681100599</v>
      </c>
    </row>
    <row r="6670" spans="1:42" ht="14.5" x14ac:dyDescent="0.35">
      <c r="A6670" s="2" t="s">
        <v>44230</v>
      </c>
      <c r="B6670" s="2">
        <v>740.19648523814999</v>
      </c>
      <c r="C6670" s="2">
        <v>4.2764166666666696</v>
      </c>
      <c r="D6670" s="2" t="s">
        <v>70</v>
      </c>
      <c r="E6670" s="2" t="s">
        <v>44231</v>
      </c>
      <c r="F6670" s="2">
        <v>28418</v>
      </c>
      <c r="G6670" s="3" t="str">
        <f>HYPERLINK("http://funmeta.oebiotech.com/network/28418", "http://funmeta.oebiotech.com/network/28418")</f>
        <v>http://funmeta.oebiotech.com/network/28418</v>
      </c>
      <c r="H6670" s="2"/>
      <c r="I6670" s="2"/>
      <c r="J6670" s="2" t="s">
        <v>44232</v>
      </c>
      <c r="K6670" s="2"/>
      <c r="L6670" s="2"/>
      <c r="M6670" s="2"/>
      <c r="N6670" s="2"/>
      <c r="O6670" s="2">
        <v>20054973</v>
      </c>
      <c r="P6670" s="2"/>
      <c r="Q6670" s="2" t="s">
        <v>44233</v>
      </c>
      <c r="R6670" s="2" t="s">
        <v>44234</v>
      </c>
      <c r="S6670" s="2" t="s">
        <v>115</v>
      </c>
      <c r="T6670" s="2" t="s">
        <v>139</v>
      </c>
      <c r="U6670" s="2" t="s">
        <v>140</v>
      </c>
      <c r="V6670" s="2" t="s">
        <v>59</v>
      </c>
      <c r="W6670" s="2">
        <v>36.6</v>
      </c>
      <c r="X6670" s="2">
        <v>0</v>
      </c>
      <c r="Y6670" s="2" t="s">
        <v>118</v>
      </c>
      <c r="Z6670" s="2" t="s">
        <v>44235</v>
      </c>
      <c r="AA6670" s="2">
        <v>0.92680543764924295</v>
      </c>
      <c r="AB6670" s="2">
        <v>1.8536048940596399E-2</v>
      </c>
      <c r="AC6670" s="2">
        <v>29310.255186807401</v>
      </c>
      <c r="AD6670" s="2">
        <v>29699.064861622999</v>
      </c>
      <c r="AE6670" s="2">
        <v>33921.953151076697</v>
      </c>
      <c r="AF6670" s="2">
        <v>22104.194987315801</v>
      </c>
      <c r="AG6670" s="2">
        <v>28937.42780972</v>
      </c>
      <c r="AH6670" s="2">
        <v>27292.313271391398</v>
      </c>
      <c r="AI6670" s="2">
        <v>32117.129478535298</v>
      </c>
      <c r="AJ6670" s="2">
        <v>31488.512422805401</v>
      </c>
      <c r="AK6670" s="2">
        <v>26259.329457118001</v>
      </c>
      <c r="AL6670" s="2">
        <v>32317.782148338501</v>
      </c>
      <c r="AM6670" s="2">
        <v>23429.516988615698</v>
      </c>
      <c r="AN6670" s="2">
        <v>32974.455724922103</v>
      </c>
      <c r="AO6670" s="2">
        <v>32761.850454228999</v>
      </c>
      <c r="AP6670" s="2">
        <v>30451.454396514499</v>
      </c>
    </row>
    <row r="6671" spans="1:42" ht="14.5" x14ac:dyDescent="0.35">
      <c r="A6671" s="2" t="s">
        <v>44236</v>
      </c>
      <c r="B6671" s="2">
        <v>659.44856624432703</v>
      </c>
      <c r="C6671" s="2">
        <v>13.5626833333333</v>
      </c>
      <c r="D6671" s="2" t="s">
        <v>34</v>
      </c>
      <c r="E6671" s="2" t="s">
        <v>44237</v>
      </c>
      <c r="F6671" s="2">
        <v>57212</v>
      </c>
      <c r="G6671" s="3" t="str">
        <f>HYPERLINK("http://funmeta.oebiotech.com/network/57212", "http://funmeta.oebiotech.com/network/57212")</f>
        <v>http://funmeta.oebiotech.com/network/57212</v>
      </c>
      <c r="H6671" s="2" t="s">
        <v>44238</v>
      </c>
      <c r="I6671" s="2">
        <v>88850</v>
      </c>
      <c r="J6671" s="2"/>
      <c r="K6671" s="2"/>
      <c r="L6671" s="2"/>
      <c r="M6671" s="2"/>
      <c r="N6671" s="2"/>
      <c r="O6671" s="2">
        <v>85143314</v>
      </c>
      <c r="P6671" s="2"/>
      <c r="Q6671" s="2" t="s">
        <v>44239</v>
      </c>
      <c r="R6671" s="2" t="s">
        <v>44240</v>
      </c>
      <c r="S6671" s="2" t="s">
        <v>50</v>
      </c>
      <c r="T6671" s="2" t="s">
        <v>229</v>
      </c>
      <c r="U6671" s="2" t="s">
        <v>1283</v>
      </c>
      <c r="V6671" s="2" t="s">
        <v>59</v>
      </c>
      <c r="W6671" s="2">
        <v>38.9</v>
      </c>
      <c r="X6671" s="2">
        <v>0</v>
      </c>
      <c r="Y6671" s="2" t="s">
        <v>470</v>
      </c>
      <c r="Z6671" s="2" t="s">
        <v>44241</v>
      </c>
      <c r="AA6671" s="2">
        <v>-1.21522874720424</v>
      </c>
      <c r="AB6671" s="2">
        <v>1.8487711091056101E-2</v>
      </c>
      <c r="AC6671" s="2">
        <v>13659.0117641982</v>
      </c>
      <c r="AD6671" s="2">
        <v>14026.9583511943</v>
      </c>
      <c r="AE6671" s="2">
        <v>12958.278103842</v>
      </c>
      <c r="AF6671" s="2">
        <v>12422.280339040701</v>
      </c>
      <c r="AG6671" s="2">
        <v>14126.4630787601</v>
      </c>
      <c r="AH6671" s="2">
        <v>14905.5283314956</v>
      </c>
      <c r="AI6671" s="2">
        <v>13178.2621079828</v>
      </c>
      <c r="AJ6671" s="2">
        <v>14363.258624067799</v>
      </c>
      <c r="AK6671" s="2">
        <v>21081.181449388299</v>
      </c>
      <c r="AL6671" s="2">
        <v>16686.395285359002</v>
      </c>
      <c r="AM6671" s="2">
        <v>12869.1558420783</v>
      </c>
      <c r="AN6671" s="2">
        <v>11742.9064715228</v>
      </c>
      <c r="AO6671" s="2">
        <v>11377.6866429727</v>
      </c>
      <c r="AP6671" s="2">
        <v>10404.4244158447</v>
      </c>
    </row>
    <row r="6672" spans="1:42" ht="14.5" x14ac:dyDescent="0.35">
      <c r="A6672" s="2" t="s">
        <v>44242</v>
      </c>
      <c r="B6672" s="2">
        <v>425.08065831789401</v>
      </c>
      <c r="C6672" s="2">
        <v>7.7996333333333299</v>
      </c>
      <c r="D6672" s="2" t="s">
        <v>70</v>
      </c>
      <c r="E6672" s="2" t="s">
        <v>44243</v>
      </c>
      <c r="F6672" s="2">
        <v>210906</v>
      </c>
      <c r="G6672" s="3" t="str">
        <f>HYPERLINK("http://funmeta.oebiotech.com/network/210906", "http://funmeta.oebiotech.com/network/210906")</f>
        <v>http://funmeta.oebiotech.com/network/210906</v>
      </c>
      <c r="H6672" s="2" t="s">
        <v>44244</v>
      </c>
      <c r="I6672" s="2">
        <v>340488</v>
      </c>
      <c r="J6672" s="2"/>
      <c r="K6672" s="2">
        <v>51602</v>
      </c>
      <c r="L6672" s="2"/>
      <c r="M6672" s="2"/>
      <c r="N6672" s="2"/>
      <c r="O6672" s="2">
        <v>69462</v>
      </c>
      <c r="P6672" s="2"/>
      <c r="Q6672" s="2" t="s">
        <v>44245</v>
      </c>
      <c r="R6672" s="2" t="s">
        <v>44246</v>
      </c>
      <c r="S6672" s="2" t="s">
        <v>491</v>
      </c>
      <c r="T6672" s="2" t="s">
        <v>20066</v>
      </c>
      <c r="U6672" s="2" t="s">
        <v>36991</v>
      </c>
      <c r="V6672" s="2" t="s">
        <v>59</v>
      </c>
      <c r="W6672" s="2">
        <v>38</v>
      </c>
      <c r="X6672" s="2">
        <v>0</v>
      </c>
      <c r="Y6672" s="2" t="s">
        <v>560</v>
      </c>
      <c r="Z6672" s="2" t="s">
        <v>44247</v>
      </c>
      <c r="AA6672" s="2">
        <v>6.4507615932121602</v>
      </c>
      <c r="AB6672" s="2">
        <v>1.8394886507376501E-2</v>
      </c>
      <c r="AC6672" s="2">
        <v>1571.49574783662</v>
      </c>
      <c r="AD6672" s="2">
        <v>1436.21410316586</v>
      </c>
      <c r="AE6672" s="2">
        <v>1446.8416545016601</v>
      </c>
      <c r="AF6672" s="2">
        <v>1491.8471878492501</v>
      </c>
      <c r="AG6672" s="2">
        <v>1884.7757703613199</v>
      </c>
      <c r="AH6672" s="2">
        <v>1238.0950679462401</v>
      </c>
      <c r="AI6672" s="2">
        <v>2026.25101062514</v>
      </c>
      <c r="AJ6672" s="2">
        <v>1341.1637957361199</v>
      </c>
      <c r="AK6672" s="2">
        <v>1103.73560598581</v>
      </c>
      <c r="AL6672" s="2">
        <v>1382.4603201498901</v>
      </c>
      <c r="AM6672" s="2">
        <v>1122.85234208529</v>
      </c>
      <c r="AN6672" s="2">
        <v>2335.5949189794601</v>
      </c>
      <c r="AO6672" s="2">
        <v>1636.9273539815199</v>
      </c>
      <c r="AP6672" s="2">
        <v>1035.7140778132</v>
      </c>
    </row>
    <row r="6673" spans="1:42" ht="14.5" x14ac:dyDescent="0.35">
      <c r="A6673" s="2" t="s">
        <v>44248</v>
      </c>
      <c r="B6673" s="2">
        <v>1047.4716765988201</v>
      </c>
      <c r="C6673" s="2">
        <v>10.3723666666667</v>
      </c>
      <c r="D6673" s="2" t="s">
        <v>70</v>
      </c>
      <c r="E6673" s="2" t="s">
        <v>44249</v>
      </c>
      <c r="F6673" s="2">
        <v>231649</v>
      </c>
      <c r="G6673" s="3" t="str">
        <f>HYPERLINK("http://funmeta.oebiotech.com/network/231649", "http://funmeta.oebiotech.com/network/231649")</f>
        <v>http://funmeta.oebiotech.com/network/231649</v>
      </c>
      <c r="H6673" s="2" t="s">
        <v>44250</v>
      </c>
      <c r="I6673" s="2"/>
      <c r="J6673" s="2"/>
      <c r="K6673" s="2"/>
      <c r="L6673" s="2"/>
      <c r="M6673" s="2"/>
      <c r="N6673" s="2"/>
      <c r="O6673" s="2"/>
      <c r="P6673" s="2"/>
      <c r="Q6673" s="2" t="s">
        <v>44251</v>
      </c>
      <c r="R6673" s="2" t="s">
        <v>44252</v>
      </c>
      <c r="S6673" s="2" t="s">
        <v>41</v>
      </c>
      <c r="T6673" s="2" t="s">
        <v>41</v>
      </c>
      <c r="U6673" s="2" t="s">
        <v>41</v>
      </c>
      <c r="V6673" s="2" t="s">
        <v>59</v>
      </c>
      <c r="W6673" s="2">
        <v>36.799999999999997</v>
      </c>
      <c r="X6673" s="2">
        <v>0</v>
      </c>
      <c r="Y6673" s="2" t="s">
        <v>408</v>
      </c>
      <c r="Z6673" s="2" t="s">
        <v>44253</v>
      </c>
      <c r="AA6673" s="2">
        <v>1.65142998433695</v>
      </c>
      <c r="AB6673" s="2">
        <v>1.8373647899720201E-2</v>
      </c>
      <c r="AC6673" s="2">
        <v>16753.255677177702</v>
      </c>
      <c r="AD6673" s="2">
        <v>16417.211914592299</v>
      </c>
      <c r="AE6673" s="2">
        <v>17228.790202691798</v>
      </c>
      <c r="AF6673" s="2">
        <v>19300.9947441082</v>
      </c>
      <c r="AG6673" s="2">
        <v>17895.3737183958</v>
      </c>
      <c r="AH6673" s="2">
        <v>16565.081842570198</v>
      </c>
      <c r="AI6673" s="2">
        <v>15312.907952867899</v>
      </c>
      <c r="AJ6673" s="2">
        <v>14216.3856024324</v>
      </c>
      <c r="AK6673" s="2">
        <v>17446.569195448599</v>
      </c>
      <c r="AL6673" s="2">
        <v>11891.9008076801</v>
      </c>
      <c r="AM6673" s="2">
        <v>19029.370672814701</v>
      </c>
      <c r="AN6673" s="2">
        <v>15469.0617263975</v>
      </c>
      <c r="AO6673" s="2">
        <v>12844.946989714599</v>
      </c>
      <c r="AP6673" s="2">
        <v>21821.422095498299</v>
      </c>
    </row>
    <row r="6674" spans="1:42" ht="14.5" x14ac:dyDescent="0.35">
      <c r="A6674" s="2" t="s">
        <v>44254</v>
      </c>
      <c r="B6674" s="2">
        <v>411.00192905930498</v>
      </c>
      <c r="C6674" s="2">
        <v>2.3911333333333298</v>
      </c>
      <c r="D6674" s="2" t="s">
        <v>70</v>
      </c>
      <c r="E6674" s="2" t="s">
        <v>44255</v>
      </c>
      <c r="F6674" s="2">
        <v>33112</v>
      </c>
      <c r="G6674" s="3" t="str">
        <f>HYPERLINK("http://funmeta.oebiotech.com/network/33112", "http://funmeta.oebiotech.com/network/33112")</f>
        <v>http://funmeta.oebiotech.com/network/33112</v>
      </c>
      <c r="H6674" s="2"/>
      <c r="I6674" s="2">
        <v>51439</v>
      </c>
      <c r="J6674" s="2" t="s">
        <v>44256</v>
      </c>
      <c r="K6674" s="2"/>
      <c r="L6674" s="2"/>
      <c r="M6674" s="2"/>
      <c r="N6674" s="2"/>
      <c r="O6674" s="2">
        <v>44259875</v>
      </c>
      <c r="P6674" s="2"/>
      <c r="Q6674" s="2" t="s">
        <v>44257</v>
      </c>
      <c r="R6674" s="2" t="s">
        <v>44258</v>
      </c>
      <c r="S6674" s="2" t="s">
        <v>115</v>
      </c>
      <c r="T6674" s="2" t="s">
        <v>139</v>
      </c>
      <c r="U6674" s="2" t="s">
        <v>1552</v>
      </c>
      <c r="V6674" s="2" t="s">
        <v>59</v>
      </c>
      <c r="W6674" s="2">
        <v>38.6</v>
      </c>
      <c r="X6674" s="2">
        <v>0</v>
      </c>
      <c r="Y6674" s="2" t="s">
        <v>118</v>
      </c>
      <c r="Z6674" s="2" t="s">
        <v>44259</v>
      </c>
      <c r="AA6674" s="2">
        <v>-2.0065256431171301</v>
      </c>
      <c r="AB6674" s="2">
        <v>1.8204174547457298E-2</v>
      </c>
      <c r="AC6674" s="2">
        <v>3292.6775924963899</v>
      </c>
      <c r="AD6674" s="2">
        <v>3181.1866460323799</v>
      </c>
      <c r="AE6674" s="2">
        <v>3140.79221411853</v>
      </c>
      <c r="AF6674" s="2">
        <v>3554.3561957985999</v>
      </c>
      <c r="AG6674" s="2">
        <v>3568.5117486603899</v>
      </c>
      <c r="AH6674" s="2">
        <v>3327.1910147839799</v>
      </c>
      <c r="AI6674" s="2">
        <v>2781.87245111217</v>
      </c>
      <c r="AJ6674" s="2">
        <v>3383.34193050468</v>
      </c>
      <c r="AK6674" s="2">
        <v>3329.1515682972899</v>
      </c>
      <c r="AL6674" s="2">
        <v>3736.18110068142</v>
      </c>
      <c r="AM6674" s="2">
        <v>2901.09905467622</v>
      </c>
      <c r="AN6674" s="2">
        <v>3376.0290791536599</v>
      </c>
      <c r="AO6674" s="2">
        <v>3039.5984573496899</v>
      </c>
      <c r="AP6674" s="2">
        <v>2705.0606160359998</v>
      </c>
    </row>
    <row r="6675" spans="1:42" ht="14.5" x14ac:dyDescent="0.35">
      <c r="A6675" s="2" t="s">
        <v>44260</v>
      </c>
      <c r="B6675" s="2">
        <v>491.228142940456</v>
      </c>
      <c r="C6675" s="2">
        <v>6.5568666666666697</v>
      </c>
      <c r="D6675" s="2" t="s">
        <v>70</v>
      </c>
      <c r="E6675" s="2" t="s">
        <v>44261</v>
      </c>
      <c r="F6675" s="2">
        <v>210553</v>
      </c>
      <c r="G6675" s="3" t="str">
        <f>HYPERLINK("http://funmeta.oebiotech.com/network/210553", "http://funmeta.oebiotech.com/network/210553")</f>
        <v>http://funmeta.oebiotech.com/network/210553</v>
      </c>
      <c r="H6675" s="2" t="s">
        <v>44262</v>
      </c>
      <c r="I6675" s="2"/>
      <c r="J6675" s="2"/>
      <c r="K6675" s="2"/>
      <c r="L6675" s="2"/>
      <c r="M6675" s="2"/>
      <c r="N6675" s="2"/>
      <c r="O6675" s="2"/>
      <c r="P6675" s="2"/>
      <c r="Q6675" s="2" t="s">
        <v>44263</v>
      </c>
      <c r="R6675" s="2" t="s">
        <v>44264</v>
      </c>
      <c r="S6675" s="2" t="s">
        <v>41</v>
      </c>
      <c r="T6675" s="2" t="s">
        <v>41</v>
      </c>
      <c r="U6675" s="2" t="s">
        <v>41</v>
      </c>
      <c r="V6675" s="2" t="s">
        <v>42</v>
      </c>
      <c r="W6675" s="2">
        <v>53.2</v>
      </c>
      <c r="X6675" s="2">
        <v>73.7</v>
      </c>
      <c r="Y6675" s="2" t="s">
        <v>408</v>
      </c>
      <c r="Z6675" s="2" t="s">
        <v>44265</v>
      </c>
      <c r="AA6675" s="2">
        <v>-1.1504298725606401</v>
      </c>
      <c r="AB6675" s="2">
        <v>1.8191732946276701E-2</v>
      </c>
      <c r="AC6675" s="2">
        <v>5688.9471594164297</v>
      </c>
      <c r="AD6675" s="2">
        <v>5505.8277154146199</v>
      </c>
      <c r="AE6675" s="2">
        <v>5464.7647194900701</v>
      </c>
      <c r="AF6675" s="2">
        <v>5414.2653448303699</v>
      </c>
      <c r="AG6675" s="2">
        <v>6252.8380182164301</v>
      </c>
      <c r="AH6675" s="2">
        <v>6572.6044667856604</v>
      </c>
      <c r="AI6675" s="2">
        <v>5498.40336301957</v>
      </c>
      <c r="AJ6675" s="2">
        <v>4930.8070441564896</v>
      </c>
      <c r="AK6675" s="2">
        <v>4996.8689271345902</v>
      </c>
      <c r="AL6675" s="2">
        <v>7111.9852659016897</v>
      </c>
      <c r="AM6675" s="2">
        <v>3871.8176610630799</v>
      </c>
      <c r="AN6675" s="2">
        <v>6189.6500899134599</v>
      </c>
      <c r="AO6675" s="2">
        <v>5313.8589332475603</v>
      </c>
      <c r="AP6675" s="2">
        <v>5550.7854152273603</v>
      </c>
    </row>
    <row r="6676" spans="1:42" ht="14.5" x14ac:dyDescent="0.35">
      <c r="A6676" s="2" t="s">
        <v>44266</v>
      </c>
      <c r="B6676" s="2">
        <v>380.059635730232</v>
      </c>
      <c r="C6676" s="2">
        <v>4.5236333333333301</v>
      </c>
      <c r="D6676" s="2" t="s">
        <v>70</v>
      </c>
      <c r="E6676" s="2" t="s">
        <v>44267</v>
      </c>
      <c r="F6676" s="2">
        <v>48895</v>
      </c>
      <c r="G6676" s="3" t="str">
        <f>HYPERLINK("http://funmeta.oebiotech.com/network/48895", "http://funmeta.oebiotech.com/network/48895")</f>
        <v>http://funmeta.oebiotech.com/network/48895</v>
      </c>
      <c r="H6676" s="2" t="s">
        <v>44268</v>
      </c>
      <c r="I6676" s="2">
        <v>3468</v>
      </c>
      <c r="J6676" s="2"/>
      <c r="K6676" s="2">
        <v>48954</v>
      </c>
      <c r="L6676" s="2" t="s">
        <v>44269</v>
      </c>
      <c r="M6676" s="2" t="s">
        <v>23498</v>
      </c>
      <c r="N6676" s="2" t="s">
        <v>23499</v>
      </c>
      <c r="O6676" s="2">
        <v>24771767</v>
      </c>
      <c r="P6676" s="2" t="s">
        <v>44270</v>
      </c>
      <c r="Q6676" s="2" t="s">
        <v>44271</v>
      </c>
      <c r="R6676" s="2" t="s">
        <v>44272</v>
      </c>
      <c r="S6676" s="2" t="s">
        <v>491</v>
      </c>
      <c r="T6676" s="2" t="s">
        <v>4914</v>
      </c>
      <c r="U6676" s="2" t="s">
        <v>4915</v>
      </c>
      <c r="V6676" s="2" t="s">
        <v>59</v>
      </c>
      <c r="W6676" s="2">
        <v>38.200000000000003</v>
      </c>
      <c r="X6676" s="2">
        <v>0</v>
      </c>
      <c r="Y6676" s="2" t="s">
        <v>408</v>
      </c>
      <c r="Z6676" s="2" t="s">
        <v>44273</v>
      </c>
      <c r="AA6676" s="2">
        <v>-4.92916034171426</v>
      </c>
      <c r="AB6676" s="2">
        <v>1.81866892672333E-2</v>
      </c>
      <c r="AC6676" s="2">
        <v>12337.8233918403</v>
      </c>
      <c r="AD6676" s="2">
        <v>12654.681157995001</v>
      </c>
      <c r="AE6676" s="2">
        <v>12702.815694724201</v>
      </c>
      <c r="AF6676" s="2">
        <v>13684.299837103899</v>
      </c>
      <c r="AG6676" s="2">
        <v>11809.6377249918</v>
      </c>
      <c r="AH6676" s="2">
        <v>12015.717613434401</v>
      </c>
      <c r="AI6676" s="2">
        <v>11686.406214582499</v>
      </c>
      <c r="AJ6676" s="2">
        <v>12128.063266204999</v>
      </c>
      <c r="AK6676" s="2">
        <v>11568.6661022884</v>
      </c>
      <c r="AL6676" s="2">
        <v>18686.862221102801</v>
      </c>
      <c r="AM6676" s="2">
        <v>12449.5374904363</v>
      </c>
      <c r="AN6676" s="2">
        <v>11394.5869604445</v>
      </c>
      <c r="AO6676" s="2">
        <v>11318.6454276199</v>
      </c>
      <c r="AP6676" s="2">
        <v>10509.7887460781</v>
      </c>
    </row>
    <row r="6677" spans="1:42" ht="14.5" x14ac:dyDescent="0.35">
      <c r="A6677" s="2" t="s">
        <v>44274</v>
      </c>
      <c r="B6677" s="2">
        <v>259.04320052006398</v>
      </c>
      <c r="C6677" s="2">
        <v>1.20376666666667</v>
      </c>
      <c r="D6677" s="2" t="s">
        <v>70</v>
      </c>
      <c r="E6677" s="2" t="s">
        <v>44275</v>
      </c>
      <c r="F6677" s="2">
        <v>82800</v>
      </c>
      <c r="G6677" s="3" t="str">
        <f>HYPERLINK("http://funmeta.oebiotech.com/network/82800", "http://funmeta.oebiotech.com/network/82800")</f>
        <v>http://funmeta.oebiotech.com/network/82800</v>
      </c>
      <c r="H6677" s="2" t="s">
        <v>44276</v>
      </c>
      <c r="I6677" s="2">
        <v>447542</v>
      </c>
      <c r="J6677" s="2"/>
      <c r="K6677" s="2"/>
      <c r="L6677" s="2"/>
      <c r="M6677" s="2"/>
      <c r="N6677" s="2"/>
      <c r="O6677" s="2">
        <v>2758337</v>
      </c>
      <c r="P6677" s="2" t="s">
        <v>44277</v>
      </c>
      <c r="Q6677" s="2" t="s">
        <v>44278</v>
      </c>
      <c r="R6677" s="2" t="s">
        <v>44279</v>
      </c>
      <c r="S6677" s="2" t="s">
        <v>79</v>
      </c>
      <c r="T6677" s="2" t="s">
        <v>80</v>
      </c>
      <c r="U6677" s="2" t="s">
        <v>2820</v>
      </c>
      <c r="V6677" s="2" t="s">
        <v>59</v>
      </c>
      <c r="W6677" s="2">
        <v>42.4</v>
      </c>
      <c r="X6677" s="2">
        <v>17.899999999999999</v>
      </c>
      <c r="Y6677" s="2" t="s">
        <v>408</v>
      </c>
      <c r="Z6677" s="2" t="s">
        <v>44280</v>
      </c>
      <c r="AA6677" s="2">
        <v>3.9575705376607102</v>
      </c>
      <c r="AB6677" s="2">
        <v>1.81645098263487E-2</v>
      </c>
      <c r="AC6677" s="2">
        <v>12240.4810551342</v>
      </c>
      <c r="AD6677" s="2">
        <v>12071.984087910199</v>
      </c>
      <c r="AE6677" s="2">
        <v>12599.044546912</v>
      </c>
      <c r="AF6677" s="2">
        <v>12165.7861499065</v>
      </c>
      <c r="AG6677" s="2">
        <v>13506.624560029401</v>
      </c>
      <c r="AH6677" s="2">
        <v>12227.331098500899</v>
      </c>
      <c r="AI6677" s="2">
        <v>11299.0213518204</v>
      </c>
      <c r="AJ6677" s="2">
        <v>11645.0786236362</v>
      </c>
      <c r="AK6677" s="2">
        <v>11326.402391297201</v>
      </c>
      <c r="AL6677" s="2">
        <v>13431.173314260201</v>
      </c>
      <c r="AM6677" s="2">
        <v>11311.4640042926</v>
      </c>
      <c r="AN6677" s="2">
        <v>12690.0288028618</v>
      </c>
      <c r="AO6677" s="2">
        <v>11748.808654557801</v>
      </c>
      <c r="AP6677" s="2">
        <v>11924.0273601917</v>
      </c>
    </row>
    <row r="6678" spans="1:42" ht="14.5" x14ac:dyDescent="0.35">
      <c r="A6678" s="2" t="s">
        <v>44281</v>
      </c>
      <c r="B6678" s="2">
        <v>799.29530337819597</v>
      </c>
      <c r="C6678" s="2">
        <v>5.7290666666666699</v>
      </c>
      <c r="D6678" s="2" t="s">
        <v>70</v>
      </c>
      <c r="E6678" s="2" t="s">
        <v>44282</v>
      </c>
      <c r="F6678" s="2">
        <v>342383</v>
      </c>
      <c r="G6678" s="3" t="str">
        <f>HYPERLINK("http://funmeta.oebiotech.com/network/342383", "http://funmeta.oebiotech.com/network/342383")</f>
        <v>http://funmeta.oebiotech.com/network/342383</v>
      </c>
      <c r="H6678" s="2"/>
      <c r="I6678" s="2">
        <v>417141</v>
      </c>
      <c r="J6678" s="2"/>
      <c r="K6678" s="2"/>
      <c r="L6678" s="2"/>
      <c r="M6678" s="2"/>
      <c r="N6678" s="2"/>
      <c r="O6678" s="2">
        <v>122643</v>
      </c>
      <c r="P6678" s="2"/>
      <c r="Q6678" s="2" t="s">
        <v>44283</v>
      </c>
      <c r="R6678" s="2" t="s">
        <v>44284</v>
      </c>
      <c r="S6678" s="2" t="s">
        <v>1184</v>
      </c>
      <c r="T6678" s="2" t="s">
        <v>3333</v>
      </c>
      <c r="U6678" s="2" t="s">
        <v>41</v>
      </c>
      <c r="V6678" s="2" t="s">
        <v>59</v>
      </c>
      <c r="W6678" s="2">
        <v>37.9</v>
      </c>
      <c r="X6678" s="2">
        <v>0</v>
      </c>
      <c r="Y6678" s="2" t="s">
        <v>560</v>
      </c>
      <c r="Z6678" s="2" t="s">
        <v>44285</v>
      </c>
      <c r="AA6678" s="2">
        <v>-2.2821353851562201</v>
      </c>
      <c r="AB6678" s="2">
        <v>1.81595733816707E-2</v>
      </c>
      <c r="AC6678" s="2">
        <v>28437.023517286099</v>
      </c>
      <c r="AD6678" s="2">
        <v>28758.942424712201</v>
      </c>
      <c r="AE6678" s="2">
        <v>31443.267516511201</v>
      </c>
      <c r="AF6678" s="2">
        <v>27330.393368499401</v>
      </c>
      <c r="AG6678" s="2">
        <v>25654.740900996501</v>
      </c>
      <c r="AH6678" s="2">
        <v>30332.370535581002</v>
      </c>
      <c r="AI6678" s="2">
        <v>26864.830557090601</v>
      </c>
      <c r="AJ6678" s="2">
        <v>28996.538225037799</v>
      </c>
      <c r="AK6678" s="2">
        <v>23464.200932245501</v>
      </c>
      <c r="AL6678" s="2">
        <v>29598.198032357701</v>
      </c>
      <c r="AM6678" s="2">
        <v>29474.071841238601</v>
      </c>
      <c r="AN6678" s="2">
        <v>32787.290160710603</v>
      </c>
      <c r="AO6678" s="2">
        <v>27263.0492590129</v>
      </c>
      <c r="AP6678" s="2">
        <v>29966.844322707799</v>
      </c>
    </row>
    <row r="6679" spans="1:42" ht="14.5" x14ac:dyDescent="0.35">
      <c r="A6679" s="2" t="s">
        <v>44286</v>
      </c>
      <c r="B6679" s="2">
        <v>435.18023560921603</v>
      </c>
      <c r="C6679" s="2">
        <v>9.9973333333333301</v>
      </c>
      <c r="D6679" s="2" t="s">
        <v>34</v>
      </c>
      <c r="E6679" s="2" t="s">
        <v>44287</v>
      </c>
      <c r="F6679" s="2">
        <v>82511</v>
      </c>
      <c r="G6679" s="3" t="str">
        <f>HYPERLINK("http://funmeta.oebiotech.com/network/82511", "http://funmeta.oebiotech.com/network/82511")</f>
        <v>http://funmeta.oebiotech.com/network/82511</v>
      </c>
      <c r="H6679" s="2" t="s">
        <v>44288</v>
      </c>
      <c r="I6679" s="2"/>
      <c r="J6679" s="2"/>
      <c r="K6679" s="2"/>
      <c r="L6679" s="2"/>
      <c r="M6679" s="2"/>
      <c r="N6679" s="2"/>
      <c r="O6679" s="2">
        <v>131769922</v>
      </c>
      <c r="P6679" s="2"/>
      <c r="Q6679" s="2" t="s">
        <v>44289</v>
      </c>
      <c r="R6679" s="2" t="s">
        <v>44290</v>
      </c>
      <c r="S6679" s="2" t="s">
        <v>491</v>
      </c>
      <c r="T6679" s="2" t="s">
        <v>3019</v>
      </c>
      <c r="U6679" s="2" t="s">
        <v>10208</v>
      </c>
      <c r="V6679" s="2" t="s">
        <v>59</v>
      </c>
      <c r="W6679" s="2">
        <v>38.5</v>
      </c>
      <c r="X6679" s="2">
        <v>0</v>
      </c>
      <c r="Y6679" s="2" t="s">
        <v>43</v>
      </c>
      <c r="Z6679" s="2" t="s">
        <v>44291</v>
      </c>
      <c r="AA6679" s="2">
        <v>3.7471301090287601</v>
      </c>
      <c r="AB6679" s="2">
        <v>1.8143987912593501E-2</v>
      </c>
      <c r="AC6679" s="2">
        <v>528.24549518296897</v>
      </c>
      <c r="AD6679" s="2">
        <v>460.11300044112198</v>
      </c>
      <c r="AE6679" s="2">
        <v>541.44085876972304</v>
      </c>
      <c r="AF6679" s="2">
        <v>463.24768917791403</v>
      </c>
      <c r="AG6679" s="2">
        <v>565.68879301569302</v>
      </c>
      <c r="AH6679" s="2">
        <v>715.68661868393895</v>
      </c>
      <c r="AI6679" s="2">
        <v>523.34750102343401</v>
      </c>
      <c r="AJ6679" s="2">
        <v>360.06151042711298</v>
      </c>
      <c r="AK6679" s="2">
        <v>304.278434039199</v>
      </c>
      <c r="AL6679" s="2">
        <v>493.913440258511</v>
      </c>
      <c r="AM6679" s="2">
        <v>581.30135821186695</v>
      </c>
      <c r="AN6679" s="2">
        <v>431.28824569962302</v>
      </c>
      <c r="AO6679" s="2">
        <v>394.04555695873501</v>
      </c>
      <c r="AP6679" s="2">
        <v>555.85096747879504</v>
      </c>
    </row>
    <row r="6680" spans="1:42" ht="14.5" x14ac:dyDescent="0.35">
      <c r="A6680" s="2" t="s">
        <v>44292</v>
      </c>
      <c r="B6680" s="2">
        <v>469.16778150565</v>
      </c>
      <c r="C6680" s="2">
        <v>3.8966500000000002</v>
      </c>
      <c r="D6680" s="2" t="s">
        <v>34</v>
      </c>
      <c r="E6680" s="2" t="s">
        <v>44293</v>
      </c>
      <c r="F6680" s="2">
        <v>62540</v>
      </c>
      <c r="G6680" s="3" t="str">
        <f>HYPERLINK("http://funmeta.oebiotech.com/network/62540", "http://funmeta.oebiotech.com/network/62540")</f>
        <v>http://funmeta.oebiotech.com/network/62540</v>
      </c>
      <c r="H6680" s="2" t="s">
        <v>44294</v>
      </c>
      <c r="I6680" s="2"/>
      <c r="J6680" s="2"/>
      <c r="K6680" s="2"/>
      <c r="L6680" s="2"/>
      <c r="M6680" s="2"/>
      <c r="N6680" s="2"/>
      <c r="O6680" s="2">
        <v>131752590</v>
      </c>
      <c r="P6680" s="2" t="s">
        <v>44295</v>
      </c>
      <c r="Q6680" s="2" t="s">
        <v>44296</v>
      </c>
      <c r="R6680" s="2" t="s">
        <v>44297</v>
      </c>
      <c r="S6680" s="2" t="s">
        <v>79</v>
      </c>
      <c r="T6680" s="2" t="s">
        <v>80</v>
      </c>
      <c r="U6680" s="2" t="s">
        <v>81</v>
      </c>
      <c r="V6680" s="2" t="s">
        <v>59</v>
      </c>
      <c r="W6680" s="2">
        <v>39.200000000000003</v>
      </c>
      <c r="X6680" s="2">
        <v>7.24</v>
      </c>
      <c r="Y6680" s="2" t="s">
        <v>323</v>
      </c>
      <c r="Z6680" s="2" t="s">
        <v>44298</v>
      </c>
      <c r="AA6680" s="2">
        <v>-0.56244627385108703</v>
      </c>
      <c r="AB6680" s="2">
        <v>1.81188351563779E-2</v>
      </c>
      <c r="AC6680" s="2">
        <v>36995.689313492803</v>
      </c>
      <c r="AD6680" s="2">
        <v>37378.471251606301</v>
      </c>
      <c r="AE6680" s="2">
        <v>40857.686121491199</v>
      </c>
      <c r="AF6680" s="2">
        <v>37174.2872448122</v>
      </c>
      <c r="AG6680" s="2">
        <v>28735.1868297453</v>
      </c>
      <c r="AH6680" s="2">
        <v>37908.023018985303</v>
      </c>
      <c r="AI6680" s="2">
        <v>38346.255538121397</v>
      </c>
      <c r="AJ6680" s="2">
        <v>38952.697127801599</v>
      </c>
      <c r="AK6680" s="2">
        <v>36441.530480367699</v>
      </c>
      <c r="AL6680" s="2">
        <v>38481.141213012299</v>
      </c>
      <c r="AM6680" s="2">
        <v>36356.630979453701</v>
      </c>
      <c r="AN6680" s="2">
        <v>42063.380777283099</v>
      </c>
      <c r="AO6680" s="2">
        <v>30502.962154629298</v>
      </c>
      <c r="AP6680" s="2">
        <v>40425.1819048916</v>
      </c>
    </row>
    <row r="6681" spans="1:42" ht="14.5" x14ac:dyDescent="0.35">
      <c r="A6681" s="2" t="s">
        <v>44299</v>
      </c>
      <c r="B6681" s="2">
        <v>136.039366421545</v>
      </c>
      <c r="C6681" s="2">
        <v>1.58995</v>
      </c>
      <c r="D6681" s="2" t="s">
        <v>34</v>
      </c>
      <c r="E6681" s="2" t="s">
        <v>44300</v>
      </c>
      <c r="F6681" s="2">
        <v>57194</v>
      </c>
      <c r="G6681" s="3" t="str">
        <f>HYPERLINK("http://funmeta.oebiotech.com/network/57194", "http://funmeta.oebiotech.com/network/57194")</f>
        <v>http://funmeta.oebiotech.com/network/57194</v>
      </c>
      <c r="H6681" s="2" t="s">
        <v>44301</v>
      </c>
      <c r="I6681" s="2">
        <v>323676</v>
      </c>
      <c r="J6681" s="2"/>
      <c r="K6681" s="2">
        <v>145233</v>
      </c>
      <c r="L6681" s="2"/>
      <c r="M6681" s="2"/>
      <c r="N6681" s="2"/>
      <c r="O6681" s="2">
        <v>6043</v>
      </c>
      <c r="P6681" s="2" t="s">
        <v>44302</v>
      </c>
      <c r="Q6681" s="2" t="s">
        <v>44303</v>
      </c>
      <c r="R6681" s="2" t="s">
        <v>44304</v>
      </c>
      <c r="S6681" s="2" t="s">
        <v>491</v>
      </c>
      <c r="T6681" s="2" t="s">
        <v>43378</v>
      </c>
      <c r="U6681" s="2" t="s">
        <v>44305</v>
      </c>
      <c r="V6681" s="2" t="s">
        <v>59</v>
      </c>
      <c r="W6681" s="2">
        <v>38.299999999999997</v>
      </c>
      <c r="X6681" s="2">
        <v>0</v>
      </c>
      <c r="Y6681" s="2" t="s">
        <v>394</v>
      </c>
      <c r="Z6681" s="2" t="s">
        <v>44306</v>
      </c>
      <c r="AA6681" s="2">
        <v>0.45607901805516698</v>
      </c>
      <c r="AB6681" s="2">
        <v>1.80796236367965E-2</v>
      </c>
      <c r="AC6681" s="2">
        <v>185.908541572361</v>
      </c>
      <c r="AD6681" s="2">
        <v>239.18647643119999</v>
      </c>
      <c r="AE6681" s="2">
        <v>174.791124199124</v>
      </c>
      <c r="AF6681" s="2">
        <v>190.82495657473001</v>
      </c>
      <c r="AG6681" s="2">
        <v>87.370845919727898</v>
      </c>
      <c r="AH6681" s="2">
        <v>220.038720583914</v>
      </c>
      <c r="AI6681" s="2">
        <v>222.70237755216701</v>
      </c>
      <c r="AJ6681" s="2">
        <v>219.72322460450499</v>
      </c>
      <c r="AK6681" s="2">
        <v>240.398524727899</v>
      </c>
      <c r="AL6681" s="2">
        <v>170.338617573466</v>
      </c>
      <c r="AM6681" s="2">
        <v>370.79065968021303</v>
      </c>
      <c r="AN6681" s="2">
        <v>214.12626208702801</v>
      </c>
      <c r="AO6681" s="2">
        <v>150.96397581017499</v>
      </c>
      <c r="AP6681" s="2">
        <v>288.50081870842098</v>
      </c>
    </row>
    <row r="6682" spans="1:42" ht="14.5" x14ac:dyDescent="0.35">
      <c r="A6682" s="2" t="s">
        <v>44307</v>
      </c>
      <c r="B6682" s="2">
        <v>220.09693492937399</v>
      </c>
      <c r="C6682" s="2">
        <v>4.1056666666666697</v>
      </c>
      <c r="D6682" s="2" t="s">
        <v>34</v>
      </c>
      <c r="E6682" s="2" t="s">
        <v>44308</v>
      </c>
      <c r="F6682" s="2">
        <v>57666</v>
      </c>
      <c r="G6682" s="3" t="str">
        <f>HYPERLINK("http://funmeta.oebiotech.com/network/57666", "http://funmeta.oebiotech.com/network/57666")</f>
        <v>http://funmeta.oebiotech.com/network/57666</v>
      </c>
      <c r="H6682" s="2" t="s">
        <v>44309</v>
      </c>
      <c r="I6682" s="2">
        <v>89270</v>
      </c>
      <c r="J6682" s="2"/>
      <c r="K6682" s="2"/>
      <c r="L6682" s="2"/>
      <c r="M6682" s="2"/>
      <c r="N6682" s="2"/>
      <c r="O6682" s="2">
        <v>14101166</v>
      </c>
      <c r="P6682" s="2" t="s">
        <v>44310</v>
      </c>
      <c r="Q6682" s="2" t="s">
        <v>44311</v>
      </c>
      <c r="R6682" s="2" t="s">
        <v>44312</v>
      </c>
      <c r="S6682" s="2" t="s">
        <v>491</v>
      </c>
      <c r="T6682" s="2" t="s">
        <v>13817</v>
      </c>
      <c r="U6682" s="2" t="s">
        <v>41</v>
      </c>
      <c r="V6682" s="2" t="s">
        <v>59</v>
      </c>
      <c r="W6682" s="2">
        <v>43.4</v>
      </c>
      <c r="X6682" s="2">
        <v>22.6</v>
      </c>
      <c r="Y6682" s="2" t="s">
        <v>394</v>
      </c>
      <c r="Z6682" s="2" t="s">
        <v>12560</v>
      </c>
      <c r="AA6682" s="2">
        <v>0.52588992501891796</v>
      </c>
      <c r="AB6682" s="2">
        <v>1.80094292223094E-2</v>
      </c>
      <c r="AC6682" s="2">
        <v>49.486086252550997</v>
      </c>
      <c r="AD6682" s="2">
        <v>2.7106294003980101E-5</v>
      </c>
      <c r="AE6682" s="2">
        <v>131.57053342544</v>
      </c>
      <c r="AF6682" s="2">
        <v>2.7106294003980101E-5</v>
      </c>
      <c r="AG6682" s="2">
        <v>2.7106294003980101E-5</v>
      </c>
      <c r="AH6682" s="2">
        <v>2.7106294003980101E-5</v>
      </c>
      <c r="AI6682" s="2">
        <v>165.34587566469</v>
      </c>
      <c r="AJ6682" s="2">
        <v>2.7106294003980101E-5</v>
      </c>
      <c r="AK6682" s="2">
        <v>2.7106294003980101E-5</v>
      </c>
      <c r="AL6682" s="2">
        <v>2.7106294003980101E-5</v>
      </c>
      <c r="AM6682" s="2">
        <v>2.7106294003980101E-5</v>
      </c>
      <c r="AN6682" s="2">
        <v>2.7106294003980101E-5</v>
      </c>
      <c r="AO6682" s="2">
        <v>2.7106294003980101E-5</v>
      </c>
      <c r="AP6682" s="2">
        <v>2.7106294003980101E-5</v>
      </c>
    </row>
    <row r="6683" spans="1:42" ht="14.5" x14ac:dyDescent="0.35">
      <c r="A6683" s="2" t="s">
        <v>44313</v>
      </c>
      <c r="B6683" s="2">
        <v>131.03374772037401</v>
      </c>
      <c r="C6683" s="2">
        <v>1.4846333333333299</v>
      </c>
      <c r="D6683" s="2" t="s">
        <v>70</v>
      </c>
      <c r="E6683" s="2" t="s">
        <v>44314</v>
      </c>
      <c r="F6683" s="2">
        <v>47145</v>
      </c>
      <c r="G6683" s="3" t="str">
        <f>HYPERLINK("http://funmeta.oebiotech.com/network/47145", "http://funmeta.oebiotech.com/network/47145")</f>
        <v>http://funmeta.oebiotech.com/network/47145</v>
      </c>
      <c r="H6683" s="2" t="s">
        <v>44315</v>
      </c>
      <c r="I6683" s="2">
        <v>3254</v>
      </c>
      <c r="J6683" s="2"/>
      <c r="K6683" s="2">
        <v>17859</v>
      </c>
      <c r="L6683" s="2" t="s">
        <v>44316</v>
      </c>
      <c r="M6683" s="2" t="s">
        <v>44317</v>
      </c>
      <c r="N6683" s="2" t="s">
        <v>44318</v>
      </c>
      <c r="O6683" s="2">
        <v>743</v>
      </c>
      <c r="P6683" s="2" t="s">
        <v>44319</v>
      </c>
      <c r="Q6683" s="2" t="s">
        <v>44320</v>
      </c>
      <c r="R6683" s="2" t="s">
        <v>44321</v>
      </c>
      <c r="S6683" s="2" t="s">
        <v>89</v>
      </c>
      <c r="T6683" s="2" t="s">
        <v>90</v>
      </c>
      <c r="U6683" s="2" t="s">
        <v>22612</v>
      </c>
      <c r="V6683" s="2" t="s">
        <v>59</v>
      </c>
      <c r="W6683" s="2">
        <v>46.1</v>
      </c>
      <c r="X6683" s="2">
        <v>44.5</v>
      </c>
      <c r="Y6683" s="2" t="s">
        <v>792</v>
      </c>
      <c r="Z6683" s="2" t="s">
        <v>18702</v>
      </c>
      <c r="AA6683" s="2">
        <v>-9.3499038670104309</v>
      </c>
      <c r="AB6683" s="2">
        <v>1.8005698612431401E-2</v>
      </c>
      <c r="AC6683" s="2">
        <v>9888.7155177717996</v>
      </c>
      <c r="AD6683" s="2">
        <v>9743.2738899301203</v>
      </c>
      <c r="AE6683" s="2">
        <v>9742.0411831013407</v>
      </c>
      <c r="AF6683" s="2">
        <v>9873.7128850411991</v>
      </c>
      <c r="AG6683" s="2">
        <v>9856.0162812323106</v>
      </c>
      <c r="AH6683" s="2">
        <v>9722.8143093713807</v>
      </c>
      <c r="AI6683" s="2">
        <v>9828.2764711668897</v>
      </c>
      <c r="AJ6683" s="2">
        <v>10309.4319767177</v>
      </c>
      <c r="AK6683" s="2">
        <v>8783.3150389566708</v>
      </c>
      <c r="AL6683" s="2">
        <v>9039.7224333689301</v>
      </c>
      <c r="AM6683" s="2">
        <v>9884.2641669055101</v>
      </c>
      <c r="AN6683" s="2">
        <v>9866.4932617515296</v>
      </c>
      <c r="AO6683" s="2">
        <v>10525.852671250401</v>
      </c>
      <c r="AP6683" s="2">
        <v>10359.9957673477</v>
      </c>
    </row>
    <row r="6684" spans="1:42" ht="14.5" x14ac:dyDescent="0.35">
      <c r="A6684" s="2" t="s">
        <v>44322</v>
      </c>
      <c r="B6684" s="2">
        <v>182.00859901815201</v>
      </c>
      <c r="C6684" s="2">
        <v>5.0231500000000002</v>
      </c>
      <c r="D6684" s="2" t="s">
        <v>70</v>
      </c>
      <c r="E6684" s="2" t="s">
        <v>44323</v>
      </c>
      <c r="F6684" s="2">
        <v>257036</v>
      </c>
      <c r="G6684" s="3" t="str">
        <f>HYPERLINK("http://funmeta.oebiotech.com/network/257036", "http://funmeta.oebiotech.com/network/257036")</f>
        <v>http://funmeta.oebiotech.com/network/257036</v>
      </c>
      <c r="H6684" s="2" t="s">
        <v>44324</v>
      </c>
      <c r="I6684" s="2"/>
      <c r="J6684" s="2"/>
      <c r="K6684" s="2">
        <v>58639</v>
      </c>
      <c r="L6684" s="2"/>
      <c r="M6684" s="2"/>
      <c r="N6684" s="2"/>
      <c r="O6684" s="2"/>
      <c r="P6684" s="2"/>
      <c r="Q6684" s="2" t="s">
        <v>44325</v>
      </c>
      <c r="R6684" s="2" t="s">
        <v>44326</v>
      </c>
      <c r="S6684" s="2" t="s">
        <v>89</v>
      </c>
      <c r="T6684" s="2" t="s">
        <v>90</v>
      </c>
      <c r="U6684" s="2" t="s">
        <v>99</v>
      </c>
      <c r="V6684" s="2" t="s">
        <v>59</v>
      </c>
      <c r="W6684" s="2">
        <v>38.4</v>
      </c>
      <c r="X6684" s="2">
        <v>0</v>
      </c>
      <c r="Y6684" s="2" t="s">
        <v>751</v>
      </c>
      <c r="Z6684" s="2" t="s">
        <v>44327</v>
      </c>
      <c r="AA6684" s="2">
        <v>2.2179261123079699</v>
      </c>
      <c r="AB6684" s="2">
        <v>1.80012662947918E-2</v>
      </c>
      <c r="AC6684" s="2">
        <v>1120.6904178452401</v>
      </c>
      <c r="AD6684" s="2">
        <v>1024.0670728420901</v>
      </c>
      <c r="AE6684" s="2">
        <v>932.49058830690899</v>
      </c>
      <c r="AF6684" s="2">
        <v>904.99400388454706</v>
      </c>
      <c r="AG6684" s="2">
        <v>1452.1078421561199</v>
      </c>
      <c r="AH6684" s="2">
        <v>1136.9932932331201</v>
      </c>
      <c r="AI6684" s="2">
        <v>1106.73751609805</v>
      </c>
      <c r="AJ6684" s="2">
        <v>1190.8192633927199</v>
      </c>
      <c r="AK6684" s="2">
        <v>780.00257033414698</v>
      </c>
      <c r="AL6684" s="2">
        <v>923.17339406787505</v>
      </c>
      <c r="AM6684" s="2">
        <v>1198.53582881088</v>
      </c>
      <c r="AN6684" s="2">
        <v>673.96031178319197</v>
      </c>
      <c r="AO6684" s="2">
        <v>1284.2801101518501</v>
      </c>
      <c r="AP6684" s="2">
        <v>1284.4502219045701</v>
      </c>
    </row>
    <row r="6685" spans="1:42" ht="14.5" x14ac:dyDescent="0.35">
      <c r="A6685" s="2" t="s">
        <v>44328</v>
      </c>
      <c r="B6685" s="2">
        <v>477.39327412148202</v>
      </c>
      <c r="C6685" s="2">
        <v>14.2794166666667</v>
      </c>
      <c r="D6685" s="2" t="s">
        <v>34</v>
      </c>
      <c r="E6685" s="2" t="s">
        <v>44329</v>
      </c>
      <c r="F6685" s="2">
        <v>44192</v>
      </c>
      <c r="G6685" s="3" t="str">
        <f>HYPERLINK("http://funmeta.oebiotech.com/network/44192", "http://funmeta.oebiotech.com/network/44192")</f>
        <v>http://funmeta.oebiotech.com/network/44192</v>
      </c>
      <c r="H6685" s="2"/>
      <c r="I6685" s="2"/>
      <c r="J6685" s="2" t="s">
        <v>44330</v>
      </c>
      <c r="K6685" s="2"/>
      <c r="L6685" s="2"/>
      <c r="M6685" s="2"/>
      <c r="N6685" s="2"/>
      <c r="O6685" s="2"/>
      <c r="P6685" s="2"/>
      <c r="Q6685" s="2" t="s">
        <v>44331</v>
      </c>
      <c r="R6685" s="2" t="s">
        <v>44332</v>
      </c>
      <c r="S6685" s="2" t="s">
        <v>41</v>
      </c>
      <c r="T6685" s="2" t="s">
        <v>41</v>
      </c>
      <c r="U6685" s="2" t="s">
        <v>41</v>
      </c>
      <c r="V6685" s="2" t="s">
        <v>42</v>
      </c>
      <c r="W6685" s="2">
        <v>48.7</v>
      </c>
      <c r="X6685" s="2">
        <v>53.3</v>
      </c>
      <c r="Y6685" s="2" t="s">
        <v>394</v>
      </c>
      <c r="Z6685" s="2" t="s">
        <v>18874</v>
      </c>
      <c r="AA6685" s="2">
        <v>-1.1806722640715399</v>
      </c>
      <c r="AB6685" s="2">
        <v>1.7913786394187801E-2</v>
      </c>
      <c r="AC6685" s="2">
        <v>21097.254348366099</v>
      </c>
      <c r="AD6685" s="2">
        <v>20782.919943974</v>
      </c>
      <c r="AE6685" s="2">
        <v>25450.701674012002</v>
      </c>
      <c r="AF6685" s="2">
        <v>22823.273720286099</v>
      </c>
      <c r="AG6685" s="2">
        <v>20619.576388732999</v>
      </c>
      <c r="AH6685" s="2">
        <v>18088.930998256099</v>
      </c>
      <c r="AI6685" s="2">
        <v>19474.725905314499</v>
      </c>
      <c r="AJ6685" s="2">
        <v>20126.317403595</v>
      </c>
      <c r="AK6685" s="2">
        <v>25825.644011345099</v>
      </c>
      <c r="AL6685" s="2">
        <v>19826.530295144599</v>
      </c>
      <c r="AM6685" s="2">
        <v>20569.192391187898</v>
      </c>
      <c r="AN6685" s="2">
        <v>16900.3626923595</v>
      </c>
      <c r="AO6685" s="2">
        <v>17492.730119098</v>
      </c>
      <c r="AP6685" s="2">
        <v>24083.060154709099</v>
      </c>
    </row>
    <row r="6686" spans="1:42" ht="14.5" x14ac:dyDescent="0.35">
      <c r="A6686" s="2" t="s">
        <v>44333</v>
      </c>
      <c r="B6686" s="2">
        <v>547.18570653539905</v>
      </c>
      <c r="C6686" s="2">
        <v>5.4125166666666704</v>
      </c>
      <c r="D6686" s="2" t="s">
        <v>70</v>
      </c>
      <c r="E6686" s="2" t="s">
        <v>44334</v>
      </c>
      <c r="F6686" s="2">
        <v>59019</v>
      </c>
      <c r="G6686" s="3" t="str">
        <f>HYPERLINK("http://funmeta.oebiotech.com/network/59019", "http://funmeta.oebiotech.com/network/59019")</f>
        <v>http://funmeta.oebiotech.com/network/59019</v>
      </c>
      <c r="H6686" s="2" t="s">
        <v>44335</v>
      </c>
      <c r="I6686" s="2">
        <v>90453</v>
      </c>
      <c r="J6686" s="2"/>
      <c r="K6686" s="2"/>
      <c r="L6686" s="2"/>
      <c r="M6686" s="2"/>
      <c r="N6686" s="2"/>
      <c r="O6686" s="2">
        <v>263426</v>
      </c>
      <c r="P6686" s="2"/>
      <c r="Q6686" s="2" t="s">
        <v>44336</v>
      </c>
      <c r="R6686" s="2" t="s">
        <v>44337</v>
      </c>
      <c r="S6686" s="2" t="s">
        <v>39</v>
      </c>
      <c r="T6686" s="2" t="s">
        <v>3154</v>
      </c>
      <c r="U6686" s="2" t="s">
        <v>41</v>
      </c>
      <c r="V6686" s="2" t="s">
        <v>59</v>
      </c>
      <c r="W6686" s="2">
        <v>38.6</v>
      </c>
      <c r="X6686" s="2">
        <v>0</v>
      </c>
      <c r="Y6686" s="2" t="s">
        <v>560</v>
      </c>
      <c r="Z6686" s="2" t="s">
        <v>44338</v>
      </c>
      <c r="AA6686" s="2">
        <v>4.1392415114959196</v>
      </c>
      <c r="AB6686" s="2">
        <v>1.7912966987478001E-2</v>
      </c>
      <c r="AC6686" s="2">
        <v>8939.4218368683596</v>
      </c>
      <c r="AD6686" s="2">
        <v>9154.8486354648394</v>
      </c>
      <c r="AE6686" s="2">
        <v>7669.10183098173</v>
      </c>
      <c r="AF6686" s="2">
        <v>8336.4228198874207</v>
      </c>
      <c r="AG6686" s="2">
        <v>11282.261242114701</v>
      </c>
      <c r="AH6686" s="2">
        <v>6955.6437974008604</v>
      </c>
      <c r="AI6686" s="2">
        <v>10008.4810790841</v>
      </c>
      <c r="AJ6686" s="2">
        <v>9384.6202517413294</v>
      </c>
      <c r="AK6686" s="2">
        <v>10414.655483200801</v>
      </c>
      <c r="AL6686" s="2">
        <v>8176.9929916988103</v>
      </c>
      <c r="AM6686" s="2">
        <v>8733.2365037321397</v>
      </c>
      <c r="AN6686" s="2">
        <v>9605.9655010308197</v>
      </c>
      <c r="AO6686" s="2">
        <v>9479.31069441412</v>
      </c>
      <c r="AP6686" s="2">
        <v>8518.9306387123706</v>
      </c>
    </row>
    <row r="6687" spans="1:42" ht="14.5" x14ac:dyDescent="0.35">
      <c r="A6687" s="2" t="s">
        <v>44339</v>
      </c>
      <c r="B6687" s="2">
        <v>505.145566935945</v>
      </c>
      <c r="C6687" s="2">
        <v>4.0071500000000002</v>
      </c>
      <c r="D6687" s="2" t="s">
        <v>70</v>
      </c>
      <c r="E6687" s="2" t="s">
        <v>44340</v>
      </c>
      <c r="F6687" s="2">
        <v>198916</v>
      </c>
      <c r="G6687" s="3" t="str">
        <f>HYPERLINK("http://funmeta.oebiotech.com/network/198916", "http://funmeta.oebiotech.com/network/198916")</f>
        <v>http://funmeta.oebiotech.com/network/198916</v>
      </c>
      <c r="H6687" s="2" t="s">
        <v>44341</v>
      </c>
      <c r="I6687" s="2">
        <v>65621</v>
      </c>
      <c r="J6687" s="2"/>
      <c r="K6687" s="2"/>
      <c r="L6687" s="2" t="s">
        <v>44342</v>
      </c>
      <c r="M6687" s="2"/>
      <c r="N6687" s="2"/>
      <c r="O6687" s="2">
        <v>3132</v>
      </c>
      <c r="P6687" s="2" t="s">
        <v>44343</v>
      </c>
      <c r="Q6687" s="2" t="s">
        <v>44344</v>
      </c>
      <c r="R6687" s="2" t="s">
        <v>44345</v>
      </c>
      <c r="S6687" s="2" t="s">
        <v>89</v>
      </c>
      <c r="T6687" s="2" t="s">
        <v>90</v>
      </c>
      <c r="U6687" s="2" t="s">
        <v>99</v>
      </c>
      <c r="V6687" s="2" t="s">
        <v>59</v>
      </c>
      <c r="W6687" s="2">
        <v>36.700000000000003</v>
      </c>
      <c r="X6687" s="2">
        <v>0</v>
      </c>
      <c r="Y6687" s="2" t="s">
        <v>560</v>
      </c>
      <c r="Z6687" s="2" t="s">
        <v>44346</v>
      </c>
      <c r="AA6687" s="2">
        <v>-3.3296572872132</v>
      </c>
      <c r="AB6687" s="2">
        <v>1.7881405586895299E-2</v>
      </c>
      <c r="AC6687" s="2">
        <v>6797.4060298621798</v>
      </c>
      <c r="AD6687" s="2">
        <v>6600.0764783433096</v>
      </c>
      <c r="AE6687" s="2">
        <v>6892.0338215253596</v>
      </c>
      <c r="AF6687" s="2">
        <v>8003.6138748284102</v>
      </c>
      <c r="AG6687" s="2">
        <v>4629.1312766513902</v>
      </c>
      <c r="AH6687" s="2">
        <v>6782.0951892663797</v>
      </c>
      <c r="AI6687" s="2">
        <v>7535.3509506056498</v>
      </c>
      <c r="AJ6687" s="2">
        <v>6942.2110662959003</v>
      </c>
      <c r="AK6687" s="2">
        <v>7318.4205785415697</v>
      </c>
      <c r="AL6687" s="2">
        <v>7393.5540179233303</v>
      </c>
      <c r="AM6687" s="2">
        <v>6779.8212954725605</v>
      </c>
      <c r="AN6687" s="2">
        <v>5564.8192165930104</v>
      </c>
      <c r="AO6687" s="2">
        <v>5639.44889499689</v>
      </c>
      <c r="AP6687" s="2">
        <v>6904.3948665324997</v>
      </c>
    </row>
    <row r="6688" spans="1:42" ht="14.5" x14ac:dyDescent="0.35">
      <c r="A6688" s="2" t="s">
        <v>44347</v>
      </c>
      <c r="B6688" s="2">
        <v>699.13531867404197</v>
      </c>
      <c r="C6688" s="2">
        <v>5.8226333333333304</v>
      </c>
      <c r="D6688" s="2" t="s">
        <v>70</v>
      </c>
      <c r="E6688" s="2" t="s">
        <v>44348</v>
      </c>
      <c r="F6688" s="2">
        <v>57300</v>
      </c>
      <c r="G6688" s="3" t="str">
        <f>HYPERLINK("http://funmeta.oebiotech.com/network/57300", "http://funmeta.oebiotech.com/network/57300")</f>
        <v>http://funmeta.oebiotech.com/network/57300</v>
      </c>
      <c r="H6688" s="2" t="s">
        <v>44349</v>
      </c>
      <c r="I6688" s="2"/>
      <c r="J6688" s="2"/>
      <c r="K6688" s="2"/>
      <c r="L6688" s="2"/>
      <c r="M6688" s="2"/>
      <c r="N6688" s="2"/>
      <c r="O6688" s="2">
        <v>131751365</v>
      </c>
      <c r="P6688" s="2"/>
      <c r="Q6688" s="2" t="s">
        <v>44350</v>
      </c>
      <c r="R6688" s="2" t="s">
        <v>44351</v>
      </c>
      <c r="S6688" s="2" t="s">
        <v>115</v>
      </c>
      <c r="T6688" s="2" t="s">
        <v>139</v>
      </c>
      <c r="U6688" s="2" t="s">
        <v>1437</v>
      </c>
      <c r="V6688" s="2" t="s">
        <v>59</v>
      </c>
      <c r="W6688" s="2">
        <v>38.1</v>
      </c>
      <c r="X6688" s="2">
        <v>0</v>
      </c>
      <c r="Y6688" s="2" t="s">
        <v>118</v>
      </c>
      <c r="Z6688" s="2" t="s">
        <v>44352</v>
      </c>
      <c r="AA6688" s="2">
        <v>-0.32148486257786102</v>
      </c>
      <c r="AB6688" s="2">
        <v>1.7860426107909801E-2</v>
      </c>
      <c r="AC6688" s="2">
        <v>19387.085992879001</v>
      </c>
      <c r="AD6688" s="2">
        <v>19699.8007284985</v>
      </c>
      <c r="AE6688" s="2">
        <v>17195.922006678698</v>
      </c>
      <c r="AF6688" s="2">
        <v>15733.4268520521</v>
      </c>
      <c r="AG6688" s="2">
        <v>17495.318768425099</v>
      </c>
      <c r="AH6688" s="2">
        <v>26066.188939004202</v>
      </c>
      <c r="AI6688" s="2">
        <v>22019.852139676099</v>
      </c>
      <c r="AJ6688" s="2">
        <v>17811.807251437502</v>
      </c>
      <c r="AK6688" s="2">
        <v>15828.8480804134</v>
      </c>
      <c r="AL6688" s="2">
        <v>19032.658519756202</v>
      </c>
      <c r="AM6688" s="2">
        <v>20338.9621432233</v>
      </c>
      <c r="AN6688" s="2">
        <v>19631.723584928299</v>
      </c>
      <c r="AO6688" s="2">
        <v>22960.101393263099</v>
      </c>
      <c r="AP6688" s="2">
        <v>20406.5106494069</v>
      </c>
    </row>
    <row r="6689" spans="1:42" ht="14.5" x14ac:dyDescent="0.35">
      <c r="A6689" s="2" t="s">
        <v>44353</v>
      </c>
      <c r="B6689" s="2">
        <v>451.09988659388603</v>
      </c>
      <c r="C6689" s="2">
        <v>9.48586666666667</v>
      </c>
      <c r="D6689" s="2" t="s">
        <v>34</v>
      </c>
      <c r="E6689" s="2" t="s">
        <v>44354</v>
      </c>
      <c r="F6689" s="2">
        <v>28928</v>
      </c>
      <c r="G6689" s="3" t="str">
        <f>HYPERLINK("http://funmeta.oebiotech.com/network/28928", "http://funmeta.oebiotech.com/network/28928")</f>
        <v>http://funmeta.oebiotech.com/network/28928</v>
      </c>
      <c r="H6689" s="2"/>
      <c r="I6689" s="2">
        <v>47324</v>
      </c>
      <c r="J6689" s="2" t="s">
        <v>44355</v>
      </c>
      <c r="K6689" s="2"/>
      <c r="L6689" s="2"/>
      <c r="M6689" s="2"/>
      <c r="N6689" s="2"/>
      <c r="O6689" s="2">
        <v>21676357</v>
      </c>
      <c r="P6689" s="2"/>
      <c r="Q6689" s="2" t="s">
        <v>44356</v>
      </c>
      <c r="R6689" s="2" t="s">
        <v>44357</v>
      </c>
      <c r="S6689" s="2" t="s">
        <v>115</v>
      </c>
      <c r="T6689" s="2" t="s">
        <v>139</v>
      </c>
      <c r="U6689" s="2" t="s">
        <v>1437</v>
      </c>
      <c r="V6689" s="2" t="s">
        <v>59</v>
      </c>
      <c r="W6689" s="2">
        <v>39.299999999999997</v>
      </c>
      <c r="X6689" s="2">
        <v>0.55300000000000005</v>
      </c>
      <c r="Y6689" s="2" t="s">
        <v>323</v>
      </c>
      <c r="Z6689" s="2" t="s">
        <v>22542</v>
      </c>
      <c r="AA6689" s="2">
        <v>-0.15487477652175599</v>
      </c>
      <c r="AB6689" s="2">
        <v>1.76383391132451E-2</v>
      </c>
      <c r="AC6689" s="2">
        <v>25771.295507724601</v>
      </c>
      <c r="AD6689" s="2">
        <v>26347.874157919799</v>
      </c>
      <c r="AE6689" s="2">
        <v>29993.8273359673</v>
      </c>
      <c r="AF6689" s="2">
        <v>32849.682470387401</v>
      </c>
      <c r="AG6689" s="2">
        <v>33051.127533273902</v>
      </c>
      <c r="AH6689" s="2">
        <v>19809.3550504046</v>
      </c>
      <c r="AI6689" s="2">
        <v>25407.763033495401</v>
      </c>
      <c r="AJ6689" s="2">
        <v>13516.017622818799</v>
      </c>
      <c r="AK6689" s="2">
        <v>30189.282878443701</v>
      </c>
      <c r="AL6689" s="2">
        <v>34006.474078746403</v>
      </c>
      <c r="AM6689" s="2">
        <v>18871.912269967201</v>
      </c>
      <c r="AN6689" s="2">
        <v>22446.567810431501</v>
      </c>
      <c r="AO6689" s="2">
        <v>24686.444829369899</v>
      </c>
      <c r="AP6689" s="2">
        <v>27886.563080559899</v>
      </c>
    </row>
    <row r="6690" spans="1:42" ht="14.5" x14ac:dyDescent="0.35">
      <c r="A6690" s="2" t="s">
        <v>44358</v>
      </c>
      <c r="B6690" s="2">
        <v>223.111579529381</v>
      </c>
      <c r="C6690" s="2">
        <v>5.13601666666667</v>
      </c>
      <c r="D6690" s="2" t="s">
        <v>34</v>
      </c>
      <c r="E6690" s="2" t="s">
        <v>44359</v>
      </c>
      <c r="F6690" s="2">
        <v>55443</v>
      </c>
      <c r="G6690" s="3" t="str">
        <f>HYPERLINK("http://funmeta.oebiotech.com/network/55443", "http://funmeta.oebiotech.com/network/55443")</f>
        <v>http://funmeta.oebiotech.com/network/55443</v>
      </c>
      <c r="H6690" s="2" t="s">
        <v>44360</v>
      </c>
      <c r="I6690" s="2">
        <v>87132</v>
      </c>
      <c r="J6690" s="2"/>
      <c r="K6690" s="2">
        <v>489746</v>
      </c>
      <c r="L6690" s="2"/>
      <c r="M6690" s="2"/>
      <c r="N6690" s="2"/>
      <c r="O6690" s="2">
        <v>6450240</v>
      </c>
      <c r="P6690" s="2" t="s">
        <v>44361</v>
      </c>
      <c r="Q6690" s="2" t="s">
        <v>44362</v>
      </c>
      <c r="R6690" s="2" t="s">
        <v>44363</v>
      </c>
      <c r="S6690" s="2" t="s">
        <v>115</v>
      </c>
      <c r="T6690" s="2" t="s">
        <v>12600</v>
      </c>
      <c r="U6690" s="2" t="s">
        <v>19373</v>
      </c>
      <c r="V6690" s="2" t="s">
        <v>59</v>
      </c>
      <c r="W6690" s="2">
        <v>38.5</v>
      </c>
      <c r="X6690" s="2">
        <v>0</v>
      </c>
      <c r="Y6690" s="2" t="s">
        <v>141</v>
      </c>
      <c r="Z6690" s="2" t="s">
        <v>16560</v>
      </c>
      <c r="AA6690" s="2">
        <v>-0.67456360174488095</v>
      </c>
      <c r="AB6690" s="2">
        <v>1.7623333155377102E-2</v>
      </c>
      <c r="AC6690" s="2">
        <v>2744.6319070198501</v>
      </c>
      <c r="AD6690" s="2">
        <v>2609.7298205104998</v>
      </c>
      <c r="AE6690" s="2">
        <v>2055.02830449259</v>
      </c>
      <c r="AF6690" s="2">
        <v>2551.1697671490301</v>
      </c>
      <c r="AG6690" s="2">
        <v>2889.9780432489301</v>
      </c>
      <c r="AH6690" s="2">
        <v>3344.5365269060599</v>
      </c>
      <c r="AI6690" s="2">
        <v>2892.3440667783998</v>
      </c>
      <c r="AJ6690" s="2">
        <v>2734.73473354411</v>
      </c>
      <c r="AK6690" s="2">
        <v>2738.6771256840302</v>
      </c>
      <c r="AL6690" s="2">
        <v>3449.4948776024298</v>
      </c>
      <c r="AM6690" s="2">
        <v>1909.55871740097</v>
      </c>
      <c r="AN6690" s="2">
        <v>2728.3432883424398</v>
      </c>
      <c r="AO6690" s="2">
        <v>2685.6992799110999</v>
      </c>
      <c r="AP6690" s="2">
        <v>2146.6056341220101</v>
      </c>
    </row>
    <row r="6691" spans="1:42" ht="14.5" x14ac:dyDescent="0.35">
      <c r="A6691" s="2" t="s">
        <v>44364</v>
      </c>
      <c r="B6691" s="2">
        <v>445.13496804848302</v>
      </c>
      <c r="C6691" s="2">
        <v>1.6181333333333301</v>
      </c>
      <c r="D6691" s="2" t="s">
        <v>70</v>
      </c>
      <c r="E6691" s="2" t="s">
        <v>44365</v>
      </c>
      <c r="F6691" s="2">
        <v>212035</v>
      </c>
      <c r="G6691" s="3" t="str">
        <f>HYPERLINK("http://funmeta.oebiotech.com/network/212035", "http://funmeta.oebiotech.com/network/212035")</f>
        <v>http://funmeta.oebiotech.com/network/212035</v>
      </c>
      <c r="H6691" s="2" t="s">
        <v>44366</v>
      </c>
      <c r="I6691" s="2"/>
      <c r="J6691" s="2"/>
      <c r="K6691" s="2"/>
      <c r="L6691" s="2"/>
      <c r="M6691" s="2"/>
      <c r="N6691" s="2"/>
      <c r="O6691" s="2">
        <v>129651888</v>
      </c>
      <c r="P6691" s="2"/>
      <c r="Q6691" s="2" t="s">
        <v>44367</v>
      </c>
      <c r="R6691" s="2" t="s">
        <v>44368</v>
      </c>
      <c r="S6691" s="2" t="s">
        <v>41</v>
      </c>
      <c r="T6691" s="2" t="s">
        <v>41</v>
      </c>
      <c r="U6691" s="2" t="s">
        <v>41</v>
      </c>
      <c r="V6691" s="2" t="s">
        <v>59</v>
      </c>
      <c r="W6691" s="2">
        <v>38.700000000000003</v>
      </c>
      <c r="X6691" s="2">
        <v>0</v>
      </c>
      <c r="Y6691" s="2" t="s">
        <v>560</v>
      </c>
      <c r="Z6691" s="2" t="s">
        <v>44369</v>
      </c>
      <c r="AA6691" s="2">
        <v>2.6138320803282702</v>
      </c>
      <c r="AB6691" s="2">
        <v>1.7614178354170201E-2</v>
      </c>
      <c r="AC6691" s="2">
        <v>8085.0119521297402</v>
      </c>
      <c r="AD6691" s="2">
        <v>8257.2565023419393</v>
      </c>
      <c r="AE6691" s="2">
        <v>8770.5711547083301</v>
      </c>
      <c r="AF6691" s="2">
        <v>8237.8621878822505</v>
      </c>
      <c r="AG6691" s="2">
        <v>7708.7388255430296</v>
      </c>
      <c r="AH6691" s="2">
        <v>7270.1652831844103</v>
      </c>
      <c r="AI6691" s="2">
        <v>9155.8598680812302</v>
      </c>
      <c r="AJ6691" s="2">
        <v>7366.8743933791902</v>
      </c>
      <c r="AK6691" s="2">
        <v>7472.91030835532</v>
      </c>
      <c r="AL6691" s="2">
        <v>7794.7844307652003</v>
      </c>
      <c r="AM6691" s="2">
        <v>7832.1537930591503</v>
      </c>
      <c r="AN6691" s="2">
        <v>8960.3499092433703</v>
      </c>
      <c r="AO6691" s="2">
        <v>7616.1694759100101</v>
      </c>
      <c r="AP6691" s="2">
        <v>9867.1710967185809</v>
      </c>
    </row>
    <row r="6692" spans="1:42" ht="14.5" x14ac:dyDescent="0.35">
      <c r="A6692" s="2" t="s">
        <v>44370</v>
      </c>
      <c r="B6692" s="2">
        <v>449.19569575214098</v>
      </c>
      <c r="C6692" s="2">
        <v>10.132666666666699</v>
      </c>
      <c r="D6692" s="2" t="s">
        <v>34</v>
      </c>
      <c r="E6692" s="2" t="s">
        <v>44371</v>
      </c>
      <c r="F6692" s="2">
        <v>53470</v>
      </c>
      <c r="G6692" s="3" t="str">
        <f>HYPERLINK("http://funmeta.oebiotech.com/network/53470", "http://funmeta.oebiotech.com/network/53470")</f>
        <v>http://funmeta.oebiotech.com/network/53470</v>
      </c>
      <c r="H6692" s="2" t="s">
        <v>44372</v>
      </c>
      <c r="I6692" s="2">
        <v>2349</v>
      </c>
      <c r="J6692" s="2"/>
      <c r="K6692" s="2">
        <v>83804</v>
      </c>
      <c r="L6692" s="2"/>
      <c r="M6692" s="2"/>
      <c r="N6692" s="2"/>
      <c r="O6692" s="2">
        <v>115237</v>
      </c>
      <c r="P6692" s="2" t="s">
        <v>44373</v>
      </c>
      <c r="Q6692" s="2" t="s">
        <v>44374</v>
      </c>
      <c r="R6692" s="2" t="s">
        <v>44375</v>
      </c>
      <c r="S6692" s="2" t="s">
        <v>491</v>
      </c>
      <c r="T6692" s="2" t="s">
        <v>15140</v>
      </c>
      <c r="U6692" s="2" t="s">
        <v>41</v>
      </c>
      <c r="V6692" s="2" t="s">
        <v>59</v>
      </c>
      <c r="W6692" s="2">
        <v>39.1</v>
      </c>
      <c r="X6692" s="2">
        <v>0</v>
      </c>
      <c r="Y6692" s="2" t="s">
        <v>323</v>
      </c>
      <c r="Z6692" s="2" t="s">
        <v>44376</v>
      </c>
      <c r="AA6692" s="2">
        <v>-0.57223787982005703</v>
      </c>
      <c r="AB6692" s="2">
        <v>1.75694489155023E-2</v>
      </c>
      <c r="AC6692" s="2">
        <v>43.345429592853797</v>
      </c>
      <c r="AD6692" s="2">
        <v>2.7106294003980101E-5</v>
      </c>
      <c r="AE6692" s="2">
        <v>2.7106294003980101E-5</v>
      </c>
      <c r="AF6692" s="2">
        <v>2.7106294003980101E-5</v>
      </c>
      <c r="AG6692" s="2">
        <v>90.696466189910694</v>
      </c>
      <c r="AH6692" s="2">
        <v>152.10072675461399</v>
      </c>
      <c r="AI6692" s="2">
        <v>17.2753032937161</v>
      </c>
      <c r="AJ6692" s="2">
        <v>2.7106294003980101E-5</v>
      </c>
      <c r="AK6692" s="2">
        <v>2.7106294003980101E-5</v>
      </c>
      <c r="AL6692" s="2">
        <v>2.7106294003980101E-5</v>
      </c>
      <c r="AM6692" s="2">
        <v>2.7106294003980101E-5</v>
      </c>
      <c r="AN6692" s="2">
        <v>2.7106294003980101E-5</v>
      </c>
      <c r="AO6692" s="2">
        <v>2.7106294003980101E-5</v>
      </c>
      <c r="AP6692" s="2">
        <v>2.7106294003980101E-5</v>
      </c>
    </row>
    <row r="6693" spans="1:42" ht="14.5" x14ac:dyDescent="0.35">
      <c r="A6693" s="2" t="s">
        <v>44377</v>
      </c>
      <c r="B6693" s="2">
        <v>449.34849171159198</v>
      </c>
      <c r="C6693" s="2">
        <v>9.4284999999999997</v>
      </c>
      <c r="D6693" s="2" t="s">
        <v>34</v>
      </c>
      <c r="E6693" s="2" t="s">
        <v>44378</v>
      </c>
      <c r="F6693" s="2">
        <v>38942</v>
      </c>
      <c r="G6693" s="3" t="str">
        <f>HYPERLINK("http://funmeta.oebiotech.com/network/38942", "http://funmeta.oebiotech.com/network/38942")</f>
        <v>http://funmeta.oebiotech.com/network/38942</v>
      </c>
      <c r="H6693" s="2" t="s">
        <v>44379</v>
      </c>
      <c r="I6693" s="2">
        <v>41562</v>
      </c>
      <c r="J6693" s="2" t="s">
        <v>44380</v>
      </c>
      <c r="K6693" s="2">
        <v>132478</v>
      </c>
      <c r="L6693" s="2"/>
      <c r="M6693" s="2"/>
      <c r="N6693" s="2"/>
      <c r="O6693" s="2">
        <v>44260122</v>
      </c>
      <c r="P6693" s="2"/>
      <c r="Q6693" s="2" t="s">
        <v>44381</v>
      </c>
      <c r="R6693" s="2" t="s">
        <v>44382</v>
      </c>
      <c r="S6693" s="2" t="s">
        <v>50</v>
      </c>
      <c r="T6693" s="2" t="s">
        <v>693</v>
      </c>
      <c r="U6693" s="2" t="s">
        <v>3670</v>
      </c>
      <c r="V6693" s="2" t="s">
        <v>59</v>
      </c>
      <c r="W6693" s="2">
        <v>40.299999999999997</v>
      </c>
      <c r="X6693" s="2">
        <v>9.6300000000000008</v>
      </c>
      <c r="Y6693" s="2" t="s">
        <v>141</v>
      </c>
      <c r="Z6693" s="2" t="s">
        <v>44383</v>
      </c>
      <c r="AA6693" s="2">
        <v>-3.8155844267287402</v>
      </c>
      <c r="AB6693" s="2">
        <v>1.7530512345757001E-2</v>
      </c>
      <c r="AC6693" s="2">
        <v>16654.168015758201</v>
      </c>
      <c r="AD6693" s="2">
        <v>17057.736336014899</v>
      </c>
      <c r="AE6693" s="2">
        <v>18212.449376574601</v>
      </c>
      <c r="AF6693" s="2">
        <v>20758.594402612802</v>
      </c>
      <c r="AG6693" s="2">
        <v>16156.019162676899</v>
      </c>
      <c r="AH6693" s="2">
        <v>14767.777723056401</v>
      </c>
      <c r="AI6693" s="2">
        <v>13771.139576559401</v>
      </c>
      <c r="AJ6693" s="2">
        <v>16259.027853069299</v>
      </c>
      <c r="AK6693" s="2">
        <v>24360.8514721594</v>
      </c>
      <c r="AL6693" s="2">
        <v>18909.501855378199</v>
      </c>
      <c r="AM6693" s="2">
        <v>17429.6037394247</v>
      </c>
      <c r="AN6693" s="2">
        <v>13984.590832510699</v>
      </c>
      <c r="AO6693" s="2">
        <v>12597.9522998023</v>
      </c>
      <c r="AP6693" s="2">
        <v>15063.917816814201</v>
      </c>
    </row>
    <row r="6694" spans="1:42" ht="14.5" x14ac:dyDescent="0.35">
      <c r="A6694" s="2" t="s">
        <v>44384</v>
      </c>
      <c r="B6694" s="2">
        <v>317.10180646812398</v>
      </c>
      <c r="C6694" s="2">
        <v>4.8836000000000004</v>
      </c>
      <c r="D6694" s="2" t="s">
        <v>34</v>
      </c>
      <c r="E6694" s="2" t="s">
        <v>44385</v>
      </c>
      <c r="F6694" s="2">
        <v>53089</v>
      </c>
      <c r="G6694" s="3" t="str">
        <f>HYPERLINK("http://funmeta.oebiotech.com/network/53089", "http://funmeta.oebiotech.com/network/53089")</f>
        <v>http://funmeta.oebiotech.com/network/53089</v>
      </c>
      <c r="H6694" s="2" t="s">
        <v>44386</v>
      </c>
      <c r="I6694" s="2">
        <v>1767</v>
      </c>
      <c r="J6694" s="2"/>
      <c r="K6694" s="2">
        <v>127029</v>
      </c>
      <c r="L6694" s="2" t="s">
        <v>44387</v>
      </c>
      <c r="M6694" s="2"/>
      <c r="N6694" s="2"/>
      <c r="O6694" s="2">
        <v>4740</v>
      </c>
      <c r="P6694" s="2" t="s">
        <v>44388</v>
      </c>
      <c r="Q6694" s="2" t="s">
        <v>44389</v>
      </c>
      <c r="R6694" s="2" t="s">
        <v>44390</v>
      </c>
      <c r="S6694" s="2" t="s">
        <v>491</v>
      </c>
      <c r="T6694" s="2" t="s">
        <v>7431</v>
      </c>
      <c r="U6694" s="2" t="s">
        <v>7432</v>
      </c>
      <c r="V6694" s="2" t="s">
        <v>59</v>
      </c>
      <c r="W6694" s="2">
        <v>38.299999999999997</v>
      </c>
      <c r="X6694" s="2">
        <v>0</v>
      </c>
      <c r="Y6694" s="2" t="s">
        <v>340</v>
      </c>
      <c r="Z6694" s="2" t="s">
        <v>44391</v>
      </c>
      <c r="AA6694" s="2">
        <v>2.72502600194934</v>
      </c>
      <c r="AB6694" s="2">
        <v>1.7489691361369301E-2</v>
      </c>
      <c r="AC6694" s="2">
        <v>5346.7258099353803</v>
      </c>
      <c r="AD6694" s="2">
        <v>5553.4368810576798</v>
      </c>
      <c r="AE6694" s="2">
        <v>3901.29523571236</v>
      </c>
      <c r="AF6694" s="2">
        <v>6151.8874886618596</v>
      </c>
      <c r="AG6694" s="2">
        <v>5243.3884720258202</v>
      </c>
      <c r="AH6694" s="2">
        <v>5477.8966855414601</v>
      </c>
      <c r="AI6694" s="2">
        <v>4519.7172140398598</v>
      </c>
      <c r="AJ6694" s="2">
        <v>6786.16976363093</v>
      </c>
      <c r="AK6694" s="2">
        <v>4441.8119555476396</v>
      </c>
      <c r="AL6694" s="2">
        <v>7302.29092385682</v>
      </c>
      <c r="AM6694" s="2">
        <v>4550.7302328680298</v>
      </c>
      <c r="AN6694" s="2">
        <v>5243.5569065699801</v>
      </c>
      <c r="AO6694" s="2">
        <v>5806.1987238439997</v>
      </c>
      <c r="AP6694" s="2">
        <v>5976.0325436596104</v>
      </c>
    </row>
    <row r="6695" spans="1:42" ht="14.5" x14ac:dyDescent="0.35">
      <c r="A6695" s="2" t="s">
        <v>44392</v>
      </c>
      <c r="B6695" s="2">
        <v>519.29595164686395</v>
      </c>
      <c r="C6695" s="2">
        <v>5.4314499999999999</v>
      </c>
      <c r="D6695" s="2" t="s">
        <v>70</v>
      </c>
      <c r="E6695" s="2" t="s">
        <v>44393</v>
      </c>
      <c r="F6695" s="2">
        <v>206730</v>
      </c>
      <c r="G6695" s="3" t="str">
        <f>HYPERLINK("http://funmeta.oebiotech.com/network/206730", "http://funmeta.oebiotech.com/network/206730")</f>
        <v>http://funmeta.oebiotech.com/network/206730</v>
      </c>
      <c r="H6695" s="2" t="s">
        <v>44394</v>
      </c>
      <c r="I6695" s="2">
        <v>43463</v>
      </c>
      <c r="J6695" s="2"/>
      <c r="K6695" s="2"/>
      <c r="L6695" s="2"/>
      <c r="M6695" s="2"/>
      <c r="N6695" s="2"/>
      <c r="O6695" s="2">
        <v>3344</v>
      </c>
      <c r="P6695" s="2" t="s">
        <v>44395</v>
      </c>
      <c r="Q6695" s="2" t="s">
        <v>44396</v>
      </c>
      <c r="R6695" s="2" t="s">
        <v>44397</v>
      </c>
      <c r="S6695" s="2" t="s">
        <v>491</v>
      </c>
      <c r="T6695" s="2" t="s">
        <v>20956</v>
      </c>
      <c r="U6695" s="2" t="s">
        <v>41</v>
      </c>
      <c r="V6695" s="2" t="s">
        <v>59</v>
      </c>
      <c r="W6695" s="2">
        <v>38.700000000000003</v>
      </c>
      <c r="X6695" s="2">
        <v>0</v>
      </c>
      <c r="Y6695" s="2" t="s">
        <v>560</v>
      </c>
      <c r="Z6695" s="2" t="s">
        <v>44398</v>
      </c>
      <c r="AA6695" s="2">
        <v>-3.3205552960303999</v>
      </c>
      <c r="AB6695" s="2">
        <v>1.74850484395533E-2</v>
      </c>
      <c r="AC6695" s="2">
        <v>1382.3208545100199</v>
      </c>
      <c r="AD6695" s="2">
        <v>1274.56298079097</v>
      </c>
      <c r="AE6695" s="2">
        <v>1198.0135193808301</v>
      </c>
      <c r="AF6695" s="2">
        <v>1190.6539934357099</v>
      </c>
      <c r="AG6695" s="2">
        <v>1257.52015297864</v>
      </c>
      <c r="AH6695" s="2">
        <v>1526.11548122709</v>
      </c>
      <c r="AI6695" s="2">
        <v>1941.2330928921999</v>
      </c>
      <c r="AJ6695" s="2">
        <v>1180.38888714563</v>
      </c>
      <c r="AK6695" s="2">
        <v>1532.0765444665401</v>
      </c>
      <c r="AL6695" s="2">
        <v>1332.0681580600101</v>
      </c>
      <c r="AM6695" s="2">
        <v>888.70777916376596</v>
      </c>
      <c r="AN6695" s="2">
        <v>1608.64405951102</v>
      </c>
      <c r="AO6695" s="2">
        <v>1134.9923218014301</v>
      </c>
      <c r="AP6695" s="2">
        <v>1150.8890217430501</v>
      </c>
    </row>
    <row r="6696" spans="1:42" ht="14.5" x14ac:dyDescent="0.35">
      <c r="A6696" s="2" t="s">
        <v>44399</v>
      </c>
      <c r="B6696" s="2">
        <v>373.111705301158</v>
      </c>
      <c r="C6696" s="2">
        <v>3.7155666666666698</v>
      </c>
      <c r="D6696" s="2" t="s">
        <v>34</v>
      </c>
      <c r="E6696" s="2" t="s">
        <v>44400</v>
      </c>
      <c r="F6696" s="2">
        <v>30</v>
      </c>
      <c r="G6696" s="3" t="str">
        <f>HYPERLINK("http://funmeta.oebiotech.com/network/30", "http://funmeta.oebiotech.com/network/30")</f>
        <v>http://funmeta.oebiotech.com/network/30</v>
      </c>
      <c r="H6696" s="2"/>
      <c r="I6696" s="2"/>
      <c r="J6696" s="2" t="s">
        <v>44401</v>
      </c>
      <c r="K6696" s="2"/>
      <c r="L6696" s="2"/>
      <c r="M6696" s="2"/>
      <c r="N6696" s="2"/>
      <c r="O6696" s="2">
        <v>101857686</v>
      </c>
      <c r="P6696" s="2"/>
      <c r="Q6696" s="2" t="s">
        <v>44402</v>
      </c>
      <c r="R6696" s="2" t="s">
        <v>44403</v>
      </c>
      <c r="S6696" s="2" t="s">
        <v>50</v>
      </c>
      <c r="T6696" s="2" t="s">
        <v>229</v>
      </c>
      <c r="U6696" s="2" t="s">
        <v>433</v>
      </c>
      <c r="V6696" s="2" t="s">
        <v>59</v>
      </c>
      <c r="W6696" s="2">
        <v>38</v>
      </c>
      <c r="X6696" s="2">
        <v>0</v>
      </c>
      <c r="Y6696" s="2" t="s">
        <v>340</v>
      </c>
      <c r="Z6696" s="2" t="s">
        <v>44404</v>
      </c>
      <c r="AA6696" s="2">
        <v>-1.1046921706947599</v>
      </c>
      <c r="AB6696" s="2">
        <v>1.7417020027779902E-2</v>
      </c>
      <c r="AC6696" s="2">
        <v>7151.0069100646797</v>
      </c>
      <c r="AD6696" s="2">
        <v>7012.80185304314</v>
      </c>
      <c r="AE6696" s="2">
        <v>6532.3676915508404</v>
      </c>
      <c r="AF6696" s="2">
        <v>7388.7531900808199</v>
      </c>
      <c r="AG6696" s="2">
        <v>7751.3697055300599</v>
      </c>
      <c r="AH6696" s="2">
        <v>6511.2423429649798</v>
      </c>
      <c r="AI6696" s="2">
        <v>7232.0142776541798</v>
      </c>
      <c r="AJ6696" s="2">
        <v>7490.2942526071702</v>
      </c>
      <c r="AK6696" s="2">
        <v>7741.8202162653597</v>
      </c>
      <c r="AL6696" s="2">
        <v>6521.6875693207203</v>
      </c>
      <c r="AM6696" s="2">
        <v>6470.2227345235397</v>
      </c>
      <c r="AN6696" s="2">
        <v>7032.0643145975801</v>
      </c>
      <c r="AO6696" s="2">
        <v>6733.7942443048996</v>
      </c>
      <c r="AP6696" s="2">
        <v>7577.2220392467298</v>
      </c>
    </row>
    <row r="6697" spans="1:42" ht="14.5" x14ac:dyDescent="0.35">
      <c r="A6697" s="2" t="s">
        <v>44405</v>
      </c>
      <c r="B6697" s="2">
        <v>308.97179242639902</v>
      </c>
      <c r="C6697" s="2">
        <v>1.3894500000000001</v>
      </c>
      <c r="D6697" s="2" t="s">
        <v>70</v>
      </c>
      <c r="E6697" s="2" t="s">
        <v>44406</v>
      </c>
      <c r="F6697" s="2">
        <v>256875</v>
      </c>
      <c r="G6697" s="3" t="str">
        <f>HYPERLINK("http://funmeta.oebiotech.com/network/256875", "http://funmeta.oebiotech.com/network/256875")</f>
        <v>http://funmeta.oebiotech.com/network/256875</v>
      </c>
      <c r="H6697" s="2" t="s">
        <v>44407</v>
      </c>
      <c r="I6697" s="2"/>
      <c r="J6697" s="2"/>
      <c r="K6697" s="2">
        <v>62890</v>
      </c>
      <c r="L6697" s="2"/>
      <c r="M6697" s="2"/>
      <c r="N6697" s="2"/>
      <c r="O6697" s="2">
        <v>53477624</v>
      </c>
      <c r="P6697" s="2"/>
      <c r="Q6697" s="2" t="s">
        <v>44408</v>
      </c>
      <c r="R6697" s="2" t="s">
        <v>44409</v>
      </c>
      <c r="S6697" s="2" t="s">
        <v>491</v>
      </c>
      <c r="T6697" s="2" t="s">
        <v>3519</v>
      </c>
      <c r="U6697" s="2" t="s">
        <v>19069</v>
      </c>
      <c r="V6697" s="2" t="s">
        <v>59</v>
      </c>
      <c r="W6697" s="2">
        <v>38.200000000000003</v>
      </c>
      <c r="X6697" s="2">
        <v>0</v>
      </c>
      <c r="Y6697" s="2" t="s">
        <v>408</v>
      </c>
      <c r="Z6697" s="2" t="s">
        <v>44410</v>
      </c>
      <c r="AA6697" s="2">
        <v>1.5909940745709501</v>
      </c>
      <c r="AB6697" s="2">
        <v>1.7300000735972199E-2</v>
      </c>
      <c r="AC6697" s="2">
        <v>903.02113271699204</v>
      </c>
      <c r="AD6697" s="2">
        <v>825.90087019029602</v>
      </c>
      <c r="AE6697" s="2">
        <v>1205.9536850027</v>
      </c>
      <c r="AF6697" s="2">
        <v>784.01637719246196</v>
      </c>
      <c r="AG6697" s="2">
        <v>677.15128959963397</v>
      </c>
      <c r="AH6697" s="2">
        <v>829.69523251644898</v>
      </c>
      <c r="AI6697" s="2">
        <v>1064.81844799599</v>
      </c>
      <c r="AJ6697" s="2">
        <v>856.49176399471799</v>
      </c>
      <c r="AK6697" s="2">
        <v>848.16459592599199</v>
      </c>
      <c r="AL6697" s="2">
        <v>830.073665059772</v>
      </c>
      <c r="AM6697" s="2">
        <v>932.78896441161396</v>
      </c>
      <c r="AN6697" s="2">
        <v>912.67396492094394</v>
      </c>
      <c r="AO6697" s="2">
        <v>743.824629489632</v>
      </c>
      <c r="AP6697" s="2">
        <v>687.87940133382097</v>
      </c>
    </row>
    <row r="6698" spans="1:42" ht="14.5" x14ac:dyDescent="0.35">
      <c r="A6698" s="2" t="s">
        <v>44411</v>
      </c>
      <c r="B6698" s="2">
        <v>137.13244311534399</v>
      </c>
      <c r="C6698" s="2">
        <v>8.9336000000000002</v>
      </c>
      <c r="D6698" s="2" t="s">
        <v>34</v>
      </c>
      <c r="E6698" s="2" t="s">
        <v>44412</v>
      </c>
      <c r="F6698" s="2">
        <v>58901</v>
      </c>
      <c r="G6698" s="3" t="str">
        <f>HYPERLINK("http://funmeta.oebiotech.com/network/58901", "http://funmeta.oebiotech.com/network/58901")</f>
        <v>http://funmeta.oebiotech.com/network/58901</v>
      </c>
      <c r="H6698" s="2" t="s">
        <v>44413</v>
      </c>
      <c r="I6698" s="2">
        <v>41071</v>
      </c>
      <c r="J6698" s="2"/>
      <c r="K6698" s="2">
        <v>15394</v>
      </c>
      <c r="L6698" s="2" t="s">
        <v>44414</v>
      </c>
      <c r="M6698" s="2"/>
      <c r="N6698" s="2"/>
      <c r="O6698" s="2">
        <v>1201518</v>
      </c>
      <c r="P6698" s="2" t="s">
        <v>44415</v>
      </c>
      <c r="Q6698" s="2" t="s">
        <v>44416</v>
      </c>
      <c r="R6698" s="2" t="s">
        <v>44417</v>
      </c>
      <c r="S6698" s="2" t="s">
        <v>50</v>
      </c>
      <c r="T6698" s="2" t="s">
        <v>201</v>
      </c>
      <c r="U6698" s="2" t="s">
        <v>265</v>
      </c>
      <c r="V6698" s="2" t="s">
        <v>42</v>
      </c>
      <c r="W6698" s="2">
        <v>49.1</v>
      </c>
      <c r="X6698" s="2">
        <v>49.5</v>
      </c>
      <c r="Y6698" s="2" t="s">
        <v>266</v>
      </c>
      <c r="Z6698" s="2" t="s">
        <v>23920</v>
      </c>
      <c r="AA6698" s="2">
        <v>-0.21949140646235399</v>
      </c>
      <c r="AB6698" s="2">
        <v>1.7102423728543099E-2</v>
      </c>
      <c r="AC6698" s="2">
        <v>13007.3523570695</v>
      </c>
      <c r="AD6698" s="2">
        <v>12853.6490943221</v>
      </c>
      <c r="AE6698" s="2">
        <v>12686.0892068881</v>
      </c>
      <c r="AF6698" s="2">
        <v>12709.4448935173</v>
      </c>
      <c r="AG6698" s="2">
        <v>13417.904808748001</v>
      </c>
      <c r="AH6698" s="2">
        <v>13181.479646040199</v>
      </c>
      <c r="AI6698" s="2">
        <v>13655.815251469699</v>
      </c>
      <c r="AJ6698" s="2">
        <v>12393.3803357539</v>
      </c>
      <c r="AK6698" s="2">
        <v>14110.8405201728</v>
      </c>
      <c r="AL6698" s="2">
        <v>13590.8397721496</v>
      </c>
      <c r="AM6698" s="2">
        <v>12717.4144793658</v>
      </c>
      <c r="AN6698" s="2">
        <v>12058.5130542803</v>
      </c>
      <c r="AO6698" s="2">
        <v>12176.930772252501</v>
      </c>
      <c r="AP6698" s="2">
        <v>12467.355967711301</v>
      </c>
    </row>
    <row r="6699" spans="1:42" ht="14.5" x14ac:dyDescent="0.35">
      <c r="A6699" s="2" t="s">
        <v>44418</v>
      </c>
      <c r="B6699" s="2">
        <v>553.20793341288299</v>
      </c>
      <c r="C6699" s="2">
        <v>5.3202666666666696</v>
      </c>
      <c r="D6699" s="2" t="s">
        <v>70</v>
      </c>
      <c r="E6699" s="2" t="s">
        <v>44419</v>
      </c>
      <c r="F6699" s="2">
        <v>208397</v>
      </c>
      <c r="G6699" s="3" t="str">
        <f>HYPERLINK("http://funmeta.oebiotech.com/network/208397", "http://funmeta.oebiotech.com/network/208397")</f>
        <v>http://funmeta.oebiotech.com/network/208397</v>
      </c>
      <c r="H6699" s="2" t="s">
        <v>44420</v>
      </c>
      <c r="I6699" s="2"/>
      <c r="J6699" s="2"/>
      <c r="K6699" s="2"/>
      <c r="L6699" s="2"/>
      <c r="M6699" s="2"/>
      <c r="N6699" s="2"/>
      <c r="O6699" s="2">
        <v>3653450</v>
      </c>
      <c r="P6699" s="2"/>
      <c r="Q6699" s="2" t="s">
        <v>44421</v>
      </c>
      <c r="R6699" s="2" t="s">
        <v>44422</v>
      </c>
      <c r="S6699" s="2" t="s">
        <v>89</v>
      </c>
      <c r="T6699" s="2" t="s">
        <v>90</v>
      </c>
      <c r="U6699" s="2" t="s">
        <v>99</v>
      </c>
      <c r="V6699" s="2" t="s">
        <v>59</v>
      </c>
      <c r="W6699" s="2">
        <v>39</v>
      </c>
      <c r="X6699" s="2">
        <v>0</v>
      </c>
      <c r="Y6699" s="2" t="s">
        <v>560</v>
      </c>
      <c r="Z6699" s="2" t="s">
        <v>44423</v>
      </c>
      <c r="AA6699" s="2">
        <v>-1.0986750947124799</v>
      </c>
      <c r="AB6699" s="2">
        <v>1.7082030440513801E-2</v>
      </c>
      <c r="AC6699" s="2">
        <v>2246.3698919369899</v>
      </c>
      <c r="AD6699" s="2">
        <v>2089.6320200503001</v>
      </c>
      <c r="AE6699" s="2">
        <v>787.76676635434296</v>
      </c>
      <c r="AF6699" s="2">
        <v>2374.3803955901699</v>
      </c>
      <c r="AG6699" s="2">
        <v>2694.77799601897</v>
      </c>
      <c r="AH6699" s="2">
        <v>3476.2722309903102</v>
      </c>
      <c r="AI6699" s="2">
        <v>1365.5741650321499</v>
      </c>
      <c r="AJ6699" s="2">
        <v>2779.4477976359899</v>
      </c>
      <c r="AK6699" s="2">
        <v>1822.42952953027</v>
      </c>
      <c r="AL6699" s="2">
        <v>2464.6106091434699</v>
      </c>
      <c r="AM6699" s="2">
        <v>2344.7370797520498</v>
      </c>
      <c r="AN6699" s="2">
        <v>2307.3190865147399</v>
      </c>
      <c r="AO6699" s="2">
        <v>1814.9375877795301</v>
      </c>
      <c r="AP6699" s="2">
        <v>1783.7582275817099</v>
      </c>
    </row>
    <row r="6700" spans="1:42" ht="14.5" x14ac:dyDescent="0.35">
      <c r="A6700" s="2" t="s">
        <v>44424</v>
      </c>
      <c r="B6700" s="2">
        <v>637.46609729705597</v>
      </c>
      <c r="C6700" s="2">
        <v>14.585599999999999</v>
      </c>
      <c r="D6700" s="2" t="s">
        <v>34</v>
      </c>
      <c r="E6700" s="2" t="s">
        <v>44425</v>
      </c>
      <c r="F6700" s="2">
        <v>57349</v>
      </c>
      <c r="G6700" s="3" t="str">
        <f>HYPERLINK("http://funmeta.oebiotech.com/network/57349", "http://funmeta.oebiotech.com/network/57349")</f>
        <v>http://funmeta.oebiotech.com/network/57349</v>
      </c>
      <c r="H6700" s="2" t="s">
        <v>44426</v>
      </c>
      <c r="I6700" s="2"/>
      <c r="J6700" s="2"/>
      <c r="K6700" s="2"/>
      <c r="L6700" s="2"/>
      <c r="M6700" s="2"/>
      <c r="N6700" s="2"/>
      <c r="O6700" s="2">
        <v>85270250</v>
      </c>
      <c r="P6700" s="2"/>
      <c r="Q6700" s="2" t="s">
        <v>44427</v>
      </c>
      <c r="R6700" s="2" t="s">
        <v>44428</v>
      </c>
      <c r="S6700" s="2" t="s">
        <v>50</v>
      </c>
      <c r="T6700" s="2" t="s">
        <v>229</v>
      </c>
      <c r="U6700" s="2" t="s">
        <v>1283</v>
      </c>
      <c r="V6700" s="2" t="s">
        <v>59</v>
      </c>
      <c r="W6700" s="2">
        <v>36.1</v>
      </c>
      <c r="X6700" s="2">
        <v>0</v>
      </c>
      <c r="Y6700" s="2" t="s">
        <v>323</v>
      </c>
      <c r="Z6700" s="2" t="s">
        <v>44429</v>
      </c>
      <c r="AA6700" s="2">
        <v>1.8024208798233099</v>
      </c>
      <c r="AB6700" s="2">
        <v>1.70185922826343E-2</v>
      </c>
      <c r="AC6700" s="2">
        <v>8162.9910310597797</v>
      </c>
      <c r="AD6700" s="2">
        <v>8513.6723349343902</v>
      </c>
      <c r="AE6700" s="2">
        <v>8918.7977497601805</v>
      </c>
      <c r="AF6700" s="2">
        <v>11169.048734065</v>
      </c>
      <c r="AG6700" s="2">
        <v>11776.7534725594</v>
      </c>
      <c r="AH6700" s="2">
        <v>6357.9549854399702</v>
      </c>
      <c r="AI6700" s="2">
        <v>8559.1657539485805</v>
      </c>
      <c r="AJ6700" s="2">
        <v>2196.2254905855598</v>
      </c>
      <c r="AK6700" s="2">
        <v>9489.5330782444998</v>
      </c>
      <c r="AL6700" s="2">
        <v>12061.9889458543</v>
      </c>
      <c r="AM6700" s="2">
        <v>5536.8811642438404</v>
      </c>
      <c r="AN6700" s="2">
        <v>6690.15693045628</v>
      </c>
      <c r="AO6700" s="2">
        <v>7690.3590653180099</v>
      </c>
      <c r="AP6700" s="2">
        <v>9613.1148254894306</v>
      </c>
    </row>
    <row r="6701" spans="1:42" ht="14.5" x14ac:dyDescent="0.35">
      <c r="A6701" s="2" t="s">
        <v>44430</v>
      </c>
      <c r="B6701" s="2">
        <v>237.05864139781801</v>
      </c>
      <c r="C6701" s="2">
        <v>4.1233166666666703</v>
      </c>
      <c r="D6701" s="2" t="s">
        <v>34</v>
      </c>
      <c r="E6701" s="2" t="s">
        <v>44431</v>
      </c>
      <c r="F6701" s="2">
        <v>205295</v>
      </c>
      <c r="G6701" s="3" t="str">
        <f>HYPERLINK("http://funmeta.oebiotech.com/network/205295", "http://funmeta.oebiotech.com/network/205295")</f>
        <v>http://funmeta.oebiotech.com/network/205295</v>
      </c>
      <c r="H6701" s="2" t="s">
        <v>44432</v>
      </c>
      <c r="I6701" s="2"/>
      <c r="J6701" s="2"/>
      <c r="K6701" s="2"/>
      <c r="L6701" s="2"/>
      <c r="M6701" s="2"/>
      <c r="N6701" s="2"/>
      <c r="O6701" s="2">
        <v>132280893</v>
      </c>
      <c r="P6701" s="2"/>
      <c r="Q6701" s="2" t="s">
        <v>44433</v>
      </c>
      <c r="R6701" s="2" t="s">
        <v>44434</v>
      </c>
      <c r="S6701" s="2" t="s">
        <v>41</v>
      </c>
      <c r="T6701" s="2" t="s">
        <v>41</v>
      </c>
      <c r="U6701" s="2" t="s">
        <v>41</v>
      </c>
      <c r="V6701" s="2" t="s">
        <v>59</v>
      </c>
      <c r="W6701" s="2">
        <v>38.700000000000003</v>
      </c>
      <c r="X6701" s="2">
        <v>0</v>
      </c>
      <c r="Y6701" s="2" t="s">
        <v>43</v>
      </c>
      <c r="Z6701" s="2" t="s">
        <v>44435</v>
      </c>
      <c r="AA6701" s="2">
        <v>3.8030817312446099</v>
      </c>
      <c r="AB6701" s="2">
        <v>1.7005789453111E-2</v>
      </c>
      <c r="AC6701" s="2">
        <v>3556.5342783353899</v>
      </c>
      <c r="AD6701" s="2">
        <v>3665.5768290434999</v>
      </c>
      <c r="AE6701" s="2">
        <v>4072.9018433668298</v>
      </c>
      <c r="AF6701" s="2">
        <v>3608.3220324902099</v>
      </c>
      <c r="AG6701" s="2">
        <v>3812.2038125471399</v>
      </c>
      <c r="AH6701" s="2">
        <v>3387.2668870408102</v>
      </c>
      <c r="AI6701" s="2">
        <v>3160.1220981184501</v>
      </c>
      <c r="AJ6701" s="2">
        <v>3298.3889964489199</v>
      </c>
      <c r="AK6701" s="2">
        <v>3864.5471935734499</v>
      </c>
      <c r="AL6701" s="2">
        <v>3573.4104867733599</v>
      </c>
      <c r="AM6701" s="2">
        <v>3793.7264285740298</v>
      </c>
      <c r="AN6701" s="2">
        <v>3865.7534454619999</v>
      </c>
      <c r="AO6701" s="2">
        <v>3118.8998773343901</v>
      </c>
      <c r="AP6701" s="2">
        <v>3777.1235425437499</v>
      </c>
    </row>
    <row r="6702" spans="1:42" ht="14.5" x14ac:dyDescent="0.35">
      <c r="A6702" s="2" t="s">
        <v>44436</v>
      </c>
      <c r="B6702" s="2">
        <v>296.99655713044302</v>
      </c>
      <c r="C6702" s="2">
        <v>9.7462666666666706</v>
      </c>
      <c r="D6702" s="2" t="s">
        <v>70</v>
      </c>
      <c r="E6702" s="2" t="s">
        <v>44437</v>
      </c>
      <c r="F6702" s="2">
        <v>210127</v>
      </c>
      <c r="G6702" s="3" t="str">
        <f>HYPERLINK("http://funmeta.oebiotech.com/network/210127", "http://funmeta.oebiotech.com/network/210127")</f>
        <v>http://funmeta.oebiotech.com/network/210127</v>
      </c>
      <c r="H6702" s="2" t="s">
        <v>44438</v>
      </c>
      <c r="I6702" s="2"/>
      <c r="J6702" s="2"/>
      <c r="K6702" s="2">
        <v>25879</v>
      </c>
      <c r="L6702" s="2"/>
      <c r="M6702" s="2"/>
      <c r="N6702" s="2"/>
      <c r="O6702" s="2"/>
      <c r="P6702" s="2"/>
      <c r="Q6702" s="2" t="s">
        <v>44439</v>
      </c>
      <c r="R6702" s="2" t="s">
        <v>44440</v>
      </c>
      <c r="S6702" s="2" t="s">
        <v>79</v>
      </c>
      <c r="T6702" s="2" t="s">
        <v>18840</v>
      </c>
      <c r="U6702" s="2" t="s">
        <v>26129</v>
      </c>
      <c r="V6702" s="2" t="s">
        <v>59</v>
      </c>
      <c r="W6702" s="2">
        <v>38.9</v>
      </c>
      <c r="X6702" s="2">
        <v>0</v>
      </c>
      <c r="Y6702" s="2" t="s">
        <v>751</v>
      </c>
      <c r="Z6702" s="2" t="s">
        <v>44441</v>
      </c>
      <c r="AA6702" s="2">
        <v>1.66619256205445</v>
      </c>
      <c r="AB6702" s="2">
        <v>1.6883427630416899E-2</v>
      </c>
      <c r="AC6702" s="2">
        <v>2788.24600967672</v>
      </c>
      <c r="AD6702" s="2">
        <v>2910.9834724155899</v>
      </c>
      <c r="AE6702" s="2">
        <v>2684.9197263179899</v>
      </c>
      <c r="AF6702" s="2">
        <v>2773.15592455367</v>
      </c>
      <c r="AG6702" s="2">
        <v>3103.0244825524701</v>
      </c>
      <c r="AH6702" s="2">
        <v>2757.36662213606</v>
      </c>
      <c r="AI6702" s="2">
        <v>2443.6775857329799</v>
      </c>
      <c r="AJ6702" s="2">
        <v>2967.3317167671798</v>
      </c>
      <c r="AK6702" s="2">
        <v>3346.9155565965698</v>
      </c>
      <c r="AL6702" s="2">
        <v>3685.2154179981699</v>
      </c>
      <c r="AM6702" s="2">
        <v>2466.68916838616</v>
      </c>
      <c r="AN6702" s="2">
        <v>2965.5568508081501</v>
      </c>
      <c r="AO6702" s="2">
        <v>2581.5261025509299</v>
      </c>
      <c r="AP6702" s="2">
        <v>2419.99773815358</v>
      </c>
    </row>
    <row r="6703" spans="1:42" ht="14.5" x14ac:dyDescent="0.35">
      <c r="A6703" s="2" t="s">
        <v>44442</v>
      </c>
      <c r="B6703" s="2">
        <v>595.10877743738604</v>
      </c>
      <c r="C6703" s="2">
        <v>4.0778333333333299</v>
      </c>
      <c r="D6703" s="2" t="s">
        <v>70</v>
      </c>
      <c r="E6703" s="2" t="s">
        <v>44443</v>
      </c>
      <c r="F6703" s="2">
        <v>62831</v>
      </c>
      <c r="G6703" s="3" t="str">
        <f>HYPERLINK("http://funmeta.oebiotech.com/network/62831", "http://funmeta.oebiotech.com/network/62831")</f>
        <v>http://funmeta.oebiotech.com/network/62831</v>
      </c>
      <c r="H6703" s="2" t="s">
        <v>44444</v>
      </c>
      <c r="I6703" s="2">
        <v>94124</v>
      </c>
      <c r="J6703" s="2"/>
      <c r="K6703" s="2"/>
      <c r="L6703" s="2"/>
      <c r="M6703" s="2"/>
      <c r="N6703" s="2"/>
      <c r="O6703" s="2">
        <v>10053287</v>
      </c>
      <c r="P6703" s="2"/>
      <c r="Q6703" s="2" t="s">
        <v>44445</v>
      </c>
      <c r="R6703" s="2" t="s">
        <v>44446</v>
      </c>
      <c r="S6703" s="2" t="s">
        <v>89</v>
      </c>
      <c r="T6703" s="2" t="s">
        <v>90</v>
      </c>
      <c r="U6703" s="2" t="s">
        <v>469</v>
      </c>
      <c r="V6703" s="2" t="s">
        <v>59</v>
      </c>
      <c r="W6703" s="2">
        <v>38</v>
      </c>
      <c r="X6703" s="2">
        <v>0</v>
      </c>
      <c r="Y6703" s="2" t="s">
        <v>408</v>
      </c>
      <c r="Z6703" s="2" t="s">
        <v>44447</v>
      </c>
      <c r="AA6703" s="2">
        <v>-1.0026571868690499</v>
      </c>
      <c r="AB6703" s="2">
        <v>1.6800865392691801E-2</v>
      </c>
      <c r="AC6703" s="2">
        <v>2370.0610376760901</v>
      </c>
      <c r="AD6703" s="2">
        <v>2501.9956806813302</v>
      </c>
      <c r="AE6703" s="2">
        <v>2350.3182091881899</v>
      </c>
      <c r="AF6703" s="2">
        <v>2602.1742082330002</v>
      </c>
      <c r="AG6703" s="2">
        <v>3138.7287259620002</v>
      </c>
      <c r="AH6703" s="2">
        <v>2332.5365231118999</v>
      </c>
      <c r="AI6703" s="2">
        <v>1781.3502949531801</v>
      </c>
      <c r="AJ6703" s="2">
        <v>2015.2582646082701</v>
      </c>
      <c r="AK6703" s="2">
        <v>3044.1911138475198</v>
      </c>
      <c r="AL6703" s="2">
        <v>2609.9685664568401</v>
      </c>
      <c r="AM6703" s="2">
        <v>2905.0252802806599</v>
      </c>
      <c r="AN6703" s="2">
        <v>2527.3059109015398</v>
      </c>
      <c r="AO6703" s="2">
        <v>1931.7113973061</v>
      </c>
      <c r="AP6703" s="2">
        <v>1993.7718152953501</v>
      </c>
    </row>
    <row r="6704" spans="1:42" ht="14.5" x14ac:dyDescent="0.35">
      <c r="A6704" s="2" t="s">
        <v>44448</v>
      </c>
      <c r="B6704" s="2">
        <v>528.33094080391697</v>
      </c>
      <c r="C6704" s="2">
        <v>6.5888166666666699</v>
      </c>
      <c r="D6704" s="2" t="s">
        <v>34</v>
      </c>
      <c r="E6704" s="2" t="s">
        <v>44449</v>
      </c>
      <c r="F6704" s="2">
        <v>198838</v>
      </c>
      <c r="G6704" s="3" t="str">
        <f>HYPERLINK("http://funmeta.oebiotech.com/network/198838", "http://funmeta.oebiotech.com/network/198838")</f>
        <v>http://funmeta.oebiotech.com/network/198838</v>
      </c>
      <c r="H6704" s="2" t="s">
        <v>44450</v>
      </c>
      <c r="I6704" s="2"/>
      <c r="J6704" s="2"/>
      <c r="K6704" s="2"/>
      <c r="L6704" s="2"/>
      <c r="M6704" s="2"/>
      <c r="N6704" s="2"/>
      <c r="O6704" s="2">
        <v>86247506</v>
      </c>
      <c r="P6704" s="2"/>
      <c r="Q6704" s="2" t="s">
        <v>44451</v>
      </c>
      <c r="R6704" s="2" t="s">
        <v>44452</v>
      </c>
      <c r="S6704" s="2" t="s">
        <v>41</v>
      </c>
      <c r="T6704" s="2" t="s">
        <v>41</v>
      </c>
      <c r="U6704" s="2" t="s">
        <v>41</v>
      </c>
      <c r="V6704" s="2" t="s">
        <v>59</v>
      </c>
      <c r="W6704" s="2">
        <v>45</v>
      </c>
      <c r="X6704" s="2">
        <v>33.4</v>
      </c>
      <c r="Y6704" s="2" t="s">
        <v>323</v>
      </c>
      <c r="Z6704" s="2" t="s">
        <v>44453</v>
      </c>
      <c r="AA6704" s="2">
        <v>2.7345817510424801</v>
      </c>
      <c r="AB6704" s="2">
        <v>1.66611654986768E-2</v>
      </c>
      <c r="AC6704" s="2">
        <v>323254.34360015602</v>
      </c>
      <c r="AD6704" s="2">
        <v>324279.34065600397</v>
      </c>
      <c r="AE6704" s="2">
        <v>338607.821701521</v>
      </c>
      <c r="AF6704" s="2">
        <v>320942.90027344099</v>
      </c>
      <c r="AG6704" s="2">
        <v>333745.16883383098</v>
      </c>
      <c r="AH6704" s="2">
        <v>318629.07498782501</v>
      </c>
      <c r="AI6704" s="2">
        <v>317094.97591768898</v>
      </c>
      <c r="AJ6704" s="2">
        <v>310506.11988663097</v>
      </c>
      <c r="AK6704" s="2">
        <v>294526.62394740299</v>
      </c>
      <c r="AL6704" s="2">
        <v>370042.94669707102</v>
      </c>
      <c r="AM6704" s="2">
        <v>309057.59710624599</v>
      </c>
      <c r="AN6704" s="2">
        <v>308484.43324338499</v>
      </c>
      <c r="AO6704" s="2">
        <v>331055.489188226</v>
      </c>
      <c r="AP6704" s="2">
        <v>332508.95375369501</v>
      </c>
    </row>
    <row r="6705" spans="1:42" ht="14.5" x14ac:dyDescent="0.35">
      <c r="A6705" s="2" t="s">
        <v>44454</v>
      </c>
      <c r="B6705" s="2">
        <v>184.05782941384601</v>
      </c>
      <c r="C6705" s="2">
        <v>1.0770999999999999</v>
      </c>
      <c r="D6705" s="2" t="s">
        <v>34</v>
      </c>
      <c r="E6705" s="2" t="s">
        <v>44455</v>
      </c>
      <c r="F6705" s="2">
        <v>47068</v>
      </c>
      <c r="G6705" s="3" t="str">
        <f>HYPERLINK("http://funmeta.oebiotech.com/network/47068", "http://funmeta.oebiotech.com/network/47068")</f>
        <v>http://funmeta.oebiotech.com/network/47068</v>
      </c>
      <c r="H6705" s="2" t="s">
        <v>44456</v>
      </c>
      <c r="I6705" s="2">
        <v>3271</v>
      </c>
      <c r="J6705" s="2"/>
      <c r="K6705" s="2">
        <v>37023</v>
      </c>
      <c r="L6705" s="2" t="s">
        <v>44457</v>
      </c>
      <c r="M6705" s="2" t="s">
        <v>44458</v>
      </c>
      <c r="N6705" s="2" t="s">
        <v>44459</v>
      </c>
      <c r="O6705" s="2">
        <v>92136</v>
      </c>
      <c r="P6705" s="2" t="s">
        <v>44460</v>
      </c>
      <c r="Q6705" s="2" t="s">
        <v>44461</v>
      </c>
      <c r="R6705" s="2" t="s">
        <v>44462</v>
      </c>
      <c r="S6705" s="2" t="s">
        <v>89</v>
      </c>
      <c r="T6705" s="2" t="s">
        <v>90</v>
      </c>
      <c r="U6705" s="2" t="s">
        <v>99</v>
      </c>
      <c r="V6705" s="2" t="s">
        <v>59</v>
      </c>
      <c r="W6705" s="2">
        <v>40</v>
      </c>
      <c r="X6705" s="2">
        <v>5.56</v>
      </c>
      <c r="Y6705" s="2" t="s">
        <v>323</v>
      </c>
      <c r="Z6705" s="2" t="s">
        <v>18709</v>
      </c>
      <c r="AA6705" s="2">
        <v>-1.23612986924591</v>
      </c>
      <c r="AB6705" s="2">
        <v>1.6612855023755899E-2</v>
      </c>
      <c r="AC6705" s="2">
        <v>7712.1668219809799</v>
      </c>
      <c r="AD6705" s="2">
        <v>7606.38588297346</v>
      </c>
      <c r="AE6705" s="2">
        <v>7762.0286325688703</v>
      </c>
      <c r="AF6705" s="2">
        <v>7268.5048728941902</v>
      </c>
      <c r="AG6705" s="2">
        <v>8365.1677330741095</v>
      </c>
      <c r="AH6705" s="2">
        <v>7746.8295326939297</v>
      </c>
      <c r="AI6705" s="2">
        <v>7456.1451444752001</v>
      </c>
      <c r="AJ6705" s="2">
        <v>7674.3250161795904</v>
      </c>
      <c r="AK6705" s="2">
        <v>7744.0659395880202</v>
      </c>
      <c r="AL6705" s="2">
        <v>7148.6136199769198</v>
      </c>
      <c r="AM6705" s="2">
        <v>7574.7361366666501</v>
      </c>
      <c r="AN6705" s="2">
        <v>8046.0205989979904</v>
      </c>
      <c r="AO6705" s="2">
        <v>7563.0904483615504</v>
      </c>
      <c r="AP6705" s="2">
        <v>7561.7885542496197</v>
      </c>
    </row>
    <row r="6706" spans="1:42" ht="14.5" x14ac:dyDescent="0.35">
      <c r="A6706" s="2" t="s">
        <v>44463</v>
      </c>
      <c r="B6706" s="2">
        <v>261.22116650448601</v>
      </c>
      <c r="C6706" s="2">
        <v>11.2503166666667</v>
      </c>
      <c r="D6706" s="2" t="s">
        <v>34</v>
      </c>
      <c r="E6706" s="2" t="s">
        <v>44464</v>
      </c>
      <c r="F6706" s="2">
        <v>1047</v>
      </c>
      <c r="G6706" s="3" t="str">
        <f>HYPERLINK("http://funmeta.oebiotech.com/network/1047", "http://funmeta.oebiotech.com/network/1047")</f>
        <v>http://funmeta.oebiotech.com/network/1047</v>
      </c>
      <c r="H6706" s="2"/>
      <c r="I6706" s="2">
        <v>35216</v>
      </c>
      <c r="J6706" s="2" t="s">
        <v>44465</v>
      </c>
      <c r="K6706" s="2"/>
      <c r="L6706" s="2"/>
      <c r="M6706" s="2"/>
      <c r="N6706" s="2"/>
      <c r="O6706" s="2">
        <v>5312690</v>
      </c>
      <c r="P6706" s="2"/>
      <c r="Q6706" s="2" t="s">
        <v>44466</v>
      </c>
      <c r="R6706" s="2" t="s">
        <v>44467</v>
      </c>
      <c r="S6706" s="2" t="s">
        <v>50</v>
      </c>
      <c r="T6706" s="2" t="s">
        <v>229</v>
      </c>
      <c r="U6706" s="2" t="s">
        <v>433</v>
      </c>
      <c r="V6706" s="2" t="s">
        <v>59</v>
      </c>
      <c r="W6706" s="2">
        <v>47.8</v>
      </c>
      <c r="X6706" s="2">
        <v>42.8</v>
      </c>
      <c r="Y6706" s="2" t="s">
        <v>141</v>
      </c>
      <c r="Z6706" s="2" t="s">
        <v>8830</v>
      </c>
      <c r="AA6706" s="2">
        <v>-0.45088300050121799</v>
      </c>
      <c r="AB6706" s="2">
        <v>1.6587112452183202E-2</v>
      </c>
      <c r="AC6706" s="2">
        <v>5552.51474278763</v>
      </c>
      <c r="AD6706" s="2">
        <v>5392.7650711865099</v>
      </c>
      <c r="AE6706" s="2">
        <v>6194.9547152452496</v>
      </c>
      <c r="AF6706" s="2">
        <v>5089.8818470310798</v>
      </c>
      <c r="AG6706" s="2">
        <v>5296.7765835422497</v>
      </c>
      <c r="AH6706" s="2">
        <v>6360.1828602773403</v>
      </c>
      <c r="AI6706" s="2">
        <v>5719.9786082741102</v>
      </c>
      <c r="AJ6706" s="2">
        <v>4653.3138423557803</v>
      </c>
      <c r="AK6706" s="2">
        <v>5392.70567134271</v>
      </c>
      <c r="AL6706" s="2">
        <v>7128.2010603396002</v>
      </c>
      <c r="AM6706" s="2">
        <v>5051.6553942378596</v>
      </c>
      <c r="AN6706" s="2">
        <v>5125.9912681695396</v>
      </c>
      <c r="AO6706" s="2">
        <v>4340.52804639232</v>
      </c>
      <c r="AP6706" s="2">
        <v>5317.5089866370399</v>
      </c>
    </row>
    <row r="6707" spans="1:42" ht="14.5" x14ac:dyDescent="0.35">
      <c r="A6707" s="2" t="s">
        <v>44468</v>
      </c>
      <c r="B6707" s="2">
        <v>283.263998745256</v>
      </c>
      <c r="C6707" s="2">
        <v>14.011983333333299</v>
      </c>
      <c r="D6707" s="2" t="s">
        <v>70</v>
      </c>
      <c r="E6707" s="2" t="s">
        <v>44469</v>
      </c>
      <c r="F6707" s="2">
        <v>9429</v>
      </c>
      <c r="G6707" s="3" t="str">
        <f>HYPERLINK("http://funmeta.oebiotech.com/network/9429", "http://funmeta.oebiotech.com/network/9429")</f>
        <v>http://funmeta.oebiotech.com/network/9429</v>
      </c>
      <c r="H6707" s="2" t="s">
        <v>44470</v>
      </c>
      <c r="I6707" s="2">
        <v>97727</v>
      </c>
      <c r="J6707" s="2" t="s">
        <v>44471</v>
      </c>
      <c r="K6707" s="2">
        <v>64502</v>
      </c>
      <c r="L6707" s="2"/>
      <c r="M6707" s="2"/>
      <c r="N6707" s="2"/>
      <c r="O6707" s="2">
        <v>23217</v>
      </c>
      <c r="P6707" s="2"/>
      <c r="Q6707" s="2" t="s">
        <v>44472</v>
      </c>
      <c r="R6707" s="2" t="s">
        <v>44473</v>
      </c>
      <c r="S6707" s="2" t="s">
        <v>3194</v>
      </c>
      <c r="T6707" s="2" t="s">
        <v>3195</v>
      </c>
      <c r="U6707" s="2" t="s">
        <v>3196</v>
      </c>
      <c r="V6707" s="2" t="s">
        <v>59</v>
      </c>
      <c r="W6707" s="2">
        <v>39.4</v>
      </c>
      <c r="X6707" s="2">
        <v>0</v>
      </c>
      <c r="Y6707" s="2" t="s">
        <v>408</v>
      </c>
      <c r="Z6707" s="2" t="s">
        <v>44474</v>
      </c>
      <c r="AA6707" s="2">
        <v>-1.0711350730593301</v>
      </c>
      <c r="AB6707" s="2">
        <v>1.6470757880779001E-2</v>
      </c>
      <c r="AC6707" s="2">
        <v>17274.943176332101</v>
      </c>
      <c r="AD6707" s="2">
        <v>16922.730739696901</v>
      </c>
      <c r="AE6707" s="2">
        <v>15642.458705807299</v>
      </c>
      <c r="AF6707" s="2">
        <v>15258.677837167699</v>
      </c>
      <c r="AG6707" s="2">
        <v>12621.511990160599</v>
      </c>
      <c r="AH6707" s="2">
        <v>17750.686572601899</v>
      </c>
      <c r="AI6707" s="2">
        <v>23062.068152363099</v>
      </c>
      <c r="AJ6707" s="2">
        <v>19314.255799892198</v>
      </c>
      <c r="AK6707" s="2">
        <v>17648.7149671722</v>
      </c>
      <c r="AL6707" s="2">
        <v>16044.349882516501</v>
      </c>
      <c r="AM6707" s="2">
        <v>19578.578157438598</v>
      </c>
      <c r="AN6707" s="2">
        <v>16060.650395337099</v>
      </c>
      <c r="AO6707" s="2">
        <v>16158.2518312182</v>
      </c>
      <c r="AP6707" s="2">
        <v>16045.839204499</v>
      </c>
    </row>
    <row r="6708" spans="1:42" ht="14.5" x14ac:dyDescent="0.35">
      <c r="A6708" s="2" t="s">
        <v>44475</v>
      </c>
      <c r="B6708" s="2">
        <v>836.262068401938</v>
      </c>
      <c r="C6708" s="2">
        <v>5.9351500000000001</v>
      </c>
      <c r="D6708" s="2" t="s">
        <v>70</v>
      </c>
      <c r="E6708" s="2" t="s">
        <v>44476</v>
      </c>
      <c r="F6708" s="2">
        <v>37556</v>
      </c>
      <c r="G6708" s="3" t="str">
        <f>HYPERLINK("http://funmeta.oebiotech.com/network/37556", "http://funmeta.oebiotech.com/network/37556")</f>
        <v>http://funmeta.oebiotech.com/network/37556</v>
      </c>
      <c r="H6708" s="2"/>
      <c r="I6708" s="2"/>
      <c r="J6708" s="2" t="s">
        <v>44477</v>
      </c>
      <c r="K6708" s="2">
        <v>71619</v>
      </c>
      <c r="L6708" s="2" t="s">
        <v>44478</v>
      </c>
      <c r="M6708" s="2" t="s">
        <v>44479</v>
      </c>
      <c r="N6708" s="2" t="s">
        <v>44480</v>
      </c>
      <c r="O6708" s="2">
        <v>25201749</v>
      </c>
      <c r="P6708" s="2"/>
      <c r="Q6708" s="2" t="s">
        <v>44481</v>
      </c>
      <c r="R6708" s="2" t="s">
        <v>44482</v>
      </c>
      <c r="S6708" s="2" t="s">
        <v>1444</v>
      </c>
      <c r="T6708" s="2" t="s">
        <v>4040</v>
      </c>
      <c r="U6708" s="2" t="s">
        <v>4041</v>
      </c>
      <c r="V6708" s="2" t="s">
        <v>59</v>
      </c>
      <c r="W6708" s="2">
        <v>38</v>
      </c>
      <c r="X6708" s="2">
        <v>0</v>
      </c>
      <c r="Y6708" s="2" t="s">
        <v>408</v>
      </c>
      <c r="Z6708" s="2" t="s">
        <v>44483</v>
      </c>
      <c r="AA6708" s="2">
        <v>-0.53020225863452097</v>
      </c>
      <c r="AB6708" s="2">
        <v>1.6442053518556401E-2</v>
      </c>
      <c r="AC6708" s="2">
        <v>5270.3898554158905</v>
      </c>
      <c r="AD6708" s="2">
        <v>5452.4962663115602</v>
      </c>
      <c r="AE6708" s="2">
        <v>5869.0563729653404</v>
      </c>
      <c r="AF6708" s="2">
        <v>5011.3951515703002</v>
      </c>
      <c r="AG6708" s="2">
        <v>4861.8953888459901</v>
      </c>
      <c r="AH6708" s="2">
        <v>6952.4284883432101</v>
      </c>
      <c r="AI6708" s="2">
        <v>4084.69243672623</v>
      </c>
      <c r="AJ6708" s="2">
        <v>4842.8712940442701</v>
      </c>
      <c r="AK6708" s="2">
        <v>6082.3945532890302</v>
      </c>
      <c r="AL6708" s="2">
        <v>5880.2011822924296</v>
      </c>
      <c r="AM6708" s="2">
        <v>5321.8266693216401</v>
      </c>
      <c r="AN6708" s="2">
        <v>4398.1682477241502</v>
      </c>
      <c r="AO6708" s="2">
        <v>6436.7634106663199</v>
      </c>
      <c r="AP6708" s="2">
        <v>4595.6235345758196</v>
      </c>
    </row>
    <row r="6709" spans="1:42" ht="14.5" x14ac:dyDescent="0.35">
      <c r="A6709" s="2" t="s">
        <v>44484</v>
      </c>
      <c r="B6709" s="2">
        <v>415.10327460635398</v>
      </c>
      <c r="C6709" s="2">
        <v>5.4498833333333296</v>
      </c>
      <c r="D6709" s="2" t="s">
        <v>70</v>
      </c>
      <c r="E6709" s="2" t="s">
        <v>44485</v>
      </c>
      <c r="F6709" s="2">
        <v>342161</v>
      </c>
      <c r="G6709" s="3" t="str">
        <f>HYPERLINK("http://funmeta.oebiotech.com/network/342161", "http://funmeta.oebiotech.com/network/342161")</f>
        <v>http://funmeta.oebiotech.com/network/342161</v>
      </c>
      <c r="H6709" s="2"/>
      <c r="I6709" s="2">
        <v>416910</v>
      </c>
      <c r="J6709" s="2"/>
      <c r="K6709" s="2"/>
      <c r="L6709" s="2"/>
      <c r="M6709" s="2"/>
      <c r="N6709" s="2"/>
      <c r="O6709" s="2">
        <v>3084131</v>
      </c>
      <c r="P6709" s="2"/>
      <c r="Q6709" s="2" t="s">
        <v>44486</v>
      </c>
      <c r="R6709" s="2" t="s">
        <v>44487</v>
      </c>
      <c r="S6709" s="2" t="s">
        <v>1184</v>
      </c>
      <c r="T6709" s="2" t="s">
        <v>3333</v>
      </c>
      <c r="U6709" s="2" t="s">
        <v>41</v>
      </c>
      <c r="V6709" s="2" t="s">
        <v>59</v>
      </c>
      <c r="W6709" s="2">
        <v>38.6</v>
      </c>
      <c r="X6709" s="2">
        <v>0</v>
      </c>
      <c r="Y6709" s="2" t="s">
        <v>408</v>
      </c>
      <c r="Z6709" s="2" t="s">
        <v>44488</v>
      </c>
      <c r="AA6709" s="2">
        <v>-0.48953054330395301</v>
      </c>
      <c r="AB6709" s="2">
        <v>1.6312736710898001E-2</v>
      </c>
      <c r="AC6709" s="2">
        <v>7975.0129137997801</v>
      </c>
      <c r="AD6709" s="2">
        <v>7826.6230588427597</v>
      </c>
      <c r="AE6709" s="2">
        <v>8998.1673198772205</v>
      </c>
      <c r="AF6709" s="2">
        <v>6951.5386021864897</v>
      </c>
      <c r="AG6709" s="2">
        <v>7976.3409780928496</v>
      </c>
      <c r="AH6709" s="2">
        <v>8120.3290127625996</v>
      </c>
      <c r="AI6709" s="2">
        <v>7852.8006534203296</v>
      </c>
      <c r="AJ6709" s="2">
        <v>7950.9009164591798</v>
      </c>
      <c r="AK6709" s="2">
        <v>8386.71252201684</v>
      </c>
      <c r="AL6709" s="2">
        <v>6982.3239896068299</v>
      </c>
      <c r="AM6709" s="2">
        <v>8835.3941283612894</v>
      </c>
      <c r="AN6709" s="2">
        <v>7230.1810853070301</v>
      </c>
      <c r="AO6709" s="2">
        <v>7838.9144664236801</v>
      </c>
      <c r="AP6709" s="2">
        <v>7686.2121613408999</v>
      </c>
    </row>
    <row r="6710" spans="1:42" ht="14.5" x14ac:dyDescent="0.35">
      <c r="A6710" s="2" t="s">
        <v>44489</v>
      </c>
      <c r="B6710" s="2">
        <v>335.03984716310401</v>
      </c>
      <c r="C6710" s="2">
        <v>4.2251833333333302</v>
      </c>
      <c r="D6710" s="2" t="s">
        <v>34</v>
      </c>
      <c r="E6710" s="2" t="s">
        <v>44490</v>
      </c>
      <c r="F6710" s="2">
        <v>33412</v>
      </c>
      <c r="G6710" s="3" t="str">
        <f>HYPERLINK("http://funmeta.oebiotech.com/network/33412", "http://funmeta.oebiotech.com/network/33412")</f>
        <v>http://funmeta.oebiotech.com/network/33412</v>
      </c>
      <c r="H6710" s="2" t="s">
        <v>44491</v>
      </c>
      <c r="I6710" s="2">
        <v>51739</v>
      </c>
      <c r="J6710" s="2" t="s">
        <v>44492</v>
      </c>
      <c r="K6710" s="2"/>
      <c r="L6710" s="2"/>
      <c r="M6710" s="2"/>
      <c r="N6710" s="2"/>
      <c r="O6710" s="2">
        <v>44260065</v>
      </c>
      <c r="P6710" s="2" t="s">
        <v>44493</v>
      </c>
      <c r="Q6710" s="2" t="s">
        <v>44494</v>
      </c>
      <c r="R6710" s="2" t="s">
        <v>44495</v>
      </c>
      <c r="S6710" s="2" t="s">
        <v>115</v>
      </c>
      <c r="T6710" s="2" t="s">
        <v>139</v>
      </c>
      <c r="U6710" s="2" t="s">
        <v>1806</v>
      </c>
      <c r="V6710" s="2" t="s">
        <v>59</v>
      </c>
      <c r="W6710" s="2">
        <v>38.799999999999997</v>
      </c>
      <c r="X6710" s="2">
        <v>0</v>
      </c>
      <c r="Y6710" s="2" t="s">
        <v>394</v>
      </c>
      <c r="Z6710" s="2" t="s">
        <v>44496</v>
      </c>
      <c r="AA6710" s="2">
        <v>0.26594528439745901</v>
      </c>
      <c r="AB6710" s="2">
        <v>1.6297058054478099E-2</v>
      </c>
      <c r="AC6710" s="2">
        <v>1021.73489639613</v>
      </c>
      <c r="AD6710" s="2">
        <v>911.86861431247303</v>
      </c>
      <c r="AE6710" s="2">
        <v>685.30514491482904</v>
      </c>
      <c r="AF6710" s="2">
        <v>819.31641354496901</v>
      </c>
      <c r="AG6710" s="2">
        <v>1470.09311989402</v>
      </c>
      <c r="AH6710" s="2">
        <v>1301.80559166373</v>
      </c>
      <c r="AI6710" s="2">
        <v>1090.13561097096</v>
      </c>
      <c r="AJ6710" s="2">
        <v>763.75349738824502</v>
      </c>
      <c r="AK6710" s="2">
        <v>399.564707473581</v>
      </c>
      <c r="AL6710" s="2">
        <v>1236.93316250057</v>
      </c>
      <c r="AM6710" s="2">
        <v>532.44995557849404</v>
      </c>
      <c r="AN6710" s="2">
        <v>810.08059094542102</v>
      </c>
      <c r="AO6710" s="2">
        <v>1531.1999089104299</v>
      </c>
      <c r="AP6710" s="2">
        <v>960.98336046634302</v>
      </c>
    </row>
    <row r="6711" spans="1:42" ht="14.5" x14ac:dyDescent="0.35">
      <c r="A6711" s="2" t="s">
        <v>44497</v>
      </c>
      <c r="B6711" s="2">
        <v>304.15531996448402</v>
      </c>
      <c r="C6711" s="2">
        <v>5.0778999999999996</v>
      </c>
      <c r="D6711" s="2" t="s">
        <v>70</v>
      </c>
      <c r="E6711" s="2" t="s">
        <v>44498</v>
      </c>
      <c r="F6711" s="2">
        <v>47672</v>
      </c>
      <c r="G6711" s="3" t="str">
        <f>HYPERLINK("http://funmeta.oebiotech.com/network/47672", "http://funmeta.oebiotech.com/network/47672")</f>
        <v>http://funmeta.oebiotech.com/network/47672</v>
      </c>
      <c r="H6711" s="2" t="s">
        <v>44499</v>
      </c>
      <c r="I6711" s="2">
        <v>2170</v>
      </c>
      <c r="J6711" s="2"/>
      <c r="K6711" s="2">
        <v>8499</v>
      </c>
      <c r="L6711" s="2" t="s">
        <v>44500</v>
      </c>
      <c r="M6711" s="2"/>
      <c r="N6711" s="2"/>
      <c r="O6711" s="2">
        <v>4946</v>
      </c>
      <c r="P6711" s="2" t="s">
        <v>44501</v>
      </c>
      <c r="Q6711" s="2" t="s">
        <v>44502</v>
      </c>
      <c r="R6711" s="2" t="s">
        <v>44503</v>
      </c>
      <c r="S6711" s="2" t="s">
        <v>148</v>
      </c>
      <c r="T6711" s="2" t="s">
        <v>6221</v>
      </c>
      <c r="U6711" s="2" t="s">
        <v>41</v>
      </c>
      <c r="V6711" s="2" t="s">
        <v>59</v>
      </c>
      <c r="W6711" s="2">
        <v>38.700000000000003</v>
      </c>
      <c r="X6711" s="2">
        <v>0</v>
      </c>
      <c r="Y6711" s="2" t="s">
        <v>408</v>
      </c>
      <c r="Z6711" s="2" t="s">
        <v>44504</v>
      </c>
      <c r="AA6711" s="2">
        <v>-0.43148673254738401</v>
      </c>
      <c r="AB6711" s="2">
        <v>1.6285776371072001E-2</v>
      </c>
      <c r="AC6711" s="2">
        <v>1644.30010270768</v>
      </c>
      <c r="AD6711" s="2">
        <v>1727.3207858952401</v>
      </c>
      <c r="AE6711" s="2">
        <v>1672.03414870391</v>
      </c>
      <c r="AF6711" s="2">
        <v>1497.17999309481</v>
      </c>
      <c r="AG6711" s="2">
        <v>1459.8403070239699</v>
      </c>
      <c r="AH6711" s="2">
        <v>1595.47420705426</v>
      </c>
      <c r="AI6711" s="2">
        <v>2138.55841186511</v>
      </c>
      <c r="AJ6711" s="2">
        <v>1502.7135485040201</v>
      </c>
      <c r="AK6711" s="2">
        <v>2007.19248980109</v>
      </c>
      <c r="AL6711" s="2">
        <v>1813.4538788064499</v>
      </c>
      <c r="AM6711" s="2">
        <v>1727.40651845913</v>
      </c>
      <c r="AN6711" s="2">
        <v>1456.07402044747</v>
      </c>
      <c r="AO6711" s="2">
        <v>1581.2691253943401</v>
      </c>
      <c r="AP6711" s="2">
        <v>1778.52868246295</v>
      </c>
    </row>
    <row r="6712" spans="1:42" ht="14.5" x14ac:dyDescent="0.35">
      <c r="A6712" s="2" t="s">
        <v>44505</v>
      </c>
      <c r="B6712" s="2">
        <v>301.03515949817</v>
      </c>
      <c r="C6712" s="2">
        <v>5.9351500000000001</v>
      </c>
      <c r="D6712" s="2" t="s">
        <v>70</v>
      </c>
      <c r="E6712" s="2" t="s">
        <v>44506</v>
      </c>
      <c r="F6712" s="2">
        <v>210707</v>
      </c>
      <c r="G6712" s="3" t="str">
        <f>HYPERLINK("http://funmeta.oebiotech.com/network/210707", "http://funmeta.oebiotech.com/network/210707")</f>
        <v>http://funmeta.oebiotech.com/network/210707</v>
      </c>
      <c r="H6712" s="2" t="s">
        <v>44507</v>
      </c>
      <c r="I6712" s="2">
        <v>43558</v>
      </c>
      <c r="J6712" s="2"/>
      <c r="K6712" s="2">
        <v>8645</v>
      </c>
      <c r="L6712" s="2" t="s">
        <v>44508</v>
      </c>
      <c r="M6712" s="2"/>
      <c r="N6712" s="2"/>
      <c r="O6712" s="2">
        <v>6683</v>
      </c>
      <c r="P6712" s="2" t="s">
        <v>44509</v>
      </c>
      <c r="Q6712" s="2" t="s">
        <v>44510</v>
      </c>
      <c r="R6712" s="2" t="s">
        <v>44511</v>
      </c>
      <c r="S6712" s="2" t="s">
        <v>148</v>
      </c>
      <c r="T6712" s="2" t="s">
        <v>6068</v>
      </c>
      <c r="U6712" s="2" t="s">
        <v>6069</v>
      </c>
      <c r="V6712" s="2" t="s">
        <v>59</v>
      </c>
      <c r="W6712" s="2">
        <v>39.1</v>
      </c>
      <c r="X6712" s="2">
        <v>0</v>
      </c>
      <c r="Y6712" s="2" t="s">
        <v>408</v>
      </c>
      <c r="Z6712" s="2" t="s">
        <v>44512</v>
      </c>
      <c r="AA6712" s="2">
        <v>-0.84646376753997399</v>
      </c>
      <c r="AB6712" s="2">
        <v>1.6225766068374399E-2</v>
      </c>
      <c r="AC6712" s="2">
        <v>10.6255721046837</v>
      </c>
      <c r="AD6712" s="2">
        <v>52.834470860500502</v>
      </c>
      <c r="AE6712" s="2">
        <v>2.7106294003980101E-5</v>
      </c>
      <c r="AF6712" s="2">
        <v>2.7106294003980101E-5</v>
      </c>
      <c r="AG6712" s="2">
        <v>2.7106294003980101E-5</v>
      </c>
      <c r="AH6712" s="2">
        <v>63.753297096632302</v>
      </c>
      <c r="AI6712" s="2">
        <v>2.7106294003980101E-5</v>
      </c>
      <c r="AJ6712" s="2">
        <v>2.7106294003980101E-5</v>
      </c>
      <c r="AK6712" s="2">
        <v>2.7106294003980101E-5</v>
      </c>
      <c r="AL6712" s="2">
        <v>166.992868007467</v>
      </c>
      <c r="AM6712" s="2">
        <v>73.402002716016099</v>
      </c>
      <c r="AN6712" s="2">
        <v>2.7106294003980101E-5</v>
      </c>
      <c r="AO6712" s="2">
        <v>76.611873120637796</v>
      </c>
      <c r="AP6712" s="2">
        <v>2.7106294003980101E-5</v>
      </c>
    </row>
    <row r="6713" spans="1:42" ht="14.5" x14ac:dyDescent="0.35">
      <c r="A6713" s="2" t="s">
        <v>44513</v>
      </c>
      <c r="B6713" s="2">
        <v>278.95219827380299</v>
      </c>
      <c r="C6713" s="2">
        <v>1.3894500000000001</v>
      </c>
      <c r="D6713" s="2" t="s">
        <v>70</v>
      </c>
      <c r="E6713" s="2" t="s">
        <v>44514</v>
      </c>
      <c r="F6713" s="2">
        <v>83499</v>
      </c>
      <c r="G6713" s="3" t="str">
        <f>HYPERLINK("http://funmeta.oebiotech.com/network/83499", "http://funmeta.oebiotech.com/network/83499")</f>
        <v>http://funmeta.oebiotech.com/network/83499</v>
      </c>
      <c r="H6713" s="2" t="s">
        <v>44515</v>
      </c>
      <c r="I6713" s="2">
        <v>340930</v>
      </c>
      <c r="J6713" s="2"/>
      <c r="K6713" s="2"/>
      <c r="L6713" s="2"/>
      <c r="M6713" s="2"/>
      <c r="N6713" s="2"/>
      <c r="O6713" s="2">
        <v>69676</v>
      </c>
      <c r="P6713" s="2"/>
      <c r="Q6713" s="2" t="s">
        <v>44516</v>
      </c>
      <c r="R6713" s="2" t="s">
        <v>44517</v>
      </c>
      <c r="S6713" s="2" t="s">
        <v>148</v>
      </c>
      <c r="T6713" s="2" t="s">
        <v>3772</v>
      </c>
      <c r="U6713" s="2" t="s">
        <v>18665</v>
      </c>
      <c r="V6713" s="2" t="s">
        <v>59</v>
      </c>
      <c r="W6713" s="2">
        <v>38.700000000000003</v>
      </c>
      <c r="X6713" s="2">
        <v>0</v>
      </c>
      <c r="Y6713" s="2" t="s">
        <v>408</v>
      </c>
      <c r="Z6713" s="2" t="s">
        <v>44518</v>
      </c>
      <c r="AA6713" s="2">
        <v>-0.71569680399087798</v>
      </c>
      <c r="AB6713" s="2">
        <v>1.6201345049985699E-2</v>
      </c>
      <c r="AC6713" s="2">
        <v>2841.97796606674</v>
      </c>
      <c r="AD6713" s="2">
        <v>2953.5125946212602</v>
      </c>
      <c r="AE6713" s="2">
        <v>2767.4219823707099</v>
      </c>
      <c r="AF6713" s="2">
        <v>2775.43395656751</v>
      </c>
      <c r="AG6713" s="2">
        <v>2457.6607578686298</v>
      </c>
      <c r="AH6713" s="2">
        <v>3130.3857419757001</v>
      </c>
      <c r="AI6713" s="2">
        <v>3062.9027667537898</v>
      </c>
      <c r="AJ6713" s="2">
        <v>2858.06259086409</v>
      </c>
      <c r="AK6713" s="2">
        <v>3073.4911712688099</v>
      </c>
      <c r="AL6713" s="2">
        <v>3324.4575634897401</v>
      </c>
      <c r="AM6713" s="2">
        <v>2089.00548064034</v>
      </c>
      <c r="AN6713" s="2">
        <v>2674.3733213505202</v>
      </c>
      <c r="AO6713" s="2">
        <v>3428.77880578026</v>
      </c>
      <c r="AP6713" s="2">
        <v>3130.9692251978599</v>
      </c>
    </row>
    <row r="6714" spans="1:42" ht="14.5" x14ac:dyDescent="0.35">
      <c r="A6714" s="2" t="s">
        <v>44519</v>
      </c>
      <c r="B6714" s="2">
        <v>256.030195492578</v>
      </c>
      <c r="C6714" s="2">
        <v>1.3655666666666699</v>
      </c>
      <c r="D6714" s="2" t="s">
        <v>34</v>
      </c>
      <c r="E6714" s="2" t="s">
        <v>44520</v>
      </c>
      <c r="F6714" s="2">
        <v>210058</v>
      </c>
      <c r="G6714" s="3" t="str">
        <f>HYPERLINK("http://funmeta.oebiotech.com/network/210058", "http://funmeta.oebiotech.com/network/210058")</f>
        <v>http://funmeta.oebiotech.com/network/210058</v>
      </c>
      <c r="H6714" s="2" t="s">
        <v>44521</v>
      </c>
      <c r="I6714" s="2"/>
      <c r="J6714" s="2"/>
      <c r="K6714" s="2"/>
      <c r="L6714" s="2"/>
      <c r="M6714" s="2"/>
      <c r="N6714" s="2"/>
      <c r="O6714" s="2"/>
      <c r="P6714" s="2"/>
      <c r="Q6714" s="2" t="s">
        <v>44522</v>
      </c>
      <c r="R6714" s="2" t="s">
        <v>44523</v>
      </c>
      <c r="S6714" s="2" t="s">
        <v>41</v>
      </c>
      <c r="T6714" s="2" t="s">
        <v>41</v>
      </c>
      <c r="U6714" s="2" t="s">
        <v>41</v>
      </c>
      <c r="V6714" s="2" t="s">
        <v>59</v>
      </c>
      <c r="W6714" s="2">
        <v>37.5</v>
      </c>
      <c r="X6714" s="2">
        <v>0</v>
      </c>
      <c r="Y6714" s="2" t="s">
        <v>340</v>
      </c>
      <c r="Z6714" s="2" t="s">
        <v>44524</v>
      </c>
      <c r="AA6714" s="2">
        <v>-1.5246630338934</v>
      </c>
      <c r="AB6714" s="2">
        <v>1.6198244687976902E-2</v>
      </c>
      <c r="AC6714" s="2">
        <v>1523.4267208891699</v>
      </c>
      <c r="AD6714" s="2">
        <v>1639.43228171027</v>
      </c>
      <c r="AE6714" s="2">
        <v>1538.27924524538</v>
      </c>
      <c r="AF6714" s="2">
        <v>2077.7602533987001</v>
      </c>
      <c r="AG6714" s="2">
        <v>1207.0490478429599</v>
      </c>
      <c r="AH6714" s="2">
        <v>930.44264125155303</v>
      </c>
      <c r="AI6714" s="2">
        <v>2175.5382775492199</v>
      </c>
      <c r="AJ6714" s="2">
        <v>1211.4908600472199</v>
      </c>
      <c r="AK6714" s="2">
        <v>1151.75570170334</v>
      </c>
      <c r="AL6714" s="2">
        <v>1259.7865502131499</v>
      </c>
      <c r="AM6714" s="2">
        <v>2206.2262264137298</v>
      </c>
      <c r="AN6714" s="2">
        <v>1765.3855656298001</v>
      </c>
      <c r="AO6714" s="2">
        <v>2030.9415895127399</v>
      </c>
      <c r="AP6714" s="2">
        <v>1422.4980567888599</v>
      </c>
    </row>
    <row r="6715" spans="1:42" ht="14.5" x14ac:dyDescent="0.35">
      <c r="A6715" s="2" t="s">
        <v>44525</v>
      </c>
      <c r="B6715" s="2">
        <v>332.31569965743802</v>
      </c>
      <c r="C6715" s="2">
        <v>9.0830166666666692</v>
      </c>
      <c r="D6715" s="2" t="s">
        <v>34</v>
      </c>
      <c r="E6715" s="2" t="s">
        <v>44526</v>
      </c>
      <c r="F6715" s="2">
        <v>1699</v>
      </c>
      <c r="G6715" s="3" t="str">
        <f>HYPERLINK("http://funmeta.oebiotech.com/network/1699", "http://funmeta.oebiotech.com/network/1699")</f>
        <v>http://funmeta.oebiotech.com/network/1699</v>
      </c>
      <c r="H6715" s="2"/>
      <c r="I6715" s="2">
        <v>74502</v>
      </c>
      <c r="J6715" s="2" t="s">
        <v>44527</v>
      </c>
      <c r="K6715" s="2">
        <v>79179</v>
      </c>
      <c r="L6715" s="2"/>
      <c r="M6715" s="2"/>
      <c r="N6715" s="2"/>
      <c r="O6715" s="2">
        <v>5282917</v>
      </c>
      <c r="P6715" s="2"/>
      <c r="Q6715" s="2" t="s">
        <v>44528</v>
      </c>
      <c r="R6715" s="2" t="s">
        <v>44529</v>
      </c>
      <c r="S6715" s="2" t="s">
        <v>50</v>
      </c>
      <c r="T6715" s="2" t="s">
        <v>229</v>
      </c>
      <c r="U6715" s="2" t="s">
        <v>433</v>
      </c>
      <c r="V6715" s="2" t="s">
        <v>59</v>
      </c>
      <c r="W6715" s="2">
        <v>43.7</v>
      </c>
      <c r="X6715" s="2">
        <v>24.3</v>
      </c>
      <c r="Y6715" s="2" t="s">
        <v>43</v>
      </c>
      <c r="Z6715" s="2" t="s">
        <v>42997</v>
      </c>
      <c r="AA6715" s="2">
        <v>-0.70303050996420302</v>
      </c>
      <c r="AB6715" s="2">
        <v>1.6190032525263302E-2</v>
      </c>
      <c r="AC6715" s="2">
        <v>8189.7011988013001</v>
      </c>
      <c r="AD6715" s="2">
        <v>8384.1185369458599</v>
      </c>
      <c r="AE6715" s="2">
        <v>8081.58161645988</v>
      </c>
      <c r="AF6715" s="2">
        <v>7144.3965633874896</v>
      </c>
      <c r="AG6715" s="2">
        <v>7878.5302780120101</v>
      </c>
      <c r="AH6715" s="2">
        <v>7103.5720858245204</v>
      </c>
      <c r="AI6715" s="2">
        <v>9228.8842194065801</v>
      </c>
      <c r="AJ6715" s="2">
        <v>9701.2424297173002</v>
      </c>
      <c r="AK6715" s="2">
        <v>10246.654870459601</v>
      </c>
      <c r="AL6715" s="2">
        <v>8643.0951064072506</v>
      </c>
      <c r="AM6715" s="2">
        <v>7134.2011834938803</v>
      </c>
      <c r="AN6715" s="2">
        <v>6773.3299925429801</v>
      </c>
      <c r="AO6715" s="2">
        <v>8118.1711439842502</v>
      </c>
      <c r="AP6715" s="2">
        <v>9389.2589247871892</v>
      </c>
    </row>
    <row r="6716" spans="1:42" ht="14.5" x14ac:dyDescent="0.35">
      <c r="A6716" s="2" t="s">
        <v>44530</v>
      </c>
      <c r="B6716" s="2">
        <v>381.11554013148998</v>
      </c>
      <c r="C6716" s="2">
        <v>4.2619999999999996</v>
      </c>
      <c r="D6716" s="2" t="s">
        <v>34</v>
      </c>
      <c r="E6716" s="2" t="s">
        <v>44531</v>
      </c>
      <c r="F6716" s="2">
        <v>54561</v>
      </c>
      <c r="G6716" s="3" t="str">
        <f>HYPERLINK("http://funmeta.oebiotech.com/network/54561", "http://funmeta.oebiotech.com/network/54561")</f>
        <v>http://funmeta.oebiotech.com/network/54561</v>
      </c>
      <c r="H6716" s="2" t="s">
        <v>44532</v>
      </c>
      <c r="I6716" s="2">
        <v>86399</v>
      </c>
      <c r="J6716" s="2"/>
      <c r="K6716" s="2">
        <v>167969</v>
      </c>
      <c r="L6716" s="2"/>
      <c r="M6716" s="2"/>
      <c r="N6716" s="2"/>
      <c r="O6716" s="2">
        <v>73009474</v>
      </c>
      <c r="P6716" s="2" t="s">
        <v>44533</v>
      </c>
      <c r="Q6716" s="2" t="s">
        <v>44534</v>
      </c>
      <c r="R6716" s="2" t="s">
        <v>44535</v>
      </c>
      <c r="S6716" s="2" t="s">
        <v>79</v>
      </c>
      <c r="T6716" s="2" t="s">
        <v>80</v>
      </c>
      <c r="U6716" s="2" t="s">
        <v>81</v>
      </c>
      <c r="V6716" s="2" t="s">
        <v>59</v>
      </c>
      <c r="W6716" s="2">
        <v>39.299999999999997</v>
      </c>
      <c r="X6716" s="2">
        <v>0</v>
      </c>
      <c r="Y6716" s="2" t="s">
        <v>323</v>
      </c>
      <c r="Z6716" s="2" t="s">
        <v>6649</v>
      </c>
      <c r="AA6716" s="2">
        <v>-0.175441108895937</v>
      </c>
      <c r="AB6716" s="2">
        <v>1.6181367012467501E-2</v>
      </c>
      <c r="AC6716" s="2">
        <v>4636.7619074942304</v>
      </c>
      <c r="AD6716" s="2">
        <v>4785.9814265452496</v>
      </c>
      <c r="AE6716" s="2">
        <v>4047.0514078343499</v>
      </c>
      <c r="AF6716" s="2">
        <v>3577.16667275088</v>
      </c>
      <c r="AG6716" s="2">
        <v>4882.3851970400801</v>
      </c>
      <c r="AH6716" s="2">
        <v>4321.7629659724998</v>
      </c>
      <c r="AI6716" s="2">
        <v>6039.9837454460003</v>
      </c>
      <c r="AJ6716" s="2">
        <v>4952.2214559215799</v>
      </c>
      <c r="AK6716" s="2">
        <v>4200.6917903147996</v>
      </c>
      <c r="AL6716" s="2">
        <v>3684.4942701887098</v>
      </c>
      <c r="AM6716" s="2">
        <v>4408.3331867285397</v>
      </c>
      <c r="AN6716" s="2">
        <v>5070.6235844590201</v>
      </c>
      <c r="AO6716" s="2">
        <v>5873.5973607834903</v>
      </c>
      <c r="AP6716" s="2">
        <v>5478.1483667969096</v>
      </c>
    </row>
    <row r="6717" spans="1:42" ht="14.5" x14ac:dyDescent="0.35">
      <c r="A6717" s="2" t="s">
        <v>44536</v>
      </c>
      <c r="B6717" s="2">
        <v>571.23919052286203</v>
      </c>
      <c r="C6717" s="2">
        <v>5.1527500000000002</v>
      </c>
      <c r="D6717" s="2" t="s">
        <v>70</v>
      </c>
      <c r="E6717" s="2" t="s">
        <v>44537</v>
      </c>
      <c r="F6717" s="2">
        <v>213244</v>
      </c>
      <c r="G6717" s="3" t="str">
        <f>HYPERLINK("http://funmeta.oebiotech.com/network/213244", "http://funmeta.oebiotech.com/network/213244")</f>
        <v>http://funmeta.oebiotech.com/network/213244</v>
      </c>
      <c r="H6717" s="2" t="s">
        <v>44538</v>
      </c>
      <c r="I6717" s="2">
        <v>43373</v>
      </c>
      <c r="J6717" s="2"/>
      <c r="K6717" s="2"/>
      <c r="L6717" s="2"/>
      <c r="M6717" s="2"/>
      <c r="N6717" s="2"/>
      <c r="O6717" s="2">
        <v>35775</v>
      </c>
      <c r="P6717" s="2"/>
      <c r="Q6717" s="2" t="s">
        <v>44539</v>
      </c>
      <c r="R6717" s="2" t="s">
        <v>44540</v>
      </c>
      <c r="S6717" s="2" t="s">
        <v>41</v>
      </c>
      <c r="T6717" s="2" t="s">
        <v>41</v>
      </c>
      <c r="U6717" s="2" t="s">
        <v>41</v>
      </c>
      <c r="V6717" s="2" t="s">
        <v>59</v>
      </c>
      <c r="W6717" s="2">
        <v>37.1</v>
      </c>
      <c r="X6717" s="2">
        <v>0.753</v>
      </c>
      <c r="Y6717" s="2" t="s">
        <v>560</v>
      </c>
      <c r="Z6717" s="2" t="s">
        <v>44541</v>
      </c>
      <c r="AA6717" s="2">
        <v>0.85326111509709301</v>
      </c>
      <c r="AB6717" s="2">
        <v>1.6127667487954099E-2</v>
      </c>
      <c r="AC6717" s="2">
        <v>6525688.4289283603</v>
      </c>
      <c r="AD6717" s="2">
        <v>6528272.30409005</v>
      </c>
      <c r="AE6717" s="2">
        <v>6691780.3884253204</v>
      </c>
      <c r="AF6717" s="2">
        <v>6291731.8347304799</v>
      </c>
      <c r="AG6717" s="2">
        <v>6549615.0825262005</v>
      </c>
      <c r="AH6717" s="2">
        <v>6417266.9927415103</v>
      </c>
      <c r="AI6717" s="2">
        <v>6400810.0638884204</v>
      </c>
      <c r="AJ6717" s="2">
        <v>6802926.2112582503</v>
      </c>
      <c r="AK6717" s="2">
        <v>6374073.7111977497</v>
      </c>
      <c r="AL6717" s="2">
        <v>6488592.3382010302</v>
      </c>
      <c r="AM6717" s="2">
        <v>6708761.3044722099</v>
      </c>
      <c r="AN6717" s="2">
        <v>6447570.7704595504</v>
      </c>
      <c r="AO6717" s="2">
        <v>6587286.87493103</v>
      </c>
      <c r="AP6717" s="2">
        <v>6563348.8252787301</v>
      </c>
    </row>
    <row r="6718" spans="1:42" ht="14.5" x14ac:dyDescent="0.35">
      <c r="A6718" s="2" t="s">
        <v>44542</v>
      </c>
      <c r="B6718" s="2">
        <v>515.17335693131702</v>
      </c>
      <c r="C6718" s="2">
        <v>3.7334833333333299</v>
      </c>
      <c r="D6718" s="2" t="s">
        <v>34</v>
      </c>
      <c r="E6718" s="2" t="s">
        <v>44543</v>
      </c>
      <c r="F6718" s="2">
        <v>210350</v>
      </c>
      <c r="G6718" s="3" t="str">
        <f>HYPERLINK("http://funmeta.oebiotech.com/network/210350", "http://funmeta.oebiotech.com/network/210350")</f>
        <v>http://funmeta.oebiotech.com/network/210350</v>
      </c>
      <c r="H6718" s="2" t="s">
        <v>44544</v>
      </c>
      <c r="I6718" s="2">
        <v>69778</v>
      </c>
      <c r="J6718" s="2"/>
      <c r="K6718" s="2">
        <v>34921</v>
      </c>
      <c r="L6718" s="2" t="s">
        <v>44545</v>
      </c>
      <c r="M6718" s="2"/>
      <c r="N6718" s="2"/>
      <c r="O6718" s="2">
        <v>86280045</v>
      </c>
      <c r="P6718" s="2" t="s">
        <v>44546</v>
      </c>
      <c r="Q6718" s="2" t="s">
        <v>44547</v>
      </c>
      <c r="R6718" s="2" t="s">
        <v>44548</v>
      </c>
      <c r="S6718" s="2" t="s">
        <v>491</v>
      </c>
      <c r="T6718" s="2" t="s">
        <v>492</v>
      </c>
      <c r="U6718" s="2" t="s">
        <v>44549</v>
      </c>
      <c r="V6718" s="2" t="s">
        <v>59</v>
      </c>
      <c r="W6718" s="2">
        <v>36.9</v>
      </c>
      <c r="X6718" s="2">
        <v>0</v>
      </c>
      <c r="Y6718" s="2" t="s">
        <v>394</v>
      </c>
      <c r="Z6718" s="2" t="s">
        <v>44550</v>
      </c>
      <c r="AA6718" s="2">
        <v>1.24061946621458</v>
      </c>
      <c r="AB6718" s="2">
        <v>1.6045387862915199E-2</v>
      </c>
      <c r="AC6718" s="2">
        <v>74113.151720037698</v>
      </c>
      <c r="AD6718" s="2">
        <v>73784.979101519595</v>
      </c>
      <c r="AE6718" s="2">
        <v>73705.774699005895</v>
      </c>
      <c r="AF6718" s="2">
        <v>76284.782945777595</v>
      </c>
      <c r="AG6718" s="2">
        <v>72279.154074801001</v>
      </c>
      <c r="AH6718" s="2">
        <v>71506.031886860306</v>
      </c>
      <c r="AI6718" s="2">
        <v>70212.562994154607</v>
      </c>
      <c r="AJ6718" s="2">
        <v>80690.603719626801</v>
      </c>
      <c r="AK6718" s="2">
        <v>76395.060493453697</v>
      </c>
      <c r="AL6718" s="2">
        <v>75340.708252868702</v>
      </c>
      <c r="AM6718" s="2">
        <v>76000.6723878419</v>
      </c>
      <c r="AN6718" s="2">
        <v>77474.520529316098</v>
      </c>
      <c r="AO6718" s="2">
        <v>67183.249765336004</v>
      </c>
      <c r="AP6718" s="2">
        <v>70315.663180300995</v>
      </c>
    </row>
    <row r="6719" spans="1:42" ht="14.5" x14ac:dyDescent="0.35">
      <c r="A6719" s="2" t="s">
        <v>44551</v>
      </c>
      <c r="B6719" s="2">
        <v>213.163673393545</v>
      </c>
      <c r="C6719" s="2">
        <v>5.01</v>
      </c>
      <c r="D6719" s="2" t="s">
        <v>34</v>
      </c>
      <c r="E6719" s="2" t="s">
        <v>44552</v>
      </c>
      <c r="F6719" s="2">
        <v>81927</v>
      </c>
      <c r="G6719" s="3" t="str">
        <f>HYPERLINK("http://funmeta.oebiotech.com/network/81927", "http://funmeta.oebiotech.com/network/81927")</f>
        <v>http://funmeta.oebiotech.com/network/81927</v>
      </c>
      <c r="H6719" s="2" t="s">
        <v>44553</v>
      </c>
      <c r="I6719" s="2"/>
      <c r="J6719" s="2"/>
      <c r="K6719" s="2"/>
      <c r="L6719" s="2"/>
      <c r="M6719" s="2"/>
      <c r="N6719" s="2"/>
      <c r="O6719" s="2">
        <v>32241</v>
      </c>
      <c r="P6719" s="2"/>
      <c r="Q6719" s="2" t="s">
        <v>44554</v>
      </c>
      <c r="R6719" s="2" t="s">
        <v>44555</v>
      </c>
      <c r="S6719" s="2" t="s">
        <v>148</v>
      </c>
      <c r="T6719" s="2" t="s">
        <v>6221</v>
      </c>
      <c r="U6719" s="2" t="s">
        <v>41</v>
      </c>
      <c r="V6719" s="2" t="s">
        <v>59</v>
      </c>
      <c r="W6719" s="2">
        <v>39.5</v>
      </c>
      <c r="X6719" s="2">
        <v>0</v>
      </c>
      <c r="Y6719" s="2" t="s">
        <v>394</v>
      </c>
      <c r="Z6719" s="2" t="s">
        <v>44556</v>
      </c>
      <c r="AA6719" s="2">
        <v>-0.48869515794355101</v>
      </c>
      <c r="AB6719" s="2">
        <v>1.60234465082555E-2</v>
      </c>
      <c r="AC6719" s="2">
        <v>3551.6380471369898</v>
      </c>
      <c r="AD6719" s="2">
        <v>3437.3459113127001</v>
      </c>
      <c r="AE6719" s="2">
        <v>3986.9691141452399</v>
      </c>
      <c r="AF6719" s="2">
        <v>3525.7265123809402</v>
      </c>
      <c r="AG6719" s="2">
        <v>4161.0698182428096</v>
      </c>
      <c r="AH6719" s="2">
        <v>3132.9752431107099</v>
      </c>
      <c r="AI6719" s="2">
        <v>2579.05482936922</v>
      </c>
      <c r="AJ6719" s="2">
        <v>3924.0327655729998</v>
      </c>
      <c r="AK6719" s="2">
        <v>3114.6601083096298</v>
      </c>
      <c r="AL6719" s="2">
        <v>3345.2133321655401</v>
      </c>
      <c r="AM6719" s="2">
        <v>3770.8880375816698</v>
      </c>
      <c r="AN6719" s="2">
        <v>3500.7249172080001</v>
      </c>
      <c r="AO6719" s="2">
        <v>3134.4987888020401</v>
      </c>
      <c r="AP6719" s="2">
        <v>3758.0902838093298</v>
      </c>
    </row>
    <row r="6720" spans="1:42" ht="14.5" x14ac:dyDescent="0.35">
      <c r="A6720" s="2" t="s">
        <v>44557</v>
      </c>
      <c r="B6720" s="2">
        <v>185.13241273077099</v>
      </c>
      <c r="C6720" s="2">
        <v>4.8836000000000004</v>
      </c>
      <c r="D6720" s="2" t="s">
        <v>34</v>
      </c>
      <c r="E6720" s="2" t="s">
        <v>44558</v>
      </c>
      <c r="F6720" s="2">
        <v>35657</v>
      </c>
      <c r="G6720" s="3" t="str">
        <f>HYPERLINK("http://funmeta.oebiotech.com/network/35657", "http://funmeta.oebiotech.com/network/35657")</f>
        <v>http://funmeta.oebiotech.com/network/35657</v>
      </c>
      <c r="H6720" s="2" t="s">
        <v>44559</v>
      </c>
      <c r="I6720" s="2">
        <v>41200</v>
      </c>
      <c r="J6720" s="2" t="s">
        <v>44560</v>
      </c>
      <c r="K6720" s="2"/>
      <c r="L6720" s="2" t="s">
        <v>44561</v>
      </c>
      <c r="M6720" s="2"/>
      <c r="N6720" s="2"/>
      <c r="O6720" s="2">
        <v>10719</v>
      </c>
      <c r="P6720" s="2" t="s">
        <v>44562</v>
      </c>
      <c r="Q6720" s="2" t="s">
        <v>44563</v>
      </c>
      <c r="R6720" s="2" t="s">
        <v>44564</v>
      </c>
      <c r="S6720" s="2" t="s">
        <v>50</v>
      </c>
      <c r="T6720" s="2" t="s">
        <v>201</v>
      </c>
      <c r="U6720" s="2" t="s">
        <v>636</v>
      </c>
      <c r="V6720" s="2" t="s">
        <v>59</v>
      </c>
      <c r="W6720" s="2">
        <v>38.9</v>
      </c>
      <c r="X6720" s="2">
        <v>0</v>
      </c>
      <c r="Y6720" s="2" t="s">
        <v>394</v>
      </c>
      <c r="Z6720" s="2" t="s">
        <v>44565</v>
      </c>
      <c r="AA6720" s="2">
        <v>-0.34875372101055402</v>
      </c>
      <c r="AB6720" s="2">
        <v>1.6006569441393899E-2</v>
      </c>
      <c r="AC6720" s="2">
        <v>6010.5704855516897</v>
      </c>
      <c r="AD6720" s="2">
        <v>5887.0800079690298</v>
      </c>
      <c r="AE6720" s="2">
        <v>5707.0172236130602</v>
      </c>
      <c r="AF6720" s="2">
        <v>5904.6771633343596</v>
      </c>
      <c r="AG6720" s="2">
        <v>5851.2352867718</v>
      </c>
      <c r="AH6720" s="2">
        <v>6558.9637460111198</v>
      </c>
      <c r="AI6720" s="2">
        <v>5422.7000428659003</v>
      </c>
      <c r="AJ6720" s="2">
        <v>6618.8294507138999</v>
      </c>
      <c r="AK6720" s="2">
        <v>5534.8607146782897</v>
      </c>
      <c r="AL6720" s="2">
        <v>5052.5955699301103</v>
      </c>
      <c r="AM6720" s="2">
        <v>6339.3496006271198</v>
      </c>
      <c r="AN6720" s="2">
        <v>6171.7200170746801</v>
      </c>
      <c r="AO6720" s="2">
        <v>6153.0395679010298</v>
      </c>
      <c r="AP6720" s="2">
        <v>6070.91457760295</v>
      </c>
    </row>
    <row r="6721" spans="1:42" ht="14.5" x14ac:dyDescent="0.35">
      <c r="A6721" s="2" t="s">
        <v>44566</v>
      </c>
      <c r="B6721" s="2">
        <v>1061.49736461928</v>
      </c>
      <c r="C6721" s="2">
        <v>12.9677166666667</v>
      </c>
      <c r="D6721" s="2" t="s">
        <v>70</v>
      </c>
      <c r="E6721" s="2" t="s">
        <v>44567</v>
      </c>
      <c r="F6721" s="2">
        <v>233513</v>
      </c>
      <c r="G6721" s="3" t="str">
        <f>HYPERLINK("http://funmeta.oebiotech.com/network/233513", "http://funmeta.oebiotech.com/network/233513")</f>
        <v>http://funmeta.oebiotech.com/network/233513</v>
      </c>
      <c r="H6721" s="2" t="s">
        <v>44568</v>
      </c>
      <c r="I6721" s="2"/>
      <c r="J6721" s="2"/>
      <c r="K6721" s="2"/>
      <c r="L6721" s="2"/>
      <c r="M6721" s="2"/>
      <c r="N6721" s="2"/>
      <c r="O6721" s="2"/>
      <c r="P6721" s="2"/>
      <c r="Q6721" s="2" t="s">
        <v>44569</v>
      </c>
      <c r="R6721" s="2" t="s">
        <v>44570</v>
      </c>
      <c r="S6721" s="2" t="s">
        <v>41</v>
      </c>
      <c r="T6721" s="2" t="s">
        <v>41</v>
      </c>
      <c r="U6721" s="2" t="s">
        <v>41</v>
      </c>
      <c r="V6721" s="2" t="s">
        <v>59</v>
      </c>
      <c r="W6721" s="2">
        <v>36.200000000000003</v>
      </c>
      <c r="X6721" s="2">
        <v>0</v>
      </c>
      <c r="Y6721" s="2" t="s">
        <v>118</v>
      </c>
      <c r="Z6721" s="2" t="s">
        <v>44571</v>
      </c>
      <c r="AA6721" s="2">
        <v>-3.3530792760428101</v>
      </c>
      <c r="AB6721" s="2">
        <v>1.5940275955412999E-2</v>
      </c>
      <c r="AC6721" s="2">
        <v>4382.5021008173499</v>
      </c>
      <c r="AD6721" s="2">
        <v>4647.87888634103</v>
      </c>
      <c r="AE6721" s="2">
        <v>2567.3175165565499</v>
      </c>
      <c r="AF6721" s="2">
        <v>1880.9721365621399</v>
      </c>
      <c r="AG6721" s="2">
        <v>2165.33240063012</v>
      </c>
      <c r="AH6721" s="2">
        <v>7345.6137594546499</v>
      </c>
      <c r="AI6721" s="2">
        <v>4096.0629200641897</v>
      </c>
      <c r="AJ6721" s="2">
        <v>8239.7138716364407</v>
      </c>
      <c r="AK6721" s="2">
        <v>4808.1906269848796</v>
      </c>
      <c r="AL6721" s="2">
        <v>6667.7994089193498</v>
      </c>
      <c r="AM6721" s="2">
        <v>4483.7711774180898</v>
      </c>
      <c r="AN6721" s="2">
        <v>1819.9343417008299</v>
      </c>
      <c r="AO6721" s="2">
        <v>6149.2891794351599</v>
      </c>
      <c r="AP6721" s="2">
        <v>3958.2885835879001</v>
      </c>
    </row>
    <row r="6722" spans="1:42" ht="14.5" x14ac:dyDescent="0.35">
      <c r="A6722" s="2" t="s">
        <v>44572</v>
      </c>
      <c r="B6722" s="2">
        <v>183.11666960691099</v>
      </c>
      <c r="C6722" s="2">
        <v>5.37076666666667</v>
      </c>
      <c r="D6722" s="2" t="s">
        <v>34</v>
      </c>
      <c r="E6722" s="2" t="s">
        <v>44573</v>
      </c>
      <c r="F6722" s="2">
        <v>35110</v>
      </c>
      <c r="G6722" s="3" t="str">
        <f>HYPERLINK("http://funmeta.oebiotech.com/network/35110", "http://funmeta.oebiotech.com/network/35110")</f>
        <v>http://funmeta.oebiotech.com/network/35110</v>
      </c>
      <c r="H6722" s="2" t="s">
        <v>44574</v>
      </c>
      <c r="I6722" s="2">
        <v>53270</v>
      </c>
      <c r="J6722" s="2" t="s">
        <v>44575</v>
      </c>
      <c r="K6722" s="2">
        <v>34047</v>
      </c>
      <c r="L6722" s="2" t="s">
        <v>44576</v>
      </c>
      <c r="M6722" s="2"/>
      <c r="N6722" s="2"/>
      <c r="O6722" s="2">
        <v>7647</v>
      </c>
      <c r="P6722" s="2"/>
      <c r="Q6722" s="2" t="s">
        <v>44577</v>
      </c>
      <c r="R6722" s="2" t="s">
        <v>44578</v>
      </c>
      <c r="S6722" s="2" t="s">
        <v>115</v>
      </c>
      <c r="T6722" s="2" t="s">
        <v>4730</v>
      </c>
      <c r="U6722" s="2" t="s">
        <v>41</v>
      </c>
      <c r="V6722" s="2" t="s">
        <v>59</v>
      </c>
      <c r="W6722" s="2">
        <v>38.9</v>
      </c>
      <c r="X6722" s="2">
        <v>0</v>
      </c>
      <c r="Y6722" s="2" t="s">
        <v>394</v>
      </c>
      <c r="Z6722" s="2" t="s">
        <v>44579</v>
      </c>
      <c r="AA6722" s="2">
        <v>-0.86362339980686098</v>
      </c>
      <c r="AB6722" s="2">
        <v>1.59217053986218E-2</v>
      </c>
      <c r="AC6722" s="2">
        <v>1616.2983852398399</v>
      </c>
      <c r="AD6722" s="2">
        <v>1712.4592736802999</v>
      </c>
      <c r="AE6722" s="2">
        <v>2127.23023625515</v>
      </c>
      <c r="AF6722" s="2">
        <v>1097.5908277495</v>
      </c>
      <c r="AG6722" s="2">
        <v>1748.42004786046</v>
      </c>
      <c r="AH6722" s="2">
        <v>1646.09415702764</v>
      </c>
      <c r="AI6722" s="2">
        <v>1519.1609369037501</v>
      </c>
      <c r="AJ6722" s="2">
        <v>1559.29410564256</v>
      </c>
      <c r="AK6722" s="2">
        <v>1707.4003390768901</v>
      </c>
      <c r="AL6722" s="2">
        <v>1970.1985887268099</v>
      </c>
      <c r="AM6722" s="2">
        <v>1511.12282161391</v>
      </c>
      <c r="AN6722" s="2">
        <v>1831.6427371523901</v>
      </c>
      <c r="AO6722" s="2">
        <v>1353.15892364469</v>
      </c>
      <c r="AP6722" s="2">
        <v>1901.2322318671099</v>
      </c>
    </row>
    <row r="6723" spans="1:42" ht="14.5" x14ac:dyDescent="0.35">
      <c r="A6723" s="2" t="s">
        <v>44580</v>
      </c>
      <c r="B6723" s="2">
        <v>369.16797941050999</v>
      </c>
      <c r="C6723" s="2">
        <v>5.3391000000000002</v>
      </c>
      <c r="D6723" s="2" t="s">
        <v>70</v>
      </c>
      <c r="E6723" s="2" t="s">
        <v>44581</v>
      </c>
      <c r="F6723" s="2">
        <v>200580</v>
      </c>
      <c r="G6723" s="3" t="str">
        <f>HYPERLINK("http://funmeta.oebiotech.com/network/200580", "http://funmeta.oebiotech.com/network/200580")</f>
        <v>http://funmeta.oebiotech.com/network/200580</v>
      </c>
      <c r="H6723" s="2" t="s">
        <v>44582</v>
      </c>
      <c r="I6723" s="2"/>
      <c r="J6723" s="2"/>
      <c r="K6723" s="2"/>
      <c r="L6723" s="2"/>
      <c r="M6723" s="2"/>
      <c r="N6723" s="2"/>
      <c r="O6723" s="2">
        <v>4438292</v>
      </c>
      <c r="P6723" s="2"/>
      <c r="Q6723" s="2" t="s">
        <v>44583</v>
      </c>
      <c r="R6723" s="2" t="s">
        <v>44584</v>
      </c>
      <c r="S6723" s="2" t="s">
        <v>1444</v>
      </c>
      <c r="T6723" s="2" t="s">
        <v>3595</v>
      </c>
      <c r="U6723" s="2" t="s">
        <v>41</v>
      </c>
      <c r="V6723" s="2" t="s">
        <v>59</v>
      </c>
      <c r="W6723" s="2">
        <v>38.4</v>
      </c>
      <c r="X6723" s="2">
        <v>0</v>
      </c>
      <c r="Y6723" s="2" t="s">
        <v>751</v>
      </c>
      <c r="Z6723" s="2" t="s">
        <v>44585</v>
      </c>
      <c r="AA6723" s="2">
        <v>-0.21316129543460799</v>
      </c>
      <c r="AB6723" s="2">
        <v>1.5715753996104601E-2</v>
      </c>
      <c r="AC6723" s="2">
        <v>2.7106294003980101E-5</v>
      </c>
      <c r="AD6723" s="2">
        <v>55.238831758278401</v>
      </c>
      <c r="AE6723" s="2">
        <v>2.7106294003980101E-5</v>
      </c>
      <c r="AF6723" s="2">
        <v>2.7106294003980101E-5</v>
      </c>
      <c r="AG6723" s="2">
        <v>2.7106294003980101E-5</v>
      </c>
      <c r="AH6723" s="2">
        <v>2.7106294003980101E-5</v>
      </c>
      <c r="AI6723" s="2">
        <v>2.7106294003980101E-5</v>
      </c>
      <c r="AJ6723" s="2">
        <v>2.7106294003980101E-5</v>
      </c>
      <c r="AK6723" s="2">
        <v>2.7106294003980101E-5</v>
      </c>
      <c r="AL6723" s="2">
        <v>331.25700884529999</v>
      </c>
      <c r="AM6723" s="2">
        <v>2.7106294003980101E-5</v>
      </c>
      <c r="AN6723" s="2">
        <v>0.17587327919429799</v>
      </c>
      <c r="AO6723" s="2">
        <v>2.7106294003980101E-5</v>
      </c>
      <c r="AP6723" s="2">
        <v>2.7106294003980101E-5</v>
      </c>
    </row>
    <row r="6724" spans="1:42" ht="14.5" x14ac:dyDescent="0.35">
      <c r="A6724" s="2" t="s">
        <v>44586</v>
      </c>
      <c r="B6724" s="2">
        <v>766.25559161177898</v>
      </c>
      <c r="C6724" s="2">
        <v>5.5245499999999996</v>
      </c>
      <c r="D6724" s="2" t="s">
        <v>70</v>
      </c>
      <c r="E6724" s="2" t="s">
        <v>44587</v>
      </c>
      <c r="F6724" s="2">
        <v>57127</v>
      </c>
      <c r="G6724" s="3" t="str">
        <f>HYPERLINK("http://funmeta.oebiotech.com/network/57127", "http://funmeta.oebiotech.com/network/57127")</f>
        <v>http://funmeta.oebiotech.com/network/57127</v>
      </c>
      <c r="H6724" s="2" t="s">
        <v>44588</v>
      </c>
      <c r="I6724" s="2">
        <v>88778</v>
      </c>
      <c r="J6724" s="2"/>
      <c r="K6724" s="2"/>
      <c r="L6724" s="2"/>
      <c r="M6724" s="2"/>
      <c r="N6724" s="2"/>
      <c r="O6724" s="2">
        <v>7119</v>
      </c>
      <c r="P6724" s="2"/>
      <c r="Q6724" s="2" t="s">
        <v>44589</v>
      </c>
      <c r="R6724" s="2" t="s">
        <v>44590</v>
      </c>
      <c r="S6724" s="2" t="s">
        <v>39</v>
      </c>
      <c r="T6724" s="2" t="s">
        <v>41</v>
      </c>
      <c r="U6724" s="2" t="s">
        <v>41</v>
      </c>
      <c r="V6724" s="2" t="s">
        <v>59</v>
      </c>
      <c r="W6724" s="2">
        <v>37.4</v>
      </c>
      <c r="X6724" s="2">
        <v>0</v>
      </c>
      <c r="Y6724" s="2" t="s">
        <v>408</v>
      </c>
      <c r="Z6724" s="2" t="s">
        <v>44591</v>
      </c>
      <c r="AA6724" s="2">
        <v>-1.1030100007722501</v>
      </c>
      <c r="AB6724" s="2">
        <v>1.56047236590043E-2</v>
      </c>
      <c r="AC6724" s="2">
        <v>7557.3874717765402</v>
      </c>
      <c r="AD6724" s="2">
        <v>7753.3082493844704</v>
      </c>
      <c r="AE6724" s="2">
        <v>9390.9574774407702</v>
      </c>
      <c r="AF6724" s="2">
        <v>6941.7098883634399</v>
      </c>
      <c r="AG6724" s="2">
        <v>6908.1481631894103</v>
      </c>
      <c r="AH6724" s="2">
        <v>5499.2977169597998</v>
      </c>
      <c r="AI6724" s="2">
        <v>8041.9405575390801</v>
      </c>
      <c r="AJ6724" s="2">
        <v>8562.2710271667402</v>
      </c>
      <c r="AK6724" s="2">
        <v>7768.6188628730497</v>
      </c>
      <c r="AL6724" s="2">
        <v>6571.1528320397301</v>
      </c>
      <c r="AM6724" s="2">
        <v>9298.8250701536308</v>
      </c>
      <c r="AN6724" s="2">
        <v>6844.76156458066</v>
      </c>
      <c r="AO6724" s="2">
        <v>6600.3813493391699</v>
      </c>
      <c r="AP6724" s="2">
        <v>9436.1098173205792</v>
      </c>
    </row>
    <row r="6725" spans="1:42" ht="14.5" x14ac:dyDescent="0.35">
      <c r="A6725" s="2" t="s">
        <v>44592</v>
      </c>
      <c r="B6725" s="2">
        <v>1100.3331219547999</v>
      </c>
      <c r="C6725" s="2">
        <v>8.4872333333333305</v>
      </c>
      <c r="D6725" s="2" t="s">
        <v>70</v>
      </c>
      <c r="E6725" s="2" t="s">
        <v>44593</v>
      </c>
      <c r="F6725" s="2">
        <v>7957</v>
      </c>
      <c r="G6725" s="3" t="str">
        <f>HYPERLINK("http://funmeta.oebiotech.com/network/7957", "http://funmeta.oebiotech.com/network/7957")</f>
        <v>http://funmeta.oebiotech.com/network/7957</v>
      </c>
      <c r="H6725" s="2" t="s">
        <v>44594</v>
      </c>
      <c r="I6725" s="2">
        <v>63384</v>
      </c>
      <c r="J6725" s="2" t="s">
        <v>44595</v>
      </c>
      <c r="K6725" s="2">
        <v>65131</v>
      </c>
      <c r="L6725" s="2" t="s">
        <v>44596</v>
      </c>
      <c r="M6725" s="2"/>
      <c r="N6725" s="2"/>
      <c r="O6725" s="2">
        <v>70678653</v>
      </c>
      <c r="P6725" s="2"/>
      <c r="Q6725" s="2" t="s">
        <v>44597</v>
      </c>
      <c r="R6725" s="2" t="s">
        <v>44598</v>
      </c>
      <c r="S6725" s="2" t="s">
        <v>50</v>
      </c>
      <c r="T6725" s="2" t="s">
        <v>229</v>
      </c>
      <c r="U6725" s="2" t="s">
        <v>10433</v>
      </c>
      <c r="V6725" s="2" t="s">
        <v>59</v>
      </c>
      <c r="W6725" s="2">
        <v>36.200000000000003</v>
      </c>
      <c r="X6725" s="2">
        <v>0</v>
      </c>
      <c r="Y6725" s="2" t="s">
        <v>751</v>
      </c>
      <c r="Z6725" s="2" t="s">
        <v>44599</v>
      </c>
      <c r="AA6725" s="2">
        <v>-3.9988921120465699</v>
      </c>
      <c r="AB6725" s="2">
        <v>1.5592125943707499E-2</v>
      </c>
      <c r="AC6725" s="2">
        <v>22090.612910801199</v>
      </c>
      <c r="AD6725" s="2">
        <v>22348.3936054933</v>
      </c>
      <c r="AE6725" s="2">
        <v>24235.459156144501</v>
      </c>
      <c r="AF6725" s="2">
        <v>19493.828896533902</v>
      </c>
      <c r="AG6725" s="2">
        <v>24577.668904071299</v>
      </c>
      <c r="AH6725" s="2">
        <v>19064.708542034601</v>
      </c>
      <c r="AI6725" s="2">
        <v>24672.422455386601</v>
      </c>
      <c r="AJ6725" s="2">
        <v>20499.589510636401</v>
      </c>
      <c r="AK6725" s="2">
        <v>20615.640227142299</v>
      </c>
      <c r="AL6725" s="2">
        <v>24193.544759438599</v>
      </c>
      <c r="AM6725" s="2">
        <v>19718.279201063498</v>
      </c>
      <c r="AN6725" s="2">
        <v>22231.7065013008</v>
      </c>
      <c r="AO6725" s="2">
        <v>22396.454112018801</v>
      </c>
      <c r="AP6725" s="2">
        <v>24934.736831995699</v>
      </c>
    </row>
    <row r="6726" spans="1:42" ht="14.5" x14ac:dyDescent="0.35">
      <c r="A6726" s="2" t="s">
        <v>44600</v>
      </c>
      <c r="B6726" s="2">
        <v>839.55172949877397</v>
      </c>
      <c r="C6726" s="2">
        <v>14.449816666666701</v>
      </c>
      <c r="D6726" s="2" t="s">
        <v>70</v>
      </c>
      <c r="E6726" s="2" t="s">
        <v>44601</v>
      </c>
      <c r="F6726" s="2">
        <v>199962</v>
      </c>
      <c r="G6726" s="3" t="str">
        <f>HYPERLINK("http://funmeta.oebiotech.com/network/199962", "http://funmeta.oebiotech.com/network/199962")</f>
        <v>http://funmeta.oebiotech.com/network/199962</v>
      </c>
      <c r="H6726" s="2" t="s">
        <v>44602</v>
      </c>
      <c r="I6726" s="2"/>
      <c r="J6726" s="2"/>
      <c r="K6726" s="2"/>
      <c r="L6726" s="2"/>
      <c r="M6726" s="2"/>
      <c r="N6726" s="2"/>
      <c r="O6726" s="2">
        <v>53882981</v>
      </c>
      <c r="P6726" s="2"/>
      <c r="Q6726" s="2" t="s">
        <v>44603</v>
      </c>
      <c r="R6726" s="2" t="s">
        <v>44604</v>
      </c>
      <c r="S6726" s="2" t="s">
        <v>148</v>
      </c>
      <c r="T6726" s="2" t="s">
        <v>3772</v>
      </c>
      <c r="U6726" s="2" t="s">
        <v>18665</v>
      </c>
      <c r="V6726" s="2" t="s">
        <v>59</v>
      </c>
      <c r="W6726" s="2">
        <v>36.5</v>
      </c>
      <c r="X6726" s="2">
        <v>0</v>
      </c>
      <c r="Y6726" s="2" t="s">
        <v>560</v>
      </c>
      <c r="Z6726" s="2" t="s">
        <v>44605</v>
      </c>
      <c r="AA6726" s="2">
        <v>4.3413253686638003</v>
      </c>
      <c r="AB6726" s="2">
        <v>1.55904676393483E-2</v>
      </c>
      <c r="AC6726" s="2">
        <v>1442.88137263269</v>
      </c>
      <c r="AD6726" s="2">
        <v>1328.6393123302</v>
      </c>
      <c r="AE6726" s="2">
        <v>1837.0256205169601</v>
      </c>
      <c r="AF6726" s="2">
        <v>980.40656028730803</v>
      </c>
      <c r="AG6726" s="2">
        <v>1460.278930494</v>
      </c>
      <c r="AH6726" s="2">
        <v>1265.7169236652301</v>
      </c>
      <c r="AI6726" s="2">
        <v>2032.6206952856201</v>
      </c>
      <c r="AJ6726" s="2">
        <v>1081.2395055470199</v>
      </c>
      <c r="AK6726" s="2">
        <v>1041.3167606617999</v>
      </c>
      <c r="AL6726" s="2">
        <v>1299.97876199607</v>
      </c>
      <c r="AM6726" s="2">
        <v>812.69257119975202</v>
      </c>
      <c r="AN6726" s="2">
        <v>1890.0760275658399</v>
      </c>
      <c r="AO6726" s="2">
        <v>1257.3098590596401</v>
      </c>
      <c r="AP6726" s="2">
        <v>1670.4618934981199</v>
      </c>
    </row>
    <row r="6727" spans="1:42" ht="14.5" x14ac:dyDescent="0.35">
      <c r="A6727" s="2" t="s">
        <v>44606</v>
      </c>
      <c r="B6727" s="2">
        <v>430.22226534596098</v>
      </c>
      <c r="C6727" s="2">
        <v>5.8651</v>
      </c>
      <c r="D6727" s="2" t="s">
        <v>34</v>
      </c>
      <c r="E6727" s="2" t="s">
        <v>44607</v>
      </c>
      <c r="F6727" s="2">
        <v>207376</v>
      </c>
      <c r="G6727" s="3" t="str">
        <f>HYPERLINK("http://funmeta.oebiotech.com/network/207376", "http://funmeta.oebiotech.com/network/207376")</f>
        <v>http://funmeta.oebiotech.com/network/207376</v>
      </c>
      <c r="H6727" s="2" t="s">
        <v>44608</v>
      </c>
      <c r="I6727" s="2"/>
      <c r="J6727" s="2"/>
      <c r="K6727" s="2"/>
      <c r="L6727" s="2"/>
      <c r="M6727" s="2"/>
      <c r="N6727" s="2"/>
      <c r="O6727" s="2">
        <v>74329634</v>
      </c>
      <c r="P6727" s="2"/>
      <c r="Q6727" s="2" t="s">
        <v>44609</v>
      </c>
      <c r="R6727" s="2" t="s">
        <v>44610</v>
      </c>
      <c r="S6727" s="2" t="s">
        <v>50</v>
      </c>
      <c r="T6727" s="2" t="s">
        <v>201</v>
      </c>
      <c r="U6727" s="2" t="s">
        <v>241</v>
      </c>
      <c r="V6727" s="2" t="s">
        <v>59</v>
      </c>
      <c r="W6727" s="2">
        <v>38.6</v>
      </c>
      <c r="X6727" s="2">
        <v>0</v>
      </c>
      <c r="Y6727" s="2" t="s">
        <v>394</v>
      </c>
      <c r="Z6727" s="2" t="s">
        <v>44611</v>
      </c>
      <c r="AA6727" s="2">
        <v>-0.346684812391227</v>
      </c>
      <c r="AB6727" s="2">
        <v>1.55295480668458E-2</v>
      </c>
      <c r="AC6727" s="2">
        <v>11033.2469521644</v>
      </c>
      <c r="AD6727" s="2">
        <v>10794.8395474635</v>
      </c>
      <c r="AE6727" s="2">
        <v>11335.3119223262</v>
      </c>
      <c r="AF6727" s="2">
        <v>9325.7391170267692</v>
      </c>
      <c r="AG6727" s="2">
        <v>10743.021553397401</v>
      </c>
      <c r="AH6727" s="2">
        <v>10033.778846007801</v>
      </c>
      <c r="AI6727" s="2">
        <v>11783.6584501818</v>
      </c>
      <c r="AJ6727" s="2">
        <v>12977.971824046301</v>
      </c>
      <c r="AK6727" s="2">
        <v>10395.0442815571</v>
      </c>
      <c r="AL6727" s="2">
        <v>8853.6992002028892</v>
      </c>
      <c r="AM6727" s="2">
        <v>11168.713843529</v>
      </c>
      <c r="AN6727" s="2">
        <v>11920.4370299365</v>
      </c>
      <c r="AO6727" s="2">
        <v>8277.0288670702103</v>
      </c>
      <c r="AP6727" s="2">
        <v>14154.1140624852</v>
      </c>
    </row>
    <row r="6728" spans="1:42" ht="14.5" x14ac:dyDescent="0.35">
      <c r="A6728" s="2" t="s">
        <v>44612</v>
      </c>
      <c r="B6728" s="2">
        <v>1057.47256367555</v>
      </c>
      <c r="C6728" s="2">
        <v>10.3798166666667</v>
      </c>
      <c r="D6728" s="2" t="s">
        <v>34</v>
      </c>
      <c r="E6728" s="2" t="s">
        <v>44613</v>
      </c>
      <c r="F6728" s="2">
        <v>199394</v>
      </c>
      <c r="G6728" s="3" t="str">
        <f>HYPERLINK("http://funmeta.oebiotech.com/network/199394", "http://funmeta.oebiotech.com/network/199394")</f>
        <v>http://funmeta.oebiotech.com/network/199394</v>
      </c>
      <c r="H6728" s="2" t="s">
        <v>44614</v>
      </c>
      <c r="I6728" s="2"/>
      <c r="J6728" s="2"/>
      <c r="K6728" s="2"/>
      <c r="L6728" s="2"/>
      <c r="M6728" s="2"/>
      <c r="N6728" s="2"/>
      <c r="O6728" s="2">
        <v>78393334</v>
      </c>
      <c r="P6728" s="2"/>
      <c r="Q6728" s="2" t="s">
        <v>44615</v>
      </c>
      <c r="R6728" s="2" t="s">
        <v>44616</v>
      </c>
      <c r="S6728" s="2" t="s">
        <v>41</v>
      </c>
      <c r="T6728" s="2" t="s">
        <v>41</v>
      </c>
      <c r="U6728" s="2" t="s">
        <v>41</v>
      </c>
      <c r="V6728" s="2" t="s">
        <v>59</v>
      </c>
      <c r="W6728" s="2">
        <v>36.4</v>
      </c>
      <c r="X6728" s="2">
        <v>0</v>
      </c>
      <c r="Y6728" s="2" t="s">
        <v>43</v>
      </c>
      <c r="Z6728" s="2" t="s">
        <v>44617</v>
      </c>
      <c r="AA6728" s="2">
        <v>1.8723441902636599</v>
      </c>
      <c r="AB6728" s="2">
        <v>1.54790502988164E-2</v>
      </c>
      <c r="AC6728" s="2">
        <v>9989.4088303263306</v>
      </c>
      <c r="AD6728" s="2">
        <v>10197.632615958901</v>
      </c>
      <c r="AE6728" s="2">
        <v>8944.4090005772705</v>
      </c>
      <c r="AF6728" s="2">
        <v>11169.126296214999</v>
      </c>
      <c r="AG6728" s="2">
        <v>8966.5800618686299</v>
      </c>
      <c r="AH6728" s="2">
        <v>10622.980188616601</v>
      </c>
      <c r="AI6728" s="2">
        <v>11482.7978457135</v>
      </c>
      <c r="AJ6728" s="2">
        <v>8750.5595889669694</v>
      </c>
      <c r="AK6728" s="2">
        <v>7177.9135349682701</v>
      </c>
      <c r="AL6728" s="2">
        <v>7059.3589145312098</v>
      </c>
      <c r="AM6728" s="2">
        <v>12150.1362594898</v>
      </c>
      <c r="AN6728" s="2">
        <v>12039.4073331323</v>
      </c>
      <c r="AO6728" s="2">
        <v>11235.289860803499</v>
      </c>
      <c r="AP6728" s="2">
        <v>11523.6897928281</v>
      </c>
    </row>
    <row r="6729" spans="1:42" ht="14.5" x14ac:dyDescent="0.35">
      <c r="A6729" s="2" t="s">
        <v>44618</v>
      </c>
      <c r="B6729" s="2">
        <v>483.183374026747</v>
      </c>
      <c r="C6729" s="2">
        <v>4.1056666666666697</v>
      </c>
      <c r="D6729" s="2" t="s">
        <v>34</v>
      </c>
      <c r="E6729" s="2" t="s">
        <v>44619</v>
      </c>
      <c r="F6729" s="2">
        <v>289922</v>
      </c>
      <c r="G6729" s="3" t="str">
        <f>HYPERLINK("http://funmeta.oebiotech.com/network/289922", "http://funmeta.oebiotech.com/network/289922")</f>
        <v>http://funmeta.oebiotech.com/network/289922</v>
      </c>
      <c r="H6729" s="2"/>
      <c r="I6729" s="2">
        <v>985267</v>
      </c>
      <c r="J6729" s="2"/>
      <c r="K6729" s="2"/>
      <c r="L6729" s="2"/>
      <c r="M6729" s="2"/>
      <c r="N6729" s="2"/>
      <c r="O6729" s="2">
        <v>46889078</v>
      </c>
      <c r="P6729" s="2"/>
      <c r="Q6729" s="2" t="s">
        <v>44620</v>
      </c>
      <c r="R6729" s="2" t="s">
        <v>44621</v>
      </c>
      <c r="S6729" s="2" t="s">
        <v>50</v>
      </c>
      <c r="T6729" s="2" t="s">
        <v>229</v>
      </c>
      <c r="U6729" s="2" t="s">
        <v>230</v>
      </c>
      <c r="V6729" s="2" t="s">
        <v>59</v>
      </c>
      <c r="W6729" s="2">
        <v>38.6</v>
      </c>
      <c r="X6729" s="2">
        <v>0</v>
      </c>
      <c r="Y6729" s="2" t="s">
        <v>323</v>
      </c>
      <c r="Z6729" s="2" t="s">
        <v>44622</v>
      </c>
      <c r="AA6729" s="2">
        <v>-0.67035716132517698</v>
      </c>
      <c r="AB6729" s="2">
        <v>1.5346687870009101E-2</v>
      </c>
      <c r="AC6729" s="2">
        <v>58263.181818417201</v>
      </c>
      <c r="AD6729" s="2">
        <v>58673.000400304103</v>
      </c>
      <c r="AE6729" s="2">
        <v>58330.379359331397</v>
      </c>
      <c r="AF6729" s="2">
        <v>66243.770138682899</v>
      </c>
      <c r="AG6729" s="2">
        <v>56126.961118585299</v>
      </c>
      <c r="AH6729" s="2">
        <v>60562.379393287898</v>
      </c>
      <c r="AI6729" s="2">
        <v>51848.838670504301</v>
      </c>
      <c r="AJ6729" s="2">
        <v>56466.762230111599</v>
      </c>
      <c r="AK6729" s="2">
        <v>65134.6839644914</v>
      </c>
      <c r="AL6729" s="2">
        <v>60159.846694361397</v>
      </c>
      <c r="AM6729" s="2">
        <v>56960.887653504004</v>
      </c>
      <c r="AN6729" s="2">
        <v>56792.035139114203</v>
      </c>
      <c r="AO6729" s="2">
        <v>58237.244998846101</v>
      </c>
      <c r="AP6729" s="2">
        <v>54753.3039515075</v>
      </c>
    </row>
    <row r="6730" spans="1:42" ht="14.5" x14ac:dyDescent="0.35">
      <c r="A6730" s="2" t="s">
        <v>44623</v>
      </c>
      <c r="B6730" s="2">
        <v>836.60850878452698</v>
      </c>
      <c r="C6730" s="2">
        <v>15.1339666666667</v>
      </c>
      <c r="D6730" s="2" t="s">
        <v>34</v>
      </c>
      <c r="E6730" s="2" t="s">
        <v>44624</v>
      </c>
      <c r="F6730" s="2">
        <v>2679</v>
      </c>
      <c r="G6730" s="3" t="str">
        <f>HYPERLINK("http://funmeta.oebiotech.com/network/2679", "http://funmeta.oebiotech.com/network/2679")</f>
        <v>http://funmeta.oebiotech.com/network/2679</v>
      </c>
      <c r="H6730" s="2"/>
      <c r="I6730" s="2">
        <v>45906</v>
      </c>
      <c r="J6730" s="2" t="s">
        <v>44625</v>
      </c>
      <c r="K6730" s="2"/>
      <c r="L6730" s="2" t="s">
        <v>44626</v>
      </c>
      <c r="M6730" s="2"/>
      <c r="N6730" s="2"/>
      <c r="O6730" s="2">
        <v>44256509</v>
      </c>
      <c r="P6730" s="2"/>
      <c r="Q6730" s="2" t="s">
        <v>44627</v>
      </c>
      <c r="R6730" s="2" t="s">
        <v>44628</v>
      </c>
      <c r="S6730" s="2" t="s">
        <v>50</v>
      </c>
      <c r="T6730" s="2" t="s">
        <v>106</v>
      </c>
      <c r="U6730" s="2" t="s">
        <v>41</v>
      </c>
      <c r="V6730" s="2" t="s">
        <v>59</v>
      </c>
      <c r="W6730" s="2">
        <v>36.200000000000003</v>
      </c>
      <c r="X6730" s="2">
        <v>0</v>
      </c>
      <c r="Y6730" s="2" t="s">
        <v>43</v>
      </c>
      <c r="Z6730" s="2" t="s">
        <v>44629</v>
      </c>
      <c r="AA6730" s="2">
        <v>-1.04990858878629</v>
      </c>
      <c r="AB6730" s="2">
        <v>1.52937633158928E-2</v>
      </c>
      <c r="AC6730" s="2">
        <v>7.7012469248933</v>
      </c>
      <c r="AD6730" s="2">
        <v>35.013618459760004</v>
      </c>
      <c r="AE6730" s="2">
        <v>46.207346017889797</v>
      </c>
      <c r="AF6730" s="2">
        <v>2.7106294003980101E-5</v>
      </c>
      <c r="AG6730" s="2">
        <v>2.7106294003980101E-5</v>
      </c>
      <c r="AH6730" s="2">
        <v>2.7106294003980101E-5</v>
      </c>
      <c r="AI6730" s="2">
        <v>2.7106294003980101E-5</v>
      </c>
      <c r="AJ6730" s="2">
        <v>2.7106294003980101E-5</v>
      </c>
      <c r="AK6730" s="2">
        <v>62.122339600539803</v>
      </c>
      <c r="AL6730" s="2">
        <v>2.7106294003980101E-5</v>
      </c>
      <c r="AM6730" s="2">
        <v>18.480419659559999</v>
      </c>
      <c r="AN6730" s="2">
        <v>29.799405618554001</v>
      </c>
      <c r="AO6730" s="2">
        <v>37.360436149768603</v>
      </c>
      <c r="AP6730" s="2">
        <v>62.3190826238433</v>
      </c>
    </row>
    <row r="6731" spans="1:42" ht="14.5" x14ac:dyDescent="0.35">
      <c r="A6731" s="2" t="s">
        <v>44630</v>
      </c>
      <c r="B6731" s="2">
        <v>287.09115352876699</v>
      </c>
      <c r="C6731" s="2">
        <v>4.6661999999999999</v>
      </c>
      <c r="D6731" s="2" t="s">
        <v>34</v>
      </c>
      <c r="E6731" s="2" t="s">
        <v>44631</v>
      </c>
      <c r="F6731" s="2">
        <v>203862</v>
      </c>
      <c r="G6731" s="3" t="str">
        <f>HYPERLINK("http://funmeta.oebiotech.com/network/203862", "http://funmeta.oebiotech.com/network/203862")</f>
        <v>http://funmeta.oebiotech.com/network/203862</v>
      </c>
      <c r="H6731" s="2" t="s">
        <v>44632</v>
      </c>
      <c r="I6731" s="2"/>
      <c r="J6731" s="2"/>
      <c r="K6731" s="2"/>
      <c r="L6731" s="2"/>
      <c r="M6731" s="2"/>
      <c r="N6731" s="2"/>
      <c r="O6731" s="2">
        <v>25051804</v>
      </c>
      <c r="P6731" s="2"/>
      <c r="Q6731" s="2" t="s">
        <v>44633</v>
      </c>
      <c r="R6731" s="2" t="s">
        <v>44634</v>
      </c>
      <c r="S6731" s="2" t="s">
        <v>41</v>
      </c>
      <c r="T6731" s="2" t="s">
        <v>41</v>
      </c>
      <c r="U6731" s="2" t="s">
        <v>41</v>
      </c>
      <c r="V6731" s="2" t="s">
        <v>59</v>
      </c>
      <c r="W6731" s="2">
        <v>38.299999999999997</v>
      </c>
      <c r="X6731" s="2">
        <v>0</v>
      </c>
      <c r="Y6731" s="2" t="s">
        <v>394</v>
      </c>
      <c r="Z6731" s="2" t="s">
        <v>44635</v>
      </c>
      <c r="AA6731" s="2">
        <v>4.5302197441646204</v>
      </c>
      <c r="AB6731" s="2">
        <v>1.5241229810425E-2</v>
      </c>
      <c r="AC6731" s="2">
        <v>1086.6899803597801</v>
      </c>
      <c r="AD6731" s="2">
        <v>1184.94714855142</v>
      </c>
      <c r="AE6731" s="2">
        <v>1207.6784455708901</v>
      </c>
      <c r="AF6731" s="2">
        <v>1514.4399054159301</v>
      </c>
      <c r="AG6731" s="2">
        <v>1039.75633635844</v>
      </c>
      <c r="AH6731" s="2">
        <v>1367.5535349690699</v>
      </c>
      <c r="AI6731" s="2">
        <v>599.02193327248006</v>
      </c>
      <c r="AJ6731" s="2">
        <v>791.689726571861</v>
      </c>
      <c r="AK6731" s="2">
        <v>843.16586227091102</v>
      </c>
      <c r="AL6731" s="2">
        <v>918.17886275769001</v>
      </c>
      <c r="AM6731" s="2">
        <v>1283.4730824061401</v>
      </c>
      <c r="AN6731" s="2">
        <v>1693.07864673167</v>
      </c>
      <c r="AO6731" s="2">
        <v>1051.70358100404</v>
      </c>
      <c r="AP6731" s="2">
        <v>1320.0828561380499</v>
      </c>
    </row>
    <row r="6732" spans="1:42" ht="14.5" x14ac:dyDescent="0.35">
      <c r="A6732" s="2" t="s">
        <v>44636</v>
      </c>
      <c r="B6732" s="2">
        <v>533.165770296853</v>
      </c>
      <c r="C6732" s="2">
        <v>5.00538333333333</v>
      </c>
      <c r="D6732" s="2" t="s">
        <v>70</v>
      </c>
      <c r="E6732" s="2" t="s">
        <v>44637</v>
      </c>
      <c r="F6732" s="2">
        <v>202576</v>
      </c>
      <c r="G6732" s="3" t="str">
        <f>HYPERLINK("http://funmeta.oebiotech.com/network/202576", "http://funmeta.oebiotech.com/network/202576")</f>
        <v>http://funmeta.oebiotech.com/network/202576</v>
      </c>
      <c r="H6732" s="2" t="s">
        <v>44638</v>
      </c>
      <c r="I6732" s="2"/>
      <c r="J6732" s="2"/>
      <c r="K6732" s="2"/>
      <c r="L6732" s="2"/>
      <c r="M6732" s="2"/>
      <c r="N6732" s="2"/>
      <c r="O6732" s="2">
        <v>558754</v>
      </c>
      <c r="P6732" s="2"/>
      <c r="Q6732" s="2" t="s">
        <v>44639</v>
      </c>
      <c r="R6732" s="2" t="s">
        <v>44640</v>
      </c>
      <c r="S6732" s="2" t="s">
        <v>89</v>
      </c>
      <c r="T6732" s="2" t="s">
        <v>90</v>
      </c>
      <c r="U6732" s="2" t="s">
        <v>99</v>
      </c>
      <c r="V6732" s="2" t="s">
        <v>59</v>
      </c>
      <c r="W6732" s="2">
        <v>38</v>
      </c>
      <c r="X6732" s="2">
        <v>0</v>
      </c>
      <c r="Y6732" s="2" t="s">
        <v>560</v>
      </c>
      <c r="Z6732" s="2" t="s">
        <v>44641</v>
      </c>
      <c r="AA6732" s="2">
        <v>3.7547348680543799</v>
      </c>
      <c r="AB6732" s="2">
        <v>1.52247078842946E-2</v>
      </c>
      <c r="AC6732" s="2">
        <v>2592.42478176342</v>
      </c>
      <c r="AD6732" s="2">
        <v>2454.60836124659</v>
      </c>
      <c r="AE6732" s="2">
        <v>2730.5724611365399</v>
      </c>
      <c r="AF6732" s="2">
        <v>2415.4936191905899</v>
      </c>
      <c r="AG6732" s="2">
        <v>2066.9409187756501</v>
      </c>
      <c r="AH6732" s="2">
        <v>2246.2463734451198</v>
      </c>
      <c r="AI6732" s="2">
        <v>3053.1555313658901</v>
      </c>
      <c r="AJ6732" s="2">
        <v>3042.1397866667098</v>
      </c>
      <c r="AK6732" s="2">
        <v>2802.2675888232602</v>
      </c>
      <c r="AL6732" s="2">
        <v>1854.3044219180599</v>
      </c>
      <c r="AM6732" s="2">
        <v>2506.2615372114001</v>
      </c>
      <c r="AN6732" s="2">
        <v>3673.1432251881802</v>
      </c>
      <c r="AO6732" s="2">
        <v>2319.4242409198</v>
      </c>
      <c r="AP6732" s="2">
        <v>1572.24915341885</v>
      </c>
    </row>
    <row r="6733" spans="1:42" ht="14.5" x14ac:dyDescent="0.35">
      <c r="A6733" s="2" t="s">
        <v>44642</v>
      </c>
      <c r="B6733" s="2">
        <v>329.13809114780202</v>
      </c>
      <c r="C6733" s="2">
        <v>5.4227666666666696</v>
      </c>
      <c r="D6733" s="2" t="s">
        <v>34</v>
      </c>
      <c r="E6733" s="2" t="s">
        <v>44643</v>
      </c>
      <c r="F6733" s="2">
        <v>61326</v>
      </c>
      <c r="G6733" s="3" t="str">
        <f>HYPERLINK("http://funmeta.oebiotech.com/network/61326", "http://funmeta.oebiotech.com/network/61326")</f>
        <v>http://funmeta.oebiotech.com/network/61326</v>
      </c>
      <c r="H6733" s="2" t="s">
        <v>44644</v>
      </c>
      <c r="I6733" s="2"/>
      <c r="J6733" s="2"/>
      <c r="K6733" s="2">
        <v>174970</v>
      </c>
      <c r="L6733" s="2"/>
      <c r="M6733" s="2"/>
      <c r="N6733" s="2"/>
      <c r="O6733" s="2">
        <v>10859892</v>
      </c>
      <c r="P6733" s="2" t="s">
        <v>44645</v>
      </c>
      <c r="Q6733" s="2" t="s">
        <v>44646</v>
      </c>
      <c r="R6733" s="2" t="s">
        <v>44647</v>
      </c>
      <c r="S6733" s="2" t="s">
        <v>89</v>
      </c>
      <c r="T6733" s="2" t="s">
        <v>90</v>
      </c>
      <c r="U6733" s="2" t="s">
        <v>99</v>
      </c>
      <c r="V6733" s="2" t="s">
        <v>59</v>
      </c>
      <c r="W6733" s="2">
        <v>38.299999999999997</v>
      </c>
      <c r="X6733" s="2">
        <v>0</v>
      </c>
      <c r="Y6733" s="2" t="s">
        <v>43</v>
      </c>
      <c r="Z6733" s="2" t="s">
        <v>44648</v>
      </c>
      <c r="AA6733" s="2">
        <v>1.2619663266618899</v>
      </c>
      <c r="AB6733" s="2">
        <v>1.5137182714428699E-2</v>
      </c>
      <c r="AC6733" s="2">
        <v>19398.673369023702</v>
      </c>
      <c r="AD6733" s="2">
        <v>19596.9800316125</v>
      </c>
      <c r="AE6733" s="2">
        <v>19822.660989134201</v>
      </c>
      <c r="AF6733" s="2">
        <v>20777.172200399</v>
      </c>
      <c r="AG6733" s="2">
        <v>20135.530552482302</v>
      </c>
      <c r="AH6733" s="2">
        <v>17920.711368844099</v>
      </c>
      <c r="AI6733" s="2">
        <v>19060.0103469315</v>
      </c>
      <c r="AJ6733" s="2">
        <v>18675.9547563509</v>
      </c>
      <c r="AK6733" s="2">
        <v>21737.8603062621</v>
      </c>
      <c r="AL6733" s="2">
        <v>20038.822690344601</v>
      </c>
      <c r="AM6733" s="2">
        <v>17993.892119467699</v>
      </c>
      <c r="AN6733" s="2">
        <v>20707.152027407199</v>
      </c>
      <c r="AO6733" s="2">
        <v>18066.596210180898</v>
      </c>
      <c r="AP6733" s="2">
        <v>19037.556836012402</v>
      </c>
    </row>
    <row r="6734" spans="1:42" ht="14.5" x14ac:dyDescent="0.35">
      <c r="A6734" s="2" t="s">
        <v>44649</v>
      </c>
      <c r="B6734" s="2">
        <v>686.37296187457503</v>
      </c>
      <c r="C6734" s="2">
        <v>9.2734333333333296</v>
      </c>
      <c r="D6734" s="2" t="s">
        <v>34</v>
      </c>
      <c r="E6734" s="2" t="s">
        <v>44650</v>
      </c>
      <c r="F6734" s="2">
        <v>212375</v>
      </c>
      <c r="G6734" s="3" t="str">
        <f>HYPERLINK("http://funmeta.oebiotech.com/network/212375", "http://funmeta.oebiotech.com/network/212375")</f>
        <v>http://funmeta.oebiotech.com/network/212375</v>
      </c>
      <c r="H6734" s="2" t="s">
        <v>44651</v>
      </c>
      <c r="I6734" s="2"/>
      <c r="J6734" s="2"/>
      <c r="K6734" s="2"/>
      <c r="L6734" s="2"/>
      <c r="M6734" s="2"/>
      <c r="N6734" s="2"/>
      <c r="O6734" s="2">
        <v>76420061</v>
      </c>
      <c r="P6734" s="2"/>
      <c r="Q6734" s="2" t="s">
        <v>44652</v>
      </c>
      <c r="R6734" s="2" t="s">
        <v>44653</v>
      </c>
      <c r="S6734" s="2" t="s">
        <v>41</v>
      </c>
      <c r="T6734" s="2" t="s">
        <v>41</v>
      </c>
      <c r="U6734" s="2" t="s">
        <v>41</v>
      </c>
      <c r="V6734" s="2" t="s">
        <v>59</v>
      </c>
      <c r="W6734" s="2">
        <v>36.1</v>
      </c>
      <c r="X6734" s="2">
        <v>0</v>
      </c>
      <c r="Y6734" s="2" t="s">
        <v>340</v>
      </c>
      <c r="Z6734" s="2" t="s">
        <v>44654</v>
      </c>
      <c r="AA6734" s="2">
        <v>-3.2076422409936098</v>
      </c>
      <c r="AB6734" s="2">
        <v>1.50927380269844E-2</v>
      </c>
      <c r="AC6734" s="2">
        <v>19804.958764001101</v>
      </c>
      <c r="AD6734" s="2">
        <v>19994.4733025268</v>
      </c>
      <c r="AE6734" s="2">
        <v>19010.301101701501</v>
      </c>
      <c r="AF6734" s="2">
        <v>17243.7603338386</v>
      </c>
      <c r="AG6734" s="2">
        <v>20326.143915974098</v>
      </c>
      <c r="AH6734" s="2">
        <v>19319.821779759699</v>
      </c>
      <c r="AI6734" s="2">
        <v>20863.108034320099</v>
      </c>
      <c r="AJ6734" s="2">
        <v>22066.617418412799</v>
      </c>
      <c r="AK6734" s="2">
        <v>20551.578493619301</v>
      </c>
      <c r="AL6734" s="2">
        <v>20350.314004279498</v>
      </c>
      <c r="AM6734" s="2">
        <v>18660.682827533801</v>
      </c>
      <c r="AN6734" s="2">
        <v>18749.113144862102</v>
      </c>
      <c r="AO6734" s="2">
        <v>20752.8800376906</v>
      </c>
      <c r="AP6734" s="2">
        <v>20902.271307175299</v>
      </c>
    </row>
    <row r="6735" spans="1:42" ht="14.5" x14ac:dyDescent="0.35">
      <c r="A6735" s="2" t="s">
        <v>44655</v>
      </c>
      <c r="B6735" s="2">
        <v>360.347012701626</v>
      </c>
      <c r="C6735" s="2">
        <v>9.8631833333333301</v>
      </c>
      <c r="D6735" s="2" t="s">
        <v>34</v>
      </c>
      <c r="E6735" s="2" t="s">
        <v>44656</v>
      </c>
      <c r="F6735" s="2">
        <v>51176</v>
      </c>
      <c r="G6735" s="3" t="str">
        <f>HYPERLINK("http://funmeta.oebiotech.com/network/51176", "http://funmeta.oebiotech.com/network/51176")</f>
        <v>http://funmeta.oebiotech.com/network/51176</v>
      </c>
      <c r="H6735" s="2" t="s">
        <v>44657</v>
      </c>
      <c r="I6735" s="2">
        <v>62004</v>
      </c>
      <c r="J6735" s="2"/>
      <c r="K6735" s="2"/>
      <c r="L6735" s="2"/>
      <c r="M6735" s="2"/>
      <c r="N6735" s="2"/>
      <c r="O6735" s="2">
        <v>11824075</v>
      </c>
      <c r="P6735" s="2" t="s">
        <v>44658</v>
      </c>
      <c r="Q6735" s="2" t="s">
        <v>44659</v>
      </c>
      <c r="R6735" s="2" t="s">
        <v>44660</v>
      </c>
      <c r="S6735" s="2" t="s">
        <v>50</v>
      </c>
      <c r="T6735" s="2" t="s">
        <v>448</v>
      </c>
      <c r="U6735" s="2" t="s">
        <v>44661</v>
      </c>
      <c r="V6735" s="2" t="s">
        <v>59</v>
      </c>
      <c r="W6735" s="2">
        <v>47.9</v>
      </c>
      <c r="X6735" s="2">
        <v>44.6</v>
      </c>
      <c r="Y6735" s="2" t="s">
        <v>43</v>
      </c>
      <c r="Z6735" s="2" t="s">
        <v>40726</v>
      </c>
      <c r="AA6735" s="2">
        <v>-0.60772963304944905</v>
      </c>
      <c r="AB6735" s="2">
        <v>1.49944136258986E-2</v>
      </c>
      <c r="AC6735" s="2">
        <v>2742.73818109694</v>
      </c>
      <c r="AD6735" s="2">
        <v>2862.1253101617299</v>
      </c>
      <c r="AE6735" s="2">
        <v>2698.6307474810701</v>
      </c>
      <c r="AF6735" s="2">
        <v>2634.38283856106</v>
      </c>
      <c r="AG6735" s="2">
        <v>2283.5604996337102</v>
      </c>
      <c r="AH6735" s="2">
        <v>2313.6605826220798</v>
      </c>
      <c r="AI6735" s="2">
        <v>3308.02980582996</v>
      </c>
      <c r="AJ6735" s="2">
        <v>3218.1646124537401</v>
      </c>
      <c r="AK6735" s="2">
        <v>3710.7807927131498</v>
      </c>
      <c r="AL6735" s="2">
        <v>3270.0242283918801</v>
      </c>
      <c r="AM6735" s="2">
        <v>2095.28907125559</v>
      </c>
      <c r="AN6735" s="2">
        <v>2368.3143946345299</v>
      </c>
      <c r="AO6735" s="2">
        <v>2614.1459041779899</v>
      </c>
      <c r="AP6735" s="2">
        <v>3114.1974697972501</v>
      </c>
    </row>
    <row r="6736" spans="1:42" ht="14.5" x14ac:dyDescent="0.35">
      <c r="A6736" s="2" t="s">
        <v>44662</v>
      </c>
      <c r="B6736" s="2">
        <v>437.19338765771403</v>
      </c>
      <c r="C6736" s="2">
        <v>9.2539333333333307</v>
      </c>
      <c r="D6736" s="2" t="s">
        <v>34</v>
      </c>
      <c r="E6736" s="2" t="s">
        <v>44663</v>
      </c>
      <c r="F6736" s="2">
        <v>60688</v>
      </c>
      <c r="G6736" s="3" t="str">
        <f>HYPERLINK("http://funmeta.oebiotech.com/network/60688", "http://funmeta.oebiotech.com/network/60688")</f>
        <v>http://funmeta.oebiotech.com/network/60688</v>
      </c>
      <c r="H6736" s="2" t="s">
        <v>44664</v>
      </c>
      <c r="I6736" s="2"/>
      <c r="J6736" s="2"/>
      <c r="K6736" s="2"/>
      <c r="L6736" s="2"/>
      <c r="M6736" s="2"/>
      <c r="N6736" s="2"/>
      <c r="O6736" s="2">
        <v>78173000</v>
      </c>
      <c r="P6736" s="2" t="s">
        <v>44665</v>
      </c>
      <c r="Q6736" s="2" t="s">
        <v>44666</v>
      </c>
      <c r="R6736" s="2" t="s">
        <v>44667</v>
      </c>
      <c r="S6736" s="2" t="s">
        <v>50</v>
      </c>
      <c r="T6736" s="2" t="s">
        <v>201</v>
      </c>
      <c r="U6736" s="2" t="s">
        <v>636</v>
      </c>
      <c r="V6736" s="2" t="s">
        <v>59</v>
      </c>
      <c r="W6736" s="2">
        <v>40.799999999999997</v>
      </c>
      <c r="X6736" s="2">
        <v>8.2100000000000009</v>
      </c>
      <c r="Y6736" s="2" t="s">
        <v>568</v>
      </c>
      <c r="Z6736" s="2" t="s">
        <v>13194</v>
      </c>
      <c r="AA6736" s="2">
        <v>-0.173107224815956</v>
      </c>
      <c r="AB6736" s="2">
        <v>1.4844324962613E-2</v>
      </c>
      <c r="AC6736" s="2">
        <v>9683.4387063898303</v>
      </c>
      <c r="AD6736" s="2">
        <v>9988.6551133585999</v>
      </c>
      <c r="AE6736" s="2">
        <v>11096.9799325527</v>
      </c>
      <c r="AF6736" s="2">
        <v>7982.33017872665</v>
      </c>
      <c r="AG6736" s="2">
        <v>7996.0670749188102</v>
      </c>
      <c r="AH6736" s="2">
        <v>11319.079377635901</v>
      </c>
      <c r="AI6736" s="2">
        <v>10816.892847707801</v>
      </c>
      <c r="AJ6736" s="2">
        <v>8889.2828267971308</v>
      </c>
      <c r="AK6736" s="2">
        <v>7125.9435121652004</v>
      </c>
      <c r="AL6736" s="2">
        <v>18697.0711259329</v>
      </c>
      <c r="AM6736" s="2">
        <v>10767.488856252499</v>
      </c>
      <c r="AN6736" s="2">
        <v>9016.5109774568191</v>
      </c>
      <c r="AO6736" s="2">
        <v>7799.5183853525104</v>
      </c>
      <c r="AP6736" s="2">
        <v>6525.3978229916502</v>
      </c>
    </row>
    <row r="6737" spans="1:42" ht="14.5" x14ac:dyDescent="0.35">
      <c r="A6737" s="2" t="s">
        <v>44668</v>
      </c>
      <c r="B6737" s="2">
        <v>238.09187527539399</v>
      </c>
      <c r="C6737" s="2">
        <v>0.75019999999999998</v>
      </c>
      <c r="D6737" s="2" t="s">
        <v>34</v>
      </c>
      <c r="E6737" s="2" t="s">
        <v>44669</v>
      </c>
      <c r="F6737" s="2">
        <v>61333</v>
      </c>
      <c r="G6737" s="3" t="str">
        <f>HYPERLINK("http://funmeta.oebiotech.com/network/61333", "http://funmeta.oebiotech.com/network/61333")</f>
        <v>http://funmeta.oebiotech.com/network/61333</v>
      </c>
      <c r="H6737" s="2" t="s">
        <v>44670</v>
      </c>
      <c r="I6737" s="2"/>
      <c r="J6737" s="2"/>
      <c r="K6737" s="2">
        <v>143247</v>
      </c>
      <c r="L6737" s="2"/>
      <c r="M6737" s="2"/>
      <c r="N6737" s="2"/>
      <c r="O6737" s="2">
        <v>131752250</v>
      </c>
      <c r="P6737" s="2" t="s">
        <v>44671</v>
      </c>
      <c r="Q6737" s="2" t="s">
        <v>44672</v>
      </c>
      <c r="R6737" s="2" t="s">
        <v>44673</v>
      </c>
      <c r="S6737" s="2" t="s">
        <v>79</v>
      </c>
      <c r="T6737" s="2" t="s">
        <v>80</v>
      </c>
      <c r="U6737" s="2" t="s">
        <v>81</v>
      </c>
      <c r="V6737" s="2" t="s">
        <v>59</v>
      </c>
      <c r="W6737" s="2">
        <v>37.799999999999997</v>
      </c>
      <c r="X6737" s="2">
        <v>0</v>
      </c>
      <c r="Y6737" s="2" t="s">
        <v>266</v>
      </c>
      <c r="Z6737" s="2" t="s">
        <v>44674</v>
      </c>
      <c r="AA6737" s="2">
        <v>-1.0670414996358399</v>
      </c>
      <c r="AB6737" s="2">
        <v>1.48267482628207E-2</v>
      </c>
      <c r="AC6737" s="2">
        <v>53472.8590213684</v>
      </c>
      <c r="AD6737" s="2">
        <v>53125.520042087097</v>
      </c>
      <c r="AE6737" s="2">
        <v>53266.273050374999</v>
      </c>
      <c r="AF6737" s="2">
        <v>55319.377920144201</v>
      </c>
      <c r="AG6737" s="2">
        <v>53363.026072281296</v>
      </c>
      <c r="AH6737" s="2">
        <v>50144.190914321996</v>
      </c>
      <c r="AI6737" s="2">
        <v>54560.0477842404</v>
      </c>
      <c r="AJ6737" s="2">
        <v>54184.238386847501</v>
      </c>
      <c r="AK6737" s="2">
        <v>43367.5730238549</v>
      </c>
      <c r="AL6737" s="2">
        <v>58175.499937861903</v>
      </c>
      <c r="AM6737" s="2">
        <v>51251.161679454301</v>
      </c>
      <c r="AN6737" s="2">
        <v>58515.013633811497</v>
      </c>
      <c r="AO6737" s="2">
        <v>56007.372152367803</v>
      </c>
      <c r="AP6737" s="2">
        <v>51436.499825172003</v>
      </c>
    </row>
    <row r="6738" spans="1:42" ht="14.5" x14ac:dyDescent="0.35">
      <c r="A6738" s="2" t="s">
        <v>44675</v>
      </c>
      <c r="B6738" s="2">
        <v>581.09094672322703</v>
      </c>
      <c r="C6738" s="2">
        <v>4.7039999999999997</v>
      </c>
      <c r="D6738" s="2" t="s">
        <v>70</v>
      </c>
      <c r="E6738" s="2" t="s">
        <v>44676</v>
      </c>
      <c r="F6738" s="2">
        <v>32302</v>
      </c>
      <c r="G6738" s="3" t="str">
        <f>HYPERLINK("http://funmeta.oebiotech.com/network/32302", "http://funmeta.oebiotech.com/network/32302")</f>
        <v>http://funmeta.oebiotech.com/network/32302</v>
      </c>
      <c r="H6738" s="2"/>
      <c r="I6738" s="2"/>
      <c r="J6738" s="2" t="s">
        <v>44677</v>
      </c>
      <c r="K6738" s="2"/>
      <c r="L6738" s="2"/>
      <c r="M6738" s="2"/>
      <c r="N6738" s="2"/>
      <c r="O6738" s="2">
        <v>10031482</v>
      </c>
      <c r="P6738" s="2"/>
      <c r="Q6738" s="2" t="s">
        <v>44678</v>
      </c>
      <c r="R6738" s="2" t="s">
        <v>44679</v>
      </c>
      <c r="S6738" s="2" t="s">
        <v>115</v>
      </c>
      <c r="T6738" s="2" t="s">
        <v>139</v>
      </c>
      <c r="U6738" s="2" t="s">
        <v>140</v>
      </c>
      <c r="V6738" s="2" t="s">
        <v>59</v>
      </c>
      <c r="W6738" s="2">
        <v>39.299999999999997</v>
      </c>
      <c r="X6738" s="2">
        <v>7.12</v>
      </c>
      <c r="Y6738" s="2" t="s">
        <v>751</v>
      </c>
      <c r="Z6738" s="2" t="s">
        <v>44680</v>
      </c>
      <c r="AA6738" s="2">
        <v>-4.5528535307906299</v>
      </c>
      <c r="AB6738" s="2">
        <v>1.479581362282E-2</v>
      </c>
      <c r="AC6738" s="2">
        <v>135374.40707566901</v>
      </c>
      <c r="AD6738" s="2">
        <v>134829.41102004901</v>
      </c>
      <c r="AE6738" s="2">
        <v>141212.000749978</v>
      </c>
      <c r="AF6738" s="2">
        <v>117519.740618789</v>
      </c>
      <c r="AG6738" s="2">
        <v>135635.951853629</v>
      </c>
      <c r="AH6738" s="2">
        <v>134580.45697255299</v>
      </c>
      <c r="AI6738" s="2">
        <v>133286.17307744201</v>
      </c>
      <c r="AJ6738" s="2">
        <v>150012.119181624</v>
      </c>
      <c r="AK6738" s="2">
        <v>137715.32316771999</v>
      </c>
      <c r="AL6738" s="2">
        <v>121841.296621217</v>
      </c>
      <c r="AM6738" s="2">
        <v>146616.67135487401</v>
      </c>
      <c r="AN6738" s="2">
        <v>128427.05810965</v>
      </c>
      <c r="AO6738" s="2">
        <v>139358.27630693201</v>
      </c>
      <c r="AP6738" s="2">
        <v>135017.84055990001</v>
      </c>
    </row>
    <row r="6739" spans="1:42" ht="14.5" x14ac:dyDescent="0.35">
      <c r="A6739" s="2" t="s">
        <v>44681</v>
      </c>
      <c r="B6739" s="2">
        <v>194.03368292764699</v>
      </c>
      <c r="C6739" s="2">
        <v>1.4777166666666699</v>
      </c>
      <c r="D6739" s="2" t="s">
        <v>34</v>
      </c>
      <c r="E6739" s="2" t="s">
        <v>44682</v>
      </c>
      <c r="F6739" s="2">
        <v>257002</v>
      </c>
      <c r="G6739" s="3" t="str">
        <f>HYPERLINK("http://funmeta.oebiotech.com/network/257002", "http://funmeta.oebiotech.com/network/257002")</f>
        <v>http://funmeta.oebiotech.com/network/257002</v>
      </c>
      <c r="H6739" s="2" t="s">
        <v>44683</v>
      </c>
      <c r="I6739" s="2"/>
      <c r="J6739" s="2"/>
      <c r="K6739" s="2"/>
      <c r="L6739" s="2"/>
      <c r="M6739" s="2"/>
      <c r="N6739" s="2"/>
      <c r="O6739" s="2">
        <v>25201144</v>
      </c>
      <c r="P6739" s="2"/>
      <c r="Q6739" s="2" t="s">
        <v>44684</v>
      </c>
      <c r="R6739" s="2" t="s">
        <v>44685</v>
      </c>
      <c r="S6739" s="2" t="s">
        <v>491</v>
      </c>
      <c r="T6739" s="2" t="s">
        <v>2321</v>
      </c>
      <c r="U6739" s="2" t="s">
        <v>2322</v>
      </c>
      <c r="V6739" s="2" t="s">
        <v>59</v>
      </c>
      <c r="W6739" s="2">
        <v>39.200000000000003</v>
      </c>
      <c r="X6739" s="2">
        <v>7.46</v>
      </c>
      <c r="Y6739" s="2" t="s">
        <v>340</v>
      </c>
      <c r="Z6739" s="2" t="s">
        <v>44686</v>
      </c>
      <c r="AA6739" s="2">
        <v>-1.8982539990821901</v>
      </c>
      <c r="AB6739" s="2">
        <v>1.4731928125651E-2</v>
      </c>
      <c r="AC6739" s="2">
        <v>154.567445730017</v>
      </c>
      <c r="AD6739" s="2">
        <v>119.08189337222301</v>
      </c>
      <c r="AE6739" s="2">
        <v>185.427781365594</v>
      </c>
      <c r="AF6739" s="2">
        <v>146.91809858259501</v>
      </c>
      <c r="AG6739" s="2">
        <v>186.960344372679</v>
      </c>
      <c r="AH6739" s="2">
        <v>185.07886572863799</v>
      </c>
      <c r="AI6739" s="2">
        <v>105.04238626796899</v>
      </c>
      <c r="AJ6739" s="2">
        <v>117.97719806262801</v>
      </c>
      <c r="AK6739" s="2">
        <v>49.645521686579798</v>
      </c>
      <c r="AL6739" s="2">
        <v>101.75359638352801</v>
      </c>
      <c r="AM6739" s="2">
        <v>90.157868367938505</v>
      </c>
      <c r="AN6739" s="2">
        <v>182.14335475694099</v>
      </c>
      <c r="AO6739" s="2">
        <v>112.917220143694</v>
      </c>
      <c r="AP6739" s="2">
        <v>177.87379889465799</v>
      </c>
    </row>
    <row r="6740" spans="1:42" ht="14.5" x14ac:dyDescent="0.35">
      <c r="A6740" s="2" t="s">
        <v>44687</v>
      </c>
      <c r="B6740" s="2">
        <v>421.14235582017801</v>
      </c>
      <c r="C6740" s="2">
        <v>8.8120999999999992</v>
      </c>
      <c r="D6740" s="2" t="s">
        <v>70</v>
      </c>
      <c r="E6740" s="2" t="s">
        <v>44688</v>
      </c>
      <c r="F6740" s="2">
        <v>52633</v>
      </c>
      <c r="G6740" s="3" t="str">
        <f>HYPERLINK("http://funmeta.oebiotech.com/network/52633", "http://funmeta.oebiotech.com/network/52633")</f>
        <v>http://funmeta.oebiotech.com/network/52633</v>
      </c>
      <c r="H6740" s="2" t="s">
        <v>44689</v>
      </c>
      <c r="I6740" s="2">
        <v>1312</v>
      </c>
      <c r="J6740" s="2"/>
      <c r="K6740" s="2">
        <v>50693</v>
      </c>
      <c r="L6740" s="2" t="s">
        <v>44690</v>
      </c>
      <c r="M6740" s="2"/>
      <c r="N6740" s="2"/>
      <c r="O6740" s="2">
        <v>4197</v>
      </c>
      <c r="P6740" s="2" t="s">
        <v>44691</v>
      </c>
      <c r="Q6740" s="2" t="s">
        <v>44692</v>
      </c>
      <c r="R6740" s="2" t="s">
        <v>44693</v>
      </c>
      <c r="S6740" s="2" t="s">
        <v>491</v>
      </c>
      <c r="T6740" s="2" t="s">
        <v>2238</v>
      </c>
      <c r="U6740" s="2" t="s">
        <v>10577</v>
      </c>
      <c r="V6740" s="2" t="s">
        <v>59</v>
      </c>
      <c r="W6740" s="2">
        <v>39.299999999999997</v>
      </c>
      <c r="X6740" s="2">
        <v>0</v>
      </c>
      <c r="Y6740" s="2" t="s">
        <v>560</v>
      </c>
      <c r="Z6740" s="2" t="s">
        <v>44694</v>
      </c>
      <c r="AA6740" s="2">
        <v>1.20433034020457</v>
      </c>
      <c r="AB6740" s="2">
        <v>1.45785829596308E-2</v>
      </c>
      <c r="AC6740" s="2">
        <v>1025.90187954216</v>
      </c>
      <c r="AD6740" s="2">
        <v>1157.3064322908201</v>
      </c>
      <c r="AE6740" s="2">
        <v>1188.1425826319501</v>
      </c>
      <c r="AF6740" s="2">
        <v>891.28104730702501</v>
      </c>
      <c r="AG6740" s="2">
        <v>710.61896950999301</v>
      </c>
      <c r="AH6740" s="2">
        <v>1116.69128100796</v>
      </c>
      <c r="AI6740" s="2">
        <v>1057.1677735073299</v>
      </c>
      <c r="AJ6740" s="2">
        <v>1191.5096232887099</v>
      </c>
      <c r="AK6740" s="2">
        <v>531.20407049759604</v>
      </c>
      <c r="AL6740" s="2">
        <v>2866.0930422056899</v>
      </c>
      <c r="AM6740" s="2">
        <v>1315.04148422907</v>
      </c>
      <c r="AN6740" s="2">
        <v>1030.84927720941</v>
      </c>
      <c r="AO6740" s="2">
        <v>786.23466182001596</v>
      </c>
      <c r="AP6740" s="2">
        <v>414.41605778316699</v>
      </c>
    </row>
    <row r="6741" spans="1:42" ht="14.5" x14ac:dyDescent="0.35">
      <c r="A6741" s="2" t="s">
        <v>44695</v>
      </c>
      <c r="B6741" s="2">
        <v>262.10807682242501</v>
      </c>
      <c r="C6741" s="2">
        <v>8.2186333333333295</v>
      </c>
      <c r="D6741" s="2" t="s">
        <v>70</v>
      </c>
      <c r="E6741" s="2" t="s">
        <v>44696</v>
      </c>
      <c r="F6741" s="2">
        <v>211155</v>
      </c>
      <c r="G6741" s="3" t="str">
        <f>HYPERLINK("http://funmeta.oebiotech.com/network/211155", "http://funmeta.oebiotech.com/network/211155")</f>
        <v>http://funmeta.oebiotech.com/network/211155</v>
      </c>
      <c r="H6741" s="2" t="s">
        <v>44697</v>
      </c>
      <c r="I6741" s="2"/>
      <c r="J6741" s="2"/>
      <c r="K6741" s="2"/>
      <c r="L6741" s="2"/>
      <c r="M6741" s="2"/>
      <c r="N6741" s="2"/>
      <c r="O6741" s="2">
        <v>6426700</v>
      </c>
      <c r="P6741" s="2"/>
      <c r="Q6741" s="2" t="s">
        <v>44698</v>
      </c>
      <c r="R6741" s="2" t="s">
        <v>44699</v>
      </c>
      <c r="S6741" s="2" t="s">
        <v>491</v>
      </c>
      <c r="T6741" s="2" t="s">
        <v>8419</v>
      </c>
      <c r="U6741" s="2" t="s">
        <v>8420</v>
      </c>
      <c r="V6741" s="2" t="s">
        <v>59</v>
      </c>
      <c r="W6741" s="2">
        <v>45.9</v>
      </c>
      <c r="X6741" s="2">
        <v>34.799999999999997</v>
      </c>
      <c r="Y6741" s="2" t="s">
        <v>751</v>
      </c>
      <c r="Z6741" s="2" t="s">
        <v>41311</v>
      </c>
      <c r="AA6741" s="2">
        <v>-1.4398136069484599</v>
      </c>
      <c r="AB6741" s="2">
        <v>1.4561781926101599E-2</v>
      </c>
      <c r="AC6741" s="2">
        <v>7709.9524388653899</v>
      </c>
      <c r="AD6741" s="2">
        <v>7844.2983836407902</v>
      </c>
      <c r="AE6741" s="2">
        <v>8044.5176144987699</v>
      </c>
      <c r="AF6741" s="2">
        <v>8360.2133056518196</v>
      </c>
      <c r="AG6741" s="2">
        <v>7165.8034957628597</v>
      </c>
      <c r="AH6741" s="2">
        <v>7403.0762335593699</v>
      </c>
      <c r="AI6741" s="2">
        <v>7542.0132040817498</v>
      </c>
      <c r="AJ6741" s="2">
        <v>7744.0907796377796</v>
      </c>
      <c r="AK6741" s="2">
        <v>8037.7632970446803</v>
      </c>
      <c r="AL6741" s="2">
        <v>7240.0551945961697</v>
      </c>
      <c r="AM6741" s="2">
        <v>7417.2370461345399</v>
      </c>
      <c r="AN6741" s="2">
        <v>8146.0501515247497</v>
      </c>
      <c r="AO6741" s="2">
        <v>6890.4189427547799</v>
      </c>
      <c r="AP6741" s="2">
        <v>9334.2656697898092</v>
      </c>
    </row>
    <row r="6742" spans="1:42" ht="14.5" x14ac:dyDescent="0.35">
      <c r="A6742" s="2" t="s">
        <v>44700</v>
      </c>
      <c r="B6742" s="2">
        <v>173.05963687023899</v>
      </c>
      <c r="C6742" s="2">
        <v>2.3345833333333301</v>
      </c>
      <c r="D6742" s="2" t="s">
        <v>34</v>
      </c>
      <c r="E6742" s="2" t="s">
        <v>44701</v>
      </c>
      <c r="F6742" s="2">
        <v>202505</v>
      </c>
      <c r="G6742" s="3" t="str">
        <f>HYPERLINK("http://funmeta.oebiotech.com/network/202505", "http://funmeta.oebiotech.com/network/202505")</f>
        <v>http://funmeta.oebiotech.com/network/202505</v>
      </c>
      <c r="H6742" s="2" t="s">
        <v>44702</v>
      </c>
      <c r="I6742" s="2">
        <v>4091</v>
      </c>
      <c r="J6742" s="2"/>
      <c r="K6742" s="2">
        <v>28184</v>
      </c>
      <c r="L6742" s="2" t="s">
        <v>44703</v>
      </c>
      <c r="M6742" s="2"/>
      <c r="N6742" s="2"/>
      <c r="O6742" s="2">
        <v>35703</v>
      </c>
      <c r="P6742" s="2" t="s">
        <v>44704</v>
      </c>
      <c r="Q6742" s="2" t="s">
        <v>44705</v>
      </c>
      <c r="R6742" s="2" t="s">
        <v>44706</v>
      </c>
      <c r="S6742" s="2" t="s">
        <v>115</v>
      </c>
      <c r="T6742" s="2" t="s">
        <v>758</v>
      </c>
      <c r="U6742" s="2" t="s">
        <v>41</v>
      </c>
      <c r="V6742" s="2" t="s">
        <v>59</v>
      </c>
      <c r="W6742" s="2">
        <v>38.1</v>
      </c>
      <c r="X6742" s="2">
        <v>0</v>
      </c>
      <c r="Y6742" s="2" t="s">
        <v>141</v>
      </c>
      <c r="Z6742" s="2" t="s">
        <v>44707</v>
      </c>
      <c r="AA6742" s="2">
        <v>-0.36334869594782399</v>
      </c>
      <c r="AB6742" s="2">
        <v>1.4515122342551199E-2</v>
      </c>
      <c r="AC6742" s="2">
        <v>499.38032963500302</v>
      </c>
      <c r="AD6742" s="2">
        <v>459.42025213467099</v>
      </c>
      <c r="AE6742" s="2">
        <v>429.18665539344602</v>
      </c>
      <c r="AF6742" s="2">
        <v>514.221911685333</v>
      </c>
      <c r="AG6742" s="2">
        <v>513.54167145021597</v>
      </c>
      <c r="AH6742" s="2">
        <v>536.62996152633298</v>
      </c>
      <c r="AI6742" s="2">
        <v>467.174944206997</v>
      </c>
      <c r="AJ6742" s="2">
        <v>535.52683354768999</v>
      </c>
      <c r="AK6742" s="2">
        <v>418.31369996416203</v>
      </c>
      <c r="AL6742" s="2">
        <v>465.16448651841699</v>
      </c>
      <c r="AM6742" s="2">
        <v>393.52305712439602</v>
      </c>
      <c r="AN6742" s="2">
        <v>466.33102166518398</v>
      </c>
      <c r="AO6742" s="2">
        <v>595.91529467489602</v>
      </c>
      <c r="AP6742" s="2">
        <v>417.27395286096998</v>
      </c>
    </row>
    <row r="6743" spans="1:42" ht="14.5" x14ac:dyDescent="0.35">
      <c r="A6743" s="2" t="s">
        <v>44708</v>
      </c>
      <c r="B6743" s="2">
        <v>297.11187933433598</v>
      </c>
      <c r="C6743" s="2">
        <v>5.0258500000000002</v>
      </c>
      <c r="D6743" s="2" t="s">
        <v>34</v>
      </c>
      <c r="E6743" s="2" t="s">
        <v>44709</v>
      </c>
      <c r="F6743" s="2">
        <v>266585</v>
      </c>
      <c r="G6743" s="3" t="str">
        <f>HYPERLINK("http://funmeta.oebiotech.com/network/266585", "http://funmeta.oebiotech.com/network/266585")</f>
        <v>http://funmeta.oebiotech.com/network/266585</v>
      </c>
      <c r="H6743" s="2"/>
      <c r="I6743" s="2">
        <v>43628</v>
      </c>
      <c r="J6743" s="2"/>
      <c r="K6743" s="2"/>
      <c r="L6743" s="2"/>
      <c r="M6743" s="2"/>
      <c r="N6743" s="2"/>
      <c r="O6743" s="2">
        <v>16667741</v>
      </c>
      <c r="P6743" s="2"/>
      <c r="Q6743" s="2" t="s">
        <v>44710</v>
      </c>
      <c r="R6743" s="2" t="s">
        <v>44711</v>
      </c>
      <c r="S6743" s="2" t="s">
        <v>115</v>
      </c>
      <c r="T6743" s="2" t="s">
        <v>17642</v>
      </c>
      <c r="U6743" s="2" t="s">
        <v>17643</v>
      </c>
      <c r="V6743" s="2" t="s">
        <v>59</v>
      </c>
      <c r="W6743" s="2">
        <v>38.700000000000003</v>
      </c>
      <c r="X6743" s="2">
        <v>0</v>
      </c>
      <c r="Y6743" s="2" t="s">
        <v>141</v>
      </c>
      <c r="Z6743" s="2" t="s">
        <v>44712</v>
      </c>
      <c r="AA6743" s="2">
        <v>-0.81527586510893502</v>
      </c>
      <c r="AB6743" s="2">
        <v>1.44865764739898E-2</v>
      </c>
      <c r="AC6743" s="2">
        <v>1740.4656447944301</v>
      </c>
      <c r="AD6743" s="2">
        <v>1626.9360526431401</v>
      </c>
      <c r="AE6743" s="2">
        <v>1484.1686609815499</v>
      </c>
      <c r="AF6743" s="2">
        <v>1609.2038848575501</v>
      </c>
      <c r="AG6743" s="2">
        <v>1808.22413166564</v>
      </c>
      <c r="AH6743" s="2">
        <v>2276.6946029751898</v>
      </c>
      <c r="AI6743" s="2">
        <v>1573.0591189250499</v>
      </c>
      <c r="AJ6743" s="2">
        <v>1691.4434693616099</v>
      </c>
      <c r="AK6743" s="2">
        <v>1597.19196909581</v>
      </c>
      <c r="AL6743" s="2">
        <v>936.58145617186403</v>
      </c>
      <c r="AM6743" s="2">
        <v>1206.1656168573199</v>
      </c>
      <c r="AN6743" s="2">
        <v>1680.4427841847</v>
      </c>
      <c r="AO6743" s="2">
        <v>1488.0085563129601</v>
      </c>
      <c r="AP6743" s="2">
        <v>2853.22593323618</v>
      </c>
    </row>
    <row r="6744" spans="1:42" ht="14.5" x14ac:dyDescent="0.35">
      <c r="A6744" s="2" t="s">
        <v>44713</v>
      </c>
      <c r="B6744" s="2">
        <v>552.97984495152105</v>
      </c>
      <c r="C6744" s="2">
        <v>1.2414499999999999</v>
      </c>
      <c r="D6744" s="2" t="s">
        <v>70</v>
      </c>
      <c r="E6744" s="2" t="s">
        <v>44714</v>
      </c>
      <c r="F6744" s="2">
        <v>46918</v>
      </c>
      <c r="G6744" s="3" t="str">
        <f>HYPERLINK("http://funmeta.oebiotech.com/network/46918", "http://funmeta.oebiotech.com/network/46918")</f>
        <v>http://funmeta.oebiotech.com/network/46918</v>
      </c>
      <c r="H6744" s="2" t="s">
        <v>44715</v>
      </c>
      <c r="I6744" s="2">
        <v>3589</v>
      </c>
      <c r="J6744" s="2"/>
      <c r="K6744" s="2">
        <v>16039</v>
      </c>
      <c r="L6744" s="2" t="s">
        <v>44716</v>
      </c>
      <c r="M6744" s="2" t="s">
        <v>4932</v>
      </c>
      <c r="N6744" s="2" t="s">
        <v>4933</v>
      </c>
      <c r="O6744" s="2">
        <v>8583</v>
      </c>
      <c r="P6744" s="2" t="s">
        <v>44717</v>
      </c>
      <c r="Q6744" s="2" t="s">
        <v>44718</v>
      </c>
      <c r="R6744" s="2" t="s">
        <v>44719</v>
      </c>
      <c r="S6744" s="2" t="s">
        <v>1444</v>
      </c>
      <c r="T6744" s="2" t="s">
        <v>4937</v>
      </c>
      <c r="U6744" s="2" t="s">
        <v>5723</v>
      </c>
      <c r="V6744" s="2" t="s">
        <v>59</v>
      </c>
      <c r="W6744" s="2">
        <v>38.6</v>
      </c>
      <c r="X6744" s="2">
        <v>0</v>
      </c>
      <c r="Y6744" s="2" t="s">
        <v>408</v>
      </c>
      <c r="Z6744" s="2" t="s">
        <v>44720</v>
      </c>
      <c r="AA6744" s="2">
        <v>3.7029377445645699</v>
      </c>
      <c r="AB6744" s="2">
        <v>1.44819992062691E-2</v>
      </c>
      <c r="AC6744" s="2">
        <v>2780.6465216461802</v>
      </c>
      <c r="AD6744" s="2">
        <v>2643.2477449850298</v>
      </c>
      <c r="AE6744" s="2">
        <v>2949.3011559111201</v>
      </c>
      <c r="AF6744" s="2">
        <v>1808.69122878189</v>
      </c>
      <c r="AG6744" s="2">
        <v>3543.5649439106701</v>
      </c>
      <c r="AH6744" s="2">
        <v>2494.3802461055202</v>
      </c>
      <c r="AI6744" s="2">
        <v>3263.2399063089701</v>
      </c>
      <c r="AJ6744" s="2">
        <v>2624.7016488588802</v>
      </c>
      <c r="AK6744" s="2">
        <v>2939.8050618234602</v>
      </c>
      <c r="AL6744" s="2">
        <v>2547.4730077081799</v>
      </c>
      <c r="AM6744" s="2">
        <v>1096.6628590011001</v>
      </c>
      <c r="AN6744" s="2">
        <v>3359.1315843068701</v>
      </c>
      <c r="AO6744" s="2">
        <v>2721.40700408573</v>
      </c>
      <c r="AP6744" s="2">
        <v>3195.0069529848602</v>
      </c>
    </row>
    <row r="6745" spans="1:42" ht="14.5" x14ac:dyDescent="0.35">
      <c r="A6745" s="2" t="s">
        <v>44721</v>
      </c>
      <c r="B6745" s="2">
        <v>521.23901250026199</v>
      </c>
      <c r="C6745" s="2">
        <v>6.0676500000000004</v>
      </c>
      <c r="D6745" s="2" t="s">
        <v>70</v>
      </c>
      <c r="E6745" s="2" t="s">
        <v>44722</v>
      </c>
      <c r="F6745" s="2">
        <v>44503</v>
      </c>
      <c r="G6745" s="3" t="str">
        <f>HYPERLINK("http://funmeta.oebiotech.com/network/44503", "http://funmeta.oebiotech.com/network/44503")</f>
        <v>http://funmeta.oebiotech.com/network/44503</v>
      </c>
      <c r="H6745" s="2"/>
      <c r="I6745" s="2"/>
      <c r="J6745" s="2" t="s">
        <v>44723</v>
      </c>
      <c r="K6745" s="2"/>
      <c r="L6745" s="2"/>
      <c r="M6745" s="2"/>
      <c r="N6745" s="2"/>
      <c r="O6745" s="2">
        <v>52931447</v>
      </c>
      <c r="P6745" s="2"/>
      <c r="Q6745" s="2" t="s">
        <v>44724</v>
      </c>
      <c r="R6745" s="2" t="s">
        <v>44725</v>
      </c>
      <c r="S6745" s="2" t="s">
        <v>50</v>
      </c>
      <c r="T6745" s="2" t="s">
        <v>124</v>
      </c>
      <c r="U6745" s="2" t="s">
        <v>1136</v>
      </c>
      <c r="V6745" s="2" t="s">
        <v>42</v>
      </c>
      <c r="W6745" s="2">
        <v>45.8</v>
      </c>
      <c r="X6745" s="2">
        <v>49.6</v>
      </c>
      <c r="Y6745" s="2" t="s">
        <v>408</v>
      </c>
      <c r="Z6745" s="2" t="s">
        <v>3607</v>
      </c>
      <c r="AA6745" s="2">
        <v>-0.43776308641862599</v>
      </c>
      <c r="AB6745" s="2">
        <v>1.44672656535217E-2</v>
      </c>
      <c r="AC6745" s="2">
        <v>11526.2995668152</v>
      </c>
      <c r="AD6745" s="2">
        <v>11692.4990744276</v>
      </c>
      <c r="AE6745" s="2">
        <v>11245.059814822</v>
      </c>
      <c r="AF6745" s="2">
        <v>10689.1628625126</v>
      </c>
      <c r="AG6745" s="2">
        <v>13182.479174465299</v>
      </c>
      <c r="AH6745" s="2">
        <v>11575.080420513899</v>
      </c>
      <c r="AI6745" s="2">
        <v>12069.646832485299</v>
      </c>
      <c r="AJ6745" s="2">
        <v>10396.3682960921</v>
      </c>
      <c r="AK6745" s="2">
        <v>11227.518058253399</v>
      </c>
      <c r="AL6745" s="2">
        <v>11622.183364988499</v>
      </c>
      <c r="AM6745" s="2">
        <v>11486.549222113101</v>
      </c>
      <c r="AN6745" s="2">
        <v>12717.9116491117</v>
      </c>
      <c r="AO6745" s="2">
        <v>13513.6563909131</v>
      </c>
      <c r="AP6745" s="2">
        <v>9587.1757611860703</v>
      </c>
    </row>
    <row r="6746" spans="1:42" ht="14.5" x14ac:dyDescent="0.35">
      <c r="A6746" s="2" t="s">
        <v>44726</v>
      </c>
      <c r="B6746" s="2">
        <v>661.20072400884806</v>
      </c>
      <c r="C6746" s="2">
        <v>7.6666999999999996</v>
      </c>
      <c r="D6746" s="2" t="s">
        <v>70</v>
      </c>
      <c r="E6746" s="2" t="s">
        <v>44727</v>
      </c>
      <c r="F6746" s="2">
        <v>52519</v>
      </c>
      <c r="G6746" s="3" t="str">
        <f>HYPERLINK("http://funmeta.oebiotech.com/network/52519", "http://funmeta.oebiotech.com/network/52519")</f>
        <v>http://funmeta.oebiotech.com/network/52519</v>
      </c>
      <c r="H6746" s="2" t="s">
        <v>44728</v>
      </c>
      <c r="I6746" s="2">
        <v>85314</v>
      </c>
      <c r="J6746" s="2"/>
      <c r="K6746" s="2"/>
      <c r="L6746" s="2"/>
      <c r="M6746" s="2"/>
      <c r="N6746" s="2"/>
      <c r="O6746" s="2">
        <v>19919505</v>
      </c>
      <c r="P6746" s="2"/>
      <c r="Q6746" s="2" t="s">
        <v>44729</v>
      </c>
      <c r="R6746" s="2" t="s">
        <v>44730</v>
      </c>
      <c r="S6746" s="2" t="s">
        <v>491</v>
      </c>
      <c r="T6746" s="2" t="s">
        <v>44731</v>
      </c>
      <c r="U6746" s="2" t="s">
        <v>41</v>
      </c>
      <c r="V6746" s="2" t="s">
        <v>59</v>
      </c>
      <c r="W6746" s="2">
        <v>38.200000000000003</v>
      </c>
      <c r="X6746" s="2">
        <v>0</v>
      </c>
      <c r="Y6746" s="2" t="s">
        <v>560</v>
      </c>
      <c r="Z6746" s="2" t="s">
        <v>44732</v>
      </c>
      <c r="AA6746" s="2">
        <v>-0.68806356669812296</v>
      </c>
      <c r="AB6746" s="2">
        <v>1.4338959520980001E-2</v>
      </c>
      <c r="AC6746" s="2">
        <v>14879.383349919999</v>
      </c>
      <c r="AD6746" s="2">
        <v>14663.4011242203</v>
      </c>
      <c r="AE6746" s="2">
        <v>14712.1026097342</v>
      </c>
      <c r="AF6746" s="2">
        <v>12831.685530033301</v>
      </c>
      <c r="AG6746" s="2">
        <v>13344.969743526501</v>
      </c>
      <c r="AH6746" s="2">
        <v>17957.964727070699</v>
      </c>
      <c r="AI6746" s="2">
        <v>16293.7173164573</v>
      </c>
      <c r="AJ6746" s="2">
        <v>14135.8601726979</v>
      </c>
      <c r="AK6746" s="2">
        <v>16771.791359408398</v>
      </c>
      <c r="AL6746" s="2">
        <v>13562.9566578881</v>
      </c>
      <c r="AM6746" s="2">
        <v>14510.2360106916</v>
      </c>
      <c r="AN6746" s="2">
        <v>13485.389391187</v>
      </c>
      <c r="AO6746" s="2">
        <v>13758.549673069199</v>
      </c>
      <c r="AP6746" s="2">
        <v>15891.483653077299</v>
      </c>
    </row>
    <row r="6747" spans="1:42" ht="14.5" x14ac:dyDescent="0.35">
      <c r="A6747" s="2" t="s">
        <v>44733</v>
      </c>
      <c r="B6747" s="2">
        <v>467.13456141468299</v>
      </c>
      <c r="C6747" s="2">
        <v>5.2266333333333304</v>
      </c>
      <c r="D6747" s="2" t="s">
        <v>70</v>
      </c>
      <c r="E6747" s="2" t="s">
        <v>44734</v>
      </c>
      <c r="F6747" s="2">
        <v>55373</v>
      </c>
      <c r="G6747" s="3" t="str">
        <f>HYPERLINK("http://funmeta.oebiotech.com/network/55373", "http://funmeta.oebiotech.com/network/55373")</f>
        <v>http://funmeta.oebiotech.com/network/55373</v>
      </c>
      <c r="H6747" s="2" t="s">
        <v>44735</v>
      </c>
      <c r="I6747" s="2"/>
      <c r="J6747" s="2"/>
      <c r="K6747" s="2"/>
      <c r="L6747" s="2"/>
      <c r="M6747" s="2"/>
      <c r="N6747" s="2"/>
      <c r="O6747" s="2">
        <v>13001421</v>
      </c>
      <c r="P6747" s="2" t="s">
        <v>44736</v>
      </c>
      <c r="Q6747" s="2" t="s">
        <v>44737</v>
      </c>
      <c r="R6747" s="2" t="s">
        <v>44738</v>
      </c>
      <c r="S6747" s="2" t="s">
        <v>148</v>
      </c>
      <c r="T6747" s="2" t="s">
        <v>149</v>
      </c>
      <c r="U6747" s="2" t="s">
        <v>44739</v>
      </c>
      <c r="V6747" s="2" t="s">
        <v>59</v>
      </c>
      <c r="W6747" s="2">
        <v>45.8</v>
      </c>
      <c r="X6747" s="2">
        <v>37.1</v>
      </c>
      <c r="Y6747" s="2" t="s">
        <v>286</v>
      </c>
      <c r="Z6747" s="2" t="s">
        <v>44740</v>
      </c>
      <c r="AA6747" s="2">
        <v>-0.415470143057389</v>
      </c>
      <c r="AB6747" s="2">
        <v>1.43362612635445E-2</v>
      </c>
      <c r="AC6747" s="2">
        <v>32828.667243620403</v>
      </c>
      <c r="AD6747" s="2">
        <v>32542.419632033801</v>
      </c>
      <c r="AE6747" s="2">
        <v>32491.354415208501</v>
      </c>
      <c r="AF6747" s="2">
        <v>30487.648278017001</v>
      </c>
      <c r="AG6747" s="2">
        <v>32378.3835577994</v>
      </c>
      <c r="AH6747" s="2">
        <v>34173.007632705201</v>
      </c>
      <c r="AI6747" s="2">
        <v>32503.558036056598</v>
      </c>
      <c r="AJ6747" s="2">
        <v>34938.051541935798</v>
      </c>
      <c r="AK6747" s="2">
        <v>28734.679845641698</v>
      </c>
      <c r="AL6747" s="2">
        <v>29193.9886505922</v>
      </c>
      <c r="AM6747" s="2">
        <v>37424.7265519801</v>
      </c>
      <c r="AN6747" s="2">
        <v>35463.846309945402</v>
      </c>
      <c r="AO6747" s="2">
        <v>33341.917387330097</v>
      </c>
      <c r="AP6747" s="2">
        <v>31095.3590467131</v>
      </c>
    </row>
    <row r="6748" spans="1:42" ht="14.5" x14ac:dyDescent="0.35">
      <c r="A6748" s="2" t="s">
        <v>44741</v>
      </c>
      <c r="B6748" s="2">
        <v>497.16630432151101</v>
      </c>
      <c r="C6748" s="2">
        <v>3.8975</v>
      </c>
      <c r="D6748" s="2" t="s">
        <v>70</v>
      </c>
      <c r="E6748" s="2" t="s">
        <v>44742</v>
      </c>
      <c r="F6748" s="2">
        <v>200064</v>
      </c>
      <c r="G6748" s="3" t="str">
        <f>HYPERLINK("http://funmeta.oebiotech.com/network/200064", "http://funmeta.oebiotech.com/network/200064")</f>
        <v>http://funmeta.oebiotech.com/network/200064</v>
      </c>
      <c r="H6748" s="2" t="s">
        <v>44743</v>
      </c>
      <c r="I6748" s="2"/>
      <c r="J6748" s="2"/>
      <c r="K6748" s="2"/>
      <c r="L6748" s="2"/>
      <c r="M6748" s="2"/>
      <c r="N6748" s="2"/>
      <c r="O6748" s="2"/>
      <c r="P6748" s="2"/>
      <c r="Q6748" s="2" t="s">
        <v>44744</v>
      </c>
      <c r="R6748" s="2" t="s">
        <v>44745</v>
      </c>
      <c r="S6748" s="2" t="s">
        <v>491</v>
      </c>
      <c r="T6748" s="2" t="s">
        <v>5190</v>
      </c>
      <c r="U6748" s="2" t="s">
        <v>5191</v>
      </c>
      <c r="V6748" s="2" t="s">
        <v>59</v>
      </c>
      <c r="W6748" s="2">
        <v>38.9</v>
      </c>
      <c r="X6748" s="2">
        <v>0</v>
      </c>
      <c r="Y6748" s="2" t="s">
        <v>560</v>
      </c>
      <c r="Z6748" s="2" t="s">
        <v>44746</v>
      </c>
      <c r="AA6748" s="2">
        <v>2.4133867365838002</v>
      </c>
      <c r="AB6748" s="2">
        <v>1.42696948702364E-2</v>
      </c>
      <c r="AC6748" s="2">
        <v>30332.966330085201</v>
      </c>
      <c r="AD6748" s="2">
        <v>30070.505965289802</v>
      </c>
      <c r="AE6748" s="2">
        <v>27189.9378901983</v>
      </c>
      <c r="AF6748" s="2">
        <v>33906.008783569203</v>
      </c>
      <c r="AG6748" s="2">
        <v>27282.134271163999</v>
      </c>
      <c r="AH6748" s="2">
        <v>30700.765012227399</v>
      </c>
      <c r="AI6748" s="2">
        <v>31859.5613828932</v>
      </c>
      <c r="AJ6748" s="2">
        <v>31059.3906404593</v>
      </c>
      <c r="AK6748" s="2">
        <v>31425.3755207662</v>
      </c>
      <c r="AL6748" s="2">
        <v>30095.089361615301</v>
      </c>
      <c r="AM6748" s="2">
        <v>30607.839502312301</v>
      </c>
      <c r="AN6748" s="2">
        <v>31496.033554433401</v>
      </c>
      <c r="AO6748" s="2">
        <v>25084.770495506898</v>
      </c>
      <c r="AP6748" s="2">
        <v>31713.927357104702</v>
      </c>
    </row>
    <row r="6749" spans="1:42" ht="14.5" x14ac:dyDescent="0.35">
      <c r="A6749" s="2" t="s">
        <v>44747</v>
      </c>
      <c r="B6749" s="2">
        <v>149.13244991593601</v>
      </c>
      <c r="C6749" s="2">
        <v>4.4289500000000004</v>
      </c>
      <c r="D6749" s="2" t="s">
        <v>34</v>
      </c>
      <c r="E6749" s="2" t="s">
        <v>44748</v>
      </c>
      <c r="F6749" s="2">
        <v>81870</v>
      </c>
      <c r="G6749" s="3" t="str">
        <f>HYPERLINK("http://funmeta.oebiotech.com/network/81870", "http://funmeta.oebiotech.com/network/81870")</f>
        <v>http://funmeta.oebiotech.com/network/81870</v>
      </c>
      <c r="H6749" s="2" t="s">
        <v>44749</v>
      </c>
      <c r="I6749" s="2"/>
      <c r="J6749" s="2"/>
      <c r="K6749" s="2"/>
      <c r="L6749" s="2"/>
      <c r="M6749" s="2"/>
      <c r="N6749" s="2"/>
      <c r="O6749" s="2">
        <v>10864</v>
      </c>
      <c r="P6749" s="2"/>
      <c r="Q6749" s="2" t="s">
        <v>44750</v>
      </c>
      <c r="R6749" s="2" t="s">
        <v>44751</v>
      </c>
      <c r="S6749" s="2" t="s">
        <v>148</v>
      </c>
      <c r="T6749" s="2" t="s">
        <v>149</v>
      </c>
      <c r="U6749" s="2" t="s">
        <v>41</v>
      </c>
      <c r="V6749" s="2" t="s">
        <v>59</v>
      </c>
      <c r="W6749" s="2">
        <v>38.799999999999997</v>
      </c>
      <c r="X6749" s="2">
        <v>0</v>
      </c>
      <c r="Y6749" s="2" t="s">
        <v>394</v>
      </c>
      <c r="Z6749" s="2" t="s">
        <v>44752</v>
      </c>
      <c r="AA6749" s="2">
        <v>-0.18247525484472099</v>
      </c>
      <c r="AB6749" s="2">
        <v>1.4248284248755801E-2</v>
      </c>
      <c r="AC6749" s="2">
        <v>15610.338046578099</v>
      </c>
      <c r="AD6749" s="2">
        <v>15740.160229876399</v>
      </c>
      <c r="AE6749" s="2">
        <v>14889.8501869011</v>
      </c>
      <c r="AF6749" s="2">
        <v>15876.852960230801</v>
      </c>
      <c r="AG6749" s="2">
        <v>16800.315607098499</v>
      </c>
      <c r="AH6749" s="2">
        <v>15555.198708607601</v>
      </c>
      <c r="AI6749" s="2">
        <v>15505.9270245629</v>
      </c>
      <c r="AJ6749" s="2">
        <v>15033.8837920675</v>
      </c>
      <c r="AK6749" s="2">
        <v>16253.8987896566</v>
      </c>
      <c r="AL6749" s="2">
        <v>14671.8745020772</v>
      </c>
      <c r="AM6749" s="2">
        <v>15967.0185986344</v>
      </c>
      <c r="AN6749" s="2">
        <v>15709.0483493546</v>
      </c>
      <c r="AO6749" s="2">
        <v>15313.8006742458</v>
      </c>
      <c r="AP6749" s="2">
        <v>16525.3204652895</v>
      </c>
    </row>
    <row r="6750" spans="1:42" ht="14.5" x14ac:dyDescent="0.35">
      <c r="A6750" s="2" t="s">
        <v>44753</v>
      </c>
      <c r="B6750" s="2">
        <v>531.16939734947198</v>
      </c>
      <c r="C6750" s="2">
        <v>4.1151</v>
      </c>
      <c r="D6750" s="2" t="s">
        <v>70</v>
      </c>
      <c r="E6750" s="2" t="s">
        <v>44754</v>
      </c>
      <c r="F6750" s="2">
        <v>207131</v>
      </c>
      <c r="G6750" s="3" t="str">
        <f>HYPERLINK("http://funmeta.oebiotech.com/network/207131", "http://funmeta.oebiotech.com/network/207131")</f>
        <v>http://funmeta.oebiotech.com/network/207131</v>
      </c>
      <c r="H6750" s="2" t="s">
        <v>44755</v>
      </c>
      <c r="I6750" s="2"/>
      <c r="J6750" s="2"/>
      <c r="K6750" s="2"/>
      <c r="L6750" s="2"/>
      <c r="M6750" s="2"/>
      <c r="N6750" s="2"/>
      <c r="O6750" s="2">
        <v>14179128</v>
      </c>
      <c r="P6750" s="2"/>
      <c r="Q6750" s="2" t="s">
        <v>44756</v>
      </c>
      <c r="R6750" s="2" t="s">
        <v>44757</v>
      </c>
      <c r="S6750" s="2" t="s">
        <v>50</v>
      </c>
      <c r="T6750" s="2" t="s">
        <v>201</v>
      </c>
      <c r="U6750" s="2" t="s">
        <v>202</v>
      </c>
      <c r="V6750" s="2" t="s">
        <v>59</v>
      </c>
      <c r="W6750" s="2">
        <v>41.4</v>
      </c>
      <c r="X6750" s="2">
        <v>20.3</v>
      </c>
      <c r="Y6750" s="2" t="s">
        <v>751</v>
      </c>
      <c r="Z6750" s="2" t="s">
        <v>44758</v>
      </c>
      <c r="AA6750" s="2">
        <v>-4.6018927369848299</v>
      </c>
      <c r="AB6750" s="2">
        <v>1.4247005272730699E-2</v>
      </c>
      <c r="AC6750" s="2">
        <v>39362.251509022899</v>
      </c>
      <c r="AD6750" s="2">
        <v>38883.8837102291</v>
      </c>
      <c r="AE6750" s="2">
        <v>35569.838004700498</v>
      </c>
      <c r="AF6750" s="2">
        <v>42088.731923687898</v>
      </c>
      <c r="AG6750" s="2">
        <v>46218.353637797802</v>
      </c>
      <c r="AH6750" s="2">
        <v>32244.972422857201</v>
      </c>
      <c r="AI6750" s="2">
        <v>38110.932978531397</v>
      </c>
      <c r="AJ6750" s="2">
        <v>41940.680086562599</v>
      </c>
      <c r="AK6750" s="2">
        <v>40278.2408906661</v>
      </c>
      <c r="AL6750" s="2">
        <v>19922.040637474602</v>
      </c>
      <c r="AM6750" s="2">
        <v>39184.476284604403</v>
      </c>
      <c r="AN6750" s="2">
        <v>48959.2848218828</v>
      </c>
      <c r="AO6750" s="2">
        <v>39969.39684365</v>
      </c>
      <c r="AP6750" s="2">
        <v>44989.862783096803</v>
      </c>
    </row>
    <row r="6751" spans="1:42" ht="14.5" x14ac:dyDescent="0.35">
      <c r="A6751" s="2" t="s">
        <v>44759</v>
      </c>
      <c r="B6751" s="2">
        <v>733.44888233900099</v>
      </c>
      <c r="C6751" s="2">
        <v>12.953900000000001</v>
      </c>
      <c r="D6751" s="2" t="s">
        <v>34</v>
      </c>
      <c r="E6751" s="2" t="s">
        <v>44760</v>
      </c>
      <c r="F6751" s="2">
        <v>266951</v>
      </c>
      <c r="G6751" s="3" t="str">
        <f>HYPERLINK("http://funmeta.oebiotech.com/network/266951", "http://funmeta.oebiotech.com/network/266951")</f>
        <v>http://funmeta.oebiotech.com/network/266951</v>
      </c>
      <c r="H6751" s="2"/>
      <c r="I6751" s="2">
        <v>44385</v>
      </c>
      <c r="J6751" s="2"/>
      <c r="K6751" s="2"/>
      <c r="L6751" s="2" t="s">
        <v>44761</v>
      </c>
      <c r="M6751" s="2"/>
      <c r="N6751" s="2"/>
      <c r="O6751" s="2">
        <v>73296</v>
      </c>
      <c r="P6751" s="2" t="s">
        <v>44762</v>
      </c>
      <c r="Q6751" s="2" t="s">
        <v>44763</v>
      </c>
      <c r="R6751" s="2" t="s">
        <v>44764</v>
      </c>
      <c r="S6751" s="2" t="s">
        <v>50</v>
      </c>
      <c r="T6751" s="2" t="s">
        <v>201</v>
      </c>
      <c r="U6751" s="2" t="s">
        <v>210</v>
      </c>
      <c r="V6751" s="2" t="s">
        <v>59</v>
      </c>
      <c r="W6751" s="2">
        <v>36</v>
      </c>
      <c r="X6751" s="2">
        <v>0</v>
      </c>
      <c r="Y6751" s="2" t="s">
        <v>141</v>
      </c>
      <c r="Z6751" s="2" t="s">
        <v>44765</v>
      </c>
      <c r="AA6751" s="2">
        <v>-4.3399810550622604</v>
      </c>
      <c r="AB6751" s="2">
        <v>1.41896513051485E-2</v>
      </c>
      <c r="AC6751" s="2">
        <v>8601.6045346355604</v>
      </c>
      <c r="AD6751" s="2">
        <v>8802.4050626432199</v>
      </c>
      <c r="AE6751" s="2">
        <v>8324.4270681022408</v>
      </c>
      <c r="AF6751" s="2">
        <v>7123.0316080529701</v>
      </c>
      <c r="AG6751" s="2">
        <v>9008.8045604109793</v>
      </c>
      <c r="AH6751" s="2">
        <v>9146.5758097891994</v>
      </c>
      <c r="AI6751" s="2">
        <v>8120.2982316018697</v>
      </c>
      <c r="AJ6751" s="2">
        <v>9886.4899298561304</v>
      </c>
      <c r="AK6751" s="2">
        <v>12286.908260739599</v>
      </c>
      <c r="AL6751" s="2">
        <v>9531.3060350931191</v>
      </c>
      <c r="AM6751" s="2">
        <v>8913.7036047736401</v>
      </c>
      <c r="AN6751" s="2">
        <v>7692.6886017904499</v>
      </c>
      <c r="AO6751" s="2">
        <v>7226.3791625031599</v>
      </c>
      <c r="AP6751" s="2">
        <v>7163.4447109593302</v>
      </c>
    </row>
    <row r="6752" spans="1:42" ht="14.5" x14ac:dyDescent="0.35">
      <c r="A6752" s="2" t="s">
        <v>44766</v>
      </c>
      <c r="B6752" s="2">
        <v>617.02985701096202</v>
      </c>
      <c r="C6752" s="2">
        <v>1.6372</v>
      </c>
      <c r="D6752" s="2" t="s">
        <v>70</v>
      </c>
      <c r="E6752" s="2" t="s">
        <v>44767</v>
      </c>
      <c r="F6752" s="2">
        <v>82518</v>
      </c>
      <c r="G6752" s="3" t="str">
        <f>HYPERLINK("http://funmeta.oebiotech.com/network/82518", "http://funmeta.oebiotech.com/network/82518")</f>
        <v>http://funmeta.oebiotech.com/network/82518</v>
      </c>
      <c r="H6752" s="2" t="s">
        <v>44768</v>
      </c>
      <c r="I6752" s="2"/>
      <c r="J6752" s="2"/>
      <c r="K6752" s="2"/>
      <c r="L6752" s="2"/>
      <c r="M6752" s="2"/>
      <c r="N6752" s="2"/>
      <c r="O6752" s="2">
        <v>75607387</v>
      </c>
      <c r="P6752" s="2"/>
      <c r="Q6752" s="2" t="s">
        <v>44769</v>
      </c>
      <c r="R6752" s="2" t="s">
        <v>44770</v>
      </c>
      <c r="S6752" s="2" t="s">
        <v>1444</v>
      </c>
      <c r="T6752" s="2" t="s">
        <v>23611</v>
      </c>
      <c r="U6752" s="2" t="s">
        <v>41</v>
      </c>
      <c r="V6752" s="2" t="s">
        <v>59</v>
      </c>
      <c r="W6752" s="2">
        <v>37.700000000000003</v>
      </c>
      <c r="X6752" s="2">
        <v>0</v>
      </c>
      <c r="Y6752" s="2" t="s">
        <v>560</v>
      </c>
      <c r="Z6752" s="2" t="s">
        <v>44771</v>
      </c>
      <c r="AA6752" s="2">
        <v>0.401189262697419</v>
      </c>
      <c r="AB6752" s="2">
        <v>1.4183367053421801E-2</v>
      </c>
      <c r="AC6752" s="2">
        <v>3163.4483002055899</v>
      </c>
      <c r="AD6752" s="2">
        <v>3260.63141989107</v>
      </c>
      <c r="AE6752" s="2">
        <v>2760.3770130528101</v>
      </c>
      <c r="AF6752" s="2">
        <v>3199.7495782057199</v>
      </c>
      <c r="AG6752" s="2">
        <v>2813.8005739274599</v>
      </c>
      <c r="AH6752" s="2">
        <v>3440.9755277030599</v>
      </c>
      <c r="AI6752" s="2">
        <v>3423.0103074610502</v>
      </c>
      <c r="AJ6752" s="2">
        <v>3342.7768008834501</v>
      </c>
      <c r="AK6752" s="2">
        <v>2899.5161018852</v>
      </c>
      <c r="AL6752" s="2">
        <v>2992.8308386672302</v>
      </c>
      <c r="AM6752" s="2">
        <v>2771.5726410121802</v>
      </c>
      <c r="AN6752" s="2">
        <v>3648.9631371824598</v>
      </c>
      <c r="AO6752" s="2">
        <v>4121.2616108027196</v>
      </c>
      <c r="AP6752" s="2">
        <v>3129.6441897966602</v>
      </c>
    </row>
    <row r="6753" spans="1:42" ht="14.5" x14ac:dyDescent="0.35">
      <c r="A6753" s="2" t="s">
        <v>44772</v>
      </c>
      <c r="B6753" s="2">
        <v>697.26495451738003</v>
      </c>
      <c r="C6753" s="2">
        <v>4.2405333333333299</v>
      </c>
      <c r="D6753" s="2" t="s">
        <v>70</v>
      </c>
      <c r="E6753" s="2" t="s">
        <v>44773</v>
      </c>
      <c r="F6753" s="2">
        <v>206513</v>
      </c>
      <c r="G6753" s="3" t="str">
        <f>HYPERLINK("http://funmeta.oebiotech.com/network/206513", "http://funmeta.oebiotech.com/network/206513")</f>
        <v>http://funmeta.oebiotech.com/network/206513</v>
      </c>
      <c r="H6753" s="2" t="s">
        <v>44774</v>
      </c>
      <c r="I6753" s="2"/>
      <c r="J6753" s="2"/>
      <c r="K6753" s="2"/>
      <c r="L6753" s="2"/>
      <c r="M6753" s="2"/>
      <c r="N6753" s="2"/>
      <c r="O6753" s="2">
        <v>496313</v>
      </c>
      <c r="P6753" s="2"/>
      <c r="Q6753" s="2" t="s">
        <v>44775</v>
      </c>
      <c r="R6753" s="2" t="s">
        <v>44776</v>
      </c>
      <c r="S6753" s="2" t="s">
        <v>50</v>
      </c>
      <c r="T6753" s="2" t="s">
        <v>124</v>
      </c>
      <c r="U6753" s="2" t="s">
        <v>2093</v>
      </c>
      <c r="V6753" s="2" t="s">
        <v>59</v>
      </c>
      <c r="W6753" s="2">
        <v>37.200000000000003</v>
      </c>
      <c r="X6753" s="2">
        <v>0</v>
      </c>
      <c r="Y6753" s="2" t="s">
        <v>560</v>
      </c>
      <c r="Z6753" s="2" t="s">
        <v>44777</v>
      </c>
      <c r="AA6753" s="2">
        <v>3.8273300728353998</v>
      </c>
      <c r="AB6753" s="2">
        <v>1.41538211247959E-2</v>
      </c>
      <c r="AC6753" s="2">
        <v>8755.4941634027491</v>
      </c>
      <c r="AD6753" s="2">
        <v>8928.23186882353</v>
      </c>
      <c r="AE6753" s="2">
        <v>10771.433697963799</v>
      </c>
      <c r="AF6753" s="2">
        <v>7873.7301219720703</v>
      </c>
      <c r="AG6753" s="2">
        <v>6470.1527068715204</v>
      </c>
      <c r="AH6753" s="2">
        <v>10634.0647684373</v>
      </c>
      <c r="AI6753" s="2">
        <v>8981.3825371463008</v>
      </c>
      <c r="AJ6753" s="2">
        <v>7802.2011480254896</v>
      </c>
      <c r="AK6753" s="2">
        <v>9466.5774326165592</v>
      </c>
      <c r="AL6753" s="2">
        <v>9659.41279649426</v>
      </c>
      <c r="AM6753" s="2">
        <v>8512.2172177938992</v>
      </c>
      <c r="AN6753" s="2">
        <v>9171.4771506079705</v>
      </c>
      <c r="AO6753" s="2">
        <v>8055.4956097688701</v>
      </c>
      <c r="AP6753" s="2">
        <v>8704.2110056596393</v>
      </c>
    </row>
    <row r="6754" spans="1:42" ht="14.5" x14ac:dyDescent="0.35">
      <c r="A6754" s="2" t="s">
        <v>44778</v>
      </c>
      <c r="B6754" s="2">
        <v>417.082623206996</v>
      </c>
      <c r="C6754" s="2">
        <v>5.0599499999999997</v>
      </c>
      <c r="D6754" s="2" t="s">
        <v>70</v>
      </c>
      <c r="E6754" s="2" t="s">
        <v>44779</v>
      </c>
      <c r="F6754" s="2">
        <v>274595</v>
      </c>
      <c r="G6754" s="3" t="str">
        <f>HYPERLINK("http://funmeta.oebiotech.com/network/274595", "http://funmeta.oebiotech.com/network/274595")</f>
        <v>http://funmeta.oebiotech.com/network/274595</v>
      </c>
      <c r="H6754" s="2"/>
      <c r="I6754" s="2">
        <v>64681</v>
      </c>
      <c r="J6754" s="2"/>
      <c r="K6754" s="2"/>
      <c r="L6754" s="2"/>
      <c r="M6754" s="2"/>
      <c r="N6754" s="2"/>
      <c r="O6754" s="2">
        <v>1915791</v>
      </c>
      <c r="P6754" s="2" t="s">
        <v>44780</v>
      </c>
      <c r="Q6754" s="2" t="s">
        <v>44781</v>
      </c>
      <c r="R6754" s="2" t="s">
        <v>44782</v>
      </c>
      <c r="S6754" s="2" t="s">
        <v>491</v>
      </c>
      <c r="T6754" s="2" t="s">
        <v>12893</v>
      </c>
      <c r="U6754" s="2" t="s">
        <v>12894</v>
      </c>
      <c r="V6754" s="2" t="s">
        <v>59</v>
      </c>
      <c r="W6754" s="2">
        <v>37.299999999999997</v>
      </c>
      <c r="X6754" s="2">
        <v>0</v>
      </c>
      <c r="Y6754" s="2" t="s">
        <v>118</v>
      </c>
      <c r="Z6754" s="2" t="s">
        <v>44783</v>
      </c>
      <c r="AA6754" s="2">
        <v>-0.18015350455412499</v>
      </c>
      <c r="AB6754" s="2">
        <v>1.4144274439322599E-2</v>
      </c>
      <c r="AC6754" s="2">
        <v>1058.4297981453899</v>
      </c>
      <c r="AD6754" s="2">
        <v>1164.4017873755399</v>
      </c>
      <c r="AE6754" s="2">
        <v>1117.9638580978501</v>
      </c>
      <c r="AF6754" s="2">
        <v>905.446994090575</v>
      </c>
      <c r="AG6754" s="2">
        <v>422.88461179790698</v>
      </c>
      <c r="AH6754" s="2">
        <v>1468.1354243926301</v>
      </c>
      <c r="AI6754" s="2">
        <v>923.55971882090205</v>
      </c>
      <c r="AJ6754" s="2">
        <v>1512.58818167245</v>
      </c>
      <c r="AK6754" s="2">
        <v>1831.4827048084801</v>
      </c>
      <c r="AL6754" s="2">
        <v>1020.85570961671</v>
      </c>
      <c r="AM6754" s="2">
        <v>1734.5977350877099</v>
      </c>
      <c r="AN6754" s="2">
        <v>711.37795095685601</v>
      </c>
      <c r="AO6754" s="2">
        <v>1132.9860249303399</v>
      </c>
      <c r="AP6754" s="2">
        <v>555.11059885313398</v>
      </c>
    </row>
    <row r="6755" spans="1:42" ht="14.5" x14ac:dyDescent="0.35">
      <c r="A6755" s="2" t="s">
        <v>44784</v>
      </c>
      <c r="B6755" s="2">
        <v>892.29301398692996</v>
      </c>
      <c r="C6755" s="2">
        <v>10.132666666666699</v>
      </c>
      <c r="D6755" s="2" t="s">
        <v>34</v>
      </c>
      <c r="E6755" s="2" t="s">
        <v>44785</v>
      </c>
      <c r="F6755" s="2">
        <v>207040</v>
      </c>
      <c r="G6755" s="3" t="str">
        <f>HYPERLINK("http://funmeta.oebiotech.com/network/207040", "http://funmeta.oebiotech.com/network/207040")</f>
        <v>http://funmeta.oebiotech.com/network/207040</v>
      </c>
      <c r="H6755" s="2" t="s">
        <v>44786</v>
      </c>
      <c r="I6755" s="2"/>
      <c r="J6755" s="2"/>
      <c r="K6755" s="2"/>
      <c r="L6755" s="2"/>
      <c r="M6755" s="2"/>
      <c r="N6755" s="2"/>
      <c r="O6755" s="2">
        <v>14647408</v>
      </c>
      <c r="P6755" s="2"/>
      <c r="Q6755" s="2" t="s">
        <v>44787</v>
      </c>
      <c r="R6755" s="2" t="s">
        <v>44788</v>
      </c>
      <c r="S6755" s="2" t="s">
        <v>79</v>
      </c>
      <c r="T6755" s="2" t="s">
        <v>80</v>
      </c>
      <c r="U6755" s="2" t="s">
        <v>81</v>
      </c>
      <c r="V6755" s="2" t="s">
        <v>59</v>
      </c>
      <c r="W6755" s="2">
        <v>38.5</v>
      </c>
      <c r="X6755" s="2">
        <v>0</v>
      </c>
      <c r="Y6755" s="2" t="s">
        <v>323</v>
      </c>
      <c r="Z6755" s="2" t="s">
        <v>44789</v>
      </c>
      <c r="AA6755" s="2">
        <v>2.9476890515974099</v>
      </c>
      <c r="AB6755" s="2">
        <v>1.4125325714426699E-2</v>
      </c>
      <c r="AC6755" s="2">
        <v>189.987376244383</v>
      </c>
      <c r="AD6755" s="2">
        <v>129.68419526047799</v>
      </c>
      <c r="AE6755" s="2">
        <v>51.248817904353402</v>
      </c>
      <c r="AF6755" s="2">
        <v>435.94079392377103</v>
      </c>
      <c r="AG6755" s="2">
        <v>50.826894718026601</v>
      </c>
      <c r="AH6755" s="2">
        <v>82.858048780140393</v>
      </c>
      <c r="AI6755" s="2">
        <v>259.62089298116899</v>
      </c>
      <c r="AJ6755" s="2">
        <v>259.42880915883802</v>
      </c>
      <c r="AK6755" s="2">
        <v>286.50603892308101</v>
      </c>
      <c r="AL6755" s="2">
        <v>256.94703373297602</v>
      </c>
      <c r="AM6755" s="2">
        <v>2.2426046966381699</v>
      </c>
      <c r="AN6755" s="2">
        <v>229.726816975557</v>
      </c>
      <c r="AO6755" s="2">
        <v>2.7106294003980101E-5</v>
      </c>
      <c r="AP6755" s="2">
        <v>2.6826501283245099</v>
      </c>
    </row>
    <row r="6756" spans="1:42" ht="14.5" x14ac:dyDescent="0.35">
      <c r="A6756" s="2" t="s">
        <v>44790</v>
      </c>
      <c r="B6756" s="2">
        <v>627.15100283251104</v>
      </c>
      <c r="C6756" s="2">
        <v>6.2923</v>
      </c>
      <c r="D6756" s="2" t="s">
        <v>70</v>
      </c>
      <c r="E6756" s="2" t="s">
        <v>44791</v>
      </c>
      <c r="F6756" s="2">
        <v>266844</v>
      </c>
      <c r="G6756" s="3" t="str">
        <f>HYPERLINK("http://funmeta.oebiotech.com/network/266844", "http://funmeta.oebiotech.com/network/266844")</f>
        <v>http://funmeta.oebiotech.com/network/266844</v>
      </c>
      <c r="H6756" s="2"/>
      <c r="I6756" s="2">
        <v>44085</v>
      </c>
      <c r="J6756" s="2"/>
      <c r="K6756" s="2"/>
      <c r="L6756" s="2"/>
      <c r="M6756" s="2"/>
      <c r="N6756" s="2"/>
      <c r="O6756" s="2">
        <v>6710647</v>
      </c>
      <c r="P6756" s="2"/>
      <c r="Q6756" s="2" t="s">
        <v>44792</v>
      </c>
      <c r="R6756" s="2" t="s">
        <v>44793</v>
      </c>
      <c r="S6756" s="2" t="s">
        <v>115</v>
      </c>
      <c r="T6756" s="2" t="s">
        <v>1371</v>
      </c>
      <c r="U6756" s="2" t="s">
        <v>6597</v>
      </c>
      <c r="V6756" s="2" t="s">
        <v>59</v>
      </c>
      <c r="W6756" s="2">
        <v>37.9</v>
      </c>
      <c r="X6756" s="2">
        <v>0</v>
      </c>
      <c r="Y6756" s="2" t="s">
        <v>560</v>
      </c>
      <c r="Z6756" s="2" t="s">
        <v>44794</v>
      </c>
      <c r="AA6756" s="2">
        <v>0.32305854056101102</v>
      </c>
      <c r="AB6756" s="2">
        <v>1.41142812482444E-2</v>
      </c>
      <c r="AC6756" s="2">
        <v>2896.77131121514</v>
      </c>
      <c r="AD6756" s="2">
        <v>2743.88417670639</v>
      </c>
      <c r="AE6756" s="2">
        <v>2689.0593722301301</v>
      </c>
      <c r="AF6756" s="2">
        <v>3165.6441945331399</v>
      </c>
      <c r="AG6756" s="2">
        <v>4124.5108880718199</v>
      </c>
      <c r="AH6756" s="2">
        <v>1638.2810564010399</v>
      </c>
      <c r="AI6756" s="2">
        <v>3012.08768151299</v>
      </c>
      <c r="AJ6756" s="2">
        <v>2751.0446745417298</v>
      </c>
      <c r="AK6756" s="2">
        <v>2257.09301300575</v>
      </c>
      <c r="AL6756" s="2">
        <v>1893.0233786148301</v>
      </c>
      <c r="AM6756" s="2">
        <v>3863.57828266974</v>
      </c>
      <c r="AN6756" s="2">
        <v>1226.0723010731499</v>
      </c>
      <c r="AO6756" s="2">
        <v>2935.99973215808</v>
      </c>
      <c r="AP6756" s="2">
        <v>4287.5383527167696</v>
      </c>
    </row>
    <row r="6757" spans="1:42" ht="14.5" x14ac:dyDescent="0.35">
      <c r="A6757" s="2" t="s">
        <v>44795</v>
      </c>
      <c r="B6757" s="2">
        <v>233.15342746922099</v>
      </c>
      <c r="C6757" s="2">
        <v>5.3519166666666704</v>
      </c>
      <c r="D6757" s="2" t="s">
        <v>34</v>
      </c>
      <c r="E6757" s="2" t="s">
        <v>44796</v>
      </c>
      <c r="F6757" s="2">
        <v>280219</v>
      </c>
      <c r="G6757" s="3" t="str">
        <f>HYPERLINK("http://funmeta.oebiotech.com/network/280219", "http://funmeta.oebiotech.com/network/280219")</f>
        <v>http://funmeta.oebiotech.com/network/280219</v>
      </c>
      <c r="H6757" s="2"/>
      <c r="I6757" s="2">
        <v>73227</v>
      </c>
      <c r="J6757" s="2"/>
      <c r="K6757" s="2"/>
      <c r="L6757" s="2" t="s">
        <v>44797</v>
      </c>
      <c r="M6757" s="2"/>
      <c r="N6757" s="2"/>
      <c r="O6757" s="2">
        <v>60976</v>
      </c>
      <c r="P6757" s="2" t="s">
        <v>44798</v>
      </c>
      <c r="Q6757" s="2" t="s">
        <v>44799</v>
      </c>
      <c r="R6757" s="2" t="s">
        <v>44800</v>
      </c>
      <c r="S6757" s="2" t="s">
        <v>89</v>
      </c>
      <c r="T6757" s="2" t="s">
        <v>894</v>
      </c>
      <c r="U6757" s="2" t="s">
        <v>37419</v>
      </c>
      <c r="V6757" s="2" t="s">
        <v>59</v>
      </c>
      <c r="W6757" s="2">
        <v>38.5</v>
      </c>
      <c r="X6757" s="2">
        <v>0</v>
      </c>
      <c r="Y6757" s="2" t="s">
        <v>43</v>
      </c>
      <c r="Z6757" s="2" t="s">
        <v>44801</v>
      </c>
      <c r="AA6757" s="2">
        <v>3.9657073394368201</v>
      </c>
      <c r="AB6757" s="2">
        <v>1.40838245005953E-2</v>
      </c>
      <c r="AC6757" s="2">
        <v>16183.0852883602</v>
      </c>
      <c r="AD6757" s="2">
        <v>16345.0459623323</v>
      </c>
      <c r="AE6757" s="2">
        <v>16628.841846609401</v>
      </c>
      <c r="AF6757" s="2">
        <v>15399.723028891</v>
      </c>
      <c r="AG6757" s="2">
        <v>17537.586242274399</v>
      </c>
      <c r="AH6757" s="2">
        <v>14821.698458520799</v>
      </c>
      <c r="AI6757" s="2">
        <v>16584.817451289699</v>
      </c>
      <c r="AJ6757" s="2">
        <v>16125.8447025758</v>
      </c>
      <c r="AK6757" s="2">
        <v>14212.1961233496</v>
      </c>
      <c r="AL6757" s="2">
        <v>15994.972970388801</v>
      </c>
      <c r="AM6757" s="2">
        <v>18258.963058026398</v>
      </c>
      <c r="AN6757" s="2">
        <v>16834.154426308301</v>
      </c>
      <c r="AO6757" s="2">
        <v>17160.184340907399</v>
      </c>
      <c r="AP6757" s="2">
        <v>15609.804855013101</v>
      </c>
    </row>
    <row r="6758" spans="1:42" ht="14.5" x14ac:dyDescent="0.35">
      <c r="A6758" s="2" t="s">
        <v>44802</v>
      </c>
      <c r="B6758" s="2">
        <v>277.10685788311099</v>
      </c>
      <c r="C6758" s="2">
        <v>3.9315333333333302</v>
      </c>
      <c r="D6758" s="2" t="s">
        <v>34</v>
      </c>
      <c r="E6758" s="2" t="s">
        <v>44803</v>
      </c>
      <c r="F6758" s="2">
        <v>210426</v>
      </c>
      <c r="G6758" s="3" t="str">
        <f>HYPERLINK("http://funmeta.oebiotech.com/network/210426", "http://funmeta.oebiotech.com/network/210426")</f>
        <v>http://funmeta.oebiotech.com/network/210426</v>
      </c>
      <c r="H6758" s="2" t="s">
        <v>44804</v>
      </c>
      <c r="I6758" s="2">
        <v>68822</v>
      </c>
      <c r="J6758" s="2"/>
      <c r="K6758" s="2">
        <v>8248</v>
      </c>
      <c r="L6758" s="2" t="s">
        <v>44805</v>
      </c>
      <c r="M6758" s="2"/>
      <c r="N6758" s="2"/>
      <c r="O6758" s="2">
        <v>31645</v>
      </c>
      <c r="P6758" s="2" t="s">
        <v>44806</v>
      </c>
      <c r="Q6758" s="2" t="s">
        <v>44807</v>
      </c>
      <c r="R6758" s="2" t="s">
        <v>44808</v>
      </c>
      <c r="S6758" s="2" t="s">
        <v>1677</v>
      </c>
      <c r="T6758" s="2" t="s">
        <v>1678</v>
      </c>
      <c r="U6758" s="2" t="s">
        <v>1679</v>
      </c>
      <c r="V6758" s="2" t="s">
        <v>59</v>
      </c>
      <c r="W6758" s="2">
        <v>36.700000000000003</v>
      </c>
      <c r="X6758" s="2">
        <v>0</v>
      </c>
      <c r="Y6758" s="2" t="s">
        <v>340</v>
      </c>
      <c r="Z6758" s="2" t="s">
        <v>44809</v>
      </c>
      <c r="AA6758" s="2">
        <v>3.0400541029363</v>
      </c>
      <c r="AB6758" s="2">
        <v>1.40571697400014E-2</v>
      </c>
      <c r="AC6758" s="2">
        <v>2409.3686638688901</v>
      </c>
      <c r="AD6758" s="2">
        <v>2509.0660735933702</v>
      </c>
      <c r="AE6758" s="2">
        <v>2241.4429883975399</v>
      </c>
      <c r="AF6758" s="2">
        <v>2275.0907861825599</v>
      </c>
      <c r="AG6758" s="2">
        <v>2808.2303797104501</v>
      </c>
      <c r="AH6758" s="2">
        <v>2506.0891498380802</v>
      </c>
      <c r="AI6758" s="2">
        <v>1936.89190154832</v>
      </c>
      <c r="AJ6758" s="2">
        <v>2688.46677753636</v>
      </c>
      <c r="AK6758" s="2">
        <v>2407.9349672844401</v>
      </c>
      <c r="AL6758" s="2">
        <v>2361.9853612216498</v>
      </c>
      <c r="AM6758" s="2">
        <v>2343.5856901161801</v>
      </c>
      <c r="AN6758" s="2">
        <v>2111.22525227284</v>
      </c>
      <c r="AO6758" s="2">
        <v>2474.7376041693001</v>
      </c>
      <c r="AP6758" s="2">
        <v>3354.92756649581</v>
      </c>
    </row>
    <row r="6759" spans="1:42" ht="14.5" x14ac:dyDescent="0.35">
      <c r="A6759" s="2" t="s">
        <v>44810</v>
      </c>
      <c r="B6759" s="2">
        <v>1027.5825304488101</v>
      </c>
      <c r="C6759" s="2">
        <v>0.53434999999999999</v>
      </c>
      <c r="D6759" s="2" t="s">
        <v>70</v>
      </c>
      <c r="E6759" s="2" t="s">
        <v>44811</v>
      </c>
      <c r="F6759" s="2">
        <v>46696</v>
      </c>
      <c r="G6759" s="3" t="str">
        <f>HYPERLINK("http://funmeta.oebiotech.com/network/46696", "http://funmeta.oebiotech.com/network/46696")</f>
        <v>http://funmeta.oebiotech.com/network/46696</v>
      </c>
      <c r="H6759" s="2"/>
      <c r="I6759" s="2"/>
      <c r="J6759" s="2" t="s">
        <v>44812</v>
      </c>
      <c r="K6759" s="2">
        <v>68591</v>
      </c>
      <c r="L6759" s="2"/>
      <c r="M6759" s="2"/>
      <c r="N6759" s="2"/>
      <c r="O6759" s="2">
        <v>16681436</v>
      </c>
      <c r="P6759" s="2"/>
      <c r="Q6759" s="2" t="s">
        <v>44813</v>
      </c>
      <c r="R6759" s="2" t="s">
        <v>44814</v>
      </c>
      <c r="S6759" s="2" t="s">
        <v>50</v>
      </c>
      <c r="T6759" s="2" t="s">
        <v>124</v>
      </c>
      <c r="U6759" s="2" t="s">
        <v>41</v>
      </c>
      <c r="V6759" s="2" t="s">
        <v>59</v>
      </c>
      <c r="W6759" s="2">
        <v>36</v>
      </c>
      <c r="X6759" s="2">
        <v>0</v>
      </c>
      <c r="Y6759" s="2" t="s">
        <v>560</v>
      </c>
      <c r="Z6759" s="2" t="s">
        <v>44815</v>
      </c>
      <c r="AA6759" s="2">
        <v>-2.9581612105647799</v>
      </c>
      <c r="AB6759" s="2">
        <v>1.3992566460040099E-2</v>
      </c>
      <c r="AC6759" s="2">
        <v>1923.5542093567899</v>
      </c>
      <c r="AD6759" s="2">
        <v>2042.95124946799</v>
      </c>
      <c r="AE6759" s="2">
        <v>1614.2495786720001</v>
      </c>
      <c r="AF6759" s="2">
        <v>1208.14821680401</v>
      </c>
      <c r="AG6759" s="2">
        <v>1535.46155622382</v>
      </c>
      <c r="AH6759" s="2">
        <v>2388.3032882173602</v>
      </c>
      <c r="AI6759" s="2">
        <v>1975.3611197498601</v>
      </c>
      <c r="AJ6759" s="2">
        <v>2819.8014964736999</v>
      </c>
      <c r="AK6759" s="2">
        <v>1690.0177659424501</v>
      </c>
      <c r="AL6759" s="2">
        <v>2069.7802701001501</v>
      </c>
      <c r="AM6759" s="2">
        <v>1291.7819957720001</v>
      </c>
      <c r="AN6759" s="2">
        <v>1727.68669711285</v>
      </c>
      <c r="AO6759" s="2">
        <v>3162.9679085595099</v>
      </c>
      <c r="AP6759" s="2">
        <v>2315.4728593209702</v>
      </c>
    </row>
    <row r="6760" spans="1:42" ht="14.5" x14ac:dyDescent="0.35">
      <c r="A6760" s="2" t="s">
        <v>44816</v>
      </c>
      <c r="B6760" s="2">
        <v>517.15333350229105</v>
      </c>
      <c r="C6760" s="2">
        <v>3.6547999999999998</v>
      </c>
      <c r="D6760" s="2" t="s">
        <v>70</v>
      </c>
      <c r="E6760" s="2" t="s">
        <v>44817</v>
      </c>
      <c r="F6760" s="2">
        <v>205742</v>
      </c>
      <c r="G6760" s="3" t="str">
        <f>HYPERLINK("http://funmeta.oebiotech.com/network/205742", "http://funmeta.oebiotech.com/network/205742")</f>
        <v>http://funmeta.oebiotech.com/network/205742</v>
      </c>
      <c r="H6760" s="2" t="s">
        <v>44818</v>
      </c>
      <c r="I6760" s="2"/>
      <c r="J6760" s="2"/>
      <c r="K6760" s="2"/>
      <c r="L6760" s="2"/>
      <c r="M6760" s="2"/>
      <c r="N6760" s="2"/>
      <c r="O6760" s="2">
        <v>13958229</v>
      </c>
      <c r="P6760" s="2"/>
      <c r="Q6760" s="2" t="s">
        <v>44819</v>
      </c>
      <c r="R6760" s="2" t="s">
        <v>44820</v>
      </c>
      <c r="S6760" s="2" t="s">
        <v>41</v>
      </c>
      <c r="T6760" s="2" t="s">
        <v>41</v>
      </c>
      <c r="U6760" s="2" t="s">
        <v>41</v>
      </c>
      <c r="V6760" s="2" t="s">
        <v>59</v>
      </c>
      <c r="W6760" s="2">
        <v>38</v>
      </c>
      <c r="X6760" s="2">
        <v>0</v>
      </c>
      <c r="Y6760" s="2" t="s">
        <v>408</v>
      </c>
      <c r="Z6760" s="2" t="s">
        <v>44821</v>
      </c>
      <c r="AA6760" s="2">
        <v>-3.36005855941228</v>
      </c>
      <c r="AB6760" s="2">
        <v>1.39684172581681E-2</v>
      </c>
      <c r="AC6760" s="2">
        <v>14902.1798161478</v>
      </c>
      <c r="AD6760" s="2">
        <v>14714.9387651089</v>
      </c>
      <c r="AE6760" s="2">
        <v>14326.564239417799</v>
      </c>
      <c r="AF6760" s="2">
        <v>16979.5726329838</v>
      </c>
      <c r="AG6760" s="2">
        <v>14067.7590764042</v>
      </c>
      <c r="AH6760" s="2">
        <v>14663.7089133346</v>
      </c>
      <c r="AI6760" s="2">
        <v>16331.365382447801</v>
      </c>
      <c r="AJ6760" s="2">
        <v>13044.108652298601</v>
      </c>
      <c r="AK6760" s="2">
        <v>14160.4832001903</v>
      </c>
      <c r="AL6760" s="2">
        <v>16201.187717007901</v>
      </c>
      <c r="AM6760" s="2">
        <v>13642.6196533129</v>
      </c>
      <c r="AN6760" s="2">
        <v>15883.4747814807</v>
      </c>
      <c r="AO6760" s="2">
        <v>12785.7633295995</v>
      </c>
      <c r="AP6760" s="2">
        <v>15616.103909062</v>
      </c>
    </row>
    <row r="6761" spans="1:42" ht="14.5" x14ac:dyDescent="0.35">
      <c r="A6761" s="2" t="s">
        <v>44822</v>
      </c>
      <c r="B6761" s="2">
        <v>334.31021787864103</v>
      </c>
      <c r="C6761" s="2">
        <v>11.2503166666667</v>
      </c>
      <c r="D6761" s="2" t="s">
        <v>34</v>
      </c>
      <c r="E6761" s="2" t="s">
        <v>44823</v>
      </c>
      <c r="F6761" s="2">
        <v>56491</v>
      </c>
      <c r="G6761" s="3" t="str">
        <f>HYPERLINK("http://funmeta.oebiotech.com/network/56491", "http://funmeta.oebiotech.com/network/56491")</f>
        <v>http://funmeta.oebiotech.com/network/56491</v>
      </c>
      <c r="H6761" s="2" t="s">
        <v>44824</v>
      </c>
      <c r="I6761" s="2">
        <v>88135</v>
      </c>
      <c r="J6761" s="2"/>
      <c r="K6761" s="2"/>
      <c r="L6761" s="2"/>
      <c r="M6761" s="2"/>
      <c r="N6761" s="2"/>
      <c r="O6761" s="2">
        <v>25221579</v>
      </c>
      <c r="P6761" s="2" t="s">
        <v>44825</v>
      </c>
      <c r="Q6761" s="2" t="s">
        <v>44826</v>
      </c>
      <c r="R6761" s="2" t="s">
        <v>44827</v>
      </c>
      <c r="S6761" s="2" t="s">
        <v>50</v>
      </c>
      <c r="T6761" s="2" t="s">
        <v>229</v>
      </c>
      <c r="U6761" s="2" t="s">
        <v>645</v>
      </c>
      <c r="V6761" s="2" t="s">
        <v>59</v>
      </c>
      <c r="W6761" s="2">
        <v>38.5</v>
      </c>
      <c r="X6761" s="2">
        <v>0</v>
      </c>
      <c r="Y6761" s="2" t="s">
        <v>394</v>
      </c>
      <c r="Z6761" s="2" t="s">
        <v>44828</v>
      </c>
      <c r="AA6761" s="2">
        <v>-0.670346017186357</v>
      </c>
      <c r="AB6761" s="2">
        <v>1.3891308496236999E-2</v>
      </c>
      <c r="AC6761" s="2">
        <v>1777.3106050940701</v>
      </c>
      <c r="AD6761" s="2">
        <v>1670.5981877647</v>
      </c>
      <c r="AE6761" s="2">
        <v>1943.12081011079</v>
      </c>
      <c r="AF6761" s="2">
        <v>1424.2289232319199</v>
      </c>
      <c r="AG6761" s="2">
        <v>1052.86950013359</v>
      </c>
      <c r="AH6761" s="2">
        <v>2455.6874598888298</v>
      </c>
      <c r="AI6761" s="2">
        <v>1746.4790395714001</v>
      </c>
      <c r="AJ6761" s="2">
        <v>2041.4778976278601</v>
      </c>
      <c r="AK6761" s="2">
        <v>1356.1215399867399</v>
      </c>
      <c r="AL6761" s="2">
        <v>2038.62794028184</v>
      </c>
      <c r="AM6761" s="2">
        <v>1240.66394361728</v>
      </c>
      <c r="AN6761" s="2">
        <v>1116.2261441635701</v>
      </c>
      <c r="AO6761" s="2">
        <v>1923.2349447797301</v>
      </c>
      <c r="AP6761" s="2">
        <v>2348.7146137590598</v>
      </c>
    </row>
    <row r="6762" spans="1:42" ht="14.5" x14ac:dyDescent="0.35">
      <c r="A6762" s="2" t="s">
        <v>44829</v>
      </c>
      <c r="B6762" s="2">
        <v>457.15132619045602</v>
      </c>
      <c r="C6762" s="2">
        <v>4.7579333333333302</v>
      </c>
      <c r="D6762" s="2" t="s">
        <v>70</v>
      </c>
      <c r="E6762" s="2" t="s">
        <v>44830</v>
      </c>
      <c r="F6762" s="2">
        <v>60638</v>
      </c>
      <c r="G6762" s="3" t="str">
        <f>HYPERLINK("http://funmeta.oebiotech.com/network/60638", "http://funmeta.oebiotech.com/network/60638")</f>
        <v>http://funmeta.oebiotech.com/network/60638</v>
      </c>
      <c r="H6762" s="2" t="s">
        <v>44831</v>
      </c>
      <c r="I6762" s="2">
        <v>91972</v>
      </c>
      <c r="J6762" s="2"/>
      <c r="K6762" s="2">
        <v>169234</v>
      </c>
      <c r="L6762" s="2"/>
      <c r="M6762" s="2"/>
      <c r="N6762" s="2"/>
      <c r="O6762" s="2">
        <v>10916629</v>
      </c>
      <c r="P6762" s="2"/>
      <c r="Q6762" s="2" t="s">
        <v>44832</v>
      </c>
      <c r="R6762" s="2" t="s">
        <v>44833</v>
      </c>
      <c r="S6762" s="2" t="s">
        <v>491</v>
      </c>
      <c r="T6762" s="2" t="s">
        <v>2251</v>
      </c>
      <c r="U6762" s="2" t="s">
        <v>2252</v>
      </c>
      <c r="V6762" s="2" t="s">
        <v>59</v>
      </c>
      <c r="W6762" s="2">
        <v>38.700000000000003</v>
      </c>
      <c r="X6762" s="2">
        <v>0</v>
      </c>
      <c r="Y6762" s="2" t="s">
        <v>408</v>
      </c>
      <c r="Z6762" s="2" t="s">
        <v>44834</v>
      </c>
      <c r="AA6762" s="2">
        <v>2.23270395884412</v>
      </c>
      <c r="AB6762" s="2">
        <v>1.3878052633886801E-2</v>
      </c>
      <c r="AC6762" s="2">
        <v>1706.78524318669</v>
      </c>
      <c r="AD6762" s="2">
        <v>1611.8678743428</v>
      </c>
      <c r="AE6762" s="2">
        <v>1439.11351405134</v>
      </c>
      <c r="AF6762" s="2">
        <v>2518.2800855492701</v>
      </c>
      <c r="AG6762" s="2">
        <v>1228.26845390378</v>
      </c>
      <c r="AH6762" s="2">
        <v>1917.1243952810801</v>
      </c>
      <c r="AI6762" s="2">
        <v>1861.51369861733</v>
      </c>
      <c r="AJ6762" s="2">
        <v>1276.4113117173299</v>
      </c>
      <c r="AK6762" s="2">
        <v>1426.1879030677401</v>
      </c>
      <c r="AL6762" s="2">
        <v>1784.5244066338701</v>
      </c>
      <c r="AM6762" s="2">
        <v>1968.0885071942701</v>
      </c>
      <c r="AN6762" s="2">
        <v>1368.5006288525799</v>
      </c>
      <c r="AO6762" s="2">
        <v>1524.9183573883399</v>
      </c>
      <c r="AP6762" s="2">
        <v>1598.9874429199999</v>
      </c>
    </row>
    <row r="6763" spans="1:42" ht="14.5" x14ac:dyDescent="0.35">
      <c r="A6763" s="2" t="s">
        <v>44835</v>
      </c>
      <c r="B6763" s="2">
        <v>242.988346822285</v>
      </c>
      <c r="C6763" s="2">
        <v>7.9316000000000004</v>
      </c>
      <c r="D6763" s="2" t="s">
        <v>70</v>
      </c>
      <c r="E6763" s="2" t="s">
        <v>44836</v>
      </c>
      <c r="F6763" s="2">
        <v>199444</v>
      </c>
      <c r="G6763" s="3" t="str">
        <f>HYPERLINK("http://funmeta.oebiotech.com/network/199444", "http://funmeta.oebiotech.com/network/199444")</f>
        <v>http://funmeta.oebiotech.com/network/199444</v>
      </c>
      <c r="H6763" s="2" t="s">
        <v>44837</v>
      </c>
      <c r="I6763" s="2">
        <v>340299</v>
      </c>
      <c r="J6763" s="2"/>
      <c r="K6763" s="2"/>
      <c r="L6763" s="2"/>
      <c r="M6763" s="2"/>
      <c r="N6763" s="2"/>
      <c r="O6763" s="2">
        <v>12335</v>
      </c>
      <c r="P6763" s="2"/>
      <c r="Q6763" s="2" t="s">
        <v>44838</v>
      </c>
      <c r="R6763" s="2" t="s">
        <v>44839</v>
      </c>
      <c r="S6763" s="2" t="s">
        <v>2811</v>
      </c>
      <c r="T6763" s="2" t="s">
        <v>4889</v>
      </c>
      <c r="U6763" s="2" t="s">
        <v>41</v>
      </c>
      <c r="V6763" s="2" t="s">
        <v>59</v>
      </c>
      <c r="W6763" s="2">
        <v>38.4</v>
      </c>
      <c r="X6763" s="2">
        <v>0</v>
      </c>
      <c r="Y6763" s="2" t="s">
        <v>408</v>
      </c>
      <c r="Z6763" s="2" t="s">
        <v>44840</v>
      </c>
      <c r="AA6763" s="2">
        <v>-2.0425241915646701</v>
      </c>
      <c r="AB6763" s="2">
        <v>1.38236666813598E-2</v>
      </c>
      <c r="AC6763" s="2">
        <v>1247.42646228525</v>
      </c>
      <c r="AD6763" s="2">
        <v>1300.03261061787</v>
      </c>
      <c r="AE6763" s="2">
        <v>1071.9512447187201</v>
      </c>
      <c r="AF6763" s="2">
        <v>1320.9401393543999</v>
      </c>
      <c r="AG6763" s="2">
        <v>1364.2999419901</v>
      </c>
      <c r="AH6763" s="2">
        <v>1327.76306351011</v>
      </c>
      <c r="AI6763" s="2">
        <v>1179.19717288538</v>
      </c>
      <c r="AJ6763" s="2">
        <v>1220.4072112527799</v>
      </c>
      <c r="AK6763" s="2">
        <v>1407.2031053687101</v>
      </c>
      <c r="AL6763" s="2">
        <v>1349.1783204374799</v>
      </c>
      <c r="AM6763" s="2">
        <v>1290.4819055757</v>
      </c>
      <c r="AN6763" s="2">
        <v>1416.75874442799</v>
      </c>
      <c r="AO6763" s="2">
        <v>1235.95660468604</v>
      </c>
      <c r="AP6763" s="2">
        <v>1100.6169832113301</v>
      </c>
    </row>
    <row r="6764" spans="1:42" ht="14.5" x14ac:dyDescent="0.35">
      <c r="A6764" s="2" t="s">
        <v>44841</v>
      </c>
      <c r="B6764" s="2">
        <v>190.042973835384</v>
      </c>
      <c r="C6764" s="2">
        <v>1.06171666666667</v>
      </c>
      <c r="D6764" s="2" t="s">
        <v>34</v>
      </c>
      <c r="E6764" s="2" t="s">
        <v>44842</v>
      </c>
      <c r="F6764" s="2">
        <v>56278</v>
      </c>
      <c r="G6764" s="3" t="str">
        <f>HYPERLINK("http://funmeta.oebiotech.com/network/56278", "http://funmeta.oebiotech.com/network/56278")</f>
        <v>http://funmeta.oebiotech.com/network/56278</v>
      </c>
      <c r="H6764" s="2" t="s">
        <v>44843</v>
      </c>
      <c r="I6764" s="2">
        <v>72298</v>
      </c>
      <c r="J6764" s="2"/>
      <c r="K6764" s="2">
        <v>81783</v>
      </c>
      <c r="L6764" s="2" t="s">
        <v>44844</v>
      </c>
      <c r="M6764" s="2"/>
      <c r="N6764" s="2"/>
      <c r="O6764" s="2">
        <v>39040</v>
      </c>
      <c r="P6764" s="2" t="s">
        <v>44845</v>
      </c>
      <c r="Q6764" s="2" t="s">
        <v>44846</v>
      </c>
      <c r="R6764" s="2" t="s">
        <v>44847</v>
      </c>
      <c r="S6764" s="2" t="s">
        <v>491</v>
      </c>
      <c r="T6764" s="2" t="s">
        <v>20902</v>
      </c>
      <c r="U6764" s="2" t="s">
        <v>44848</v>
      </c>
      <c r="V6764" s="2" t="s">
        <v>59</v>
      </c>
      <c r="W6764" s="2">
        <v>38.5</v>
      </c>
      <c r="X6764" s="2">
        <v>0</v>
      </c>
      <c r="Y6764" s="2" t="s">
        <v>67</v>
      </c>
      <c r="Z6764" s="2" t="s">
        <v>44849</v>
      </c>
      <c r="AA6764" s="2">
        <v>-1.96171825440505</v>
      </c>
      <c r="AB6764" s="2">
        <v>1.36966571621716E-2</v>
      </c>
      <c r="AC6764" s="2">
        <v>1530.3093918828099</v>
      </c>
      <c r="AD6764" s="2">
        <v>1633.2493418075601</v>
      </c>
      <c r="AE6764" s="2">
        <v>1627.3147986727899</v>
      </c>
      <c r="AF6764" s="2">
        <v>1285.6907213131601</v>
      </c>
      <c r="AG6764" s="2">
        <v>1667.5256095116699</v>
      </c>
      <c r="AH6764" s="2">
        <v>1571.6800120248399</v>
      </c>
      <c r="AI6764" s="2">
        <v>1528.9733662072899</v>
      </c>
      <c r="AJ6764" s="2">
        <v>1500.6718435671301</v>
      </c>
      <c r="AK6764" s="2">
        <v>2780.9626301491598</v>
      </c>
      <c r="AL6764" s="2">
        <v>997.28265591486002</v>
      </c>
      <c r="AM6764" s="2">
        <v>1368.6637232755099</v>
      </c>
      <c r="AN6764" s="2">
        <v>1937.6124611432899</v>
      </c>
      <c r="AO6764" s="2">
        <v>1642.5052202489901</v>
      </c>
      <c r="AP6764" s="2">
        <v>1072.46936011352</v>
      </c>
    </row>
    <row r="6765" spans="1:42" ht="14.5" x14ac:dyDescent="0.35">
      <c r="A6765" s="2" t="s">
        <v>44850</v>
      </c>
      <c r="B6765" s="2">
        <v>331.248897545864</v>
      </c>
      <c r="C6765" s="2">
        <v>9.2702833333333299</v>
      </c>
      <c r="D6765" s="2" t="s">
        <v>70</v>
      </c>
      <c r="E6765" s="2" t="s">
        <v>44851</v>
      </c>
      <c r="F6765" s="2">
        <v>83252</v>
      </c>
      <c r="G6765" s="3" t="str">
        <f>HYPERLINK("http://funmeta.oebiotech.com/network/83252", "http://funmeta.oebiotech.com/network/83252")</f>
        <v>http://funmeta.oebiotech.com/network/83252</v>
      </c>
      <c r="H6765" s="2" t="s">
        <v>44852</v>
      </c>
      <c r="I6765" s="2"/>
      <c r="J6765" s="2"/>
      <c r="K6765" s="2"/>
      <c r="L6765" s="2"/>
      <c r="M6765" s="2"/>
      <c r="N6765" s="2"/>
      <c r="O6765" s="2">
        <v>15110021</v>
      </c>
      <c r="P6765" s="2"/>
      <c r="Q6765" s="2" t="s">
        <v>44853</v>
      </c>
      <c r="R6765" s="2" t="s">
        <v>44854</v>
      </c>
      <c r="S6765" s="2" t="s">
        <v>50</v>
      </c>
      <c r="T6765" s="2" t="s">
        <v>229</v>
      </c>
      <c r="U6765" s="2" t="s">
        <v>433</v>
      </c>
      <c r="V6765" s="2" t="s">
        <v>59</v>
      </c>
      <c r="W6765" s="2">
        <v>46.8</v>
      </c>
      <c r="X6765" s="2">
        <v>39.6</v>
      </c>
      <c r="Y6765" s="2" t="s">
        <v>408</v>
      </c>
      <c r="Z6765" s="2" t="s">
        <v>44855</v>
      </c>
      <c r="AA6765" s="2">
        <v>-0.350298401992643</v>
      </c>
      <c r="AB6765" s="2">
        <v>1.36386271565366E-2</v>
      </c>
      <c r="AC6765" s="2">
        <v>190.77092747443601</v>
      </c>
      <c r="AD6765" s="2">
        <v>246.74222195643901</v>
      </c>
      <c r="AE6765" s="2">
        <v>291.09664362132497</v>
      </c>
      <c r="AF6765" s="2">
        <v>285.22114740616502</v>
      </c>
      <c r="AG6765" s="2">
        <v>258.610010280398</v>
      </c>
      <c r="AH6765" s="2">
        <v>207.45653147795599</v>
      </c>
      <c r="AI6765" s="2">
        <v>53.4454360230418</v>
      </c>
      <c r="AJ6765" s="2">
        <v>48.795796037731897</v>
      </c>
      <c r="AK6765" s="2">
        <v>349.728094551754</v>
      </c>
      <c r="AL6765" s="2">
        <v>475.92058251646603</v>
      </c>
      <c r="AM6765" s="2">
        <v>187.423680542293</v>
      </c>
      <c r="AN6765" s="2">
        <v>121.586545769888</v>
      </c>
      <c r="AO6765" s="2">
        <v>214.50494249814301</v>
      </c>
      <c r="AP6765" s="2">
        <v>131.28948586009301</v>
      </c>
    </row>
    <row r="6766" spans="1:42" ht="14.5" x14ac:dyDescent="0.35">
      <c r="A6766" s="2" t="s">
        <v>44856</v>
      </c>
      <c r="B6766" s="2">
        <v>318.28084537672498</v>
      </c>
      <c r="C6766" s="2">
        <v>8.2503333333333302</v>
      </c>
      <c r="D6766" s="2" t="s">
        <v>34</v>
      </c>
      <c r="E6766" s="2" t="s">
        <v>44857</v>
      </c>
      <c r="F6766" s="2">
        <v>2324</v>
      </c>
      <c r="G6766" s="3" t="str">
        <f>HYPERLINK("http://funmeta.oebiotech.com/network/2324", "http://funmeta.oebiotech.com/network/2324")</f>
        <v>http://funmeta.oebiotech.com/network/2324</v>
      </c>
      <c r="H6766" s="2"/>
      <c r="I6766" s="2">
        <v>35911</v>
      </c>
      <c r="J6766" s="2" t="s">
        <v>44858</v>
      </c>
      <c r="K6766" s="2"/>
      <c r="L6766" s="2"/>
      <c r="M6766" s="2"/>
      <c r="N6766" s="2"/>
      <c r="O6766" s="2">
        <v>5312955</v>
      </c>
      <c r="P6766" s="2"/>
      <c r="Q6766" s="2" t="s">
        <v>44859</v>
      </c>
      <c r="R6766" s="2" t="s">
        <v>44860</v>
      </c>
      <c r="S6766" s="2" t="s">
        <v>50</v>
      </c>
      <c r="T6766" s="2" t="s">
        <v>229</v>
      </c>
      <c r="U6766" s="2" t="s">
        <v>433</v>
      </c>
      <c r="V6766" s="2" t="s">
        <v>59</v>
      </c>
      <c r="W6766" s="2">
        <v>37.9</v>
      </c>
      <c r="X6766" s="2">
        <v>0</v>
      </c>
      <c r="Y6766" s="2" t="s">
        <v>43</v>
      </c>
      <c r="Z6766" s="2" t="s">
        <v>44861</v>
      </c>
      <c r="AA6766" s="2">
        <v>1.8695617515965099</v>
      </c>
      <c r="AB6766" s="2">
        <v>1.3635805981685701E-2</v>
      </c>
      <c r="AC6766" s="2">
        <v>6533.3564590694205</v>
      </c>
      <c r="AD6766" s="2">
        <v>6380.6130412020502</v>
      </c>
      <c r="AE6766" s="2">
        <v>8209.2801730177107</v>
      </c>
      <c r="AF6766" s="2">
        <v>5538.87610281856</v>
      </c>
      <c r="AG6766" s="2">
        <v>7741.2407610938599</v>
      </c>
      <c r="AH6766" s="2">
        <v>4455.0058128884302</v>
      </c>
      <c r="AI6766" s="2">
        <v>5747.8483787608902</v>
      </c>
      <c r="AJ6766" s="2">
        <v>7507.8875258370899</v>
      </c>
      <c r="AK6766" s="2">
        <v>5717.4822095109903</v>
      </c>
      <c r="AL6766" s="2">
        <v>6628.0177027157597</v>
      </c>
      <c r="AM6766" s="2">
        <v>6469.4975822447896</v>
      </c>
      <c r="AN6766" s="2">
        <v>7110.8283146557696</v>
      </c>
      <c r="AO6766" s="2">
        <v>6600.1827875320796</v>
      </c>
      <c r="AP6766" s="2">
        <v>5757.6696505529098</v>
      </c>
    </row>
    <row r="6767" spans="1:42" ht="14.5" x14ac:dyDescent="0.35">
      <c r="A6767" s="2" t="s">
        <v>44862</v>
      </c>
      <c r="B6767" s="2">
        <v>267.15890485378799</v>
      </c>
      <c r="C6767" s="2">
        <v>11.4243166666667</v>
      </c>
      <c r="D6767" s="2" t="s">
        <v>34</v>
      </c>
      <c r="E6767" s="2" t="s">
        <v>44863</v>
      </c>
      <c r="F6767" s="2">
        <v>289887</v>
      </c>
      <c r="G6767" s="3" t="str">
        <f>HYPERLINK("http://funmeta.oebiotech.com/network/289887", "http://funmeta.oebiotech.com/network/289887")</f>
        <v>http://funmeta.oebiotech.com/network/289887</v>
      </c>
      <c r="H6767" s="2"/>
      <c r="I6767" s="2">
        <v>985136</v>
      </c>
      <c r="J6767" s="2"/>
      <c r="K6767" s="2"/>
      <c r="L6767" s="2"/>
      <c r="M6767" s="2"/>
      <c r="N6767" s="2"/>
      <c r="O6767" s="2">
        <v>353378</v>
      </c>
      <c r="P6767" s="2"/>
      <c r="Q6767" s="2" t="s">
        <v>44864</v>
      </c>
      <c r="R6767" s="2" t="s">
        <v>44865</v>
      </c>
      <c r="S6767" s="2" t="s">
        <v>50</v>
      </c>
      <c r="T6767" s="2" t="s">
        <v>201</v>
      </c>
      <c r="U6767" s="2" t="s">
        <v>1217</v>
      </c>
      <c r="V6767" s="2" t="s">
        <v>59</v>
      </c>
      <c r="W6767" s="2">
        <v>39.1</v>
      </c>
      <c r="X6767" s="2">
        <v>0</v>
      </c>
      <c r="Y6767" s="2" t="s">
        <v>394</v>
      </c>
      <c r="Z6767" s="2" t="s">
        <v>44866</v>
      </c>
      <c r="AA6767" s="2">
        <v>-0.67916875124517595</v>
      </c>
      <c r="AB6767" s="2">
        <v>1.36333731490626E-2</v>
      </c>
      <c r="AC6767" s="2">
        <v>8287.8336336486209</v>
      </c>
      <c r="AD6767" s="2">
        <v>8378.7995887038505</v>
      </c>
      <c r="AE6767" s="2">
        <v>8681.6311861733793</v>
      </c>
      <c r="AF6767" s="2">
        <v>8075.3886659279397</v>
      </c>
      <c r="AG6767" s="2">
        <v>8249.2255508770195</v>
      </c>
      <c r="AH6767" s="2">
        <v>8397.4442511123598</v>
      </c>
      <c r="AI6767" s="2">
        <v>7911.3266985775299</v>
      </c>
      <c r="AJ6767" s="2">
        <v>8411.9854492234608</v>
      </c>
      <c r="AK6767" s="2">
        <v>7791.9838116522296</v>
      </c>
      <c r="AL6767" s="2">
        <v>8102.20311927069</v>
      </c>
      <c r="AM6767" s="2">
        <v>8110.1316791540903</v>
      </c>
      <c r="AN6767" s="2">
        <v>8949.4013175106502</v>
      </c>
      <c r="AO6767" s="2">
        <v>8661.5962933749597</v>
      </c>
      <c r="AP6767" s="2">
        <v>8657.4813112605007</v>
      </c>
    </row>
    <row r="6768" spans="1:42" ht="14.5" x14ac:dyDescent="0.35">
      <c r="A6768" s="2" t="s">
        <v>44867</v>
      </c>
      <c r="B6768" s="2">
        <v>415.17317239430798</v>
      </c>
      <c r="C6768" s="2">
        <v>4.7218999999999998</v>
      </c>
      <c r="D6768" s="2" t="s">
        <v>70</v>
      </c>
      <c r="E6768" s="2" t="s">
        <v>44868</v>
      </c>
      <c r="F6768" s="2">
        <v>48021</v>
      </c>
      <c r="G6768" s="3" t="str">
        <f>HYPERLINK("http://funmeta.oebiotech.com/network/48021", "http://funmeta.oebiotech.com/network/48021")</f>
        <v>http://funmeta.oebiotech.com/network/48021</v>
      </c>
      <c r="H6768" s="2" t="s">
        <v>44869</v>
      </c>
      <c r="I6768" s="2">
        <v>3342</v>
      </c>
      <c r="J6768" s="2"/>
      <c r="K6768" s="2">
        <v>48965</v>
      </c>
      <c r="L6768" s="2" t="s">
        <v>44870</v>
      </c>
      <c r="M6768" s="2"/>
      <c r="N6768" s="2"/>
      <c r="O6768" s="2">
        <v>637760</v>
      </c>
      <c r="P6768" s="2" t="s">
        <v>44871</v>
      </c>
      <c r="Q6768" s="2" t="s">
        <v>44872</v>
      </c>
      <c r="R6768" s="2" t="s">
        <v>44873</v>
      </c>
      <c r="S6768" s="2" t="s">
        <v>115</v>
      </c>
      <c r="T6768" s="2" t="s">
        <v>12600</v>
      </c>
      <c r="U6768" s="2" t="s">
        <v>12601</v>
      </c>
      <c r="V6768" s="2" t="s">
        <v>59</v>
      </c>
      <c r="W6768" s="2">
        <v>37.6</v>
      </c>
      <c r="X6768" s="2">
        <v>0</v>
      </c>
      <c r="Y6768" s="2" t="s">
        <v>560</v>
      </c>
      <c r="Z6768" s="2" t="s">
        <v>23584</v>
      </c>
      <c r="AA6768" s="2">
        <v>6.7731115381107196</v>
      </c>
      <c r="AB6768" s="2">
        <v>1.35311411839653E-2</v>
      </c>
      <c r="AC6768" s="2">
        <v>8586.1644091945709</v>
      </c>
      <c r="AD6768" s="2">
        <v>8704.4315705323206</v>
      </c>
      <c r="AE6768" s="2">
        <v>8467.0029793700505</v>
      </c>
      <c r="AF6768" s="2">
        <v>8942.1408166356796</v>
      </c>
      <c r="AG6768" s="2">
        <v>9413.1125942362305</v>
      </c>
      <c r="AH6768" s="2">
        <v>8020.3368212330097</v>
      </c>
      <c r="AI6768" s="2">
        <v>8892.2242714843596</v>
      </c>
      <c r="AJ6768" s="2">
        <v>7782.16897220807</v>
      </c>
      <c r="AK6768" s="2">
        <v>8853.0388895499891</v>
      </c>
      <c r="AL6768" s="2">
        <v>8437.2395356269008</v>
      </c>
      <c r="AM6768" s="2">
        <v>9699.3159641684997</v>
      </c>
      <c r="AN6768" s="2">
        <v>8223.3539676029995</v>
      </c>
      <c r="AO6768" s="2">
        <v>7918.7157449194901</v>
      </c>
      <c r="AP6768" s="2">
        <v>9094.9253213260708</v>
      </c>
    </row>
    <row r="6769" spans="1:42" ht="14.5" x14ac:dyDescent="0.35">
      <c r="A6769" s="2" t="s">
        <v>44874</v>
      </c>
      <c r="B6769" s="2">
        <v>155.08514619746501</v>
      </c>
      <c r="C6769" s="2">
        <v>7.6628999999999996</v>
      </c>
      <c r="D6769" s="2" t="s">
        <v>34</v>
      </c>
      <c r="E6769" s="2" t="s">
        <v>44875</v>
      </c>
      <c r="F6769" s="2">
        <v>58464</v>
      </c>
      <c r="G6769" s="3" t="str">
        <f>HYPERLINK("http://funmeta.oebiotech.com/network/58464", "http://funmeta.oebiotech.com/network/58464")</f>
        <v>http://funmeta.oebiotech.com/network/58464</v>
      </c>
      <c r="H6769" s="2" t="s">
        <v>44876</v>
      </c>
      <c r="I6769" s="2">
        <v>66444</v>
      </c>
      <c r="J6769" s="2"/>
      <c r="K6769" s="2">
        <v>17097</v>
      </c>
      <c r="L6769" s="2" t="s">
        <v>44877</v>
      </c>
      <c r="M6769" s="2" t="s">
        <v>44878</v>
      </c>
      <c r="N6769" s="2" t="s">
        <v>44879</v>
      </c>
      <c r="O6769" s="2">
        <v>7095</v>
      </c>
      <c r="P6769" s="2" t="s">
        <v>44880</v>
      </c>
      <c r="Q6769" s="2" t="s">
        <v>44881</v>
      </c>
      <c r="R6769" s="2" t="s">
        <v>44882</v>
      </c>
      <c r="S6769" s="2" t="s">
        <v>148</v>
      </c>
      <c r="T6769" s="2" t="s">
        <v>149</v>
      </c>
      <c r="U6769" s="2" t="s">
        <v>5292</v>
      </c>
      <c r="V6769" s="2" t="s">
        <v>59</v>
      </c>
      <c r="W6769" s="2">
        <v>37.200000000000003</v>
      </c>
      <c r="X6769" s="2">
        <v>1.33</v>
      </c>
      <c r="Y6769" s="2" t="s">
        <v>394</v>
      </c>
      <c r="Z6769" s="2" t="s">
        <v>44883</v>
      </c>
      <c r="AA6769" s="2">
        <v>-2.46988289294561</v>
      </c>
      <c r="AB6769" s="2">
        <v>1.3465876436541801E-2</v>
      </c>
      <c r="AC6769" s="2">
        <v>6710.0250419190397</v>
      </c>
      <c r="AD6769" s="2">
        <v>6851.0569452264199</v>
      </c>
      <c r="AE6769" s="2">
        <v>6501.9471580237396</v>
      </c>
      <c r="AF6769" s="2">
        <v>6004.9580889258496</v>
      </c>
      <c r="AG6769" s="2">
        <v>5508.4623424630399</v>
      </c>
      <c r="AH6769" s="2">
        <v>7869.0663402106902</v>
      </c>
      <c r="AI6769" s="2">
        <v>6318.9146550784199</v>
      </c>
      <c r="AJ6769" s="2">
        <v>8056.8016668124901</v>
      </c>
      <c r="AK6769" s="2">
        <v>6851.2575072896498</v>
      </c>
      <c r="AL6769" s="2">
        <v>7130.1582307230101</v>
      </c>
      <c r="AM6769" s="2">
        <v>6920.2524651087497</v>
      </c>
      <c r="AN6769" s="2">
        <v>7814.86672176104</v>
      </c>
      <c r="AO6769" s="2">
        <v>5276.3984239391402</v>
      </c>
      <c r="AP6769" s="2">
        <v>7113.4083225369504</v>
      </c>
    </row>
    <row r="6770" spans="1:42" ht="14.5" x14ac:dyDescent="0.35">
      <c r="A6770" s="2" t="s">
        <v>44884</v>
      </c>
      <c r="B6770" s="2">
        <v>105.069923747738</v>
      </c>
      <c r="C6770" s="2">
        <v>8.8024666666666693</v>
      </c>
      <c r="D6770" s="2" t="s">
        <v>34</v>
      </c>
      <c r="E6770" s="2" t="s">
        <v>44885</v>
      </c>
      <c r="F6770" s="2">
        <v>58303</v>
      </c>
      <c r="G6770" s="3" t="str">
        <f>HYPERLINK("http://funmeta.oebiotech.com/network/58303", "http://funmeta.oebiotech.com/network/58303")</f>
        <v>http://funmeta.oebiotech.com/network/58303</v>
      </c>
      <c r="H6770" s="2" t="s">
        <v>44886</v>
      </c>
      <c r="I6770" s="2">
        <v>66571</v>
      </c>
      <c r="J6770" s="2"/>
      <c r="K6770" s="2">
        <v>27452</v>
      </c>
      <c r="L6770" s="2" t="s">
        <v>44887</v>
      </c>
      <c r="M6770" s="2"/>
      <c r="N6770" s="2"/>
      <c r="O6770" s="2">
        <v>7501</v>
      </c>
      <c r="P6770" s="2" t="s">
        <v>44888</v>
      </c>
      <c r="Q6770" s="2" t="s">
        <v>44889</v>
      </c>
      <c r="R6770" s="2" t="s">
        <v>44890</v>
      </c>
      <c r="S6770" s="2" t="s">
        <v>148</v>
      </c>
      <c r="T6770" s="2" t="s">
        <v>149</v>
      </c>
      <c r="U6770" s="2" t="s">
        <v>2874</v>
      </c>
      <c r="V6770" s="2" t="s">
        <v>42</v>
      </c>
      <c r="W6770" s="2">
        <v>48.6</v>
      </c>
      <c r="X6770" s="2">
        <v>52</v>
      </c>
      <c r="Y6770" s="2" t="s">
        <v>394</v>
      </c>
      <c r="Z6770" s="2" t="s">
        <v>44891</v>
      </c>
      <c r="AA6770" s="2">
        <v>0.452219889502877</v>
      </c>
      <c r="AB6770" s="2">
        <v>1.34628037424812E-2</v>
      </c>
      <c r="AC6770" s="2">
        <v>3589.0119048563101</v>
      </c>
      <c r="AD6770" s="2">
        <v>3780.38629432777</v>
      </c>
      <c r="AE6770" s="2">
        <v>4233.1583993975501</v>
      </c>
      <c r="AF6770" s="2">
        <v>3222.3915772131299</v>
      </c>
      <c r="AG6770" s="2">
        <v>3375.5716913318302</v>
      </c>
      <c r="AH6770" s="2">
        <v>3237.3678927576598</v>
      </c>
      <c r="AI6770" s="2">
        <v>4065.2775816467401</v>
      </c>
      <c r="AJ6770" s="2">
        <v>3400.3042867909198</v>
      </c>
      <c r="AK6770" s="2">
        <v>2285.2495862996602</v>
      </c>
      <c r="AL6770" s="2">
        <v>8022.9020216380904</v>
      </c>
      <c r="AM6770" s="2">
        <v>3893.7956751353599</v>
      </c>
      <c r="AN6770" s="2">
        <v>3696.7995435216399</v>
      </c>
      <c r="AO6770" s="2">
        <v>2905.0672734632899</v>
      </c>
      <c r="AP6770" s="2">
        <v>1878.5036659085799</v>
      </c>
    </row>
    <row r="6771" spans="1:42" ht="14.5" x14ac:dyDescent="0.35">
      <c r="A6771" s="2" t="s">
        <v>44892</v>
      </c>
      <c r="B6771" s="2">
        <v>303.18050565017899</v>
      </c>
      <c r="C6771" s="2">
        <v>11.1218</v>
      </c>
      <c r="D6771" s="2" t="s">
        <v>34</v>
      </c>
      <c r="E6771" s="2" t="s">
        <v>44893</v>
      </c>
      <c r="F6771" s="2">
        <v>55721</v>
      </c>
      <c r="G6771" s="3" t="str">
        <f>HYPERLINK("http://funmeta.oebiotech.com/network/55721", "http://funmeta.oebiotech.com/network/55721")</f>
        <v>http://funmeta.oebiotech.com/network/55721</v>
      </c>
      <c r="H6771" s="2" t="s">
        <v>44894</v>
      </c>
      <c r="I6771" s="2">
        <v>69736</v>
      </c>
      <c r="J6771" s="2"/>
      <c r="K6771" s="2">
        <v>35020</v>
      </c>
      <c r="L6771" s="2" t="s">
        <v>44895</v>
      </c>
      <c r="M6771" s="2"/>
      <c r="N6771" s="2"/>
      <c r="O6771" s="2">
        <v>6050</v>
      </c>
      <c r="P6771" s="2" t="s">
        <v>44896</v>
      </c>
      <c r="Q6771" s="2" t="s">
        <v>44897</v>
      </c>
      <c r="R6771" s="2" t="s">
        <v>44898</v>
      </c>
      <c r="S6771" s="2" t="s">
        <v>50</v>
      </c>
      <c r="T6771" s="2" t="s">
        <v>448</v>
      </c>
      <c r="U6771" s="2" t="s">
        <v>9987</v>
      </c>
      <c r="V6771" s="2" t="s">
        <v>59</v>
      </c>
      <c r="W6771" s="2">
        <v>39.200000000000003</v>
      </c>
      <c r="X6771" s="2">
        <v>0</v>
      </c>
      <c r="Y6771" s="2" t="s">
        <v>394</v>
      </c>
      <c r="Z6771" s="2" t="s">
        <v>29755</v>
      </c>
      <c r="AA6771" s="2">
        <v>0.96192266597726195</v>
      </c>
      <c r="AB6771" s="2">
        <v>1.3458101105863301E-2</v>
      </c>
      <c r="AC6771" s="2">
        <v>3829.0454025785398</v>
      </c>
      <c r="AD6771" s="2">
        <v>3626.5620734363501</v>
      </c>
      <c r="AE6771" s="2">
        <v>2232.1596920614102</v>
      </c>
      <c r="AF6771" s="2">
        <v>2065.1965560800199</v>
      </c>
      <c r="AG6771" s="2">
        <v>2770.0020100362399</v>
      </c>
      <c r="AH6771" s="2">
        <v>6394.0613395664204</v>
      </c>
      <c r="AI6771" s="2">
        <v>6513.3198124840601</v>
      </c>
      <c r="AJ6771" s="2">
        <v>2999.53300524311</v>
      </c>
      <c r="AK6771" s="2">
        <v>3556.6224145654101</v>
      </c>
      <c r="AL6771" s="2">
        <v>3978.8693282739</v>
      </c>
      <c r="AM6771" s="2">
        <v>2953.76751425782</v>
      </c>
      <c r="AN6771" s="2">
        <v>3372.9869374516602</v>
      </c>
      <c r="AO6771" s="2">
        <v>4260.4221977077596</v>
      </c>
      <c r="AP6771" s="2">
        <v>3636.7040483615401</v>
      </c>
    </row>
    <row r="6772" spans="1:42" ht="14.5" x14ac:dyDescent="0.35">
      <c r="A6772" s="2" t="s">
        <v>44899</v>
      </c>
      <c r="B6772" s="2">
        <v>123.11680116334701</v>
      </c>
      <c r="C6772" s="2">
        <v>3.6251333333333302</v>
      </c>
      <c r="D6772" s="2" t="s">
        <v>34</v>
      </c>
      <c r="E6772" s="2" t="s">
        <v>44900</v>
      </c>
      <c r="F6772" s="2">
        <v>61575</v>
      </c>
      <c r="G6772" s="3" t="str">
        <f>HYPERLINK("http://funmeta.oebiotech.com/network/61575", "http://funmeta.oebiotech.com/network/61575")</f>
        <v>http://funmeta.oebiotech.com/network/61575</v>
      </c>
      <c r="H6772" s="2" t="s">
        <v>44901</v>
      </c>
      <c r="I6772" s="2">
        <v>92881</v>
      </c>
      <c r="J6772" s="2"/>
      <c r="K6772" s="2"/>
      <c r="L6772" s="2"/>
      <c r="M6772" s="2"/>
      <c r="N6772" s="2"/>
      <c r="O6772" s="2">
        <v>10720</v>
      </c>
      <c r="P6772" s="2" t="s">
        <v>44902</v>
      </c>
      <c r="Q6772" s="2" t="s">
        <v>44903</v>
      </c>
      <c r="R6772" s="2" t="s">
        <v>44904</v>
      </c>
      <c r="S6772" s="2" t="s">
        <v>3194</v>
      </c>
      <c r="T6772" s="2" t="s">
        <v>3195</v>
      </c>
      <c r="U6772" s="2" t="s">
        <v>14309</v>
      </c>
      <c r="V6772" s="2" t="s">
        <v>59</v>
      </c>
      <c r="W6772" s="2">
        <v>39.1</v>
      </c>
      <c r="X6772" s="2">
        <v>0</v>
      </c>
      <c r="Y6772" s="2" t="s">
        <v>394</v>
      </c>
      <c r="Z6772" s="2" t="s">
        <v>44905</v>
      </c>
      <c r="AA6772" s="2">
        <v>-0.21061115086139801</v>
      </c>
      <c r="AB6772" s="2">
        <v>1.33989441344759E-2</v>
      </c>
      <c r="AC6772" s="2">
        <v>1443.81097627344</v>
      </c>
      <c r="AD6772" s="2">
        <v>1492.49121082993</v>
      </c>
      <c r="AE6772" s="2">
        <v>1302.7581833659799</v>
      </c>
      <c r="AF6772" s="2">
        <v>1329.13305079367</v>
      </c>
      <c r="AG6772" s="2">
        <v>1537.4622783896</v>
      </c>
      <c r="AH6772" s="2">
        <v>1547.05374422924</v>
      </c>
      <c r="AI6772" s="2">
        <v>1415.5801388812099</v>
      </c>
      <c r="AJ6772" s="2">
        <v>1530.8784619809601</v>
      </c>
      <c r="AK6772" s="2">
        <v>1645.1697971004301</v>
      </c>
      <c r="AL6772" s="2">
        <v>1404.83869170034</v>
      </c>
      <c r="AM6772" s="2">
        <v>1430.4132200235499</v>
      </c>
      <c r="AN6772" s="2">
        <v>1473.8629623404299</v>
      </c>
      <c r="AO6772" s="2">
        <v>1598.12176216336</v>
      </c>
      <c r="AP6772" s="2">
        <v>1402.5408316515</v>
      </c>
    </row>
    <row r="6773" spans="1:42" ht="14.5" x14ac:dyDescent="0.35">
      <c r="A6773" s="2" t="s">
        <v>44906</v>
      </c>
      <c r="B6773" s="2">
        <v>200.164464741481</v>
      </c>
      <c r="C6773" s="2">
        <v>3.9663166666666698</v>
      </c>
      <c r="D6773" s="2" t="s">
        <v>34</v>
      </c>
      <c r="E6773" s="2" t="s">
        <v>44907</v>
      </c>
      <c r="F6773" s="2">
        <v>54865</v>
      </c>
      <c r="G6773" s="3" t="str">
        <f>HYPERLINK("http://funmeta.oebiotech.com/network/54865", "http://funmeta.oebiotech.com/network/54865")</f>
        <v>http://funmeta.oebiotech.com/network/54865</v>
      </c>
      <c r="H6773" s="2" t="s">
        <v>44908</v>
      </c>
      <c r="I6773" s="2">
        <v>86658</v>
      </c>
      <c r="J6773" s="2"/>
      <c r="K6773" s="2"/>
      <c r="L6773" s="2"/>
      <c r="M6773" s="2"/>
      <c r="N6773" s="2"/>
      <c r="O6773" s="2">
        <v>10899299</v>
      </c>
      <c r="P6773" s="2" t="s">
        <v>44909</v>
      </c>
      <c r="Q6773" s="2" t="s">
        <v>44910</v>
      </c>
      <c r="R6773" s="2" t="s">
        <v>44911</v>
      </c>
      <c r="S6773" s="2" t="s">
        <v>79</v>
      </c>
      <c r="T6773" s="2" t="s">
        <v>80</v>
      </c>
      <c r="U6773" s="2" t="s">
        <v>249</v>
      </c>
      <c r="V6773" s="2" t="s">
        <v>59</v>
      </c>
      <c r="W6773" s="2">
        <v>39.5</v>
      </c>
      <c r="X6773" s="2">
        <v>0</v>
      </c>
      <c r="Y6773" s="2" t="s">
        <v>43</v>
      </c>
      <c r="Z6773" s="2" t="s">
        <v>44912</v>
      </c>
      <c r="AA6773" s="2">
        <v>-0.222943761731733</v>
      </c>
      <c r="AB6773" s="2">
        <v>1.32132058170849E-2</v>
      </c>
      <c r="AC6773" s="2">
        <v>9166.3474750215191</v>
      </c>
      <c r="AD6773" s="2">
        <v>9051.2242693484404</v>
      </c>
      <c r="AE6773" s="2">
        <v>8722.2000813725808</v>
      </c>
      <c r="AF6773" s="2">
        <v>10096.656563779299</v>
      </c>
      <c r="AG6773" s="2">
        <v>8989.5649140985497</v>
      </c>
      <c r="AH6773" s="2">
        <v>8639.5352527307205</v>
      </c>
      <c r="AI6773" s="2">
        <v>8777.1259692949297</v>
      </c>
      <c r="AJ6773" s="2">
        <v>9773.0020688530494</v>
      </c>
      <c r="AK6773" s="2">
        <v>8429.4945227853004</v>
      </c>
      <c r="AL6773" s="2">
        <v>8209.4453782609999</v>
      </c>
      <c r="AM6773" s="2">
        <v>9716.9727221504309</v>
      </c>
      <c r="AN6773" s="2">
        <v>9430.5878556665502</v>
      </c>
      <c r="AO6773" s="2">
        <v>8903.0240742737005</v>
      </c>
      <c r="AP6773" s="2">
        <v>9617.8210629536698</v>
      </c>
    </row>
    <row r="6774" spans="1:42" ht="14.5" x14ac:dyDescent="0.35">
      <c r="A6774" s="2" t="s">
        <v>44913</v>
      </c>
      <c r="B6774" s="2">
        <v>230.98113125429199</v>
      </c>
      <c r="C6774" s="2">
        <v>1.2567999999999999</v>
      </c>
      <c r="D6774" s="2" t="s">
        <v>34</v>
      </c>
      <c r="E6774" s="2" t="s">
        <v>44914</v>
      </c>
      <c r="F6774" s="2">
        <v>256581</v>
      </c>
      <c r="G6774" s="3" t="str">
        <f>HYPERLINK("http://funmeta.oebiotech.com/network/256581", "http://funmeta.oebiotech.com/network/256581")</f>
        <v>http://funmeta.oebiotech.com/network/256581</v>
      </c>
      <c r="H6774" s="2" t="s">
        <v>44915</v>
      </c>
      <c r="I6774" s="2"/>
      <c r="J6774" s="2"/>
      <c r="K6774" s="2"/>
      <c r="L6774" s="2"/>
      <c r="M6774" s="2"/>
      <c r="N6774" s="2"/>
      <c r="O6774" s="2">
        <v>22036</v>
      </c>
      <c r="P6774" s="2"/>
      <c r="Q6774" s="2" t="s">
        <v>44916</v>
      </c>
      <c r="R6774" s="2" t="s">
        <v>44917</v>
      </c>
      <c r="S6774" s="2" t="s">
        <v>79</v>
      </c>
      <c r="T6774" s="2" t="s">
        <v>80</v>
      </c>
      <c r="U6774" s="2" t="s">
        <v>81</v>
      </c>
      <c r="V6774" s="2" t="s">
        <v>59</v>
      </c>
      <c r="W6774" s="2">
        <v>38.799999999999997</v>
      </c>
      <c r="X6774" s="2">
        <v>0</v>
      </c>
      <c r="Y6774" s="2" t="s">
        <v>141</v>
      </c>
      <c r="Z6774" s="2" t="s">
        <v>44918</v>
      </c>
      <c r="AA6774" s="2">
        <v>-0.35763825835799101</v>
      </c>
      <c r="AB6774" s="2">
        <v>1.30894629575454E-2</v>
      </c>
      <c r="AC6774" s="2">
        <v>5984.2936538456597</v>
      </c>
      <c r="AD6774" s="2">
        <v>5852.0064960304999</v>
      </c>
      <c r="AE6774" s="2">
        <v>5676.5911954355997</v>
      </c>
      <c r="AF6774" s="2">
        <v>6569.0443345976901</v>
      </c>
      <c r="AG6774" s="2">
        <v>6216.6652481138399</v>
      </c>
      <c r="AH6774" s="2">
        <v>7501.0044224247404</v>
      </c>
      <c r="AI6774" s="2">
        <v>5801.7957489270302</v>
      </c>
      <c r="AJ6774" s="2">
        <v>4140.6609735750599</v>
      </c>
      <c r="AK6774" s="2">
        <v>6791.5800592047399</v>
      </c>
      <c r="AL6774" s="2">
        <v>5387.5607083392697</v>
      </c>
      <c r="AM6774" s="2">
        <v>5407.4583092662697</v>
      </c>
      <c r="AN6774" s="2">
        <v>5987.0772365235798</v>
      </c>
      <c r="AO6774" s="2">
        <v>5884.6582992492004</v>
      </c>
      <c r="AP6774" s="2">
        <v>5653.7043635999398</v>
      </c>
    </row>
    <row r="6775" spans="1:42" ht="14.5" x14ac:dyDescent="0.35">
      <c r="A6775" s="2" t="s">
        <v>44919</v>
      </c>
      <c r="B6775" s="2">
        <v>389.05010514696397</v>
      </c>
      <c r="C6775" s="2">
        <v>2.1067666666666698</v>
      </c>
      <c r="D6775" s="2" t="s">
        <v>34</v>
      </c>
      <c r="E6775" s="2" t="s">
        <v>44920</v>
      </c>
      <c r="F6775" s="2">
        <v>29727</v>
      </c>
      <c r="G6775" s="3" t="str">
        <f>HYPERLINK("http://funmeta.oebiotech.com/network/29727", "http://funmeta.oebiotech.com/network/29727")</f>
        <v>http://funmeta.oebiotech.com/network/29727</v>
      </c>
      <c r="H6775" s="2"/>
      <c r="I6775" s="2">
        <v>48089</v>
      </c>
      <c r="J6775" s="2" t="s">
        <v>44921</v>
      </c>
      <c r="K6775" s="2"/>
      <c r="L6775" s="2"/>
      <c r="M6775" s="2"/>
      <c r="N6775" s="2"/>
      <c r="O6775" s="2">
        <v>44257428</v>
      </c>
      <c r="P6775" s="2"/>
      <c r="Q6775" s="2" t="s">
        <v>44922</v>
      </c>
      <c r="R6775" s="2" t="s">
        <v>44923</v>
      </c>
      <c r="S6775" s="2" t="s">
        <v>115</v>
      </c>
      <c r="T6775" s="2" t="s">
        <v>1371</v>
      </c>
      <c r="U6775" s="2" t="s">
        <v>10759</v>
      </c>
      <c r="V6775" s="2" t="s">
        <v>59</v>
      </c>
      <c r="W6775" s="2">
        <v>36</v>
      </c>
      <c r="X6775" s="2">
        <v>0</v>
      </c>
      <c r="Y6775" s="2" t="s">
        <v>394</v>
      </c>
      <c r="Z6775" s="2" t="s">
        <v>44924</v>
      </c>
      <c r="AA6775" s="2">
        <v>-0.56144666999070802</v>
      </c>
      <c r="AB6775" s="2">
        <v>1.30750396219667E-2</v>
      </c>
      <c r="AC6775" s="2">
        <v>8153.2730851784299</v>
      </c>
      <c r="AD6775" s="2">
        <v>8042.4539808502705</v>
      </c>
      <c r="AE6775" s="2">
        <v>8571.5991537356495</v>
      </c>
      <c r="AF6775" s="2">
        <v>7509.98952477285</v>
      </c>
      <c r="AG6775" s="2">
        <v>8081.9477668259997</v>
      </c>
      <c r="AH6775" s="2">
        <v>7881.93661764836</v>
      </c>
      <c r="AI6775" s="2">
        <v>7800.4476682594304</v>
      </c>
      <c r="AJ6775" s="2">
        <v>9073.7177798283101</v>
      </c>
      <c r="AK6775" s="2">
        <v>8429.7372973961392</v>
      </c>
      <c r="AL6775" s="2">
        <v>7206.1489088431099</v>
      </c>
      <c r="AM6775" s="2">
        <v>7632.7606057314097</v>
      </c>
      <c r="AN6775" s="2">
        <v>8057.3638407721301</v>
      </c>
      <c r="AO6775" s="2">
        <v>7882.1081840563802</v>
      </c>
      <c r="AP6775" s="2">
        <v>9046.6050483024501</v>
      </c>
    </row>
    <row r="6776" spans="1:42" ht="14.5" x14ac:dyDescent="0.35">
      <c r="A6776" s="2" t="s">
        <v>44925</v>
      </c>
      <c r="B6776" s="2">
        <v>437.07289082340401</v>
      </c>
      <c r="C6776" s="2">
        <v>3.7870499999999998</v>
      </c>
      <c r="D6776" s="2" t="s">
        <v>70</v>
      </c>
      <c r="E6776" s="2" t="s">
        <v>44926</v>
      </c>
      <c r="F6776" s="2">
        <v>33442</v>
      </c>
      <c r="G6776" s="3" t="str">
        <f>HYPERLINK("http://funmeta.oebiotech.com/network/33442", "http://funmeta.oebiotech.com/network/33442")</f>
        <v>http://funmeta.oebiotech.com/network/33442</v>
      </c>
      <c r="H6776" s="2"/>
      <c r="I6776" s="2">
        <v>51769</v>
      </c>
      <c r="J6776" s="2" t="s">
        <v>44927</v>
      </c>
      <c r="K6776" s="2"/>
      <c r="L6776" s="2"/>
      <c r="M6776" s="2"/>
      <c r="N6776" s="2"/>
      <c r="O6776" s="2">
        <v>11383767</v>
      </c>
      <c r="P6776" s="2"/>
      <c r="Q6776" s="2" t="s">
        <v>44928</v>
      </c>
      <c r="R6776" s="2" t="s">
        <v>44929</v>
      </c>
      <c r="S6776" s="2" t="s">
        <v>115</v>
      </c>
      <c r="T6776" s="2" t="s">
        <v>139</v>
      </c>
      <c r="U6776" s="2" t="s">
        <v>1552</v>
      </c>
      <c r="V6776" s="2" t="s">
        <v>59</v>
      </c>
      <c r="W6776" s="2">
        <v>38.299999999999997</v>
      </c>
      <c r="X6776" s="2">
        <v>0</v>
      </c>
      <c r="Y6776" s="2" t="s">
        <v>408</v>
      </c>
      <c r="Z6776" s="2" t="s">
        <v>44930</v>
      </c>
      <c r="AA6776" s="2">
        <v>0.87035708093087405</v>
      </c>
      <c r="AB6776" s="2">
        <v>1.3057860237407799E-2</v>
      </c>
      <c r="AC6776" s="2">
        <v>1754.7992075479699</v>
      </c>
      <c r="AD6776" s="2">
        <v>1849.7752060453099</v>
      </c>
      <c r="AE6776" s="2">
        <v>2057.7147454958799</v>
      </c>
      <c r="AF6776" s="2">
        <v>1863.3722339508899</v>
      </c>
      <c r="AG6776" s="2">
        <v>1696.2265183171701</v>
      </c>
      <c r="AH6776" s="2">
        <v>2362.6051255229499</v>
      </c>
      <c r="AI6776" s="2">
        <v>1274.9085662653899</v>
      </c>
      <c r="AJ6776" s="2">
        <v>1273.96805573554</v>
      </c>
      <c r="AK6776" s="2">
        <v>1941.00494055166</v>
      </c>
      <c r="AL6776" s="2">
        <v>1122.83513682586</v>
      </c>
      <c r="AM6776" s="2">
        <v>1920.6334226368299</v>
      </c>
      <c r="AN6776" s="2">
        <v>2503.2031419975701</v>
      </c>
      <c r="AO6776" s="2">
        <v>1764.80763335912</v>
      </c>
      <c r="AP6776" s="2">
        <v>1846.16696090082</v>
      </c>
    </row>
    <row r="6777" spans="1:42" ht="14.5" x14ac:dyDescent="0.35">
      <c r="A6777" s="2" t="s">
        <v>44931</v>
      </c>
      <c r="B6777" s="2">
        <v>127.11165567582999</v>
      </c>
      <c r="C6777" s="2">
        <v>4.5826500000000001</v>
      </c>
      <c r="D6777" s="2" t="s">
        <v>34</v>
      </c>
      <c r="E6777" s="2" t="s">
        <v>44932</v>
      </c>
      <c r="F6777" s="2">
        <v>55</v>
      </c>
      <c r="G6777" s="3" t="str">
        <f>HYPERLINK("http://funmeta.oebiotech.com/network/55", "http://funmeta.oebiotech.com/network/55")</f>
        <v>http://funmeta.oebiotech.com/network/55</v>
      </c>
      <c r="H6777" s="2" t="s">
        <v>44933</v>
      </c>
      <c r="I6777" s="2">
        <v>112</v>
      </c>
      <c r="J6777" s="2" t="s">
        <v>44934</v>
      </c>
      <c r="K6777" s="2">
        <v>28837</v>
      </c>
      <c r="L6777" s="2" t="s">
        <v>44935</v>
      </c>
      <c r="M6777" s="2" t="s">
        <v>44936</v>
      </c>
      <c r="N6777" s="2" t="s">
        <v>44937</v>
      </c>
      <c r="O6777" s="2">
        <v>379</v>
      </c>
      <c r="P6777" s="2" t="s">
        <v>44938</v>
      </c>
      <c r="Q6777" s="2" t="s">
        <v>44939</v>
      </c>
      <c r="R6777" s="2" t="s">
        <v>44940</v>
      </c>
      <c r="S6777" s="2" t="s">
        <v>50</v>
      </c>
      <c r="T6777" s="2" t="s">
        <v>229</v>
      </c>
      <c r="U6777" s="2" t="s">
        <v>433</v>
      </c>
      <c r="V6777" s="2" t="s">
        <v>59</v>
      </c>
      <c r="W6777" s="2">
        <v>39</v>
      </c>
      <c r="X6777" s="2">
        <v>0</v>
      </c>
      <c r="Y6777" s="2" t="s">
        <v>141</v>
      </c>
      <c r="Z6777" s="2" t="s">
        <v>28611</v>
      </c>
      <c r="AA6777" s="2">
        <v>-0.59554100986652903</v>
      </c>
      <c r="AB6777" s="2">
        <v>1.30489238601209E-2</v>
      </c>
      <c r="AC6777" s="2">
        <v>2388.8924542008499</v>
      </c>
      <c r="AD6777" s="2">
        <v>2483.6846084950898</v>
      </c>
      <c r="AE6777" s="2">
        <v>2048.89248507927</v>
      </c>
      <c r="AF6777" s="2">
        <v>2431.23184699386</v>
      </c>
      <c r="AG6777" s="2">
        <v>1875.5769623687199</v>
      </c>
      <c r="AH6777" s="2">
        <v>2187.8856222661302</v>
      </c>
      <c r="AI6777" s="2">
        <v>2434.35032875669</v>
      </c>
      <c r="AJ6777" s="2">
        <v>3355.4174797404598</v>
      </c>
      <c r="AK6777" s="2">
        <v>2351.90773435044</v>
      </c>
      <c r="AL6777" s="2">
        <v>3027.8933763662899</v>
      </c>
      <c r="AM6777" s="2">
        <v>2334.6544385471002</v>
      </c>
      <c r="AN6777" s="2">
        <v>2700.5082280857901</v>
      </c>
      <c r="AO6777" s="2">
        <v>2505.0205603545301</v>
      </c>
      <c r="AP6777" s="2">
        <v>1982.1233132664199</v>
      </c>
    </row>
    <row r="6778" spans="1:42" ht="14.5" x14ac:dyDescent="0.35">
      <c r="A6778" s="2" t="s">
        <v>44941</v>
      </c>
      <c r="B6778" s="2">
        <v>266.128655761076</v>
      </c>
      <c r="C6778" s="2">
        <v>8.2129499999999993</v>
      </c>
      <c r="D6778" s="2" t="s">
        <v>34</v>
      </c>
      <c r="E6778" s="2" t="s">
        <v>44942</v>
      </c>
      <c r="F6778" s="2">
        <v>212045</v>
      </c>
      <c r="G6778" s="3" t="str">
        <f>HYPERLINK("http://funmeta.oebiotech.com/network/212045", "http://funmeta.oebiotech.com/network/212045")</f>
        <v>http://funmeta.oebiotech.com/network/212045</v>
      </c>
      <c r="H6778" s="2" t="s">
        <v>44943</v>
      </c>
      <c r="I6778" s="2">
        <v>73204</v>
      </c>
      <c r="J6778" s="2"/>
      <c r="K6778" s="2"/>
      <c r="L6778" s="2" t="s">
        <v>44944</v>
      </c>
      <c r="M6778" s="2" t="s">
        <v>44945</v>
      </c>
      <c r="N6778" s="2" t="s">
        <v>44946</v>
      </c>
      <c r="O6778" s="2">
        <v>13297</v>
      </c>
      <c r="P6778" s="2" t="s">
        <v>44947</v>
      </c>
      <c r="Q6778" s="2" t="s">
        <v>44948</v>
      </c>
      <c r="R6778" s="2" t="s">
        <v>44949</v>
      </c>
      <c r="S6778" s="2" t="s">
        <v>148</v>
      </c>
      <c r="T6778" s="2" t="s">
        <v>6221</v>
      </c>
      <c r="U6778" s="2" t="s">
        <v>20983</v>
      </c>
      <c r="V6778" s="2" t="s">
        <v>59</v>
      </c>
      <c r="W6778" s="2">
        <v>37.1</v>
      </c>
      <c r="X6778" s="2">
        <v>0</v>
      </c>
      <c r="Y6778" s="2" t="s">
        <v>43</v>
      </c>
      <c r="Z6778" s="2" t="s">
        <v>44950</v>
      </c>
      <c r="AA6778" s="2">
        <v>-0.53521007492212502</v>
      </c>
      <c r="AB6778" s="2">
        <v>1.3039465952828301E-2</v>
      </c>
      <c r="AC6778" s="2">
        <v>2053.4168947304502</v>
      </c>
      <c r="AD6778" s="2">
        <v>2154.12233535104</v>
      </c>
      <c r="AE6778" s="2">
        <v>2045.7416416462399</v>
      </c>
      <c r="AF6778" s="2">
        <v>2048.9628408117001</v>
      </c>
      <c r="AG6778" s="2">
        <v>1912.47583736451</v>
      </c>
      <c r="AH6778" s="2">
        <v>2292.6282244236299</v>
      </c>
      <c r="AI6778" s="2">
        <v>2189.9355551191902</v>
      </c>
      <c r="AJ6778" s="2">
        <v>1830.75726901744</v>
      </c>
      <c r="AK6778" s="2">
        <v>2811.9559532767898</v>
      </c>
      <c r="AL6778" s="2">
        <v>2108.2717600227902</v>
      </c>
      <c r="AM6778" s="2">
        <v>1694.52046768215</v>
      </c>
      <c r="AN6778" s="2">
        <v>1522.1499584953001</v>
      </c>
      <c r="AO6778" s="2">
        <v>1704.12165851229</v>
      </c>
      <c r="AP6778" s="2">
        <v>3083.7142141169402</v>
      </c>
    </row>
    <row r="6779" spans="1:42" ht="14.5" x14ac:dyDescent="0.35">
      <c r="A6779" s="2" t="s">
        <v>44951</v>
      </c>
      <c r="B6779" s="2">
        <v>510.96932309768601</v>
      </c>
      <c r="C6779" s="2">
        <v>1.2602</v>
      </c>
      <c r="D6779" s="2" t="s">
        <v>70</v>
      </c>
      <c r="E6779" s="2" t="s">
        <v>44952</v>
      </c>
      <c r="F6779" s="2">
        <v>82525</v>
      </c>
      <c r="G6779" s="3" t="str">
        <f>HYPERLINK("http://funmeta.oebiotech.com/network/82525", "http://funmeta.oebiotech.com/network/82525")</f>
        <v>http://funmeta.oebiotech.com/network/82525</v>
      </c>
      <c r="H6779" s="2" t="s">
        <v>44953</v>
      </c>
      <c r="I6779" s="2">
        <v>65843</v>
      </c>
      <c r="J6779" s="2"/>
      <c r="K6779" s="2"/>
      <c r="L6779" s="2" t="s">
        <v>44954</v>
      </c>
      <c r="M6779" s="2"/>
      <c r="N6779" s="2"/>
      <c r="O6779" s="2">
        <v>54676864</v>
      </c>
      <c r="P6779" s="2" t="s">
        <v>44955</v>
      </c>
      <c r="Q6779" s="2" t="s">
        <v>44956</v>
      </c>
      <c r="R6779" s="2" t="s">
        <v>44957</v>
      </c>
      <c r="S6779" s="2" t="s">
        <v>491</v>
      </c>
      <c r="T6779" s="2" t="s">
        <v>2321</v>
      </c>
      <c r="U6779" s="2" t="s">
        <v>2322</v>
      </c>
      <c r="V6779" s="2" t="s">
        <v>59</v>
      </c>
      <c r="W6779" s="2">
        <v>36.799999999999997</v>
      </c>
      <c r="X6779" s="2">
        <v>0</v>
      </c>
      <c r="Y6779" s="2" t="s">
        <v>560</v>
      </c>
      <c r="Z6779" s="2" t="s">
        <v>44958</v>
      </c>
      <c r="AA6779" s="2">
        <v>-2.3558355479301398</v>
      </c>
      <c r="AB6779" s="2">
        <v>1.3018272579351E-2</v>
      </c>
      <c r="AC6779" s="2">
        <v>729.64059638936601</v>
      </c>
      <c r="AD6779" s="2">
        <v>651.13322849475901</v>
      </c>
      <c r="AE6779" s="2">
        <v>1067.7367054463</v>
      </c>
      <c r="AF6779" s="2">
        <v>351.84081466794999</v>
      </c>
      <c r="AG6779" s="2">
        <v>1204.0823557118199</v>
      </c>
      <c r="AH6779" s="2">
        <v>338.568541370003</v>
      </c>
      <c r="AI6779" s="2">
        <v>815.75852239449796</v>
      </c>
      <c r="AJ6779" s="2">
        <v>599.85663874562601</v>
      </c>
      <c r="AK6779" s="2">
        <v>881.71222060437799</v>
      </c>
      <c r="AL6779" s="2">
        <v>969.62573191463196</v>
      </c>
      <c r="AM6779" s="2">
        <v>631.55061196864301</v>
      </c>
      <c r="AN6779" s="2">
        <v>651.94425401016395</v>
      </c>
      <c r="AO6779" s="2">
        <v>424.06577193204402</v>
      </c>
      <c r="AP6779" s="2">
        <v>347.90078053869303</v>
      </c>
    </row>
    <row r="6780" spans="1:42" ht="14.5" x14ac:dyDescent="0.35">
      <c r="A6780" s="2" t="s">
        <v>44959</v>
      </c>
      <c r="B6780" s="2">
        <v>795.413786820052</v>
      </c>
      <c r="C6780" s="2">
        <v>10.07465</v>
      </c>
      <c r="D6780" s="2" t="s">
        <v>34</v>
      </c>
      <c r="E6780" s="2" t="s">
        <v>44960</v>
      </c>
      <c r="F6780" s="2">
        <v>55691</v>
      </c>
      <c r="G6780" s="3" t="str">
        <f>HYPERLINK("http://funmeta.oebiotech.com/network/55691", "http://funmeta.oebiotech.com/network/55691")</f>
        <v>http://funmeta.oebiotech.com/network/55691</v>
      </c>
      <c r="H6780" s="2" t="s">
        <v>44961</v>
      </c>
      <c r="I6780" s="2">
        <v>87356</v>
      </c>
      <c r="J6780" s="2"/>
      <c r="K6780" s="2"/>
      <c r="L6780" s="2"/>
      <c r="M6780" s="2"/>
      <c r="N6780" s="2"/>
      <c r="O6780" s="2">
        <v>53463045</v>
      </c>
      <c r="P6780" s="2" t="s">
        <v>44962</v>
      </c>
      <c r="Q6780" s="2" t="s">
        <v>44963</v>
      </c>
      <c r="R6780" s="2" t="s">
        <v>44964</v>
      </c>
      <c r="S6780" s="2" t="s">
        <v>50</v>
      </c>
      <c r="T6780" s="2" t="s">
        <v>201</v>
      </c>
      <c r="U6780" s="2" t="s">
        <v>202</v>
      </c>
      <c r="V6780" s="2" t="s">
        <v>59</v>
      </c>
      <c r="W6780" s="2">
        <v>36.4</v>
      </c>
      <c r="X6780" s="2">
        <v>0</v>
      </c>
      <c r="Y6780" s="2" t="s">
        <v>1249</v>
      </c>
      <c r="Z6780" s="2" t="s">
        <v>44965</v>
      </c>
      <c r="AA6780" s="2">
        <v>-2.9718873656856899</v>
      </c>
      <c r="AB6780" s="2">
        <v>1.2950282628366901E-2</v>
      </c>
      <c r="AC6780" s="2">
        <v>12907.080714037</v>
      </c>
      <c r="AD6780" s="2">
        <v>13058.070939522901</v>
      </c>
      <c r="AE6780" s="2">
        <v>11765.7506775743</v>
      </c>
      <c r="AF6780" s="2">
        <v>13085.674637924099</v>
      </c>
      <c r="AG6780" s="2">
        <v>12718.2853643951</v>
      </c>
      <c r="AH6780" s="2">
        <v>12174.372386925101</v>
      </c>
      <c r="AI6780" s="2">
        <v>14003.5960993396</v>
      </c>
      <c r="AJ6780" s="2">
        <v>13694.805118063499</v>
      </c>
      <c r="AK6780" s="2">
        <v>13803.7521985772</v>
      </c>
      <c r="AL6780" s="2">
        <v>12217.3547546145</v>
      </c>
      <c r="AM6780" s="2">
        <v>13881.4734828892</v>
      </c>
      <c r="AN6780" s="2">
        <v>11001.3637896123</v>
      </c>
      <c r="AO6780" s="2">
        <v>15245.9218967498</v>
      </c>
      <c r="AP6780" s="2">
        <v>12198.5595146946</v>
      </c>
    </row>
    <row r="6781" spans="1:42" ht="14.5" x14ac:dyDescent="0.35">
      <c r="A6781" s="2" t="s">
        <v>44966</v>
      </c>
      <c r="B6781" s="2">
        <v>155.08145857434701</v>
      </c>
      <c r="C6781" s="2">
        <v>1.06171666666667</v>
      </c>
      <c r="D6781" s="2" t="s">
        <v>34</v>
      </c>
      <c r="E6781" s="2" t="s">
        <v>44967</v>
      </c>
      <c r="F6781" s="2">
        <v>207519</v>
      </c>
      <c r="G6781" s="3" t="str">
        <f>HYPERLINK("http://funmeta.oebiotech.com/network/207519", "http://funmeta.oebiotech.com/network/207519")</f>
        <v>http://funmeta.oebiotech.com/network/207519</v>
      </c>
      <c r="H6781" s="2" t="s">
        <v>44968</v>
      </c>
      <c r="I6781" s="2">
        <v>985186</v>
      </c>
      <c r="J6781" s="2"/>
      <c r="K6781" s="2"/>
      <c r="L6781" s="2"/>
      <c r="M6781" s="2"/>
      <c r="N6781" s="2"/>
      <c r="O6781" s="2">
        <v>193540</v>
      </c>
      <c r="P6781" s="2"/>
      <c r="Q6781" s="2" t="s">
        <v>44969</v>
      </c>
      <c r="R6781" s="2" t="s">
        <v>44970</v>
      </c>
      <c r="S6781" s="2" t="s">
        <v>89</v>
      </c>
      <c r="T6781" s="2" t="s">
        <v>90</v>
      </c>
      <c r="U6781" s="2" t="s">
        <v>99</v>
      </c>
      <c r="V6781" s="2" t="s">
        <v>59</v>
      </c>
      <c r="W6781" s="2">
        <v>38.6</v>
      </c>
      <c r="X6781" s="2">
        <v>0</v>
      </c>
      <c r="Y6781" s="2" t="s">
        <v>266</v>
      </c>
      <c r="Z6781" s="2" t="s">
        <v>44971</v>
      </c>
      <c r="AA6781" s="2">
        <v>-0.294838879898144</v>
      </c>
      <c r="AB6781" s="2">
        <v>1.2839960199276799E-2</v>
      </c>
      <c r="AC6781" s="2">
        <v>2290.9221979031099</v>
      </c>
      <c r="AD6781" s="2">
        <v>2367.3922380594199</v>
      </c>
      <c r="AE6781" s="2">
        <v>1981.3209145444</v>
      </c>
      <c r="AF6781" s="2">
        <v>2487.4403524071599</v>
      </c>
      <c r="AG6781" s="2">
        <v>1787.6468269740301</v>
      </c>
      <c r="AH6781" s="2">
        <v>2584.2922713411699</v>
      </c>
      <c r="AI6781" s="2">
        <v>2621.46865459217</v>
      </c>
      <c r="AJ6781" s="2">
        <v>2283.36416755971</v>
      </c>
      <c r="AK6781" s="2">
        <v>2532.1976248411602</v>
      </c>
      <c r="AL6781" s="2">
        <v>2636.9980728607902</v>
      </c>
      <c r="AM6781" s="2">
        <v>2199.6757320255902</v>
      </c>
      <c r="AN6781" s="2">
        <v>2694.71965874029</v>
      </c>
      <c r="AO6781" s="2">
        <v>2101.0394861446398</v>
      </c>
      <c r="AP6781" s="2">
        <v>2039.7228537440601</v>
      </c>
    </row>
    <row r="6782" spans="1:42" ht="14.5" x14ac:dyDescent="0.35">
      <c r="A6782" s="2" t="s">
        <v>44972</v>
      </c>
      <c r="B6782" s="2">
        <v>281.17362825613498</v>
      </c>
      <c r="C6782" s="2">
        <v>10.93595</v>
      </c>
      <c r="D6782" s="2" t="s">
        <v>34</v>
      </c>
      <c r="E6782" s="2" t="s">
        <v>44973</v>
      </c>
      <c r="F6782" s="2">
        <v>2833</v>
      </c>
      <c r="G6782" s="3" t="str">
        <f>HYPERLINK("http://funmeta.oebiotech.com/network/2833", "http://funmeta.oebiotech.com/network/2833")</f>
        <v>http://funmeta.oebiotech.com/network/2833</v>
      </c>
      <c r="H6782" s="2" t="s">
        <v>44974</v>
      </c>
      <c r="I6782" s="2">
        <v>5833</v>
      </c>
      <c r="J6782" s="2" t="s">
        <v>44975</v>
      </c>
      <c r="K6782" s="2">
        <v>76308</v>
      </c>
      <c r="L6782" s="2" t="s">
        <v>44976</v>
      </c>
      <c r="M6782" s="2"/>
      <c r="N6782" s="2"/>
      <c r="O6782" s="2">
        <v>13185</v>
      </c>
      <c r="P6782" s="2" t="s">
        <v>44977</v>
      </c>
      <c r="Q6782" s="2" t="s">
        <v>44978</v>
      </c>
      <c r="R6782" s="2" t="s">
        <v>44979</v>
      </c>
      <c r="S6782" s="2" t="s">
        <v>50</v>
      </c>
      <c r="T6782" s="2" t="s">
        <v>229</v>
      </c>
      <c r="U6782" s="2" t="s">
        <v>433</v>
      </c>
      <c r="V6782" s="2" t="s">
        <v>59</v>
      </c>
      <c r="W6782" s="2">
        <v>37.1</v>
      </c>
      <c r="X6782" s="2">
        <v>0</v>
      </c>
      <c r="Y6782" s="2" t="s">
        <v>323</v>
      </c>
      <c r="Z6782" s="2" t="s">
        <v>44980</v>
      </c>
      <c r="AA6782" s="2">
        <v>5.02846246645605</v>
      </c>
      <c r="AB6782" s="2">
        <v>1.2833672757690101E-2</v>
      </c>
      <c r="AC6782" s="2">
        <v>1023.37720107065</v>
      </c>
      <c r="AD6782" s="2">
        <v>1078.0250052098199</v>
      </c>
      <c r="AE6782" s="2">
        <v>1016.2461916024</v>
      </c>
      <c r="AF6782" s="2">
        <v>1091.5089809614601</v>
      </c>
      <c r="AG6782" s="2">
        <v>983.21654960843</v>
      </c>
      <c r="AH6782" s="2">
        <v>1043.59095615155</v>
      </c>
      <c r="AI6782" s="2">
        <v>926.829306321648</v>
      </c>
      <c r="AJ6782" s="2">
        <v>1078.87122177842</v>
      </c>
      <c r="AK6782" s="2">
        <v>1042.06878716901</v>
      </c>
      <c r="AL6782" s="2">
        <v>1007.80498793426</v>
      </c>
      <c r="AM6782" s="2">
        <v>947.76831314602805</v>
      </c>
      <c r="AN6782" s="2">
        <v>1248.0692600193599</v>
      </c>
      <c r="AO6782" s="2">
        <v>1383.62891922529</v>
      </c>
      <c r="AP6782" s="2">
        <v>838.80976376498302</v>
      </c>
    </row>
    <row r="6783" spans="1:42" ht="14.5" x14ac:dyDescent="0.35">
      <c r="A6783" s="2" t="s">
        <v>44981</v>
      </c>
      <c r="B6783" s="2">
        <v>175.14803932175101</v>
      </c>
      <c r="C6783" s="2">
        <v>5.1048166666666699</v>
      </c>
      <c r="D6783" s="2" t="s">
        <v>34</v>
      </c>
      <c r="E6783" s="2" t="s">
        <v>44982</v>
      </c>
      <c r="F6783" s="2">
        <v>60361</v>
      </c>
      <c r="G6783" s="3" t="str">
        <f>HYPERLINK("http://funmeta.oebiotech.com/network/60361", "http://funmeta.oebiotech.com/network/60361")</f>
        <v>http://funmeta.oebiotech.com/network/60361</v>
      </c>
      <c r="H6783" s="2" t="s">
        <v>44983</v>
      </c>
      <c r="I6783" s="2">
        <v>91720</v>
      </c>
      <c r="J6783" s="2"/>
      <c r="K6783" s="2"/>
      <c r="L6783" s="2"/>
      <c r="M6783" s="2"/>
      <c r="N6783" s="2"/>
      <c r="O6783" s="2">
        <v>528761</v>
      </c>
      <c r="P6783" s="2" t="s">
        <v>44984</v>
      </c>
      <c r="Q6783" s="2" t="s">
        <v>44985</v>
      </c>
      <c r="R6783" s="2" t="s">
        <v>44986</v>
      </c>
      <c r="S6783" s="2" t="s">
        <v>3194</v>
      </c>
      <c r="T6783" s="2" t="s">
        <v>3195</v>
      </c>
      <c r="U6783" s="2" t="s">
        <v>14309</v>
      </c>
      <c r="V6783" s="2" t="s">
        <v>59</v>
      </c>
      <c r="W6783" s="2">
        <v>38.799999999999997</v>
      </c>
      <c r="X6783" s="2">
        <v>0</v>
      </c>
      <c r="Y6783" s="2" t="s">
        <v>394</v>
      </c>
      <c r="Z6783" s="2" t="s">
        <v>44987</v>
      </c>
      <c r="AA6783" s="2">
        <v>-0.50354358926599196</v>
      </c>
      <c r="AB6783" s="2">
        <v>1.27612230556963E-2</v>
      </c>
      <c r="AC6783" s="2">
        <v>18845.462747163601</v>
      </c>
      <c r="AD6783" s="2">
        <v>18989.4266341088</v>
      </c>
      <c r="AE6783" s="2">
        <v>17848.695535356699</v>
      </c>
      <c r="AF6783" s="2">
        <v>18083.212575856</v>
      </c>
      <c r="AG6783" s="2">
        <v>20251.919079349002</v>
      </c>
      <c r="AH6783" s="2">
        <v>17630.264532503599</v>
      </c>
      <c r="AI6783" s="2">
        <v>18855.781341341401</v>
      </c>
      <c r="AJ6783" s="2">
        <v>20402.903418574799</v>
      </c>
      <c r="AK6783" s="2">
        <v>17771.478408660601</v>
      </c>
      <c r="AL6783" s="2">
        <v>18656.860873109501</v>
      </c>
      <c r="AM6783" s="2">
        <v>18755.940627793301</v>
      </c>
      <c r="AN6783" s="2">
        <v>19997.6471276265</v>
      </c>
      <c r="AO6783" s="2">
        <v>18488.932293906601</v>
      </c>
      <c r="AP6783" s="2">
        <v>20265.700473556099</v>
      </c>
    </row>
    <row r="6784" spans="1:42" ht="14.5" x14ac:dyDescent="0.35">
      <c r="A6784" s="2" t="s">
        <v>44988</v>
      </c>
      <c r="B6784" s="2">
        <v>220.117864143416</v>
      </c>
      <c r="C6784" s="2">
        <v>0.78071666666666695</v>
      </c>
      <c r="D6784" s="2" t="s">
        <v>34</v>
      </c>
      <c r="E6784" s="2" t="s">
        <v>44989</v>
      </c>
      <c r="F6784" s="2">
        <v>56688</v>
      </c>
      <c r="G6784" s="3" t="str">
        <f>HYPERLINK("http://funmeta.oebiotech.com/network/56688", "http://funmeta.oebiotech.com/network/56688")</f>
        <v>http://funmeta.oebiotech.com/network/56688</v>
      </c>
      <c r="H6784" s="2" t="s">
        <v>44990</v>
      </c>
      <c r="I6784" s="2">
        <v>44744</v>
      </c>
      <c r="J6784" s="2"/>
      <c r="K6784" s="2">
        <v>16879</v>
      </c>
      <c r="L6784" s="2" t="s">
        <v>44991</v>
      </c>
      <c r="M6784" s="2"/>
      <c r="N6784" s="2"/>
      <c r="O6784" s="2">
        <v>97750</v>
      </c>
      <c r="P6784" s="2" t="s">
        <v>44992</v>
      </c>
      <c r="Q6784" s="2" t="s">
        <v>44993</v>
      </c>
      <c r="R6784" s="2" t="s">
        <v>44994</v>
      </c>
      <c r="S6784" s="2" t="s">
        <v>89</v>
      </c>
      <c r="T6784" s="2" t="s">
        <v>2718</v>
      </c>
      <c r="U6784" s="2" t="s">
        <v>2719</v>
      </c>
      <c r="V6784" s="2" t="s">
        <v>59</v>
      </c>
      <c r="W6784" s="2">
        <v>38.799999999999997</v>
      </c>
      <c r="X6784" s="2">
        <v>0</v>
      </c>
      <c r="Y6784" s="2" t="s">
        <v>43</v>
      </c>
      <c r="Z6784" s="2" t="s">
        <v>44995</v>
      </c>
      <c r="AA6784" s="2">
        <v>-0.420287168823822</v>
      </c>
      <c r="AB6784" s="2">
        <v>1.27497645332997E-2</v>
      </c>
      <c r="AC6784" s="2">
        <v>24744.469028089399</v>
      </c>
      <c r="AD6784" s="2">
        <v>24892.289473439701</v>
      </c>
      <c r="AE6784" s="2">
        <v>22211.486590319801</v>
      </c>
      <c r="AF6784" s="2">
        <v>25936.2646061739</v>
      </c>
      <c r="AG6784" s="2">
        <v>24521.641378235399</v>
      </c>
      <c r="AH6784" s="2">
        <v>25669.950544777701</v>
      </c>
      <c r="AI6784" s="2">
        <v>25571.649275704702</v>
      </c>
      <c r="AJ6784" s="2">
        <v>24555.821773324999</v>
      </c>
      <c r="AK6784" s="2">
        <v>25901.7936032668</v>
      </c>
      <c r="AL6784" s="2">
        <v>25322.866444188701</v>
      </c>
      <c r="AM6784" s="2">
        <v>24439.698919975501</v>
      </c>
      <c r="AN6784" s="2">
        <v>25973.4446575035</v>
      </c>
      <c r="AO6784" s="2">
        <v>24575.642175688401</v>
      </c>
      <c r="AP6784" s="2">
        <v>23140.291040014999</v>
      </c>
    </row>
    <row r="6785" spans="1:42" ht="14.5" x14ac:dyDescent="0.35">
      <c r="A6785" s="2" t="s">
        <v>44996</v>
      </c>
      <c r="B6785" s="2">
        <v>855.34204772990597</v>
      </c>
      <c r="C6785" s="2">
        <v>10.1634333333333</v>
      </c>
      <c r="D6785" s="2" t="s">
        <v>70</v>
      </c>
      <c r="E6785" s="2" t="s">
        <v>44997</v>
      </c>
      <c r="F6785" s="2">
        <v>274612</v>
      </c>
      <c r="G6785" s="3" t="str">
        <f>HYPERLINK("http://funmeta.oebiotech.com/network/274612", "http://funmeta.oebiotech.com/network/274612")</f>
        <v>http://funmeta.oebiotech.com/network/274612</v>
      </c>
      <c r="H6785" s="2"/>
      <c r="I6785" s="2">
        <v>64728</v>
      </c>
      <c r="J6785" s="2"/>
      <c r="K6785" s="2"/>
      <c r="L6785" s="2"/>
      <c r="M6785" s="2"/>
      <c r="N6785" s="2"/>
      <c r="O6785" s="2">
        <v>24768261</v>
      </c>
      <c r="P6785" s="2" t="s">
        <v>44998</v>
      </c>
      <c r="Q6785" s="2" t="s">
        <v>44999</v>
      </c>
      <c r="R6785" s="2" t="s">
        <v>45000</v>
      </c>
      <c r="S6785" s="2" t="s">
        <v>79</v>
      </c>
      <c r="T6785" s="2" t="s">
        <v>80</v>
      </c>
      <c r="U6785" s="2" t="s">
        <v>2820</v>
      </c>
      <c r="V6785" s="2" t="s">
        <v>59</v>
      </c>
      <c r="W6785" s="2">
        <v>37.6</v>
      </c>
      <c r="X6785" s="2">
        <v>0</v>
      </c>
      <c r="Y6785" s="2" t="s">
        <v>560</v>
      </c>
      <c r="Z6785" s="2" t="s">
        <v>45001</v>
      </c>
      <c r="AA6785" s="2">
        <v>2.4635414589195599</v>
      </c>
      <c r="AB6785" s="2">
        <v>1.2707744236373599E-2</v>
      </c>
      <c r="AC6785" s="2">
        <v>5867.3266115205897</v>
      </c>
      <c r="AD6785" s="2">
        <v>5721.5022408996501</v>
      </c>
      <c r="AE6785" s="2">
        <v>4936.7668480447901</v>
      </c>
      <c r="AF6785" s="2">
        <v>5547.2814541151602</v>
      </c>
      <c r="AG6785" s="2">
        <v>4785.0176345931104</v>
      </c>
      <c r="AH6785" s="2">
        <v>7238.12281527093</v>
      </c>
      <c r="AI6785" s="2">
        <v>5678.5456502726802</v>
      </c>
      <c r="AJ6785" s="2">
        <v>7018.2252668268702</v>
      </c>
      <c r="AK6785" s="2">
        <v>5248.2384075671798</v>
      </c>
      <c r="AL6785" s="2">
        <v>7168.7859692573602</v>
      </c>
      <c r="AM6785" s="2">
        <v>4456.3839247813803</v>
      </c>
      <c r="AN6785" s="2">
        <v>6986.5374601006097</v>
      </c>
      <c r="AO6785" s="2">
        <v>5479.1005952267697</v>
      </c>
      <c r="AP6785" s="2">
        <v>4989.9670884646102</v>
      </c>
    </row>
    <row r="6786" spans="1:42" ht="14.5" x14ac:dyDescent="0.35">
      <c r="A6786" s="2" t="s">
        <v>45002</v>
      </c>
      <c r="B6786" s="2">
        <v>341.06157039965501</v>
      </c>
      <c r="C6786" s="2">
        <v>7.88835</v>
      </c>
      <c r="D6786" s="2" t="s">
        <v>70</v>
      </c>
      <c r="E6786" s="2" t="s">
        <v>45003</v>
      </c>
      <c r="F6786" s="2">
        <v>201841</v>
      </c>
      <c r="G6786" s="3" t="str">
        <f>HYPERLINK("http://funmeta.oebiotech.com/network/201841", "http://funmeta.oebiotech.com/network/201841")</f>
        <v>http://funmeta.oebiotech.com/network/201841</v>
      </c>
      <c r="H6786" s="2" t="s">
        <v>45004</v>
      </c>
      <c r="I6786" s="2">
        <v>70041</v>
      </c>
      <c r="J6786" s="2"/>
      <c r="K6786" s="2">
        <v>34435</v>
      </c>
      <c r="L6786" s="2" t="s">
        <v>45005</v>
      </c>
      <c r="M6786" s="2"/>
      <c r="N6786" s="2"/>
      <c r="O6786" s="2">
        <v>6269</v>
      </c>
      <c r="P6786" s="2" t="s">
        <v>45006</v>
      </c>
      <c r="Q6786" s="2" t="s">
        <v>45007</v>
      </c>
      <c r="R6786" s="2" t="s">
        <v>45008</v>
      </c>
      <c r="S6786" s="2" t="s">
        <v>148</v>
      </c>
      <c r="T6786" s="2" t="s">
        <v>149</v>
      </c>
      <c r="U6786" s="2" t="s">
        <v>21041</v>
      </c>
      <c r="V6786" s="2" t="s">
        <v>59</v>
      </c>
      <c r="W6786" s="2">
        <v>38.299999999999997</v>
      </c>
      <c r="X6786" s="2">
        <v>0</v>
      </c>
      <c r="Y6786" s="2" t="s">
        <v>560</v>
      </c>
      <c r="Z6786" s="2" t="s">
        <v>45009</v>
      </c>
      <c r="AA6786" s="2">
        <v>-5.7071034723619603</v>
      </c>
      <c r="AB6786" s="2">
        <v>1.2706696355301901E-2</v>
      </c>
      <c r="AC6786" s="2">
        <v>4503.1897527815199</v>
      </c>
      <c r="AD6786" s="2">
        <v>4586.7396136094303</v>
      </c>
      <c r="AE6786" s="2">
        <v>4154.74957335622</v>
      </c>
      <c r="AF6786" s="2">
        <v>4586.2289731110404</v>
      </c>
      <c r="AG6786" s="2">
        <v>4936.8442628032299</v>
      </c>
      <c r="AH6786" s="2">
        <v>4274.7505489297</v>
      </c>
      <c r="AI6786" s="2">
        <v>4454.5030110649705</v>
      </c>
      <c r="AJ6786" s="2">
        <v>4612.0621474239797</v>
      </c>
      <c r="AK6786" s="2">
        <v>4969.7862647088996</v>
      </c>
      <c r="AL6786" s="2">
        <v>4992.4465857837204</v>
      </c>
      <c r="AM6786" s="2">
        <v>4381.7157760499204</v>
      </c>
      <c r="AN6786" s="2">
        <v>4016.0488297117799</v>
      </c>
      <c r="AO6786" s="2">
        <v>4646.6908802956796</v>
      </c>
      <c r="AP6786" s="2">
        <v>4513.7493451065902</v>
      </c>
    </row>
    <row r="6787" spans="1:42" ht="14.5" x14ac:dyDescent="0.35">
      <c r="A6787" s="2" t="s">
        <v>45010</v>
      </c>
      <c r="B6787" s="2">
        <v>401.09340517330298</v>
      </c>
      <c r="C6787" s="2">
        <v>0.75453333333333295</v>
      </c>
      <c r="D6787" s="2" t="s">
        <v>70</v>
      </c>
      <c r="E6787" s="2" t="s">
        <v>45011</v>
      </c>
      <c r="F6787" s="2">
        <v>212590</v>
      </c>
      <c r="G6787" s="3" t="str">
        <f>HYPERLINK("http://funmeta.oebiotech.com/network/212590", "http://funmeta.oebiotech.com/network/212590")</f>
        <v>http://funmeta.oebiotech.com/network/212590</v>
      </c>
      <c r="H6787" s="2" t="s">
        <v>45012</v>
      </c>
      <c r="I6787" s="2"/>
      <c r="J6787" s="2"/>
      <c r="K6787" s="2"/>
      <c r="L6787" s="2"/>
      <c r="M6787" s="2"/>
      <c r="N6787" s="2"/>
      <c r="O6787" s="2">
        <v>13296071</v>
      </c>
      <c r="P6787" s="2"/>
      <c r="Q6787" s="2" t="s">
        <v>45013</v>
      </c>
      <c r="R6787" s="2" t="s">
        <v>45014</v>
      </c>
      <c r="S6787" s="2" t="s">
        <v>41</v>
      </c>
      <c r="T6787" s="2" t="s">
        <v>41</v>
      </c>
      <c r="U6787" s="2" t="s">
        <v>41</v>
      </c>
      <c r="V6787" s="2" t="s">
        <v>59</v>
      </c>
      <c r="W6787" s="2">
        <v>38.9</v>
      </c>
      <c r="X6787" s="2">
        <v>0</v>
      </c>
      <c r="Y6787" s="2" t="s">
        <v>560</v>
      </c>
      <c r="Z6787" s="2" t="s">
        <v>45015</v>
      </c>
      <c r="AA6787" s="2">
        <v>-3.9807620779383202</v>
      </c>
      <c r="AB6787" s="2">
        <v>1.27058574037507E-2</v>
      </c>
      <c r="AC6787" s="2">
        <v>28782.1036107406</v>
      </c>
      <c r="AD6787" s="2">
        <v>28406.0625709003</v>
      </c>
      <c r="AE6787" s="2">
        <v>31706.4787474068</v>
      </c>
      <c r="AF6787" s="2">
        <v>23668.1290617952</v>
      </c>
      <c r="AG6787" s="2">
        <v>23150.4886348908</v>
      </c>
      <c r="AH6787" s="2">
        <v>36099.040078883503</v>
      </c>
      <c r="AI6787" s="2">
        <v>21834.169493402202</v>
      </c>
      <c r="AJ6787" s="2">
        <v>36234.315648065203</v>
      </c>
      <c r="AK6787" s="2">
        <v>34136.044566285003</v>
      </c>
      <c r="AL6787" s="2">
        <v>23169.7199504284</v>
      </c>
      <c r="AM6787" s="2">
        <v>41401.720116774297</v>
      </c>
      <c r="AN6787" s="2">
        <v>23585.9051591965</v>
      </c>
      <c r="AO6787" s="2">
        <v>29649.520518070902</v>
      </c>
      <c r="AP6787" s="2">
        <v>18493.465114646799</v>
      </c>
    </row>
    <row r="6788" spans="1:42" ht="14.5" x14ac:dyDescent="0.35">
      <c r="A6788" s="2" t="s">
        <v>45016</v>
      </c>
      <c r="B6788" s="2">
        <v>314.341386134049</v>
      </c>
      <c r="C6788" s="2">
        <v>10.7167833333333</v>
      </c>
      <c r="D6788" s="2" t="s">
        <v>34</v>
      </c>
      <c r="E6788" s="2" t="s">
        <v>45017</v>
      </c>
      <c r="F6788" s="2">
        <v>35825</v>
      </c>
      <c r="G6788" s="3" t="str">
        <f>HYPERLINK("http://funmeta.oebiotech.com/network/35825", "http://funmeta.oebiotech.com/network/35825")</f>
        <v>http://funmeta.oebiotech.com/network/35825</v>
      </c>
      <c r="H6788" s="2" t="s">
        <v>45018</v>
      </c>
      <c r="I6788" s="2">
        <v>391</v>
      </c>
      <c r="J6788" s="2" t="s">
        <v>45019</v>
      </c>
      <c r="K6788" s="2">
        <v>17327</v>
      </c>
      <c r="L6788" s="2" t="s">
        <v>45020</v>
      </c>
      <c r="M6788" s="2"/>
      <c r="N6788" s="2"/>
      <c r="O6788" s="2">
        <v>5280435</v>
      </c>
      <c r="P6788" s="2" t="s">
        <v>45021</v>
      </c>
      <c r="Q6788" s="2" t="s">
        <v>45022</v>
      </c>
      <c r="R6788" s="2" t="s">
        <v>45023</v>
      </c>
      <c r="S6788" s="2" t="s">
        <v>50</v>
      </c>
      <c r="T6788" s="2" t="s">
        <v>201</v>
      </c>
      <c r="U6788" s="2" t="s">
        <v>241</v>
      </c>
      <c r="V6788" s="2" t="s">
        <v>59</v>
      </c>
      <c r="W6788" s="2">
        <v>38.799999999999997</v>
      </c>
      <c r="X6788" s="2">
        <v>0</v>
      </c>
      <c r="Y6788" s="2" t="s">
        <v>43</v>
      </c>
      <c r="Z6788" s="2" t="s">
        <v>20593</v>
      </c>
      <c r="AA6788" s="2">
        <v>-1.1990847764230299</v>
      </c>
      <c r="AB6788" s="2">
        <v>1.26881348485134E-2</v>
      </c>
      <c r="AC6788" s="2">
        <v>4112.5911497398101</v>
      </c>
      <c r="AD6788" s="2">
        <v>4237.51348049845</v>
      </c>
      <c r="AE6788" s="2">
        <v>3494.05120478667</v>
      </c>
      <c r="AF6788" s="2">
        <v>4066.7876748991898</v>
      </c>
      <c r="AG6788" s="2">
        <v>3642.0411265817002</v>
      </c>
      <c r="AH6788" s="2">
        <v>5038.7054584910302</v>
      </c>
      <c r="AI6788" s="2">
        <v>3758.1924909393601</v>
      </c>
      <c r="AJ6788" s="2">
        <v>4675.7689427408995</v>
      </c>
      <c r="AK6788" s="2">
        <v>2992.25876176252</v>
      </c>
      <c r="AL6788" s="2">
        <v>3893.3180393593102</v>
      </c>
      <c r="AM6788" s="2">
        <v>3613.8757332902201</v>
      </c>
      <c r="AN6788" s="2">
        <v>6149.76157066631</v>
      </c>
      <c r="AO6788" s="2">
        <v>4513.69987273283</v>
      </c>
      <c r="AP6788" s="2">
        <v>4262.1669051794997</v>
      </c>
    </row>
    <row r="6789" spans="1:42" ht="14.5" x14ac:dyDescent="0.35">
      <c r="A6789" s="2" t="s">
        <v>45024</v>
      </c>
      <c r="B6789" s="2">
        <v>467.13441549616698</v>
      </c>
      <c r="C6789" s="2">
        <v>4.9873666666666701</v>
      </c>
      <c r="D6789" s="2" t="s">
        <v>70</v>
      </c>
      <c r="E6789" s="2" t="s">
        <v>45025</v>
      </c>
      <c r="F6789" s="2">
        <v>34393</v>
      </c>
      <c r="G6789" s="3" t="str">
        <f>HYPERLINK("http://funmeta.oebiotech.com/network/34393", "http://funmeta.oebiotech.com/network/34393")</f>
        <v>http://funmeta.oebiotech.com/network/34393</v>
      </c>
      <c r="H6789" s="2"/>
      <c r="I6789" s="2">
        <v>52701</v>
      </c>
      <c r="J6789" s="2" t="s">
        <v>45026</v>
      </c>
      <c r="K6789" s="2"/>
      <c r="L6789" s="2"/>
      <c r="M6789" s="2"/>
      <c r="N6789" s="2"/>
      <c r="O6789" s="2">
        <v>54747186</v>
      </c>
      <c r="P6789" s="2"/>
      <c r="Q6789" s="2" t="s">
        <v>45027</v>
      </c>
      <c r="R6789" s="2" t="s">
        <v>45028</v>
      </c>
      <c r="S6789" s="2" t="s">
        <v>115</v>
      </c>
      <c r="T6789" s="2" t="s">
        <v>139</v>
      </c>
      <c r="U6789" s="2" t="s">
        <v>1437</v>
      </c>
      <c r="V6789" s="2" t="s">
        <v>59</v>
      </c>
      <c r="W6789" s="2">
        <v>45</v>
      </c>
      <c r="X6789" s="2">
        <v>31.8</v>
      </c>
      <c r="Y6789" s="2" t="s">
        <v>408</v>
      </c>
      <c r="Z6789" s="2" t="s">
        <v>45029</v>
      </c>
      <c r="AA6789" s="2">
        <v>-0.80641273669895697</v>
      </c>
      <c r="AB6789" s="2">
        <v>1.2675728817261899E-2</v>
      </c>
      <c r="AC6789" s="2">
        <v>32343.4343298001</v>
      </c>
      <c r="AD6789" s="2">
        <v>32546.341832273501</v>
      </c>
      <c r="AE6789" s="2">
        <v>33101.7477840953</v>
      </c>
      <c r="AF6789" s="2">
        <v>29903.493779052402</v>
      </c>
      <c r="AG6789" s="2">
        <v>32993.930540580302</v>
      </c>
      <c r="AH6789" s="2">
        <v>31047.789601656201</v>
      </c>
      <c r="AI6789" s="2">
        <v>31930.427129639102</v>
      </c>
      <c r="AJ6789" s="2">
        <v>35083.217143777299</v>
      </c>
      <c r="AK6789" s="2">
        <v>28265.414690909001</v>
      </c>
      <c r="AL6789" s="2">
        <v>29690.2365994787</v>
      </c>
      <c r="AM6789" s="2">
        <v>34371.324477863098</v>
      </c>
      <c r="AN6789" s="2">
        <v>34293.803670713598</v>
      </c>
      <c r="AO6789" s="2">
        <v>32885.040922169603</v>
      </c>
      <c r="AP6789" s="2">
        <v>35772.230632507097</v>
      </c>
    </row>
    <row r="6790" spans="1:42" ht="14.5" x14ac:dyDescent="0.35">
      <c r="A6790" s="2" t="s">
        <v>45030</v>
      </c>
      <c r="B6790" s="2">
        <v>831.48556513621702</v>
      </c>
      <c r="C6790" s="2">
        <v>5.6720833333333296</v>
      </c>
      <c r="D6790" s="2" t="s">
        <v>34</v>
      </c>
      <c r="E6790" s="2" t="s">
        <v>45031</v>
      </c>
      <c r="F6790" s="2">
        <v>208790</v>
      </c>
      <c r="G6790" s="3" t="str">
        <f>HYPERLINK("http://funmeta.oebiotech.com/network/208790", "http://funmeta.oebiotech.com/network/208790")</f>
        <v>http://funmeta.oebiotech.com/network/208790</v>
      </c>
      <c r="H6790" s="2" t="s">
        <v>45032</v>
      </c>
      <c r="I6790" s="2"/>
      <c r="J6790" s="2"/>
      <c r="K6790" s="2"/>
      <c r="L6790" s="2"/>
      <c r="M6790" s="2"/>
      <c r="N6790" s="2"/>
      <c r="O6790" s="2">
        <v>5128452</v>
      </c>
      <c r="P6790" s="2"/>
      <c r="Q6790" s="2" t="s">
        <v>45033</v>
      </c>
      <c r="R6790" s="2" t="s">
        <v>45034</v>
      </c>
      <c r="S6790" s="2" t="s">
        <v>79</v>
      </c>
      <c r="T6790" s="2" t="s">
        <v>80</v>
      </c>
      <c r="U6790" s="2" t="s">
        <v>81</v>
      </c>
      <c r="V6790" s="2" t="s">
        <v>59</v>
      </c>
      <c r="W6790" s="2">
        <v>36.700000000000003</v>
      </c>
      <c r="X6790" s="2">
        <v>12</v>
      </c>
      <c r="Y6790" s="2" t="s">
        <v>43</v>
      </c>
      <c r="Z6790" s="2" t="s">
        <v>45035</v>
      </c>
      <c r="AA6790" s="2">
        <v>0.82261779704120896</v>
      </c>
      <c r="AB6790" s="2">
        <v>1.25679034973896E-2</v>
      </c>
      <c r="AC6790" s="2">
        <v>149884.36811779099</v>
      </c>
      <c r="AD6790" s="2">
        <v>150320.72043693901</v>
      </c>
      <c r="AE6790" s="2">
        <v>154762.54804714199</v>
      </c>
      <c r="AF6790" s="2">
        <v>118489.99777538099</v>
      </c>
      <c r="AG6790" s="2">
        <v>108304.44478820699</v>
      </c>
      <c r="AH6790" s="2">
        <v>206417.942758216</v>
      </c>
      <c r="AI6790" s="2">
        <v>168712.244866586</v>
      </c>
      <c r="AJ6790" s="2">
        <v>142619.03047121401</v>
      </c>
      <c r="AK6790" s="2">
        <v>160041.808321205</v>
      </c>
      <c r="AL6790" s="2">
        <v>139656.916817027</v>
      </c>
      <c r="AM6790" s="2">
        <v>195406.429657217</v>
      </c>
      <c r="AN6790" s="2">
        <v>156975.58803412699</v>
      </c>
      <c r="AO6790" s="2">
        <v>122617.974761734</v>
      </c>
      <c r="AP6790" s="2">
        <v>127225.605030322</v>
      </c>
    </row>
    <row r="6791" spans="1:42" ht="14.5" x14ac:dyDescent="0.35">
      <c r="A6791" s="2" t="s">
        <v>45036</v>
      </c>
      <c r="B6791" s="2">
        <v>295.103214658919</v>
      </c>
      <c r="C6791" s="2">
        <v>1.52295</v>
      </c>
      <c r="D6791" s="2" t="s">
        <v>70</v>
      </c>
      <c r="E6791" s="2" t="s">
        <v>45037</v>
      </c>
      <c r="F6791" s="2">
        <v>56196</v>
      </c>
      <c r="G6791" s="3" t="str">
        <f>HYPERLINK("http://funmeta.oebiotech.com/network/56196", "http://funmeta.oebiotech.com/network/56196")</f>
        <v>http://funmeta.oebiotech.com/network/56196</v>
      </c>
      <c r="H6791" s="2" t="s">
        <v>45038</v>
      </c>
      <c r="I6791" s="2">
        <v>87890</v>
      </c>
      <c r="J6791" s="2"/>
      <c r="K6791" s="2">
        <v>87281</v>
      </c>
      <c r="L6791" s="2"/>
      <c r="M6791" s="2"/>
      <c r="N6791" s="2"/>
      <c r="O6791" s="2">
        <v>85519</v>
      </c>
      <c r="P6791" s="2" t="s">
        <v>45039</v>
      </c>
      <c r="Q6791" s="2" t="s">
        <v>45040</v>
      </c>
      <c r="R6791" s="2" t="s">
        <v>45041</v>
      </c>
      <c r="S6791" s="2" t="s">
        <v>89</v>
      </c>
      <c r="T6791" s="2" t="s">
        <v>90</v>
      </c>
      <c r="U6791" s="2" t="s">
        <v>401</v>
      </c>
      <c r="V6791" s="2" t="s">
        <v>59</v>
      </c>
      <c r="W6791" s="2">
        <v>38.1</v>
      </c>
      <c r="X6791" s="2">
        <v>0</v>
      </c>
      <c r="Y6791" s="2" t="s">
        <v>560</v>
      </c>
      <c r="Z6791" s="2" t="s">
        <v>45042</v>
      </c>
      <c r="AA6791" s="2">
        <v>-3.7491168734169502</v>
      </c>
      <c r="AB6791" s="2">
        <v>1.25402457654387E-2</v>
      </c>
      <c r="AC6791" s="2">
        <v>3034.73765593696</v>
      </c>
      <c r="AD6791" s="2">
        <v>2964.8507430537102</v>
      </c>
      <c r="AE6791" s="2">
        <v>3035.8250686793499</v>
      </c>
      <c r="AF6791" s="2">
        <v>3098.06423421717</v>
      </c>
      <c r="AG6791" s="2">
        <v>2831.6150050617098</v>
      </c>
      <c r="AH6791" s="2">
        <v>2831.30265244257</v>
      </c>
      <c r="AI6791" s="2">
        <v>3224.8026930272799</v>
      </c>
      <c r="AJ6791" s="2">
        <v>3186.8162821936799</v>
      </c>
      <c r="AK6791" s="2">
        <v>2915.0163535714701</v>
      </c>
      <c r="AL6791" s="2">
        <v>2431.9019597019301</v>
      </c>
      <c r="AM6791" s="2">
        <v>3029.1199813298799</v>
      </c>
      <c r="AN6791" s="2">
        <v>3199.7877283329999</v>
      </c>
      <c r="AO6791" s="2">
        <v>3169.12559253779</v>
      </c>
      <c r="AP6791" s="2">
        <v>3044.1528428481602</v>
      </c>
    </row>
    <row r="6792" spans="1:42" ht="14.5" x14ac:dyDescent="0.35">
      <c r="A6792" s="2" t="s">
        <v>45043</v>
      </c>
      <c r="B6792" s="2">
        <v>107.049030254773</v>
      </c>
      <c r="C6792" s="2">
        <v>0.79598333333333304</v>
      </c>
      <c r="D6792" s="2" t="s">
        <v>34</v>
      </c>
      <c r="E6792" s="2" t="s">
        <v>45044</v>
      </c>
      <c r="F6792" s="2">
        <v>51496</v>
      </c>
      <c r="G6792" s="3" t="str">
        <f>HYPERLINK("http://funmeta.oebiotech.com/network/51496", "http://funmeta.oebiotech.com/network/51496")</f>
        <v>http://funmeta.oebiotech.com/network/51496</v>
      </c>
      <c r="H6792" s="2" t="s">
        <v>45045</v>
      </c>
      <c r="I6792" s="2">
        <v>4157</v>
      </c>
      <c r="J6792" s="2"/>
      <c r="K6792" s="2">
        <v>67410</v>
      </c>
      <c r="L6792" s="2" t="s">
        <v>45046</v>
      </c>
      <c r="M6792" s="2"/>
      <c r="N6792" s="2"/>
      <c r="O6792" s="2">
        <v>125</v>
      </c>
      <c r="P6792" s="2" t="s">
        <v>45047</v>
      </c>
      <c r="Q6792" s="2" t="s">
        <v>45048</v>
      </c>
      <c r="R6792" s="2" t="s">
        <v>45049</v>
      </c>
      <c r="S6792" s="2" t="s">
        <v>148</v>
      </c>
      <c r="T6792" s="2" t="s">
        <v>149</v>
      </c>
      <c r="U6792" s="2" t="s">
        <v>26351</v>
      </c>
      <c r="V6792" s="2" t="s">
        <v>59</v>
      </c>
      <c r="W6792" s="2">
        <v>39.1</v>
      </c>
      <c r="X6792" s="2">
        <v>0</v>
      </c>
      <c r="Y6792" s="2" t="s">
        <v>141</v>
      </c>
      <c r="Z6792" s="2" t="s">
        <v>45050</v>
      </c>
      <c r="AA6792" s="2">
        <v>-0.89470965909803102</v>
      </c>
      <c r="AB6792" s="2">
        <v>1.25320624458982E-2</v>
      </c>
      <c r="AC6792" s="2">
        <v>1325.4648627931999</v>
      </c>
      <c r="AD6792" s="2">
        <v>1400.5977230983301</v>
      </c>
      <c r="AE6792" s="2">
        <v>1775.4255471434201</v>
      </c>
      <c r="AF6792" s="2">
        <v>1085.2290451354299</v>
      </c>
      <c r="AG6792" s="2">
        <v>1011.49560644265</v>
      </c>
      <c r="AH6792" s="2">
        <v>1469.0775688690101</v>
      </c>
      <c r="AI6792" s="2">
        <v>1541.9870102310999</v>
      </c>
      <c r="AJ6792" s="2">
        <v>1069.5743989375901</v>
      </c>
      <c r="AK6792" s="2">
        <v>1754.87570039257</v>
      </c>
      <c r="AL6792" s="2">
        <v>1082.1735118054701</v>
      </c>
      <c r="AM6792" s="2">
        <v>947.91500702266603</v>
      </c>
      <c r="AN6792" s="2">
        <v>1622.2085617810001</v>
      </c>
      <c r="AO6792" s="2">
        <v>1543.8721295600001</v>
      </c>
      <c r="AP6792" s="2">
        <v>1452.54142802827</v>
      </c>
    </row>
    <row r="6793" spans="1:42" ht="14.5" x14ac:dyDescent="0.35">
      <c r="A6793" s="2" t="s">
        <v>45051</v>
      </c>
      <c r="B6793" s="2">
        <v>337.20077249909099</v>
      </c>
      <c r="C6793" s="2">
        <v>4.3289999999999997</v>
      </c>
      <c r="D6793" s="2" t="s">
        <v>34</v>
      </c>
      <c r="E6793" s="2" t="s">
        <v>45052</v>
      </c>
      <c r="F6793" s="2">
        <v>1622</v>
      </c>
      <c r="G6793" s="3" t="str">
        <f>HYPERLINK("http://funmeta.oebiotech.com/network/1622", "http://funmeta.oebiotech.com/network/1622")</f>
        <v>http://funmeta.oebiotech.com/network/1622</v>
      </c>
      <c r="H6793" s="2"/>
      <c r="I6793" s="2">
        <v>74460</v>
      </c>
      <c r="J6793" s="2" t="s">
        <v>45053</v>
      </c>
      <c r="K6793" s="2"/>
      <c r="L6793" s="2"/>
      <c r="M6793" s="2"/>
      <c r="N6793" s="2"/>
      <c r="O6793" s="2">
        <v>5282868</v>
      </c>
      <c r="P6793" s="2"/>
      <c r="Q6793" s="2" t="s">
        <v>45054</v>
      </c>
      <c r="R6793" s="2" t="s">
        <v>45055</v>
      </c>
      <c r="S6793" s="2" t="s">
        <v>50</v>
      </c>
      <c r="T6793" s="2" t="s">
        <v>229</v>
      </c>
      <c r="U6793" s="2" t="s">
        <v>433</v>
      </c>
      <c r="V6793" s="2" t="s">
        <v>59</v>
      </c>
      <c r="W6793" s="2">
        <v>37.799999999999997</v>
      </c>
      <c r="X6793" s="2">
        <v>0</v>
      </c>
      <c r="Y6793" s="2" t="s">
        <v>141</v>
      </c>
      <c r="Z6793" s="2" t="s">
        <v>45056</v>
      </c>
      <c r="AA6793" s="2">
        <v>-0.50233833866617095</v>
      </c>
      <c r="AB6793" s="2">
        <v>1.2479911770919601E-2</v>
      </c>
      <c r="AC6793" s="2">
        <v>5016.1405868755801</v>
      </c>
      <c r="AD6793" s="2">
        <v>4887.8826777818203</v>
      </c>
      <c r="AE6793" s="2">
        <v>4063.2964786745902</v>
      </c>
      <c r="AF6793" s="2">
        <v>4749.5640716760599</v>
      </c>
      <c r="AG6793" s="2">
        <v>6396.1181179628702</v>
      </c>
      <c r="AH6793" s="2">
        <v>4557.40388476721</v>
      </c>
      <c r="AI6793" s="2">
        <v>4946.2117723003803</v>
      </c>
      <c r="AJ6793" s="2">
        <v>5384.2491958723504</v>
      </c>
      <c r="AK6793" s="2">
        <v>5472.1721593089296</v>
      </c>
      <c r="AL6793" s="2">
        <v>4035.5245347279001</v>
      </c>
      <c r="AM6793" s="2">
        <v>3974.4343746688901</v>
      </c>
      <c r="AN6793" s="2">
        <v>5239.0296265918096</v>
      </c>
      <c r="AO6793" s="2">
        <v>4178.3072055460398</v>
      </c>
      <c r="AP6793" s="2">
        <v>6427.8281658473697</v>
      </c>
    </row>
    <row r="6794" spans="1:42" ht="14.5" x14ac:dyDescent="0.35">
      <c r="A6794" s="2" t="s">
        <v>45057</v>
      </c>
      <c r="B6794" s="2">
        <v>157.06475607468599</v>
      </c>
      <c r="C6794" s="2">
        <v>4.6661999999999999</v>
      </c>
      <c r="D6794" s="2" t="s">
        <v>34</v>
      </c>
      <c r="E6794" s="2" t="s">
        <v>45058</v>
      </c>
      <c r="F6794" s="2">
        <v>82237</v>
      </c>
      <c r="G6794" s="3" t="str">
        <f>HYPERLINK("http://funmeta.oebiotech.com/network/82237", "http://funmeta.oebiotech.com/network/82237")</f>
        <v>http://funmeta.oebiotech.com/network/82237</v>
      </c>
      <c r="H6794" s="2" t="s">
        <v>45059</v>
      </c>
      <c r="I6794" s="2">
        <v>2757</v>
      </c>
      <c r="J6794" s="2"/>
      <c r="K6794" s="2">
        <v>52367</v>
      </c>
      <c r="L6794" s="2" t="s">
        <v>45060</v>
      </c>
      <c r="M6794" s="2" t="s">
        <v>23291</v>
      </c>
      <c r="N6794" s="2" t="s">
        <v>23292</v>
      </c>
      <c r="O6794" s="2">
        <v>6195</v>
      </c>
      <c r="P6794" s="2" t="s">
        <v>45061</v>
      </c>
      <c r="Q6794" s="2" t="s">
        <v>45062</v>
      </c>
      <c r="R6794" s="2" t="s">
        <v>45063</v>
      </c>
      <c r="S6794" s="2" t="s">
        <v>148</v>
      </c>
      <c r="T6794" s="2" t="s">
        <v>6221</v>
      </c>
      <c r="U6794" s="2" t="s">
        <v>41</v>
      </c>
      <c r="V6794" s="2" t="s">
        <v>59</v>
      </c>
      <c r="W6794" s="2">
        <v>37.700000000000003</v>
      </c>
      <c r="X6794" s="2">
        <v>0</v>
      </c>
      <c r="Y6794" s="2" t="s">
        <v>394</v>
      </c>
      <c r="Z6794" s="2" t="s">
        <v>45064</v>
      </c>
      <c r="AA6794" s="2">
        <v>-0.22577210901241099</v>
      </c>
      <c r="AB6794" s="2">
        <v>1.24558701272631E-2</v>
      </c>
      <c r="AC6794" s="2">
        <v>363.68536910484301</v>
      </c>
      <c r="AD6794" s="2">
        <v>315.65784601327903</v>
      </c>
      <c r="AE6794" s="2">
        <v>450.32836480055897</v>
      </c>
      <c r="AF6794" s="2">
        <v>440.88365061254899</v>
      </c>
      <c r="AG6794" s="2">
        <v>352.48232847460201</v>
      </c>
      <c r="AH6794" s="2">
        <v>488.63310795774498</v>
      </c>
      <c r="AI6794" s="2">
        <v>187.34295305547599</v>
      </c>
      <c r="AJ6794" s="2">
        <v>262.44180972812899</v>
      </c>
      <c r="AK6794" s="2">
        <v>121.702850782486</v>
      </c>
      <c r="AL6794" s="2">
        <v>351.04198084827902</v>
      </c>
      <c r="AM6794" s="2">
        <v>260.23335344459701</v>
      </c>
      <c r="AN6794" s="2">
        <v>525.84808302633496</v>
      </c>
      <c r="AO6794" s="2">
        <v>325.39341458916101</v>
      </c>
      <c r="AP6794" s="2">
        <v>309.727393388819</v>
      </c>
    </row>
    <row r="6795" spans="1:42" ht="14.5" x14ac:dyDescent="0.35">
      <c r="A6795" s="2" t="s">
        <v>45065</v>
      </c>
      <c r="B6795" s="2">
        <v>187.07526762108699</v>
      </c>
      <c r="C6795" s="2">
        <v>4.89903333333333</v>
      </c>
      <c r="D6795" s="2" t="s">
        <v>34</v>
      </c>
      <c r="E6795" s="2" t="s">
        <v>45066</v>
      </c>
      <c r="F6795" s="2">
        <v>56983</v>
      </c>
      <c r="G6795" s="3" t="str">
        <f>HYPERLINK("http://funmeta.oebiotech.com/network/56983", "http://funmeta.oebiotech.com/network/56983")</f>
        <v>http://funmeta.oebiotech.com/network/56983</v>
      </c>
      <c r="H6795" s="2" t="s">
        <v>45067</v>
      </c>
      <c r="I6795" s="2">
        <v>69522</v>
      </c>
      <c r="J6795" s="2"/>
      <c r="K6795" s="2">
        <v>32918</v>
      </c>
      <c r="L6795" s="2" t="s">
        <v>45068</v>
      </c>
      <c r="M6795" s="2"/>
      <c r="N6795" s="2"/>
      <c r="O6795" s="2">
        <v>6862</v>
      </c>
      <c r="P6795" s="2" t="s">
        <v>45069</v>
      </c>
      <c r="Q6795" s="2" t="s">
        <v>45070</v>
      </c>
      <c r="R6795" s="2" t="s">
        <v>45071</v>
      </c>
      <c r="S6795" s="2" t="s">
        <v>148</v>
      </c>
      <c r="T6795" s="2" t="s">
        <v>6221</v>
      </c>
      <c r="U6795" s="2" t="s">
        <v>41</v>
      </c>
      <c r="V6795" s="2" t="s">
        <v>59</v>
      </c>
      <c r="W6795" s="2">
        <v>37.4</v>
      </c>
      <c r="X6795" s="2">
        <v>0</v>
      </c>
      <c r="Y6795" s="2" t="s">
        <v>394</v>
      </c>
      <c r="Z6795" s="2" t="s">
        <v>45072</v>
      </c>
      <c r="AA6795" s="2">
        <v>-0.47493763092385399</v>
      </c>
      <c r="AB6795" s="2">
        <v>1.24073862936654E-2</v>
      </c>
      <c r="AC6795" s="2">
        <v>4149.8433809500802</v>
      </c>
      <c r="AD6795" s="2">
        <v>4048.4859288974899</v>
      </c>
      <c r="AE6795" s="2">
        <v>4128.3835462978504</v>
      </c>
      <c r="AF6795" s="2">
        <v>4337.7257598222604</v>
      </c>
      <c r="AG6795" s="2">
        <v>4733.0730307179902</v>
      </c>
      <c r="AH6795" s="2">
        <v>4018.1855829756801</v>
      </c>
      <c r="AI6795" s="2">
        <v>4366.1577480155102</v>
      </c>
      <c r="AJ6795" s="2">
        <v>3315.5346178712098</v>
      </c>
      <c r="AK6795" s="2">
        <v>4814.9545814535704</v>
      </c>
      <c r="AL6795" s="2">
        <v>4497.4971311162099</v>
      </c>
      <c r="AM6795" s="2">
        <v>3441.7851893263201</v>
      </c>
      <c r="AN6795" s="2">
        <v>4149.7330264990997</v>
      </c>
      <c r="AO6795" s="2">
        <v>3019.4170363032599</v>
      </c>
      <c r="AP6795" s="2">
        <v>4367.5286086865099</v>
      </c>
    </row>
    <row r="6796" spans="1:42" ht="14.5" x14ac:dyDescent="0.35">
      <c r="A6796" s="2" t="s">
        <v>45073</v>
      </c>
      <c r="B6796" s="2">
        <v>305.101528260262</v>
      </c>
      <c r="C6796" s="2">
        <v>4.0355999999999996</v>
      </c>
      <c r="D6796" s="2" t="s">
        <v>34</v>
      </c>
      <c r="E6796" s="2" t="s">
        <v>45074</v>
      </c>
      <c r="F6796" s="2">
        <v>207780</v>
      </c>
      <c r="G6796" s="3" t="str">
        <f>HYPERLINK("http://funmeta.oebiotech.com/network/207780", "http://funmeta.oebiotech.com/network/207780")</f>
        <v>http://funmeta.oebiotech.com/network/207780</v>
      </c>
      <c r="H6796" s="2" t="s">
        <v>45075</v>
      </c>
      <c r="I6796" s="2">
        <v>412751</v>
      </c>
      <c r="J6796" s="2"/>
      <c r="K6796" s="2"/>
      <c r="L6796" s="2"/>
      <c r="M6796" s="2"/>
      <c r="N6796" s="2"/>
      <c r="O6796" s="2">
        <v>3699</v>
      </c>
      <c r="P6796" s="2"/>
      <c r="Q6796" s="2" t="s">
        <v>45076</v>
      </c>
      <c r="R6796" s="2" t="s">
        <v>45077</v>
      </c>
      <c r="S6796" s="2" t="s">
        <v>89</v>
      </c>
      <c r="T6796" s="2" t="s">
        <v>6048</v>
      </c>
      <c r="U6796" s="2" t="s">
        <v>12523</v>
      </c>
      <c r="V6796" s="2" t="s">
        <v>59</v>
      </c>
      <c r="W6796" s="2">
        <v>38.799999999999997</v>
      </c>
      <c r="X6796" s="2">
        <v>0</v>
      </c>
      <c r="Y6796" s="2" t="s">
        <v>43</v>
      </c>
      <c r="Z6796" s="2" t="s">
        <v>45078</v>
      </c>
      <c r="AA6796" s="2">
        <v>-3.6850447447290402</v>
      </c>
      <c r="AB6796" s="2">
        <v>1.2393176514029099E-2</v>
      </c>
      <c r="AC6796" s="2">
        <v>11376.903395856099</v>
      </c>
      <c r="AD6796" s="2">
        <v>11208.252481201</v>
      </c>
      <c r="AE6796" s="2">
        <v>13312.017398642</v>
      </c>
      <c r="AF6796" s="2">
        <v>12812.766459185001</v>
      </c>
      <c r="AG6796" s="2">
        <v>10443.7371526848</v>
      </c>
      <c r="AH6796" s="2">
        <v>9862.7880025853101</v>
      </c>
      <c r="AI6796" s="2">
        <v>9363.0242763570604</v>
      </c>
      <c r="AJ6796" s="2">
        <v>12467.0870856823</v>
      </c>
      <c r="AK6796" s="2">
        <v>12017.0613038294</v>
      </c>
      <c r="AL6796" s="2">
        <v>10616.2409436495</v>
      </c>
      <c r="AM6796" s="2">
        <v>14118.9780335591</v>
      </c>
      <c r="AN6796" s="2">
        <v>10866.9404104557</v>
      </c>
      <c r="AO6796" s="2">
        <v>11058.3429489391</v>
      </c>
      <c r="AP6796" s="2">
        <v>8571.9512467730601</v>
      </c>
    </row>
    <row r="6797" spans="1:42" ht="14.5" x14ac:dyDescent="0.35">
      <c r="A6797" s="2" t="s">
        <v>45079</v>
      </c>
      <c r="B6797" s="2">
        <v>737.23078378314199</v>
      </c>
      <c r="C6797" s="2">
        <v>4.5612000000000004</v>
      </c>
      <c r="D6797" s="2" t="s">
        <v>70</v>
      </c>
      <c r="E6797" s="2" t="s">
        <v>45080</v>
      </c>
      <c r="F6797" s="2">
        <v>206628</v>
      </c>
      <c r="G6797" s="3" t="str">
        <f>HYPERLINK("http://funmeta.oebiotech.com/network/206628", "http://funmeta.oebiotech.com/network/206628")</f>
        <v>http://funmeta.oebiotech.com/network/206628</v>
      </c>
      <c r="H6797" s="2" t="s">
        <v>45081</v>
      </c>
      <c r="I6797" s="2"/>
      <c r="J6797" s="2"/>
      <c r="K6797" s="2"/>
      <c r="L6797" s="2"/>
      <c r="M6797" s="2"/>
      <c r="N6797" s="2"/>
      <c r="O6797" s="2">
        <v>35375</v>
      </c>
      <c r="P6797" s="2"/>
      <c r="Q6797" s="2" t="s">
        <v>45082</v>
      </c>
      <c r="R6797" s="2" t="s">
        <v>45083</v>
      </c>
      <c r="S6797" s="2" t="s">
        <v>148</v>
      </c>
      <c r="T6797" s="2" t="s">
        <v>149</v>
      </c>
      <c r="U6797" s="2" t="s">
        <v>1593</v>
      </c>
      <c r="V6797" s="2" t="s">
        <v>59</v>
      </c>
      <c r="W6797" s="2">
        <v>38.4</v>
      </c>
      <c r="X6797" s="2">
        <v>0</v>
      </c>
      <c r="Y6797" s="2" t="s">
        <v>560</v>
      </c>
      <c r="Z6797" s="2" t="s">
        <v>45084</v>
      </c>
      <c r="AA6797" s="2">
        <v>0.64311889667237099</v>
      </c>
      <c r="AB6797" s="2">
        <v>1.23371933085811E-2</v>
      </c>
      <c r="AC6797" s="2">
        <v>7287.4866684574199</v>
      </c>
      <c r="AD6797" s="2">
        <v>7136.4485509252399</v>
      </c>
      <c r="AE6797" s="2">
        <v>7693.24365452044</v>
      </c>
      <c r="AF6797" s="2">
        <v>8249.6100215341303</v>
      </c>
      <c r="AG6797" s="2">
        <v>6966.7319150642197</v>
      </c>
      <c r="AH6797" s="2">
        <v>6727.8793173630402</v>
      </c>
      <c r="AI6797" s="2">
        <v>6793.1079189514603</v>
      </c>
      <c r="AJ6797" s="2">
        <v>7294.3471833112499</v>
      </c>
      <c r="AK6797" s="2">
        <v>4007.1952360068199</v>
      </c>
      <c r="AL6797" s="2">
        <v>7642.2891191794797</v>
      </c>
      <c r="AM6797" s="2">
        <v>7550.6968639011402</v>
      </c>
      <c r="AN6797" s="2">
        <v>7175.7944584547104</v>
      </c>
      <c r="AO6797" s="2">
        <v>9173.6359024857393</v>
      </c>
      <c r="AP6797" s="2">
        <v>7269.0797255235202</v>
      </c>
    </row>
    <row r="6798" spans="1:42" ht="14.5" x14ac:dyDescent="0.35">
      <c r="A6798" s="2" t="s">
        <v>45085</v>
      </c>
      <c r="B6798" s="2">
        <v>565.155923443093</v>
      </c>
      <c r="C6798" s="2">
        <v>4.7039999999999997</v>
      </c>
      <c r="D6798" s="2" t="s">
        <v>70</v>
      </c>
      <c r="E6798" s="2" t="s">
        <v>45086</v>
      </c>
      <c r="F6798" s="2">
        <v>254910</v>
      </c>
      <c r="G6798" s="3" t="str">
        <f>HYPERLINK("http://funmeta.oebiotech.com/network/254910", "http://funmeta.oebiotech.com/network/254910")</f>
        <v>http://funmeta.oebiotech.com/network/254910</v>
      </c>
      <c r="H6798" s="2" t="s">
        <v>45087</v>
      </c>
      <c r="I6798" s="2">
        <v>67006</v>
      </c>
      <c r="J6798" s="2"/>
      <c r="K6798" s="2"/>
      <c r="L6798" s="2" t="s">
        <v>45088</v>
      </c>
      <c r="M6798" s="2"/>
      <c r="N6798" s="2"/>
      <c r="O6798" s="2">
        <v>441561</v>
      </c>
      <c r="P6798" s="2" t="s">
        <v>45089</v>
      </c>
      <c r="Q6798" s="2" t="s">
        <v>45090</v>
      </c>
      <c r="R6798" s="2" t="s">
        <v>45091</v>
      </c>
      <c r="S6798" s="2" t="s">
        <v>89</v>
      </c>
      <c r="T6798" s="2" t="s">
        <v>90</v>
      </c>
      <c r="U6798" s="2" t="s">
        <v>99</v>
      </c>
      <c r="V6798" s="2" t="s">
        <v>59</v>
      </c>
      <c r="W6798" s="2">
        <v>38.299999999999997</v>
      </c>
      <c r="X6798" s="2">
        <v>0</v>
      </c>
      <c r="Y6798" s="2" t="s">
        <v>560</v>
      </c>
      <c r="Z6798" s="2" t="s">
        <v>45092</v>
      </c>
      <c r="AA6798" s="2">
        <v>4.1146922632885703</v>
      </c>
      <c r="AB6798" s="2">
        <v>1.2235625598761599E-2</v>
      </c>
      <c r="AC6798" s="2">
        <v>3183.8542380429799</v>
      </c>
      <c r="AD6798" s="2">
        <v>3296.1778872837199</v>
      </c>
      <c r="AE6798" s="2">
        <v>3176.0001342717201</v>
      </c>
      <c r="AF6798" s="2">
        <v>4223.4219061091799</v>
      </c>
      <c r="AG6798" s="2">
        <v>2168.5318365448202</v>
      </c>
      <c r="AH6798" s="2">
        <v>2502.4654717792901</v>
      </c>
      <c r="AI6798" s="2">
        <v>3684.9560044742002</v>
      </c>
      <c r="AJ6798" s="2">
        <v>3347.7500750786598</v>
      </c>
      <c r="AK6798" s="2">
        <v>3772.2180678899199</v>
      </c>
      <c r="AL6798" s="2">
        <v>3870.0712712241798</v>
      </c>
      <c r="AM6798" s="2">
        <v>3192.3441455450302</v>
      </c>
      <c r="AN6798" s="2">
        <v>2525.9072566126301</v>
      </c>
      <c r="AO6798" s="2">
        <v>2632.6311684142202</v>
      </c>
      <c r="AP6798" s="2">
        <v>3783.8954140163601</v>
      </c>
    </row>
    <row r="6799" spans="1:42" ht="14.5" x14ac:dyDescent="0.35">
      <c r="A6799" s="2" t="s">
        <v>45093</v>
      </c>
      <c r="B6799" s="2">
        <v>778.54665688973103</v>
      </c>
      <c r="C6799" s="2">
        <v>14.56345</v>
      </c>
      <c r="D6799" s="2" t="s">
        <v>34</v>
      </c>
      <c r="E6799" s="2" t="s">
        <v>45094</v>
      </c>
      <c r="F6799" s="2">
        <v>243433</v>
      </c>
      <c r="G6799" s="3" t="str">
        <f>HYPERLINK("http://funmeta.oebiotech.com/network/243433", "http://funmeta.oebiotech.com/network/243433")</f>
        <v>http://funmeta.oebiotech.com/network/243433</v>
      </c>
      <c r="H6799" s="2" t="s">
        <v>45095</v>
      </c>
      <c r="I6799" s="2"/>
      <c r="J6799" s="2"/>
      <c r="K6799" s="2"/>
      <c r="L6799" s="2"/>
      <c r="M6799" s="2"/>
      <c r="N6799" s="2"/>
      <c r="O6799" s="2"/>
      <c r="P6799" s="2"/>
      <c r="Q6799" s="2" t="s">
        <v>45096</v>
      </c>
      <c r="R6799" s="2" t="s">
        <v>45097</v>
      </c>
      <c r="S6799" s="2" t="s">
        <v>41</v>
      </c>
      <c r="T6799" s="2" t="s">
        <v>41</v>
      </c>
      <c r="U6799" s="2" t="s">
        <v>41</v>
      </c>
      <c r="V6799" s="2" t="s">
        <v>59</v>
      </c>
      <c r="W6799" s="2">
        <v>37.4</v>
      </c>
      <c r="X6799" s="2">
        <v>0</v>
      </c>
      <c r="Y6799" s="2" t="s">
        <v>43</v>
      </c>
      <c r="Z6799" s="2" t="s">
        <v>45098</v>
      </c>
      <c r="AA6799" s="2">
        <v>-3.5606871370008601</v>
      </c>
      <c r="AB6799" s="2">
        <v>1.2202057132526501E-2</v>
      </c>
      <c r="AC6799" s="2">
        <v>4679.7337414408103</v>
      </c>
      <c r="AD6799" s="2">
        <v>4546.0924743771802</v>
      </c>
      <c r="AE6799" s="2">
        <v>5315.1904962094504</v>
      </c>
      <c r="AF6799" s="2">
        <v>4198.8605633540101</v>
      </c>
      <c r="AG6799" s="2">
        <v>5297.7107325367297</v>
      </c>
      <c r="AH6799" s="2">
        <v>3806.4049810588899</v>
      </c>
      <c r="AI6799" s="2">
        <v>4175.9140747145702</v>
      </c>
      <c r="AJ6799" s="2">
        <v>5284.3216007711999</v>
      </c>
      <c r="AK6799" s="2">
        <v>7196.5111949395996</v>
      </c>
      <c r="AL6799" s="2">
        <v>3429.4067085366</v>
      </c>
      <c r="AM6799" s="2">
        <v>3771.8695071954699</v>
      </c>
      <c r="AN6799" s="2">
        <v>3496.15082868422</v>
      </c>
      <c r="AO6799" s="2">
        <v>4491.1724371456203</v>
      </c>
      <c r="AP6799" s="2">
        <v>4891.4441697616003</v>
      </c>
    </row>
    <row r="6800" spans="1:42" ht="14.5" x14ac:dyDescent="0.35">
      <c r="A6800" s="2" t="s">
        <v>45099</v>
      </c>
      <c r="B6800" s="2">
        <v>531.19261935386101</v>
      </c>
      <c r="C6800" s="2">
        <v>1.69431666666667</v>
      </c>
      <c r="D6800" s="2" t="s">
        <v>70</v>
      </c>
      <c r="E6800" s="2" t="s">
        <v>45100</v>
      </c>
      <c r="F6800" s="2">
        <v>207210</v>
      </c>
      <c r="G6800" s="3" t="str">
        <f>HYPERLINK("http://funmeta.oebiotech.com/network/207210", "http://funmeta.oebiotech.com/network/207210")</f>
        <v>http://funmeta.oebiotech.com/network/207210</v>
      </c>
      <c r="H6800" s="2" t="s">
        <v>45101</v>
      </c>
      <c r="I6800" s="2"/>
      <c r="J6800" s="2"/>
      <c r="K6800" s="2"/>
      <c r="L6800" s="2"/>
      <c r="M6800" s="2"/>
      <c r="N6800" s="2"/>
      <c r="O6800" s="2"/>
      <c r="P6800" s="2"/>
      <c r="Q6800" s="2" t="s">
        <v>45102</v>
      </c>
      <c r="R6800" s="2" t="s">
        <v>45103</v>
      </c>
      <c r="S6800" s="2" t="s">
        <v>41</v>
      </c>
      <c r="T6800" s="2" t="s">
        <v>41</v>
      </c>
      <c r="U6800" s="2" t="s">
        <v>41</v>
      </c>
      <c r="V6800" s="2" t="s">
        <v>42</v>
      </c>
      <c r="W6800" s="2">
        <v>48.3</v>
      </c>
      <c r="X6800" s="2">
        <v>49.6</v>
      </c>
      <c r="Y6800" s="2" t="s">
        <v>560</v>
      </c>
      <c r="Z6800" s="2" t="s">
        <v>45104</v>
      </c>
      <c r="AA6800" s="2">
        <v>-0.82540650531672899</v>
      </c>
      <c r="AB6800" s="2">
        <v>1.20165486312301E-2</v>
      </c>
      <c r="AC6800" s="2">
        <v>13599.933277125499</v>
      </c>
      <c r="AD6800" s="2">
        <v>13454.864527739701</v>
      </c>
      <c r="AE6800" s="2">
        <v>13291.528024716599</v>
      </c>
      <c r="AF6800" s="2">
        <v>13304.060433025399</v>
      </c>
      <c r="AG6800" s="2">
        <v>13568.7867201269</v>
      </c>
      <c r="AH6800" s="2">
        <v>13248.298230545</v>
      </c>
      <c r="AI6800" s="2">
        <v>13596.841692849301</v>
      </c>
      <c r="AJ6800" s="2">
        <v>14590.084561490001</v>
      </c>
      <c r="AK6800" s="2">
        <v>11875.220433700801</v>
      </c>
      <c r="AL6800" s="2">
        <v>13748.9537443761</v>
      </c>
      <c r="AM6800" s="2">
        <v>11914.9339354193</v>
      </c>
      <c r="AN6800" s="2">
        <v>15876.150312416499</v>
      </c>
      <c r="AO6800" s="2">
        <v>14097.1473808791</v>
      </c>
      <c r="AP6800" s="2">
        <v>13216.7813596465</v>
      </c>
    </row>
    <row r="6801" spans="1:42" ht="14.5" x14ac:dyDescent="0.35">
      <c r="A6801" s="2" t="s">
        <v>45105</v>
      </c>
      <c r="B6801" s="2">
        <v>881.19112833310703</v>
      </c>
      <c r="C6801" s="2">
        <v>4.3453166666666698</v>
      </c>
      <c r="D6801" s="2" t="s">
        <v>34</v>
      </c>
      <c r="E6801" s="2" t="s">
        <v>45106</v>
      </c>
      <c r="F6801" s="2">
        <v>257282</v>
      </c>
      <c r="G6801" s="3" t="str">
        <f>HYPERLINK("http://funmeta.oebiotech.com/network/257282", "http://funmeta.oebiotech.com/network/257282")</f>
        <v>http://funmeta.oebiotech.com/network/257282</v>
      </c>
      <c r="H6801" s="2" t="s">
        <v>45107</v>
      </c>
      <c r="I6801" s="2"/>
      <c r="J6801" s="2"/>
      <c r="K6801" s="2"/>
      <c r="L6801" s="2"/>
      <c r="M6801" s="2"/>
      <c r="N6801" s="2"/>
      <c r="O6801" s="2">
        <v>74413934</v>
      </c>
      <c r="P6801" s="2"/>
      <c r="Q6801" s="2" t="s">
        <v>45108</v>
      </c>
      <c r="R6801" s="2" t="s">
        <v>45109</v>
      </c>
      <c r="S6801" s="2" t="s">
        <v>491</v>
      </c>
      <c r="T6801" s="2" t="s">
        <v>492</v>
      </c>
      <c r="U6801" s="2" t="s">
        <v>41</v>
      </c>
      <c r="V6801" s="2" t="s">
        <v>59</v>
      </c>
      <c r="W6801" s="2">
        <v>38.700000000000003</v>
      </c>
      <c r="X6801" s="2">
        <v>0</v>
      </c>
      <c r="Y6801" s="2" t="s">
        <v>340</v>
      </c>
      <c r="Z6801" s="2" t="s">
        <v>45110</v>
      </c>
      <c r="AA6801" s="2">
        <v>-0.36913710854449999</v>
      </c>
      <c r="AB6801" s="2">
        <v>1.1956615083751799E-2</v>
      </c>
      <c r="AC6801" s="2">
        <v>5621.23594803177</v>
      </c>
      <c r="AD6801" s="2">
        <v>5824.9940922252999</v>
      </c>
      <c r="AE6801" s="2">
        <v>4968.1282198669896</v>
      </c>
      <c r="AF6801" s="2">
        <v>4032.5792456751201</v>
      </c>
      <c r="AG6801" s="2">
        <v>11469.504021131201</v>
      </c>
      <c r="AH6801" s="2">
        <v>4452.2580267408002</v>
      </c>
      <c r="AI6801" s="2">
        <v>5973.3752720660696</v>
      </c>
      <c r="AJ6801" s="2">
        <v>2831.5709027104599</v>
      </c>
      <c r="AK6801" s="2">
        <v>4901.0490851170198</v>
      </c>
      <c r="AL6801" s="2">
        <v>6567.7543710381196</v>
      </c>
      <c r="AM6801" s="2">
        <v>4449.2608825275202</v>
      </c>
      <c r="AN6801" s="2">
        <v>6182.1555153545396</v>
      </c>
      <c r="AO6801" s="2">
        <v>7156.1899674546203</v>
      </c>
      <c r="AP6801" s="2">
        <v>5693.5547318600002</v>
      </c>
    </row>
    <row r="6802" spans="1:42" ht="14.5" x14ac:dyDescent="0.35">
      <c r="A6802" s="2" t="s">
        <v>45111</v>
      </c>
      <c r="B6802" s="2">
        <v>773.48033411393999</v>
      </c>
      <c r="C6802" s="2">
        <v>13.698549999999999</v>
      </c>
      <c r="D6802" s="2" t="s">
        <v>34</v>
      </c>
      <c r="E6802" s="2" t="s">
        <v>45112</v>
      </c>
      <c r="F6802" s="2">
        <v>266559</v>
      </c>
      <c r="G6802" s="3" t="str">
        <f>HYPERLINK("http://funmeta.oebiotech.com/network/266559", "http://funmeta.oebiotech.com/network/266559")</f>
        <v>http://funmeta.oebiotech.com/network/266559</v>
      </c>
      <c r="H6802" s="2"/>
      <c r="I6802" s="2">
        <v>43580</v>
      </c>
      <c r="J6802" s="2"/>
      <c r="K6802" s="2"/>
      <c r="L6802" s="2" t="s">
        <v>45113</v>
      </c>
      <c r="M6802" s="2"/>
      <c r="N6802" s="2"/>
      <c r="O6802" s="2">
        <v>3085092</v>
      </c>
      <c r="P6802" s="2" t="s">
        <v>45114</v>
      </c>
      <c r="Q6802" s="2" t="s">
        <v>45115</v>
      </c>
      <c r="R6802" s="2" t="s">
        <v>45116</v>
      </c>
      <c r="S6802" s="2" t="s">
        <v>50</v>
      </c>
      <c r="T6802" s="2" t="s">
        <v>201</v>
      </c>
      <c r="U6802" s="2" t="s">
        <v>202</v>
      </c>
      <c r="V6802" s="2" t="s">
        <v>59</v>
      </c>
      <c r="W6802" s="2">
        <v>38.5</v>
      </c>
      <c r="X6802" s="2">
        <v>0</v>
      </c>
      <c r="Y6802" s="2" t="s">
        <v>470</v>
      </c>
      <c r="Z6802" s="2" t="s">
        <v>45117</v>
      </c>
      <c r="AA6802" s="2">
        <v>-0.93222352005067299</v>
      </c>
      <c r="AB6802" s="2">
        <v>1.1855814117465099E-2</v>
      </c>
      <c r="AC6802" s="2">
        <v>36048.837677690797</v>
      </c>
      <c r="AD6802" s="2">
        <v>35730.022380690199</v>
      </c>
      <c r="AE6802" s="2">
        <v>30680.680119669199</v>
      </c>
      <c r="AF6802" s="2">
        <v>34831.817380927903</v>
      </c>
      <c r="AG6802" s="2">
        <v>38193.430335046301</v>
      </c>
      <c r="AH6802" s="2">
        <v>36462.885987137401</v>
      </c>
      <c r="AI6802" s="2">
        <v>33729.572909155402</v>
      </c>
      <c r="AJ6802" s="2">
        <v>42394.639334208303</v>
      </c>
      <c r="AK6802" s="2">
        <v>57611.991129211499</v>
      </c>
      <c r="AL6802" s="2">
        <v>39766.283805986299</v>
      </c>
      <c r="AM6802" s="2">
        <v>26840.995741114199</v>
      </c>
      <c r="AN6802" s="2">
        <v>29276.047406186699</v>
      </c>
      <c r="AO6802" s="2">
        <v>30690.233712798199</v>
      </c>
      <c r="AP6802" s="2">
        <v>30194.582488844298</v>
      </c>
    </row>
    <row r="6803" spans="1:42" ht="14.5" x14ac:dyDescent="0.35">
      <c r="A6803" s="2" t="s">
        <v>45118</v>
      </c>
      <c r="B6803" s="2">
        <v>396.05431298956699</v>
      </c>
      <c r="C6803" s="2">
        <v>3.82433333333333</v>
      </c>
      <c r="D6803" s="2" t="s">
        <v>70</v>
      </c>
      <c r="E6803" s="2" t="s">
        <v>45119</v>
      </c>
      <c r="F6803" s="2">
        <v>51413</v>
      </c>
      <c r="G6803" s="3" t="str">
        <f>HYPERLINK("http://funmeta.oebiotech.com/network/51413", "http://funmeta.oebiotech.com/network/51413")</f>
        <v>http://funmeta.oebiotech.com/network/51413</v>
      </c>
      <c r="H6803" s="2" t="s">
        <v>45120</v>
      </c>
      <c r="I6803" s="2">
        <v>62381</v>
      </c>
      <c r="J6803" s="2"/>
      <c r="K6803" s="2"/>
      <c r="L6803" s="2"/>
      <c r="M6803" s="2"/>
      <c r="N6803" s="2"/>
      <c r="O6803" s="2">
        <v>53481004</v>
      </c>
      <c r="P6803" s="2" t="s">
        <v>45121</v>
      </c>
      <c r="Q6803" s="2" t="s">
        <v>45122</v>
      </c>
      <c r="R6803" s="2" t="s">
        <v>45123</v>
      </c>
      <c r="S6803" s="2" t="s">
        <v>1444</v>
      </c>
      <c r="T6803" s="2" t="s">
        <v>10689</v>
      </c>
      <c r="U6803" s="2" t="s">
        <v>41</v>
      </c>
      <c r="V6803" s="2" t="s">
        <v>59</v>
      </c>
      <c r="W6803" s="2">
        <v>37.6</v>
      </c>
      <c r="X6803" s="2">
        <v>0.26600000000000001</v>
      </c>
      <c r="Y6803" s="2" t="s">
        <v>118</v>
      </c>
      <c r="Z6803" s="2" t="s">
        <v>45124</v>
      </c>
      <c r="AA6803" s="2">
        <v>0.58641152785024497</v>
      </c>
      <c r="AB6803" s="2">
        <v>1.18303302363237E-2</v>
      </c>
      <c r="AC6803" s="2">
        <v>55887.169043957598</v>
      </c>
      <c r="AD6803" s="2">
        <v>55680.603251661501</v>
      </c>
      <c r="AE6803" s="2">
        <v>52211.055353761301</v>
      </c>
      <c r="AF6803" s="2">
        <v>58316.111570876201</v>
      </c>
      <c r="AG6803" s="2">
        <v>54686.6227503396</v>
      </c>
      <c r="AH6803" s="2">
        <v>56331.627041421998</v>
      </c>
      <c r="AI6803" s="2">
        <v>56144.370157306199</v>
      </c>
      <c r="AJ6803" s="2">
        <v>57633.227390040403</v>
      </c>
      <c r="AK6803" s="2">
        <v>57212.947106188301</v>
      </c>
      <c r="AL6803" s="2">
        <v>57695.750678248201</v>
      </c>
      <c r="AM6803" s="2">
        <v>59415.236204658198</v>
      </c>
      <c r="AN6803" s="2">
        <v>54585.187336900402</v>
      </c>
      <c r="AO6803" s="2">
        <v>52586.012130228402</v>
      </c>
      <c r="AP6803" s="2">
        <v>52588.486053745197</v>
      </c>
    </row>
    <row r="6804" spans="1:42" ht="14.5" x14ac:dyDescent="0.35">
      <c r="A6804" s="2" t="s">
        <v>45125</v>
      </c>
      <c r="B6804" s="2">
        <v>137.99853336623099</v>
      </c>
      <c r="C6804" s="2">
        <v>0.63648333333333296</v>
      </c>
      <c r="D6804" s="2" t="s">
        <v>34</v>
      </c>
      <c r="E6804" s="2" t="s">
        <v>45126</v>
      </c>
      <c r="F6804" s="2">
        <v>200659</v>
      </c>
      <c r="G6804" s="3" t="str">
        <f>HYPERLINK("http://funmeta.oebiotech.com/network/200659", "http://funmeta.oebiotech.com/network/200659")</f>
        <v>http://funmeta.oebiotech.com/network/200659</v>
      </c>
      <c r="H6804" s="2" t="s">
        <v>45127</v>
      </c>
      <c r="I6804" s="2"/>
      <c r="J6804" s="2"/>
      <c r="K6804" s="2">
        <v>53620</v>
      </c>
      <c r="L6804" s="2"/>
      <c r="M6804" s="2"/>
      <c r="N6804" s="2"/>
      <c r="O6804" s="2">
        <v>39800</v>
      </c>
      <c r="P6804" s="2"/>
      <c r="Q6804" s="2" t="s">
        <v>45128</v>
      </c>
      <c r="R6804" s="2" t="s">
        <v>45129</v>
      </c>
      <c r="S6804" s="2" t="s">
        <v>491</v>
      </c>
      <c r="T6804" s="2" t="s">
        <v>3519</v>
      </c>
      <c r="U6804" s="2" t="s">
        <v>19069</v>
      </c>
      <c r="V6804" s="2" t="s">
        <v>59</v>
      </c>
      <c r="W6804" s="2">
        <v>38.299999999999997</v>
      </c>
      <c r="X6804" s="2">
        <v>2.4300000000000002</v>
      </c>
      <c r="Y6804" s="2" t="s">
        <v>323</v>
      </c>
      <c r="Z6804" s="2" t="s">
        <v>45130</v>
      </c>
      <c r="AA6804" s="2">
        <v>1.11209832134609</v>
      </c>
      <c r="AB6804" s="2">
        <v>1.1786405176629501E-2</v>
      </c>
      <c r="AC6804" s="2">
        <v>5963.4408665801102</v>
      </c>
      <c r="AD6804" s="2">
        <v>5829.1507221369202</v>
      </c>
      <c r="AE6804" s="2">
        <v>6680.74918785932</v>
      </c>
      <c r="AF6804" s="2">
        <v>8317.9805088288795</v>
      </c>
      <c r="AG6804" s="2">
        <v>4861.5620413841798</v>
      </c>
      <c r="AH6804" s="2">
        <v>4650.0985810334396</v>
      </c>
      <c r="AI6804" s="2">
        <v>6552.0310433742197</v>
      </c>
      <c r="AJ6804" s="2">
        <v>4718.2238370006498</v>
      </c>
      <c r="AK6804" s="2">
        <v>6454.56939368038</v>
      </c>
      <c r="AL6804" s="2">
        <v>6488.8404912479</v>
      </c>
      <c r="AM6804" s="2">
        <v>5249.65921005358</v>
      </c>
      <c r="AN6804" s="2">
        <v>5168.4690497676602</v>
      </c>
      <c r="AO6804" s="2">
        <v>5141.6625008144201</v>
      </c>
      <c r="AP6804" s="2">
        <v>6471.7036872576</v>
      </c>
    </row>
    <row r="6805" spans="1:42" ht="14.5" x14ac:dyDescent="0.35">
      <c r="A6805" s="2" t="s">
        <v>45131</v>
      </c>
      <c r="B6805" s="2">
        <v>218.11735577082999</v>
      </c>
      <c r="C6805" s="2">
        <v>8.2129499999999993</v>
      </c>
      <c r="D6805" s="2" t="s">
        <v>34</v>
      </c>
      <c r="E6805" s="2" t="s">
        <v>45132</v>
      </c>
      <c r="F6805" s="2">
        <v>255457</v>
      </c>
      <c r="G6805" s="3" t="str">
        <f>HYPERLINK("http://funmeta.oebiotech.com/network/255457", "http://funmeta.oebiotech.com/network/255457")</f>
        <v>http://funmeta.oebiotech.com/network/255457</v>
      </c>
      <c r="H6805" s="2" t="s">
        <v>45133</v>
      </c>
      <c r="I6805" s="2"/>
      <c r="J6805" s="2"/>
      <c r="K6805" s="2"/>
      <c r="L6805" s="2"/>
      <c r="M6805" s="2"/>
      <c r="N6805" s="2"/>
      <c r="O6805" s="2">
        <v>103031</v>
      </c>
      <c r="P6805" s="2"/>
      <c r="Q6805" s="2" t="s">
        <v>45134</v>
      </c>
      <c r="R6805" s="2" t="s">
        <v>45135</v>
      </c>
      <c r="S6805" s="2" t="s">
        <v>79</v>
      </c>
      <c r="T6805" s="2" t="s">
        <v>80</v>
      </c>
      <c r="U6805" s="2" t="s">
        <v>249</v>
      </c>
      <c r="V6805" s="2" t="s">
        <v>59</v>
      </c>
      <c r="W6805" s="2">
        <v>41</v>
      </c>
      <c r="X6805" s="2">
        <v>13.4</v>
      </c>
      <c r="Y6805" s="2" t="s">
        <v>43</v>
      </c>
      <c r="Z6805" s="2" t="s">
        <v>44019</v>
      </c>
      <c r="AA6805" s="2">
        <v>-0.996498468762265</v>
      </c>
      <c r="AB6805" s="2">
        <v>1.17764892547002E-2</v>
      </c>
      <c r="AC6805" s="2">
        <v>3636.8181069717898</v>
      </c>
      <c r="AD6805" s="2">
        <v>3567.9732028983199</v>
      </c>
      <c r="AE6805" s="2">
        <v>3409.3842743701798</v>
      </c>
      <c r="AF6805" s="2">
        <v>3699.8304049892299</v>
      </c>
      <c r="AG6805" s="2">
        <v>3904.5166866230902</v>
      </c>
      <c r="AH6805" s="2">
        <v>3758.6066070064599</v>
      </c>
      <c r="AI6805" s="2">
        <v>3828.6492227655999</v>
      </c>
      <c r="AJ6805" s="2">
        <v>3219.92144607618</v>
      </c>
      <c r="AK6805" s="2">
        <v>3415.25971581353</v>
      </c>
      <c r="AL6805" s="2">
        <v>3377.1837217464899</v>
      </c>
      <c r="AM6805" s="2">
        <v>3927.47994708848</v>
      </c>
      <c r="AN6805" s="2">
        <v>3589.5078948576702</v>
      </c>
      <c r="AO6805" s="2">
        <v>3245.1272677767702</v>
      </c>
      <c r="AP6805" s="2">
        <v>3853.2806701069999</v>
      </c>
    </row>
    <row r="6806" spans="1:42" ht="14.5" x14ac:dyDescent="0.35">
      <c r="A6806" s="2" t="s">
        <v>45136</v>
      </c>
      <c r="B6806" s="2">
        <v>483.208074556513</v>
      </c>
      <c r="C6806" s="2">
        <v>4.5776166666666702</v>
      </c>
      <c r="D6806" s="2" t="s">
        <v>70</v>
      </c>
      <c r="E6806" s="2" t="s">
        <v>45137</v>
      </c>
      <c r="F6806" s="2">
        <v>52925</v>
      </c>
      <c r="G6806" s="3" t="str">
        <f>HYPERLINK("http://funmeta.oebiotech.com/network/52925", "http://funmeta.oebiotech.com/network/52925")</f>
        <v>http://funmeta.oebiotech.com/network/52925</v>
      </c>
      <c r="H6806" s="2" t="s">
        <v>45138</v>
      </c>
      <c r="I6806" s="2">
        <v>2833</v>
      </c>
      <c r="J6806" s="2"/>
      <c r="K6806" s="2">
        <v>102166</v>
      </c>
      <c r="L6806" s="2" t="s">
        <v>45139</v>
      </c>
      <c r="M6806" s="2"/>
      <c r="N6806" s="2"/>
      <c r="O6806" s="2">
        <v>3000715</v>
      </c>
      <c r="P6806" s="2" t="s">
        <v>45140</v>
      </c>
      <c r="Q6806" s="2" t="s">
        <v>45141</v>
      </c>
      <c r="R6806" s="2" t="s">
        <v>45142</v>
      </c>
      <c r="S6806" s="2" t="s">
        <v>491</v>
      </c>
      <c r="T6806" s="2" t="s">
        <v>4517</v>
      </c>
      <c r="U6806" s="2" t="s">
        <v>4518</v>
      </c>
      <c r="V6806" s="2" t="s">
        <v>59</v>
      </c>
      <c r="W6806" s="2">
        <v>38.6</v>
      </c>
      <c r="X6806" s="2">
        <v>0</v>
      </c>
      <c r="Y6806" s="2" t="s">
        <v>560</v>
      </c>
      <c r="Z6806" s="2" t="s">
        <v>45143</v>
      </c>
      <c r="AA6806" s="2">
        <v>-5.0528160239841</v>
      </c>
      <c r="AB6806" s="2">
        <v>1.17330427237729E-2</v>
      </c>
      <c r="AC6806" s="2">
        <v>9487.8827737183601</v>
      </c>
      <c r="AD6806" s="2">
        <v>9693.9556913058695</v>
      </c>
      <c r="AE6806" s="2">
        <v>12110.064062100901</v>
      </c>
      <c r="AF6806" s="2">
        <v>10926.608604051</v>
      </c>
      <c r="AG6806" s="2">
        <v>10272.4923203288</v>
      </c>
      <c r="AH6806" s="2">
        <v>7300.66815423342</v>
      </c>
      <c r="AI6806" s="2">
        <v>7244.0801547891097</v>
      </c>
      <c r="AJ6806" s="2">
        <v>9073.3833468069297</v>
      </c>
      <c r="AK6806" s="2">
        <v>7619.3799253777597</v>
      </c>
      <c r="AL6806" s="2">
        <v>9732.9108747493701</v>
      </c>
      <c r="AM6806" s="2">
        <v>6912.2813165329599</v>
      </c>
      <c r="AN6806" s="2">
        <v>11487.5362534092</v>
      </c>
      <c r="AO6806" s="2">
        <v>9740.57423816351</v>
      </c>
      <c r="AP6806" s="2">
        <v>12671.0515396024</v>
      </c>
    </row>
    <row r="6807" spans="1:42" ht="14.5" x14ac:dyDescent="0.35">
      <c r="A6807" s="2" t="s">
        <v>45144</v>
      </c>
      <c r="B6807" s="2">
        <v>437.202197175604</v>
      </c>
      <c r="C6807" s="2">
        <v>4.1696666666666697</v>
      </c>
      <c r="D6807" s="2" t="s">
        <v>70</v>
      </c>
      <c r="E6807" s="2" t="s">
        <v>45145</v>
      </c>
      <c r="F6807" s="2">
        <v>209236</v>
      </c>
      <c r="G6807" s="3" t="str">
        <f>HYPERLINK("http://funmeta.oebiotech.com/network/209236", "http://funmeta.oebiotech.com/network/209236")</f>
        <v>http://funmeta.oebiotech.com/network/209236</v>
      </c>
      <c r="H6807" s="2" t="s">
        <v>45146</v>
      </c>
      <c r="I6807" s="2">
        <v>70034</v>
      </c>
      <c r="J6807" s="2"/>
      <c r="K6807" s="2"/>
      <c r="L6807" s="2" t="s">
        <v>45147</v>
      </c>
      <c r="M6807" s="2"/>
      <c r="N6807" s="2"/>
      <c r="O6807" s="2">
        <v>7013</v>
      </c>
      <c r="P6807" s="2" t="s">
        <v>45148</v>
      </c>
      <c r="Q6807" s="2" t="s">
        <v>45149</v>
      </c>
      <c r="R6807" s="2" t="s">
        <v>45150</v>
      </c>
      <c r="S6807" s="2" t="s">
        <v>148</v>
      </c>
      <c r="T6807" s="2" t="s">
        <v>6221</v>
      </c>
      <c r="U6807" s="2" t="s">
        <v>41</v>
      </c>
      <c r="V6807" s="2" t="s">
        <v>59</v>
      </c>
      <c r="W6807" s="2">
        <v>36.700000000000003</v>
      </c>
      <c r="X6807" s="2">
        <v>0</v>
      </c>
      <c r="Y6807" s="2" t="s">
        <v>560</v>
      </c>
      <c r="Z6807" s="2" t="s">
        <v>45151</v>
      </c>
      <c r="AA6807" s="2">
        <v>-0.28578975974586202</v>
      </c>
      <c r="AB6807" s="2">
        <v>1.1661574628198499E-2</v>
      </c>
      <c r="AC6807" s="2">
        <v>796.15376514423895</v>
      </c>
      <c r="AD6807" s="2">
        <v>881.11629899475702</v>
      </c>
      <c r="AE6807" s="2">
        <v>1208.04938714693</v>
      </c>
      <c r="AF6807" s="2">
        <v>603.54588310327199</v>
      </c>
      <c r="AG6807" s="2">
        <v>541.51024001897099</v>
      </c>
      <c r="AH6807" s="2">
        <v>632.08781130190005</v>
      </c>
      <c r="AI6807" s="2">
        <v>697.936430599</v>
      </c>
      <c r="AJ6807" s="2">
        <v>1093.7928386953599</v>
      </c>
      <c r="AK6807" s="2">
        <v>440.967544001276</v>
      </c>
      <c r="AL6807" s="2">
        <v>2.7106294003980101E-5</v>
      </c>
      <c r="AM6807" s="2">
        <v>1462.93605709743</v>
      </c>
      <c r="AN6807" s="2">
        <v>1100.18360197111</v>
      </c>
      <c r="AO6807" s="2">
        <v>1601.80080792339</v>
      </c>
      <c r="AP6807" s="2">
        <v>680.80975586904003</v>
      </c>
    </row>
    <row r="6808" spans="1:42" ht="14.5" x14ac:dyDescent="0.35">
      <c r="A6808" s="2" t="s">
        <v>45152</v>
      </c>
      <c r="B6808" s="2">
        <v>191.154224825715</v>
      </c>
      <c r="C6808" s="2">
        <v>15.270583333333301</v>
      </c>
      <c r="D6808" s="2" t="s">
        <v>34</v>
      </c>
      <c r="E6808" s="2" t="s">
        <v>45153</v>
      </c>
      <c r="F6808" s="2">
        <v>199464</v>
      </c>
      <c r="G6808" s="3" t="str">
        <f>HYPERLINK("http://funmeta.oebiotech.com/network/199464", "http://funmeta.oebiotech.com/network/199464")</f>
        <v>http://funmeta.oebiotech.com/network/199464</v>
      </c>
      <c r="H6808" s="2" t="s">
        <v>45154</v>
      </c>
      <c r="I6808" s="2">
        <v>66221</v>
      </c>
      <c r="J6808" s="2"/>
      <c r="K6808" s="2">
        <v>17963</v>
      </c>
      <c r="L6808" s="2" t="s">
        <v>45155</v>
      </c>
      <c r="M6808" s="2" t="s">
        <v>45156</v>
      </c>
      <c r="N6808" s="2" t="s">
        <v>45157</v>
      </c>
      <c r="O6808" s="2">
        <v>1388</v>
      </c>
      <c r="P6808" s="2" t="s">
        <v>45158</v>
      </c>
      <c r="Q6808" s="2" t="s">
        <v>45159</v>
      </c>
      <c r="R6808" s="2" t="s">
        <v>45160</v>
      </c>
      <c r="S6808" s="2" t="s">
        <v>491</v>
      </c>
      <c r="T6808" s="2" t="s">
        <v>2238</v>
      </c>
      <c r="U6808" s="2" t="s">
        <v>2239</v>
      </c>
      <c r="V6808" s="2" t="s">
        <v>59</v>
      </c>
      <c r="W6808" s="2">
        <v>39.200000000000003</v>
      </c>
      <c r="X6808" s="2">
        <v>0</v>
      </c>
      <c r="Y6808" s="2" t="s">
        <v>43</v>
      </c>
      <c r="Z6808" s="2" t="s">
        <v>45161</v>
      </c>
      <c r="AA6808" s="2">
        <v>-0.28991453592495797</v>
      </c>
      <c r="AB6808" s="2">
        <v>1.16571352149464E-2</v>
      </c>
      <c r="AC6808" s="2">
        <v>2330.8650468753399</v>
      </c>
      <c r="AD6808" s="2">
        <v>2380.94296890954</v>
      </c>
      <c r="AE6808" s="2">
        <v>2218.4547108038701</v>
      </c>
      <c r="AF6808" s="2">
        <v>2438.7216758187301</v>
      </c>
      <c r="AG6808" s="2">
        <v>2593.3000112008099</v>
      </c>
      <c r="AH6808" s="2">
        <v>2359.8807313679099</v>
      </c>
      <c r="AI6808" s="2">
        <v>2212.43735569312</v>
      </c>
      <c r="AJ6808" s="2">
        <v>2162.3957963675798</v>
      </c>
      <c r="AK6808" s="2">
        <v>2550.4856996650801</v>
      </c>
      <c r="AL6808" s="2">
        <v>2443.13854324559</v>
      </c>
      <c r="AM6808" s="2">
        <v>2413.7834683271399</v>
      </c>
      <c r="AN6808" s="2">
        <v>2265.4721714805501</v>
      </c>
      <c r="AO6808" s="2">
        <v>2269.07480636628</v>
      </c>
      <c r="AP6808" s="2">
        <v>2343.7031243725701</v>
      </c>
    </row>
    <row r="6809" spans="1:42" ht="14.5" x14ac:dyDescent="0.35">
      <c r="A6809" s="2" t="s">
        <v>45162</v>
      </c>
      <c r="B6809" s="2">
        <v>531.23493176886495</v>
      </c>
      <c r="C6809" s="2">
        <v>5.8043833333333303</v>
      </c>
      <c r="D6809" s="2" t="s">
        <v>70</v>
      </c>
      <c r="E6809" s="2" t="s">
        <v>45163</v>
      </c>
      <c r="F6809" s="2">
        <v>515463</v>
      </c>
      <c r="G6809" s="3" t="str">
        <f>HYPERLINK("http://funmeta.oebiotech.com/network/515463", "http://funmeta.oebiotech.com/network/515463")</f>
        <v>http://funmeta.oebiotech.com/network/515463</v>
      </c>
      <c r="H6809" s="2"/>
      <c r="I6809" s="2">
        <v>96491</v>
      </c>
      <c r="J6809" s="2"/>
      <c r="K6809" s="2"/>
      <c r="L6809" s="2"/>
      <c r="M6809" s="2"/>
      <c r="N6809" s="2"/>
      <c r="O6809" s="2">
        <v>121225391</v>
      </c>
      <c r="P6809" s="2" t="s">
        <v>45164</v>
      </c>
      <c r="Q6809" s="2" t="s">
        <v>27863</v>
      </c>
      <c r="R6809" s="2" t="s">
        <v>45165</v>
      </c>
      <c r="S6809" s="2" t="s">
        <v>148</v>
      </c>
      <c r="T6809" s="2" t="s">
        <v>149</v>
      </c>
      <c r="U6809" s="2" t="s">
        <v>1593</v>
      </c>
      <c r="V6809" s="2" t="s">
        <v>59</v>
      </c>
      <c r="W6809" s="2">
        <v>38.4</v>
      </c>
      <c r="X6809" s="2">
        <v>0</v>
      </c>
      <c r="Y6809" s="2" t="s">
        <v>560</v>
      </c>
      <c r="Z6809" s="2" t="s">
        <v>45166</v>
      </c>
      <c r="AA6809" s="2">
        <v>2.40560490221513</v>
      </c>
      <c r="AB6809" s="2">
        <v>1.15927071273708E-2</v>
      </c>
      <c r="AC6809" s="2">
        <v>15284.329679274801</v>
      </c>
      <c r="AD6809" s="2">
        <v>15144.923653346101</v>
      </c>
      <c r="AE6809" s="2">
        <v>14325.002708477299</v>
      </c>
      <c r="AF6809" s="2">
        <v>13161.9156829813</v>
      </c>
      <c r="AG6809" s="2">
        <v>17403.460443963599</v>
      </c>
      <c r="AH6809" s="2">
        <v>15571.903948052301</v>
      </c>
      <c r="AI6809" s="2">
        <v>14439.323486294999</v>
      </c>
      <c r="AJ6809" s="2">
        <v>16804.3718058796</v>
      </c>
      <c r="AK6809" s="2">
        <v>15058.892205747699</v>
      </c>
      <c r="AL6809" s="2">
        <v>14810.342715881499</v>
      </c>
      <c r="AM6809" s="2">
        <v>14183.1832575632</v>
      </c>
      <c r="AN6809" s="2">
        <v>14492.7486972022</v>
      </c>
      <c r="AO6809" s="2">
        <v>15478.029666837099</v>
      </c>
      <c r="AP6809" s="2">
        <v>16846.345376844802</v>
      </c>
    </row>
    <row r="6810" spans="1:42" ht="14.5" x14ac:dyDescent="0.35">
      <c r="A6810" s="2" t="s">
        <v>45167</v>
      </c>
      <c r="B6810" s="2">
        <v>478.23590329634902</v>
      </c>
      <c r="C6810" s="2">
        <v>10.754849999999999</v>
      </c>
      <c r="D6810" s="2" t="s">
        <v>34</v>
      </c>
      <c r="E6810" s="2" t="s">
        <v>45168</v>
      </c>
      <c r="F6810" s="2">
        <v>21192</v>
      </c>
      <c r="G6810" s="3" t="str">
        <f>HYPERLINK("http://funmeta.oebiotech.com/network/21192", "http://funmeta.oebiotech.com/network/21192")</f>
        <v>http://funmeta.oebiotech.com/network/21192</v>
      </c>
      <c r="H6810" s="2" t="s">
        <v>45169</v>
      </c>
      <c r="I6810" s="2">
        <v>62289</v>
      </c>
      <c r="J6810" s="2" t="s">
        <v>45170</v>
      </c>
      <c r="K6810" s="2"/>
      <c r="L6810" s="2"/>
      <c r="M6810" s="2"/>
      <c r="N6810" s="2"/>
      <c r="O6810" s="2">
        <v>52925150</v>
      </c>
      <c r="P6810" s="2"/>
      <c r="Q6810" s="2" t="s">
        <v>45171</v>
      </c>
      <c r="R6810" s="2" t="s">
        <v>45172</v>
      </c>
      <c r="S6810" s="2" t="s">
        <v>50</v>
      </c>
      <c r="T6810" s="2" t="s">
        <v>51</v>
      </c>
      <c r="U6810" s="2" t="s">
        <v>257</v>
      </c>
      <c r="V6810" s="2" t="s">
        <v>59</v>
      </c>
      <c r="W6810" s="2">
        <v>37.299999999999997</v>
      </c>
      <c r="X6810" s="2">
        <v>0</v>
      </c>
      <c r="Y6810" s="2" t="s">
        <v>340</v>
      </c>
      <c r="Z6810" s="2" t="s">
        <v>45173</v>
      </c>
      <c r="AA6810" s="2">
        <v>6.5014647213622796</v>
      </c>
      <c r="AB6810" s="2">
        <v>1.15290640898221E-2</v>
      </c>
      <c r="AC6810" s="2">
        <v>1186.0443768396301</v>
      </c>
      <c r="AD6810" s="2">
        <v>1078.0644378443301</v>
      </c>
      <c r="AE6810" s="2">
        <v>1598.9007263173601</v>
      </c>
      <c r="AF6810" s="2">
        <v>545.33368237119305</v>
      </c>
      <c r="AG6810" s="2">
        <v>863.809525735791</v>
      </c>
      <c r="AH6810" s="2">
        <v>1137.14917367573</v>
      </c>
      <c r="AI6810" s="2">
        <v>1720.3002226226399</v>
      </c>
      <c r="AJ6810" s="2">
        <v>1250.77293031509</v>
      </c>
      <c r="AK6810" s="2">
        <v>572.63854388311097</v>
      </c>
      <c r="AL6810" s="2">
        <v>2759.36020893051</v>
      </c>
      <c r="AM6810" s="2">
        <v>419.35653603506597</v>
      </c>
      <c r="AN6810" s="2">
        <v>1435.74339552438</v>
      </c>
      <c r="AO6810" s="2">
        <v>826.39376277073302</v>
      </c>
      <c r="AP6810" s="2">
        <v>454.894179922192</v>
      </c>
    </row>
    <row r="6811" spans="1:42" ht="14.5" x14ac:dyDescent="0.35">
      <c r="A6811" s="2" t="s">
        <v>45174</v>
      </c>
      <c r="B6811" s="2">
        <v>217.15884441862099</v>
      </c>
      <c r="C6811" s="2">
        <v>4.1056666666666697</v>
      </c>
      <c r="D6811" s="2" t="s">
        <v>34</v>
      </c>
      <c r="E6811" s="2" t="s">
        <v>45175</v>
      </c>
      <c r="F6811" s="2">
        <v>280526</v>
      </c>
      <c r="G6811" s="3" t="str">
        <f>HYPERLINK("http://funmeta.oebiotech.com/network/280526", "http://funmeta.oebiotech.com/network/280526")</f>
        <v>http://funmeta.oebiotech.com/network/280526</v>
      </c>
      <c r="H6811" s="2"/>
      <c r="I6811" s="2">
        <v>85121</v>
      </c>
      <c r="J6811" s="2"/>
      <c r="K6811" s="2"/>
      <c r="L6811" s="2" t="s">
        <v>45176</v>
      </c>
      <c r="M6811" s="2"/>
      <c r="N6811" s="2"/>
      <c r="O6811" s="2">
        <v>442187</v>
      </c>
      <c r="P6811" s="2" t="s">
        <v>45177</v>
      </c>
      <c r="Q6811" s="2" t="s">
        <v>45178</v>
      </c>
      <c r="R6811" s="2" t="s">
        <v>45179</v>
      </c>
      <c r="S6811" s="2" t="s">
        <v>491</v>
      </c>
      <c r="T6811" s="2" t="s">
        <v>2943</v>
      </c>
      <c r="U6811" s="2" t="s">
        <v>41</v>
      </c>
      <c r="V6811" s="2" t="s">
        <v>59</v>
      </c>
      <c r="W6811" s="2">
        <v>38.700000000000003</v>
      </c>
      <c r="X6811" s="2">
        <v>0</v>
      </c>
      <c r="Y6811" s="2" t="s">
        <v>141</v>
      </c>
      <c r="Z6811" s="2" t="s">
        <v>9159</v>
      </c>
      <c r="AA6811" s="2">
        <v>0.65221502415722099</v>
      </c>
      <c r="AB6811" s="2">
        <v>1.1523659706969299E-2</v>
      </c>
      <c r="AC6811" s="2">
        <v>1409.07682239164</v>
      </c>
      <c r="AD6811" s="2">
        <v>1349.20338869487</v>
      </c>
      <c r="AE6811" s="2">
        <v>1267.65659717771</v>
      </c>
      <c r="AF6811" s="2">
        <v>1209.39631220155</v>
      </c>
      <c r="AG6811" s="2">
        <v>1292.5941883140499</v>
      </c>
      <c r="AH6811" s="2">
        <v>1692.95302731063</v>
      </c>
      <c r="AI6811" s="2">
        <v>1348.9051536781101</v>
      </c>
      <c r="AJ6811" s="2">
        <v>1642.9556556677801</v>
      </c>
      <c r="AK6811" s="2">
        <v>984.32239690205199</v>
      </c>
      <c r="AL6811" s="2">
        <v>1529.2899383034101</v>
      </c>
      <c r="AM6811" s="2">
        <v>1257.1356816998</v>
      </c>
      <c r="AN6811" s="2">
        <v>1495.86285059173</v>
      </c>
      <c r="AO6811" s="2">
        <v>1580.17686020373</v>
      </c>
      <c r="AP6811" s="2">
        <v>1248.4326044684999</v>
      </c>
    </row>
    <row r="6812" spans="1:42" ht="14.5" x14ac:dyDescent="0.35">
      <c r="A6812" s="2" t="s">
        <v>45180</v>
      </c>
      <c r="B6812" s="2">
        <v>571.10426472622805</v>
      </c>
      <c r="C6812" s="2">
        <v>4.8801333333333297</v>
      </c>
      <c r="D6812" s="2" t="s">
        <v>70</v>
      </c>
      <c r="E6812" s="2" t="s">
        <v>45181</v>
      </c>
      <c r="F6812" s="2">
        <v>211333</v>
      </c>
      <c r="G6812" s="3" t="str">
        <f>HYPERLINK("http://funmeta.oebiotech.com/network/211333", "http://funmeta.oebiotech.com/network/211333")</f>
        <v>http://funmeta.oebiotech.com/network/211333</v>
      </c>
      <c r="H6812" s="2" t="s">
        <v>45182</v>
      </c>
      <c r="I6812" s="2"/>
      <c r="J6812" s="2"/>
      <c r="K6812" s="2"/>
      <c r="L6812" s="2"/>
      <c r="M6812" s="2"/>
      <c r="N6812" s="2"/>
      <c r="O6812" s="2">
        <v>136027451</v>
      </c>
      <c r="P6812" s="2"/>
      <c r="Q6812" s="2" t="s">
        <v>45183</v>
      </c>
      <c r="R6812" s="2" t="s">
        <v>45184</v>
      </c>
      <c r="S6812" s="2" t="s">
        <v>491</v>
      </c>
      <c r="T6812" s="2" t="s">
        <v>7431</v>
      </c>
      <c r="U6812" s="2" t="s">
        <v>7432</v>
      </c>
      <c r="V6812" s="2" t="s">
        <v>59</v>
      </c>
      <c r="W6812" s="2">
        <v>39.1</v>
      </c>
      <c r="X6812" s="2">
        <v>0</v>
      </c>
      <c r="Y6812" s="2" t="s">
        <v>560</v>
      </c>
      <c r="Z6812" s="2" t="s">
        <v>45185</v>
      </c>
      <c r="AA6812" s="2">
        <v>-1.80212920070813</v>
      </c>
      <c r="AB6812" s="2">
        <v>1.1509742725723599E-2</v>
      </c>
      <c r="AC6812" s="2">
        <v>5145.8850256170699</v>
      </c>
      <c r="AD6812" s="2">
        <v>5275.5507708383502</v>
      </c>
      <c r="AE6812" s="2">
        <v>3670.77914590819</v>
      </c>
      <c r="AF6812" s="2">
        <v>5002.6765242130896</v>
      </c>
      <c r="AG6812" s="2">
        <v>6835.0418069432098</v>
      </c>
      <c r="AH6812" s="2">
        <v>5226.38874101484</v>
      </c>
      <c r="AI6812" s="2">
        <v>4728.4289649826296</v>
      </c>
      <c r="AJ6812" s="2">
        <v>5411.9949706404896</v>
      </c>
      <c r="AK6812" s="2">
        <v>5131.71406497512</v>
      </c>
      <c r="AL6812" s="2">
        <v>5728.1550808991296</v>
      </c>
      <c r="AM6812" s="2">
        <v>4357.4668782773597</v>
      </c>
      <c r="AN6812" s="2">
        <v>4500.5108732646404</v>
      </c>
      <c r="AO6812" s="2">
        <v>5366.6287845663901</v>
      </c>
      <c r="AP6812" s="2">
        <v>6568.8289430474497</v>
      </c>
    </row>
    <row r="6813" spans="1:42" ht="14.5" x14ac:dyDescent="0.35">
      <c r="A6813" s="2" t="s">
        <v>45186</v>
      </c>
      <c r="B6813" s="2">
        <v>284.996479133722</v>
      </c>
      <c r="C6813" s="2">
        <v>8.9563666666666695</v>
      </c>
      <c r="D6813" s="2" t="s">
        <v>70</v>
      </c>
      <c r="E6813" s="2" t="s">
        <v>45187</v>
      </c>
      <c r="F6813" s="2">
        <v>212353</v>
      </c>
      <c r="G6813" s="3" t="str">
        <f>HYPERLINK("http://funmeta.oebiotech.com/network/212353", "http://funmeta.oebiotech.com/network/212353")</f>
        <v>http://funmeta.oebiotech.com/network/212353</v>
      </c>
      <c r="H6813" s="2" t="s">
        <v>45188</v>
      </c>
      <c r="I6813" s="2"/>
      <c r="J6813" s="2"/>
      <c r="K6813" s="2"/>
      <c r="L6813" s="2"/>
      <c r="M6813" s="2"/>
      <c r="N6813" s="2"/>
      <c r="O6813" s="2"/>
      <c r="P6813" s="2"/>
      <c r="Q6813" s="2" t="s">
        <v>45189</v>
      </c>
      <c r="R6813" s="2" t="s">
        <v>45190</v>
      </c>
      <c r="S6813" s="2" t="s">
        <v>89</v>
      </c>
      <c r="T6813" s="2" t="s">
        <v>1773</v>
      </c>
      <c r="U6813" s="2" t="s">
        <v>45191</v>
      </c>
      <c r="V6813" s="2" t="s">
        <v>59</v>
      </c>
      <c r="W6813" s="2">
        <v>37.5</v>
      </c>
      <c r="X6813" s="2">
        <v>0</v>
      </c>
      <c r="Y6813" s="2" t="s">
        <v>408</v>
      </c>
      <c r="Z6813" s="2" t="s">
        <v>45192</v>
      </c>
      <c r="AA6813" s="2">
        <v>-1.7520523381642501</v>
      </c>
      <c r="AB6813" s="2">
        <v>1.14947788863725E-2</v>
      </c>
      <c r="AC6813" s="2">
        <v>2836.3061835369099</v>
      </c>
      <c r="AD6813" s="2">
        <v>2785.86796475761</v>
      </c>
      <c r="AE6813" s="2">
        <v>2825.04389276859</v>
      </c>
      <c r="AF6813" s="2">
        <v>2688.1658417333701</v>
      </c>
      <c r="AG6813" s="2">
        <v>3017.1525398621602</v>
      </c>
      <c r="AH6813" s="2">
        <v>2897.06049386636</v>
      </c>
      <c r="AI6813" s="2">
        <v>2682.6000917842698</v>
      </c>
      <c r="AJ6813" s="2">
        <v>2907.81424120671</v>
      </c>
      <c r="AK6813" s="2">
        <v>2982.4521622482598</v>
      </c>
      <c r="AL6813" s="2">
        <v>2871.1121710244802</v>
      </c>
      <c r="AM6813" s="2">
        <v>2867.5149327753102</v>
      </c>
      <c r="AN6813" s="2">
        <v>2618.5970915000898</v>
      </c>
      <c r="AO6813" s="2">
        <v>2903.9754683268402</v>
      </c>
      <c r="AP6813" s="2">
        <v>2471.5559626706599</v>
      </c>
    </row>
    <row r="6814" spans="1:42" ht="14.5" x14ac:dyDescent="0.35">
      <c r="A6814" s="2" t="s">
        <v>45193</v>
      </c>
      <c r="B6814" s="2">
        <v>210.982598956457</v>
      </c>
      <c r="C6814" s="2">
        <v>8.11355</v>
      </c>
      <c r="D6814" s="2" t="s">
        <v>70</v>
      </c>
      <c r="E6814" s="2" t="s">
        <v>45194</v>
      </c>
      <c r="F6814" s="2">
        <v>210134</v>
      </c>
      <c r="G6814" s="3" t="str">
        <f>HYPERLINK("http://funmeta.oebiotech.com/network/210134", "http://funmeta.oebiotech.com/network/210134")</f>
        <v>http://funmeta.oebiotech.com/network/210134</v>
      </c>
      <c r="H6814" s="2" t="s">
        <v>45195</v>
      </c>
      <c r="I6814" s="2">
        <v>339162</v>
      </c>
      <c r="J6814" s="2"/>
      <c r="K6814" s="2">
        <v>46796</v>
      </c>
      <c r="L6814" s="2"/>
      <c r="M6814" s="2"/>
      <c r="N6814" s="2"/>
      <c r="O6814" s="2">
        <v>11770</v>
      </c>
      <c r="P6814" s="2"/>
      <c r="Q6814" s="2" t="s">
        <v>45196</v>
      </c>
      <c r="R6814" s="2" t="s">
        <v>45197</v>
      </c>
      <c r="S6814" s="2" t="s">
        <v>148</v>
      </c>
      <c r="T6814" s="2" t="s">
        <v>149</v>
      </c>
      <c r="U6814" s="2" t="s">
        <v>1593</v>
      </c>
      <c r="V6814" s="2" t="s">
        <v>59</v>
      </c>
      <c r="W6814" s="2">
        <v>36.4</v>
      </c>
      <c r="X6814" s="2">
        <v>0</v>
      </c>
      <c r="Y6814" s="2" t="s">
        <v>118</v>
      </c>
      <c r="Z6814" s="2" t="s">
        <v>45198</v>
      </c>
      <c r="AA6814" s="2">
        <v>0.96710970084110104</v>
      </c>
      <c r="AB6814" s="2">
        <v>1.14786649421006E-2</v>
      </c>
      <c r="AC6814" s="2">
        <v>373.28912168403002</v>
      </c>
      <c r="AD6814" s="2">
        <v>337.30460163433298</v>
      </c>
      <c r="AE6814" s="2">
        <v>467.87792471606002</v>
      </c>
      <c r="AF6814" s="2">
        <v>445.89092287841697</v>
      </c>
      <c r="AG6814" s="2">
        <v>352.68520719845299</v>
      </c>
      <c r="AH6814" s="2">
        <v>296.54499691543901</v>
      </c>
      <c r="AI6814" s="2">
        <v>325.58545220829399</v>
      </c>
      <c r="AJ6814" s="2">
        <v>351.15022618751698</v>
      </c>
      <c r="AK6814" s="2">
        <v>350.20521345635501</v>
      </c>
      <c r="AL6814" s="2">
        <v>265.38792345824498</v>
      </c>
      <c r="AM6814" s="2">
        <v>437.67922198669203</v>
      </c>
      <c r="AN6814" s="2">
        <v>188.27285350232501</v>
      </c>
      <c r="AO6814" s="2">
        <v>411.92768626877898</v>
      </c>
      <c r="AP6814" s="2">
        <v>370.35471113360001</v>
      </c>
    </row>
    <row r="6815" spans="1:42" ht="14.5" x14ac:dyDescent="0.35">
      <c r="A6815" s="2" t="s">
        <v>45199</v>
      </c>
      <c r="B6815" s="2">
        <v>324.32572951238097</v>
      </c>
      <c r="C6815" s="2">
        <v>13.9061</v>
      </c>
      <c r="D6815" s="2" t="s">
        <v>34</v>
      </c>
      <c r="E6815" s="2" t="s">
        <v>45200</v>
      </c>
      <c r="F6815" s="2">
        <v>57823</v>
      </c>
      <c r="G6815" s="3" t="str">
        <f>HYPERLINK("http://funmeta.oebiotech.com/network/57823", "http://funmeta.oebiotech.com/network/57823")</f>
        <v>http://funmeta.oebiotech.com/network/57823</v>
      </c>
      <c r="H6815" s="2" t="s">
        <v>45201</v>
      </c>
      <c r="I6815" s="2">
        <v>89410</v>
      </c>
      <c r="J6815" s="2"/>
      <c r="K6815" s="2"/>
      <c r="L6815" s="2"/>
      <c r="M6815" s="2"/>
      <c r="N6815" s="2"/>
      <c r="O6815" s="2">
        <v>183142</v>
      </c>
      <c r="P6815" s="2" t="s">
        <v>45202</v>
      </c>
      <c r="Q6815" s="2" t="s">
        <v>45203</v>
      </c>
      <c r="R6815" s="2" t="s">
        <v>45204</v>
      </c>
      <c r="S6815" s="2" t="s">
        <v>491</v>
      </c>
      <c r="T6815" s="2" t="s">
        <v>2621</v>
      </c>
      <c r="U6815" s="2" t="s">
        <v>41</v>
      </c>
      <c r="V6815" s="2" t="s">
        <v>59</v>
      </c>
      <c r="W6815" s="2">
        <v>48</v>
      </c>
      <c r="X6815" s="2">
        <v>44.9</v>
      </c>
      <c r="Y6815" s="2" t="s">
        <v>43</v>
      </c>
      <c r="Z6815" s="2" t="s">
        <v>45205</v>
      </c>
      <c r="AA6815" s="2">
        <v>-1.18140703856351</v>
      </c>
      <c r="AB6815" s="2">
        <v>1.14427409309021E-2</v>
      </c>
      <c r="AC6815" s="2">
        <v>5519.9207510534598</v>
      </c>
      <c r="AD6815" s="2">
        <v>5680.9278660598802</v>
      </c>
      <c r="AE6815" s="2">
        <v>6403.4065264614601</v>
      </c>
      <c r="AF6815" s="2">
        <v>3840.1194610216098</v>
      </c>
      <c r="AG6815" s="2">
        <v>3134.0111805306801</v>
      </c>
      <c r="AH6815" s="2">
        <v>7676.4219317461402</v>
      </c>
      <c r="AI6815" s="2">
        <v>6259.6509437544</v>
      </c>
      <c r="AJ6815" s="2">
        <v>5805.9144628064796</v>
      </c>
      <c r="AK6815" s="2">
        <v>5459.32983997066</v>
      </c>
      <c r="AL6815" s="2">
        <v>6270.8665190047604</v>
      </c>
      <c r="AM6815" s="2">
        <v>5010.29481571215</v>
      </c>
      <c r="AN6815" s="2">
        <v>3980.4809196239999</v>
      </c>
      <c r="AO6815" s="2">
        <v>4524.9253608541303</v>
      </c>
      <c r="AP6815" s="2">
        <v>8839.6697411936002</v>
      </c>
    </row>
    <row r="6816" spans="1:42" ht="14.5" x14ac:dyDescent="0.35">
      <c r="A6816" s="2" t="s">
        <v>45206</v>
      </c>
      <c r="B6816" s="2">
        <v>312.32574207133803</v>
      </c>
      <c r="C6816" s="2">
        <v>14.64495</v>
      </c>
      <c r="D6816" s="2" t="s">
        <v>34</v>
      </c>
      <c r="E6816" s="2" t="s">
        <v>45207</v>
      </c>
      <c r="F6816" s="2">
        <v>38998</v>
      </c>
      <c r="G6816" s="3" t="str">
        <f>HYPERLINK("http://funmeta.oebiotech.com/network/38998", "http://funmeta.oebiotech.com/network/38998")</f>
        <v>http://funmeta.oebiotech.com/network/38998</v>
      </c>
      <c r="H6816" s="2"/>
      <c r="I6816" s="2">
        <v>53956</v>
      </c>
      <c r="J6816" s="2" t="s">
        <v>45208</v>
      </c>
      <c r="K6816" s="2">
        <v>137846</v>
      </c>
      <c r="L6816" s="2"/>
      <c r="M6816" s="2"/>
      <c r="N6816" s="2"/>
      <c r="O6816" s="2">
        <v>42608375</v>
      </c>
      <c r="P6816" s="2"/>
      <c r="Q6816" s="2" t="s">
        <v>45209</v>
      </c>
      <c r="R6816" s="2" t="s">
        <v>45210</v>
      </c>
      <c r="S6816" s="2" t="s">
        <v>1677</v>
      </c>
      <c r="T6816" s="2" t="s">
        <v>1678</v>
      </c>
      <c r="U6816" s="2" t="s">
        <v>1679</v>
      </c>
      <c r="V6816" s="2" t="s">
        <v>59</v>
      </c>
      <c r="W6816" s="2">
        <v>43.5</v>
      </c>
      <c r="X6816" s="2">
        <v>22</v>
      </c>
      <c r="Y6816" s="2" t="s">
        <v>141</v>
      </c>
      <c r="Z6816" s="2" t="s">
        <v>45211</v>
      </c>
      <c r="AA6816" s="2">
        <v>-1.06064509847226</v>
      </c>
      <c r="AB6816" s="2">
        <v>1.1429933409916699E-2</v>
      </c>
      <c r="AC6816" s="2">
        <v>3298.6039746802899</v>
      </c>
      <c r="AD6816" s="2">
        <v>3183.48419942385</v>
      </c>
      <c r="AE6816" s="2">
        <v>3798.2974009208201</v>
      </c>
      <c r="AF6816" s="2">
        <v>2242.4512213233302</v>
      </c>
      <c r="AG6816" s="2">
        <v>3828.5685176153102</v>
      </c>
      <c r="AH6816" s="2">
        <v>2598.8593060264998</v>
      </c>
      <c r="AI6816" s="2">
        <v>2819.3364026719901</v>
      </c>
      <c r="AJ6816" s="2">
        <v>4504.1109995237703</v>
      </c>
      <c r="AK6816" s="2">
        <v>4587.5902568530601</v>
      </c>
      <c r="AL6816" s="2">
        <v>2257.48429535075</v>
      </c>
      <c r="AM6816" s="2">
        <v>2858.4413664599501</v>
      </c>
      <c r="AN6816" s="2">
        <v>2134.4450324725199</v>
      </c>
      <c r="AO6816" s="2">
        <v>3286.6582034635298</v>
      </c>
      <c r="AP6816" s="2">
        <v>3976.28604194327</v>
      </c>
    </row>
    <row r="6817" spans="1:42" ht="14.5" x14ac:dyDescent="0.35">
      <c r="A6817" s="2" t="s">
        <v>45212</v>
      </c>
      <c r="B6817" s="2">
        <v>267.14900564633598</v>
      </c>
      <c r="C6817" s="2">
        <v>3.9315333333333302</v>
      </c>
      <c r="D6817" s="2" t="s">
        <v>34</v>
      </c>
      <c r="E6817" s="2" t="s">
        <v>45213</v>
      </c>
      <c r="F6817" s="2">
        <v>53816</v>
      </c>
      <c r="G6817" s="3" t="str">
        <f>HYPERLINK("http://funmeta.oebiotech.com/network/53816", "http://funmeta.oebiotech.com/network/53816")</f>
        <v>http://funmeta.oebiotech.com/network/53816</v>
      </c>
      <c r="H6817" s="2" t="s">
        <v>45214</v>
      </c>
      <c r="I6817" s="2">
        <v>24018</v>
      </c>
      <c r="J6817" s="2"/>
      <c r="K6817" s="2"/>
      <c r="L6817" s="2"/>
      <c r="M6817" s="2"/>
      <c r="N6817" s="2"/>
      <c r="O6817" s="2">
        <v>19900079</v>
      </c>
      <c r="P6817" s="2"/>
      <c r="Q6817" s="2" t="s">
        <v>45215</v>
      </c>
      <c r="R6817" s="2" t="s">
        <v>45216</v>
      </c>
      <c r="S6817" s="2" t="s">
        <v>89</v>
      </c>
      <c r="T6817" s="2" t="s">
        <v>90</v>
      </c>
      <c r="U6817" s="2" t="s">
        <v>99</v>
      </c>
      <c r="V6817" s="2" t="s">
        <v>59</v>
      </c>
      <c r="W6817" s="2">
        <v>37.1</v>
      </c>
      <c r="X6817" s="2">
        <v>0</v>
      </c>
      <c r="Y6817" s="2" t="s">
        <v>43</v>
      </c>
      <c r="Z6817" s="2" t="s">
        <v>45217</v>
      </c>
      <c r="AA6817" s="2">
        <v>1.87718309220486</v>
      </c>
      <c r="AB6817" s="2">
        <v>1.1320981002767299E-2</v>
      </c>
      <c r="AC6817" s="2">
        <v>1506.2196695069999</v>
      </c>
      <c r="AD6817" s="2">
        <v>1577.56275572084</v>
      </c>
      <c r="AE6817" s="2">
        <v>1043.8545577314701</v>
      </c>
      <c r="AF6817" s="2">
        <v>1599.3665597325701</v>
      </c>
      <c r="AG6817" s="2">
        <v>1598.01945382033</v>
      </c>
      <c r="AH6817" s="2">
        <v>1542.1893634773601</v>
      </c>
      <c r="AI6817" s="2">
        <v>1588.4401775973699</v>
      </c>
      <c r="AJ6817" s="2">
        <v>1665.4479046829099</v>
      </c>
      <c r="AK6817" s="2">
        <v>891.29958902875899</v>
      </c>
      <c r="AL6817" s="2">
        <v>1904.9279111598701</v>
      </c>
      <c r="AM6817" s="2">
        <v>1344.3962354094899</v>
      </c>
      <c r="AN6817" s="2">
        <v>1675.0956840598899</v>
      </c>
      <c r="AO6817" s="2">
        <v>1629.6222413992</v>
      </c>
      <c r="AP6817" s="2">
        <v>2020.0348732678201</v>
      </c>
    </row>
    <row r="6818" spans="1:42" ht="14.5" x14ac:dyDescent="0.35">
      <c r="A6818" s="2" t="s">
        <v>45218</v>
      </c>
      <c r="B6818" s="2">
        <v>217.122225734918</v>
      </c>
      <c r="C6818" s="2">
        <v>4.8327999999999998</v>
      </c>
      <c r="D6818" s="2" t="s">
        <v>34</v>
      </c>
      <c r="E6818" s="2" t="s">
        <v>45219</v>
      </c>
      <c r="F6818" s="2">
        <v>63962</v>
      </c>
      <c r="G6818" s="3" t="str">
        <f>HYPERLINK("http://funmeta.oebiotech.com/network/63962", "http://funmeta.oebiotech.com/network/63962")</f>
        <v>http://funmeta.oebiotech.com/network/63962</v>
      </c>
      <c r="H6818" s="2" t="s">
        <v>45220</v>
      </c>
      <c r="I6818" s="2">
        <v>95295</v>
      </c>
      <c r="J6818" s="2"/>
      <c r="K6818" s="2">
        <v>172456</v>
      </c>
      <c r="L6818" s="2"/>
      <c r="M6818" s="2"/>
      <c r="N6818" s="2"/>
      <c r="O6818" s="2">
        <v>6443694</v>
      </c>
      <c r="P6818" s="2"/>
      <c r="Q6818" s="2" t="s">
        <v>45221</v>
      </c>
      <c r="R6818" s="2" t="s">
        <v>45222</v>
      </c>
      <c r="S6818" s="2" t="s">
        <v>115</v>
      </c>
      <c r="T6818" s="2" t="s">
        <v>38330</v>
      </c>
      <c r="U6818" s="2" t="s">
        <v>41</v>
      </c>
      <c r="V6818" s="2" t="s">
        <v>59</v>
      </c>
      <c r="W6818" s="2">
        <v>39.299999999999997</v>
      </c>
      <c r="X6818" s="2">
        <v>0</v>
      </c>
      <c r="Y6818" s="2" t="s">
        <v>394</v>
      </c>
      <c r="Z6818" s="2" t="s">
        <v>34401</v>
      </c>
      <c r="AA6818" s="2">
        <v>-0.37225232265365998</v>
      </c>
      <c r="AB6818" s="2">
        <v>1.1320238567679801E-2</v>
      </c>
      <c r="AC6818" s="2">
        <v>1548.78876181334</v>
      </c>
      <c r="AD6818" s="2">
        <v>1620.6853656395799</v>
      </c>
      <c r="AE6818" s="2">
        <v>1526.5462030854501</v>
      </c>
      <c r="AF6818" s="2">
        <v>1836.7070331001401</v>
      </c>
      <c r="AG6818" s="2">
        <v>986.96365859983405</v>
      </c>
      <c r="AH6818" s="2">
        <v>1785.3293214113601</v>
      </c>
      <c r="AI6818" s="2">
        <v>1671.87038745008</v>
      </c>
      <c r="AJ6818" s="2">
        <v>1485.3159672331999</v>
      </c>
      <c r="AK6818" s="2">
        <v>1715.97937592734</v>
      </c>
      <c r="AL6818" s="2">
        <v>1866.45223464743</v>
      </c>
      <c r="AM6818" s="2">
        <v>2014.4723022493699</v>
      </c>
      <c r="AN6818" s="2">
        <v>987.91748122165598</v>
      </c>
      <c r="AO6818" s="2">
        <v>1619.6522080560501</v>
      </c>
      <c r="AP6818" s="2">
        <v>1519.6385917356499</v>
      </c>
    </row>
    <row r="6819" spans="1:42" ht="14.5" x14ac:dyDescent="0.35">
      <c r="A6819" s="2" t="s">
        <v>45223</v>
      </c>
      <c r="B6819" s="2">
        <v>169.04955437392999</v>
      </c>
      <c r="C6819" s="2">
        <v>4.7579333333333302</v>
      </c>
      <c r="D6819" s="2" t="s">
        <v>70</v>
      </c>
      <c r="E6819" s="2" t="s">
        <v>45224</v>
      </c>
      <c r="F6819" s="2">
        <v>266766</v>
      </c>
      <c r="G6819" s="3" t="str">
        <f>HYPERLINK("http://funmeta.oebiotech.com/network/266766", "http://funmeta.oebiotech.com/network/266766")</f>
        <v>http://funmeta.oebiotech.com/network/266766</v>
      </c>
      <c r="H6819" s="2"/>
      <c r="I6819" s="2">
        <v>43939</v>
      </c>
      <c r="J6819" s="2"/>
      <c r="K6819" s="2"/>
      <c r="L6819" s="2" t="s">
        <v>45225</v>
      </c>
      <c r="M6819" s="2"/>
      <c r="N6819" s="2"/>
      <c r="O6819" s="2">
        <v>4728</v>
      </c>
      <c r="P6819" s="2" t="s">
        <v>45226</v>
      </c>
      <c r="Q6819" s="2" t="s">
        <v>45227</v>
      </c>
      <c r="R6819" s="2" t="s">
        <v>45228</v>
      </c>
      <c r="S6819" s="2" t="s">
        <v>491</v>
      </c>
      <c r="T6819" s="2" t="s">
        <v>2321</v>
      </c>
      <c r="U6819" s="2" t="s">
        <v>2322</v>
      </c>
      <c r="V6819" s="2" t="s">
        <v>59</v>
      </c>
      <c r="W6819" s="2">
        <v>42.5</v>
      </c>
      <c r="X6819" s="2">
        <v>21.6</v>
      </c>
      <c r="Y6819" s="2" t="s">
        <v>118</v>
      </c>
      <c r="Z6819" s="2" t="s">
        <v>34687</v>
      </c>
      <c r="AA6819" s="2">
        <v>-6.3389760458523101</v>
      </c>
      <c r="AB6819" s="2">
        <v>1.10656291920978E-2</v>
      </c>
      <c r="AC6819" s="2">
        <v>8.0761248247656496</v>
      </c>
      <c r="AD6819" s="2">
        <v>32.775107622768999</v>
      </c>
      <c r="AE6819" s="2">
        <v>2.7106294003980101E-5</v>
      </c>
      <c r="AF6819" s="2">
        <v>2.7106294003980101E-5</v>
      </c>
      <c r="AG6819" s="2">
        <v>2.7106294003980101E-5</v>
      </c>
      <c r="AH6819" s="2">
        <v>2.7106294003980101E-5</v>
      </c>
      <c r="AI6819" s="2">
        <v>48.456613417123897</v>
      </c>
      <c r="AJ6819" s="2">
        <v>2.7106294003980101E-5</v>
      </c>
      <c r="AK6819" s="2">
        <v>66.197796418037896</v>
      </c>
      <c r="AL6819" s="2">
        <v>2.7106294003980101E-5</v>
      </c>
      <c r="AM6819" s="2">
        <v>2.7106294003980101E-5</v>
      </c>
      <c r="AN6819" s="2">
        <v>130.45274089340001</v>
      </c>
      <c r="AO6819" s="2">
        <v>2.7106294003980101E-5</v>
      </c>
      <c r="AP6819" s="2">
        <v>2.7106294003980101E-5</v>
      </c>
    </row>
    <row r="6820" spans="1:42" ht="14.5" x14ac:dyDescent="0.35">
      <c r="A6820" s="2" t="s">
        <v>45229</v>
      </c>
      <c r="B6820" s="2">
        <v>356.147756024648</v>
      </c>
      <c r="C6820" s="2">
        <v>9.8631833333333301</v>
      </c>
      <c r="D6820" s="2" t="s">
        <v>34</v>
      </c>
      <c r="E6820" s="2" t="s">
        <v>45230</v>
      </c>
      <c r="F6820" s="2">
        <v>204751</v>
      </c>
      <c r="G6820" s="3" t="str">
        <f>HYPERLINK("http://funmeta.oebiotech.com/network/204751", "http://funmeta.oebiotech.com/network/204751")</f>
        <v>http://funmeta.oebiotech.com/network/204751</v>
      </c>
      <c r="H6820" s="2" t="s">
        <v>45231</v>
      </c>
      <c r="I6820" s="2">
        <v>332659</v>
      </c>
      <c r="J6820" s="2"/>
      <c r="K6820" s="2"/>
      <c r="L6820" s="2"/>
      <c r="M6820" s="2"/>
      <c r="N6820" s="2"/>
      <c r="O6820" s="2">
        <v>3091786</v>
      </c>
      <c r="P6820" s="2"/>
      <c r="Q6820" s="2" t="s">
        <v>45232</v>
      </c>
      <c r="R6820" s="2" t="s">
        <v>45233</v>
      </c>
      <c r="S6820" s="2" t="s">
        <v>148</v>
      </c>
      <c r="T6820" s="2" t="s">
        <v>149</v>
      </c>
      <c r="U6820" s="2" t="s">
        <v>4630</v>
      </c>
      <c r="V6820" s="2" t="s">
        <v>59</v>
      </c>
      <c r="W6820" s="2">
        <v>38.1</v>
      </c>
      <c r="X6820" s="2">
        <v>0</v>
      </c>
      <c r="Y6820" s="2" t="s">
        <v>323</v>
      </c>
      <c r="Z6820" s="2" t="s">
        <v>45234</v>
      </c>
      <c r="AA6820" s="2">
        <v>-1.27539190735296</v>
      </c>
      <c r="AB6820" s="2">
        <v>1.10521827237235E-2</v>
      </c>
      <c r="AC6820" s="2">
        <v>4297.5551716481796</v>
      </c>
      <c r="AD6820" s="2">
        <v>4377.4839425203199</v>
      </c>
      <c r="AE6820" s="2">
        <v>3844.0800013723301</v>
      </c>
      <c r="AF6820" s="2">
        <v>3767.9393960811099</v>
      </c>
      <c r="AG6820" s="2">
        <v>4346.9915728077303</v>
      </c>
      <c r="AH6820" s="2">
        <v>5122.6044945262302</v>
      </c>
      <c r="AI6820" s="2">
        <v>4144.6145495528399</v>
      </c>
      <c r="AJ6820" s="2">
        <v>4559.1010155488102</v>
      </c>
      <c r="AK6820" s="2">
        <v>3866.0544281561902</v>
      </c>
      <c r="AL6820" s="2">
        <v>3903.4316074376902</v>
      </c>
      <c r="AM6820" s="2">
        <v>4522.4245479991496</v>
      </c>
      <c r="AN6820" s="2">
        <v>4396.3528430277702</v>
      </c>
      <c r="AO6820" s="2">
        <v>4704.0466682004899</v>
      </c>
      <c r="AP6820" s="2">
        <v>4872.5935603006201</v>
      </c>
    </row>
    <row r="6821" spans="1:42" ht="14.5" x14ac:dyDescent="0.35">
      <c r="A6821" s="2" t="s">
        <v>45235</v>
      </c>
      <c r="B6821" s="2">
        <v>225.06107380569799</v>
      </c>
      <c r="C6821" s="2">
        <v>2.3822666666666699</v>
      </c>
      <c r="D6821" s="2" t="s">
        <v>70</v>
      </c>
      <c r="E6821" s="2" t="s">
        <v>45236</v>
      </c>
      <c r="F6821" s="2">
        <v>47002</v>
      </c>
      <c r="G6821" s="3" t="str">
        <f>HYPERLINK("http://funmeta.oebiotech.com/network/47002", "http://funmeta.oebiotech.com/network/47002")</f>
        <v>http://funmeta.oebiotech.com/network/47002</v>
      </c>
      <c r="H6821" s="2" t="s">
        <v>45237</v>
      </c>
      <c r="I6821" s="2">
        <v>5335</v>
      </c>
      <c r="J6821" s="2"/>
      <c r="K6821" s="2">
        <v>45626</v>
      </c>
      <c r="L6821" s="2"/>
      <c r="M6821" s="2"/>
      <c r="N6821" s="2"/>
      <c r="O6821" s="2">
        <v>152990</v>
      </c>
      <c r="P6821" s="2" t="s">
        <v>45238</v>
      </c>
      <c r="Q6821" s="2" t="s">
        <v>45239</v>
      </c>
      <c r="R6821" s="2" t="s">
        <v>45240</v>
      </c>
      <c r="S6821" s="2" t="s">
        <v>89</v>
      </c>
      <c r="T6821" s="2" t="s">
        <v>4218</v>
      </c>
      <c r="U6821" s="2" t="s">
        <v>5830</v>
      </c>
      <c r="V6821" s="2" t="s">
        <v>59</v>
      </c>
      <c r="W6821" s="2">
        <v>43.9</v>
      </c>
      <c r="X6821" s="2">
        <v>25.6</v>
      </c>
      <c r="Y6821" s="2" t="s">
        <v>408</v>
      </c>
      <c r="Z6821" s="2" t="s">
        <v>4663</v>
      </c>
      <c r="AA6821" s="2">
        <v>-2.8721357907199998</v>
      </c>
      <c r="AB6821" s="2">
        <v>1.10204071424618E-2</v>
      </c>
      <c r="AC6821" s="2">
        <v>9605.0869050538495</v>
      </c>
      <c r="AD6821" s="2">
        <v>9697.2554482125906</v>
      </c>
      <c r="AE6821" s="2">
        <v>9386.9008007596403</v>
      </c>
      <c r="AF6821" s="2">
        <v>10267.0717752005</v>
      </c>
      <c r="AG6821" s="2">
        <v>9106.6165520172799</v>
      </c>
      <c r="AH6821" s="2">
        <v>9461.7320616434608</v>
      </c>
      <c r="AI6821" s="2">
        <v>9070.7614934040994</v>
      </c>
      <c r="AJ6821" s="2">
        <v>10337.4387472981</v>
      </c>
      <c r="AK6821" s="2">
        <v>8831.6489477725208</v>
      </c>
      <c r="AL6821" s="2">
        <v>9439.6859394899893</v>
      </c>
      <c r="AM6821" s="2">
        <v>9613.9940130730502</v>
      </c>
      <c r="AN6821" s="2">
        <v>10694.9831701237</v>
      </c>
      <c r="AO6821" s="2">
        <v>9792.4559182436897</v>
      </c>
      <c r="AP6821" s="2">
        <v>9810.7647005725794</v>
      </c>
    </row>
    <row r="6822" spans="1:42" ht="14.5" x14ac:dyDescent="0.35">
      <c r="A6822" s="2" t="s">
        <v>45241</v>
      </c>
      <c r="B6822" s="2">
        <v>382.15376998680398</v>
      </c>
      <c r="C6822" s="2">
        <v>4.2938999999999998</v>
      </c>
      <c r="D6822" s="2" t="s">
        <v>34</v>
      </c>
      <c r="E6822" s="2" t="s">
        <v>45242</v>
      </c>
      <c r="F6822" s="2">
        <v>52738</v>
      </c>
      <c r="G6822" s="3" t="str">
        <f>HYPERLINK("http://funmeta.oebiotech.com/network/52738", "http://funmeta.oebiotech.com/network/52738")</f>
        <v>http://funmeta.oebiotech.com/network/52738</v>
      </c>
      <c r="H6822" s="2" t="s">
        <v>45243</v>
      </c>
      <c r="I6822" s="2">
        <v>69017</v>
      </c>
      <c r="J6822" s="2"/>
      <c r="K6822" s="2"/>
      <c r="L6822" s="2" t="s">
        <v>45244</v>
      </c>
      <c r="M6822" s="2"/>
      <c r="N6822" s="2"/>
      <c r="O6822" s="2">
        <v>72474</v>
      </c>
      <c r="P6822" s="2" t="s">
        <v>45245</v>
      </c>
      <c r="Q6822" s="2" t="s">
        <v>45246</v>
      </c>
      <c r="R6822" s="2" t="s">
        <v>45247</v>
      </c>
      <c r="S6822" s="2" t="s">
        <v>491</v>
      </c>
      <c r="T6822" s="2" t="s">
        <v>1516</v>
      </c>
      <c r="U6822" s="2" t="s">
        <v>2355</v>
      </c>
      <c r="V6822" s="2" t="s">
        <v>59</v>
      </c>
      <c r="W6822" s="2">
        <v>36</v>
      </c>
      <c r="X6822" s="2">
        <v>0</v>
      </c>
      <c r="Y6822" s="2" t="s">
        <v>323</v>
      </c>
      <c r="Z6822" s="2" t="s">
        <v>45248</v>
      </c>
      <c r="AA6822" s="2">
        <v>8.2157847652801805E-2</v>
      </c>
      <c r="AB6822" s="2">
        <v>1.09035257809096E-2</v>
      </c>
      <c r="AC6822" s="2">
        <v>2281.7375922487799</v>
      </c>
      <c r="AD6822" s="2">
        <v>2402.48606011318</v>
      </c>
      <c r="AE6822" s="2">
        <v>2177.0610209097399</v>
      </c>
      <c r="AF6822" s="2">
        <v>3015.8189167534301</v>
      </c>
      <c r="AG6822" s="2">
        <v>3468.2064498985301</v>
      </c>
      <c r="AH6822" s="2">
        <v>1250.4183269064699</v>
      </c>
      <c r="AI6822" s="2">
        <v>2287.82030231315</v>
      </c>
      <c r="AJ6822" s="2">
        <v>1491.1005367113501</v>
      </c>
      <c r="AK6822" s="2">
        <v>3852.8257227202198</v>
      </c>
      <c r="AL6822" s="2">
        <v>1210.69279214259</v>
      </c>
      <c r="AM6822" s="2">
        <v>2351.9054513927399</v>
      </c>
      <c r="AN6822" s="2">
        <v>1700.6958511006001</v>
      </c>
      <c r="AO6822" s="2">
        <v>1899.6257690443999</v>
      </c>
      <c r="AP6822" s="2">
        <v>3399.1707742785202</v>
      </c>
    </row>
    <row r="6823" spans="1:42" ht="14.5" x14ac:dyDescent="0.35">
      <c r="A6823" s="2" t="s">
        <v>45249</v>
      </c>
      <c r="B6823" s="2">
        <v>231.097258868637</v>
      </c>
      <c r="C6823" s="2">
        <v>1.06171666666667</v>
      </c>
      <c r="D6823" s="2" t="s">
        <v>34</v>
      </c>
      <c r="E6823" s="2" t="s">
        <v>45250</v>
      </c>
      <c r="F6823" s="2">
        <v>47912</v>
      </c>
      <c r="G6823" s="3" t="str">
        <f>HYPERLINK("http://funmeta.oebiotech.com/network/47912", "http://funmeta.oebiotech.com/network/47912")</f>
        <v>http://funmeta.oebiotech.com/network/47912</v>
      </c>
      <c r="H6823" s="2" t="s">
        <v>45251</v>
      </c>
      <c r="I6823" s="2">
        <v>85675</v>
      </c>
      <c r="J6823" s="2"/>
      <c r="K6823" s="2"/>
      <c r="L6823" s="2"/>
      <c r="M6823" s="2"/>
      <c r="N6823" s="2"/>
      <c r="O6823" s="2">
        <v>170612</v>
      </c>
      <c r="P6823" s="2" t="s">
        <v>45252</v>
      </c>
      <c r="Q6823" s="2" t="s">
        <v>45253</v>
      </c>
      <c r="R6823" s="2" t="s">
        <v>45254</v>
      </c>
      <c r="S6823" s="2" t="s">
        <v>89</v>
      </c>
      <c r="T6823" s="2" t="s">
        <v>90</v>
      </c>
      <c r="U6823" s="2" t="s">
        <v>99</v>
      </c>
      <c r="V6823" s="2" t="s">
        <v>59</v>
      </c>
      <c r="W6823" s="2">
        <v>38.9</v>
      </c>
      <c r="X6823" s="2">
        <v>0</v>
      </c>
      <c r="Y6823" s="2" t="s">
        <v>394</v>
      </c>
      <c r="Z6823" s="2" t="s">
        <v>26613</v>
      </c>
      <c r="AA6823" s="2">
        <v>-1.2565491859885101</v>
      </c>
      <c r="AB6823" s="2">
        <v>1.0896294498029899E-2</v>
      </c>
      <c r="AC6823" s="2">
        <v>4753.49277330943</v>
      </c>
      <c r="AD6823" s="2">
        <v>4670.81639599141</v>
      </c>
      <c r="AE6823" s="2">
        <v>4907.91133874562</v>
      </c>
      <c r="AF6823" s="2">
        <v>4495.4263861962399</v>
      </c>
      <c r="AG6823" s="2">
        <v>4883.6135272244601</v>
      </c>
      <c r="AH6823" s="2">
        <v>5375.2280931871301</v>
      </c>
      <c r="AI6823" s="2">
        <v>3601.70379728944</v>
      </c>
      <c r="AJ6823" s="2">
        <v>5257.0734972137097</v>
      </c>
      <c r="AK6823" s="2">
        <v>4674.6134639418797</v>
      </c>
      <c r="AL6823" s="2">
        <v>4691.6512134089799</v>
      </c>
      <c r="AM6823" s="2">
        <v>5058.2146929256996</v>
      </c>
      <c r="AN6823" s="2">
        <v>3936.9172724979999</v>
      </c>
      <c r="AO6823" s="2">
        <v>5296.5023190443799</v>
      </c>
      <c r="AP6823" s="2">
        <v>4366.9994141295101</v>
      </c>
    </row>
    <row r="6824" spans="1:42" ht="14.5" x14ac:dyDescent="0.35">
      <c r="A6824" s="2" t="s">
        <v>45255</v>
      </c>
      <c r="B6824" s="2">
        <v>537.08240807252196</v>
      </c>
      <c r="C6824" s="2">
        <v>7.6493166666666701</v>
      </c>
      <c r="D6824" s="2" t="s">
        <v>70</v>
      </c>
      <c r="E6824" s="2" t="s">
        <v>45256</v>
      </c>
      <c r="F6824" s="2">
        <v>29135</v>
      </c>
      <c r="G6824" s="3" t="str">
        <f>HYPERLINK("http://funmeta.oebiotech.com/network/29135", "http://funmeta.oebiotech.com/network/29135")</f>
        <v>http://funmeta.oebiotech.com/network/29135</v>
      </c>
      <c r="H6824" s="2" t="s">
        <v>45257</v>
      </c>
      <c r="I6824" s="2">
        <v>47521</v>
      </c>
      <c r="J6824" s="2" t="s">
        <v>45258</v>
      </c>
      <c r="K6824" s="2">
        <v>2631</v>
      </c>
      <c r="L6824" s="2" t="s">
        <v>45259</v>
      </c>
      <c r="M6824" s="2"/>
      <c r="N6824" s="2"/>
      <c r="O6824" s="2">
        <v>5281600</v>
      </c>
      <c r="P6824" s="2" t="s">
        <v>45260</v>
      </c>
      <c r="Q6824" s="2" t="s">
        <v>45261</v>
      </c>
      <c r="R6824" s="2" t="s">
        <v>45262</v>
      </c>
      <c r="S6824" s="2" t="s">
        <v>115</v>
      </c>
      <c r="T6824" s="2" t="s">
        <v>139</v>
      </c>
      <c r="U6824" s="2" t="s">
        <v>957</v>
      </c>
      <c r="V6824" s="2" t="s">
        <v>42</v>
      </c>
      <c r="W6824" s="2">
        <v>51.3</v>
      </c>
      <c r="X6824" s="2">
        <v>64.099999999999994</v>
      </c>
      <c r="Y6824" s="2" t="s">
        <v>118</v>
      </c>
      <c r="Z6824" s="2" t="s">
        <v>28271</v>
      </c>
      <c r="AA6824" s="2">
        <v>-0.58032734278617604</v>
      </c>
      <c r="AB6824" s="2">
        <v>1.08779620386586E-2</v>
      </c>
      <c r="AC6824" s="2">
        <v>26.054946246257501</v>
      </c>
      <c r="AD6824" s="2">
        <v>59.791260233262499</v>
      </c>
      <c r="AE6824" s="2">
        <v>2.7106294003980101E-5</v>
      </c>
      <c r="AF6824" s="2">
        <v>2.7106294003980101E-5</v>
      </c>
      <c r="AG6824" s="2">
        <v>2.7106294003980101E-5</v>
      </c>
      <c r="AH6824" s="2">
        <v>2.7106294003980101E-5</v>
      </c>
      <c r="AI6824" s="2">
        <v>156.32954194607501</v>
      </c>
      <c r="AJ6824" s="2">
        <v>2.7106294003980101E-5</v>
      </c>
      <c r="AK6824" s="2">
        <v>194.05217470025801</v>
      </c>
      <c r="AL6824" s="2">
        <v>164.695278274141</v>
      </c>
      <c r="AM6824" s="2">
        <v>2.7106294003980101E-5</v>
      </c>
      <c r="AN6824" s="2">
        <v>2.7106294003980101E-5</v>
      </c>
      <c r="AO6824" s="2">
        <v>2.7106294003980101E-5</v>
      </c>
      <c r="AP6824" s="2">
        <v>2.7106294003980101E-5</v>
      </c>
    </row>
    <row r="6825" spans="1:42" ht="14.5" x14ac:dyDescent="0.35">
      <c r="A6825" s="2" t="s">
        <v>45263</v>
      </c>
      <c r="B6825" s="2">
        <v>157.10103459053801</v>
      </c>
      <c r="C6825" s="2">
        <v>5.1048166666666699</v>
      </c>
      <c r="D6825" s="2" t="s">
        <v>34</v>
      </c>
      <c r="E6825" s="2" t="s">
        <v>45264</v>
      </c>
      <c r="F6825" s="2">
        <v>293355</v>
      </c>
      <c r="G6825" s="3" t="str">
        <f>HYPERLINK("http://funmeta.oebiotech.com/network/293355", "http://funmeta.oebiotech.com/network/293355")</f>
        <v>http://funmeta.oebiotech.com/network/293355</v>
      </c>
      <c r="H6825" s="2"/>
      <c r="I6825" s="2">
        <v>317256</v>
      </c>
      <c r="J6825" s="2"/>
      <c r="K6825" s="2"/>
      <c r="L6825" s="2"/>
      <c r="M6825" s="2"/>
      <c r="N6825" s="2"/>
      <c r="O6825" s="2">
        <v>69885</v>
      </c>
      <c r="P6825" s="2"/>
      <c r="Q6825" s="2" t="s">
        <v>45265</v>
      </c>
      <c r="R6825" s="2" t="s">
        <v>45266</v>
      </c>
      <c r="S6825" s="2" t="s">
        <v>148</v>
      </c>
      <c r="T6825" s="2" t="s">
        <v>19471</v>
      </c>
      <c r="U6825" s="2" t="s">
        <v>41</v>
      </c>
      <c r="V6825" s="2" t="s">
        <v>59</v>
      </c>
      <c r="W6825" s="2">
        <v>39.299999999999997</v>
      </c>
      <c r="X6825" s="2">
        <v>0</v>
      </c>
      <c r="Y6825" s="2" t="s">
        <v>141</v>
      </c>
      <c r="Z6825" s="2" t="s">
        <v>45267</v>
      </c>
      <c r="AA6825" s="2">
        <v>-0.81691185548426504</v>
      </c>
      <c r="AB6825" s="2">
        <v>1.06477620432583E-2</v>
      </c>
      <c r="AC6825" s="2">
        <v>2433.3252461126399</v>
      </c>
      <c r="AD6825" s="2">
        <v>2492.9485483345702</v>
      </c>
      <c r="AE6825" s="2">
        <v>2847.0002648033701</v>
      </c>
      <c r="AF6825" s="2">
        <v>1844.39754149838</v>
      </c>
      <c r="AG6825" s="2">
        <v>2570.9941249462399</v>
      </c>
      <c r="AH6825" s="2">
        <v>2499.1315674047601</v>
      </c>
      <c r="AI6825" s="2">
        <v>2372.7458008558901</v>
      </c>
      <c r="AJ6825" s="2">
        <v>2465.6821771672098</v>
      </c>
      <c r="AK6825" s="2">
        <v>2721.55437032278</v>
      </c>
      <c r="AL6825" s="2">
        <v>2494.0899846696998</v>
      </c>
      <c r="AM6825" s="2">
        <v>2513.27544081214</v>
      </c>
      <c r="AN6825" s="2">
        <v>2287.8180267326602</v>
      </c>
      <c r="AO6825" s="2">
        <v>2501.4560017540798</v>
      </c>
      <c r="AP6825" s="2">
        <v>2439.4974657160801</v>
      </c>
    </row>
    <row r="6826" spans="1:42" ht="14.5" x14ac:dyDescent="0.35">
      <c r="A6826" s="2" t="s">
        <v>45268</v>
      </c>
      <c r="B6826" s="2">
        <v>451.13718819693003</v>
      </c>
      <c r="C6826" s="2">
        <v>4.3459666666666701</v>
      </c>
      <c r="D6826" s="2" t="s">
        <v>70</v>
      </c>
      <c r="E6826" s="2" t="s">
        <v>45269</v>
      </c>
      <c r="F6826" s="2">
        <v>204176</v>
      </c>
      <c r="G6826" s="3" t="str">
        <f>HYPERLINK("http://funmeta.oebiotech.com/network/204176", "http://funmeta.oebiotech.com/network/204176")</f>
        <v>http://funmeta.oebiotech.com/network/204176</v>
      </c>
      <c r="H6826" s="2" t="s">
        <v>45270</v>
      </c>
      <c r="I6826" s="2"/>
      <c r="J6826" s="2"/>
      <c r="K6826" s="2"/>
      <c r="L6826" s="2"/>
      <c r="M6826" s="2"/>
      <c r="N6826" s="2"/>
      <c r="O6826" s="2">
        <v>78122504</v>
      </c>
      <c r="P6826" s="2"/>
      <c r="Q6826" s="2" t="s">
        <v>45271</v>
      </c>
      <c r="R6826" s="2" t="s">
        <v>45272</v>
      </c>
      <c r="S6826" s="2" t="s">
        <v>148</v>
      </c>
      <c r="T6826" s="2" t="s">
        <v>149</v>
      </c>
      <c r="U6826" s="2" t="s">
        <v>1593</v>
      </c>
      <c r="V6826" s="2" t="s">
        <v>59</v>
      </c>
      <c r="W6826" s="2">
        <v>38.299999999999997</v>
      </c>
      <c r="X6826" s="2">
        <v>0</v>
      </c>
      <c r="Y6826" s="2" t="s">
        <v>408</v>
      </c>
      <c r="Z6826" s="2" t="s">
        <v>45273</v>
      </c>
      <c r="AA6826" s="2">
        <v>3.3723921574326901</v>
      </c>
      <c r="AB6826" s="2">
        <v>1.06239240551553E-2</v>
      </c>
      <c r="AC6826" s="2">
        <v>231.573342214592</v>
      </c>
      <c r="AD6826" s="2">
        <v>156.275966081588</v>
      </c>
      <c r="AE6826" s="2">
        <v>2.7106294003980101E-5</v>
      </c>
      <c r="AF6826" s="2">
        <v>2.7106294003980101E-5</v>
      </c>
      <c r="AG6826" s="2">
        <v>2.7106294003980101E-5</v>
      </c>
      <c r="AH6826" s="2">
        <v>1389.4399177560799</v>
      </c>
      <c r="AI6826" s="2">
        <v>2.7106294003980101E-5</v>
      </c>
      <c r="AJ6826" s="2">
        <v>2.7106294003980101E-5</v>
      </c>
      <c r="AK6826" s="2">
        <v>61.133769394212798</v>
      </c>
      <c r="AL6826" s="2">
        <v>99.840484412176096</v>
      </c>
      <c r="AM6826" s="2">
        <v>2.7106294003980101E-5</v>
      </c>
      <c r="AN6826" s="2">
        <v>63.384739713231099</v>
      </c>
      <c r="AO6826" s="2">
        <v>429.76231963866502</v>
      </c>
      <c r="AP6826" s="2">
        <v>283.53445622494797</v>
      </c>
    </row>
    <row r="6827" spans="1:42" ht="14.5" x14ac:dyDescent="0.35">
      <c r="A6827" s="2" t="s">
        <v>45274</v>
      </c>
      <c r="B6827" s="2">
        <v>109.022394564406</v>
      </c>
      <c r="C6827" s="2">
        <v>0.93389999999999995</v>
      </c>
      <c r="D6827" s="2" t="s">
        <v>34</v>
      </c>
      <c r="E6827" s="2" t="s">
        <v>45275</v>
      </c>
      <c r="F6827" s="2">
        <v>57409</v>
      </c>
      <c r="G6827" s="3" t="str">
        <f>HYPERLINK("http://funmeta.oebiotech.com/network/57409", "http://funmeta.oebiotech.com/network/57409")</f>
        <v>http://funmeta.oebiotech.com/network/57409</v>
      </c>
      <c r="H6827" s="2" t="s">
        <v>45276</v>
      </c>
      <c r="I6827" s="2">
        <v>89031</v>
      </c>
      <c r="J6827" s="2"/>
      <c r="K6827" s="2"/>
      <c r="L6827" s="2"/>
      <c r="M6827" s="2"/>
      <c r="N6827" s="2"/>
      <c r="O6827" s="2">
        <v>519907</v>
      </c>
      <c r="P6827" s="2" t="s">
        <v>45277</v>
      </c>
      <c r="Q6827" s="2" t="s">
        <v>45278</v>
      </c>
      <c r="R6827" s="2" t="s">
        <v>45279</v>
      </c>
      <c r="S6827" s="2" t="s">
        <v>5916</v>
      </c>
      <c r="T6827" s="2" t="s">
        <v>5917</v>
      </c>
      <c r="U6827" s="2" t="s">
        <v>5918</v>
      </c>
      <c r="V6827" s="2" t="s">
        <v>59</v>
      </c>
      <c r="W6827" s="2">
        <v>36.9</v>
      </c>
      <c r="X6827" s="2">
        <v>0</v>
      </c>
      <c r="Y6827" s="2" t="s">
        <v>141</v>
      </c>
      <c r="Z6827" s="2" t="s">
        <v>45280</v>
      </c>
      <c r="AA6827" s="2">
        <v>4.0754746801411503</v>
      </c>
      <c r="AB6827" s="2">
        <v>1.06166614468755E-2</v>
      </c>
      <c r="AC6827" s="2">
        <v>1112.82285114205</v>
      </c>
      <c r="AD6827" s="2">
        <v>1064.4716793381499</v>
      </c>
      <c r="AE6827" s="2">
        <v>875.91114676898906</v>
      </c>
      <c r="AF6827" s="2">
        <v>1274.6589784595899</v>
      </c>
      <c r="AG6827" s="2">
        <v>973.38733150291898</v>
      </c>
      <c r="AH6827" s="2">
        <v>1172.5844989127099</v>
      </c>
      <c r="AI6827" s="2">
        <v>1184.3989421050001</v>
      </c>
      <c r="AJ6827" s="2">
        <v>1195.9962091031</v>
      </c>
      <c r="AK6827" s="2">
        <v>1140.3277495914499</v>
      </c>
      <c r="AL6827" s="2">
        <v>1211.4802505802099</v>
      </c>
      <c r="AM6827" s="2">
        <v>903.91622042592803</v>
      </c>
      <c r="AN6827" s="2">
        <v>1305.29467006653</v>
      </c>
      <c r="AO6827" s="2">
        <v>943.32085847369899</v>
      </c>
      <c r="AP6827" s="2">
        <v>882.49032689110004</v>
      </c>
    </row>
    <row r="6828" spans="1:42" ht="14.5" x14ac:dyDescent="0.35">
      <c r="A6828" s="2" t="s">
        <v>45281</v>
      </c>
      <c r="B6828" s="2">
        <v>236.108809334901</v>
      </c>
      <c r="C6828" s="2">
        <v>3.6251333333333302</v>
      </c>
      <c r="D6828" s="2" t="s">
        <v>34</v>
      </c>
      <c r="E6828" s="2" t="s">
        <v>45282</v>
      </c>
      <c r="F6828" s="2">
        <v>279746</v>
      </c>
      <c r="G6828" s="3" t="str">
        <f>HYPERLINK("http://funmeta.oebiotech.com/network/279746", "http://funmeta.oebiotech.com/network/279746")</f>
        <v>http://funmeta.oebiotech.com/network/279746</v>
      </c>
      <c r="H6828" s="2"/>
      <c r="I6828" s="2">
        <v>72525</v>
      </c>
      <c r="J6828" s="2"/>
      <c r="K6828" s="2"/>
      <c r="L6828" s="2" t="s">
        <v>45283</v>
      </c>
      <c r="M6828" s="2"/>
      <c r="N6828" s="2"/>
      <c r="O6828" s="2">
        <v>33528</v>
      </c>
      <c r="P6828" s="2" t="s">
        <v>45284</v>
      </c>
      <c r="Q6828" s="2" t="s">
        <v>45285</v>
      </c>
      <c r="R6828" s="2" t="s">
        <v>45286</v>
      </c>
      <c r="S6828" s="2" t="s">
        <v>491</v>
      </c>
      <c r="T6828" s="2" t="s">
        <v>3519</v>
      </c>
      <c r="U6828" s="2" t="s">
        <v>19069</v>
      </c>
      <c r="V6828" s="2" t="s">
        <v>59</v>
      </c>
      <c r="W6828" s="2">
        <v>37.299999999999997</v>
      </c>
      <c r="X6828" s="2">
        <v>0</v>
      </c>
      <c r="Y6828" s="2" t="s">
        <v>323</v>
      </c>
      <c r="Z6828" s="2" t="s">
        <v>45287</v>
      </c>
      <c r="AA6828" s="2">
        <v>4.0044401087853103</v>
      </c>
      <c r="AB6828" s="2">
        <v>1.0528896733577301E-2</v>
      </c>
      <c r="AC6828" s="2">
        <v>5848.7655832992396</v>
      </c>
      <c r="AD6828" s="2">
        <v>5904.7380715967101</v>
      </c>
      <c r="AE6828" s="2">
        <v>5725.5774581886599</v>
      </c>
      <c r="AF6828" s="2">
        <v>6061.5943268535102</v>
      </c>
      <c r="AG6828" s="2">
        <v>5895.1066842641403</v>
      </c>
      <c r="AH6828" s="2">
        <v>5878.3670387194297</v>
      </c>
      <c r="AI6828" s="2">
        <v>5877.7309929857802</v>
      </c>
      <c r="AJ6828" s="2">
        <v>5654.2169987839197</v>
      </c>
      <c r="AK6828" s="2">
        <v>6314.4041534118496</v>
      </c>
      <c r="AL6828" s="2">
        <v>6057.4370840018</v>
      </c>
      <c r="AM6828" s="2">
        <v>5686.0520409321398</v>
      </c>
      <c r="AN6828" s="2">
        <v>5652.7371536945002</v>
      </c>
      <c r="AO6828" s="2">
        <v>5674.7207210388196</v>
      </c>
      <c r="AP6828" s="2">
        <v>6043.0772765011698</v>
      </c>
    </row>
    <row r="6829" spans="1:42" ht="14.5" x14ac:dyDescent="0.35">
      <c r="A6829" s="2" t="s">
        <v>45288</v>
      </c>
      <c r="B6829" s="2">
        <v>503.19826087714898</v>
      </c>
      <c r="C6829" s="2">
        <v>2.2312500000000002</v>
      </c>
      <c r="D6829" s="2" t="s">
        <v>70</v>
      </c>
      <c r="E6829" s="2" t="s">
        <v>45289</v>
      </c>
      <c r="F6829" s="2">
        <v>208276</v>
      </c>
      <c r="G6829" s="3" t="str">
        <f>HYPERLINK("http://funmeta.oebiotech.com/network/208276", "http://funmeta.oebiotech.com/network/208276")</f>
        <v>http://funmeta.oebiotech.com/network/208276</v>
      </c>
      <c r="H6829" s="2" t="s">
        <v>45290</v>
      </c>
      <c r="I6829" s="2"/>
      <c r="J6829" s="2"/>
      <c r="K6829" s="2"/>
      <c r="L6829" s="2"/>
      <c r="M6829" s="2"/>
      <c r="N6829" s="2"/>
      <c r="O6829" s="2">
        <v>60856</v>
      </c>
      <c r="P6829" s="2"/>
      <c r="Q6829" s="2" t="s">
        <v>45291</v>
      </c>
      <c r="R6829" s="2" t="s">
        <v>45292</v>
      </c>
      <c r="S6829" s="2" t="s">
        <v>89</v>
      </c>
      <c r="T6829" s="2" t="s">
        <v>90</v>
      </c>
      <c r="U6829" s="2" t="s">
        <v>99</v>
      </c>
      <c r="V6829" s="2" t="s">
        <v>59</v>
      </c>
      <c r="W6829" s="2">
        <v>36.700000000000003</v>
      </c>
      <c r="X6829" s="2">
        <v>0</v>
      </c>
      <c r="Y6829" s="2" t="s">
        <v>286</v>
      </c>
      <c r="Z6829" s="2" t="s">
        <v>45293</v>
      </c>
      <c r="AA6829" s="2">
        <v>2.7969249908173701</v>
      </c>
      <c r="AB6829" s="2">
        <v>1.0406908835882901E-2</v>
      </c>
      <c r="AC6829" s="2">
        <v>31901.061224394802</v>
      </c>
      <c r="AD6829" s="2">
        <v>31764.680727911102</v>
      </c>
      <c r="AE6829" s="2">
        <v>31051.149056628001</v>
      </c>
      <c r="AF6829" s="2">
        <v>30042.890252552701</v>
      </c>
      <c r="AG6829" s="2">
        <v>33824.016784939202</v>
      </c>
      <c r="AH6829" s="2">
        <v>31219.6468691562</v>
      </c>
      <c r="AI6829" s="2">
        <v>32911.173199098303</v>
      </c>
      <c r="AJ6829" s="2">
        <v>32357.4911839946</v>
      </c>
      <c r="AK6829" s="2">
        <v>30362.161356995501</v>
      </c>
      <c r="AL6829" s="2">
        <v>32908.197610981202</v>
      </c>
      <c r="AM6829" s="2">
        <v>30768.5865110427</v>
      </c>
      <c r="AN6829" s="2">
        <v>30811.035736440299</v>
      </c>
      <c r="AO6829" s="2">
        <v>31664.903327244901</v>
      </c>
      <c r="AP6829" s="2">
        <v>34073.199824761701</v>
      </c>
    </row>
    <row r="6830" spans="1:42" ht="14.5" x14ac:dyDescent="0.35">
      <c r="A6830" s="2" t="s">
        <v>45294</v>
      </c>
      <c r="B6830" s="2">
        <v>226.97497203732399</v>
      </c>
      <c r="C6830" s="2">
        <v>1.4587666666666701</v>
      </c>
      <c r="D6830" s="2" t="s">
        <v>34</v>
      </c>
      <c r="E6830" s="2" t="s">
        <v>45295</v>
      </c>
      <c r="F6830" s="2">
        <v>256410</v>
      </c>
      <c r="G6830" s="3" t="str">
        <f>HYPERLINK("http://funmeta.oebiotech.com/network/256410", "http://funmeta.oebiotech.com/network/256410")</f>
        <v>http://funmeta.oebiotech.com/network/256410</v>
      </c>
      <c r="H6830" s="2" t="s">
        <v>45296</v>
      </c>
      <c r="I6830" s="2"/>
      <c r="J6830" s="2"/>
      <c r="K6830" s="2"/>
      <c r="L6830" s="2"/>
      <c r="M6830" s="2"/>
      <c r="N6830" s="2"/>
      <c r="O6830" s="2">
        <v>91886149</v>
      </c>
      <c r="P6830" s="2"/>
      <c r="Q6830" s="2" t="s">
        <v>45297</v>
      </c>
      <c r="R6830" s="2" t="s">
        <v>45298</v>
      </c>
      <c r="S6830" s="2" t="s">
        <v>89</v>
      </c>
      <c r="T6830" s="2" t="s">
        <v>31046</v>
      </c>
      <c r="U6830" s="2" t="s">
        <v>45299</v>
      </c>
      <c r="V6830" s="2" t="s">
        <v>59</v>
      </c>
      <c r="W6830" s="2">
        <v>39.1</v>
      </c>
      <c r="X6830" s="2">
        <v>0</v>
      </c>
      <c r="Y6830" s="2" t="s">
        <v>394</v>
      </c>
      <c r="Z6830" s="2" t="s">
        <v>45300</v>
      </c>
      <c r="AA6830" s="2">
        <v>-0.24053966168940899</v>
      </c>
      <c r="AB6830" s="2">
        <v>1.03821838599444E-2</v>
      </c>
      <c r="AC6830" s="2">
        <v>537.43627568764703</v>
      </c>
      <c r="AD6830" s="2">
        <v>579.91048611696306</v>
      </c>
      <c r="AE6830" s="2">
        <v>580.79788863398301</v>
      </c>
      <c r="AF6830" s="2">
        <v>527.61032385314195</v>
      </c>
      <c r="AG6830" s="2">
        <v>352.24424646139499</v>
      </c>
      <c r="AH6830" s="2">
        <v>463.10323013893299</v>
      </c>
      <c r="AI6830" s="2">
        <v>536.496164029689</v>
      </c>
      <c r="AJ6830" s="2">
        <v>764.36580100874301</v>
      </c>
      <c r="AK6830" s="2">
        <v>570.72788965313396</v>
      </c>
      <c r="AL6830" s="2">
        <v>760.68080498761799</v>
      </c>
      <c r="AM6830" s="2">
        <v>647.02184299366195</v>
      </c>
      <c r="AN6830" s="2">
        <v>614.53063302571297</v>
      </c>
      <c r="AO6830" s="2">
        <v>551.27073453006301</v>
      </c>
      <c r="AP6830" s="2">
        <v>335.23101151159</v>
      </c>
    </row>
    <row r="6831" spans="1:42" ht="14.5" x14ac:dyDescent="0.35">
      <c r="A6831" s="2" t="s">
        <v>45301</v>
      </c>
      <c r="B6831" s="2">
        <v>299.05568215202101</v>
      </c>
      <c r="C6831" s="2">
        <v>6.8011333333333299</v>
      </c>
      <c r="D6831" s="2" t="s">
        <v>70</v>
      </c>
      <c r="E6831" s="2" t="s">
        <v>45302</v>
      </c>
      <c r="F6831" s="2">
        <v>31251</v>
      </c>
      <c r="G6831" s="3" t="str">
        <f>HYPERLINK("http://funmeta.oebiotech.com/network/31251", "http://funmeta.oebiotech.com/network/31251")</f>
        <v>http://funmeta.oebiotech.com/network/31251</v>
      </c>
      <c r="H6831" s="2"/>
      <c r="I6831" s="2">
        <v>49587</v>
      </c>
      <c r="J6831" s="2" t="s">
        <v>45303</v>
      </c>
      <c r="K6831" s="2"/>
      <c r="L6831" s="2"/>
      <c r="M6831" s="2"/>
      <c r="N6831" s="2"/>
      <c r="O6831" s="2">
        <v>11174076</v>
      </c>
      <c r="P6831" s="2"/>
      <c r="Q6831" s="2" t="s">
        <v>45304</v>
      </c>
      <c r="R6831" s="2" t="s">
        <v>45305</v>
      </c>
      <c r="S6831" s="2" t="s">
        <v>115</v>
      </c>
      <c r="T6831" s="2" t="s">
        <v>139</v>
      </c>
      <c r="U6831" s="2" t="s">
        <v>1552</v>
      </c>
      <c r="V6831" s="2" t="s">
        <v>42</v>
      </c>
      <c r="W6831" s="2">
        <v>56</v>
      </c>
      <c r="X6831" s="2">
        <v>87.7</v>
      </c>
      <c r="Y6831" s="2" t="s">
        <v>118</v>
      </c>
      <c r="Z6831" s="2" t="s">
        <v>11353</v>
      </c>
      <c r="AA6831" s="2">
        <v>-1.4314248135709</v>
      </c>
      <c r="AB6831" s="2">
        <v>1.0368998213889299E-2</v>
      </c>
      <c r="AC6831" s="2">
        <v>2.7106294003980101E-5</v>
      </c>
      <c r="AD6831" s="2">
        <v>15.658619313472199</v>
      </c>
      <c r="AE6831" s="2">
        <v>2.7106294003980101E-5</v>
      </c>
      <c r="AF6831" s="2">
        <v>2.7106294003980101E-5</v>
      </c>
      <c r="AG6831" s="2">
        <v>2.7106294003980101E-5</v>
      </c>
      <c r="AH6831" s="2">
        <v>2.7106294003980101E-5</v>
      </c>
      <c r="AI6831" s="2">
        <v>2.7106294003980101E-5</v>
      </c>
      <c r="AJ6831" s="2">
        <v>2.7106294003980101E-5</v>
      </c>
      <c r="AK6831" s="2">
        <v>46.007147476599897</v>
      </c>
      <c r="AL6831" s="2">
        <v>2.7106294003980101E-5</v>
      </c>
      <c r="AM6831" s="2">
        <v>2.7106294003980101E-5</v>
      </c>
      <c r="AN6831" s="2">
        <v>47.944459979057299</v>
      </c>
      <c r="AO6831" s="2">
        <v>2.7106294003980101E-5</v>
      </c>
      <c r="AP6831" s="2">
        <v>2.7106294003980101E-5</v>
      </c>
    </row>
    <row r="6832" spans="1:42" ht="14.5" x14ac:dyDescent="0.35">
      <c r="A6832" s="2" t="s">
        <v>45306</v>
      </c>
      <c r="B6832" s="2">
        <v>311.077222015301</v>
      </c>
      <c r="C6832" s="2">
        <v>4.0592666666666704</v>
      </c>
      <c r="D6832" s="2" t="s">
        <v>70</v>
      </c>
      <c r="E6832" s="2" t="s">
        <v>45307</v>
      </c>
      <c r="F6832" s="2">
        <v>266588</v>
      </c>
      <c r="G6832" s="3" t="str">
        <f>HYPERLINK("http://funmeta.oebiotech.com/network/266588", "http://funmeta.oebiotech.com/network/266588")</f>
        <v>http://funmeta.oebiotech.com/network/266588</v>
      </c>
      <c r="H6832" s="2"/>
      <c r="I6832" s="2">
        <v>43632</v>
      </c>
      <c r="J6832" s="2"/>
      <c r="K6832" s="2"/>
      <c r="L6832" s="2"/>
      <c r="M6832" s="2"/>
      <c r="N6832" s="2"/>
      <c r="O6832" s="2">
        <v>4303263</v>
      </c>
      <c r="P6832" s="2" t="s">
        <v>45308</v>
      </c>
      <c r="Q6832" s="2" t="s">
        <v>45309</v>
      </c>
      <c r="R6832" s="2" t="s">
        <v>45310</v>
      </c>
      <c r="S6832" s="2" t="s">
        <v>148</v>
      </c>
      <c r="T6832" s="2" t="s">
        <v>392</v>
      </c>
      <c r="U6832" s="2" t="s">
        <v>3450</v>
      </c>
      <c r="V6832" s="2" t="s">
        <v>59</v>
      </c>
      <c r="W6832" s="2">
        <v>39.5</v>
      </c>
      <c r="X6832" s="2">
        <v>0</v>
      </c>
      <c r="Y6832" s="2" t="s">
        <v>560</v>
      </c>
      <c r="Z6832" s="2" t="s">
        <v>34327</v>
      </c>
      <c r="AA6832" s="2">
        <v>-6.09523967906693E-2</v>
      </c>
      <c r="AB6832" s="2">
        <v>1.03292118451537E-2</v>
      </c>
      <c r="AC6832" s="2">
        <v>2179.2762477039701</v>
      </c>
      <c r="AD6832" s="2">
        <v>2250.0290147447899</v>
      </c>
      <c r="AE6832" s="2">
        <v>2229.6515113515402</v>
      </c>
      <c r="AF6832" s="2">
        <v>2231.2241656174901</v>
      </c>
      <c r="AG6832" s="2">
        <v>2329.4146355070402</v>
      </c>
      <c r="AH6832" s="2">
        <v>1927.2316005744401</v>
      </c>
      <c r="AI6832" s="2">
        <v>1811.15423579505</v>
      </c>
      <c r="AJ6832" s="2">
        <v>2546.9813373782499</v>
      </c>
      <c r="AK6832" s="2">
        <v>2148.4165703000899</v>
      </c>
      <c r="AL6832" s="2">
        <v>2340.1356365257502</v>
      </c>
      <c r="AM6832" s="2">
        <v>2736.0989726327598</v>
      </c>
      <c r="AN6832" s="2">
        <v>2066.13835369754</v>
      </c>
      <c r="AO6832" s="2">
        <v>1575.2776085266</v>
      </c>
      <c r="AP6832" s="2">
        <v>2634.1069467859902</v>
      </c>
    </row>
    <row r="6833" spans="1:42" ht="14.5" x14ac:dyDescent="0.35">
      <c r="A6833" s="2" t="s">
        <v>45311</v>
      </c>
      <c r="B6833" s="2">
        <v>165.054558393913</v>
      </c>
      <c r="C6833" s="2">
        <v>4.7186333333333303</v>
      </c>
      <c r="D6833" s="2" t="s">
        <v>34</v>
      </c>
      <c r="E6833" s="2" t="s">
        <v>45312</v>
      </c>
      <c r="F6833" s="2">
        <v>47662</v>
      </c>
      <c r="G6833" s="3" t="str">
        <f>HYPERLINK("http://funmeta.oebiotech.com/network/47662", "http://funmeta.oebiotech.com/network/47662")</f>
        <v>http://funmeta.oebiotech.com/network/47662</v>
      </c>
      <c r="H6833" s="2" t="s">
        <v>45313</v>
      </c>
      <c r="I6833" s="2">
        <v>305</v>
      </c>
      <c r="J6833" s="2"/>
      <c r="K6833" s="2">
        <v>32357</v>
      </c>
      <c r="L6833" s="2" t="s">
        <v>45314</v>
      </c>
      <c r="M6833" s="2" t="s">
        <v>33275</v>
      </c>
      <c r="N6833" s="2" t="s">
        <v>33276</v>
      </c>
      <c r="O6833" s="2">
        <v>637541</v>
      </c>
      <c r="P6833" s="2" t="s">
        <v>45315</v>
      </c>
      <c r="Q6833" s="2" t="s">
        <v>45316</v>
      </c>
      <c r="R6833" s="2" t="s">
        <v>45317</v>
      </c>
      <c r="S6833" s="2" t="s">
        <v>115</v>
      </c>
      <c r="T6833" s="2" t="s">
        <v>116</v>
      </c>
      <c r="U6833" s="2" t="s">
        <v>117</v>
      </c>
      <c r="V6833" s="2" t="s">
        <v>42</v>
      </c>
      <c r="W6833" s="2">
        <v>58.9</v>
      </c>
      <c r="X6833" s="2">
        <v>97.8</v>
      </c>
      <c r="Y6833" s="2" t="s">
        <v>394</v>
      </c>
      <c r="Z6833" s="2" t="s">
        <v>1036</v>
      </c>
      <c r="AA6833" s="2">
        <v>-0.37887432523838999</v>
      </c>
      <c r="AB6833" s="2">
        <v>1.03068380388266E-2</v>
      </c>
      <c r="AC6833" s="2">
        <v>32358.379598949199</v>
      </c>
      <c r="AD6833" s="2">
        <v>32558.6802603912</v>
      </c>
      <c r="AE6833" s="2">
        <v>34263.393166477697</v>
      </c>
      <c r="AF6833" s="2">
        <v>30332.459647594402</v>
      </c>
      <c r="AG6833" s="2">
        <v>33185.350967075901</v>
      </c>
      <c r="AH6833" s="2">
        <v>35366.8634037015</v>
      </c>
      <c r="AI6833" s="2">
        <v>33926.211364192503</v>
      </c>
      <c r="AJ6833" s="2">
        <v>27075.999044653101</v>
      </c>
      <c r="AK6833" s="2">
        <v>35129.255891767803</v>
      </c>
      <c r="AL6833" s="2">
        <v>33990.602074537099</v>
      </c>
      <c r="AM6833" s="2">
        <v>36965.488844895102</v>
      </c>
      <c r="AN6833" s="2">
        <v>28987.943659746899</v>
      </c>
      <c r="AO6833" s="2">
        <v>29467.393308136601</v>
      </c>
      <c r="AP6833" s="2">
        <v>30811.397783263699</v>
      </c>
    </row>
    <row r="6834" spans="1:42" ht="14.5" x14ac:dyDescent="0.35">
      <c r="A6834" s="2" t="s">
        <v>45318</v>
      </c>
      <c r="B6834" s="2">
        <v>329.26819702113698</v>
      </c>
      <c r="C6834" s="2">
        <v>10.471816666666699</v>
      </c>
      <c r="D6834" s="2" t="s">
        <v>34</v>
      </c>
      <c r="E6834" s="2" t="s">
        <v>45319</v>
      </c>
      <c r="F6834" s="2">
        <v>201492</v>
      </c>
      <c r="G6834" s="3" t="str">
        <f>HYPERLINK("http://funmeta.oebiotech.com/network/201492", "http://funmeta.oebiotech.com/network/201492")</f>
        <v>http://funmeta.oebiotech.com/network/201492</v>
      </c>
      <c r="H6834" s="2" t="s">
        <v>45320</v>
      </c>
      <c r="I6834" s="2"/>
      <c r="J6834" s="2"/>
      <c r="K6834" s="2"/>
      <c r="L6834" s="2"/>
      <c r="M6834" s="2"/>
      <c r="N6834" s="2"/>
      <c r="O6834" s="2">
        <v>11131285</v>
      </c>
      <c r="P6834" s="2"/>
      <c r="Q6834" s="2" t="s">
        <v>45321</v>
      </c>
      <c r="R6834" s="2" t="s">
        <v>45322</v>
      </c>
      <c r="S6834" s="2" t="s">
        <v>41</v>
      </c>
      <c r="T6834" s="2" t="s">
        <v>41</v>
      </c>
      <c r="U6834" s="2" t="s">
        <v>41</v>
      </c>
      <c r="V6834" s="2" t="s">
        <v>42</v>
      </c>
      <c r="W6834" s="2">
        <v>48.4</v>
      </c>
      <c r="X6834" s="2">
        <v>48.7</v>
      </c>
      <c r="Y6834" s="2" t="s">
        <v>394</v>
      </c>
      <c r="Z6834" s="2" t="s">
        <v>30362</v>
      </c>
      <c r="AA6834" s="2">
        <v>-1.3374818865942799</v>
      </c>
      <c r="AB6834" s="2">
        <v>1.02981202127883E-2</v>
      </c>
      <c r="AC6834" s="2">
        <v>4404.4364535331297</v>
      </c>
      <c r="AD6834" s="2">
        <v>4331.7804158806302</v>
      </c>
      <c r="AE6834" s="2">
        <v>4072.52925700789</v>
      </c>
      <c r="AF6834" s="2">
        <v>4004.13756909219</v>
      </c>
      <c r="AG6834" s="2">
        <v>4653.1689531956199</v>
      </c>
      <c r="AH6834" s="2">
        <v>4792.6542808497497</v>
      </c>
      <c r="AI6834" s="2">
        <v>4179.31536558486</v>
      </c>
      <c r="AJ6834" s="2">
        <v>4724.8132954684797</v>
      </c>
      <c r="AK6834" s="2">
        <v>5221.7868344632598</v>
      </c>
      <c r="AL6834" s="2">
        <v>4366.1942109533802</v>
      </c>
      <c r="AM6834" s="2">
        <v>4161.1789734357999</v>
      </c>
      <c r="AN6834" s="2">
        <v>4240.6130034480402</v>
      </c>
      <c r="AO6834" s="2">
        <v>4302.5906800701796</v>
      </c>
      <c r="AP6834" s="2">
        <v>3698.31879291314</v>
      </c>
    </row>
    <row r="6835" spans="1:42" ht="14.5" x14ac:dyDescent="0.35">
      <c r="A6835" s="2" t="s">
        <v>45323</v>
      </c>
      <c r="B6835" s="2">
        <v>510.41497863556799</v>
      </c>
      <c r="C6835" s="2">
        <v>12.529666666666699</v>
      </c>
      <c r="D6835" s="2" t="s">
        <v>34</v>
      </c>
      <c r="E6835" s="2" t="s">
        <v>45324</v>
      </c>
      <c r="F6835" s="2">
        <v>44039</v>
      </c>
      <c r="G6835" s="3" t="str">
        <f>HYPERLINK("http://funmeta.oebiotech.com/network/44039", "http://funmeta.oebiotech.com/network/44039")</f>
        <v>http://funmeta.oebiotech.com/network/44039</v>
      </c>
      <c r="H6835" s="2"/>
      <c r="I6835" s="2">
        <v>84010</v>
      </c>
      <c r="J6835" s="2" t="s">
        <v>45325</v>
      </c>
      <c r="K6835" s="2"/>
      <c r="L6835" s="2"/>
      <c r="M6835" s="2"/>
      <c r="N6835" s="2"/>
      <c r="O6835" s="2">
        <v>14034721</v>
      </c>
      <c r="P6835" s="2"/>
      <c r="Q6835" s="2" t="s">
        <v>45326</v>
      </c>
      <c r="R6835" s="2" t="s">
        <v>45327</v>
      </c>
      <c r="S6835" s="2" t="s">
        <v>50</v>
      </c>
      <c r="T6835" s="2" t="s">
        <v>124</v>
      </c>
      <c r="U6835" s="2" t="s">
        <v>723</v>
      </c>
      <c r="V6835" s="2" t="s">
        <v>59</v>
      </c>
      <c r="W6835" s="2">
        <v>38.299999999999997</v>
      </c>
      <c r="X6835" s="2">
        <v>0</v>
      </c>
      <c r="Y6835" s="2" t="s">
        <v>43</v>
      </c>
      <c r="Z6835" s="2" t="s">
        <v>9671</v>
      </c>
      <c r="AA6835" s="2">
        <v>-0.653273708206635</v>
      </c>
      <c r="AB6835" s="2">
        <v>1.0279113795912001E-2</v>
      </c>
      <c r="AC6835" s="2">
        <v>16740.275401489002</v>
      </c>
      <c r="AD6835" s="2">
        <v>16564.652334833401</v>
      </c>
      <c r="AE6835" s="2">
        <v>16548.726962789799</v>
      </c>
      <c r="AF6835" s="2">
        <v>15384.591212854501</v>
      </c>
      <c r="AG6835" s="2">
        <v>18051.0846350623</v>
      </c>
      <c r="AH6835" s="2">
        <v>17979.5432680835</v>
      </c>
      <c r="AI6835" s="2">
        <v>14636.3426221433</v>
      </c>
      <c r="AJ6835" s="2">
        <v>17841.363708000499</v>
      </c>
      <c r="AK6835" s="2">
        <v>25269.200740557</v>
      </c>
      <c r="AL6835" s="2">
        <v>16023.5462845897</v>
      </c>
      <c r="AM6835" s="2">
        <v>15276.973453573301</v>
      </c>
      <c r="AN6835" s="2">
        <v>13974.6710564233</v>
      </c>
      <c r="AO6835" s="2">
        <v>13969.647482884</v>
      </c>
      <c r="AP6835" s="2">
        <v>14873.8749909731</v>
      </c>
    </row>
    <row r="6836" spans="1:42" ht="14.5" x14ac:dyDescent="0.35">
      <c r="A6836" s="2" t="s">
        <v>45328</v>
      </c>
      <c r="B6836" s="2">
        <v>507.29612732350898</v>
      </c>
      <c r="C6836" s="2">
        <v>9.7717833333333299</v>
      </c>
      <c r="D6836" s="2" t="s">
        <v>70</v>
      </c>
      <c r="E6836" s="2" t="s">
        <v>45329</v>
      </c>
      <c r="F6836" s="2">
        <v>43797</v>
      </c>
      <c r="G6836" s="3" t="str">
        <f>HYPERLINK("http://funmeta.oebiotech.com/network/43797", "http://funmeta.oebiotech.com/network/43797")</f>
        <v>http://funmeta.oebiotech.com/network/43797</v>
      </c>
      <c r="H6836" s="2"/>
      <c r="I6836" s="2"/>
      <c r="J6836" s="2" t="s">
        <v>45330</v>
      </c>
      <c r="K6836" s="2"/>
      <c r="L6836" s="2"/>
      <c r="M6836" s="2"/>
      <c r="N6836" s="2"/>
      <c r="O6836" s="2">
        <v>13829647</v>
      </c>
      <c r="P6836" s="2"/>
      <c r="Q6836" s="2" t="s">
        <v>45331</v>
      </c>
      <c r="R6836" s="2" t="s">
        <v>45332</v>
      </c>
      <c r="S6836" s="2" t="s">
        <v>50</v>
      </c>
      <c r="T6836" s="2" t="s">
        <v>124</v>
      </c>
      <c r="U6836" s="2" t="s">
        <v>125</v>
      </c>
      <c r="V6836" s="2" t="s">
        <v>59</v>
      </c>
      <c r="W6836" s="2">
        <v>40.299999999999997</v>
      </c>
      <c r="X6836" s="2">
        <v>6.08</v>
      </c>
      <c r="Y6836" s="2" t="s">
        <v>408</v>
      </c>
      <c r="Z6836" s="2" t="s">
        <v>3781</v>
      </c>
      <c r="AA6836" s="2">
        <v>-0.46422594644557302</v>
      </c>
      <c r="AB6836" s="2">
        <v>1.0190376276379301E-2</v>
      </c>
      <c r="AC6836" s="2">
        <v>41279.278005809101</v>
      </c>
      <c r="AD6836" s="2">
        <v>41087.245816961004</v>
      </c>
      <c r="AE6836" s="2">
        <v>41081.120790423898</v>
      </c>
      <c r="AF6836" s="2">
        <v>43366.564670943699</v>
      </c>
      <c r="AG6836" s="2">
        <v>39929.127718207303</v>
      </c>
      <c r="AH6836" s="2">
        <v>52725.937013255301</v>
      </c>
      <c r="AI6836" s="2">
        <v>31723.0036061912</v>
      </c>
      <c r="AJ6836" s="2">
        <v>38849.914235832897</v>
      </c>
      <c r="AK6836" s="2">
        <v>37640.844170152901</v>
      </c>
      <c r="AL6836" s="2">
        <v>44230.359212543801</v>
      </c>
      <c r="AM6836" s="2">
        <v>43521.830778671501</v>
      </c>
      <c r="AN6836" s="2">
        <v>38089.472236678303</v>
      </c>
      <c r="AO6836" s="2">
        <v>41979.152558035399</v>
      </c>
      <c r="AP6836" s="2">
        <v>41061.815945684197</v>
      </c>
    </row>
    <row r="6837" spans="1:42" ht="14.5" x14ac:dyDescent="0.35">
      <c r="A6837" s="2" t="s">
        <v>45333</v>
      </c>
      <c r="B6837" s="2">
        <v>254.12869931680299</v>
      </c>
      <c r="C6837" s="2">
        <v>3.4190666666666698</v>
      </c>
      <c r="D6837" s="2" t="s">
        <v>34</v>
      </c>
      <c r="E6837" s="2" t="s">
        <v>45334</v>
      </c>
      <c r="F6837" s="2">
        <v>52899</v>
      </c>
      <c r="G6837" s="3" t="str">
        <f>HYPERLINK("http://funmeta.oebiotech.com/network/52899", "http://funmeta.oebiotech.com/network/52899")</f>
        <v>http://funmeta.oebiotech.com/network/52899</v>
      </c>
      <c r="H6837" s="2" t="s">
        <v>45335</v>
      </c>
      <c r="I6837" s="2">
        <v>1489</v>
      </c>
      <c r="J6837" s="2"/>
      <c r="K6837" s="2">
        <v>3387</v>
      </c>
      <c r="L6837" s="2" t="s">
        <v>45336</v>
      </c>
      <c r="M6837" s="2" t="s">
        <v>11721</v>
      </c>
      <c r="N6837" s="2" t="s">
        <v>11722</v>
      </c>
      <c r="O6837" s="2">
        <v>2554</v>
      </c>
      <c r="P6837" s="2" t="s">
        <v>45337</v>
      </c>
      <c r="Q6837" s="2" t="s">
        <v>45338</v>
      </c>
      <c r="R6837" s="2" t="s">
        <v>45339</v>
      </c>
      <c r="S6837" s="2" t="s">
        <v>491</v>
      </c>
      <c r="T6837" s="2" t="s">
        <v>2597</v>
      </c>
      <c r="U6837" s="2" t="s">
        <v>2598</v>
      </c>
      <c r="V6837" s="2" t="s">
        <v>59</v>
      </c>
      <c r="W6837" s="2">
        <v>37.6</v>
      </c>
      <c r="X6837" s="2">
        <v>0</v>
      </c>
      <c r="Y6837" s="2" t="s">
        <v>43</v>
      </c>
      <c r="Z6837" s="2" t="s">
        <v>45340</v>
      </c>
      <c r="AA6837" s="2">
        <v>-0.37792927102503299</v>
      </c>
      <c r="AB6837" s="2">
        <v>9.9458969520572708E-3</v>
      </c>
      <c r="AC6837" s="2">
        <v>44887.047932850997</v>
      </c>
      <c r="AD6837" s="2">
        <v>44754.195867594302</v>
      </c>
      <c r="AE6837" s="2">
        <v>45419.808399747897</v>
      </c>
      <c r="AF6837" s="2">
        <v>43635.4574679457</v>
      </c>
      <c r="AG6837" s="2">
        <v>46535.025451484304</v>
      </c>
      <c r="AH6837" s="2">
        <v>46017.471342292702</v>
      </c>
      <c r="AI6837" s="2">
        <v>43020.263236417901</v>
      </c>
      <c r="AJ6837" s="2">
        <v>44694.261699217801</v>
      </c>
      <c r="AK6837" s="2">
        <v>41991.446156552702</v>
      </c>
      <c r="AL6837" s="2">
        <v>44344.418610842098</v>
      </c>
      <c r="AM6837" s="2">
        <v>46185.894928838199</v>
      </c>
      <c r="AN6837" s="2">
        <v>43813.520959846297</v>
      </c>
      <c r="AO6837" s="2">
        <v>47533.7785844877</v>
      </c>
      <c r="AP6837" s="2">
        <v>44656.115964998702</v>
      </c>
    </row>
    <row r="6838" spans="1:42" ht="14.5" x14ac:dyDescent="0.35">
      <c r="A6838" s="2" t="s">
        <v>45341</v>
      </c>
      <c r="B6838" s="2">
        <v>710.37577939955895</v>
      </c>
      <c r="C6838" s="2">
        <v>9.1582833333333298</v>
      </c>
      <c r="D6838" s="2" t="s">
        <v>34</v>
      </c>
      <c r="E6838" s="2" t="s">
        <v>45342</v>
      </c>
      <c r="F6838" s="2">
        <v>44705</v>
      </c>
      <c r="G6838" s="3" t="str">
        <f>HYPERLINK("http://funmeta.oebiotech.com/network/44705", "http://funmeta.oebiotech.com/network/44705")</f>
        <v>http://funmeta.oebiotech.com/network/44705</v>
      </c>
      <c r="H6838" s="2"/>
      <c r="I6838" s="2">
        <v>57797</v>
      </c>
      <c r="J6838" s="2" t="s">
        <v>45343</v>
      </c>
      <c r="K6838" s="2">
        <v>27831</v>
      </c>
      <c r="L6838" s="2" t="s">
        <v>45344</v>
      </c>
      <c r="M6838" s="2"/>
      <c r="N6838" s="2"/>
      <c r="O6838" s="2">
        <v>52931495</v>
      </c>
      <c r="P6838" s="2"/>
      <c r="Q6838" s="2" t="s">
        <v>45345</v>
      </c>
      <c r="R6838" s="2" t="s">
        <v>45346</v>
      </c>
      <c r="S6838" s="2" t="s">
        <v>50</v>
      </c>
      <c r="T6838" s="2" t="s">
        <v>124</v>
      </c>
      <c r="U6838" s="2" t="s">
        <v>567</v>
      </c>
      <c r="V6838" s="2" t="s">
        <v>59</v>
      </c>
      <c r="W6838" s="2">
        <v>36.700000000000003</v>
      </c>
      <c r="X6838" s="2">
        <v>0</v>
      </c>
      <c r="Y6838" s="2" t="s">
        <v>43</v>
      </c>
      <c r="Z6838" s="2" t="s">
        <v>45347</v>
      </c>
      <c r="AA6838" s="2">
        <v>1.67857744817191</v>
      </c>
      <c r="AB6838" s="2">
        <v>9.90632165897486E-3</v>
      </c>
      <c r="AC6838" s="2">
        <v>36222.337145455902</v>
      </c>
      <c r="AD6838" s="2">
        <v>36454.036910894101</v>
      </c>
      <c r="AE6838" s="2">
        <v>31352.5468466688</v>
      </c>
      <c r="AF6838" s="2">
        <v>40613.675791678601</v>
      </c>
      <c r="AG6838" s="2">
        <v>39404.225564095002</v>
      </c>
      <c r="AH6838" s="2">
        <v>32241.952150688401</v>
      </c>
      <c r="AI6838" s="2">
        <v>40341.799023218802</v>
      </c>
      <c r="AJ6838" s="2">
        <v>33379.823496385499</v>
      </c>
      <c r="AK6838" s="2">
        <v>43208.726929673299</v>
      </c>
      <c r="AL6838" s="2">
        <v>40354.348317591699</v>
      </c>
      <c r="AM6838" s="2">
        <v>34765.428758916802</v>
      </c>
      <c r="AN6838" s="2">
        <v>33581.725277336001</v>
      </c>
      <c r="AO6838" s="2">
        <v>34292.043589523899</v>
      </c>
      <c r="AP6838" s="2">
        <v>32521.948592322999</v>
      </c>
    </row>
    <row r="6839" spans="1:42" ht="14.5" x14ac:dyDescent="0.35">
      <c r="A6839" s="2" t="s">
        <v>45348</v>
      </c>
      <c r="B6839" s="2">
        <v>341.06633725549801</v>
      </c>
      <c r="C6839" s="2">
        <v>5.3579833333333298</v>
      </c>
      <c r="D6839" s="2" t="s">
        <v>70</v>
      </c>
      <c r="E6839" s="2" t="s">
        <v>45349</v>
      </c>
      <c r="F6839" s="2">
        <v>29980</v>
      </c>
      <c r="G6839" s="3" t="str">
        <f>HYPERLINK("http://funmeta.oebiotech.com/network/29980", "http://funmeta.oebiotech.com/network/29980")</f>
        <v>http://funmeta.oebiotech.com/network/29980</v>
      </c>
      <c r="H6839" s="2"/>
      <c r="I6839" s="2">
        <v>48334</v>
      </c>
      <c r="J6839" s="2" t="s">
        <v>45350</v>
      </c>
      <c r="K6839" s="2"/>
      <c r="L6839" s="2"/>
      <c r="M6839" s="2"/>
      <c r="N6839" s="2"/>
      <c r="O6839" s="2">
        <v>2785731</v>
      </c>
      <c r="P6839" s="2" t="s">
        <v>45351</v>
      </c>
      <c r="Q6839" s="2" t="s">
        <v>45352</v>
      </c>
      <c r="R6839" s="2" t="s">
        <v>45353</v>
      </c>
      <c r="S6839" s="2" t="s">
        <v>115</v>
      </c>
      <c r="T6839" s="2" t="s">
        <v>1371</v>
      </c>
      <c r="U6839" s="2" t="s">
        <v>19037</v>
      </c>
      <c r="V6839" s="2" t="s">
        <v>59</v>
      </c>
      <c r="W6839" s="2">
        <v>38.6</v>
      </c>
      <c r="X6839" s="2">
        <v>0</v>
      </c>
      <c r="Y6839" s="2" t="s">
        <v>408</v>
      </c>
      <c r="Z6839" s="2" t="s">
        <v>45354</v>
      </c>
      <c r="AA6839" s="2">
        <v>-1.1453335036218</v>
      </c>
      <c r="AB6839" s="2">
        <v>9.8256326024925306E-3</v>
      </c>
      <c r="AC6839" s="2">
        <v>7366.0970203537399</v>
      </c>
      <c r="AD6839" s="2">
        <v>7267.7707516604996</v>
      </c>
      <c r="AE6839" s="2">
        <v>6844.31725365071</v>
      </c>
      <c r="AF6839" s="2">
        <v>7106.5757189012802</v>
      </c>
      <c r="AG6839" s="2">
        <v>7326.3854331558996</v>
      </c>
      <c r="AH6839" s="2">
        <v>6614.38646804787</v>
      </c>
      <c r="AI6839" s="2">
        <v>7679.4068346105996</v>
      </c>
      <c r="AJ6839" s="2">
        <v>8625.5104137560793</v>
      </c>
      <c r="AK6839" s="2">
        <v>5976.9904817435799</v>
      </c>
      <c r="AL6839" s="2">
        <v>7193.4703341293398</v>
      </c>
      <c r="AM6839" s="2">
        <v>8048.6659065946196</v>
      </c>
      <c r="AN6839" s="2">
        <v>6774.4571641905704</v>
      </c>
      <c r="AO6839" s="2">
        <v>8058.5357169373501</v>
      </c>
      <c r="AP6839" s="2">
        <v>7554.5049063675096</v>
      </c>
    </row>
    <row r="6840" spans="1:42" ht="14.5" x14ac:dyDescent="0.35">
      <c r="A6840" s="2" t="s">
        <v>45355</v>
      </c>
      <c r="B6840" s="2">
        <v>153.06937511652799</v>
      </c>
      <c r="C6840" s="2">
        <v>7.1697499999999996</v>
      </c>
      <c r="D6840" s="2" t="s">
        <v>34</v>
      </c>
      <c r="E6840" s="2" t="s">
        <v>45356</v>
      </c>
      <c r="F6840" s="2">
        <v>47195</v>
      </c>
      <c r="G6840" s="3" t="str">
        <f>HYPERLINK("http://funmeta.oebiotech.com/network/47195", "http://funmeta.oebiotech.com/network/47195")</f>
        <v>http://funmeta.oebiotech.com/network/47195</v>
      </c>
      <c r="H6840" s="2" t="s">
        <v>45357</v>
      </c>
      <c r="I6840" s="2">
        <v>3256</v>
      </c>
      <c r="J6840" s="2"/>
      <c r="K6840" s="2">
        <v>17588</v>
      </c>
      <c r="L6840" s="2" t="s">
        <v>45358</v>
      </c>
      <c r="M6840" s="2" t="s">
        <v>45359</v>
      </c>
      <c r="N6840" s="2" t="s">
        <v>45360</v>
      </c>
      <c r="O6840" s="2">
        <v>91552</v>
      </c>
      <c r="P6840" s="2" t="s">
        <v>45361</v>
      </c>
      <c r="Q6840" s="2" t="s">
        <v>45362</v>
      </c>
      <c r="R6840" s="2" t="s">
        <v>45363</v>
      </c>
      <c r="S6840" s="2" t="s">
        <v>89</v>
      </c>
      <c r="T6840" s="2" t="s">
        <v>90</v>
      </c>
      <c r="U6840" s="2" t="s">
        <v>99</v>
      </c>
      <c r="V6840" s="2" t="s">
        <v>59</v>
      </c>
      <c r="W6840" s="2">
        <v>37.799999999999997</v>
      </c>
      <c r="X6840" s="2">
        <v>0</v>
      </c>
      <c r="Y6840" s="2" t="s">
        <v>43</v>
      </c>
      <c r="Z6840" s="2" t="s">
        <v>45364</v>
      </c>
      <c r="AA6840" s="2">
        <v>1.1112195622987899</v>
      </c>
      <c r="AB6840" s="2">
        <v>9.7964073122529492E-3</v>
      </c>
      <c r="AC6840" s="2">
        <v>1776.4004377691299</v>
      </c>
      <c r="AD6840" s="2">
        <v>1711.67574854636</v>
      </c>
      <c r="AE6840" s="2">
        <v>1511.2764391906701</v>
      </c>
      <c r="AF6840" s="2">
        <v>1508.17843596691</v>
      </c>
      <c r="AG6840" s="2">
        <v>2217.46941153841</v>
      </c>
      <c r="AH6840" s="2">
        <v>1524.3011699796</v>
      </c>
      <c r="AI6840" s="2">
        <v>2017.9737066254299</v>
      </c>
      <c r="AJ6840" s="2">
        <v>1879.20346331375</v>
      </c>
      <c r="AK6840" s="2">
        <v>1102.7585849131101</v>
      </c>
      <c r="AL6840" s="2">
        <v>1652.35707286503</v>
      </c>
      <c r="AM6840" s="2">
        <v>2141.8045913585902</v>
      </c>
      <c r="AN6840" s="2">
        <v>1941.00469532944</v>
      </c>
      <c r="AO6840" s="2">
        <v>1664.5892947544701</v>
      </c>
      <c r="AP6840" s="2">
        <v>1767.5402520575101</v>
      </c>
    </row>
    <row r="6841" spans="1:42" ht="14.5" x14ac:dyDescent="0.35">
      <c r="A6841" s="2" t="s">
        <v>45365</v>
      </c>
      <c r="B6841" s="2">
        <v>512.41573598104401</v>
      </c>
      <c r="C6841" s="2">
        <v>11.7063166666667</v>
      </c>
      <c r="D6841" s="2" t="s">
        <v>34</v>
      </c>
      <c r="E6841" s="2" t="s">
        <v>45366</v>
      </c>
      <c r="F6841" s="2">
        <v>206187</v>
      </c>
      <c r="G6841" s="3" t="str">
        <f>HYPERLINK("http://funmeta.oebiotech.com/network/206187", "http://funmeta.oebiotech.com/network/206187")</f>
        <v>http://funmeta.oebiotech.com/network/206187</v>
      </c>
      <c r="H6841" s="2" t="s">
        <v>45367</v>
      </c>
      <c r="I6841" s="2">
        <v>347359</v>
      </c>
      <c r="J6841" s="2"/>
      <c r="K6841" s="2"/>
      <c r="L6841" s="2"/>
      <c r="M6841" s="2"/>
      <c r="N6841" s="2"/>
      <c r="O6841" s="2">
        <v>76459</v>
      </c>
      <c r="P6841" s="2"/>
      <c r="Q6841" s="2" t="s">
        <v>45368</v>
      </c>
      <c r="R6841" s="2" t="s">
        <v>45369</v>
      </c>
      <c r="S6841" s="2" t="s">
        <v>79</v>
      </c>
      <c r="T6841" s="2" t="s">
        <v>80</v>
      </c>
      <c r="U6841" s="2" t="s">
        <v>249</v>
      </c>
      <c r="V6841" s="2" t="s">
        <v>42</v>
      </c>
      <c r="W6841" s="2">
        <v>50.2</v>
      </c>
      <c r="X6841" s="2">
        <v>66</v>
      </c>
      <c r="Y6841" s="2" t="s">
        <v>470</v>
      </c>
      <c r="Z6841" s="2" t="s">
        <v>45370</v>
      </c>
      <c r="AA6841" s="2">
        <v>8.4474748704701896E-2</v>
      </c>
      <c r="AB6841" s="2">
        <v>9.7775392052567092E-3</v>
      </c>
      <c r="AC6841" s="2">
        <v>7096.5881614789796</v>
      </c>
      <c r="AD6841" s="2">
        <v>6885.6423152103698</v>
      </c>
      <c r="AE6841" s="2">
        <v>7236.8870739971399</v>
      </c>
      <c r="AF6841" s="2">
        <v>6897.8314884601004</v>
      </c>
      <c r="AG6841" s="2">
        <v>8274.3603571162002</v>
      </c>
      <c r="AH6841" s="2">
        <v>8569.9204445214109</v>
      </c>
      <c r="AI6841" s="2">
        <v>5995.2586879094497</v>
      </c>
      <c r="AJ6841" s="2">
        <v>5605.2709168695801</v>
      </c>
      <c r="AK6841" s="2">
        <v>3413.6122086056898</v>
      </c>
      <c r="AL6841" s="2">
        <v>4977.0920799778696</v>
      </c>
      <c r="AM6841" s="2">
        <v>3374.4894357636599</v>
      </c>
      <c r="AN6841" s="2">
        <v>15596.1955868521</v>
      </c>
      <c r="AO6841" s="2">
        <v>5022.0867350374101</v>
      </c>
      <c r="AP6841" s="2">
        <v>8930.3778450254995</v>
      </c>
    </row>
    <row r="6842" spans="1:42" ht="14.5" x14ac:dyDescent="0.35">
      <c r="A6842" s="2" t="s">
        <v>45371</v>
      </c>
      <c r="B6842" s="2">
        <v>228.26855679017001</v>
      </c>
      <c r="C6842" s="2">
        <v>9.4668666666666699</v>
      </c>
      <c r="D6842" s="2" t="s">
        <v>34</v>
      </c>
      <c r="E6842" s="2" t="s">
        <v>45372</v>
      </c>
      <c r="F6842" s="2">
        <v>9438</v>
      </c>
      <c r="G6842" s="3" t="str">
        <f>HYPERLINK("http://funmeta.oebiotech.com/network/9438", "http://funmeta.oebiotech.com/network/9438")</f>
        <v>http://funmeta.oebiotech.com/network/9438</v>
      </c>
      <c r="H6842" s="2" t="s">
        <v>45373</v>
      </c>
      <c r="I6842" s="2">
        <v>87394</v>
      </c>
      <c r="J6842" s="2" t="s">
        <v>45374</v>
      </c>
      <c r="K6842" s="2">
        <v>77506</v>
      </c>
      <c r="L6842" s="2"/>
      <c r="M6842" s="2"/>
      <c r="N6842" s="2"/>
      <c r="O6842" s="2">
        <v>25913</v>
      </c>
      <c r="P6842" s="2" t="s">
        <v>45375</v>
      </c>
      <c r="Q6842" s="2" t="s">
        <v>45376</v>
      </c>
      <c r="R6842" s="2" t="s">
        <v>45377</v>
      </c>
      <c r="S6842" s="2" t="s">
        <v>3194</v>
      </c>
      <c r="T6842" s="2" t="s">
        <v>3195</v>
      </c>
      <c r="U6842" s="2" t="s">
        <v>3196</v>
      </c>
      <c r="V6842" s="2" t="s">
        <v>59</v>
      </c>
      <c r="W6842" s="2">
        <v>39.6</v>
      </c>
      <c r="X6842" s="2">
        <v>1.36</v>
      </c>
      <c r="Y6842" s="2" t="s">
        <v>43</v>
      </c>
      <c r="Z6842" s="2" t="s">
        <v>45378</v>
      </c>
      <c r="AA6842" s="2">
        <v>-9.3713955855088904E-2</v>
      </c>
      <c r="AB6842" s="2">
        <v>9.7130883871315195E-3</v>
      </c>
      <c r="AC6842" s="2">
        <v>2453.5384740176</v>
      </c>
      <c r="AD6842" s="2">
        <v>2521.47786343091</v>
      </c>
      <c r="AE6842" s="2">
        <v>2808.0927389589201</v>
      </c>
      <c r="AF6842" s="2">
        <v>2521.2603744533999</v>
      </c>
      <c r="AG6842" s="2">
        <v>2223.7363797896201</v>
      </c>
      <c r="AH6842" s="2">
        <v>2256.0440846964202</v>
      </c>
      <c r="AI6842" s="2">
        <v>2881.4565209890702</v>
      </c>
      <c r="AJ6842" s="2">
        <v>2030.64074521814</v>
      </c>
      <c r="AK6842" s="2">
        <v>3412.5132339994302</v>
      </c>
      <c r="AL6842" s="2">
        <v>2472.09841055482</v>
      </c>
      <c r="AM6842" s="2">
        <v>2251.37750805003</v>
      </c>
      <c r="AN6842" s="2">
        <v>2475.8144730183899</v>
      </c>
      <c r="AO6842" s="2">
        <v>2599.0618149511702</v>
      </c>
      <c r="AP6842" s="2">
        <v>1918.0017400116001</v>
      </c>
    </row>
    <row r="6843" spans="1:42" ht="14.5" x14ac:dyDescent="0.35">
      <c r="A6843" s="2" t="s">
        <v>45379</v>
      </c>
      <c r="B6843" s="2">
        <v>472.07673622138299</v>
      </c>
      <c r="C6843" s="2">
        <v>4.5423999999999998</v>
      </c>
      <c r="D6843" s="2" t="s">
        <v>70</v>
      </c>
      <c r="E6843" s="2" t="s">
        <v>45380</v>
      </c>
      <c r="F6843" s="2">
        <v>257102</v>
      </c>
      <c r="G6843" s="3" t="str">
        <f>HYPERLINK("http://funmeta.oebiotech.com/network/257102", "http://funmeta.oebiotech.com/network/257102")</f>
        <v>http://funmeta.oebiotech.com/network/257102</v>
      </c>
      <c r="H6843" s="2" t="s">
        <v>45381</v>
      </c>
      <c r="I6843" s="2"/>
      <c r="J6843" s="2"/>
      <c r="K6843" s="2"/>
      <c r="L6843" s="2"/>
      <c r="M6843" s="2"/>
      <c r="N6843" s="2"/>
      <c r="O6843" s="2"/>
      <c r="P6843" s="2"/>
      <c r="Q6843" s="2" t="s">
        <v>45382</v>
      </c>
      <c r="R6843" s="2" t="s">
        <v>45383</v>
      </c>
      <c r="S6843" s="2" t="s">
        <v>1444</v>
      </c>
      <c r="T6843" s="2" t="s">
        <v>4040</v>
      </c>
      <c r="U6843" s="2" t="s">
        <v>8914</v>
      </c>
      <c r="V6843" s="2" t="s">
        <v>59</v>
      </c>
      <c r="W6843" s="2">
        <v>39.1</v>
      </c>
      <c r="X6843" s="2">
        <v>0</v>
      </c>
      <c r="Y6843" s="2" t="s">
        <v>118</v>
      </c>
      <c r="Z6843" s="2" t="s">
        <v>45384</v>
      </c>
      <c r="AA6843" s="2">
        <v>0.33148755975510502</v>
      </c>
      <c r="AB6843" s="2">
        <v>9.6479164336439396E-3</v>
      </c>
      <c r="AC6843" s="2">
        <v>7930.2935504962797</v>
      </c>
      <c r="AD6843" s="2">
        <v>8026.59921586786</v>
      </c>
      <c r="AE6843" s="2">
        <v>8065.3750967057404</v>
      </c>
      <c r="AF6843" s="2">
        <v>7367.0004770128498</v>
      </c>
      <c r="AG6843" s="2">
        <v>8722.0652868118705</v>
      </c>
      <c r="AH6843" s="2">
        <v>7337.4685761889696</v>
      </c>
      <c r="AI6843" s="2">
        <v>8861.2030263134802</v>
      </c>
      <c r="AJ6843" s="2">
        <v>7228.6488399447899</v>
      </c>
      <c r="AK6843" s="2">
        <v>6921.6029928157204</v>
      </c>
      <c r="AL6843" s="2">
        <v>7775.7606756039704</v>
      </c>
      <c r="AM6843" s="2">
        <v>8414.1937850864506</v>
      </c>
      <c r="AN6843" s="2">
        <v>6799.1377385332298</v>
      </c>
      <c r="AO6843" s="2">
        <v>8924.1685599036391</v>
      </c>
      <c r="AP6843" s="2">
        <v>9324.7315432641299</v>
      </c>
    </row>
    <row r="6844" spans="1:42" ht="14.5" x14ac:dyDescent="0.35">
      <c r="A6844" s="2" t="s">
        <v>45385</v>
      </c>
      <c r="B6844" s="2">
        <v>649.19813728135398</v>
      </c>
      <c r="C6844" s="2">
        <v>11.1178166666667</v>
      </c>
      <c r="D6844" s="2" t="s">
        <v>70</v>
      </c>
      <c r="E6844" s="2" t="s">
        <v>45386</v>
      </c>
      <c r="F6844" s="2">
        <v>209800</v>
      </c>
      <c r="G6844" s="3" t="str">
        <f>HYPERLINK("http://funmeta.oebiotech.com/network/209800", "http://funmeta.oebiotech.com/network/209800")</f>
        <v>http://funmeta.oebiotech.com/network/209800</v>
      </c>
      <c r="H6844" s="2" t="s">
        <v>45387</v>
      </c>
      <c r="I6844" s="2"/>
      <c r="J6844" s="2"/>
      <c r="K6844" s="2"/>
      <c r="L6844" s="2"/>
      <c r="M6844" s="2"/>
      <c r="N6844" s="2"/>
      <c r="O6844" s="2">
        <v>76463483</v>
      </c>
      <c r="P6844" s="2"/>
      <c r="Q6844" s="2" t="s">
        <v>45388</v>
      </c>
      <c r="R6844" s="2" t="s">
        <v>45389</v>
      </c>
      <c r="S6844" s="2" t="s">
        <v>41</v>
      </c>
      <c r="T6844" s="2" t="s">
        <v>41</v>
      </c>
      <c r="U6844" s="2" t="s">
        <v>41</v>
      </c>
      <c r="V6844" s="2" t="s">
        <v>59</v>
      </c>
      <c r="W6844" s="2">
        <v>38.1</v>
      </c>
      <c r="X6844" s="2">
        <v>0</v>
      </c>
      <c r="Y6844" s="2" t="s">
        <v>560</v>
      </c>
      <c r="Z6844" s="2" t="s">
        <v>45390</v>
      </c>
      <c r="AA6844" s="2">
        <v>1.45687792479127</v>
      </c>
      <c r="AB6844" s="2">
        <v>9.4411227978649492E-3</v>
      </c>
      <c r="AC6844" s="2">
        <v>944.26107236890698</v>
      </c>
      <c r="AD6844" s="2">
        <v>856.45149564411599</v>
      </c>
      <c r="AE6844" s="2">
        <v>1587.45030756656</v>
      </c>
      <c r="AF6844" s="2">
        <v>630.95909322171497</v>
      </c>
      <c r="AG6844" s="2">
        <v>439.14564029043902</v>
      </c>
      <c r="AH6844" s="2">
        <v>896.65996301027496</v>
      </c>
      <c r="AI6844" s="2">
        <v>696.75301907128198</v>
      </c>
      <c r="AJ6844" s="2">
        <v>1414.5984110531699</v>
      </c>
      <c r="AK6844" s="2">
        <v>352.68455935868201</v>
      </c>
      <c r="AL6844" s="2">
        <v>747.48691180854996</v>
      </c>
      <c r="AM6844" s="2">
        <v>399.73323721461003</v>
      </c>
      <c r="AN6844" s="2">
        <v>824.00289864680099</v>
      </c>
      <c r="AO6844" s="2">
        <v>2611.87491055998</v>
      </c>
      <c r="AP6844" s="2">
        <v>202.926456276072</v>
      </c>
    </row>
    <row r="6845" spans="1:42" ht="14.5" x14ac:dyDescent="0.35">
      <c r="A6845" s="2" t="s">
        <v>45391</v>
      </c>
      <c r="B6845" s="2">
        <v>152.99603320006199</v>
      </c>
      <c r="C6845" s="2">
        <v>0.52186666666666703</v>
      </c>
      <c r="D6845" s="2" t="s">
        <v>70</v>
      </c>
      <c r="E6845" s="2" t="s">
        <v>45392</v>
      </c>
      <c r="F6845" s="2">
        <v>207279</v>
      </c>
      <c r="G6845" s="3" t="str">
        <f>HYPERLINK("http://funmeta.oebiotech.com/network/207279", "http://funmeta.oebiotech.com/network/207279")</f>
        <v>http://funmeta.oebiotech.com/network/207279</v>
      </c>
      <c r="H6845" s="2" t="s">
        <v>45393</v>
      </c>
      <c r="I6845" s="2">
        <v>65927</v>
      </c>
      <c r="J6845" s="2"/>
      <c r="K6845" s="2">
        <v>14336</v>
      </c>
      <c r="L6845" s="2" t="s">
        <v>45394</v>
      </c>
      <c r="M6845" s="2"/>
      <c r="N6845" s="2"/>
      <c r="O6845" s="2">
        <v>754</v>
      </c>
      <c r="P6845" s="2" t="s">
        <v>28361</v>
      </c>
      <c r="Q6845" s="2" t="s">
        <v>45395</v>
      </c>
      <c r="R6845" s="2" t="s">
        <v>45396</v>
      </c>
      <c r="S6845" s="2" t="s">
        <v>50</v>
      </c>
      <c r="T6845" s="2" t="s">
        <v>51</v>
      </c>
      <c r="U6845" s="2" t="s">
        <v>273</v>
      </c>
      <c r="V6845" s="2" t="s">
        <v>59</v>
      </c>
      <c r="W6845" s="2">
        <v>39</v>
      </c>
      <c r="X6845" s="2">
        <v>0</v>
      </c>
      <c r="Y6845" s="2" t="s">
        <v>751</v>
      </c>
      <c r="Z6845" s="2" t="s">
        <v>28364</v>
      </c>
      <c r="AA6845" s="2">
        <v>1.1608616149359501</v>
      </c>
      <c r="AB6845" s="2">
        <v>9.4127205844518197E-3</v>
      </c>
      <c r="AC6845" s="2">
        <v>97.860023084631493</v>
      </c>
      <c r="AD6845" s="2">
        <v>113.772654303946</v>
      </c>
      <c r="AE6845" s="2">
        <v>103.174471184919</v>
      </c>
      <c r="AF6845" s="2">
        <v>116.397881237436</v>
      </c>
      <c r="AG6845" s="2">
        <v>94.861559563552504</v>
      </c>
      <c r="AH6845" s="2">
        <v>101.67841413913401</v>
      </c>
      <c r="AI6845" s="2">
        <v>60.306720978856497</v>
      </c>
      <c r="AJ6845" s="2">
        <v>110.74109140389101</v>
      </c>
      <c r="AK6845" s="2">
        <v>109.77111372051201</v>
      </c>
      <c r="AL6845" s="2">
        <v>138.91099197353199</v>
      </c>
      <c r="AM6845" s="2">
        <v>124.046454186934</v>
      </c>
      <c r="AN6845" s="2">
        <v>92.214113604293701</v>
      </c>
      <c r="AO6845" s="2">
        <v>84.615435807386703</v>
      </c>
      <c r="AP6845" s="2">
        <v>133.077816531016</v>
      </c>
    </row>
    <row r="6846" spans="1:42" ht="14.5" x14ac:dyDescent="0.35">
      <c r="A6846" s="2" t="s">
        <v>45397</v>
      </c>
      <c r="B6846" s="2">
        <v>794.22188092307897</v>
      </c>
      <c r="C6846" s="2">
        <v>8.5806833333333294</v>
      </c>
      <c r="D6846" s="2" t="s">
        <v>34</v>
      </c>
      <c r="E6846" s="2" t="s">
        <v>45398</v>
      </c>
      <c r="F6846" s="2">
        <v>28611</v>
      </c>
      <c r="G6846" s="3" t="str">
        <f>HYPERLINK("http://funmeta.oebiotech.com/network/28611", "http://funmeta.oebiotech.com/network/28611")</f>
        <v>http://funmeta.oebiotech.com/network/28611</v>
      </c>
      <c r="H6846" s="2"/>
      <c r="I6846" s="2"/>
      <c r="J6846" s="2" t="s">
        <v>45399</v>
      </c>
      <c r="K6846" s="2"/>
      <c r="L6846" s="2"/>
      <c r="M6846" s="2"/>
      <c r="N6846" s="2"/>
      <c r="O6846" s="2">
        <v>102316688</v>
      </c>
      <c r="P6846" s="2"/>
      <c r="Q6846" s="2" t="s">
        <v>45400</v>
      </c>
      <c r="R6846" s="2" t="s">
        <v>45401</v>
      </c>
      <c r="S6846" s="2" t="s">
        <v>115</v>
      </c>
      <c r="T6846" s="2" t="s">
        <v>139</v>
      </c>
      <c r="U6846" s="2" t="s">
        <v>140</v>
      </c>
      <c r="V6846" s="2" t="s">
        <v>59</v>
      </c>
      <c r="W6846" s="2">
        <v>36.6</v>
      </c>
      <c r="X6846" s="2">
        <v>0</v>
      </c>
      <c r="Y6846" s="2" t="s">
        <v>323</v>
      </c>
      <c r="Z6846" s="2" t="s">
        <v>45402</v>
      </c>
      <c r="AA6846" s="2">
        <v>-2.7339627511245901</v>
      </c>
      <c r="AB6846" s="2">
        <v>9.3633778787771006E-3</v>
      </c>
      <c r="AC6846" s="2">
        <v>71217.415463433194</v>
      </c>
      <c r="AD6846" s="2">
        <v>71454.5908627436</v>
      </c>
      <c r="AE6846" s="2">
        <v>72807.436058742402</v>
      </c>
      <c r="AF6846" s="2">
        <v>74782.255334206697</v>
      </c>
      <c r="AG6846" s="2">
        <v>68533.643404618299</v>
      </c>
      <c r="AH6846" s="2">
        <v>73318.145931018793</v>
      </c>
      <c r="AI6846" s="2">
        <v>71330.370939644301</v>
      </c>
      <c r="AJ6846" s="2">
        <v>66532.641112368903</v>
      </c>
      <c r="AK6846" s="2">
        <v>72812.698983271504</v>
      </c>
      <c r="AL6846" s="2">
        <v>62956.3336344204</v>
      </c>
      <c r="AM6846" s="2">
        <v>84391.301415646696</v>
      </c>
      <c r="AN6846" s="2">
        <v>64425.265835180602</v>
      </c>
      <c r="AO6846" s="2">
        <v>69376.252584682195</v>
      </c>
      <c r="AP6846" s="2">
        <v>74765.692723260203</v>
      </c>
    </row>
    <row r="6847" spans="1:42" ht="14.5" x14ac:dyDescent="0.35">
      <c r="A6847" s="2" t="s">
        <v>45403</v>
      </c>
      <c r="B6847" s="2">
        <v>179.00205369187199</v>
      </c>
      <c r="C6847" s="2">
        <v>1.20376666666667</v>
      </c>
      <c r="D6847" s="2" t="s">
        <v>70</v>
      </c>
      <c r="E6847" s="2" t="s">
        <v>45404</v>
      </c>
      <c r="F6847" s="2">
        <v>212425</v>
      </c>
      <c r="G6847" s="3" t="str">
        <f>HYPERLINK("http://funmeta.oebiotech.com/network/212425", "http://funmeta.oebiotech.com/network/212425")</f>
        <v>http://funmeta.oebiotech.com/network/212425</v>
      </c>
      <c r="H6847" s="2" t="s">
        <v>45405</v>
      </c>
      <c r="I6847" s="2"/>
      <c r="J6847" s="2"/>
      <c r="K6847" s="2"/>
      <c r="L6847" s="2"/>
      <c r="M6847" s="2"/>
      <c r="N6847" s="2"/>
      <c r="O6847" s="2">
        <v>12161284</v>
      </c>
      <c r="P6847" s="2"/>
      <c r="Q6847" s="2" t="s">
        <v>45406</v>
      </c>
      <c r="R6847" s="2" t="s">
        <v>45407</v>
      </c>
      <c r="S6847" s="2" t="s">
        <v>41</v>
      </c>
      <c r="T6847" s="2" t="s">
        <v>41</v>
      </c>
      <c r="U6847" s="2" t="s">
        <v>41</v>
      </c>
      <c r="V6847" s="2" t="s">
        <v>59</v>
      </c>
      <c r="W6847" s="2">
        <v>38.299999999999997</v>
      </c>
      <c r="X6847" s="2">
        <v>0</v>
      </c>
      <c r="Y6847" s="2" t="s">
        <v>408</v>
      </c>
      <c r="Z6847" s="2" t="s">
        <v>45408</v>
      </c>
      <c r="AA6847" s="2">
        <v>0.64006240261647696</v>
      </c>
      <c r="AB6847" s="2">
        <v>9.3105693895211301E-3</v>
      </c>
      <c r="AC6847" s="2">
        <v>1833.30924688954</v>
      </c>
      <c r="AD6847" s="2">
        <v>1793.9446244938199</v>
      </c>
      <c r="AE6847" s="2">
        <v>1903.1958891174199</v>
      </c>
      <c r="AF6847" s="2">
        <v>2024.2454254082099</v>
      </c>
      <c r="AG6847" s="2">
        <v>1805.0993543857501</v>
      </c>
      <c r="AH6847" s="2">
        <v>1732.60843739749</v>
      </c>
      <c r="AI6847" s="2">
        <v>1692.9400515308701</v>
      </c>
      <c r="AJ6847" s="2">
        <v>1841.76632349753</v>
      </c>
      <c r="AK6847" s="2">
        <v>1867.9542832951699</v>
      </c>
      <c r="AL6847" s="2">
        <v>2036.16371176812</v>
      </c>
      <c r="AM6847" s="2">
        <v>1429.51100742208</v>
      </c>
      <c r="AN6847" s="2">
        <v>1737.2788512903401</v>
      </c>
      <c r="AO6847" s="2">
        <v>1841.95152711021</v>
      </c>
      <c r="AP6847" s="2">
        <v>1850.8083660770101</v>
      </c>
    </row>
    <row r="6848" spans="1:42" ht="14.5" x14ac:dyDescent="0.35">
      <c r="A6848" s="2" t="s">
        <v>45409</v>
      </c>
      <c r="B6848" s="2">
        <v>310.16340216916501</v>
      </c>
      <c r="C6848" s="2">
        <v>6.9333</v>
      </c>
      <c r="D6848" s="2" t="s">
        <v>70</v>
      </c>
      <c r="E6848" s="2" t="s">
        <v>45410</v>
      </c>
      <c r="F6848" s="2">
        <v>53750</v>
      </c>
      <c r="G6848" s="3" t="str">
        <f>HYPERLINK("http://funmeta.oebiotech.com/network/53750", "http://funmeta.oebiotech.com/network/53750")</f>
        <v>http://funmeta.oebiotech.com/network/53750</v>
      </c>
      <c r="H6848" s="2" t="s">
        <v>45411</v>
      </c>
      <c r="I6848" s="2">
        <v>23714</v>
      </c>
      <c r="J6848" s="2"/>
      <c r="K6848" s="2"/>
      <c r="L6848" s="2"/>
      <c r="M6848" s="2"/>
      <c r="N6848" s="2"/>
      <c r="O6848" s="2">
        <v>69256407</v>
      </c>
      <c r="P6848" s="2" t="s">
        <v>45412</v>
      </c>
      <c r="Q6848" s="2" t="s">
        <v>45413</v>
      </c>
      <c r="R6848" s="2" t="s">
        <v>45414</v>
      </c>
      <c r="S6848" s="2" t="s">
        <v>89</v>
      </c>
      <c r="T6848" s="2" t="s">
        <v>90</v>
      </c>
      <c r="U6848" s="2" t="s">
        <v>99</v>
      </c>
      <c r="V6848" s="2" t="s">
        <v>59</v>
      </c>
      <c r="W6848" s="2">
        <v>38.700000000000003</v>
      </c>
      <c r="X6848" s="2">
        <v>0</v>
      </c>
      <c r="Y6848" s="2" t="s">
        <v>118</v>
      </c>
      <c r="Z6848" s="2" t="s">
        <v>45415</v>
      </c>
      <c r="AA6848" s="2">
        <v>0.29255790358313999</v>
      </c>
      <c r="AB6848" s="2">
        <v>9.3084136786491193E-3</v>
      </c>
      <c r="AC6848" s="2">
        <v>3305.84897603633</v>
      </c>
      <c r="AD6848" s="2">
        <v>3210.1406358948898</v>
      </c>
      <c r="AE6848" s="2">
        <v>2836.23370853803</v>
      </c>
      <c r="AF6848" s="2">
        <v>3146.0087785259002</v>
      </c>
      <c r="AG6848" s="2">
        <v>2376.57068430459</v>
      </c>
      <c r="AH6848" s="2">
        <v>4865.6314253835199</v>
      </c>
      <c r="AI6848" s="2">
        <v>3532.6410348844202</v>
      </c>
      <c r="AJ6848" s="2">
        <v>3078.0082245815302</v>
      </c>
      <c r="AK6848" s="2">
        <v>1996.5462990230001</v>
      </c>
      <c r="AL6848" s="2">
        <v>3879.5087453894898</v>
      </c>
      <c r="AM6848" s="2">
        <v>2608.5455777288698</v>
      </c>
      <c r="AN6848" s="2">
        <v>3176.4512756847998</v>
      </c>
      <c r="AO6848" s="2">
        <v>3990.1354442758302</v>
      </c>
      <c r="AP6848" s="2">
        <v>3609.6564732673701</v>
      </c>
    </row>
    <row r="6849" spans="1:42" ht="14.5" x14ac:dyDescent="0.35">
      <c r="A6849" s="2" t="s">
        <v>45416</v>
      </c>
      <c r="B6849" s="2">
        <v>583.29136767154898</v>
      </c>
      <c r="C6849" s="2">
        <v>9.5046666666666706</v>
      </c>
      <c r="D6849" s="2" t="s">
        <v>70</v>
      </c>
      <c r="E6849" s="2" t="s">
        <v>45417</v>
      </c>
      <c r="F6849" s="2">
        <v>24870</v>
      </c>
      <c r="G6849" s="3" t="str">
        <f>HYPERLINK("http://funmeta.oebiotech.com/network/24870", "http://funmeta.oebiotech.com/network/24870")</f>
        <v>http://funmeta.oebiotech.com/network/24870</v>
      </c>
      <c r="H6849" s="2"/>
      <c r="I6849" s="2"/>
      <c r="J6849" s="2" t="s">
        <v>45418</v>
      </c>
      <c r="K6849" s="2"/>
      <c r="L6849" s="2"/>
      <c r="M6849" s="2"/>
      <c r="N6849" s="2"/>
      <c r="O6849" s="2">
        <v>42607494</v>
      </c>
      <c r="P6849" s="2"/>
      <c r="Q6849" s="2" t="s">
        <v>45419</v>
      </c>
      <c r="R6849" s="2" t="s">
        <v>45420</v>
      </c>
      <c r="S6849" s="2" t="s">
        <v>50</v>
      </c>
      <c r="T6849" s="2" t="s">
        <v>51</v>
      </c>
      <c r="U6849" s="2" t="s">
        <v>52</v>
      </c>
      <c r="V6849" s="2" t="s">
        <v>59</v>
      </c>
      <c r="W6849" s="2">
        <v>38</v>
      </c>
      <c r="X6849" s="2">
        <v>0</v>
      </c>
      <c r="Y6849" s="2" t="s">
        <v>118</v>
      </c>
      <c r="Z6849" s="2" t="s">
        <v>45421</v>
      </c>
      <c r="AA6849" s="2">
        <v>4.2452228057995596</v>
      </c>
      <c r="AB6849" s="2">
        <v>9.3022847414711805E-3</v>
      </c>
      <c r="AC6849" s="2">
        <v>6956.9287062167896</v>
      </c>
      <c r="AD6849" s="2">
        <v>7114.0277614504803</v>
      </c>
      <c r="AE6849" s="2">
        <v>4160.02168377203</v>
      </c>
      <c r="AF6849" s="2">
        <v>5055.0308898797202</v>
      </c>
      <c r="AG6849" s="2">
        <v>10039.840340938101</v>
      </c>
      <c r="AH6849" s="2">
        <v>5386.7045043052904</v>
      </c>
      <c r="AI6849" s="2">
        <v>9329.1817061449492</v>
      </c>
      <c r="AJ6849" s="2">
        <v>7770.7931122606497</v>
      </c>
      <c r="AK6849" s="2">
        <v>8960.4042577714299</v>
      </c>
      <c r="AL6849" s="2">
        <v>9653.5645434132803</v>
      </c>
      <c r="AM6849" s="2">
        <v>3851.4331741856399</v>
      </c>
      <c r="AN6849" s="2">
        <v>6526.6074614470199</v>
      </c>
      <c r="AO6849" s="2">
        <v>9449.1678913657906</v>
      </c>
      <c r="AP6849" s="2">
        <v>4242.9892405197297</v>
      </c>
    </row>
    <row r="6850" spans="1:42" ht="14.5" x14ac:dyDescent="0.35">
      <c r="A6850" s="2" t="s">
        <v>45422</v>
      </c>
      <c r="B6850" s="2">
        <v>321.20576855796998</v>
      </c>
      <c r="C6850" s="2">
        <v>5.13601666666667</v>
      </c>
      <c r="D6850" s="2" t="s">
        <v>34</v>
      </c>
      <c r="E6850" s="2" t="s">
        <v>45423</v>
      </c>
      <c r="F6850" s="2">
        <v>52078</v>
      </c>
      <c r="G6850" s="3" t="str">
        <f>HYPERLINK("http://funmeta.oebiotech.com/network/52078", "http://funmeta.oebiotech.com/network/52078")</f>
        <v>http://funmeta.oebiotech.com/network/52078</v>
      </c>
      <c r="H6850" s="2" t="s">
        <v>45424</v>
      </c>
      <c r="I6850" s="2"/>
      <c r="J6850" s="2"/>
      <c r="K6850" s="2">
        <v>172549</v>
      </c>
      <c r="L6850" s="2"/>
      <c r="M6850" s="2"/>
      <c r="N6850" s="2"/>
      <c r="O6850" s="2">
        <v>53481524</v>
      </c>
      <c r="P6850" s="2"/>
      <c r="Q6850" s="2" t="s">
        <v>45425</v>
      </c>
      <c r="R6850" s="2" t="s">
        <v>45426</v>
      </c>
      <c r="S6850" s="2" t="s">
        <v>491</v>
      </c>
      <c r="T6850" s="2" t="s">
        <v>2251</v>
      </c>
      <c r="U6850" s="2" t="s">
        <v>2252</v>
      </c>
      <c r="V6850" s="2" t="s">
        <v>59</v>
      </c>
      <c r="W6850" s="2">
        <v>38.299999999999997</v>
      </c>
      <c r="X6850" s="2">
        <v>0</v>
      </c>
      <c r="Y6850" s="2" t="s">
        <v>394</v>
      </c>
      <c r="Z6850" s="2" t="s">
        <v>34878</v>
      </c>
      <c r="AA6850" s="2">
        <v>-0.83463855522499397</v>
      </c>
      <c r="AB6850" s="2">
        <v>9.1780580743328396E-3</v>
      </c>
      <c r="AC6850" s="2">
        <v>2602.5737118539901</v>
      </c>
      <c r="AD6850" s="2">
        <v>2707.6772885279402</v>
      </c>
      <c r="AE6850" s="2">
        <v>2127.9304834996601</v>
      </c>
      <c r="AF6850" s="2">
        <v>4340.4601991337504</v>
      </c>
      <c r="AG6850" s="2">
        <v>3207.7465702951999</v>
      </c>
      <c r="AH6850" s="2">
        <v>1664.5523710366799</v>
      </c>
      <c r="AI6850" s="2">
        <v>1437.7712663442801</v>
      </c>
      <c r="AJ6850" s="2">
        <v>2836.9813808143899</v>
      </c>
      <c r="AK6850" s="2">
        <v>2543.8519869991801</v>
      </c>
      <c r="AL6850" s="2">
        <v>3603.9715643944601</v>
      </c>
      <c r="AM6850" s="2">
        <v>2771.0294018457298</v>
      </c>
      <c r="AN6850" s="2">
        <v>2449.2984576588501</v>
      </c>
      <c r="AO6850" s="2">
        <v>2491.70492215677</v>
      </c>
      <c r="AP6850" s="2">
        <v>2386.20739811267</v>
      </c>
    </row>
    <row r="6851" spans="1:42" ht="14.5" x14ac:dyDescent="0.35">
      <c r="A6851" s="2" t="s">
        <v>45427</v>
      </c>
      <c r="B6851" s="2">
        <v>450.20415387832901</v>
      </c>
      <c r="C6851" s="2">
        <v>10.302849999999999</v>
      </c>
      <c r="D6851" s="2" t="s">
        <v>34</v>
      </c>
      <c r="E6851" s="2" t="s">
        <v>45428</v>
      </c>
      <c r="F6851" s="2">
        <v>62049</v>
      </c>
      <c r="G6851" s="3" t="str">
        <f>HYPERLINK("http://funmeta.oebiotech.com/network/62049", "http://funmeta.oebiotech.com/network/62049")</f>
        <v>http://funmeta.oebiotech.com/network/62049</v>
      </c>
      <c r="H6851" s="2" t="s">
        <v>45429</v>
      </c>
      <c r="I6851" s="2">
        <v>93341</v>
      </c>
      <c r="J6851" s="2"/>
      <c r="K6851" s="2"/>
      <c r="L6851" s="2"/>
      <c r="M6851" s="2"/>
      <c r="N6851" s="2"/>
      <c r="O6851" s="2">
        <v>131752426</v>
      </c>
      <c r="P6851" s="2" t="s">
        <v>45430</v>
      </c>
      <c r="Q6851" s="2" t="s">
        <v>45431</v>
      </c>
      <c r="R6851" s="2" t="s">
        <v>45432</v>
      </c>
      <c r="S6851" s="2" t="s">
        <v>50</v>
      </c>
      <c r="T6851" s="2" t="s">
        <v>201</v>
      </c>
      <c r="U6851" s="2" t="s">
        <v>636</v>
      </c>
      <c r="V6851" s="2" t="s">
        <v>59</v>
      </c>
      <c r="W6851" s="2">
        <v>38.5</v>
      </c>
      <c r="X6851" s="2">
        <v>0</v>
      </c>
      <c r="Y6851" s="2" t="s">
        <v>43</v>
      </c>
      <c r="Z6851" s="2" t="s">
        <v>45433</v>
      </c>
      <c r="AA6851" s="2">
        <v>-5.4097881895640999E-2</v>
      </c>
      <c r="AB6851" s="2">
        <v>9.1519676409554298E-3</v>
      </c>
      <c r="AC6851" s="2">
        <v>2704.9745396360699</v>
      </c>
      <c r="AD6851" s="2">
        <v>2593.8016725075199</v>
      </c>
      <c r="AE6851" s="2">
        <v>3587.3208903960599</v>
      </c>
      <c r="AF6851" s="2">
        <v>1943.07744150134</v>
      </c>
      <c r="AG6851" s="2">
        <v>2825.91804231469</v>
      </c>
      <c r="AH6851" s="2">
        <v>2771.8888769916198</v>
      </c>
      <c r="AI6851" s="2">
        <v>2866.7003717030598</v>
      </c>
      <c r="AJ6851" s="2">
        <v>2234.9416149096301</v>
      </c>
      <c r="AK6851" s="2">
        <v>1476.85073974946</v>
      </c>
      <c r="AL6851" s="2">
        <v>6152.5584425904199</v>
      </c>
      <c r="AM6851" s="2">
        <v>2119.3925896995502</v>
      </c>
      <c r="AN6851" s="2">
        <v>2820.0012588620102</v>
      </c>
      <c r="AO6851" s="2">
        <v>1863.3939305064901</v>
      </c>
      <c r="AP6851" s="2">
        <v>1130.6130736371999</v>
      </c>
    </row>
    <row r="6852" spans="1:42" ht="14.5" x14ac:dyDescent="0.35">
      <c r="A6852" s="2" t="s">
        <v>45434</v>
      </c>
      <c r="B6852" s="2">
        <v>427.15786208261301</v>
      </c>
      <c r="C6852" s="2">
        <v>4.1056666666666697</v>
      </c>
      <c r="D6852" s="2" t="s">
        <v>34</v>
      </c>
      <c r="E6852" s="2" t="s">
        <v>45435</v>
      </c>
      <c r="F6852" s="2">
        <v>27</v>
      </c>
      <c r="G6852" s="3" t="str">
        <f>HYPERLINK("http://funmeta.oebiotech.com/network/27", "http://funmeta.oebiotech.com/network/27")</f>
        <v>http://funmeta.oebiotech.com/network/27</v>
      </c>
      <c r="H6852" s="2"/>
      <c r="I6852" s="2"/>
      <c r="J6852" s="2" t="s">
        <v>45436</v>
      </c>
      <c r="K6852" s="2"/>
      <c r="L6852" s="2"/>
      <c r="M6852" s="2"/>
      <c r="N6852" s="2"/>
      <c r="O6852" s="2">
        <v>101857689</v>
      </c>
      <c r="P6852" s="2"/>
      <c r="Q6852" s="2" t="s">
        <v>45437</v>
      </c>
      <c r="R6852" s="2" t="s">
        <v>45438</v>
      </c>
      <c r="S6852" s="2" t="s">
        <v>50</v>
      </c>
      <c r="T6852" s="2" t="s">
        <v>229</v>
      </c>
      <c r="U6852" s="2" t="s">
        <v>433</v>
      </c>
      <c r="V6852" s="2" t="s">
        <v>59</v>
      </c>
      <c r="W6852" s="2">
        <v>38</v>
      </c>
      <c r="X6852" s="2">
        <v>0</v>
      </c>
      <c r="Y6852" s="2" t="s">
        <v>340</v>
      </c>
      <c r="Z6852" s="2" t="s">
        <v>45439</v>
      </c>
      <c r="AA6852" s="2">
        <v>-2.9947321887542899</v>
      </c>
      <c r="AB6852" s="2">
        <v>9.1231163385475603E-3</v>
      </c>
      <c r="AC6852" s="2">
        <v>9456.90122159768</v>
      </c>
      <c r="AD6852" s="2">
        <v>9538.64225026229</v>
      </c>
      <c r="AE6852" s="2">
        <v>9758.8121905170792</v>
      </c>
      <c r="AF6852" s="2">
        <v>9135.2585096289095</v>
      </c>
      <c r="AG6852" s="2">
        <v>8317.8599303783194</v>
      </c>
      <c r="AH6852" s="2">
        <v>9251.0897566960903</v>
      </c>
      <c r="AI6852" s="2">
        <v>10476.0492060506</v>
      </c>
      <c r="AJ6852" s="2">
        <v>9802.3377363150594</v>
      </c>
      <c r="AK6852" s="2">
        <v>9444.7399597788299</v>
      </c>
      <c r="AL6852" s="2">
        <v>10792.3446225486</v>
      </c>
      <c r="AM6852" s="2">
        <v>9868.2495507620897</v>
      </c>
      <c r="AN6852" s="2">
        <v>9789.9479033994703</v>
      </c>
      <c r="AO6852" s="2">
        <v>9020.9585618472902</v>
      </c>
      <c r="AP6852" s="2">
        <v>8315.6129032374392</v>
      </c>
    </row>
    <row r="6853" spans="1:42" ht="14.5" x14ac:dyDescent="0.35">
      <c r="A6853" s="2" t="s">
        <v>45440</v>
      </c>
      <c r="B6853" s="2">
        <v>148.039333506757</v>
      </c>
      <c r="C6853" s="2">
        <v>2.6975500000000001</v>
      </c>
      <c r="D6853" s="2" t="s">
        <v>34</v>
      </c>
      <c r="E6853" s="2" t="s">
        <v>45441</v>
      </c>
      <c r="F6853" s="2">
        <v>48230</v>
      </c>
      <c r="G6853" s="3" t="str">
        <f>HYPERLINK("http://funmeta.oebiotech.com/network/48230", "http://funmeta.oebiotech.com/network/48230")</f>
        <v>http://funmeta.oebiotech.com/network/48230</v>
      </c>
      <c r="H6853" s="2" t="s">
        <v>45442</v>
      </c>
      <c r="I6853" s="2">
        <v>34537</v>
      </c>
      <c r="J6853" s="2"/>
      <c r="K6853" s="2">
        <v>36575</v>
      </c>
      <c r="L6853" s="2" t="s">
        <v>45443</v>
      </c>
      <c r="M6853" s="2" t="s">
        <v>17784</v>
      </c>
      <c r="N6853" s="2" t="s">
        <v>17785</v>
      </c>
      <c r="O6853" s="2">
        <v>101399</v>
      </c>
      <c r="P6853" s="2" t="s">
        <v>45444</v>
      </c>
      <c r="Q6853" s="2" t="s">
        <v>45445</v>
      </c>
      <c r="R6853" s="2" t="s">
        <v>45446</v>
      </c>
      <c r="S6853" s="2" t="s">
        <v>148</v>
      </c>
      <c r="T6853" s="2" t="s">
        <v>149</v>
      </c>
      <c r="U6853" s="2" t="s">
        <v>1593</v>
      </c>
      <c r="V6853" s="2" t="s">
        <v>59</v>
      </c>
      <c r="W6853" s="2">
        <v>38.1</v>
      </c>
      <c r="X6853" s="2">
        <v>0</v>
      </c>
      <c r="Y6853" s="2" t="s">
        <v>141</v>
      </c>
      <c r="Z6853" s="2" t="s">
        <v>45447</v>
      </c>
      <c r="AA6853" s="2">
        <v>0.173705384439195</v>
      </c>
      <c r="AB6853" s="2">
        <v>9.0967078243247308E-3</v>
      </c>
      <c r="AC6853" s="2">
        <v>825.011414414304</v>
      </c>
      <c r="AD6853" s="2">
        <v>852.56042666696897</v>
      </c>
      <c r="AE6853" s="2">
        <v>904.885395025496</v>
      </c>
      <c r="AF6853" s="2">
        <v>874.904570414869</v>
      </c>
      <c r="AG6853" s="2">
        <v>838.40651750076495</v>
      </c>
      <c r="AH6853" s="2">
        <v>748.57341368503899</v>
      </c>
      <c r="AI6853" s="2">
        <v>869.30402084931302</v>
      </c>
      <c r="AJ6853" s="2">
        <v>713.99456901033898</v>
      </c>
      <c r="AK6853" s="2">
        <v>785.701145362528</v>
      </c>
      <c r="AL6853" s="2">
        <v>883.28976665034895</v>
      </c>
      <c r="AM6853" s="2">
        <v>901.70312095155896</v>
      </c>
      <c r="AN6853" s="2">
        <v>825.91840766282201</v>
      </c>
      <c r="AO6853" s="2">
        <v>958.74411239118797</v>
      </c>
      <c r="AP6853" s="2">
        <v>760.00600698336802</v>
      </c>
    </row>
    <row r="6854" spans="1:42" ht="14.5" x14ac:dyDescent="0.35">
      <c r="A6854" s="2" t="s">
        <v>45448</v>
      </c>
      <c r="B6854" s="2">
        <v>243.12070650209699</v>
      </c>
      <c r="C6854" s="2">
        <v>3.5301</v>
      </c>
      <c r="D6854" s="2" t="s">
        <v>34</v>
      </c>
      <c r="E6854" s="2" t="s">
        <v>45449</v>
      </c>
      <c r="F6854" s="2">
        <v>208283</v>
      </c>
      <c r="G6854" s="3" t="str">
        <f>HYPERLINK("http://funmeta.oebiotech.com/network/208283", "http://funmeta.oebiotech.com/network/208283")</f>
        <v>http://funmeta.oebiotech.com/network/208283</v>
      </c>
      <c r="H6854" s="2" t="s">
        <v>45450</v>
      </c>
      <c r="I6854" s="2">
        <v>323215</v>
      </c>
      <c r="J6854" s="2"/>
      <c r="K6854" s="2"/>
      <c r="L6854" s="2"/>
      <c r="M6854" s="2"/>
      <c r="N6854" s="2"/>
      <c r="O6854" s="2">
        <v>47510</v>
      </c>
      <c r="P6854" s="2"/>
      <c r="Q6854" s="2" t="s">
        <v>45451</v>
      </c>
      <c r="R6854" s="2" t="s">
        <v>45452</v>
      </c>
      <c r="S6854" s="2" t="s">
        <v>148</v>
      </c>
      <c r="T6854" s="2" t="s">
        <v>149</v>
      </c>
      <c r="U6854" s="2" t="s">
        <v>17602</v>
      </c>
      <c r="V6854" s="2" t="s">
        <v>59</v>
      </c>
      <c r="W6854" s="2">
        <v>38.700000000000003</v>
      </c>
      <c r="X6854" s="2">
        <v>0</v>
      </c>
      <c r="Y6854" s="2" t="s">
        <v>323</v>
      </c>
      <c r="Z6854" s="2" t="s">
        <v>45453</v>
      </c>
      <c r="AA6854" s="2">
        <v>-4.2035145035256303</v>
      </c>
      <c r="AB6854" s="2">
        <v>9.0730535617774104E-3</v>
      </c>
      <c r="AC6854" s="2">
        <v>696.49026044582695</v>
      </c>
      <c r="AD6854" s="2">
        <v>657.69228257735699</v>
      </c>
      <c r="AE6854" s="2">
        <v>696.66858757963405</v>
      </c>
      <c r="AF6854" s="2">
        <v>563.87483328500502</v>
      </c>
      <c r="AG6854" s="2">
        <v>545.37994486241701</v>
      </c>
      <c r="AH6854" s="2">
        <v>634.66164129741799</v>
      </c>
      <c r="AI6854" s="2">
        <v>896.53086916604002</v>
      </c>
      <c r="AJ6854" s="2">
        <v>841.82568648444601</v>
      </c>
      <c r="AK6854" s="2">
        <v>904.39578303693099</v>
      </c>
      <c r="AL6854" s="2">
        <v>583.28315725651396</v>
      </c>
      <c r="AM6854" s="2">
        <v>557.50468137590099</v>
      </c>
      <c r="AN6854" s="2">
        <v>553.09036563019504</v>
      </c>
      <c r="AO6854" s="2">
        <v>615.22767497620305</v>
      </c>
      <c r="AP6854" s="2">
        <v>732.65203318839599</v>
      </c>
    </row>
    <row r="6855" spans="1:42" ht="14.5" x14ac:dyDescent="0.35">
      <c r="A6855" s="2" t="s">
        <v>45454</v>
      </c>
      <c r="B6855" s="2">
        <v>292.22446571363997</v>
      </c>
      <c r="C6855" s="2">
        <v>10.6603666666667</v>
      </c>
      <c r="D6855" s="2" t="s">
        <v>34</v>
      </c>
      <c r="E6855" s="2" t="s">
        <v>45455</v>
      </c>
      <c r="F6855" s="2">
        <v>203196</v>
      </c>
      <c r="G6855" s="3" t="str">
        <f>HYPERLINK("http://funmeta.oebiotech.com/network/203196", "http://funmeta.oebiotech.com/network/203196")</f>
        <v>http://funmeta.oebiotech.com/network/203196</v>
      </c>
      <c r="H6855" s="2" t="s">
        <v>45456</v>
      </c>
      <c r="I6855" s="2"/>
      <c r="J6855" s="2"/>
      <c r="K6855" s="2"/>
      <c r="L6855" s="2"/>
      <c r="M6855" s="2"/>
      <c r="N6855" s="2"/>
      <c r="O6855" s="2"/>
      <c r="P6855" s="2"/>
      <c r="Q6855" s="2" t="s">
        <v>45457</v>
      </c>
      <c r="R6855" s="2" t="s">
        <v>45458</v>
      </c>
      <c r="S6855" s="2" t="s">
        <v>41</v>
      </c>
      <c r="T6855" s="2" t="s">
        <v>41</v>
      </c>
      <c r="U6855" s="2" t="s">
        <v>41</v>
      </c>
      <c r="V6855" s="2" t="s">
        <v>59</v>
      </c>
      <c r="W6855" s="2">
        <v>38.9</v>
      </c>
      <c r="X6855" s="2">
        <v>0</v>
      </c>
      <c r="Y6855" s="2" t="s">
        <v>394</v>
      </c>
      <c r="Z6855" s="2" t="s">
        <v>45459</v>
      </c>
      <c r="AA6855" s="2">
        <v>0.15605636827389299</v>
      </c>
      <c r="AB6855" s="2">
        <v>9.0125082655470902E-3</v>
      </c>
      <c r="AC6855" s="2">
        <v>1178.4431086372999</v>
      </c>
      <c r="AD6855" s="2">
        <v>1120.7657420584701</v>
      </c>
      <c r="AE6855" s="2">
        <v>1191.70100143174</v>
      </c>
      <c r="AF6855" s="2">
        <v>901.96661356116397</v>
      </c>
      <c r="AG6855" s="2">
        <v>1150.6195369391701</v>
      </c>
      <c r="AH6855" s="2">
        <v>1514.7601105949</v>
      </c>
      <c r="AI6855" s="2">
        <v>1426.2110375745001</v>
      </c>
      <c r="AJ6855" s="2">
        <v>885.40035172234502</v>
      </c>
      <c r="AK6855" s="2">
        <v>916.38071095446901</v>
      </c>
      <c r="AL6855" s="2">
        <v>1479.14990318993</v>
      </c>
      <c r="AM6855" s="2">
        <v>1063.87770744861</v>
      </c>
      <c r="AN6855" s="2">
        <v>1636.9339569879901</v>
      </c>
      <c r="AO6855" s="2">
        <v>787.67874513345703</v>
      </c>
      <c r="AP6855" s="2">
        <v>840.57342863637496</v>
      </c>
    </row>
    <row r="6856" spans="1:42" ht="14.5" x14ac:dyDescent="0.35">
      <c r="A6856" s="2" t="s">
        <v>45460</v>
      </c>
      <c r="B6856" s="2">
        <v>289.15446934338001</v>
      </c>
      <c r="C6856" s="2">
        <v>4.64978333333333</v>
      </c>
      <c r="D6856" s="2" t="s">
        <v>34</v>
      </c>
      <c r="E6856" s="2" t="s">
        <v>45461</v>
      </c>
      <c r="F6856" s="2">
        <v>212567</v>
      </c>
      <c r="G6856" s="3" t="str">
        <f>HYPERLINK("http://funmeta.oebiotech.com/network/212567", "http://funmeta.oebiotech.com/network/212567")</f>
        <v>http://funmeta.oebiotech.com/network/212567</v>
      </c>
      <c r="H6856" s="2" t="s">
        <v>45462</v>
      </c>
      <c r="I6856" s="2">
        <v>70062</v>
      </c>
      <c r="J6856" s="2"/>
      <c r="K6856" s="2">
        <v>35019</v>
      </c>
      <c r="L6856" s="2" t="s">
        <v>45463</v>
      </c>
      <c r="M6856" s="2"/>
      <c r="N6856" s="2"/>
      <c r="O6856" s="2">
        <v>31357</v>
      </c>
      <c r="P6856" s="2" t="s">
        <v>45464</v>
      </c>
      <c r="Q6856" s="2" t="s">
        <v>45465</v>
      </c>
      <c r="R6856" s="2" t="s">
        <v>45466</v>
      </c>
      <c r="S6856" s="2" t="s">
        <v>89</v>
      </c>
      <c r="T6856" s="2" t="s">
        <v>894</v>
      </c>
      <c r="U6856" s="2" t="s">
        <v>895</v>
      </c>
      <c r="V6856" s="2" t="s">
        <v>59</v>
      </c>
      <c r="W6856" s="2">
        <v>39.1</v>
      </c>
      <c r="X6856" s="2">
        <v>0</v>
      </c>
      <c r="Y6856" s="2" t="s">
        <v>323</v>
      </c>
      <c r="Z6856" s="2" t="s">
        <v>45467</v>
      </c>
      <c r="AA6856" s="2">
        <v>2.0764934565674098</v>
      </c>
      <c r="AB6856" s="2">
        <v>8.7713777304565706E-3</v>
      </c>
      <c r="AC6856" s="2">
        <v>1053.2557942352</v>
      </c>
      <c r="AD6856" s="2">
        <v>1108.1278058248199</v>
      </c>
      <c r="AE6856" s="2">
        <v>1403.5432929787301</v>
      </c>
      <c r="AF6856" s="2">
        <v>619.67141103586698</v>
      </c>
      <c r="AG6856" s="2">
        <v>956.45638496706999</v>
      </c>
      <c r="AH6856" s="2">
        <v>1072.09879835942</v>
      </c>
      <c r="AI6856" s="2">
        <v>1010.4581534274899</v>
      </c>
      <c r="AJ6856" s="2">
        <v>1257.3067246426299</v>
      </c>
      <c r="AK6856" s="2">
        <v>734.24145620649995</v>
      </c>
      <c r="AL6856" s="2">
        <v>666.21346199831203</v>
      </c>
      <c r="AM6856" s="2">
        <v>1081.67952448613</v>
      </c>
      <c r="AN6856" s="2">
        <v>1145.53525856637</v>
      </c>
      <c r="AO6856" s="2">
        <v>1241.5831776883399</v>
      </c>
      <c r="AP6856" s="2">
        <v>1779.5139560032501</v>
      </c>
    </row>
    <row r="6857" spans="1:42" ht="14.5" x14ac:dyDescent="0.35">
      <c r="A6857" s="2" t="s">
        <v>45468</v>
      </c>
      <c r="B6857" s="2">
        <v>231.00527023990699</v>
      </c>
      <c r="C6857" s="2">
        <v>6.3677999999999999</v>
      </c>
      <c r="D6857" s="2" t="s">
        <v>70</v>
      </c>
      <c r="E6857" s="2" t="s">
        <v>45469</v>
      </c>
      <c r="F6857" s="2">
        <v>200889</v>
      </c>
      <c r="G6857" s="3" t="str">
        <f>HYPERLINK("http://funmeta.oebiotech.com/network/200889", "http://funmeta.oebiotech.com/network/200889")</f>
        <v>http://funmeta.oebiotech.com/network/200889</v>
      </c>
      <c r="H6857" s="2" t="s">
        <v>45470</v>
      </c>
      <c r="I6857" s="2"/>
      <c r="J6857" s="2"/>
      <c r="K6857" s="2">
        <v>53049</v>
      </c>
      <c r="L6857" s="2"/>
      <c r="M6857" s="2"/>
      <c r="N6857" s="2"/>
      <c r="O6857" s="2">
        <v>6264</v>
      </c>
      <c r="P6857" s="2"/>
      <c r="Q6857" s="2" t="s">
        <v>45471</v>
      </c>
      <c r="R6857" s="2" t="s">
        <v>45472</v>
      </c>
      <c r="S6857" s="2" t="s">
        <v>148</v>
      </c>
      <c r="T6857" s="2" t="s">
        <v>149</v>
      </c>
      <c r="U6857" s="2" t="s">
        <v>14157</v>
      </c>
      <c r="V6857" s="2" t="s">
        <v>59</v>
      </c>
      <c r="W6857" s="2">
        <v>38.6</v>
      </c>
      <c r="X6857" s="2">
        <v>0</v>
      </c>
      <c r="Y6857" s="2" t="s">
        <v>408</v>
      </c>
      <c r="Z6857" s="2" t="s">
        <v>45473</v>
      </c>
      <c r="AA6857" s="2">
        <v>-3.31940125778342</v>
      </c>
      <c r="AB6857" s="2">
        <v>8.6784878376402596E-3</v>
      </c>
      <c r="AC6857" s="2">
        <v>2454.6820056463898</v>
      </c>
      <c r="AD6857" s="2">
        <v>2495.1096642318998</v>
      </c>
      <c r="AE6857" s="2">
        <v>2637.0945879128499</v>
      </c>
      <c r="AF6857" s="2">
        <v>2571.32244471486</v>
      </c>
      <c r="AG6857" s="2">
        <v>2214.36018092325</v>
      </c>
      <c r="AH6857" s="2">
        <v>2319.4096604894598</v>
      </c>
      <c r="AI6857" s="2">
        <v>2497.7472875212102</v>
      </c>
      <c r="AJ6857" s="2">
        <v>2488.1578723167399</v>
      </c>
      <c r="AK6857" s="2">
        <v>2356.3366819319799</v>
      </c>
      <c r="AL6857" s="2">
        <v>2620.2742156518798</v>
      </c>
      <c r="AM6857" s="2">
        <v>2703.5321967271898</v>
      </c>
      <c r="AN6857" s="2">
        <v>2184.5854728264098</v>
      </c>
      <c r="AO6857" s="2">
        <v>2512.1485861125302</v>
      </c>
      <c r="AP6857" s="2">
        <v>2593.78083214142</v>
      </c>
    </row>
    <row r="6858" spans="1:42" ht="14.5" x14ac:dyDescent="0.35">
      <c r="A6858" s="2" t="s">
        <v>45474</v>
      </c>
      <c r="B6858" s="2">
        <v>938.530767755905</v>
      </c>
      <c r="C6858" s="2">
        <v>10.07465</v>
      </c>
      <c r="D6858" s="2" t="s">
        <v>34</v>
      </c>
      <c r="E6858" s="2" t="s">
        <v>45475</v>
      </c>
      <c r="F6858" s="2">
        <v>56304</v>
      </c>
      <c r="G6858" s="3" t="str">
        <f>HYPERLINK("http://funmeta.oebiotech.com/network/56304", "http://funmeta.oebiotech.com/network/56304")</f>
        <v>http://funmeta.oebiotech.com/network/56304</v>
      </c>
      <c r="H6858" s="2" t="s">
        <v>45476</v>
      </c>
      <c r="I6858" s="2">
        <v>87960</v>
      </c>
      <c r="J6858" s="2"/>
      <c r="K6858" s="2"/>
      <c r="L6858" s="2"/>
      <c r="M6858" s="2"/>
      <c r="N6858" s="2"/>
      <c r="O6858" s="2">
        <v>131751196</v>
      </c>
      <c r="P6858" s="2" t="s">
        <v>45477</v>
      </c>
      <c r="Q6858" s="2" t="s">
        <v>45478</v>
      </c>
      <c r="R6858" s="2" t="s">
        <v>45479</v>
      </c>
      <c r="S6858" s="2" t="s">
        <v>50</v>
      </c>
      <c r="T6858" s="2" t="s">
        <v>124</v>
      </c>
      <c r="U6858" s="2" t="s">
        <v>523</v>
      </c>
      <c r="V6858" s="2" t="s">
        <v>59</v>
      </c>
      <c r="W6858" s="2">
        <v>37.9</v>
      </c>
      <c r="X6858" s="2">
        <v>0</v>
      </c>
      <c r="Y6858" s="2" t="s">
        <v>43</v>
      </c>
      <c r="Z6858" s="2" t="s">
        <v>45480</v>
      </c>
      <c r="AA6858" s="2">
        <v>-1.2362687974972499</v>
      </c>
      <c r="AB6858" s="2">
        <v>8.6096417554615504E-3</v>
      </c>
      <c r="AC6858" s="2">
        <v>53432.406261509001</v>
      </c>
      <c r="AD6858" s="2">
        <v>53319.472889844998</v>
      </c>
      <c r="AE6858" s="2">
        <v>55329.507523738299</v>
      </c>
      <c r="AF6858" s="2">
        <v>52452.990362443401</v>
      </c>
      <c r="AG6858" s="2">
        <v>52478.467100899303</v>
      </c>
      <c r="AH6858" s="2">
        <v>51222.609560134602</v>
      </c>
      <c r="AI6858" s="2">
        <v>52371.9475205899</v>
      </c>
      <c r="AJ6858" s="2">
        <v>56738.915501248601</v>
      </c>
      <c r="AK6858" s="2">
        <v>53408.848315294097</v>
      </c>
      <c r="AL6858" s="2">
        <v>53008.133199522897</v>
      </c>
      <c r="AM6858" s="2">
        <v>54489.360747979998</v>
      </c>
      <c r="AN6858" s="2">
        <v>52974.885868186502</v>
      </c>
      <c r="AO6858" s="2">
        <v>53059.307687620101</v>
      </c>
      <c r="AP6858" s="2">
        <v>52976.301520466201</v>
      </c>
    </row>
    <row r="6859" spans="1:42" ht="14.5" x14ac:dyDescent="0.35">
      <c r="A6859" s="2" t="s">
        <v>45481</v>
      </c>
      <c r="B6859" s="2">
        <v>335.02216172078897</v>
      </c>
      <c r="C6859" s="2">
        <v>1.2204999999999999</v>
      </c>
      <c r="D6859" s="2" t="s">
        <v>34</v>
      </c>
      <c r="E6859" s="2" t="s">
        <v>45482</v>
      </c>
      <c r="F6859" s="2">
        <v>197298</v>
      </c>
      <c r="G6859" s="3" t="str">
        <f>HYPERLINK("http://funmeta.oebiotech.com/network/197298", "http://funmeta.oebiotech.com/network/197298")</f>
        <v>http://funmeta.oebiotech.com/network/197298</v>
      </c>
      <c r="H6859" s="2" t="s">
        <v>45483</v>
      </c>
      <c r="I6859" s="2"/>
      <c r="J6859" s="2"/>
      <c r="K6859" s="2"/>
      <c r="L6859" s="2"/>
      <c r="M6859" s="2"/>
      <c r="N6859" s="2"/>
      <c r="O6859" s="2">
        <v>12114463</v>
      </c>
      <c r="P6859" s="2"/>
      <c r="Q6859" s="2" t="s">
        <v>45484</v>
      </c>
      <c r="R6859" s="2" t="s">
        <v>45485</v>
      </c>
      <c r="S6859" s="2" t="s">
        <v>115</v>
      </c>
      <c r="T6859" s="2" t="s">
        <v>1371</v>
      </c>
      <c r="U6859" s="2" t="s">
        <v>3717</v>
      </c>
      <c r="V6859" s="2" t="s">
        <v>59</v>
      </c>
      <c r="W6859" s="2">
        <v>38.4</v>
      </c>
      <c r="X6859" s="2">
        <v>4.92</v>
      </c>
      <c r="Y6859" s="2" t="s">
        <v>394</v>
      </c>
      <c r="Z6859" s="2" t="s">
        <v>45486</v>
      </c>
      <c r="AA6859" s="2">
        <v>0.48390432287040902</v>
      </c>
      <c r="AB6859" s="2">
        <v>8.6090473239702307E-3</v>
      </c>
      <c r="AC6859" s="2">
        <v>3283.3143458930099</v>
      </c>
      <c r="AD6859" s="2">
        <v>3221.7387984534798</v>
      </c>
      <c r="AE6859" s="2">
        <v>3218.32509981883</v>
      </c>
      <c r="AF6859" s="2">
        <v>3571.6377218246298</v>
      </c>
      <c r="AG6859" s="2">
        <v>3543.5784519834801</v>
      </c>
      <c r="AH6859" s="2">
        <v>4148.5283760689499</v>
      </c>
      <c r="AI6859" s="2">
        <v>2861.3309895175998</v>
      </c>
      <c r="AJ6859" s="2">
        <v>2356.48543614455</v>
      </c>
      <c r="AK6859" s="2">
        <v>3353.0214461977098</v>
      </c>
      <c r="AL6859" s="2">
        <v>3063.20282331407</v>
      </c>
      <c r="AM6859" s="2">
        <v>3149.0702591480999</v>
      </c>
      <c r="AN6859" s="2">
        <v>3377.01984459292</v>
      </c>
      <c r="AO6859" s="2">
        <v>3423.9561854213098</v>
      </c>
      <c r="AP6859" s="2">
        <v>2964.1622320468</v>
      </c>
    </row>
    <row r="6860" spans="1:42" ht="14.5" x14ac:dyDescent="0.35">
      <c r="A6860" s="2" t="s">
        <v>45487</v>
      </c>
      <c r="B6860" s="2">
        <v>595.12464009120902</v>
      </c>
      <c r="C6860" s="2">
        <v>1.3655666666666699</v>
      </c>
      <c r="D6860" s="2" t="s">
        <v>34</v>
      </c>
      <c r="E6860" s="2" t="s">
        <v>45488</v>
      </c>
      <c r="F6860" s="2">
        <v>209546</v>
      </c>
      <c r="G6860" s="3" t="str">
        <f>HYPERLINK("http://funmeta.oebiotech.com/network/209546", "http://funmeta.oebiotech.com/network/209546")</f>
        <v>http://funmeta.oebiotech.com/network/209546</v>
      </c>
      <c r="H6860" s="2" t="s">
        <v>45489</v>
      </c>
      <c r="I6860" s="2"/>
      <c r="J6860" s="2"/>
      <c r="K6860" s="2"/>
      <c r="L6860" s="2"/>
      <c r="M6860" s="2"/>
      <c r="N6860" s="2"/>
      <c r="O6860" s="2">
        <v>4476</v>
      </c>
      <c r="P6860" s="2"/>
      <c r="Q6860" s="2" t="s">
        <v>45490</v>
      </c>
      <c r="R6860" s="2" t="s">
        <v>45491</v>
      </c>
      <c r="S6860" s="2" t="s">
        <v>89</v>
      </c>
      <c r="T6860" s="2" t="s">
        <v>90</v>
      </c>
      <c r="U6860" s="2" t="s">
        <v>1248</v>
      </c>
      <c r="V6860" s="2" t="s">
        <v>59</v>
      </c>
      <c r="W6860" s="2">
        <v>36</v>
      </c>
      <c r="X6860" s="2">
        <v>0</v>
      </c>
      <c r="Y6860" s="2" t="s">
        <v>340</v>
      </c>
      <c r="Z6860" s="2" t="s">
        <v>45492</v>
      </c>
      <c r="AA6860" s="2">
        <v>3.7188363584809698</v>
      </c>
      <c r="AB6860" s="2">
        <v>8.6088160112476105E-3</v>
      </c>
      <c r="AC6860" s="2">
        <v>6084.9822152451297</v>
      </c>
      <c r="AD6860" s="2">
        <v>6006.6147569717996</v>
      </c>
      <c r="AE6860" s="2">
        <v>6487.13627915085</v>
      </c>
      <c r="AF6860" s="2">
        <v>6037.5384171543201</v>
      </c>
      <c r="AG6860" s="2">
        <v>5687.7931896953896</v>
      </c>
      <c r="AH6860" s="2">
        <v>5479.6909987237404</v>
      </c>
      <c r="AI6860" s="2">
        <v>6314.95694614269</v>
      </c>
      <c r="AJ6860" s="2">
        <v>6502.7774606038001</v>
      </c>
      <c r="AK6860" s="2">
        <v>5965.6246582493804</v>
      </c>
      <c r="AL6860" s="2">
        <v>4812.9911623138796</v>
      </c>
      <c r="AM6860" s="2">
        <v>6127.5888302017302</v>
      </c>
      <c r="AN6860" s="2">
        <v>5907.7942245126396</v>
      </c>
      <c r="AO6860" s="2">
        <v>5957.9657381368997</v>
      </c>
      <c r="AP6860" s="2">
        <v>7267.7239284162597</v>
      </c>
    </row>
    <row r="6861" spans="1:42" ht="14.5" x14ac:dyDescent="0.35">
      <c r="A6861" s="2" t="s">
        <v>45493</v>
      </c>
      <c r="B6861" s="2">
        <v>242.17564057301499</v>
      </c>
      <c r="C6861" s="2">
        <v>6.9333</v>
      </c>
      <c r="D6861" s="2" t="s">
        <v>70</v>
      </c>
      <c r="E6861" s="2" t="s">
        <v>45494</v>
      </c>
      <c r="F6861" s="2">
        <v>52235</v>
      </c>
      <c r="G6861" s="3" t="str">
        <f>HYPERLINK("http://funmeta.oebiotech.com/network/52235", "http://funmeta.oebiotech.com/network/52235")</f>
        <v>http://funmeta.oebiotech.com/network/52235</v>
      </c>
      <c r="H6861" s="2" t="s">
        <v>45495</v>
      </c>
      <c r="I6861" s="2">
        <v>331610</v>
      </c>
      <c r="J6861" s="2"/>
      <c r="K6861" s="2">
        <v>74438</v>
      </c>
      <c r="L6861" s="2"/>
      <c r="M6861" s="2"/>
      <c r="N6861" s="2"/>
      <c r="O6861" s="2">
        <v>454092</v>
      </c>
      <c r="P6861" s="2"/>
      <c r="Q6861" s="2" t="s">
        <v>45496</v>
      </c>
      <c r="R6861" s="2" t="s">
        <v>45497</v>
      </c>
      <c r="S6861" s="2" t="s">
        <v>89</v>
      </c>
      <c r="T6861" s="2" t="s">
        <v>90</v>
      </c>
      <c r="U6861" s="2" t="s">
        <v>99</v>
      </c>
      <c r="V6861" s="2" t="s">
        <v>59</v>
      </c>
      <c r="W6861" s="2">
        <v>41.3</v>
      </c>
      <c r="X6861" s="2">
        <v>11.9</v>
      </c>
      <c r="Y6861" s="2" t="s">
        <v>118</v>
      </c>
      <c r="Z6861" s="2" t="s">
        <v>45498</v>
      </c>
      <c r="AA6861" s="2">
        <v>-2.1656910810367198</v>
      </c>
      <c r="AB6861" s="2">
        <v>8.6062132175298497E-3</v>
      </c>
      <c r="AC6861" s="2">
        <v>14858.7518705901</v>
      </c>
      <c r="AD6861" s="2">
        <v>15025.364785984701</v>
      </c>
      <c r="AE6861" s="2">
        <v>13050.8693934231</v>
      </c>
      <c r="AF6861" s="2">
        <v>13305.3927937758</v>
      </c>
      <c r="AG6861" s="2">
        <v>12888.0820497186</v>
      </c>
      <c r="AH6861" s="2">
        <v>22590.4845241601</v>
      </c>
      <c r="AI6861" s="2">
        <v>13860.224972575599</v>
      </c>
      <c r="AJ6861" s="2">
        <v>13457.4574898876</v>
      </c>
      <c r="AK6861" s="2">
        <v>10242.413289009301</v>
      </c>
      <c r="AL6861" s="2">
        <v>17358.1650018615</v>
      </c>
      <c r="AM6861" s="2">
        <v>13679.110775695401</v>
      </c>
      <c r="AN6861" s="2">
        <v>15856.9249247957</v>
      </c>
      <c r="AO6861" s="2">
        <v>18023.597372035201</v>
      </c>
      <c r="AP6861" s="2">
        <v>14991.9773525114</v>
      </c>
    </row>
    <row r="6862" spans="1:42" ht="14.5" x14ac:dyDescent="0.35">
      <c r="A6862" s="2" t="s">
        <v>45499</v>
      </c>
      <c r="B6862" s="2">
        <v>213.084410888316</v>
      </c>
      <c r="C6862" s="2">
        <v>1.3109999999999999</v>
      </c>
      <c r="D6862" s="2" t="s">
        <v>34</v>
      </c>
      <c r="E6862" s="2" t="s">
        <v>45500</v>
      </c>
      <c r="F6862" s="2">
        <v>198965</v>
      </c>
      <c r="G6862" s="3" t="str">
        <f>HYPERLINK("http://funmeta.oebiotech.com/network/198965", "http://funmeta.oebiotech.com/network/198965")</f>
        <v>http://funmeta.oebiotech.com/network/198965</v>
      </c>
      <c r="H6862" s="2" t="s">
        <v>45501</v>
      </c>
      <c r="I6862" s="2">
        <v>352</v>
      </c>
      <c r="J6862" s="2"/>
      <c r="K6862" s="2">
        <v>23673</v>
      </c>
      <c r="L6862" s="2" t="s">
        <v>45502</v>
      </c>
      <c r="M6862" s="2" t="s">
        <v>45503</v>
      </c>
      <c r="N6862" s="2" t="s">
        <v>45504</v>
      </c>
      <c r="O6862" s="2">
        <v>865</v>
      </c>
      <c r="P6862" s="2" t="s">
        <v>45505</v>
      </c>
      <c r="Q6862" s="2" t="s">
        <v>45506</v>
      </c>
      <c r="R6862" s="2" t="s">
        <v>45507</v>
      </c>
      <c r="S6862" s="2" t="s">
        <v>89</v>
      </c>
      <c r="T6862" s="2" t="s">
        <v>90</v>
      </c>
      <c r="U6862" s="2" t="s">
        <v>99</v>
      </c>
      <c r="V6862" s="2" t="s">
        <v>59</v>
      </c>
      <c r="W6862" s="2">
        <v>39</v>
      </c>
      <c r="X6862" s="2">
        <v>0</v>
      </c>
      <c r="Y6862" s="2" t="s">
        <v>323</v>
      </c>
      <c r="Z6862" s="2" t="s">
        <v>29558</v>
      </c>
      <c r="AA6862" s="2">
        <v>-0.87707825475457502</v>
      </c>
      <c r="AB6862" s="2">
        <v>8.6006983220424695E-3</v>
      </c>
      <c r="AC6862" s="2">
        <v>738.04830808815097</v>
      </c>
      <c r="AD6862" s="2">
        <v>772.80523632377594</v>
      </c>
      <c r="AE6862" s="2">
        <v>652.68757307912801</v>
      </c>
      <c r="AF6862" s="2">
        <v>791.12418265680697</v>
      </c>
      <c r="AG6862" s="2">
        <v>565.08952565433594</v>
      </c>
      <c r="AH6862" s="2">
        <v>756.93697301334896</v>
      </c>
      <c r="AI6862" s="2">
        <v>645.21813682915501</v>
      </c>
      <c r="AJ6862" s="2">
        <v>1017.23345729613</v>
      </c>
      <c r="AK6862" s="2">
        <v>714.30511126155398</v>
      </c>
      <c r="AL6862" s="2">
        <v>814.23238275416804</v>
      </c>
      <c r="AM6862" s="2">
        <v>672.25251820123697</v>
      </c>
      <c r="AN6862" s="2">
        <v>690.57578110985696</v>
      </c>
      <c r="AO6862" s="2">
        <v>905.88194086845397</v>
      </c>
      <c r="AP6862" s="2">
        <v>839.58368374738598</v>
      </c>
    </row>
    <row r="6863" spans="1:42" ht="14.5" x14ac:dyDescent="0.35">
      <c r="A6863" s="2" t="s">
        <v>45508</v>
      </c>
      <c r="B6863" s="2">
        <v>241.19499478517201</v>
      </c>
      <c r="C6863" s="2">
        <v>5.9341833333333298</v>
      </c>
      <c r="D6863" s="2" t="s">
        <v>34</v>
      </c>
      <c r="E6863" s="2" t="s">
        <v>45509</v>
      </c>
      <c r="F6863" s="2">
        <v>83376</v>
      </c>
      <c r="G6863" s="3" t="str">
        <f>HYPERLINK("http://funmeta.oebiotech.com/network/83376", "http://funmeta.oebiotech.com/network/83376")</f>
        <v>http://funmeta.oebiotech.com/network/83376</v>
      </c>
      <c r="H6863" s="2" t="s">
        <v>45510</v>
      </c>
      <c r="I6863" s="2"/>
      <c r="J6863" s="2"/>
      <c r="K6863" s="2"/>
      <c r="L6863" s="2"/>
      <c r="M6863" s="2"/>
      <c r="N6863" s="2"/>
      <c r="O6863" s="2"/>
      <c r="P6863" s="2"/>
      <c r="Q6863" s="2" t="s">
        <v>45511</v>
      </c>
      <c r="R6863" s="2" t="s">
        <v>45512</v>
      </c>
      <c r="S6863" s="2" t="s">
        <v>148</v>
      </c>
      <c r="T6863" s="2" t="s">
        <v>19471</v>
      </c>
      <c r="U6863" s="2" t="s">
        <v>41</v>
      </c>
      <c r="V6863" s="2" t="s">
        <v>59</v>
      </c>
      <c r="W6863" s="2">
        <v>39.5</v>
      </c>
      <c r="X6863" s="2">
        <v>0</v>
      </c>
      <c r="Y6863" s="2" t="s">
        <v>141</v>
      </c>
      <c r="Z6863" s="2" t="s">
        <v>45513</v>
      </c>
      <c r="AA6863" s="2">
        <v>-0.31920499351037301</v>
      </c>
      <c r="AB6863" s="2">
        <v>8.5595131263540205E-3</v>
      </c>
      <c r="AC6863" s="2">
        <v>1306.4085141478599</v>
      </c>
      <c r="AD6863" s="2">
        <v>1378.8976533627001</v>
      </c>
      <c r="AE6863" s="2">
        <v>1816.0381953011899</v>
      </c>
      <c r="AF6863" s="2">
        <v>621.31778539580205</v>
      </c>
      <c r="AG6863" s="2">
        <v>1000.72076326562</v>
      </c>
      <c r="AH6863" s="2">
        <v>1552.4182910939301</v>
      </c>
      <c r="AI6863" s="2">
        <v>1315.6589275762999</v>
      </c>
      <c r="AJ6863" s="2">
        <v>1532.2971222543199</v>
      </c>
      <c r="AK6863" s="2">
        <v>1016.86605101977</v>
      </c>
      <c r="AL6863" s="2">
        <v>2622.9591046588798</v>
      </c>
      <c r="AM6863" s="2">
        <v>1355.9448875483499</v>
      </c>
      <c r="AN6863" s="2">
        <v>1117.0786539728299</v>
      </c>
      <c r="AO6863" s="2">
        <v>1558.0879027224601</v>
      </c>
      <c r="AP6863" s="2">
        <v>602.44932025390699</v>
      </c>
    </row>
    <row r="6864" spans="1:42" ht="14.5" x14ac:dyDescent="0.35">
      <c r="A6864" s="2" t="s">
        <v>45514</v>
      </c>
      <c r="B6864" s="2">
        <v>617.29498223867301</v>
      </c>
      <c r="C6864" s="2">
        <v>5.5993333333333304</v>
      </c>
      <c r="D6864" s="2" t="s">
        <v>70</v>
      </c>
      <c r="E6864" s="2" t="s">
        <v>45515</v>
      </c>
      <c r="F6864" s="2">
        <v>204244</v>
      </c>
      <c r="G6864" s="3" t="str">
        <f>HYPERLINK("http://funmeta.oebiotech.com/network/204244", "http://funmeta.oebiotech.com/network/204244")</f>
        <v>http://funmeta.oebiotech.com/network/204244</v>
      </c>
      <c r="H6864" s="2" t="s">
        <v>45516</v>
      </c>
      <c r="I6864" s="2"/>
      <c r="J6864" s="2"/>
      <c r="K6864" s="2"/>
      <c r="L6864" s="2"/>
      <c r="M6864" s="2"/>
      <c r="N6864" s="2"/>
      <c r="O6864" s="2"/>
      <c r="P6864" s="2"/>
      <c r="Q6864" s="2" t="s">
        <v>45517</v>
      </c>
      <c r="R6864" s="2" t="s">
        <v>45518</v>
      </c>
      <c r="S6864" s="2" t="s">
        <v>115</v>
      </c>
      <c r="T6864" s="2" t="s">
        <v>575</v>
      </c>
      <c r="U6864" s="2" t="s">
        <v>576</v>
      </c>
      <c r="V6864" s="2" t="s">
        <v>59</v>
      </c>
      <c r="W6864" s="2">
        <v>36.4</v>
      </c>
      <c r="X6864" s="2">
        <v>0</v>
      </c>
      <c r="Y6864" s="2" t="s">
        <v>560</v>
      </c>
      <c r="Z6864" s="2" t="s">
        <v>45519</v>
      </c>
      <c r="AA6864" s="2">
        <v>-2.0063894005144598</v>
      </c>
      <c r="AB6864" s="2">
        <v>8.4853888479209504E-3</v>
      </c>
      <c r="AC6864" s="2">
        <v>2756.1032722945101</v>
      </c>
      <c r="AD6864" s="2">
        <v>2656.9105190043401</v>
      </c>
      <c r="AE6864" s="2">
        <v>4330.6739731622902</v>
      </c>
      <c r="AF6864" s="2">
        <v>4021.9712331208998</v>
      </c>
      <c r="AG6864" s="2">
        <v>1663.5610848512799</v>
      </c>
      <c r="AH6864" s="2">
        <v>2390.1537655493298</v>
      </c>
      <c r="AI6864" s="2">
        <v>2513.3121859285402</v>
      </c>
      <c r="AJ6864" s="2">
        <v>1616.94739115473</v>
      </c>
      <c r="AK6864" s="2">
        <v>1566.26579285246</v>
      </c>
      <c r="AL6864" s="2">
        <v>2353.0168669208401</v>
      </c>
      <c r="AM6864" s="2">
        <v>4371.3417875073301</v>
      </c>
      <c r="AN6864" s="2">
        <v>1700.29052493517</v>
      </c>
      <c r="AO6864" s="2">
        <v>1820.51842686537</v>
      </c>
      <c r="AP6864" s="2">
        <v>4130.0297149448897</v>
      </c>
    </row>
    <row r="6865" spans="1:42" ht="14.5" x14ac:dyDescent="0.35">
      <c r="A6865" s="2" t="s">
        <v>45520</v>
      </c>
      <c r="B6865" s="2">
        <v>103.038908609845</v>
      </c>
      <c r="C6865" s="2">
        <v>1.06171666666667</v>
      </c>
      <c r="D6865" s="2" t="s">
        <v>34</v>
      </c>
      <c r="E6865" s="2" t="s">
        <v>45521</v>
      </c>
      <c r="F6865" s="2">
        <v>6583</v>
      </c>
      <c r="G6865" s="3" t="str">
        <f>HYPERLINK("http://funmeta.oebiotech.com/network/6583", "http://funmeta.oebiotech.com/network/6583")</f>
        <v>http://funmeta.oebiotech.com/network/6583</v>
      </c>
      <c r="H6865" s="2" t="s">
        <v>45522</v>
      </c>
      <c r="I6865" s="2">
        <v>275</v>
      </c>
      <c r="J6865" s="2" t="s">
        <v>45523</v>
      </c>
      <c r="K6865" s="2">
        <v>16265</v>
      </c>
      <c r="L6865" s="2" t="s">
        <v>45524</v>
      </c>
      <c r="M6865" s="2" t="s">
        <v>45525</v>
      </c>
      <c r="N6865" s="2" t="s">
        <v>45526</v>
      </c>
      <c r="O6865" s="2">
        <v>1112</v>
      </c>
      <c r="P6865" s="2" t="s">
        <v>45527</v>
      </c>
      <c r="Q6865" s="2" t="s">
        <v>45528</v>
      </c>
      <c r="R6865" s="2" t="s">
        <v>45529</v>
      </c>
      <c r="S6865" s="2" t="s">
        <v>50</v>
      </c>
      <c r="T6865" s="2" t="s">
        <v>229</v>
      </c>
      <c r="U6865" s="2" t="s">
        <v>433</v>
      </c>
      <c r="V6865" s="2" t="s">
        <v>59</v>
      </c>
      <c r="W6865" s="2">
        <v>39.200000000000003</v>
      </c>
      <c r="X6865" s="2">
        <v>0</v>
      </c>
      <c r="Y6865" s="2" t="s">
        <v>394</v>
      </c>
      <c r="Z6865" s="2" t="s">
        <v>45530</v>
      </c>
      <c r="AA6865" s="2">
        <v>-0.60641210890848096</v>
      </c>
      <c r="AB6865" s="2">
        <v>8.4776142114236994E-3</v>
      </c>
      <c r="AC6865" s="2">
        <v>5691.2931391046704</v>
      </c>
      <c r="AD6865" s="2">
        <v>5747.76457543583</v>
      </c>
      <c r="AE6865" s="2">
        <v>5219.4834416848398</v>
      </c>
      <c r="AF6865" s="2">
        <v>5494.6754423392204</v>
      </c>
      <c r="AG6865" s="2">
        <v>5909.1434419138104</v>
      </c>
      <c r="AH6865" s="2">
        <v>5672.3081732794199</v>
      </c>
      <c r="AI6865" s="2">
        <v>5992.4928957904904</v>
      </c>
      <c r="AJ6865" s="2">
        <v>5859.65543962027</v>
      </c>
      <c r="AK6865" s="2">
        <v>4878.4559532625999</v>
      </c>
      <c r="AL6865" s="2">
        <v>5591.3187165846002</v>
      </c>
      <c r="AM6865" s="2">
        <v>5499.56681536615</v>
      </c>
      <c r="AN6865" s="2">
        <v>6170.43105393118</v>
      </c>
      <c r="AO6865" s="2">
        <v>6209.8874622213098</v>
      </c>
      <c r="AP6865" s="2">
        <v>6136.9274512491402</v>
      </c>
    </row>
    <row r="6866" spans="1:42" ht="14.5" x14ac:dyDescent="0.35">
      <c r="A6866" s="2" t="s">
        <v>45531</v>
      </c>
      <c r="B6866" s="2">
        <v>567.13067590739399</v>
      </c>
      <c r="C6866" s="2">
        <v>3.5017</v>
      </c>
      <c r="D6866" s="2" t="s">
        <v>70</v>
      </c>
      <c r="E6866" s="2" t="s">
        <v>45532</v>
      </c>
      <c r="F6866" s="2">
        <v>29367</v>
      </c>
      <c r="G6866" s="3" t="str">
        <f>HYPERLINK("http://funmeta.oebiotech.com/network/29367", "http://funmeta.oebiotech.com/network/29367")</f>
        <v>http://funmeta.oebiotech.com/network/29367</v>
      </c>
      <c r="H6866" s="2" t="s">
        <v>45533</v>
      </c>
      <c r="I6866" s="2">
        <v>43566</v>
      </c>
      <c r="J6866" s="2" t="s">
        <v>45534</v>
      </c>
      <c r="K6866" s="2">
        <v>17574</v>
      </c>
      <c r="L6866" s="2" t="s">
        <v>45535</v>
      </c>
      <c r="M6866" s="2" t="s">
        <v>1366</v>
      </c>
      <c r="N6866" s="2" t="s">
        <v>1367</v>
      </c>
      <c r="O6866" s="2">
        <v>5280373</v>
      </c>
      <c r="P6866" s="2" t="s">
        <v>45536</v>
      </c>
      <c r="Q6866" s="2" t="s">
        <v>45537</v>
      </c>
      <c r="R6866" s="2" t="s">
        <v>45538</v>
      </c>
      <c r="S6866" s="2" t="s">
        <v>115</v>
      </c>
      <c r="T6866" s="2" t="s">
        <v>1371</v>
      </c>
      <c r="U6866" s="2" t="s">
        <v>6597</v>
      </c>
      <c r="V6866" s="2" t="s">
        <v>59</v>
      </c>
      <c r="W6866" s="2">
        <v>39</v>
      </c>
      <c r="X6866" s="2">
        <v>0</v>
      </c>
      <c r="Y6866" s="2" t="s">
        <v>560</v>
      </c>
      <c r="Z6866" s="2" t="s">
        <v>28933</v>
      </c>
      <c r="AA6866" s="2">
        <v>1.76959819154874</v>
      </c>
      <c r="AB6866" s="2">
        <v>8.3760703453497204E-3</v>
      </c>
      <c r="AC6866" s="2">
        <v>2999.1590853724501</v>
      </c>
      <c r="AD6866" s="2">
        <v>3057.31661348958</v>
      </c>
      <c r="AE6866" s="2">
        <v>2810.42402275633</v>
      </c>
      <c r="AF6866" s="2">
        <v>2927.8792385996198</v>
      </c>
      <c r="AG6866" s="2">
        <v>2894.4179091462202</v>
      </c>
      <c r="AH6866" s="2">
        <v>3964.6074128810001</v>
      </c>
      <c r="AI6866" s="2">
        <v>2929.3386697382398</v>
      </c>
      <c r="AJ6866" s="2">
        <v>2468.28725911329</v>
      </c>
      <c r="AK6866" s="2">
        <v>2417.8345013933899</v>
      </c>
      <c r="AL6866" s="2">
        <v>3017.2411159492599</v>
      </c>
      <c r="AM6866" s="2">
        <v>3296.6710874782002</v>
      </c>
      <c r="AN6866" s="2">
        <v>3255.0250377283101</v>
      </c>
      <c r="AO6866" s="2">
        <v>3124.6446901735799</v>
      </c>
      <c r="AP6866" s="2">
        <v>3232.4832482147299</v>
      </c>
    </row>
    <row r="6867" spans="1:42" ht="14.5" x14ac:dyDescent="0.35">
      <c r="A6867" s="2" t="s">
        <v>45539</v>
      </c>
      <c r="B6867" s="2">
        <v>258.03794687146302</v>
      </c>
      <c r="C6867" s="2">
        <v>4.1337999999999999</v>
      </c>
      <c r="D6867" s="2" t="s">
        <v>70</v>
      </c>
      <c r="E6867" s="2" t="s">
        <v>45540</v>
      </c>
      <c r="F6867" s="2">
        <v>56721</v>
      </c>
      <c r="G6867" s="3" t="str">
        <f>HYPERLINK("http://funmeta.oebiotech.com/network/56721", "http://funmeta.oebiotech.com/network/56721")</f>
        <v>http://funmeta.oebiotech.com/network/56721</v>
      </c>
      <c r="H6867" s="2" t="s">
        <v>45541</v>
      </c>
      <c r="I6867" s="2">
        <v>88392</v>
      </c>
      <c r="J6867" s="2"/>
      <c r="K6867" s="2"/>
      <c r="L6867" s="2"/>
      <c r="M6867" s="2"/>
      <c r="N6867" s="2"/>
      <c r="O6867" s="2">
        <v>11550267</v>
      </c>
      <c r="P6867" s="2" t="s">
        <v>45542</v>
      </c>
      <c r="Q6867" s="2" t="s">
        <v>45543</v>
      </c>
      <c r="R6867" s="2" t="s">
        <v>45544</v>
      </c>
      <c r="S6867" s="2" t="s">
        <v>89</v>
      </c>
      <c r="T6867" s="2" t="s">
        <v>894</v>
      </c>
      <c r="U6867" s="2" t="s">
        <v>895</v>
      </c>
      <c r="V6867" s="2" t="s">
        <v>59</v>
      </c>
      <c r="W6867" s="2">
        <v>38.1</v>
      </c>
      <c r="X6867" s="2">
        <v>0</v>
      </c>
      <c r="Y6867" s="2" t="s">
        <v>408</v>
      </c>
      <c r="Z6867" s="2" t="s">
        <v>45545</v>
      </c>
      <c r="AA6867" s="2">
        <v>-2.2518542680290401</v>
      </c>
      <c r="AB6867" s="2">
        <v>8.3434398541133506E-3</v>
      </c>
      <c r="AC6867" s="2">
        <v>775.14279398740302</v>
      </c>
      <c r="AD6867" s="2">
        <v>823.94127664367204</v>
      </c>
      <c r="AE6867" s="2">
        <v>950.28012606148604</v>
      </c>
      <c r="AF6867" s="2">
        <v>928.82728725905804</v>
      </c>
      <c r="AG6867" s="2">
        <v>538.79886766796596</v>
      </c>
      <c r="AH6867" s="2">
        <v>812.93501077977601</v>
      </c>
      <c r="AI6867" s="2">
        <v>541.73347355591898</v>
      </c>
      <c r="AJ6867" s="2">
        <v>878.28199860021505</v>
      </c>
      <c r="AK6867" s="2">
        <v>1073.1943522501599</v>
      </c>
      <c r="AL6867" s="2">
        <v>596.85575875303698</v>
      </c>
      <c r="AM6867" s="2">
        <v>804.42523865329701</v>
      </c>
      <c r="AN6867" s="2">
        <v>401.37938742005701</v>
      </c>
      <c r="AO6867" s="2">
        <v>805.15844390438099</v>
      </c>
      <c r="AP6867" s="2">
        <v>1262.6344788811</v>
      </c>
    </row>
    <row r="6868" spans="1:42" ht="14.5" x14ac:dyDescent="0.35">
      <c r="A6868" s="2" t="s">
        <v>45546</v>
      </c>
      <c r="B6868" s="2">
        <v>512.15558318880005</v>
      </c>
      <c r="C6868" s="2">
        <v>4.0429833333333303</v>
      </c>
      <c r="D6868" s="2" t="s">
        <v>70</v>
      </c>
      <c r="E6868" s="2" t="s">
        <v>45547</v>
      </c>
      <c r="F6868" s="2">
        <v>204587</v>
      </c>
      <c r="G6868" s="3" t="str">
        <f>HYPERLINK("http://funmeta.oebiotech.com/network/204587", "http://funmeta.oebiotech.com/network/204587")</f>
        <v>http://funmeta.oebiotech.com/network/204587</v>
      </c>
      <c r="H6868" s="2" t="s">
        <v>45548</v>
      </c>
      <c r="I6868" s="2"/>
      <c r="J6868" s="2"/>
      <c r="K6868" s="2"/>
      <c r="L6868" s="2"/>
      <c r="M6868" s="2"/>
      <c r="N6868" s="2"/>
      <c r="O6868" s="2">
        <v>430461</v>
      </c>
      <c r="P6868" s="2"/>
      <c r="Q6868" s="2" t="s">
        <v>45549</v>
      </c>
      <c r="R6868" s="2" t="s">
        <v>45550</v>
      </c>
      <c r="S6868" s="2" t="s">
        <v>115</v>
      </c>
      <c r="T6868" s="2" t="s">
        <v>2840</v>
      </c>
      <c r="U6868" s="2" t="s">
        <v>41</v>
      </c>
      <c r="V6868" s="2" t="s">
        <v>59</v>
      </c>
      <c r="W6868" s="2">
        <v>38.1</v>
      </c>
      <c r="X6868" s="2">
        <v>0</v>
      </c>
      <c r="Y6868" s="2" t="s">
        <v>118</v>
      </c>
      <c r="Z6868" s="2" t="s">
        <v>45551</v>
      </c>
      <c r="AA6868" s="2">
        <v>-1.24023921211013</v>
      </c>
      <c r="AB6868" s="2">
        <v>8.3412552113104905E-3</v>
      </c>
      <c r="AC6868" s="2">
        <v>5459.9200899128</v>
      </c>
      <c r="AD6868" s="2">
        <v>5348.4772747213701</v>
      </c>
      <c r="AE6868" s="2">
        <v>6412.5295137471603</v>
      </c>
      <c r="AF6868" s="2">
        <v>6764.7746727304202</v>
      </c>
      <c r="AG6868" s="2">
        <v>3591.3987198979098</v>
      </c>
      <c r="AH6868" s="2">
        <v>4935.4527881829599</v>
      </c>
      <c r="AI6868" s="2">
        <v>4161.1394939556203</v>
      </c>
      <c r="AJ6868" s="2">
        <v>6894.2253509627499</v>
      </c>
      <c r="AK6868" s="2">
        <v>3222.4451501769299</v>
      </c>
      <c r="AL6868" s="2">
        <v>5090.2802723229497</v>
      </c>
      <c r="AM6868" s="2">
        <v>7448.2003501461204</v>
      </c>
      <c r="AN6868" s="2">
        <v>4807.8315936342196</v>
      </c>
      <c r="AO6868" s="2">
        <v>3771.5927843986801</v>
      </c>
      <c r="AP6868" s="2">
        <v>7750.51349764934</v>
      </c>
    </row>
    <row r="6869" spans="1:42" ht="14.5" x14ac:dyDescent="0.35">
      <c r="A6869" s="2" t="s">
        <v>45552</v>
      </c>
      <c r="B6869" s="2">
        <v>436.153210778551</v>
      </c>
      <c r="C6869" s="2">
        <v>3.6251333333333302</v>
      </c>
      <c r="D6869" s="2" t="s">
        <v>34</v>
      </c>
      <c r="E6869" s="2" t="s">
        <v>45553</v>
      </c>
      <c r="F6869" s="2">
        <v>203586</v>
      </c>
      <c r="G6869" s="3" t="str">
        <f>HYPERLINK("http://funmeta.oebiotech.com/network/203586", "http://funmeta.oebiotech.com/network/203586")</f>
        <v>http://funmeta.oebiotech.com/network/203586</v>
      </c>
      <c r="H6869" s="2" t="s">
        <v>45554</v>
      </c>
      <c r="I6869" s="2"/>
      <c r="J6869" s="2"/>
      <c r="K6869" s="2"/>
      <c r="L6869" s="2"/>
      <c r="M6869" s="2"/>
      <c r="N6869" s="2"/>
      <c r="O6869" s="2">
        <v>11315474</v>
      </c>
      <c r="P6869" s="2"/>
      <c r="Q6869" s="2" t="s">
        <v>45555</v>
      </c>
      <c r="R6869" s="2" t="s">
        <v>45556</v>
      </c>
      <c r="S6869" s="2" t="s">
        <v>148</v>
      </c>
      <c r="T6869" s="2" t="s">
        <v>149</v>
      </c>
      <c r="U6869" s="2" t="s">
        <v>4630</v>
      </c>
      <c r="V6869" s="2" t="s">
        <v>59</v>
      </c>
      <c r="W6869" s="2">
        <v>36.6</v>
      </c>
      <c r="X6869" s="2">
        <v>0</v>
      </c>
      <c r="Y6869" s="2" t="s">
        <v>340</v>
      </c>
      <c r="Z6869" s="2" t="s">
        <v>45557</v>
      </c>
      <c r="AA6869" s="2">
        <v>-0.52287943607238196</v>
      </c>
      <c r="AB6869" s="2">
        <v>8.3410585807531593E-3</v>
      </c>
      <c r="AC6869" s="2">
        <v>6581.1774410420603</v>
      </c>
      <c r="AD6869" s="2">
        <v>6485.5534631177497</v>
      </c>
      <c r="AE6869" s="2">
        <v>6408.5344450227503</v>
      </c>
      <c r="AF6869" s="2">
        <v>7354.9523297088099</v>
      </c>
      <c r="AG6869" s="2">
        <v>4985.83635358438</v>
      </c>
      <c r="AH6869" s="2">
        <v>5222.7183940286995</v>
      </c>
      <c r="AI6869" s="2">
        <v>7627.4288046055999</v>
      </c>
      <c r="AJ6869" s="2">
        <v>7887.5943193021203</v>
      </c>
      <c r="AK6869" s="2">
        <v>6241.6392907262098</v>
      </c>
      <c r="AL6869" s="2">
        <v>7171.0790029864802</v>
      </c>
      <c r="AM6869" s="2">
        <v>6791.0294034035796</v>
      </c>
      <c r="AN6869" s="2">
        <v>6534.23121858784</v>
      </c>
      <c r="AO6869" s="2">
        <v>6264.3497616106097</v>
      </c>
      <c r="AP6869" s="2">
        <v>5910.9921013917901</v>
      </c>
    </row>
    <row r="6870" spans="1:42" ht="14.5" x14ac:dyDescent="0.35">
      <c r="A6870" s="2" t="s">
        <v>45558</v>
      </c>
      <c r="B6870" s="2">
        <v>559.10645705846798</v>
      </c>
      <c r="C6870" s="2">
        <v>5.0778999999999996</v>
      </c>
      <c r="D6870" s="2" t="s">
        <v>70</v>
      </c>
      <c r="E6870" s="2" t="s">
        <v>45559</v>
      </c>
      <c r="F6870" s="2">
        <v>63747</v>
      </c>
      <c r="G6870" s="3" t="str">
        <f>HYPERLINK("http://funmeta.oebiotech.com/network/63747", "http://funmeta.oebiotech.com/network/63747")</f>
        <v>http://funmeta.oebiotech.com/network/63747</v>
      </c>
      <c r="H6870" s="2" t="s">
        <v>45560</v>
      </c>
      <c r="I6870" s="2">
        <v>95084</v>
      </c>
      <c r="J6870" s="2"/>
      <c r="K6870" s="2"/>
      <c r="L6870" s="2"/>
      <c r="M6870" s="2"/>
      <c r="N6870" s="2"/>
      <c r="O6870" s="2">
        <v>74413691</v>
      </c>
      <c r="P6870" s="2" t="s">
        <v>45561</v>
      </c>
      <c r="Q6870" s="2" t="s">
        <v>45562</v>
      </c>
      <c r="R6870" s="2" t="s">
        <v>45563</v>
      </c>
      <c r="S6870" s="2" t="s">
        <v>115</v>
      </c>
      <c r="T6870" s="2" t="s">
        <v>1371</v>
      </c>
      <c r="U6870" s="2" t="s">
        <v>1372</v>
      </c>
      <c r="V6870" s="2" t="s">
        <v>59</v>
      </c>
      <c r="W6870" s="2">
        <v>36.799999999999997</v>
      </c>
      <c r="X6870" s="2">
        <v>0</v>
      </c>
      <c r="Y6870" s="2" t="s">
        <v>751</v>
      </c>
      <c r="Z6870" s="2" t="s">
        <v>45564</v>
      </c>
      <c r="AA6870" s="2">
        <v>-4.96767649094474</v>
      </c>
      <c r="AB6870" s="2">
        <v>8.2127056206841107E-3</v>
      </c>
      <c r="AC6870" s="2">
        <v>3429.6370526839701</v>
      </c>
      <c r="AD6870" s="2">
        <v>3350.5173735244898</v>
      </c>
      <c r="AE6870" s="2">
        <v>2980.39564872442</v>
      </c>
      <c r="AF6870" s="2">
        <v>2921.4189632797002</v>
      </c>
      <c r="AG6870" s="2">
        <v>3686.9758251871099</v>
      </c>
      <c r="AH6870" s="2">
        <v>3841.65034059032</v>
      </c>
      <c r="AI6870" s="2">
        <v>3253.0893546778302</v>
      </c>
      <c r="AJ6870" s="2">
        <v>3894.2921836444498</v>
      </c>
      <c r="AK6870" s="2">
        <v>2288.0574417144298</v>
      </c>
      <c r="AL6870" s="2">
        <v>4490.8010093289304</v>
      </c>
      <c r="AM6870" s="2">
        <v>2692.0310084278699</v>
      </c>
      <c r="AN6870" s="2">
        <v>3425.8968630478998</v>
      </c>
      <c r="AO6870" s="2">
        <v>4690.8071137193101</v>
      </c>
      <c r="AP6870" s="2">
        <v>2515.5108049085202</v>
      </c>
    </row>
    <row r="6871" spans="1:42" ht="14.5" x14ac:dyDescent="0.35">
      <c r="A6871" s="2" t="s">
        <v>45565</v>
      </c>
      <c r="B6871" s="2">
        <v>639.15614040969001</v>
      </c>
      <c r="C6871" s="2">
        <v>4.6304499999999997</v>
      </c>
      <c r="D6871" s="2" t="s">
        <v>70</v>
      </c>
      <c r="E6871" s="2" t="s">
        <v>45566</v>
      </c>
      <c r="F6871" s="2">
        <v>32318</v>
      </c>
      <c r="G6871" s="3" t="str">
        <f>HYPERLINK("http://funmeta.oebiotech.com/network/32318", "http://funmeta.oebiotech.com/network/32318")</f>
        <v>http://funmeta.oebiotech.com/network/32318</v>
      </c>
      <c r="H6871" s="2"/>
      <c r="I6871" s="2"/>
      <c r="J6871" s="2" t="s">
        <v>45567</v>
      </c>
      <c r="K6871" s="2"/>
      <c r="L6871" s="2"/>
      <c r="M6871" s="2"/>
      <c r="N6871" s="2"/>
      <c r="O6871" s="2">
        <v>10698716</v>
      </c>
      <c r="P6871" s="2"/>
      <c r="Q6871" s="2" t="s">
        <v>45568</v>
      </c>
      <c r="R6871" s="2" t="s">
        <v>45569</v>
      </c>
      <c r="S6871" s="2" t="s">
        <v>115</v>
      </c>
      <c r="T6871" s="2" t="s">
        <v>139</v>
      </c>
      <c r="U6871" s="2" t="s">
        <v>140</v>
      </c>
      <c r="V6871" s="2" t="s">
        <v>42</v>
      </c>
      <c r="W6871" s="2">
        <v>49.8</v>
      </c>
      <c r="X6871" s="2">
        <v>52.5</v>
      </c>
      <c r="Y6871" s="2" t="s">
        <v>408</v>
      </c>
      <c r="Z6871" s="2" t="s">
        <v>499</v>
      </c>
      <c r="AA6871" s="2">
        <v>-0.89658876674150301</v>
      </c>
      <c r="AB6871" s="2">
        <v>8.1199055535050007E-3</v>
      </c>
      <c r="AC6871" s="2">
        <v>117566.763593474</v>
      </c>
      <c r="AD6871" s="2">
        <v>117828.032329768</v>
      </c>
      <c r="AE6871" s="2">
        <v>116280.652836004</v>
      </c>
      <c r="AF6871" s="2">
        <v>124437.931562036</v>
      </c>
      <c r="AG6871" s="2">
        <v>109969.944463508</v>
      </c>
      <c r="AH6871" s="2">
        <v>112134.696562458</v>
      </c>
      <c r="AI6871" s="2">
        <v>118039.293266864</v>
      </c>
      <c r="AJ6871" s="2">
        <v>124538.06286997499</v>
      </c>
      <c r="AK6871" s="2">
        <v>113376.848133155</v>
      </c>
      <c r="AL6871" s="2">
        <v>133063.295463057</v>
      </c>
      <c r="AM6871" s="2">
        <v>116186.504274743</v>
      </c>
      <c r="AN6871" s="2">
        <v>123825.745073105</v>
      </c>
      <c r="AO6871" s="2">
        <v>109973.383851051</v>
      </c>
      <c r="AP6871" s="2">
        <v>110542.41718349401</v>
      </c>
    </row>
    <row r="6872" spans="1:42" ht="14.5" x14ac:dyDescent="0.35">
      <c r="A6872" s="2" t="s">
        <v>45570</v>
      </c>
      <c r="B6872" s="2">
        <v>539.09797996418501</v>
      </c>
      <c r="C6872" s="2">
        <v>7.6008500000000003</v>
      </c>
      <c r="D6872" s="2" t="s">
        <v>70</v>
      </c>
      <c r="E6872" s="2" t="s">
        <v>45571</v>
      </c>
      <c r="F6872" s="2">
        <v>61784</v>
      </c>
      <c r="G6872" s="3" t="str">
        <f>HYPERLINK("http://funmeta.oebiotech.com/network/61784", "http://funmeta.oebiotech.com/network/61784")</f>
        <v>http://funmeta.oebiotech.com/network/61784</v>
      </c>
      <c r="H6872" s="2" t="s">
        <v>45572</v>
      </c>
      <c r="I6872" s="2">
        <v>93099</v>
      </c>
      <c r="J6872" s="2"/>
      <c r="K6872" s="2">
        <v>176047</v>
      </c>
      <c r="L6872" s="2"/>
      <c r="M6872" s="2"/>
      <c r="N6872" s="2"/>
      <c r="O6872" s="2">
        <v>11467081</v>
      </c>
      <c r="P6872" s="2"/>
      <c r="Q6872" s="2" t="s">
        <v>45573</v>
      </c>
      <c r="R6872" s="2" t="s">
        <v>45574</v>
      </c>
      <c r="S6872" s="2" t="s">
        <v>115</v>
      </c>
      <c r="T6872" s="2" t="s">
        <v>139</v>
      </c>
      <c r="U6872" s="2" t="s">
        <v>957</v>
      </c>
      <c r="V6872" s="2" t="s">
        <v>42</v>
      </c>
      <c r="W6872" s="2">
        <v>48.1</v>
      </c>
      <c r="X6872" s="2">
        <v>47.6</v>
      </c>
      <c r="Y6872" s="2" t="s">
        <v>751</v>
      </c>
      <c r="Z6872" s="2" t="s">
        <v>45575</v>
      </c>
      <c r="AA6872" s="2">
        <v>-0.69956132258972303</v>
      </c>
      <c r="AB6872" s="2">
        <v>8.0810093132318E-3</v>
      </c>
      <c r="AC6872" s="2">
        <v>17.4264211875767</v>
      </c>
      <c r="AD6872" s="2">
        <v>33.374293673835901</v>
      </c>
      <c r="AE6872" s="2">
        <v>9.1191178618097499</v>
      </c>
      <c r="AF6872" s="2">
        <v>18.132311747103799</v>
      </c>
      <c r="AG6872" s="2">
        <v>2.7106294003980101E-5</v>
      </c>
      <c r="AH6872" s="2">
        <v>10.7753281751454</v>
      </c>
      <c r="AI6872" s="2">
        <v>66.531715128813104</v>
      </c>
      <c r="AJ6872" s="2">
        <v>2.7106294003980101E-5</v>
      </c>
      <c r="AK6872" s="2">
        <v>58.818979049574203</v>
      </c>
      <c r="AL6872" s="2">
        <v>2.7106294003980101E-5</v>
      </c>
      <c r="AM6872" s="2">
        <v>97.580873333415596</v>
      </c>
      <c r="AN6872" s="2">
        <v>2.7106294003980101E-5</v>
      </c>
      <c r="AO6872" s="2">
        <v>7.0836285528879896</v>
      </c>
      <c r="AP6872" s="2">
        <v>36.7622268945493</v>
      </c>
    </row>
    <row r="6873" spans="1:42" ht="14.5" x14ac:dyDescent="0.35">
      <c r="A6873" s="2" t="s">
        <v>45576</v>
      </c>
      <c r="B6873" s="2">
        <v>341.269528649893</v>
      </c>
      <c r="C6873" s="2">
        <v>9.3915166666666696</v>
      </c>
      <c r="D6873" s="2" t="s">
        <v>70</v>
      </c>
      <c r="E6873" s="2" t="s">
        <v>45577</v>
      </c>
      <c r="F6873" s="2">
        <v>854</v>
      </c>
      <c r="G6873" s="3" t="str">
        <f>HYPERLINK("http://funmeta.oebiotech.com/network/854", "http://funmeta.oebiotech.com/network/854")</f>
        <v>http://funmeta.oebiotech.com/network/854</v>
      </c>
      <c r="H6873" s="2" t="s">
        <v>45578</v>
      </c>
      <c r="I6873" s="2">
        <v>35026</v>
      </c>
      <c r="J6873" s="2" t="s">
        <v>45579</v>
      </c>
      <c r="K6873" s="2">
        <v>83051</v>
      </c>
      <c r="L6873" s="2"/>
      <c r="M6873" s="2"/>
      <c r="N6873" s="2"/>
      <c r="O6873" s="2">
        <v>5312513</v>
      </c>
      <c r="P6873" s="2" t="s">
        <v>45580</v>
      </c>
      <c r="Q6873" s="2" t="s">
        <v>45581</v>
      </c>
      <c r="R6873" s="2" t="s">
        <v>45582</v>
      </c>
      <c r="S6873" s="2" t="s">
        <v>50</v>
      </c>
      <c r="T6873" s="2" t="s">
        <v>229</v>
      </c>
      <c r="U6873" s="2" t="s">
        <v>433</v>
      </c>
      <c r="V6873" s="2" t="s">
        <v>59</v>
      </c>
      <c r="W6873" s="2">
        <v>36.700000000000003</v>
      </c>
      <c r="X6873" s="2">
        <v>0</v>
      </c>
      <c r="Y6873" s="2" t="s">
        <v>408</v>
      </c>
      <c r="Z6873" s="2" t="s">
        <v>45583</v>
      </c>
      <c r="AA6873" s="2">
        <v>-0.69062912394271603</v>
      </c>
      <c r="AB6873" s="2">
        <v>8.0214685293447108E-3</v>
      </c>
      <c r="AC6873" s="2">
        <v>805.05477195075798</v>
      </c>
      <c r="AD6873" s="2">
        <v>845.46348598572001</v>
      </c>
      <c r="AE6873" s="2">
        <v>743.51856522346895</v>
      </c>
      <c r="AF6873" s="2">
        <v>642.82078936454195</v>
      </c>
      <c r="AG6873" s="2">
        <v>1070.5184549785999</v>
      </c>
      <c r="AH6873" s="2">
        <v>868.11526260195603</v>
      </c>
      <c r="AI6873" s="2">
        <v>502.85340462292299</v>
      </c>
      <c r="AJ6873" s="2">
        <v>1002.5021549130601</v>
      </c>
      <c r="AK6873" s="2">
        <v>656.35668452536402</v>
      </c>
      <c r="AL6873" s="2">
        <v>953.51161720796995</v>
      </c>
      <c r="AM6873" s="2">
        <v>808.24738669520195</v>
      </c>
      <c r="AN6873" s="2">
        <v>1012.4689020872499</v>
      </c>
      <c r="AO6873" s="2">
        <v>1005.29850984234</v>
      </c>
      <c r="AP6873" s="2">
        <v>636.897815556193</v>
      </c>
    </row>
    <row r="6874" spans="1:42" ht="14.5" x14ac:dyDescent="0.35">
      <c r="A6874" s="2" t="s">
        <v>45584</v>
      </c>
      <c r="B6874" s="2">
        <v>489.21172197762297</v>
      </c>
      <c r="C6874" s="2">
        <v>6.9616666666666696</v>
      </c>
      <c r="D6874" s="2" t="s">
        <v>34</v>
      </c>
      <c r="E6874" s="2" t="s">
        <v>45585</v>
      </c>
      <c r="F6874" s="2">
        <v>59686</v>
      </c>
      <c r="G6874" s="3" t="str">
        <f>HYPERLINK("http://funmeta.oebiotech.com/network/59686", "http://funmeta.oebiotech.com/network/59686")</f>
        <v>http://funmeta.oebiotech.com/network/59686</v>
      </c>
      <c r="H6874" s="2" t="s">
        <v>45586</v>
      </c>
      <c r="I6874" s="2"/>
      <c r="J6874" s="2"/>
      <c r="K6874" s="2"/>
      <c r="L6874" s="2"/>
      <c r="M6874" s="2"/>
      <c r="N6874" s="2"/>
      <c r="O6874" s="2">
        <v>45934422</v>
      </c>
      <c r="P6874" s="2" t="s">
        <v>45587</v>
      </c>
      <c r="Q6874" s="2" t="s">
        <v>45588</v>
      </c>
      <c r="R6874" s="2" t="s">
        <v>45589</v>
      </c>
      <c r="S6874" s="2" t="s">
        <v>50</v>
      </c>
      <c r="T6874" s="2" t="s">
        <v>124</v>
      </c>
      <c r="U6874" s="2" t="s">
        <v>567</v>
      </c>
      <c r="V6874" s="2" t="s">
        <v>42</v>
      </c>
      <c r="W6874" s="2">
        <v>47</v>
      </c>
      <c r="X6874" s="2">
        <v>49.7</v>
      </c>
      <c r="Y6874" s="2" t="s">
        <v>394</v>
      </c>
      <c r="Z6874" s="2" t="s">
        <v>45590</v>
      </c>
      <c r="AA6874" s="2">
        <v>-0.383152155711311</v>
      </c>
      <c r="AB6874" s="2">
        <v>8.0081973432326002E-3</v>
      </c>
      <c r="AC6874" s="2">
        <v>31536.888954143898</v>
      </c>
      <c r="AD6874" s="2">
        <v>31312.414334425001</v>
      </c>
      <c r="AE6874" s="2">
        <v>26188.317517781699</v>
      </c>
      <c r="AF6874" s="2">
        <v>23316.403636032799</v>
      </c>
      <c r="AG6874" s="2">
        <v>32519.215283023699</v>
      </c>
      <c r="AH6874" s="2">
        <v>38359.392625665598</v>
      </c>
      <c r="AI6874" s="2">
        <v>30776.8863765362</v>
      </c>
      <c r="AJ6874" s="2">
        <v>38061.118285823301</v>
      </c>
      <c r="AK6874" s="2">
        <v>31509.509545292101</v>
      </c>
      <c r="AL6874" s="2">
        <v>27165.738581759098</v>
      </c>
      <c r="AM6874" s="2">
        <v>36751.736885141399</v>
      </c>
      <c r="AN6874" s="2">
        <v>27796.349427618701</v>
      </c>
      <c r="AO6874" s="2">
        <v>34782.735613447599</v>
      </c>
      <c r="AP6874" s="2">
        <v>29868.415953291202</v>
      </c>
    </row>
    <row r="6875" spans="1:42" ht="14.5" x14ac:dyDescent="0.35">
      <c r="A6875" s="2" t="s">
        <v>45591</v>
      </c>
      <c r="B6875" s="2">
        <v>124.024337206971</v>
      </c>
      <c r="C6875" s="2">
        <v>0.62124999999999997</v>
      </c>
      <c r="D6875" s="2" t="s">
        <v>34</v>
      </c>
      <c r="E6875" s="2" t="s">
        <v>45592</v>
      </c>
      <c r="F6875" s="2">
        <v>205833</v>
      </c>
      <c r="G6875" s="3" t="str">
        <f>HYPERLINK("http://funmeta.oebiotech.com/network/205833", "http://funmeta.oebiotech.com/network/205833")</f>
        <v>http://funmeta.oebiotech.com/network/205833</v>
      </c>
      <c r="H6875" s="2" t="s">
        <v>45593</v>
      </c>
      <c r="I6875" s="2"/>
      <c r="J6875" s="2"/>
      <c r="K6875" s="2">
        <v>48501</v>
      </c>
      <c r="L6875" s="2"/>
      <c r="M6875" s="2"/>
      <c r="N6875" s="2"/>
      <c r="O6875" s="2">
        <v>153747</v>
      </c>
      <c r="P6875" s="2"/>
      <c r="Q6875" s="2" t="s">
        <v>45594</v>
      </c>
      <c r="R6875" s="2" t="s">
        <v>45595</v>
      </c>
      <c r="S6875" s="2" t="s">
        <v>89</v>
      </c>
      <c r="T6875" s="2" t="s">
        <v>31046</v>
      </c>
      <c r="U6875" s="2" t="s">
        <v>41</v>
      </c>
      <c r="V6875" s="2" t="s">
        <v>59</v>
      </c>
      <c r="W6875" s="2">
        <v>38.700000000000003</v>
      </c>
      <c r="X6875" s="2">
        <v>0</v>
      </c>
      <c r="Y6875" s="2" t="s">
        <v>43</v>
      </c>
      <c r="Z6875" s="2" t="s">
        <v>45596</v>
      </c>
      <c r="AA6875" s="2">
        <v>2.7220909821112298</v>
      </c>
      <c r="AB6875" s="2">
        <v>7.8847038988527698E-3</v>
      </c>
      <c r="AC6875" s="2">
        <v>5213.1534277372803</v>
      </c>
      <c r="AD6875" s="2">
        <v>5268.6815020913</v>
      </c>
      <c r="AE6875" s="2">
        <v>4471.2322784737298</v>
      </c>
      <c r="AF6875" s="2">
        <v>5056.74251198407</v>
      </c>
      <c r="AG6875" s="2">
        <v>5650.2037531237102</v>
      </c>
      <c r="AH6875" s="2">
        <v>4874.7660809813297</v>
      </c>
      <c r="AI6875" s="2">
        <v>5955.7396850714204</v>
      </c>
      <c r="AJ6875" s="2">
        <v>5270.2362567894197</v>
      </c>
      <c r="AK6875" s="2">
        <v>4838.0382015348596</v>
      </c>
      <c r="AL6875" s="2">
        <v>5622.1264776343096</v>
      </c>
      <c r="AM6875" s="2">
        <v>5392.9984144678201</v>
      </c>
      <c r="AN6875" s="2">
        <v>4815.9639886307205</v>
      </c>
      <c r="AO6875" s="2">
        <v>5768.6440246255297</v>
      </c>
      <c r="AP6875" s="2">
        <v>5174.3179056545796</v>
      </c>
    </row>
    <row r="6876" spans="1:42" ht="14.5" x14ac:dyDescent="0.35">
      <c r="A6876" s="2" t="s">
        <v>45597</v>
      </c>
      <c r="B6876" s="2">
        <v>116.10692276955599</v>
      </c>
      <c r="C6876" s="2">
        <v>1.3287</v>
      </c>
      <c r="D6876" s="2" t="s">
        <v>34</v>
      </c>
      <c r="E6876" s="2" t="s">
        <v>45598</v>
      </c>
      <c r="F6876" s="2">
        <v>48053</v>
      </c>
      <c r="G6876" s="3" t="str">
        <f>HYPERLINK("http://funmeta.oebiotech.com/network/48053", "http://funmeta.oebiotech.com/network/48053")</f>
        <v>http://funmeta.oebiotech.com/network/48053</v>
      </c>
      <c r="H6876" s="2" t="s">
        <v>45599</v>
      </c>
      <c r="I6876" s="2">
        <v>58147</v>
      </c>
      <c r="J6876" s="2"/>
      <c r="K6876" s="2">
        <v>17854</v>
      </c>
      <c r="L6876" s="2" t="s">
        <v>45600</v>
      </c>
      <c r="M6876" s="2" t="s">
        <v>11489</v>
      </c>
      <c r="N6876" s="2" t="s">
        <v>11490</v>
      </c>
      <c r="O6876" s="2">
        <v>7967</v>
      </c>
      <c r="P6876" s="2" t="s">
        <v>45601</v>
      </c>
      <c r="Q6876" s="2" t="s">
        <v>45602</v>
      </c>
      <c r="R6876" s="2" t="s">
        <v>45603</v>
      </c>
      <c r="S6876" s="2" t="s">
        <v>79</v>
      </c>
      <c r="T6876" s="2" t="s">
        <v>80</v>
      </c>
      <c r="U6876" s="2" t="s">
        <v>2820</v>
      </c>
      <c r="V6876" s="2" t="s">
        <v>59</v>
      </c>
      <c r="W6876" s="2">
        <v>39.200000000000003</v>
      </c>
      <c r="X6876" s="2">
        <v>0</v>
      </c>
      <c r="Y6876" s="2" t="s">
        <v>43</v>
      </c>
      <c r="Z6876" s="2" t="s">
        <v>23256</v>
      </c>
      <c r="AA6876" s="2">
        <v>-0.69030814121446005</v>
      </c>
      <c r="AB6876" s="2">
        <v>7.8345859605661403E-3</v>
      </c>
      <c r="AC6876" s="2">
        <v>2721.7364091015802</v>
      </c>
      <c r="AD6876" s="2">
        <v>2771.35380553922</v>
      </c>
      <c r="AE6876" s="2">
        <v>2989.9493117582902</v>
      </c>
      <c r="AF6876" s="2">
        <v>2838.0122886348099</v>
      </c>
      <c r="AG6876" s="2">
        <v>2852.79578407595</v>
      </c>
      <c r="AH6876" s="2">
        <v>2961.51133993862</v>
      </c>
      <c r="AI6876" s="2">
        <v>2096.8041180756099</v>
      </c>
      <c r="AJ6876" s="2">
        <v>2591.3456121262102</v>
      </c>
      <c r="AK6876" s="2">
        <v>2534.9251106307902</v>
      </c>
      <c r="AL6876" s="2">
        <v>3079.7889665369098</v>
      </c>
      <c r="AM6876" s="2">
        <v>2825.9310917330499</v>
      </c>
      <c r="AN6876" s="2">
        <v>2820.73642572372</v>
      </c>
      <c r="AO6876" s="2">
        <v>2691.4526186592402</v>
      </c>
      <c r="AP6876" s="2">
        <v>2675.2886199516001</v>
      </c>
    </row>
    <row r="6877" spans="1:42" ht="14.5" x14ac:dyDescent="0.35">
      <c r="A6877" s="2" t="s">
        <v>45604</v>
      </c>
      <c r="B6877" s="2">
        <v>506.45645103709398</v>
      </c>
      <c r="C6877" s="2">
        <v>14.461916666666699</v>
      </c>
      <c r="D6877" s="2" t="s">
        <v>34</v>
      </c>
      <c r="E6877" s="2" t="s">
        <v>45605</v>
      </c>
      <c r="F6877" s="2">
        <v>255740</v>
      </c>
      <c r="G6877" s="3" t="str">
        <f>HYPERLINK("http://funmeta.oebiotech.com/network/255740", "http://funmeta.oebiotech.com/network/255740")</f>
        <v>http://funmeta.oebiotech.com/network/255740</v>
      </c>
      <c r="H6877" s="2" t="s">
        <v>45606</v>
      </c>
      <c r="I6877" s="2"/>
      <c r="J6877" s="2"/>
      <c r="K6877" s="2"/>
      <c r="L6877" s="2"/>
      <c r="M6877" s="2"/>
      <c r="N6877" s="2"/>
      <c r="O6877" s="2"/>
      <c r="P6877" s="2"/>
      <c r="Q6877" s="2" t="s">
        <v>45607</v>
      </c>
      <c r="R6877" s="2" t="s">
        <v>45608</v>
      </c>
      <c r="S6877" s="2" t="s">
        <v>50</v>
      </c>
      <c r="T6877" s="2" t="s">
        <v>124</v>
      </c>
      <c r="U6877" s="2" t="s">
        <v>4336</v>
      </c>
      <c r="V6877" s="2" t="s">
        <v>59</v>
      </c>
      <c r="W6877" s="2">
        <v>39.4</v>
      </c>
      <c r="X6877" s="2">
        <v>0.108</v>
      </c>
      <c r="Y6877" s="2" t="s">
        <v>43</v>
      </c>
      <c r="Z6877" s="2" t="s">
        <v>45609</v>
      </c>
      <c r="AA6877" s="2">
        <v>-0.65547187887626701</v>
      </c>
      <c r="AB6877" s="2">
        <v>7.81555800766821E-3</v>
      </c>
      <c r="AC6877" s="2">
        <v>5.3873048509667498</v>
      </c>
      <c r="AD6877" s="2">
        <v>18.699130746515198</v>
      </c>
      <c r="AE6877" s="2">
        <v>2.7106294003980101E-5</v>
      </c>
      <c r="AF6877" s="2">
        <v>2.7106294003980101E-5</v>
      </c>
      <c r="AG6877" s="2">
        <v>2.7106294003980101E-5</v>
      </c>
      <c r="AH6877" s="2">
        <v>2.7106294003980101E-5</v>
      </c>
      <c r="AI6877" s="2">
        <v>32.323693574330498</v>
      </c>
      <c r="AJ6877" s="2">
        <v>2.7106294003980101E-5</v>
      </c>
      <c r="AK6877" s="2">
        <v>2.7106294003980101E-5</v>
      </c>
      <c r="AL6877" s="2">
        <v>2.7106294003980101E-5</v>
      </c>
      <c r="AM6877" s="2">
        <v>2.7106294003980101E-5</v>
      </c>
      <c r="AN6877" s="2">
        <v>35.797517342421102</v>
      </c>
      <c r="AO6877" s="2">
        <v>76.397158711494001</v>
      </c>
      <c r="AP6877" s="2">
        <v>2.7106294003980101E-5</v>
      </c>
    </row>
    <row r="6878" spans="1:42" ht="14.5" x14ac:dyDescent="0.35">
      <c r="A6878" s="2" t="s">
        <v>45610</v>
      </c>
      <c r="B6878" s="2">
        <v>151.07530822338001</v>
      </c>
      <c r="C6878" s="2">
        <v>3.9315333333333302</v>
      </c>
      <c r="D6878" s="2" t="s">
        <v>34</v>
      </c>
      <c r="E6878" s="2" t="s">
        <v>45611</v>
      </c>
      <c r="F6878" s="2">
        <v>534674</v>
      </c>
      <c r="G6878" s="3" t="str">
        <f>HYPERLINK("http://funmeta.oebiotech.com/network/534674", "http://funmeta.oebiotech.com/network/534674")</f>
        <v>http://funmeta.oebiotech.com/network/534674</v>
      </c>
      <c r="H6878" s="2"/>
      <c r="I6878" s="2">
        <v>984984</v>
      </c>
      <c r="J6878" s="2"/>
      <c r="K6878" s="2"/>
      <c r="L6878" s="2"/>
      <c r="M6878" s="2"/>
      <c r="N6878" s="2"/>
      <c r="O6878" s="2">
        <v>75411975</v>
      </c>
      <c r="P6878" s="2"/>
      <c r="Q6878" s="2" t="s">
        <v>45612</v>
      </c>
      <c r="R6878" s="2" t="s">
        <v>45613</v>
      </c>
      <c r="S6878" s="2" t="s">
        <v>148</v>
      </c>
      <c r="T6878" s="2" t="s">
        <v>149</v>
      </c>
      <c r="U6878" s="2" t="s">
        <v>15271</v>
      </c>
      <c r="V6878" s="2" t="s">
        <v>42</v>
      </c>
      <c r="W6878" s="2">
        <v>50.1</v>
      </c>
      <c r="X6878" s="2">
        <v>53.7</v>
      </c>
      <c r="Y6878" s="2" t="s">
        <v>266</v>
      </c>
      <c r="Z6878" s="2" t="s">
        <v>45614</v>
      </c>
      <c r="AA6878" s="2">
        <v>-0.28421302726205699</v>
      </c>
      <c r="AB6878" s="2">
        <v>7.7260823349693097E-3</v>
      </c>
      <c r="AC6878" s="2">
        <v>44270.1092276583</v>
      </c>
      <c r="AD6878" s="2">
        <v>44422.578170624402</v>
      </c>
      <c r="AE6878" s="2">
        <v>44775.211157895399</v>
      </c>
      <c r="AF6878" s="2">
        <v>45135.9646658282</v>
      </c>
      <c r="AG6878" s="2">
        <v>48323.410471014999</v>
      </c>
      <c r="AH6878" s="2">
        <v>40131.503830158799</v>
      </c>
      <c r="AI6878" s="2">
        <v>41354.307914982703</v>
      </c>
      <c r="AJ6878" s="2">
        <v>45900.257326069499</v>
      </c>
      <c r="AK6878" s="2">
        <v>42411.357790720998</v>
      </c>
      <c r="AL6878" s="2">
        <v>44377.652338790998</v>
      </c>
      <c r="AM6878" s="2">
        <v>45265.081357523202</v>
      </c>
      <c r="AN6878" s="2">
        <v>44791.441928297703</v>
      </c>
      <c r="AO6878" s="2">
        <v>46110.009277926503</v>
      </c>
      <c r="AP6878" s="2">
        <v>43579.926330486902</v>
      </c>
    </row>
    <row r="6879" spans="1:42" ht="14.5" x14ac:dyDescent="0.35">
      <c r="A6879" s="2" t="s">
        <v>45615</v>
      </c>
      <c r="B6879" s="2">
        <v>146.06001842723899</v>
      </c>
      <c r="C6879" s="2">
        <v>1.3287</v>
      </c>
      <c r="D6879" s="2" t="s">
        <v>34</v>
      </c>
      <c r="E6879" s="2" t="s">
        <v>45616</v>
      </c>
      <c r="F6879" s="2">
        <v>6515</v>
      </c>
      <c r="G6879" s="3" t="str">
        <f>HYPERLINK("http://funmeta.oebiotech.com/network/6515", "http://funmeta.oebiotech.com/network/6515")</f>
        <v>http://funmeta.oebiotech.com/network/6515</v>
      </c>
      <c r="H6879" s="2"/>
      <c r="I6879" s="2">
        <v>75329</v>
      </c>
      <c r="J6879" s="2" t="s">
        <v>45617</v>
      </c>
      <c r="K6879" s="2"/>
      <c r="L6879" s="2"/>
      <c r="M6879" s="2"/>
      <c r="N6879" s="2"/>
      <c r="O6879" s="2">
        <v>5283343</v>
      </c>
      <c r="P6879" s="2"/>
      <c r="Q6879" s="2" t="s">
        <v>45618</v>
      </c>
      <c r="R6879" s="2" t="s">
        <v>45619</v>
      </c>
      <c r="S6879" s="2" t="s">
        <v>79</v>
      </c>
      <c r="T6879" s="2" t="s">
        <v>80</v>
      </c>
      <c r="U6879" s="2" t="s">
        <v>2820</v>
      </c>
      <c r="V6879" s="2" t="s">
        <v>59</v>
      </c>
      <c r="W6879" s="2">
        <v>38.1</v>
      </c>
      <c r="X6879" s="2">
        <v>0</v>
      </c>
      <c r="Y6879" s="2" t="s">
        <v>43</v>
      </c>
      <c r="Z6879" s="2" t="s">
        <v>45620</v>
      </c>
      <c r="AA6879" s="2">
        <v>-0.17067286317115099</v>
      </c>
      <c r="AB6879" s="2">
        <v>7.62228473866613E-3</v>
      </c>
      <c r="AC6879" s="2">
        <v>695.34163612912096</v>
      </c>
      <c r="AD6879" s="2">
        <v>663.55672656091997</v>
      </c>
      <c r="AE6879" s="2">
        <v>834.49934428095196</v>
      </c>
      <c r="AF6879" s="2">
        <v>749.40363843789498</v>
      </c>
      <c r="AG6879" s="2">
        <v>498.66708870092998</v>
      </c>
      <c r="AH6879" s="2">
        <v>629.87905332262505</v>
      </c>
      <c r="AI6879" s="2">
        <v>800.18995315387099</v>
      </c>
      <c r="AJ6879" s="2">
        <v>659.41073887845505</v>
      </c>
      <c r="AK6879" s="2">
        <v>722.59483234745505</v>
      </c>
      <c r="AL6879" s="2">
        <v>413.87141458742099</v>
      </c>
      <c r="AM6879" s="2">
        <v>653.18339851748601</v>
      </c>
      <c r="AN6879" s="2">
        <v>810.33069390996604</v>
      </c>
      <c r="AO6879" s="2">
        <v>722.95175602519896</v>
      </c>
      <c r="AP6879" s="2">
        <v>658.40826397799106</v>
      </c>
    </row>
    <row r="6880" spans="1:42" ht="14.5" x14ac:dyDescent="0.35">
      <c r="A6880" s="2" t="s">
        <v>45621</v>
      </c>
      <c r="B6880" s="2">
        <v>353.26944116664902</v>
      </c>
      <c r="C6880" s="2">
        <v>11.185316666666701</v>
      </c>
      <c r="D6880" s="2" t="s">
        <v>70</v>
      </c>
      <c r="E6880" s="2" t="s">
        <v>45622</v>
      </c>
      <c r="F6880" s="2">
        <v>47343</v>
      </c>
      <c r="G6880" s="3" t="str">
        <f>HYPERLINK("http://funmeta.oebiotech.com/network/47343", "http://funmeta.oebiotech.com/network/47343")</f>
        <v>http://funmeta.oebiotech.com/network/47343</v>
      </c>
      <c r="H6880" s="2" t="s">
        <v>45623</v>
      </c>
      <c r="I6880" s="2">
        <v>1533</v>
      </c>
      <c r="J6880" s="2"/>
      <c r="K6880" s="2"/>
      <c r="L6880" s="2"/>
      <c r="M6880" s="2"/>
      <c r="N6880" s="2"/>
      <c r="O6880" s="2">
        <v>430</v>
      </c>
      <c r="P6880" s="2" t="s">
        <v>45624</v>
      </c>
      <c r="Q6880" s="2" t="s">
        <v>45625</v>
      </c>
      <c r="R6880" s="2" t="s">
        <v>45626</v>
      </c>
      <c r="S6880" s="2" t="s">
        <v>491</v>
      </c>
      <c r="T6880" s="2" t="s">
        <v>2238</v>
      </c>
      <c r="U6880" s="2" t="s">
        <v>45627</v>
      </c>
      <c r="V6880" s="2" t="s">
        <v>59</v>
      </c>
      <c r="W6880" s="2">
        <v>38.5</v>
      </c>
      <c r="X6880" s="2">
        <v>0</v>
      </c>
      <c r="Y6880" s="2" t="s">
        <v>560</v>
      </c>
      <c r="Z6880" s="2" t="s">
        <v>45628</v>
      </c>
      <c r="AA6880" s="2">
        <v>-4.5995216585445098</v>
      </c>
      <c r="AB6880" s="2">
        <v>7.4964531059270399E-3</v>
      </c>
      <c r="AC6880" s="2">
        <v>2129.1296976894801</v>
      </c>
      <c r="AD6880" s="2">
        <v>2088.0579990954202</v>
      </c>
      <c r="AE6880" s="2">
        <v>2065.79404983114</v>
      </c>
      <c r="AF6880" s="2">
        <v>2513.7593895202399</v>
      </c>
      <c r="AG6880" s="2">
        <v>2193.78579465745</v>
      </c>
      <c r="AH6880" s="2">
        <v>2397.44483515198</v>
      </c>
      <c r="AI6880" s="2">
        <v>1539.75367885997</v>
      </c>
      <c r="AJ6880" s="2">
        <v>2064.24043811608</v>
      </c>
      <c r="AK6880" s="2">
        <v>1779.4436508583201</v>
      </c>
      <c r="AL6880" s="2">
        <v>1967.8654967673699</v>
      </c>
      <c r="AM6880" s="2">
        <v>2068.53673906208</v>
      </c>
      <c r="AN6880" s="2">
        <v>2359.4044980645699</v>
      </c>
      <c r="AO6880" s="2">
        <v>1990.4504950916701</v>
      </c>
      <c r="AP6880" s="2">
        <v>2362.6471147284901</v>
      </c>
    </row>
    <row r="6881" spans="1:42" ht="14.5" x14ac:dyDescent="0.35">
      <c r="A6881" s="2" t="s">
        <v>45629</v>
      </c>
      <c r="B6881" s="2">
        <v>161.09599888650899</v>
      </c>
      <c r="C6881" s="2">
        <v>4.4450666666666701</v>
      </c>
      <c r="D6881" s="2" t="s">
        <v>34</v>
      </c>
      <c r="E6881" s="2" t="s">
        <v>45630</v>
      </c>
      <c r="F6881" s="2">
        <v>56081</v>
      </c>
      <c r="G6881" s="3" t="str">
        <f>HYPERLINK("http://funmeta.oebiotech.com/network/56081", "http://funmeta.oebiotech.com/network/56081")</f>
        <v>http://funmeta.oebiotech.com/network/56081</v>
      </c>
      <c r="H6881" s="2" t="s">
        <v>45631</v>
      </c>
      <c r="I6881" s="2">
        <v>87772</v>
      </c>
      <c r="J6881" s="2"/>
      <c r="K6881" s="2"/>
      <c r="L6881" s="2"/>
      <c r="M6881" s="2"/>
      <c r="N6881" s="2"/>
      <c r="O6881" s="2">
        <v>5355902</v>
      </c>
      <c r="P6881" s="2" t="s">
        <v>45632</v>
      </c>
      <c r="Q6881" s="2" t="s">
        <v>45633</v>
      </c>
      <c r="R6881" s="2" t="s">
        <v>45634</v>
      </c>
      <c r="S6881" s="2" t="s">
        <v>148</v>
      </c>
      <c r="T6881" s="2" t="s">
        <v>149</v>
      </c>
      <c r="U6881" s="2" t="s">
        <v>41</v>
      </c>
      <c r="V6881" s="2" t="s">
        <v>59</v>
      </c>
      <c r="W6881" s="2">
        <v>38.4</v>
      </c>
      <c r="X6881" s="2">
        <v>0</v>
      </c>
      <c r="Y6881" s="2" t="s">
        <v>394</v>
      </c>
      <c r="Z6881" s="2" t="s">
        <v>45635</v>
      </c>
      <c r="AA6881" s="2">
        <v>-0.57811591273994101</v>
      </c>
      <c r="AB6881" s="2">
        <v>7.4889892023091596E-3</v>
      </c>
      <c r="AC6881" s="2">
        <v>14678.772868285399</v>
      </c>
      <c r="AD6881" s="2">
        <v>14740.9076077632</v>
      </c>
      <c r="AE6881" s="2">
        <v>14376.3150557342</v>
      </c>
      <c r="AF6881" s="2">
        <v>14612.4316664904</v>
      </c>
      <c r="AG6881" s="2">
        <v>14009.4858988503</v>
      </c>
      <c r="AH6881" s="2">
        <v>13735.9232780765</v>
      </c>
      <c r="AI6881" s="2">
        <v>15556.570862545001</v>
      </c>
      <c r="AJ6881" s="2">
        <v>15781.9104480157</v>
      </c>
      <c r="AK6881" s="2">
        <v>15197.4836837315</v>
      </c>
      <c r="AL6881" s="2">
        <v>14558.4575110479</v>
      </c>
      <c r="AM6881" s="2">
        <v>14470.7488470964</v>
      </c>
      <c r="AN6881" s="2">
        <v>14203.6512185962</v>
      </c>
      <c r="AO6881" s="2">
        <v>14633.5963023441</v>
      </c>
      <c r="AP6881" s="2">
        <v>15381.5080837633</v>
      </c>
    </row>
    <row r="6882" spans="1:42" ht="14.5" x14ac:dyDescent="0.35">
      <c r="A6882" s="2" t="s">
        <v>45636</v>
      </c>
      <c r="B6882" s="2">
        <v>957.60376940782601</v>
      </c>
      <c r="C6882" s="2">
        <v>9.4284999999999997</v>
      </c>
      <c r="D6882" s="2" t="s">
        <v>34</v>
      </c>
      <c r="E6882" s="2" t="s">
        <v>45637</v>
      </c>
      <c r="F6882" s="2">
        <v>230891</v>
      </c>
      <c r="G6882" s="3" t="str">
        <f>HYPERLINK("http://funmeta.oebiotech.com/network/230891", "http://funmeta.oebiotech.com/network/230891")</f>
        <v>http://funmeta.oebiotech.com/network/230891</v>
      </c>
      <c r="H6882" s="2" t="s">
        <v>45638</v>
      </c>
      <c r="I6882" s="2"/>
      <c r="J6882" s="2"/>
      <c r="K6882" s="2"/>
      <c r="L6882" s="2"/>
      <c r="M6882" s="2"/>
      <c r="N6882" s="2"/>
      <c r="O6882" s="2"/>
      <c r="P6882" s="2"/>
      <c r="Q6882" s="2" t="s">
        <v>45639</v>
      </c>
      <c r="R6882" s="2" t="s">
        <v>45640</v>
      </c>
      <c r="S6882" s="2" t="s">
        <v>41</v>
      </c>
      <c r="T6882" s="2" t="s">
        <v>41</v>
      </c>
      <c r="U6882" s="2" t="s">
        <v>41</v>
      </c>
      <c r="V6882" s="2" t="s">
        <v>59</v>
      </c>
      <c r="W6882" s="2">
        <v>37.4</v>
      </c>
      <c r="X6882" s="2">
        <v>0</v>
      </c>
      <c r="Y6882" s="2" t="s">
        <v>394</v>
      </c>
      <c r="Z6882" s="2" t="s">
        <v>45641</v>
      </c>
      <c r="AA6882" s="2">
        <v>-2.6146611685700401</v>
      </c>
      <c r="AB6882" s="2">
        <v>7.4530709948338204E-3</v>
      </c>
      <c r="AC6882" s="2">
        <v>2329.7768427841702</v>
      </c>
      <c r="AD6882" s="2">
        <v>2383.5835352411</v>
      </c>
      <c r="AE6882" s="2">
        <v>1978.52579411785</v>
      </c>
      <c r="AF6882" s="2">
        <v>2336.6235089258998</v>
      </c>
      <c r="AG6882" s="2">
        <v>1508.2792942117601</v>
      </c>
      <c r="AH6882" s="2">
        <v>3211.1155443075199</v>
      </c>
      <c r="AI6882" s="2">
        <v>2422.97084113343</v>
      </c>
      <c r="AJ6882" s="2">
        <v>2521.1460740085599</v>
      </c>
      <c r="AK6882" s="2">
        <v>1921.5456574658899</v>
      </c>
      <c r="AL6882" s="2">
        <v>1895.0872457594801</v>
      </c>
      <c r="AM6882" s="2">
        <v>2641.9699899990601</v>
      </c>
      <c r="AN6882" s="2">
        <v>2250.3936088399601</v>
      </c>
      <c r="AO6882" s="2">
        <v>2652.5134138253502</v>
      </c>
      <c r="AP6882" s="2">
        <v>2939.9912955568602</v>
      </c>
    </row>
    <row r="6883" spans="1:42" ht="14.5" x14ac:dyDescent="0.35">
      <c r="A6883" s="2" t="s">
        <v>45642</v>
      </c>
      <c r="B6883" s="2">
        <v>333.04373238749298</v>
      </c>
      <c r="C6883" s="2">
        <v>0.98194999999999999</v>
      </c>
      <c r="D6883" s="2" t="s">
        <v>70</v>
      </c>
      <c r="E6883" s="2" t="s">
        <v>45643</v>
      </c>
      <c r="F6883" s="2">
        <v>48729</v>
      </c>
      <c r="G6883" s="3" t="str">
        <f>HYPERLINK("http://funmeta.oebiotech.com/network/48729", "http://funmeta.oebiotech.com/network/48729")</f>
        <v>http://funmeta.oebiotech.com/network/48729</v>
      </c>
      <c r="H6883" s="2" t="s">
        <v>45644</v>
      </c>
      <c r="I6883" s="2">
        <v>58413</v>
      </c>
      <c r="J6883" s="2"/>
      <c r="K6883" s="2">
        <v>137439</v>
      </c>
      <c r="L6883" s="2"/>
      <c r="M6883" s="2"/>
      <c r="N6883" s="2"/>
      <c r="O6883" s="2">
        <v>161712</v>
      </c>
      <c r="P6883" s="2" t="s">
        <v>45645</v>
      </c>
      <c r="Q6883" s="2" t="s">
        <v>45646</v>
      </c>
      <c r="R6883" s="2" t="s">
        <v>45647</v>
      </c>
      <c r="S6883" s="2" t="s">
        <v>89</v>
      </c>
      <c r="T6883" s="2" t="s">
        <v>90</v>
      </c>
      <c r="U6883" s="2" t="s">
        <v>99</v>
      </c>
      <c r="V6883" s="2" t="s">
        <v>59</v>
      </c>
      <c r="W6883" s="2">
        <v>38</v>
      </c>
      <c r="X6883" s="2">
        <v>0</v>
      </c>
      <c r="Y6883" s="2" t="s">
        <v>560</v>
      </c>
      <c r="Z6883" s="2" t="s">
        <v>45648</v>
      </c>
      <c r="AA6883" s="2">
        <v>1.65027809665096</v>
      </c>
      <c r="AB6883" s="2">
        <v>7.4439820703175999E-3</v>
      </c>
      <c r="AC6883" s="2">
        <v>9039.2016292023</v>
      </c>
      <c r="AD6883" s="2">
        <v>9145.7726724476706</v>
      </c>
      <c r="AE6883" s="2">
        <v>8654.3956278473106</v>
      </c>
      <c r="AF6883" s="2">
        <v>10537.965351020701</v>
      </c>
      <c r="AG6883" s="2">
        <v>9256.5263478607503</v>
      </c>
      <c r="AH6883" s="2">
        <v>8799.3258428666104</v>
      </c>
      <c r="AI6883" s="2">
        <v>9537.2222625338709</v>
      </c>
      <c r="AJ6883" s="2">
        <v>7449.7743430845603</v>
      </c>
      <c r="AK6883" s="2">
        <v>11169.555802176201</v>
      </c>
      <c r="AL6883" s="2">
        <v>7180.6278275722398</v>
      </c>
      <c r="AM6883" s="2">
        <v>6719.4795859892201</v>
      </c>
      <c r="AN6883" s="2">
        <v>8219.3169133130395</v>
      </c>
      <c r="AO6883" s="2">
        <v>10049.6774009195</v>
      </c>
      <c r="AP6883" s="2">
        <v>11535.9785047158</v>
      </c>
    </row>
    <row r="6884" spans="1:42" ht="14.5" x14ac:dyDescent="0.35">
      <c r="A6884" s="2" t="s">
        <v>45649</v>
      </c>
      <c r="B6884" s="2">
        <v>453.34733222071901</v>
      </c>
      <c r="C6884" s="2">
        <v>9.8824666666666694</v>
      </c>
      <c r="D6884" s="2" t="s">
        <v>34</v>
      </c>
      <c r="E6884" s="2" t="s">
        <v>45650</v>
      </c>
      <c r="F6884" s="2">
        <v>198469</v>
      </c>
      <c r="G6884" s="3" t="str">
        <f>HYPERLINK("http://funmeta.oebiotech.com/network/198469", "http://funmeta.oebiotech.com/network/198469")</f>
        <v>http://funmeta.oebiotech.com/network/198469</v>
      </c>
      <c r="H6884" s="2" t="s">
        <v>45651</v>
      </c>
      <c r="I6884" s="2"/>
      <c r="J6884" s="2"/>
      <c r="K6884" s="2"/>
      <c r="L6884" s="2"/>
      <c r="M6884" s="2"/>
      <c r="N6884" s="2"/>
      <c r="O6884" s="2">
        <v>3120427</v>
      </c>
      <c r="P6884" s="2"/>
      <c r="Q6884" s="2" t="s">
        <v>45652</v>
      </c>
      <c r="R6884" s="2" t="s">
        <v>45653</v>
      </c>
      <c r="S6884" s="2" t="s">
        <v>89</v>
      </c>
      <c r="T6884" s="2" t="s">
        <v>90</v>
      </c>
      <c r="U6884" s="2" t="s">
        <v>99</v>
      </c>
      <c r="V6884" s="2" t="s">
        <v>59</v>
      </c>
      <c r="W6884" s="2">
        <v>38.799999999999997</v>
      </c>
      <c r="X6884" s="2">
        <v>0</v>
      </c>
      <c r="Y6884" s="2" t="s">
        <v>141</v>
      </c>
      <c r="Z6884" s="2" t="s">
        <v>45654</v>
      </c>
      <c r="AA6884" s="2">
        <v>-0.473843693867117</v>
      </c>
      <c r="AB6884" s="2">
        <v>7.32551155790715E-3</v>
      </c>
      <c r="AC6884" s="2">
        <v>2.7106294003980101E-5</v>
      </c>
      <c r="AD6884" s="2">
        <v>12.009216394667799</v>
      </c>
      <c r="AE6884" s="2">
        <v>2.7106294003980101E-5</v>
      </c>
      <c r="AF6884" s="2">
        <v>2.7106294003980101E-5</v>
      </c>
      <c r="AG6884" s="2">
        <v>2.7106294003980101E-5</v>
      </c>
      <c r="AH6884" s="2">
        <v>2.7106294003980101E-5</v>
      </c>
      <c r="AI6884" s="2">
        <v>2.7106294003980101E-5</v>
      </c>
      <c r="AJ6884" s="2">
        <v>2.7106294003980101E-5</v>
      </c>
      <c r="AK6884" s="2">
        <v>2.7106294003980101E-5</v>
      </c>
      <c r="AL6884" s="2">
        <v>72.055162836536795</v>
      </c>
      <c r="AM6884" s="2">
        <v>2.7106294003980101E-5</v>
      </c>
      <c r="AN6884" s="2">
        <v>2.7106294003980101E-5</v>
      </c>
      <c r="AO6884" s="2">
        <v>2.7106294003980101E-5</v>
      </c>
      <c r="AP6884" s="2">
        <v>2.7106294003980101E-5</v>
      </c>
    </row>
    <row r="6885" spans="1:42" ht="14.5" x14ac:dyDescent="0.35">
      <c r="A6885" s="2" t="s">
        <v>45655</v>
      </c>
      <c r="B6885" s="2">
        <v>303.08606424511203</v>
      </c>
      <c r="C6885" s="2">
        <v>4.3289999999999997</v>
      </c>
      <c r="D6885" s="2" t="s">
        <v>34</v>
      </c>
      <c r="E6885" s="2" t="s">
        <v>45656</v>
      </c>
      <c r="F6885" s="2">
        <v>201238</v>
      </c>
      <c r="G6885" s="3" t="str">
        <f>HYPERLINK("http://funmeta.oebiotech.com/network/201238", "http://funmeta.oebiotech.com/network/201238")</f>
        <v>http://funmeta.oebiotech.com/network/201238</v>
      </c>
      <c r="H6885" s="2" t="s">
        <v>45657</v>
      </c>
      <c r="I6885" s="2"/>
      <c r="J6885" s="2"/>
      <c r="K6885" s="2"/>
      <c r="L6885" s="2"/>
      <c r="M6885" s="2"/>
      <c r="N6885" s="2"/>
      <c r="O6885" s="2">
        <v>13145979</v>
      </c>
      <c r="P6885" s="2"/>
      <c r="Q6885" s="2" t="s">
        <v>45658</v>
      </c>
      <c r="R6885" s="2" t="s">
        <v>45659</v>
      </c>
      <c r="S6885" s="2" t="s">
        <v>491</v>
      </c>
      <c r="T6885" s="2" t="s">
        <v>22996</v>
      </c>
      <c r="U6885" s="2" t="s">
        <v>43099</v>
      </c>
      <c r="V6885" s="2" t="s">
        <v>59</v>
      </c>
      <c r="W6885" s="2">
        <v>38.9</v>
      </c>
      <c r="X6885" s="2">
        <v>0</v>
      </c>
      <c r="Y6885" s="2" t="s">
        <v>340</v>
      </c>
      <c r="Z6885" s="2" t="s">
        <v>45660</v>
      </c>
      <c r="AA6885" s="2">
        <v>2.5207044681689101</v>
      </c>
      <c r="AB6885" s="2">
        <v>7.2582464100004402E-3</v>
      </c>
      <c r="AC6885" s="2">
        <v>12334.312295547999</v>
      </c>
      <c r="AD6885" s="2">
        <v>12230.9180560025</v>
      </c>
      <c r="AE6885" s="2">
        <v>11022.132709539599</v>
      </c>
      <c r="AF6885" s="2">
        <v>13256.1589748694</v>
      </c>
      <c r="AG6885" s="2">
        <v>14558.8388037933</v>
      </c>
      <c r="AH6885" s="2">
        <v>11294.964364138899</v>
      </c>
      <c r="AI6885" s="2">
        <v>13214.4678676516</v>
      </c>
      <c r="AJ6885" s="2">
        <v>10659.311053295</v>
      </c>
      <c r="AK6885" s="2">
        <v>15529.467610051801</v>
      </c>
      <c r="AL6885" s="2">
        <v>11297.5608054448</v>
      </c>
      <c r="AM6885" s="2">
        <v>12776.8111942218</v>
      </c>
      <c r="AN6885" s="2">
        <v>11832.6438693489</v>
      </c>
      <c r="AO6885" s="2">
        <v>9742.9065064425504</v>
      </c>
      <c r="AP6885" s="2">
        <v>12206.118350505099</v>
      </c>
    </row>
    <row r="6886" spans="1:42" ht="14.5" x14ac:dyDescent="0.35">
      <c r="A6886" s="2" t="s">
        <v>45661</v>
      </c>
      <c r="B6886" s="2">
        <v>380.18934623753398</v>
      </c>
      <c r="C6886" s="2">
        <v>12.375349999999999</v>
      </c>
      <c r="D6886" s="2" t="s">
        <v>70</v>
      </c>
      <c r="E6886" s="2" t="s">
        <v>45662</v>
      </c>
      <c r="F6886" s="2">
        <v>206199</v>
      </c>
      <c r="G6886" s="3" t="str">
        <f>HYPERLINK("http://funmeta.oebiotech.com/network/206199", "http://funmeta.oebiotech.com/network/206199")</f>
        <v>http://funmeta.oebiotech.com/network/206199</v>
      </c>
      <c r="H6886" s="2" t="s">
        <v>45663</v>
      </c>
      <c r="I6886" s="2"/>
      <c r="J6886" s="2"/>
      <c r="K6886" s="2">
        <v>78510</v>
      </c>
      <c r="L6886" s="2"/>
      <c r="M6886" s="2"/>
      <c r="N6886" s="2"/>
      <c r="O6886" s="2">
        <v>11524144</v>
      </c>
      <c r="P6886" s="2"/>
      <c r="Q6886" s="2" t="s">
        <v>45664</v>
      </c>
      <c r="R6886" s="2" t="s">
        <v>45665</v>
      </c>
      <c r="S6886" s="2" t="s">
        <v>491</v>
      </c>
      <c r="T6886" s="2" t="s">
        <v>19478</v>
      </c>
      <c r="U6886" s="2" t="s">
        <v>45666</v>
      </c>
      <c r="V6886" s="2" t="s">
        <v>59</v>
      </c>
      <c r="W6886" s="2">
        <v>38.1</v>
      </c>
      <c r="X6886" s="2">
        <v>0.42899999999999999</v>
      </c>
      <c r="Y6886" s="2" t="s">
        <v>751</v>
      </c>
      <c r="Z6886" s="2" t="s">
        <v>45667</v>
      </c>
      <c r="AA6886" s="2">
        <v>3.1986305569342099</v>
      </c>
      <c r="AB6886" s="2">
        <v>7.1611424802696501E-3</v>
      </c>
      <c r="AC6886" s="2">
        <v>7301.3093453026204</v>
      </c>
      <c r="AD6886" s="2">
        <v>7439.6610017870598</v>
      </c>
      <c r="AE6886" s="2">
        <v>9430.5420114975204</v>
      </c>
      <c r="AF6886" s="2">
        <v>3858.13689894459</v>
      </c>
      <c r="AG6886" s="2">
        <v>5784.9825957816001</v>
      </c>
      <c r="AH6886" s="2">
        <v>9715.9762254562302</v>
      </c>
      <c r="AI6886" s="2">
        <v>9868.8065960034</v>
      </c>
      <c r="AJ6886" s="2">
        <v>5149.4117441323997</v>
      </c>
      <c r="AK6886" s="2">
        <v>4096.4054192425601</v>
      </c>
      <c r="AL6886" s="2">
        <v>15126.519465011501</v>
      </c>
      <c r="AM6886" s="2">
        <v>6694.6610794635599</v>
      </c>
      <c r="AN6886" s="2">
        <v>10952.836130351099</v>
      </c>
      <c r="AO6886" s="2">
        <v>3473.72508413888</v>
      </c>
      <c r="AP6886" s="2">
        <v>4293.8188325147603</v>
      </c>
    </row>
    <row r="6887" spans="1:42" ht="14.5" x14ac:dyDescent="0.35">
      <c r="A6887" s="2" t="s">
        <v>45668</v>
      </c>
      <c r="B6887" s="2">
        <v>203.106663236467</v>
      </c>
      <c r="C6887" s="2">
        <v>1.38313333333333</v>
      </c>
      <c r="D6887" s="2" t="s">
        <v>34</v>
      </c>
      <c r="E6887" s="2" t="s">
        <v>45669</v>
      </c>
      <c r="F6887" s="2">
        <v>55550</v>
      </c>
      <c r="G6887" s="3" t="str">
        <f>HYPERLINK("http://funmeta.oebiotech.com/network/55550", "http://funmeta.oebiotech.com/network/55550")</f>
        <v>http://funmeta.oebiotech.com/network/55550</v>
      </c>
      <c r="H6887" s="2" t="s">
        <v>45670</v>
      </c>
      <c r="I6887" s="2">
        <v>87212</v>
      </c>
      <c r="J6887" s="2"/>
      <c r="K6887" s="2"/>
      <c r="L6887" s="2"/>
      <c r="M6887" s="2"/>
      <c r="N6887" s="2"/>
      <c r="O6887" s="2">
        <v>177040</v>
      </c>
      <c r="P6887" s="2" t="s">
        <v>45671</v>
      </c>
      <c r="Q6887" s="2" t="s">
        <v>45672</v>
      </c>
      <c r="R6887" s="2" t="s">
        <v>45673</v>
      </c>
      <c r="S6887" s="2" t="s">
        <v>491</v>
      </c>
      <c r="T6887" s="2" t="s">
        <v>2251</v>
      </c>
      <c r="U6887" s="2" t="s">
        <v>2252</v>
      </c>
      <c r="V6887" s="2" t="s">
        <v>59</v>
      </c>
      <c r="W6887" s="2">
        <v>39.5</v>
      </c>
      <c r="X6887" s="2">
        <v>0</v>
      </c>
      <c r="Y6887" s="2" t="s">
        <v>394</v>
      </c>
      <c r="Z6887" s="2" t="s">
        <v>45674</v>
      </c>
      <c r="AA6887" s="2">
        <v>3.5212215319727597E-2</v>
      </c>
      <c r="AB6887" s="2">
        <v>7.0624822654887197E-3</v>
      </c>
      <c r="AC6887" s="2">
        <v>954.405080812503</v>
      </c>
      <c r="AD6887" s="2">
        <v>928.175033483888</v>
      </c>
      <c r="AE6887" s="2">
        <v>874.70405128043205</v>
      </c>
      <c r="AF6887" s="2">
        <v>1056.5020444463701</v>
      </c>
      <c r="AG6887" s="2">
        <v>773.17923398252299</v>
      </c>
      <c r="AH6887" s="2">
        <v>927.53348697648596</v>
      </c>
      <c r="AI6887" s="2">
        <v>1082.2003671170401</v>
      </c>
      <c r="AJ6887" s="2">
        <v>1012.31130107217</v>
      </c>
      <c r="AK6887" s="2">
        <v>878.11142226539698</v>
      </c>
      <c r="AL6887" s="2">
        <v>960.30899991131298</v>
      </c>
      <c r="AM6887" s="2">
        <v>868.91565388199604</v>
      </c>
      <c r="AN6887" s="2">
        <v>795.38763607020405</v>
      </c>
      <c r="AO6887" s="2">
        <v>1054.59585775449</v>
      </c>
      <c r="AP6887" s="2">
        <v>1011.73063101993</v>
      </c>
    </row>
    <row r="6888" spans="1:42" ht="14.5" x14ac:dyDescent="0.35">
      <c r="A6888" s="2" t="s">
        <v>45675</v>
      </c>
      <c r="B6888" s="2">
        <v>196.06035343052699</v>
      </c>
      <c r="C6888" s="2">
        <v>3.7887</v>
      </c>
      <c r="D6888" s="2" t="s">
        <v>34</v>
      </c>
      <c r="E6888" s="2" t="s">
        <v>45676</v>
      </c>
      <c r="F6888" s="2">
        <v>82482</v>
      </c>
      <c r="G6888" s="3" t="str">
        <f>HYPERLINK("http://funmeta.oebiotech.com/network/82482", "http://funmeta.oebiotech.com/network/82482")</f>
        <v>http://funmeta.oebiotech.com/network/82482</v>
      </c>
      <c r="H6888" s="2" t="s">
        <v>45677</v>
      </c>
      <c r="I6888" s="2">
        <v>1146</v>
      </c>
      <c r="J6888" s="2"/>
      <c r="K6888" s="2"/>
      <c r="L6888" s="2"/>
      <c r="M6888" s="2"/>
      <c r="N6888" s="2"/>
      <c r="O6888" s="2">
        <v>65512</v>
      </c>
      <c r="P6888" s="2" t="s">
        <v>45678</v>
      </c>
      <c r="Q6888" s="2" t="s">
        <v>45679</v>
      </c>
      <c r="R6888" s="2" t="s">
        <v>45680</v>
      </c>
      <c r="S6888" s="2" t="s">
        <v>148</v>
      </c>
      <c r="T6888" s="2" t="s">
        <v>149</v>
      </c>
      <c r="U6888" s="2" t="s">
        <v>1593</v>
      </c>
      <c r="V6888" s="2" t="s">
        <v>59</v>
      </c>
      <c r="W6888" s="2">
        <v>38.1</v>
      </c>
      <c r="X6888" s="2">
        <v>0</v>
      </c>
      <c r="Y6888" s="2" t="s">
        <v>266</v>
      </c>
      <c r="Z6888" s="2" t="s">
        <v>45681</v>
      </c>
      <c r="AA6888" s="2">
        <v>-0.41410835593967499</v>
      </c>
      <c r="AB6888" s="2">
        <v>6.8748687316110601E-3</v>
      </c>
      <c r="AC6888" s="2">
        <v>1359.15019193952</v>
      </c>
      <c r="AD6888" s="2">
        <v>1318.0059609196101</v>
      </c>
      <c r="AE6888" s="2">
        <v>1185.04120188817</v>
      </c>
      <c r="AF6888" s="2">
        <v>1341.4784268747301</v>
      </c>
      <c r="AG6888" s="2">
        <v>1621.3271873497799</v>
      </c>
      <c r="AH6888" s="2">
        <v>1071.8753449757301</v>
      </c>
      <c r="AI6888" s="2">
        <v>1668.57285364887</v>
      </c>
      <c r="AJ6888" s="2">
        <v>1266.6061368998601</v>
      </c>
      <c r="AK6888" s="2">
        <v>923.66793787441702</v>
      </c>
      <c r="AL6888" s="2">
        <v>1461.87123436704</v>
      </c>
      <c r="AM6888" s="2">
        <v>1640.63144930873</v>
      </c>
      <c r="AN6888" s="2">
        <v>1170.5954772218599</v>
      </c>
      <c r="AO6888" s="2">
        <v>1622.2302626303599</v>
      </c>
      <c r="AP6888" s="2">
        <v>1089.0394041152599</v>
      </c>
    </row>
    <row r="6889" spans="1:42" ht="14.5" x14ac:dyDescent="0.35">
      <c r="A6889" s="2" t="s">
        <v>45682</v>
      </c>
      <c r="B6889" s="2">
        <v>425.18160084303298</v>
      </c>
      <c r="C6889" s="2">
        <v>4.7579333333333302</v>
      </c>
      <c r="D6889" s="2" t="s">
        <v>70</v>
      </c>
      <c r="E6889" s="2" t="s">
        <v>45683</v>
      </c>
      <c r="F6889" s="2">
        <v>59692</v>
      </c>
      <c r="G6889" s="3" t="str">
        <f>HYPERLINK("http://funmeta.oebiotech.com/network/59692", "http://funmeta.oebiotech.com/network/59692")</f>
        <v>http://funmeta.oebiotech.com/network/59692</v>
      </c>
      <c r="H6889" s="2" t="s">
        <v>45684</v>
      </c>
      <c r="I6889" s="2">
        <v>91078</v>
      </c>
      <c r="J6889" s="2"/>
      <c r="K6889" s="2">
        <v>168344</v>
      </c>
      <c r="L6889" s="2"/>
      <c r="M6889" s="2"/>
      <c r="N6889" s="2"/>
      <c r="O6889" s="2">
        <v>131751877</v>
      </c>
      <c r="P6889" s="2" t="s">
        <v>45685</v>
      </c>
      <c r="Q6889" s="2" t="s">
        <v>45686</v>
      </c>
      <c r="R6889" s="2" t="s">
        <v>45687</v>
      </c>
      <c r="S6889" s="2" t="s">
        <v>50</v>
      </c>
      <c r="T6889" s="2" t="s">
        <v>106</v>
      </c>
      <c r="U6889" s="2" t="s">
        <v>41</v>
      </c>
      <c r="V6889" s="2" t="s">
        <v>42</v>
      </c>
      <c r="W6889" s="2">
        <v>52.8</v>
      </c>
      <c r="X6889" s="2">
        <v>67.400000000000006</v>
      </c>
      <c r="Y6889" s="2" t="s">
        <v>498</v>
      </c>
      <c r="Z6889" s="2" t="s">
        <v>1171</v>
      </c>
      <c r="AA6889" s="2">
        <v>-0.24698692766163399</v>
      </c>
      <c r="AB6889" s="2">
        <v>6.8644139081801203E-3</v>
      </c>
      <c r="AC6889" s="2">
        <v>459006.70359442203</v>
      </c>
      <c r="AD6889" s="2">
        <v>458807.97518530401</v>
      </c>
      <c r="AE6889" s="2">
        <v>517029.88844412001</v>
      </c>
      <c r="AF6889" s="2">
        <v>434091.98957027798</v>
      </c>
      <c r="AG6889" s="2">
        <v>455347.18199727702</v>
      </c>
      <c r="AH6889" s="2">
        <v>477319.41368101898</v>
      </c>
      <c r="AI6889" s="2">
        <v>430877.22723448102</v>
      </c>
      <c r="AJ6889" s="2">
        <v>439374.52063935797</v>
      </c>
      <c r="AK6889" s="2">
        <v>477812.11766617501</v>
      </c>
      <c r="AL6889" s="2">
        <v>441954.62330979097</v>
      </c>
      <c r="AM6889" s="2">
        <v>463525.211599325</v>
      </c>
      <c r="AN6889" s="2">
        <v>450087.60295496701</v>
      </c>
      <c r="AO6889" s="2">
        <v>458700.24064087</v>
      </c>
      <c r="AP6889" s="2">
        <v>460768.054940695</v>
      </c>
    </row>
    <row r="6890" spans="1:42" ht="14.5" x14ac:dyDescent="0.35">
      <c r="A6890" s="2" t="s">
        <v>45688</v>
      </c>
      <c r="B6890" s="2">
        <v>277.14432852592398</v>
      </c>
      <c r="C6890" s="2">
        <v>9.7873000000000001</v>
      </c>
      <c r="D6890" s="2" t="s">
        <v>70</v>
      </c>
      <c r="E6890" s="2" t="s">
        <v>45689</v>
      </c>
      <c r="F6890" s="2">
        <v>208928</v>
      </c>
      <c r="G6890" s="3" t="str">
        <f>HYPERLINK("http://funmeta.oebiotech.com/network/208928", "http://funmeta.oebiotech.com/network/208928")</f>
        <v>http://funmeta.oebiotech.com/network/208928</v>
      </c>
      <c r="H6890" s="2" t="s">
        <v>45690</v>
      </c>
      <c r="I6890" s="2">
        <v>328993</v>
      </c>
      <c r="J6890" s="2"/>
      <c r="K6890" s="2">
        <v>132583</v>
      </c>
      <c r="L6890" s="2"/>
      <c r="M6890" s="2"/>
      <c r="N6890" s="2"/>
      <c r="O6890" s="2">
        <v>79362</v>
      </c>
      <c r="P6890" s="2"/>
      <c r="Q6890" s="2" t="s">
        <v>45691</v>
      </c>
      <c r="R6890" s="2" t="s">
        <v>45692</v>
      </c>
      <c r="S6890" s="2" t="s">
        <v>148</v>
      </c>
      <c r="T6890" s="2" t="s">
        <v>149</v>
      </c>
      <c r="U6890" s="2" t="s">
        <v>1593</v>
      </c>
      <c r="V6890" s="2" t="s">
        <v>42</v>
      </c>
      <c r="W6890" s="2">
        <v>50.8</v>
      </c>
      <c r="X6890" s="2">
        <v>59.6</v>
      </c>
      <c r="Y6890" s="2" t="s">
        <v>118</v>
      </c>
      <c r="Z6890" s="2" t="s">
        <v>4837</v>
      </c>
      <c r="AA6890" s="2">
        <v>-0.73422444026783795</v>
      </c>
      <c r="AB6890" s="2">
        <v>6.8522123535920201E-3</v>
      </c>
      <c r="AC6890" s="2">
        <v>10572.278611506499</v>
      </c>
      <c r="AD6890" s="2">
        <v>10514.9085400854</v>
      </c>
      <c r="AE6890" s="2">
        <v>10676.0863574182</v>
      </c>
      <c r="AF6890" s="2">
        <v>10600.2644179976</v>
      </c>
      <c r="AG6890" s="2">
        <v>10598.230843694</v>
      </c>
      <c r="AH6890" s="2">
        <v>11223.5156872608</v>
      </c>
      <c r="AI6890" s="2">
        <v>9457.6344715037994</v>
      </c>
      <c r="AJ6890" s="2">
        <v>10877.9398911646</v>
      </c>
      <c r="AK6890" s="2">
        <v>11591.043812005901</v>
      </c>
      <c r="AL6890" s="2">
        <v>11041.4769308333</v>
      </c>
      <c r="AM6890" s="2">
        <v>9187.8780065933806</v>
      </c>
      <c r="AN6890" s="2">
        <v>10565.641757097799</v>
      </c>
      <c r="AO6890" s="2">
        <v>11156.9333800119</v>
      </c>
      <c r="AP6890" s="2">
        <v>9546.4773539704202</v>
      </c>
    </row>
    <row r="6891" spans="1:42" ht="14.5" x14ac:dyDescent="0.35">
      <c r="A6891" s="2" t="s">
        <v>45693</v>
      </c>
      <c r="B6891" s="2">
        <v>237.112663321274</v>
      </c>
      <c r="C6891" s="2">
        <v>6.4438333333333304</v>
      </c>
      <c r="D6891" s="2" t="s">
        <v>70</v>
      </c>
      <c r="E6891" s="2" t="s">
        <v>45694</v>
      </c>
      <c r="F6891" s="2">
        <v>212281</v>
      </c>
      <c r="G6891" s="3" t="str">
        <f>HYPERLINK("http://funmeta.oebiotech.com/network/212281", "http://funmeta.oebiotech.com/network/212281")</f>
        <v>http://funmeta.oebiotech.com/network/212281</v>
      </c>
      <c r="H6891" s="2" t="s">
        <v>45695</v>
      </c>
      <c r="I6891" s="2">
        <v>45038</v>
      </c>
      <c r="J6891" s="2"/>
      <c r="K6891" s="2"/>
      <c r="L6891" s="2"/>
      <c r="M6891" s="2"/>
      <c r="N6891" s="2"/>
      <c r="O6891" s="2">
        <v>11629749</v>
      </c>
      <c r="P6891" s="2" t="s">
        <v>45696</v>
      </c>
      <c r="Q6891" s="2" t="s">
        <v>45697</v>
      </c>
      <c r="R6891" s="2" t="s">
        <v>45698</v>
      </c>
      <c r="S6891" s="2" t="s">
        <v>41</v>
      </c>
      <c r="T6891" s="2" t="s">
        <v>41</v>
      </c>
      <c r="U6891" s="2" t="s">
        <v>41</v>
      </c>
      <c r="V6891" s="2" t="s">
        <v>59</v>
      </c>
      <c r="W6891" s="2">
        <v>38.799999999999997</v>
      </c>
      <c r="X6891" s="2">
        <v>0</v>
      </c>
      <c r="Y6891" s="2" t="s">
        <v>408</v>
      </c>
      <c r="Z6891" s="2" t="s">
        <v>43081</v>
      </c>
      <c r="AA6891" s="2">
        <v>-2.96333382740898</v>
      </c>
      <c r="AB6891" s="2">
        <v>6.8316128558762101E-3</v>
      </c>
      <c r="AC6891" s="2">
        <v>29.203354869041799</v>
      </c>
      <c r="AD6891" s="2">
        <v>11.5828688135948</v>
      </c>
      <c r="AE6891" s="2">
        <v>2.7106294003980101E-5</v>
      </c>
      <c r="AF6891" s="2">
        <v>2.7106294003980101E-5</v>
      </c>
      <c r="AG6891" s="2">
        <v>2.7106294003980101E-5</v>
      </c>
      <c r="AH6891" s="2">
        <v>175.21999368278099</v>
      </c>
      <c r="AI6891" s="2">
        <v>2.7106294003980101E-5</v>
      </c>
      <c r="AJ6891" s="2">
        <v>2.7106294003980101E-5</v>
      </c>
      <c r="AK6891" s="2">
        <v>2.7106294003980101E-5</v>
      </c>
      <c r="AL6891" s="2">
        <v>2.7106294003980101E-5</v>
      </c>
      <c r="AM6891" s="2">
        <v>2.7106294003980101E-5</v>
      </c>
      <c r="AN6891" s="2">
        <v>2.7106294003980101E-5</v>
      </c>
      <c r="AO6891" s="2">
        <v>69.497077350098607</v>
      </c>
      <c r="AP6891" s="2">
        <v>2.7106294003980101E-5</v>
      </c>
    </row>
    <row r="6892" spans="1:42" ht="14.5" x14ac:dyDescent="0.35">
      <c r="A6892" s="2" t="s">
        <v>45699</v>
      </c>
      <c r="B6892" s="2">
        <v>1103.34722369019</v>
      </c>
      <c r="C6892" s="2">
        <v>7.9437333333333298</v>
      </c>
      <c r="D6892" s="2" t="s">
        <v>70</v>
      </c>
      <c r="E6892" s="2" t="s">
        <v>45700</v>
      </c>
      <c r="F6892" s="2">
        <v>199656</v>
      </c>
      <c r="G6892" s="3" t="str">
        <f>HYPERLINK("http://funmeta.oebiotech.com/network/199656", "http://funmeta.oebiotech.com/network/199656")</f>
        <v>http://funmeta.oebiotech.com/network/199656</v>
      </c>
      <c r="H6892" s="2" t="s">
        <v>45701</v>
      </c>
      <c r="I6892" s="2"/>
      <c r="J6892" s="2"/>
      <c r="K6892" s="2"/>
      <c r="L6892" s="2"/>
      <c r="M6892" s="2"/>
      <c r="N6892" s="2"/>
      <c r="O6892" s="2">
        <v>250877</v>
      </c>
      <c r="P6892" s="2"/>
      <c r="Q6892" s="2" t="s">
        <v>45702</v>
      </c>
      <c r="R6892" s="2" t="s">
        <v>45703</v>
      </c>
      <c r="S6892" s="2" t="s">
        <v>89</v>
      </c>
      <c r="T6892" s="2" t="s">
        <v>90</v>
      </c>
      <c r="U6892" s="2" t="s">
        <v>1248</v>
      </c>
      <c r="V6892" s="2" t="s">
        <v>59</v>
      </c>
      <c r="W6892" s="2">
        <v>37</v>
      </c>
      <c r="X6892" s="2">
        <v>0</v>
      </c>
      <c r="Y6892" s="2" t="s">
        <v>560</v>
      </c>
      <c r="Z6892" s="2" t="s">
        <v>45704</v>
      </c>
      <c r="AA6892" s="2">
        <v>-2.1148840797022901</v>
      </c>
      <c r="AB6892" s="2">
        <v>6.8254730337759797E-3</v>
      </c>
      <c r="AC6892" s="2">
        <v>13976.200362290499</v>
      </c>
      <c r="AD6892" s="2">
        <v>13881.8922923788</v>
      </c>
      <c r="AE6892" s="2">
        <v>14096.810619830499</v>
      </c>
      <c r="AF6892" s="2">
        <v>14749.5851713751</v>
      </c>
      <c r="AG6892" s="2">
        <v>13591.0779843049</v>
      </c>
      <c r="AH6892" s="2">
        <v>13391.0595386395</v>
      </c>
      <c r="AI6892" s="2">
        <v>12667.044707983199</v>
      </c>
      <c r="AJ6892" s="2">
        <v>15361.6241516097</v>
      </c>
      <c r="AK6892" s="2">
        <v>12633.409035131001</v>
      </c>
      <c r="AL6892" s="2">
        <v>13001.660888366199</v>
      </c>
      <c r="AM6892" s="2">
        <v>14790.336010466501</v>
      </c>
      <c r="AN6892" s="2">
        <v>16325.628032700901</v>
      </c>
      <c r="AO6892" s="2">
        <v>10706.249788409899</v>
      </c>
      <c r="AP6892" s="2">
        <v>15834.0699991983</v>
      </c>
    </row>
    <row r="6893" spans="1:42" ht="14.5" x14ac:dyDescent="0.35">
      <c r="A6893" s="2" t="s">
        <v>45705</v>
      </c>
      <c r="B6893" s="2">
        <v>108.044358293518</v>
      </c>
      <c r="C6893" s="2">
        <v>2.1824499999999998</v>
      </c>
      <c r="D6893" s="2" t="s">
        <v>34</v>
      </c>
      <c r="E6893" s="2" t="s">
        <v>45706</v>
      </c>
      <c r="F6893" s="2">
        <v>200742</v>
      </c>
      <c r="G6893" s="3" t="str">
        <f>HYPERLINK("http://funmeta.oebiotech.com/network/200742", "http://funmeta.oebiotech.com/network/200742")</f>
        <v>http://funmeta.oebiotech.com/network/200742</v>
      </c>
      <c r="H6893" s="2" t="s">
        <v>45707</v>
      </c>
      <c r="I6893" s="2">
        <v>342751</v>
      </c>
      <c r="J6893" s="2"/>
      <c r="K6893" s="2">
        <v>73012</v>
      </c>
      <c r="L6893" s="2"/>
      <c r="M6893" s="2"/>
      <c r="N6893" s="2"/>
      <c r="O6893" s="2">
        <v>14273</v>
      </c>
      <c r="P6893" s="2"/>
      <c r="Q6893" s="2" t="s">
        <v>45708</v>
      </c>
      <c r="R6893" s="2" t="s">
        <v>45709</v>
      </c>
      <c r="S6893" s="2" t="s">
        <v>491</v>
      </c>
      <c r="T6893" s="2" t="s">
        <v>2238</v>
      </c>
      <c r="U6893" s="2" t="s">
        <v>45710</v>
      </c>
      <c r="V6893" s="2" t="s">
        <v>59</v>
      </c>
      <c r="W6893" s="2">
        <v>38.6</v>
      </c>
      <c r="X6893" s="2">
        <v>0</v>
      </c>
      <c r="Y6893" s="2" t="s">
        <v>394</v>
      </c>
      <c r="Z6893" s="2" t="s">
        <v>45711</v>
      </c>
      <c r="AA6893" s="2">
        <v>-0.29824414045408798</v>
      </c>
      <c r="AB6893" s="2">
        <v>6.8236435514523897E-3</v>
      </c>
      <c r="AC6893" s="2">
        <v>486.80559344651601</v>
      </c>
      <c r="AD6893" s="2">
        <v>471.77978308030902</v>
      </c>
      <c r="AE6893" s="2">
        <v>476.64317793751798</v>
      </c>
      <c r="AF6893" s="2">
        <v>453.15384791627099</v>
      </c>
      <c r="AG6893" s="2">
        <v>489.28845226193999</v>
      </c>
      <c r="AH6893" s="2">
        <v>454.68277908576999</v>
      </c>
      <c r="AI6893" s="2">
        <v>505.02500454498801</v>
      </c>
      <c r="AJ6893" s="2">
        <v>542.04029893260804</v>
      </c>
      <c r="AK6893" s="2">
        <v>480.395444544236</v>
      </c>
      <c r="AL6893" s="2">
        <v>527.96118308193002</v>
      </c>
      <c r="AM6893" s="2">
        <v>405.39105749761302</v>
      </c>
      <c r="AN6893" s="2">
        <v>466.00153419204503</v>
      </c>
      <c r="AO6893" s="2">
        <v>510.412462892809</v>
      </c>
      <c r="AP6893" s="2">
        <v>440.517016273222</v>
      </c>
    </row>
    <row r="6894" spans="1:42" ht="14.5" x14ac:dyDescent="0.35">
      <c r="A6894" s="2" t="s">
        <v>45712</v>
      </c>
      <c r="B6894" s="2">
        <v>347.07464776187499</v>
      </c>
      <c r="C6894" s="2">
        <v>4.0592666666666704</v>
      </c>
      <c r="D6894" s="2" t="s">
        <v>70</v>
      </c>
      <c r="E6894" s="2" t="s">
        <v>45713</v>
      </c>
      <c r="F6894" s="2">
        <v>207237</v>
      </c>
      <c r="G6894" s="3" t="str">
        <f>HYPERLINK("http://funmeta.oebiotech.com/network/207237", "http://funmeta.oebiotech.com/network/207237")</f>
        <v>http://funmeta.oebiotech.com/network/207237</v>
      </c>
      <c r="H6894" s="2" t="s">
        <v>45714</v>
      </c>
      <c r="I6894" s="2"/>
      <c r="J6894" s="2"/>
      <c r="K6894" s="2"/>
      <c r="L6894" s="2"/>
      <c r="M6894" s="2"/>
      <c r="N6894" s="2"/>
      <c r="O6894" s="2"/>
      <c r="P6894" s="2"/>
      <c r="Q6894" s="2" t="s">
        <v>45715</v>
      </c>
      <c r="R6894" s="2" t="s">
        <v>45716</v>
      </c>
      <c r="S6894" s="2" t="s">
        <v>41</v>
      </c>
      <c r="T6894" s="2" t="s">
        <v>41</v>
      </c>
      <c r="U6894" s="2" t="s">
        <v>41</v>
      </c>
      <c r="V6894" s="2" t="s">
        <v>59</v>
      </c>
      <c r="W6894" s="2">
        <v>37.700000000000003</v>
      </c>
      <c r="X6894" s="2">
        <v>0</v>
      </c>
      <c r="Y6894" s="2" t="s">
        <v>408</v>
      </c>
      <c r="Z6894" s="2" t="s">
        <v>45717</v>
      </c>
      <c r="AA6894" s="2">
        <v>4.7321914832400198</v>
      </c>
      <c r="AB6894" s="2">
        <v>6.8206626762533397E-3</v>
      </c>
      <c r="AC6894" s="2">
        <v>1580.1518363702801</v>
      </c>
      <c r="AD6894" s="2">
        <v>1537.5515432457801</v>
      </c>
      <c r="AE6894" s="2">
        <v>1745.69979631301</v>
      </c>
      <c r="AF6894" s="2">
        <v>2167.7027381396401</v>
      </c>
      <c r="AG6894" s="2">
        <v>1293.0187601759101</v>
      </c>
      <c r="AH6894" s="2">
        <v>990.05007948200796</v>
      </c>
      <c r="AI6894" s="2">
        <v>1069.9484121324299</v>
      </c>
      <c r="AJ6894" s="2">
        <v>2214.4912319786699</v>
      </c>
      <c r="AK6894" s="2">
        <v>1478.10459995105</v>
      </c>
      <c r="AL6894" s="2">
        <v>1786.78435089601</v>
      </c>
      <c r="AM6894" s="2">
        <v>1637.7604073431701</v>
      </c>
      <c r="AN6894" s="2">
        <v>1463.90156910369</v>
      </c>
      <c r="AO6894" s="2">
        <v>1474.4988509667401</v>
      </c>
      <c r="AP6894" s="2">
        <v>1384.2594812139901</v>
      </c>
    </row>
    <row r="6895" spans="1:42" ht="14.5" x14ac:dyDescent="0.35">
      <c r="A6895" s="2" t="s">
        <v>45718</v>
      </c>
      <c r="B6895" s="2">
        <v>148.94858725626</v>
      </c>
      <c r="C6895" s="2">
        <v>0.57923333333333304</v>
      </c>
      <c r="D6895" s="2" t="s">
        <v>70</v>
      </c>
      <c r="E6895" s="2" t="s">
        <v>45719</v>
      </c>
      <c r="F6895" s="2">
        <v>52121</v>
      </c>
      <c r="G6895" s="3" t="str">
        <f>HYPERLINK("http://funmeta.oebiotech.com/network/52121", "http://funmeta.oebiotech.com/network/52121")</f>
        <v>http://funmeta.oebiotech.com/network/52121</v>
      </c>
      <c r="H6895" s="2" t="s">
        <v>45720</v>
      </c>
      <c r="I6895" s="2"/>
      <c r="J6895" s="2"/>
      <c r="K6895" s="2">
        <v>133907</v>
      </c>
      <c r="L6895" s="2"/>
      <c r="M6895" s="2"/>
      <c r="N6895" s="2"/>
      <c r="O6895" s="2">
        <v>124985</v>
      </c>
      <c r="P6895" s="2" t="s">
        <v>45721</v>
      </c>
      <c r="Q6895" s="2" t="s">
        <v>45722</v>
      </c>
      <c r="R6895" s="2" t="s">
        <v>45723</v>
      </c>
      <c r="S6895" s="2" t="s">
        <v>5916</v>
      </c>
      <c r="T6895" s="2" t="s">
        <v>45724</v>
      </c>
      <c r="U6895" s="2" t="s">
        <v>41</v>
      </c>
      <c r="V6895" s="2" t="s">
        <v>59</v>
      </c>
      <c r="W6895" s="2">
        <v>37.299999999999997</v>
      </c>
      <c r="X6895" s="2">
        <v>0</v>
      </c>
      <c r="Y6895" s="2" t="s">
        <v>560</v>
      </c>
      <c r="Z6895" s="2" t="s">
        <v>45725</v>
      </c>
      <c r="AA6895" s="2">
        <v>0.629354914155973</v>
      </c>
      <c r="AB6895" s="2">
        <v>6.8130170616977201E-3</v>
      </c>
      <c r="AC6895" s="2">
        <v>6005.5915424606501</v>
      </c>
      <c r="AD6895" s="2">
        <v>6075.4569156037296</v>
      </c>
      <c r="AE6895" s="2">
        <v>5991.2643450083997</v>
      </c>
      <c r="AF6895" s="2">
        <v>7231.3914879262102</v>
      </c>
      <c r="AG6895" s="2">
        <v>5934.84043316307</v>
      </c>
      <c r="AH6895" s="2">
        <v>5379.3607338644497</v>
      </c>
      <c r="AI6895" s="2">
        <v>5446.6944329091602</v>
      </c>
      <c r="AJ6895" s="2">
        <v>6049.9978218926199</v>
      </c>
      <c r="AK6895" s="2">
        <v>7085.00287824529</v>
      </c>
      <c r="AL6895" s="2">
        <v>6376.8252280998704</v>
      </c>
      <c r="AM6895" s="2">
        <v>6458.7909840613702</v>
      </c>
      <c r="AN6895" s="2">
        <v>5224.4673620684498</v>
      </c>
      <c r="AO6895" s="2">
        <v>5765.5644533947698</v>
      </c>
      <c r="AP6895" s="2">
        <v>5542.0905877526002</v>
      </c>
    </row>
    <row r="6896" spans="1:42" ht="14.5" x14ac:dyDescent="0.35">
      <c r="A6896" s="2" t="s">
        <v>45726</v>
      </c>
      <c r="B6896" s="2">
        <v>132.977335347581</v>
      </c>
      <c r="C6896" s="2">
        <v>1.7029666666666701</v>
      </c>
      <c r="D6896" s="2" t="s">
        <v>34</v>
      </c>
      <c r="E6896" s="2" t="s">
        <v>45727</v>
      </c>
      <c r="F6896" s="2">
        <v>54524</v>
      </c>
      <c r="G6896" s="3" t="str">
        <f>HYPERLINK("http://funmeta.oebiotech.com/network/54524", "http://funmeta.oebiotech.com/network/54524")</f>
        <v>http://funmeta.oebiotech.com/network/54524</v>
      </c>
      <c r="H6896" s="2" t="s">
        <v>45728</v>
      </c>
      <c r="I6896" s="2">
        <v>454868</v>
      </c>
      <c r="J6896" s="2"/>
      <c r="K6896" s="2">
        <v>18091</v>
      </c>
      <c r="L6896" s="2" t="s">
        <v>45729</v>
      </c>
      <c r="M6896" s="2"/>
      <c r="N6896" s="2"/>
      <c r="O6896" s="2">
        <v>16682</v>
      </c>
      <c r="P6896" s="2" t="s">
        <v>45730</v>
      </c>
      <c r="Q6896" s="2" t="s">
        <v>45731</v>
      </c>
      <c r="R6896" s="2" t="s">
        <v>45732</v>
      </c>
      <c r="S6896" s="2" t="s">
        <v>491</v>
      </c>
      <c r="T6896" s="2" t="s">
        <v>42418</v>
      </c>
      <c r="U6896" s="2" t="s">
        <v>45733</v>
      </c>
      <c r="V6896" s="2" t="s">
        <v>59</v>
      </c>
      <c r="W6896" s="2">
        <v>36.700000000000003</v>
      </c>
      <c r="X6896" s="2">
        <v>0</v>
      </c>
      <c r="Y6896" s="2" t="s">
        <v>141</v>
      </c>
      <c r="Z6896" s="2" t="s">
        <v>45734</v>
      </c>
      <c r="AA6896" s="2">
        <v>-1.98581230566519</v>
      </c>
      <c r="AB6896" s="2">
        <v>6.7378697687038901E-3</v>
      </c>
      <c r="AC6896" s="2">
        <v>303.89681945446199</v>
      </c>
      <c r="AD6896" s="2">
        <v>285.55598577922501</v>
      </c>
      <c r="AE6896" s="2">
        <v>322.79925756763703</v>
      </c>
      <c r="AF6896" s="2">
        <v>377.25303145877501</v>
      </c>
      <c r="AG6896" s="2">
        <v>226.84838956687599</v>
      </c>
      <c r="AH6896" s="2">
        <v>307.66306824027998</v>
      </c>
      <c r="AI6896" s="2">
        <v>302.26284111372598</v>
      </c>
      <c r="AJ6896" s="2">
        <v>286.55432877947999</v>
      </c>
      <c r="AK6896" s="2">
        <v>432.91350573821802</v>
      </c>
      <c r="AL6896" s="2">
        <v>261.98180702766803</v>
      </c>
      <c r="AM6896" s="2">
        <v>243.66778421238001</v>
      </c>
      <c r="AN6896" s="2">
        <v>235.50785729351699</v>
      </c>
      <c r="AO6896" s="2">
        <v>253.03345597585499</v>
      </c>
      <c r="AP6896" s="2">
        <v>286.23150442770998</v>
      </c>
    </row>
    <row r="6897" spans="1:42" ht="14.5" x14ac:dyDescent="0.35">
      <c r="A6897" s="2" t="s">
        <v>45735</v>
      </c>
      <c r="B6897" s="2">
        <v>565.242354102523</v>
      </c>
      <c r="C6897" s="2">
        <v>3.9884499999999998</v>
      </c>
      <c r="D6897" s="2" t="s">
        <v>70</v>
      </c>
      <c r="E6897" s="2" t="s">
        <v>45736</v>
      </c>
      <c r="F6897" s="2">
        <v>219615</v>
      </c>
      <c r="G6897" s="3" t="str">
        <f>HYPERLINK("http://funmeta.oebiotech.com/network/219615", "http://funmeta.oebiotech.com/network/219615")</f>
        <v>http://funmeta.oebiotech.com/network/219615</v>
      </c>
      <c r="H6897" s="2" t="s">
        <v>45737</v>
      </c>
      <c r="I6897" s="2"/>
      <c r="J6897" s="2"/>
      <c r="K6897" s="2"/>
      <c r="L6897" s="2"/>
      <c r="M6897" s="2"/>
      <c r="N6897" s="2"/>
      <c r="O6897" s="2"/>
      <c r="P6897" s="2"/>
      <c r="Q6897" s="2" t="s">
        <v>45738</v>
      </c>
      <c r="R6897" s="2" t="s">
        <v>45739</v>
      </c>
      <c r="S6897" s="2" t="s">
        <v>41</v>
      </c>
      <c r="T6897" s="2" t="s">
        <v>41</v>
      </c>
      <c r="U6897" s="2" t="s">
        <v>41</v>
      </c>
      <c r="V6897" s="2" t="s">
        <v>59</v>
      </c>
      <c r="W6897" s="2">
        <v>36.799999999999997</v>
      </c>
      <c r="X6897" s="2">
        <v>0</v>
      </c>
      <c r="Y6897" s="2" t="s">
        <v>118</v>
      </c>
      <c r="Z6897" s="2" t="s">
        <v>45740</v>
      </c>
      <c r="AA6897" s="2">
        <v>0.736585205274781</v>
      </c>
      <c r="AB6897" s="2">
        <v>6.6887128943527397E-3</v>
      </c>
      <c r="AC6897" s="2">
        <v>5914.2231823714801</v>
      </c>
      <c r="AD6897" s="2">
        <v>5848.0883053192601</v>
      </c>
      <c r="AE6897" s="2">
        <v>4893.5331565531396</v>
      </c>
      <c r="AF6897" s="2">
        <v>6035.1810727882203</v>
      </c>
      <c r="AG6897" s="2">
        <v>7697.3517246288802</v>
      </c>
      <c r="AH6897" s="2">
        <v>4890.70924521693</v>
      </c>
      <c r="AI6897" s="2">
        <v>5964.3643983042803</v>
      </c>
      <c r="AJ6897" s="2">
        <v>6004.1994967374603</v>
      </c>
      <c r="AK6897" s="2">
        <v>5775.9448892296996</v>
      </c>
      <c r="AL6897" s="2">
        <v>5172.3853083643198</v>
      </c>
      <c r="AM6897" s="2">
        <v>5739.5331444594203</v>
      </c>
      <c r="AN6897" s="2">
        <v>6248.7899268113397</v>
      </c>
      <c r="AO6897" s="2">
        <v>5405.0674136887201</v>
      </c>
      <c r="AP6897" s="2">
        <v>6746.8091493620896</v>
      </c>
    </row>
    <row r="6898" spans="1:42" ht="14.5" x14ac:dyDescent="0.35">
      <c r="A6898" s="2" t="s">
        <v>45741</v>
      </c>
      <c r="B6898" s="2">
        <v>110.059980406016</v>
      </c>
      <c r="C6898" s="2">
        <v>3.9663166666666698</v>
      </c>
      <c r="D6898" s="2" t="s">
        <v>34</v>
      </c>
      <c r="E6898" s="2" t="s">
        <v>45742</v>
      </c>
      <c r="F6898" s="2">
        <v>266920</v>
      </c>
      <c r="G6898" s="3" t="str">
        <f>HYPERLINK("http://funmeta.oebiotech.com/network/266920", "http://funmeta.oebiotech.com/network/266920")</f>
        <v>http://funmeta.oebiotech.com/network/266920</v>
      </c>
      <c r="H6898" s="2"/>
      <c r="I6898" s="2">
        <v>44304</v>
      </c>
      <c r="J6898" s="2"/>
      <c r="K6898" s="2"/>
      <c r="L6898" s="2" t="s">
        <v>45743</v>
      </c>
      <c r="M6898" s="2"/>
      <c r="N6898" s="2"/>
      <c r="O6898" s="2">
        <v>3532</v>
      </c>
      <c r="P6898" s="2"/>
      <c r="Q6898" s="2" t="s">
        <v>45744</v>
      </c>
      <c r="R6898" s="2" t="s">
        <v>45745</v>
      </c>
      <c r="S6898" s="2" t="s">
        <v>39</v>
      </c>
      <c r="T6898" s="2" t="s">
        <v>41</v>
      </c>
      <c r="U6898" s="2" t="s">
        <v>41</v>
      </c>
      <c r="V6898" s="2" t="s">
        <v>59</v>
      </c>
      <c r="W6898" s="2">
        <v>39.5</v>
      </c>
      <c r="X6898" s="2">
        <v>0</v>
      </c>
      <c r="Y6898" s="2" t="s">
        <v>141</v>
      </c>
      <c r="Z6898" s="2" t="s">
        <v>45746</v>
      </c>
      <c r="AA6898" s="2">
        <v>-0.47123379218609501</v>
      </c>
      <c r="AB6898" s="2">
        <v>6.6765604630911902E-3</v>
      </c>
      <c r="AC6898" s="2">
        <v>1208.09359014551</v>
      </c>
      <c r="AD6898" s="2">
        <v>1173.6813311580599</v>
      </c>
      <c r="AE6898" s="2">
        <v>1033.9827197597599</v>
      </c>
      <c r="AF6898" s="2">
        <v>1637.4347821952599</v>
      </c>
      <c r="AG6898" s="2">
        <v>1370.5538335076001</v>
      </c>
      <c r="AH6898" s="2">
        <v>732.14147975089804</v>
      </c>
      <c r="AI6898" s="2">
        <v>1312.02186905454</v>
      </c>
      <c r="AJ6898" s="2">
        <v>1162.42685660503</v>
      </c>
      <c r="AK6898" s="2">
        <v>1051.1079703693699</v>
      </c>
      <c r="AL6898" s="2">
        <v>1255.1140444186401</v>
      </c>
      <c r="AM6898" s="2">
        <v>1134.0806446025899</v>
      </c>
      <c r="AN6898" s="2">
        <v>1103.5516762546199</v>
      </c>
      <c r="AO6898" s="2">
        <v>1283.1502122470699</v>
      </c>
      <c r="AP6898" s="2">
        <v>1215.0834390560999</v>
      </c>
    </row>
    <row r="6899" spans="1:42" ht="14.5" x14ac:dyDescent="0.35">
      <c r="A6899" s="2" t="s">
        <v>45747</v>
      </c>
      <c r="B6899" s="2">
        <v>900.54515926071304</v>
      </c>
      <c r="C6899" s="2">
        <v>9.7661333333333307</v>
      </c>
      <c r="D6899" s="2" t="s">
        <v>34</v>
      </c>
      <c r="E6899" s="2" t="s">
        <v>45748</v>
      </c>
      <c r="F6899" s="2">
        <v>82883</v>
      </c>
      <c r="G6899" s="3" t="str">
        <f>HYPERLINK("http://funmeta.oebiotech.com/network/82883", "http://funmeta.oebiotech.com/network/82883")</f>
        <v>http://funmeta.oebiotech.com/network/82883</v>
      </c>
      <c r="H6899" s="2" t="s">
        <v>45749</v>
      </c>
      <c r="I6899" s="2"/>
      <c r="J6899" s="2"/>
      <c r="K6899" s="2"/>
      <c r="L6899" s="2"/>
      <c r="M6899" s="2"/>
      <c r="N6899" s="2"/>
      <c r="O6899" s="2">
        <v>131770013</v>
      </c>
      <c r="P6899" s="2"/>
      <c r="Q6899" s="2" t="s">
        <v>45750</v>
      </c>
      <c r="R6899" s="2" t="s">
        <v>45751</v>
      </c>
      <c r="S6899" s="2" t="s">
        <v>115</v>
      </c>
      <c r="T6899" s="2" t="s">
        <v>1108</v>
      </c>
      <c r="U6899" s="2" t="s">
        <v>41</v>
      </c>
      <c r="V6899" s="2" t="s">
        <v>59</v>
      </c>
      <c r="W6899" s="2">
        <v>38.299999999999997</v>
      </c>
      <c r="X6899" s="2">
        <v>0</v>
      </c>
      <c r="Y6899" s="2" t="s">
        <v>394</v>
      </c>
      <c r="Z6899" s="2" t="s">
        <v>45752</v>
      </c>
      <c r="AA6899" s="2">
        <v>-1.7883592345335699</v>
      </c>
      <c r="AB6899" s="2">
        <v>6.5580628322642297E-3</v>
      </c>
      <c r="AC6899" s="2">
        <v>9337.01591461916</v>
      </c>
      <c r="AD6899" s="2">
        <v>9396.9931599167394</v>
      </c>
      <c r="AE6899" s="2">
        <v>8899.3874178802998</v>
      </c>
      <c r="AF6899" s="2">
        <v>8749.4426967384006</v>
      </c>
      <c r="AG6899" s="2">
        <v>9528.8271765150603</v>
      </c>
      <c r="AH6899" s="2">
        <v>9115.7201168311494</v>
      </c>
      <c r="AI6899" s="2">
        <v>9314.5246883716609</v>
      </c>
      <c r="AJ6899" s="2">
        <v>10414.1933913784</v>
      </c>
      <c r="AK6899" s="2">
        <v>10122.050958035599</v>
      </c>
      <c r="AL6899" s="2">
        <v>8525.33029142345</v>
      </c>
      <c r="AM6899" s="2">
        <v>9221.8433052047003</v>
      </c>
      <c r="AN6899" s="2">
        <v>11029.6144026169</v>
      </c>
      <c r="AO6899" s="2">
        <v>9295.5273959743699</v>
      </c>
      <c r="AP6899" s="2">
        <v>8187.5926062454</v>
      </c>
    </row>
    <row r="6900" spans="1:42" ht="14.5" x14ac:dyDescent="0.35">
      <c r="A6900" s="2" t="s">
        <v>45753</v>
      </c>
      <c r="B6900" s="2">
        <v>642.217704161754</v>
      </c>
      <c r="C6900" s="2">
        <v>5.1206500000000004</v>
      </c>
      <c r="D6900" s="2" t="s">
        <v>34</v>
      </c>
      <c r="E6900" s="2" t="s">
        <v>45754</v>
      </c>
      <c r="F6900" s="2">
        <v>62600</v>
      </c>
      <c r="G6900" s="3" t="str">
        <f>HYPERLINK("http://funmeta.oebiotech.com/network/62600", "http://funmeta.oebiotech.com/network/62600")</f>
        <v>http://funmeta.oebiotech.com/network/62600</v>
      </c>
      <c r="H6900" s="2" t="s">
        <v>45755</v>
      </c>
      <c r="I6900" s="2">
        <v>93899</v>
      </c>
      <c r="J6900" s="2"/>
      <c r="K6900" s="2"/>
      <c r="L6900" s="2"/>
      <c r="M6900" s="2"/>
      <c r="N6900" s="2"/>
      <c r="O6900" s="2">
        <v>14345587</v>
      </c>
      <c r="P6900" s="2" t="s">
        <v>45756</v>
      </c>
      <c r="Q6900" s="2" t="s">
        <v>45757</v>
      </c>
      <c r="R6900" s="2" t="s">
        <v>45758</v>
      </c>
      <c r="S6900" s="2" t="s">
        <v>79</v>
      </c>
      <c r="T6900" s="2" t="s">
        <v>80</v>
      </c>
      <c r="U6900" s="2" t="s">
        <v>81</v>
      </c>
      <c r="V6900" s="2" t="s">
        <v>59</v>
      </c>
      <c r="W6900" s="2">
        <v>37.799999999999997</v>
      </c>
      <c r="X6900" s="2">
        <v>0</v>
      </c>
      <c r="Y6900" s="2" t="s">
        <v>43</v>
      </c>
      <c r="Z6900" s="2" t="s">
        <v>45759</v>
      </c>
      <c r="AA6900" s="2">
        <v>-0.66078043249150298</v>
      </c>
      <c r="AB6900" s="2">
        <v>6.5488340774712498E-3</v>
      </c>
      <c r="AC6900" s="2">
        <v>12276.8381598992</v>
      </c>
      <c r="AD6900" s="2">
        <v>12129.6659871516</v>
      </c>
      <c r="AE6900" s="2">
        <v>12734.293900876</v>
      </c>
      <c r="AF6900" s="2">
        <v>15128.253805165799</v>
      </c>
      <c r="AG6900" s="2">
        <v>12766.6689244113</v>
      </c>
      <c r="AH6900" s="2">
        <v>10449.5820011095</v>
      </c>
      <c r="AI6900" s="2">
        <v>15291.659341217801</v>
      </c>
      <c r="AJ6900" s="2">
        <v>7290.57098661494</v>
      </c>
      <c r="AK6900" s="2">
        <v>12367.059620595301</v>
      </c>
      <c r="AL6900" s="2">
        <v>10357.2719490564</v>
      </c>
      <c r="AM6900" s="2">
        <v>7418.3202445562201</v>
      </c>
      <c r="AN6900" s="2">
        <v>13055.651099102301</v>
      </c>
      <c r="AO6900" s="2">
        <v>9057.9813591923703</v>
      </c>
      <c r="AP6900" s="2">
        <v>20521.711650407</v>
      </c>
    </row>
    <row r="6901" spans="1:42" ht="14.5" x14ac:dyDescent="0.35">
      <c r="A6901" s="2" t="s">
        <v>45760</v>
      </c>
      <c r="B6901" s="2">
        <v>111.11679599295501</v>
      </c>
      <c r="C6901" s="2">
        <v>1.64625</v>
      </c>
      <c r="D6901" s="2" t="s">
        <v>34</v>
      </c>
      <c r="E6901" s="2" t="s">
        <v>45761</v>
      </c>
      <c r="F6901" s="2">
        <v>64082</v>
      </c>
      <c r="G6901" s="3" t="str">
        <f>HYPERLINK("http://funmeta.oebiotech.com/network/64082", "http://funmeta.oebiotech.com/network/64082")</f>
        <v>http://funmeta.oebiotech.com/network/64082</v>
      </c>
      <c r="H6901" s="2" t="s">
        <v>45762</v>
      </c>
      <c r="I6901" s="2">
        <v>95410</v>
      </c>
      <c r="J6901" s="2"/>
      <c r="K6901" s="2">
        <v>89638</v>
      </c>
      <c r="L6901" s="2"/>
      <c r="M6901" s="2"/>
      <c r="N6901" s="2"/>
      <c r="O6901" s="2">
        <v>517653</v>
      </c>
      <c r="P6901" s="2" t="s">
        <v>45763</v>
      </c>
      <c r="Q6901" s="2" t="s">
        <v>45764</v>
      </c>
      <c r="R6901" s="2" t="s">
        <v>45765</v>
      </c>
      <c r="S6901" s="2" t="s">
        <v>3194</v>
      </c>
      <c r="T6901" s="2" t="s">
        <v>3195</v>
      </c>
      <c r="U6901" s="2" t="s">
        <v>12978</v>
      </c>
      <c r="V6901" s="2" t="s">
        <v>59</v>
      </c>
      <c r="W6901" s="2">
        <v>38.799999999999997</v>
      </c>
      <c r="X6901" s="2">
        <v>0</v>
      </c>
      <c r="Y6901" s="2" t="s">
        <v>394</v>
      </c>
      <c r="Z6901" s="2" t="s">
        <v>45766</v>
      </c>
      <c r="AA6901" s="2">
        <v>-0.28052085526352799</v>
      </c>
      <c r="AB6901" s="2">
        <v>6.4474130409028999E-3</v>
      </c>
      <c r="AC6901" s="2">
        <v>3254.5374040813799</v>
      </c>
      <c r="AD6901" s="2">
        <v>3217.6976689983098</v>
      </c>
      <c r="AE6901" s="2">
        <v>3193.94447475775</v>
      </c>
      <c r="AF6901" s="2">
        <v>3107.5171290193798</v>
      </c>
      <c r="AG6901" s="2">
        <v>3336.1844659520102</v>
      </c>
      <c r="AH6901" s="2">
        <v>3332.73029897165</v>
      </c>
      <c r="AI6901" s="2">
        <v>2991.5411711563102</v>
      </c>
      <c r="AJ6901" s="2">
        <v>3565.3068846311899</v>
      </c>
      <c r="AK6901" s="2">
        <v>3081.8795747806698</v>
      </c>
      <c r="AL6901" s="2">
        <v>3230.6972679954101</v>
      </c>
      <c r="AM6901" s="2">
        <v>3267.44816915919</v>
      </c>
      <c r="AN6901" s="2">
        <v>3067.97031030167</v>
      </c>
      <c r="AO6901" s="2">
        <v>3853.72534758852</v>
      </c>
      <c r="AP6901" s="2">
        <v>2804.46534416439</v>
      </c>
    </row>
    <row r="6902" spans="1:42" ht="14.5" x14ac:dyDescent="0.35">
      <c r="A6902" s="2" t="s">
        <v>45767</v>
      </c>
      <c r="B6902" s="2">
        <v>685.26887561856699</v>
      </c>
      <c r="C6902" s="2">
        <v>4.9873666666666701</v>
      </c>
      <c r="D6902" s="2" t="s">
        <v>70</v>
      </c>
      <c r="E6902" s="2" t="s">
        <v>45768</v>
      </c>
      <c r="F6902" s="2">
        <v>61124</v>
      </c>
      <c r="G6902" s="3" t="str">
        <f>HYPERLINK("http://funmeta.oebiotech.com/network/61124", "http://funmeta.oebiotech.com/network/61124")</f>
        <v>http://funmeta.oebiotech.com/network/61124</v>
      </c>
      <c r="H6902" s="2" t="s">
        <v>45769</v>
      </c>
      <c r="I6902" s="2">
        <v>92436</v>
      </c>
      <c r="J6902" s="2"/>
      <c r="K6902" s="2"/>
      <c r="L6902" s="2"/>
      <c r="M6902" s="2"/>
      <c r="N6902" s="2"/>
      <c r="O6902" s="2">
        <v>131752209</v>
      </c>
      <c r="P6902" s="2"/>
      <c r="Q6902" s="2" t="s">
        <v>45770</v>
      </c>
      <c r="R6902" s="2" t="s">
        <v>45771</v>
      </c>
      <c r="S6902" s="2" t="s">
        <v>50</v>
      </c>
      <c r="T6902" s="2" t="s">
        <v>106</v>
      </c>
      <c r="U6902" s="2" t="s">
        <v>41</v>
      </c>
      <c r="V6902" s="2" t="s">
        <v>59</v>
      </c>
      <c r="W6902" s="2">
        <v>43.5</v>
      </c>
      <c r="X6902" s="2">
        <v>33.1</v>
      </c>
      <c r="Y6902" s="2" t="s">
        <v>118</v>
      </c>
      <c r="Z6902" s="2" t="s">
        <v>9041</v>
      </c>
      <c r="AA6902" s="2">
        <v>-3.5456994643636399</v>
      </c>
      <c r="AB6902" s="2">
        <v>6.4192107450296099E-3</v>
      </c>
      <c r="AC6902" s="2">
        <v>88974.715748396906</v>
      </c>
      <c r="AD6902" s="2">
        <v>89141.693224322793</v>
      </c>
      <c r="AE6902" s="2">
        <v>88465.151364064994</v>
      </c>
      <c r="AF6902" s="2">
        <v>88376.976261093005</v>
      </c>
      <c r="AG6902" s="2">
        <v>91037.496332694704</v>
      </c>
      <c r="AH6902" s="2">
        <v>87397.921026280703</v>
      </c>
      <c r="AI6902" s="2">
        <v>84492.467489100105</v>
      </c>
      <c r="AJ6902" s="2">
        <v>94078.2820171481</v>
      </c>
      <c r="AK6902" s="2">
        <v>87094.036001569199</v>
      </c>
      <c r="AL6902" s="2">
        <v>91801.304773072901</v>
      </c>
      <c r="AM6902" s="2">
        <v>97185.073907104001</v>
      </c>
      <c r="AN6902" s="2">
        <v>90409.243902411006</v>
      </c>
      <c r="AO6902" s="2">
        <v>87032.233919974198</v>
      </c>
      <c r="AP6902" s="2">
        <v>81328.266841805395</v>
      </c>
    </row>
    <row r="6903" spans="1:42" ht="14.5" x14ac:dyDescent="0.35">
      <c r="A6903" s="2" t="s">
        <v>45772</v>
      </c>
      <c r="B6903" s="2">
        <v>113.03445390481799</v>
      </c>
      <c r="C6903" s="2">
        <v>1.0770999999999999</v>
      </c>
      <c r="D6903" s="2" t="s">
        <v>34</v>
      </c>
      <c r="E6903" s="2" t="s">
        <v>45773</v>
      </c>
      <c r="F6903" s="2">
        <v>46984</v>
      </c>
      <c r="G6903" s="3" t="str">
        <f>HYPERLINK("http://funmeta.oebiotech.com/network/46984", "http://funmeta.oebiotech.com/network/46984")</f>
        <v>http://funmeta.oebiotech.com/network/46984</v>
      </c>
      <c r="H6903" s="2" t="s">
        <v>45774</v>
      </c>
      <c r="I6903" s="2">
        <v>258</v>
      </c>
      <c r="J6903" s="2"/>
      <c r="K6903" s="2">
        <v>17568</v>
      </c>
      <c r="L6903" s="2" t="s">
        <v>45775</v>
      </c>
      <c r="M6903" s="2" t="s">
        <v>45776</v>
      </c>
      <c r="N6903" s="2" t="s">
        <v>45777</v>
      </c>
      <c r="O6903" s="2">
        <v>1174</v>
      </c>
      <c r="P6903" s="2" t="s">
        <v>45778</v>
      </c>
      <c r="Q6903" s="2" t="s">
        <v>45779</v>
      </c>
      <c r="R6903" s="2" t="s">
        <v>45780</v>
      </c>
      <c r="S6903" s="2" t="s">
        <v>491</v>
      </c>
      <c r="T6903" s="2" t="s">
        <v>4517</v>
      </c>
      <c r="U6903" s="2" t="s">
        <v>4518</v>
      </c>
      <c r="V6903" s="2" t="s">
        <v>42</v>
      </c>
      <c r="W6903" s="2">
        <v>49</v>
      </c>
      <c r="X6903" s="2">
        <v>51.1</v>
      </c>
      <c r="Y6903" s="2" t="s">
        <v>394</v>
      </c>
      <c r="Z6903" s="2" t="s">
        <v>45781</v>
      </c>
      <c r="AA6903" s="2">
        <v>-0.89178443452439704</v>
      </c>
      <c r="AB6903" s="2">
        <v>6.3843447290151999E-3</v>
      </c>
      <c r="AC6903" s="2">
        <v>9448.9705413397605</v>
      </c>
      <c r="AD6903" s="2">
        <v>9492.6379512189196</v>
      </c>
      <c r="AE6903" s="2">
        <v>9757.9315331736398</v>
      </c>
      <c r="AF6903" s="2">
        <v>9102.3382740262095</v>
      </c>
      <c r="AG6903" s="2">
        <v>9834.5977533081896</v>
      </c>
      <c r="AH6903" s="2">
        <v>9131.6564718178397</v>
      </c>
      <c r="AI6903" s="2">
        <v>9290.2919103034692</v>
      </c>
      <c r="AJ6903" s="2">
        <v>9577.0073054091899</v>
      </c>
      <c r="AK6903" s="2">
        <v>9756.05385254268</v>
      </c>
      <c r="AL6903" s="2">
        <v>9465.6311985906705</v>
      </c>
      <c r="AM6903" s="2">
        <v>9830.4129415706193</v>
      </c>
      <c r="AN6903" s="2">
        <v>9646.9050947814394</v>
      </c>
      <c r="AO6903" s="2">
        <v>8712.7014204865209</v>
      </c>
      <c r="AP6903" s="2">
        <v>9544.1231993415604</v>
      </c>
    </row>
    <row r="6904" spans="1:42" ht="14.5" x14ac:dyDescent="0.35">
      <c r="A6904" s="2" t="s">
        <v>45782</v>
      </c>
      <c r="B6904" s="2">
        <v>713.39567703728198</v>
      </c>
      <c r="C6904" s="2">
        <v>10.6706166666667</v>
      </c>
      <c r="D6904" s="2" t="s">
        <v>70</v>
      </c>
      <c r="E6904" s="2" t="s">
        <v>45783</v>
      </c>
      <c r="F6904" s="2">
        <v>267197</v>
      </c>
      <c r="G6904" s="3" t="str">
        <f>HYPERLINK("http://funmeta.oebiotech.com/network/267197", "http://funmeta.oebiotech.com/network/267197")</f>
        <v>http://funmeta.oebiotech.com/network/267197</v>
      </c>
      <c r="H6904" s="2"/>
      <c r="I6904" s="2">
        <v>44981</v>
      </c>
      <c r="J6904" s="2"/>
      <c r="K6904" s="2"/>
      <c r="L6904" s="2" t="s">
        <v>45784</v>
      </c>
      <c r="M6904" s="2"/>
      <c r="N6904" s="2"/>
      <c r="O6904" s="2">
        <v>123985</v>
      </c>
      <c r="P6904" s="2" t="s">
        <v>45785</v>
      </c>
      <c r="Q6904" s="2" t="s">
        <v>45786</v>
      </c>
      <c r="R6904" s="2" t="s">
        <v>45787</v>
      </c>
      <c r="S6904" s="2" t="s">
        <v>491</v>
      </c>
      <c r="T6904" s="2" t="s">
        <v>921</v>
      </c>
      <c r="U6904" s="2" t="s">
        <v>922</v>
      </c>
      <c r="V6904" s="2" t="s">
        <v>59</v>
      </c>
      <c r="W6904" s="2">
        <v>37.6</v>
      </c>
      <c r="X6904" s="2">
        <v>0</v>
      </c>
      <c r="Y6904" s="2" t="s">
        <v>560</v>
      </c>
      <c r="Z6904" s="2" t="s">
        <v>45788</v>
      </c>
      <c r="AA6904" s="2">
        <v>0.72157354875951596</v>
      </c>
      <c r="AB6904" s="2">
        <v>6.3805322701466199E-3</v>
      </c>
      <c r="AC6904" s="2">
        <v>840.44766604051097</v>
      </c>
      <c r="AD6904" s="2">
        <v>796.01636320764601</v>
      </c>
      <c r="AE6904" s="2">
        <v>1754.38470014069</v>
      </c>
      <c r="AF6904" s="2">
        <v>158.70302322791099</v>
      </c>
      <c r="AG6904" s="2">
        <v>1146.41748142812</v>
      </c>
      <c r="AH6904" s="2">
        <v>837.30038386893898</v>
      </c>
      <c r="AI6904" s="2">
        <v>575.91898400142895</v>
      </c>
      <c r="AJ6904" s="2">
        <v>569.96142357597398</v>
      </c>
      <c r="AK6904" s="2">
        <v>504.31848733722097</v>
      </c>
      <c r="AL6904" s="2">
        <v>635.59628214002896</v>
      </c>
      <c r="AM6904" s="2">
        <v>597.18303794471296</v>
      </c>
      <c r="AN6904" s="2">
        <v>972.36318903797701</v>
      </c>
      <c r="AO6904" s="2">
        <v>990.11393601424402</v>
      </c>
      <c r="AP6904" s="2">
        <v>1076.5232467716901</v>
      </c>
    </row>
    <row r="6905" spans="1:42" ht="14.5" x14ac:dyDescent="0.35">
      <c r="A6905" s="2" t="s">
        <v>45789</v>
      </c>
      <c r="B6905" s="2">
        <v>255.02571293181401</v>
      </c>
      <c r="C6905" s="2">
        <v>6.8767666666666702</v>
      </c>
      <c r="D6905" s="2" t="s">
        <v>70</v>
      </c>
      <c r="E6905" s="2" t="s">
        <v>45790</v>
      </c>
      <c r="F6905" s="2">
        <v>202591</v>
      </c>
      <c r="G6905" s="3" t="str">
        <f>HYPERLINK("http://funmeta.oebiotech.com/network/202591", "http://funmeta.oebiotech.com/network/202591")</f>
        <v>http://funmeta.oebiotech.com/network/202591</v>
      </c>
      <c r="H6905" s="2" t="s">
        <v>45791</v>
      </c>
      <c r="I6905" s="2"/>
      <c r="J6905" s="2"/>
      <c r="K6905" s="2"/>
      <c r="L6905" s="2"/>
      <c r="M6905" s="2"/>
      <c r="N6905" s="2"/>
      <c r="O6905" s="2"/>
      <c r="P6905" s="2"/>
      <c r="Q6905" s="2" t="s">
        <v>45792</v>
      </c>
      <c r="R6905" s="2" t="s">
        <v>45793</v>
      </c>
      <c r="S6905" s="2" t="s">
        <v>41</v>
      </c>
      <c r="T6905" s="2" t="s">
        <v>41</v>
      </c>
      <c r="U6905" s="2" t="s">
        <v>41</v>
      </c>
      <c r="V6905" s="2" t="s">
        <v>59</v>
      </c>
      <c r="W6905" s="2">
        <v>38.4</v>
      </c>
      <c r="X6905" s="2">
        <v>0</v>
      </c>
      <c r="Y6905" s="2" t="s">
        <v>118</v>
      </c>
      <c r="Z6905" s="2" t="s">
        <v>45794</v>
      </c>
      <c r="AA6905" s="2">
        <v>-0.62975933105284299</v>
      </c>
      <c r="AB6905" s="2">
        <v>6.3769774248853403E-3</v>
      </c>
      <c r="AC6905" s="2">
        <v>1529.9148501366701</v>
      </c>
      <c r="AD6905" s="2">
        <v>1560.49970162198</v>
      </c>
      <c r="AE6905" s="2">
        <v>1679.9328899387001</v>
      </c>
      <c r="AF6905" s="2">
        <v>1608.6218363401399</v>
      </c>
      <c r="AG6905" s="2">
        <v>1659.7807512344</v>
      </c>
      <c r="AH6905" s="2">
        <v>1510.3432179430199</v>
      </c>
      <c r="AI6905" s="2">
        <v>1535.66598506318</v>
      </c>
      <c r="AJ6905" s="2">
        <v>1185.1444203005799</v>
      </c>
      <c r="AK6905" s="2">
        <v>1660.1813225047099</v>
      </c>
      <c r="AL6905" s="2">
        <v>1841.6763264384599</v>
      </c>
      <c r="AM6905" s="2">
        <v>1444.8071680555699</v>
      </c>
      <c r="AN6905" s="2">
        <v>1563.31763157261</v>
      </c>
      <c r="AO6905" s="2">
        <v>1419.43923134089</v>
      </c>
      <c r="AP6905" s="2">
        <v>1433.57652981965</v>
      </c>
    </row>
    <row r="6906" spans="1:42" ht="14.5" x14ac:dyDescent="0.35">
      <c r="A6906" s="2" t="s">
        <v>45795</v>
      </c>
      <c r="B6906" s="2">
        <v>255.210565469747</v>
      </c>
      <c r="C6906" s="2">
        <v>4.1056666666666697</v>
      </c>
      <c r="D6906" s="2" t="s">
        <v>34</v>
      </c>
      <c r="E6906" s="2" t="s">
        <v>45796</v>
      </c>
      <c r="F6906" s="2">
        <v>44950</v>
      </c>
      <c r="G6906" s="3" t="str">
        <f>HYPERLINK("http://funmeta.oebiotech.com/network/44950", "http://funmeta.oebiotech.com/network/44950")</f>
        <v>http://funmeta.oebiotech.com/network/44950</v>
      </c>
      <c r="H6906" s="2" t="s">
        <v>45797</v>
      </c>
      <c r="I6906" s="2">
        <v>57826</v>
      </c>
      <c r="J6906" s="2" t="s">
        <v>45798</v>
      </c>
      <c r="K6906" s="2">
        <v>86393</v>
      </c>
      <c r="L6906" s="2"/>
      <c r="M6906" s="2"/>
      <c r="N6906" s="2"/>
      <c r="O6906" s="2">
        <v>11807837</v>
      </c>
      <c r="P6906" s="2" t="s">
        <v>45799</v>
      </c>
      <c r="Q6906" s="2" t="s">
        <v>45800</v>
      </c>
      <c r="R6906" s="2" t="s">
        <v>45801</v>
      </c>
      <c r="S6906" s="2" t="s">
        <v>50</v>
      </c>
      <c r="T6906" s="2" t="s">
        <v>124</v>
      </c>
      <c r="U6906" s="2" t="s">
        <v>2373</v>
      </c>
      <c r="V6906" s="2" t="s">
        <v>59</v>
      </c>
      <c r="W6906" s="2">
        <v>39</v>
      </c>
      <c r="X6906" s="2">
        <v>0</v>
      </c>
      <c r="Y6906" s="2" t="s">
        <v>141</v>
      </c>
      <c r="Z6906" s="2" t="s">
        <v>45802</v>
      </c>
      <c r="AA6906" s="2">
        <v>-0.59437708565106195</v>
      </c>
      <c r="AB6906" s="2">
        <v>6.3711338688693603E-3</v>
      </c>
      <c r="AC6906" s="2">
        <v>960.16536764946602</v>
      </c>
      <c r="AD6906" s="2">
        <v>992.011037611034</v>
      </c>
      <c r="AE6906" s="2">
        <v>1091.0416391880699</v>
      </c>
      <c r="AF6906" s="2">
        <v>1185.9203196865101</v>
      </c>
      <c r="AG6906" s="2">
        <v>902.92578251524105</v>
      </c>
      <c r="AH6906" s="2">
        <v>585.03161259905505</v>
      </c>
      <c r="AI6906" s="2">
        <v>974.67752272461303</v>
      </c>
      <c r="AJ6906" s="2">
        <v>1021.39532918331</v>
      </c>
      <c r="AK6906" s="2">
        <v>734.81058338430796</v>
      </c>
      <c r="AL6906" s="2">
        <v>935.00622680878598</v>
      </c>
      <c r="AM6906" s="2">
        <v>782.57589702600706</v>
      </c>
      <c r="AN6906" s="2">
        <v>1276.3118547671199</v>
      </c>
      <c r="AO6906" s="2">
        <v>1197.5325812982401</v>
      </c>
      <c r="AP6906" s="2">
        <v>1025.8290823817399</v>
      </c>
    </row>
    <row r="6907" spans="1:42" ht="14.5" x14ac:dyDescent="0.35">
      <c r="A6907" s="2" t="s">
        <v>45803</v>
      </c>
      <c r="B6907" s="2">
        <v>292.04371257222601</v>
      </c>
      <c r="C6907" s="2">
        <v>3.5208166666666698</v>
      </c>
      <c r="D6907" s="2" t="s">
        <v>70</v>
      </c>
      <c r="E6907" s="2" t="s">
        <v>45804</v>
      </c>
      <c r="F6907" s="2">
        <v>258148</v>
      </c>
      <c r="G6907" s="3" t="str">
        <f>HYPERLINK("http://funmeta.oebiotech.com/network/258148", "http://funmeta.oebiotech.com/network/258148")</f>
        <v>http://funmeta.oebiotech.com/network/258148</v>
      </c>
      <c r="H6907" s="2"/>
      <c r="I6907" s="2">
        <v>2682</v>
      </c>
      <c r="J6907" s="2"/>
      <c r="K6907" s="2"/>
      <c r="L6907" s="2"/>
      <c r="M6907" s="2"/>
      <c r="N6907" s="2"/>
      <c r="O6907" s="2">
        <v>2777432</v>
      </c>
      <c r="P6907" s="2" t="s">
        <v>45805</v>
      </c>
      <c r="Q6907" s="2" t="s">
        <v>45806</v>
      </c>
      <c r="R6907" s="2" t="s">
        <v>45807</v>
      </c>
      <c r="S6907" s="2" t="s">
        <v>148</v>
      </c>
      <c r="T6907" s="2" t="s">
        <v>149</v>
      </c>
      <c r="U6907" s="2" t="s">
        <v>1593</v>
      </c>
      <c r="V6907" s="2" t="s">
        <v>59</v>
      </c>
      <c r="W6907" s="2">
        <v>39</v>
      </c>
      <c r="X6907" s="2">
        <v>0</v>
      </c>
      <c r="Y6907" s="2" t="s">
        <v>408</v>
      </c>
      <c r="Z6907" s="2" t="s">
        <v>45808</v>
      </c>
      <c r="AA6907" s="2">
        <v>-0.47795953657490298</v>
      </c>
      <c r="AB6907" s="2">
        <v>6.2874458376545803E-3</v>
      </c>
      <c r="AC6907" s="2">
        <v>674.08202552192301</v>
      </c>
      <c r="AD6907" s="2">
        <v>692.76485974871002</v>
      </c>
      <c r="AE6907" s="2">
        <v>603.86196799346305</v>
      </c>
      <c r="AF6907" s="2">
        <v>824.04569640256898</v>
      </c>
      <c r="AG6907" s="2">
        <v>637.49787000168499</v>
      </c>
      <c r="AH6907" s="2">
        <v>665.62856189723595</v>
      </c>
      <c r="AI6907" s="2">
        <v>631.72596117278101</v>
      </c>
      <c r="AJ6907" s="2">
        <v>681.73209566380206</v>
      </c>
      <c r="AK6907" s="2">
        <v>629.00882375486594</v>
      </c>
      <c r="AL6907" s="2">
        <v>749.70569976312402</v>
      </c>
      <c r="AM6907" s="2">
        <v>762.32781009687903</v>
      </c>
      <c r="AN6907" s="2">
        <v>725.93907653200699</v>
      </c>
      <c r="AO6907" s="2">
        <v>675.24460916359396</v>
      </c>
      <c r="AP6907" s="2">
        <v>614.36313918179201</v>
      </c>
    </row>
    <row r="6908" spans="1:42" ht="14.5" x14ac:dyDescent="0.35">
      <c r="A6908" s="2" t="s">
        <v>45809</v>
      </c>
      <c r="B6908" s="2">
        <v>295.16845131888198</v>
      </c>
      <c r="C6908" s="2">
        <v>4.1233166666666703</v>
      </c>
      <c r="D6908" s="2" t="s">
        <v>34</v>
      </c>
      <c r="E6908" s="2" t="s">
        <v>45810</v>
      </c>
      <c r="F6908" s="2">
        <v>256999</v>
      </c>
      <c r="G6908" s="3" t="str">
        <f>HYPERLINK("http://funmeta.oebiotech.com/network/256999", "http://funmeta.oebiotech.com/network/256999")</f>
        <v>http://funmeta.oebiotech.com/network/256999</v>
      </c>
      <c r="H6908" s="2" t="s">
        <v>45811</v>
      </c>
      <c r="I6908" s="2"/>
      <c r="J6908" s="2"/>
      <c r="K6908" s="2"/>
      <c r="L6908" s="2"/>
      <c r="M6908" s="2"/>
      <c r="N6908" s="2"/>
      <c r="O6908" s="2"/>
      <c r="P6908" s="2"/>
      <c r="Q6908" s="2" t="s">
        <v>45812</v>
      </c>
      <c r="R6908" s="2" t="s">
        <v>45813</v>
      </c>
      <c r="S6908" s="2" t="s">
        <v>89</v>
      </c>
      <c r="T6908" s="2" t="s">
        <v>90</v>
      </c>
      <c r="U6908" s="2" t="s">
        <v>99</v>
      </c>
      <c r="V6908" s="2" t="s">
        <v>59</v>
      </c>
      <c r="W6908" s="2">
        <v>36.299999999999997</v>
      </c>
      <c r="X6908" s="2">
        <v>0</v>
      </c>
      <c r="Y6908" s="2" t="s">
        <v>43</v>
      </c>
      <c r="Z6908" s="2" t="s">
        <v>45814</v>
      </c>
      <c r="AA6908" s="2">
        <v>-0.553635920034099</v>
      </c>
      <c r="AB6908" s="2">
        <v>6.2254692753995998E-3</v>
      </c>
      <c r="AC6908" s="2">
        <v>3812.3397993546</v>
      </c>
      <c r="AD6908" s="2">
        <v>3765.5853832559501</v>
      </c>
      <c r="AE6908" s="2">
        <v>4366.3058084898403</v>
      </c>
      <c r="AF6908" s="2">
        <v>3724.2035161240201</v>
      </c>
      <c r="AG6908" s="2">
        <v>3124.0507798008798</v>
      </c>
      <c r="AH6908" s="2">
        <v>3800.3335899917001</v>
      </c>
      <c r="AI6908" s="2">
        <v>3594.4284112729201</v>
      </c>
      <c r="AJ6908" s="2">
        <v>4264.7166904482601</v>
      </c>
      <c r="AK6908" s="2">
        <v>4650.4337469683796</v>
      </c>
      <c r="AL6908" s="2">
        <v>3444.3486119122799</v>
      </c>
      <c r="AM6908" s="2">
        <v>3751.2321634354598</v>
      </c>
      <c r="AN6908" s="2">
        <v>3098.8162859685199</v>
      </c>
      <c r="AO6908" s="2">
        <v>3397.5140730676098</v>
      </c>
      <c r="AP6908" s="2">
        <v>4251.1674181834496</v>
      </c>
    </row>
    <row r="6909" spans="1:42" ht="14.5" x14ac:dyDescent="0.35">
      <c r="A6909" s="2" t="s">
        <v>45815</v>
      </c>
      <c r="B6909" s="2">
        <v>347.14874332684099</v>
      </c>
      <c r="C6909" s="2">
        <v>10.132666666666699</v>
      </c>
      <c r="D6909" s="2" t="s">
        <v>34</v>
      </c>
      <c r="E6909" s="2" t="s">
        <v>45816</v>
      </c>
      <c r="F6909" s="2">
        <v>266566</v>
      </c>
      <c r="G6909" s="3" t="str">
        <f>HYPERLINK("http://funmeta.oebiotech.com/network/266566", "http://funmeta.oebiotech.com/network/266566")</f>
        <v>http://funmeta.oebiotech.com/network/266566</v>
      </c>
      <c r="H6909" s="2"/>
      <c r="I6909" s="2">
        <v>43598</v>
      </c>
      <c r="J6909" s="2"/>
      <c r="K6909" s="2"/>
      <c r="L6909" s="2"/>
      <c r="M6909" s="2"/>
      <c r="N6909" s="2"/>
      <c r="O6909" s="2">
        <v>182659</v>
      </c>
      <c r="P6909" s="2"/>
      <c r="Q6909" s="2" t="s">
        <v>45817</v>
      </c>
      <c r="R6909" s="2" t="s">
        <v>45818</v>
      </c>
      <c r="S6909" s="2" t="s">
        <v>115</v>
      </c>
      <c r="T6909" s="2" t="s">
        <v>139</v>
      </c>
      <c r="U6909" s="2" t="s">
        <v>1437</v>
      </c>
      <c r="V6909" s="2" t="s">
        <v>59</v>
      </c>
      <c r="W6909" s="2">
        <v>38.799999999999997</v>
      </c>
      <c r="X6909" s="2">
        <v>0</v>
      </c>
      <c r="Y6909" s="2" t="s">
        <v>394</v>
      </c>
      <c r="Z6909" s="2" t="s">
        <v>25359</v>
      </c>
      <c r="AA6909" s="2">
        <v>-0.49554298067756503</v>
      </c>
      <c r="AB6909" s="2">
        <v>6.1376542523283598E-3</v>
      </c>
      <c r="AC6909" s="2">
        <v>2.7106294003980101E-5</v>
      </c>
      <c r="AD6909" s="2">
        <v>8.2928904896893005</v>
      </c>
      <c r="AE6909" s="2">
        <v>2.7106294003980101E-5</v>
      </c>
      <c r="AF6909" s="2">
        <v>2.7106294003980101E-5</v>
      </c>
      <c r="AG6909" s="2">
        <v>2.7106294003980101E-5</v>
      </c>
      <c r="AH6909" s="2">
        <v>2.7106294003980101E-5</v>
      </c>
      <c r="AI6909" s="2">
        <v>2.7106294003980101E-5</v>
      </c>
      <c r="AJ6909" s="2">
        <v>2.7106294003980101E-5</v>
      </c>
      <c r="AK6909" s="2">
        <v>49.757207406665799</v>
      </c>
      <c r="AL6909" s="2">
        <v>2.7106294003980101E-5</v>
      </c>
      <c r="AM6909" s="2">
        <v>2.7106294003980101E-5</v>
      </c>
      <c r="AN6909" s="2">
        <v>2.7106294003980101E-5</v>
      </c>
      <c r="AO6909" s="2">
        <v>2.7106294003980101E-5</v>
      </c>
      <c r="AP6909" s="2">
        <v>2.7106294003980101E-5</v>
      </c>
    </row>
    <row r="6910" spans="1:42" ht="14.5" x14ac:dyDescent="0.35">
      <c r="A6910" s="2" t="s">
        <v>45819</v>
      </c>
      <c r="B6910" s="2">
        <v>380.349614461432</v>
      </c>
      <c r="C6910" s="2">
        <v>10.6603666666667</v>
      </c>
      <c r="D6910" s="2" t="s">
        <v>34</v>
      </c>
      <c r="E6910" s="2" t="s">
        <v>45820</v>
      </c>
      <c r="F6910" s="2">
        <v>273726</v>
      </c>
      <c r="G6910" s="3" t="str">
        <f>HYPERLINK("http://funmeta.oebiotech.com/network/273726", "http://funmeta.oebiotech.com/network/273726")</f>
        <v>http://funmeta.oebiotech.com/network/273726</v>
      </c>
      <c r="H6910" s="2"/>
      <c r="I6910" s="2">
        <v>63012</v>
      </c>
      <c r="J6910" s="2"/>
      <c r="K6910" s="2"/>
      <c r="L6910" s="2"/>
      <c r="M6910" s="2"/>
      <c r="N6910" s="2"/>
      <c r="O6910" s="2">
        <v>5702613</v>
      </c>
      <c r="P6910" s="2" t="s">
        <v>45821</v>
      </c>
      <c r="Q6910" s="2" t="s">
        <v>45822</v>
      </c>
      <c r="R6910" s="2" t="s">
        <v>45823</v>
      </c>
      <c r="S6910" s="2" t="s">
        <v>50</v>
      </c>
      <c r="T6910" s="2" t="s">
        <v>693</v>
      </c>
      <c r="U6910" s="2" t="s">
        <v>16309</v>
      </c>
      <c r="V6910" s="2" t="s">
        <v>59</v>
      </c>
      <c r="W6910" s="2">
        <v>37.5</v>
      </c>
      <c r="X6910" s="2">
        <v>0</v>
      </c>
      <c r="Y6910" s="2" t="s">
        <v>141</v>
      </c>
      <c r="Z6910" s="2" t="s">
        <v>45824</v>
      </c>
      <c r="AA6910" s="2">
        <v>-6.77393089688029</v>
      </c>
      <c r="AB6910" s="2">
        <v>6.1144280989803004E-3</v>
      </c>
      <c r="AC6910" s="2">
        <v>2752.6363806264599</v>
      </c>
      <c r="AD6910" s="2">
        <v>2816.7902478250498</v>
      </c>
      <c r="AE6910" s="2">
        <v>2344.2538033910701</v>
      </c>
      <c r="AF6910" s="2">
        <v>3027.24571620702</v>
      </c>
      <c r="AG6910" s="2">
        <v>2084.10578767984</v>
      </c>
      <c r="AH6910" s="2">
        <v>4202.6137382245697</v>
      </c>
      <c r="AI6910" s="2">
        <v>2216.3966339399599</v>
      </c>
      <c r="AJ6910" s="2">
        <v>2641.20260431628</v>
      </c>
      <c r="AK6910" s="2">
        <v>1090.53141712212</v>
      </c>
      <c r="AL6910" s="2">
        <v>3422.4669380988298</v>
      </c>
      <c r="AM6910" s="2">
        <v>2367.2780007444599</v>
      </c>
      <c r="AN6910" s="2">
        <v>4470.9100880702399</v>
      </c>
      <c r="AO6910" s="2">
        <v>2752.1258120758598</v>
      </c>
      <c r="AP6910" s="2">
        <v>2797.4292308388199</v>
      </c>
    </row>
    <row r="6911" spans="1:42" ht="14.5" x14ac:dyDescent="0.35">
      <c r="A6911" s="2" t="s">
        <v>45825</v>
      </c>
      <c r="B6911" s="2">
        <v>1164.53708804142</v>
      </c>
      <c r="C6911" s="2">
        <v>5.7290666666666699</v>
      </c>
      <c r="D6911" s="2" t="s">
        <v>70</v>
      </c>
      <c r="E6911" s="2" t="s">
        <v>45826</v>
      </c>
      <c r="F6911" s="2">
        <v>244930</v>
      </c>
      <c r="G6911" s="3" t="str">
        <f>HYPERLINK("http://funmeta.oebiotech.com/network/244930", "http://funmeta.oebiotech.com/network/244930")</f>
        <v>http://funmeta.oebiotech.com/network/244930</v>
      </c>
      <c r="H6911" s="2" t="s">
        <v>45827</v>
      </c>
      <c r="I6911" s="2"/>
      <c r="J6911" s="2"/>
      <c r="K6911" s="2"/>
      <c r="L6911" s="2"/>
      <c r="M6911" s="2"/>
      <c r="N6911" s="2"/>
      <c r="O6911" s="2"/>
      <c r="P6911" s="2"/>
      <c r="Q6911" s="2" t="s">
        <v>45828</v>
      </c>
      <c r="R6911" s="2" t="s">
        <v>45829</v>
      </c>
      <c r="S6911" s="2" t="s">
        <v>41</v>
      </c>
      <c r="T6911" s="2" t="s">
        <v>41</v>
      </c>
      <c r="U6911" s="2" t="s">
        <v>41</v>
      </c>
      <c r="V6911" s="2" t="s">
        <v>59</v>
      </c>
      <c r="W6911" s="2">
        <v>37.700000000000003</v>
      </c>
      <c r="X6911" s="2">
        <v>0</v>
      </c>
      <c r="Y6911" s="2" t="s">
        <v>1395</v>
      </c>
      <c r="Z6911" s="2" t="s">
        <v>45830</v>
      </c>
      <c r="AA6911" s="2">
        <v>-1.8004386485564301</v>
      </c>
      <c r="AB6911" s="2">
        <v>6.0561461586321396E-3</v>
      </c>
      <c r="AC6911" s="2">
        <v>4046.3631729313001</v>
      </c>
      <c r="AD6911" s="2">
        <v>3961.1694004004598</v>
      </c>
      <c r="AE6911" s="2">
        <v>4185.7013398579602</v>
      </c>
      <c r="AF6911" s="2">
        <v>6566.4747710765996</v>
      </c>
      <c r="AG6911" s="2">
        <v>4171.3378566358297</v>
      </c>
      <c r="AH6911" s="2">
        <v>2404.0082569094702</v>
      </c>
      <c r="AI6911" s="2">
        <v>2467.6849303925501</v>
      </c>
      <c r="AJ6911" s="2">
        <v>4482.9718827153902</v>
      </c>
      <c r="AK6911" s="2">
        <v>4717.3134874904799</v>
      </c>
      <c r="AL6911" s="2">
        <v>1244.9605598488899</v>
      </c>
      <c r="AM6911" s="2">
        <v>7805.3465883989802</v>
      </c>
      <c r="AN6911" s="2">
        <v>3508.2315566706202</v>
      </c>
      <c r="AO6911" s="2">
        <v>3193.5886548825101</v>
      </c>
      <c r="AP6911" s="2">
        <v>3297.5755551112902</v>
      </c>
    </row>
    <row r="6912" spans="1:42" ht="14.5" x14ac:dyDescent="0.35">
      <c r="A6912" s="2" t="s">
        <v>45831</v>
      </c>
      <c r="B6912" s="2">
        <v>409.162183273881</v>
      </c>
      <c r="C6912" s="2">
        <v>9.2343499999999992</v>
      </c>
      <c r="D6912" s="2" t="s">
        <v>34</v>
      </c>
      <c r="E6912" s="2" t="s">
        <v>45832</v>
      </c>
      <c r="F6912" s="2">
        <v>57109</v>
      </c>
      <c r="G6912" s="3" t="str">
        <f>HYPERLINK("http://funmeta.oebiotech.com/network/57109", "http://funmeta.oebiotech.com/network/57109")</f>
        <v>http://funmeta.oebiotech.com/network/57109</v>
      </c>
      <c r="H6912" s="2" t="s">
        <v>45833</v>
      </c>
      <c r="I6912" s="2">
        <v>88761</v>
      </c>
      <c r="J6912" s="2"/>
      <c r="K6912" s="2">
        <v>168938</v>
      </c>
      <c r="L6912" s="2"/>
      <c r="M6912" s="2"/>
      <c r="N6912" s="2"/>
      <c r="O6912" s="2">
        <v>85258909</v>
      </c>
      <c r="P6912" s="2" t="s">
        <v>45834</v>
      </c>
      <c r="Q6912" s="2" t="s">
        <v>45835</v>
      </c>
      <c r="R6912" s="2" t="s">
        <v>45836</v>
      </c>
      <c r="S6912" s="2" t="s">
        <v>50</v>
      </c>
      <c r="T6912" s="2" t="s">
        <v>229</v>
      </c>
      <c r="U6912" s="2" t="s">
        <v>230</v>
      </c>
      <c r="V6912" s="2" t="s">
        <v>59</v>
      </c>
      <c r="W6912" s="2">
        <v>39.1</v>
      </c>
      <c r="X6912" s="2">
        <v>0</v>
      </c>
      <c r="Y6912" s="2" t="s">
        <v>340</v>
      </c>
      <c r="Z6912" s="2" t="s">
        <v>31961</v>
      </c>
      <c r="AA6912" s="2">
        <v>-0.346043848011232</v>
      </c>
      <c r="AB6912" s="2">
        <v>6.0470355893604902E-3</v>
      </c>
      <c r="AC6912" s="2">
        <v>5186.9428188251804</v>
      </c>
      <c r="AD6912" s="2">
        <v>5288.0566697259801</v>
      </c>
      <c r="AE6912" s="2">
        <v>6129.0348143686497</v>
      </c>
      <c r="AF6912" s="2">
        <v>3737.8909137146702</v>
      </c>
      <c r="AG6912" s="2">
        <v>5294.7687102802902</v>
      </c>
      <c r="AH6912" s="2">
        <v>5314.1493128169604</v>
      </c>
      <c r="AI6912" s="2">
        <v>6149.1726487588003</v>
      </c>
      <c r="AJ6912" s="2">
        <v>4496.6405130117</v>
      </c>
      <c r="AK6912" s="2">
        <v>3388.4558531602602</v>
      </c>
      <c r="AL6912" s="2">
        <v>10920.256369049999</v>
      </c>
      <c r="AM6912" s="2">
        <v>5205.9845753470699</v>
      </c>
      <c r="AN6912" s="2">
        <v>5177.2094926826703</v>
      </c>
      <c r="AO6912" s="2">
        <v>4277.7688242451904</v>
      </c>
      <c r="AP6912" s="2">
        <v>2758.6649038707001</v>
      </c>
    </row>
    <row r="6913" spans="1:42" ht="14.5" x14ac:dyDescent="0.35">
      <c r="A6913" s="2" t="s">
        <v>45837</v>
      </c>
      <c r="B6913" s="2">
        <v>287.05370726383597</v>
      </c>
      <c r="C6913" s="2">
        <v>6.0676500000000004</v>
      </c>
      <c r="D6913" s="2" t="s">
        <v>70</v>
      </c>
      <c r="E6913" s="2" t="s">
        <v>45838</v>
      </c>
      <c r="F6913" s="2">
        <v>47222</v>
      </c>
      <c r="G6913" s="3" t="str">
        <f>HYPERLINK("http://funmeta.oebiotech.com/network/47222", "http://funmeta.oebiotech.com/network/47222")</f>
        <v>http://funmeta.oebiotech.com/network/47222</v>
      </c>
      <c r="H6913" s="2" t="s">
        <v>45839</v>
      </c>
      <c r="I6913" s="2">
        <v>5754</v>
      </c>
      <c r="J6913" s="2"/>
      <c r="K6913" s="2">
        <v>25722</v>
      </c>
      <c r="L6913" s="2" t="s">
        <v>26412</v>
      </c>
      <c r="M6913" s="2" t="s">
        <v>15342</v>
      </c>
      <c r="N6913" s="2" t="s">
        <v>15343</v>
      </c>
      <c r="O6913" s="2">
        <v>92751</v>
      </c>
      <c r="P6913" s="2" t="s">
        <v>45840</v>
      </c>
      <c r="Q6913" s="2" t="s">
        <v>45841</v>
      </c>
      <c r="R6913" s="2" t="s">
        <v>45842</v>
      </c>
      <c r="S6913" s="2" t="s">
        <v>1444</v>
      </c>
      <c r="T6913" s="2" t="s">
        <v>10689</v>
      </c>
      <c r="U6913" s="2" t="s">
        <v>41</v>
      </c>
      <c r="V6913" s="2" t="s">
        <v>59</v>
      </c>
      <c r="W6913" s="2">
        <v>37.799999999999997</v>
      </c>
      <c r="X6913" s="2">
        <v>0</v>
      </c>
      <c r="Y6913" s="2" t="s">
        <v>118</v>
      </c>
      <c r="Z6913" s="2" t="s">
        <v>45843</v>
      </c>
      <c r="AA6913" s="2">
        <v>5.6180951246794102</v>
      </c>
      <c r="AB6913" s="2">
        <v>6.0158375691815001E-3</v>
      </c>
      <c r="AC6913" s="2">
        <v>4805.5211570736901</v>
      </c>
      <c r="AD6913" s="2">
        <v>4849.1958218131304</v>
      </c>
      <c r="AE6913" s="2">
        <v>3789.2920800158699</v>
      </c>
      <c r="AF6913" s="2">
        <v>4423.7499565903199</v>
      </c>
      <c r="AG6913" s="2">
        <v>4753.2533993355501</v>
      </c>
      <c r="AH6913" s="2">
        <v>4699.0440762567496</v>
      </c>
      <c r="AI6913" s="2">
        <v>6208.0828971766896</v>
      </c>
      <c r="AJ6913" s="2">
        <v>4959.7045330669798</v>
      </c>
      <c r="AK6913" s="2">
        <v>4234.5419366272199</v>
      </c>
      <c r="AL6913" s="2">
        <v>5135.5012459541304</v>
      </c>
      <c r="AM6913" s="2">
        <v>5409.5715740492697</v>
      </c>
      <c r="AN6913" s="2">
        <v>4334.85637837171</v>
      </c>
      <c r="AO6913" s="2">
        <v>4837.0566181390795</v>
      </c>
      <c r="AP6913" s="2">
        <v>5143.6471777373599</v>
      </c>
    </row>
    <row r="6914" spans="1:42" ht="14.5" x14ac:dyDescent="0.35">
      <c r="A6914" s="2" t="s">
        <v>45844</v>
      </c>
      <c r="B6914" s="2">
        <v>779.29170311190796</v>
      </c>
      <c r="C6914" s="2">
        <v>10.458866666666699</v>
      </c>
      <c r="D6914" s="2" t="s">
        <v>70</v>
      </c>
      <c r="E6914" s="2" t="s">
        <v>45845</v>
      </c>
      <c r="F6914" s="2">
        <v>274670</v>
      </c>
      <c r="G6914" s="3" t="str">
        <f>HYPERLINK("http://funmeta.oebiotech.com/network/274670", "http://funmeta.oebiotech.com/network/274670")</f>
        <v>http://funmeta.oebiotech.com/network/274670</v>
      </c>
      <c r="H6914" s="2"/>
      <c r="I6914" s="2">
        <v>64835</v>
      </c>
      <c r="J6914" s="2"/>
      <c r="K6914" s="2"/>
      <c r="L6914" s="2"/>
      <c r="M6914" s="2"/>
      <c r="N6914" s="2"/>
      <c r="O6914" s="2">
        <v>9800555</v>
      </c>
      <c r="P6914" s="2" t="s">
        <v>45846</v>
      </c>
      <c r="Q6914" s="2" t="s">
        <v>45847</v>
      </c>
      <c r="R6914" s="2" t="s">
        <v>45848</v>
      </c>
      <c r="S6914" s="2" t="s">
        <v>148</v>
      </c>
      <c r="T6914" s="2" t="s">
        <v>149</v>
      </c>
      <c r="U6914" s="2" t="s">
        <v>4630</v>
      </c>
      <c r="V6914" s="2" t="s">
        <v>59</v>
      </c>
      <c r="W6914" s="2">
        <v>38</v>
      </c>
      <c r="X6914" s="2">
        <v>0</v>
      </c>
      <c r="Y6914" s="2" t="s">
        <v>560</v>
      </c>
      <c r="Z6914" s="2" t="s">
        <v>45849</v>
      </c>
      <c r="AA6914" s="2">
        <v>0.73224371829215595</v>
      </c>
      <c r="AB6914" s="2">
        <v>6.00464769600903E-3</v>
      </c>
      <c r="AC6914" s="2">
        <v>839.666213330304</v>
      </c>
      <c r="AD6914" s="2">
        <v>795.14518836490697</v>
      </c>
      <c r="AE6914" s="2">
        <v>820.51380004994303</v>
      </c>
      <c r="AF6914" s="2">
        <v>836.39510978227599</v>
      </c>
      <c r="AG6914" s="2">
        <v>806.20527103179199</v>
      </c>
      <c r="AH6914" s="2">
        <v>873.31726961000697</v>
      </c>
      <c r="AI6914" s="2">
        <v>955.49258978648299</v>
      </c>
      <c r="AJ6914" s="2">
        <v>746.07323972132394</v>
      </c>
      <c r="AK6914" s="2">
        <v>2.7106294003980101E-5</v>
      </c>
      <c r="AL6914" s="2">
        <v>1963.8250261497401</v>
      </c>
      <c r="AM6914" s="2">
        <v>478.19226194378399</v>
      </c>
      <c r="AN6914" s="2">
        <v>407.477670188221</v>
      </c>
      <c r="AO6914" s="2">
        <v>539.83189747773497</v>
      </c>
      <c r="AP6914" s="2">
        <v>1381.5442473236701</v>
      </c>
    </row>
    <row r="6915" spans="1:42" ht="14.5" x14ac:dyDescent="0.35">
      <c r="A6915" s="2" t="s">
        <v>45850</v>
      </c>
      <c r="B6915" s="2">
        <v>513.19380257415401</v>
      </c>
      <c r="C6915" s="2">
        <v>3.6614666666666702</v>
      </c>
      <c r="D6915" s="2" t="s">
        <v>34</v>
      </c>
      <c r="E6915" s="2" t="s">
        <v>45851</v>
      </c>
      <c r="F6915" s="2">
        <v>209564</v>
      </c>
      <c r="G6915" s="3" t="str">
        <f>HYPERLINK("http://funmeta.oebiotech.com/network/209564", "http://funmeta.oebiotech.com/network/209564")</f>
        <v>http://funmeta.oebiotech.com/network/209564</v>
      </c>
      <c r="H6915" s="2" t="s">
        <v>45852</v>
      </c>
      <c r="I6915" s="2"/>
      <c r="J6915" s="2"/>
      <c r="K6915" s="2"/>
      <c r="L6915" s="2"/>
      <c r="M6915" s="2"/>
      <c r="N6915" s="2"/>
      <c r="O6915" s="2">
        <v>353481</v>
      </c>
      <c r="P6915" s="2"/>
      <c r="Q6915" s="2" t="s">
        <v>45853</v>
      </c>
      <c r="R6915" s="2" t="s">
        <v>45854</v>
      </c>
      <c r="S6915" s="2" t="s">
        <v>89</v>
      </c>
      <c r="T6915" s="2" t="s">
        <v>90</v>
      </c>
      <c r="U6915" s="2" t="s">
        <v>99</v>
      </c>
      <c r="V6915" s="2" t="s">
        <v>59</v>
      </c>
      <c r="W6915" s="2">
        <v>38.200000000000003</v>
      </c>
      <c r="X6915" s="2">
        <v>0</v>
      </c>
      <c r="Y6915" s="2" t="s">
        <v>43</v>
      </c>
      <c r="Z6915" s="2" t="s">
        <v>45855</v>
      </c>
      <c r="AA6915" s="2">
        <v>-0.33317947512331902</v>
      </c>
      <c r="AB6915" s="2">
        <v>5.7477680959079503E-3</v>
      </c>
      <c r="AC6915" s="2">
        <v>11778.8701505958</v>
      </c>
      <c r="AD6915" s="2">
        <v>11707.029288235901</v>
      </c>
      <c r="AE6915" s="2">
        <v>11388.883786787999</v>
      </c>
      <c r="AF6915" s="2">
        <v>12884.059581793001</v>
      </c>
      <c r="AG6915" s="2">
        <v>10989.269081357401</v>
      </c>
      <c r="AH6915" s="2">
        <v>9817.0799872273092</v>
      </c>
      <c r="AI6915" s="2">
        <v>13337.0099397924</v>
      </c>
      <c r="AJ6915" s="2">
        <v>12256.918526616901</v>
      </c>
      <c r="AK6915" s="2">
        <v>11512.1364672525</v>
      </c>
      <c r="AL6915" s="2">
        <v>12257.8824019737</v>
      </c>
      <c r="AM6915" s="2">
        <v>11015.335357145999</v>
      </c>
      <c r="AN6915" s="2">
        <v>12493.4537547892</v>
      </c>
      <c r="AO6915" s="2">
        <v>11048.110607729601</v>
      </c>
      <c r="AP6915" s="2">
        <v>11915.2571405242</v>
      </c>
    </row>
    <row r="6916" spans="1:42" ht="14.5" x14ac:dyDescent="0.35">
      <c r="A6916" s="2" t="s">
        <v>45856</v>
      </c>
      <c r="B6916" s="2">
        <v>623.45249293309598</v>
      </c>
      <c r="C6916" s="2">
        <v>14.3409333333333</v>
      </c>
      <c r="D6916" s="2" t="s">
        <v>70</v>
      </c>
      <c r="E6916" s="2" t="s">
        <v>45857</v>
      </c>
      <c r="F6916" s="2">
        <v>54821</v>
      </c>
      <c r="G6916" s="3" t="str">
        <f>HYPERLINK("http://funmeta.oebiotech.com/network/54821", "http://funmeta.oebiotech.com/network/54821")</f>
        <v>http://funmeta.oebiotech.com/network/54821</v>
      </c>
      <c r="H6916" s="2" t="s">
        <v>45858</v>
      </c>
      <c r="I6916" s="2">
        <v>86614</v>
      </c>
      <c r="J6916" s="2"/>
      <c r="K6916" s="2">
        <v>172753</v>
      </c>
      <c r="L6916" s="2"/>
      <c r="M6916" s="2"/>
      <c r="N6916" s="2"/>
      <c r="O6916" s="2">
        <v>73088077</v>
      </c>
      <c r="P6916" s="2" t="s">
        <v>45859</v>
      </c>
      <c r="Q6916" s="2" t="s">
        <v>45860</v>
      </c>
      <c r="R6916" s="2" t="s">
        <v>45861</v>
      </c>
      <c r="S6916" s="2" t="s">
        <v>50</v>
      </c>
      <c r="T6916" s="2" t="s">
        <v>229</v>
      </c>
      <c r="U6916" s="2" t="s">
        <v>1283</v>
      </c>
      <c r="V6916" s="2" t="s">
        <v>59</v>
      </c>
      <c r="W6916" s="2">
        <v>38.299999999999997</v>
      </c>
      <c r="X6916" s="2">
        <v>0</v>
      </c>
      <c r="Y6916" s="2" t="s">
        <v>408</v>
      </c>
      <c r="Z6916" s="2" t="s">
        <v>45862</v>
      </c>
      <c r="AA6916" s="2">
        <v>-0.60444256159808896</v>
      </c>
      <c r="AB6916" s="2">
        <v>5.6864329993861901E-3</v>
      </c>
      <c r="AC6916" s="2">
        <v>493.87409635991901</v>
      </c>
      <c r="AD6916" s="2">
        <v>465.179368822458</v>
      </c>
      <c r="AE6916" s="2">
        <v>410.64864435572701</v>
      </c>
      <c r="AF6916" s="2">
        <v>498.06764658387101</v>
      </c>
      <c r="AG6916" s="2">
        <v>621.39896566083303</v>
      </c>
      <c r="AH6916" s="2">
        <v>310.04653376025698</v>
      </c>
      <c r="AI6916" s="2">
        <v>240.004061425537</v>
      </c>
      <c r="AJ6916" s="2">
        <v>883.07872637328796</v>
      </c>
      <c r="AK6916" s="2">
        <v>250.404119099827</v>
      </c>
      <c r="AL6916" s="2">
        <v>358.91480000287498</v>
      </c>
      <c r="AM6916" s="2">
        <v>409.52037988702801</v>
      </c>
      <c r="AN6916" s="2">
        <v>616.55994330121598</v>
      </c>
      <c r="AO6916" s="2">
        <v>296.38333965423101</v>
      </c>
      <c r="AP6916" s="2">
        <v>859.29363098957299</v>
      </c>
    </row>
    <row r="6917" spans="1:42" ht="14.5" x14ac:dyDescent="0.35">
      <c r="A6917" s="2" t="s">
        <v>45863</v>
      </c>
      <c r="B6917" s="2">
        <v>202.032056334327</v>
      </c>
      <c r="C6917" s="2">
        <v>1.2019166666666701</v>
      </c>
      <c r="D6917" s="2" t="s">
        <v>34</v>
      </c>
      <c r="E6917" s="2" t="s">
        <v>45864</v>
      </c>
      <c r="F6917" s="2">
        <v>55224</v>
      </c>
      <c r="G6917" s="3" t="str">
        <f>HYPERLINK("http://funmeta.oebiotech.com/network/55224", "http://funmeta.oebiotech.com/network/55224")</f>
        <v>http://funmeta.oebiotech.com/network/55224</v>
      </c>
      <c r="H6917" s="2" t="s">
        <v>45865</v>
      </c>
      <c r="I6917" s="2">
        <v>86952</v>
      </c>
      <c r="J6917" s="2"/>
      <c r="K6917" s="2"/>
      <c r="L6917" s="2"/>
      <c r="M6917" s="2"/>
      <c r="N6917" s="2"/>
      <c r="O6917" s="2">
        <v>22326306</v>
      </c>
      <c r="P6917" s="2"/>
      <c r="Q6917" s="2" t="s">
        <v>45866</v>
      </c>
      <c r="R6917" s="2" t="s">
        <v>45867</v>
      </c>
      <c r="S6917" s="2" t="s">
        <v>89</v>
      </c>
      <c r="T6917" s="2" t="s">
        <v>90</v>
      </c>
      <c r="U6917" s="2" t="s">
        <v>99</v>
      </c>
      <c r="V6917" s="2" t="s">
        <v>59</v>
      </c>
      <c r="W6917" s="2">
        <v>38.700000000000003</v>
      </c>
      <c r="X6917" s="2">
        <v>1.47</v>
      </c>
      <c r="Y6917" s="2" t="s">
        <v>323</v>
      </c>
      <c r="Z6917" s="2" t="s">
        <v>45868</v>
      </c>
      <c r="AA6917" s="2">
        <v>-0.84536381526135895</v>
      </c>
      <c r="AB6917" s="2">
        <v>5.5827439151366698E-3</v>
      </c>
      <c r="AC6917" s="2">
        <v>1849.7589602814201</v>
      </c>
      <c r="AD6917" s="2">
        <v>1815.5483187637501</v>
      </c>
      <c r="AE6917" s="2">
        <v>1774.52276900076</v>
      </c>
      <c r="AF6917" s="2">
        <v>2079.6622513653201</v>
      </c>
      <c r="AG6917" s="2">
        <v>1687.26437386869</v>
      </c>
      <c r="AH6917" s="2">
        <v>2413.4873458936199</v>
      </c>
      <c r="AI6917" s="2">
        <v>1655.9146283492701</v>
      </c>
      <c r="AJ6917" s="2">
        <v>1487.70239321088</v>
      </c>
      <c r="AK6917" s="2">
        <v>2198.7734757278699</v>
      </c>
      <c r="AL6917" s="2">
        <v>1613.28799625847</v>
      </c>
      <c r="AM6917" s="2">
        <v>1428.94848369491</v>
      </c>
      <c r="AN6917" s="2">
        <v>2133.35410610177</v>
      </c>
      <c r="AO6917" s="2">
        <v>1579.7073686757701</v>
      </c>
      <c r="AP6917" s="2">
        <v>1939.2184821237299</v>
      </c>
    </row>
    <row r="6918" spans="1:42" ht="14.5" x14ac:dyDescent="0.35">
      <c r="A6918" s="2" t="s">
        <v>45869</v>
      </c>
      <c r="B6918" s="2">
        <v>563.154812049768</v>
      </c>
      <c r="C6918" s="2">
        <v>4.1056666666666697</v>
      </c>
      <c r="D6918" s="2" t="s">
        <v>34</v>
      </c>
      <c r="E6918" s="2" t="s">
        <v>45870</v>
      </c>
      <c r="F6918" s="2">
        <v>61181</v>
      </c>
      <c r="G6918" s="3" t="str">
        <f>HYPERLINK("http://funmeta.oebiotech.com/network/61181", "http://funmeta.oebiotech.com/network/61181")</f>
        <v>http://funmeta.oebiotech.com/network/61181</v>
      </c>
      <c r="H6918" s="2" t="s">
        <v>45871</v>
      </c>
      <c r="I6918" s="2">
        <v>92497</v>
      </c>
      <c r="J6918" s="2"/>
      <c r="K6918" s="2"/>
      <c r="L6918" s="2"/>
      <c r="M6918" s="2"/>
      <c r="N6918" s="2"/>
      <c r="O6918" s="2">
        <v>14015946</v>
      </c>
      <c r="P6918" s="2" t="s">
        <v>45872</v>
      </c>
      <c r="Q6918" s="2" t="s">
        <v>45873</v>
      </c>
      <c r="R6918" s="2" t="s">
        <v>45874</v>
      </c>
      <c r="S6918" s="2" t="s">
        <v>115</v>
      </c>
      <c r="T6918" s="2" t="s">
        <v>139</v>
      </c>
      <c r="U6918" s="2" t="s">
        <v>957</v>
      </c>
      <c r="V6918" s="2" t="s">
        <v>42</v>
      </c>
      <c r="W6918" s="2">
        <v>51.5</v>
      </c>
      <c r="X6918" s="2">
        <v>62.6</v>
      </c>
      <c r="Y6918" s="2" t="s">
        <v>67</v>
      </c>
      <c r="Z6918" s="2" t="s">
        <v>26238</v>
      </c>
      <c r="AA6918" s="2">
        <v>4.2637896950833497E-2</v>
      </c>
      <c r="AB6918" s="2">
        <v>5.5008476722324898E-3</v>
      </c>
      <c r="AC6918" s="2">
        <v>90655.957262671305</v>
      </c>
      <c r="AD6918" s="2">
        <v>90483.503410530306</v>
      </c>
      <c r="AE6918" s="2">
        <v>86535.6822540742</v>
      </c>
      <c r="AF6918" s="2">
        <v>77513.104249518699</v>
      </c>
      <c r="AG6918" s="2">
        <v>94628.441462577</v>
      </c>
      <c r="AH6918" s="2">
        <v>101238.319270401</v>
      </c>
      <c r="AI6918" s="2">
        <v>89350.491092198397</v>
      </c>
      <c r="AJ6918" s="2">
        <v>94669.705247258404</v>
      </c>
      <c r="AK6918" s="2">
        <v>90035.108092745795</v>
      </c>
      <c r="AL6918" s="2">
        <v>89571.500056830497</v>
      </c>
      <c r="AM6918" s="2">
        <v>90178.697968345296</v>
      </c>
      <c r="AN6918" s="2">
        <v>92590.869424422301</v>
      </c>
      <c r="AO6918" s="2">
        <v>93140.900423844505</v>
      </c>
      <c r="AP6918" s="2">
        <v>87383.944496993601</v>
      </c>
    </row>
    <row r="6919" spans="1:42" ht="14.5" x14ac:dyDescent="0.35">
      <c r="A6919" s="2" t="s">
        <v>45875</v>
      </c>
      <c r="B6919" s="2">
        <v>457.29195272191902</v>
      </c>
      <c r="C6919" s="2">
        <v>12.5232166666667</v>
      </c>
      <c r="D6919" s="2" t="s">
        <v>34</v>
      </c>
      <c r="E6919" s="2" t="s">
        <v>45876</v>
      </c>
      <c r="F6919" s="2">
        <v>35015</v>
      </c>
      <c r="G6919" s="3" t="str">
        <f>HYPERLINK("http://funmeta.oebiotech.com/network/35015", "http://funmeta.oebiotech.com/network/35015")</f>
        <v>http://funmeta.oebiotech.com/network/35015</v>
      </c>
      <c r="H6919" s="2"/>
      <c r="I6919" s="2"/>
      <c r="J6919" s="2" t="s">
        <v>45877</v>
      </c>
      <c r="K6919" s="2"/>
      <c r="L6919" s="2"/>
      <c r="M6919" s="2"/>
      <c r="N6919" s="2"/>
      <c r="O6919" s="2"/>
      <c r="P6919" s="2"/>
      <c r="Q6919" s="2" t="s">
        <v>45878</v>
      </c>
      <c r="R6919" s="2" t="s">
        <v>45879</v>
      </c>
      <c r="S6919" s="2" t="s">
        <v>79</v>
      </c>
      <c r="T6919" s="2" t="s">
        <v>80</v>
      </c>
      <c r="U6919" s="2" t="s">
        <v>2820</v>
      </c>
      <c r="V6919" s="2" t="s">
        <v>59</v>
      </c>
      <c r="W6919" s="2">
        <v>38.799999999999997</v>
      </c>
      <c r="X6919" s="2">
        <v>0</v>
      </c>
      <c r="Y6919" s="2" t="s">
        <v>323</v>
      </c>
      <c r="Z6919" s="2" t="s">
        <v>45880</v>
      </c>
      <c r="AA6919" s="2">
        <v>-1.1337765726321201</v>
      </c>
      <c r="AB6919" s="2">
        <v>5.4444279652029297E-3</v>
      </c>
      <c r="AC6919" s="2">
        <v>17618.9511373481</v>
      </c>
      <c r="AD6919" s="2">
        <v>17552.122716402599</v>
      </c>
      <c r="AE6919" s="2">
        <v>18858.532577183501</v>
      </c>
      <c r="AF6919" s="2">
        <v>18028.0204304408</v>
      </c>
      <c r="AG6919" s="2">
        <v>19520.584386720198</v>
      </c>
      <c r="AH6919" s="2">
        <v>18743.653207007101</v>
      </c>
      <c r="AI6919" s="2">
        <v>14446.320607907899</v>
      </c>
      <c r="AJ6919" s="2">
        <v>16116.595614829201</v>
      </c>
      <c r="AK6919" s="2">
        <v>15647.223630320301</v>
      </c>
      <c r="AL6919" s="2">
        <v>15037.582541100601</v>
      </c>
      <c r="AM6919" s="2">
        <v>19390.204558970399</v>
      </c>
      <c r="AN6919" s="2">
        <v>17394.9483160493</v>
      </c>
      <c r="AO6919" s="2">
        <v>17919.794756915799</v>
      </c>
      <c r="AP6919" s="2">
        <v>19922.982495059201</v>
      </c>
    </row>
    <row r="6920" spans="1:42" ht="14.5" x14ac:dyDescent="0.35">
      <c r="A6920" s="2" t="s">
        <v>45881</v>
      </c>
      <c r="B6920" s="2">
        <v>122.035959949217</v>
      </c>
      <c r="C6920" s="2">
        <v>1.50383333333333</v>
      </c>
      <c r="D6920" s="2" t="s">
        <v>70</v>
      </c>
      <c r="E6920" s="2" t="s">
        <v>45882</v>
      </c>
      <c r="F6920" s="2">
        <v>52716</v>
      </c>
      <c r="G6920" s="3" t="str">
        <f>HYPERLINK("http://funmeta.oebiotech.com/network/52716", "http://funmeta.oebiotech.com/network/52716")</f>
        <v>http://funmeta.oebiotech.com/network/52716</v>
      </c>
      <c r="H6920" s="2" t="s">
        <v>45883</v>
      </c>
      <c r="I6920" s="2">
        <v>2196</v>
      </c>
      <c r="J6920" s="2"/>
      <c r="K6920" s="2">
        <v>45285</v>
      </c>
      <c r="L6920" s="2" t="s">
        <v>45884</v>
      </c>
      <c r="M6920" s="2"/>
      <c r="N6920" s="2"/>
      <c r="O6920" s="2">
        <v>1046</v>
      </c>
      <c r="P6920" s="2" t="s">
        <v>45885</v>
      </c>
      <c r="Q6920" s="2" t="s">
        <v>45886</v>
      </c>
      <c r="R6920" s="2" t="s">
        <v>45887</v>
      </c>
      <c r="S6920" s="2" t="s">
        <v>491</v>
      </c>
      <c r="T6920" s="2" t="s">
        <v>4517</v>
      </c>
      <c r="U6920" s="2" t="s">
        <v>9396</v>
      </c>
      <c r="V6920" s="2" t="s">
        <v>59</v>
      </c>
      <c r="W6920" s="2">
        <v>38.700000000000003</v>
      </c>
      <c r="X6920" s="2">
        <v>0</v>
      </c>
      <c r="Y6920" s="2" t="s">
        <v>118</v>
      </c>
      <c r="Z6920" s="2" t="s">
        <v>45888</v>
      </c>
      <c r="AA6920" s="2">
        <v>-0.20653786471303701</v>
      </c>
      <c r="AB6920" s="2">
        <v>5.4383007870020296E-3</v>
      </c>
      <c r="AC6920" s="2">
        <v>312.48062509944901</v>
      </c>
      <c r="AD6920" s="2">
        <v>301.03452117916601</v>
      </c>
      <c r="AE6920" s="2">
        <v>359.38127592399798</v>
      </c>
      <c r="AF6920" s="2">
        <v>260.17769497074801</v>
      </c>
      <c r="AG6920" s="2">
        <v>296.37291840306699</v>
      </c>
      <c r="AH6920" s="2">
        <v>263.86227786697401</v>
      </c>
      <c r="AI6920" s="2">
        <v>365.63964247902697</v>
      </c>
      <c r="AJ6920" s="2">
        <v>329.44994095287802</v>
      </c>
      <c r="AK6920" s="2">
        <v>298.821516109377</v>
      </c>
      <c r="AL6920" s="2">
        <v>304.67450551806797</v>
      </c>
      <c r="AM6920" s="2">
        <v>298.49919417687897</v>
      </c>
      <c r="AN6920" s="2">
        <v>313.89298205374803</v>
      </c>
      <c r="AO6920" s="2">
        <v>277.07724049971802</v>
      </c>
      <c r="AP6920" s="2">
        <v>313.241688717204</v>
      </c>
    </row>
    <row r="6921" spans="1:42" ht="14.5" x14ac:dyDescent="0.35">
      <c r="A6921" s="2" t="s">
        <v>45889</v>
      </c>
      <c r="B6921" s="2">
        <v>553.11279853777705</v>
      </c>
      <c r="C6921" s="2">
        <v>9.7467833333333296</v>
      </c>
      <c r="D6921" s="2" t="s">
        <v>34</v>
      </c>
      <c r="E6921" s="2" t="s">
        <v>45890</v>
      </c>
      <c r="F6921" s="2">
        <v>29139</v>
      </c>
      <c r="G6921" s="3" t="str">
        <f>HYPERLINK("http://funmeta.oebiotech.com/network/29139", "http://funmeta.oebiotech.com/network/29139")</f>
        <v>http://funmeta.oebiotech.com/network/29139</v>
      </c>
      <c r="H6921" s="2" t="s">
        <v>45891</v>
      </c>
      <c r="I6921" s="2">
        <v>87220</v>
      </c>
      <c r="J6921" s="2" t="s">
        <v>45892</v>
      </c>
      <c r="K6921" s="2"/>
      <c r="L6921" s="2"/>
      <c r="M6921" s="2"/>
      <c r="N6921" s="2"/>
      <c r="O6921" s="2">
        <v>5315459</v>
      </c>
      <c r="P6921" s="2" t="s">
        <v>45893</v>
      </c>
      <c r="Q6921" s="2" t="s">
        <v>45894</v>
      </c>
      <c r="R6921" s="2" t="s">
        <v>45895</v>
      </c>
      <c r="S6921" s="2" t="s">
        <v>115</v>
      </c>
      <c r="T6921" s="2" t="s">
        <v>139</v>
      </c>
      <c r="U6921" s="2" t="s">
        <v>957</v>
      </c>
      <c r="V6921" s="2" t="s">
        <v>42</v>
      </c>
      <c r="W6921" s="2">
        <v>53.6</v>
      </c>
      <c r="X6921" s="2">
        <v>70.400000000000006</v>
      </c>
      <c r="Y6921" s="2" t="s">
        <v>394</v>
      </c>
      <c r="Z6921" s="2" t="s">
        <v>45896</v>
      </c>
      <c r="AA6921" s="2">
        <v>-0.225919121557939</v>
      </c>
      <c r="AB6921" s="2">
        <v>5.34508320179964E-3</v>
      </c>
      <c r="AC6921" s="2">
        <v>53.3562946559965</v>
      </c>
      <c r="AD6921" s="2">
        <v>34.558534268751202</v>
      </c>
      <c r="AE6921" s="2">
        <v>320.13763240450902</v>
      </c>
      <c r="AF6921" s="2">
        <v>2.7106294003980101E-5</v>
      </c>
      <c r="AG6921" s="2">
        <v>2.7106294003980101E-5</v>
      </c>
      <c r="AH6921" s="2">
        <v>2.7106294003980101E-5</v>
      </c>
      <c r="AI6921" s="2">
        <v>2.7106294003980101E-5</v>
      </c>
      <c r="AJ6921" s="2">
        <v>2.7106294003980101E-5</v>
      </c>
      <c r="AK6921" s="2">
        <v>207.35107008103699</v>
      </c>
      <c r="AL6921" s="2">
        <v>2.7106294003980101E-5</v>
      </c>
      <c r="AM6921" s="2">
        <v>2.7106294003980101E-5</v>
      </c>
      <c r="AN6921" s="2">
        <v>2.7106294003980101E-5</v>
      </c>
      <c r="AO6921" s="2">
        <v>2.7106294003980101E-5</v>
      </c>
      <c r="AP6921" s="2">
        <v>2.7106294003980101E-5</v>
      </c>
    </row>
    <row r="6922" spans="1:42" ht="14.5" x14ac:dyDescent="0.35">
      <c r="A6922" s="2" t="s">
        <v>45897</v>
      </c>
      <c r="B6922" s="2">
        <v>407.35161031326902</v>
      </c>
      <c r="C6922" s="2">
        <v>14.3730666666667</v>
      </c>
      <c r="D6922" s="2" t="s">
        <v>34</v>
      </c>
      <c r="E6922" s="2" t="s">
        <v>45898</v>
      </c>
      <c r="F6922" s="2">
        <v>2644</v>
      </c>
      <c r="G6922" s="3" t="str">
        <f>HYPERLINK("http://funmeta.oebiotech.com/network/2644", "http://funmeta.oebiotech.com/network/2644")</f>
        <v>http://funmeta.oebiotech.com/network/2644</v>
      </c>
      <c r="H6922" s="2" t="s">
        <v>45899</v>
      </c>
      <c r="I6922" s="2"/>
      <c r="J6922" s="2" t="s">
        <v>45900</v>
      </c>
      <c r="K6922" s="2"/>
      <c r="L6922" s="2"/>
      <c r="M6922" s="2"/>
      <c r="N6922" s="2"/>
      <c r="O6922" s="2">
        <v>131819622</v>
      </c>
      <c r="P6922" s="2" t="s">
        <v>45901</v>
      </c>
      <c r="Q6922" s="2" t="s">
        <v>45902</v>
      </c>
      <c r="R6922" s="2" t="s">
        <v>45903</v>
      </c>
      <c r="S6922" s="2" t="s">
        <v>50</v>
      </c>
      <c r="T6922" s="2" t="s">
        <v>229</v>
      </c>
      <c r="U6922" s="2" t="s">
        <v>433</v>
      </c>
      <c r="V6922" s="2" t="s">
        <v>59</v>
      </c>
      <c r="W6922" s="2">
        <v>38.9</v>
      </c>
      <c r="X6922" s="2">
        <v>0</v>
      </c>
      <c r="Y6922" s="2" t="s">
        <v>394</v>
      </c>
      <c r="Z6922" s="2" t="s">
        <v>45904</v>
      </c>
      <c r="AA6922" s="2">
        <v>-0.88952220970627405</v>
      </c>
      <c r="AB6922" s="2">
        <v>5.2041631925931397E-3</v>
      </c>
      <c r="AC6922" s="2">
        <v>9195.4743546585996</v>
      </c>
      <c r="AD6922" s="2">
        <v>9139.0920886677595</v>
      </c>
      <c r="AE6922" s="2">
        <v>8401.1697146960396</v>
      </c>
      <c r="AF6922" s="2">
        <v>8256.96536077372</v>
      </c>
      <c r="AG6922" s="2">
        <v>8843.4007160188703</v>
      </c>
      <c r="AH6922" s="2">
        <v>9906.6684385648095</v>
      </c>
      <c r="AI6922" s="2">
        <v>9978.2383151970607</v>
      </c>
      <c r="AJ6922" s="2">
        <v>9786.4035827011103</v>
      </c>
      <c r="AK6922" s="2">
        <v>9353.3901274311502</v>
      </c>
      <c r="AL6922" s="2">
        <v>8327.9848582437298</v>
      </c>
      <c r="AM6922" s="2">
        <v>9063.4935313687893</v>
      </c>
      <c r="AN6922" s="2">
        <v>8540.4667923351299</v>
      </c>
      <c r="AO6922" s="2">
        <v>9839.1743583406806</v>
      </c>
      <c r="AP6922" s="2">
        <v>9710.0428642870793</v>
      </c>
    </row>
    <row r="6923" spans="1:42" ht="14.5" x14ac:dyDescent="0.35">
      <c r="A6923" s="2" t="s">
        <v>45905</v>
      </c>
      <c r="B6923" s="2">
        <v>293.10292631156602</v>
      </c>
      <c r="C6923" s="2">
        <v>7.4513499999999997</v>
      </c>
      <c r="D6923" s="2" t="s">
        <v>70</v>
      </c>
      <c r="E6923" s="2" t="s">
        <v>45906</v>
      </c>
      <c r="F6923" s="2">
        <v>57736</v>
      </c>
      <c r="G6923" s="3" t="str">
        <f>HYPERLINK("http://funmeta.oebiotech.com/network/57736", "http://funmeta.oebiotech.com/network/57736")</f>
        <v>http://funmeta.oebiotech.com/network/57736</v>
      </c>
      <c r="H6923" s="2" t="s">
        <v>45907</v>
      </c>
      <c r="I6923" s="2"/>
      <c r="J6923" s="2"/>
      <c r="K6923" s="2"/>
      <c r="L6923" s="2"/>
      <c r="M6923" s="2"/>
      <c r="N6923" s="2"/>
      <c r="O6923" s="2">
        <v>131751444</v>
      </c>
      <c r="P6923" s="2" t="s">
        <v>45908</v>
      </c>
      <c r="Q6923" s="2" t="s">
        <v>45909</v>
      </c>
      <c r="R6923" s="2" t="s">
        <v>45910</v>
      </c>
      <c r="S6923" s="2" t="s">
        <v>148</v>
      </c>
      <c r="T6923" s="2" t="s">
        <v>392</v>
      </c>
      <c r="U6923" s="2" t="s">
        <v>3450</v>
      </c>
      <c r="V6923" s="2" t="s">
        <v>42</v>
      </c>
      <c r="W6923" s="2">
        <v>54.3</v>
      </c>
      <c r="X6923" s="2">
        <v>74.7</v>
      </c>
      <c r="Y6923" s="2" t="s">
        <v>408</v>
      </c>
      <c r="Z6923" s="2" t="s">
        <v>45911</v>
      </c>
      <c r="AA6923" s="2">
        <v>-0.54634074556712497</v>
      </c>
      <c r="AB6923" s="2">
        <v>5.1179116687824896E-3</v>
      </c>
      <c r="AC6923" s="2">
        <v>13.3618129931445</v>
      </c>
      <c r="AD6923" s="2">
        <v>5.78630599406514</v>
      </c>
      <c r="AE6923" s="2">
        <v>37.897021852623503</v>
      </c>
      <c r="AF6923" s="2">
        <v>2.7106294003980101E-5</v>
      </c>
      <c r="AG6923" s="2">
        <v>2.7106294003980101E-5</v>
      </c>
      <c r="AH6923" s="2">
        <v>2.7106294003980101E-5</v>
      </c>
      <c r="AI6923" s="2">
        <v>2.7106294003980101E-5</v>
      </c>
      <c r="AJ6923" s="2">
        <v>42.273747681067697</v>
      </c>
      <c r="AK6923" s="2">
        <v>2.7106294003980101E-5</v>
      </c>
      <c r="AL6923" s="2">
        <v>2.7106294003980101E-5</v>
      </c>
      <c r="AM6923" s="2">
        <v>2.7106294003980101E-5</v>
      </c>
      <c r="AN6923" s="2">
        <v>34.7177004329208</v>
      </c>
      <c r="AO6923" s="2">
        <v>2.7106294003980101E-5</v>
      </c>
      <c r="AP6923" s="2">
        <v>2.7106294003980101E-5</v>
      </c>
    </row>
    <row r="6924" spans="1:42" ht="14.5" x14ac:dyDescent="0.35">
      <c r="A6924" s="2" t="s">
        <v>45912</v>
      </c>
      <c r="B6924" s="2">
        <v>228.26844312382701</v>
      </c>
      <c r="C6924" s="2">
        <v>9.0083833333333292</v>
      </c>
      <c r="D6924" s="2" t="s">
        <v>34</v>
      </c>
      <c r="E6924" s="2" t="s">
        <v>45913</v>
      </c>
      <c r="F6924" s="2">
        <v>207148</v>
      </c>
      <c r="G6924" s="3" t="str">
        <f>HYPERLINK("http://funmeta.oebiotech.com/network/207148", "http://funmeta.oebiotech.com/network/207148")</f>
        <v>http://funmeta.oebiotech.com/network/207148</v>
      </c>
      <c r="H6924" s="2" t="s">
        <v>45914</v>
      </c>
      <c r="I6924" s="2">
        <v>53388</v>
      </c>
      <c r="J6924" s="2"/>
      <c r="K6924" s="2"/>
      <c r="L6924" s="2"/>
      <c r="M6924" s="2"/>
      <c r="N6924" s="2"/>
      <c r="O6924" s="2">
        <v>543807</v>
      </c>
      <c r="P6924" s="2"/>
      <c r="Q6924" s="2" t="s">
        <v>45915</v>
      </c>
      <c r="R6924" s="2" t="s">
        <v>45916</v>
      </c>
      <c r="S6924" s="2" t="s">
        <v>50</v>
      </c>
      <c r="T6924" s="2" t="s">
        <v>201</v>
      </c>
      <c r="U6924" s="2" t="s">
        <v>636</v>
      </c>
      <c r="V6924" s="2" t="s">
        <v>59</v>
      </c>
      <c r="W6924" s="2">
        <v>39.1</v>
      </c>
      <c r="X6924" s="2">
        <v>0.76800000000000002</v>
      </c>
      <c r="Y6924" s="2" t="s">
        <v>43</v>
      </c>
      <c r="Z6924" s="2" t="s">
        <v>45378</v>
      </c>
      <c r="AA6924" s="2">
        <v>-0.63437786983668398</v>
      </c>
      <c r="AB6924" s="2">
        <v>5.1019363556508096E-3</v>
      </c>
      <c r="AC6924" s="2">
        <v>3987.8405928944799</v>
      </c>
      <c r="AD6924" s="2">
        <v>4066.68770770333</v>
      </c>
      <c r="AE6924" s="2">
        <v>6349.94178622653</v>
      </c>
      <c r="AF6924" s="2">
        <v>6492.6462275986796</v>
      </c>
      <c r="AG6924" s="2">
        <v>2189.9309030936201</v>
      </c>
      <c r="AH6924" s="2">
        <v>2133.1341125089298</v>
      </c>
      <c r="AI6924" s="2">
        <v>4756.6355933577197</v>
      </c>
      <c r="AJ6924" s="2">
        <v>2004.75493458139</v>
      </c>
      <c r="AK6924" s="2">
        <v>2782.63587494371</v>
      </c>
      <c r="AL6924" s="2">
        <v>1308.1024982915601</v>
      </c>
      <c r="AM6924" s="2">
        <v>1147.3136493638799</v>
      </c>
      <c r="AN6924" s="2">
        <v>10369.853106029799</v>
      </c>
      <c r="AO6924" s="2">
        <v>2842.8721509984298</v>
      </c>
      <c r="AP6924" s="2">
        <v>5949.3489665925999</v>
      </c>
    </row>
    <row r="6925" spans="1:42" ht="14.5" x14ac:dyDescent="0.35">
      <c r="A6925" s="2" t="s">
        <v>45917</v>
      </c>
      <c r="B6925" s="2">
        <v>425.37740817614599</v>
      </c>
      <c r="C6925" s="2">
        <v>12.043850000000001</v>
      </c>
      <c r="D6925" s="2" t="s">
        <v>34</v>
      </c>
      <c r="E6925" s="2" t="s">
        <v>45918</v>
      </c>
      <c r="F6925" s="2">
        <v>47934</v>
      </c>
      <c r="G6925" s="3" t="str">
        <f>HYPERLINK("http://funmeta.oebiotech.com/network/47934", "http://funmeta.oebiotech.com/network/47934")</f>
        <v>http://funmeta.oebiotech.com/network/47934</v>
      </c>
      <c r="H6925" s="2" t="s">
        <v>45919</v>
      </c>
      <c r="I6925" s="2">
        <v>44400</v>
      </c>
      <c r="J6925" s="2"/>
      <c r="K6925" s="2">
        <v>519375</v>
      </c>
      <c r="L6925" s="2"/>
      <c r="M6925" s="2"/>
      <c r="N6925" s="2"/>
      <c r="O6925" s="2">
        <v>92802</v>
      </c>
      <c r="P6925" s="2" t="s">
        <v>45920</v>
      </c>
      <c r="Q6925" s="2" t="s">
        <v>45921</v>
      </c>
      <c r="R6925" s="2" t="s">
        <v>45922</v>
      </c>
      <c r="S6925" s="2" t="s">
        <v>50</v>
      </c>
      <c r="T6925" s="2" t="s">
        <v>201</v>
      </c>
      <c r="U6925" s="2" t="s">
        <v>210</v>
      </c>
      <c r="V6925" s="2" t="s">
        <v>59</v>
      </c>
      <c r="W6925" s="2">
        <v>44.2</v>
      </c>
      <c r="X6925" s="2">
        <v>27.5</v>
      </c>
      <c r="Y6925" s="2" t="s">
        <v>266</v>
      </c>
      <c r="Z6925" s="2" t="s">
        <v>45923</v>
      </c>
      <c r="AA6925" s="2">
        <v>-0.86897132555225598</v>
      </c>
      <c r="AB6925" s="2">
        <v>5.02529922460326E-3</v>
      </c>
      <c r="AC6925" s="2">
        <v>5.4978733938411004</v>
      </c>
      <c r="AD6925" s="2">
        <v>2.7106294003980101E-5</v>
      </c>
      <c r="AE6925" s="2">
        <v>2.7106294003980101E-5</v>
      </c>
      <c r="AF6925" s="2">
        <v>2.7106294003980101E-5</v>
      </c>
      <c r="AG6925" s="2">
        <v>2.7106294003980101E-5</v>
      </c>
      <c r="AH6925" s="2">
        <v>32.987104831576602</v>
      </c>
      <c r="AI6925" s="2">
        <v>2.7106294003980101E-5</v>
      </c>
      <c r="AJ6925" s="2">
        <v>2.7106294003980101E-5</v>
      </c>
      <c r="AK6925" s="2">
        <v>2.7106294003980101E-5</v>
      </c>
      <c r="AL6925" s="2">
        <v>2.7106294003980101E-5</v>
      </c>
      <c r="AM6925" s="2">
        <v>2.7106294003980101E-5</v>
      </c>
      <c r="AN6925" s="2">
        <v>2.7106294003980101E-5</v>
      </c>
      <c r="AO6925" s="2">
        <v>2.7106294003980101E-5</v>
      </c>
      <c r="AP6925" s="2">
        <v>2.7106294003980101E-5</v>
      </c>
    </row>
    <row r="6926" spans="1:42" ht="14.5" x14ac:dyDescent="0.35">
      <c r="A6926" s="2" t="s">
        <v>45924</v>
      </c>
      <c r="B6926" s="2">
        <v>497.03773335002802</v>
      </c>
      <c r="C6926" s="2">
        <v>2.06823333333333</v>
      </c>
      <c r="D6926" s="2" t="s">
        <v>70</v>
      </c>
      <c r="E6926" s="2" t="s">
        <v>45925</v>
      </c>
      <c r="F6926" s="2">
        <v>32062</v>
      </c>
      <c r="G6926" s="3" t="str">
        <f>HYPERLINK("http://funmeta.oebiotech.com/network/32062", "http://funmeta.oebiotech.com/network/32062")</f>
        <v>http://funmeta.oebiotech.com/network/32062</v>
      </c>
      <c r="H6926" s="2"/>
      <c r="I6926" s="2"/>
      <c r="J6926" s="2" t="s">
        <v>45926</v>
      </c>
      <c r="K6926" s="2"/>
      <c r="L6926" s="2"/>
      <c r="M6926" s="2"/>
      <c r="N6926" s="2"/>
      <c r="O6926" s="2">
        <v>44259045</v>
      </c>
      <c r="P6926" s="2"/>
      <c r="Q6926" s="2" t="s">
        <v>45927</v>
      </c>
      <c r="R6926" s="2" t="s">
        <v>45928</v>
      </c>
      <c r="S6926" s="2" t="s">
        <v>115</v>
      </c>
      <c r="T6926" s="2" t="s">
        <v>139</v>
      </c>
      <c r="U6926" s="2" t="s">
        <v>140</v>
      </c>
      <c r="V6926" s="2" t="s">
        <v>59</v>
      </c>
      <c r="W6926" s="2">
        <v>36.4</v>
      </c>
      <c r="X6926" s="2">
        <v>0</v>
      </c>
      <c r="Y6926" s="2" t="s">
        <v>118</v>
      </c>
      <c r="Z6926" s="2" t="s">
        <v>45929</v>
      </c>
      <c r="AA6926" s="2">
        <v>-3.61783163835696</v>
      </c>
      <c r="AB6926" s="2">
        <v>4.92623344161026E-3</v>
      </c>
      <c r="AC6926" s="2">
        <v>12659.2450833324</v>
      </c>
      <c r="AD6926" s="2">
        <v>12613.0893295758</v>
      </c>
      <c r="AE6926" s="2">
        <v>12330.7454456387</v>
      </c>
      <c r="AF6926" s="2">
        <v>12496.454574564699</v>
      </c>
      <c r="AG6926" s="2">
        <v>13366.174706031299</v>
      </c>
      <c r="AH6926" s="2">
        <v>12642.659452739301</v>
      </c>
      <c r="AI6926" s="2">
        <v>11529.0129956487</v>
      </c>
      <c r="AJ6926" s="2">
        <v>13590.423325371799</v>
      </c>
      <c r="AK6926" s="2">
        <v>11579.445470164001</v>
      </c>
      <c r="AL6926" s="2">
        <v>13085.775053037099</v>
      </c>
      <c r="AM6926" s="2">
        <v>12468.753549900901</v>
      </c>
      <c r="AN6926" s="2">
        <v>13116.3334720567</v>
      </c>
      <c r="AO6926" s="2">
        <v>14100.5803658804</v>
      </c>
      <c r="AP6926" s="2">
        <v>11327.648066415801</v>
      </c>
    </row>
    <row r="6927" spans="1:42" ht="14.5" x14ac:dyDescent="0.35">
      <c r="A6927" s="2" t="s">
        <v>45930</v>
      </c>
      <c r="B6927" s="2">
        <v>213.05095152275601</v>
      </c>
      <c r="C6927" s="2">
        <v>1.8309833333333301</v>
      </c>
      <c r="D6927" s="2" t="s">
        <v>34</v>
      </c>
      <c r="E6927" s="2" t="s">
        <v>45931</v>
      </c>
      <c r="F6927" s="2">
        <v>83660</v>
      </c>
      <c r="G6927" s="3" t="str">
        <f>HYPERLINK("http://funmeta.oebiotech.com/network/83660", "http://funmeta.oebiotech.com/network/83660")</f>
        <v>http://funmeta.oebiotech.com/network/83660</v>
      </c>
      <c r="H6927" s="2" t="s">
        <v>45932</v>
      </c>
      <c r="I6927" s="2"/>
      <c r="J6927" s="2"/>
      <c r="K6927" s="2"/>
      <c r="L6927" s="2"/>
      <c r="M6927" s="2"/>
      <c r="N6927" s="2"/>
      <c r="O6927" s="2">
        <v>7048564</v>
      </c>
      <c r="P6927" s="2"/>
      <c r="Q6927" s="2" t="s">
        <v>45933</v>
      </c>
      <c r="R6927" s="2" t="s">
        <v>45934</v>
      </c>
      <c r="S6927" s="2" t="s">
        <v>89</v>
      </c>
      <c r="T6927" s="2" t="s">
        <v>90</v>
      </c>
      <c r="U6927" s="2" t="s">
        <v>99</v>
      </c>
      <c r="V6927" s="2" t="s">
        <v>59</v>
      </c>
      <c r="W6927" s="2">
        <v>38.700000000000003</v>
      </c>
      <c r="X6927" s="2">
        <v>0</v>
      </c>
      <c r="Y6927" s="2" t="s">
        <v>394</v>
      </c>
      <c r="Z6927" s="2" t="s">
        <v>45935</v>
      </c>
      <c r="AA6927" s="2">
        <v>0.202768580919966</v>
      </c>
      <c r="AB6927" s="2">
        <v>4.9196914997737999E-3</v>
      </c>
      <c r="AC6927" s="2">
        <v>2000.10201171484</v>
      </c>
      <c r="AD6927" s="2">
        <v>2047.2462416611399</v>
      </c>
      <c r="AE6927" s="2">
        <v>1850.3738612324901</v>
      </c>
      <c r="AF6927" s="2">
        <v>2420.12925646744</v>
      </c>
      <c r="AG6927" s="2">
        <v>1594.7974837824399</v>
      </c>
      <c r="AH6927" s="2">
        <v>3701.9545312873402</v>
      </c>
      <c r="AI6927" s="2">
        <v>1678.0830700005599</v>
      </c>
      <c r="AJ6927" s="2">
        <v>755.27386751879101</v>
      </c>
      <c r="AK6927" s="2">
        <v>2036.08965291142</v>
      </c>
      <c r="AL6927" s="2">
        <v>2107.3823407986301</v>
      </c>
      <c r="AM6927" s="2">
        <v>2344.0638616156202</v>
      </c>
      <c r="AN6927" s="2">
        <v>1832.31232239262</v>
      </c>
      <c r="AO6927" s="2">
        <v>2366.8982913304899</v>
      </c>
      <c r="AP6927" s="2">
        <v>1596.7309809180499</v>
      </c>
    </row>
    <row r="6928" spans="1:42" ht="14.5" x14ac:dyDescent="0.35">
      <c r="A6928" s="2" t="s">
        <v>45936</v>
      </c>
      <c r="B6928" s="2">
        <v>503.15372561261398</v>
      </c>
      <c r="C6928" s="2">
        <v>5.4498833333333296</v>
      </c>
      <c r="D6928" s="2" t="s">
        <v>70</v>
      </c>
      <c r="E6928" s="2" t="s">
        <v>45937</v>
      </c>
      <c r="F6928" s="2">
        <v>266831</v>
      </c>
      <c r="G6928" s="3" t="str">
        <f>HYPERLINK("http://funmeta.oebiotech.com/network/266831", "http://funmeta.oebiotech.com/network/266831")</f>
        <v>http://funmeta.oebiotech.com/network/266831</v>
      </c>
      <c r="H6928" s="2"/>
      <c r="I6928" s="2">
        <v>44058</v>
      </c>
      <c r="J6928" s="2"/>
      <c r="K6928" s="2"/>
      <c r="L6928" s="2"/>
      <c r="M6928" s="2"/>
      <c r="N6928" s="2"/>
      <c r="O6928" s="2">
        <v>77793</v>
      </c>
      <c r="P6928" s="2" t="s">
        <v>45938</v>
      </c>
      <c r="Q6928" s="2" t="s">
        <v>45939</v>
      </c>
      <c r="R6928" s="2" t="s">
        <v>45940</v>
      </c>
      <c r="S6928" s="2" t="s">
        <v>115</v>
      </c>
      <c r="T6928" s="2" t="s">
        <v>139</v>
      </c>
      <c r="U6928" s="2" t="s">
        <v>1552</v>
      </c>
      <c r="V6928" s="2" t="s">
        <v>59</v>
      </c>
      <c r="W6928" s="2">
        <v>37.700000000000003</v>
      </c>
      <c r="X6928" s="2">
        <v>0</v>
      </c>
      <c r="Y6928" s="2" t="s">
        <v>560</v>
      </c>
      <c r="Z6928" s="2" t="s">
        <v>45941</v>
      </c>
      <c r="AA6928" s="2">
        <v>7.3658710466045196</v>
      </c>
      <c r="AB6928" s="2">
        <v>4.9004539929856398E-3</v>
      </c>
      <c r="AC6928" s="2">
        <v>2610.31041288506</v>
      </c>
      <c r="AD6928" s="2">
        <v>2572.1976556331902</v>
      </c>
      <c r="AE6928" s="2">
        <v>2217.6514610065101</v>
      </c>
      <c r="AF6928" s="2">
        <v>3024.6542405524601</v>
      </c>
      <c r="AG6928" s="2">
        <v>2235.0404456235301</v>
      </c>
      <c r="AH6928" s="2">
        <v>3622.55061328477</v>
      </c>
      <c r="AI6928" s="2">
        <v>2637.7194598598398</v>
      </c>
      <c r="AJ6928" s="2">
        <v>1924.2462569832201</v>
      </c>
      <c r="AK6928" s="2">
        <v>2770.6127649662399</v>
      </c>
      <c r="AL6928" s="2">
        <v>2953.8487898490798</v>
      </c>
      <c r="AM6928" s="2">
        <v>2450.8035348523099</v>
      </c>
      <c r="AN6928" s="2">
        <v>1739.5446144668499</v>
      </c>
      <c r="AO6928" s="2">
        <v>2320.0650655366799</v>
      </c>
      <c r="AP6928" s="2">
        <v>3198.3111641279702</v>
      </c>
    </row>
    <row r="6929" spans="1:42" ht="14.5" x14ac:dyDescent="0.35">
      <c r="A6929" s="2" t="s">
        <v>45942</v>
      </c>
      <c r="B6929" s="2">
        <v>555.260185120041</v>
      </c>
      <c r="C6929" s="2">
        <v>8.0492666666666697</v>
      </c>
      <c r="D6929" s="2" t="s">
        <v>70</v>
      </c>
      <c r="E6929" s="2" t="s">
        <v>45943</v>
      </c>
      <c r="F6929" s="2">
        <v>266645</v>
      </c>
      <c r="G6929" s="3" t="str">
        <f>HYPERLINK("http://funmeta.oebiotech.com/network/266645", "http://funmeta.oebiotech.com/network/266645")</f>
        <v>http://funmeta.oebiotech.com/network/266645</v>
      </c>
      <c r="H6929" s="2"/>
      <c r="I6929" s="2">
        <v>43710</v>
      </c>
      <c r="J6929" s="2"/>
      <c r="K6929" s="2"/>
      <c r="L6929" s="2"/>
      <c r="M6929" s="2"/>
      <c r="N6929" s="2"/>
      <c r="O6929" s="2">
        <v>6708590</v>
      </c>
      <c r="P6929" s="2"/>
      <c r="Q6929" s="2" t="s">
        <v>45944</v>
      </c>
      <c r="R6929" s="2" t="s">
        <v>45945</v>
      </c>
      <c r="S6929" s="2" t="s">
        <v>491</v>
      </c>
      <c r="T6929" s="2" t="s">
        <v>1341</v>
      </c>
      <c r="U6929" s="2" t="s">
        <v>41</v>
      </c>
      <c r="V6929" s="2" t="s">
        <v>59</v>
      </c>
      <c r="W6929" s="2">
        <v>37.799999999999997</v>
      </c>
      <c r="X6929" s="2">
        <v>0</v>
      </c>
      <c r="Y6929" s="2" t="s">
        <v>408</v>
      </c>
      <c r="Z6929" s="2" t="s">
        <v>45946</v>
      </c>
      <c r="AA6929" s="2">
        <v>0.44819048065999101</v>
      </c>
      <c r="AB6929" s="2">
        <v>4.8985593169082499E-3</v>
      </c>
      <c r="AC6929" s="2">
        <v>6879.5250053534501</v>
      </c>
      <c r="AD6929" s="2">
        <v>6923.3888408372904</v>
      </c>
      <c r="AE6929" s="2">
        <v>6326.5599334280996</v>
      </c>
      <c r="AF6929" s="2">
        <v>7178.3128300189901</v>
      </c>
      <c r="AG6929" s="2">
        <v>6867.4660985418204</v>
      </c>
      <c r="AH6929" s="2">
        <v>7319.4624498371804</v>
      </c>
      <c r="AI6929" s="2">
        <v>6269.8395184579704</v>
      </c>
      <c r="AJ6929" s="2">
        <v>7315.5092018366504</v>
      </c>
      <c r="AK6929" s="2">
        <v>7269.4380914507601</v>
      </c>
      <c r="AL6929" s="2">
        <v>7573.1160320754698</v>
      </c>
      <c r="AM6929" s="2">
        <v>6453.5944993747898</v>
      </c>
      <c r="AN6929" s="2">
        <v>7474.71132698977</v>
      </c>
      <c r="AO6929" s="2">
        <v>6247.10371245857</v>
      </c>
      <c r="AP6929" s="2">
        <v>6522.3693826743602</v>
      </c>
    </row>
    <row r="6930" spans="1:42" ht="14.5" x14ac:dyDescent="0.35">
      <c r="A6930" s="2" t="s">
        <v>45947</v>
      </c>
      <c r="B6930" s="2">
        <v>144.04426460162301</v>
      </c>
      <c r="C6930" s="2">
        <v>3.8797333333333301</v>
      </c>
      <c r="D6930" s="2" t="s">
        <v>70</v>
      </c>
      <c r="E6930" s="2" t="s">
        <v>45948</v>
      </c>
      <c r="F6930" s="2">
        <v>54634</v>
      </c>
      <c r="G6930" s="3" t="str">
        <f>HYPERLINK("http://funmeta.oebiotech.com/network/54634", "http://funmeta.oebiotech.com/network/54634")</f>
        <v>http://funmeta.oebiotech.com/network/54634</v>
      </c>
      <c r="H6930" s="2" t="s">
        <v>45949</v>
      </c>
      <c r="I6930" s="2">
        <v>67018</v>
      </c>
      <c r="J6930" s="2"/>
      <c r="K6930" s="2">
        <v>28238</v>
      </c>
      <c r="L6930" s="2" t="s">
        <v>45950</v>
      </c>
      <c r="M6930" s="2"/>
      <c r="N6930" s="2"/>
      <c r="O6930" s="2">
        <v>10256</v>
      </c>
      <c r="P6930" s="2" t="s">
        <v>45951</v>
      </c>
      <c r="Q6930" s="2" t="s">
        <v>45952</v>
      </c>
      <c r="R6930" s="2" t="s">
        <v>45953</v>
      </c>
      <c r="S6930" s="2" t="s">
        <v>491</v>
      </c>
      <c r="T6930" s="2" t="s">
        <v>2184</v>
      </c>
      <c r="U6930" s="2" t="s">
        <v>3838</v>
      </c>
      <c r="V6930" s="2" t="s">
        <v>59</v>
      </c>
      <c r="W6930" s="2">
        <v>40.200000000000003</v>
      </c>
      <c r="X6930" s="2">
        <v>15.7</v>
      </c>
      <c r="Y6930" s="2" t="s">
        <v>118</v>
      </c>
      <c r="Z6930" s="2" t="s">
        <v>30390</v>
      </c>
      <c r="AA6930" s="2">
        <v>-8.4301408275328509</v>
      </c>
      <c r="AB6930" s="2">
        <v>4.86939643706408E-3</v>
      </c>
      <c r="AC6930" s="2">
        <v>2067.39272376795</v>
      </c>
      <c r="AD6930" s="2">
        <v>2041.54099633277</v>
      </c>
      <c r="AE6930" s="2">
        <v>1896.2193370688101</v>
      </c>
      <c r="AF6930" s="2">
        <v>2318.9497999830701</v>
      </c>
      <c r="AG6930" s="2">
        <v>1692.72298410796</v>
      </c>
      <c r="AH6930" s="2">
        <v>2053.51875967769</v>
      </c>
      <c r="AI6930" s="2">
        <v>2243.2462421919699</v>
      </c>
      <c r="AJ6930" s="2">
        <v>2199.69921957823</v>
      </c>
      <c r="AK6930" s="2">
        <v>2056.0205582477602</v>
      </c>
      <c r="AL6930" s="2">
        <v>1987.9679313639399</v>
      </c>
      <c r="AM6930" s="2">
        <v>2163.7553911392602</v>
      </c>
      <c r="AN6930" s="2">
        <v>2231.4281091258799</v>
      </c>
      <c r="AO6930" s="2">
        <v>1971.59428007107</v>
      </c>
      <c r="AP6930" s="2">
        <v>1838.4797080487101</v>
      </c>
    </row>
    <row r="6931" spans="1:42" ht="14.5" x14ac:dyDescent="0.35">
      <c r="A6931" s="2" t="s">
        <v>45954</v>
      </c>
      <c r="B6931" s="2">
        <v>1079.4818909676501</v>
      </c>
      <c r="C6931" s="2">
        <v>10.3723666666667</v>
      </c>
      <c r="D6931" s="2" t="s">
        <v>70</v>
      </c>
      <c r="E6931" s="2" t="s">
        <v>45955</v>
      </c>
      <c r="F6931" s="2">
        <v>203751</v>
      </c>
      <c r="G6931" s="3" t="str">
        <f>HYPERLINK("http://funmeta.oebiotech.com/network/203751", "http://funmeta.oebiotech.com/network/203751")</f>
        <v>http://funmeta.oebiotech.com/network/203751</v>
      </c>
      <c r="H6931" s="2" t="s">
        <v>45956</v>
      </c>
      <c r="I6931" s="2"/>
      <c r="J6931" s="2"/>
      <c r="K6931" s="2"/>
      <c r="L6931" s="2"/>
      <c r="M6931" s="2"/>
      <c r="N6931" s="2"/>
      <c r="O6931" s="2">
        <v>13923664</v>
      </c>
      <c r="P6931" s="2"/>
      <c r="Q6931" s="2" t="s">
        <v>45957</v>
      </c>
      <c r="R6931" s="2" t="s">
        <v>45958</v>
      </c>
      <c r="S6931" s="2" t="s">
        <v>41</v>
      </c>
      <c r="T6931" s="2" t="s">
        <v>41</v>
      </c>
      <c r="U6931" s="2" t="s">
        <v>41</v>
      </c>
      <c r="V6931" s="2" t="s">
        <v>59</v>
      </c>
      <c r="W6931" s="2">
        <v>43.2</v>
      </c>
      <c r="X6931" s="2">
        <v>39.6</v>
      </c>
      <c r="Y6931" s="2" t="s">
        <v>560</v>
      </c>
      <c r="Z6931" s="2" t="s">
        <v>45959</v>
      </c>
      <c r="AA6931" s="2">
        <v>3.9758699690762098</v>
      </c>
      <c r="AB6931" s="2">
        <v>4.7746879510289601E-3</v>
      </c>
      <c r="AC6931" s="2">
        <v>157684.40919649499</v>
      </c>
      <c r="AD6931" s="2">
        <v>157826.82545464899</v>
      </c>
      <c r="AE6931" s="2">
        <v>172508.87200480801</v>
      </c>
      <c r="AF6931" s="2">
        <v>160575.51058299601</v>
      </c>
      <c r="AG6931" s="2">
        <v>152742.238554271</v>
      </c>
      <c r="AH6931" s="2">
        <v>141525.809814576</v>
      </c>
      <c r="AI6931" s="2">
        <v>159627.34102460899</v>
      </c>
      <c r="AJ6931" s="2">
        <v>159126.683197712</v>
      </c>
      <c r="AK6931" s="2">
        <v>153922.66809133801</v>
      </c>
      <c r="AL6931" s="2">
        <v>146829.94154371801</v>
      </c>
      <c r="AM6931" s="2">
        <v>160502.25123744801</v>
      </c>
      <c r="AN6931" s="2">
        <v>160106.58098637901</v>
      </c>
      <c r="AO6931" s="2">
        <v>152649.52470072499</v>
      </c>
      <c r="AP6931" s="2">
        <v>172949.98616828799</v>
      </c>
    </row>
    <row r="6932" spans="1:42" ht="14.5" x14ac:dyDescent="0.35">
      <c r="A6932" s="2" t="s">
        <v>45960</v>
      </c>
      <c r="B6932" s="2">
        <v>487.10507379729899</v>
      </c>
      <c r="C6932" s="2">
        <v>1.06171666666667</v>
      </c>
      <c r="D6932" s="2" t="s">
        <v>34</v>
      </c>
      <c r="E6932" s="2" t="s">
        <v>45961</v>
      </c>
      <c r="F6932" s="2">
        <v>48179</v>
      </c>
      <c r="G6932" s="3" t="str">
        <f>HYPERLINK("http://funmeta.oebiotech.com/network/48179", "http://funmeta.oebiotech.com/network/48179")</f>
        <v>http://funmeta.oebiotech.com/network/48179</v>
      </c>
      <c r="H6932" s="2" t="s">
        <v>45962</v>
      </c>
      <c r="I6932" s="2"/>
      <c r="J6932" s="2"/>
      <c r="K6932" s="2">
        <v>978</v>
      </c>
      <c r="L6932" s="2" t="s">
        <v>45963</v>
      </c>
      <c r="M6932" s="2" t="s">
        <v>45964</v>
      </c>
      <c r="N6932" s="2" t="s">
        <v>45965</v>
      </c>
      <c r="O6932" s="2">
        <v>440568</v>
      </c>
      <c r="P6932" s="2" t="s">
        <v>45966</v>
      </c>
      <c r="Q6932" s="2" t="s">
        <v>45967</v>
      </c>
      <c r="R6932" s="2" t="s">
        <v>45968</v>
      </c>
      <c r="S6932" s="2" t="s">
        <v>491</v>
      </c>
      <c r="T6932" s="2" t="s">
        <v>4517</v>
      </c>
      <c r="U6932" s="2" t="s">
        <v>4518</v>
      </c>
      <c r="V6932" s="2" t="s">
        <v>59</v>
      </c>
      <c r="W6932" s="2">
        <v>38.200000000000003</v>
      </c>
      <c r="X6932" s="2">
        <v>0</v>
      </c>
      <c r="Y6932" s="2" t="s">
        <v>43</v>
      </c>
      <c r="Z6932" s="2" t="s">
        <v>45969</v>
      </c>
      <c r="AA6932" s="2">
        <v>0.139198507918671</v>
      </c>
      <c r="AB6932" s="2">
        <v>4.7417599885005201E-3</v>
      </c>
      <c r="AC6932" s="2">
        <v>4884.8049135684996</v>
      </c>
      <c r="AD6932" s="2">
        <v>4927.59505479156</v>
      </c>
      <c r="AE6932" s="2">
        <v>3494.1074535871699</v>
      </c>
      <c r="AF6932" s="2">
        <v>4375.8837159231098</v>
      </c>
      <c r="AG6932" s="2">
        <v>4961.1950416223099</v>
      </c>
      <c r="AH6932" s="2">
        <v>4937.6623957398297</v>
      </c>
      <c r="AI6932" s="2">
        <v>6769.7262396829701</v>
      </c>
      <c r="AJ6932" s="2">
        <v>4770.2546348556098</v>
      </c>
      <c r="AK6932" s="2">
        <v>5459.0052911716502</v>
      </c>
      <c r="AL6932" s="2">
        <v>4790.1191487182696</v>
      </c>
      <c r="AM6932" s="2">
        <v>6128.4257944662204</v>
      </c>
      <c r="AN6932" s="2">
        <v>3075.1190062195101</v>
      </c>
      <c r="AO6932" s="2">
        <v>5862.6445566798902</v>
      </c>
      <c r="AP6932" s="2">
        <v>4250.2565314938101</v>
      </c>
    </row>
    <row r="6933" spans="1:42" ht="14.5" x14ac:dyDescent="0.35">
      <c r="A6933" s="2" t="s">
        <v>45970</v>
      </c>
      <c r="B6933" s="2">
        <v>531.13309686683397</v>
      </c>
      <c r="C6933" s="2">
        <v>3.7303666666666699</v>
      </c>
      <c r="D6933" s="2" t="s">
        <v>70</v>
      </c>
      <c r="E6933" s="2" t="s">
        <v>45971</v>
      </c>
      <c r="F6933" s="2">
        <v>82452</v>
      </c>
      <c r="G6933" s="3" t="str">
        <f>HYPERLINK("http://funmeta.oebiotech.com/network/82452", "http://funmeta.oebiotech.com/network/82452")</f>
        <v>http://funmeta.oebiotech.com/network/82452</v>
      </c>
      <c r="H6933" s="2" t="s">
        <v>45972</v>
      </c>
      <c r="I6933" s="2">
        <v>71260</v>
      </c>
      <c r="J6933" s="2"/>
      <c r="K6933" s="2">
        <v>80601</v>
      </c>
      <c r="L6933" s="2" t="s">
        <v>45973</v>
      </c>
      <c r="M6933" s="2" t="s">
        <v>11721</v>
      </c>
      <c r="N6933" s="2" t="s">
        <v>11722</v>
      </c>
      <c r="O6933" s="2">
        <v>24892807</v>
      </c>
      <c r="P6933" s="2"/>
      <c r="Q6933" s="2" t="s">
        <v>45974</v>
      </c>
      <c r="R6933" s="2" t="s">
        <v>45975</v>
      </c>
      <c r="S6933" s="2" t="s">
        <v>491</v>
      </c>
      <c r="T6933" s="2" t="s">
        <v>2597</v>
      </c>
      <c r="U6933" s="2" t="s">
        <v>2598</v>
      </c>
      <c r="V6933" s="2" t="s">
        <v>59</v>
      </c>
      <c r="W6933" s="2">
        <v>38.1</v>
      </c>
      <c r="X6933" s="2">
        <v>0</v>
      </c>
      <c r="Y6933" s="2" t="s">
        <v>560</v>
      </c>
      <c r="Z6933" s="2" t="s">
        <v>45976</v>
      </c>
      <c r="AA6933" s="2">
        <v>3.9255226230493001</v>
      </c>
      <c r="AB6933" s="2">
        <v>4.7230733895972403E-3</v>
      </c>
      <c r="AC6933" s="2">
        <v>1506.08696622043</v>
      </c>
      <c r="AD6933" s="2">
        <v>1473.29386084571</v>
      </c>
      <c r="AE6933" s="2">
        <v>1588.31291692435</v>
      </c>
      <c r="AF6933" s="2">
        <v>1142.4216013570699</v>
      </c>
      <c r="AG6933" s="2">
        <v>992.01845698055104</v>
      </c>
      <c r="AH6933" s="2">
        <v>1408.9906749205099</v>
      </c>
      <c r="AI6933" s="2">
        <v>1902.2230413861901</v>
      </c>
      <c r="AJ6933" s="2">
        <v>2002.5551057538801</v>
      </c>
      <c r="AK6933" s="2">
        <v>1751.2212863459099</v>
      </c>
      <c r="AL6933" s="2">
        <v>1409.05186804656</v>
      </c>
      <c r="AM6933" s="2">
        <v>1180.4236761459299</v>
      </c>
      <c r="AN6933" s="2">
        <v>1413.61670053433</v>
      </c>
      <c r="AO6933" s="2">
        <v>1685.09572945949</v>
      </c>
      <c r="AP6933" s="2">
        <v>1400.35390454202</v>
      </c>
    </row>
    <row r="6934" spans="1:42" ht="14.5" x14ac:dyDescent="0.35">
      <c r="A6934" s="2" t="s">
        <v>45977</v>
      </c>
      <c r="B6934" s="2">
        <v>318.99693395134699</v>
      </c>
      <c r="C6934" s="2">
        <v>1.20376666666667</v>
      </c>
      <c r="D6934" s="2" t="s">
        <v>70</v>
      </c>
      <c r="E6934" s="2" t="s">
        <v>45978</v>
      </c>
      <c r="F6934" s="2">
        <v>207228</v>
      </c>
      <c r="G6934" s="3" t="str">
        <f>HYPERLINK("http://funmeta.oebiotech.com/network/207228", "http://funmeta.oebiotech.com/network/207228")</f>
        <v>http://funmeta.oebiotech.com/network/207228</v>
      </c>
      <c r="H6934" s="2" t="s">
        <v>45979</v>
      </c>
      <c r="I6934" s="2"/>
      <c r="J6934" s="2"/>
      <c r="K6934" s="2"/>
      <c r="L6934" s="2"/>
      <c r="M6934" s="2"/>
      <c r="N6934" s="2"/>
      <c r="O6934" s="2">
        <v>129649922</v>
      </c>
      <c r="P6934" s="2"/>
      <c r="Q6934" s="2" t="s">
        <v>45980</v>
      </c>
      <c r="R6934" s="2" t="s">
        <v>45981</v>
      </c>
      <c r="S6934" s="2" t="s">
        <v>41</v>
      </c>
      <c r="T6934" s="2" t="s">
        <v>41</v>
      </c>
      <c r="U6934" s="2" t="s">
        <v>41</v>
      </c>
      <c r="V6934" s="2" t="s">
        <v>59</v>
      </c>
      <c r="W6934" s="2">
        <v>37.9</v>
      </c>
      <c r="X6934" s="2">
        <v>0</v>
      </c>
      <c r="Y6934" s="2" t="s">
        <v>408</v>
      </c>
      <c r="Z6934" s="2" t="s">
        <v>45982</v>
      </c>
      <c r="AA6934" s="2">
        <v>-2.6877240298589702</v>
      </c>
      <c r="AB6934" s="2">
        <v>4.6952948529179004E-3</v>
      </c>
      <c r="AC6934" s="2">
        <v>2269.51082103099</v>
      </c>
      <c r="AD6934" s="2">
        <v>2246.2101651651001</v>
      </c>
      <c r="AE6934" s="2">
        <v>2244.3898394881098</v>
      </c>
      <c r="AF6934" s="2">
        <v>2673.24111394699</v>
      </c>
      <c r="AG6934" s="2">
        <v>2513.8753710700098</v>
      </c>
      <c r="AH6934" s="2">
        <v>2016.4645586121601</v>
      </c>
      <c r="AI6934" s="2">
        <v>2128.9031925908098</v>
      </c>
      <c r="AJ6934" s="2">
        <v>2040.1908504778501</v>
      </c>
      <c r="AK6934" s="2">
        <v>2223.7917594003602</v>
      </c>
      <c r="AL6934" s="2">
        <v>2696.7225735370598</v>
      </c>
      <c r="AM6934" s="2">
        <v>1877.0038068823501</v>
      </c>
      <c r="AN6934" s="2">
        <v>2043.96459608745</v>
      </c>
      <c r="AO6934" s="2">
        <v>2422.6523759864799</v>
      </c>
      <c r="AP6934" s="2">
        <v>2213.12587909691</v>
      </c>
    </row>
    <row r="6935" spans="1:42" ht="14.5" x14ac:dyDescent="0.35">
      <c r="A6935" s="2" t="s">
        <v>45983</v>
      </c>
      <c r="B6935" s="2">
        <v>537.25100809623905</v>
      </c>
      <c r="C6935" s="2">
        <v>8.7125000000000004</v>
      </c>
      <c r="D6935" s="2" t="s">
        <v>70</v>
      </c>
      <c r="E6935" s="2" t="s">
        <v>45984</v>
      </c>
      <c r="F6935" s="2">
        <v>205605</v>
      </c>
      <c r="G6935" s="3" t="str">
        <f>HYPERLINK("http://funmeta.oebiotech.com/network/205605", "http://funmeta.oebiotech.com/network/205605")</f>
        <v>http://funmeta.oebiotech.com/network/205605</v>
      </c>
      <c r="H6935" s="2" t="s">
        <v>45985</v>
      </c>
      <c r="I6935" s="2"/>
      <c r="J6935" s="2"/>
      <c r="K6935" s="2"/>
      <c r="L6935" s="2"/>
      <c r="M6935" s="2"/>
      <c r="N6935" s="2"/>
      <c r="O6935" s="2">
        <v>70177</v>
      </c>
      <c r="P6935" s="2"/>
      <c r="Q6935" s="2" t="s">
        <v>45986</v>
      </c>
      <c r="R6935" s="2" t="s">
        <v>45987</v>
      </c>
      <c r="S6935" s="2" t="s">
        <v>148</v>
      </c>
      <c r="T6935" s="2" t="s">
        <v>149</v>
      </c>
      <c r="U6935" s="2" t="s">
        <v>1593</v>
      </c>
      <c r="V6935" s="2" t="s">
        <v>59</v>
      </c>
      <c r="W6935" s="2">
        <v>37.700000000000003</v>
      </c>
      <c r="X6935" s="2">
        <v>0</v>
      </c>
      <c r="Y6935" s="2" t="s">
        <v>560</v>
      </c>
      <c r="Z6935" s="2" t="s">
        <v>45988</v>
      </c>
      <c r="AA6935" s="2">
        <v>-1.2919849115256401</v>
      </c>
      <c r="AB6935" s="2">
        <v>4.6821148373319098E-3</v>
      </c>
      <c r="AC6935" s="2">
        <v>108762.904695668</v>
      </c>
      <c r="AD6935" s="2">
        <v>108877.735695215</v>
      </c>
      <c r="AE6935" s="2">
        <v>110853.914359002</v>
      </c>
      <c r="AF6935" s="2">
        <v>111036.92766729101</v>
      </c>
      <c r="AG6935" s="2">
        <v>108793.95040226899</v>
      </c>
      <c r="AH6935" s="2">
        <v>104081.629915464</v>
      </c>
      <c r="AI6935" s="2">
        <v>112236.451387476</v>
      </c>
      <c r="AJ6935" s="2">
        <v>105574.55444250299</v>
      </c>
      <c r="AK6935" s="2">
        <v>110094.370204191</v>
      </c>
      <c r="AL6935" s="2">
        <v>110592.56193509699</v>
      </c>
      <c r="AM6935" s="2">
        <v>118439.459307356</v>
      </c>
      <c r="AN6935" s="2">
        <v>99337.430437142</v>
      </c>
      <c r="AO6935" s="2">
        <v>111347.912725676</v>
      </c>
      <c r="AP6935" s="2">
        <v>103454.679561825</v>
      </c>
    </row>
    <row r="6936" spans="1:42" ht="14.5" x14ac:dyDescent="0.35">
      <c r="A6936" s="2" t="s">
        <v>45989</v>
      </c>
      <c r="B6936" s="2">
        <v>254.064324891441</v>
      </c>
      <c r="C6936" s="2">
        <v>1.4654833333333299</v>
      </c>
      <c r="D6936" s="2" t="s">
        <v>70</v>
      </c>
      <c r="E6936" s="2" t="s">
        <v>45990</v>
      </c>
      <c r="F6936" s="2">
        <v>53038</v>
      </c>
      <c r="G6936" s="3" t="str">
        <f>HYPERLINK("http://funmeta.oebiotech.com/network/53038", "http://funmeta.oebiotech.com/network/53038")</f>
        <v>http://funmeta.oebiotech.com/network/53038</v>
      </c>
      <c r="H6936" s="2" t="s">
        <v>45991</v>
      </c>
      <c r="I6936" s="2">
        <v>44446</v>
      </c>
      <c r="J6936" s="2"/>
      <c r="K6936" s="2">
        <v>77585</v>
      </c>
      <c r="L6936" s="2"/>
      <c r="M6936" s="2"/>
      <c r="N6936" s="2"/>
      <c r="O6936" s="2">
        <v>4236</v>
      </c>
      <c r="P6936" s="2" t="s">
        <v>45992</v>
      </c>
      <c r="Q6936" s="2" t="s">
        <v>45993</v>
      </c>
      <c r="R6936" s="2" t="s">
        <v>45994</v>
      </c>
      <c r="S6936" s="2" t="s">
        <v>148</v>
      </c>
      <c r="T6936" s="2" t="s">
        <v>149</v>
      </c>
      <c r="U6936" s="2" t="s">
        <v>3473</v>
      </c>
      <c r="V6936" s="2" t="s">
        <v>59</v>
      </c>
      <c r="W6936" s="2">
        <v>37.1</v>
      </c>
      <c r="X6936" s="2">
        <v>0</v>
      </c>
      <c r="Y6936" s="2" t="s">
        <v>751</v>
      </c>
      <c r="Z6936" s="2" t="s">
        <v>45995</v>
      </c>
      <c r="AA6936" s="2">
        <v>-0.67274039993079304</v>
      </c>
      <c r="AB6936" s="2">
        <v>4.6813322306487899E-3</v>
      </c>
      <c r="AC6936" s="2">
        <v>3710.3495018335102</v>
      </c>
      <c r="AD6936" s="2">
        <v>3741.4668713855999</v>
      </c>
      <c r="AE6936" s="2">
        <v>3400.5462923130699</v>
      </c>
      <c r="AF6936" s="2">
        <v>3671.1515294982901</v>
      </c>
      <c r="AG6936" s="2">
        <v>3760.9091693414398</v>
      </c>
      <c r="AH6936" s="2">
        <v>3727.2301099521701</v>
      </c>
      <c r="AI6936" s="2">
        <v>3993.16272764614</v>
      </c>
      <c r="AJ6936" s="2">
        <v>3709.09718224992</v>
      </c>
      <c r="AK6936" s="2">
        <v>3250.2778474483798</v>
      </c>
      <c r="AL6936" s="2">
        <v>4401.8807809871396</v>
      </c>
      <c r="AM6936" s="2">
        <v>3187.3054228349702</v>
      </c>
      <c r="AN6936" s="2">
        <v>3770.3725938770599</v>
      </c>
      <c r="AO6936" s="2">
        <v>4295.3794833415805</v>
      </c>
      <c r="AP6936" s="2">
        <v>3543.58509982449</v>
      </c>
    </row>
    <row r="6937" spans="1:42" ht="14.5" x14ac:dyDescent="0.35">
      <c r="A6937" s="2" t="s">
        <v>45996</v>
      </c>
      <c r="B6937" s="2">
        <v>293.14947496572898</v>
      </c>
      <c r="C6937" s="2">
        <v>3.5873499999999998</v>
      </c>
      <c r="D6937" s="2" t="s">
        <v>34</v>
      </c>
      <c r="E6937" s="2" t="s">
        <v>45997</v>
      </c>
      <c r="F6937" s="2">
        <v>276885</v>
      </c>
      <c r="G6937" s="3" t="str">
        <f>HYPERLINK("http://funmeta.oebiotech.com/network/276885", "http://funmeta.oebiotech.com/network/276885")</f>
        <v>http://funmeta.oebiotech.com/network/276885</v>
      </c>
      <c r="H6937" s="2"/>
      <c r="I6937" s="2">
        <v>68474</v>
      </c>
      <c r="J6937" s="2"/>
      <c r="K6937" s="2"/>
      <c r="L6937" s="2" t="s">
        <v>45998</v>
      </c>
      <c r="M6937" s="2"/>
      <c r="N6937" s="2"/>
      <c r="O6937" s="2">
        <v>442897</v>
      </c>
      <c r="P6937" s="2" t="s">
        <v>45999</v>
      </c>
      <c r="Q6937" s="2" t="s">
        <v>46000</v>
      </c>
      <c r="R6937" s="2" t="s">
        <v>46001</v>
      </c>
      <c r="S6937" s="2" t="s">
        <v>491</v>
      </c>
      <c r="T6937" s="2" t="s">
        <v>1516</v>
      </c>
      <c r="U6937" s="2" t="s">
        <v>46002</v>
      </c>
      <c r="V6937" s="2" t="s">
        <v>59</v>
      </c>
      <c r="W6937" s="2">
        <v>39.1</v>
      </c>
      <c r="X6937" s="2">
        <v>0</v>
      </c>
      <c r="Y6937" s="2" t="s">
        <v>43</v>
      </c>
      <c r="Z6937" s="2" t="s">
        <v>46003</v>
      </c>
      <c r="AA6937" s="2">
        <v>-0.39471566930632102</v>
      </c>
      <c r="AB6937" s="2">
        <v>4.6394016618911803E-3</v>
      </c>
      <c r="AC6937" s="2">
        <v>1831.0901214902599</v>
      </c>
      <c r="AD6937" s="2">
        <v>1808.27088272113</v>
      </c>
      <c r="AE6937" s="2">
        <v>2063.52264003657</v>
      </c>
      <c r="AF6937" s="2">
        <v>1709.0428501966901</v>
      </c>
      <c r="AG6937" s="2">
        <v>1925.4991612086999</v>
      </c>
      <c r="AH6937" s="2">
        <v>1599.6683354212701</v>
      </c>
      <c r="AI6937" s="2">
        <v>1956.47167436933</v>
      </c>
      <c r="AJ6937" s="2">
        <v>1732.33606770898</v>
      </c>
      <c r="AK6937" s="2">
        <v>2007.18824231495</v>
      </c>
      <c r="AL6937" s="2">
        <v>1501.3645180779199</v>
      </c>
      <c r="AM6937" s="2">
        <v>1706.9924016638599</v>
      </c>
      <c r="AN6937" s="2">
        <v>1866.50007953258</v>
      </c>
      <c r="AO6937" s="2">
        <v>1754.35807272596</v>
      </c>
      <c r="AP6937" s="2">
        <v>2013.2219820114899</v>
      </c>
    </row>
    <row r="6938" spans="1:42" ht="14.5" x14ac:dyDescent="0.35">
      <c r="A6938" s="2" t="s">
        <v>46004</v>
      </c>
      <c r="B6938" s="2">
        <v>367.01965038319503</v>
      </c>
      <c r="C6938" s="2">
        <v>8.5734166666666702</v>
      </c>
      <c r="D6938" s="2" t="s">
        <v>70</v>
      </c>
      <c r="E6938" s="2" t="s">
        <v>46005</v>
      </c>
      <c r="F6938" s="2">
        <v>256842</v>
      </c>
      <c r="G6938" s="3" t="str">
        <f>HYPERLINK("http://funmeta.oebiotech.com/network/256842", "http://funmeta.oebiotech.com/network/256842")</f>
        <v>http://funmeta.oebiotech.com/network/256842</v>
      </c>
      <c r="H6938" s="2" t="s">
        <v>46006</v>
      </c>
      <c r="I6938" s="2">
        <v>63860</v>
      </c>
      <c r="J6938" s="2"/>
      <c r="K6938" s="2">
        <v>50606</v>
      </c>
      <c r="L6938" s="2" t="s">
        <v>46007</v>
      </c>
      <c r="M6938" s="2" t="s">
        <v>43649</v>
      </c>
      <c r="N6938" s="2" t="s">
        <v>43650</v>
      </c>
      <c r="O6938" s="2">
        <v>669</v>
      </c>
      <c r="P6938" s="2"/>
      <c r="Q6938" s="2" t="s">
        <v>46008</v>
      </c>
      <c r="R6938" s="2" t="s">
        <v>46009</v>
      </c>
      <c r="S6938" s="2" t="s">
        <v>89</v>
      </c>
      <c r="T6938" s="2" t="s">
        <v>894</v>
      </c>
      <c r="U6938" s="2" t="s">
        <v>895</v>
      </c>
      <c r="V6938" s="2" t="s">
        <v>59</v>
      </c>
      <c r="W6938" s="2">
        <v>39</v>
      </c>
      <c r="X6938" s="2">
        <v>0</v>
      </c>
      <c r="Y6938" s="2" t="s">
        <v>560</v>
      </c>
      <c r="Z6938" s="2" t="s">
        <v>46010</v>
      </c>
      <c r="AA6938" s="2">
        <v>-1.14789508437587</v>
      </c>
      <c r="AB6938" s="2">
        <v>4.63219761196609E-3</v>
      </c>
      <c r="AC6938" s="2">
        <v>7180.5887992676498</v>
      </c>
      <c r="AD6938" s="2">
        <v>7151.18400192021</v>
      </c>
      <c r="AE6938" s="2">
        <v>7902.9032106119002</v>
      </c>
      <c r="AF6938" s="2">
        <v>8070.36810115967</v>
      </c>
      <c r="AG6938" s="2">
        <v>7501.33326567923</v>
      </c>
      <c r="AH6938" s="2">
        <v>6931.2725425210801</v>
      </c>
      <c r="AI6938" s="2">
        <v>6228.6896693794997</v>
      </c>
      <c r="AJ6938" s="2">
        <v>6448.9660062545199</v>
      </c>
      <c r="AK6938" s="2">
        <v>7614.2462084208501</v>
      </c>
      <c r="AL6938" s="2">
        <v>6977.2725902430602</v>
      </c>
      <c r="AM6938" s="2">
        <v>7324.7966158940999</v>
      </c>
      <c r="AN6938" s="2">
        <v>6975.12509727621</v>
      </c>
      <c r="AO6938" s="2">
        <v>7078.5244420193803</v>
      </c>
      <c r="AP6938" s="2">
        <v>6937.1390576676304</v>
      </c>
    </row>
    <row r="6939" spans="1:42" ht="14.5" x14ac:dyDescent="0.35">
      <c r="A6939" s="2" t="s">
        <v>46011</v>
      </c>
      <c r="B6939" s="2">
        <v>406.258382067627</v>
      </c>
      <c r="C6939" s="2">
        <v>6.2504</v>
      </c>
      <c r="D6939" s="2" t="s">
        <v>34</v>
      </c>
      <c r="E6939" s="2" t="s">
        <v>46012</v>
      </c>
      <c r="F6939" s="2">
        <v>3402</v>
      </c>
      <c r="G6939" s="3" t="str">
        <f>HYPERLINK("http://funmeta.oebiotech.com/network/3402", "http://funmeta.oebiotech.com/network/3402")</f>
        <v>http://funmeta.oebiotech.com/network/3402</v>
      </c>
      <c r="H6939" s="2"/>
      <c r="I6939" s="2">
        <v>985561</v>
      </c>
      <c r="J6939" s="2" t="s">
        <v>46013</v>
      </c>
      <c r="K6939" s="2"/>
      <c r="L6939" s="2"/>
      <c r="M6939" s="2"/>
      <c r="N6939" s="2"/>
      <c r="O6939" s="2">
        <v>122367190</v>
      </c>
      <c r="P6939" s="2"/>
      <c r="Q6939" s="2" t="s">
        <v>46014</v>
      </c>
      <c r="R6939" s="2" t="s">
        <v>46015</v>
      </c>
      <c r="S6939" s="2" t="s">
        <v>50</v>
      </c>
      <c r="T6939" s="2" t="s">
        <v>229</v>
      </c>
      <c r="U6939" s="2" t="s">
        <v>766</v>
      </c>
      <c r="V6939" s="2" t="s">
        <v>59</v>
      </c>
      <c r="W6939" s="2">
        <v>38</v>
      </c>
      <c r="X6939" s="2">
        <v>0</v>
      </c>
      <c r="Y6939" s="2" t="s">
        <v>43</v>
      </c>
      <c r="Z6939" s="2" t="s">
        <v>3234</v>
      </c>
      <c r="AA6939" s="2">
        <v>-1.0756299592762699</v>
      </c>
      <c r="AB6939" s="2">
        <v>4.6263846148675803E-3</v>
      </c>
      <c r="AC6939" s="2">
        <v>3410.3183476271702</v>
      </c>
      <c r="AD6939" s="2">
        <v>3361.8462265693502</v>
      </c>
      <c r="AE6939" s="2">
        <v>2791.0894797748401</v>
      </c>
      <c r="AF6939" s="2">
        <v>2529.9123850668402</v>
      </c>
      <c r="AG6939" s="2">
        <v>4690.7062261215697</v>
      </c>
      <c r="AH6939" s="2">
        <v>3916.9798537936599</v>
      </c>
      <c r="AI6939" s="2">
        <v>3497.2014694192098</v>
      </c>
      <c r="AJ6939" s="2">
        <v>3036.0206715868999</v>
      </c>
      <c r="AK6939" s="2">
        <v>2299.6240176688598</v>
      </c>
      <c r="AL6939" s="2">
        <v>3666.2395829165998</v>
      </c>
      <c r="AM6939" s="2">
        <v>2511.1780489118</v>
      </c>
      <c r="AN6939" s="2">
        <v>2644.1515089559298</v>
      </c>
      <c r="AO6939" s="2">
        <v>5138.7496148467899</v>
      </c>
      <c r="AP6939" s="2">
        <v>3911.1345861161399</v>
      </c>
    </row>
    <row r="6940" spans="1:42" ht="14.5" x14ac:dyDescent="0.35">
      <c r="A6940" s="2" t="s">
        <v>46016</v>
      </c>
      <c r="B6940" s="2">
        <v>381.08022851151998</v>
      </c>
      <c r="C6940" s="2">
        <v>3.4452333333333298</v>
      </c>
      <c r="D6940" s="2" t="s">
        <v>70</v>
      </c>
      <c r="E6940" s="2" t="s">
        <v>46017</v>
      </c>
      <c r="F6940" s="2">
        <v>198975</v>
      </c>
      <c r="G6940" s="3" t="str">
        <f>HYPERLINK("http://funmeta.oebiotech.com/network/198975", "http://funmeta.oebiotech.com/network/198975")</f>
        <v>http://funmeta.oebiotech.com/network/198975</v>
      </c>
      <c r="H6940" s="2" t="s">
        <v>46018</v>
      </c>
      <c r="I6940" s="2"/>
      <c r="J6940" s="2"/>
      <c r="K6940" s="2"/>
      <c r="L6940" s="2"/>
      <c r="M6940" s="2"/>
      <c r="N6940" s="2"/>
      <c r="O6940" s="2">
        <v>451784</v>
      </c>
      <c r="P6940" s="2"/>
      <c r="Q6940" s="2" t="s">
        <v>46019</v>
      </c>
      <c r="R6940" s="2" t="s">
        <v>46020</v>
      </c>
      <c r="S6940" s="2" t="s">
        <v>89</v>
      </c>
      <c r="T6940" s="2" t="s">
        <v>90</v>
      </c>
      <c r="U6940" s="2" t="s">
        <v>99</v>
      </c>
      <c r="V6940" s="2" t="s">
        <v>42</v>
      </c>
      <c r="W6940" s="2">
        <v>47.6</v>
      </c>
      <c r="X6940" s="2">
        <v>48.4</v>
      </c>
      <c r="Y6940" s="2" t="s">
        <v>560</v>
      </c>
      <c r="Z6940" s="2" t="s">
        <v>46021</v>
      </c>
      <c r="AA6940" s="2">
        <v>4.0067472864575802</v>
      </c>
      <c r="AB6940" s="2">
        <v>4.5375814527827902E-3</v>
      </c>
      <c r="AC6940" s="2">
        <v>36651.210880466002</v>
      </c>
      <c r="AD6940" s="2">
        <v>36590.098938857504</v>
      </c>
      <c r="AE6940" s="2">
        <v>34709.605737064798</v>
      </c>
      <c r="AF6940" s="2">
        <v>35389.865396260597</v>
      </c>
      <c r="AG6940" s="2">
        <v>37859.754256874301</v>
      </c>
      <c r="AH6940" s="2">
        <v>39738.9528000672</v>
      </c>
      <c r="AI6940" s="2">
        <v>34537.951946143497</v>
      </c>
      <c r="AJ6940" s="2">
        <v>37671.135146385299</v>
      </c>
      <c r="AK6940" s="2">
        <v>36574.8517826483</v>
      </c>
      <c r="AL6940" s="2">
        <v>35710.830187644897</v>
      </c>
      <c r="AM6940" s="2">
        <v>37313.3547081254</v>
      </c>
      <c r="AN6940" s="2">
        <v>38413.848190322104</v>
      </c>
      <c r="AO6940" s="2">
        <v>34992.826972021401</v>
      </c>
      <c r="AP6940" s="2">
        <v>36534.881792382999</v>
      </c>
    </row>
    <row r="6941" spans="1:42" ht="14.5" x14ac:dyDescent="0.35">
      <c r="A6941" s="2" t="s">
        <v>46022</v>
      </c>
      <c r="B6941" s="2">
        <v>168.07815602728701</v>
      </c>
      <c r="C6941" s="2">
        <v>5.1890333333333301</v>
      </c>
      <c r="D6941" s="2" t="s">
        <v>70</v>
      </c>
      <c r="E6941" s="2" t="s">
        <v>46023</v>
      </c>
      <c r="F6941" s="2">
        <v>201378</v>
      </c>
      <c r="G6941" s="3" t="str">
        <f>HYPERLINK("http://funmeta.oebiotech.com/network/201378", "http://funmeta.oebiotech.com/network/201378")</f>
        <v>http://funmeta.oebiotech.com/network/201378</v>
      </c>
      <c r="H6941" s="2" t="s">
        <v>46024</v>
      </c>
      <c r="I6941" s="2"/>
      <c r="J6941" s="2"/>
      <c r="K6941" s="2"/>
      <c r="L6941" s="2"/>
      <c r="M6941" s="2"/>
      <c r="N6941" s="2"/>
      <c r="O6941" s="2">
        <v>8149</v>
      </c>
      <c r="P6941" s="2"/>
      <c r="Q6941" s="2" t="s">
        <v>46025</v>
      </c>
      <c r="R6941" s="2" t="s">
        <v>46026</v>
      </c>
      <c r="S6941" s="2" t="s">
        <v>1677</v>
      </c>
      <c r="T6941" s="2" t="s">
        <v>1678</v>
      </c>
      <c r="U6941" s="2" t="s">
        <v>46027</v>
      </c>
      <c r="V6941" s="2" t="s">
        <v>59</v>
      </c>
      <c r="W6941" s="2">
        <v>37.9</v>
      </c>
      <c r="X6941" s="2">
        <v>0</v>
      </c>
      <c r="Y6941" s="2" t="s">
        <v>408</v>
      </c>
      <c r="Z6941" s="2" t="s">
        <v>46028</v>
      </c>
      <c r="AA6941" s="2">
        <v>2.48501083480997</v>
      </c>
      <c r="AB6941" s="2">
        <v>4.5248835888163199E-3</v>
      </c>
      <c r="AC6941" s="2">
        <v>1056.0042232052499</v>
      </c>
      <c r="AD6941" s="2">
        <v>1035.0753145733599</v>
      </c>
      <c r="AE6941" s="2">
        <v>915.97764736663805</v>
      </c>
      <c r="AF6941" s="2">
        <v>1083.54146345344</v>
      </c>
      <c r="AG6941" s="2">
        <v>969.03740407080204</v>
      </c>
      <c r="AH6941" s="2">
        <v>949.53033755227796</v>
      </c>
      <c r="AI6941" s="2">
        <v>1096.38087413627</v>
      </c>
      <c r="AJ6941" s="2">
        <v>1321.55761265207</v>
      </c>
      <c r="AK6941" s="2">
        <v>922.95705063406001</v>
      </c>
      <c r="AL6941" s="2">
        <v>1210.954586953</v>
      </c>
      <c r="AM6941" s="2">
        <v>1190.5944388175101</v>
      </c>
      <c r="AN6941" s="2">
        <v>683.81457554623398</v>
      </c>
      <c r="AO6941" s="2">
        <v>1210.2841674434801</v>
      </c>
      <c r="AP6941" s="2">
        <v>991.84706804587404</v>
      </c>
    </row>
    <row r="6942" spans="1:42" ht="14.5" x14ac:dyDescent="0.35">
      <c r="A6942" s="2" t="s">
        <v>46029</v>
      </c>
      <c r="B6942" s="2">
        <v>207.01742489242</v>
      </c>
      <c r="C6942" s="2">
        <v>10.4180166666667</v>
      </c>
      <c r="D6942" s="2" t="s">
        <v>34</v>
      </c>
      <c r="E6942" s="2" t="s">
        <v>46030</v>
      </c>
      <c r="F6942" s="2">
        <v>81820</v>
      </c>
      <c r="G6942" s="3" t="str">
        <f>HYPERLINK("http://funmeta.oebiotech.com/network/81820", "http://funmeta.oebiotech.com/network/81820")</f>
        <v>http://funmeta.oebiotech.com/network/81820</v>
      </c>
      <c r="H6942" s="2" t="s">
        <v>46031</v>
      </c>
      <c r="I6942" s="2"/>
      <c r="J6942" s="2"/>
      <c r="K6942" s="2"/>
      <c r="L6942" s="2"/>
      <c r="M6942" s="2"/>
      <c r="N6942" s="2"/>
      <c r="O6942" s="2">
        <v>21126202</v>
      </c>
      <c r="P6942" s="2" t="s">
        <v>46032</v>
      </c>
      <c r="Q6942" s="2" t="s">
        <v>46033</v>
      </c>
      <c r="R6942" s="2" t="s">
        <v>46034</v>
      </c>
      <c r="S6942" s="2" t="s">
        <v>89</v>
      </c>
      <c r="T6942" s="2" t="s">
        <v>90</v>
      </c>
      <c r="U6942" s="2" t="s">
        <v>99</v>
      </c>
      <c r="V6942" s="2" t="s">
        <v>59</v>
      </c>
      <c r="W6942" s="2">
        <v>39.200000000000003</v>
      </c>
      <c r="X6942" s="2">
        <v>3.54</v>
      </c>
      <c r="Y6942" s="2" t="s">
        <v>340</v>
      </c>
      <c r="Z6942" s="2" t="s">
        <v>28409</v>
      </c>
      <c r="AA6942" s="2">
        <v>4.6097678210869102</v>
      </c>
      <c r="AB6942" s="2">
        <v>4.47044924881412E-3</v>
      </c>
      <c r="AC6942" s="2">
        <v>143309.00693649499</v>
      </c>
      <c r="AD6942" s="2">
        <v>143272.325428868</v>
      </c>
      <c r="AE6942" s="2">
        <v>143332.178059475</v>
      </c>
      <c r="AF6942" s="2">
        <v>152837.12857897999</v>
      </c>
      <c r="AG6942" s="2">
        <v>147433.55784987399</v>
      </c>
      <c r="AH6942" s="2">
        <v>140072.77477392901</v>
      </c>
      <c r="AI6942" s="2">
        <v>134462.50604618801</v>
      </c>
      <c r="AJ6942" s="2">
        <v>141715.89631052499</v>
      </c>
      <c r="AK6942" s="2">
        <v>146018.72690307899</v>
      </c>
      <c r="AL6942" s="2">
        <v>145364.725906976</v>
      </c>
      <c r="AM6942" s="2">
        <v>127524.29959221301</v>
      </c>
      <c r="AN6942" s="2">
        <v>146880.66569787599</v>
      </c>
      <c r="AO6942" s="2">
        <v>149037.41558379601</v>
      </c>
      <c r="AP6942" s="2">
        <v>144808.11888927</v>
      </c>
    </row>
    <row r="6943" spans="1:42" ht="14.5" x14ac:dyDescent="0.35">
      <c r="A6943" s="2" t="s">
        <v>46035</v>
      </c>
      <c r="B6943" s="2">
        <v>598.98546572887597</v>
      </c>
      <c r="C6943" s="2">
        <v>1.05673333333333</v>
      </c>
      <c r="D6943" s="2" t="s">
        <v>70</v>
      </c>
      <c r="E6943" s="2" t="s">
        <v>46036</v>
      </c>
      <c r="F6943" s="2">
        <v>257077</v>
      </c>
      <c r="G6943" s="3" t="str">
        <f>HYPERLINK("http://funmeta.oebiotech.com/network/257077", "http://funmeta.oebiotech.com/network/257077")</f>
        <v>http://funmeta.oebiotech.com/network/257077</v>
      </c>
      <c r="H6943" s="2" t="s">
        <v>46037</v>
      </c>
      <c r="I6943" s="2"/>
      <c r="J6943" s="2"/>
      <c r="K6943" s="2"/>
      <c r="L6943" s="2"/>
      <c r="M6943" s="2"/>
      <c r="N6943" s="2"/>
      <c r="O6943" s="2">
        <v>74413945</v>
      </c>
      <c r="P6943" s="2"/>
      <c r="Q6943" s="2" t="s">
        <v>46038</v>
      </c>
      <c r="R6943" s="2" t="s">
        <v>46039</v>
      </c>
      <c r="S6943" s="2" t="s">
        <v>1444</v>
      </c>
      <c r="T6943" s="2" t="s">
        <v>4937</v>
      </c>
      <c r="U6943" s="2" t="s">
        <v>17696</v>
      </c>
      <c r="V6943" s="2" t="s">
        <v>59</v>
      </c>
      <c r="W6943" s="2">
        <v>38.200000000000003</v>
      </c>
      <c r="X6943" s="2">
        <v>3.0499999999999999E-2</v>
      </c>
      <c r="Y6943" s="2" t="s">
        <v>792</v>
      </c>
      <c r="Z6943" s="2" t="s">
        <v>46040</v>
      </c>
      <c r="AA6943" s="2">
        <v>-1.06405047805441</v>
      </c>
      <c r="AB6943" s="2">
        <v>4.4471805840534603E-3</v>
      </c>
      <c r="AC6943" s="2">
        <v>8965.1254753301491</v>
      </c>
      <c r="AD6943" s="2">
        <v>8818.9243309672092</v>
      </c>
      <c r="AE6943" s="2">
        <v>9909.00232263611</v>
      </c>
      <c r="AF6943" s="2">
        <v>7202.3025577807703</v>
      </c>
      <c r="AG6943" s="2">
        <v>7117.4024171496203</v>
      </c>
      <c r="AH6943" s="2">
        <v>11218.6191008565</v>
      </c>
      <c r="AI6943" s="2">
        <v>8848.7039609103995</v>
      </c>
      <c r="AJ6943" s="2">
        <v>9494.7224926474901</v>
      </c>
      <c r="AK6943" s="2">
        <v>6836.5132295249296</v>
      </c>
      <c r="AL6943" s="2">
        <v>5180.7356529545596</v>
      </c>
      <c r="AM6943" s="2">
        <v>25528.286629205501</v>
      </c>
      <c r="AN6943" s="2">
        <v>5614.0795684697396</v>
      </c>
      <c r="AO6943" s="2">
        <v>5004.4314492573703</v>
      </c>
      <c r="AP6943" s="2">
        <v>4749.4994563911696</v>
      </c>
    </row>
    <row r="6944" spans="1:42" ht="14.5" x14ac:dyDescent="0.35">
      <c r="A6944" s="2" t="s">
        <v>46041</v>
      </c>
      <c r="B6944" s="2">
        <v>307.018328304031</v>
      </c>
      <c r="C6944" s="2">
        <v>8.8120999999999992</v>
      </c>
      <c r="D6944" s="2" t="s">
        <v>70</v>
      </c>
      <c r="E6944" s="2" t="s">
        <v>46042</v>
      </c>
      <c r="F6944" s="2">
        <v>258343</v>
      </c>
      <c r="G6944" s="3" t="str">
        <f>HYPERLINK("http://funmeta.oebiotech.com/network/258343", "http://funmeta.oebiotech.com/network/258343")</f>
        <v>http://funmeta.oebiotech.com/network/258343</v>
      </c>
      <c r="H6944" s="2"/>
      <c r="I6944" s="2">
        <v>4118</v>
      </c>
      <c r="J6944" s="2"/>
      <c r="K6944" s="2"/>
      <c r="L6944" s="2" t="s">
        <v>46043</v>
      </c>
      <c r="M6944" s="2"/>
      <c r="N6944" s="2"/>
      <c r="O6944" s="2">
        <v>446094</v>
      </c>
      <c r="P6944" s="2" t="s">
        <v>46044</v>
      </c>
      <c r="Q6944" s="2" t="s">
        <v>46045</v>
      </c>
      <c r="R6944" s="2" t="s">
        <v>46046</v>
      </c>
      <c r="S6944" s="2" t="s">
        <v>79</v>
      </c>
      <c r="T6944" s="2" t="s">
        <v>80</v>
      </c>
      <c r="U6944" s="2" t="s">
        <v>2021</v>
      </c>
      <c r="V6944" s="2" t="s">
        <v>59</v>
      </c>
      <c r="W6944" s="2">
        <v>37.1</v>
      </c>
      <c r="X6944" s="2">
        <v>0</v>
      </c>
      <c r="Y6944" s="2" t="s">
        <v>560</v>
      </c>
      <c r="Z6944" s="2" t="s">
        <v>46047</v>
      </c>
      <c r="AA6944" s="2">
        <v>3.7711825054049299</v>
      </c>
      <c r="AB6944" s="2">
        <v>4.2984243593301597E-3</v>
      </c>
      <c r="AC6944" s="2">
        <v>2387.1982598521099</v>
      </c>
      <c r="AD6944" s="2">
        <v>2367.8404456039102</v>
      </c>
      <c r="AE6944" s="2">
        <v>2529.5626545915702</v>
      </c>
      <c r="AF6944" s="2">
        <v>2279.1844515880998</v>
      </c>
      <c r="AG6944" s="2">
        <v>2504.9432840715599</v>
      </c>
      <c r="AH6944" s="2">
        <v>2444.21656232129</v>
      </c>
      <c r="AI6944" s="2">
        <v>2508.4303404177899</v>
      </c>
      <c r="AJ6944" s="2">
        <v>2056.8522661223401</v>
      </c>
      <c r="AK6944" s="2">
        <v>2544.5744513108398</v>
      </c>
      <c r="AL6944" s="2">
        <v>2260.0739103568098</v>
      </c>
      <c r="AM6944" s="2">
        <v>2463.0226599490602</v>
      </c>
      <c r="AN6944" s="2">
        <v>2298.59561244525</v>
      </c>
      <c r="AO6944" s="2">
        <v>2400.6842383441199</v>
      </c>
      <c r="AP6944" s="2">
        <v>2240.0918012173702</v>
      </c>
    </row>
    <row r="6945" spans="1:42" ht="14.5" x14ac:dyDescent="0.35">
      <c r="A6945" s="2" t="s">
        <v>46048</v>
      </c>
      <c r="B6945" s="2">
        <v>359.11234917228802</v>
      </c>
      <c r="C6945" s="2">
        <v>4.89903333333333</v>
      </c>
      <c r="D6945" s="2" t="s">
        <v>34</v>
      </c>
      <c r="E6945" s="2" t="s">
        <v>46049</v>
      </c>
      <c r="F6945" s="2">
        <v>32856</v>
      </c>
      <c r="G6945" s="3" t="str">
        <f>HYPERLINK("http://funmeta.oebiotech.com/network/32856", "http://funmeta.oebiotech.com/network/32856")</f>
        <v>http://funmeta.oebiotech.com/network/32856</v>
      </c>
      <c r="H6945" s="2"/>
      <c r="I6945" s="2">
        <v>44016</v>
      </c>
      <c r="J6945" s="2" t="s">
        <v>46050</v>
      </c>
      <c r="K6945" s="2">
        <v>85124</v>
      </c>
      <c r="L6945" s="2"/>
      <c r="M6945" s="2"/>
      <c r="N6945" s="2"/>
      <c r="O6945" s="2">
        <v>97142</v>
      </c>
      <c r="P6945" s="2" t="s">
        <v>46051</v>
      </c>
      <c r="Q6945" s="2" t="s">
        <v>46052</v>
      </c>
      <c r="R6945" s="2" t="s">
        <v>46053</v>
      </c>
      <c r="S6945" s="2" t="s">
        <v>115</v>
      </c>
      <c r="T6945" s="2" t="s">
        <v>139</v>
      </c>
      <c r="U6945" s="2" t="s">
        <v>1806</v>
      </c>
      <c r="V6945" s="2" t="s">
        <v>59</v>
      </c>
      <c r="W6945" s="2">
        <v>39.200000000000003</v>
      </c>
      <c r="X6945" s="2">
        <v>0</v>
      </c>
      <c r="Y6945" s="2" t="s">
        <v>394</v>
      </c>
      <c r="Z6945" s="2" t="s">
        <v>3064</v>
      </c>
      <c r="AA6945" s="2">
        <v>-0.50313110714895704</v>
      </c>
      <c r="AB6945" s="2">
        <v>4.2216032951892203E-3</v>
      </c>
      <c r="AC6945" s="2">
        <v>2157.7143093203599</v>
      </c>
      <c r="AD6945" s="2">
        <v>2194.6432223228599</v>
      </c>
      <c r="AE6945" s="2">
        <v>1765.13537019459</v>
      </c>
      <c r="AF6945" s="2">
        <v>3195.05631238141</v>
      </c>
      <c r="AG6945" s="2">
        <v>1815.9025522841901</v>
      </c>
      <c r="AH6945" s="2">
        <v>1711.86814363301</v>
      </c>
      <c r="AI6945" s="2">
        <v>2050.97959131064</v>
      </c>
      <c r="AJ6945" s="2">
        <v>2407.3438861183099</v>
      </c>
      <c r="AK6945" s="2">
        <v>1638.08428096375</v>
      </c>
      <c r="AL6945" s="2">
        <v>2468.1258116803001</v>
      </c>
      <c r="AM6945" s="2">
        <v>2438.38807012488</v>
      </c>
      <c r="AN6945" s="2">
        <v>2775.6702539303801</v>
      </c>
      <c r="AO6945" s="2">
        <v>1163.5617235224199</v>
      </c>
      <c r="AP6945" s="2">
        <v>2684.0291937154202</v>
      </c>
    </row>
    <row r="6946" spans="1:42" ht="14.5" x14ac:dyDescent="0.35">
      <c r="A6946" s="2" t="s">
        <v>46054</v>
      </c>
      <c r="B6946" s="2">
        <v>364.02851477625802</v>
      </c>
      <c r="C6946" s="2">
        <v>4.7039999999999997</v>
      </c>
      <c r="D6946" s="2" t="s">
        <v>70</v>
      </c>
      <c r="E6946" s="2" t="s">
        <v>46055</v>
      </c>
      <c r="F6946" s="2">
        <v>205456</v>
      </c>
      <c r="G6946" s="3" t="str">
        <f>HYPERLINK("http://funmeta.oebiotech.com/network/205456", "http://funmeta.oebiotech.com/network/205456")</f>
        <v>http://funmeta.oebiotech.com/network/205456</v>
      </c>
      <c r="H6946" s="2" t="s">
        <v>46056</v>
      </c>
      <c r="I6946" s="2"/>
      <c r="J6946" s="2"/>
      <c r="K6946" s="2"/>
      <c r="L6946" s="2"/>
      <c r="M6946" s="2"/>
      <c r="N6946" s="2"/>
      <c r="O6946" s="2"/>
      <c r="P6946" s="2"/>
      <c r="Q6946" s="2" t="s">
        <v>46057</v>
      </c>
      <c r="R6946" s="2" t="s">
        <v>46058</v>
      </c>
      <c r="S6946" s="2" t="s">
        <v>41</v>
      </c>
      <c r="T6946" s="2" t="s">
        <v>41</v>
      </c>
      <c r="U6946" s="2" t="s">
        <v>41</v>
      </c>
      <c r="V6946" s="2" t="s">
        <v>59</v>
      </c>
      <c r="W6946" s="2">
        <v>42</v>
      </c>
      <c r="X6946" s="2">
        <v>25.4</v>
      </c>
      <c r="Y6946" s="2" t="s">
        <v>751</v>
      </c>
      <c r="Z6946" s="2" t="s">
        <v>46059</v>
      </c>
      <c r="AA6946" s="2">
        <v>1.69530731514747</v>
      </c>
      <c r="AB6946" s="2">
        <v>4.2127628787733103E-3</v>
      </c>
      <c r="AC6946" s="2">
        <v>37697.881981905099</v>
      </c>
      <c r="AD6946" s="2">
        <v>37770.540831570703</v>
      </c>
      <c r="AE6946" s="2">
        <v>37917.899413933803</v>
      </c>
      <c r="AF6946" s="2">
        <v>39081.320671230002</v>
      </c>
      <c r="AG6946" s="2">
        <v>36008.5740632749</v>
      </c>
      <c r="AH6946" s="2">
        <v>37744.912374996398</v>
      </c>
      <c r="AI6946" s="2">
        <v>36282.347254889602</v>
      </c>
      <c r="AJ6946" s="2">
        <v>39152.238113105697</v>
      </c>
      <c r="AK6946" s="2">
        <v>41264.435947730002</v>
      </c>
      <c r="AL6946" s="2">
        <v>33461.27346086</v>
      </c>
      <c r="AM6946" s="2">
        <v>40709.969491113101</v>
      </c>
      <c r="AN6946" s="2">
        <v>35575.1831567029</v>
      </c>
      <c r="AO6946" s="2">
        <v>39175.108871767603</v>
      </c>
      <c r="AP6946" s="2">
        <v>36437.2740612505</v>
      </c>
    </row>
    <row r="6947" spans="1:42" ht="14.5" x14ac:dyDescent="0.35">
      <c r="A6947" s="2" t="s">
        <v>46060</v>
      </c>
      <c r="B6947" s="2">
        <v>629.12766604010505</v>
      </c>
      <c r="C6947" s="2">
        <v>4.3459666666666701</v>
      </c>
      <c r="D6947" s="2" t="s">
        <v>70</v>
      </c>
      <c r="E6947" s="2" t="s">
        <v>46061</v>
      </c>
      <c r="F6947" s="2">
        <v>56281</v>
      </c>
      <c r="G6947" s="3" t="str">
        <f>HYPERLINK("http://funmeta.oebiotech.com/network/56281", "http://funmeta.oebiotech.com/network/56281")</f>
        <v>http://funmeta.oebiotech.com/network/56281</v>
      </c>
      <c r="H6947" s="2" t="s">
        <v>46062</v>
      </c>
      <c r="I6947" s="2">
        <v>43289</v>
      </c>
      <c r="J6947" s="2"/>
      <c r="K6947" s="2">
        <v>35812</v>
      </c>
      <c r="L6947" s="2"/>
      <c r="M6947" s="2"/>
      <c r="N6947" s="2"/>
      <c r="O6947" s="2">
        <v>40854</v>
      </c>
      <c r="P6947" s="2" t="s">
        <v>46063</v>
      </c>
      <c r="Q6947" s="2" t="s">
        <v>46064</v>
      </c>
      <c r="R6947" s="2" t="s">
        <v>46065</v>
      </c>
      <c r="S6947" s="2" t="s">
        <v>491</v>
      </c>
      <c r="T6947" s="2" t="s">
        <v>15878</v>
      </c>
      <c r="U6947" s="2" t="s">
        <v>41</v>
      </c>
      <c r="V6947" s="2" t="s">
        <v>59</v>
      </c>
      <c r="W6947" s="2">
        <v>37.299999999999997</v>
      </c>
      <c r="X6947" s="2">
        <v>0</v>
      </c>
      <c r="Y6947" s="2" t="s">
        <v>560</v>
      </c>
      <c r="Z6947" s="2" t="s">
        <v>46066</v>
      </c>
      <c r="AA6947" s="2">
        <v>-0.92378203193160902</v>
      </c>
      <c r="AB6947" s="2">
        <v>4.1985037367817798E-3</v>
      </c>
      <c r="AC6947" s="2">
        <v>67107.730989525298</v>
      </c>
      <c r="AD6947" s="2">
        <v>67198.2670916223</v>
      </c>
      <c r="AE6947" s="2">
        <v>66153.087454103006</v>
      </c>
      <c r="AF6947" s="2">
        <v>66936.234482539105</v>
      </c>
      <c r="AG6947" s="2">
        <v>61714.648596379498</v>
      </c>
      <c r="AH6947" s="2">
        <v>75777.3586653901</v>
      </c>
      <c r="AI6947" s="2">
        <v>65583.782974747402</v>
      </c>
      <c r="AJ6947" s="2">
        <v>66481.273763992402</v>
      </c>
      <c r="AK6947" s="2">
        <v>62703.5815154499</v>
      </c>
      <c r="AL6947" s="2">
        <v>67633.242148030797</v>
      </c>
      <c r="AM6947" s="2">
        <v>76602.386008407193</v>
      </c>
      <c r="AN6947" s="2">
        <v>63322.050532069603</v>
      </c>
      <c r="AO6947" s="2">
        <v>71841.538365806395</v>
      </c>
      <c r="AP6947" s="2">
        <v>61086.803979969998</v>
      </c>
    </row>
    <row r="6948" spans="1:42" ht="14.5" x14ac:dyDescent="0.35">
      <c r="A6948" s="2" t="s">
        <v>46067</v>
      </c>
      <c r="B6948" s="2">
        <v>821.42844041134299</v>
      </c>
      <c r="C6948" s="2">
        <v>9.9015833333333294</v>
      </c>
      <c r="D6948" s="2" t="s">
        <v>34</v>
      </c>
      <c r="E6948" s="2" t="s">
        <v>46068</v>
      </c>
      <c r="F6948" s="2">
        <v>42</v>
      </c>
      <c r="G6948" s="3" t="str">
        <f>HYPERLINK("http://funmeta.oebiotech.com/network/42", "http://funmeta.oebiotech.com/network/42")</f>
        <v>http://funmeta.oebiotech.com/network/42</v>
      </c>
      <c r="H6948" s="2"/>
      <c r="I6948" s="2"/>
      <c r="J6948" s="2" t="s">
        <v>46069</v>
      </c>
      <c r="K6948" s="2"/>
      <c r="L6948" s="2"/>
      <c r="M6948" s="2"/>
      <c r="N6948" s="2"/>
      <c r="O6948" s="2">
        <v>102203989</v>
      </c>
      <c r="P6948" s="2"/>
      <c r="Q6948" s="2" t="s">
        <v>46070</v>
      </c>
      <c r="R6948" s="2" t="s">
        <v>46071</v>
      </c>
      <c r="S6948" s="2" t="s">
        <v>89</v>
      </c>
      <c r="T6948" s="2" t="s">
        <v>90</v>
      </c>
      <c r="U6948" s="2" t="s">
        <v>1248</v>
      </c>
      <c r="V6948" s="2" t="s">
        <v>59</v>
      </c>
      <c r="W6948" s="2">
        <v>37.6</v>
      </c>
      <c r="X6948" s="2">
        <v>0</v>
      </c>
      <c r="Y6948" s="2" t="s">
        <v>340</v>
      </c>
      <c r="Z6948" s="2" t="s">
        <v>46072</v>
      </c>
      <c r="AA6948" s="2">
        <v>-1.41070151608366</v>
      </c>
      <c r="AB6948" s="2">
        <v>4.14737007137934E-3</v>
      </c>
      <c r="AC6948" s="2">
        <v>31888.238601501998</v>
      </c>
      <c r="AD6948" s="2">
        <v>31951.982487558598</v>
      </c>
      <c r="AE6948" s="2">
        <v>30243.5274483955</v>
      </c>
      <c r="AF6948" s="2">
        <v>27195.7287390743</v>
      </c>
      <c r="AG6948" s="2">
        <v>31993.0904191216</v>
      </c>
      <c r="AH6948" s="2">
        <v>34522.428327806498</v>
      </c>
      <c r="AI6948" s="2">
        <v>31503.976106044898</v>
      </c>
      <c r="AJ6948" s="2">
        <v>35870.680568569398</v>
      </c>
      <c r="AK6948" s="2">
        <v>32852.320452962398</v>
      </c>
      <c r="AL6948" s="2">
        <v>31548.539262325699</v>
      </c>
      <c r="AM6948" s="2">
        <v>34652.415718326098</v>
      </c>
      <c r="AN6948" s="2">
        <v>30237.3509259192</v>
      </c>
      <c r="AO6948" s="2">
        <v>30944.510488225598</v>
      </c>
      <c r="AP6948" s="2">
        <v>31476.7580775926</v>
      </c>
    </row>
    <row r="6949" spans="1:42" ht="14.5" x14ac:dyDescent="0.35">
      <c r="A6949" s="2" t="s">
        <v>46073</v>
      </c>
      <c r="B6949" s="2">
        <v>286.23810077977299</v>
      </c>
      <c r="C6949" s="2">
        <v>9.2734333333333296</v>
      </c>
      <c r="D6949" s="2" t="s">
        <v>34</v>
      </c>
      <c r="E6949" s="2" t="s">
        <v>46074</v>
      </c>
      <c r="F6949" s="2">
        <v>266520</v>
      </c>
      <c r="G6949" s="3" t="str">
        <f>HYPERLINK("http://funmeta.oebiotech.com/network/266520", "http://funmeta.oebiotech.com/network/266520")</f>
        <v>http://funmeta.oebiotech.com/network/266520</v>
      </c>
      <c r="H6949" s="2"/>
      <c r="I6949" s="2">
        <v>43446</v>
      </c>
      <c r="J6949" s="2"/>
      <c r="K6949" s="2"/>
      <c r="L6949" s="2"/>
      <c r="M6949" s="2"/>
      <c r="N6949" s="2"/>
      <c r="O6949" s="2">
        <v>5353760</v>
      </c>
      <c r="P6949" s="2" t="s">
        <v>46075</v>
      </c>
      <c r="Q6949" s="2" t="s">
        <v>46076</v>
      </c>
      <c r="R6949" s="2" t="s">
        <v>46077</v>
      </c>
      <c r="S6949" s="2" t="s">
        <v>50</v>
      </c>
      <c r="T6949" s="2" t="s">
        <v>201</v>
      </c>
      <c r="U6949" s="2" t="s">
        <v>636</v>
      </c>
      <c r="V6949" s="2" t="s">
        <v>59</v>
      </c>
      <c r="W6949" s="2">
        <v>39.1</v>
      </c>
      <c r="X6949" s="2">
        <v>0</v>
      </c>
      <c r="Y6949" s="2" t="s">
        <v>43</v>
      </c>
      <c r="Z6949" s="2" t="s">
        <v>9746</v>
      </c>
      <c r="AA6949" s="2">
        <v>1.6050967987301401</v>
      </c>
      <c r="AB6949" s="2">
        <v>4.0973513033595501E-3</v>
      </c>
      <c r="AC6949" s="2">
        <v>3221.5324365332299</v>
      </c>
      <c r="AD6949" s="2">
        <v>3246.9308766546901</v>
      </c>
      <c r="AE6949" s="2">
        <v>3124.2038281059199</v>
      </c>
      <c r="AF6949" s="2">
        <v>3352.0957540493</v>
      </c>
      <c r="AG6949" s="2">
        <v>3291.6107034899401</v>
      </c>
      <c r="AH6949" s="2">
        <v>3264.4494564558599</v>
      </c>
      <c r="AI6949" s="2">
        <v>2984.3042035307999</v>
      </c>
      <c r="AJ6949" s="2">
        <v>3312.5306735675699</v>
      </c>
      <c r="AK6949" s="2">
        <v>3557.2222657111101</v>
      </c>
      <c r="AL6949" s="2">
        <v>3701.3224746125302</v>
      </c>
      <c r="AM6949" s="2">
        <v>3135.4410764336899</v>
      </c>
      <c r="AN6949" s="2">
        <v>3026.0584013179</v>
      </c>
      <c r="AO6949" s="2">
        <v>3083.1610641010702</v>
      </c>
      <c r="AP6949" s="2">
        <v>2978.3799777518302</v>
      </c>
    </row>
    <row r="6950" spans="1:42" ht="14.5" x14ac:dyDescent="0.35">
      <c r="A6950" s="2" t="s">
        <v>46078</v>
      </c>
      <c r="B6950" s="2">
        <v>191.10659249106101</v>
      </c>
      <c r="C6950" s="2">
        <v>5.2493499999999997</v>
      </c>
      <c r="D6950" s="2" t="s">
        <v>34</v>
      </c>
      <c r="E6950" s="2" t="s">
        <v>46079</v>
      </c>
      <c r="F6950" s="2">
        <v>57962</v>
      </c>
      <c r="G6950" s="3" t="str">
        <f>HYPERLINK("http://funmeta.oebiotech.com/network/57962", "http://funmeta.oebiotech.com/network/57962")</f>
        <v>http://funmeta.oebiotech.com/network/57962</v>
      </c>
      <c r="H6950" s="2" t="s">
        <v>46080</v>
      </c>
      <c r="I6950" s="2">
        <v>68334</v>
      </c>
      <c r="J6950" s="2"/>
      <c r="K6950" s="2"/>
      <c r="L6950" s="2" t="s">
        <v>46081</v>
      </c>
      <c r="M6950" s="2"/>
      <c r="N6950" s="2"/>
      <c r="O6950" s="2">
        <v>10248</v>
      </c>
      <c r="P6950" s="2" t="s">
        <v>46082</v>
      </c>
      <c r="Q6950" s="2" t="s">
        <v>46083</v>
      </c>
      <c r="R6950" s="2" t="s">
        <v>46084</v>
      </c>
      <c r="S6950" s="2" t="s">
        <v>148</v>
      </c>
      <c r="T6950" s="2" t="s">
        <v>3772</v>
      </c>
      <c r="U6950" s="2" t="s">
        <v>18665</v>
      </c>
      <c r="V6950" s="2" t="s">
        <v>59</v>
      </c>
      <c r="W6950" s="2">
        <v>38.6</v>
      </c>
      <c r="X6950" s="2">
        <v>0</v>
      </c>
      <c r="Y6950" s="2" t="s">
        <v>141</v>
      </c>
      <c r="Z6950" s="2" t="s">
        <v>46085</v>
      </c>
      <c r="AA6950" s="2">
        <v>-0.30575539968531701</v>
      </c>
      <c r="AB6950" s="2">
        <v>4.0626570606550104E-3</v>
      </c>
      <c r="AC6950" s="2">
        <v>2702.7977394967902</v>
      </c>
      <c r="AD6950" s="2">
        <v>2672.9926707552199</v>
      </c>
      <c r="AE6950" s="2">
        <v>2433.8023011659402</v>
      </c>
      <c r="AF6950" s="2">
        <v>2397.2928404470099</v>
      </c>
      <c r="AG6950" s="2">
        <v>3114.3277790228499</v>
      </c>
      <c r="AH6950" s="2">
        <v>2358.1721002931999</v>
      </c>
      <c r="AI6950" s="2">
        <v>3055.6702271731101</v>
      </c>
      <c r="AJ6950" s="2">
        <v>2857.5211888786498</v>
      </c>
      <c r="AK6950" s="2">
        <v>2176.7393266696299</v>
      </c>
      <c r="AL6950" s="2">
        <v>3108.0256349019701</v>
      </c>
      <c r="AM6950" s="2">
        <v>2538.8445906552802</v>
      </c>
      <c r="AN6950" s="2">
        <v>2549.1502138406199</v>
      </c>
      <c r="AO6950" s="2">
        <v>3318.7155840658202</v>
      </c>
      <c r="AP6950" s="2">
        <v>2346.4806743979898</v>
      </c>
    </row>
    <row r="6951" spans="1:42" ht="14.5" x14ac:dyDescent="0.35">
      <c r="A6951" s="2" t="s">
        <v>46086</v>
      </c>
      <c r="B6951" s="2">
        <v>274.91847836303998</v>
      </c>
      <c r="C6951" s="2">
        <v>0.56845000000000001</v>
      </c>
      <c r="D6951" s="2" t="s">
        <v>70</v>
      </c>
      <c r="E6951" s="2" t="s">
        <v>46087</v>
      </c>
      <c r="F6951" s="2">
        <v>60272</v>
      </c>
      <c r="G6951" s="3" t="str">
        <f>HYPERLINK("http://funmeta.oebiotech.com/network/60272", "http://funmeta.oebiotech.com/network/60272")</f>
        <v>http://funmeta.oebiotech.com/network/60272</v>
      </c>
      <c r="H6951" s="2" t="s">
        <v>46088</v>
      </c>
      <c r="I6951" s="2">
        <v>91647</v>
      </c>
      <c r="J6951" s="2"/>
      <c r="K6951" s="2">
        <v>39196</v>
      </c>
      <c r="L6951" s="2"/>
      <c r="M6951" s="2"/>
      <c r="N6951" s="2"/>
      <c r="O6951" s="2">
        <v>9264</v>
      </c>
      <c r="P6951" s="2" t="s">
        <v>46089</v>
      </c>
      <c r="Q6951" s="2" t="s">
        <v>46090</v>
      </c>
      <c r="R6951" s="2" t="s">
        <v>46091</v>
      </c>
      <c r="S6951" s="2" t="s">
        <v>491</v>
      </c>
      <c r="T6951" s="2" t="s">
        <v>39691</v>
      </c>
      <c r="U6951" s="2" t="s">
        <v>41</v>
      </c>
      <c r="V6951" s="2" t="s">
        <v>59</v>
      </c>
      <c r="W6951" s="2">
        <v>36.1</v>
      </c>
      <c r="X6951" s="2">
        <v>0</v>
      </c>
      <c r="Y6951" s="2" t="s">
        <v>560</v>
      </c>
      <c r="Z6951" s="2" t="s">
        <v>46092</v>
      </c>
      <c r="AA6951" s="2">
        <v>-2.07153049592001</v>
      </c>
      <c r="AB6951" s="2">
        <v>3.9727608585538197E-3</v>
      </c>
      <c r="AC6951" s="2">
        <v>1717.7616017538001</v>
      </c>
      <c r="AD6951" s="2">
        <v>1692.96610930816</v>
      </c>
      <c r="AE6951" s="2">
        <v>2523.9379333005099</v>
      </c>
      <c r="AF6951" s="2">
        <v>2401.5817967410098</v>
      </c>
      <c r="AG6951" s="2">
        <v>1505.8257006102201</v>
      </c>
      <c r="AH6951" s="2">
        <v>1335.0711042810201</v>
      </c>
      <c r="AI6951" s="2">
        <v>1058.0845264846901</v>
      </c>
      <c r="AJ6951" s="2">
        <v>1482.06854910533</v>
      </c>
      <c r="AK6951" s="2">
        <v>2251.7442182794298</v>
      </c>
      <c r="AL6951" s="2">
        <v>1876.61486607548</v>
      </c>
      <c r="AM6951" s="2">
        <v>1914.4460158035599</v>
      </c>
      <c r="AN6951" s="2">
        <v>1722.2809617338701</v>
      </c>
      <c r="AO6951" s="2">
        <v>1117.2652423254499</v>
      </c>
      <c r="AP6951" s="2">
        <v>1275.4453516311501</v>
      </c>
    </row>
    <row r="6952" spans="1:42" ht="14.5" x14ac:dyDescent="0.35">
      <c r="A6952" s="2" t="s">
        <v>46093</v>
      </c>
      <c r="B6952" s="2">
        <v>353.14230531514102</v>
      </c>
      <c r="C6952" s="2">
        <v>12.375349999999999</v>
      </c>
      <c r="D6952" s="2" t="s">
        <v>70</v>
      </c>
      <c r="E6952" s="2" t="s">
        <v>46094</v>
      </c>
      <c r="F6952" s="2">
        <v>51960</v>
      </c>
      <c r="G6952" s="3" t="str">
        <f>HYPERLINK("http://funmeta.oebiotech.com/network/51960", "http://funmeta.oebiotech.com/network/51960")</f>
        <v>http://funmeta.oebiotech.com/network/51960</v>
      </c>
      <c r="H6952" s="2" t="s">
        <v>46095</v>
      </c>
      <c r="I6952" s="2"/>
      <c r="J6952" s="2"/>
      <c r="K6952" s="2"/>
      <c r="L6952" s="2"/>
      <c r="M6952" s="2"/>
      <c r="N6952" s="2"/>
      <c r="O6952" s="2">
        <v>21126175</v>
      </c>
      <c r="P6952" s="2" t="s">
        <v>46096</v>
      </c>
      <c r="Q6952" s="2" t="s">
        <v>46097</v>
      </c>
      <c r="R6952" s="2" t="s">
        <v>46098</v>
      </c>
      <c r="S6952" s="2" t="s">
        <v>89</v>
      </c>
      <c r="T6952" s="2" t="s">
        <v>90</v>
      </c>
      <c r="U6952" s="2" t="s">
        <v>99</v>
      </c>
      <c r="V6952" s="2" t="s">
        <v>59</v>
      </c>
      <c r="W6952" s="2">
        <v>38.6</v>
      </c>
      <c r="X6952" s="2">
        <v>0</v>
      </c>
      <c r="Y6952" s="2" t="s">
        <v>560</v>
      </c>
      <c r="Z6952" s="2" t="s">
        <v>46099</v>
      </c>
      <c r="AA6952" s="2">
        <v>-0.93164975634059699</v>
      </c>
      <c r="AB6952" s="2">
        <v>3.9312283206355304E-3</v>
      </c>
      <c r="AC6952" s="2">
        <v>2589.3799213478301</v>
      </c>
      <c r="AD6952" s="2">
        <v>2551.2935712845601</v>
      </c>
      <c r="AE6952" s="2">
        <v>2649.8994194039201</v>
      </c>
      <c r="AF6952" s="2">
        <v>1743.35652773781</v>
      </c>
      <c r="AG6952" s="2">
        <v>2207.5776609233098</v>
      </c>
      <c r="AH6952" s="2">
        <v>3620.8842249936502</v>
      </c>
      <c r="AI6952" s="2">
        <v>3098.5778228632198</v>
      </c>
      <c r="AJ6952" s="2">
        <v>2215.9838721650899</v>
      </c>
      <c r="AK6952" s="2">
        <v>1971.5934984738501</v>
      </c>
      <c r="AL6952" s="2">
        <v>3028.38673272919</v>
      </c>
      <c r="AM6952" s="2">
        <v>2461.5731215098399</v>
      </c>
      <c r="AN6952" s="2">
        <v>3018.3161264386299</v>
      </c>
      <c r="AO6952" s="2">
        <v>2248.4171808194801</v>
      </c>
      <c r="AP6952" s="2">
        <v>2579.4747677363498</v>
      </c>
    </row>
    <row r="6953" spans="1:42" ht="14.5" x14ac:dyDescent="0.35">
      <c r="A6953" s="2" t="s">
        <v>46100</v>
      </c>
      <c r="B6953" s="2">
        <v>256.02229507941502</v>
      </c>
      <c r="C6953" s="2">
        <v>3.8797333333333301</v>
      </c>
      <c r="D6953" s="2" t="s">
        <v>70</v>
      </c>
      <c r="E6953" s="2" t="s">
        <v>46101</v>
      </c>
      <c r="F6953" s="2">
        <v>205492</v>
      </c>
      <c r="G6953" s="3" t="str">
        <f>HYPERLINK("http://funmeta.oebiotech.com/network/205492", "http://funmeta.oebiotech.com/network/205492")</f>
        <v>http://funmeta.oebiotech.com/network/205492</v>
      </c>
      <c r="H6953" s="2" t="s">
        <v>46102</v>
      </c>
      <c r="I6953" s="2"/>
      <c r="J6953" s="2"/>
      <c r="K6953" s="2"/>
      <c r="L6953" s="2"/>
      <c r="M6953" s="2"/>
      <c r="N6953" s="2"/>
      <c r="O6953" s="2">
        <v>3025834</v>
      </c>
      <c r="P6953" s="2"/>
      <c r="Q6953" s="2" t="s">
        <v>46103</v>
      </c>
      <c r="R6953" s="2" t="s">
        <v>46104</v>
      </c>
      <c r="S6953" s="2" t="s">
        <v>89</v>
      </c>
      <c r="T6953" s="2" t="s">
        <v>90</v>
      </c>
      <c r="U6953" s="2" t="s">
        <v>99</v>
      </c>
      <c r="V6953" s="2" t="s">
        <v>59</v>
      </c>
      <c r="W6953" s="2">
        <v>38.9</v>
      </c>
      <c r="X6953" s="2">
        <v>0</v>
      </c>
      <c r="Y6953" s="2" t="s">
        <v>408</v>
      </c>
      <c r="Z6953" s="2" t="s">
        <v>46105</v>
      </c>
      <c r="AA6953" s="2">
        <v>-2.2815515571370399</v>
      </c>
      <c r="AB6953" s="2">
        <v>3.8810688228711199E-3</v>
      </c>
      <c r="AC6953" s="2">
        <v>951.55145335300699</v>
      </c>
      <c r="AD6953" s="2">
        <v>968.96408765823901</v>
      </c>
      <c r="AE6953" s="2">
        <v>1111.2430967171099</v>
      </c>
      <c r="AF6953" s="2">
        <v>972.87204315250199</v>
      </c>
      <c r="AG6953" s="2">
        <v>845.32921435489504</v>
      </c>
      <c r="AH6953" s="2">
        <v>963.30002612574594</v>
      </c>
      <c r="AI6953" s="2">
        <v>689.14500516026999</v>
      </c>
      <c r="AJ6953" s="2">
        <v>1127.4193346075201</v>
      </c>
      <c r="AK6953" s="2">
        <v>858.39489369073203</v>
      </c>
      <c r="AL6953" s="2">
        <v>1111.56887852264</v>
      </c>
      <c r="AM6953" s="2">
        <v>896.48942068272004</v>
      </c>
      <c r="AN6953" s="2">
        <v>1066.2809658200899</v>
      </c>
      <c r="AO6953" s="2">
        <v>957.11493321764999</v>
      </c>
      <c r="AP6953" s="2">
        <v>923.93543401560498</v>
      </c>
    </row>
    <row r="6954" spans="1:42" ht="14.5" x14ac:dyDescent="0.35">
      <c r="A6954" s="2" t="s">
        <v>46106</v>
      </c>
      <c r="B6954" s="2">
        <v>992.44162159842199</v>
      </c>
      <c r="C6954" s="2">
        <v>10.07465</v>
      </c>
      <c r="D6954" s="2" t="s">
        <v>34</v>
      </c>
      <c r="E6954" s="2" t="s">
        <v>46107</v>
      </c>
      <c r="F6954" s="2">
        <v>199267</v>
      </c>
      <c r="G6954" s="3" t="str">
        <f>HYPERLINK("http://funmeta.oebiotech.com/network/199267", "http://funmeta.oebiotech.com/network/199267")</f>
        <v>http://funmeta.oebiotech.com/network/199267</v>
      </c>
      <c r="H6954" s="2" t="s">
        <v>46108</v>
      </c>
      <c r="I6954" s="2"/>
      <c r="J6954" s="2"/>
      <c r="K6954" s="2"/>
      <c r="L6954" s="2"/>
      <c r="M6954" s="2"/>
      <c r="N6954" s="2"/>
      <c r="O6954" s="2">
        <v>85043791</v>
      </c>
      <c r="P6954" s="2"/>
      <c r="Q6954" s="2" t="s">
        <v>46109</v>
      </c>
      <c r="R6954" s="2" t="s">
        <v>46110</v>
      </c>
      <c r="S6954" s="2" t="s">
        <v>41</v>
      </c>
      <c r="T6954" s="2" t="s">
        <v>41</v>
      </c>
      <c r="U6954" s="2" t="s">
        <v>41</v>
      </c>
      <c r="V6954" s="2" t="s">
        <v>59</v>
      </c>
      <c r="W6954" s="2">
        <v>37.1</v>
      </c>
      <c r="X6954" s="2">
        <v>0</v>
      </c>
      <c r="Y6954" s="2" t="s">
        <v>394</v>
      </c>
      <c r="Z6954" s="2" t="s">
        <v>46111</v>
      </c>
      <c r="AA6954" s="2">
        <v>-2.4679290777763598</v>
      </c>
      <c r="AB6954" s="2">
        <v>3.74959803471491E-3</v>
      </c>
      <c r="AC6954" s="2">
        <v>8914.5364665217894</v>
      </c>
      <c r="AD6954" s="2">
        <v>8875.6146180362393</v>
      </c>
      <c r="AE6954" s="2">
        <v>10083.3383753047</v>
      </c>
      <c r="AF6954" s="2">
        <v>7320.7407326593202</v>
      </c>
      <c r="AG6954" s="2">
        <v>8866.7729340379192</v>
      </c>
      <c r="AH6954" s="2">
        <v>9068.9817714485998</v>
      </c>
      <c r="AI6954" s="2">
        <v>9453.4401006138905</v>
      </c>
      <c r="AJ6954" s="2">
        <v>8693.9448850663302</v>
      </c>
      <c r="AK6954" s="2">
        <v>8154.5655343354902</v>
      </c>
      <c r="AL6954" s="2">
        <v>10003.2105053465</v>
      </c>
      <c r="AM6954" s="2">
        <v>8743.3625267413099</v>
      </c>
      <c r="AN6954" s="2">
        <v>8316.1220507062808</v>
      </c>
      <c r="AO6954" s="2">
        <v>9341.7751049020899</v>
      </c>
      <c r="AP6954" s="2">
        <v>8694.6519861857905</v>
      </c>
    </row>
    <row r="6955" spans="1:42" ht="14.5" x14ac:dyDescent="0.35">
      <c r="A6955" s="2" t="s">
        <v>46112</v>
      </c>
      <c r="B6955" s="2">
        <v>529.25727176032501</v>
      </c>
      <c r="C6955" s="2">
        <v>8.5734166666666702</v>
      </c>
      <c r="D6955" s="2" t="s">
        <v>70</v>
      </c>
      <c r="E6955" s="2" t="s">
        <v>46113</v>
      </c>
      <c r="F6955" s="2">
        <v>134856</v>
      </c>
      <c r="G6955" s="3" t="str">
        <f>HYPERLINK("http://funmeta.oebiotech.com/network/134856", "http://funmeta.oebiotech.com/network/134856")</f>
        <v>http://funmeta.oebiotech.com/network/134856</v>
      </c>
      <c r="H6955" s="2" t="s">
        <v>46114</v>
      </c>
      <c r="I6955" s="2"/>
      <c r="J6955" s="2"/>
      <c r="K6955" s="2"/>
      <c r="L6955" s="2"/>
      <c r="M6955" s="2"/>
      <c r="N6955" s="2"/>
      <c r="O6955" s="2">
        <v>25006226</v>
      </c>
      <c r="P6955" s="2"/>
      <c r="Q6955" s="2" t="s">
        <v>46115</v>
      </c>
      <c r="R6955" s="2" t="s">
        <v>46116</v>
      </c>
      <c r="S6955" s="2" t="s">
        <v>50</v>
      </c>
      <c r="T6955" s="2" t="s">
        <v>51</v>
      </c>
      <c r="U6955" s="2" t="s">
        <v>273</v>
      </c>
      <c r="V6955" s="2" t="s">
        <v>59</v>
      </c>
      <c r="W6955" s="2">
        <v>36.4</v>
      </c>
      <c r="X6955" s="2">
        <v>0</v>
      </c>
      <c r="Y6955" s="2" t="s">
        <v>408</v>
      </c>
      <c r="Z6955" s="2" t="s">
        <v>46117</v>
      </c>
      <c r="AA6955" s="2">
        <v>0.162327466289752</v>
      </c>
      <c r="AB6955" s="2">
        <v>3.6533205508163299E-3</v>
      </c>
      <c r="AC6955" s="2">
        <v>12308.1336940124</v>
      </c>
      <c r="AD6955" s="2">
        <v>12357.1311051434</v>
      </c>
      <c r="AE6955" s="2">
        <v>13913.9517208257</v>
      </c>
      <c r="AF6955" s="2">
        <v>11704.915139429901</v>
      </c>
      <c r="AG6955" s="2">
        <v>12517.7388364574</v>
      </c>
      <c r="AH6955" s="2">
        <v>11746.0625737051</v>
      </c>
      <c r="AI6955" s="2">
        <v>10602.492479312101</v>
      </c>
      <c r="AJ6955" s="2">
        <v>13363.6414143444</v>
      </c>
      <c r="AK6955" s="2">
        <v>11793.999400487401</v>
      </c>
      <c r="AL6955" s="2">
        <v>10816.981773576101</v>
      </c>
      <c r="AM6955" s="2">
        <v>13725.8318476109</v>
      </c>
      <c r="AN6955" s="2">
        <v>12421.144213203101</v>
      </c>
      <c r="AO6955" s="2">
        <v>12169.399610914699</v>
      </c>
      <c r="AP6955" s="2">
        <v>13215.4297850684</v>
      </c>
    </row>
    <row r="6956" spans="1:42" ht="14.5" x14ac:dyDescent="0.35">
      <c r="A6956" s="2" t="s">
        <v>46118</v>
      </c>
      <c r="B6956" s="2">
        <v>398.04660522512501</v>
      </c>
      <c r="C6956" s="2">
        <v>1.14778333333333</v>
      </c>
      <c r="D6956" s="2" t="s">
        <v>70</v>
      </c>
      <c r="E6956" s="2" t="s">
        <v>46119</v>
      </c>
      <c r="F6956" s="2">
        <v>205533</v>
      </c>
      <c r="G6956" s="3" t="str">
        <f>HYPERLINK("http://funmeta.oebiotech.com/network/205533", "http://funmeta.oebiotech.com/network/205533")</f>
        <v>http://funmeta.oebiotech.com/network/205533</v>
      </c>
      <c r="H6956" s="2" t="s">
        <v>46120</v>
      </c>
      <c r="I6956" s="2">
        <v>315217</v>
      </c>
      <c r="J6956" s="2"/>
      <c r="K6956" s="2"/>
      <c r="L6956" s="2"/>
      <c r="M6956" s="2"/>
      <c r="N6956" s="2"/>
      <c r="O6956" s="2">
        <v>54343</v>
      </c>
      <c r="P6956" s="2"/>
      <c r="Q6956" s="2" t="s">
        <v>46121</v>
      </c>
      <c r="R6956" s="2" t="s">
        <v>46122</v>
      </c>
      <c r="S6956" s="2" t="s">
        <v>148</v>
      </c>
      <c r="T6956" s="2" t="s">
        <v>149</v>
      </c>
      <c r="U6956" s="2" t="s">
        <v>4282</v>
      </c>
      <c r="V6956" s="2" t="s">
        <v>59</v>
      </c>
      <c r="W6956" s="2">
        <v>41.3</v>
      </c>
      <c r="X6956" s="2">
        <v>38.6</v>
      </c>
      <c r="Y6956" s="2" t="s">
        <v>408</v>
      </c>
      <c r="Z6956" s="2" t="s">
        <v>46123</v>
      </c>
      <c r="AA6956" s="2">
        <v>-1.286906972036</v>
      </c>
      <c r="AB6956" s="2">
        <v>3.5987913456619401E-3</v>
      </c>
      <c r="AC6956" s="2">
        <v>12460.4241368819</v>
      </c>
      <c r="AD6956" s="2">
        <v>12519.2780167275</v>
      </c>
      <c r="AE6956" s="2">
        <v>12951.354556046799</v>
      </c>
      <c r="AF6956" s="2">
        <v>11853.4125716989</v>
      </c>
      <c r="AG6956" s="2">
        <v>13232.9502065585</v>
      </c>
      <c r="AH6956" s="2">
        <v>12484.3256912328</v>
      </c>
      <c r="AI6956" s="2">
        <v>11715.468067423501</v>
      </c>
      <c r="AJ6956" s="2">
        <v>12525.0337283311</v>
      </c>
      <c r="AK6956" s="2">
        <v>12915.1578523316</v>
      </c>
      <c r="AL6956" s="2">
        <v>13036.949987870699</v>
      </c>
      <c r="AM6956" s="2">
        <v>8185.9984935719103</v>
      </c>
      <c r="AN6956" s="2">
        <v>14061.688870267901</v>
      </c>
      <c r="AO6956" s="2">
        <v>13030.630575438299</v>
      </c>
      <c r="AP6956" s="2">
        <v>13885.242320884699</v>
      </c>
    </row>
    <row r="6957" spans="1:42" ht="14.5" x14ac:dyDescent="0.35">
      <c r="A6957" s="2" t="s">
        <v>46124</v>
      </c>
      <c r="B6957" s="2">
        <v>305.10177584959001</v>
      </c>
      <c r="C6957" s="2">
        <v>4.3289999999999997</v>
      </c>
      <c r="D6957" s="2" t="s">
        <v>34</v>
      </c>
      <c r="E6957" s="2" t="s">
        <v>46125</v>
      </c>
      <c r="F6957" s="2">
        <v>209920</v>
      </c>
      <c r="G6957" s="3" t="str">
        <f>HYPERLINK("http://funmeta.oebiotech.com/network/209920", "http://funmeta.oebiotech.com/network/209920")</f>
        <v>http://funmeta.oebiotech.com/network/209920</v>
      </c>
      <c r="H6957" s="2" t="s">
        <v>46126</v>
      </c>
      <c r="I6957" s="2">
        <v>84988</v>
      </c>
      <c r="J6957" s="2"/>
      <c r="K6957" s="2"/>
      <c r="L6957" s="2"/>
      <c r="M6957" s="2"/>
      <c r="N6957" s="2"/>
      <c r="O6957" s="2">
        <v>483513</v>
      </c>
      <c r="P6957" s="2" t="s">
        <v>46127</v>
      </c>
      <c r="Q6957" s="2" t="s">
        <v>46128</v>
      </c>
      <c r="R6957" s="2" t="s">
        <v>46129</v>
      </c>
      <c r="S6957" s="2" t="s">
        <v>115</v>
      </c>
      <c r="T6957" s="2" t="s">
        <v>758</v>
      </c>
      <c r="U6957" s="2" t="s">
        <v>1477</v>
      </c>
      <c r="V6957" s="2" t="s">
        <v>59</v>
      </c>
      <c r="W6957" s="2">
        <v>38.6</v>
      </c>
      <c r="X6957" s="2">
        <v>0</v>
      </c>
      <c r="Y6957" s="2" t="s">
        <v>394</v>
      </c>
      <c r="Z6957" s="2" t="s">
        <v>46130</v>
      </c>
      <c r="AA6957" s="2">
        <v>-0.62090163837737899</v>
      </c>
      <c r="AB6957" s="2">
        <v>3.57104455187446E-3</v>
      </c>
      <c r="AC6957" s="2">
        <v>15979.2691503677</v>
      </c>
      <c r="AD6957" s="2">
        <v>16017.9004577875</v>
      </c>
      <c r="AE6957" s="2">
        <v>14971.038636864399</v>
      </c>
      <c r="AF6957" s="2">
        <v>14017.6591728066</v>
      </c>
      <c r="AG6957" s="2">
        <v>15966.8656667456</v>
      </c>
      <c r="AH6957" s="2">
        <v>14375.543735409499</v>
      </c>
      <c r="AI6957" s="2">
        <v>18039.2170518245</v>
      </c>
      <c r="AJ6957" s="2">
        <v>18505.2906385557</v>
      </c>
      <c r="AK6957" s="2">
        <v>15015.0974205533</v>
      </c>
      <c r="AL6957" s="2">
        <v>16599.373964256501</v>
      </c>
      <c r="AM6957" s="2">
        <v>13772.1159237873</v>
      </c>
      <c r="AN6957" s="2">
        <v>16697.2014699709</v>
      </c>
      <c r="AO6957" s="2">
        <v>15494.8489916334</v>
      </c>
      <c r="AP6957" s="2">
        <v>18528.7649765237</v>
      </c>
    </row>
    <row r="6958" spans="1:42" ht="14.5" x14ac:dyDescent="0.35">
      <c r="A6958" s="2" t="s">
        <v>46131</v>
      </c>
      <c r="B6958" s="2">
        <v>411.129080330764</v>
      </c>
      <c r="C6958" s="2">
        <v>4.5951666666666702</v>
      </c>
      <c r="D6958" s="2" t="s">
        <v>70</v>
      </c>
      <c r="E6958" s="2" t="s">
        <v>46132</v>
      </c>
      <c r="F6958" s="2">
        <v>203409</v>
      </c>
      <c r="G6958" s="3" t="str">
        <f>HYPERLINK("http://funmeta.oebiotech.com/network/203409", "http://funmeta.oebiotech.com/network/203409")</f>
        <v>http://funmeta.oebiotech.com/network/203409</v>
      </c>
      <c r="H6958" s="2" t="s">
        <v>46133</v>
      </c>
      <c r="I6958" s="2"/>
      <c r="J6958" s="2"/>
      <c r="K6958" s="2"/>
      <c r="L6958" s="2"/>
      <c r="M6958" s="2"/>
      <c r="N6958" s="2"/>
      <c r="O6958" s="2">
        <v>151496</v>
      </c>
      <c r="P6958" s="2"/>
      <c r="Q6958" s="2" t="s">
        <v>46134</v>
      </c>
      <c r="R6958" s="2" t="s">
        <v>46135</v>
      </c>
      <c r="S6958" s="2" t="s">
        <v>41</v>
      </c>
      <c r="T6958" s="2" t="s">
        <v>41</v>
      </c>
      <c r="U6958" s="2" t="s">
        <v>41</v>
      </c>
      <c r="V6958" s="2" t="s">
        <v>59</v>
      </c>
      <c r="W6958" s="2">
        <v>38.5</v>
      </c>
      <c r="X6958" s="2">
        <v>0</v>
      </c>
      <c r="Y6958" s="2" t="s">
        <v>560</v>
      </c>
      <c r="Z6958" s="2" t="s">
        <v>46136</v>
      </c>
      <c r="AA6958" s="2">
        <v>-4.6771078287545302</v>
      </c>
      <c r="AB6958" s="2">
        <v>3.54131994254335E-3</v>
      </c>
      <c r="AC6958" s="2">
        <v>6312.8446110684499</v>
      </c>
      <c r="AD6958" s="2">
        <v>6358.5703130537604</v>
      </c>
      <c r="AE6958" s="2">
        <v>5982.1187311601097</v>
      </c>
      <c r="AF6958" s="2">
        <v>6498.5447080875301</v>
      </c>
      <c r="AG6958" s="2">
        <v>7334.0228666313496</v>
      </c>
      <c r="AH6958" s="2">
        <v>6376.4392624716002</v>
      </c>
      <c r="AI6958" s="2">
        <v>4716.4134240753401</v>
      </c>
      <c r="AJ6958" s="2">
        <v>6969.5286739847897</v>
      </c>
      <c r="AK6958" s="2">
        <v>6342.2290493677501</v>
      </c>
      <c r="AL6958" s="2">
        <v>5053.8349777192498</v>
      </c>
      <c r="AM6958" s="2">
        <v>8566.2379977180608</v>
      </c>
      <c r="AN6958" s="2">
        <v>6944.8500841489004</v>
      </c>
      <c r="AO6958" s="2">
        <v>5411.50562076386</v>
      </c>
      <c r="AP6958" s="2">
        <v>5832.7641486047496</v>
      </c>
    </row>
    <row r="6959" spans="1:42" ht="14.5" x14ac:dyDescent="0.35">
      <c r="A6959" s="2" t="s">
        <v>46137</v>
      </c>
      <c r="B6959" s="2">
        <v>583.457530108431</v>
      </c>
      <c r="C6959" s="2">
        <v>11.3951333333333</v>
      </c>
      <c r="D6959" s="2" t="s">
        <v>70</v>
      </c>
      <c r="E6959" s="2" t="s">
        <v>46138</v>
      </c>
      <c r="F6959" s="2">
        <v>10892</v>
      </c>
      <c r="G6959" s="3" t="str">
        <f>HYPERLINK("http://funmeta.oebiotech.com/network/10892", "http://funmeta.oebiotech.com/network/10892")</f>
        <v>http://funmeta.oebiotech.com/network/10892</v>
      </c>
      <c r="H6959" s="2" t="s">
        <v>46139</v>
      </c>
      <c r="I6959" s="2">
        <v>58647</v>
      </c>
      <c r="J6959" s="2" t="s">
        <v>46140</v>
      </c>
      <c r="K6959" s="2">
        <v>84386</v>
      </c>
      <c r="L6959" s="2"/>
      <c r="M6959" s="2"/>
      <c r="N6959" s="2"/>
      <c r="O6959" s="2">
        <v>53477950</v>
      </c>
      <c r="P6959" s="2"/>
      <c r="Q6959" s="2" t="s">
        <v>46141</v>
      </c>
      <c r="R6959" s="2" t="s">
        <v>46142</v>
      </c>
      <c r="S6959" s="2" t="s">
        <v>50</v>
      </c>
      <c r="T6959" s="2" t="s">
        <v>448</v>
      </c>
      <c r="U6959" s="2" t="s">
        <v>1864</v>
      </c>
      <c r="V6959" s="2" t="s">
        <v>59</v>
      </c>
      <c r="W6959" s="2">
        <v>38.1</v>
      </c>
      <c r="X6959" s="2">
        <v>0</v>
      </c>
      <c r="Y6959" s="2" t="s">
        <v>408</v>
      </c>
      <c r="Z6959" s="2" t="s">
        <v>46143</v>
      </c>
      <c r="AA6959" s="2">
        <v>-0.73886251862414198</v>
      </c>
      <c r="AB6959" s="2">
        <v>3.4383721720755299E-3</v>
      </c>
      <c r="AC6959" s="2">
        <v>6211.9435810395298</v>
      </c>
      <c r="AD6959" s="2">
        <v>6175.9646304301596</v>
      </c>
      <c r="AE6959" s="2">
        <v>5367.1758408200103</v>
      </c>
      <c r="AF6959" s="2">
        <v>5400.6510631598803</v>
      </c>
      <c r="AG6959" s="2">
        <v>7740.8217538323397</v>
      </c>
      <c r="AH6959" s="2">
        <v>5845.9119533476396</v>
      </c>
      <c r="AI6959" s="2">
        <v>6813.19820522181</v>
      </c>
      <c r="AJ6959" s="2">
        <v>6103.9026698555199</v>
      </c>
      <c r="AK6959" s="2">
        <v>6470.2051378513997</v>
      </c>
      <c r="AL6959" s="2">
        <v>5817.9567605014399</v>
      </c>
      <c r="AM6959" s="2">
        <v>6373.7436620117696</v>
      </c>
      <c r="AN6959" s="2">
        <v>6539.81873659334</v>
      </c>
      <c r="AO6959" s="2">
        <v>5502.0696483135898</v>
      </c>
      <c r="AP6959" s="2">
        <v>6351.9938373094101</v>
      </c>
    </row>
    <row r="6960" spans="1:42" ht="14.5" x14ac:dyDescent="0.35">
      <c r="A6960" s="2" t="s">
        <v>46144</v>
      </c>
      <c r="B6960" s="2">
        <v>607.24255679971702</v>
      </c>
      <c r="C6960" s="2">
        <v>7.5627000000000004</v>
      </c>
      <c r="D6960" s="2" t="s">
        <v>70</v>
      </c>
      <c r="E6960" s="2" t="s">
        <v>46145</v>
      </c>
      <c r="F6960" s="2">
        <v>514042</v>
      </c>
      <c r="G6960" s="3" t="str">
        <f>HYPERLINK("http://funmeta.oebiotech.com/network/514042", "http://funmeta.oebiotech.com/network/514042")</f>
        <v>http://funmeta.oebiotech.com/network/514042</v>
      </c>
      <c r="H6960" s="2"/>
      <c r="I6960" s="2">
        <v>96351</v>
      </c>
      <c r="J6960" s="2"/>
      <c r="K6960" s="2"/>
      <c r="L6960" s="2"/>
      <c r="M6960" s="2"/>
      <c r="N6960" s="2"/>
      <c r="O6960" s="2">
        <v>222114</v>
      </c>
      <c r="P6960" s="2"/>
      <c r="Q6960" s="2" t="s">
        <v>46146</v>
      </c>
      <c r="R6960" s="2" t="s">
        <v>46147</v>
      </c>
      <c r="S6960" s="2" t="s">
        <v>148</v>
      </c>
      <c r="T6960" s="2" t="s">
        <v>149</v>
      </c>
      <c r="U6960" s="2" t="s">
        <v>4282</v>
      </c>
      <c r="V6960" s="2" t="s">
        <v>59</v>
      </c>
      <c r="W6960" s="2">
        <v>37.1</v>
      </c>
      <c r="X6960" s="2">
        <v>0</v>
      </c>
      <c r="Y6960" s="2" t="s">
        <v>560</v>
      </c>
      <c r="Z6960" s="2" t="s">
        <v>46148</v>
      </c>
      <c r="AA6960" s="2">
        <v>1.2091287590153601</v>
      </c>
      <c r="AB6960" s="2">
        <v>3.3802659502319499E-3</v>
      </c>
      <c r="AC6960" s="2">
        <v>1992.73911851977</v>
      </c>
      <c r="AD6960" s="2">
        <v>1970.50702214076</v>
      </c>
      <c r="AE6960" s="2">
        <v>2181.9834870607001</v>
      </c>
      <c r="AF6960" s="2">
        <v>1648.2895824965899</v>
      </c>
      <c r="AG6960" s="2">
        <v>2129.8920250952701</v>
      </c>
      <c r="AH6960" s="2">
        <v>2656.1881096981801</v>
      </c>
      <c r="AI6960" s="2">
        <v>1937.15789319596</v>
      </c>
      <c r="AJ6960" s="2">
        <v>1402.9236135719</v>
      </c>
      <c r="AK6960" s="2">
        <v>1715.2860332231701</v>
      </c>
      <c r="AL6960" s="2">
        <v>1895.49787233192</v>
      </c>
      <c r="AM6960" s="2">
        <v>2139.4516120363601</v>
      </c>
      <c r="AN6960" s="2">
        <v>2145.6231277461002</v>
      </c>
      <c r="AO6960" s="2">
        <v>1923.8270889062601</v>
      </c>
      <c r="AP6960" s="2">
        <v>2003.35639860073</v>
      </c>
    </row>
    <row r="6961" spans="1:42" ht="14.5" x14ac:dyDescent="0.35">
      <c r="A6961" s="2" t="s">
        <v>46149</v>
      </c>
      <c r="B6961" s="2">
        <v>153.06975429038499</v>
      </c>
      <c r="C6961" s="2">
        <v>9.5044666666666693</v>
      </c>
      <c r="D6961" s="2" t="s">
        <v>34</v>
      </c>
      <c r="E6961" s="2" t="s">
        <v>46150</v>
      </c>
      <c r="F6961" s="2">
        <v>203081</v>
      </c>
      <c r="G6961" s="3" t="str">
        <f>HYPERLINK("http://funmeta.oebiotech.com/network/203081", "http://funmeta.oebiotech.com/network/203081")</f>
        <v>http://funmeta.oebiotech.com/network/203081</v>
      </c>
      <c r="H6961" s="2" t="s">
        <v>46151</v>
      </c>
      <c r="I6961" s="2"/>
      <c r="J6961" s="2"/>
      <c r="K6961" s="2">
        <v>33081</v>
      </c>
      <c r="L6961" s="2"/>
      <c r="M6961" s="2"/>
      <c r="N6961" s="2"/>
      <c r="O6961" s="2">
        <v>9161</v>
      </c>
      <c r="P6961" s="2"/>
      <c r="Q6961" s="2" t="s">
        <v>46152</v>
      </c>
      <c r="R6961" s="2" t="s">
        <v>46153</v>
      </c>
      <c r="S6961" s="2" t="s">
        <v>148</v>
      </c>
      <c r="T6961" s="2" t="s">
        <v>46154</v>
      </c>
      <c r="U6961" s="2" t="s">
        <v>41</v>
      </c>
      <c r="V6961" s="2" t="s">
        <v>59</v>
      </c>
      <c r="W6961" s="2">
        <v>37.4</v>
      </c>
      <c r="X6961" s="2">
        <v>0</v>
      </c>
      <c r="Y6961" s="2" t="s">
        <v>394</v>
      </c>
      <c r="Z6961" s="2" t="s">
        <v>46155</v>
      </c>
      <c r="AA6961" s="2">
        <v>-0.80491965161289103</v>
      </c>
      <c r="AB6961" s="2">
        <v>3.25567893642628E-3</v>
      </c>
      <c r="AC6961" s="2">
        <v>343.25235155063899</v>
      </c>
      <c r="AD6961" s="2">
        <v>355.23776793229501</v>
      </c>
      <c r="AE6961" s="2">
        <v>330.60622594514598</v>
      </c>
      <c r="AF6961" s="2">
        <v>269.42582878958598</v>
      </c>
      <c r="AG6961" s="2">
        <v>322.34310852223302</v>
      </c>
      <c r="AH6961" s="2">
        <v>224.51734858148399</v>
      </c>
      <c r="AI6961" s="2">
        <v>326.611165126267</v>
      </c>
      <c r="AJ6961" s="2">
        <v>586.01043233911605</v>
      </c>
      <c r="AK6961" s="2">
        <v>205.87296687728701</v>
      </c>
      <c r="AL6961" s="2">
        <v>181.518839099724</v>
      </c>
      <c r="AM6961" s="2">
        <v>406.865579774286</v>
      </c>
      <c r="AN6961" s="2">
        <v>558.22026428680499</v>
      </c>
      <c r="AO6961" s="2">
        <v>442.80637704459798</v>
      </c>
      <c r="AP6961" s="2">
        <v>336.142580511071</v>
      </c>
    </row>
    <row r="6962" spans="1:42" ht="14.5" x14ac:dyDescent="0.35">
      <c r="A6962" s="2" t="s">
        <v>46156</v>
      </c>
      <c r="B6962" s="2">
        <v>379.07174086469399</v>
      </c>
      <c r="C6962" s="2">
        <v>10.6985333333333</v>
      </c>
      <c r="D6962" s="2" t="s">
        <v>34</v>
      </c>
      <c r="E6962" s="2" t="s">
        <v>46157</v>
      </c>
      <c r="F6962" s="2">
        <v>206065</v>
      </c>
      <c r="G6962" s="3" t="str">
        <f>HYPERLINK("http://funmeta.oebiotech.com/network/206065", "http://funmeta.oebiotech.com/network/206065")</f>
        <v>http://funmeta.oebiotech.com/network/206065</v>
      </c>
      <c r="H6962" s="2" t="s">
        <v>46158</v>
      </c>
      <c r="I6962" s="2">
        <v>72476</v>
      </c>
      <c r="J6962" s="2"/>
      <c r="K6962" s="2"/>
      <c r="L6962" s="2" t="s">
        <v>46159</v>
      </c>
      <c r="M6962" s="2"/>
      <c r="N6962" s="2"/>
      <c r="O6962" s="2">
        <v>6719</v>
      </c>
      <c r="P6962" s="2" t="s">
        <v>46160</v>
      </c>
      <c r="Q6962" s="2" t="s">
        <v>46161</v>
      </c>
      <c r="R6962" s="2" t="s">
        <v>46162</v>
      </c>
      <c r="S6962" s="2" t="s">
        <v>148</v>
      </c>
      <c r="T6962" s="2" t="s">
        <v>149</v>
      </c>
      <c r="U6962" s="2" t="s">
        <v>3473</v>
      </c>
      <c r="V6962" s="2" t="s">
        <v>59</v>
      </c>
      <c r="W6962" s="2">
        <v>36.6</v>
      </c>
      <c r="X6962" s="2">
        <v>0</v>
      </c>
      <c r="Y6962" s="2" t="s">
        <v>340</v>
      </c>
      <c r="Z6962" s="2" t="s">
        <v>46163</v>
      </c>
      <c r="AA6962" s="2">
        <v>-4.0033734043760196</v>
      </c>
      <c r="AB6962" s="2">
        <v>3.2328052007660102E-3</v>
      </c>
      <c r="AC6962" s="2">
        <v>6837.09755385875</v>
      </c>
      <c r="AD6962" s="2">
        <v>6912.1171271041603</v>
      </c>
      <c r="AE6962" s="2">
        <v>8730.7172253073295</v>
      </c>
      <c r="AF6962" s="2">
        <v>8436.8279016226807</v>
      </c>
      <c r="AG6962" s="2">
        <v>9284.9370722696804</v>
      </c>
      <c r="AH6962" s="2">
        <v>4864.8786854431701</v>
      </c>
      <c r="AI6962" s="2">
        <v>5033.6509212471201</v>
      </c>
      <c r="AJ6962" s="2">
        <v>4671.57351726253</v>
      </c>
      <c r="AK6962" s="2">
        <v>7971.27403023851</v>
      </c>
      <c r="AL6962" s="2">
        <v>7591.69380254509</v>
      </c>
      <c r="AM6962" s="2">
        <v>4278.8846565246504</v>
      </c>
      <c r="AN6962" s="2">
        <v>6528.1166840349897</v>
      </c>
      <c r="AO6962" s="2">
        <v>7854.2625090278498</v>
      </c>
      <c r="AP6962" s="2">
        <v>7248.4710802538902</v>
      </c>
    </row>
    <row r="6963" spans="1:42" ht="14.5" x14ac:dyDescent="0.35">
      <c r="A6963" s="2" t="s">
        <v>46164</v>
      </c>
      <c r="B6963" s="2">
        <v>398.14154026183098</v>
      </c>
      <c r="C6963" s="2">
        <v>1.1287499999999999</v>
      </c>
      <c r="D6963" s="2" t="s">
        <v>34</v>
      </c>
      <c r="E6963" s="2" t="s">
        <v>46165</v>
      </c>
      <c r="F6963" s="2">
        <v>280521</v>
      </c>
      <c r="G6963" s="3" t="str">
        <f>HYPERLINK("http://funmeta.oebiotech.com/network/280521", "http://funmeta.oebiotech.com/network/280521")</f>
        <v>http://funmeta.oebiotech.com/network/280521</v>
      </c>
      <c r="H6963" s="2"/>
      <c r="I6963" s="2">
        <v>85006</v>
      </c>
      <c r="J6963" s="2"/>
      <c r="K6963" s="2"/>
      <c r="L6963" s="2"/>
      <c r="M6963" s="2"/>
      <c r="N6963" s="2"/>
      <c r="O6963" s="2">
        <v>6437384</v>
      </c>
      <c r="P6963" s="2" t="s">
        <v>46166</v>
      </c>
      <c r="Q6963" s="2" t="s">
        <v>46167</v>
      </c>
      <c r="R6963" s="2" t="s">
        <v>46168</v>
      </c>
      <c r="S6963" s="2" t="s">
        <v>79</v>
      </c>
      <c r="T6963" s="2" t="s">
        <v>80</v>
      </c>
      <c r="U6963" s="2" t="s">
        <v>81</v>
      </c>
      <c r="V6963" s="2" t="s">
        <v>59</v>
      </c>
      <c r="W6963" s="2">
        <v>37.6</v>
      </c>
      <c r="X6963" s="2">
        <v>0</v>
      </c>
      <c r="Y6963" s="2" t="s">
        <v>323</v>
      </c>
      <c r="Z6963" s="2" t="s">
        <v>46169</v>
      </c>
      <c r="AA6963" s="2">
        <v>-1.63080362188377</v>
      </c>
      <c r="AB6963" s="2">
        <v>3.2089100859964402E-3</v>
      </c>
      <c r="AC6963" s="2">
        <v>2781.4839800750301</v>
      </c>
      <c r="AD6963" s="2">
        <v>2812.6491978129602</v>
      </c>
      <c r="AE6963" s="2">
        <v>3438.2673745223601</v>
      </c>
      <c r="AF6963" s="2">
        <v>3862.1730932573901</v>
      </c>
      <c r="AG6963" s="2">
        <v>2644.6240596872599</v>
      </c>
      <c r="AH6963" s="2">
        <v>2272.2441217563401</v>
      </c>
      <c r="AI6963" s="2">
        <v>2676.49506055559</v>
      </c>
      <c r="AJ6963" s="2">
        <v>1795.10017067126</v>
      </c>
      <c r="AK6963" s="2">
        <v>3767.84755695483</v>
      </c>
      <c r="AL6963" s="2">
        <v>1783.9032444475999</v>
      </c>
      <c r="AM6963" s="2">
        <v>2258.28918977071</v>
      </c>
      <c r="AN6963" s="2">
        <v>3426.8921541424102</v>
      </c>
      <c r="AO6963" s="2">
        <v>3118.4159403908702</v>
      </c>
      <c r="AP6963" s="2">
        <v>2520.5471011713298</v>
      </c>
    </row>
    <row r="6964" spans="1:42" ht="14.5" x14ac:dyDescent="0.35">
      <c r="A6964" s="2" t="s">
        <v>46170</v>
      </c>
      <c r="B6964" s="2">
        <v>208.08597063042799</v>
      </c>
      <c r="C6964" s="2">
        <v>3.6251333333333302</v>
      </c>
      <c r="D6964" s="2" t="s">
        <v>34</v>
      </c>
      <c r="E6964" s="2" t="s">
        <v>46171</v>
      </c>
      <c r="F6964" s="2">
        <v>200312</v>
      </c>
      <c r="G6964" s="3" t="str">
        <f>HYPERLINK("http://funmeta.oebiotech.com/network/200312", "http://funmeta.oebiotech.com/network/200312")</f>
        <v>http://funmeta.oebiotech.com/network/200312</v>
      </c>
      <c r="H6964" s="2" t="s">
        <v>46172</v>
      </c>
      <c r="I6964" s="2"/>
      <c r="J6964" s="2"/>
      <c r="K6964" s="2"/>
      <c r="L6964" s="2"/>
      <c r="M6964" s="2"/>
      <c r="N6964" s="2"/>
      <c r="O6964" s="2">
        <v>135495205</v>
      </c>
      <c r="P6964" s="2"/>
      <c r="Q6964" s="2" t="s">
        <v>46173</v>
      </c>
      <c r="R6964" s="2" t="s">
        <v>46174</v>
      </c>
      <c r="S6964" s="2" t="s">
        <v>41</v>
      </c>
      <c r="T6964" s="2" t="s">
        <v>41</v>
      </c>
      <c r="U6964" s="2" t="s">
        <v>41</v>
      </c>
      <c r="V6964" s="2" t="s">
        <v>59</v>
      </c>
      <c r="W6964" s="2">
        <v>36.6</v>
      </c>
      <c r="X6964" s="2">
        <v>0</v>
      </c>
      <c r="Y6964" s="2" t="s">
        <v>141</v>
      </c>
      <c r="Z6964" s="2" t="s">
        <v>46175</v>
      </c>
      <c r="AA6964" s="2">
        <v>-4.23433028699273</v>
      </c>
      <c r="AB6964" s="2">
        <v>3.14262983864067E-3</v>
      </c>
      <c r="AC6964" s="2">
        <v>2897.4001779202599</v>
      </c>
      <c r="AD6964" s="2">
        <v>2880.4548945996698</v>
      </c>
      <c r="AE6964" s="2">
        <v>3034.6798911850701</v>
      </c>
      <c r="AF6964" s="2">
        <v>2791.00638188741</v>
      </c>
      <c r="AG6964" s="2">
        <v>2767.24094862829</v>
      </c>
      <c r="AH6964" s="2">
        <v>2522.0350488037898</v>
      </c>
      <c r="AI6964" s="2">
        <v>2969.5284656988001</v>
      </c>
      <c r="AJ6964" s="2">
        <v>3299.9103313182</v>
      </c>
      <c r="AK6964" s="2">
        <v>2807.2638220331701</v>
      </c>
      <c r="AL6964" s="2">
        <v>2829.5505891098501</v>
      </c>
      <c r="AM6964" s="2">
        <v>2998.8610327231299</v>
      </c>
      <c r="AN6964" s="2">
        <v>3059.7445305535002</v>
      </c>
      <c r="AO6964" s="2">
        <v>2811.6671509349499</v>
      </c>
      <c r="AP6964" s="2">
        <v>2775.6422422434498</v>
      </c>
    </row>
    <row r="6965" spans="1:42" ht="14.5" x14ac:dyDescent="0.35">
      <c r="A6965" s="2" t="s">
        <v>46176</v>
      </c>
      <c r="B6965" s="2">
        <v>231.15963632987999</v>
      </c>
      <c r="C6965" s="2">
        <v>5.7290666666666699</v>
      </c>
      <c r="D6965" s="2" t="s">
        <v>70</v>
      </c>
      <c r="E6965" s="2" t="s">
        <v>46177</v>
      </c>
      <c r="F6965" s="2">
        <v>58</v>
      </c>
      <c r="G6965" s="3" t="str">
        <f>HYPERLINK("http://funmeta.oebiotech.com/network/58", "http://funmeta.oebiotech.com/network/58")</f>
        <v>http://funmeta.oebiotech.com/network/58</v>
      </c>
      <c r="H6965" s="2" t="s">
        <v>46178</v>
      </c>
      <c r="I6965" s="2">
        <v>4203</v>
      </c>
      <c r="J6965" s="2" t="s">
        <v>46179</v>
      </c>
      <c r="K6965" s="2">
        <v>32368</v>
      </c>
      <c r="L6965" s="2" t="s">
        <v>46180</v>
      </c>
      <c r="M6965" s="2"/>
      <c r="N6965" s="2"/>
      <c r="O6965" s="2">
        <v>8180</v>
      </c>
      <c r="P6965" s="2" t="s">
        <v>46181</v>
      </c>
      <c r="Q6965" s="2" t="s">
        <v>46182</v>
      </c>
      <c r="R6965" s="2" t="s">
        <v>46183</v>
      </c>
      <c r="S6965" s="2" t="s">
        <v>50</v>
      </c>
      <c r="T6965" s="2" t="s">
        <v>229</v>
      </c>
      <c r="U6965" s="2" t="s">
        <v>433</v>
      </c>
      <c r="V6965" s="2" t="s">
        <v>59</v>
      </c>
      <c r="W6965" s="2">
        <v>43.2</v>
      </c>
      <c r="X6965" s="2">
        <v>21</v>
      </c>
      <c r="Y6965" s="2" t="s">
        <v>408</v>
      </c>
      <c r="Z6965" s="2" t="s">
        <v>46184</v>
      </c>
      <c r="AA6965" s="2">
        <v>-2.9355337775111701</v>
      </c>
      <c r="AB6965" s="2">
        <v>2.9869023202803401E-3</v>
      </c>
      <c r="AC6965" s="2">
        <v>333.42002977488198</v>
      </c>
      <c r="AD6965" s="2">
        <v>346.16185860213699</v>
      </c>
      <c r="AE6965" s="2">
        <v>113.74248021752599</v>
      </c>
      <c r="AF6965" s="2">
        <v>568.916709874807</v>
      </c>
      <c r="AG6965" s="2">
        <v>381.69546608209902</v>
      </c>
      <c r="AH6965" s="2">
        <v>386.98535644926699</v>
      </c>
      <c r="AI6965" s="2">
        <v>318.50256017066101</v>
      </c>
      <c r="AJ6965" s="2">
        <v>230.677605854935</v>
      </c>
      <c r="AK6965" s="2">
        <v>336.55997641404002</v>
      </c>
      <c r="AL6965" s="2">
        <v>264.39156163856302</v>
      </c>
      <c r="AM6965" s="2">
        <v>363.92132007838501</v>
      </c>
      <c r="AN6965" s="2">
        <v>162.822504822307</v>
      </c>
      <c r="AO6965" s="2">
        <v>534.49734782294195</v>
      </c>
      <c r="AP6965" s="2">
        <v>414.778440836583</v>
      </c>
    </row>
    <row r="6966" spans="1:42" ht="14.5" x14ac:dyDescent="0.35">
      <c r="A6966" s="2" t="s">
        <v>46185</v>
      </c>
      <c r="B6966" s="2">
        <v>731.35045105093798</v>
      </c>
      <c r="C6966" s="2">
        <v>7.8503333333333298</v>
      </c>
      <c r="D6966" s="2" t="s">
        <v>70</v>
      </c>
      <c r="E6966" s="2" t="s">
        <v>46186</v>
      </c>
      <c r="F6966" s="2">
        <v>54491</v>
      </c>
      <c r="G6966" s="3" t="str">
        <f>HYPERLINK("http://funmeta.oebiotech.com/network/54491", "http://funmeta.oebiotech.com/network/54491")</f>
        <v>http://funmeta.oebiotech.com/network/54491</v>
      </c>
      <c r="H6966" s="2" t="s">
        <v>46187</v>
      </c>
      <c r="I6966" s="2">
        <v>86346</v>
      </c>
      <c r="J6966" s="2"/>
      <c r="K6966" s="2">
        <v>175699</v>
      </c>
      <c r="L6966" s="2"/>
      <c r="M6966" s="2"/>
      <c r="N6966" s="2"/>
      <c r="O6966" s="2">
        <v>74039123</v>
      </c>
      <c r="P6966" s="2" t="s">
        <v>46188</v>
      </c>
      <c r="Q6966" s="2" t="s">
        <v>46189</v>
      </c>
      <c r="R6966" s="2" t="s">
        <v>46190</v>
      </c>
      <c r="S6966" s="2" t="s">
        <v>79</v>
      </c>
      <c r="T6966" s="2" t="s">
        <v>80</v>
      </c>
      <c r="U6966" s="2" t="s">
        <v>81</v>
      </c>
      <c r="V6966" s="2" t="s">
        <v>59</v>
      </c>
      <c r="W6966" s="2">
        <v>37.4</v>
      </c>
      <c r="X6966" s="2">
        <v>0</v>
      </c>
      <c r="Y6966" s="2" t="s">
        <v>560</v>
      </c>
      <c r="Z6966" s="2" t="s">
        <v>46191</v>
      </c>
      <c r="AA6966" s="2">
        <v>-0.608498189188452</v>
      </c>
      <c r="AB6966" s="2">
        <v>2.9595690177866701E-3</v>
      </c>
      <c r="AC6966" s="2">
        <v>13570.0063749163</v>
      </c>
      <c r="AD6966" s="2">
        <v>13533.5734302612</v>
      </c>
      <c r="AE6966" s="2">
        <v>13059.2841451773</v>
      </c>
      <c r="AF6966" s="2">
        <v>12830.951977861299</v>
      </c>
      <c r="AG6966" s="2">
        <v>13885.049272612599</v>
      </c>
      <c r="AH6966" s="2">
        <v>13294.9558669948</v>
      </c>
      <c r="AI6966" s="2">
        <v>13266.0869029607</v>
      </c>
      <c r="AJ6966" s="2">
        <v>15083.710083890899</v>
      </c>
      <c r="AK6966" s="2">
        <v>15331.930134722699</v>
      </c>
      <c r="AL6966" s="2">
        <v>12540.3849268208</v>
      </c>
      <c r="AM6966" s="2">
        <v>13533.6767817156</v>
      </c>
      <c r="AN6966" s="2">
        <v>14851.8291088977</v>
      </c>
      <c r="AO6966" s="2">
        <v>11672.838971028999</v>
      </c>
      <c r="AP6966" s="2">
        <v>13270.7806583814</v>
      </c>
    </row>
    <row r="6967" spans="1:42" ht="14.5" x14ac:dyDescent="0.35">
      <c r="A6967" s="2" t="s">
        <v>46192</v>
      </c>
      <c r="B6967" s="2">
        <v>265.07794465963798</v>
      </c>
      <c r="C6967" s="2">
        <v>1.20376666666667</v>
      </c>
      <c r="D6967" s="2" t="s">
        <v>70</v>
      </c>
      <c r="E6967" s="2" t="s">
        <v>46193</v>
      </c>
      <c r="F6967" s="2">
        <v>266508</v>
      </c>
      <c r="G6967" s="3" t="str">
        <f>HYPERLINK("http://funmeta.oebiotech.com/network/266508", "http://funmeta.oebiotech.com/network/266508")</f>
        <v>http://funmeta.oebiotech.com/network/266508</v>
      </c>
      <c r="H6967" s="2"/>
      <c r="I6967" s="2">
        <v>43424</v>
      </c>
      <c r="J6967" s="2"/>
      <c r="K6967" s="2"/>
      <c r="L6967" s="2"/>
      <c r="M6967" s="2"/>
      <c r="N6967" s="2"/>
      <c r="O6967" s="2">
        <v>1863</v>
      </c>
      <c r="P6967" s="2" t="s">
        <v>46194</v>
      </c>
      <c r="Q6967" s="2" t="s">
        <v>46195</v>
      </c>
      <c r="R6967" s="2" t="s">
        <v>46196</v>
      </c>
      <c r="S6967" s="2" t="s">
        <v>491</v>
      </c>
      <c r="T6967" s="2" t="s">
        <v>2184</v>
      </c>
      <c r="U6967" s="2" t="s">
        <v>8546</v>
      </c>
      <c r="V6967" s="2" t="s">
        <v>59</v>
      </c>
      <c r="W6967" s="2">
        <v>36.799999999999997</v>
      </c>
      <c r="X6967" s="2">
        <v>0</v>
      </c>
      <c r="Y6967" s="2" t="s">
        <v>751</v>
      </c>
      <c r="Z6967" s="2" t="s">
        <v>46197</v>
      </c>
      <c r="AA6967" s="2">
        <v>2.89609371852502</v>
      </c>
      <c r="AB6967" s="2">
        <v>2.90698023507816E-3</v>
      </c>
      <c r="AC6967" s="2">
        <v>21993.349927081399</v>
      </c>
      <c r="AD6967" s="2">
        <v>21964.309827216599</v>
      </c>
      <c r="AE6967" s="2">
        <v>21875.479781033599</v>
      </c>
      <c r="AF6967" s="2">
        <v>22963.541808719001</v>
      </c>
      <c r="AG6967" s="2">
        <v>22242.1607157822</v>
      </c>
      <c r="AH6967" s="2">
        <v>20829.245482803199</v>
      </c>
      <c r="AI6967" s="2">
        <v>21640.303100601501</v>
      </c>
      <c r="AJ6967" s="2">
        <v>22409.368673548899</v>
      </c>
      <c r="AK6967" s="2">
        <v>23292.1697909471</v>
      </c>
      <c r="AL6967" s="2">
        <v>24141.299281837</v>
      </c>
      <c r="AM6967" s="2">
        <v>16423.967796646401</v>
      </c>
      <c r="AN6967" s="2">
        <v>21765.795574166499</v>
      </c>
      <c r="AO6967" s="2">
        <v>23695.606223161401</v>
      </c>
      <c r="AP6967" s="2">
        <v>22467.020296541101</v>
      </c>
    </row>
    <row r="6968" spans="1:42" ht="14.5" x14ac:dyDescent="0.35">
      <c r="A6968" s="2" t="s">
        <v>46198</v>
      </c>
      <c r="B6968" s="2">
        <v>435.09354814034202</v>
      </c>
      <c r="C6968" s="2">
        <v>5.1527500000000002</v>
      </c>
      <c r="D6968" s="2" t="s">
        <v>70</v>
      </c>
      <c r="E6968" s="2" t="s">
        <v>46199</v>
      </c>
      <c r="F6968" s="2">
        <v>204175</v>
      </c>
      <c r="G6968" s="3" t="str">
        <f>HYPERLINK("http://funmeta.oebiotech.com/network/204175", "http://funmeta.oebiotech.com/network/204175")</f>
        <v>http://funmeta.oebiotech.com/network/204175</v>
      </c>
      <c r="H6968" s="2" t="s">
        <v>46200</v>
      </c>
      <c r="I6968" s="2">
        <v>408533</v>
      </c>
      <c r="J6968" s="2"/>
      <c r="K6968" s="2"/>
      <c r="L6968" s="2"/>
      <c r="M6968" s="2"/>
      <c r="N6968" s="2"/>
      <c r="O6968" s="2">
        <v>9821754</v>
      </c>
      <c r="P6968" s="2"/>
      <c r="Q6968" s="2" t="s">
        <v>46201</v>
      </c>
      <c r="R6968" s="2" t="s">
        <v>46202</v>
      </c>
      <c r="S6968" s="2" t="s">
        <v>115</v>
      </c>
      <c r="T6968" s="2" t="s">
        <v>9908</v>
      </c>
      <c r="U6968" s="2" t="s">
        <v>9909</v>
      </c>
      <c r="V6968" s="2" t="s">
        <v>59</v>
      </c>
      <c r="W6968" s="2">
        <v>39.1</v>
      </c>
      <c r="X6968" s="2">
        <v>0</v>
      </c>
      <c r="Y6968" s="2" t="s">
        <v>408</v>
      </c>
      <c r="Z6968" s="2" t="s">
        <v>46203</v>
      </c>
      <c r="AA6968" s="2">
        <v>0.67449463878049798</v>
      </c>
      <c r="AB6968" s="2">
        <v>2.8452634422106199E-3</v>
      </c>
      <c r="AC6968" s="2">
        <v>700.75374295543804</v>
      </c>
      <c r="AD6968" s="2">
        <v>721.82595358539095</v>
      </c>
      <c r="AE6968" s="2">
        <v>160.24845171185399</v>
      </c>
      <c r="AF6968" s="2">
        <v>709.99764310836201</v>
      </c>
      <c r="AG6968" s="2">
        <v>1468.4953089041301</v>
      </c>
      <c r="AH6968" s="2">
        <v>693.08956694131302</v>
      </c>
      <c r="AI6968" s="2">
        <v>1101.9470441717001</v>
      </c>
      <c r="AJ6968" s="2">
        <v>70.744442895266602</v>
      </c>
      <c r="AK6968" s="2">
        <v>783.95141799020303</v>
      </c>
      <c r="AL6968" s="2">
        <v>1130.1554143921401</v>
      </c>
      <c r="AM6968" s="2">
        <v>265.52859968987099</v>
      </c>
      <c r="AN6968" s="2">
        <v>801.65399604169295</v>
      </c>
      <c r="AO6968" s="2">
        <v>1247.79648136793</v>
      </c>
      <c r="AP6968" s="2">
        <v>101.86981203050701</v>
      </c>
    </row>
    <row r="6969" spans="1:42" ht="14.5" x14ac:dyDescent="0.35">
      <c r="A6969" s="2" t="s">
        <v>46204</v>
      </c>
      <c r="B6969" s="2">
        <v>487.20223299769901</v>
      </c>
      <c r="C6969" s="2">
        <v>1.6651</v>
      </c>
      <c r="D6969" s="2" t="s">
        <v>34</v>
      </c>
      <c r="E6969" s="2" t="s">
        <v>46205</v>
      </c>
      <c r="F6969" s="2">
        <v>202863</v>
      </c>
      <c r="G6969" s="3" t="str">
        <f>HYPERLINK("http://funmeta.oebiotech.com/network/202863", "http://funmeta.oebiotech.com/network/202863")</f>
        <v>http://funmeta.oebiotech.com/network/202863</v>
      </c>
      <c r="H6969" s="2" t="s">
        <v>46206</v>
      </c>
      <c r="I6969" s="2">
        <v>64711</v>
      </c>
      <c r="J6969" s="2"/>
      <c r="K6969" s="2"/>
      <c r="L6969" s="2"/>
      <c r="M6969" s="2"/>
      <c r="N6969" s="2"/>
      <c r="O6969" s="2">
        <v>24180125</v>
      </c>
      <c r="P6969" s="2" t="s">
        <v>46207</v>
      </c>
      <c r="Q6969" s="2" t="s">
        <v>46208</v>
      </c>
      <c r="R6969" s="2" t="s">
        <v>46209</v>
      </c>
      <c r="S6969" s="2" t="s">
        <v>148</v>
      </c>
      <c r="T6969" s="2" t="s">
        <v>149</v>
      </c>
      <c r="U6969" s="2" t="s">
        <v>4630</v>
      </c>
      <c r="V6969" s="2" t="s">
        <v>59</v>
      </c>
      <c r="W6969" s="2">
        <v>36.4</v>
      </c>
      <c r="X6969" s="2">
        <v>0</v>
      </c>
      <c r="Y6969" s="2" t="s">
        <v>43</v>
      </c>
      <c r="Z6969" s="2" t="s">
        <v>46210</v>
      </c>
      <c r="AA6969" s="2">
        <v>-0.153299026664033</v>
      </c>
      <c r="AB6969" s="2">
        <v>2.8285884372540701E-3</v>
      </c>
      <c r="AC6969" s="2">
        <v>4991.6660073737203</v>
      </c>
      <c r="AD6969" s="2">
        <v>5013.3544654058996</v>
      </c>
      <c r="AE6969" s="2">
        <v>4581.9673953579904</v>
      </c>
      <c r="AF6969" s="2">
        <v>4943.6022723089</v>
      </c>
      <c r="AG6969" s="2">
        <v>5553.2706148221196</v>
      </c>
      <c r="AH6969" s="2">
        <v>5173.4854790032696</v>
      </c>
      <c r="AI6969" s="2">
        <v>5080.1167551255403</v>
      </c>
      <c r="AJ6969" s="2">
        <v>4617.55352762449</v>
      </c>
      <c r="AK6969" s="2">
        <v>4527.8143534907704</v>
      </c>
      <c r="AL6969" s="2">
        <v>5732.6677296346998</v>
      </c>
      <c r="AM6969" s="2">
        <v>4778.3591170229001</v>
      </c>
      <c r="AN6969" s="2">
        <v>5347.2504361965503</v>
      </c>
      <c r="AO6969" s="2">
        <v>5479.5796336927497</v>
      </c>
      <c r="AP6969" s="2">
        <v>4214.4555223977504</v>
      </c>
    </row>
    <row r="6970" spans="1:42" ht="14.5" x14ac:dyDescent="0.35">
      <c r="A6970" s="2" t="s">
        <v>46211</v>
      </c>
      <c r="B6970" s="2">
        <v>421.24427231668102</v>
      </c>
      <c r="C6970" s="2">
        <v>5.1704666666666697</v>
      </c>
      <c r="D6970" s="2" t="s">
        <v>70</v>
      </c>
      <c r="E6970" s="2" t="s">
        <v>46212</v>
      </c>
      <c r="F6970" s="2">
        <v>10278</v>
      </c>
      <c r="G6970" s="3" t="str">
        <f>HYPERLINK("http://funmeta.oebiotech.com/network/10278", "http://funmeta.oebiotech.com/network/10278")</f>
        <v>http://funmeta.oebiotech.com/network/10278</v>
      </c>
      <c r="H6970" s="2"/>
      <c r="I6970" s="2"/>
      <c r="J6970" s="2" t="s">
        <v>46213</v>
      </c>
      <c r="K6970" s="2">
        <v>79231</v>
      </c>
      <c r="L6970" s="2"/>
      <c r="M6970" s="2"/>
      <c r="N6970" s="2"/>
      <c r="O6970" s="2">
        <v>86289820</v>
      </c>
      <c r="P6970" s="2"/>
      <c r="Q6970" s="2" t="s">
        <v>46214</v>
      </c>
      <c r="R6970" s="2" t="s">
        <v>46215</v>
      </c>
      <c r="S6970" s="2" t="s">
        <v>50</v>
      </c>
      <c r="T6970" s="2" t="s">
        <v>229</v>
      </c>
      <c r="U6970" s="2" t="s">
        <v>433</v>
      </c>
      <c r="V6970" s="2" t="s">
        <v>59</v>
      </c>
      <c r="W6970" s="2">
        <v>38.1</v>
      </c>
      <c r="X6970" s="2">
        <v>0</v>
      </c>
      <c r="Y6970" s="2" t="s">
        <v>408</v>
      </c>
      <c r="Z6970" s="2" t="s">
        <v>46216</v>
      </c>
      <c r="AA6970" s="2">
        <v>-9.0485347416446898E-2</v>
      </c>
      <c r="AB6970" s="2">
        <v>2.7243134752370501E-3</v>
      </c>
      <c r="AC6970" s="2">
        <v>6726.7735262876704</v>
      </c>
      <c r="AD6970" s="2">
        <v>6706.5585024428801</v>
      </c>
      <c r="AE6970" s="2">
        <v>7857.3721582435701</v>
      </c>
      <c r="AF6970" s="2">
        <v>7073.67942003799</v>
      </c>
      <c r="AG6970" s="2">
        <v>6040.0108412766504</v>
      </c>
      <c r="AH6970" s="2">
        <v>6736.29565333956</v>
      </c>
      <c r="AI6970" s="2">
        <v>6341.7237218279697</v>
      </c>
      <c r="AJ6970" s="2">
        <v>6311.5593630002904</v>
      </c>
      <c r="AK6970" s="2">
        <v>5936.5980128745095</v>
      </c>
      <c r="AL6970" s="2">
        <v>7111.0003722595402</v>
      </c>
      <c r="AM6970" s="2">
        <v>6662.0729164834602</v>
      </c>
      <c r="AN6970" s="2">
        <v>7185.00045619307</v>
      </c>
      <c r="AO6970" s="2">
        <v>6349.2949537372497</v>
      </c>
      <c r="AP6970" s="2">
        <v>6995.3843031094502</v>
      </c>
    </row>
    <row r="6971" spans="1:42" ht="14.5" x14ac:dyDescent="0.35">
      <c r="A6971" s="2" t="s">
        <v>46217</v>
      </c>
      <c r="B6971" s="2">
        <v>178.12267964570501</v>
      </c>
      <c r="C6971" s="2">
        <v>1.43973333333333</v>
      </c>
      <c r="D6971" s="2" t="s">
        <v>34</v>
      </c>
      <c r="E6971" s="2" t="s">
        <v>46218</v>
      </c>
      <c r="F6971" s="2">
        <v>516864</v>
      </c>
      <c r="G6971" s="3" t="str">
        <f>HYPERLINK("http://funmeta.oebiotech.com/network/516864", "http://funmeta.oebiotech.com/network/516864")</f>
        <v>http://funmeta.oebiotech.com/network/516864</v>
      </c>
      <c r="H6971" s="2"/>
      <c r="I6971" s="2">
        <v>96627</v>
      </c>
      <c r="J6971" s="2"/>
      <c r="K6971" s="2"/>
      <c r="L6971" s="2"/>
      <c r="M6971" s="2"/>
      <c r="N6971" s="2"/>
      <c r="O6971" s="2">
        <v>458519</v>
      </c>
      <c r="P6971" s="2" t="s">
        <v>46219</v>
      </c>
      <c r="Q6971" s="2" t="s">
        <v>46220</v>
      </c>
      <c r="R6971" s="2" t="s">
        <v>46221</v>
      </c>
      <c r="S6971" s="2" t="s">
        <v>79</v>
      </c>
      <c r="T6971" s="2" t="s">
        <v>80</v>
      </c>
      <c r="U6971" s="2" t="s">
        <v>2820</v>
      </c>
      <c r="V6971" s="2" t="s">
        <v>59</v>
      </c>
      <c r="W6971" s="2">
        <v>45.1</v>
      </c>
      <c r="X6971" s="2">
        <v>29.1</v>
      </c>
      <c r="Y6971" s="2" t="s">
        <v>394</v>
      </c>
      <c r="Z6971" s="2" t="s">
        <v>22779</v>
      </c>
      <c r="AA6971" s="2">
        <v>0.22080690270987199</v>
      </c>
      <c r="AB6971" s="2">
        <v>2.6958028167237101E-3</v>
      </c>
      <c r="AC6971" s="2">
        <v>4.6570356157986899</v>
      </c>
      <c r="AD6971" s="2">
        <v>8.4598905314486696</v>
      </c>
      <c r="AE6971" s="2">
        <v>2.7106294003980101E-5</v>
      </c>
      <c r="AF6971" s="2">
        <v>2.7106294003980101E-5</v>
      </c>
      <c r="AG6971" s="2">
        <v>2.7106294003980101E-5</v>
      </c>
      <c r="AH6971" s="2">
        <v>27.942078163322101</v>
      </c>
      <c r="AI6971" s="2">
        <v>2.7106294003980101E-5</v>
      </c>
      <c r="AJ6971" s="2">
        <v>2.7106294003980101E-5</v>
      </c>
      <c r="AK6971" s="2">
        <v>2.7106294003980101E-5</v>
      </c>
      <c r="AL6971" s="2">
        <v>2.7106294003980101E-5</v>
      </c>
      <c r="AM6971" s="2">
        <v>2.7106294003980101E-5</v>
      </c>
      <c r="AN6971" s="2">
        <v>2.7106294003980101E-5</v>
      </c>
      <c r="AO6971" s="2">
        <v>50.759207657221999</v>
      </c>
      <c r="AP6971" s="2">
        <v>2.7106294003980101E-5</v>
      </c>
    </row>
    <row r="6972" spans="1:42" ht="14.5" x14ac:dyDescent="0.35">
      <c r="A6972" s="2" t="s">
        <v>46222</v>
      </c>
      <c r="B6972" s="2">
        <v>369.169659209641</v>
      </c>
      <c r="C6972" s="2">
        <v>5.3519166666666704</v>
      </c>
      <c r="D6972" s="2" t="s">
        <v>34</v>
      </c>
      <c r="E6972" s="2" t="s">
        <v>46223</v>
      </c>
      <c r="F6972" s="2">
        <v>34361</v>
      </c>
      <c r="G6972" s="3" t="str">
        <f>HYPERLINK("http://funmeta.oebiotech.com/network/34361", "http://funmeta.oebiotech.com/network/34361")</f>
        <v>http://funmeta.oebiotech.com/network/34361</v>
      </c>
      <c r="H6972" s="2"/>
      <c r="I6972" s="2">
        <v>52669</v>
      </c>
      <c r="J6972" s="2" t="s">
        <v>46224</v>
      </c>
      <c r="K6972" s="2"/>
      <c r="L6972" s="2"/>
      <c r="M6972" s="2"/>
      <c r="N6972" s="2"/>
      <c r="O6972" s="2">
        <v>42607876</v>
      </c>
      <c r="P6972" s="2"/>
      <c r="Q6972" s="2" t="s">
        <v>46225</v>
      </c>
      <c r="R6972" s="2" t="s">
        <v>46226</v>
      </c>
      <c r="S6972" s="2" t="s">
        <v>115</v>
      </c>
      <c r="T6972" s="2" t="s">
        <v>139</v>
      </c>
      <c r="U6972" s="2" t="s">
        <v>1552</v>
      </c>
      <c r="V6972" s="2" t="s">
        <v>59</v>
      </c>
      <c r="W6972" s="2">
        <v>37.799999999999997</v>
      </c>
      <c r="X6972" s="2">
        <v>0</v>
      </c>
      <c r="Y6972" s="2" t="s">
        <v>266</v>
      </c>
      <c r="Z6972" s="2" t="s">
        <v>23892</v>
      </c>
      <c r="AA6972" s="2">
        <v>2.4201714955281398E-2</v>
      </c>
      <c r="AB6972" s="2">
        <v>2.5557308985877398E-3</v>
      </c>
      <c r="AC6972" s="2">
        <v>13834.821676232599</v>
      </c>
      <c r="AD6972" s="2">
        <v>13797.3717430419</v>
      </c>
      <c r="AE6972" s="2">
        <v>12215.487399400899</v>
      </c>
      <c r="AF6972" s="2">
        <v>15171.402271303799</v>
      </c>
      <c r="AG6972" s="2">
        <v>14083.5451432675</v>
      </c>
      <c r="AH6972" s="2">
        <v>12746.556844463301</v>
      </c>
      <c r="AI6972" s="2">
        <v>14139.7899237538</v>
      </c>
      <c r="AJ6972" s="2">
        <v>14652.148475206201</v>
      </c>
      <c r="AK6972" s="2">
        <v>13283.2145219225</v>
      </c>
      <c r="AL6972" s="2">
        <v>14498.260393639899</v>
      </c>
      <c r="AM6972" s="2">
        <v>13929.0729102236</v>
      </c>
      <c r="AN6972" s="2">
        <v>15896.872283843501</v>
      </c>
      <c r="AO6972" s="2">
        <v>10054.003420774399</v>
      </c>
      <c r="AP6972" s="2">
        <v>15122.8069278476</v>
      </c>
    </row>
    <row r="6973" spans="1:42" ht="14.5" x14ac:dyDescent="0.35">
      <c r="A6973" s="2" t="s">
        <v>46227</v>
      </c>
      <c r="B6973" s="2">
        <v>431.22834238399901</v>
      </c>
      <c r="C6973" s="2">
        <v>5.8226333333333304</v>
      </c>
      <c r="D6973" s="2" t="s">
        <v>70</v>
      </c>
      <c r="E6973" s="2" t="s">
        <v>46228</v>
      </c>
      <c r="F6973" s="2">
        <v>3874</v>
      </c>
      <c r="G6973" s="3" t="str">
        <f>HYPERLINK("http://funmeta.oebiotech.com/network/3874", "http://funmeta.oebiotech.com/network/3874")</f>
        <v>http://funmeta.oebiotech.com/network/3874</v>
      </c>
      <c r="H6973" s="2" t="s">
        <v>46229</v>
      </c>
      <c r="I6973" s="2"/>
      <c r="J6973" s="2" t="s">
        <v>46230</v>
      </c>
      <c r="K6973" s="2"/>
      <c r="L6973" s="2"/>
      <c r="M6973" s="2"/>
      <c r="N6973" s="2"/>
      <c r="O6973" s="2">
        <v>53481448</v>
      </c>
      <c r="P6973" s="2"/>
      <c r="Q6973" s="2" t="s">
        <v>46231</v>
      </c>
      <c r="R6973" s="2" t="s">
        <v>46232</v>
      </c>
      <c r="S6973" s="2" t="s">
        <v>50</v>
      </c>
      <c r="T6973" s="2" t="s">
        <v>229</v>
      </c>
      <c r="U6973" s="2" t="s">
        <v>766</v>
      </c>
      <c r="V6973" s="2" t="s">
        <v>59</v>
      </c>
      <c r="W6973" s="2">
        <v>38.799999999999997</v>
      </c>
      <c r="X6973" s="2">
        <v>0</v>
      </c>
      <c r="Y6973" s="2" t="s">
        <v>408</v>
      </c>
      <c r="Z6973" s="2" t="s">
        <v>13680</v>
      </c>
      <c r="AA6973" s="2">
        <v>-0.81276165174998805</v>
      </c>
      <c r="AB6973" s="2">
        <v>2.5469407961423401E-3</v>
      </c>
      <c r="AC6973" s="2">
        <v>31292.194176104102</v>
      </c>
      <c r="AD6973" s="2">
        <v>31247.7260435852</v>
      </c>
      <c r="AE6973" s="2">
        <v>33744.991579363501</v>
      </c>
      <c r="AF6973" s="2">
        <v>31462.7240330594</v>
      </c>
      <c r="AG6973" s="2">
        <v>33315.377184849</v>
      </c>
      <c r="AH6973" s="2">
        <v>28017.927782366201</v>
      </c>
      <c r="AI6973" s="2">
        <v>30086.3984832516</v>
      </c>
      <c r="AJ6973" s="2">
        <v>31125.745993734901</v>
      </c>
      <c r="AK6973" s="2">
        <v>28570.588226460401</v>
      </c>
      <c r="AL6973" s="2">
        <v>32492.785421988599</v>
      </c>
      <c r="AM6973" s="2">
        <v>32926.241114854201</v>
      </c>
      <c r="AN6973" s="2">
        <v>34155.1725009367</v>
      </c>
      <c r="AO6973" s="2">
        <v>33830.326682642903</v>
      </c>
      <c r="AP6973" s="2">
        <v>25511.242314628598</v>
      </c>
    </row>
    <row r="6974" spans="1:42" ht="14.5" x14ac:dyDescent="0.35">
      <c r="A6974" s="2" t="s">
        <v>46233</v>
      </c>
      <c r="B6974" s="2">
        <v>121.064586964233</v>
      </c>
      <c r="C6974" s="2">
        <v>8.8024666666666693</v>
      </c>
      <c r="D6974" s="2" t="s">
        <v>34</v>
      </c>
      <c r="E6974" s="2" t="s">
        <v>46234</v>
      </c>
      <c r="F6974" s="2">
        <v>54548</v>
      </c>
      <c r="G6974" s="3" t="str">
        <f>HYPERLINK("http://funmeta.oebiotech.com/network/54548", "http://funmeta.oebiotech.com/network/54548")</f>
        <v>http://funmeta.oebiotech.com/network/54548</v>
      </c>
      <c r="H6974" s="2" t="s">
        <v>46235</v>
      </c>
      <c r="I6974" s="2">
        <v>66526</v>
      </c>
      <c r="J6974" s="2"/>
      <c r="K6974" s="2">
        <v>28617</v>
      </c>
      <c r="L6974" s="2" t="s">
        <v>46236</v>
      </c>
      <c r="M6974" s="2" t="s">
        <v>28801</v>
      </c>
      <c r="N6974" s="2" t="s">
        <v>28802</v>
      </c>
      <c r="O6974" s="2">
        <v>7725</v>
      </c>
      <c r="P6974" s="2" t="s">
        <v>46237</v>
      </c>
      <c r="Q6974" s="2" t="s">
        <v>46238</v>
      </c>
      <c r="R6974" s="2" t="s">
        <v>46239</v>
      </c>
      <c r="S6974" s="2" t="s">
        <v>148</v>
      </c>
      <c r="T6974" s="2" t="s">
        <v>149</v>
      </c>
      <c r="U6974" s="2" t="s">
        <v>20618</v>
      </c>
      <c r="V6974" s="2" t="s">
        <v>42</v>
      </c>
      <c r="W6974" s="2">
        <v>51.1</v>
      </c>
      <c r="X6974" s="2">
        <v>65.900000000000006</v>
      </c>
      <c r="Y6974" s="2" t="s">
        <v>394</v>
      </c>
      <c r="Z6974" s="2" t="s">
        <v>43876</v>
      </c>
      <c r="AA6974" s="2">
        <v>-1.7020499503450399</v>
      </c>
      <c r="AB6974" s="2">
        <v>2.5014181493706101E-3</v>
      </c>
      <c r="AC6974" s="2">
        <v>4615.1546377464501</v>
      </c>
      <c r="AD6974" s="2">
        <v>4588.4033552118199</v>
      </c>
      <c r="AE6974" s="2">
        <v>5356.4671269672399</v>
      </c>
      <c r="AF6974" s="2">
        <v>3993.84047314687</v>
      </c>
      <c r="AG6974" s="2">
        <v>4446.3060865781799</v>
      </c>
      <c r="AH6974" s="2">
        <v>4436.5603729058403</v>
      </c>
      <c r="AI6974" s="2">
        <v>4942.8350936356401</v>
      </c>
      <c r="AJ6974" s="2">
        <v>4514.9186732449298</v>
      </c>
      <c r="AK6974" s="2">
        <v>3298.4925481615201</v>
      </c>
      <c r="AL6974" s="2">
        <v>8017.2381942461998</v>
      </c>
      <c r="AM6974" s="2">
        <v>4277.2394576570296</v>
      </c>
      <c r="AN6974" s="2">
        <v>4459.2588972133799</v>
      </c>
      <c r="AO6974" s="2">
        <v>4220.7209322588797</v>
      </c>
      <c r="AP6974" s="2">
        <v>3257.4701017339298</v>
      </c>
    </row>
    <row r="6975" spans="1:42" ht="14.5" x14ac:dyDescent="0.35">
      <c r="A6975" s="2" t="s">
        <v>46240</v>
      </c>
      <c r="B6975" s="2">
        <v>201.163705125955</v>
      </c>
      <c r="C6975" s="2">
        <v>4.5485499999999996</v>
      </c>
      <c r="D6975" s="2" t="s">
        <v>34</v>
      </c>
      <c r="E6975" s="2" t="s">
        <v>46241</v>
      </c>
      <c r="F6975" s="2">
        <v>267015</v>
      </c>
      <c r="G6975" s="3" t="str">
        <f>HYPERLINK("http://funmeta.oebiotech.com/network/267015", "http://funmeta.oebiotech.com/network/267015")</f>
        <v>http://funmeta.oebiotech.com/network/267015</v>
      </c>
      <c r="H6975" s="2"/>
      <c r="I6975" s="2">
        <v>44502</v>
      </c>
      <c r="J6975" s="2"/>
      <c r="K6975" s="2"/>
      <c r="L6975" s="2"/>
      <c r="M6975" s="2"/>
      <c r="N6975" s="2"/>
      <c r="O6975" s="2">
        <v>3989419</v>
      </c>
      <c r="P6975" s="2"/>
      <c r="Q6975" s="2" t="s">
        <v>46242</v>
      </c>
      <c r="R6975" s="2" t="s">
        <v>46243</v>
      </c>
      <c r="S6975" s="2" t="s">
        <v>50</v>
      </c>
      <c r="T6975" s="2" t="s">
        <v>201</v>
      </c>
      <c r="U6975" s="2" t="s">
        <v>636</v>
      </c>
      <c r="V6975" s="2" t="s">
        <v>59</v>
      </c>
      <c r="W6975" s="2">
        <v>38.700000000000003</v>
      </c>
      <c r="X6975" s="2">
        <v>0</v>
      </c>
      <c r="Y6975" s="2" t="s">
        <v>141</v>
      </c>
      <c r="Z6975" s="2" t="s">
        <v>46244</v>
      </c>
      <c r="AA6975" s="2">
        <v>-0.3297892128339</v>
      </c>
      <c r="AB6975" s="2">
        <v>2.4049131236361398E-3</v>
      </c>
      <c r="AC6975" s="2">
        <v>3179.3941920821198</v>
      </c>
      <c r="AD6975" s="2">
        <v>3198.7957860510101</v>
      </c>
      <c r="AE6975" s="2">
        <v>3028.6576506490701</v>
      </c>
      <c r="AF6975" s="2">
        <v>3791.8333676195102</v>
      </c>
      <c r="AG6975" s="2">
        <v>2991.9340147643202</v>
      </c>
      <c r="AH6975" s="2">
        <v>3412.4921799951198</v>
      </c>
      <c r="AI6975" s="2">
        <v>2727.0007992946398</v>
      </c>
      <c r="AJ6975" s="2">
        <v>3124.4471401700598</v>
      </c>
      <c r="AK6975" s="2">
        <v>3523.6443501188601</v>
      </c>
      <c r="AL6975" s="2">
        <v>3268.7147523395201</v>
      </c>
      <c r="AM6975" s="2">
        <v>2595.3777064399401</v>
      </c>
      <c r="AN6975" s="2">
        <v>3613.1952622640902</v>
      </c>
      <c r="AO6975" s="2">
        <v>3172.45878043433</v>
      </c>
      <c r="AP6975" s="2">
        <v>3019.3838647092998</v>
      </c>
    </row>
    <row r="6976" spans="1:42" ht="14.5" x14ac:dyDescent="0.35">
      <c r="A6976" s="2" t="s">
        <v>46245</v>
      </c>
      <c r="B6976" s="2">
        <v>230.066545495393</v>
      </c>
      <c r="C6976" s="2">
        <v>1.14778333333333</v>
      </c>
      <c r="D6976" s="2" t="s">
        <v>70</v>
      </c>
      <c r="E6976" s="2" t="s">
        <v>46246</v>
      </c>
      <c r="F6976" s="2">
        <v>200262</v>
      </c>
      <c r="G6976" s="3" t="str">
        <f>HYPERLINK("http://funmeta.oebiotech.com/network/200262", "http://funmeta.oebiotech.com/network/200262")</f>
        <v>http://funmeta.oebiotech.com/network/200262</v>
      </c>
      <c r="H6976" s="2" t="s">
        <v>46247</v>
      </c>
      <c r="I6976" s="2"/>
      <c r="J6976" s="2"/>
      <c r="K6976" s="2"/>
      <c r="L6976" s="2"/>
      <c r="M6976" s="2"/>
      <c r="N6976" s="2"/>
      <c r="O6976" s="2">
        <v>114827</v>
      </c>
      <c r="P6976" s="2"/>
      <c r="Q6976" s="2" t="s">
        <v>46248</v>
      </c>
      <c r="R6976" s="2" t="s">
        <v>46249</v>
      </c>
      <c r="S6976" s="2" t="s">
        <v>89</v>
      </c>
      <c r="T6976" s="2" t="s">
        <v>90</v>
      </c>
      <c r="U6976" s="2" t="s">
        <v>99</v>
      </c>
      <c r="V6976" s="2" t="s">
        <v>59</v>
      </c>
      <c r="W6976" s="2">
        <v>38.5</v>
      </c>
      <c r="X6976" s="2">
        <v>0</v>
      </c>
      <c r="Y6976" s="2" t="s">
        <v>408</v>
      </c>
      <c r="Z6976" s="2" t="s">
        <v>46250</v>
      </c>
      <c r="AA6976" s="2">
        <v>-2.51371596421364</v>
      </c>
      <c r="AB6976" s="2">
        <v>2.3841925348049801E-3</v>
      </c>
      <c r="AC6976" s="2">
        <v>901.00663892395505</v>
      </c>
      <c r="AD6976" s="2">
        <v>891.28412078279803</v>
      </c>
      <c r="AE6976" s="2">
        <v>1097.64422550262</v>
      </c>
      <c r="AF6976" s="2">
        <v>820.56726266815099</v>
      </c>
      <c r="AG6976" s="2">
        <v>922.25725205528499</v>
      </c>
      <c r="AH6976" s="2">
        <v>654.28868256176304</v>
      </c>
      <c r="AI6976" s="2">
        <v>1010.6229321491199</v>
      </c>
      <c r="AJ6976" s="2">
        <v>900.65947860679296</v>
      </c>
      <c r="AK6976" s="2">
        <v>928.75422449776295</v>
      </c>
      <c r="AL6976" s="2">
        <v>973.36318112391405</v>
      </c>
      <c r="AM6976" s="2">
        <v>641.65051035850104</v>
      </c>
      <c r="AN6976" s="2">
        <v>866.94270900487197</v>
      </c>
      <c r="AO6976" s="2">
        <v>941.35251067887998</v>
      </c>
      <c r="AP6976" s="2">
        <v>995.64158903286</v>
      </c>
    </row>
    <row r="6977" spans="1:42" ht="14.5" x14ac:dyDescent="0.35">
      <c r="A6977" s="2" t="s">
        <v>46251</v>
      </c>
      <c r="B6977" s="2">
        <v>309.17401789219099</v>
      </c>
      <c r="C6977" s="2">
        <v>11.10285</v>
      </c>
      <c r="D6977" s="2" t="s">
        <v>70</v>
      </c>
      <c r="E6977" s="2" t="s">
        <v>46252</v>
      </c>
      <c r="F6977" s="2">
        <v>58575</v>
      </c>
      <c r="G6977" s="3" t="str">
        <f>HYPERLINK("http://funmeta.oebiotech.com/network/58575", "http://funmeta.oebiotech.com/network/58575")</f>
        <v>http://funmeta.oebiotech.com/network/58575</v>
      </c>
      <c r="H6977" s="2" t="s">
        <v>46253</v>
      </c>
      <c r="I6977" s="2">
        <v>90043</v>
      </c>
      <c r="J6977" s="2"/>
      <c r="K6977" s="2">
        <v>171909</v>
      </c>
      <c r="L6977" s="2"/>
      <c r="M6977" s="2"/>
      <c r="N6977" s="2"/>
      <c r="O6977" s="2">
        <v>131751584</v>
      </c>
      <c r="P6977" s="2" t="s">
        <v>46254</v>
      </c>
      <c r="Q6977" s="2" t="s">
        <v>46255</v>
      </c>
      <c r="R6977" s="2" t="s">
        <v>46256</v>
      </c>
      <c r="S6977" s="2" t="s">
        <v>491</v>
      </c>
      <c r="T6977" s="2" t="s">
        <v>13817</v>
      </c>
      <c r="U6977" s="2" t="s">
        <v>23989</v>
      </c>
      <c r="V6977" s="2" t="s">
        <v>59</v>
      </c>
      <c r="W6977" s="2">
        <v>37.200000000000003</v>
      </c>
      <c r="X6977" s="2">
        <v>0</v>
      </c>
      <c r="Y6977" s="2" t="s">
        <v>751</v>
      </c>
      <c r="Z6977" s="2" t="s">
        <v>46257</v>
      </c>
      <c r="AA6977" s="2">
        <v>1.7986916394785299</v>
      </c>
      <c r="AB6977" s="2">
        <v>2.3758538550799802E-3</v>
      </c>
      <c r="AC6977" s="2">
        <v>5244.6915553967801</v>
      </c>
      <c r="AD6977" s="2">
        <v>5210.8864242791396</v>
      </c>
      <c r="AE6977" s="2">
        <v>6534.6411846248802</v>
      </c>
      <c r="AF6977" s="2">
        <v>6603.6793745166397</v>
      </c>
      <c r="AG6977" s="2">
        <v>4375.5228712087201</v>
      </c>
      <c r="AH6977" s="2">
        <v>5406.3914953624098</v>
      </c>
      <c r="AI6977" s="2">
        <v>3107.21382690567</v>
      </c>
      <c r="AJ6977" s="2">
        <v>5440.7005797623597</v>
      </c>
      <c r="AK6977" s="2">
        <v>3597.3548167386102</v>
      </c>
      <c r="AL6977" s="2">
        <v>3780.6772485215101</v>
      </c>
      <c r="AM6977" s="2">
        <v>4603.2263340298896</v>
      </c>
      <c r="AN6977" s="2">
        <v>9655.3306256066207</v>
      </c>
      <c r="AO6977" s="2">
        <v>4658.5887073067797</v>
      </c>
      <c r="AP6977" s="2">
        <v>4970.1408134714102</v>
      </c>
    </row>
    <row r="6978" spans="1:42" ht="14.5" x14ac:dyDescent="0.35">
      <c r="A6978" s="2" t="s">
        <v>46258</v>
      </c>
      <c r="B6978" s="2">
        <v>623.21218713391499</v>
      </c>
      <c r="C6978" s="2">
        <v>4.9343500000000002</v>
      </c>
      <c r="D6978" s="2" t="s">
        <v>70</v>
      </c>
      <c r="E6978" s="2" t="s">
        <v>46259</v>
      </c>
      <c r="F6978" s="2">
        <v>211883</v>
      </c>
      <c r="G6978" s="3" t="str">
        <f>HYPERLINK("http://funmeta.oebiotech.com/network/211883", "http://funmeta.oebiotech.com/network/211883")</f>
        <v>http://funmeta.oebiotech.com/network/211883</v>
      </c>
      <c r="H6978" s="2" t="s">
        <v>46260</v>
      </c>
      <c r="I6978" s="2"/>
      <c r="J6978" s="2"/>
      <c r="K6978" s="2"/>
      <c r="L6978" s="2"/>
      <c r="M6978" s="2"/>
      <c r="N6978" s="2"/>
      <c r="O6978" s="2">
        <v>124238</v>
      </c>
      <c r="P6978" s="2"/>
      <c r="Q6978" s="2" t="s">
        <v>46261</v>
      </c>
      <c r="R6978" s="2" t="s">
        <v>46262</v>
      </c>
      <c r="S6978" s="2" t="s">
        <v>41</v>
      </c>
      <c r="T6978" s="2" t="s">
        <v>41</v>
      </c>
      <c r="U6978" s="2" t="s">
        <v>41</v>
      </c>
      <c r="V6978" s="2" t="s">
        <v>59</v>
      </c>
      <c r="W6978" s="2">
        <v>37.9</v>
      </c>
      <c r="X6978" s="2">
        <v>0</v>
      </c>
      <c r="Y6978" s="2" t="s">
        <v>560</v>
      </c>
      <c r="Z6978" s="2" t="s">
        <v>46263</v>
      </c>
      <c r="AA6978" s="2">
        <v>0.26916235419467399</v>
      </c>
      <c r="AB6978" s="2">
        <v>2.3355579497660798E-3</v>
      </c>
      <c r="AC6978" s="2">
        <v>35155.945593827397</v>
      </c>
      <c r="AD6978" s="2">
        <v>35122.719468237403</v>
      </c>
      <c r="AE6978" s="2">
        <v>34220.111983967603</v>
      </c>
      <c r="AF6978" s="2">
        <v>37366.585983254197</v>
      </c>
      <c r="AG6978" s="2">
        <v>33867.708727541103</v>
      </c>
      <c r="AH6978" s="2">
        <v>35932.150038549997</v>
      </c>
      <c r="AI6978" s="2">
        <v>35868.442034510001</v>
      </c>
      <c r="AJ6978" s="2">
        <v>33680.674795141698</v>
      </c>
      <c r="AK6978" s="2">
        <v>38017.317335791799</v>
      </c>
      <c r="AL6978" s="2">
        <v>34564.265019693899</v>
      </c>
      <c r="AM6978" s="2">
        <v>34221.959382237197</v>
      </c>
      <c r="AN6978" s="2">
        <v>34512.622142947803</v>
      </c>
      <c r="AO6978" s="2">
        <v>31607.705345229399</v>
      </c>
      <c r="AP6978" s="2">
        <v>37812.447583524001</v>
      </c>
    </row>
    <row r="6979" spans="1:42" ht="14.5" x14ac:dyDescent="0.35">
      <c r="A6979" s="2" t="s">
        <v>46264</v>
      </c>
      <c r="B6979" s="2">
        <v>372.16615604930797</v>
      </c>
      <c r="C6979" s="2">
        <v>4.6673166666666699</v>
      </c>
      <c r="D6979" s="2" t="s">
        <v>70</v>
      </c>
      <c r="E6979" s="2" t="s">
        <v>46265</v>
      </c>
      <c r="F6979" s="2">
        <v>197610</v>
      </c>
      <c r="G6979" s="3" t="str">
        <f>HYPERLINK("http://funmeta.oebiotech.com/network/197610", "http://funmeta.oebiotech.com/network/197610")</f>
        <v>http://funmeta.oebiotech.com/network/197610</v>
      </c>
      <c r="H6979" s="2" t="s">
        <v>46266</v>
      </c>
      <c r="I6979" s="2"/>
      <c r="J6979" s="2"/>
      <c r="K6979" s="2"/>
      <c r="L6979" s="2"/>
      <c r="M6979" s="2"/>
      <c r="N6979" s="2"/>
      <c r="O6979" s="2"/>
      <c r="P6979" s="2"/>
      <c r="Q6979" s="2" t="s">
        <v>46267</v>
      </c>
      <c r="R6979" s="2" t="s">
        <v>46268</v>
      </c>
      <c r="S6979" s="2" t="s">
        <v>41</v>
      </c>
      <c r="T6979" s="2" t="s">
        <v>41</v>
      </c>
      <c r="U6979" s="2" t="s">
        <v>41</v>
      </c>
      <c r="V6979" s="2" t="s">
        <v>59</v>
      </c>
      <c r="W6979" s="2">
        <v>36.299999999999997</v>
      </c>
      <c r="X6979" s="2">
        <v>0</v>
      </c>
      <c r="Y6979" s="2" t="s">
        <v>408</v>
      </c>
      <c r="Z6979" s="2" t="s">
        <v>46269</v>
      </c>
      <c r="AA6979" s="2">
        <v>-0.71628175083414902</v>
      </c>
      <c r="AB6979" s="2">
        <v>2.2707400570276498E-3</v>
      </c>
      <c r="AC6979" s="2">
        <v>1190.8037551980699</v>
      </c>
      <c r="AD6979" s="2">
        <v>1205.62452255638</v>
      </c>
      <c r="AE6979" s="2">
        <v>1227.07270355329</v>
      </c>
      <c r="AF6979" s="2">
        <v>1588.0123818500399</v>
      </c>
      <c r="AG6979" s="2">
        <v>633.58159908898904</v>
      </c>
      <c r="AH6979" s="2">
        <v>706.64122683826497</v>
      </c>
      <c r="AI6979" s="2">
        <v>1384.0139587020001</v>
      </c>
      <c r="AJ6979" s="2">
        <v>1605.5006611558399</v>
      </c>
      <c r="AK6979" s="2">
        <v>762.77224904352397</v>
      </c>
      <c r="AL6979" s="2">
        <v>1159.08603248537</v>
      </c>
      <c r="AM6979" s="2">
        <v>1422.8924230557</v>
      </c>
      <c r="AN6979" s="2">
        <v>724.64646270015396</v>
      </c>
      <c r="AO6979" s="2">
        <v>1788.7832936961499</v>
      </c>
      <c r="AP6979" s="2">
        <v>1375.56667435741</v>
      </c>
    </row>
    <row r="6980" spans="1:42" ht="14.5" x14ac:dyDescent="0.35">
      <c r="A6980" s="2" t="s">
        <v>46270</v>
      </c>
      <c r="B6980" s="2">
        <v>213.163739221892</v>
      </c>
      <c r="C6980" s="2">
        <v>4.2777833333333302</v>
      </c>
      <c r="D6980" s="2" t="s">
        <v>34</v>
      </c>
      <c r="E6980" s="2" t="s">
        <v>46271</v>
      </c>
      <c r="F6980" s="2">
        <v>6450</v>
      </c>
      <c r="G6980" s="3" t="str">
        <f>HYPERLINK("http://funmeta.oebiotech.com/network/6450", "http://funmeta.oebiotech.com/network/6450")</f>
        <v>http://funmeta.oebiotech.com/network/6450</v>
      </c>
      <c r="H6980" s="2"/>
      <c r="I6980" s="2"/>
      <c r="J6980" s="2" t="s">
        <v>46272</v>
      </c>
      <c r="K6980" s="2"/>
      <c r="L6980" s="2"/>
      <c r="M6980" s="2"/>
      <c r="N6980" s="2"/>
      <c r="O6980" s="2">
        <v>23426171</v>
      </c>
      <c r="P6980" s="2"/>
      <c r="Q6980" s="2" t="s">
        <v>46273</v>
      </c>
      <c r="R6980" s="2" t="s">
        <v>46274</v>
      </c>
      <c r="S6980" s="2" t="s">
        <v>50</v>
      </c>
      <c r="T6980" s="2" t="s">
        <v>229</v>
      </c>
      <c r="U6980" s="2" t="s">
        <v>1283</v>
      </c>
      <c r="V6980" s="2" t="s">
        <v>59</v>
      </c>
      <c r="W6980" s="2">
        <v>39.299999999999997</v>
      </c>
      <c r="X6980" s="2">
        <v>0</v>
      </c>
      <c r="Y6980" s="2" t="s">
        <v>141</v>
      </c>
      <c r="Z6980" s="2" t="s">
        <v>46275</v>
      </c>
      <c r="AA6980" s="2">
        <v>-0.16445970806128099</v>
      </c>
      <c r="AB6980" s="2">
        <v>2.2449278771648198E-3</v>
      </c>
      <c r="AC6980" s="2">
        <v>1760.14814883388</v>
      </c>
      <c r="AD6980" s="2">
        <v>1750.7633574655999</v>
      </c>
      <c r="AE6980" s="2">
        <v>1904.54031762307</v>
      </c>
      <c r="AF6980" s="2">
        <v>1626.2822829244999</v>
      </c>
      <c r="AG6980" s="2">
        <v>1990.3543652542</v>
      </c>
      <c r="AH6980" s="2">
        <v>1526.5919516871199</v>
      </c>
      <c r="AI6980" s="2">
        <v>1641.1529014109799</v>
      </c>
      <c r="AJ6980" s="2">
        <v>1871.9670741033899</v>
      </c>
      <c r="AK6980" s="2">
        <v>1544.9792443126601</v>
      </c>
      <c r="AL6980" s="2">
        <v>1840.12731493048</v>
      </c>
      <c r="AM6980" s="2">
        <v>1727.84725943999</v>
      </c>
      <c r="AN6980" s="2">
        <v>1983.3688615840099</v>
      </c>
      <c r="AO6980" s="2">
        <v>1702.9188069058901</v>
      </c>
      <c r="AP6980" s="2">
        <v>1705.3386576206001</v>
      </c>
    </row>
    <row r="6981" spans="1:42" ht="14.5" x14ac:dyDescent="0.35">
      <c r="A6981" s="2" t="s">
        <v>46276</v>
      </c>
      <c r="B6981" s="2">
        <v>191.01529762423601</v>
      </c>
      <c r="C6981" s="2">
        <v>2.1257333333333301</v>
      </c>
      <c r="D6981" s="2" t="s">
        <v>34</v>
      </c>
      <c r="E6981" s="2" t="s">
        <v>46277</v>
      </c>
      <c r="F6981" s="2">
        <v>199488</v>
      </c>
      <c r="G6981" s="3" t="str">
        <f>HYPERLINK("http://funmeta.oebiotech.com/network/199488", "http://funmeta.oebiotech.com/network/199488")</f>
        <v>http://funmeta.oebiotech.com/network/199488</v>
      </c>
      <c r="H6981" s="2" t="s">
        <v>46278</v>
      </c>
      <c r="I6981" s="2">
        <v>71143</v>
      </c>
      <c r="J6981" s="2"/>
      <c r="K6981" s="2">
        <v>30895</v>
      </c>
      <c r="L6981" s="2" t="s">
        <v>46279</v>
      </c>
      <c r="M6981" s="2" t="s">
        <v>23291</v>
      </c>
      <c r="N6981" s="2" t="s">
        <v>23292</v>
      </c>
      <c r="O6981" s="2">
        <v>6812</v>
      </c>
      <c r="P6981" s="2" t="s">
        <v>46280</v>
      </c>
      <c r="Q6981" s="2" t="s">
        <v>46281</v>
      </c>
      <c r="R6981" s="2" t="s">
        <v>46282</v>
      </c>
      <c r="S6981" s="2" t="s">
        <v>148</v>
      </c>
      <c r="T6981" s="2" t="s">
        <v>6221</v>
      </c>
      <c r="U6981" s="2" t="s">
        <v>7016</v>
      </c>
      <c r="V6981" s="2" t="s">
        <v>59</v>
      </c>
      <c r="W6981" s="2">
        <v>36</v>
      </c>
      <c r="X6981" s="2">
        <v>0</v>
      </c>
      <c r="Y6981" s="2" t="s">
        <v>141</v>
      </c>
      <c r="Z6981" s="2" t="s">
        <v>46283</v>
      </c>
      <c r="AA6981" s="2">
        <v>-3.9863635034520302</v>
      </c>
      <c r="AB6981" s="2">
        <v>2.20861258176683E-3</v>
      </c>
      <c r="AC6981" s="2">
        <v>532.86724468491605</v>
      </c>
      <c r="AD6981" s="2">
        <v>524.31850608510001</v>
      </c>
      <c r="AE6981" s="2">
        <v>698.03432501523503</v>
      </c>
      <c r="AF6981" s="2">
        <v>532.44959275368899</v>
      </c>
      <c r="AG6981" s="2">
        <v>522.75641160462101</v>
      </c>
      <c r="AH6981" s="2">
        <v>498.62027582246498</v>
      </c>
      <c r="AI6981" s="2">
        <v>599.83960544532101</v>
      </c>
      <c r="AJ6981" s="2">
        <v>345.50325746816702</v>
      </c>
      <c r="AK6981" s="2">
        <v>469.27299607871799</v>
      </c>
      <c r="AL6981" s="2">
        <v>835.25026210069598</v>
      </c>
      <c r="AM6981" s="2">
        <v>356.19112262181301</v>
      </c>
      <c r="AN6981" s="2">
        <v>295.98344799220598</v>
      </c>
      <c r="AO6981" s="2">
        <v>557.00602506613097</v>
      </c>
      <c r="AP6981" s="2">
        <v>632.20718265103903</v>
      </c>
    </row>
    <row r="6982" spans="1:42" ht="14.5" x14ac:dyDescent="0.35">
      <c r="A6982" s="2" t="s">
        <v>46284</v>
      </c>
      <c r="B6982" s="2">
        <v>461.1054854221</v>
      </c>
      <c r="C6982" s="2">
        <v>3.7334833333333299</v>
      </c>
      <c r="D6982" s="2" t="s">
        <v>34</v>
      </c>
      <c r="E6982" s="2" t="s">
        <v>46285</v>
      </c>
      <c r="F6982" s="2">
        <v>289935</v>
      </c>
      <c r="G6982" s="3" t="str">
        <f>HYPERLINK("http://funmeta.oebiotech.com/network/289935", "http://funmeta.oebiotech.com/network/289935")</f>
        <v>http://funmeta.oebiotech.com/network/289935</v>
      </c>
      <c r="H6982" s="2"/>
      <c r="I6982" s="2">
        <v>985322</v>
      </c>
      <c r="J6982" s="2"/>
      <c r="K6982" s="2"/>
      <c r="L6982" s="2"/>
      <c r="M6982" s="2"/>
      <c r="N6982" s="2"/>
      <c r="O6982" s="2">
        <v>11495846</v>
      </c>
      <c r="P6982" s="2"/>
      <c r="Q6982" s="2" t="s">
        <v>46286</v>
      </c>
      <c r="R6982" s="2" t="s">
        <v>46287</v>
      </c>
      <c r="S6982" s="2" t="s">
        <v>79</v>
      </c>
      <c r="T6982" s="2" t="s">
        <v>80</v>
      </c>
      <c r="U6982" s="2" t="s">
        <v>81</v>
      </c>
      <c r="V6982" s="2" t="s">
        <v>59</v>
      </c>
      <c r="W6982" s="2">
        <v>38</v>
      </c>
      <c r="X6982" s="2">
        <v>0</v>
      </c>
      <c r="Y6982" s="2" t="s">
        <v>1115</v>
      </c>
      <c r="Z6982" s="2" t="s">
        <v>46288</v>
      </c>
      <c r="AA6982" s="2">
        <v>0.12147781487597099</v>
      </c>
      <c r="AB6982" s="2">
        <v>2.1519121872784798E-3</v>
      </c>
      <c r="AC6982" s="2">
        <v>12830.9683081563</v>
      </c>
      <c r="AD6982" s="2">
        <v>12805.4567920058</v>
      </c>
      <c r="AE6982" s="2">
        <v>12299.6864064986</v>
      </c>
      <c r="AF6982" s="2">
        <v>13208.722198105699</v>
      </c>
      <c r="AG6982" s="2">
        <v>12641.552789919901</v>
      </c>
      <c r="AH6982" s="2">
        <v>12880.0720816754</v>
      </c>
      <c r="AI6982" s="2">
        <v>12306.384403158399</v>
      </c>
      <c r="AJ6982" s="2">
        <v>13649.3919695799</v>
      </c>
      <c r="AK6982" s="2">
        <v>11033.2615240746</v>
      </c>
      <c r="AL6982" s="2">
        <v>12036.4708114927</v>
      </c>
      <c r="AM6982" s="2">
        <v>13543.578123606099</v>
      </c>
      <c r="AN6982" s="2">
        <v>13873.008051660699</v>
      </c>
      <c r="AO6982" s="2">
        <v>13289.361305500001</v>
      </c>
      <c r="AP6982" s="2">
        <v>13057.0609357005</v>
      </c>
    </row>
    <row r="6983" spans="1:42" ht="14.5" x14ac:dyDescent="0.35">
      <c r="A6983" s="2" t="s">
        <v>46289</v>
      </c>
      <c r="B6983" s="2">
        <v>643.16118219104806</v>
      </c>
      <c r="C6983" s="2">
        <v>4.9511166666666702</v>
      </c>
      <c r="D6983" s="2" t="s">
        <v>70</v>
      </c>
      <c r="E6983" s="2" t="s">
        <v>46290</v>
      </c>
      <c r="F6983" s="2">
        <v>266835</v>
      </c>
      <c r="G6983" s="3" t="str">
        <f>HYPERLINK("http://funmeta.oebiotech.com/network/266835", "http://funmeta.oebiotech.com/network/266835")</f>
        <v>http://funmeta.oebiotech.com/network/266835</v>
      </c>
      <c r="H6983" s="2"/>
      <c r="I6983" s="2">
        <v>44073</v>
      </c>
      <c r="J6983" s="2"/>
      <c r="K6983" s="2"/>
      <c r="L6983" s="2"/>
      <c r="M6983" s="2"/>
      <c r="N6983" s="2"/>
      <c r="O6983" s="2">
        <v>54690323</v>
      </c>
      <c r="P6983" s="2" t="s">
        <v>46291</v>
      </c>
      <c r="Q6983" s="2" t="s">
        <v>46292</v>
      </c>
      <c r="R6983" s="2" t="s">
        <v>46293</v>
      </c>
      <c r="S6983" s="2" t="s">
        <v>491</v>
      </c>
      <c r="T6983" s="2" t="s">
        <v>2321</v>
      </c>
      <c r="U6983" s="2" t="s">
        <v>2322</v>
      </c>
      <c r="V6983" s="2" t="s">
        <v>59</v>
      </c>
      <c r="W6983" s="2">
        <v>39.1</v>
      </c>
      <c r="X6983" s="2">
        <v>0</v>
      </c>
      <c r="Y6983" s="2" t="s">
        <v>560</v>
      </c>
      <c r="Z6983" s="2" t="s">
        <v>46294</v>
      </c>
      <c r="AA6983" s="2">
        <v>0.32837614830691297</v>
      </c>
      <c r="AB6983" s="2">
        <v>2.1456440730596902E-3</v>
      </c>
      <c r="AC6983" s="2">
        <v>17830.499194680899</v>
      </c>
      <c r="AD6983" s="2">
        <v>17890.191867243</v>
      </c>
      <c r="AE6983" s="2">
        <v>20783.592620730698</v>
      </c>
      <c r="AF6983" s="2">
        <v>20258.283685460501</v>
      </c>
      <c r="AG6983" s="2">
        <v>17646.729259168202</v>
      </c>
      <c r="AH6983" s="2">
        <v>16118.2864604639</v>
      </c>
      <c r="AI6983" s="2">
        <v>14938.7956030394</v>
      </c>
      <c r="AJ6983" s="2">
        <v>17237.3075392225</v>
      </c>
      <c r="AK6983" s="2">
        <v>20471.0889222154</v>
      </c>
      <c r="AL6983" s="2">
        <v>17792.037662673702</v>
      </c>
      <c r="AM6983" s="2">
        <v>18019.4865432529</v>
      </c>
      <c r="AN6983" s="2">
        <v>19060.604108012001</v>
      </c>
      <c r="AO6983" s="2">
        <v>15089.0578338958</v>
      </c>
      <c r="AP6983" s="2">
        <v>16908.876133408401</v>
      </c>
    </row>
    <row r="6984" spans="1:42" ht="14.5" x14ac:dyDescent="0.35">
      <c r="A6984" s="2" t="s">
        <v>46295</v>
      </c>
      <c r="B6984" s="2">
        <v>194.06222206264599</v>
      </c>
      <c r="C6984" s="2">
        <v>0.73909999999999998</v>
      </c>
      <c r="D6984" s="2" t="s">
        <v>70</v>
      </c>
      <c r="E6984" s="2" t="s">
        <v>46296</v>
      </c>
      <c r="F6984" s="2">
        <v>206886</v>
      </c>
      <c r="G6984" s="3" t="str">
        <f>HYPERLINK("http://funmeta.oebiotech.com/network/206886", "http://funmeta.oebiotech.com/network/206886")</f>
        <v>http://funmeta.oebiotech.com/network/206886</v>
      </c>
      <c r="H6984" s="2" t="s">
        <v>46297</v>
      </c>
      <c r="I6984" s="2"/>
      <c r="J6984" s="2"/>
      <c r="K6984" s="2"/>
      <c r="L6984" s="2"/>
      <c r="M6984" s="2"/>
      <c r="N6984" s="2"/>
      <c r="O6984" s="2">
        <v>10219795</v>
      </c>
      <c r="P6984" s="2"/>
      <c r="Q6984" s="2" t="s">
        <v>46298</v>
      </c>
      <c r="R6984" s="2" t="s">
        <v>46299</v>
      </c>
      <c r="S6984" s="2" t="s">
        <v>79</v>
      </c>
      <c r="T6984" s="2" t="s">
        <v>80</v>
      </c>
      <c r="U6984" s="2" t="s">
        <v>249</v>
      </c>
      <c r="V6984" s="2" t="s">
        <v>59</v>
      </c>
      <c r="W6984" s="2">
        <v>38.4</v>
      </c>
      <c r="X6984" s="2">
        <v>3.53</v>
      </c>
      <c r="Y6984" s="2" t="s">
        <v>118</v>
      </c>
      <c r="Z6984" s="2" t="s">
        <v>46300</v>
      </c>
      <c r="AA6984" s="2">
        <v>-0.29881635736092799</v>
      </c>
      <c r="AB6984" s="2">
        <v>2.0703227497738002E-3</v>
      </c>
      <c r="AC6984" s="2">
        <v>19023.945629886701</v>
      </c>
      <c r="AD6984" s="2">
        <v>19013.239717839599</v>
      </c>
      <c r="AE6984" s="2">
        <v>17768.515293034099</v>
      </c>
      <c r="AF6984" s="2">
        <v>17028.347534623201</v>
      </c>
      <c r="AG6984" s="2">
        <v>24023.687090399399</v>
      </c>
      <c r="AH6984" s="2">
        <v>18283.443946938401</v>
      </c>
      <c r="AI6984" s="2">
        <v>15961.9209288445</v>
      </c>
      <c r="AJ6984" s="2">
        <v>21077.758985480799</v>
      </c>
      <c r="AK6984" s="2">
        <v>20242.265056029999</v>
      </c>
      <c r="AL6984" s="2">
        <v>22384.725338019602</v>
      </c>
      <c r="AM6984" s="2">
        <v>19622.3693289576</v>
      </c>
      <c r="AN6984" s="2">
        <v>20623.703296604599</v>
      </c>
      <c r="AO6984" s="2">
        <v>15630.415079496401</v>
      </c>
      <c r="AP6984" s="2">
        <v>15575.9602079295</v>
      </c>
    </row>
    <row r="6985" spans="1:42" ht="14.5" x14ac:dyDescent="0.35">
      <c r="A6985" s="2" t="s">
        <v>46301</v>
      </c>
      <c r="B6985" s="2">
        <v>333.13526108292001</v>
      </c>
      <c r="C6985" s="2">
        <v>10.185750000000001</v>
      </c>
      <c r="D6985" s="2" t="s">
        <v>70</v>
      </c>
      <c r="E6985" s="2" t="s">
        <v>46302</v>
      </c>
      <c r="F6985" s="2">
        <v>256798</v>
      </c>
      <c r="G6985" s="3" t="str">
        <f>HYPERLINK("http://funmeta.oebiotech.com/network/256798", "http://funmeta.oebiotech.com/network/256798")</f>
        <v>http://funmeta.oebiotech.com/network/256798</v>
      </c>
      <c r="H6985" s="2" t="s">
        <v>46303</v>
      </c>
      <c r="I6985" s="2"/>
      <c r="J6985" s="2"/>
      <c r="K6985" s="2"/>
      <c r="L6985" s="2"/>
      <c r="M6985" s="2"/>
      <c r="N6985" s="2"/>
      <c r="O6985" s="2"/>
      <c r="P6985" s="2"/>
      <c r="Q6985" s="2" t="s">
        <v>46304</v>
      </c>
      <c r="R6985" s="2" t="s">
        <v>46305</v>
      </c>
      <c r="S6985" s="2" t="s">
        <v>491</v>
      </c>
      <c r="T6985" s="2" t="s">
        <v>2321</v>
      </c>
      <c r="U6985" s="2" t="s">
        <v>2322</v>
      </c>
      <c r="V6985" s="2" t="s">
        <v>59</v>
      </c>
      <c r="W6985" s="2">
        <v>39.200000000000003</v>
      </c>
      <c r="X6985" s="2">
        <v>0</v>
      </c>
      <c r="Y6985" s="2" t="s">
        <v>560</v>
      </c>
      <c r="Z6985" s="2" t="s">
        <v>46306</v>
      </c>
      <c r="AA6985" s="2">
        <v>2.6907512151192701</v>
      </c>
      <c r="AB6985" s="2">
        <v>2.0179789289481499E-3</v>
      </c>
      <c r="AC6985" s="2">
        <v>1940.7333017687299</v>
      </c>
      <c r="AD6985" s="2">
        <v>1919.4690322762699</v>
      </c>
      <c r="AE6985" s="2">
        <v>2343.9163312595401</v>
      </c>
      <c r="AF6985" s="2">
        <v>2920.0301470781701</v>
      </c>
      <c r="AG6985" s="2">
        <v>1463.7724715208201</v>
      </c>
      <c r="AH6985" s="2">
        <v>1916.14481423956</v>
      </c>
      <c r="AI6985" s="2">
        <v>1224.72009917227</v>
      </c>
      <c r="AJ6985" s="2">
        <v>1775.8159473420101</v>
      </c>
      <c r="AK6985" s="2">
        <v>1635.4421178427899</v>
      </c>
      <c r="AL6985" s="2">
        <v>1412.2680646516901</v>
      </c>
      <c r="AM6985" s="2">
        <v>1077.2238537206599</v>
      </c>
      <c r="AN6985" s="2">
        <v>4260.6799540857401</v>
      </c>
      <c r="AO6985" s="2">
        <v>1554.1590403442799</v>
      </c>
      <c r="AP6985" s="2">
        <v>1577.04116301249</v>
      </c>
    </row>
    <row r="6986" spans="1:42" ht="14.5" x14ac:dyDescent="0.35">
      <c r="A6986" s="2" t="s">
        <v>46307</v>
      </c>
      <c r="B6986" s="2">
        <v>437.15727334688597</v>
      </c>
      <c r="C6986" s="2">
        <v>3.7118500000000001</v>
      </c>
      <c r="D6986" s="2" t="s">
        <v>70</v>
      </c>
      <c r="E6986" s="2" t="s">
        <v>46308</v>
      </c>
      <c r="F6986" s="2">
        <v>208783</v>
      </c>
      <c r="G6986" s="3" t="str">
        <f>HYPERLINK("http://funmeta.oebiotech.com/network/208783", "http://funmeta.oebiotech.com/network/208783")</f>
        <v>http://funmeta.oebiotech.com/network/208783</v>
      </c>
      <c r="H6986" s="2" t="s">
        <v>46309</v>
      </c>
      <c r="I6986" s="2"/>
      <c r="J6986" s="2"/>
      <c r="K6986" s="2"/>
      <c r="L6986" s="2"/>
      <c r="M6986" s="2"/>
      <c r="N6986" s="2"/>
      <c r="O6986" s="2">
        <v>10114058</v>
      </c>
      <c r="P6986" s="2"/>
      <c r="Q6986" s="2" t="s">
        <v>46310</v>
      </c>
      <c r="R6986" s="2" t="s">
        <v>46311</v>
      </c>
      <c r="S6986" s="2" t="s">
        <v>148</v>
      </c>
      <c r="T6986" s="2" t="s">
        <v>149</v>
      </c>
      <c r="U6986" s="2" t="s">
        <v>5292</v>
      </c>
      <c r="V6986" s="2" t="s">
        <v>59</v>
      </c>
      <c r="W6986" s="2">
        <v>38.4</v>
      </c>
      <c r="X6986" s="2">
        <v>0</v>
      </c>
      <c r="Y6986" s="2" t="s">
        <v>118</v>
      </c>
      <c r="Z6986" s="2" t="s">
        <v>46312</v>
      </c>
      <c r="AA6986" s="2">
        <v>-0.34158629024821002</v>
      </c>
      <c r="AB6986" s="2">
        <v>1.9910186000423801E-3</v>
      </c>
      <c r="AC6986" s="2">
        <v>4412.6769639542099</v>
      </c>
      <c r="AD6986" s="2">
        <v>4430.2633145645796</v>
      </c>
      <c r="AE6986" s="2">
        <v>4159.6250060971497</v>
      </c>
      <c r="AF6986" s="2">
        <v>5345.6689148536298</v>
      </c>
      <c r="AG6986" s="2">
        <v>4372.6311701480099</v>
      </c>
      <c r="AH6986" s="2">
        <v>4665.8535723483601</v>
      </c>
      <c r="AI6986" s="2">
        <v>4541.0707866774001</v>
      </c>
      <c r="AJ6986" s="2">
        <v>3391.2123336006898</v>
      </c>
      <c r="AK6986" s="2">
        <v>4126.8182909892803</v>
      </c>
      <c r="AL6986" s="2">
        <v>4500.9937389321703</v>
      </c>
      <c r="AM6986" s="2">
        <v>4898.20413545682</v>
      </c>
      <c r="AN6986" s="2">
        <v>3710.4525295420499</v>
      </c>
      <c r="AO6986" s="2">
        <v>5223.5942886139201</v>
      </c>
      <c r="AP6986" s="2">
        <v>4121.5169038532404</v>
      </c>
    </row>
    <row r="6987" spans="1:42" ht="14.5" x14ac:dyDescent="0.35">
      <c r="A6987" s="2" t="s">
        <v>46313</v>
      </c>
      <c r="B6987" s="2">
        <v>119.083166587292</v>
      </c>
      <c r="C6987" s="2">
        <v>9.6530833333333295</v>
      </c>
      <c r="D6987" s="2" t="s">
        <v>34</v>
      </c>
      <c r="E6987" s="2" t="s">
        <v>46314</v>
      </c>
      <c r="F6987" s="2">
        <v>208725</v>
      </c>
      <c r="G6987" s="3" t="str">
        <f>HYPERLINK("http://funmeta.oebiotech.com/network/208725", "http://funmeta.oebiotech.com/network/208725")</f>
        <v>http://funmeta.oebiotech.com/network/208725</v>
      </c>
      <c r="H6987" s="2" t="s">
        <v>46315</v>
      </c>
      <c r="I6987" s="2">
        <v>343025</v>
      </c>
      <c r="J6987" s="2"/>
      <c r="K6987" s="2"/>
      <c r="L6987" s="2"/>
      <c r="M6987" s="2"/>
      <c r="N6987" s="2"/>
      <c r="O6987" s="2">
        <v>14502</v>
      </c>
      <c r="P6987" s="2"/>
      <c r="Q6987" s="2" t="s">
        <v>46316</v>
      </c>
      <c r="R6987" s="2" t="s">
        <v>46317</v>
      </c>
      <c r="S6987" s="2" t="s">
        <v>3194</v>
      </c>
      <c r="T6987" s="2" t="s">
        <v>3195</v>
      </c>
      <c r="U6987" s="2" t="s">
        <v>14309</v>
      </c>
      <c r="V6987" s="2" t="s">
        <v>59</v>
      </c>
      <c r="W6987" s="2">
        <v>38.4</v>
      </c>
      <c r="X6987" s="2">
        <v>0</v>
      </c>
      <c r="Y6987" s="2" t="s">
        <v>323</v>
      </c>
      <c r="Z6987" s="2" t="s">
        <v>46318</v>
      </c>
      <c r="AA6987" s="2">
        <v>0.47372884142851301</v>
      </c>
      <c r="AB6987" s="2">
        <v>1.9483360102654399E-3</v>
      </c>
      <c r="AC6987" s="2">
        <v>615.52303738295097</v>
      </c>
      <c r="AD6987" s="2">
        <v>626.58403601686496</v>
      </c>
      <c r="AE6987" s="2">
        <v>732.10876465838101</v>
      </c>
      <c r="AF6987" s="2">
        <v>590.45528173412504</v>
      </c>
      <c r="AG6987" s="2">
        <v>558.63007516434004</v>
      </c>
      <c r="AH6987" s="2">
        <v>589.60353807636102</v>
      </c>
      <c r="AI6987" s="2">
        <v>680.69314322734499</v>
      </c>
      <c r="AJ6987" s="2">
        <v>541.64742143715603</v>
      </c>
      <c r="AK6987" s="2">
        <v>359.87007729964301</v>
      </c>
      <c r="AL6987" s="2">
        <v>1249.33901543753</v>
      </c>
      <c r="AM6987" s="2">
        <v>610.66707674262796</v>
      </c>
      <c r="AN6987" s="2">
        <v>642.44204067885096</v>
      </c>
      <c r="AO6987" s="2">
        <v>495.70081090414698</v>
      </c>
      <c r="AP6987" s="2">
        <v>401.48519503838799</v>
      </c>
    </row>
    <row r="6988" spans="1:42" ht="14.5" x14ac:dyDescent="0.35">
      <c r="A6988" s="2" t="s">
        <v>46319</v>
      </c>
      <c r="B6988" s="2">
        <v>419.11244117096197</v>
      </c>
      <c r="C6988" s="2">
        <v>4.22216666666667</v>
      </c>
      <c r="D6988" s="2" t="s">
        <v>70</v>
      </c>
      <c r="E6988" s="2" t="s">
        <v>46320</v>
      </c>
      <c r="F6988" s="2">
        <v>206632</v>
      </c>
      <c r="G6988" s="3" t="str">
        <f>HYPERLINK("http://funmeta.oebiotech.com/network/206632", "http://funmeta.oebiotech.com/network/206632")</f>
        <v>http://funmeta.oebiotech.com/network/206632</v>
      </c>
      <c r="H6988" s="2" t="s">
        <v>46321</v>
      </c>
      <c r="I6988" s="2"/>
      <c r="J6988" s="2"/>
      <c r="K6988" s="2"/>
      <c r="L6988" s="2"/>
      <c r="M6988" s="2"/>
      <c r="N6988" s="2"/>
      <c r="O6988" s="2"/>
      <c r="P6988" s="2"/>
      <c r="Q6988" s="2" t="s">
        <v>46322</v>
      </c>
      <c r="R6988" s="2" t="s">
        <v>46323</v>
      </c>
      <c r="S6988" s="2" t="s">
        <v>491</v>
      </c>
      <c r="T6988" s="2" t="s">
        <v>7431</v>
      </c>
      <c r="U6988" s="2" t="s">
        <v>7432</v>
      </c>
      <c r="V6988" s="2" t="s">
        <v>59</v>
      </c>
      <c r="W6988" s="2">
        <v>37</v>
      </c>
      <c r="X6988" s="2">
        <v>0</v>
      </c>
      <c r="Y6988" s="2" t="s">
        <v>118</v>
      </c>
      <c r="Z6988" s="2" t="s">
        <v>46324</v>
      </c>
      <c r="AA6988" s="2">
        <v>-0.78522200975878798</v>
      </c>
      <c r="AB6988" s="2">
        <v>1.91044506616676E-3</v>
      </c>
      <c r="AC6988" s="2">
        <v>2791.8189799388902</v>
      </c>
      <c r="AD6988" s="2">
        <v>2808.29919884224</v>
      </c>
      <c r="AE6988" s="2">
        <v>3396.91527466054</v>
      </c>
      <c r="AF6988" s="2">
        <v>2430.3276308016898</v>
      </c>
      <c r="AG6988" s="2">
        <v>2194.9230090736501</v>
      </c>
      <c r="AH6988" s="2">
        <v>1998.95011061433</v>
      </c>
      <c r="AI6988" s="2">
        <v>3107.84192724483</v>
      </c>
      <c r="AJ6988" s="2">
        <v>3621.9559272382699</v>
      </c>
      <c r="AK6988" s="2">
        <v>3922.2543414773399</v>
      </c>
      <c r="AL6988" s="2">
        <v>3108.5898946473799</v>
      </c>
      <c r="AM6988" s="2">
        <v>2142.4021427821799</v>
      </c>
      <c r="AN6988" s="2">
        <v>2895.8955778954401</v>
      </c>
      <c r="AO6988" s="2">
        <v>2650.58941719107</v>
      </c>
      <c r="AP6988" s="2">
        <v>2130.0638190600198</v>
      </c>
    </row>
    <row r="6989" spans="1:42" ht="14.5" x14ac:dyDescent="0.35">
      <c r="A6989" s="2" t="s">
        <v>46325</v>
      </c>
      <c r="B6989" s="2">
        <v>429.19452410625303</v>
      </c>
      <c r="C6989" s="2">
        <v>12.388916666666701</v>
      </c>
      <c r="D6989" s="2" t="s">
        <v>70</v>
      </c>
      <c r="E6989" s="2" t="s">
        <v>46326</v>
      </c>
      <c r="F6989" s="2">
        <v>45079</v>
      </c>
      <c r="G6989" s="3" t="str">
        <f>HYPERLINK("http://funmeta.oebiotech.com/network/45079", "http://funmeta.oebiotech.com/network/45079")</f>
        <v>http://funmeta.oebiotech.com/network/45079</v>
      </c>
      <c r="H6989" s="2"/>
      <c r="I6989" s="2">
        <v>84303</v>
      </c>
      <c r="J6989" s="2" t="s">
        <v>46327</v>
      </c>
      <c r="K6989" s="2"/>
      <c r="L6989" s="2"/>
      <c r="M6989" s="2"/>
      <c r="N6989" s="2"/>
      <c r="O6989" s="2">
        <v>42640655</v>
      </c>
      <c r="P6989" s="2"/>
      <c r="Q6989" s="2" t="s">
        <v>46328</v>
      </c>
      <c r="R6989" s="2" t="s">
        <v>46329</v>
      </c>
      <c r="S6989" s="2" t="s">
        <v>50</v>
      </c>
      <c r="T6989" s="2" t="s">
        <v>124</v>
      </c>
      <c r="U6989" s="2" t="s">
        <v>9313</v>
      </c>
      <c r="V6989" s="2" t="s">
        <v>59</v>
      </c>
      <c r="W6989" s="2">
        <v>39.200000000000003</v>
      </c>
      <c r="X6989" s="2">
        <v>0</v>
      </c>
      <c r="Y6989" s="2" t="s">
        <v>118</v>
      </c>
      <c r="Z6989" s="2" t="s">
        <v>46330</v>
      </c>
      <c r="AA6989" s="2">
        <v>-1.68267038440773</v>
      </c>
      <c r="AB6989" s="2">
        <v>1.7500272658142399E-3</v>
      </c>
      <c r="AC6989" s="2">
        <v>6639.7770437528097</v>
      </c>
      <c r="AD6989" s="2">
        <v>6659.7387464789999</v>
      </c>
      <c r="AE6989" s="2">
        <v>8340.0492802257304</v>
      </c>
      <c r="AF6989" s="2">
        <v>4223.4784465204002</v>
      </c>
      <c r="AG6989" s="2">
        <v>6632.8615989776499</v>
      </c>
      <c r="AH6989" s="2">
        <v>6201.2776314011599</v>
      </c>
      <c r="AI6989" s="2">
        <v>7002.2099997674704</v>
      </c>
      <c r="AJ6989" s="2">
        <v>7438.7853056244203</v>
      </c>
      <c r="AK6989" s="2">
        <v>5609.7971499827099</v>
      </c>
      <c r="AL6989" s="2">
        <v>8570.8610191218904</v>
      </c>
      <c r="AM6989" s="2">
        <v>6636.9659404771901</v>
      </c>
      <c r="AN6989" s="2">
        <v>8199.4641477436708</v>
      </c>
      <c r="AO6989" s="2">
        <v>4552.4802013169901</v>
      </c>
      <c r="AP6989" s="2">
        <v>6388.8640202315701</v>
      </c>
    </row>
    <row r="6990" spans="1:42" ht="14.5" x14ac:dyDescent="0.35">
      <c r="A6990" s="2" t="s">
        <v>46331</v>
      </c>
      <c r="B6990" s="2">
        <v>105.03361849578501</v>
      </c>
      <c r="C6990" s="2">
        <v>10.1513166666667</v>
      </c>
      <c r="D6990" s="2" t="s">
        <v>34</v>
      </c>
      <c r="E6990" s="2" t="s">
        <v>46332</v>
      </c>
      <c r="F6990" s="2">
        <v>47686</v>
      </c>
      <c r="G6990" s="3" t="str">
        <f>HYPERLINK("http://funmeta.oebiotech.com/network/47686", "http://funmeta.oebiotech.com/network/47686")</f>
        <v>http://funmeta.oebiotech.com/network/47686</v>
      </c>
      <c r="H6990" s="2" t="s">
        <v>46333</v>
      </c>
      <c r="I6990" s="2">
        <v>1297</v>
      </c>
      <c r="J6990" s="2"/>
      <c r="K6990" s="2">
        <v>30746</v>
      </c>
      <c r="L6990" s="2" t="s">
        <v>46334</v>
      </c>
      <c r="M6990" s="2"/>
      <c r="N6990" s="2"/>
      <c r="O6990" s="2">
        <v>243</v>
      </c>
      <c r="P6990" s="2" t="s">
        <v>46335</v>
      </c>
      <c r="Q6990" s="2" t="s">
        <v>46336</v>
      </c>
      <c r="R6990" s="2" t="s">
        <v>46337</v>
      </c>
      <c r="S6990" s="2" t="s">
        <v>148</v>
      </c>
      <c r="T6990" s="2" t="s">
        <v>149</v>
      </c>
      <c r="U6990" s="2" t="s">
        <v>1593</v>
      </c>
      <c r="V6990" s="2" t="s">
        <v>59</v>
      </c>
      <c r="W6990" s="2">
        <v>39.4</v>
      </c>
      <c r="X6990" s="2">
        <v>0</v>
      </c>
      <c r="Y6990" s="2" t="s">
        <v>141</v>
      </c>
      <c r="Z6990" s="2" t="s">
        <v>4449</v>
      </c>
      <c r="AA6990" s="2">
        <v>1.04324487712979</v>
      </c>
      <c r="AB6990" s="2">
        <v>1.6961111440126E-3</v>
      </c>
      <c r="AC6990" s="2">
        <v>79.434300788109894</v>
      </c>
      <c r="AD6990" s="2">
        <v>76.896982648318897</v>
      </c>
      <c r="AE6990" s="2">
        <v>62.142639824992202</v>
      </c>
      <c r="AF6990" s="2">
        <v>85.638825717127403</v>
      </c>
      <c r="AG6990" s="2">
        <v>88.182166028970101</v>
      </c>
      <c r="AH6990" s="2">
        <v>75.6078041198476</v>
      </c>
      <c r="AI6990" s="2">
        <v>77.555677248074105</v>
      </c>
      <c r="AJ6990" s="2">
        <v>87.478691789648096</v>
      </c>
      <c r="AK6990" s="2">
        <v>70.675033091922998</v>
      </c>
      <c r="AL6990" s="2">
        <v>47.031749356061198</v>
      </c>
      <c r="AM6990" s="2">
        <v>58.696089063128902</v>
      </c>
      <c r="AN6990" s="2">
        <v>100.406975802652</v>
      </c>
      <c r="AO6990" s="2">
        <v>79.9213029791363</v>
      </c>
      <c r="AP6990" s="2">
        <v>104.650745597012</v>
      </c>
    </row>
    <row r="6991" spans="1:42" ht="14.5" x14ac:dyDescent="0.35">
      <c r="A6991" s="2" t="s">
        <v>46338</v>
      </c>
      <c r="B6991" s="2">
        <v>273.11280630832499</v>
      </c>
      <c r="C6991" s="2">
        <v>5.4498833333333296</v>
      </c>
      <c r="D6991" s="2" t="s">
        <v>70</v>
      </c>
      <c r="E6991" s="2" t="s">
        <v>46339</v>
      </c>
      <c r="F6991" s="2">
        <v>52812</v>
      </c>
      <c r="G6991" s="3" t="str">
        <f>HYPERLINK("http://funmeta.oebiotech.com/network/52812", "http://funmeta.oebiotech.com/network/52812")</f>
        <v>http://funmeta.oebiotech.com/network/52812</v>
      </c>
      <c r="H6991" s="2" t="s">
        <v>46340</v>
      </c>
      <c r="I6991" s="2">
        <v>1367</v>
      </c>
      <c r="J6991" s="2"/>
      <c r="K6991" s="2">
        <v>7443</v>
      </c>
      <c r="L6991" s="2" t="s">
        <v>46341</v>
      </c>
      <c r="M6991" s="2"/>
      <c r="N6991" s="2"/>
      <c r="O6991" s="2">
        <v>4409</v>
      </c>
      <c r="P6991" s="2" t="s">
        <v>46342</v>
      </c>
      <c r="Q6991" s="2" t="s">
        <v>46343</v>
      </c>
      <c r="R6991" s="2" t="s">
        <v>46344</v>
      </c>
      <c r="S6991" s="2" t="s">
        <v>148</v>
      </c>
      <c r="T6991" s="2" t="s">
        <v>6221</v>
      </c>
      <c r="U6991" s="2" t="s">
        <v>41</v>
      </c>
      <c r="V6991" s="2" t="s">
        <v>59</v>
      </c>
      <c r="W6991" s="2">
        <v>38.700000000000003</v>
      </c>
      <c r="X6991" s="2">
        <v>0</v>
      </c>
      <c r="Y6991" s="2" t="s">
        <v>408</v>
      </c>
      <c r="Z6991" s="2" t="s">
        <v>20711</v>
      </c>
      <c r="AA6991" s="2">
        <v>-1.8688550060707401</v>
      </c>
      <c r="AB6991" s="2">
        <v>1.6243872260466501E-3</v>
      </c>
      <c r="AC6991" s="2">
        <v>1945.81933781264</v>
      </c>
      <c r="AD6991" s="2">
        <v>1955.49095081306</v>
      </c>
      <c r="AE6991" s="2">
        <v>1815.6622940526099</v>
      </c>
      <c r="AF6991" s="2">
        <v>2261.9650203964602</v>
      </c>
      <c r="AG6991" s="2">
        <v>1957.5945314058699</v>
      </c>
      <c r="AH6991" s="2">
        <v>1768.9745542074199</v>
      </c>
      <c r="AI6991" s="2">
        <v>1793.58208948933</v>
      </c>
      <c r="AJ6991" s="2">
        <v>2077.1375373241399</v>
      </c>
      <c r="AK6991" s="2">
        <v>2120.01826772816</v>
      </c>
      <c r="AL6991" s="2">
        <v>2021.8723578167901</v>
      </c>
      <c r="AM6991" s="2">
        <v>1853.9075598214399</v>
      </c>
      <c r="AN6991" s="2">
        <v>1845.58318963172</v>
      </c>
      <c r="AO6991" s="2">
        <v>1771.4792608175901</v>
      </c>
      <c r="AP6991" s="2">
        <v>2120.0850690626498</v>
      </c>
    </row>
    <row r="6992" spans="1:42" ht="14.5" x14ac:dyDescent="0.35">
      <c r="A6992" s="2" t="s">
        <v>46345</v>
      </c>
      <c r="B6992" s="2">
        <v>287.06820208848097</v>
      </c>
      <c r="C6992" s="2">
        <v>3.7494000000000001</v>
      </c>
      <c r="D6992" s="2" t="s">
        <v>70</v>
      </c>
      <c r="E6992" s="2" t="s">
        <v>46346</v>
      </c>
      <c r="F6992" s="2">
        <v>257929</v>
      </c>
      <c r="G6992" s="3" t="str">
        <f>HYPERLINK("http://funmeta.oebiotech.com/network/257929", "http://funmeta.oebiotech.com/network/257929")</f>
        <v>http://funmeta.oebiotech.com/network/257929</v>
      </c>
      <c r="H6992" s="2"/>
      <c r="I6992" s="2">
        <v>1570</v>
      </c>
      <c r="J6992" s="2"/>
      <c r="K6992" s="2"/>
      <c r="L6992" s="2"/>
      <c r="M6992" s="2"/>
      <c r="N6992" s="2"/>
      <c r="O6992" s="2">
        <v>15681</v>
      </c>
      <c r="P6992" s="2" t="s">
        <v>46347</v>
      </c>
      <c r="Q6992" s="2" t="s">
        <v>46348</v>
      </c>
      <c r="R6992" s="2" t="s">
        <v>46349</v>
      </c>
      <c r="S6992" s="2" t="s">
        <v>148</v>
      </c>
      <c r="T6992" s="2" t="s">
        <v>149</v>
      </c>
      <c r="U6992" s="2" t="s">
        <v>25393</v>
      </c>
      <c r="V6992" s="2" t="s">
        <v>59</v>
      </c>
      <c r="W6992" s="2">
        <v>38.1</v>
      </c>
      <c r="X6992" s="2">
        <v>0</v>
      </c>
      <c r="Y6992" s="2" t="s">
        <v>408</v>
      </c>
      <c r="Z6992" s="2" t="s">
        <v>25454</v>
      </c>
      <c r="AA6992" s="2">
        <v>3.5404326750297002</v>
      </c>
      <c r="AB6992" s="2">
        <v>1.60752357033192E-3</v>
      </c>
      <c r="AC6992" s="2">
        <v>550.20808924231801</v>
      </c>
      <c r="AD6992" s="2">
        <v>542.79409103614103</v>
      </c>
      <c r="AE6992" s="2">
        <v>441.42649259147601</v>
      </c>
      <c r="AF6992" s="2">
        <v>647.91272643294599</v>
      </c>
      <c r="AG6992" s="2">
        <v>691.12826780294597</v>
      </c>
      <c r="AH6992" s="2">
        <v>368.78805028200401</v>
      </c>
      <c r="AI6992" s="2">
        <v>740.28936902933901</v>
      </c>
      <c r="AJ6992" s="2">
        <v>411.70362931519401</v>
      </c>
      <c r="AK6992" s="2">
        <v>648.95675943932997</v>
      </c>
      <c r="AL6992" s="2">
        <v>519.87968242618194</v>
      </c>
      <c r="AM6992" s="2">
        <v>530.56622494613805</v>
      </c>
      <c r="AN6992" s="2">
        <v>662.12690035582</v>
      </c>
      <c r="AO6992" s="2">
        <v>465.42357915908502</v>
      </c>
      <c r="AP6992" s="2">
        <v>429.81139989029401</v>
      </c>
    </row>
    <row r="6993" spans="1:42" ht="14.5" x14ac:dyDescent="0.35">
      <c r="A6993" s="2" t="s">
        <v>46350</v>
      </c>
      <c r="B6993" s="2">
        <v>327.09802848788303</v>
      </c>
      <c r="C6993" s="2">
        <v>4.0592666666666704</v>
      </c>
      <c r="D6993" s="2" t="s">
        <v>70</v>
      </c>
      <c r="E6993" s="2" t="s">
        <v>46351</v>
      </c>
      <c r="F6993" s="2">
        <v>201185</v>
      </c>
      <c r="G6993" s="3" t="str">
        <f>HYPERLINK("http://funmeta.oebiotech.com/network/201185", "http://funmeta.oebiotech.com/network/201185")</f>
        <v>http://funmeta.oebiotech.com/network/201185</v>
      </c>
      <c r="H6993" s="2" t="s">
        <v>46352</v>
      </c>
      <c r="I6993" s="2">
        <v>453407</v>
      </c>
      <c r="J6993" s="2"/>
      <c r="K6993" s="2"/>
      <c r="L6993" s="2"/>
      <c r="M6993" s="2"/>
      <c r="N6993" s="2"/>
      <c r="O6993" s="2">
        <v>161366</v>
      </c>
      <c r="P6993" s="2"/>
      <c r="Q6993" s="2" t="s">
        <v>46353</v>
      </c>
      <c r="R6993" s="2" t="s">
        <v>46354</v>
      </c>
      <c r="S6993" s="2" t="s">
        <v>491</v>
      </c>
      <c r="T6993" s="2" t="s">
        <v>3479</v>
      </c>
      <c r="U6993" s="2" t="s">
        <v>13711</v>
      </c>
      <c r="V6993" s="2" t="s">
        <v>59</v>
      </c>
      <c r="W6993" s="2">
        <v>36.9</v>
      </c>
      <c r="X6993" s="2">
        <v>0</v>
      </c>
      <c r="Y6993" s="2" t="s">
        <v>408</v>
      </c>
      <c r="Z6993" s="2" t="s">
        <v>46355</v>
      </c>
      <c r="AA6993" s="2">
        <v>-2.18609858170753</v>
      </c>
      <c r="AB6993" s="2">
        <v>1.6036980120017401E-3</v>
      </c>
      <c r="AC6993" s="2">
        <v>4772.8808526967596</v>
      </c>
      <c r="AD6993" s="2">
        <v>4793.4819878540502</v>
      </c>
      <c r="AE6993" s="2">
        <v>4367.0925313344496</v>
      </c>
      <c r="AF6993" s="2">
        <v>4792.2125354576801</v>
      </c>
      <c r="AG6993" s="2">
        <v>5600.9849328972496</v>
      </c>
      <c r="AH6993" s="2">
        <v>4979.11790982411</v>
      </c>
      <c r="AI6993" s="2">
        <v>3596.16328180139</v>
      </c>
      <c r="AJ6993" s="2">
        <v>5301.7139248656704</v>
      </c>
      <c r="AK6993" s="2">
        <v>5079.40038417711</v>
      </c>
      <c r="AL6993" s="2">
        <v>4522.0028668225104</v>
      </c>
      <c r="AM6993" s="2">
        <v>4268.0053386154004</v>
      </c>
      <c r="AN6993" s="2">
        <v>5209.6860880061504</v>
      </c>
      <c r="AO6993" s="2">
        <v>4942.2948852688796</v>
      </c>
      <c r="AP6993" s="2">
        <v>4739.5023642342303</v>
      </c>
    </row>
    <row r="6994" spans="1:42" ht="14.5" x14ac:dyDescent="0.35">
      <c r="A6994" s="2" t="s">
        <v>46356</v>
      </c>
      <c r="B6994" s="2">
        <v>331.12873169157001</v>
      </c>
      <c r="C6994" s="2">
        <v>4.9463833333333298</v>
      </c>
      <c r="D6994" s="2" t="s">
        <v>34</v>
      </c>
      <c r="E6994" s="2" t="s">
        <v>46357</v>
      </c>
      <c r="F6994" s="2">
        <v>54255</v>
      </c>
      <c r="G6994" s="3" t="str">
        <f>HYPERLINK("http://funmeta.oebiotech.com/network/54255", "http://funmeta.oebiotech.com/network/54255")</f>
        <v>http://funmeta.oebiotech.com/network/54255</v>
      </c>
      <c r="H6994" s="2" t="s">
        <v>46358</v>
      </c>
      <c r="I6994" s="2">
        <v>86154</v>
      </c>
      <c r="J6994" s="2"/>
      <c r="K6994" s="2">
        <v>710544</v>
      </c>
      <c r="L6994" s="2"/>
      <c r="M6994" s="2"/>
      <c r="N6994" s="2"/>
      <c r="O6994" s="2">
        <v>10245047</v>
      </c>
      <c r="P6994" s="2"/>
      <c r="Q6994" s="2" t="s">
        <v>46359</v>
      </c>
      <c r="R6994" s="2" t="s">
        <v>46360</v>
      </c>
      <c r="S6994" s="2" t="s">
        <v>115</v>
      </c>
      <c r="T6994" s="2" t="s">
        <v>116</v>
      </c>
      <c r="U6994" s="2" t="s">
        <v>117</v>
      </c>
      <c r="V6994" s="2" t="s">
        <v>59</v>
      </c>
      <c r="W6994" s="2">
        <v>38.700000000000003</v>
      </c>
      <c r="X6994" s="2">
        <v>0</v>
      </c>
      <c r="Y6994" s="2" t="s">
        <v>43</v>
      </c>
      <c r="Z6994" s="2" t="s">
        <v>46361</v>
      </c>
      <c r="AA6994" s="2">
        <v>-0.37184264073294898</v>
      </c>
      <c r="AB6994" s="2">
        <v>1.52819959711707E-3</v>
      </c>
      <c r="AC6994" s="2">
        <v>3607.8207335074799</v>
      </c>
      <c r="AD6994" s="2">
        <v>3592.6417110555099</v>
      </c>
      <c r="AE6994" s="2">
        <v>3897.89477693154</v>
      </c>
      <c r="AF6994" s="2">
        <v>3781.4373058067899</v>
      </c>
      <c r="AG6994" s="2">
        <v>3051.1437192430199</v>
      </c>
      <c r="AH6994" s="2">
        <v>3474.88001211854</v>
      </c>
      <c r="AI6994" s="2">
        <v>2711.8525881519399</v>
      </c>
      <c r="AJ6994" s="2">
        <v>4729.7159987930499</v>
      </c>
      <c r="AK6994" s="2">
        <v>1776.9794116911601</v>
      </c>
      <c r="AL6994" s="2">
        <v>2688.2516280343102</v>
      </c>
      <c r="AM6994" s="2">
        <v>3457.3467047669601</v>
      </c>
      <c r="AN6994" s="2">
        <v>3622.1190262476598</v>
      </c>
      <c r="AO6994" s="2">
        <v>4293.9729062004999</v>
      </c>
      <c r="AP6994" s="2">
        <v>5717.1805893924602</v>
      </c>
    </row>
    <row r="6995" spans="1:42" ht="14.5" x14ac:dyDescent="0.35">
      <c r="A6995" s="2" t="s">
        <v>46362</v>
      </c>
      <c r="B6995" s="2">
        <v>597.21826181234906</v>
      </c>
      <c r="C6995" s="2">
        <v>4.0250666666666701</v>
      </c>
      <c r="D6995" s="2" t="s">
        <v>70</v>
      </c>
      <c r="E6995" s="2" t="s">
        <v>46363</v>
      </c>
      <c r="F6995" s="2">
        <v>62273</v>
      </c>
      <c r="G6995" s="3" t="str">
        <f>HYPERLINK("http://funmeta.oebiotech.com/network/62273", "http://funmeta.oebiotech.com/network/62273")</f>
        <v>http://funmeta.oebiotech.com/network/62273</v>
      </c>
      <c r="H6995" s="2" t="s">
        <v>46364</v>
      </c>
      <c r="I6995" s="2">
        <v>93562</v>
      </c>
      <c r="J6995" s="2"/>
      <c r="K6995" s="2"/>
      <c r="L6995" s="2"/>
      <c r="M6995" s="2"/>
      <c r="N6995" s="2"/>
      <c r="O6995" s="2">
        <v>14521034</v>
      </c>
      <c r="P6995" s="2" t="s">
        <v>46365</v>
      </c>
      <c r="Q6995" s="2" t="s">
        <v>46366</v>
      </c>
      <c r="R6995" s="2" t="s">
        <v>46367</v>
      </c>
      <c r="S6995" s="2" t="s">
        <v>1184</v>
      </c>
      <c r="T6995" s="2" t="s">
        <v>1185</v>
      </c>
      <c r="U6995" s="2" t="s">
        <v>41</v>
      </c>
      <c r="V6995" s="2" t="s">
        <v>59</v>
      </c>
      <c r="W6995" s="2">
        <v>37.799999999999997</v>
      </c>
      <c r="X6995" s="2">
        <v>0</v>
      </c>
      <c r="Y6995" s="2" t="s">
        <v>408</v>
      </c>
      <c r="Z6995" s="2" t="s">
        <v>46368</v>
      </c>
      <c r="AA6995" s="2">
        <v>-1.1184783856487699</v>
      </c>
      <c r="AB6995" s="2">
        <v>1.4314468463744699E-3</v>
      </c>
      <c r="AC6995" s="2">
        <v>11325.463047270099</v>
      </c>
      <c r="AD6995" s="2">
        <v>11315.724211877099</v>
      </c>
      <c r="AE6995" s="2">
        <v>8709.6219346200705</v>
      </c>
      <c r="AF6995" s="2">
        <v>11001.2201347768</v>
      </c>
      <c r="AG6995" s="2">
        <v>14454.4689885428</v>
      </c>
      <c r="AH6995" s="2">
        <v>14944.4253835982</v>
      </c>
      <c r="AI6995" s="2">
        <v>9091.6330227469898</v>
      </c>
      <c r="AJ6995" s="2">
        <v>9751.4088193359403</v>
      </c>
      <c r="AK6995" s="2">
        <v>10510.946392461499</v>
      </c>
      <c r="AL6995" s="2">
        <v>11713.0796739945</v>
      </c>
      <c r="AM6995" s="2">
        <v>14694.345787689001</v>
      </c>
      <c r="AN6995" s="2">
        <v>10599.387781854301</v>
      </c>
      <c r="AO6995" s="2">
        <v>7655.4295382684704</v>
      </c>
      <c r="AP6995" s="2">
        <v>12721.1560969947</v>
      </c>
    </row>
    <row r="6996" spans="1:42" ht="14.5" x14ac:dyDescent="0.35">
      <c r="A6996" s="2" t="s">
        <v>46369</v>
      </c>
      <c r="B6996" s="2">
        <v>277.05023509641899</v>
      </c>
      <c r="C6996" s="2">
        <v>0.71055000000000001</v>
      </c>
      <c r="D6996" s="2" t="s">
        <v>70</v>
      </c>
      <c r="E6996" s="2" t="s">
        <v>46370</v>
      </c>
      <c r="F6996" s="2">
        <v>206850</v>
      </c>
      <c r="G6996" s="3" t="str">
        <f>HYPERLINK("http://funmeta.oebiotech.com/network/206850", "http://funmeta.oebiotech.com/network/206850")</f>
        <v>http://funmeta.oebiotech.com/network/206850</v>
      </c>
      <c r="H6996" s="2" t="s">
        <v>46371</v>
      </c>
      <c r="I6996" s="2"/>
      <c r="J6996" s="2"/>
      <c r="K6996" s="2"/>
      <c r="L6996" s="2"/>
      <c r="M6996" s="2"/>
      <c r="N6996" s="2"/>
      <c r="O6996" s="2">
        <v>37927</v>
      </c>
      <c r="P6996" s="2"/>
      <c r="Q6996" s="2" t="s">
        <v>46372</v>
      </c>
      <c r="R6996" s="2" t="s">
        <v>46373</v>
      </c>
      <c r="S6996" s="2" t="s">
        <v>491</v>
      </c>
      <c r="T6996" s="2" t="s">
        <v>19122</v>
      </c>
      <c r="U6996" s="2" t="s">
        <v>32744</v>
      </c>
      <c r="V6996" s="2" t="s">
        <v>59</v>
      </c>
      <c r="W6996" s="2">
        <v>36.6</v>
      </c>
      <c r="X6996" s="2">
        <v>0</v>
      </c>
      <c r="Y6996" s="2" t="s">
        <v>118</v>
      </c>
      <c r="Z6996" s="2" t="s">
        <v>46374</v>
      </c>
      <c r="AA6996" s="2">
        <v>-1.42873303973913</v>
      </c>
      <c r="AB6996" s="2">
        <v>1.40862249160369E-3</v>
      </c>
      <c r="AC6996" s="2">
        <v>14660.305587732601</v>
      </c>
      <c r="AD6996" s="2">
        <v>14657.482745994201</v>
      </c>
      <c r="AE6996" s="2">
        <v>16366.147158731899</v>
      </c>
      <c r="AF6996" s="2">
        <v>18748.1907596153</v>
      </c>
      <c r="AG6996" s="2">
        <v>8207.3531942898207</v>
      </c>
      <c r="AH6996" s="2">
        <v>16900.098667034999</v>
      </c>
      <c r="AI6996" s="2">
        <v>17686.857491316099</v>
      </c>
      <c r="AJ6996" s="2">
        <v>10053.1862554077</v>
      </c>
      <c r="AK6996" s="2">
        <v>10489.817284693499</v>
      </c>
      <c r="AL6996" s="2">
        <v>14200.7429814843</v>
      </c>
      <c r="AM6996" s="2">
        <v>12973.772955574599</v>
      </c>
      <c r="AN6996" s="2">
        <v>16776.4915929038</v>
      </c>
      <c r="AO6996" s="2">
        <v>19894.2288367152</v>
      </c>
      <c r="AP6996" s="2">
        <v>13609.842824593799</v>
      </c>
    </row>
    <row r="6997" spans="1:42" ht="14.5" x14ac:dyDescent="0.35">
      <c r="A6997" s="2" t="s">
        <v>46375</v>
      </c>
      <c r="B6997" s="2">
        <v>421.13477070199201</v>
      </c>
      <c r="C6997" s="2">
        <v>3.82433333333333</v>
      </c>
      <c r="D6997" s="2" t="s">
        <v>70</v>
      </c>
      <c r="E6997" s="2" t="s">
        <v>46376</v>
      </c>
      <c r="F6997" s="2">
        <v>82311</v>
      </c>
      <c r="G6997" s="3" t="str">
        <f>HYPERLINK("http://funmeta.oebiotech.com/network/82311", "http://funmeta.oebiotech.com/network/82311")</f>
        <v>http://funmeta.oebiotech.com/network/82311</v>
      </c>
      <c r="H6997" s="2" t="s">
        <v>46377</v>
      </c>
      <c r="I6997" s="2"/>
      <c r="J6997" s="2"/>
      <c r="K6997" s="2">
        <v>61126</v>
      </c>
      <c r="L6997" s="2" t="s">
        <v>46378</v>
      </c>
      <c r="M6997" s="2" t="s">
        <v>23498</v>
      </c>
      <c r="N6997" s="2" t="s">
        <v>23499</v>
      </c>
      <c r="O6997" s="2">
        <v>12463319</v>
      </c>
      <c r="P6997" s="2"/>
      <c r="Q6997" s="2" t="s">
        <v>46379</v>
      </c>
      <c r="R6997" s="2" t="s">
        <v>46380</v>
      </c>
      <c r="S6997" s="2" t="s">
        <v>491</v>
      </c>
      <c r="T6997" s="2" t="s">
        <v>4914</v>
      </c>
      <c r="U6997" s="2" t="s">
        <v>4915</v>
      </c>
      <c r="V6997" s="2" t="s">
        <v>59</v>
      </c>
      <c r="W6997" s="2">
        <v>37.5</v>
      </c>
      <c r="X6997" s="2">
        <v>0</v>
      </c>
      <c r="Y6997" s="2" t="s">
        <v>560</v>
      </c>
      <c r="Z6997" s="2" t="s">
        <v>46381</v>
      </c>
      <c r="AA6997" s="2">
        <v>2.2949469296781402</v>
      </c>
      <c r="AB6997" s="2">
        <v>1.3911437452778399E-3</v>
      </c>
      <c r="AC6997" s="2">
        <v>3012.9590423566701</v>
      </c>
      <c r="AD6997" s="2">
        <v>3024.1716186869198</v>
      </c>
      <c r="AE6997" s="2">
        <v>2918.1071496360501</v>
      </c>
      <c r="AF6997" s="2">
        <v>3298.9410888007601</v>
      </c>
      <c r="AG6997" s="2">
        <v>3287.1037958092602</v>
      </c>
      <c r="AH6997" s="2">
        <v>2081.08755178915</v>
      </c>
      <c r="AI6997" s="2">
        <v>2848.7584403578999</v>
      </c>
      <c r="AJ6997" s="2">
        <v>3643.7562277468701</v>
      </c>
      <c r="AK6997" s="2">
        <v>3536.99906007869</v>
      </c>
      <c r="AL6997" s="2">
        <v>2322.7120355967099</v>
      </c>
      <c r="AM6997" s="2">
        <v>2950.2777290632998</v>
      </c>
      <c r="AN6997" s="2">
        <v>3161.6619419786998</v>
      </c>
      <c r="AO6997" s="2">
        <v>3208.1777481374202</v>
      </c>
      <c r="AP6997" s="2">
        <v>2965.2011972667101</v>
      </c>
    </row>
    <row r="6998" spans="1:42" ht="14.5" x14ac:dyDescent="0.35">
      <c r="A6998" s="2" t="s">
        <v>46382</v>
      </c>
      <c r="B6998" s="2">
        <v>493.22156360139201</v>
      </c>
      <c r="C6998" s="2">
        <v>7.9733000000000001</v>
      </c>
      <c r="D6998" s="2" t="s">
        <v>70</v>
      </c>
      <c r="E6998" s="2" t="s">
        <v>46383</v>
      </c>
      <c r="F6998" s="2">
        <v>207144</v>
      </c>
      <c r="G6998" s="3" t="str">
        <f>HYPERLINK("http://funmeta.oebiotech.com/network/207144", "http://funmeta.oebiotech.com/network/207144")</f>
        <v>http://funmeta.oebiotech.com/network/207144</v>
      </c>
      <c r="H6998" s="2" t="s">
        <v>46384</v>
      </c>
      <c r="I6998" s="2"/>
      <c r="J6998" s="2"/>
      <c r="K6998" s="2"/>
      <c r="L6998" s="2"/>
      <c r="M6998" s="2"/>
      <c r="N6998" s="2"/>
      <c r="O6998" s="2">
        <v>77528802</v>
      </c>
      <c r="P6998" s="2"/>
      <c r="Q6998" s="2" t="s">
        <v>46385</v>
      </c>
      <c r="R6998" s="2" t="s">
        <v>46386</v>
      </c>
      <c r="S6998" s="2" t="s">
        <v>491</v>
      </c>
      <c r="T6998" s="2" t="s">
        <v>40175</v>
      </c>
      <c r="U6998" s="2" t="s">
        <v>41</v>
      </c>
      <c r="V6998" s="2" t="s">
        <v>59</v>
      </c>
      <c r="W6998" s="2">
        <v>37.1</v>
      </c>
      <c r="X6998" s="2">
        <v>0</v>
      </c>
      <c r="Y6998" s="2" t="s">
        <v>408</v>
      </c>
      <c r="Z6998" s="2" t="s">
        <v>46387</v>
      </c>
      <c r="AA6998" s="2">
        <v>2.3915498607568901</v>
      </c>
      <c r="AB6998" s="2">
        <v>1.2234997059731099E-3</v>
      </c>
      <c r="AC6998" s="2">
        <v>2.7106294003980101E-5</v>
      </c>
      <c r="AD6998" s="2">
        <v>0.32372765695390998</v>
      </c>
      <c r="AE6998" s="2">
        <v>2.7106294003980101E-5</v>
      </c>
      <c r="AF6998" s="2">
        <v>2.7106294003980101E-5</v>
      </c>
      <c r="AG6998" s="2">
        <v>2.7106294003980101E-5</v>
      </c>
      <c r="AH6998" s="2">
        <v>2.7106294003980101E-5</v>
      </c>
      <c r="AI6998" s="2">
        <v>2.7106294003980101E-5</v>
      </c>
      <c r="AJ6998" s="2">
        <v>2.7106294003980101E-5</v>
      </c>
      <c r="AK6998" s="2">
        <v>2.7106294003980101E-5</v>
      </c>
      <c r="AL6998" s="2">
        <v>2.7106294003980101E-5</v>
      </c>
      <c r="AM6998" s="2">
        <v>2.7106294003980101E-5</v>
      </c>
      <c r="AN6998" s="2">
        <v>2.7106294003980101E-5</v>
      </c>
      <c r="AO6998" s="2">
        <v>1.94223041025344</v>
      </c>
      <c r="AP6998" s="2">
        <v>2.7106294003980101E-5</v>
      </c>
    </row>
    <row r="6999" spans="1:42" ht="14.5" x14ac:dyDescent="0.35">
      <c r="A6999" s="2" t="s">
        <v>46388</v>
      </c>
      <c r="B6999" s="2">
        <v>363.02777672628099</v>
      </c>
      <c r="C6999" s="2">
        <v>6.95231666666667</v>
      </c>
      <c r="D6999" s="2" t="s">
        <v>70</v>
      </c>
      <c r="E6999" s="2" t="s">
        <v>46389</v>
      </c>
      <c r="F6999" s="2">
        <v>199611</v>
      </c>
      <c r="G6999" s="3" t="str">
        <f>HYPERLINK("http://funmeta.oebiotech.com/network/199611", "http://funmeta.oebiotech.com/network/199611")</f>
        <v>http://funmeta.oebiotech.com/network/199611</v>
      </c>
      <c r="H6999" s="2" t="s">
        <v>46390</v>
      </c>
      <c r="I6999" s="2">
        <v>1582</v>
      </c>
      <c r="J6999" s="2"/>
      <c r="K6999" s="2">
        <v>18898</v>
      </c>
      <c r="L6999" s="2"/>
      <c r="M6999" s="2"/>
      <c r="N6999" s="2"/>
      <c r="O6999" s="2">
        <v>79076</v>
      </c>
      <c r="P6999" s="2" t="s">
        <v>46391</v>
      </c>
      <c r="Q6999" s="2" t="s">
        <v>46392</v>
      </c>
      <c r="R6999" s="2" t="s">
        <v>46393</v>
      </c>
      <c r="S6999" s="2" t="s">
        <v>79</v>
      </c>
      <c r="T6999" s="2" t="s">
        <v>18840</v>
      </c>
      <c r="U6999" s="2" t="s">
        <v>26129</v>
      </c>
      <c r="V6999" s="2" t="s">
        <v>59</v>
      </c>
      <c r="W6999" s="2">
        <v>38.9</v>
      </c>
      <c r="X6999" s="2">
        <v>0</v>
      </c>
      <c r="Y6999" s="2" t="s">
        <v>560</v>
      </c>
      <c r="Z6999" s="2" t="s">
        <v>46394</v>
      </c>
      <c r="AA6999" s="2">
        <v>0.14306426817512799</v>
      </c>
      <c r="AB6999" s="2">
        <v>1.18015088620929E-3</v>
      </c>
      <c r="AC6999" s="2">
        <v>2100.92548301327</v>
      </c>
      <c r="AD6999" s="2">
        <v>2094.6004908047498</v>
      </c>
      <c r="AE6999" s="2">
        <v>1896.9496750992801</v>
      </c>
      <c r="AF6999" s="2">
        <v>2744.4286161701898</v>
      </c>
      <c r="AG6999" s="2">
        <v>2039.9574954653999</v>
      </c>
      <c r="AH6999" s="2">
        <v>1893.4638077038201</v>
      </c>
      <c r="AI6999" s="2">
        <v>2065.3688700830899</v>
      </c>
      <c r="AJ6999" s="2">
        <v>1965.3844335578599</v>
      </c>
      <c r="AK6999" s="2">
        <v>2204.0825872883702</v>
      </c>
      <c r="AL6999" s="2">
        <v>1708.2767869315101</v>
      </c>
      <c r="AM6999" s="2">
        <v>2326.65712477019</v>
      </c>
      <c r="AN6999" s="2">
        <v>1749.3906055376101</v>
      </c>
      <c r="AO6999" s="2">
        <v>2190.0727887201301</v>
      </c>
      <c r="AP6999" s="2">
        <v>2389.1230515806801</v>
      </c>
    </row>
    <row r="7000" spans="1:42" ht="14.5" x14ac:dyDescent="0.35">
      <c r="A7000" s="2" t="s">
        <v>46395</v>
      </c>
      <c r="B7000" s="2">
        <v>447.039670197882</v>
      </c>
      <c r="C7000" s="2">
        <v>4.84418333333333</v>
      </c>
      <c r="D7000" s="2" t="s">
        <v>70</v>
      </c>
      <c r="E7000" s="2" t="s">
        <v>46396</v>
      </c>
      <c r="F7000" s="2">
        <v>199495</v>
      </c>
      <c r="G7000" s="3" t="str">
        <f>HYPERLINK("http://funmeta.oebiotech.com/network/199495", "http://funmeta.oebiotech.com/network/199495")</f>
        <v>http://funmeta.oebiotech.com/network/199495</v>
      </c>
      <c r="H7000" s="2" t="s">
        <v>46397</v>
      </c>
      <c r="I7000" s="2"/>
      <c r="J7000" s="2"/>
      <c r="K7000" s="2">
        <v>75442</v>
      </c>
      <c r="L7000" s="2"/>
      <c r="M7000" s="2"/>
      <c r="N7000" s="2"/>
      <c r="O7000" s="2"/>
      <c r="P7000" s="2"/>
      <c r="Q7000" s="2" t="s">
        <v>46398</v>
      </c>
      <c r="R7000" s="2" t="s">
        <v>46399</v>
      </c>
      <c r="S7000" s="2" t="s">
        <v>148</v>
      </c>
      <c r="T7000" s="2" t="s">
        <v>6221</v>
      </c>
      <c r="U7000" s="2" t="s">
        <v>41</v>
      </c>
      <c r="V7000" s="2" t="s">
        <v>59</v>
      </c>
      <c r="W7000" s="2">
        <v>39.1</v>
      </c>
      <c r="X7000" s="2">
        <v>0</v>
      </c>
      <c r="Y7000" s="2" t="s">
        <v>560</v>
      </c>
      <c r="Z7000" s="2" t="s">
        <v>46400</v>
      </c>
      <c r="AA7000" s="2">
        <v>-1.6609032319103101</v>
      </c>
      <c r="AB7000" s="2">
        <v>1.0275711765335401E-3</v>
      </c>
      <c r="AC7000" s="2">
        <v>9238.7697151758493</v>
      </c>
      <c r="AD7000" s="2">
        <v>9243.9573017514704</v>
      </c>
      <c r="AE7000" s="2">
        <v>10548.813445248599</v>
      </c>
      <c r="AF7000" s="2">
        <v>8203.4010222757406</v>
      </c>
      <c r="AG7000" s="2">
        <v>8715.66537675785</v>
      </c>
      <c r="AH7000" s="2">
        <v>9610.3791486434693</v>
      </c>
      <c r="AI7000" s="2">
        <v>9325.6612509565493</v>
      </c>
      <c r="AJ7000" s="2">
        <v>9028.6980471729094</v>
      </c>
      <c r="AK7000" s="2">
        <v>9970.3481280101805</v>
      </c>
      <c r="AL7000" s="2">
        <v>8037.51292165006</v>
      </c>
      <c r="AM7000" s="2">
        <v>8949.0974457335597</v>
      </c>
      <c r="AN7000" s="2">
        <v>9507.59438681754</v>
      </c>
      <c r="AO7000" s="2">
        <v>10528.503624135201</v>
      </c>
      <c r="AP7000" s="2">
        <v>8470.6873041622894</v>
      </c>
    </row>
    <row r="7001" spans="1:42" ht="14.5" x14ac:dyDescent="0.35">
      <c r="A7001" s="2" t="s">
        <v>46401</v>
      </c>
      <c r="B7001" s="2">
        <v>137.08076438178199</v>
      </c>
      <c r="C7001" s="2">
        <v>0.76544999999999996</v>
      </c>
      <c r="D7001" s="2" t="s">
        <v>34</v>
      </c>
      <c r="E7001" s="2" t="s">
        <v>46402</v>
      </c>
      <c r="F7001" s="2">
        <v>51445</v>
      </c>
      <c r="G7001" s="3" t="str">
        <f>HYPERLINK("http://funmeta.oebiotech.com/network/51445", "http://funmeta.oebiotech.com/network/51445")</f>
        <v>http://funmeta.oebiotech.com/network/51445</v>
      </c>
      <c r="H7001" s="2" t="s">
        <v>46403</v>
      </c>
      <c r="I7001" s="2">
        <v>62404</v>
      </c>
      <c r="J7001" s="2"/>
      <c r="K7001" s="2">
        <v>86367</v>
      </c>
      <c r="L7001" s="2"/>
      <c r="M7001" s="2"/>
      <c r="N7001" s="2"/>
      <c r="O7001" s="2">
        <v>53481015</v>
      </c>
      <c r="P7001" s="2" t="s">
        <v>46404</v>
      </c>
      <c r="Q7001" s="2" t="s">
        <v>46405</v>
      </c>
      <c r="R7001" s="2" t="s">
        <v>46406</v>
      </c>
      <c r="S7001" s="2" t="s">
        <v>79</v>
      </c>
      <c r="T7001" s="2" t="s">
        <v>80</v>
      </c>
      <c r="U7001" s="2" t="s">
        <v>81</v>
      </c>
      <c r="V7001" s="2" t="s">
        <v>59</v>
      </c>
      <c r="W7001" s="2">
        <v>40</v>
      </c>
      <c r="X7001" s="2">
        <v>5.58</v>
      </c>
      <c r="Y7001" s="2" t="s">
        <v>394</v>
      </c>
      <c r="Z7001" s="2" t="s">
        <v>46407</v>
      </c>
      <c r="AA7001" s="2">
        <v>-0.52113943954216302</v>
      </c>
      <c r="AB7001" s="2">
        <v>1.0244749388037099E-3</v>
      </c>
      <c r="AC7001" s="2">
        <v>20750.890482422899</v>
      </c>
      <c r="AD7001" s="2">
        <v>20764.506914883099</v>
      </c>
      <c r="AE7001" s="2">
        <v>20764.3600786551</v>
      </c>
      <c r="AF7001" s="2">
        <v>22835.1181761472</v>
      </c>
      <c r="AG7001" s="2">
        <v>19105.696118177799</v>
      </c>
      <c r="AH7001" s="2">
        <v>19327.599912307</v>
      </c>
      <c r="AI7001" s="2">
        <v>20794.130695801901</v>
      </c>
      <c r="AJ7001" s="2">
        <v>21678.437913448601</v>
      </c>
      <c r="AK7001" s="2">
        <v>19069.8597657754</v>
      </c>
      <c r="AL7001" s="2">
        <v>20059.721754771399</v>
      </c>
      <c r="AM7001" s="2">
        <v>19756.946702378002</v>
      </c>
      <c r="AN7001" s="2">
        <v>21076.350645802198</v>
      </c>
      <c r="AO7001" s="2">
        <v>20782.894988804401</v>
      </c>
      <c r="AP7001" s="2">
        <v>23841.267631767401</v>
      </c>
    </row>
    <row r="7002" spans="1:42" ht="14.5" x14ac:dyDescent="0.35">
      <c r="A7002" s="2" t="s">
        <v>46408</v>
      </c>
      <c r="B7002" s="2">
        <v>227.17927428974201</v>
      </c>
      <c r="C7002" s="2">
        <v>4.5663166666666699</v>
      </c>
      <c r="D7002" s="2" t="s">
        <v>34</v>
      </c>
      <c r="E7002" s="2" t="s">
        <v>46409</v>
      </c>
      <c r="F7002" s="2">
        <v>55698</v>
      </c>
      <c r="G7002" s="3" t="str">
        <f>HYPERLINK("http://funmeta.oebiotech.com/network/55698", "http://funmeta.oebiotech.com/network/55698")</f>
        <v>http://funmeta.oebiotech.com/network/55698</v>
      </c>
      <c r="H7002" s="2" t="s">
        <v>46410</v>
      </c>
      <c r="I7002" s="2">
        <v>87369</v>
      </c>
      <c r="J7002" s="2"/>
      <c r="K7002" s="2"/>
      <c r="L7002" s="2"/>
      <c r="M7002" s="2"/>
      <c r="N7002" s="2"/>
      <c r="O7002" s="2">
        <v>131751122</v>
      </c>
      <c r="P7002" s="2" t="s">
        <v>46411</v>
      </c>
      <c r="Q7002" s="2" t="s">
        <v>46412</v>
      </c>
      <c r="R7002" s="2" t="s">
        <v>46413</v>
      </c>
      <c r="S7002" s="2" t="s">
        <v>3194</v>
      </c>
      <c r="T7002" s="2" t="s">
        <v>3195</v>
      </c>
      <c r="U7002" s="2" t="s">
        <v>41994</v>
      </c>
      <c r="V7002" s="2" t="s">
        <v>59</v>
      </c>
      <c r="W7002" s="2">
        <v>38.5</v>
      </c>
      <c r="X7002" s="2">
        <v>0</v>
      </c>
      <c r="Y7002" s="2" t="s">
        <v>394</v>
      </c>
      <c r="Z7002" s="2" t="s">
        <v>46414</v>
      </c>
      <c r="AA7002" s="2">
        <v>-0.67580291088090505</v>
      </c>
      <c r="AB7002" s="2">
        <v>9.7617505077279398E-4</v>
      </c>
      <c r="AC7002" s="2">
        <v>4786.8148341079204</v>
      </c>
      <c r="AD7002" s="2">
        <v>4780.7337181456496</v>
      </c>
      <c r="AE7002" s="2">
        <v>4652.0444421625498</v>
      </c>
      <c r="AF7002" s="2">
        <v>5181.4879870444802</v>
      </c>
      <c r="AG7002" s="2">
        <v>4878.7238090989204</v>
      </c>
      <c r="AH7002" s="2">
        <v>4332.9700965141301</v>
      </c>
      <c r="AI7002" s="2">
        <v>4661.7055723661897</v>
      </c>
      <c r="AJ7002" s="2">
        <v>5013.9570974612598</v>
      </c>
      <c r="AK7002" s="2">
        <v>5061.6178427062896</v>
      </c>
      <c r="AL7002" s="2">
        <v>4957.9794975836503</v>
      </c>
      <c r="AM7002" s="2">
        <v>5269.2197679616302</v>
      </c>
      <c r="AN7002" s="2">
        <v>5070.1812591139696</v>
      </c>
      <c r="AO7002" s="2">
        <v>4381.80486931008</v>
      </c>
      <c r="AP7002" s="2">
        <v>3943.5990721982998</v>
      </c>
    </row>
    <row r="7003" spans="1:42" ht="14.5" x14ac:dyDescent="0.35">
      <c r="A7003" s="2" t="s">
        <v>46415</v>
      </c>
      <c r="B7003" s="2">
        <v>296.14915770378502</v>
      </c>
      <c r="C7003" s="2">
        <v>4.4609500000000004</v>
      </c>
      <c r="D7003" s="2" t="s">
        <v>34</v>
      </c>
      <c r="E7003" s="2" t="s">
        <v>46416</v>
      </c>
      <c r="F7003" s="2">
        <v>197601</v>
      </c>
      <c r="G7003" s="3" t="str">
        <f>HYPERLINK("http://funmeta.oebiotech.com/network/197601", "http://funmeta.oebiotech.com/network/197601")</f>
        <v>http://funmeta.oebiotech.com/network/197601</v>
      </c>
      <c r="H7003" s="2" t="s">
        <v>46417</v>
      </c>
      <c r="I7003" s="2"/>
      <c r="J7003" s="2"/>
      <c r="K7003" s="2"/>
      <c r="L7003" s="2"/>
      <c r="M7003" s="2"/>
      <c r="N7003" s="2"/>
      <c r="O7003" s="2"/>
      <c r="P7003" s="2"/>
      <c r="Q7003" s="2" t="s">
        <v>46418</v>
      </c>
      <c r="R7003" s="2" t="s">
        <v>46419</v>
      </c>
      <c r="S7003" s="2" t="s">
        <v>41</v>
      </c>
      <c r="T7003" s="2" t="s">
        <v>41</v>
      </c>
      <c r="U7003" s="2" t="s">
        <v>41</v>
      </c>
      <c r="V7003" s="2" t="s">
        <v>59</v>
      </c>
      <c r="W7003" s="2">
        <v>39.1</v>
      </c>
      <c r="X7003" s="2">
        <v>0</v>
      </c>
      <c r="Y7003" s="2" t="s">
        <v>141</v>
      </c>
      <c r="Z7003" s="2" t="s">
        <v>46420</v>
      </c>
      <c r="AA7003" s="2">
        <v>-0.29220898510321902</v>
      </c>
      <c r="AB7003" s="2">
        <v>8.1849744922649699E-4</v>
      </c>
      <c r="AC7003" s="2">
        <v>2977.23164828372</v>
      </c>
      <c r="AD7003" s="2">
        <v>2983.2731694905201</v>
      </c>
      <c r="AE7003" s="2">
        <v>3185.1699061887298</v>
      </c>
      <c r="AF7003" s="2">
        <v>2732.6760023533102</v>
      </c>
      <c r="AG7003" s="2">
        <v>2744.1847233119702</v>
      </c>
      <c r="AH7003" s="2">
        <v>3327.9778290119202</v>
      </c>
      <c r="AI7003" s="2">
        <v>2683.0858184485301</v>
      </c>
      <c r="AJ7003" s="2">
        <v>3190.29561038785</v>
      </c>
      <c r="AK7003" s="2">
        <v>2515.3659838029398</v>
      </c>
      <c r="AL7003" s="2">
        <v>2741.6854202950899</v>
      </c>
      <c r="AM7003" s="2">
        <v>3361.7086903429799</v>
      </c>
      <c r="AN7003" s="2">
        <v>2497.42421477056</v>
      </c>
      <c r="AO7003" s="2">
        <v>3791.9639651171901</v>
      </c>
      <c r="AP7003" s="2">
        <v>2991.49074261433</v>
      </c>
    </row>
    <row r="7004" spans="1:42" ht="14.5" x14ac:dyDescent="0.35">
      <c r="A7004" s="2" t="s">
        <v>46421</v>
      </c>
      <c r="B7004" s="2">
        <v>121.085882462171</v>
      </c>
      <c r="C7004" s="2">
        <v>1.06171666666667</v>
      </c>
      <c r="D7004" s="2" t="s">
        <v>34</v>
      </c>
      <c r="E7004" s="2" t="s">
        <v>46422</v>
      </c>
      <c r="F7004" s="2">
        <v>199706</v>
      </c>
      <c r="G7004" s="3" t="str">
        <f>HYPERLINK("http://funmeta.oebiotech.com/network/199706", "http://funmeta.oebiotech.com/network/199706")</f>
        <v>http://funmeta.oebiotech.com/network/199706</v>
      </c>
      <c r="H7004" s="2" t="s">
        <v>46423</v>
      </c>
      <c r="I7004" s="2"/>
      <c r="J7004" s="2"/>
      <c r="K7004" s="2"/>
      <c r="L7004" s="2"/>
      <c r="M7004" s="2"/>
      <c r="N7004" s="2"/>
      <c r="O7004" s="2">
        <v>21749233</v>
      </c>
      <c r="P7004" s="2"/>
      <c r="Q7004" s="2" t="s">
        <v>46424</v>
      </c>
      <c r="R7004" s="2" t="s">
        <v>46425</v>
      </c>
      <c r="S7004" s="2" t="s">
        <v>79</v>
      </c>
      <c r="T7004" s="2" t="s">
        <v>80</v>
      </c>
      <c r="U7004" s="2" t="s">
        <v>2021</v>
      </c>
      <c r="V7004" s="2" t="s">
        <v>59</v>
      </c>
      <c r="W7004" s="2">
        <v>38.700000000000003</v>
      </c>
      <c r="X7004" s="2">
        <v>0</v>
      </c>
      <c r="Y7004" s="2" t="s">
        <v>266</v>
      </c>
      <c r="Z7004" s="2" t="s">
        <v>46426</v>
      </c>
      <c r="AA7004" s="2">
        <v>-0.31823600906090299</v>
      </c>
      <c r="AB7004" s="2">
        <v>7.6218572172206305E-4</v>
      </c>
      <c r="AC7004" s="2">
        <v>1331.0735993916301</v>
      </c>
      <c r="AD7004" s="2">
        <v>1324.2967253874899</v>
      </c>
      <c r="AE7004" s="2">
        <v>1170.00884447884</v>
      </c>
      <c r="AF7004" s="2">
        <v>1457.55499599058</v>
      </c>
      <c r="AG7004" s="2">
        <v>1171.2846993424901</v>
      </c>
      <c r="AH7004" s="2">
        <v>1334.1211001660099</v>
      </c>
      <c r="AI7004" s="2">
        <v>1750.4798644641901</v>
      </c>
      <c r="AJ7004" s="2">
        <v>1102.9920919076401</v>
      </c>
      <c r="AK7004" s="2">
        <v>1488.1846797189</v>
      </c>
      <c r="AL7004" s="2">
        <v>1179.7339088834799</v>
      </c>
      <c r="AM7004" s="2">
        <v>936.42695839529097</v>
      </c>
      <c r="AN7004" s="2">
        <v>1387.97325052514</v>
      </c>
      <c r="AO7004" s="2">
        <v>1521.4123474494299</v>
      </c>
      <c r="AP7004" s="2">
        <v>1432.04920735267</v>
      </c>
    </row>
    <row r="7005" spans="1:42" ht="14.5" x14ac:dyDescent="0.35">
      <c r="A7005" s="2" t="s">
        <v>46427</v>
      </c>
      <c r="B7005" s="2">
        <v>527.11733790321102</v>
      </c>
      <c r="C7005" s="2">
        <v>4.96875</v>
      </c>
      <c r="D7005" s="2" t="s">
        <v>70</v>
      </c>
      <c r="E7005" s="2" t="s">
        <v>46428</v>
      </c>
      <c r="F7005" s="2">
        <v>213213</v>
      </c>
      <c r="G7005" s="3" t="str">
        <f>HYPERLINK("http://funmeta.oebiotech.com/network/213213", "http://funmeta.oebiotech.com/network/213213")</f>
        <v>http://funmeta.oebiotech.com/network/213213</v>
      </c>
      <c r="H7005" s="2" t="s">
        <v>46429</v>
      </c>
      <c r="I7005" s="2"/>
      <c r="J7005" s="2"/>
      <c r="K7005" s="2"/>
      <c r="L7005" s="2"/>
      <c r="M7005" s="2"/>
      <c r="N7005" s="2"/>
      <c r="O7005" s="2">
        <v>54685775</v>
      </c>
      <c r="P7005" s="2"/>
      <c r="Q7005" s="2" t="s">
        <v>46430</v>
      </c>
      <c r="R7005" s="2" t="s">
        <v>46431</v>
      </c>
      <c r="S7005" s="2" t="s">
        <v>491</v>
      </c>
      <c r="T7005" s="2" t="s">
        <v>2321</v>
      </c>
      <c r="U7005" s="2" t="s">
        <v>2322</v>
      </c>
      <c r="V7005" s="2" t="s">
        <v>59</v>
      </c>
      <c r="W7005" s="2">
        <v>37.9</v>
      </c>
      <c r="X7005" s="2">
        <v>0</v>
      </c>
      <c r="Y7005" s="2" t="s">
        <v>560</v>
      </c>
      <c r="Z7005" s="2" t="s">
        <v>46432</v>
      </c>
      <c r="AA7005" s="2">
        <v>-4.0934663536482203</v>
      </c>
      <c r="AB7005" s="2">
        <v>7.1623492439373295E-4</v>
      </c>
      <c r="AC7005" s="2">
        <v>6440.0523985438103</v>
      </c>
      <c r="AD7005" s="2">
        <v>6445.9442363584103</v>
      </c>
      <c r="AE7005" s="2">
        <v>7170.3400824528198</v>
      </c>
      <c r="AF7005" s="2">
        <v>6328.86416627986</v>
      </c>
      <c r="AG7005" s="2">
        <v>5753.4100294791097</v>
      </c>
      <c r="AH7005" s="2">
        <v>6925.4598568279898</v>
      </c>
      <c r="AI7005" s="2">
        <v>6144.1469534565404</v>
      </c>
      <c r="AJ7005" s="2">
        <v>6318.0933027665396</v>
      </c>
      <c r="AK7005" s="2">
        <v>6276.3053829761502</v>
      </c>
      <c r="AL7005" s="2">
        <v>5970.1696848081801</v>
      </c>
      <c r="AM7005" s="2">
        <v>7745.64820260951</v>
      </c>
      <c r="AN7005" s="2">
        <v>5835.2619753818999</v>
      </c>
      <c r="AO7005" s="2">
        <v>6298.4153683324603</v>
      </c>
      <c r="AP7005" s="2">
        <v>6549.8648040422504</v>
      </c>
    </row>
    <row r="7006" spans="1:42" ht="14.5" x14ac:dyDescent="0.35">
      <c r="A7006" s="2" t="s">
        <v>46433</v>
      </c>
      <c r="B7006" s="2">
        <v>309.14440206664699</v>
      </c>
      <c r="C7006" s="2">
        <v>3.4373166666666699</v>
      </c>
      <c r="D7006" s="2" t="s">
        <v>34</v>
      </c>
      <c r="E7006" s="2" t="s">
        <v>46434</v>
      </c>
      <c r="F7006" s="2">
        <v>207893</v>
      </c>
      <c r="G7006" s="3" t="str">
        <f>HYPERLINK("http://funmeta.oebiotech.com/network/207893", "http://funmeta.oebiotech.com/network/207893")</f>
        <v>http://funmeta.oebiotech.com/network/207893</v>
      </c>
      <c r="H7006" s="2" t="s">
        <v>46435</v>
      </c>
      <c r="I7006" s="2">
        <v>357858</v>
      </c>
      <c r="J7006" s="2"/>
      <c r="K7006" s="2"/>
      <c r="L7006" s="2"/>
      <c r="M7006" s="2"/>
      <c r="N7006" s="2"/>
      <c r="O7006" s="2">
        <v>47895</v>
      </c>
      <c r="P7006" s="2"/>
      <c r="Q7006" s="2" t="s">
        <v>46436</v>
      </c>
      <c r="R7006" s="2" t="s">
        <v>46437</v>
      </c>
      <c r="S7006" s="2" t="s">
        <v>41</v>
      </c>
      <c r="T7006" s="2" t="s">
        <v>41</v>
      </c>
      <c r="U7006" s="2" t="s">
        <v>41</v>
      </c>
      <c r="V7006" s="2" t="s">
        <v>42</v>
      </c>
      <c r="W7006" s="2">
        <v>51.9</v>
      </c>
      <c r="X7006" s="2">
        <v>63.5</v>
      </c>
      <c r="Y7006" s="2" t="s">
        <v>394</v>
      </c>
      <c r="Z7006" s="2" t="s">
        <v>37072</v>
      </c>
      <c r="AA7006" s="2">
        <v>-0.31191997102566199</v>
      </c>
      <c r="AB7006" s="2">
        <v>6.5076535019230699E-4</v>
      </c>
      <c r="AC7006" s="2">
        <v>17949.582183164101</v>
      </c>
      <c r="AD7006" s="2">
        <v>17951.730386978801</v>
      </c>
      <c r="AE7006" s="2">
        <v>19695.596572057599</v>
      </c>
      <c r="AF7006" s="2">
        <v>15895.4804174252</v>
      </c>
      <c r="AG7006" s="2">
        <v>17434.436518926701</v>
      </c>
      <c r="AH7006" s="2">
        <v>18379.482411117799</v>
      </c>
      <c r="AI7006" s="2">
        <v>18011.0052500612</v>
      </c>
      <c r="AJ7006" s="2">
        <v>18281.491929396299</v>
      </c>
      <c r="AK7006" s="2">
        <v>16817.015502418501</v>
      </c>
      <c r="AL7006" s="2">
        <v>17730.704859607598</v>
      </c>
      <c r="AM7006" s="2">
        <v>18296.334408574701</v>
      </c>
      <c r="AN7006" s="2">
        <v>19217.310230358798</v>
      </c>
      <c r="AO7006" s="2">
        <v>16192.9970674056</v>
      </c>
      <c r="AP7006" s="2">
        <v>19456.020253507799</v>
      </c>
    </row>
    <row r="7007" spans="1:42" ht="14.5" x14ac:dyDescent="0.35">
      <c r="A7007" s="2" t="s">
        <v>46438</v>
      </c>
      <c r="B7007" s="2">
        <v>467.21321884823601</v>
      </c>
      <c r="C7007" s="2">
        <v>2.17875</v>
      </c>
      <c r="D7007" s="2" t="s">
        <v>70</v>
      </c>
      <c r="E7007" s="2" t="s">
        <v>46439</v>
      </c>
      <c r="F7007" s="2">
        <v>213425</v>
      </c>
      <c r="G7007" s="3" t="str">
        <f>HYPERLINK("http://funmeta.oebiotech.com/network/213425", "http://funmeta.oebiotech.com/network/213425")</f>
        <v>http://funmeta.oebiotech.com/network/213425</v>
      </c>
      <c r="H7007" s="2" t="s">
        <v>46440</v>
      </c>
      <c r="I7007" s="2"/>
      <c r="J7007" s="2"/>
      <c r="K7007" s="2"/>
      <c r="L7007" s="2"/>
      <c r="M7007" s="2"/>
      <c r="N7007" s="2"/>
      <c r="O7007" s="2">
        <v>90805410</v>
      </c>
      <c r="P7007" s="2"/>
      <c r="Q7007" s="2" t="s">
        <v>46441</v>
      </c>
      <c r="R7007" s="2" t="s">
        <v>46442</v>
      </c>
      <c r="S7007" s="2" t="s">
        <v>41</v>
      </c>
      <c r="T7007" s="2" t="s">
        <v>41</v>
      </c>
      <c r="U7007" s="2" t="s">
        <v>41</v>
      </c>
      <c r="V7007" s="2" t="s">
        <v>59</v>
      </c>
      <c r="W7007" s="2">
        <v>39</v>
      </c>
      <c r="X7007" s="2">
        <v>0</v>
      </c>
      <c r="Y7007" s="2" t="s">
        <v>560</v>
      </c>
      <c r="Z7007" s="2" t="s">
        <v>46443</v>
      </c>
      <c r="AA7007" s="2">
        <v>-0.38722981067352602</v>
      </c>
      <c r="AB7007" s="2">
        <v>6.1623168259246504E-4</v>
      </c>
      <c r="AC7007" s="2">
        <v>65.734295032136501</v>
      </c>
      <c r="AD7007" s="2">
        <v>66.415463373940597</v>
      </c>
      <c r="AE7007" s="2">
        <v>2.7106294003980101E-5</v>
      </c>
      <c r="AF7007" s="2">
        <v>2.7106294003980101E-5</v>
      </c>
      <c r="AG7007" s="2">
        <v>93.512704822993996</v>
      </c>
      <c r="AH7007" s="2">
        <v>74.370783275143694</v>
      </c>
      <c r="AI7007" s="2">
        <v>149.57404012352399</v>
      </c>
      <c r="AJ7007" s="2">
        <v>76.948187758569404</v>
      </c>
      <c r="AK7007" s="2">
        <v>62.200662297512601</v>
      </c>
      <c r="AL7007" s="2">
        <v>2.7106294003980101E-5</v>
      </c>
      <c r="AM7007" s="2">
        <v>60.965193204176899</v>
      </c>
      <c r="AN7007" s="2">
        <v>109.32730990396399</v>
      </c>
      <c r="AO7007" s="2">
        <v>165.99956062540201</v>
      </c>
      <c r="AP7007" s="2">
        <v>2.7106294003980101E-5</v>
      </c>
    </row>
    <row r="7008" spans="1:42" ht="14.5" x14ac:dyDescent="0.35">
      <c r="A7008" s="2" t="s">
        <v>46444</v>
      </c>
      <c r="B7008" s="2">
        <v>329.00371620240099</v>
      </c>
      <c r="C7008" s="2">
        <v>8.5368499999999994</v>
      </c>
      <c r="D7008" s="2" t="s">
        <v>70</v>
      </c>
      <c r="E7008" s="2" t="s">
        <v>46445</v>
      </c>
      <c r="F7008" s="2">
        <v>52410</v>
      </c>
      <c r="G7008" s="3" t="str">
        <f>HYPERLINK("http://funmeta.oebiotech.com/network/52410", "http://funmeta.oebiotech.com/network/52410")</f>
        <v>http://funmeta.oebiotech.com/network/52410</v>
      </c>
      <c r="H7008" s="2" t="s">
        <v>46446</v>
      </c>
      <c r="I7008" s="2">
        <v>63125</v>
      </c>
      <c r="J7008" s="2"/>
      <c r="K7008" s="2">
        <v>18315</v>
      </c>
      <c r="L7008" s="2" t="s">
        <v>46447</v>
      </c>
      <c r="M7008" s="2"/>
      <c r="N7008" s="2"/>
      <c r="O7008" s="2">
        <v>1024</v>
      </c>
      <c r="P7008" s="2" t="s">
        <v>46448</v>
      </c>
      <c r="Q7008" s="2" t="s">
        <v>46449</v>
      </c>
      <c r="R7008" s="2" t="s">
        <v>46450</v>
      </c>
      <c r="S7008" s="2" t="s">
        <v>491</v>
      </c>
      <c r="T7008" s="2" t="s">
        <v>1516</v>
      </c>
      <c r="U7008" s="2" t="s">
        <v>46451</v>
      </c>
      <c r="V7008" s="2" t="s">
        <v>59</v>
      </c>
      <c r="W7008" s="2">
        <v>36.9</v>
      </c>
      <c r="X7008" s="2">
        <v>0</v>
      </c>
      <c r="Y7008" s="2" t="s">
        <v>118</v>
      </c>
      <c r="Z7008" s="2" t="s">
        <v>46452</v>
      </c>
      <c r="AA7008" s="2">
        <v>-4.3105169197512403</v>
      </c>
      <c r="AB7008" s="2">
        <v>5.9242408373294596E-4</v>
      </c>
      <c r="AC7008" s="2">
        <v>3383.6234983950499</v>
      </c>
      <c r="AD7008" s="2">
        <v>3383.4578753698702</v>
      </c>
      <c r="AE7008" s="2">
        <v>3481.4695520568298</v>
      </c>
      <c r="AF7008" s="2">
        <v>3885.73584216277</v>
      </c>
      <c r="AG7008" s="2">
        <v>3114.5293851981801</v>
      </c>
      <c r="AH7008" s="2">
        <v>3504.4290442076099</v>
      </c>
      <c r="AI7008" s="2">
        <v>2833.4033131932401</v>
      </c>
      <c r="AJ7008" s="2">
        <v>3482.1738535516502</v>
      </c>
      <c r="AK7008" s="2">
        <v>3241.5067970846999</v>
      </c>
      <c r="AL7008" s="2">
        <v>3395.41309489675</v>
      </c>
      <c r="AM7008" s="2">
        <v>3598.44074886305</v>
      </c>
      <c r="AN7008" s="2">
        <v>3307.0427003833802</v>
      </c>
      <c r="AO7008" s="2">
        <v>3620.8744550285301</v>
      </c>
      <c r="AP7008" s="2">
        <v>3137.4694559627901</v>
      </c>
    </row>
    <row r="7009" spans="1:42" ht="14.5" x14ac:dyDescent="0.35">
      <c r="A7009" s="2" t="s">
        <v>46453</v>
      </c>
      <c r="B7009" s="2">
        <v>660.17230527198501</v>
      </c>
      <c r="C7009" s="2">
        <v>3.6928666666666699</v>
      </c>
      <c r="D7009" s="2" t="s">
        <v>70</v>
      </c>
      <c r="E7009" s="2" t="s">
        <v>46454</v>
      </c>
      <c r="F7009" s="2">
        <v>28422</v>
      </c>
      <c r="G7009" s="3" t="str">
        <f>HYPERLINK("http://funmeta.oebiotech.com/network/28422", "http://funmeta.oebiotech.com/network/28422")</f>
        <v>http://funmeta.oebiotech.com/network/28422</v>
      </c>
      <c r="H7009" s="2"/>
      <c r="I7009" s="2"/>
      <c r="J7009" s="2" t="s">
        <v>46455</v>
      </c>
      <c r="K7009" s="2"/>
      <c r="L7009" s="2"/>
      <c r="M7009" s="2"/>
      <c r="N7009" s="2"/>
      <c r="O7009" s="2">
        <v>101916291</v>
      </c>
      <c r="P7009" s="2"/>
      <c r="Q7009" s="2" t="s">
        <v>46456</v>
      </c>
      <c r="R7009" s="2" t="s">
        <v>46457</v>
      </c>
      <c r="S7009" s="2" t="s">
        <v>115</v>
      </c>
      <c r="T7009" s="2" t="s">
        <v>139</v>
      </c>
      <c r="U7009" s="2" t="s">
        <v>140</v>
      </c>
      <c r="V7009" s="2" t="s">
        <v>59</v>
      </c>
      <c r="W7009" s="2">
        <v>36.4</v>
      </c>
      <c r="X7009" s="2">
        <v>0</v>
      </c>
      <c r="Y7009" s="2" t="s">
        <v>751</v>
      </c>
      <c r="Z7009" s="2" t="s">
        <v>46458</v>
      </c>
      <c r="AA7009" s="2">
        <v>4.0073430646728996</v>
      </c>
      <c r="AB7009" s="2">
        <v>5.8558279897415601E-4</v>
      </c>
      <c r="AC7009" s="2">
        <v>1904.9852203975599</v>
      </c>
      <c r="AD7009" s="2">
        <v>1906.66361030742</v>
      </c>
      <c r="AE7009" s="2">
        <v>966.33185714531498</v>
      </c>
      <c r="AF7009" s="2">
        <v>2491.5832496712701</v>
      </c>
      <c r="AG7009" s="2">
        <v>1937.08640429355</v>
      </c>
      <c r="AH7009" s="2">
        <v>2120.1471153461498</v>
      </c>
      <c r="AI7009" s="2">
        <v>2530.88939947781</v>
      </c>
      <c r="AJ7009" s="2">
        <v>1383.8732964512701</v>
      </c>
      <c r="AK7009" s="2">
        <v>2974.3988859487899</v>
      </c>
      <c r="AL7009" s="2">
        <v>1529.76314576761</v>
      </c>
      <c r="AM7009" s="2">
        <v>1385.8083629369301</v>
      </c>
      <c r="AN7009" s="2">
        <v>1797.20697489503</v>
      </c>
      <c r="AO7009" s="2">
        <v>2270.0006660571898</v>
      </c>
      <c r="AP7009" s="2">
        <v>1482.8036262389901</v>
      </c>
    </row>
    <row r="7010" spans="1:42" ht="14.5" x14ac:dyDescent="0.35">
      <c r="A7010" s="2" t="s">
        <v>46459</v>
      </c>
      <c r="B7010" s="2">
        <v>479.26452865821102</v>
      </c>
      <c r="C7010" s="2">
        <v>5.9351500000000001</v>
      </c>
      <c r="D7010" s="2" t="s">
        <v>70</v>
      </c>
      <c r="E7010" s="2" t="s">
        <v>46460</v>
      </c>
      <c r="F7010" s="2">
        <v>510</v>
      </c>
      <c r="G7010" s="3" t="str">
        <f>HYPERLINK("http://funmeta.oebiotech.com/network/510", "http://funmeta.oebiotech.com/network/510")</f>
        <v>http://funmeta.oebiotech.com/network/510</v>
      </c>
      <c r="H7010" s="2"/>
      <c r="I7010" s="2"/>
      <c r="J7010" s="2" t="s">
        <v>46461</v>
      </c>
      <c r="K7010" s="2"/>
      <c r="L7010" s="2"/>
      <c r="M7010" s="2"/>
      <c r="N7010" s="2"/>
      <c r="O7010" s="2"/>
      <c r="P7010" s="2"/>
      <c r="Q7010" s="2" t="s">
        <v>46462</v>
      </c>
      <c r="R7010" s="2" t="s">
        <v>46463</v>
      </c>
      <c r="S7010" s="2" t="s">
        <v>89</v>
      </c>
      <c r="T7010" s="2" t="s">
        <v>2718</v>
      </c>
      <c r="U7010" s="2" t="s">
        <v>11268</v>
      </c>
      <c r="V7010" s="2" t="s">
        <v>59</v>
      </c>
      <c r="W7010" s="2">
        <v>39</v>
      </c>
      <c r="X7010" s="2">
        <v>0</v>
      </c>
      <c r="Y7010" s="2" t="s">
        <v>560</v>
      </c>
      <c r="Z7010" s="2" t="s">
        <v>46464</v>
      </c>
      <c r="AA7010" s="2">
        <v>-1.0684543939075599</v>
      </c>
      <c r="AB7010" s="2">
        <v>4.8817498459952899E-4</v>
      </c>
      <c r="AC7010" s="2">
        <v>4419.2050552568398</v>
      </c>
      <c r="AD7010" s="2">
        <v>4428.8164411982498</v>
      </c>
      <c r="AE7010" s="2">
        <v>4307.1601771117103</v>
      </c>
      <c r="AF7010" s="2">
        <v>4878.5171000885302</v>
      </c>
      <c r="AG7010" s="2">
        <v>6062.2244905108</v>
      </c>
      <c r="AH7010" s="2">
        <v>3696.8305148344898</v>
      </c>
      <c r="AI7010" s="2">
        <v>3734.29145111444</v>
      </c>
      <c r="AJ7010" s="2">
        <v>3836.2065978810901</v>
      </c>
      <c r="AK7010" s="2">
        <v>4279.5206941451097</v>
      </c>
      <c r="AL7010" s="2">
        <v>4240.0948039007699</v>
      </c>
      <c r="AM7010" s="2">
        <v>4232.0293450958798</v>
      </c>
      <c r="AN7010" s="2">
        <v>5389.7938928947997</v>
      </c>
      <c r="AO7010" s="2">
        <v>4942.0723181349604</v>
      </c>
      <c r="AP7010" s="2">
        <v>3489.3875930179602</v>
      </c>
    </row>
    <row r="7011" spans="1:42" ht="14.5" x14ac:dyDescent="0.35">
      <c r="A7011" s="2" t="s">
        <v>46465</v>
      </c>
      <c r="B7011" s="2">
        <v>289.035175883303</v>
      </c>
      <c r="C7011" s="2">
        <v>4.22216666666667</v>
      </c>
      <c r="D7011" s="2" t="s">
        <v>70</v>
      </c>
      <c r="E7011" s="2" t="s">
        <v>46466</v>
      </c>
      <c r="F7011" s="2">
        <v>54203</v>
      </c>
      <c r="G7011" s="3" t="str">
        <f>HYPERLINK("http://funmeta.oebiotech.com/network/54203", "http://funmeta.oebiotech.com/network/54203")</f>
        <v>http://funmeta.oebiotech.com/network/54203</v>
      </c>
      <c r="H7011" s="2" t="s">
        <v>46467</v>
      </c>
      <c r="I7011" s="2">
        <v>86097</v>
      </c>
      <c r="J7011" s="2"/>
      <c r="K7011" s="2"/>
      <c r="L7011" s="2"/>
      <c r="M7011" s="2"/>
      <c r="N7011" s="2"/>
      <c r="O7011" s="2">
        <v>60198001</v>
      </c>
      <c r="P7011" s="2"/>
      <c r="Q7011" s="2" t="s">
        <v>46468</v>
      </c>
      <c r="R7011" s="2" t="s">
        <v>46469</v>
      </c>
      <c r="S7011" s="2" t="s">
        <v>115</v>
      </c>
      <c r="T7011" s="2" t="s">
        <v>758</v>
      </c>
      <c r="U7011" s="2" t="s">
        <v>41</v>
      </c>
      <c r="V7011" s="2" t="s">
        <v>59</v>
      </c>
      <c r="W7011" s="2">
        <v>38.700000000000003</v>
      </c>
      <c r="X7011" s="2">
        <v>0</v>
      </c>
      <c r="Y7011" s="2" t="s">
        <v>408</v>
      </c>
      <c r="Z7011" s="2" t="s">
        <v>46470</v>
      </c>
      <c r="AA7011" s="2">
        <v>-0.82094483539312701</v>
      </c>
      <c r="AB7011" s="2">
        <v>4.7961662002904399E-4</v>
      </c>
      <c r="AC7011" s="2">
        <v>4578.4569450532899</v>
      </c>
      <c r="AD7011" s="2">
        <v>4585.6148640742404</v>
      </c>
      <c r="AE7011" s="2">
        <v>4774.3516390705599</v>
      </c>
      <c r="AF7011" s="2">
        <v>3887.5612525032302</v>
      </c>
      <c r="AG7011" s="2">
        <v>5302.3544777753496</v>
      </c>
      <c r="AH7011" s="2">
        <v>4527.8412183131204</v>
      </c>
      <c r="AI7011" s="2">
        <v>4368.6055164592599</v>
      </c>
      <c r="AJ7011" s="2">
        <v>4610.0275661982396</v>
      </c>
      <c r="AK7011" s="2">
        <v>4853.3285774550204</v>
      </c>
      <c r="AL7011" s="2">
        <v>5505.5133874719104</v>
      </c>
      <c r="AM7011" s="2">
        <v>4139.9649828438896</v>
      </c>
      <c r="AN7011" s="2">
        <v>5109.9670480914801</v>
      </c>
      <c r="AO7011" s="2">
        <v>4167.2430960731599</v>
      </c>
      <c r="AP7011" s="2">
        <v>3737.6720925099999</v>
      </c>
    </row>
    <row r="7012" spans="1:42" ht="14.5" x14ac:dyDescent="0.35">
      <c r="A7012" s="2" t="s">
        <v>46471</v>
      </c>
      <c r="B7012" s="2">
        <v>441.10373451124502</v>
      </c>
      <c r="C7012" s="2">
        <v>4.6304499999999997</v>
      </c>
      <c r="D7012" s="2" t="s">
        <v>70</v>
      </c>
      <c r="E7012" s="2" t="s">
        <v>46472</v>
      </c>
      <c r="F7012" s="2">
        <v>257216</v>
      </c>
      <c r="G7012" s="3" t="str">
        <f>HYPERLINK("http://funmeta.oebiotech.com/network/257216", "http://funmeta.oebiotech.com/network/257216")</f>
        <v>http://funmeta.oebiotech.com/network/257216</v>
      </c>
      <c r="H7012" s="2" t="s">
        <v>46473</v>
      </c>
      <c r="I7012" s="2">
        <v>363</v>
      </c>
      <c r="J7012" s="2"/>
      <c r="K7012" s="2">
        <v>16996</v>
      </c>
      <c r="L7012" s="2" t="s">
        <v>46474</v>
      </c>
      <c r="M7012" s="2" t="s">
        <v>15688</v>
      </c>
      <c r="N7012" s="2" t="s">
        <v>15689</v>
      </c>
      <c r="O7012" s="2">
        <v>439398</v>
      </c>
      <c r="P7012" s="2" t="s">
        <v>46475</v>
      </c>
      <c r="Q7012" s="2" t="s">
        <v>46476</v>
      </c>
      <c r="R7012" s="2" t="s">
        <v>46477</v>
      </c>
      <c r="S7012" s="2" t="s">
        <v>89</v>
      </c>
      <c r="T7012" s="2" t="s">
        <v>894</v>
      </c>
      <c r="U7012" s="2" t="s">
        <v>895</v>
      </c>
      <c r="V7012" s="2" t="s">
        <v>59</v>
      </c>
      <c r="W7012" s="2">
        <v>37.4</v>
      </c>
      <c r="X7012" s="2">
        <v>0</v>
      </c>
      <c r="Y7012" s="2" t="s">
        <v>560</v>
      </c>
      <c r="Z7012" s="2" t="s">
        <v>46478</v>
      </c>
      <c r="AA7012" s="2">
        <v>-4.6912696886215901</v>
      </c>
      <c r="AB7012" s="2">
        <v>4.3628730704960801E-4</v>
      </c>
      <c r="AC7012" s="2">
        <v>1483.134553825</v>
      </c>
      <c r="AD7012" s="2">
        <v>1479.41151290823</v>
      </c>
      <c r="AE7012" s="2">
        <v>1657.2440162870901</v>
      </c>
      <c r="AF7012" s="2">
        <v>1518.4799541519601</v>
      </c>
      <c r="AG7012" s="2">
        <v>557.25456741243295</v>
      </c>
      <c r="AH7012" s="2">
        <v>1570.1849071127599</v>
      </c>
      <c r="AI7012" s="2">
        <v>1311.33717779012</v>
      </c>
      <c r="AJ7012" s="2">
        <v>2284.3067001956101</v>
      </c>
      <c r="AK7012" s="2">
        <v>1232.22913587892</v>
      </c>
      <c r="AL7012" s="2">
        <v>1713.7478912858401</v>
      </c>
      <c r="AM7012" s="2">
        <v>1573.8500169613201</v>
      </c>
      <c r="AN7012" s="2">
        <v>1378.7027335550899</v>
      </c>
      <c r="AO7012" s="2">
        <v>1928.51094005293</v>
      </c>
      <c r="AP7012" s="2">
        <v>1049.4283597152901</v>
      </c>
    </row>
    <row r="7013" spans="1:42" ht="14.5" x14ac:dyDescent="0.35">
      <c r="A7013" s="2" t="s">
        <v>46479</v>
      </c>
      <c r="B7013" s="2">
        <v>583.12215758519403</v>
      </c>
      <c r="C7013" s="2">
        <v>4.09636666666667</v>
      </c>
      <c r="D7013" s="2" t="s">
        <v>70</v>
      </c>
      <c r="E7013" s="2" t="s">
        <v>46480</v>
      </c>
      <c r="F7013" s="2">
        <v>61885</v>
      </c>
      <c r="G7013" s="3" t="str">
        <f>HYPERLINK("http://funmeta.oebiotech.com/network/61885", "http://funmeta.oebiotech.com/network/61885")</f>
        <v>http://funmeta.oebiotech.com/network/61885</v>
      </c>
      <c r="H7013" s="2" t="s">
        <v>46481</v>
      </c>
      <c r="I7013" s="2">
        <v>93186</v>
      </c>
      <c r="J7013" s="2"/>
      <c r="K7013" s="2">
        <v>169792</v>
      </c>
      <c r="L7013" s="2"/>
      <c r="M7013" s="2"/>
      <c r="N7013" s="2"/>
      <c r="O7013" s="2">
        <v>5320959</v>
      </c>
      <c r="P7013" s="2"/>
      <c r="Q7013" s="2" t="s">
        <v>46482</v>
      </c>
      <c r="R7013" s="2" t="s">
        <v>46483</v>
      </c>
      <c r="S7013" s="2" t="s">
        <v>148</v>
      </c>
      <c r="T7013" s="2" t="s">
        <v>6068</v>
      </c>
      <c r="U7013" s="2" t="s">
        <v>44198</v>
      </c>
      <c r="V7013" s="2" t="s">
        <v>59</v>
      </c>
      <c r="W7013" s="2">
        <v>38.299999999999997</v>
      </c>
      <c r="X7013" s="2">
        <v>0</v>
      </c>
      <c r="Y7013" s="2" t="s">
        <v>408</v>
      </c>
      <c r="Z7013" s="2" t="s">
        <v>46484</v>
      </c>
      <c r="AA7013" s="2">
        <v>-4.5111454594095601</v>
      </c>
      <c r="AB7013" s="2">
        <v>4.2307560464992098E-4</v>
      </c>
      <c r="AC7013" s="2">
        <v>9687.3137266654594</v>
      </c>
      <c r="AD7013" s="2">
        <v>9682.9454958513106</v>
      </c>
      <c r="AE7013" s="2">
        <v>8998.6168516753496</v>
      </c>
      <c r="AF7013" s="2">
        <v>8924.1685146635391</v>
      </c>
      <c r="AG7013" s="2">
        <v>10043.8255864892</v>
      </c>
      <c r="AH7013" s="2">
        <v>11541.0474041172</v>
      </c>
      <c r="AI7013" s="2">
        <v>9857.1123827860501</v>
      </c>
      <c r="AJ7013" s="2">
        <v>8759.1116202614303</v>
      </c>
      <c r="AK7013" s="2">
        <v>9214.7487464668793</v>
      </c>
      <c r="AL7013" s="2">
        <v>8179.1747907053796</v>
      </c>
      <c r="AM7013" s="2">
        <v>10236.9878186394</v>
      </c>
      <c r="AN7013" s="2">
        <v>10085.2786105052</v>
      </c>
      <c r="AO7013" s="2">
        <v>10614.346951207201</v>
      </c>
      <c r="AP7013" s="2">
        <v>9767.1360575837898</v>
      </c>
    </row>
    <row r="7014" spans="1:42" ht="14.5" x14ac:dyDescent="0.35">
      <c r="A7014" s="2" t="s">
        <v>46485</v>
      </c>
      <c r="B7014" s="2">
        <v>461.230984858017</v>
      </c>
      <c r="C7014" s="2">
        <v>9.3708500000000008</v>
      </c>
      <c r="D7014" s="2" t="s">
        <v>70</v>
      </c>
      <c r="E7014" s="2" t="s">
        <v>46486</v>
      </c>
      <c r="F7014" s="2">
        <v>48979</v>
      </c>
      <c r="G7014" s="3" t="str">
        <f>HYPERLINK("http://funmeta.oebiotech.com/network/48979", "http://funmeta.oebiotech.com/network/48979")</f>
        <v>http://funmeta.oebiotech.com/network/48979</v>
      </c>
      <c r="H7014" s="2" t="s">
        <v>46487</v>
      </c>
      <c r="I7014" s="2">
        <v>58642</v>
      </c>
      <c r="J7014" s="2"/>
      <c r="K7014" s="2">
        <v>137248</v>
      </c>
      <c r="L7014" s="2"/>
      <c r="M7014" s="2"/>
      <c r="N7014" s="2"/>
      <c r="O7014" s="2">
        <v>53477947</v>
      </c>
      <c r="P7014" s="2"/>
      <c r="Q7014" s="2" t="s">
        <v>46488</v>
      </c>
      <c r="R7014" s="2" t="s">
        <v>46489</v>
      </c>
      <c r="S7014" s="2" t="s">
        <v>50</v>
      </c>
      <c r="T7014" s="2" t="s">
        <v>229</v>
      </c>
      <c r="U7014" s="2" t="s">
        <v>1360</v>
      </c>
      <c r="V7014" s="2" t="s">
        <v>59</v>
      </c>
      <c r="W7014" s="2">
        <v>38.6</v>
      </c>
      <c r="X7014" s="2">
        <v>0</v>
      </c>
      <c r="Y7014" s="2" t="s">
        <v>408</v>
      </c>
      <c r="Z7014" s="2" t="s">
        <v>46490</v>
      </c>
      <c r="AA7014" s="2">
        <v>1.55059081927219E-2</v>
      </c>
      <c r="AB7014" s="2">
        <v>3.9391713233840101E-4</v>
      </c>
      <c r="AC7014" s="2">
        <v>28.532584748594701</v>
      </c>
      <c r="AD7014" s="2">
        <v>27.9370657571707</v>
      </c>
      <c r="AE7014" s="2">
        <v>2.7106294003980101E-5</v>
      </c>
      <c r="AF7014" s="2">
        <v>89.715836161175204</v>
      </c>
      <c r="AG7014" s="2">
        <v>2.7106294003980101E-5</v>
      </c>
      <c r="AH7014" s="2">
        <v>2.7106294003980101E-5</v>
      </c>
      <c r="AI7014" s="2">
        <v>2.7106294003980101E-5</v>
      </c>
      <c r="AJ7014" s="2">
        <v>81.479563905217006</v>
      </c>
      <c r="AK7014" s="2">
        <v>2.7106294003980101E-5</v>
      </c>
      <c r="AL7014" s="2">
        <v>85.537177542648607</v>
      </c>
      <c r="AM7014" s="2">
        <v>82.085108575199598</v>
      </c>
      <c r="AN7014" s="2">
        <v>2.7106294003980101E-5</v>
      </c>
      <c r="AO7014" s="2">
        <v>2.7106294003980101E-5</v>
      </c>
      <c r="AP7014" s="2">
        <v>2.7106294003980101E-5</v>
      </c>
    </row>
    <row r="7015" spans="1:42" ht="14.5" x14ac:dyDescent="0.35">
      <c r="A7015" s="2" t="s">
        <v>46491</v>
      </c>
      <c r="B7015" s="2">
        <v>279.13409644738198</v>
      </c>
      <c r="C7015" s="2">
        <v>3.5873499999999998</v>
      </c>
      <c r="D7015" s="2" t="s">
        <v>34</v>
      </c>
      <c r="E7015" s="2" t="s">
        <v>46492</v>
      </c>
      <c r="F7015" s="2">
        <v>267029</v>
      </c>
      <c r="G7015" s="3" t="str">
        <f>HYPERLINK("http://funmeta.oebiotech.com/network/267029", "http://funmeta.oebiotech.com/network/267029")</f>
        <v>http://funmeta.oebiotech.com/network/267029</v>
      </c>
      <c r="H7015" s="2"/>
      <c r="I7015" s="2">
        <v>44535</v>
      </c>
      <c r="J7015" s="2"/>
      <c r="K7015" s="2"/>
      <c r="L7015" s="2"/>
      <c r="M7015" s="2"/>
      <c r="N7015" s="2"/>
      <c r="O7015" s="2">
        <v>54677973</v>
      </c>
      <c r="P7015" s="2"/>
      <c r="Q7015" s="2" t="s">
        <v>46493</v>
      </c>
      <c r="R7015" s="2" t="s">
        <v>46494</v>
      </c>
      <c r="S7015" s="2" t="s">
        <v>491</v>
      </c>
      <c r="T7015" s="2" t="s">
        <v>46495</v>
      </c>
      <c r="U7015" s="2" t="s">
        <v>46496</v>
      </c>
      <c r="V7015" s="2" t="s">
        <v>59</v>
      </c>
      <c r="W7015" s="2">
        <v>37.5</v>
      </c>
      <c r="X7015" s="2">
        <v>0</v>
      </c>
      <c r="Y7015" s="2" t="s">
        <v>43</v>
      </c>
      <c r="Z7015" s="2" t="s">
        <v>46497</v>
      </c>
      <c r="AA7015" s="2">
        <v>0.62410273795479598</v>
      </c>
      <c r="AB7015" s="2">
        <v>2.6422647965465898E-4</v>
      </c>
      <c r="AC7015" s="2">
        <v>2045.47373140031</v>
      </c>
      <c r="AD7015" s="2">
        <v>2045.9719504555101</v>
      </c>
      <c r="AE7015" s="2">
        <v>1646.93344997703</v>
      </c>
      <c r="AF7015" s="2">
        <v>2364.9224233459199</v>
      </c>
      <c r="AG7015" s="2">
        <v>1984.21930963054</v>
      </c>
      <c r="AH7015" s="2">
        <v>2255.4021598573199</v>
      </c>
      <c r="AI7015" s="2">
        <v>1720.4017398645201</v>
      </c>
      <c r="AJ7015" s="2">
        <v>2300.9633057265401</v>
      </c>
      <c r="AK7015" s="2">
        <v>2031.72156758903</v>
      </c>
      <c r="AL7015" s="2">
        <v>1888.7277714546899</v>
      </c>
      <c r="AM7015" s="2">
        <v>1921.85196418386</v>
      </c>
      <c r="AN7015" s="2">
        <v>1892.8641476687999</v>
      </c>
      <c r="AO7015" s="2">
        <v>2300.1519791044602</v>
      </c>
      <c r="AP7015" s="2">
        <v>2240.51427273223</v>
      </c>
    </row>
    <row r="7016" spans="1:42" ht="14.5" x14ac:dyDescent="0.35">
      <c r="A7016" s="2" t="s">
        <v>46498</v>
      </c>
      <c r="B7016" s="2">
        <v>382.01913906330498</v>
      </c>
      <c r="C7016" s="2">
        <v>0.811483333333333</v>
      </c>
      <c r="D7016" s="2" t="s">
        <v>34</v>
      </c>
      <c r="E7016" s="2" t="s">
        <v>46499</v>
      </c>
      <c r="F7016" s="2">
        <v>205055</v>
      </c>
      <c r="G7016" s="3" t="str">
        <f>HYPERLINK("http://funmeta.oebiotech.com/network/205055", "http://funmeta.oebiotech.com/network/205055")</f>
        <v>http://funmeta.oebiotech.com/network/205055</v>
      </c>
      <c r="H7016" s="2" t="s">
        <v>46500</v>
      </c>
      <c r="I7016" s="2"/>
      <c r="J7016" s="2"/>
      <c r="K7016" s="2"/>
      <c r="L7016" s="2"/>
      <c r="M7016" s="2"/>
      <c r="N7016" s="2"/>
      <c r="O7016" s="2">
        <v>10406133</v>
      </c>
      <c r="P7016" s="2"/>
      <c r="Q7016" s="2" t="s">
        <v>46501</v>
      </c>
      <c r="R7016" s="2" t="s">
        <v>46502</v>
      </c>
      <c r="S7016" s="2" t="s">
        <v>41</v>
      </c>
      <c r="T7016" s="2" t="s">
        <v>41</v>
      </c>
      <c r="U7016" s="2" t="s">
        <v>41</v>
      </c>
      <c r="V7016" s="2" t="s">
        <v>59</v>
      </c>
      <c r="W7016" s="2">
        <v>36.700000000000003</v>
      </c>
      <c r="X7016" s="2">
        <v>0</v>
      </c>
      <c r="Y7016" s="2" t="s">
        <v>323</v>
      </c>
      <c r="Z7016" s="2" t="s">
        <v>46503</v>
      </c>
      <c r="AA7016" s="2">
        <v>4.3619168354818099</v>
      </c>
      <c r="AB7016" s="2">
        <v>1.06006721016408E-4</v>
      </c>
      <c r="AC7016" s="2">
        <v>22499.415869635301</v>
      </c>
      <c r="AD7016" s="2">
        <v>22523.0243301679</v>
      </c>
      <c r="AE7016" s="2">
        <v>21914.666492870601</v>
      </c>
      <c r="AF7016" s="2">
        <v>22770.618643349299</v>
      </c>
      <c r="AG7016" s="2">
        <v>23891.459829535601</v>
      </c>
      <c r="AH7016" s="2">
        <v>24861.863248825699</v>
      </c>
      <c r="AI7016" s="2">
        <v>19030.258636691098</v>
      </c>
      <c r="AJ7016" s="2">
        <v>22527.6283665398</v>
      </c>
      <c r="AK7016" s="2">
        <v>20841.148086809899</v>
      </c>
      <c r="AL7016" s="2">
        <v>23943.553952199101</v>
      </c>
      <c r="AM7016" s="2">
        <v>22602.6188689275</v>
      </c>
      <c r="AN7016" s="2">
        <v>23339.608970953799</v>
      </c>
      <c r="AO7016" s="2">
        <v>22567.961802355301</v>
      </c>
      <c r="AP7016" s="2">
        <v>21843.2542997618</v>
      </c>
    </row>
    <row r="7017" spans="1:42" ht="14.5" x14ac:dyDescent="0.35">
      <c r="A7017" s="2" t="s">
        <v>46504</v>
      </c>
      <c r="B7017" s="2">
        <v>200.12096576706901</v>
      </c>
      <c r="C7017" s="2">
        <v>10.226800000000001</v>
      </c>
      <c r="D7017" s="2" t="s">
        <v>34</v>
      </c>
      <c r="E7017" s="2" t="s">
        <v>46505</v>
      </c>
      <c r="F7017" s="2">
        <v>204442</v>
      </c>
      <c r="G7017" s="3" t="str">
        <f>HYPERLINK("http://funmeta.oebiotech.com/network/204442", "http://funmeta.oebiotech.com/network/204442")</f>
        <v>http://funmeta.oebiotech.com/network/204442</v>
      </c>
      <c r="H7017" s="2" t="s">
        <v>46506</v>
      </c>
      <c r="I7017" s="2">
        <v>66663</v>
      </c>
      <c r="J7017" s="2"/>
      <c r="K7017" s="2"/>
      <c r="L7017" s="2" t="s">
        <v>46507</v>
      </c>
      <c r="M7017" s="2"/>
      <c r="N7017" s="2"/>
      <c r="O7017" s="2">
        <v>7305</v>
      </c>
      <c r="P7017" s="2" t="s">
        <v>46508</v>
      </c>
      <c r="Q7017" s="2" t="s">
        <v>46509</v>
      </c>
      <c r="R7017" s="2" t="s">
        <v>46510</v>
      </c>
      <c r="S7017" s="2" t="s">
        <v>89</v>
      </c>
      <c r="T7017" s="2" t="s">
        <v>6048</v>
      </c>
      <c r="U7017" s="2" t="s">
        <v>46511</v>
      </c>
      <c r="V7017" s="2" t="s">
        <v>59</v>
      </c>
      <c r="W7017" s="2">
        <v>39.1</v>
      </c>
      <c r="X7017" s="2">
        <v>0</v>
      </c>
      <c r="Y7017" s="2" t="s">
        <v>43</v>
      </c>
      <c r="Z7017" s="2" t="s">
        <v>46512</v>
      </c>
      <c r="AA7017" s="2">
        <v>-0.29856669209686598</v>
      </c>
      <c r="AB7017" s="2">
        <v>5.4291200090898398E-5</v>
      </c>
      <c r="AC7017" s="2">
        <v>2139.50899873253</v>
      </c>
      <c r="AD7017" s="2">
        <v>2137.4815754993301</v>
      </c>
      <c r="AE7017" s="2">
        <v>2817.5357252020399</v>
      </c>
      <c r="AF7017" s="2">
        <v>1613.4392648401199</v>
      </c>
      <c r="AG7017" s="2">
        <v>1935.0843716223101</v>
      </c>
      <c r="AH7017" s="2">
        <v>2491.3212464182802</v>
      </c>
      <c r="AI7017" s="2">
        <v>2382.03419528327</v>
      </c>
      <c r="AJ7017" s="2">
        <v>1597.63918902918</v>
      </c>
      <c r="AK7017" s="2">
        <v>1364.6967509440699</v>
      </c>
      <c r="AL7017" s="2">
        <v>3279.4105259037301</v>
      </c>
      <c r="AM7017" s="2">
        <v>2022.4744105151501</v>
      </c>
      <c r="AN7017" s="2">
        <v>2853.2876590293799</v>
      </c>
      <c r="AO7017" s="2">
        <v>1589.88120847339</v>
      </c>
      <c r="AP7017" s="2">
        <v>1715.13889813025</v>
      </c>
    </row>
    <row r="7018" spans="1:42" ht="14.5" x14ac:dyDescent="0.35">
      <c r="A7018" s="2" t="s">
        <v>46513</v>
      </c>
      <c r="B7018" s="2">
        <v>278.103123362855</v>
      </c>
      <c r="C7018" s="2">
        <v>4.6492000000000004</v>
      </c>
      <c r="D7018" s="2" t="s">
        <v>70</v>
      </c>
      <c r="E7018" s="2" t="s">
        <v>46514</v>
      </c>
      <c r="F7018" s="2">
        <v>199371</v>
      </c>
      <c r="G7018" s="3" t="str">
        <f>HYPERLINK("http://funmeta.oebiotech.com/network/199371", "http://funmeta.oebiotech.com/network/199371")</f>
        <v>http://funmeta.oebiotech.com/network/199371</v>
      </c>
      <c r="H7018" s="2" t="s">
        <v>46515</v>
      </c>
      <c r="I7018" s="2"/>
      <c r="J7018" s="2"/>
      <c r="K7018" s="2"/>
      <c r="L7018" s="2"/>
      <c r="M7018" s="2"/>
      <c r="N7018" s="2"/>
      <c r="O7018" s="2">
        <v>1370</v>
      </c>
      <c r="P7018" s="2"/>
      <c r="Q7018" s="2" t="s">
        <v>46516</v>
      </c>
      <c r="R7018" s="2" t="s">
        <v>46517</v>
      </c>
      <c r="S7018" s="2" t="s">
        <v>491</v>
      </c>
      <c r="T7018" s="2" t="s">
        <v>7584</v>
      </c>
      <c r="U7018" s="2" t="s">
        <v>46518</v>
      </c>
      <c r="V7018" s="2" t="s">
        <v>59</v>
      </c>
      <c r="W7018" s="2">
        <v>39.1</v>
      </c>
      <c r="X7018" s="2">
        <v>0</v>
      </c>
      <c r="Y7018" s="2" t="s">
        <v>408</v>
      </c>
      <c r="Z7018" s="2" t="s">
        <v>46519</v>
      </c>
      <c r="AA7018" s="2">
        <v>-1.1705087770839699</v>
      </c>
      <c r="AB7018" s="2">
        <v>1.59183370947677E-5</v>
      </c>
      <c r="AC7018" s="2">
        <v>1144.5208172110599</v>
      </c>
      <c r="AD7018" s="2">
        <v>1145.2069953298401</v>
      </c>
      <c r="AE7018" s="2">
        <v>762.68977788325606</v>
      </c>
      <c r="AF7018" s="2">
        <v>1309.6024101971</v>
      </c>
      <c r="AG7018" s="2">
        <v>1180.12349587516</v>
      </c>
      <c r="AH7018" s="2">
        <v>1195.2347814335999</v>
      </c>
      <c r="AI7018" s="2">
        <v>931.95734520213296</v>
      </c>
      <c r="AJ7018" s="2">
        <v>1487.51709267512</v>
      </c>
      <c r="AK7018" s="2">
        <v>1204.3393065949899</v>
      </c>
      <c r="AL7018" s="2">
        <v>920.94183773645705</v>
      </c>
      <c r="AM7018" s="2">
        <v>1007.9962528665</v>
      </c>
      <c r="AN7018" s="2">
        <v>1317.95566123359</v>
      </c>
      <c r="AO7018" s="2">
        <v>967.87248833894296</v>
      </c>
      <c r="AP7018" s="2">
        <v>1452.13642520854</v>
      </c>
    </row>
    <row r="7019" spans="1:42" ht="14.5" x14ac:dyDescent="0.35">
      <c r="A7019" s="2" t="s">
        <v>46520</v>
      </c>
      <c r="B7019" s="2">
        <v>831.17629462188495</v>
      </c>
      <c r="C7019" s="2">
        <v>11.4859666666667</v>
      </c>
      <c r="D7019" s="2" t="s">
        <v>70</v>
      </c>
      <c r="E7019" s="2" t="s">
        <v>46521</v>
      </c>
      <c r="F7019" s="2">
        <v>62126</v>
      </c>
      <c r="G7019" s="3" t="str">
        <f>HYPERLINK("http://funmeta.oebiotech.com/network/62126", "http://funmeta.oebiotech.com/network/62126")</f>
        <v>http://funmeta.oebiotech.com/network/62126</v>
      </c>
      <c r="H7019" s="2" t="s">
        <v>46522</v>
      </c>
      <c r="I7019" s="2">
        <v>93417</v>
      </c>
      <c r="J7019" s="2"/>
      <c r="K7019" s="2"/>
      <c r="L7019" s="2"/>
      <c r="M7019" s="2"/>
      <c r="N7019" s="2"/>
      <c r="O7019" s="2">
        <v>74978019</v>
      </c>
      <c r="P7019" s="2" t="s">
        <v>46523</v>
      </c>
      <c r="Q7019" s="2" t="s">
        <v>46524</v>
      </c>
      <c r="R7019" s="2" t="s">
        <v>46525</v>
      </c>
      <c r="S7019" s="2" t="s">
        <v>115</v>
      </c>
      <c r="T7019" s="2" t="s">
        <v>139</v>
      </c>
      <c r="U7019" s="2" t="s">
        <v>140</v>
      </c>
      <c r="V7019" s="2" t="s">
        <v>59</v>
      </c>
      <c r="W7019" s="2">
        <v>36.700000000000003</v>
      </c>
      <c r="X7019" s="2">
        <v>0</v>
      </c>
      <c r="Y7019" s="2" t="s">
        <v>408</v>
      </c>
      <c r="Z7019" s="2" t="s">
        <v>46526</v>
      </c>
      <c r="AA7019" s="2">
        <v>-9.3884933634114809</v>
      </c>
      <c r="AB7019" s="2"/>
      <c r="AC7019" s="2">
        <v>2.7106294003980101E-5</v>
      </c>
      <c r="AD7019" s="2">
        <v>2.7106294003980101E-5</v>
      </c>
      <c r="AE7019" s="2">
        <v>2.7106294003980101E-5</v>
      </c>
      <c r="AF7019" s="2">
        <v>2.7106294003980101E-5</v>
      </c>
      <c r="AG7019" s="2">
        <v>2.7106294003980101E-5</v>
      </c>
      <c r="AH7019" s="2">
        <v>2.7106294003980101E-5</v>
      </c>
      <c r="AI7019" s="2">
        <v>2.7106294003980101E-5</v>
      </c>
      <c r="AJ7019" s="2">
        <v>2.7106294003980101E-5</v>
      </c>
      <c r="AK7019" s="2">
        <v>2.7106294003980101E-5</v>
      </c>
      <c r="AL7019" s="2">
        <v>2.7106294003980101E-5</v>
      </c>
      <c r="AM7019" s="2">
        <v>2.7106294003980101E-5</v>
      </c>
      <c r="AN7019" s="2">
        <v>2.7106294003980101E-5</v>
      </c>
      <c r="AO7019" s="2">
        <v>2.7106294003980101E-5</v>
      </c>
      <c r="AP7019" s="2">
        <v>2.7106294003980101E-5</v>
      </c>
    </row>
    <row r="7020" spans="1:42" ht="14.5" x14ac:dyDescent="0.35">
      <c r="A7020" s="2" t="s">
        <v>46527</v>
      </c>
      <c r="B7020" s="2">
        <v>667.44252600259995</v>
      </c>
      <c r="C7020" s="2">
        <v>12.0716</v>
      </c>
      <c r="D7020" s="2" t="s">
        <v>70</v>
      </c>
      <c r="E7020" s="2" t="s">
        <v>46528</v>
      </c>
      <c r="F7020" s="2">
        <v>62810</v>
      </c>
      <c r="G7020" s="3" t="str">
        <f>HYPERLINK("http://funmeta.oebiotech.com/network/62810", "http://funmeta.oebiotech.com/network/62810")</f>
        <v>http://funmeta.oebiotech.com/network/62810</v>
      </c>
      <c r="H7020" s="2" t="s">
        <v>46529</v>
      </c>
      <c r="I7020" s="2">
        <v>94103</v>
      </c>
      <c r="J7020" s="2"/>
      <c r="K7020" s="2"/>
      <c r="L7020" s="2"/>
      <c r="M7020" s="2"/>
      <c r="N7020" s="2"/>
      <c r="O7020" s="2">
        <v>14081290</v>
      </c>
      <c r="P7020" s="2" t="s">
        <v>46530</v>
      </c>
      <c r="Q7020" s="2" t="s">
        <v>46531</v>
      </c>
      <c r="R7020" s="2" t="s">
        <v>46532</v>
      </c>
      <c r="S7020" s="2" t="s">
        <v>50</v>
      </c>
      <c r="T7020" s="2" t="s">
        <v>201</v>
      </c>
      <c r="U7020" s="2" t="s">
        <v>210</v>
      </c>
      <c r="V7020" s="2" t="s">
        <v>42</v>
      </c>
      <c r="W7020" s="2">
        <v>53.4</v>
      </c>
      <c r="X7020" s="2">
        <v>70.2</v>
      </c>
      <c r="Y7020" s="2" t="s">
        <v>408</v>
      </c>
      <c r="Z7020" s="2" t="s">
        <v>41474</v>
      </c>
      <c r="AA7020" s="2">
        <v>-0.234257395662192</v>
      </c>
      <c r="AB7020" s="2"/>
      <c r="AC7020" s="2">
        <v>2.7106294003980101E-5</v>
      </c>
      <c r="AD7020" s="2">
        <v>2.7106294003980101E-5</v>
      </c>
      <c r="AE7020" s="2">
        <v>2.7106294003980101E-5</v>
      </c>
      <c r="AF7020" s="2">
        <v>2.7106294003980101E-5</v>
      </c>
      <c r="AG7020" s="2">
        <v>2.7106294003980101E-5</v>
      </c>
      <c r="AH7020" s="2">
        <v>2.7106294003980101E-5</v>
      </c>
      <c r="AI7020" s="2">
        <v>2.7106294003980101E-5</v>
      </c>
      <c r="AJ7020" s="2">
        <v>2.7106294003980101E-5</v>
      </c>
      <c r="AK7020" s="2">
        <v>2.7106294003980101E-5</v>
      </c>
      <c r="AL7020" s="2">
        <v>2.7106294003980101E-5</v>
      </c>
      <c r="AM7020" s="2">
        <v>2.7106294003980101E-5</v>
      </c>
      <c r="AN7020" s="2">
        <v>2.7106294003980101E-5</v>
      </c>
      <c r="AO7020" s="2">
        <v>2.7106294003980101E-5</v>
      </c>
      <c r="AP7020" s="2">
        <v>2.7106294003980101E-5</v>
      </c>
    </row>
    <row r="7021" spans="1:42" ht="14.5" x14ac:dyDescent="0.35">
      <c r="A7021" s="2" t="s">
        <v>46533</v>
      </c>
      <c r="B7021" s="2">
        <v>583.31520227226702</v>
      </c>
      <c r="C7021" s="2">
        <v>13.244949999999999</v>
      </c>
      <c r="D7021" s="2" t="s">
        <v>70</v>
      </c>
      <c r="E7021" s="2" t="s">
        <v>46534</v>
      </c>
      <c r="F7021" s="2">
        <v>18026</v>
      </c>
      <c r="G7021" s="3" t="str">
        <f>HYPERLINK("http://funmeta.oebiotech.com/network/18026", "http://funmeta.oebiotech.com/network/18026")</f>
        <v>http://funmeta.oebiotech.com/network/18026</v>
      </c>
      <c r="H7021" s="2"/>
      <c r="I7021" s="2"/>
      <c r="J7021" s="2" t="s">
        <v>46535</v>
      </c>
      <c r="K7021" s="2"/>
      <c r="L7021" s="2"/>
      <c r="M7021" s="2"/>
      <c r="N7021" s="2"/>
      <c r="O7021" s="2"/>
      <c r="P7021" s="2"/>
      <c r="Q7021" s="2" t="s">
        <v>46536</v>
      </c>
      <c r="R7021" s="2" t="s">
        <v>46537</v>
      </c>
      <c r="S7021" s="2" t="s">
        <v>50</v>
      </c>
      <c r="T7021" s="2" t="s">
        <v>448</v>
      </c>
      <c r="U7021" s="2" t="s">
        <v>449</v>
      </c>
      <c r="V7021" s="2" t="s">
        <v>59</v>
      </c>
      <c r="W7021" s="2">
        <v>39.4</v>
      </c>
      <c r="X7021" s="2">
        <v>9.6300000000000008</v>
      </c>
      <c r="Y7021" s="2" t="s">
        <v>118</v>
      </c>
      <c r="Z7021" s="2" t="s">
        <v>46538</v>
      </c>
      <c r="AA7021" s="2">
        <v>-0.94943806952210896</v>
      </c>
      <c r="AB7021" s="2"/>
      <c r="AC7021" s="2">
        <v>2.7106294003980101E-5</v>
      </c>
      <c r="AD7021" s="2">
        <v>2.7106294003980101E-5</v>
      </c>
      <c r="AE7021" s="2">
        <v>2.7106294003980101E-5</v>
      </c>
      <c r="AF7021" s="2">
        <v>2.7106294003980101E-5</v>
      </c>
      <c r="AG7021" s="2">
        <v>2.7106294003980101E-5</v>
      </c>
      <c r="AH7021" s="2">
        <v>2.7106294003980101E-5</v>
      </c>
      <c r="AI7021" s="2">
        <v>2.7106294003980101E-5</v>
      </c>
      <c r="AJ7021" s="2">
        <v>2.7106294003980101E-5</v>
      </c>
      <c r="AK7021" s="2">
        <v>2.7106294003980101E-5</v>
      </c>
      <c r="AL7021" s="2">
        <v>2.7106294003980101E-5</v>
      </c>
      <c r="AM7021" s="2">
        <v>2.7106294003980101E-5</v>
      </c>
      <c r="AN7021" s="2">
        <v>2.7106294003980101E-5</v>
      </c>
      <c r="AO7021" s="2">
        <v>2.7106294003980101E-5</v>
      </c>
      <c r="AP7021" s="2">
        <v>2.7106294003980101E-5</v>
      </c>
    </row>
    <row r="7022" spans="1:42" ht="14.5" x14ac:dyDescent="0.35">
      <c r="A7022" s="2" t="s">
        <v>46539</v>
      </c>
      <c r="B7022" s="2">
        <v>183.028943759946</v>
      </c>
      <c r="C7022" s="2">
        <v>4.4526833333333302</v>
      </c>
      <c r="D7022" s="2" t="s">
        <v>70</v>
      </c>
      <c r="E7022" s="2" t="s">
        <v>46540</v>
      </c>
      <c r="F7022" s="2">
        <v>63475</v>
      </c>
      <c r="G7022" s="3" t="str">
        <f>HYPERLINK("http://funmeta.oebiotech.com/network/63475", "http://funmeta.oebiotech.com/network/63475")</f>
        <v>http://funmeta.oebiotech.com/network/63475</v>
      </c>
      <c r="H7022" s="2" t="s">
        <v>46541</v>
      </c>
      <c r="I7022" s="2">
        <v>405567</v>
      </c>
      <c r="J7022" s="2"/>
      <c r="K7022" s="2"/>
      <c r="L7022" s="2"/>
      <c r="M7022" s="2"/>
      <c r="N7022" s="2"/>
      <c r="O7022" s="2">
        <v>25088425</v>
      </c>
      <c r="P7022" s="2" t="s">
        <v>46542</v>
      </c>
      <c r="Q7022" s="2" t="s">
        <v>46543</v>
      </c>
      <c r="R7022" s="2" t="s">
        <v>46544</v>
      </c>
      <c r="S7022" s="2" t="s">
        <v>89</v>
      </c>
      <c r="T7022" s="2" t="s">
        <v>90</v>
      </c>
      <c r="U7022" s="2" t="s">
        <v>91</v>
      </c>
      <c r="V7022" s="2" t="s">
        <v>42</v>
      </c>
      <c r="W7022" s="2">
        <v>51.4</v>
      </c>
      <c r="X7022" s="2">
        <v>63.9</v>
      </c>
      <c r="Y7022" s="2" t="s">
        <v>751</v>
      </c>
      <c r="Z7022" s="2" t="s">
        <v>46545</v>
      </c>
      <c r="AA7022" s="2">
        <v>-4.7174896541782498</v>
      </c>
      <c r="AB7022" s="2"/>
      <c r="AC7022" s="2">
        <v>2.7106294003980101E-5</v>
      </c>
      <c r="AD7022" s="2">
        <v>2.7106294003980101E-5</v>
      </c>
      <c r="AE7022" s="2">
        <v>2.7106294003980101E-5</v>
      </c>
      <c r="AF7022" s="2">
        <v>2.7106294003980101E-5</v>
      </c>
      <c r="AG7022" s="2">
        <v>2.7106294003980101E-5</v>
      </c>
      <c r="AH7022" s="2">
        <v>2.7106294003980101E-5</v>
      </c>
      <c r="AI7022" s="2">
        <v>2.7106294003980101E-5</v>
      </c>
      <c r="AJ7022" s="2">
        <v>2.7106294003980101E-5</v>
      </c>
      <c r="AK7022" s="2">
        <v>2.7106294003980101E-5</v>
      </c>
      <c r="AL7022" s="2">
        <v>2.7106294003980101E-5</v>
      </c>
      <c r="AM7022" s="2">
        <v>2.7106294003980101E-5</v>
      </c>
      <c r="AN7022" s="2">
        <v>2.7106294003980101E-5</v>
      </c>
      <c r="AO7022" s="2">
        <v>2.7106294003980101E-5</v>
      </c>
      <c r="AP7022" s="2">
        <v>2.7106294003980101E-5</v>
      </c>
    </row>
    <row r="7023" spans="1:42" ht="14.5" x14ac:dyDescent="0.35">
      <c r="A7023" s="2" t="s">
        <v>46546</v>
      </c>
      <c r="B7023" s="2">
        <v>863.18218632416404</v>
      </c>
      <c r="C7023" s="2">
        <v>4.5423999999999998</v>
      </c>
      <c r="D7023" s="2" t="s">
        <v>70</v>
      </c>
      <c r="E7023" s="2" t="s">
        <v>46547</v>
      </c>
      <c r="F7023" s="2">
        <v>59369</v>
      </c>
      <c r="G7023" s="3" t="str">
        <f>HYPERLINK("http://funmeta.oebiotech.com/network/59369", "http://funmeta.oebiotech.com/network/59369")</f>
        <v>http://funmeta.oebiotech.com/network/59369</v>
      </c>
      <c r="H7023" s="2" t="s">
        <v>46548</v>
      </c>
      <c r="I7023" s="2">
        <v>90785</v>
      </c>
      <c r="J7023" s="2"/>
      <c r="K7023" s="2"/>
      <c r="L7023" s="2"/>
      <c r="M7023" s="2"/>
      <c r="N7023" s="2"/>
      <c r="O7023" s="2">
        <v>14015928</v>
      </c>
      <c r="P7023" s="2"/>
      <c r="Q7023" s="2" t="s">
        <v>46549</v>
      </c>
      <c r="R7023" s="2" t="s">
        <v>46550</v>
      </c>
      <c r="S7023" s="2" t="s">
        <v>115</v>
      </c>
      <c r="T7023" s="2" t="s">
        <v>139</v>
      </c>
      <c r="U7023" s="2" t="s">
        <v>957</v>
      </c>
      <c r="V7023" s="2" t="s">
        <v>59</v>
      </c>
      <c r="W7023" s="2">
        <v>36.799999999999997</v>
      </c>
      <c r="X7023" s="2">
        <v>0</v>
      </c>
      <c r="Y7023" s="2" t="s">
        <v>118</v>
      </c>
      <c r="Z7023" s="2" t="s">
        <v>46551</v>
      </c>
      <c r="AA7023" s="2">
        <v>-0.81180099536063499</v>
      </c>
      <c r="AB7023" s="2"/>
      <c r="AC7023" s="2">
        <v>2.7106294003980101E-5</v>
      </c>
      <c r="AD7023" s="2">
        <v>2.7106294003980101E-5</v>
      </c>
      <c r="AE7023" s="2">
        <v>2.7106294003980101E-5</v>
      </c>
      <c r="AF7023" s="2">
        <v>2.7106294003980101E-5</v>
      </c>
      <c r="AG7023" s="2">
        <v>2.7106294003980101E-5</v>
      </c>
      <c r="AH7023" s="2">
        <v>2.7106294003980101E-5</v>
      </c>
      <c r="AI7023" s="2">
        <v>2.7106294003980101E-5</v>
      </c>
      <c r="AJ7023" s="2">
        <v>2.7106294003980101E-5</v>
      </c>
      <c r="AK7023" s="2">
        <v>2.7106294003980101E-5</v>
      </c>
      <c r="AL7023" s="2">
        <v>2.7106294003980101E-5</v>
      </c>
      <c r="AM7023" s="2">
        <v>2.7106294003980101E-5</v>
      </c>
      <c r="AN7023" s="2">
        <v>2.7106294003980101E-5</v>
      </c>
      <c r="AO7023" s="2">
        <v>2.7106294003980101E-5</v>
      </c>
      <c r="AP7023" s="2">
        <v>2.7106294003980101E-5</v>
      </c>
    </row>
    <row r="7024" spans="1:42" ht="14.5" x14ac:dyDescent="0.35">
      <c r="A7024" s="2" t="s">
        <v>46552</v>
      </c>
      <c r="B7024" s="2">
        <v>303.04967324967498</v>
      </c>
      <c r="C7024" s="2">
        <v>5.31823333333333</v>
      </c>
      <c r="D7024" s="2" t="s">
        <v>34</v>
      </c>
      <c r="E7024" s="2" t="s">
        <v>46553</v>
      </c>
      <c r="F7024" s="2">
        <v>206306</v>
      </c>
      <c r="G7024" s="3" t="str">
        <f>HYPERLINK("http://funmeta.oebiotech.com/network/206306", "http://funmeta.oebiotech.com/network/206306")</f>
        <v>http://funmeta.oebiotech.com/network/206306</v>
      </c>
      <c r="H7024" s="2" t="s">
        <v>46554</v>
      </c>
      <c r="I7024" s="2">
        <v>432863</v>
      </c>
      <c r="J7024" s="2"/>
      <c r="K7024" s="2"/>
      <c r="L7024" s="2"/>
      <c r="M7024" s="2"/>
      <c r="N7024" s="2"/>
      <c r="O7024" s="2">
        <v>389053</v>
      </c>
      <c r="P7024" s="2"/>
      <c r="Q7024" s="2" t="s">
        <v>46555</v>
      </c>
      <c r="R7024" s="2" t="s">
        <v>46556</v>
      </c>
      <c r="S7024" s="2" t="s">
        <v>41</v>
      </c>
      <c r="T7024" s="2" t="s">
        <v>41</v>
      </c>
      <c r="U7024" s="2" t="s">
        <v>41</v>
      </c>
      <c r="V7024" s="2" t="s">
        <v>59</v>
      </c>
      <c r="W7024" s="2">
        <v>38.6</v>
      </c>
      <c r="X7024" s="2">
        <v>0</v>
      </c>
      <c r="Y7024" s="2" t="s">
        <v>394</v>
      </c>
      <c r="Z7024" s="2" t="s">
        <v>46557</v>
      </c>
      <c r="AA7024" s="2">
        <v>-4.7489289537585799</v>
      </c>
      <c r="AB7024" s="2"/>
      <c r="AC7024" s="2">
        <v>2.7106294003980101E-5</v>
      </c>
      <c r="AD7024" s="2">
        <v>2.7106294003980101E-5</v>
      </c>
      <c r="AE7024" s="2">
        <v>2.7106294003980101E-5</v>
      </c>
      <c r="AF7024" s="2">
        <v>2.7106294003980101E-5</v>
      </c>
      <c r="AG7024" s="2">
        <v>2.7106294003980101E-5</v>
      </c>
      <c r="AH7024" s="2">
        <v>2.7106294003980101E-5</v>
      </c>
      <c r="AI7024" s="2">
        <v>2.7106294003980101E-5</v>
      </c>
      <c r="AJ7024" s="2">
        <v>2.7106294003980101E-5</v>
      </c>
      <c r="AK7024" s="2">
        <v>2.7106294003980101E-5</v>
      </c>
      <c r="AL7024" s="2">
        <v>2.7106294003980101E-5</v>
      </c>
      <c r="AM7024" s="2">
        <v>2.7106294003980101E-5</v>
      </c>
      <c r="AN7024" s="2">
        <v>2.7106294003980101E-5</v>
      </c>
      <c r="AO7024" s="2">
        <v>2.7106294003980101E-5</v>
      </c>
      <c r="AP7024" s="2">
        <v>2.7106294003980101E-5</v>
      </c>
    </row>
    <row r="7025" spans="1:42" ht="14.5" x14ac:dyDescent="0.35">
      <c r="A7025" s="2" t="s">
        <v>46558</v>
      </c>
      <c r="B7025" s="2">
        <v>591.17291164678602</v>
      </c>
      <c r="C7025" s="2">
        <v>5.7479666666666702</v>
      </c>
      <c r="D7025" s="2" t="s">
        <v>70</v>
      </c>
      <c r="E7025" s="2" t="s">
        <v>46559</v>
      </c>
      <c r="F7025" s="2">
        <v>82622</v>
      </c>
      <c r="G7025" s="3" t="str">
        <f>HYPERLINK("http://funmeta.oebiotech.com/network/82622", "http://funmeta.oebiotech.com/network/82622")</f>
        <v>http://funmeta.oebiotech.com/network/82622</v>
      </c>
      <c r="H7025" s="2" t="s">
        <v>46560</v>
      </c>
      <c r="I7025" s="2"/>
      <c r="J7025" s="2"/>
      <c r="K7025" s="2"/>
      <c r="L7025" s="2"/>
      <c r="M7025" s="2"/>
      <c r="N7025" s="2"/>
      <c r="O7025" s="2">
        <v>105108</v>
      </c>
      <c r="P7025" s="2"/>
      <c r="Q7025" s="2" t="s">
        <v>46561</v>
      </c>
      <c r="R7025" s="2" t="s">
        <v>46562</v>
      </c>
      <c r="S7025" s="2" t="s">
        <v>1677</v>
      </c>
      <c r="T7025" s="2" t="s">
        <v>1678</v>
      </c>
      <c r="U7025" s="2" t="s">
        <v>1679</v>
      </c>
      <c r="V7025" s="2" t="s">
        <v>59</v>
      </c>
      <c r="W7025" s="2">
        <v>38.700000000000003</v>
      </c>
      <c r="X7025" s="2">
        <v>0</v>
      </c>
      <c r="Y7025" s="2" t="s">
        <v>560</v>
      </c>
      <c r="Z7025" s="2" t="s">
        <v>46563</v>
      </c>
      <c r="AA7025" s="2">
        <v>-2.8579845314964398</v>
      </c>
      <c r="AB7025" s="2"/>
      <c r="AC7025" s="2">
        <v>2.7106294003980101E-5</v>
      </c>
      <c r="AD7025" s="2">
        <v>2.7106294003980101E-5</v>
      </c>
      <c r="AE7025" s="2">
        <v>2.7106294003980101E-5</v>
      </c>
      <c r="AF7025" s="2">
        <v>2.7106294003980101E-5</v>
      </c>
      <c r="AG7025" s="2">
        <v>2.7106294003980101E-5</v>
      </c>
      <c r="AH7025" s="2">
        <v>2.7106294003980101E-5</v>
      </c>
      <c r="AI7025" s="2">
        <v>2.7106294003980101E-5</v>
      </c>
      <c r="AJ7025" s="2">
        <v>2.7106294003980101E-5</v>
      </c>
      <c r="AK7025" s="2">
        <v>2.7106294003980101E-5</v>
      </c>
      <c r="AL7025" s="2">
        <v>2.7106294003980101E-5</v>
      </c>
      <c r="AM7025" s="2">
        <v>2.7106294003980101E-5</v>
      </c>
      <c r="AN7025" s="2">
        <v>2.7106294003980101E-5</v>
      </c>
      <c r="AO7025" s="2">
        <v>2.7106294003980101E-5</v>
      </c>
      <c r="AP7025" s="2">
        <v>2.7106294003980101E-5</v>
      </c>
    </row>
    <row r="7026" spans="1:42" ht="14.5" x14ac:dyDescent="0.35">
      <c r="A7026" s="2" t="s">
        <v>46564</v>
      </c>
      <c r="B7026" s="2">
        <v>347.11667963815</v>
      </c>
      <c r="C7026" s="2">
        <v>5.84148333333333</v>
      </c>
      <c r="D7026" s="2" t="s">
        <v>70</v>
      </c>
      <c r="E7026" s="2" t="s">
        <v>46565</v>
      </c>
      <c r="F7026" s="2">
        <v>515502</v>
      </c>
      <c r="G7026" s="3" t="str">
        <f>HYPERLINK("http://funmeta.oebiotech.com/network/515502", "http://funmeta.oebiotech.com/network/515502")</f>
        <v>http://funmeta.oebiotech.com/network/515502</v>
      </c>
      <c r="H7026" s="2"/>
      <c r="I7026" s="2">
        <v>96495</v>
      </c>
      <c r="J7026" s="2"/>
      <c r="K7026" s="2"/>
      <c r="L7026" s="2"/>
      <c r="M7026" s="2"/>
      <c r="N7026" s="2"/>
      <c r="O7026" s="2">
        <v>2703</v>
      </c>
      <c r="P7026" s="2" t="s">
        <v>46566</v>
      </c>
      <c r="Q7026" s="2" t="s">
        <v>46567</v>
      </c>
      <c r="R7026" s="2" t="s">
        <v>46568</v>
      </c>
      <c r="S7026" s="2" t="s">
        <v>39</v>
      </c>
      <c r="T7026" s="2" t="s">
        <v>38320</v>
      </c>
      <c r="U7026" s="2" t="s">
        <v>46569</v>
      </c>
      <c r="V7026" s="2" t="s">
        <v>59</v>
      </c>
      <c r="W7026" s="2">
        <v>38.6</v>
      </c>
      <c r="X7026" s="2">
        <v>0</v>
      </c>
      <c r="Y7026" s="2" t="s">
        <v>118</v>
      </c>
      <c r="Z7026" s="2" t="s">
        <v>46570</v>
      </c>
      <c r="AA7026" s="2">
        <v>1.0714868737206</v>
      </c>
      <c r="AB7026" s="2"/>
      <c r="AC7026" s="2">
        <v>2.7106294003980101E-5</v>
      </c>
      <c r="AD7026" s="2">
        <v>2.7106294003980101E-5</v>
      </c>
      <c r="AE7026" s="2">
        <v>2.7106294003980101E-5</v>
      </c>
      <c r="AF7026" s="2">
        <v>2.7106294003980101E-5</v>
      </c>
      <c r="AG7026" s="2">
        <v>2.7106294003980101E-5</v>
      </c>
      <c r="AH7026" s="2">
        <v>2.7106294003980101E-5</v>
      </c>
      <c r="AI7026" s="2">
        <v>2.7106294003980101E-5</v>
      </c>
      <c r="AJ7026" s="2">
        <v>2.7106294003980101E-5</v>
      </c>
      <c r="AK7026" s="2">
        <v>2.7106294003980101E-5</v>
      </c>
      <c r="AL7026" s="2">
        <v>2.7106294003980101E-5</v>
      </c>
      <c r="AM7026" s="2">
        <v>2.7106294003980101E-5</v>
      </c>
      <c r="AN7026" s="2">
        <v>2.7106294003980101E-5</v>
      </c>
      <c r="AO7026" s="2">
        <v>2.7106294003980101E-5</v>
      </c>
      <c r="AP7026" s="2">
        <v>2.7106294003980101E-5</v>
      </c>
    </row>
    <row r="7027" spans="1:42" ht="14.5" x14ac:dyDescent="0.35">
      <c r="A7027" s="2" t="s">
        <v>46571</v>
      </c>
      <c r="B7027" s="2">
        <v>307.15485617724499</v>
      </c>
      <c r="C7027" s="2">
        <v>6.4626999999999999</v>
      </c>
      <c r="D7027" s="2" t="s">
        <v>70</v>
      </c>
      <c r="E7027" s="2" t="s">
        <v>46572</v>
      </c>
      <c r="F7027" s="2">
        <v>59577</v>
      </c>
      <c r="G7027" s="3" t="str">
        <f>HYPERLINK("http://funmeta.oebiotech.com/network/59577", "http://funmeta.oebiotech.com/network/59577")</f>
        <v>http://funmeta.oebiotech.com/network/59577</v>
      </c>
      <c r="H7027" s="2" t="s">
        <v>46573</v>
      </c>
      <c r="I7027" s="2">
        <v>90980</v>
      </c>
      <c r="J7027" s="2"/>
      <c r="K7027" s="2"/>
      <c r="L7027" s="2"/>
      <c r="M7027" s="2"/>
      <c r="N7027" s="2"/>
      <c r="O7027" s="2">
        <v>286691</v>
      </c>
      <c r="P7027" s="2" t="s">
        <v>46574</v>
      </c>
      <c r="Q7027" s="2" t="s">
        <v>46575</v>
      </c>
      <c r="R7027" s="2" t="s">
        <v>46576</v>
      </c>
      <c r="S7027" s="2" t="s">
        <v>50</v>
      </c>
      <c r="T7027" s="2" t="s">
        <v>201</v>
      </c>
      <c r="U7027" s="2" t="s">
        <v>636</v>
      </c>
      <c r="V7027" s="2" t="s">
        <v>59</v>
      </c>
      <c r="W7027" s="2">
        <v>43</v>
      </c>
      <c r="X7027" s="2">
        <v>19</v>
      </c>
      <c r="Y7027" s="2" t="s">
        <v>118</v>
      </c>
      <c r="Z7027" s="2" t="s">
        <v>42433</v>
      </c>
      <c r="AA7027" s="2">
        <v>-0.78289322691777297</v>
      </c>
      <c r="AB7027" s="2"/>
      <c r="AC7027" s="2">
        <v>2.7106294003980101E-5</v>
      </c>
      <c r="AD7027" s="2">
        <v>2.7106294003980101E-5</v>
      </c>
      <c r="AE7027" s="2">
        <v>2.7106294003980101E-5</v>
      </c>
      <c r="AF7027" s="2">
        <v>2.7106294003980101E-5</v>
      </c>
      <c r="AG7027" s="2">
        <v>2.7106294003980101E-5</v>
      </c>
      <c r="AH7027" s="2">
        <v>2.7106294003980101E-5</v>
      </c>
      <c r="AI7027" s="2">
        <v>2.7106294003980101E-5</v>
      </c>
      <c r="AJ7027" s="2">
        <v>2.7106294003980101E-5</v>
      </c>
      <c r="AK7027" s="2">
        <v>2.7106294003980101E-5</v>
      </c>
      <c r="AL7027" s="2">
        <v>2.7106294003980101E-5</v>
      </c>
      <c r="AM7027" s="2">
        <v>2.7106294003980101E-5</v>
      </c>
      <c r="AN7027" s="2">
        <v>2.7106294003980101E-5</v>
      </c>
      <c r="AO7027" s="2">
        <v>2.7106294003980101E-5</v>
      </c>
      <c r="AP7027" s="2">
        <v>2.7106294003980101E-5</v>
      </c>
    </row>
    <row r="7028" spans="1:42" ht="14.5" x14ac:dyDescent="0.35">
      <c r="A7028" s="2" t="s">
        <v>46577</v>
      </c>
      <c r="B7028" s="2">
        <v>189.09126876454101</v>
      </c>
      <c r="C7028" s="2">
        <v>7.9924333333333299</v>
      </c>
      <c r="D7028" s="2" t="s">
        <v>70</v>
      </c>
      <c r="E7028" s="2" t="s">
        <v>46578</v>
      </c>
      <c r="F7028" s="2">
        <v>55022</v>
      </c>
      <c r="G7028" s="3" t="str">
        <f>HYPERLINK("http://funmeta.oebiotech.com/network/55022", "http://funmeta.oebiotech.com/network/55022")</f>
        <v>http://funmeta.oebiotech.com/network/55022</v>
      </c>
      <c r="H7028" s="2" t="s">
        <v>46579</v>
      </c>
      <c r="I7028" s="2">
        <v>86789</v>
      </c>
      <c r="J7028" s="2"/>
      <c r="K7028" s="2">
        <v>168229</v>
      </c>
      <c r="L7028" s="2"/>
      <c r="M7028" s="2"/>
      <c r="N7028" s="2"/>
      <c r="O7028" s="2">
        <v>14262444</v>
      </c>
      <c r="P7028" s="2" t="s">
        <v>46580</v>
      </c>
      <c r="Q7028" s="2" t="s">
        <v>46581</v>
      </c>
      <c r="R7028" s="2" t="s">
        <v>46582</v>
      </c>
      <c r="S7028" s="2" t="s">
        <v>79</v>
      </c>
      <c r="T7028" s="2" t="s">
        <v>80</v>
      </c>
      <c r="U7028" s="2" t="s">
        <v>2820</v>
      </c>
      <c r="V7028" s="2" t="s">
        <v>59</v>
      </c>
      <c r="W7028" s="2">
        <v>45.6</v>
      </c>
      <c r="X7028" s="2">
        <v>34.700000000000003</v>
      </c>
      <c r="Y7028" s="2" t="s">
        <v>751</v>
      </c>
      <c r="Z7028" s="2" t="s">
        <v>46085</v>
      </c>
      <c r="AA7028" s="2">
        <v>-4.00983846235098</v>
      </c>
      <c r="AB7028" s="2"/>
      <c r="AC7028" s="2">
        <v>2.7106294003980101E-5</v>
      </c>
      <c r="AD7028" s="2">
        <v>2.7106294003980101E-5</v>
      </c>
      <c r="AE7028" s="2">
        <v>2.7106294003980101E-5</v>
      </c>
      <c r="AF7028" s="2">
        <v>2.7106294003980101E-5</v>
      </c>
      <c r="AG7028" s="2">
        <v>2.7106294003980101E-5</v>
      </c>
      <c r="AH7028" s="2">
        <v>2.7106294003980101E-5</v>
      </c>
      <c r="AI7028" s="2">
        <v>2.7106294003980101E-5</v>
      </c>
      <c r="AJ7028" s="2">
        <v>2.7106294003980101E-5</v>
      </c>
      <c r="AK7028" s="2">
        <v>2.7106294003980101E-5</v>
      </c>
      <c r="AL7028" s="2">
        <v>2.7106294003980101E-5</v>
      </c>
      <c r="AM7028" s="2">
        <v>2.7106294003980101E-5</v>
      </c>
      <c r="AN7028" s="2">
        <v>2.7106294003980101E-5</v>
      </c>
      <c r="AO7028" s="2">
        <v>2.7106294003980101E-5</v>
      </c>
      <c r="AP7028" s="2">
        <v>2.7106294003980101E-5</v>
      </c>
    </row>
    <row r="7029" spans="1:42" ht="14.5" x14ac:dyDescent="0.35">
      <c r="A7029" s="2" t="s">
        <v>46583</v>
      </c>
      <c r="B7029" s="2">
        <v>583.12330430264001</v>
      </c>
      <c r="C7029" s="2">
        <v>8.3800833333333298</v>
      </c>
      <c r="D7029" s="2" t="s">
        <v>34</v>
      </c>
      <c r="E7029" s="2" t="s">
        <v>46584</v>
      </c>
      <c r="F7029" s="2">
        <v>60741</v>
      </c>
      <c r="G7029" s="3" t="str">
        <f>HYPERLINK("http://funmeta.oebiotech.com/network/60741", "http://funmeta.oebiotech.com/network/60741")</f>
        <v>http://funmeta.oebiotech.com/network/60741</v>
      </c>
      <c r="H7029" s="2" t="s">
        <v>46585</v>
      </c>
      <c r="I7029" s="2"/>
      <c r="J7029" s="2"/>
      <c r="K7029" s="2"/>
      <c r="L7029" s="2"/>
      <c r="M7029" s="2"/>
      <c r="N7029" s="2"/>
      <c r="O7029" s="2">
        <v>131752148</v>
      </c>
      <c r="P7029" s="2" t="s">
        <v>46586</v>
      </c>
      <c r="Q7029" s="2" t="s">
        <v>46587</v>
      </c>
      <c r="R7029" s="2" t="s">
        <v>46588</v>
      </c>
      <c r="S7029" s="2" t="s">
        <v>79</v>
      </c>
      <c r="T7029" s="2" t="s">
        <v>80</v>
      </c>
      <c r="U7029" s="2" t="s">
        <v>2021</v>
      </c>
      <c r="V7029" s="2" t="s">
        <v>59</v>
      </c>
      <c r="W7029" s="2">
        <v>37.299999999999997</v>
      </c>
      <c r="X7029" s="2">
        <v>0</v>
      </c>
      <c r="Y7029" s="2" t="s">
        <v>340</v>
      </c>
      <c r="Z7029" s="2" t="s">
        <v>46589</v>
      </c>
      <c r="AA7029" s="2">
        <v>3.80383945450057</v>
      </c>
      <c r="AB7029" s="2"/>
      <c r="AC7029" s="2">
        <v>2.7106294003980101E-5</v>
      </c>
      <c r="AD7029" s="2">
        <v>2.7106294003980101E-5</v>
      </c>
      <c r="AE7029" s="2">
        <v>2.7106294003980101E-5</v>
      </c>
      <c r="AF7029" s="2">
        <v>2.7106294003980101E-5</v>
      </c>
      <c r="AG7029" s="2">
        <v>2.7106294003980101E-5</v>
      </c>
      <c r="AH7029" s="2">
        <v>2.7106294003980101E-5</v>
      </c>
      <c r="AI7029" s="2">
        <v>2.7106294003980101E-5</v>
      </c>
      <c r="AJ7029" s="2">
        <v>2.7106294003980101E-5</v>
      </c>
      <c r="AK7029" s="2">
        <v>2.7106294003980101E-5</v>
      </c>
      <c r="AL7029" s="2">
        <v>2.7106294003980101E-5</v>
      </c>
      <c r="AM7029" s="2">
        <v>2.7106294003980101E-5</v>
      </c>
      <c r="AN7029" s="2">
        <v>2.7106294003980101E-5</v>
      </c>
      <c r="AO7029" s="2">
        <v>2.7106294003980101E-5</v>
      </c>
      <c r="AP7029" s="2">
        <v>2.7106294003980101E-5</v>
      </c>
    </row>
    <row r="7030" spans="1:42" ht="14.5" x14ac:dyDescent="0.35">
      <c r="A7030" s="2" t="s">
        <v>46590</v>
      </c>
      <c r="B7030" s="2">
        <v>375.21747444465399</v>
      </c>
      <c r="C7030" s="2">
        <v>9.7958999999999996</v>
      </c>
      <c r="D7030" s="2" t="s">
        <v>70</v>
      </c>
      <c r="E7030" s="2" t="s">
        <v>46591</v>
      </c>
      <c r="F7030" s="2">
        <v>5427</v>
      </c>
      <c r="G7030" s="3" t="str">
        <f>HYPERLINK("http://funmeta.oebiotech.com/network/5427", "http://funmeta.oebiotech.com/network/5427")</f>
        <v>http://funmeta.oebiotech.com/network/5427</v>
      </c>
      <c r="H7030" s="2"/>
      <c r="I7030" s="2"/>
      <c r="J7030" s="2" t="s">
        <v>46592</v>
      </c>
      <c r="K7030" s="2"/>
      <c r="L7030" s="2"/>
      <c r="M7030" s="2"/>
      <c r="N7030" s="2"/>
      <c r="O7030" s="2">
        <v>44189000</v>
      </c>
      <c r="P7030" s="2"/>
      <c r="Q7030" s="2" t="s">
        <v>46593</v>
      </c>
      <c r="R7030" s="2" t="s">
        <v>46594</v>
      </c>
      <c r="S7030" s="2" t="s">
        <v>79</v>
      </c>
      <c r="T7030" s="2" t="s">
        <v>80</v>
      </c>
      <c r="U7030" s="2" t="s">
        <v>81</v>
      </c>
      <c r="V7030" s="2" t="s">
        <v>59</v>
      </c>
      <c r="W7030" s="2">
        <v>45.5</v>
      </c>
      <c r="X7030" s="2">
        <v>32.4</v>
      </c>
      <c r="Y7030" s="2" t="s">
        <v>751</v>
      </c>
      <c r="Z7030" s="2" t="s">
        <v>13837</v>
      </c>
      <c r="AA7030" s="2">
        <v>-0.56626829487224095</v>
      </c>
      <c r="AB7030" s="2"/>
      <c r="AC7030" s="2">
        <v>2.7106294003980101E-5</v>
      </c>
      <c r="AD7030" s="2">
        <v>2.7106294003980101E-5</v>
      </c>
      <c r="AE7030" s="2">
        <v>2.7106294003980101E-5</v>
      </c>
      <c r="AF7030" s="2">
        <v>2.7106294003980101E-5</v>
      </c>
      <c r="AG7030" s="2">
        <v>2.7106294003980101E-5</v>
      </c>
      <c r="AH7030" s="2">
        <v>2.7106294003980101E-5</v>
      </c>
      <c r="AI7030" s="2">
        <v>2.7106294003980101E-5</v>
      </c>
      <c r="AJ7030" s="2">
        <v>2.7106294003980101E-5</v>
      </c>
      <c r="AK7030" s="2">
        <v>2.7106294003980101E-5</v>
      </c>
      <c r="AL7030" s="2">
        <v>2.7106294003980101E-5</v>
      </c>
      <c r="AM7030" s="2">
        <v>2.7106294003980101E-5</v>
      </c>
      <c r="AN7030" s="2">
        <v>2.7106294003980101E-5</v>
      </c>
      <c r="AO7030" s="2">
        <v>2.7106294003980101E-5</v>
      </c>
      <c r="AP7030" s="2">
        <v>2.7106294003980101E-5</v>
      </c>
    </row>
    <row r="7031" spans="1:42" ht="14.5" x14ac:dyDescent="0.35">
      <c r="A7031" s="2" t="s">
        <v>46595</v>
      </c>
      <c r="B7031" s="2">
        <v>439.33195333344702</v>
      </c>
      <c r="C7031" s="2">
        <v>9.8048666666666708</v>
      </c>
      <c r="D7031" s="2" t="s">
        <v>34</v>
      </c>
      <c r="E7031" s="2" t="s">
        <v>46596</v>
      </c>
      <c r="F7031" s="2">
        <v>198524</v>
      </c>
      <c r="G7031" s="3" t="str">
        <f>HYPERLINK("http://funmeta.oebiotech.com/network/198524", "http://funmeta.oebiotech.com/network/198524")</f>
        <v>http://funmeta.oebiotech.com/network/198524</v>
      </c>
      <c r="H7031" s="2" t="s">
        <v>46597</v>
      </c>
      <c r="I7031" s="2"/>
      <c r="J7031" s="2"/>
      <c r="K7031" s="2"/>
      <c r="L7031" s="2"/>
      <c r="M7031" s="2"/>
      <c r="N7031" s="2"/>
      <c r="O7031" s="2"/>
      <c r="P7031" s="2"/>
      <c r="Q7031" s="2" t="s">
        <v>46598</v>
      </c>
      <c r="R7031" s="2" t="s">
        <v>46599</v>
      </c>
      <c r="S7031" s="2" t="s">
        <v>41</v>
      </c>
      <c r="T7031" s="2" t="s">
        <v>41</v>
      </c>
      <c r="U7031" s="2" t="s">
        <v>41</v>
      </c>
      <c r="V7031" s="2" t="s">
        <v>59</v>
      </c>
      <c r="W7031" s="2">
        <v>38.799999999999997</v>
      </c>
      <c r="X7031" s="2">
        <v>0</v>
      </c>
      <c r="Y7031" s="2" t="s">
        <v>141</v>
      </c>
      <c r="Z7031" s="2" t="s">
        <v>46600</v>
      </c>
      <c r="AA7031" s="2">
        <v>0.105852206352524</v>
      </c>
      <c r="AB7031" s="2"/>
      <c r="AC7031" s="2">
        <v>2.7106294003980101E-5</v>
      </c>
      <c r="AD7031" s="2">
        <v>2.7106294003980101E-5</v>
      </c>
      <c r="AE7031" s="2">
        <v>2.7106294003980101E-5</v>
      </c>
      <c r="AF7031" s="2">
        <v>2.7106294003980101E-5</v>
      </c>
      <c r="AG7031" s="2">
        <v>2.7106294003980101E-5</v>
      </c>
      <c r="AH7031" s="2">
        <v>2.7106294003980101E-5</v>
      </c>
      <c r="AI7031" s="2">
        <v>2.7106294003980101E-5</v>
      </c>
      <c r="AJ7031" s="2">
        <v>2.7106294003980101E-5</v>
      </c>
      <c r="AK7031" s="2">
        <v>2.7106294003980101E-5</v>
      </c>
      <c r="AL7031" s="2">
        <v>2.7106294003980101E-5</v>
      </c>
      <c r="AM7031" s="2">
        <v>2.7106294003980101E-5</v>
      </c>
      <c r="AN7031" s="2">
        <v>2.7106294003980101E-5</v>
      </c>
      <c r="AO7031" s="2">
        <v>2.7106294003980101E-5</v>
      </c>
      <c r="AP7031" s="2">
        <v>2.7106294003980101E-5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2024-07-03T06:55:37Z</dcterms:created>
  <dcterms:modified xsi:type="dcterms:W3CDTF">2024-07-03T06:57:55Z</dcterms:modified>
</cp:coreProperties>
</file>